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Meta Tag Mapping" sheetId="2" r:id="rId6"/>
    <sheet state="visible" name="Transformed Responses" sheetId="3" r:id="rId7"/>
    <sheet state="visible" name="Pivot Source for Looker" sheetId="4" r:id="rId8"/>
    <sheet state="visible" name="Intact Pathway" sheetId="5" r:id="rId9"/>
    <sheet state="visible" name="Circumcised Pathway" sheetId="6" r:id="rId10"/>
    <sheet state="visible" name="Restoration Pathway" sheetId="7" r:id="rId11"/>
    <sheet state="visible" name="Observer Pathway" sheetId="8" r:id="rId12"/>
    <sheet state="visible" name="Meta Labels" sheetId="9" r:id="rId13"/>
  </sheets>
  <definedNames>
    <definedName name="Question_Text">#REF!</definedName>
    <definedName name="Survey_Meta_Tags">'Meta Tag Mapping'!$B$1:$B$360</definedName>
    <definedName hidden="1" localSheetId="2" name="_xlnm._FilterDatabase">'Transformed Responses'!$A$1:$HQ$243</definedName>
    <definedName hidden="1" localSheetId="3" name="_xlnm._FilterDatabase">'Pivot Source for Looker'!$A$1:$Z$1147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B62">
      <text>
        <t xml:space="preserve">Consent Check Run on Sat Jul 12 2025 02:07:32 GMT-0700 (Pacific Daylight Time). Result: No.</t>
      </text>
    </comment>
    <comment authorId="0" ref="FB29">
      <text>
        <t xml:space="preserve">Consent Check Run on Sat Jul 12 2025 02:07:09 GMT-0700 (Pacific Daylight Time). Result: No.</t>
      </text>
    </comment>
    <comment authorId="0" ref="GB491">
      <text>
        <t xml:space="preserve">Consent Check Run on Sat Apr 11 2026 00:45:55 GMT-0700 (Pacific Daylight Time). Result: No.</t>
      </text>
    </comment>
    <comment authorId="0" ref="GB458">
      <text>
        <t xml:space="preserve">Consent Check Run on Sun Apr 05 2026 00:34:52 GMT-0700 (Pacific Daylight Time). Result: No.</t>
      </text>
    </comment>
    <comment authorId="0" ref="GB425">
      <text>
        <t xml:space="preserve">Consent Check Run on Sun Feb 08 2026 10:45:02 GMT-0800 (Pacific Standard Time). Result: No.</t>
      </text>
    </comment>
    <comment authorId="0" ref="GB392">
      <text>
        <t xml:space="preserve">PII Processed on Tue Nov 18 2025 00:00:58 GMT-0800 (Pacific Standard Time). Email status: Success. ID: 95a40a6f5ba7f8878e434acfbb5a30766a626cefa819291c95d8e58b57e9204d</t>
      </text>
    </comment>
    <comment authorId="0" ref="GB359">
      <text>
        <t xml:space="preserve">Consent Check Run on Sat Oct 18 2025 10:29:30 GMT-0700 (Pacific Daylight Time). Result: No.</t>
      </text>
    </comment>
    <comment authorId="0" ref="GB326">
      <text>
        <t xml:space="preserve">Consent Check Run on Mon Sep 22 2025 03:01:38 GMT-0700 (Pacific Daylight Time). Result: No.</t>
      </text>
    </comment>
    <comment authorId="0" ref="GB293">
      <text>
        <t xml:space="preserve">PII Processed on Tue Sep 02 2025 22:30:07 GMT-0700 (Pacific Daylight Time). Email status: Success. ID: af02cde0d330fce2f05a982f76f830500cb8aa2c4b1f6c5c71dffc8f7c8aaa22</t>
      </text>
    </comment>
    <comment authorId="0" ref="GB260">
      <text>
        <t xml:space="preserve">Consent Check Run on Sun Aug 10 2025 12:49:24 GMT-0700 (Pacific Daylight Time). Result: No.</t>
      </text>
    </comment>
    <comment authorId="0" ref="GB227">
      <text>
        <t xml:space="preserve">Consent Check Run on Sat Jul 12 2025 03:25:13 GMT-0700 (Pacific Daylight Time). Result: No.</t>
      </text>
    </comment>
    <comment authorId="0" ref="GB194">
      <text>
        <t xml:space="preserve">PII Processed on Sat Jul 12 2025 03:02:27 GMT-0700 (Pacific Daylight Time). Email status: Failed.</t>
      </text>
    </comment>
    <comment authorId="0" ref="GB161">
      <text>
        <t xml:space="preserve">PII Processed (Invalid Email) on Sat Jul 12 2025 03:01:55 GMT-0700 (Pacific Daylight Time).</t>
      </text>
    </comment>
    <comment authorId="0" ref="GB128">
      <text>
        <t xml:space="preserve">PII Processed on Sat Jul 12 2025 03:01:21 GMT-0700 (Pacific Daylight Time). Email status: Success.</t>
      </text>
    </comment>
    <comment authorId="0" ref="GB95">
      <text>
        <t xml:space="preserve">PII Processed on Sat Jul 12 2025 03:00:45 GMT-0700 (Pacific Daylight Time). Email status: Success.</t>
      </text>
    </comment>
    <comment authorId="0" ref="GB62">
      <text>
        <t xml:space="preserve">Consent Check Run on Sat Jul 12 2025 03:00:11 GMT-0700 (Pacific Daylight Time). Result: No.</t>
      </text>
    </comment>
    <comment authorId="0" ref="FB228">
      <text>
        <t xml:space="preserve">Consent Check Run on Sat Jul 12 2025 02:09:37 GMT-0700 (Pacific Daylight Time). Result: No.</t>
      </text>
    </comment>
    <comment authorId="0" ref="GB29">
      <text>
        <t xml:space="preserve">PII Processed on Sat Jul 12 2025 02:59:35 GMT-0700 (Pacific Daylight Time). Email status: Success.</t>
      </text>
    </comment>
    <comment authorId="0" ref="FB195">
      <text>
        <t xml:space="preserve">Consent Check Run on Sat Jul 12 2025 02:09:10 GMT-0700 (Pacific Daylight Time). Result: No.</t>
      </text>
    </comment>
    <comment authorId="0" ref="FB162">
      <text>
        <t xml:space="preserve">Consent Check Run on Sat Jul 12 2025 02:08:45 GMT-0700 (Pacific Daylight Time). Result: No.</t>
      </text>
    </comment>
    <comment authorId="0" ref="FB129">
      <text>
        <t xml:space="preserve">Consent Check Run on Sat Jul 12 2025 02:08:20 GMT-0700 (Pacific Daylight Time). Result: No.</t>
      </text>
    </comment>
    <comment authorId="0" ref="FB96">
      <text>
        <t xml:space="preserve">Consent Check Run on Sat Jul 12 2025 02:07:55 GMT-0700 (Pacific Daylight Time). Result: No.</t>
      </text>
    </comment>
    <comment authorId="0" ref="FB63">
      <text>
        <t xml:space="preserve">Consent Check Run on Sat Jul 12 2025 02:07:32 GMT-0700 (Pacific Daylight Time). Result: No.</t>
      </text>
    </comment>
    <comment authorId="0" ref="FB30">
      <text>
        <t xml:space="preserve">Consent Check Run on Sat Jul 12 2025 02:07:10 GMT-0700 (Pacific Daylight Time). Result: No.</t>
      </text>
    </comment>
    <comment authorId="0" ref="GB492">
      <text>
        <t xml:space="preserve">PII Processed on Sat Apr 11 2026 18:05:09 GMT-0700 (Pacific Daylight Time). Email status: Success. ID: 70e5a1fd9b34ff7a2badf79621a1589a3bc0ff57aa5d7c1072aa3a832111a12a</t>
      </text>
    </comment>
    <comment authorId="0" ref="GB459">
      <text>
        <t xml:space="preserve">PII Processed on Sun Apr 05 2026 02:29:27 GMT-0700 (Pacific Daylight Time). Email status: Success. ID: aef79751e2ab81d00b3237d93091626d92a30b50e196186f6af8bd8ee3d34289</t>
      </text>
    </comment>
    <comment authorId="0" ref="GB426">
      <text>
        <t xml:space="preserve">PII Processed on Sun Feb 08 2026 12:43:33 GMT-0800 (Pacific Standard Time). Email status: Success. ID: b1376b8569ca2bd580d297bbee0026f852f52d5f402071a09f3cb2a8cd4911b2</t>
      </text>
    </comment>
    <comment authorId="0" ref="GB393">
      <text>
        <t xml:space="preserve">PII Processed on Tue Nov 18 2025 19:11:46 GMT-0800 (Pacific Standard Time). Email status: Success. ID: f16ad1906070a11ddf8cbb1e6373067b0f5bf30a8c3ad5564deafe1373a48f2d</t>
      </text>
    </comment>
    <comment authorId="0" ref="GB360">
      <text>
        <t xml:space="preserve">Consent Check Run on Tue Oct 21 2025 06:44:28 GMT-0700 (Pacific Daylight Time). Result: No.</t>
      </text>
    </comment>
    <comment authorId="0" ref="GB327">
      <text>
        <t xml:space="preserve">Consent Check Run on Mon Sep 22 2025 12:50:49 GMT-0700 (Pacific Daylight Time). Result: No.</t>
      </text>
    </comment>
    <comment authorId="0" ref="GB294">
      <text>
        <t xml:space="preserve">Consent Check Run on Wed Sep 03 2025 10:36:45 GMT-0700 (Pacific Daylight Time). Result: No.</t>
      </text>
    </comment>
    <comment authorId="0" ref="GB261">
      <text>
        <t xml:space="preserve">Consent Check Run on Sun Aug 10 2025 17:22:36 GMT-0700 (Pacific Daylight Time). Result: No.</t>
      </text>
    </comment>
    <comment authorId="0" ref="GB228">
      <text>
        <t xml:space="preserve">PII Processed on Sat Jul 12 2025 03:28:59 GMT-0700 (Pacific Daylight Time). Email status: Failed</t>
      </text>
    </comment>
    <comment authorId="0" ref="GB195">
      <text>
        <t xml:space="preserve">PII Processed on Sat Jul 12 2025 03:02:28 GMT-0700 (Pacific Daylight Time). Email status: Failed.</t>
      </text>
    </comment>
    <comment authorId="0" ref="GB162">
      <text>
        <t xml:space="preserve">PII Processed on Sat Jul 12 2025 03:01:56 GMT-0700 (Pacific Daylight Time). Email status: Success.</t>
      </text>
    </comment>
    <comment authorId="0" ref="GB129">
      <text>
        <t xml:space="preserve">Consent Check Run on Sat Jul 12 2025 03:01:23 GMT-0700 (Pacific Daylight Time). Result: No.</t>
      </text>
    </comment>
    <comment authorId="0" ref="GB96">
      <text>
        <t xml:space="preserve">PII Processed on Sat Jul 12 2025 03:00:46 GMT-0700 (Pacific Daylight Time). Email status: Success.</t>
      </text>
    </comment>
    <comment authorId="0" ref="GB63">
      <text>
        <t xml:space="preserve">PII Processed on Sat Jul 12 2025 03:00:12 GMT-0700 (Pacific Daylight Time). Email status: Success.</t>
      </text>
    </comment>
    <comment authorId="0" ref="FB229">
      <text>
        <t xml:space="preserve">Consent Check Run on Sat Jul 12 2025 02:09:38 GMT-0700 (Pacific Daylight Time). Result: No.</t>
      </text>
    </comment>
    <comment authorId="0" ref="GB30">
      <text>
        <t xml:space="preserve">PII Processed (Invalid Email) on Sat Jul 12 2025 02:59:35 GMT-0700 (Pacific Daylight Time).</t>
      </text>
    </comment>
    <comment authorId="0" ref="FB196">
      <text>
        <t xml:space="preserve">Consent Check Run on Sat Jul 12 2025 02:09:10 GMT-0700 (Pacific Daylight Time). Result: No.</t>
      </text>
    </comment>
    <comment authorId="0" ref="FB163">
      <text>
        <t xml:space="preserve">Consent Check Run on Sat Jul 12 2025 02:08:46 GMT-0700 (Pacific Daylight Time). Result: No.</t>
      </text>
    </comment>
    <comment authorId="0" ref="FB130">
      <text>
        <t xml:space="preserve">Consent Check Run on Sat Jul 12 2025 02:08:20 GMT-0700 (Pacific Daylight Time). Result: No.</t>
      </text>
    </comment>
    <comment authorId="0" ref="FB97">
      <text>
        <t xml:space="preserve">Consent Check Run on Sat Jul 12 2025 02:07:56 GMT-0700 (Pacific Daylight Time). Result: No.</t>
      </text>
    </comment>
    <comment authorId="0" ref="FB64">
      <text>
        <t xml:space="preserve">Consent Check Run on Sat Jul 12 2025 02:07:33 GMT-0700 (Pacific Daylight Time). Result: No.</t>
      </text>
    </comment>
    <comment authorId="0" ref="FB31">
      <text>
        <t xml:space="preserve">Consent Check Run on Sat Jul 12 2025 02:07:11 GMT-0700 (Pacific Daylight Time). Result: No.</t>
      </text>
    </comment>
    <comment authorId="0" ref="GB493">
      <text>
        <t xml:space="preserve">Consent Check Run on Sun Apr 12 2026 06:29:57 GMT-0700 (Pacific Daylight Time). Result: No.</t>
      </text>
    </comment>
    <comment authorId="0" ref="GB460">
      <text>
        <t xml:space="preserve">PII Processed on Sun Apr 05 2026 02:38:39 GMT-0700 (Pacific Daylight Time). Email status: Success. ID: 6aa2c14657ddb13b9cdfecdb338856aa23749aa4f476c254000d36f4c199f222</t>
      </text>
    </comment>
    <comment authorId="0" ref="GB427">
      <text>
        <t xml:space="preserve">PII Processed on Wed Feb 11 2026 20:44:03 GMT-0800 (Pacific Standard Time). Email status: Success. ID: 9e1bc900377c9e84e6b96ef97db57c32c32bea706794338f39251e959576f69e</t>
      </text>
    </comment>
    <comment authorId="0" ref="GB394">
      <text>
        <t xml:space="preserve">Consent Check Run on Tue Nov 18 2025 23:11:52 GMT-0800 (Pacific Standard Time). Result: No.</t>
      </text>
    </comment>
    <comment authorId="0" ref="GB361">
      <text>
        <t xml:space="preserve">Consent Check Run on Thu Oct 23 2025 00:47:32 GMT-0700 (Pacific Daylight Time). Result: No.</t>
      </text>
    </comment>
    <comment authorId="0" ref="GB328">
      <text>
        <t xml:space="preserve">PII Processed on Mon Sep 22 2025 12:58:57 GMT-0700 (Pacific Daylight Time). Email status: Success. ID: 2bed874e60d7f19e16f1f5d276436a45f7a61814eb680146d47d9a1df982c3af</t>
      </text>
    </comment>
    <comment authorId="0" ref="GB295">
      <text>
        <t xml:space="preserve">Consent Check Run on Wed Sep 03 2025 11:42:10 GMT-0700 (Pacific Daylight Time). Result: No.</t>
      </text>
    </comment>
    <comment authorId="0" ref="GB262">
      <text>
        <t xml:space="preserve">PII Processed on Mon Aug 11 2025 08:25:25 GMT-0700 (Pacific Daylight Time). Email status: Success. ID: c36fc06cfa58549d2a0294fc1f9a62c04e1bf52e548ca7c2757db97317952ffc</t>
      </text>
    </comment>
    <comment authorId="0" ref="GB229">
      <text>
        <t xml:space="preserve">PII Processed on Sat Jul 12 2025 03:29:01 GMT-0700 (Pacific Daylight Time). Email status: Failed</t>
      </text>
    </comment>
    <comment authorId="0" ref="GB196">
      <text>
        <t xml:space="preserve">PII Processed on Sat Jul 12 2025 03:02:29 GMT-0700 (Pacific Daylight Time). Email status: Failed.</t>
      </text>
    </comment>
    <comment authorId="0" ref="GB163">
      <text>
        <t xml:space="preserve">PII Processed on Sat Jul 12 2025 03:01:58 GMT-0700 (Pacific Daylight Time). Email status: Success.</t>
      </text>
    </comment>
    <comment authorId="0" ref="GB130">
      <text>
        <t xml:space="preserve">PII Processed on Sat Jul 12 2025 03:01:25 GMT-0700 (Pacific Daylight Time). Email status: Success.</t>
      </text>
    </comment>
    <comment authorId="0" ref="GB97">
      <text>
        <t xml:space="preserve">PII Processed on Sat Jul 12 2025 03:00:47 GMT-0700 (Pacific Daylight Time). Email status: Success.</t>
      </text>
    </comment>
    <comment authorId="0" ref="GB64">
      <text>
        <t xml:space="preserve">PII Processed on Sat Jul 12 2025 03:00:13 GMT-0700 (Pacific Daylight Time). Email status: Success.</t>
      </text>
    </comment>
    <comment authorId="0" ref="GB31">
      <text>
        <t xml:space="preserve">PII Processed on Sat Jul 12 2025 02:59:37 GMT-0700 (Pacific Daylight Time). Email status: Success.</t>
      </text>
    </comment>
    <comment authorId="0" ref="FB197">
      <text>
        <t xml:space="preserve">Consent Check Run on Sat Jul 12 2025 02:09:11 GMT-0700 (Pacific Daylight Time). Result: No.</t>
      </text>
    </comment>
    <comment authorId="0" ref="FB164">
      <text>
        <t xml:space="preserve">Consent Check Run on Sat Jul 12 2025 02:08:47 GMT-0700 (Pacific Daylight Time). Result: No.</t>
      </text>
    </comment>
    <comment authorId="0" ref="FB131">
      <text>
        <t xml:space="preserve">Consent Check Run on Sat Jul 12 2025 02:08:21 GMT-0700 (Pacific Daylight Time). Result: No.</t>
      </text>
    </comment>
    <comment authorId="0" ref="FB98">
      <text>
        <t xml:space="preserve">Consent Check Run on Sat Jul 12 2025 02:07:57 GMT-0700 (Pacific Daylight Time). Result: No.</t>
      </text>
    </comment>
    <comment authorId="0" ref="FB65">
      <text>
        <t xml:space="preserve">Consent Check Run on Sat Jul 12 2025 02:07:34 GMT-0700 (Pacific Daylight Time). Result: No.</t>
      </text>
    </comment>
    <comment authorId="0" ref="FB32">
      <text>
        <t xml:space="preserve">Consent Check Run on Sat Jul 12 2025 02:07:11 GMT-0700 (Pacific Daylight Time). Result: No.</t>
      </text>
    </comment>
    <comment authorId="0" ref="GB494">
      <text>
        <t xml:space="preserve">PII Processed on Sun Apr 12 2026 18:43:52 GMT-0700 (Pacific Daylight Time). Email status: Success. ID: c5f03187017a70fda6f70b8e99f9f0624638f854477dad5ad0064a4bafb547a7</t>
      </text>
    </comment>
    <comment authorId="0" ref="GB461">
      <text>
        <t xml:space="preserve">Consent Check Run on Sun Apr 05 2026 08:56:49 GMT-0700 (Pacific Daylight Time). Result: No.</t>
      </text>
    </comment>
    <comment authorId="0" ref="GB428">
      <text>
        <t xml:space="preserve">PII Processed on Wed Feb 11 2026 21:18:54 GMT-0800 (Pacific Standard Time). Email status: Success. ID: cedd72ff4d2a53c5ff71708306ef956b5d03d9971603369518892a3dfe425365</t>
      </text>
    </comment>
    <comment authorId="0" ref="GB395">
      <text>
        <t xml:space="preserve">Consent Check Run on Wed Nov 19 2025 16:48:11 GMT-0800 (Pacific Standard Time). Result: No.</t>
      </text>
    </comment>
    <comment authorId="0" ref="GB362">
      <text>
        <t xml:space="preserve">Consent Check Run on Thu Oct 23 2025 10:31:23 GMT-0700 (Pacific Daylight Time). Result: No.</t>
      </text>
    </comment>
    <comment authorId="0" ref="GB329">
      <text>
        <t xml:space="preserve">PII Processed on Mon Sep 22 2025 14:25:12 GMT-0700 (Pacific Daylight Time). Email status: Success. ID: dedadaced20635ef6dcbebefc35adb6136976fd9eea69a7168e12c5380bb2253</t>
      </text>
    </comment>
    <comment authorId="0" ref="GB296">
      <text>
        <t xml:space="preserve">Consent Check Run on Wed Sep 03 2025 12:14:55 GMT-0700 (Pacific Daylight Time). Result: No.</t>
      </text>
    </comment>
    <comment authorId="0" ref="GB263">
      <text>
        <t xml:space="preserve">Consent Check Run on Mon Aug 11 2025 16:03:11 GMT-0700 (Pacific Daylight Time). Result: No.</t>
      </text>
    </comment>
    <comment authorId="0" ref="GB230">
      <text>
        <t xml:space="preserve">Consent Check Run on Sat Jul 12 2025 04:31:31 GMT-0700 (Pacific Daylight Time). Result: No.</t>
      </text>
    </comment>
    <comment authorId="0" ref="GB197">
      <text>
        <t xml:space="preserve">Consent Check Run on Sat Jul 12 2025 03:02:31 GMT-0700 (Pacific Daylight Time). Result: No.</t>
      </text>
    </comment>
    <comment authorId="0" ref="GB164">
      <text>
        <t xml:space="preserve">Consent Check Run on Sat Jul 12 2025 03:01:59 GMT-0700 (Pacific Daylight Time). Result: No.</t>
      </text>
    </comment>
    <comment authorId="0" ref="GB131">
      <text>
        <t xml:space="preserve">PII Processed on Sat Jul 12 2025 03:01:26 GMT-0700 (Pacific Daylight Time). Email status: Success.</t>
      </text>
    </comment>
    <comment authorId="0" ref="GB98">
      <text>
        <t xml:space="preserve">Consent Check Run on Sat Jul 12 2025 03:00:47 GMT-0700 (Pacific Daylight Time). Result: No.</t>
      </text>
    </comment>
    <comment authorId="0" ref="GB65">
      <text>
        <t xml:space="preserve">PII Processed on Sat Jul 12 2025 03:00:14 GMT-0700 (Pacific Daylight Time). Email status: Success.</t>
      </text>
    </comment>
    <comment authorId="0" ref="GB32">
      <text>
        <t xml:space="preserve">PII Processed on Sat Jul 12 2025 02:59:39 GMT-0700 (Pacific Daylight Time). Email status: Success.</t>
      </text>
    </comment>
    <comment authorId="0" ref="FB198">
      <text>
        <t xml:space="preserve">Consent Check Run on Sat Jul 12 2025 02:09:11 GMT-0700 (Pacific Daylight Time). Result: No.</t>
      </text>
    </comment>
    <comment authorId="0" ref="FB165">
      <text>
        <t xml:space="preserve">Consent Check Run on Sat Jul 12 2025 02:08:47 GMT-0700 (Pacific Daylight Time). Result: No.</t>
      </text>
    </comment>
    <comment authorId="0" ref="FB132">
      <text>
        <t xml:space="preserve">Consent Check Run on Sat Jul 12 2025 02:08:21 GMT-0700 (Pacific Daylight Time). Result: No.</t>
      </text>
    </comment>
    <comment authorId="0" ref="FB99">
      <text>
        <t xml:space="preserve">Consent Check Run on Sat Jul 12 2025 02:07:57 GMT-0700 (Pacific Daylight Time). Result: No.</t>
      </text>
    </comment>
    <comment authorId="0" ref="FB66">
      <text>
        <t xml:space="preserve">Consent Check Run on Sat Jul 12 2025 02:07:35 GMT-0700 (Pacific Daylight Time). Result: No.</t>
      </text>
    </comment>
    <comment authorId="0" ref="FB33">
      <text>
        <t xml:space="preserve">Consent Check Run on Sat Jul 12 2025 02:07:12 GMT-0700 (Pacific Daylight Time). Result: No.</t>
      </text>
    </comment>
    <comment authorId="0" ref="GB495">
      <text>
        <t xml:space="preserve">PII Processed on Mon Apr 13 2026 14:40:24 GMT-0700 (Pacific Daylight Time). Email status: Success. ID: 388ee71a30e580e6177397a5137d2548823bd2f55f49b65196da3aee77e5fc9d</t>
      </text>
    </comment>
    <comment authorId="0" ref="GB462">
      <text>
        <t xml:space="preserve">Consent Check Run on Sun Apr 05 2026 09:39:31 GMT-0700 (Pacific Daylight Time). Result: No.</t>
      </text>
    </comment>
    <comment authorId="0" ref="GB429">
      <text>
        <t xml:space="preserve">Consent Check Run on Wed Feb 11 2026 21:36:13 GMT-0800 (Pacific Standard Time). Result: No.</t>
      </text>
    </comment>
    <comment authorId="0" ref="GB396">
      <text>
        <t xml:space="preserve">Consent Check Run on Sat Nov 22 2025 05:09:26 GMT-0800 (Pacific Standard Time). Result: No.</t>
      </text>
    </comment>
    <comment authorId="0" ref="GB363">
      <text>
        <t xml:space="preserve">PII Processed on Sun Oct 26 2025 00:14:17 GMT-0700 (Pacific Daylight Time). Email status: Success. ID: 20822b1f9010f4b060b443d401af2360b1e8c726e8881fbc198c73e7070d78ad</t>
      </text>
    </comment>
    <comment authorId="0" ref="GB330">
      <text>
        <t xml:space="preserve">PII Processed on Mon Sep 22 2025 14:47:39 GMT-0700 (Pacific Daylight Time). Email status: Success. ID: c0014f15721058fa708b35af5dec12f068f21d6581e0ae72e0ad1d4d5a05536b</t>
      </text>
    </comment>
    <comment authorId="0" ref="EY397">
      <text>
        <t xml:space="preserve">Responder updated this value.</t>
      </text>
    </comment>
    <comment authorId="0" ref="GB297">
      <text>
        <t xml:space="preserve">Consent Check Run on Wed Sep 03 2025 12:17:38 GMT-0700 (Pacific Daylight Time). Result: No.</t>
      </text>
    </comment>
    <comment authorId="0" ref="GB231">
      <text>
        <t xml:space="preserve">PII Processed on Sat Jul 12 2025 15:28:12 GMT-0700 (Pacific Daylight Time). Email status: Success</t>
      </text>
    </comment>
    <comment authorId="0" ref="GB198">
      <text>
        <t xml:space="preserve">Consent Check Run on Sat Jul 12 2025 03:02:31 GMT-0700 (Pacific Daylight Time). Result: No.</t>
      </text>
    </comment>
    <comment authorId="0" ref="GB165">
      <text>
        <t xml:space="preserve">PII Processed on Sat Jul 12 2025 03:02:00 GMT-0700 (Pacific Daylight Time). Email status: Success.</t>
      </text>
    </comment>
    <comment authorId="0" ref="GB132">
      <text>
        <t xml:space="preserve">PII Processed on Sat Jul 12 2025 03:01:27 GMT-0700 (Pacific Daylight Time). Email status: Success.</t>
      </text>
    </comment>
    <comment authorId="0" ref="GB99">
      <text>
        <t xml:space="preserve">PII Processed on Sat Jul 12 2025 03:00:49 GMT-0700 (Pacific Daylight Time). Email status: Success.</t>
      </text>
    </comment>
    <comment authorId="0" ref="GB66">
      <text>
        <t xml:space="preserve">PII Processed on Sat Jul 12 2025 03:00:15 GMT-0700 (Pacific Daylight Time). Email status: Success.</t>
      </text>
    </comment>
    <comment authorId="0" ref="GB33">
      <text>
        <t xml:space="preserve">PII Processed on Sat Jul 12 2025 02:59:40 GMT-0700 (Pacific Daylight Time). Email status: Success.</t>
      </text>
    </comment>
    <comment authorId="0" ref="FB199">
      <text>
        <t xml:space="preserve">Consent Check Run on Sat Jul 12 2025 02:09:13 GMT-0700 (Pacific Daylight Time). Result: No.</t>
      </text>
    </comment>
    <comment authorId="0" ref="FB166">
      <text>
        <t xml:space="preserve">Consent Check Run on Sat Jul 12 2025 02:08:48 GMT-0700 (Pacific Daylight Time). Result: No.</t>
      </text>
    </comment>
    <comment authorId="0" ref="FB133">
      <text>
        <t xml:space="preserve">Consent Check Run on Sat Jul 12 2025 02:08:22 GMT-0700 (Pacific Daylight Time). Result: No.</t>
      </text>
    </comment>
    <comment authorId="0" ref="FB100">
      <text>
        <t xml:space="preserve">Consent Check Run on Sat Jul 12 2025 02:07:58 GMT-0700 (Pacific Daylight Time). Result: No.</t>
      </text>
    </comment>
    <comment authorId="0" ref="FB67">
      <text>
        <t xml:space="preserve">Consent Check Run on Sat Jul 12 2025 02:07:36 GMT-0700 (Pacific Daylight Time). Result: No.</t>
      </text>
    </comment>
    <comment authorId="0" ref="FB34">
      <text>
        <t xml:space="preserve">Consent Check Run on Sat Jul 12 2025 02:07:13 GMT-0700 (Pacific Daylight Time). Result: No.</t>
      </text>
    </comment>
    <comment authorId="0" ref="FX397">
      <text>
        <t xml:space="preserve">Responder updated this value.</t>
      </text>
    </comment>
    <comment authorId="0" ref="GB496">
      <text>
        <t xml:space="preserve">PII Processed on Tue Apr 14 2026 08:55:58 GMT-0700 (Pacific Daylight Time). Email status: Success. ID: 9ff97fbebaef26bedea72f40d861bd3175c4f3eed2bd7eddadf0c7940a005c0b</t>
      </text>
    </comment>
    <comment authorId="0" ref="GB463">
      <text>
        <t xml:space="preserve">Consent Check Run on Sun Apr 05 2026 09:45:43 GMT-0700 (Pacific Daylight Time). Result: No.</t>
      </text>
    </comment>
    <comment authorId="0" ref="GA397">
      <text>
        <t xml:space="preserve">Responder updated this value.</t>
      </text>
    </comment>
    <comment authorId="0" ref="GB430">
      <text>
        <t xml:space="preserve">PII Processed on Wed Feb 11 2026 21:57:07 GMT-0800 (Pacific Standard Time). Email status: Success. ID: ce839c64356edd64397db046f950c89a83bc327cf1fec0de5d9fbe5dfc67a395</t>
      </text>
    </comment>
    <comment authorId="0" ref="GB397">
      <text>
        <t xml:space="preserve">Consent Check Run on Sat Nov 22 2025 16:36:07 GMT-0800 (Pacific Standard Time). Result: No.</t>
      </text>
    </comment>
    <comment authorId="0" ref="GB364">
      <text>
        <t xml:space="preserve">Consent Check Run on Sun Oct 26 2025 20:40:33 GMT-0700 (Pacific Daylight Time). Result: No.</t>
      </text>
    </comment>
    <comment authorId="0" ref="GB298">
      <text>
        <t xml:space="preserve">Consent Check Run on Wed Sep 03 2025 13:21:08 GMT-0700 (Pacific Daylight Time). Result: No.</t>
      </text>
    </comment>
    <comment authorId="0" ref="GB265">
      <text>
        <t xml:space="preserve">PII Processed on Tue Aug 12 2025 17:04:26 GMT-0700 (Pacific Daylight Time). Email status: Success. ID: d9492dda3fb8e7694b0a96d1770fb504663b51c63ef98c6d4ab370ffbb61f021</t>
      </text>
    </comment>
    <comment authorId="0" ref="GB232">
      <text>
        <t xml:space="preserve">Consent Check Run on Sat Jul 12 2025 21:16:02 GMT-0700 (Pacific Daylight Time). Result: No.</t>
      </text>
    </comment>
    <comment authorId="0" ref="GB199">
      <text>
        <t xml:space="preserve">Consent Check Run on Sat Jul 12 2025 03:02:32 GMT-0700 (Pacific Daylight Time). Result: No.</t>
      </text>
    </comment>
    <comment authorId="0" ref="GB166">
      <text>
        <t xml:space="preserve">PII Processed on Sat Jul 12 2025 03:02:01 GMT-0700 (Pacific Daylight Time). Email status: Success.</t>
      </text>
    </comment>
    <comment authorId="0" ref="GB133">
      <text>
        <t xml:space="preserve">PII Processed on Sat Jul 12 2025 03:01:28 GMT-0700 (Pacific Daylight Time). Email status: Success.</t>
      </text>
    </comment>
    <comment authorId="0" ref="GB100">
      <text>
        <t xml:space="preserve">PII Processed on Sat Jul 12 2025 03:00:50 GMT-0700 (Pacific Daylight Time). Email status: Success.</t>
      </text>
    </comment>
    <comment authorId="0" ref="GB67">
      <text>
        <t xml:space="preserve">PII Processed (Invalid Email) on Sat Jul 12 2025 03:00:15 GMT-0700 (Pacific Daylight Time).</t>
      </text>
    </comment>
    <comment authorId="0" ref="GB34">
      <text>
        <t xml:space="preserve">PII Processed on Sat Jul 12 2025 02:59:41 GMT-0700 (Pacific Daylight Time). Email status: Success.</t>
      </text>
    </comment>
    <comment authorId="0" ref="FB200">
      <text>
        <t xml:space="preserve">Consent Check Run on Sat Jul 12 2025 02:09:13 GMT-0700 (Pacific Daylight Time). Result: No.</t>
      </text>
    </comment>
    <comment authorId="0" ref="FB167">
      <text>
        <t xml:space="preserve">Consent Check Run on Sat Jul 12 2025 02:08:48 GMT-0700 (Pacific Daylight Time). Result: No.</t>
      </text>
    </comment>
    <comment authorId="0" ref="FB134">
      <text>
        <t xml:space="preserve">Consent Check Run on Sat Jul 12 2025 02:08:23 GMT-0700 (Pacific Daylight Time). Result: No.</t>
      </text>
    </comment>
    <comment authorId="0" ref="FB101">
      <text>
        <t xml:space="preserve">Consent Check Run on Sat Jul 12 2025 02:07:58 GMT-0700 (Pacific Daylight Time). Result: No.</t>
      </text>
    </comment>
    <comment authorId="0" ref="FB68">
      <text>
        <t xml:space="preserve">Consent Check Run on Sat Jul 12 2025 02:07:36 GMT-0700 (Pacific Daylight Time). Result: No.</t>
      </text>
    </comment>
    <comment authorId="0" ref="FB35">
      <text>
        <t xml:space="preserve">Consent Check Run on Sat Jul 12 2025 02:07:13 GMT-0700 (Pacific Daylight Time). Result: No.</t>
      </text>
    </comment>
    <comment authorId="0" ref="FB2">
      <text>
        <t xml:space="preserve">Consent Check Run on Sat Jul 12 2025 02:06:45 GMT-0700 (Pacific Daylight Time). Result: No.</t>
      </text>
    </comment>
    <comment authorId="0" ref="GB497">
      <text>
        <t xml:space="preserve">Consent Check Run on Tue Apr 14 2026 14:38:02 GMT-0700 (Pacific Daylight Time). Result: No.</t>
      </text>
    </comment>
    <comment authorId="0" ref="GB464">
      <text>
        <t xml:space="preserve">Consent Check Run on Sun Apr 05 2026 10:31:16 GMT-0700 (Pacific Daylight Time). Result: No.</t>
      </text>
    </comment>
    <comment authorId="0" ref="GB431">
      <text>
        <t xml:space="preserve">PII Processed on Wed Feb 11 2026 23:59:57 GMT-0800 (Pacific Standard Time). Email status: Success. ID: 701a023426513b2f6961f2ef0fef0d1725b72cc23d7f0d6ca43fb7b8279f589f</t>
      </text>
    </comment>
    <comment authorId="0" ref="GB398">
      <text>
        <t xml:space="preserve">Consent Check Run on Sat Nov 22 2025 22:12:51 GMT-0800 (Pacific Standard Time). Result: No.</t>
      </text>
    </comment>
    <comment authorId="0" ref="GB365">
      <text>
        <t xml:space="preserve">Consent Check Run on Sun Oct 26 2025 21:46:34 GMT-0700 (Pacific Daylight Time). Result: No.</t>
      </text>
    </comment>
    <comment authorId="0" ref="GB332">
      <text>
        <t xml:space="preserve">PII Processed on Tue Sep 23 2025 21:19:01 GMT-0700 (Pacific Daylight Time). Email status: Success. ID: 510f4829a71bd4a34c99733f92e467f5895ef3b1c7a25039188a1bda01092e32</t>
      </text>
    </comment>
    <comment authorId="0" ref="GB299">
      <text>
        <t xml:space="preserve">PII Processed on Wed Sep 03 2025 14:27:07 GMT-0700 (Pacific Daylight Time). Email status: Success. ID: 2cca8f3b460028fdf1b2153a6b8dbe7800323930296e9dafcdd9965a79f0bcce</t>
      </text>
    </comment>
    <comment authorId="0" ref="GB266">
      <text>
        <t xml:space="preserve">PII Processed on Tue Aug 12 2025 18:18:33 GMT-0700 (Pacific Daylight Time). Email status: Success. ID: d15b923090ddf1c7804157df563a0bb4ae75a320bf02c187e6a7524a975115f4</t>
      </text>
    </comment>
    <comment authorId="0" ref="GB233">
      <text>
        <t xml:space="preserve">Consent Check Run on Mon Jul 14 2025 16:16:22 GMT-0700 (Pacific Daylight Time). Result: No.</t>
      </text>
    </comment>
    <comment authorId="0" ref="GB200">
      <text>
        <t xml:space="preserve">PII Processed on Sat Jul 12 2025 03:02:33 GMT-0700 (Pacific Daylight Time). Email status: Failed.</t>
      </text>
    </comment>
    <comment authorId="0" ref="GB167">
      <text>
        <t xml:space="preserve">PII Processed on Sat Jul 12 2025 03:02:02 GMT-0700 (Pacific Daylight Time). Email status: Success.</t>
      </text>
    </comment>
    <comment authorId="0" ref="GB134">
      <text>
        <t xml:space="preserve">PII Processed on Sat Jul 12 2025 03:01:29 GMT-0700 (Pacific Daylight Time). Email status: Success.</t>
      </text>
    </comment>
    <comment authorId="0" ref="GB101">
      <text>
        <t xml:space="preserve">PII Processed on Sat Jul 12 2025 03:00:51 GMT-0700 (Pacific Daylight Time). Email status: Success.</t>
      </text>
    </comment>
    <comment authorId="0" ref="GB68">
      <text>
        <t xml:space="preserve">PII Processed on Sat Jul 12 2025 03:00:18 GMT-0700 (Pacific Daylight Time). Email status: Success.</t>
      </text>
    </comment>
    <comment authorId="0" ref="GB35">
      <text>
        <t xml:space="preserve">Consent Check Run on Sat Jul 12 2025 02:59:42 GMT-0700 (Pacific Daylight Time). Result: No.</t>
      </text>
    </comment>
    <comment authorId="0" ref="FB201">
      <text>
        <t xml:space="preserve">Consent Check Run on Sat Jul 12 2025 02:09:14 GMT-0700 (Pacific Daylight Time). Result: No.</t>
      </text>
    </comment>
    <comment authorId="0" ref="GB2">
      <text>
        <t xml:space="preserve">Consent Check Run on Sat Jul 12 2025 02:59:01 GMT-0700 (Pacific Daylight Time). Result: No.</t>
      </text>
    </comment>
    <comment authorId="0" ref="FB168">
      <text>
        <t xml:space="preserve">Consent Check Run on Sat Jul 12 2025 02:08:49 GMT-0700 (Pacific Daylight Time). Result: No.</t>
      </text>
    </comment>
    <comment authorId="0" ref="FB135">
      <text>
        <t xml:space="preserve">Consent Check Run on Sat Jul 12 2025 02:08:23 GMT-0700 (Pacific Daylight Time). Result: No.</t>
      </text>
    </comment>
    <comment authorId="0" ref="FB102">
      <text>
        <t xml:space="preserve">Consent Check Run on Sat Jul 12 2025 02:07:59 GMT-0700 (Pacific Daylight Time). Result: No.</t>
      </text>
    </comment>
    <comment authorId="0" ref="FB69">
      <text>
        <t xml:space="preserve">Consent Check Run on Sat Jul 12 2025 02:07:36 GMT-0700 (Pacific Daylight Time). Result: No.</t>
      </text>
    </comment>
    <comment authorId="0" ref="FB36">
      <text>
        <t xml:space="preserve">Consent Check Run on Sat Jul 12 2025 02:07:14 GMT-0700 (Pacific Daylight Time). Result: No.</t>
      </text>
    </comment>
    <comment authorId="0" ref="FB3">
      <text>
        <t xml:space="preserve">Consent Check Run on Sat Jul 12 2025 02:06:46 GMT-0700 (Pacific Daylight Time). Result: No.</t>
      </text>
    </comment>
    <comment authorId="0" ref="GB498">
      <text>
        <t xml:space="preserve">Consent Check Run on Fri Apr 17 2026 15:30:53 GMT-0700 (Pacific Daylight Time). Result: No.</t>
      </text>
    </comment>
    <comment authorId="0" ref="GB465">
      <text>
        <t xml:space="preserve">PII Processed on Sun Apr 05 2026 12:30:27 GMT-0700 (Pacific Daylight Time). Email status: Success. ID: 91c52188c6bb0245764bff52e928370a995e44d7de446524d7b7477df9561b56</t>
      </text>
    </comment>
    <comment authorId="0" ref="GB432">
      <text>
        <t xml:space="preserve">PII Processed on Thu Feb 12 2026 07:30:57 GMT-0800 (Pacific Standard Time). Email status: Success. ID: 75821db4c6b7b6afc832a094dbd497b55bb530c28c47eca651c28cfe1e335ae6</t>
      </text>
    </comment>
    <comment authorId="0" ref="GB399">
      <text>
        <t xml:space="preserve">Consent Check Run on Sat Nov 22 2025 22:49:40 GMT-0800 (Pacific Standard Time). Result: No.</t>
      </text>
    </comment>
    <comment authorId="0" ref="GB366">
      <text>
        <t xml:space="preserve">PII Processed on Sun Oct 26 2025 21:53:08 GMT-0700 (Pacific Daylight Time). Email status: Success. ID: 14b517d7c1ffc362d094fc0a8b333470482d2495c4653ad4279fdf1b98e35af5</t>
      </text>
    </comment>
    <comment authorId="0" ref="GB333">
      <text>
        <t xml:space="preserve">PII Processed on Wed Sep 24 2025 08:40:07 GMT-0700 (Pacific Daylight Time). Email status: Success. ID: f000e22704e8df6388c9d7f2e0a207c4975500e316235a6ee6aace919c0d3dc4</t>
      </text>
    </comment>
    <comment authorId="0" ref="GB300">
      <text>
        <t xml:space="preserve">Consent Check Run on Wed Sep 03 2025 14:39:13 GMT-0700 (Pacific Daylight Time). Result: No.</t>
      </text>
    </comment>
    <comment authorId="0" ref="GB267">
      <text>
        <t xml:space="preserve">PII Processed on Sat Aug 16 2025 09:33:54 GMT-0700 (Pacific Daylight Time). Email status: Success. ID: c79ab372c30da613b5a80f3605a10aef44a98988134b876c1bf05ca42f9f9a66</t>
      </text>
    </comment>
    <comment authorId="0" ref="GB201">
      <text>
        <t xml:space="preserve">PII Processed on Sat Jul 12 2025 03:02:34 GMT-0700 (Pacific Daylight Time). Email status: Failed.</t>
      </text>
    </comment>
    <comment authorId="0" ref="GB168">
      <text>
        <t xml:space="preserve">Consent Check Run on Sat Jul 12 2025 03:02:03 GMT-0700 (Pacific Daylight Time). Result: No.</t>
      </text>
    </comment>
    <comment authorId="0" ref="GB135">
      <text>
        <t xml:space="preserve">Consent Check Run on Sat Jul 12 2025 03:01:31 GMT-0700 (Pacific Daylight Time). Result: No.</t>
      </text>
    </comment>
    <comment authorId="0" ref="GB102">
      <text>
        <t xml:space="preserve">PII Processed on Sat Jul 12 2025 03:00:52 GMT-0700 (Pacific Daylight Time). Email status: Success.</t>
      </text>
    </comment>
    <comment authorId="0" ref="GB69">
      <text>
        <t xml:space="preserve">PII Processed on Sat Jul 12 2025 03:00:18 GMT-0700 (Pacific Daylight Time). Email status: Success.</t>
      </text>
    </comment>
    <comment authorId="0" ref="GB36">
      <text>
        <t xml:space="preserve">PII Processed on Sat Jul 12 2025 02:59:43 GMT-0700 (Pacific Daylight Time). Email status: Success.</t>
      </text>
    </comment>
    <comment authorId="0" ref="FB202">
      <text>
        <t xml:space="preserve">Consent Check Run on Sat Jul 12 2025 02:09:15 GMT-0700 (Pacific Daylight Time). Result: No.</t>
      </text>
    </comment>
    <comment authorId="0" ref="GB3">
      <text>
        <t xml:space="preserve">Consent Check Run on Sat Jul 12 2025 02:59:02 GMT-0700 (Pacific Daylight Time). Result: No.</t>
      </text>
    </comment>
    <comment authorId="0" ref="FB169">
      <text>
        <t xml:space="preserve">Consent Check Run on Sat Jul 12 2025 02:08:50 GMT-0700 (Pacific Daylight Time). Result: No.</t>
      </text>
    </comment>
    <comment authorId="0" ref="FB136">
      <text>
        <t xml:space="preserve">Consent Check Run on Sat Jul 12 2025 02:08:24 GMT-0700 (Pacific Daylight Time). Result: No.</t>
      </text>
    </comment>
    <comment authorId="0" ref="FB103">
      <text>
        <t xml:space="preserve">Consent Check Run on Sat Jul 12 2025 02:08:00 GMT-0700 (Pacific Daylight Time). Result: No.</t>
      </text>
    </comment>
    <comment authorId="0" ref="FB70">
      <text>
        <t xml:space="preserve">Consent Check Run on Sat Jul 12 2025 02:07:37 GMT-0700 (Pacific Daylight Time). Result: No.</t>
      </text>
    </comment>
    <comment authorId="0" ref="FB37">
      <text>
        <t xml:space="preserve">Consent Check Run on Sat Jul 12 2025 02:07:15 GMT-0700 (Pacific Daylight Time). Result: No.</t>
      </text>
    </comment>
    <comment authorId="0" ref="FB4">
      <text>
        <t xml:space="preserve">Consent Check Run on Sat Jul 12 2025 02:06:49 GMT-0700 (Pacific Daylight Time). Result: No.</t>
      </text>
    </comment>
    <comment authorId="0" ref="GB499">
      <text>
        <t xml:space="preserve">Consent Check Run on Sun Apr 19 2026 12:39:47 GMT-0700 (Pacific Daylight Time). Result: No.</t>
      </text>
    </comment>
    <comment authorId="0" ref="GB466">
      <text>
        <t xml:space="preserve">Consent Check Run on Sun Apr 05 2026 15:38:53 GMT-0700 (Pacific Daylight Time). Result: No.</t>
      </text>
    </comment>
    <comment authorId="0" ref="GB433">
      <text>
        <t xml:space="preserve">PII Processed on Thu Feb 12 2026 10:28:58 GMT-0800 (Pacific Standard Time). Email status: Success. ID: 6697205f3b70dc77634fb20b2d5d0bdc0fa772b72ab5cab37f1a5cd11c021af7</t>
      </text>
    </comment>
    <comment authorId="0" ref="GB400">
      <text>
        <t xml:space="preserve">Consent Check Run on Mon Dec 01 2025 01:15:07 GMT-0800 (Pacific Standard Time). Result: No.</t>
      </text>
    </comment>
    <comment authorId="0" ref="GB367">
      <text>
        <t xml:space="preserve">Consent Check Run on Mon Oct 27 2025 09:48:37 GMT-0700 (Pacific Daylight Time). Result: No.</t>
      </text>
    </comment>
    <comment authorId="0" ref="GB334">
      <text>
        <t xml:space="preserve">PII Processed on Wed Sep 24 2025 15:02:22 GMT-0700 (Pacific Daylight Time). Email status: Success. ID: d4fb7bf8bd9b192f5e55aad98f6b48f0acc7b2d4c7fc1cf2a1b01ac26ebbc80f</t>
      </text>
    </comment>
    <comment authorId="0" ref="GB301">
      <text>
        <t xml:space="preserve">PII Processed on Wed Sep 03 2025 14:43:16 GMT-0700 (Pacific Daylight Time). Email status: Success. ID: df41ab00e3814b7cd90d10138b8283c21b01cf739bf8c8268fadb6cacf256c16</t>
      </text>
    </comment>
    <comment authorId="0" ref="GB268">
      <text>
        <t xml:space="preserve">PII Processed on Sat Aug 16 2025 16:40:19 GMT-0700 (Pacific Daylight Time). Email status: Success. ID: 5062928db82b2433bb692e7bffb37240f2bc00933e9abe836daa0ccaeb7a81b9</t>
      </text>
    </comment>
    <comment authorId="0" ref="GB235">
      <text>
        <t xml:space="preserve">PII Processed on Tue Jul 15 2025 08:53:10 GMT-0700 (Pacific Daylight Time). Email status: Success</t>
      </text>
    </comment>
    <comment authorId="0" ref="GB202">
      <text>
        <t xml:space="preserve">Consent Check Run on Sat Jul 12 2025 03:02:35 GMT-0700 (Pacific Daylight Time). Result: No.</t>
      </text>
    </comment>
    <comment authorId="0" ref="GB169">
      <text>
        <t xml:space="preserve">PII Processed on Sat Jul 12 2025 03:02:05 GMT-0700 (Pacific Daylight Time). Email status: Success.</t>
      </text>
    </comment>
    <comment authorId="0" ref="GB136">
      <text>
        <t xml:space="preserve">PII Processed on Sat Jul 12 2025 03:01:32 GMT-0700 (Pacific Daylight Time). Email status: Success.</t>
      </text>
    </comment>
    <comment authorId="0" ref="GB103">
      <text>
        <t xml:space="preserve">PII Processed on Sat Jul 12 2025 03:00:54 GMT-0700 (Pacific Daylight Time). Email status: Success.</t>
      </text>
    </comment>
    <comment authorId="0" ref="GB70">
      <text>
        <t xml:space="preserve">Consent Check Run on Sat Jul 12 2025 03:00:19 GMT-0700 (Pacific Daylight Time). Result: No.</t>
      </text>
    </comment>
    <comment authorId="0" ref="GB37">
      <text>
        <t xml:space="preserve">PII Processed on Sat Jul 12 2025 02:59:44 GMT-0700 (Pacific Daylight Time). Email status: Success.</t>
      </text>
    </comment>
    <comment authorId="0" ref="FB203">
      <text>
        <t xml:space="preserve">Consent Check Run on Sat Jul 12 2025 02:09:16 GMT-0700 (Pacific Daylight Time). Result: No.</t>
      </text>
    </comment>
    <comment authorId="0" ref="GB4">
      <text>
        <t xml:space="preserve">PII Processed on Sat Jul 12 2025 02:59:06 GMT-0700 (Pacific Daylight Time). Email status: Success.</t>
      </text>
    </comment>
    <comment authorId="0" ref="FB170">
      <text>
        <t xml:space="preserve">Consent Check Run on Sat Jul 12 2025 02:08:50 GMT-0700 (Pacific Daylight Time). Result: No.</t>
      </text>
    </comment>
    <comment authorId="0" ref="FB137">
      <text>
        <t xml:space="preserve">Consent Check Run on Sat Jul 12 2025 02:08:26 GMT-0700 (Pacific Daylight Time). Result: No.</t>
      </text>
    </comment>
    <comment authorId="0" ref="FB104">
      <text>
        <t xml:space="preserve">Consent Check Run on Sat Jul 12 2025 02:08:01 GMT-0700 (Pacific Daylight Time). Result: No.</t>
      </text>
    </comment>
    <comment authorId="0" ref="FB71">
      <text>
        <t xml:space="preserve">Consent Check Run on Sat Jul 12 2025 02:07:38 GMT-0700 (Pacific Daylight Time). Result: No.</t>
      </text>
    </comment>
    <comment authorId="0" ref="FB38">
      <text>
        <t xml:space="preserve">Consent Check Run on Sat Jul 12 2025 02:07:16 GMT-0700 (Pacific Daylight Time). Result: No.</t>
      </text>
    </comment>
    <comment authorId="0" ref="FB5">
      <text>
        <t xml:space="preserve">Consent Check Run on Sat Jul 12 2025 02:06:50 GMT-0700 (Pacific Daylight Time). Result: No.</t>
      </text>
    </comment>
    <comment authorId="0" ref="GB500">
      <text>
        <t xml:space="preserve">PII Processed on Mon Apr 20 2026 05:26:15 GMT-0700 (Pacific Daylight Time). Email status: Success. ID: 152fca2ebc34175324fe68974cb16a21696640a773c1d5b3f979c0be9b22a578</t>
      </text>
    </comment>
    <comment authorId="0" ref="GB467">
      <text>
        <t xml:space="preserve">Consent Check Run on Sun Apr 05 2026 16:23:13 GMT-0700 (Pacific Daylight Time). Result: No.</t>
      </text>
    </comment>
    <comment authorId="0" ref="GB434">
      <text>
        <t xml:space="preserve">PII Processed on Thu Feb 12 2026 12:31:45 GMT-0800 (Pacific Standard Time). Email status: Success. ID: 46bb5ab0ac7e57d50560b2e723fb7ec1971c59d35dd1367856fe292bb16cdfa8</t>
      </text>
    </comment>
    <comment authorId="0" ref="GB401">
      <text>
        <t xml:space="preserve">PII Processed on Mon Dec 01 2025 16:13:26 GMT-0800 (Pacific Standard Time). Email status: Success. ID: 88b474c5925c16484bd17e1233912ad407456412d9bb095b2d5ac4378934d752</t>
      </text>
    </comment>
    <comment authorId="0" ref="GB368">
      <text>
        <t xml:space="preserve">PII Processed on Mon Oct 27 2025 16:01:00 GMT-0700 (Pacific Daylight Time). Email status: Success. ID: fa50efc25bf7274f02aa4064dc0938ecc1b70d4613891ff664a636ae1694c7a6</t>
      </text>
    </comment>
    <comment authorId="0" ref="GB335">
      <text>
        <t xml:space="preserve">PII Processed on Fri Sep 26 2025 02:18:50 GMT-0700 (Pacific Daylight Time). Email status: Success. ID: 664db1dbe6f2d66a3c237e157142ebf66a6efa7c32b926f0a62adc75b790bbb1</t>
      </text>
    </comment>
    <comment authorId="0" ref="GB302">
      <text>
        <t xml:space="preserve">Consent Check Run on Wed Sep 03 2025 15:24:22 GMT-0700 (Pacific Daylight Time). Result: No.</t>
      </text>
    </comment>
    <comment authorId="0" ref="GB269">
      <text>
        <t xml:space="preserve">PII Processed on Mon Aug 18 2025 06:15:51 GMT-0700 (Pacific Daylight Time). Email status: Success. ID: a7393c76f631dde7fa328fdafd3e17ea330be59e5e2e0761d96744c2455d1d83</t>
      </text>
    </comment>
    <comment authorId="0" ref="GB236">
      <text>
        <t xml:space="preserve">PII Processed on Tue Jul 15 2025 19:34:00 GMT-0700 (Pacific Daylight Time). Email status: Success</t>
      </text>
    </comment>
    <comment authorId="0" ref="GB203">
      <text>
        <t xml:space="preserve">PII Processed on Sat Jul 12 2025 03:02:36 GMT-0700 (Pacific Daylight Time). Email status: Failed.</t>
      </text>
    </comment>
    <comment authorId="0" ref="GB170">
      <text>
        <t xml:space="preserve">PII Processed on Sat Jul 12 2025 03:02:06 GMT-0700 (Pacific Daylight Time). Email status: Success.</t>
      </text>
    </comment>
    <comment authorId="0" ref="GB137">
      <text>
        <t xml:space="preserve">PII Processed on Sat Jul 12 2025 03:01:33 GMT-0700 (Pacific Daylight Time). Email status: Success.</t>
      </text>
    </comment>
    <comment authorId="0" ref="GB104">
      <text>
        <t xml:space="preserve">Consent Check Run on Sat Jul 12 2025 03:00:54 GMT-0700 (Pacific Daylight Time). Result: No.</t>
      </text>
    </comment>
    <comment authorId="0" ref="GB71">
      <text>
        <t xml:space="preserve">PII Processed on Sat Jul 12 2025 03:00:20 GMT-0700 (Pacific Daylight Time). Email status: Success.</t>
      </text>
    </comment>
    <comment authorId="0" ref="GB38">
      <text>
        <t xml:space="preserve">Consent Check Run on Sat Jul 12 2025 02:59:45 GMT-0700 (Pacific Daylight Time). Result: No.</t>
      </text>
    </comment>
    <comment authorId="0" ref="FB204">
      <text>
        <t xml:space="preserve">Consent Check Run on Sat Jul 12 2025 02:09:16 GMT-0700 (Pacific Daylight Time). Result: No.</t>
      </text>
    </comment>
    <comment authorId="0" ref="GB5">
      <text>
        <t xml:space="preserve">PII Processed (Invalid Email) on Sat Jul 12 2025 02:59:06 GMT-0700 (Pacific Daylight Time).</t>
      </text>
    </comment>
    <comment authorId="0" ref="FB171">
      <text>
        <t xml:space="preserve">Consent Check Run on Sat Jul 12 2025 02:08:51 GMT-0700 (Pacific Daylight Time). Result: No.</t>
      </text>
    </comment>
    <comment authorId="0" ref="FB138">
      <text>
        <t xml:space="preserve">Consent Check Run on Sat Jul 12 2025 02:08:26 GMT-0700 (Pacific Daylight Time). Result: No.</t>
      </text>
    </comment>
    <comment authorId="0" ref="FB105">
      <text>
        <t xml:space="preserve">Consent Check Run on Sat Jul 12 2025 02:08:01 GMT-0700 (Pacific Daylight Time). Result: No.</t>
      </text>
    </comment>
    <comment authorId="0" ref="FB72">
      <text>
        <t xml:space="preserve">Consent Check Run on Sat Jul 12 2025 02:07:39 GMT-0700 (Pacific Daylight Time). Result: No.</t>
      </text>
    </comment>
    <comment authorId="0" ref="FB39">
      <text>
        <t xml:space="preserve">Consent Check Run on Sat Jul 12 2025 02:07:17 GMT-0700 (Pacific Daylight Time). Result: No.</t>
      </text>
    </comment>
    <comment authorId="0" ref="FB6">
      <text>
        <t xml:space="preserve">Consent Check Run on Sat Jul 12 2025 02:06:51 GMT-0700 (Pacific Daylight Time). Result: No.</t>
      </text>
    </comment>
    <comment authorId="0" ref="GB435">
      <text>
        <t xml:space="preserve">PII Processed on Thu Feb 12 2026 14:41:29 GMT-0800 (Pacific Standard Time). Email status: Success. ID: dc2a58040e76b0a8dc827cc29e9568b22b7d900cda242138932e2d40ff9a9468</t>
      </text>
    </comment>
    <comment authorId="0" ref="GB402">
      <text>
        <t xml:space="preserve">PII Processed on Fri Dec 05 2025 09:07:06 GMT-0800 (Pacific Standard Time). Email status: Success. ID: 0b5097281052233afcfacd1995bfa36f8b8ebc1dac0624a5183dc5d6b40ba3e7</t>
      </text>
    </comment>
    <comment authorId="0" ref="GB369">
      <text>
        <t xml:space="preserve">PII Processed on Tue Oct 28 2025 20:31:06 GMT-0700 (Pacific Daylight Time). Email status: Success. ID: 31568f806a9f6f04d8a39cdb3d01f2e100300df83547a0c91c2bc47041e22a7f</t>
      </text>
    </comment>
    <comment authorId="0" ref="GB336">
      <text>
        <t xml:space="preserve">Consent Check Run on Fri Sep 26 2025 02:57:47 GMT-0700 (Pacific Daylight Time). Result: No.</t>
      </text>
    </comment>
    <comment authorId="0" ref="GB303">
      <text>
        <t xml:space="preserve">Consent Check Run on Wed Sep 03 2025 15:37:29 GMT-0700 (Pacific Daylight Time). Result: No.</t>
      </text>
    </comment>
    <comment authorId="0" ref="GB270">
      <text>
        <t xml:space="preserve">Consent Check Run on Thu Aug 21 2025 13:34:41 GMT-0700 (Pacific Daylight Time). Result: No.</t>
      </text>
    </comment>
    <comment authorId="0" ref="GB237">
      <text>
        <t xml:space="preserve">PII Processed on Tue Jul 15 2025 22:01:19 GMT-0700 (Pacific Daylight Time). Email status: Success</t>
      </text>
    </comment>
    <comment authorId="0" ref="GB204">
      <text>
        <t xml:space="preserve">PII Processed (Invalid Email) on Sat Jul 12 2025 03:02:36 GMT-0700 (Pacific Daylight Time).</t>
      </text>
    </comment>
    <comment authorId="0" ref="GB171">
      <text>
        <t xml:space="preserve">PII Processed on Sat Jul 12 2025 03:02:08 GMT-0700 (Pacific Daylight Time). Email status: Success.</t>
      </text>
    </comment>
    <comment authorId="0" ref="GB138">
      <text>
        <t xml:space="preserve">PII Processed on Sat Jul 12 2025 03:01:34 GMT-0700 (Pacific Daylight Time). Email status: Success.</t>
      </text>
    </comment>
    <comment authorId="0" ref="GB105">
      <text>
        <t xml:space="preserve">PII Processed on Sat Jul 12 2025 03:00:55 GMT-0700 (Pacific Daylight Time). Email status: Success.</t>
      </text>
    </comment>
    <comment authorId="0" ref="GB72">
      <text>
        <t xml:space="preserve">PII Processed on Sat Jul 12 2025 03:00:21 GMT-0700 (Pacific Daylight Time). Email status: Success.</t>
      </text>
    </comment>
    <comment authorId="0" ref="GB39">
      <text>
        <t xml:space="preserve">Consent Check Run on Sat Jul 12 2025 02:59:45 GMT-0700 (Pacific Daylight Time). Result: No.</t>
      </text>
    </comment>
    <comment authorId="0" ref="FB205">
      <text>
        <t xml:space="preserve">Consent Check Run on Sat Jul 12 2025 02:09:17 GMT-0700 (Pacific Daylight Time). Result: No.</t>
      </text>
    </comment>
    <comment authorId="0" ref="GB6">
      <text>
        <t xml:space="preserve">PII Processed on Sat Jul 12 2025 02:59:08 GMT-0700 (Pacific Daylight Time). Email status: Success.</t>
      </text>
    </comment>
    <comment authorId="0" ref="FB172">
      <text>
        <t xml:space="preserve">Consent Check Run on Sat Jul 12 2025 02:08:53 GMT-0700 (Pacific Daylight Time). Result: No.</t>
      </text>
    </comment>
    <comment authorId="0" ref="FB139">
      <text>
        <t xml:space="preserve">Consent Check Run on Sat Jul 12 2025 02:08:27 GMT-0700 (Pacific Daylight Time). Result: No.</t>
      </text>
    </comment>
    <comment authorId="0" ref="FB106">
      <text>
        <t xml:space="preserve">Consent Check Run on Sat Jul 12 2025 02:08:02 GMT-0700 (Pacific Daylight Time). Result: No.</t>
      </text>
    </comment>
    <comment authorId="0" ref="FB73">
      <text>
        <t xml:space="preserve">Consent Check Run on Sat Jul 12 2025 02:07:40 GMT-0700 (Pacific Daylight Time). Result: No.</t>
      </text>
    </comment>
    <comment authorId="0" ref="FB40">
      <text>
        <t xml:space="preserve">Consent Check Run on Sat Jul 12 2025 02:07:17 GMT-0700 (Pacific Daylight Time). Result: No.</t>
      </text>
    </comment>
    <comment authorId="0" ref="FB7">
      <text>
        <t xml:space="preserve">Consent Check Run on Sat Jul 12 2025 02:06:51 GMT-0700 (Pacific Daylight Time). Result: No.</t>
      </text>
    </comment>
    <comment authorId="0" ref="GB469">
      <text>
        <t xml:space="preserve">Consent Check Run on Mon Apr 06 2026 01:33:28 GMT-0700 (Pacific Daylight Time). Result: No.</t>
      </text>
    </comment>
    <comment authorId="0" ref="GB436">
      <text>
        <t xml:space="preserve">Consent Check Run on Fri Feb 13 2026 08:37:44 GMT-0800 (Pacific Standard Time). Result: No.</t>
      </text>
    </comment>
    <comment authorId="0" ref="GB403">
      <text>
        <t xml:space="preserve">Consent Check Run on Fri Dec 05 2025 13:31:58 GMT-0800 (Pacific Standard Time). Result: No.</t>
      </text>
    </comment>
    <comment authorId="0" ref="GB370">
      <text>
        <t xml:space="preserve">PII Processed on Wed Oct 29 2025 02:27:44 GMT-0700 (Pacific Daylight Time). Email status: Success. ID: 2b6d216f03af60bfd9b2c344b793114ae89aadfd5a5c7f962fb1cae97dc2c6ac</t>
      </text>
    </comment>
    <comment authorId="0" ref="GB337">
      <text>
        <t xml:space="preserve">Consent Check Run on Sat Sep 27 2025 14:27:49 GMT-0700 (Pacific Daylight Time). Result: No.</t>
      </text>
    </comment>
    <comment authorId="0" ref="GB304">
      <text>
        <t xml:space="preserve">PII Processed on Wed Sep 03 2025 16:14:14 GMT-0700 (Pacific Daylight Time). Email status: Success. ID: f364602b0414aac37ffa14e6a849ce603d9a6a33c4970e9ac66f246b26ff2d11</t>
      </text>
    </comment>
    <comment authorId="0" ref="GB271">
      <text>
        <t xml:space="preserve">PII Processed on Thu Aug 21 2025 15:20:47 GMT-0700 (Pacific Daylight Time). Email status: Success. ID: 790aab602b6b46416b31c84d56ee35a48d1b3d05f35bf3875a5c0740657803fb</t>
      </text>
    </comment>
    <comment authorId="0" ref="GB238">
      <text>
        <t xml:space="preserve">PII Processed on Wed Jul 16 2025 10:13:23 GMT-0700 (Pacific Daylight Time). Email status: Success</t>
      </text>
    </comment>
    <comment authorId="0" ref="GB205">
      <text>
        <t xml:space="preserve">Consent Check Run on Sat Jul 12 2025 03:02:38 GMT-0700 (Pacific Daylight Time). Result: No.</t>
      </text>
    </comment>
    <comment authorId="0" ref="GB172">
      <text>
        <t xml:space="preserve">PII Processed on Sat Jul 12 2025 03:02:09 GMT-0700 (Pacific Daylight Time). Email status: Success.</t>
      </text>
    </comment>
    <comment authorId="0" ref="GB139">
      <text>
        <t xml:space="preserve">PII Processed on Sat Jul 12 2025 03:01:35 GMT-0700 (Pacific Daylight Time). Email status: Success.</t>
      </text>
    </comment>
    <comment authorId="0" ref="GB106">
      <text>
        <t xml:space="preserve">PII Processed (Invalid Email) on Sat Jul 12 2025 03:00:56 GMT-0700 (Pacific Daylight Time).</t>
      </text>
    </comment>
    <comment authorId="0" ref="GB73">
      <text>
        <t xml:space="preserve">Consent Check Run on Sat Jul 12 2025 03:00:22 GMT-0700 (Pacific Daylight Time). Result: No.</t>
      </text>
    </comment>
    <comment authorId="0" ref="GB40">
      <text>
        <t xml:space="preserve">PII Processed on Sat Jul 12 2025 02:59:46 GMT-0700 (Pacific Daylight Time). Email status: Success.</t>
      </text>
    </comment>
    <comment authorId="0" ref="FB206">
      <text>
        <t xml:space="preserve">Consent Check Run on Sat Jul 12 2025 02:09:17 GMT-0700 (Pacific Daylight Time). Result: No.</t>
      </text>
    </comment>
    <comment authorId="0" ref="GB7">
      <text>
        <t xml:space="preserve">PII Processed on Sat Jul 12 2025 02:59:09 GMT-0700 (Pacific Daylight Time). Email status: Success.</t>
      </text>
    </comment>
    <comment authorId="0" ref="FB173">
      <text>
        <t xml:space="preserve">Consent Check Run on Sat Jul 12 2025 02:08:53 GMT-0700 (Pacific Daylight Time). Result: No.</t>
      </text>
    </comment>
    <comment authorId="0" ref="FB140">
      <text>
        <t xml:space="preserve">Consent Check Run on Sat Jul 12 2025 02:08:28 GMT-0700 (Pacific Daylight Time). Result: No.</t>
      </text>
    </comment>
    <comment authorId="0" ref="FB107">
      <text>
        <t xml:space="preserve">Consent Check Run on Sat Jul 12 2025 02:08:03 GMT-0700 (Pacific Daylight Time). Result: No.</t>
      </text>
    </comment>
    <comment authorId="0" ref="FB74">
      <text>
        <t xml:space="preserve">Consent Check Run on Sat Jul 12 2025 02:07:40 GMT-0700 (Pacific Daylight Time). Result: No.</t>
      </text>
    </comment>
    <comment authorId="0" ref="FB41">
      <text>
        <t xml:space="preserve">Consent Check Run on Sat Jul 12 2025 02:07:18 GMT-0700 (Pacific Daylight Time). Result: No.</t>
      </text>
    </comment>
    <comment authorId="0" ref="FB8">
      <text>
        <t xml:space="preserve">Consent Check Run on Sat Jul 12 2025 02:06:52 GMT-0700 (Pacific Daylight Time). Result: No.</t>
      </text>
    </comment>
    <comment authorId="0" ref="GB503">
      <text>
        <t xml:space="preserve">PII Processed on Wed Apr 22 2026 05:22:39 GMT-0700 (Pacific Daylight Time). Email status: Success. ID: 5f7bd4e4b258e72b6d9f0d25b253ba5defda9f97b0d550959cf5e7f3568f38cb</t>
      </text>
    </comment>
    <comment authorId="0" ref="GB470">
      <text>
        <t xml:space="preserve">Consent Check Run on Mon Apr 06 2026 04:47:17 GMT-0700 (Pacific Daylight Time). Result: No.</t>
      </text>
    </comment>
    <comment authorId="0" ref="GB437">
      <text>
        <t xml:space="preserve">PII Processed on Fri Feb 13 2026 22:28:06 GMT-0800 (Pacific Standard Time). Email status: Success. ID: 98a04b0485956c0659e9f48a768e656f1268e30dcae88af78e8f1d44f1b751da</t>
      </text>
    </comment>
    <comment authorId="0" ref="GB371">
      <text>
        <t xml:space="preserve">Consent Check Run on Wed Oct 29 2025 04:12:51 GMT-0700 (Pacific Daylight Time). Result: No.</t>
      </text>
    </comment>
    <comment authorId="0" ref="GB305">
      <text>
        <t xml:space="preserve">PII Processed on Wed Sep 03 2025 16:20:40 GMT-0700 (Pacific Daylight Time). Email status: Success. ID: 0cfe50c4d0a925270dba47bf6d0ad6c197f020ebe4b04285053fac9af62c3f35</t>
      </text>
    </comment>
    <comment authorId="0" ref="GB272">
      <text>
        <t xml:space="preserve">PII Processed on Thu Aug 21 2025 15:42:27 GMT-0700 (Pacific Daylight Time). Email status: Success. ID: 3ae9f1fae090346365c423455a96421ef55ae6f772ac279656fe3a55d70a53a5</t>
      </text>
    </comment>
    <comment authorId="0" ref="GB239">
      <text>
        <t xml:space="preserve">PII Processed on Wed Jul 16 2025 10:22:09 GMT-0700 (Pacific Daylight Time). Email status: Success</t>
      </text>
    </comment>
    <comment authorId="0" ref="GB206">
      <text>
        <t xml:space="preserve">PII Processed (Invalid Email) on Sat Jul 12 2025 03:02:38 GMT-0700 (Pacific Daylight Time).</t>
      </text>
    </comment>
    <comment authorId="0" ref="GB173">
      <text>
        <t xml:space="preserve">Consent Check Run on Sat Jul 12 2025 03:02:10 GMT-0700 (Pacific Daylight Time). Result: No.</t>
      </text>
    </comment>
    <comment authorId="0" ref="GB140">
      <text>
        <t xml:space="preserve">Consent Check Run on Sat Jul 12 2025 03:01:36 GMT-0700 (Pacific Daylight Time). Result: No.</t>
      </text>
    </comment>
    <comment authorId="0" ref="GB107">
      <text>
        <t xml:space="preserve">Consent Check Run on Sat Jul 12 2025 03:00:57 GMT-0700 (Pacific Daylight Time). Result: No.</t>
      </text>
    </comment>
    <comment authorId="0" ref="GB74">
      <text>
        <t xml:space="preserve">Consent Check Run on Sat Jul 12 2025 03:00:23 GMT-0700 (Pacific Daylight Time). Result: No.</t>
      </text>
    </comment>
    <comment authorId="0" ref="GB41">
      <text>
        <t xml:space="preserve">Consent Check Run on Sat Jul 12 2025 02:59:47 GMT-0700 (Pacific Daylight Time). Result: No.</t>
      </text>
    </comment>
    <comment authorId="0" ref="FB207">
      <text>
        <t xml:space="preserve">Consent Check Run on Sat Jul 12 2025 02:09:19 GMT-0700 (Pacific Daylight Time). Result: No.</t>
      </text>
    </comment>
    <comment authorId="0" ref="GB8">
      <text>
        <t xml:space="preserve">PII Processed (Invalid Email) on Sat Jul 12 2025 02:59:10 GMT-0700 (Pacific Daylight Time).</t>
      </text>
    </comment>
    <comment authorId="0" ref="FB174">
      <text>
        <t xml:space="preserve">Consent Check Run on Sat Jul 12 2025 02:08:54 GMT-0700 (Pacific Daylight Time). Result: No.</t>
      </text>
    </comment>
    <comment authorId="0" ref="FB141">
      <text>
        <t xml:space="preserve">Consent Check Run on Sat Jul 12 2025 02:08:28 GMT-0700 (Pacific Daylight Time). Result: No.</t>
      </text>
    </comment>
    <comment authorId="0" ref="FB108">
      <text>
        <t xml:space="preserve">Consent Check Run on Sat Jul 12 2025 02:08:04 GMT-0700 (Pacific Daylight Time). Result: No.</t>
      </text>
    </comment>
    <comment authorId="0" ref="FB75">
      <text>
        <t xml:space="preserve">Consent Check Run on Sat Jul 12 2025 02:07:41 GMT-0700 (Pacific Daylight Time). Result: No.</t>
      </text>
    </comment>
    <comment authorId="0" ref="FB42">
      <text>
        <t xml:space="preserve">Consent Check Run on Sat Jul 12 2025 02:07:20 GMT-0700 (Pacific Daylight Time). Result: No.</t>
      </text>
    </comment>
    <comment authorId="0" ref="FB9">
      <text>
        <t xml:space="preserve">Consent Check Run on Sat Jul 12 2025 02:06:52 GMT-0700 (Pacific Daylight Time). Result: No.</t>
      </text>
    </comment>
    <comment authorId="0" ref="GB504">
      <text>
        <t xml:space="preserve">PII Processed on Sun Apr 26 2026 00:58:05 GMT-0700 (Pacific Daylight Time). Email status: Success. ID: 6e11857c5e13400ab116dbbcbd19038b0b50ba6deaeb9b1006527698ea03f01b</t>
      </text>
    </comment>
    <comment authorId="0" ref="GB471">
      <text>
        <t xml:space="preserve">PII Processed on Mon Apr 06 2026 12:47:21 GMT-0700 (Pacific Daylight Time). Email status: Success. ID: 15b747d7545d481269c40c632228e20f18bd0ad9fc581fa5ab1d7001c92de868</t>
      </text>
    </comment>
    <comment authorId="0" ref="GB438">
      <text>
        <t xml:space="preserve">PII Processed on Sat Feb 14 2026 04:13:33 GMT-0800 (Pacific Standard Time). Email status: Success. ID: f96ff4104f5f0937d35b095d0f37e499f2f524513f0ad7974081862508af85d8</t>
      </text>
    </comment>
    <comment authorId="0" ref="GB405">
      <text>
        <t xml:space="preserve">Consent Check Run on Wed Dec 10 2025 05:44:34 GMT-0800 (Pacific Standard Time). Result: No.</t>
      </text>
    </comment>
    <comment authorId="0" ref="GB372">
      <text>
        <t xml:space="preserve">PII Processed on Wed Oct 29 2025 19:55:05 GMT-0700 (Pacific Daylight Time). Email status: Success. ID: 36aeb47e2b2de4c052ebf0ecd2b0919859130e04ad82fe62faf520da7bf94c87</t>
      </text>
    </comment>
    <comment authorId="0" ref="GB339">
      <text>
        <t xml:space="preserve">Consent Check Run on Mon Sep 29 2025 12:50:29 GMT-0700 (Pacific Daylight Time). Result: No.</t>
      </text>
    </comment>
    <comment authorId="0" ref="GB306">
      <text>
        <t xml:space="preserve">Consent Check Run on Wed Sep 03 2025 16:51:44 GMT-0700 (Pacific Daylight Time). Result: No.</t>
      </text>
    </comment>
    <comment authorId="0" ref="GB273">
      <text>
        <t xml:space="preserve">Consent Check Run on Fri Aug 22 2025 07:34:20 GMT-0700 (Pacific Daylight Time). Result: No.</t>
      </text>
    </comment>
    <comment authorId="0" ref="GB240">
      <text>
        <t xml:space="preserve">PII Processed on Thu Jul 17 2025 01:34:09 GMT-0700 (Pacific Daylight Time). Email status: Success</t>
      </text>
    </comment>
    <comment authorId="0" ref="GB207">
      <text>
        <t xml:space="preserve">PII Processed on Sat Jul 12 2025 03:02:39 GMT-0700 (Pacific Daylight Time). Email status: Failed.</t>
      </text>
    </comment>
    <comment authorId="0" ref="GB174">
      <text>
        <t xml:space="preserve">PII Processed on Sat Jul 12 2025 03:02:11 GMT-0700 (Pacific Daylight Time). Email status: Failed.</t>
      </text>
    </comment>
    <comment authorId="0" ref="GB141">
      <text>
        <t xml:space="preserve">PII Processed (Invalid Email) on Sat Jul 12 2025 03:01:36 GMT-0700 (Pacific Daylight Time).</t>
      </text>
    </comment>
    <comment authorId="0" ref="GB108">
      <text>
        <t xml:space="preserve">Consent Check Run on Sat Jul 12 2025 03:00:57 GMT-0700 (Pacific Daylight Time). Result: No.</t>
      </text>
    </comment>
    <comment authorId="0" ref="GB75">
      <text>
        <t xml:space="preserve">PII Processed on Sat Jul 12 2025 03:00:25 GMT-0700 (Pacific Daylight Time). Email status: Success.</t>
      </text>
    </comment>
    <comment authorId="0" ref="GB42">
      <text>
        <t xml:space="preserve">PII Processed on Sat Jul 12 2025 02:59:48 GMT-0700 (Pacific Daylight Time). Email status: Success.</t>
      </text>
    </comment>
    <comment authorId="0" ref="FB208">
      <text>
        <t xml:space="preserve">Consent Check Run on Sat Jul 12 2025 02:09:19 GMT-0700 (Pacific Daylight Time). Result: No.</t>
      </text>
    </comment>
    <comment authorId="0" ref="GB9">
      <text>
        <t xml:space="preserve">PII Processed on Sat Jul 12 2025 02:59:11 GMT-0700 (Pacific Daylight Time). Email status: Success.</t>
      </text>
    </comment>
    <comment authorId="0" ref="FB175">
      <text>
        <t xml:space="preserve">Consent Check Run on Sat Jul 12 2025 02:08:55 GMT-0700 (Pacific Daylight Time). Result: No.</t>
      </text>
    </comment>
    <comment authorId="0" ref="FB142">
      <text>
        <t xml:space="preserve">Consent Check Run on Sat Jul 12 2025 02:08:30 GMT-0700 (Pacific Daylight Time). Result: No.</t>
      </text>
    </comment>
    <comment authorId="0" ref="FB109">
      <text>
        <t xml:space="preserve">Consent Check Run on Sat Jul 12 2025 02:08:04 GMT-0700 (Pacific Daylight Time). Result: No.</t>
      </text>
    </comment>
    <comment authorId="0" ref="FB76">
      <text>
        <t xml:space="preserve">Consent Check Run on Sat Jul 12 2025 02:07:41 GMT-0700 (Pacific Daylight Time). Result: No.</t>
      </text>
    </comment>
    <comment authorId="0" ref="FB43">
      <text>
        <t xml:space="preserve">Consent Check Run on Sat Jul 12 2025 02:07:21 GMT-0700 (Pacific Daylight Time). Result: No.</t>
      </text>
    </comment>
    <comment authorId="0" ref="FB10">
      <text>
        <t xml:space="preserve">Consent Check Run on Sat Jul 12 2025 02:06:54 GMT-0700 (Pacific Daylight Time). Result: No.</t>
      </text>
    </comment>
    <comment authorId="0" ref="GB505">
      <text>
        <t xml:space="preserve">Consent Check Run on Mon Apr 27 2026 05:26:11 GMT-0700 (Pacific Daylight Time). Result: No.</t>
      </text>
    </comment>
    <comment authorId="0" ref="GB472">
      <text>
        <t xml:space="preserve">PII Processed on Mon Apr 06 2026 15:13:30 GMT-0700 (Pacific Daylight Time). Email status: Success. ID: 1f474d7e8da24756276f18e4a8cc21346634294ff2a32b9f1d6b721d0a3750ba</t>
      </text>
    </comment>
    <comment authorId="0" ref="GB439">
      <text>
        <t xml:space="preserve">PII Processed on Mon Feb 16 2026 16:41:48 GMT-0800 (Pacific Standard Time). Email status: Success. ID: b1f3c9e12240dbc00ed1e5490540f885d60b35894a28d008f8ab9b03941a607f</t>
      </text>
    </comment>
    <comment authorId="0" ref="GB373">
      <text>
        <t xml:space="preserve">Consent Check Run on Thu Oct 30 2025 14:55:10 GMT-0700 (Pacific Daylight Time). Result: No.</t>
      </text>
    </comment>
    <comment authorId="0" ref="GB340">
      <text>
        <t xml:space="preserve">Consent Check Run on Mon Sep 29 2025 15:50:22 GMT-0700 (Pacific Daylight Time). Result: No.</t>
      </text>
    </comment>
    <comment authorId="0" ref="GB307">
      <text>
        <t xml:space="preserve">PII Processed on Thu Sep 04 2025 14:37:28 GMT-0700 (Pacific Daylight Time). Email status: Success. ID: de86fd5bb67c254e7f86a32c258ade43600a99e41296424ae5d7f4177b105c2a</t>
      </text>
    </comment>
    <comment authorId="0" ref="GB241">
      <text>
        <t xml:space="preserve">Consent Check Run on Sat Jul 19 2025 04:23:45 GMT-0700 (Pacific Daylight Time). Result: No.</t>
      </text>
    </comment>
    <comment authorId="0" ref="GB208">
      <text>
        <t xml:space="preserve">PII Processed on Sat Jul 12 2025 03:02:40 GMT-0700 (Pacific Daylight Time). Email status: Failed.</t>
      </text>
    </comment>
    <comment authorId="0" ref="GB175">
      <text>
        <t xml:space="preserve">Consent Check Run on Sat Jul 12 2025 03:02:11 GMT-0700 (Pacific Daylight Time). Result: No.</t>
      </text>
    </comment>
    <comment authorId="0" ref="GB142">
      <text>
        <t xml:space="preserve">Consent Check Run on Sat Jul 12 2025 03:01:37 GMT-0700 (Pacific Daylight Time). Result: No.</t>
      </text>
    </comment>
    <comment authorId="0" ref="GB109">
      <text>
        <t xml:space="preserve">PII Processed on Sat Jul 12 2025 03:00:58 GMT-0700 (Pacific Daylight Time). Email status: Success.</t>
      </text>
    </comment>
    <comment authorId="0" ref="GB76">
      <text>
        <t xml:space="preserve">Consent Check Run on Sat Jul 12 2025 03:00:25 GMT-0700 (Pacific Daylight Time). Result: No.</t>
      </text>
    </comment>
    <comment authorId="0" ref="GB43">
      <text>
        <t xml:space="preserve">PII Processed on Sat Jul 12 2025 02:59:50 GMT-0700 (Pacific Daylight Time). Email status: Success.</t>
      </text>
    </comment>
    <comment authorId="0" ref="FB209">
      <text>
        <t xml:space="preserve">Consent Check Run on Sat Jul 12 2025 02:09:20 GMT-0700 (Pacific Daylight Time). Result: No.</t>
      </text>
    </comment>
    <comment authorId="0" ref="GB10">
      <text>
        <t xml:space="preserve">PII Processed on Sat Jul 12 2025 02:59:12 GMT-0700 (Pacific Daylight Time). Email status: Success.</t>
      </text>
    </comment>
    <comment authorId="0" ref="FB176">
      <text>
        <t xml:space="preserve">Consent Check Run on Sat Jul 12 2025 02:08:55 GMT-0700 (Pacific Daylight Time). Result: No.</t>
      </text>
    </comment>
    <comment authorId="0" ref="FB143">
      <text>
        <t xml:space="preserve">Consent Check Run on Sat Jul 12 2025 02:08:30 GMT-0700 (Pacific Daylight Time). Result: No.</t>
      </text>
    </comment>
    <comment authorId="0" ref="FB110">
      <text>
        <t xml:space="preserve">Consent Check Run on Sat Jul 12 2025 02:08:05 GMT-0700 (Pacific Daylight Time). Result: No.</t>
      </text>
    </comment>
    <comment authorId="0" ref="FB77">
      <text>
        <t xml:space="preserve">Consent Check Run on Sat Jul 12 2025 02:07:43 GMT-0700 (Pacific Daylight Time). Result: No.</t>
      </text>
    </comment>
    <comment authorId="0" ref="FB44">
      <text>
        <t xml:space="preserve">Consent Check Run on Sat Jul 12 2025 02:07:21 GMT-0700 (Pacific Daylight Time). Result: No.</t>
      </text>
    </comment>
    <comment authorId="0" ref="FB11">
      <text>
        <t xml:space="preserve">Consent Check Run on Sat Jul 12 2025 02:06:56 GMT-0700 (Pacific Daylight Time). Result: No.</t>
      </text>
    </comment>
    <comment authorId="0" ref="GB506">
      <text>
        <t xml:space="preserve">Consent Check Run on Fri May 01 2026 15:43:25 GMT-0700 (Pacific Daylight Time). Result: No.</t>
      </text>
    </comment>
    <comment authorId="0" ref="GB473">
      <text>
        <t xml:space="preserve">Consent Check Run on Mon Apr 06 2026 16:44:19 GMT-0700 (Pacific Daylight Time). Result: No.</t>
      </text>
    </comment>
    <comment authorId="0" ref="GB440">
      <text>
        <t xml:space="preserve">PII Processed on Mon Feb 16 2026 17:47:53 GMT-0800 (Pacific Standard Time). Email status: Success. ID: 0ed037c94ed0f4da3b99c5c5b0b6e39492e0f0d4f15b5e10cf04aceed25f44dd</t>
      </text>
    </comment>
    <comment authorId="0" ref="GB407">
      <text>
        <t xml:space="preserve">Consent Check Run on Thu Dec 18 2025 12:17:48 GMT-0800 (Pacific Standard Time). Result: No.</t>
      </text>
    </comment>
    <comment authorId="0" ref="GB374">
      <text>
        <t xml:space="preserve">PII Processed on Thu Oct 30 2025 23:56:13 GMT-0700 (Pacific Daylight Time). Email status: Success. ID: a5a2c1f65cfd3bf49be052946f85e9f1442bfa20a46cc25e975ac00a393d0edc</t>
      </text>
    </comment>
    <comment authorId="0" ref="GB341">
      <text>
        <t xml:space="preserve">PII Processed on Mon Sep 29 2025 19:53:58 GMT-0700 (Pacific Daylight Time). Email status: Success. ID: 11a0f00059793c37f154d9118ea2056f92c7bc581365aa98c61e735c2a143779</t>
      </text>
    </comment>
    <comment authorId="0" ref="GB308">
      <text>
        <t xml:space="preserve">PII Processed on Thu Sep 04 2025 16:30:27 GMT-0700 (Pacific Daylight Time). Email status: Success. ID: 359bfc62db6c3b9651fbb011dc54cb18432c77b07d5253a8371a0a7623d979ff</t>
      </text>
    </comment>
    <comment authorId="0" ref="GB275">
      <text>
        <t xml:space="preserve">Consent Check Run on Mon Aug 25 2025 17:55:19 GMT-0700 (Pacific Daylight Time). Result: No.</t>
      </text>
    </comment>
    <comment authorId="0" ref="GB242">
      <text>
        <t xml:space="preserve">Consent Check Run on Sun Jul 20 2025 20:32:07 GMT-0700 (Pacific Daylight Time). Result: No.</t>
      </text>
    </comment>
    <comment authorId="0" ref="GB209">
      <text>
        <t xml:space="preserve">PII Processed on Sat Jul 12 2025 03:02:41 GMT-0700 (Pacific Daylight Time). Email status: Failed.</t>
      </text>
    </comment>
    <comment authorId="0" ref="GB176">
      <text>
        <t xml:space="preserve">PII Processed on Sat Jul 12 2025 03:02:12 GMT-0700 (Pacific Daylight Time). Email status: Failed.</t>
      </text>
    </comment>
    <comment authorId="0" ref="GB143">
      <text>
        <t xml:space="preserve">PII Processed (Invalid Email) on Sat Jul 12 2025 03:01:37 GMT-0700 (Pacific Daylight Time).</t>
      </text>
    </comment>
    <comment authorId="0" ref="GB110">
      <text>
        <t xml:space="preserve">PII Processed on Sat Jul 12 2025 03:01:00 GMT-0700 (Pacific Daylight Time). Email status: Success.</t>
      </text>
    </comment>
    <comment authorId="0" ref="GB77">
      <text>
        <t xml:space="preserve">PII Processed on Sat Jul 12 2025 03:00:27 GMT-0700 (Pacific Daylight Time). Email status: Success.</t>
      </text>
    </comment>
    <comment authorId="0" ref="GB44">
      <text>
        <t xml:space="preserve">PII Processed on Sat Jul 12 2025 02:59:52 GMT-0700 (Pacific Daylight Time). Email status: Success.</t>
      </text>
    </comment>
    <comment authorId="0" ref="FB210">
      <text>
        <t xml:space="preserve">Consent Check Run on Sat Jul 12 2025 02:09:21 GMT-0700 (Pacific Daylight Time). Result: No.</t>
      </text>
    </comment>
    <comment authorId="0" ref="GB11">
      <text>
        <t xml:space="preserve">PII Processed on Sat Jul 12 2025 02:59:14 GMT-0700 (Pacific Daylight Time). Email status: Success.</t>
      </text>
    </comment>
    <comment authorId="0" ref="FB177">
      <text>
        <t xml:space="preserve">Consent Check Run on Sat Jul 12 2025 02:08:56 GMT-0700 (Pacific Daylight Time). Result: No.</t>
      </text>
    </comment>
    <comment authorId="0" ref="FB144">
      <text>
        <t xml:space="preserve">Consent Check Run on Sat Jul 12 2025 02:08:31 GMT-0700 (Pacific Daylight Time). Result: No.</t>
      </text>
    </comment>
    <comment authorId="0" ref="FB111">
      <text>
        <t xml:space="preserve">Consent Check Run on Sat Jul 12 2025 02:08:06 GMT-0700 (Pacific Daylight Time). Result: No.</t>
      </text>
    </comment>
    <comment authorId="0" ref="FB78">
      <text>
        <t xml:space="preserve">Consent Check Run on Sat Jul 12 2025 02:07:43 GMT-0700 (Pacific Daylight Time). Result: No.</t>
      </text>
    </comment>
    <comment authorId="0" ref="FB45">
      <text>
        <t xml:space="preserve">Consent Check Run on Sat Jul 12 2025 02:07:22 GMT-0700 (Pacific Daylight Time). Result: No.</t>
      </text>
    </comment>
    <comment authorId="0" ref="G182">
      <text>
        <t xml:space="preserve">Responder updated this value.</t>
      </text>
    </comment>
    <comment authorId="0" ref="FB12">
      <text>
        <t xml:space="preserve">Consent Check Run on Sat Jul 12 2025 02:06:56 GMT-0700 (Pacific Daylight Time). Result: No.</t>
      </text>
    </comment>
    <comment authorId="0" ref="GB507">
      <text>
        <t xml:space="preserve">Consent Check Run on Mon May 04 2026 05:52:34 GMT-0700 (Pacific Daylight Time). Result: No.</t>
      </text>
    </comment>
    <comment authorId="0" ref="GB474">
      <text>
        <t xml:space="preserve">Consent Check Run on Mon Apr 06 2026 17:44:03 GMT-0700 (Pacific Daylight Time). Result: No.</t>
      </text>
    </comment>
    <comment authorId="0" ref="GB441">
      <text>
        <t xml:space="preserve">PII Processed on Tue Feb 17 2026 12:35:31 GMT-0800 (Pacific Standard Time). Email status: Success. ID: aebba739a39cbab3357b916bf2b8bfafe9cf6d1a6be84e6cac40ea2cb4c64278</t>
      </text>
    </comment>
    <comment authorId="0" ref="GB408">
      <text>
        <t xml:space="preserve">PII Processed on Sun Dec 21 2025 19:44:02 GMT-0800 (Pacific Standard Time). Email status: Success. ID: 33969a1b716f44bd572332363992496685584b88fd6d5a89d17965e8967edeef</t>
      </text>
    </comment>
    <comment authorId="0" ref="GB375">
      <text>
        <t xml:space="preserve">PII Processed on Sun Nov 02 2025 16:14:35 GMT-0800 (Pacific Standard Time). Email status: Success. ID: f2d525306e6c6851f877d47f62b0a28611912ce07ff9065293e1351c035bf4e6</t>
      </text>
    </comment>
    <comment authorId="0" ref="GB342">
      <text>
        <t xml:space="preserve">PII Processed on Wed Oct 01 2025 11:55:33 GMT-0700 (Pacific Daylight Time). Email status: Success. ID: 567aaba09a78d2d69256df46157a606219d5c402d9f6f5795352d03d3fdd1b96</t>
      </text>
    </comment>
    <comment authorId="0" ref="GB276">
      <text>
        <t xml:space="preserve">PII Processed on Tue Aug 26 2025 04:37:02 GMT-0700 (Pacific Daylight Time). Email status: Success. ID: 93ebe4545eb78aa6118b374356bc3064aee3086d4003f545d77ea93e24b9f17f</t>
      </text>
    </comment>
    <comment authorId="0" ref="GB243">
      <text>
        <t xml:space="preserve">PII Processed on Wed Jul 23 2025 03:59:08 GMT-0700 (Pacific Daylight Time). Email status: Success. ID: 4ed1f0da0d2929a41d3a73d71c8d91bdb8d137158c3d2b4486a03d3929916be0</t>
      </text>
    </comment>
    <comment authorId="0" ref="GB210">
      <text>
        <t xml:space="preserve">PII Processed on Sat Jul 12 2025 03:02:42 GMT-0700 (Pacific Daylight Time). Email status: Failed.</t>
      </text>
    </comment>
    <comment authorId="0" ref="GB177">
      <text>
        <t xml:space="preserve">PII Processed on Sat Jul 12 2025 03:02:14 GMT-0700 (Pacific Daylight Time). Email status: Failed.</t>
      </text>
    </comment>
    <comment authorId="0" ref="GB144">
      <text>
        <t xml:space="preserve">PII Processed on Sat Jul 12 2025 03:01:40 GMT-0700 (Pacific Daylight Time). Email status: Success.</t>
      </text>
    </comment>
    <comment authorId="0" ref="GB111">
      <text>
        <t xml:space="preserve">PII Processed (Invalid Email) on Sat Jul 12 2025 03:01:01 GMT-0700 (Pacific Daylight Time).</t>
      </text>
    </comment>
    <comment authorId="0" ref="GB78">
      <text>
        <t xml:space="preserve">PII Processed on Sat Jul 12 2025 03:00:28 GMT-0700 (Pacific Daylight Time). Email status: Success.</t>
      </text>
    </comment>
    <comment authorId="0" ref="GB45">
      <text>
        <t xml:space="preserve">PII Processed on Sat Jul 12 2025 02:59:53 GMT-0700 (Pacific Daylight Time). Email status: Success.</t>
      </text>
    </comment>
    <comment authorId="0" ref="FB211">
      <text>
        <t xml:space="preserve">Consent Check Run on Sat Jul 12 2025 02:09:22 GMT-0700 (Pacific Daylight Time). Result: No.</t>
      </text>
    </comment>
    <comment authorId="0" ref="GB12">
      <text>
        <t xml:space="preserve">PII Processed (Invalid Email) on Sat Jul 12 2025 02:59:14 GMT-0700 (Pacific Daylight Time).</t>
      </text>
    </comment>
    <comment authorId="0" ref="FB178">
      <text>
        <t xml:space="preserve">Consent Check Run on Sat Jul 12 2025 02:08:56 GMT-0700 (Pacific Daylight Time). Result: No.</t>
      </text>
    </comment>
    <comment authorId="0" ref="FB145">
      <text>
        <t xml:space="preserve">Consent Check Run on Sat Jul 12 2025 02:08:31 GMT-0700 (Pacific Daylight Time). Result: No.</t>
      </text>
    </comment>
    <comment authorId="0" ref="FB112">
      <text>
        <t xml:space="preserve">Consent Check Run on Sat Jul 12 2025 02:08:06 GMT-0700 (Pacific Daylight Time). Result: No.</t>
      </text>
    </comment>
    <comment authorId="0" ref="FB79">
      <text>
        <t xml:space="preserve">Consent Check Run on Sat Jul 12 2025 02:07:44 GMT-0700 (Pacific Daylight Time). Result: No.</t>
      </text>
    </comment>
    <comment authorId="0" ref="FB46">
      <text>
        <t xml:space="preserve">Consent Check Run on Sat Jul 12 2025 02:07:22 GMT-0700 (Pacific Daylight Time). Result: No.</t>
      </text>
    </comment>
    <comment authorId="0" ref="FB13">
      <text>
        <t xml:space="preserve">Consent Check Run on Sat Jul 12 2025 02:06:57 GMT-0700 (Pacific Daylight Time). Result: No.</t>
      </text>
    </comment>
    <comment authorId="0" ref="GB508">
      <text>
        <t xml:space="preserve">Consent Check Run on Fri May 08 2026 02:20:28 GMT-0700 (Pacific Daylight Time). Result: No.</t>
      </text>
    </comment>
    <comment authorId="0" ref="GB475">
      <text>
        <t xml:space="preserve">Consent Check Run on Mon Apr 06 2026 18:34:34 GMT-0700 (Pacific Daylight Time). Result: No.</t>
      </text>
    </comment>
    <comment authorId="0" ref="GB442">
      <text>
        <t xml:space="preserve">Consent Check Run on Mon Feb 23 2026 16:03:07 GMT-0800 (Pacific Standard Time). Result: No.</t>
      </text>
    </comment>
    <comment authorId="0" ref="GB376">
      <text>
        <t xml:space="preserve">Consent Check Run on Sat Nov 08 2025 09:23:05 GMT-0800 (Pacific Standard Time). Result: No.</t>
      </text>
    </comment>
    <comment authorId="0" ref="GB343">
      <text>
        <t xml:space="preserve">Consent Check Run on Fri Oct 03 2025 16:55:15 GMT-0700 (Pacific Daylight Time). Result: No.</t>
      </text>
    </comment>
    <comment authorId="0" ref="GB310">
      <text>
        <t xml:space="preserve">Consent Check Run on Mon Sep 08 2025 10:31:42 GMT-0700 (Pacific Daylight Time). Result: No.</t>
      </text>
    </comment>
    <comment authorId="0" ref="GB277">
      <text>
        <t xml:space="preserve">Consent Check Run on Wed Aug 27 2025 03:31:38 GMT-0700 (Pacific Daylight Time). Result: No.</t>
      </text>
    </comment>
    <comment authorId="0" ref="GB244">
      <text>
        <t xml:space="preserve">Consent Check Run on Sat Jul 26 2025 13:07:21 GMT-0700 (Pacific Daylight Time). Result: No.</t>
      </text>
    </comment>
    <comment authorId="0" ref="GB211">
      <text>
        <t xml:space="preserve">Consent Check Run on Sat Jul 12 2025 03:02:43 GMT-0700 (Pacific Daylight Time). Result: No.</t>
      </text>
    </comment>
    <comment authorId="0" ref="GB178">
      <text>
        <t xml:space="preserve">Consent Check Run on Sat Jul 12 2025 03:02:16 GMT-0700 (Pacific Daylight Time). Result: No.</t>
      </text>
    </comment>
    <comment authorId="0" ref="GB145">
      <text>
        <t xml:space="preserve">PII Processed on Sat Jul 12 2025 03:01:41 GMT-0700 (Pacific Daylight Time). Email status: Success.</t>
      </text>
    </comment>
    <comment authorId="0" ref="GB112">
      <text>
        <t xml:space="preserve">PII Processed on Sat Jul 12 2025 03:01:02 GMT-0700 (Pacific Daylight Time). Email status: Success.</t>
      </text>
    </comment>
    <comment authorId="0" ref="GB79">
      <text>
        <t xml:space="preserve">PII Processed on Sat Jul 12 2025 03:00:29 GMT-0700 (Pacific Daylight Time). Email status: Success.</t>
      </text>
    </comment>
    <comment authorId="0" ref="GB46">
      <text>
        <t xml:space="preserve">PII Processed on Sat Jul 12 2025 02:59:54 GMT-0700 (Pacific Daylight Time). Email status: Success.</t>
      </text>
    </comment>
    <comment authorId="0" ref="FB212">
      <text>
        <t xml:space="preserve">Consent Check Run on Sat Jul 12 2025 02:09:23 GMT-0700 (Pacific Daylight Time). Result: No.</t>
      </text>
    </comment>
    <comment authorId="0" ref="GB13">
      <text>
        <t xml:space="preserve">PII Processed on Sat Jul 12 2025 02:59:16 GMT-0700 (Pacific Daylight Time). Email status: Success.</t>
      </text>
    </comment>
    <comment authorId="0" ref="FB179">
      <text>
        <t xml:space="preserve">Consent Check Run on Sat Jul 12 2025 02:08:57 GMT-0700 (Pacific Daylight Time). Result: No.</t>
      </text>
    </comment>
    <comment authorId="0" ref="FB146">
      <text>
        <t xml:space="preserve">Consent Check Run on Sat Jul 12 2025 02:08:32 GMT-0700 (Pacific Daylight Time). Result: No.</t>
      </text>
    </comment>
    <comment authorId="0" ref="FB113">
      <text>
        <t xml:space="preserve">Consent Check Run on Sat Jul 12 2025 02:08:07 GMT-0700 (Pacific Daylight Time). Result: No.</t>
      </text>
    </comment>
    <comment authorId="0" ref="FB80">
      <text>
        <t xml:space="preserve">Consent Check Run on Sat Jul 12 2025 02:07:44 GMT-0700 (Pacific Daylight Time). Result: No.</t>
      </text>
    </comment>
    <comment authorId="0" ref="FB47">
      <text>
        <t xml:space="preserve">Consent Check Run on Sat Jul 12 2025 02:07:23 GMT-0700 (Pacific Daylight Time). Result: No.</t>
      </text>
    </comment>
    <comment authorId="0" ref="FB14">
      <text>
        <t xml:space="preserve">Consent Check Run on Sat Jul 12 2025 02:06:57 GMT-0700 (Pacific Daylight Time). Result: No.</t>
      </text>
    </comment>
    <comment authorId="0" ref="GB509">
      <text>
        <t xml:space="preserve">Consent Check Run on Sun May 17 2026 00:27:30 GMT-0700 (Pacific Daylight Time). Result: No.</t>
      </text>
    </comment>
    <comment authorId="0" ref="GB476">
      <text>
        <t xml:space="preserve">PII Processed on Mon Apr 06 2026 20:06:55 GMT-0700 (Pacific Daylight Time). Email status: Success. ID: a615c95f5f0b698b3d4588daa1e95a1d038f79af2368e01948098e345aaa6536</t>
      </text>
    </comment>
    <comment authorId="0" ref="GB443">
      <text>
        <t xml:space="preserve">PII Processed on Wed Feb 25 2026 14:15:34 GMT-0800 (Pacific Standard Time). Email status: Success. ID: a49a883a3e11f58665c6114d8e4bbbd022f2d8d2812e863b2f7d8abcb3998826</t>
      </text>
    </comment>
    <comment authorId="0" ref="GB410">
      <text>
        <t xml:space="preserve">Consent Check Run on Sun Dec 28 2025 10:20:51 GMT-0800 (Pacific Standard Time). Result: No.</t>
      </text>
    </comment>
    <comment authorId="0" ref="GB377">
      <text>
        <t xml:space="preserve">PII Processed on Sat Nov 08 2025 18:25:16 GMT-0800 (Pacific Standard Time). Email status: Success. ID: 7cf6863e6bc64dbc1d761bdfb72a82ef60686c95b0b15edec525bd1ac45e5760</t>
      </text>
    </comment>
    <comment authorId="0" ref="GB344">
      <text>
        <t xml:space="preserve">PII Processed on Tue Oct 07 2025 00:23:31 GMT-0700 (Pacific Daylight Time). Email status: Success. ID: 37911a492396079342c3ecdfb60fe8ec3155a8f9ad327e54ed9a154617d5a798</t>
      </text>
    </comment>
    <comment authorId="0" ref="GB311">
      <text>
        <t xml:space="preserve">PII Processed on Tue Sep 09 2025 14:49:23 GMT-0700 (Pacific Daylight Time). Email status: Success. ID: 8aff0e4a9518bfd042d06e94dcb12f72817052abdde1338fe66bcc42484292be</t>
      </text>
    </comment>
    <comment authorId="0" ref="GB278">
      <text>
        <t xml:space="preserve">PII Processed on Wed Aug 27 2025 05:36:50 GMT-0700 (Pacific Daylight Time). Email status: Success. ID: 6327dfedd71ee055fbe4560dfe649419320a137a9648ce2b5459d18fe59bc4fa</t>
      </text>
    </comment>
    <comment authorId="0" ref="GB212">
      <text>
        <t xml:space="preserve">PII Processed on Sat Jul 12 2025 03:28:43 GMT-0700 (Pacific Daylight Time). Email status: Success</t>
      </text>
    </comment>
    <comment authorId="0" ref="GB179">
      <text>
        <t xml:space="preserve">PII Processed on Sat Jul 12 2025 03:02:17 GMT-0700 (Pacific Daylight Time). Email status: Failed.</t>
      </text>
    </comment>
    <comment authorId="0" ref="GB146">
      <text>
        <t xml:space="preserve">Consent Check Run on Sat Jul 12 2025 03:01:41 GMT-0700 (Pacific Daylight Time). Result: No.</t>
      </text>
    </comment>
    <comment authorId="0" ref="GB113">
      <text>
        <t xml:space="preserve">PII Processed on Sat Jul 12 2025 03:01:04 GMT-0700 (Pacific Daylight Time). Email status: Success.</t>
      </text>
    </comment>
    <comment authorId="0" ref="GB80">
      <text>
        <t xml:space="preserve">PII Processed (Invalid Email) on Sat Jul 12 2025 03:00:29 GMT-0700 (Pacific Daylight Time).</t>
      </text>
    </comment>
    <comment authorId="0" ref="GB47">
      <text>
        <t xml:space="preserve">PII Processed on Sat Jul 12 2025 02:59:56 GMT-0700 (Pacific Daylight Time). Email status: Success.</t>
      </text>
    </comment>
    <comment authorId="0" ref="FB213">
      <text>
        <t xml:space="preserve">Consent Check Run on Sat Jul 12 2025 02:09:24 GMT-0700 (Pacific Daylight Time). Result: No.</t>
      </text>
    </comment>
    <comment authorId="0" ref="GB14">
      <text>
        <t xml:space="preserve">PII Processed on Sat Jul 12 2025 02:59:17 GMT-0700 (Pacific Daylight Time). Email status: Success.</t>
      </text>
    </comment>
    <comment authorId="0" ref="FB180">
      <text>
        <t xml:space="preserve">Consent Check Run on Sat Jul 12 2025 02:08:58 GMT-0700 (Pacific Daylight Time). Result: No.</t>
      </text>
    </comment>
    <comment authorId="0" ref="FB147">
      <text>
        <t xml:space="preserve">Consent Check Run on Sat Jul 12 2025 02:08:32 GMT-0700 (Pacific Daylight Time). Result: No.</t>
      </text>
    </comment>
    <comment authorId="0" ref="FB114">
      <text>
        <t xml:space="preserve">Consent Check Run on Sat Jul 12 2025 02:08:09 GMT-0700 (Pacific Daylight Time). Result: No.</t>
      </text>
    </comment>
    <comment authorId="0" ref="FB81">
      <text>
        <t xml:space="preserve">Consent Check Run on Sat Jul 12 2025 02:07:45 GMT-0700 (Pacific Daylight Time). Result: No.</t>
      </text>
    </comment>
    <comment authorId="0" ref="FB48">
      <text>
        <t xml:space="preserve">Consent Check Run on Sat Jul 12 2025 02:07:24 GMT-0700 (Pacific Daylight Time). Result: No.</t>
      </text>
    </comment>
    <comment authorId="0" ref="FB15">
      <text>
        <t xml:space="preserve">Consent Check Run on Sat Jul 12 2025 02:06:58 GMT-0700 (Pacific Daylight Time). Result: No.</t>
      </text>
    </comment>
    <comment authorId="0" ref="DA182">
      <text>
        <t xml:space="preserve">Responder updated this value.</t>
      </text>
    </comment>
    <comment authorId="0" ref="DC182">
      <text>
        <t xml:space="preserve">Responder updated this value.</t>
      </text>
    </comment>
    <comment authorId="0" ref="GB510">
      <text>
        <t xml:space="preserve">Consent Check Run on Thu May 21 2026 01:11:38 GMT-0700 (Pacific Daylight Time). Result: No.</t>
      </text>
    </comment>
    <comment authorId="0" ref="GB477">
      <text>
        <t xml:space="preserve">PII Processed on Mon Apr 06 2026 20:49:14 GMT-0700 (Pacific Daylight Time). Email status: Success. ID: 237322480dd847bcf13a5b052cda8f53658b0f6537a4bfdb6533c9f72d33a43d</t>
      </text>
    </comment>
    <comment authorId="0" ref="GB444">
      <text>
        <t xml:space="preserve">Consent Check Run on Sun Mar 08 2026 21:22:55 GMT-0700 (Pacific Daylight Time). Result: No.</t>
      </text>
    </comment>
    <comment authorId="0" ref="GB411">
      <text>
        <t xml:space="preserve">Consent Check Run on Sun Dec 28 2025 16:52:00 GMT-0800 (Pacific Standard Time). Result: No.</t>
      </text>
    </comment>
    <comment authorId="0" ref="GB378">
      <text>
        <t xml:space="preserve">PII Processed on Sat Nov 08 2025 20:23:25 GMT-0800 (Pacific Standard Time). Email status: Success. ID: 1f0563a40958cac8d2dd0755e00d4054c53dff2b1f6d78f992edffa1a1e500a1</t>
      </text>
    </comment>
    <comment authorId="0" ref="GB345">
      <text>
        <t xml:space="preserve">Consent Check Run on Tue Oct 07 2025 11:03:22 GMT-0700 (Pacific Daylight Time). Result: No.</t>
      </text>
    </comment>
    <comment authorId="0" ref="GB312">
      <text>
        <t xml:space="preserve">Consent Check Run on Tue Sep 09 2025 18:54:08 GMT-0700 (Pacific Daylight Time). Result: No.</t>
      </text>
    </comment>
    <comment authorId="0" ref="GB279">
      <text>
        <t xml:space="preserve">PII Processed on Wed Aug 27 2025 15:39:00 GMT-0700 (Pacific Daylight Time). Email status: Success. ID: 3c12484cf7a9f0d890ca8ec73a74c8017d69afb4aadecb83d367bdb666cd0d50</t>
      </text>
    </comment>
    <comment authorId="0" ref="GB246">
      <text>
        <t xml:space="preserve">Consent Check Run on Sun Jul 27 2025 06:15:45 GMT-0700 (Pacific Daylight Time). Result: No.</t>
      </text>
    </comment>
    <comment authorId="0" ref="GB213">
      <text>
        <t xml:space="preserve">PII Processed on Sat Jul 12 2025 03:28:44 GMT-0700 (Pacific Daylight Time). Email status: Failed</t>
      </text>
    </comment>
    <comment authorId="0" ref="GB180">
      <text>
        <t xml:space="preserve">Consent Check Run on Sat Jul 12 2025 03:02:17 GMT-0700 (Pacific Daylight Time). Result: No.</t>
      </text>
    </comment>
    <comment authorId="0" ref="GB147">
      <text>
        <t xml:space="preserve">Consent Check Run on Sat Jul 12 2025 03:01:42 GMT-0700 (Pacific Daylight Time). Result: No.</t>
      </text>
    </comment>
    <comment authorId="0" ref="GB114">
      <text>
        <t xml:space="preserve">Consent Check Run on Sat Jul 12 2025 03:01:05 GMT-0700 (Pacific Daylight Time). Result: No.</t>
      </text>
    </comment>
    <comment authorId="0" ref="GB81">
      <text>
        <t xml:space="preserve">PII Processed on Sat Jul 12 2025 03:00:32 GMT-0700 (Pacific Daylight Time). Email status: Success.</t>
      </text>
    </comment>
    <comment authorId="0" ref="GB48">
      <text>
        <t xml:space="preserve">Consent Check Run on Sat Jul 12 2025 02:59:57 GMT-0700 (Pacific Daylight Time). Result: No.</t>
      </text>
    </comment>
    <comment authorId="0" ref="FB214">
      <text>
        <t xml:space="preserve">Consent Check Run on Sat Jul 12 2025 02:09:24 GMT-0700 (Pacific Daylight Time). Result: No.</t>
      </text>
    </comment>
    <comment authorId="0" ref="GB15">
      <text>
        <t xml:space="preserve">PII Processed on Sat Jul 12 2025 02:59:19 GMT-0700 (Pacific Daylight Time). Email status: Success.</t>
      </text>
    </comment>
    <comment authorId="0" ref="FB181">
      <text>
        <t xml:space="preserve">Consent Check Run on Sat Jul 12 2025 02:08:58 GMT-0700 (Pacific Daylight Time). Result: No.</t>
      </text>
    </comment>
    <comment authorId="0" ref="FB148">
      <text>
        <t xml:space="preserve">Consent Check Run on Sat Jul 12 2025 02:08:33 GMT-0700 (Pacific Daylight Time). Result: No.</t>
      </text>
    </comment>
    <comment authorId="0" ref="FB115">
      <text>
        <t xml:space="preserve">Consent Check Run on Sat Jul 12 2025 02:08:09 GMT-0700 (Pacific Daylight Time). Result: No.</t>
      </text>
    </comment>
    <comment authorId="0" ref="FB82">
      <text>
        <t xml:space="preserve">Consent Check Run on Sat Jul 12 2025 02:07:47 GMT-0700 (Pacific Daylight Time). Result: No.</t>
      </text>
    </comment>
    <comment authorId="0" ref="FB49">
      <text>
        <t xml:space="preserve">Consent Check Run on Sat Jul 12 2025 02:07:24 GMT-0700 (Pacific Daylight Time). Result: No.</t>
      </text>
    </comment>
    <comment authorId="0" ref="FB16">
      <text>
        <t xml:space="preserve">Consent Check Run on Sat Jul 12 2025 02:06:59 GMT-0700 (Pacific Daylight Time). Result: No.</t>
      </text>
    </comment>
    <comment authorId="0" ref="GB511">
      <text>
        <t xml:space="preserve">PII Processed on Sat May 30 2026 07:36:22 GMT-0700 (Pacific Daylight Time). Email status: Success. ID: e227ba190831ab1d95c142d1c51a0174984b85c0f9379d6f9878d7d1240d7cac</t>
      </text>
    </comment>
    <comment authorId="0" ref="GB478">
      <text>
        <t xml:space="preserve">Consent Check Run on Mon Apr 06 2026 21:21:35 GMT-0700 (Pacific Daylight Time). Result: No.</t>
      </text>
    </comment>
    <comment authorId="0" ref="GB445">
      <text>
        <t xml:space="preserve">PII Processed on Tue Mar 10 2026 07:15:18 GMT-0700 (Pacific Daylight Time). Email status: Success. ID: a12e7da937eaba3fe24e92b86b1768797421016b5002da8dd1f2090e979aed8b</t>
      </text>
    </comment>
    <comment authorId="0" ref="GB412">
      <text>
        <t xml:space="preserve">Consent Check Run on Sat Jan 03 2026 03:47:24 GMT-0800 (Pacific Standard Time). Result: No.</t>
      </text>
    </comment>
    <comment authorId="0" ref="GB379">
      <text>
        <t xml:space="preserve">PII Processed on Sat Nov 08 2025 21:32:58 GMT-0800 (Pacific Standard Time). Email status: Success. ID: f455eb85244f70171cf4291d2ea831ae257d5ee08ed1ce62f5ffe940613eede3</t>
      </text>
    </comment>
    <comment authorId="0" ref="GB346">
      <text>
        <t xml:space="preserve">PII Processed on Wed Oct 08 2025 18:53:37 GMT-0700 (Pacific Daylight Time). Email status: Success. ID: 7558e13ac548a0a1225869d327d91f2a2d818f9f433bd76733db33a2d40d3a2e</t>
      </text>
    </comment>
    <comment authorId="0" ref="GB313">
      <text>
        <t xml:space="preserve">Consent Check Run on Fri Sep 12 2025 11:40:51 GMT-0700 (Pacific Daylight Time). Result: No.</t>
      </text>
    </comment>
    <comment authorId="0" ref="GB280">
      <text>
        <t xml:space="preserve">Consent Check Run on Thu Aug 28 2025 05:19:12 GMT-0700 (Pacific Daylight Time). Result: No.</t>
      </text>
    </comment>
    <comment authorId="0" ref="GB247">
      <text>
        <t xml:space="preserve">PII Processed on Sun Jul 27 2025 06:52:45 GMT-0700 (Pacific Daylight Time). Email status: Success. ID: 3bf4c2cae1d2d925b048c1393c94b1cf7b2f361dcf9ddd7a66a1e38722c523ab</t>
      </text>
    </comment>
    <comment authorId="0" ref="GB214">
      <text>
        <t xml:space="preserve">PII Processed on Sat Jul 12 2025 03:28:45 GMT-0700 (Pacific Daylight Time). Email status: Failed</t>
      </text>
    </comment>
    <comment authorId="0" ref="GB181">
      <text>
        <t xml:space="preserve">PII Processed on Sat Jul 12 2025 03:02:18 GMT-0700 (Pacific Daylight Time). Email status: Failed.</t>
      </text>
    </comment>
    <comment authorId="0" ref="GB148">
      <text>
        <t xml:space="preserve">Consent Check Run on Sat Jul 12 2025 03:01:42 GMT-0700 (Pacific Daylight Time). Result: No.</t>
      </text>
    </comment>
    <comment authorId="0" ref="GB115">
      <text>
        <t xml:space="preserve">Consent Check Run on Sat Jul 12 2025 03:01:05 GMT-0700 (Pacific Daylight Time). Result: No.</t>
      </text>
    </comment>
    <comment authorId="0" ref="GB82">
      <text>
        <t xml:space="preserve">PII Processed (Invalid Email) on Sat Jul 12 2025 03:00:32 GMT-0700 (Pacific Daylight Time).</t>
      </text>
    </comment>
    <comment authorId="0" ref="GB49">
      <text>
        <t xml:space="preserve">PII Processed on Sat Jul 12 2025 02:59:58 GMT-0700 (Pacific Daylight Time). Email status: Success.</t>
      </text>
    </comment>
    <comment authorId="0" ref="FB215">
      <text>
        <t xml:space="preserve">Consent Check Run on Sat Jul 12 2025 02:09:25 GMT-0700 (Pacific Daylight Time). Result: No.</t>
      </text>
    </comment>
    <comment authorId="0" ref="GB16">
      <text>
        <t xml:space="preserve">Consent Check Run on Sat Jul 12 2025 02:59:19 GMT-0700 (Pacific Daylight Time). Result: No.</t>
      </text>
    </comment>
    <comment authorId="0" ref="FB182">
      <text>
        <t xml:space="preserve">Consent Check Run on Sat Jul 12 2025 02:09:00 GMT-0700 (Pacific Daylight Time). Result: No.</t>
      </text>
    </comment>
    <comment authorId="0" ref="FB149">
      <text>
        <t xml:space="preserve">Consent Check Run on Sat Jul 12 2025 02:08:34 GMT-0700 (Pacific Daylight Time). Result: No.</t>
      </text>
    </comment>
    <comment authorId="0" ref="FB116">
      <text>
        <t xml:space="preserve">Consent Check Run on Sat Jul 12 2025 02:08:10 GMT-0700 (Pacific Daylight Time). Result: No.</t>
      </text>
    </comment>
    <comment authorId="0" ref="FB83">
      <text>
        <t xml:space="preserve">Consent Check Run on Sat Jul 12 2025 02:07:48 GMT-0700 (Pacific Daylight Time). Result: No.</t>
      </text>
    </comment>
    <comment authorId="0" ref="FB50">
      <text>
        <t xml:space="preserve">Consent Check Run on Sat Jul 12 2025 02:07:25 GMT-0700 (Pacific Daylight Time). Result: No.</t>
      </text>
    </comment>
    <comment authorId="0" ref="FB17">
      <text>
        <t xml:space="preserve">Consent Check Run on Sat Jul 12 2025 02:06:59 GMT-0700 (Pacific Daylight Time). Result: No.</t>
      </text>
    </comment>
    <comment authorId="0" ref="GB512">
      <text>
        <t xml:space="preserve">Consent Check Run on Wed Jun 03 2026 03:56:09 GMT-0700 (Pacific Daylight Time). Result: No.</t>
      </text>
    </comment>
    <comment authorId="0" ref="GB479">
      <text>
        <t xml:space="preserve">PII Processed on Mon Apr 06 2026 21:46:05 GMT-0700 (Pacific Daylight Time). Email status: Success. ID: 6daef726b1bae7415cceedfcf1d5e245f41da0d6fc2c2a408f7efbc28aa80987</t>
      </text>
    </comment>
    <comment authorId="0" ref="GB446">
      <text>
        <t xml:space="preserve">PII Processed on Tue Mar 10 2026 17:51:38 GMT-0700 (Pacific Daylight Time). Email status: Success. ID: fddf13f01a63c16015364d51e06935a3dfb54681d8f5cdd376090ef75548f245</t>
      </text>
    </comment>
    <comment authorId="0" ref="GB413">
      <text>
        <t xml:space="preserve">PII Processed on Sat Jan 03 2026 04:25:47 GMT-0800 (Pacific Standard Time). Email status: Success. ID: 6c4f5c59355b72dac192f9598bc7d1c9cd7ef2edc52bdc57658586c3cb5c35ae</t>
      </text>
    </comment>
    <comment authorId="0" ref="GB380">
      <text>
        <t xml:space="preserve">PII Processed on Sat Nov 08 2025 21:42:30 GMT-0800 (Pacific Standard Time). Email status: Success. ID: fb7d5853293c0aca9132d484faf412c7badea6b9fcb4864f48a275a741a8ce68</t>
      </text>
    </comment>
    <comment authorId="0" ref="GB347">
      <text>
        <t xml:space="preserve">Consent Check Run on Thu Oct 09 2025 08:47:02 GMT-0700 (Pacific Daylight Time). Result: No.</t>
      </text>
    </comment>
    <comment authorId="0" ref="GC380">
      <text>
        <t xml:space="preserve">Responder updated this value.</t>
      </text>
    </comment>
    <comment authorId="0" ref="GB314">
      <text>
        <t xml:space="preserve">Consent Check Run on Mon Sep 15 2025 07:41:33 GMT-0700 (Pacific Daylight Time). Result: No.</t>
      </text>
    </comment>
    <comment authorId="0" ref="GD380">
      <text>
        <t xml:space="preserve">Responder updated this value.</t>
      </text>
    </comment>
    <comment authorId="0" ref="GB281">
      <text>
        <t xml:space="preserve">Consent Check Run on Thu Aug 28 2025 13:45:24 GMT-0700 (Pacific Daylight Time). Result: No.</t>
      </text>
    </comment>
    <comment authorId="0" ref="GB248">
      <text>
        <t xml:space="preserve">PII Processed on Sun Jul 27 2025 14:47:44 GMT-0700 (Pacific Daylight Time). Email status: Success. ID: bb24f4993e079fc7094c3a1056d2ece5fbb0d8ae8c52a7f62896df5b52d4d6f6</t>
      </text>
    </comment>
    <comment authorId="0" ref="GB215">
      <text>
        <t xml:space="preserve">Consent Check Run on Sat Jul 12 2025 03:25:04 GMT-0700 (Pacific Daylight Time). Result: No.</t>
      </text>
    </comment>
    <comment authorId="0" ref="GB182">
      <text>
        <t xml:space="preserve">Consent Check Run on Sat Jul 12 2025 03:02:19 GMT-0700 (Pacific Daylight Time). Result: No.</t>
      </text>
    </comment>
    <comment authorId="0" ref="GB149">
      <text>
        <t xml:space="preserve">Consent Check Run on Sat Jul 12 2025 03:01:43 GMT-0700 (Pacific Daylight Time). Result: No.</t>
      </text>
    </comment>
    <comment authorId="0" ref="GB116">
      <text>
        <t xml:space="preserve">Consent Check Run on Sat Jul 12 2025 03:01:07 GMT-0700 (Pacific Daylight Time). Result: No.</t>
      </text>
    </comment>
    <comment authorId="0" ref="GB83">
      <text>
        <t xml:space="preserve">Consent Check Run on Sat Jul 12 2025 03:00:33 GMT-0700 (Pacific Daylight Time). Result: No.</t>
      </text>
    </comment>
    <comment authorId="0" ref="GB50">
      <text>
        <t xml:space="preserve">PII Processed on Sat Jul 12 2025 02:59:59 GMT-0700 (Pacific Daylight Time). Email status: Success.</t>
      </text>
    </comment>
    <comment authorId="0" ref="FB216">
      <text>
        <t xml:space="preserve">Consent Check Run on Sat Jul 12 2025 02:09:26 GMT-0700 (Pacific Daylight Time). Result: No.</t>
      </text>
    </comment>
    <comment authorId="0" ref="GB17">
      <text>
        <t xml:space="preserve">PII Processed on Sat Jul 12 2025 02:59:21 GMT-0700 (Pacific Daylight Time). Email status: Success.</t>
      </text>
    </comment>
    <comment authorId="0" ref="FB183">
      <text>
        <t xml:space="preserve">Consent Check Run on Sat Jul 12 2025 02:09:01 GMT-0700 (Pacific Daylight Time). Result: No.</t>
      </text>
    </comment>
    <comment authorId="0" ref="FB150">
      <text>
        <t xml:space="preserve">Consent Check Run on Sat Jul 12 2025 02:08:34 GMT-0700 (Pacific Daylight Time). Result: No.</t>
      </text>
    </comment>
    <comment authorId="0" ref="FB117">
      <text>
        <t xml:space="preserve">Consent Check Run on Sat Jul 12 2025 02:08:10 GMT-0700 (Pacific Daylight Time). Result: No.</t>
      </text>
    </comment>
    <comment authorId="0" ref="FB84">
      <text>
        <t xml:space="preserve">Consent Check Run on Sat Jul 12 2025 02:07:48 GMT-0700 (Pacific Daylight Time). Result: No.</t>
      </text>
    </comment>
    <comment authorId="0" ref="FB51">
      <text>
        <t xml:space="preserve">Consent Check Run on Sat Jul 12 2025 02:07:25 GMT-0700 (Pacific Daylight Time). Result: No.</t>
      </text>
    </comment>
    <comment authorId="0" ref="FB18">
      <text>
        <t xml:space="preserve">Consent Check Run on Sat Jul 12 2025 02:07:01 GMT-0700 (Pacific Daylight Time). Result: No.</t>
      </text>
    </comment>
    <comment authorId="0" ref="GW380">
      <text>
        <t xml:space="preserve">Responder updated this value.</t>
      </text>
    </comment>
    <comment authorId="0" ref="GB513">
      <text>
        <t xml:space="preserve">PII Processed on Sat Jun 06 2026 19:42:57 GMT-0700 (Pacific Daylight Time). Email status: Success. ID: a2dcc8671a5d67e6ac797a49d6dbb1a1d324a6e880822c8880e269b409b97571</t>
      </text>
    </comment>
    <comment authorId="0" ref="GB480">
      <text>
        <t xml:space="preserve">PII Processed on Mon Apr 06 2026 22:38:06 GMT-0700 (Pacific Daylight Time). Email status: Success. ID: 9273d3f2c6883aeaed0f380be20b2a9e2f453d18202c520e84d5addc67b457dc</t>
      </text>
    </comment>
    <comment authorId="0" ref="GB447">
      <text>
        <t xml:space="preserve">PII Processed on Thu Mar 12 2026 19:28:48 GMT-0700 (Pacific Daylight Time). Email status: Success. ID: 560fe9989bb743e1fa091cdd9cfbe06bb64215ae2087f3218693757943698e88</t>
      </text>
    </comment>
    <comment authorId="0" ref="GB414">
      <text>
        <t xml:space="preserve">Consent Check Run on Sun Jan 04 2026 07:37:02 GMT-0800 (Pacific Standard Time). Result: No.</t>
      </text>
    </comment>
    <comment authorId="0" ref="GB381">
      <text>
        <t xml:space="preserve">PII Processed on Sun Nov 09 2025 01:36:35 GMT-0800 (Pacific Standard Time). Email status: Success. ID: 26057b416b223798bf0496ad238a4c26a238a998e7fb3c79247a6526b6635bbd</t>
      </text>
    </comment>
    <comment authorId="0" ref="GB315">
      <text>
        <t xml:space="preserve">PII Processed on Wed Sep 17 2025 16:05:26 GMT-0700 (Pacific Daylight Time). Email status: Success. ID: 35966f612e3d49e2c1b1fe80333a570a19bbfa228834864d9ad824d214e6b63d</t>
      </text>
    </comment>
    <comment authorId="0" ref="GB282">
      <text>
        <t xml:space="preserve">PII Processed on Thu Aug 28 2025 18:33:28 GMT-0700 (Pacific Daylight Time). Email status: Success. ID: 7f0d0916ede017acf66a44edc22a3eefa3230bd96b86b48bfad18d1402c09665</t>
      </text>
    </comment>
    <comment authorId="0" ref="GB249">
      <text>
        <t xml:space="preserve">PII Processed on Mon Jul 28 2025 08:33:35 GMT-0700 (Pacific Daylight Time). Email status: Success. ID: 6b395b20c21c5b554391afb7aab7a5199c9a2f0d5953af6595b21ac21c05d8cd</t>
      </text>
    </comment>
    <comment authorId="0" ref="GB216">
      <text>
        <t xml:space="preserve">PII Processed on Sat Jul 12 2025 03:28:46 GMT-0700 (Pacific Daylight Time). Email status: Failed</t>
      </text>
    </comment>
    <comment authorId="0" ref="GB183">
      <text>
        <t xml:space="preserve">PII Processed on Sat Jul 12 2025 03:02:20 GMT-0700 (Pacific Daylight Time). Email status: Failed.</t>
      </text>
    </comment>
    <comment authorId="0" ref="GB150">
      <text>
        <t xml:space="preserve">Consent Check Run on Sat Jul 12 2025 03:01:43 GMT-0700 (Pacific Daylight Time). Result: No.</t>
      </text>
    </comment>
    <comment authorId="0" ref="GB117">
      <text>
        <t xml:space="preserve">PII Processed on Sat Jul 12 2025 03:01:08 GMT-0700 (Pacific Daylight Time). Email status: Success.</t>
      </text>
    </comment>
    <comment authorId="0" ref="GB84">
      <text>
        <t xml:space="preserve">Consent Check Run on Sat Jul 12 2025 03:00:33 GMT-0700 (Pacific Daylight Time). Result: No.</t>
      </text>
    </comment>
    <comment authorId="0" ref="GB51">
      <text>
        <t xml:space="preserve">Consent Check Run on Sat Jul 12 2025 03:00:00 GMT-0700 (Pacific Daylight Time). Result: No.</t>
      </text>
    </comment>
    <comment authorId="0" ref="FB217">
      <text>
        <t xml:space="preserve">Consent Check Run on Sat Jul 12 2025 02:09:26 GMT-0700 (Pacific Daylight Time). Result: No.</t>
      </text>
    </comment>
    <comment authorId="0" ref="GB18">
      <text>
        <t xml:space="preserve">Consent Check Run on Sat Jul 12 2025 02:59:22 GMT-0700 (Pacific Daylight Time). Result: No.</t>
      </text>
    </comment>
    <comment authorId="0" ref="FB184">
      <text>
        <t xml:space="preserve">Consent Check Run on Sat Jul 12 2025 02:09:02 GMT-0700 (Pacific Daylight Time). Result: No.</t>
      </text>
    </comment>
    <comment authorId="0" ref="FB151">
      <text>
        <t xml:space="preserve">Consent Check Run on Sat Jul 12 2025 02:08:35 GMT-0700 (Pacific Daylight Time). Result: No.</t>
      </text>
    </comment>
    <comment authorId="0" ref="FB118">
      <text>
        <t xml:space="preserve">Consent Check Run on Sat Jul 12 2025 02:08:12 GMT-0700 (Pacific Daylight Time). Result: No.</t>
      </text>
    </comment>
    <comment authorId="0" ref="FB85">
      <text>
        <t xml:space="preserve">Consent Check Run on Sat Jul 12 2025 02:07:49 GMT-0700 (Pacific Daylight Time). Result: No.</t>
      </text>
    </comment>
    <comment authorId="0" ref="FB52">
      <text>
        <t xml:space="preserve">Consent Check Run on Sat Jul 12 2025 02:07:26 GMT-0700 (Pacific Daylight Time). Result: No.</t>
      </text>
    </comment>
    <comment authorId="0" ref="FB19">
      <text>
        <t xml:space="preserve">Consent Check Run on Sat Jul 12 2025 02:07:01 GMT-0700 (Pacific Daylight Time). Result: No.</t>
      </text>
    </comment>
    <comment authorId="0" ref="GB514">
      <text>
        <t xml:space="preserve">PII Processed on Mon Jun 08 2026 08:23:09 GMT-0700 (Pacific Daylight Time). Email status: Success. ID: abb0107a4b278c45666b62d1687c748c2efea5632382be6aaca0b37c90b067b7</t>
      </text>
    </comment>
    <comment authorId="0" ref="GB481">
      <text>
        <t xml:space="preserve">Consent Check Run on Tue Apr 07 2026 04:45:39 GMT-0700 (Pacific Daylight Time). Result: No.</t>
      </text>
    </comment>
    <comment authorId="0" ref="GB448">
      <text>
        <t xml:space="preserve">PII Processed on Sat Mar 14 2026 12:27:55 GMT-0700 (Pacific Daylight Time). Email status: Success. ID: c1087f63e4b3708a4d1b5f3f4104bcfb72db2c3c944365254fa567643f952f47</t>
      </text>
    </comment>
    <comment authorId="0" ref="GB415">
      <text>
        <t xml:space="preserve">Consent Check Run on Tue Jan 06 2026 23:00:30 GMT-0800 (Pacific Standard Time). Result: No.</t>
      </text>
    </comment>
    <comment authorId="0" ref="GB382">
      <text>
        <t xml:space="preserve">PII Processed on Sun Nov 09 2025 09:07:59 GMT-0800 (Pacific Standard Time). Email status: Success. ID: f6660ffbc311954763a499273953fa735d9c5a1fca9c89740b2886e32ac85ccf</t>
      </text>
    </comment>
    <comment authorId="0" ref="GB349">
      <text>
        <t xml:space="preserve">PII Processed on Thu Oct 09 2025 15:54:22 GMT-0700 (Pacific Daylight Time). Email status: Success. ID: 916d67dd91ccd4d4dce0cca284982143656c9e7ccb0c84f13d36c7af9a4a10bc</t>
      </text>
    </comment>
    <comment authorId="0" ref="GB316">
      <text>
        <t xml:space="preserve">PII Processed on Wed Sep 17 2025 17:34:43 GMT-0700 (Pacific Daylight Time). Email status: Success. ID: b3ce4614feaabbad2a1a1fc6cf2cf01664b570328e364afda5066c6fc8983062</t>
      </text>
    </comment>
    <comment authorId="0" ref="GB283">
      <text>
        <t xml:space="preserve">Consent Check Run on Thu Aug 28 2025 22:12:50 GMT-0700 (Pacific Daylight Time). Result: No.</t>
      </text>
    </comment>
    <comment authorId="0" ref="GB250">
      <text>
        <t xml:space="preserve">Consent Check Run on Mon Jul 28 2025 08:51:42 GMT-0700 (Pacific Daylight Time). Result: No.</t>
      </text>
    </comment>
    <comment authorId="0" ref="GB217">
      <text>
        <t xml:space="preserve">Consent Check Run on Sat Jul 12 2025 03:25:05 GMT-0700 (Pacific Daylight Time). Result: No.</t>
      </text>
    </comment>
    <comment authorId="0" ref="GB184">
      <text>
        <t xml:space="preserve">Consent Check Run on Sat Jul 12 2025 03:02:20 GMT-0700 (Pacific Daylight Time). Result: No.</t>
      </text>
    </comment>
    <comment authorId="0" ref="GB151">
      <text>
        <t xml:space="preserve">PII Processed on Sat Jul 12 2025 03:01:44 GMT-0700 (Pacific Daylight Time). Email status: Success.</t>
      </text>
    </comment>
    <comment authorId="0" ref="GB118">
      <text>
        <t xml:space="preserve">Consent Check Run on Sat Jul 12 2025 03:01:09 GMT-0700 (Pacific Daylight Time). Result: No.</t>
      </text>
    </comment>
    <comment authorId="0" ref="GB85">
      <text>
        <t xml:space="preserve">PII Processed on Sat Jul 12 2025 03:00:35 GMT-0700 (Pacific Daylight Time). Email status: Success.</t>
      </text>
    </comment>
    <comment authorId="0" ref="GB52">
      <text>
        <t xml:space="preserve">PII Processed on Sat Jul 12 2025 03:00:01 GMT-0700 (Pacific Daylight Time). Email status: Success.</t>
      </text>
    </comment>
    <comment authorId="0" ref="FB218">
      <text>
        <t xml:space="preserve">Consent Check Run on Sat Jul 12 2025 02:09:27 GMT-0700 (Pacific Daylight Time). Result: No.</t>
      </text>
    </comment>
    <comment authorId="0" ref="GB19">
      <text>
        <t xml:space="preserve">PII Processed on Sat Jul 12 2025 02:59:23 GMT-0700 (Pacific Daylight Time). Email status: Success.</t>
      </text>
    </comment>
    <comment authorId="0" ref="FB185">
      <text>
        <t xml:space="preserve">Consent Check Run on Sat Jul 12 2025 02:09:02 GMT-0700 (Pacific Daylight Time). Result: No.</t>
      </text>
    </comment>
    <comment authorId="0" ref="FB152">
      <text>
        <t xml:space="preserve">Consent Check Run on Sat Jul 12 2025 02:08:35 GMT-0700 (Pacific Daylight Time). Result: No.</t>
      </text>
    </comment>
    <comment authorId="0" ref="FB119">
      <text>
        <t xml:space="preserve">Consent Check Run on Sat Jul 12 2025 02:08:13 GMT-0700 (Pacific Daylight Time). Result: No.</t>
      </text>
    </comment>
    <comment authorId="0" ref="FB86">
      <text>
        <t xml:space="preserve">Consent Check Run on Sat Jul 12 2025 02:07:49 GMT-0700 (Pacific Daylight Time). Result: No.</t>
      </text>
    </comment>
    <comment authorId="0" ref="FB53">
      <text>
        <t xml:space="preserve">Consent Check Run on Sat Jul 12 2025 02:07:26 GMT-0700 (Pacific Daylight Time). Result: No.</t>
      </text>
    </comment>
    <comment authorId="0" ref="FB20">
      <text>
        <t xml:space="preserve">Consent Check Run on Sat Jul 12 2025 02:07:02 GMT-0700 (Pacific Daylight Time). Result: No.</t>
      </text>
    </comment>
    <comment authorId="0" ref="GB515">
      <text>
        <t xml:space="preserve">PII Processed on Mon Jun 08 2026 20:42:23 GMT-0700 (Pacific Daylight Time). Email status: Success. ID: aedf53af7e3f105b7f69536fbba410d48ff4a2538747f9642db7a301e5f7ada4</t>
      </text>
    </comment>
    <comment authorId="0" ref="GB482">
      <text>
        <t xml:space="preserve">PII Processed on Tue Apr 07 2026 08:02:39 GMT-0700 (Pacific Daylight Time). Email status: Success. ID: 4c80fcaa07dda421c8fe4fc857a9ec20f33f7302bdfcd1b2b39d435ae0f79e0c</t>
      </text>
    </comment>
    <comment authorId="0" ref="GB449">
      <text>
        <t xml:space="preserve">Consent Check Run on Tue Mar 17 2026 23:53:47 GMT-0700 (Pacific Daylight Time). Result: No.</t>
      </text>
    </comment>
    <comment authorId="0" ref="GB416">
      <text>
        <t xml:space="preserve">PII Processed on Wed Jan 07 2026 02:56:45 GMT-0800 (Pacific Standard Time). Email status: Success. ID: 49448e5985d6a3b722816b0a7a09082900a69dd3204274c1375aa4ba095327cd</t>
      </text>
    </comment>
    <comment authorId="0" ref="GB383">
      <text>
        <t xml:space="preserve">Consent Check Run on Sun Nov 09 2025 11:38:15 GMT-0800 (Pacific Standard Time). Result: No.</t>
      </text>
    </comment>
    <comment authorId="0" ref="GB350">
      <text>
        <t xml:space="preserve">PII Processed on Thu Oct 09 2025 20:57:55 GMT-0700 (Pacific Daylight Time). Email status: Success. ID: 593eed7ef65267a31e24e22d1d84469dddba22ad35679c594dd356e7b3bc3bb5</t>
      </text>
    </comment>
    <comment authorId="0" ref="GB317">
      <text>
        <t xml:space="preserve">Consent Check Run on Thu Sep 18 2025 05:41:53 GMT-0700 (Pacific Daylight Time). Result: No.</t>
      </text>
    </comment>
    <comment authorId="0" ref="GB284">
      <text>
        <t xml:space="preserve">PII Processed on Fri Aug 29 2025 11:46:07 GMT-0700 (Pacific Daylight Time). Email status: Success. ID: a4e3d18245288d00b2b81829235be5b2bbe7b08b2c77d9d0302061c66f070fc8</t>
      </text>
    </comment>
    <comment authorId="0" ref="GB251">
      <text>
        <t xml:space="preserve">PII Processed on Mon Jul 28 2025 16:57:03 GMT-0700 (Pacific Daylight Time). Email status: Success. ID: 9da691656462db830ad188666e0806a03849b66d99e1b7aec2289ea55f7eefc9</t>
      </text>
    </comment>
    <comment authorId="0" ref="GB218">
      <text>
        <t xml:space="preserve">PII Processed on Sat Jul 12 2025 03:28:48 GMT-0700 (Pacific Daylight Time). Email status: Failed</t>
      </text>
    </comment>
    <comment authorId="0" ref="GB185">
      <text>
        <t xml:space="preserve">Consent Check Run on Sat Jul 12 2025 03:02:20 GMT-0700 (Pacific Daylight Time). Result: No.</t>
      </text>
    </comment>
    <comment authorId="0" ref="GB152">
      <text>
        <t xml:space="preserve">Consent Check Run on Sat Jul 12 2025 03:01:45 GMT-0700 (Pacific Daylight Time). Result: No.</t>
      </text>
    </comment>
    <comment authorId="0" ref="GB119">
      <text>
        <t xml:space="preserve">Consent Check Run on Sat Jul 12 2025 03:01:09 GMT-0700 (Pacific Daylight Time). Result: No.</t>
      </text>
    </comment>
    <comment authorId="0" ref="GB86">
      <text>
        <t xml:space="preserve">PII Processed on Sat Jul 12 2025 03:00:36 GMT-0700 (Pacific Daylight Time). Email status: Success.</t>
      </text>
    </comment>
    <comment authorId="0" ref="GB53">
      <text>
        <t xml:space="preserve">Consent Check Run on Sat Jul 12 2025 03:00:02 GMT-0700 (Pacific Daylight Time). Result: No.</t>
      </text>
    </comment>
    <comment authorId="0" ref="FB219">
      <text>
        <t xml:space="preserve">Consent Check Run on Sat Jul 12 2025 02:09:27 GMT-0700 (Pacific Daylight Time). Result: No.</t>
      </text>
    </comment>
    <comment authorId="0" ref="GB20">
      <text>
        <t xml:space="preserve">Consent Check Run on Sat Jul 12 2025 02:59:24 GMT-0700 (Pacific Daylight Time). Result: No.</t>
      </text>
    </comment>
    <comment authorId="0" ref="FB186">
      <text>
        <t xml:space="preserve">Consent Check Run on Sat Jul 12 2025 02:09:03 GMT-0700 (Pacific Daylight Time). Result: No.</t>
      </text>
    </comment>
    <comment authorId="0" ref="FB153">
      <text>
        <t xml:space="preserve">Consent Check Run on Sat Jul 12 2025 02:08:36 GMT-0700 (Pacific Daylight Time). Result: No.</t>
      </text>
    </comment>
    <comment authorId="0" ref="FB120">
      <text>
        <t xml:space="preserve">Consent Check Run on Sat Jul 12 2025 02:08:13 GMT-0700 (Pacific Daylight Time). Result: No.</t>
      </text>
    </comment>
    <comment authorId="0" ref="FB87">
      <text>
        <t xml:space="preserve">Consent Check Run on Sat Jul 12 2025 02:07:50 GMT-0700 (Pacific Daylight Time). Result: No.</t>
      </text>
    </comment>
    <comment authorId="0" ref="FB54">
      <text>
        <t xml:space="preserve">Consent Check Run on Sat Jul 12 2025 02:07:26 GMT-0700 (Pacific Daylight Time). Result: No.</t>
      </text>
    </comment>
    <comment authorId="0" ref="FB21">
      <text>
        <t xml:space="preserve">Consent Check Run on Sat Jul 12 2025 02:07:02 GMT-0700 (Pacific Daylight Time). Result: No.</t>
      </text>
    </comment>
    <comment authorId="0" ref="GB516">
      <text>
        <t xml:space="preserve">PII Processed on Tue Jun 09 2026 19:21:44 GMT-0700 (Pacific Daylight Time). Email status: Success. ID: 28e90f887afead0e764f336345f1ad4eb7908c0f9d5d0c455b529f3c8822b4ea</t>
      </text>
    </comment>
    <comment authorId="0" ref="GB483">
      <text>
        <t xml:space="preserve">Consent Check Run on Tue Apr 07 2026 15:07:54 GMT-0700 (Pacific Daylight Time). Result: No.</t>
      </text>
    </comment>
    <comment authorId="0" ref="GB450">
      <text>
        <t xml:space="preserve">PII Processed on Thu Mar 19 2026 18:59:51 GMT-0700 (Pacific Daylight Time). Email status: Success. ID: fe70cc17579ecd451c9d74e897c0f586ab0792b53dda2bbcfaf5b3b4348b541d</t>
      </text>
    </comment>
    <comment authorId="0" ref="GB417">
      <text>
        <t xml:space="preserve">PII Processed on Sat Jan 10 2026 15:21:55 GMT-0800 (Pacific Standard Time). Email status: Success. ID: 2a11f1f1a3a41a92a193ecb45769594ab63a5113885f3e7a226d0a4730e25b7a</t>
      </text>
    </comment>
    <comment authorId="0" ref="GB384">
      <text>
        <t xml:space="preserve">Consent Check Run on Sun Nov 09 2025 15:59:31 GMT-0800 (Pacific Standard Time). Result: No.</t>
      </text>
    </comment>
    <comment authorId="0" ref="GB351">
      <text>
        <t xml:space="preserve">PII Processed on Fri Oct 10 2025 06:34:10 GMT-0700 (Pacific Daylight Time). Email status: Success. ID: 55d9a8ce9c93009c45af62a3e0645813630054696d95c60e6737e2188c0ba853</t>
      </text>
    </comment>
    <comment authorId="0" ref="GB318">
      <text>
        <t xml:space="preserve">PII Processed on Sat Sep 20 2025 15:15:47 GMT-0700 (Pacific Daylight Time). Email status: Success. ID: 6d1c0b6ce45f54e6b50ab3d3dcfb209212bc0db7a1603d90192500840fa2e7d4</t>
      </text>
    </comment>
    <comment authorId="0" ref="GB285">
      <text>
        <t xml:space="preserve">PII Processed on Fri Aug 29 2025 13:50:49 GMT-0700 (Pacific Daylight Time). Email status: Success. ID: 0e9963bcbdd38084fd22f7af4fa3ab979253df443ebc5383b77186d78951da82</t>
      </text>
    </comment>
    <comment authorId="0" ref="GB252">
      <text>
        <t xml:space="preserve">Consent Check Run on Tue Jul 29 2025 11:10:28 GMT-0700 (Pacific Daylight Time). Result: No.</t>
      </text>
    </comment>
    <comment authorId="0" ref="GC285">
      <text>
        <t xml:space="preserve">Responder updated this value.</t>
      </text>
    </comment>
    <comment authorId="0" ref="GB219">
      <text>
        <t xml:space="preserve">Consent Check Run on Sat Jul 12 2025 03:25:10 GMT-0700 (Pacific Daylight Time). Result: No.</t>
      </text>
    </comment>
    <comment authorId="0" ref="GB186">
      <text>
        <t xml:space="preserve">PII Processed on Sat Jul 12 2025 03:02:22 GMT-0700 (Pacific Daylight Time). Email status: Failed.</t>
      </text>
    </comment>
    <comment authorId="0" ref="GB153">
      <text>
        <t xml:space="preserve">PII Processed on Sat Jul 12 2025 03:01:46 GMT-0700 (Pacific Daylight Time). Email status: Success.</t>
      </text>
    </comment>
    <comment authorId="0" ref="GB120">
      <text>
        <t xml:space="preserve">PII Processed on Sat Jul 12 2025 03:01:10 GMT-0700 (Pacific Daylight Time). Email status: Success.</t>
      </text>
    </comment>
    <comment authorId="0" ref="GB87">
      <text>
        <t xml:space="preserve">Consent Check Run on Sat Jul 12 2025 03:00:37 GMT-0700 (Pacific Daylight Time). Result: No.</t>
      </text>
    </comment>
    <comment authorId="0" ref="GB54">
      <text>
        <t xml:space="preserve">PII Processed on Sat Jul 12 2025 03:00:03 GMT-0700 (Pacific Daylight Time). Email status: Success.</t>
      </text>
    </comment>
    <comment authorId="0" ref="FB220">
      <text>
        <t xml:space="preserve">Consent Check Run on Sat Jul 12 2025 02:09:28 GMT-0700 (Pacific Daylight Time). Result: No.</t>
      </text>
    </comment>
    <comment authorId="0" ref="GB21">
      <text>
        <t xml:space="preserve">PII Processed on Sat Jul 12 2025 02:59:25 GMT-0700 (Pacific Daylight Time). Email status: Success.</t>
      </text>
    </comment>
    <comment authorId="0" ref="FB187">
      <text>
        <t xml:space="preserve">Consent Check Run on Sat Jul 12 2025 02:09:04 GMT-0700 (Pacific Daylight Time). Result: No.</t>
      </text>
    </comment>
    <comment authorId="0" ref="FB154">
      <text>
        <t xml:space="preserve">Consent Check Run on Sat Jul 12 2025 02:08:38 GMT-0700 (Pacific Daylight Time). Result: No.</t>
      </text>
    </comment>
    <comment authorId="0" ref="FB121">
      <text>
        <t xml:space="preserve">Consent Check Run on Sat Jul 12 2025 02:08:14 GMT-0700 (Pacific Daylight Time). Result: No.</t>
      </text>
    </comment>
    <comment authorId="0" ref="FB88">
      <text>
        <t xml:space="preserve">Consent Check Run on Sat Jul 12 2025 02:07:51 GMT-0700 (Pacific Daylight Time). Result: No.</t>
      </text>
    </comment>
    <comment authorId="0" ref="FB55">
      <text>
        <t xml:space="preserve">Consent Check Run on Sat Jul 12 2025 02:07:27 GMT-0700 (Pacific Daylight Time). Result: No.</t>
      </text>
    </comment>
    <comment authorId="0" ref="FB22">
      <text>
        <t xml:space="preserve">Consent Check Run on Sat Jul 12 2025 02:07:04 GMT-0700 (Pacific Daylight Time). Result: No.</t>
      </text>
    </comment>
    <comment authorId="0" ref="GB517">
      <text>
        <t xml:space="preserve">PII Processed on Sun Jun 14 2026 19:47:00 GMT-0700 (Pacific Daylight Time). Email status: Success. ID: dc9de03ad9d903048360a55e8f48fcd6f26b0487f42eadfc0b23de06c308af75</t>
      </text>
    </comment>
    <comment authorId="0" ref="GB484">
      <text>
        <t xml:space="preserve">Consent Check Run on Tue Apr 07 2026 23:58:23 GMT-0700 (Pacific Daylight Time). Result: No.</t>
      </text>
    </comment>
    <comment authorId="0" ref="GB451">
      <text>
        <t xml:space="preserve">Consent Check Run on Mon Mar 23 2026 16:32:40 GMT-0700 (Pacific Daylight Time). Result: No.</t>
      </text>
    </comment>
    <comment authorId="0" ref="GB418">
      <text>
        <t xml:space="preserve">Consent Check Run on Thu Jan 15 2026 11:48:21 GMT-0800 (Pacific Standard Time). Result: No.</t>
      </text>
    </comment>
    <comment authorId="0" ref="GB385">
      <text>
        <t xml:space="preserve">Consent Check Run on Mon Nov 10 2025 07:55:12 GMT-0800 (Pacific Standard Time). Result: No.</t>
      </text>
    </comment>
    <comment authorId="0" ref="GB319">
      <text>
        <t xml:space="preserve">PII Processed on Sat Sep 20 2025 16:17:17 GMT-0700 (Pacific Daylight Time). Email status: Success. ID: 4294a47f5914782634cf6ddac1ce162ca2c8e018a991fea66a5ae20eae9d945f</t>
      </text>
    </comment>
    <comment authorId="0" ref="GB286">
      <text>
        <t xml:space="preserve">PII Processed on Sat Aug 30 2025 12:25:14 GMT-0700 (Pacific Daylight Time). Email status: Success. ID: c53302ef87cad1768cf4293c25e89b8d965d06887524785d6a1924fa69a8edbb</t>
      </text>
    </comment>
    <comment authorId="0" ref="GB253">
      <text>
        <t xml:space="preserve">PII Processed on Thu Jul 31 2025 15:01:04 GMT-0700 (Pacific Daylight Time). Email status: Success. ID: 02a0058a27628c727d57237510c690f147c3814dce86178949ba6cf0e031ccd5</t>
      </text>
    </comment>
    <comment authorId="0" ref="GB220">
      <text>
        <t xml:space="preserve">PII Processed on Sat Jul 12 2025 03:28:51 GMT-0700 (Pacific Daylight Time). Email status: Failed</t>
      </text>
    </comment>
    <comment authorId="0" ref="GB187">
      <text>
        <t xml:space="preserve">PII Processed on Sat Jul 12 2025 03:02:22 GMT-0700 (Pacific Daylight Time). Email status: Failed.</t>
      </text>
    </comment>
    <comment authorId="0" ref="GB154">
      <text>
        <t xml:space="preserve">Consent Check Run on Sat Jul 12 2025 03:01:47 GMT-0700 (Pacific Daylight Time). Result: No.</t>
      </text>
    </comment>
    <comment authorId="0" ref="GB121">
      <text>
        <t xml:space="preserve">PII Processed on Sat Jul 12 2025 03:01:13 GMT-0700 (Pacific Daylight Time). Email status: Success.</t>
      </text>
    </comment>
    <comment authorId="0" ref="GB88">
      <text>
        <t xml:space="preserve">PII Processed on Sat Jul 12 2025 03:00:38 GMT-0700 (Pacific Daylight Time). Email status: Success.</t>
      </text>
    </comment>
    <comment authorId="0" ref="GB55">
      <text>
        <t xml:space="preserve">PII Processed on Sat Jul 12 2025 03:00:04 GMT-0700 (Pacific Daylight Time). Email status: Success.</t>
      </text>
    </comment>
    <comment authorId="0" ref="FB221">
      <text>
        <t xml:space="preserve">Consent Check Run on Sat Jul 12 2025 02:09:29 GMT-0700 (Pacific Daylight Time). Result: No.</t>
      </text>
    </comment>
    <comment authorId="0" ref="GB22">
      <text>
        <t xml:space="preserve">Consent Check Run on Sat Jul 12 2025 02:59:26 GMT-0700 (Pacific Daylight Time). Result: No.</t>
      </text>
    </comment>
    <comment authorId="0" ref="FB188">
      <text>
        <t xml:space="preserve">Consent Check Run on Sat Jul 12 2025 02:09:05 GMT-0700 (Pacific Daylight Time). Result: No.</t>
      </text>
    </comment>
    <comment authorId="0" ref="FB155">
      <text>
        <t xml:space="preserve">Consent Check Run on Sat Jul 12 2025 02:08:39 GMT-0700 (Pacific Daylight Time). Result: No.</t>
      </text>
    </comment>
    <comment authorId="0" ref="FB122">
      <text>
        <t xml:space="preserve">Consent Check Run on Sat Jul 12 2025 02:08:16 GMT-0700 (Pacific Daylight Time). Result: No.</t>
      </text>
    </comment>
    <comment authorId="0" ref="FB89">
      <text>
        <t xml:space="preserve">Consent Check Run on Sat Jul 12 2025 02:07:51 GMT-0700 (Pacific Daylight Time). Result: No.</t>
      </text>
    </comment>
    <comment authorId="0" ref="FB56">
      <text>
        <t xml:space="preserve">Consent Check Run on Sat Jul 12 2025 02:07:27 GMT-0700 (Pacific Daylight Time). Result: No.</t>
      </text>
    </comment>
    <comment authorId="0" ref="FB23">
      <text>
        <t xml:space="preserve">Consent Check Run on Sat Jul 12 2025 02:07:05 GMT-0700 (Pacific Daylight Time). Result: No.</t>
      </text>
    </comment>
    <comment authorId="0" ref="E28">
      <text>
        <t xml:space="preserve">Responder updated this value.</t>
      </text>
    </comment>
    <comment authorId="0" ref="GB485">
      <text>
        <t xml:space="preserve">PII Processed on Wed Apr 08 2026 10:50:49 GMT-0700 (Pacific Daylight Time). Email status: Success. ID: b911dadf766bbfad8c559fbb72b7ff9fb81042ecd6ec86bf120d4e0f8e208b67</t>
      </text>
    </comment>
    <comment authorId="0" ref="GB452">
      <text>
        <t xml:space="preserve">Consent Check Run on Mon Mar 30 2026 05:19:20 GMT-0700 (Pacific Daylight Time). Result: No.</t>
      </text>
    </comment>
    <comment authorId="0" ref="GB419">
      <text>
        <t xml:space="preserve">PII Processed on Thu Jan 15 2026 13:22:10 GMT-0800 (Pacific Standard Time). Email status: Success. ID: dec5fc59eff9d51b556c34c6ff255decc37e26b5cead82054f9eab2fe70a1af5</t>
      </text>
    </comment>
    <comment authorId="0" ref="GB386">
      <text>
        <t xml:space="preserve">Consent Check Run on Mon Nov 10 2025 15:38:26 GMT-0800 (Pacific Standard Time). Result: No.</t>
      </text>
    </comment>
    <comment authorId="0" ref="GB353">
      <text>
        <t xml:space="preserve">PII Processed on Fri Oct 10 2025 13:38:51 GMT-0700 (Pacific Daylight Time). Email status: Success. ID: 79e72b06f953d73fcb61fd2e559884e424933113a41bb3b0162f26bc3acbc4fe</t>
      </text>
    </comment>
    <comment authorId="0" ref="GB287">
      <text>
        <t xml:space="preserve">Consent Check Run on Sun Aug 31 2025 15:28:19 GMT-0700 (Pacific Daylight Time). Result: No.</t>
      </text>
    </comment>
    <comment authorId="0" ref="GB254">
      <text>
        <t xml:space="preserve">PII Processed on Fri Aug 01 2025 15:54:53 GMT-0700 (Pacific Daylight Time). Email status: Success. ID: 19810201b512554268f487635a8e6ed4311f11a8c76742596c0c10360b4b7760</t>
      </text>
    </comment>
    <comment authorId="0" ref="GB221">
      <text>
        <t xml:space="preserve">Consent Check Run on Sat Jul 12 2025 03:25:11 GMT-0700 (Pacific Daylight Time). Result: No.</t>
      </text>
    </comment>
    <comment authorId="0" ref="GB188">
      <text>
        <t xml:space="preserve">PII Processed on Sat Jul 12 2025 03:02:24 GMT-0700 (Pacific Daylight Time). Email status: Failed.</t>
      </text>
    </comment>
    <comment authorId="0" ref="GB155">
      <text>
        <t xml:space="preserve">Consent Check Run on Sat Jul 12 2025 03:01:47 GMT-0700 (Pacific Daylight Time). Result: No.</t>
      </text>
    </comment>
    <comment authorId="0" ref="GB122">
      <text>
        <t xml:space="preserve">Consent Check Run on Sat Jul 12 2025 03:01:13 GMT-0700 (Pacific Daylight Time). Result: No.</t>
      </text>
    </comment>
    <comment authorId="0" ref="GB89">
      <text>
        <t xml:space="preserve">PII Processed (Invalid Email) on Sat Jul 12 2025 03:00:38 GMT-0700 (Pacific Daylight Time).</t>
      </text>
    </comment>
    <comment authorId="0" ref="GB56">
      <text>
        <t xml:space="preserve">Consent Check Run on Sat Jul 12 2025 03:00:05 GMT-0700 (Pacific Daylight Time). Result: No.</t>
      </text>
    </comment>
    <comment authorId="0" ref="FB222">
      <text>
        <t xml:space="preserve">Consent Check Run on Sat Jul 12 2025 02:09:31 GMT-0700 (Pacific Daylight Time). Result: No.</t>
      </text>
    </comment>
    <comment authorId="0" ref="GB23">
      <text>
        <t xml:space="preserve">PII Processed on Sat Jul 12 2025 02:59:28 GMT-0700 (Pacific Daylight Time). Email status: Success.</t>
      </text>
    </comment>
    <comment authorId="0" ref="FB189">
      <text>
        <t xml:space="preserve">Consent Check Run on Sat Jul 12 2025 02:09:05 GMT-0700 (Pacific Daylight Time). Result: No.</t>
      </text>
    </comment>
    <comment authorId="0" ref="FB156">
      <text>
        <t xml:space="preserve">Consent Check Run on Sat Jul 12 2025 02:08:40 GMT-0700 (Pacific Daylight Time). Result: No.</t>
      </text>
    </comment>
    <comment authorId="0" ref="FB123">
      <text>
        <t xml:space="preserve">Consent Check Run on Sat Jul 12 2025 02:08:16 GMT-0700 (Pacific Daylight Time). Result: No.</t>
      </text>
    </comment>
    <comment authorId="0" ref="FB90">
      <text>
        <t xml:space="preserve">Consent Check Run on Sat Jul 12 2025 02:07:52 GMT-0700 (Pacific Daylight Time). Result: No.</t>
      </text>
    </comment>
    <comment authorId="0" ref="FB57">
      <text>
        <t xml:space="preserve">Consent Check Run on Sat Jul 12 2025 02:07:28 GMT-0700 (Pacific Daylight Time). Result: No.</t>
      </text>
    </comment>
    <comment authorId="0" ref="FB24">
      <text>
        <t xml:space="preserve">Consent Check Run on Sat Jul 12 2025 02:07:06 GMT-0700 (Pacific Daylight Time). Result: No.</t>
      </text>
    </comment>
    <comment authorId="0" ref="GB486">
      <text>
        <t xml:space="preserve">Consent Check Run on Thu Apr 09 2026 01:11:42 GMT-0700 (Pacific Daylight Time). Result: No.</t>
      </text>
    </comment>
    <comment authorId="0" ref="GB453">
      <text>
        <t xml:space="preserve">Consent Check Run on Thu Apr 02 2026 10:59:35 GMT-0700 (Pacific Daylight Time). Result: No.</t>
      </text>
    </comment>
    <comment authorId="0" ref="GB420">
      <text>
        <t xml:space="preserve">Consent Check Run on Mon Jan 19 2026 10:35:47 GMT-0800 (Pacific Standard Time). Result: No.</t>
      </text>
    </comment>
    <comment authorId="0" ref="GB387">
      <text>
        <t xml:space="preserve">PII Processed on Mon Nov 10 2025 16:01:20 GMT-0800 (Pacific Standard Time). Email status: Success. ID: d7d55e2f0054327f18b5cc8c821e572cee7249d63ea512395b39875f6476d7a3</t>
      </text>
    </comment>
    <comment authorId="0" ref="GB354">
      <text>
        <t xml:space="preserve">PII Processed on Sat Oct 11 2025 07:01:04 GMT-0700 (Pacific Daylight Time). Email status: Success. ID: 255e7ca5b05c5e65df80c68d621167d11446e6b96e56d89a2eff757ccfa906ff</t>
      </text>
    </comment>
    <comment authorId="0" ref="GB321">
      <text>
        <t xml:space="preserve">Consent Check Run on Sat Sep 20 2025 23:21:25 GMT-0700 (Pacific Daylight Time). Result: No.</t>
      </text>
    </comment>
    <comment authorId="0" ref="GB288">
      <text>
        <t xml:space="preserve">Consent Check Run on Mon Sep 01 2025 18:56:21 GMT-0700 (Pacific Daylight Time). Result: No.</t>
      </text>
    </comment>
    <comment authorId="0" ref="GB255">
      <text>
        <t xml:space="preserve">PII Processed on Sat Aug 02 2025 11:52:09 GMT-0700 (Pacific Daylight Time). Email status: Success. ID: efd04dda3026116a6630a4d046e5fe7ea9ab0802f2a7375e5e3893baa7cf6983</t>
      </text>
    </comment>
    <comment authorId="0" ref="GB222">
      <text>
        <t xml:space="preserve">Consent Check Run on Sat Jul 12 2025 03:25:11 GMT-0700 (Pacific Daylight Time). Result: No.</t>
      </text>
    </comment>
    <comment authorId="0" ref="GB189">
      <text>
        <t xml:space="preserve">Consent Check Run on Sat Jul 12 2025 03:02:25 GMT-0700 (Pacific Daylight Time). Result: No.</t>
      </text>
    </comment>
    <comment authorId="0" ref="GB156">
      <text>
        <t xml:space="preserve">PII Processed on Sat Jul 12 2025 03:01:49 GMT-0700 (Pacific Daylight Time). Email status: Success.</t>
      </text>
    </comment>
    <comment authorId="0" ref="GB123">
      <text>
        <t xml:space="preserve">PII Processed on Sat Jul 12 2025 03:01:15 GMT-0700 (Pacific Daylight Time). Email status: Success.</t>
      </text>
    </comment>
    <comment authorId="0" ref="GB90">
      <text>
        <t xml:space="preserve">Consent Check Run on Sat Jul 12 2025 03:00:40 GMT-0700 (Pacific Daylight Time). Result: No.</t>
      </text>
    </comment>
    <comment authorId="0" ref="GB57">
      <text>
        <t xml:space="preserve">PII Processed (Invalid Email) on Sat Jul 12 2025 03:00:05 GMT-0700 (Pacific Daylight Time).</t>
      </text>
    </comment>
    <comment authorId="0" ref="FB223">
      <text>
        <t xml:space="preserve">Consent Check Run on Sat Jul 12 2025 02:09:31 GMT-0700 (Pacific Daylight Time). Result: No.</t>
      </text>
    </comment>
    <comment authorId="0" ref="GB24">
      <text>
        <t xml:space="preserve">Consent Check Run on Sat Jul 12 2025 02:59:29 GMT-0700 (Pacific Daylight Time). Result: No.</t>
      </text>
    </comment>
    <comment authorId="0" ref="FB190">
      <text>
        <t xml:space="preserve">Consent Check Run on Sat Jul 12 2025 02:09:06 GMT-0700 (Pacific Daylight Time). Result: No.</t>
      </text>
    </comment>
    <comment authorId="0" ref="FB157">
      <text>
        <t xml:space="preserve">Consent Check Run on Sat Jul 12 2025 02:08:41 GMT-0700 (Pacific Daylight Time). Result: No.</t>
      </text>
    </comment>
    <comment authorId="0" ref="FB124">
      <text>
        <t xml:space="preserve">Consent Check Run on Sat Jul 12 2025 02:08:17 GMT-0700 (Pacific Daylight Time). Result: No.</t>
      </text>
    </comment>
    <comment authorId="0" ref="FB91">
      <text>
        <t xml:space="preserve">Consent Check Run on Sat Jul 12 2025 02:07:52 GMT-0700 (Pacific Daylight Time). Result: No.</t>
      </text>
    </comment>
    <comment authorId="0" ref="FB58">
      <text>
        <t xml:space="preserve">Consent Check Run on Sat Jul 12 2025 02:07:29 GMT-0700 (Pacific Daylight Time). Result: No.</t>
      </text>
    </comment>
    <comment authorId="0" ref="FB25">
      <text>
        <t xml:space="preserve">Consent Check Run on Sat Jul 12 2025 02:07:07 GMT-0700 (Pacific Daylight Time). Result: No.</t>
      </text>
    </comment>
    <comment authorId="0" ref="GB487">
      <text>
        <t xml:space="preserve">Consent Check Run on Thu Apr 09 2026 06:37:25 GMT-0700 (Pacific Daylight Time). Result: No.</t>
      </text>
    </comment>
    <comment authorId="0" ref="GB454">
      <text>
        <t xml:space="preserve">PII Processed on Sat Apr 04 2026 16:54:49 GMT-0700 (Pacific Daylight Time). Email status: Success. ID: b8e4d29ac946d73383810eb89ead45583d8a4318d597e6ba91044f60827897c2</t>
      </text>
    </comment>
    <comment authorId="0" ref="GB421">
      <text>
        <t xml:space="preserve">PII Processed on Sat Jan 31 2026 14:41:40 GMT-0800 (Pacific Standard Time). Email status: Success. ID: 812c65bcdffb9be0a54d6ac9b7875182439858faaa3bb26f81ca01e6d680741e</t>
      </text>
    </comment>
    <comment authorId="0" ref="GB388">
      <text>
        <t xml:space="preserve">Consent Check Run on Tue Nov 11 2025 04:38:37 GMT-0800 (Pacific Standard Time). Result: No.</t>
      </text>
    </comment>
    <comment authorId="0" ref="GB355">
      <text>
        <t xml:space="preserve">PII Processed on Sat Oct 11 2025 09:01:51 GMT-0700 (Pacific Daylight Time). Email status: Success. ID: 0f3518a6b9cba4d5b11a21ffcf5f9605622e3fd791b9f470b20247fac0b43587</t>
      </text>
    </comment>
    <comment authorId="0" ref="GB322">
      <text>
        <t xml:space="preserve">PII Processed on Sun Sep 21 2025 13:21:15 GMT-0700 (Pacific Daylight Time). Email status: Success. ID: 9a9717ddbde715b7139181ae0a537c2bd6947093ff8bcee867bb68df4b20cb31</t>
      </text>
    </comment>
    <comment authorId="0" ref="GB289">
      <text>
        <t xml:space="preserve">Consent Check Run on Tue Sep 02 2025 21:08:09 GMT-0700 (Pacific Daylight Time). Result: No.</t>
      </text>
    </comment>
    <comment authorId="0" ref="GB256">
      <text>
        <t xml:space="preserve">Consent Check Run on Sun Aug 03 2025 07:14:44 GMT-0700 (Pacific Daylight Time). Result: No.</t>
      </text>
    </comment>
    <comment authorId="0" ref="GB223">
      <text>
        <t xml:space="preserve">PII Processed on Sat Jul 12 2025 03:28:52 GMT-0700 (Pacific Daylight Time). Email status: Failed</t>
      </text>
    </comment>
    <comment authorId="0" ref="GB190">
      <text>
        <t xml:space="preserve">Consent Check Run on Sat Jul 12 2025 03:02:25 GMT-0700 (Pacific Daylight Time). Result: No.</t>
      </text>
    </comment>
    <comment authorId="0" ref="GB157">
      <text>
        <t xml:space="preserve">PII Processed on Sat Jul 12 2025 03:01:51 GMT-0700 (Pacific Daylight Time). Email status: Success.</t>
      </text>
    </comment>
    <comment authorId="0" ref="GB124">
      <text>
        <t xml:space="preserve">PII Processed (Invalid Email) on Sat Jul 12 2025 03:01:16 GMT-0700 (Pacific Daylight Time).</t>
      </text>
    </comment>
    <comment authorId="0" ref="GB91">
      <text>
        <t xml:space="preserve">Consent Check Run on Sat Jul 12 2025 03:00:41 GMT-0700 (Pacific Daylight Time). Result: No.</t>
      </text>
    </comment>
    <comment authorId="0" ref="GB58">
      <text>
        <t xml:space="preserve">Consent Check Run on Sat Jul 12 2025 03:00:06 GMT-0700 (Pacific Daylight Time). Result: No.</t>
      </text>
    </comment>
    <comment authorId="0" ref="FB224">
      <text>
        <t xml:space="preserve">Consent Check Run on Sat Jul 12 2025 02:09:33 GMT-0700 (Pacific Daylight Time). Result: No.</t>
      </text>
    </comment>
    <comment authorId="0" ref="GB25">
      <text>
        <t xml:space="preserve">Consent Check Run on Sat Jul 12 2025 02:59:30 GMT-0700 (Pacific Daylight Time). Result: No.</t>
      </text>
    </comment>
    <comment authorId="0" ref="FB191">
      <text>
        <t xml:space="preserve">Consent Check Run on Sat Jul 12 2025 02:09:07 GMT-0700 (Pacific Daylight Time). Result: No.</t>
      </text>
    </comment>
    <comment authorId="0" ref="FB158">
      <text>
        <t xml:space="preserve">Consent Check Run on Sat Jul 12 2025 02:08:41 GMT-0700 (Pacific Daylight Time). Result: No.</t>
      </text>
    </comment>
    <comment authorId="0" ref="FB125">
      <text>
        <t xml:space="preserve">Consent Check Run on Sat Jul 12 2025 02:08:17 GMT-0700 (Pacific Daylight Time). Result: No.</t>
      </text>
    </comment>
    <comment authorId="0" ref="FB92">
      <text>
        <t xml:space="preserve">Consent Check Run on Sat Jul 12 2025 02:07:53 GMT-0700 (Pacific Daylight Time). Result: No.</t>
      </text>
    </comment>
    <comment authorId="0" ref="FB59">
      <text>
        <t xml:space="preserve">Consent Check Run on Sat Jul 12 2025 02:07:29 GMT-0700 (Pacific Daylight Time). Result: No.</t>
      </text>
    </comment>
    <comment authorId="0" ref="FB26">
      <text>
        <t xml:space="preserve">Consent Check Run on Sat Jul 12 2025 02:07:07 GMT-0700 (Pacific Daylight Time). Result: No.</t>
      </text>
    </comment>
    <comment authorId="0" ref="GB488">
      <text>
        <t xml:space="preserve">PII Processed on Thu Apr 09 2026 22:23:35 GMT-0700 (Pacific Daylight Time). Email status: Success. ID: c93a99481d000be6dbcaa7db1fc67e47777f757fced168216b97d0cee9483769</t>
      </text>
    </comment>
    <comment authorId="0" ref="GB455">
      <text>
        <t xml:space="preserve">Consent Check Run on Sat Apr 04 2026 17:15:22 GMT-0700 (Pacific Daylight Time). Result: No.</t>
      </text>
    </comment>
    <comment authorId="0" ref="GB422">
      <text>
        <t xml:space="preserve">Consent Check Run on Sat Jan 31 2026 18:38:23 GMT-0800 (Pacific Standard Time). Result: No.</t>
      </text>
    </comment>
    <comment authorId="0" ref="GB389">
      <text>
        <t xml:space="preserve">Consent Check Run on Tue Nov 11 2025 12:22:46 GMT-0800 (Pacific Standard Time). Result: No.</t>
      </text>
    </comment>
    <comment authorId="0" ref="GB356">
      <text>
        <t xml:space="preserve">PII Processed on Wed Oct 15 2025 03:19:17 GMT-0700 (Pacific Daylight Time). Email status: Success. ID: e7121038bfcd77a685b52449212540ae0e7f6d95183017b183667c323679ae7e</t>
      </text>
    </comment>
    <comment authorId="0" ref="GB323">
      <text>
        <t xml:space="preserve">PII Processed on Sun Sep 21 2025 13:24:31 GMT-0700 (Pacific Daylight Time). Email status: Success. ID: 5761b62514d14dfa33a10ba1e657c486374e032a3bb7a52c1db80529834912fb</t>
      </text>
    </comment>
    <comment authorId="0" ref="GB290">
      <text>
        <t xml:space="preserve">Consent Check Run on Tue Sep 02 2025 21:12:58 GMT-0700 (Pacific Daylight Time). Result: No.</t>
      </text>
    </comment>
    <comment authorId="0" ref="GB257">
      <text>
        <t xml:space="preserve">Consent Check Run on Sun Aug 03 2025 11:21:36 GMT-0700 (Pacific Daylight Time). Result: No.</t>
      </text>
    </comment>
    <comment authorId="0" ref="GB224">
      <text>
        <t xml:space="preserve">Consent Check Run on Sat Jul 12 2025 03:25:12 GMT-0700 (Pacific Daylight Time). Result: No.</t>
      </text>
    </comment>
    <comment authorId="0" ref="GB191">
      <text>
        <t xml:space="preserve">Consent Check Run on Sat Jul 12 2025 03:02:26 GMT-0700 (Pacific Daylight Time). Result: No.</t>
      </text>
    </comment>
    <comment authorId="0" ref="GB158">
      <text>
        <t xml:space="preserve">PII Processed on Sat Jul 12 2025 03:01:53 GMT-0700 (Pacific Daylight Time). Email status: Success.</t>
      </text>
    </comment>
    <comment authorId="0" ref="GB125">
      <text>
        <t xml:space="preserve">PII Processed on Sat Jul 12 2025 03:01:18 GMT-0700 (Pacific Daylight Time). Email status: Success.</t>
      </text>
    </comment>
    <comment authorId="0" ref="GB92">
      <text>
        <t xml:space="preserve">PII Processed on Sat Jul 12 2025 03:00:42 GMT-0700 (Pacific Daylight Time). Email status: Success.</t>
      </text>
    </comment>
    <comment authorId="0" ref="GB59">
      <text>
        <t xml:space="preserve">PII Processed on Sat Jul 12 2025 03:00:07 GMT-0700 (Pacific Daylight Time). Email status: Success.</t>
      </text>
    </comment>
    <comment authorId="0" ref="FB225">
      <text>
        <t xml:space="preserve">Consent Check Run on Sat Jul 12 2025 02:09:33 GMT-0700 (Pacific Daylight Time). Result: No.</t>
      </text>
    </comment>
    <comment authorId="0" ref="GB26">
      <text>
        <t xml:space="preserve">PII Processed on Sat Jul 12 2025 02:59:31 GMT-0700 (Pacific Daylight Time). Email status: Success.</t>
      </text>
    </comment>
    <comment authorId="0" ref="FB192">
      <text>
        <t xml:space="preserve">Consent Check Run on Sat Jul 12 2025 02:09:08 GMT-0700 (Pacific Daylight Time). Result: No.</t>
      </text>
    </comment>
    <comment authorId="0" ref="FB159">
      <text>
        <t xml:space="preserve">Consent Check Run on Sat Jul 12 2025 02:08:42 GMT-0700 (Pacific Daylight Time). Result: No.</t>
      </text>
    </comment>
    <comment authorId="0" ref="FB126">
      <text>
        <t xml:space="preserve">Consent Check Run on Sat Jul 12 2025 02:08:18 GMT-0700 (Pacific Daylight Time). Result: No.</t>
      </text>
    </comment>
    <comment authorId="0" ref="FB93">
      <text>
        <t xml:space="preserve">Consent Check Run on Sat Jul 12 2025 02:07:53 GMT-0700 (Pacific Daylight Time). Result: No.</t>
      </text>
    </comment>
    <comment authorId="0" ref="FB60">
      <text>
        <t xml:space="preserve">Consent Check Run on Sat Jul 12 2025 02:07:30 GMT-0700 (Pacific Daylight Time). Result: No.</t>
      </text>
    </comment>
    <comment authorId="0" ref="FB27">
      <text>
        <t xml:space="preserve">Consent Check Run on Sat Jul 12 2025 02:07:08 GMT-0700 (Pacific Daylight Time). Result: No.</t>
      </text>
    </comment>
    <comment authorId="0" ref="GB489">
      <text>
        <t xml:space="preserve">Consent Check Run on Fri Apr 10 2026 11:03:41 GMT-0700 (Pacific Daylight Time). Result: No.</t>
      </text>
    </comment>
    <comment authorId="0" ref="GB456">
      <text>
        <t xml:space="preserve">PII Processed on Sat Apr 04 2026 19:02:49 GMT-0700 (Pacific Daylight Time). Email status: Success. ID: bccc9bc6b52d4d0e5bd14b0697af33f8ade0b8d134135d4f309178692a26fd55</t>
      </text>
    </comment>
    <comment authorId="0" ref="GB423">
      <text>
        <t xml:space="preserve">PII Processed on Mon Feb 02 2026 17:31:00 GMT-0800 (Pacific Standard Time). Email status: Success. ID: ce5706fd67c5653ee109e233114f7d317b75befe9a869c3cd8857a842af3d89e</t>
      </text>
    </comment>
    <comment authorId="0" ref="GB390">
      <text>
        <t xml:space="preserve">PII Processed on Tue Nov 11 2025 15:21:36 GMT-0800 (Pacific Standard Time). Email status: Success. ID: a7093be4facb90e597ad997eff21b5a60351a2a24ec52666e0e6559b83b061ae</t>
      </text>
    </comment>
    <comment authorId="0" ref="GB357">
      <text>
        <t xml:space="preserve">PII Processed on Wed Oct 15 2025 12:37:16 GMT-0700 (Pacific Daylight Time). Email status: Success. ID: be91e49d8348992d5be25fe1932ca89ae09b459c57babd440bcd17ad495dadac</t>
      </text>
    </comment>
    <comment authorId="0" ref="GB324">
      <text>
        <t xml:space="preserve">PII Processed on Sun Sep 21 2025 13:43:29 GMT-0700 (Pacific Daylight Time). Email status: Success. ID: 89cb08961e118ae64f7571b86c6cb8482704197733447adb6cc0c3cf620a6e76</t>
      </text>
    </comment>
    <comment authorId="0" ref="GB291">
      <text>
        <t xml:space="preserve">Consent Check Run on Tue Sep 02 2025 21:55:27 GMT-0700 (Pacific Daylight Time). Result: No.</t>
      </text>
    </comment>
    <comment authorId="0" ref="GB258">
      <text>
        <t xml:space="preserve">PII Processed on Thu Aug 07 2025 04:13:57 GMT-0700 (Pacific Daylight Time). Email status: Success. ID: 94342a0396fc4a1e66df03be707cd9cfaf3dd7d3d22f26739f7c9ca65d9a34bf</t>
      </text>
    </comment>
    <comment authorId="0" ref="GB225">
      <text>
        <t xml:space="preserve">PII Processed on Sat Jul 12 2025 03:28:54 GMT-0700 (Pacific Daylight Time). Email status: Failed</t>
      </text>
    </comment>
    <comment authorId="0" ref="GB192">
      <text>
        <t xml:space="preserve">PII Processed (Invalid Email) on Sat Jul 12 2025 03:02:26 GMT-0700 (Pacific Daylight Time).</t>
      </text>
    </comment>
    <comment authorId="0" ref="GB159">
      <text>
        <t xml:space="preserve">PII Processed on Sat Jul 12 2025 03:01:54 GMT-0700 (Pacific Daylight Time). Email status: Success.</t>
      </text>
    </comment>
    <comment authorId="0" ref="GB126">
      <text>
        <t xml:space="preserve">Consent Check Run on Sat Jul 12 2025 03:01:18 GMT-0700 (Pacific Daylight Time). Result: No.</t>
      </text>
    </comment>
    <comment authorId="0" ref="GB93">
      <text>
        <t xml:space="preserve">PII Processed on Sat Jul 12 2025 03:00:43 GMT-0700 (Pacific Daylight Time). Email status: Success.</t>
      </text>
    </comment>
    <comment authorId="0" ref="GB60">
      <text>
        <t xml:space="preserve">PII Processed on Sat Jul 12 2025 03:00:09 GMT-0700 (Pacific Daylight Time). Email status: Success.</t>
      </text>
    </comment>
    <comment authorId="0" ref="FB226">
      <text>
        <t xml:space="preserve">Consent Check Run on Sat Jul 12 2025 02:09:35 GMT-0700 (Pacific Daylight Time). Result: No.</t>
      </text>
    </comment>
    <comment authorId="0" ref="GB27">
      <text>
        <t xml:space="preserve">Consent Check Run on Sat Jul 12 2025 02:59:31 GMT-0700 (Pacific Daylight Time). Result: No.</t>
      </text>
    </comment>
    <comment authorId="0" ref="FB193">
      <text>
        <t xml:space="preserve">Consent Check Run on Sat Jul 12 2025 02:09:09 GMT-0700 (Pacific Daylight Time). Result: No.</t>
      </text>
    </comment>
    <comment authorId="0" ref="FB160">
      <text>
        <t xml:space="preserve">Consent Check Run on Sat Jul 12 2025 02:08:43 GMT-0700 (Pacific Daylight Time). Result: No.</t>
      </text>
    </comment>
    <comment authorId="0" ref="FB127">
      <text>
        <t xml:space="preserve">Consent Check Run on Sat Jul 12 2025 02:08:18 GMT-0700 (Pacific Daylight Time). Result: No.</t>
      </text>
    </comment>
    <comment authorId="0" ref="FB94">
      <text>
        <t xml:space="preserve">Consent Check Run on Sat Jul 12 2025 02:07:54 GMT-0700 (Pacific Daylight Time). Result: No.</t>
      </text>
    </comment>
    <comment authorId="0" ref="FB61">
      <text>
        <t xml:space="preserve">Consent Check Run on Sat Jul 12 2025 02:07:30 GMT-0700 (Pacific Daylight Time). Result: No.</t>
      </text>
    </comment>
    <comment authorId="0" ref="FB28">
      <text>
        <t xml:space="preserve">Consent Check Run on Sat Jul 12 2025 02:07:08 GMT-0700 (Pacific Daylight Time). Result: No.</t>
      </text>
    </comment>
    <comment authorId="0" ref="GB490">
      <text>
        <t xml:space="preserve">PII Processed on Fri Apr 10 2026 22:38:39 GMT-0700 (Pacific Daylight Time). Email status: Success. ID: 91596f508c4ebf9566667b69c498c0c2d2333f36d8040eaf2470b9240c855521</t>
      </text>
    </comment>
    <comment authorId="0" ref="GB457">
      <text>
        <t xml:space="preserve">Consent Check Run on Sat Apr 04 2026 20:06:42 GMT-0700 (Pacific Daylight Time). Result: No.</t>
      </text>
    </comment>
    <comment authorId="0" ref="GB424">
      <text>
        <t xml:space="preserve">Consent Check Run on Sat Feb 07 2026 10:57:11 GMT-0800 (Pacific Standard Time). Result: No.</t>
      </text>
    </comment>
    <comment authorId="0" ref="GB391">
      <text>
        <t xml:space="preserve">PII Processed on Mon Nov 17 2025 04:09:46 GMT-0800 (Pacific Standard Time). Email status: Success. ID: 577fc96688e1162c6eba32c2d712c0f2b2f44a29f6f567defb23161c0dd0d065</t>
      </text>
    </comment>
    <comment authorId="0" ref="GB358">
      <text>
        <t xml:space="preserve">PII Processed on Fri Oct 17 2025 14:23:03 GMT-0700 (Pacific Daylight Time). Email status: Success. ID: 7a3391d9e7f6e18faaa5fdc3f21ba34048238de4228908c5a8b6ba739ac76632</t>
      </text>
    </comment>
    <comment authorId="0" ref="GB325">
      <text>
        <t xml:space="preserve">PII Processed on Sun Sep 21 2025 14:07:54 GMT-0700 (Pacific Daylight Time). Email status: Success. ID: 7af87d23cc6e83ac4f12473f1a9cc180db2d315bd0f9f9e4a0451848c8ebc3ee</t>
      </text>
    </comment>
    <comment authorId="0" ref="GB292">
      <text>
        <t xml:space="preserve">PII Processed on Tue Sep 02 2025 22:21:18 GMT-0700 (Pacific Daylight Time). Email status: Success. ID: 3e196c137d6adc4219c12e3e331099d60b3c6758e1f4447df6fba2c93b87f24d</t>
      </text>
    </comment>
    <comment authorId="0" ref="GB259">
      <text>
        <t xml:space="preserve">PII Processed on Thu Aug 07 2025 15:18:55 GMT-0700 (Pacific Daylight Time). Email status: Success. ID: e7be9cc65ce9c8699dd311402f1bd469893ba39690e87920d629462166e6ca12</t>
      </text>
    </comment>
    <comment authorId="0" ref="GB226">
      <text>
        <t xml:space="preserve">PII Processed on Sat Jul 12 2025 03:28:58 GMT-0700 (Pacific Daylight Time). Email status: Failed</t>
      </text>
    </comment>
    <comment authorId="0" ref="GB193">
      <text>
        <t xml:space="preserve">PII Processed (Invalid Email) on Sat Jul 12 2025 03:02:27 GMT-0700 (Pacific Daylight Time).</t>
      </text>
    </comment>
    <comment authorId="0" ref="GB160">
      <text>
        <t xml:space="preserve">Consent Check Run on Sat Jul 12 2025 03:01:54 GMT-0700 (Pacific Daylight Time). Result: No.</t>
      </text>
    </comment>
    <comment authorId="0" ref="GB127">
      <text>
        <t xml:space="preserve">PII Processed on Sat Jul 12 2025 03:01:19 GMT-0700 (Pacific Daylight Time). Email status: Success.</t>
      </text>
    </comment>
    <comment authorId="0" ref="GB94">
      <text>
        <t xml:space="preserve">PII Processed on Sat Jul 12 2025 03:00:44 GMT-0700 (Pacific Daylight Time). Email status: Success.</t>
      </text>
    </comment>
    <comment authorId="0" ref="GB61">
      <text>
        <t xml:space="preserve">Consent Check Run on Sat Jul 12 2025 03:00:10 GMT-0700 (Pacific Daylight Time). Result: No.</t>
      </text>
    </comment>
    <comment authorId="0" ref="FB227">
      <text>
        <t xml:space="preserve">Consent Check Run on Sat Jul 12 2025 02:09:35 GMT-0700 (Pacific Daylight Time). Result: No.</t>
      </text>
    </comment>
    <comment authorId="0" ref="GB28">
      <text>
        <t xml:space="preserve">PII Processed on Sat Jul 12 2025 02:59:33 GMT-0700 (Pacific Daylight Time). Email status: Success.</t>
      </text>
    </comment>
    <comment authorId="0" ref="FB194">
      <text>
        <t xml:space="preserve">Consent Check Run on Sat Jul 12 2025 02:09:09 GMT-0700 (Pacific Daylight Time). Result: No.</t>
      </text>
    </comment>
    <comment authorId="0" ref="FB161">
      <text>
        <t xml:space="preserve">Consent Check Run on Sat Jul 12 2025 02:08:44 GMT-0700 (Pacific Daylight Time). Result: No.</t>
      </text>
    </comment>
    <comment authorId="0" ref="FB128">
      <text>
        <t xml:space="preserve">Consent Check Run on Sat Jul 12 2025 02:08:19 GMT-0700 (Pacific Daylight Time). Result: No.</t>
      </text>
    </comment>
    <comment authorId="0" ref="FB95">
      <text>
        <t xml:space="preserve">Consent Check Run on Sat Jul 12 2025 02:07:55 GMT-0700 (Pacific Daylight Time). Result: No.</t>
      </text>
    </comment>
  </commentList>
</comments>
</file>

<file path=xl/sharedStrings.xml><?xml version="1.0" encoding="utf-8"?>
<sst xmlns="http://schemas.openxmlformats.org/spreadsheetml/2006/main" count="177330" uniqueCount="12201">
  <si>
    <t>Timestamp</t>
  </si>
  <si>
    <t>Consent</t>
  </si>
  <si>
    <t>In which COUNTRY were you BORN?</t>
  </si>
  <si>
    <t xml:space="preserve">In which country are you primarily located now? </t>
  </si>
  <si>
    <t>Please select the US State or Territory in which you were BORN</t>
  </si>
  <si>
    <t>In which US STATE or TERRITORY do you live or primarily reside in NOW?</t>
  </si>
  <si>
    <t>How would you describe your race or ethnicity? (Please select all that apply, or specify if your identity is not listed)</t>
  </si>
  <si>
    <t>What is your approximate age?</t>
  </si>
  <si>
    <t>Which generation do you most identify with?</t>
  </si>
  <si>
    <t>What is the highest level of education you have completed?</t>
  </si>
  <si>
    <t>Family Upbringing &amp; Adoption Status</t>
  </si>
  <si>
    <t>Thinking about your MOTHER (or primary female/maternal guardian) during your upbringing, what was her highest level of education, to the best of your knowledge?</t>
  </si>
  <si>
    <t>What was the primary profession or field of work for your MOTHER (or primary female/maternal guardian) during your upbringing?</t>
  </si>
  <si>
    <t>Thinking about your FATHER (or primary male/paternal guardian) during your upbringing, what was his highest level of education, to the best of your knowledge?</t>
  </si>
  <si>
    <t>What was the primary profession or field of work for your FATHER (or primary male/paternal guardian) during your upbringing?</t>
  </si>
  <si>
    <t>How would you generally describe your family's socioeconomic status during your childhood?</t>
  </si>
  <si>
    <t>Politically, how would you generally describe your views or your family's views during your upbringing?</t>
  </si>
  <si>
    <t>How do you identify your SEXUALITY?</t>
  </si>
  <si>
    <t>How do you currently describe your GENDER identity?</t>
  </si>
  <si>
    <t>What sex were you assigned at birth?</t>
  </si>
  <si>
    <t>In which CANADIAN PROVINCE were you BORN?</t>
  </si>
  <si>
    <t>In which CANADIAN PROVINCE do you live NOW?</t>
  </si>
  <si>
    <t>Was religion a significant part of your upbringing?</t>
  </si>
  <si>
    <t xml:space="preserve">PRIMARY TRADITION(S):
Which religious or spiritual tradition(s) were most significant in your family's upbringing (or are most significant to you now)? </t>
  </si>
  <si>
    <t>Christian Denominations/Traditions</t>
  </si>
  <si>
    <t>Within your specific Christian tradition/upbringing, was infant circumcision generally viewed as:</t>
  </si>
  <si>
    <t xml:space="preserve">Were you taught or did you understand there to be any specific theological basis for or against penile circumcision within your Christian context </t>
  </si>
  <si>
    <t>Anything else you'd like to share about your perspective as a Christian?</t>
  </si>
  <si>
    <t>Which Jewish denomination or movement do you (or your family during your upbringing) most closely identify with?</t>
  </si>
  <si>
    <t>In your upbringing or current understanding within your Jewish context, how was/is Brit Milah (ritual circumcision) generally viewed?</t>
  </si>
  <si>
    <t xml:space="preserve">Were you aware of or taught about specific theological or historical reasons for Brit Milah? </t>
  </si>
  <si>
    <t xml:space="preserve"> If yes or somewhat, what were the main reasons or interpretations you recall being emphasized? </t>
  </si>
  <si>
    <t xml:space="preserve">How important is the act of Brit Milah to your personal sense of Jewish identity or connection to the Jewish people? </t>
  </si>
  <si>
    <t>Have you ever encountered or explored interpretations within Judaism that question the necessity of physical circumcision or offer alternative ways to express covenant or Jewish identity?</t>
  </si>
  <si>
    <t>Any thoughts on these alternative interpretations?</t>
  </si>
  <si>
    <t>From your perspective, how much room is there for diverse viewpoints or evolving practices regarding Brit Milah within contemporary Jewish life?</t>
  </si>
  <si>
    <t>Have you/your family participated in or considered alternative welcoming ceremonies, like a Brit Shalom (Covenant of Peace) or similar non-cutting ritual?</t>
  </si>
  <si>
    <t>Which school of Islamic thought (madhhab), theological branch, or cultural expression of Islam do you (or your family during your upbringing) most closely identify with, if any?</t>
  </si>
  <si>
    <t>In your upbringing or current understanding within your Islamic context, how was/is Khitan (penile circumcision, also sometimes known as Sunnet) generally viewed?</t>
  </si>
  <si>
    <t xml:space="preserve">Were you aware of or taught about specific religious reasons or justifications for Khitan? </t>
  </si>
  <si>
    <t xml:space="preserve">If yes or somewhat, what were the main reasons or interpretations you recall being emphasized? </t>
  </si>
  <si>
    <t>In your understanding, is Khitan considered a direct commandment (Fard) from the Quran, or more of an emphasized Sunnah (prophetic tradition) and cultural norm?</t>
  </si>
  <si>
    <t>How important is the act of Khitan to your personal sense of Muslim identity, adherence to Sunnah, or feeling of ritual purity?</t>
  </si>
  <si>
    <t>Have you ever encountered or explored interpretations within Islam that question the absolute necessity of Khitan, discuss potential harms, or emphasize the Quran's silence on the matter?</t>
  </si>
  <si>
    <t>Any thoughts on these alternative interpretations or perspectives?</t>
  </si>
  <si>
    <t>From your perspective, how much room is there for diverse viewpoints or evolving practices regarding Khitan within contemporary Islamic life?</t>
  </si>
  <si>
    <t xml:space="preserve">How do you/your family reconcile the choice of intactness with the common practice of Khitan in many Muslim cultures? </t>
  </si>
  <si>
    <t>Thinking about your penis today, how do you generally FEEL about its physical appearance?</t>
  </si>
  <si>
    <t>Rating Sexual Experience Factors
Please rate the following aspects of your own sexual experience on a scale of 1 to 5 [Intensity of Orgasm]</t>
  </si>
  <si>
    <t>Rating Sexual Experience Factors
Please rate the following aspects of your own sexual experience on a scale of 1 to 5 [Duration of Orgasm Sensation]</t>
  </si>
  <si>
    <t>Rating Sexual Experience Factors
Please rate the following aspects of your own sexual experience on a scale of 1 to 5 [Overall Ease of Reaching Orgasm]</t>
  </si>
  <si>
    <t>Rating Sexual Experience Factors
Please rate the following aspects of your own sexual experience on a scale of 1 to 5 [Sensitivity to Light Touch]</t>
  </si>
  <si>
    <t>Rating Sexual Experience Factors
Please rate the following aspects of your own sexual experience on a scale of 1 to 5 [Pleasure from Mobile Skin]</t>
  </si>
  <si>
    <t>Rating Sexual Experience Factors
Please rate the following aspects of your own sexual experience on a scale of 1 to 5 [Variety of Pleasurable Sensations]</t>
  </si>
  <si>
    <t>How would you describe the general sensitivity of your penis to various types of touch and stimulation?</t>
  </si>
  <si>
    <t>How would you describe your typical ORGASM experience in terms of its INTENSITY, BUILD-UP, and overall QUALITY of pleasure?</t>
  </si>
  <si>
    <t>DURATION: How long do the primary pleasurable sensations of your typical orgasm last?</t>
  </si>
  <si>
    <t>And, if you're comfortable sharing, how would you rate your general confidence that your orgasms are as intense or fulfilling as possible?</t>
  </si>
  <si>
    <t>Do you generally need to use artificial LUBRICATION (e.g., store-bought lube, saliva, lotion) for comfortable and pleasurable masturbation or partnered sex?</t>
  </si>
  <si>
    <t>Any additional comments on your experience with lubrication (or lack of need for it)?</t>
  </si>
  <si>
    <t>When it comes to partnered sex and intimacy, have you ever felt it was difficult to communicate what types of touch provide you with genuine pleasure?</t>
  </si>
  <si>
    <t>If you have experienced this disconnect, could you briefly elaborate on what that's like or in what situations it occurs?</t>
  </si>
  <si>
    <t>Thinking about your typical sexual arousal, do you notice the presence of pre-ejaculate fluid (sometimes called 'pre-cum' or Cowper's gland fluid – a clear fluid released from the penis before orgasm/ejaculation)?</t>
  </si>
  <si>
    <t>How would you describe your ability to communicate your sexual needs and what provides you pleasure to a partner?</t>
  </si>
  <si>
    <t>Overall, how PROUD or satisfied are you with your penis, considering all aspects (appearance, how it functions, and the pleasure it provides)?</t>
  </si>
  <si>
    <t>What is your circumcision state?</t>
  </si>
  <si>
    <t>🟢 What do you consider the main ADVANTAGES of being intact/having a foreskin?</t>
  </si>
  <si>
    <t>🟢   Have you experienced any DRAWBACKS or challenges related to being intact/having a foreskin?</t>
  </si>
  <si>
    <t>🟢 Can you recall when you first understood what "being circumcised" actually meant—not just that some boys were different, but the specifics of it being a surgical alteration of genitals?</t>
  </si>
  <si>
    <t>🟢  Based on what you know or believe (or assume), what were the PRIMARY REASONS your parents chose for you to remain intact?</t>
  </si>
  <si>
    <t>🟢 Who do you believe was the PRIMARY DRIVER or key advocate for the decision to keep you intact within your family?</t>
  </si>
  <si>
    <t>🟢 Based on what you know, how was the topic of circumcision likely handled around the time of your birth? (If applicable)</t>
  </si>
  <si>
    <t>🟢 Have you ever experienced feelings such as REGRET, embarrassment, resentment, anger, or a wish that you had been circumcised?</t>
  </si>
  <si>
    <t>🟢 If you have had such feelings (even if mild or infrequent), when did they first emerge, and what do you think primarily triggers them or what aspects of being intact contribute most to them?</t>
  </si>
  <si>
    <t>🟢 Have you ever had a direct conversation with your parents (or guardians) about their decision to LEAVE YOU INTACT?</t>
  </si>
  <si>
    <t xml:space="preserve">🟢 If you haven't asked them, will you share why? </t>
  </si>
  <si>
    <t>🟢 Have you ever experienced or required any medical interventions, procedures, or forced actions related to your foreskin or intact anatomy?</t>
  </si>
  <si>
    <t xml:space="preserve">🟢 If yes, please briefly describe the intervention(s), your age at the time, who initiated it (e.g., parent, doctor, self), and any effects (physical or emotional) that you feel are significant.  </t>
  </si>
  <si>
    <t xml:space="preserve">🟢 Would you like to share anything about what it was like for you growing up intact? </t>
  </si>
  <si>
    <t>🟢 How would you describe your complete FORESKIN (the moveable sheath of skin) play in your sexual experiences (masturbation or partnered sex)?</t>
  </si>
  <si>
    <t>🟢 And what about the FRENULUM (the V-shaped band of tissue on the underside, connecting the foreskin to the glans)? How would you describe its contribution to your sexual pleasure, if you are specifically aware of it?</t>
  </si>
  <si>
    <t>🟢 Have you ever wondered what it would be like to experience sex or masturbation with a CIRCUMCISED penis?</t>
  </si>
  <si>
    <t>🟢 If you have wondered, what aspects are you most curious about (e.g., different sensations, the impact of constant glans exposure, different mechanics)?</t>
  </si>
  <si>
    <t>🟢 If you have had sexual experiences with circumcised partners, have you discussed with them or observed any differences in their reported sensitivity, sexual function, orgasm quality, or need for lubrication compared to your own experience as an intact person?</t>
  </si>
  <si>
    <t xml:space="preserve">🟢 If yes, can you briefly describe the types of differences you've noted? </t>
  </si>
  <si>
    <t>🟢 As an intact individual, have you ever felt pressure (social, cultural, from partners, or medical professionals) to consider circumcision for yourself, or have you ever personally researched or seriously contemplated getting circumcised?</t>
  </si>
  <si>
    <t>🟢 Before encountering discussions like this survey (or in intactivist/restoration communities, if applicable), how much thought had you given to the fact that you are intact, or to the specifics of why your penis wasn't surgically altered?</t>
  </si>
  <si>
    <t>🟢 How do you feel about terms like "uncircumcised" or "uncut" to describe your natural state?</t>
  </si>
  <si>
    <t xml:space="preserve">🟢 What's one thing you wish individuals who are circumcised (or parents considering circumcision for their sons) truly understood about being intact? </t>
  </si>
  <si>
    <t>🔵  At what age were you circumcised, if you know?</t>
  </si>
  <si>
    <t>🔵  Can you recall when you first understood what "being circumcised" actually meant in terms of a physical alteration to your body?</t>
  </si>
  <si>
    <t>🔵  What do you consider the main ADVANTAGES of being circumcised?</t>
  </si>
  <si>
    <t>🔵  Have you experienced any DRAWBACKS or challenges related to being circumcised?</t>
  </si>
  <si>
    <t>🔵  If you had to speculate, who do you think was the PRIMARY DRIVER of the decision to have you circumcised in your family?</t>
  </si>
  <si>
    <t>🔵  What was the reason(s) given for your circumcision, if you know/have learned?</t>
  </si>
  <si>
    <t>🔵  Based on your understanding of healthcare at the time, how do you believe the topic of circumcision was likely PRESENTED to your parents by the hospital or doctor?</t>
  </si>
  <si>
    <t>🔵Thinking about the era in which you were born and what you know of your parents and their community, which of the following sources of information or influence do you believe were the MOST CRITICAL in their decision to circumcise you?</t>
  </si>
  <si>
    <t>🔵  When you look at your penis, how would you describe the specific characteristics of your circumcision? (e.g., amount of shaft skin remaining, tightness during erection, scar visibility/texture, evenness of skin removal, glans exposure when flaccid/erect).</t>
  </si>
  <si>
    <t xml:space="preserve">🔵  How do you personally perceive your circumcision scar? </t>
  </si>
  <si>
    <t>🔵  Have you ever wondered what it would be like to experience sex or masturbation with an intact penis (i.e., with a complete foreskin)?</t>
  </si>
  <si>
    <t>🔵 If you have wondered, what aspects are you most curious about?</t>
  </si>
  <si>
    <t>🔵After your initial circumcision, have you ever required or undergone any further medical interventions, treatments, or surgeries related to your penis or circumcision site?</t>
  </si>
  <si>
    <t xml:space="preserve">🔵  If yes, please briefly describe the intervention(s), your age at the time, who initiated it (e.g., parent, doctor, self), and any effects (physical or emotional) that you feel are significant.  </t>
  </si>
  <si>
    <t>🔵  Have you ever experienced feelings that could be described as RESENTMENT, loss, anger, grief or regret in relation to your circumcision?</t>
  </si>
  <si>
    <t>🔵  If you have had such feelings (even if mild or infrequent), when did they first emerge, and what do you think primarily triggers them or what aspects of being circumcised contribute most to them?</t>
  </si>
  <si>
    <t xml:space="preserve">🔵  Separate from any formal interventions, have you personally experienced any ongoing physical SYMPTOMS or challenges you attribute to your circumcision? </t>
  </si>
  <si>
    <t>🔵  If yes, please briefly describe the issue(s)</t>
  </si>
  <si>
    <t>🔵  Have you ever had a direct conversation with your parents (or guardians) about their decision to have you circumcised?</t>
  </si>
  <si>
    <t xml:space="preserve">🔵  If you haven't asked them, could you share why? </t>
  </si>
  <si>
    <t>🔵  If you could send a message to the parents who made the decision for you to be circumcised, what would it be?</t>
  </si>
  <si>
    <t>🔵  Have you ever considered or researched options like foreskin RESTORATION (using methods to gradually regrow skin for glans coverage) or foreskin REGENERATION (biomedical approaches to grow new foreskin tissue, like Foregen's research)?</t>
  </si>
  <si>
    <t>🔵 Before encountering discussions like this survey (or in intactivist/restoration communities, if applicable), how much thought had you given to the fact that you are circumcised, or to the specifics of how/why your penis was surgically altered?</t>
  </si>
  <si>
    <t>What is your FATHER'S (or primary male guardian's) circumcision state, to the best of your knowledge?</t>
  </si>
  <si>
    <t>Do you have any male (AMAB) SIBLINGS (brothers, including half-brothers or step-brothers raised with you) and if so, how many</t>
  </si>
  <si>
    <t>What is your siblings' circumcision state?</t>
  </si>
  <si>
    <t>Since there is a mix of circumcision states among you and your siblings(s), do you know anything about why the decision was different for different children?</t>
  </si>
  <si>
    <t>🟣  Before you began (or seriously considered) foreskin restoration, how would you have described your feelings about being circumcised?</t>
  </si>
  <si>
    <t>🟣  What were/are your PRIMARY motivations for pursuing foreskin restoration?</t>
  </si>
  <si>
    <t>🟣  What was your approximate age when you began actively restoring or seriously researching restoration methods?</t>
  </si>
  <si>
    <t>🟣  What methods of restoration have you primarily used or found most effective for you?</t>
  </si>
  <si>
    <t>🟣  How long have you been actively restoring?</t>
  </si>
  <si>
    <t xml:space="preserve">🟣  Have you been open with partners, friends, or family about your restoration journey? </t>
  </si>
  <si>
    <t>🟣  When you began your restoration journey, what was your approximate starting Real Coverage Index (RCI) score, if you know or can estimate?</t>
  </si>
  <si>
    <t>🟣  What is your approximate CURRENT Real Coverage Index (RCI) score, if you are still restoring? Or what was your final RCI score if you consider yourself 'done' or have achieved your primary coverage goals?</t>
  </si>
  <si>
    <t>🟣  Have you experienced noticeable changes in penile SENSITIVITY (general or specific, like in the frenular area) as a result of your restoration? Please describe.</t>
  </si>
  <si>
    <t>🟣  Has restoration impacted the quality, intensity, or nature of your ORGASMS? If so, how?</t>
  </si>
  <si>
    <t>🟣  How has restoration affected your need for LUBRICATION during masturbation or partnered sex?</t>
  </si>
  <si>
    <t>🟣  From your perspective, what does the term "uncircumcised" or "uncut" mean to you as someone who has restored?</t>
  </si>
  <si>
    <t>🟣 What has been the most challenging aspect of your restoration journey? What has been the most rewarding?</t>
  </si>
  <si>
    <t>🟣  What advice would you offer to someone considering starting foreskin restoration?</t>
  </si>
  <si>
    <t>🟣  Are you aware of any scientific research focused on biologically regenerating or regrowing human foreskin tissue (e.g., using stem cells or tissue engineering)?</t>
  </si>
  <si>
    <t>🟣  Knowing this possibility exists:
How does it influence your feelings about your own circumcision state or restoration journey?</t>
  </si>
  <si>
    <t>🟣  Anything else you'd like to say about biological Regenerative Technologies</t>
  </si>
  <si>
    <t>🟠  What primarily motivated you to take this survey and explore these topics?</t>
  </si>
  <si>
    <t>🟠 As a PARTNER, what have you observed or experienced regarding your partner's genital anatomy (intact, circumcised, or restoring) and its impact on your shared intimacy, their sexual pleasure, or their feelings about their body?</t>
  </si>
  <si>
    <t>🟠 If you are the PARTNER of someone whose circumcision status is different from what is most common in your culture, have you noticed any specific ways this impacts your relationship, communication, or intimacy (positively or negatively)?</t>
  </si>
  <si>
    <t>🟠As a PARENT or GUARDIAN  What were/are the most significant factors influencing your decision (or your thought process if undecided) about circumcision for your child or children:</t>
  </si>
  <si>
    <t>🟠  As a PARENT or GUARDIAN, how adequate or biased did you find the information available to you from medical professionals or other sources when making this decision?</t>
  </si>
  <si>
    <t>🟠 As PARENTS/GUARDIANS which statement best captures the emotional state you (or your partner) are/were in regarding their whether to circumcise your child or children?</t>
  </si>
  <si>
    <t>🟠 Have you ever experienced feelings of REGRET or reconsidered that decision based on information learned later or changes in your perspective?</t>
  </si>
  <si>
    <t>🟠  What is your general stance or approach when counseling parents about routine infant circumcision? [With PARENTS in a clinical setting]</t>
  </si>
  <si>
    <t>🟠 What training, guidelines, or protocols have most influenced how you present circumcision to parents?</t>
  </si>
  <si>
    <t>🟠In your practice, what are the most common questions or concerns you hear from parents regarding this procedure?</t>
  </si>
  <si>
    <t>🟠 What, if any, changes have you observed in medical consensus or parental attitudes towards routine infant circumcision (RIC) over the course of your career?</t>
  </si>
  <si>
    <t>🟠 What was your personal "tipping point" that moved you from a passive observer to an active advocate?</t>
  </si>
  <si>
    <t>🟠 Conversely, what strategy or argument have you found to be the least effective or most likely to backfire and shut down a conversation?</t>
  </si>
  <si>
    <t>🟠  Do you see any parallels or significant divergences in how society discusses or treats non-therapeutic penile cutting versus clitoral/vulvar cutting (sometimes referred to as female circumcision or  FGM (female genital mutilation)?</t>
  </si>
  <si>
    <t>🟠  From your unique standpoint, what is the most significant societal MISCONCEPTION or BLIND SPOT you observe regarding male circumcision, intactness, or their lifelong impacts?</t>
  </si>
  <si>
    <t>🟠  Is there anything else you'd like to share based on your observations, experiences, or your reasons for being interested in this topic?</t>
  </si>
  <si>
    <t>In general, how do you view the relationship between the human body's natural state and medical interventions?</t>
  </si>
  <si>
    <t>In your family or the community you grew up in, what was the general EXPECTATION for newborn boys regarding circumcision?</t>
  </si>
  <si>
    <t xml:space="preserve">In your view, or based on what you understood from your upbringing/community, penile circumcision is primarily seen as: </t>
  </si>
  <si>
    <t>Additional comments</t>
  </si>
  <si>
    <t>Thinking back to your upbringing or just general societal messages (from peers, media, family, health class), what was a common STEREOTYPE, assumption, or "fact" that 'everyone seemed to know' about INTACT (uncircumcised) penises?</t>
  </si>
  <si>
    <t>Similarly, what was a common STEREOTYPE, assumption, or "fact" that 'everyone seemed to know' about CIRCUMCISED penises?</t>
  </si>
  <si>
    <t>Please indicate which state (Intact or Circumcised) you believe is MORE LIKELY to be associated with the following attributes. 
 [Medically Healthier]</t>
  </si>
  <si>
    <t>Please indicate which state (Intact or Circumcised) you believe is MORE LIKELY to be associated with the following attributes. 
 [More Hygienic / Cleaner]</t>
  </si>
  <si>
    <t>Please indicate which state (Intact or Circumcised) you believe is MORE LIKELY to be associated with the following attributes. 
 [More 'Natural' Looking]</t>
  </si>
  <si>
    <t>Please indicate which state (Intact or Circumcised) you believe is MORE LIKELY to be associated with the following attributes. 
 [More Aesthetically Pleasing / "Better" Looking]</t>
  </si>
  <si>
    <t>Please indicate which state (Intact or Circumcised) you believe is MORE LIKELY to be associated with the following attributes. 
 [More Sensitive / Greater Pleasure Potential]</t>
  </si>
  <si>
    <t>Please indicate which state (Intact or Circumcised) you believe is MORE LIKELY to be associated with the following attributes. 
 [Easier to Care For]</t>
  </si>
  <si>
    <t>Please indicate which state (Intact or Circumcised) you believe is MORE LIKELY to be associated with the following attributes. 
 [More 'Manly' or 'Masculine']</t>
  </si>
  <si>
    <t>Please indicate which state (Intact or Circumcised) you believe is MORE LIKELY to be associated with the following attributes. 
 [More Modern / Progressive]</t>
  </si>
  <si>
    <t>Please indicate which state (Intact or Circumcised) you believe is MORE LIKELY to be associated with the following attributes. 
 [More Traditional / Old-Fashioned]</t>
  </si>
  <si>
    <t>Please indicate which state (Intact or Circumcised) you believe is MORE LIKELY to be associated with the following attributes. 
 [More Socially Acceptable (in your primary culture)]</t>
  </si>
  <si>
    <t>Please indicate which state (Intact or Circumcised) you believe is MORE LIKELY to be associated with the following attributes. 
 [Preferred by Sexual Partners (in general)]</t>
  </si>
  <si>
    <t>Please indicate which state (Intact or Circumcised) you believe is MORE LIKELY to be associated with the following attributes. 
 [Associated with Higher Intelligence/Education (of parents who choose it)]</t>
  </si>
  <si>
    <t>Please indicate which state (Intact or Circumcised) you believe is MORE LIKELY to be associated with the following attributes. 
 [Associated with Higher Socioeconomic Status (of parents who choose it)]</t>
  </si>
  <si>
    <t>Please indicate which state (Intact or Circumcised) you believe is MORE LIKELY to be associated with the following attributes. 
 [Associated with Liberal/Progressive Values (of parents who choose it)]</t>
  </si>
  <si>
    <t>Please indicate which state (Intact or Circumcised) you believe is MORE LIKELY to be associated with the following attributes. 
 [Associated with Conservative/Traditional Values (of parents who choose it)]</t>
  </si>
  <si>
    <t>Putting aside your personal satisfaction or feelings, which state do you generally believe to be MEDICALLY HEALTHIER or more HYGIENIC overall?</t>
  </si>
  <si>
    <t>Again, putting aside your own personal level of satisfaction, which state do you generally BELIEVE offers a greater POTENTIAL for physical sexual pleasure and sensation?</t>
  </si>
  <si>
    <t>Based on your life experiences, conversations, and media consumption, what do you believe is the general preference of sexual partners (of any gender) regarding a partner's circumcision state (intact vs. circumcised) in your culture?</t>
  </si>
  <si>
    <t>What do you believe has most shaped this perceived preference?</t>
  </si>
  <si>
    <t>Purely in terms of AESTHETICS (visual appearance), which look do you personally find more appealing?</t>
  </si>
  <si>
    <t>Based on your own experiences, observations, and everything you've heard or read, which group of men do you believe, on average, experiences more intense or fulfilling SEXUAL PLEASURE AND ORGASM?</t>
  </si>
  <si>
    <t>In your specific cultural context (e.g., in the US, in Europe, in your community), which state do you believe is perceived as more SOCIALLY NORMAL and ACCEPTABLE?</t>
  </si>
  <si>
    <t>Based on everything you know and have experienced, if you were to have a child assigned male at birth today, what would your decision regarding circumcision be, and what is the single most important reason for that choice?</t>
  </si>
  <si>
    <t>When considering a NON-THERAPEUTIC, irreversible surgical procedure on a healthy infant (meaning there is no existing disease to treat), which principle do you believe should be given more weight?</t>
  </si>
  <si>
    <t>What do you think is the single most important piece of information that people (especially expectant parents or young men) are MISSING when it comes to understanding male genital anatomy, intactness, and the lifelong impacts of circumcision?</t>
  </si>
  <si>
    <t>The "Accidental Intactivist" (that's me, the survey author!) argues that routine infant circumcision is a "transparent monster" – a significant harm hiding in plain sight, normalized by culture. 
Does this metaphor resonate with your own observations or feelings? Why or why not?</t>
  </si>
  <si>
    <t>Please feel free to briefly explain your answer. Why does (or doesn't) this metaphor feel accurate to you?</t>
  </si>
  <si>
    <t>Is there anything else you'd like to share about your experiences, observations, feelings about this topic, or anything this survey didn't cover that you feel is important?</t>
  </si>
  <si>
    <t>Would you be willing to be contacted anonymously by the survey author and team (the 'Accidental Intactivist') for a potential follow-up interview to discuss your experiences in more detail for research purposes? Your identity would remain confidential.</t>
  </si>
  <si>
    <t>Preferred email address</t>
  </si>
  <si>
    <t>Other Contact Method</t>
  </si>
  <si>
    <t>Beyond this anonymous survey, would you be open to potentially contributing your perspective in other ways to help further understanding of this topic?</t>
  </si>
  <si>
    <t>Are there ways you might feel comfortable sharing your personal story or perspective beyond this survey, perhaps in a more direct (though still potentially anonymous or pseudonymous) format if opportunities arose?</t>
  </si>
  <si>
    <t>🔵  To what extent do you typically notice or pay attention to whether other men have the SAME circumcision state as you do?</t>
  </si>
  <si>
    <t>🔵  And to what extent do you typically notice or pay attention to whether other men have a DIFFERENT circumcision state than you do?</t>
  </si>
  <si>
    <t>🔵  When you DO notice someone's circumcision state (whether same or different from yours), how significant or prominent is that observation for you compared to other physical characteristics you might notice about a person (e.g., height, build, hair color, tattoos, etc.)?</t>
  </si>
  <si>
    <t>🟢 To what extent do you typically notice or pay attention to whether other men have the SAME intact status as you do?</t>
  </si>
  <si>
    <t>🟢 And to what extent do you typically notice or pay attention to whether other men have a DIFFERENT circumcision state than you do?</t>
  </si>
  <si>
    <t>🟢 When you DO notice someone's circumcision state (whether same or different from yours), how significant or prominent is that observation for you compared to other physical characteristics you might notice about a person (e.g., height, build, hair color, tattoos, etc.)?</t>
  </si>
  <si>
    <t>🟣Thank you for sharing insights into your restoration journey!</t>
  </si>
  <si>
    <t>Please specify the country or territory in which you were born</t>
  </si>
  <si>
    <t>Please specify the COUNTRY/REGION/TERRITORY where you primarily live now.</t>
  </si>
  <si>
    <t>CULTURAL BACKGROUND:
Which religious or spiritual tradition(s), if any, best describes the CULTURAL or ANCESTRAL background of your family?</t>
  </si>
  <si>
    <t>One last question to help us improve our outreach: Where did you first hear about this survey?</t>
  </si>
  <si>
    <t>🟢 Do you have Pearly Penile Papules (PPP) – the small, harmless, dome-shaped bumps often found in rows around the corona (the ridge of the glans)</t>
  </si>
  <si>
    <t>🟢 If you have (or had) PPP, has their presence ever impacted your self-consciousness, body image, or interactions with partners? Please share any relevant experiences</t>
  </si>
  <si>
    <t>🔵  Are you aware of having Pearly Penile Papules (PPP) – the small, harmless bumps that can sometimes appear around the corona (the ridge of the glans)</t>
  </si>
  <si>
    <t>🔵  If you have (or had) PPP, how has their presence factored into your overall feelings about your penis or its appearance?</t>
  </si>
  <si>
    <t>In what type of location were you born?</t>
  </si>
  <si>
    <t>Who was the primary medical attendant at your birth, to the best of your knowledge?</t>
  </si>
  <si>
    <t>🟢 To the best of your knowledge, what was the circumcision norm within your parents' immediate social circle (close friends, family) at the time of your birth?</t>
  </si>
  <si>
    <t>🟢 Beyond general knowledge, do you know if your parents encountered any specific sources of information that influenced their decision to keep you intact?</t>
  </si>
  <si>
    <t>🟢 Do you have any reason to believe your parents' decision was influenced by a negative personal or observed experience with circumcision?</t>
  </si>
  <si>
    <t>🟢 Based on what you've been told, did your parents encounter any pushback or questioning from medical staff, family, or friends when they made their decision to keep you intact?</t>
  </si>
  <si>
    <t>🟢 Based on your lifelong understanding of your parents, which of the following traits or values would you say strongly characterized them?</t>
  </si>
  <si>
    <t>🔵 To the best of your knowledge, what was the circumcision norm within your parents' immediate social circle (close friends, family) at the time of your birth?</t>
  </si>
  <si>
    <t>🔵 Reflecting on the information likely available to your parents at the time, how would you characterize the quality and balance of that information regarding circumcision?</t>
  </si>
  <si>
    <t>🔵 When you think about your parents making this decision, which of these statements best captures the emotional or psychological state you believe they were in?</t>
  </si>
  <si>
    <t>🔵 Have you ever sensed or discussed whether your parents, in retrospect, had any second thoughts or regrets about their decision, especially as more information has become available over the years?</t>
  </si>
  <si>
    <t>🟣 Was there a single piece of information, a specific experience, or a particular realization that acted as the "final straw" or tipping point, moving you from passive feelings about being circumcised to the active decision to begin restoring?</t>
  </si>
  <si>
    <t>🟣 When you have chosen to disclose your restoration journey to others (partners, friends, family, medical professionals), what has the general reaction been?</t>
  </si>
  <si>
    <t>🟣 How has the act of restoring changed your relationship with your own genitals and your overall body image?</t>
  </si>
  <si>
    <t>🟣 What does "success" or "completion" look like for you in your restoration journey?</t>
  </si>
  <si>
    <t>🟠 What has most shaped your current understanding or opinion about penile circumcision?</t>
  </si>
  <si>
    <t>🟠 In your personal experience and social circles, how is the topic of infant circumcision generally treated or discussed?</t>
  </si>
  <si>
    <t>🟠 When you think about the decision to circumcise a newborn, how significant or impactful do you perceive that choice to be in the grand scheme of a person's life?</t>
  </si>
  <si>
    <t>🟠 Imagine a close friend or family member was expecting a boy and asked for your thoughts on circumcision. How comfortable and prepared would you feel to discuss the pros and cons from different perspectives?</t>
  </si>
  <si>
    <t>Reflecting on media you've consumed throughout your life (e.g., movies, TV, pornography, health education), how do you believe it has shaped the cultural "default" or "ideal" for what a penis should look like?</t>
  </si>
  <si>
    <t>How significant a role do you believe social pressures—like the fear of a child "looking different" in a locker room or to future partners—play in the continuation of routine infant circumcision in cultures where it's common?</t>
  </si>
  <si>
    <t>Broadening the lens for a moment: What is your general stance on performing medically unnecessary, permanent cosmetic alterations on a minor who cannot consent?</t>
  </si>
  <si>
    <t>Looking forward 20-30 years, where do you predict the practice of routine infant circumcision will be in your primary country/culture?</t>
  </si>
  <si>
    <t>🔵 What was the primary nature of your circumcision?</t>
  </si>
  <si>
    <t>🔵 Was this procedure something you actively consented to and chose for yourself?</t>
  </si>
  <si>
    <t>🔵 Reflecting on the information you received before the procedure, how well-informed did you feel about the potential changes to sensation, the full range of risks, and non-surgical alternatives (if applicable)?</t>
  </si>
  <si>
    <t>🔵 How would you describe your role in the decision-making process?</t>
  </si>
  <si>
    <t>🔵 What were the specific reasons or motivations that led to your circumcision?</t>
  </si>
  <si>
    <t>🔵 Thinking about your experience as an intact person BEFORE you were circumcised, please rate the following:  [Overall satisfaction with the APPEARANCE of your penis]</t>
  </si>
  <si>
    <t>🔵 Thinking about your experience as an intact person BEFORE you were circumcised, please rate the following:  [Overall satisfaction with the FUNCTION of your penis (e.g., gliding, natural lubrication)]</t>
  </si>
  <si>
    <t>🔵 Thinking about your experience as an intact person BEFORE you were circumcised, please rate the following:  [INTENSITY of your orgasms]</t>
  </si>
  <si>
    <t>🔵 Thinking about your experience as an intact person BEFORE you were circumcised, please rate the following:  [EASE of reaching orgasm]</t>
  </si>
  <si>
    <t>🔵 Thinking about your experience as an intact person BEFORE you were circumcised, please rate the following:  [General SENSITIVITY to light touch]</t>
  </si>
  <si>
    <t>🔵 Thinking about your experience as an intact person BEFORE you were circumcised, please rate the following:  [Your sense of HYGIENE and ease of care]</t>
  </si>
  <si>
    <t>🔵 Now, thinking about your experience AFTER you were fully healed from your circumcision, please rate the change you've experienced in those same areas. [Overall satisfaction with the APPEARANCE of your penis]</t>
  </si>
  <si>
    <t>🔵 Now, thinking about your experience AFTER you were fully healed from your circumcision, please rate the change you've experienced in those same areas. [Overall satisfaction with the FUNCTION of your penis (e.g., gliding, natural lubrication)]</t>
  </si>
  <si>
    <t>🔵 Now, thinking about your experience AFTER you were fully healed from your circumcision, please rate the change you've experienced in those same areas. [INTENSITY of your orgasms]</t>
  </si>
  <si>
    <t>🔵 Now, thinking about your experience AFTER you were fully healed from your circumcision, please rate the change you've experienced in those same areas. [EASE of reaching orgasm]</t>
  </si>
  <si>
    <t>🔵 Now, thinking about your experience AFTER you were fully healed from your circumcision, please rate the change you've experienced in those same areas. [General SENSITIVITY to light touch]</t>
  </si>
  <si>
    <t>🔵 Now, thinking about your experience AFTER you were fully healed from your circumcision, please rate the change you've experienced in those same areas. [Your sense of HYGIENE and ease of care]</t>
  </si>
  <si>
    <t>🔵 In your own words, what has the transition to your "new normal" been like?</t>
  </si>
  <si>
    <t>🔵 Overall, looking back, how do you feel about your choice to be circumcised (or the decision that was made for you)?</t>
  </si>
  <si>
    <t>🔵 What advice would you give to another intact adult who is considering circumcision today?</t>
  </si>
  <si>
    <t>🔵 Is there anything else you'd like to share about your experience being circumcised as a teen or adult?</t>
  </si>
  <si>
    <t>🟣 Overall, how would you rate the impact of your restoration journey on the following aspects of your experience? [Overall Sensation &amp; Pleasure]</t>
  </si>
  <si>
    <t>🟣 Overall, how would you rate the impact of your restoration journey on the following aspects of your experience? [Orgasm Quality &amp; Intensity]</t>
  </si>
  <si>
    <t>🟣 Overall, how would you rate the impact of your restoration journey on the following aspects of your experience? [Mechanical Function (e.g., gliding, natural lubrication)]</t>
  </si>
  <si>
    <t>🟣 Overall, how would you rate the impact of your restoration journey on the following aspects of your experience? [Physical Comfort (e.g., reduced tightness, chafing)]</t>
  </si>
  <si>
    <t>🟣 Overall, how would you rate the impact of your restoration journey on the following aspects of your experience? [Aesthetic Appearance &amp; Body Image]</t>
  </si>
  <si>
    <t>🟣 Overall, how would you rate the impact of your restoration journey on the following aspects of your experience? [Psychological Well-being &amp; Sense of Wholeness]</t>
  </si>
  <si>
    <t>🟠 What are the primary reasons you now feel regret or have second thoughts about your decision?</t>
  </si>
  <si>
    <t>🟠  As a PARTNER, what have you observed or experienced regarding his genital anatomy (intact, circumcised, or restoring) and its impact on your shared intimacy, his sexual pleasure, or his feelings about his body?</t>
  </si>
  <si>
    <t>🟠  If your PARTNER'S circumcision state is different from what is most common in your culture, have you noticed any specific ways this impacts your relationship, communication, or intimacy (positively or negatively)?</t>
  </si>
  <si>
    <t>🟠  What is your general stance or approach when counseling parents about routine infant circumcision?</t>
  </si>
  <si>
    <t>🟠 What training or protocols influenced how you present circumcision to parents? Have you noticed changes over your career?</t>
  </si>
  <si>
    <t xml:space="preserve">🟠In your practice, what are the most common questions or concerns you hear from parents regarding this procedure?
</t>
  </si>
  <si>
    <t>🟠  What, if any, changes have you observed in medical consensus or parental attitudes towards RIC over your career?</t>
  </si>
  <si>
    <t>🟠  What do you believe is the most critical barrier to widespread recognition of non-therapeutic infant circumcision as an ethical or human rights concern?</t>
  </si>
  <si>
    <t>🟠  What strategy or piece of information do you find most effective in engaging people in thoughtful conversation about this topic?</t>
  </si>
  <si>
    <t>🟠  As a WOMAN, do you see any parallels or significant divergences in how society discusses or treats non-therapeutic penile cutting versus clitoral/vulvar cutting (sometimes referred to as female circumcision or  FGM (female genital mutilation)?</t>
  </si>
  <si>
    <t>🟠 Which of the following best describes your family's situation regarding the circumcision of your son(s) or AMAB children?</t>
  </si>
  <si>
    <t>🟠 Did your child require any follow-up medical interventions due to complications from being circumcised?</t>
  </si>
  <si>
    <t>🟠 Knowing this, would you be open to confidentially learning more about what becoming a plaintiff in such a case might entail for your family?</t>
  </si>
  <si>
    <t>🟠 Are You Wearing Any Other Hat(s) Today?</t>
  </si>
  <si>
    <t>🟠 If yes, is there anything you're willing to share about any complications or medical treatments your child required following their circumcision?</t>
  </si>
  <si>
    <t xml:space="preserve"> 🟠 Thinking about the birth of your child or children, what was the primary type of location where they were/will be born?</t>
  </si>
  <si>
    <t>🟠 What is/was the circumcision state of your CO-PARENT or PRIMARY PARTNER during this decision-making process?</t>
  </si>
  <si>
    <t>🟠 Before you gave birth to your child, had you ever had any direct, personal experience with an intact (uncircumcised) penis?</t>
  </si>
  <si>
    <t>🟠 In your immediate social circle (close friends, peers, family) at the time, what was the general expectation or norm for newborn boys?</t>
  </si>
  <si>
    <t>🟠 What is the circumcision state of your primary PARTNER, or the partner whose experience is most relevant to your answers here?</t>
  </si>
  <si>
    <t>🟠 To help us understand the time frame of you as a parent in what year was your youngest son/AMAB child born?</t>
  </si>
  <si>
    <t>🟠 In what year was your OLDEST son/AMAB child born?</t>
  </si>
  <si>
    <t>🟠 Thinking about your YOUNGEST son/AMAB child, what was the decision you made regarding his circumcision?</t>
  </si>
  <si>
    <t>🟠 To begin, which of the following best describes your primary parenting or guardianship role for the AMAB (Assigned Male at Birth) child(ren) relevant to your answers?</t>
  </si>
  <si>
    <t>🟠 Were you (and your spouse/partner if applicable,) the primary decision-maker for your child's circumcision, or had the procedure already been performed before they came into your care (e.g., through family blending or adoption)?</t>
  </si>
  <si>
    <t>🟠 In what year was your YOUNGEST son/AMAB child for whom a different decision was made born?</t>
  </si>
  <si>
    <t>🟠 Between these children, something shifted in your decision-making process. What were the key factors that led you to make a DIFFERENT choice?</t>
  </si>
  <si>
    <t>🟠 If you're willing to share, could you tell us the story of that evolution in your own words?</t>
  </si>
  <si>
    <t>🟠 What was the experience of making a different choice like for your family?</t>
  </si>
  <si>
    <t>🟠 Looking back now, how do you feel about having children with different statuses?</t>
  </si>
  <si>
    <t>🟠 Thinking about your OLDEST son/AMAB child, what was the decision you made regarding his circumcision?</t>
  </si>
  <si>
    <t>🟠  As a PARENT or GUARDIAN, what were the most significant factors influencing your decision to keep your child or children intact?</t>
  </si>
  <si>
    <t>🟠 To the best of your knowledge, what was the circumcision norm within your immediate social circle (close friends, family) at the time you made this choice?</t>
  </si>
  <si>
    <t>🟠 Did you encounter any pushback, questioning, or pressure from medical staff, family, or friends regarding your decision to keep your child or children intact?</t>
  </si>
  <si>
    <t>🟠 Looking back, have you ever experienced feelings of REGRET or reconsidered that decision to keep your child or children intact?</t>
  </si>
  <si>
    <t>🟠   What advice would you give to a new parent who is undecided about circumcising their child?</t>
  </si>
  <si>
    <t>🟠  Do you personally know of a parent who might fit this specific profile?</t>
  </si>
  <si>
    <t>🟠 Beyond the general factors you just selected, can you pinpoint any specific resources, events, or key pieces of information that acted as a "tipping point" for your decision?</t>
  </si>
  <si>
    <t>🟠 What were the most significant factors influencing your decision to have your child or children circumcised?</t>
  </si>
  <si>
    <t>🟠 Thinking about the timeline, when did you finalize your decision to keep your son intact?</t>
  </si>
  <si>
    <t>🟠 Thinking about the timeline, when did you finalize your decision to have your (first) son circumcised?</t>
  </si>
  <si>
    <t>🟠 To the best of your knowledge, what was the circumcision norm within your immediate social circle (close friends, family) at the time you made this choice? 2</t>
  </si>
  <si>
    <t>🟠 Before making your decision, were you ever exposed to information or perspectives that were critical of or advised against routine infant circumcision?</t>
  </si>
  <si>
    <t>🟠 Has your son ever given you any feedback or expressed feelings (positive, negative, or neutral) about his circumcision?</t>
  </si>
  <si>
    <t>🟠 If your son did express feelings about it, what was your emotional experience as a parent during that conversation?</t>
  </si>
  <si>
    <t>🟠 Before making your decision, were you ever exposed to information or perspectives that were strongly in favor of routine infant circumcision?</t>
  </si>
  <si>
    <t>🟠 Have any of your son(s)/AMAB children ever given you any feedback or expressed feelings (positive, negative, or neutral) about their intact status?</t>
  </si>
  <si>
    <t>🟠 If your son did express feelings about it, what was your emotional experience as a parent during that conversation? 2</t>
  </si>
  <si>
    <t>🟠 What advice would you give to a new parent who is undecided about circumcising their child?</t>
  </si>
  <si>
    <t>🟠 Has your partner's circumcision state ever been a direct topic of conversation between you?</t>
  </si>
  <si>
    <t>🟠 From your perspective, which of the following statements best describes your partner's emotional relationship with his own genital anatomy and circumcision state?</t>
  </si>
  <si>
    <t>🟠 What advice would you offer to other partners to foster a more empathetic and connected intimate relationship, considering the nuances of circumcision state?</t>
  </si>
  <si>
    <t>🟠 How has your partner's circumcision state impacted communication about sexual pleasure in your relationship?</t>
  </si>
  <si>
    <t>🟠 From your perspective, what is the most significant misconception the general public has about your partner's anatomical state (intact, circumcised, or restoring)?</t>
  </si>
  <si>
    <t>🟠 What is your PRIMARY MEDICAL ROLE or specialty?</t>
  </si>
  <si>
    <t>🟠  What is your general stance or approach when counseling parents about routine infant circumcision? [With medical COLLEAGUES]</t>
  </si>
  <si>
    <t>🟠  What is your general stance or approach when counseling parents about routine infant circumcision? [With FRIENDS or FAMILY in a personal setting]</t>
  </si>
  <si>
    <t>🟠 How often, in your experience, does the topic of foreskin function, gliding mechanics, or specific sensory structures come up during the informed consent process with parents?</t>
  </si>
  <si>
    <t>🟠 From your professional viewpoint, how adequate do you believe the typical informed consent process is for routine infant circumcision in your region?</t>
  </si>
  <si>
    <t>🟠 Have you personally seen or treated complications resulting from infant circumcision in your practice?</t>
  </si>
  <si>
    <t>🟠  If you're willing to share, what types of complications have you seen?</t>
  </si>
  <si>
    <t>🟠 From your unique standpoint within the healthcare system, what do you believe is the most significant societal MISCONCEPTION or BLIND SPOT regarding male circumcision?</t>
  </si>
  <si>
    <t>🟠 In what type of facility or practice setting do you primarily work?</t>
  </si>
  <si>
    <t>🟠 If you are male/AMAB, what is your own circumcision state?</t>
  </si>
  <si>
    <t>🟠 Looking ahead 10-20 years, where do you predict the practice of routine infant circumcision will be in your country?</t>
  </si>
  <si>
    <t>🟠 How would you best describe your primary role or focus within the genital autonomy movement?</t>
  </si>
  <si>
    <t>🟠 In your experience, what do you believe is the most critical barrier to widespread recognition of non-therapeutic infant circumcision as an ethical or human rights concern?</t>
  </si>
  <si>
    <t>🟠 What strategy, argument, or piece of information do you find most effective in engaging people in a thoughtful, productive conversation about this topic?</t>
  </si>
  <si>
    <t>🟠 Looking forward, where do you believe the genital autonomy movement should be focusing its energy and resources for the greatest impact over the next 5 years?</t>
  </si>
  <si>
    <t>🟠 Before encountering this survey or similar discussions, what was your general understanding or awareness of the differences between an intact and a circumcised penis?</t>
  </si>
  <si>
    <t>🟠 Have you had direct, personal experience (e.g., through intimate partners) with both intact and circumcised male partners?</t>
  </si>
  <si>
    <t>🟠 If you have experience with both, have you observed any noticeable differences in terms of intimacy, function, or your partner's experience?</t>
  </si>
  <si>
    <t>🟠  What has most shaped your current understanding or opinion about penile circumcision?</t>
  </si>
  <si>
    <t>🟠 From your unique standpoint, what do you believe is the most significant societal MISCONCEPTION or BLIND SPOT you observe regarding this entire issue?</t>
  </si>
  <si>
    <t>🟠 What is your primary field of study or research discipline?</t>
  </si>
  <si>
    <t>🟠 What is your current academic or professional status?</t>
  </si>
  <si>
    <t>🟠 What is your primary interest in the topic of genital cutting / circumcision?</t>
  </si>
  <si>
    <t>🟠 From your perspective as a researcher or student, how might a large, qualitative/quantitative dataset like the one we are building be useful for your own work or field of study?</t>
  </si>
  <si>
    <t>🟠 What do you see as the biggest methodological challenge or limitation in conducting research on this topic?</t>
  </si>
  <si>
    <t>🟠 If you hold a pro-circumcision or skeptical viewpoint regarding intactivist messaging, what is the strongest piece of evidence or a key logical argument that underpins your perspective?</t>
  </si>
  <si>
    <t>🟠 From your unique standpoint, what do you believe is the most significant gap in the current academic literature regarding genital cutting /circumcision?</t>
  </si>
  <si>
    <t>🟠 As you navigate this decision, what are the primary sources of information you are relying on or have consulted so far?</t>
  </si>
  <si>
    <t>🟠 What are the main arguments or reasons IN FAVOR of circumcision that you are currently weighing?</t>
  </si>
  <si>
    <t>🟠 And what are the main arguments or reasons AGAINST circumcision (i.e., for leaving your son intact) that you are weighing?</t>
  </si>
  <si>
    <t>🟠 How would you describe the emotional state you and your partner (if applicable) are in regarding this decision?</t>
  </si>
  <si>
    <t>🟠 What is the single most important question you have that, if answered, would help you make your final decision with more confidence?</t>
  </si>
  <si>
    <t>🟠 Thinking about the possibility of choosing circumcision, what is your biggest FEAR or ANXIETY about that potential outcome?</t>
  </si>
  <si>
    <t>🟠 Now, thinking about the possibility of leaving your son intact, what is your biggest FEAR or ANXIETY about that potential outcome?</t>
  </si>
  <si>
    <t>🟠 In general, what is your primary reason for SKEPTICISM regarding the anti-circumcision or intactivist movement?</t>
  </si>
  <si>
    <t>🟠 Which pro-circumcision argument do you find to be the most logically sound or compelling?</t>
  </si>
  <si>
    <t>🟠 Conversely, which anti-circumcision (intactivist) argument do you find to be the weakest, least convincing, or most flawed?</t>
  </si>
  <si>
    <t>🟠 What would it take for you to find the intactivist perspective more credible or persuasive?</t>
  </si>
  <si>
    <t>🟠 Is there anything else you'd like to share about your perspective or the reasons for your skepticism?</t>
  </si>
  <si>
    <t>🔴Before your gender-affirming surgery, what was the circumcision state of your penis?</t>
  </si>
  <si>
    <t>Which part of the survey is most relevant to you?</t>
  </si>
  <si>
    <t>🔴Did your pre-surgery circumcision state have any notable impact on your gender-affirming surgery?</t>
  </si>
  <si>
    <t>🔴Looking back now, how do you feel about your pre-surgery circumcision state?</t>
  </si>
  <si>
    <t>🔴Would you be willing to reflect on your experience before your GRS?</t>
  </si>
  <si>
    <t>🔴Which type of masculinizing gender-affirming bottom surgery have you undergone?</t>
  </si>
  <si>
    <t>🔴During your surgical process, was a "circumcised" or "intact" (with a constructed foreskin) appearance a choice you considered or discussed with your surgical team?</t>
  </si>
  <si>
    <t>🔴How satisfied are you with the final outcome, specifically in relation to this aspect of its appearance and function? [Aesthetic Appearance]</t>
  </si>
  <si>
    <t>🔴How satisfied are you with the final outcome, specifically in relation to this aspect of its appearance and function? [Sensation (if applicable)]</t>
  </si>
  <si>
    <t>🔴How satisfied are you with the final outcome, specifically in relation to this aspect of its appearance and function? [Overall sense of bodily congruence / feeling "right"]</t>
  </si>
  <si>
    <t>🔴From your unique perspective of having actively constructed an affirming body, what are your thoughts on performing non-consensual, non-therapeutic genital surgery on infants?</t>
  </si>
  <si>
    <t>⚪  How has the topic of non-consensual or "normalizing" genital surgery intersected with your own life and body?</t>
  </si>
  <si>
    <t>⚪From your unique perspective, how do you see the common practice of routine infant circumcision in relation to the broader issue of Intersex Genital Mutilation (IGM)?</t>
  </si>
  <si>
    <t>⚪ In addition to your experience as an intersex person, do you also have experiences that align with the Intact or Circumcised pathways?</t>
  </si>
  <si>
    <t xml:space="preserve"> [I actively recommend AGAINST the procedure, citing ethical/medical reasons.]</t>
  </si>
  <si>
    <t xml:space="preserve"> [I lean against it, but present it as the parents' choice.]</t>
  </si>
  <si>
    <t xml:space="preserve"> [I present it as a completely neutral choice with pros and cons.]</t>
  </si>
  <si>
    <t xml:space="preserve"> [I lean towards it, but present it as the parents' choice.]</t>
  </si>
  <si>
    <t xml:space="preserve"> [I actively recommend IN FAVOR of the procedure.]</t>
  </si>
  <si>
    <t xml:space="preserve"> [I avoid the topic / The topic does not come up.]</t>
  </si>
  <si>
    <t>🟠 Were you the primary decision-maker for your child's circumcision, or had the procedure already been performed before they came into your care (e.g., through adoption)?</t>
  </si>
  <si>
    <t>🔵 Now, thinking about your experience *after* you were fully healed from your circumcision, please rate the change you've experienced in those same areas.</t>
  </si>
  <si>
    <t>I have read and understood the information above, and I consent to participate in this survey. (Required to proceed)</t>
  </si>
  <si>
    <t>Mexico</t>
  </si>
  <si>
    <t>United States of America (USA)</t>
  </si>
  <si>
    <t>CA - California</t>
  </si>
  <si>
    <t>Hispanic / Latino / Latina / Latinx</t>
  </si>
  <si>
    <t>26 - 35</t>
  </si>
  <si>
    <t>Millennial/Gen Y (born 1981-1996)</t>
  </si>
  <si>
    <t>Bachelor's degree (e.g., BA, BS)</t>
  </si>
  <si>
    <t>I was raised by one or both of my birth/biological parents.</t>
  </si>
  <si>
    <t>Less than high school diploma</t>
  </si>
  <si>
    <t>Stay-at-Home Parent / Homemaker</t>
  </si>
  <si>
    <t>High school diploma or GED</t>
  </si>
  <si>
    <t>Factory / Manufacturing / General Labor</t>
  </si>
  <si>
    <t>Working class / Lower-middle income (Family generally met basic needs but had few financial extras or savings)</t>
  </si>
  <si>
    <t>Moderate / Centrist</t>
  </si>
  <si>
    <t>Bisexual, Asexual</t>
  </si>
  <si>
    <t>Man</t>
  </si>
  <si>
    <t>Male /AMAB (Assigned Male at Birth)</t>
  </si>
  <si>
    <t>Yes, somewhat significant</t>
  </si>
  <si>
    <t>Christian</t>
  </si>
  <si>
    <t>Catholic (Roman Catholic)</t>
  </si>
  <si>
    <t>Discouraged or seen as unnecessary</t>
  </si>
  <si>
    <t>Negative</t>
  </si>
  <si>
    <t>3 (Medium/Average)</t>
  </si>
  <si>
    <t>0-5 seconds</t>
  </si>
  <si>
    <t>Moderately confident, seems pretty good</t>
  </si>
  <si>
    <t>Never find it necessary; my body's natural lubrication (or saliva) is sufficient.</t>
  </si>
  <si>
    <t>Varies Greatly: The amount changes significantly depending on arousal level, time, etc., making it hard to generalize.</t>
  </si>
  <si>
    <t>Not applicable</t>
  </si>
  <si>
    <t>Neutral or ambivalent</t>
  </si>
  <si>
    <t>Intact (Never circumcised)</t>
  </si>
  <si>
    <t>More natural appearance and function.</t>
  </si>
  <si>
    <t>Odor, need to clean to not smell.</t>
  </si>
  <si>
    <t>Teenage years (e.g., health class, peer discussions)</t>
  </si>
  <si>
    <t>Cultural Background/Family Tradition (of intactness): They came from a family or cultural background where intactness was the norm., Born Abroad: You were born in a country where routine infant circumcision was not the cultural or medical norm at the time.</t>
  </si>
  <si>
    <t>I really have no way of knowing.</t>
  </si>
  <si>
    <t>I have no idea.</t>
  </si>
  <si>
    <t>No, never; I have always been glad to be intact.</t>
  </si>
  <si>
    <t>No, I have never asked them about their decision.</t>
  </si>
  <si>
    <t>I was afraid it would be an awkward or uncomfortable conversation.</t>
  </si>
  <si>
    <t>No</t>
  </si>
  <si>
    <t>Yes, I've occasionally wondered</t>
  </si>
  <si>
    <t>A great deal of thought</t>
  </si>
  <si>
    <t>"intact" in non-sexual settings, "uncut" in more private or sexual settings.</t>
  </si>
  <si>
    <t>It's not that mysterious or difficult, the majority of the world is intact and is perfectly fine.</t>
  </si>
  <si>
    <t>Definitely Intact</t>
  </si>
  <si>
    <t>Likely Circumcised</t>
  </si>
  <si>
    <t>No Significant Difference / Equally Likely</t>
  </si>
  <si>
    <t>Likely Intact</t>
  </si>
  <si>
    <t>The intact state (with normal hygiene) is significantly healthier.</t>
  </si>
  <si>
    <t>The intact state offers significantly more potential for pleasure/sensation.</t>
  </si>
  <si>
    <t>Most partners tend to prefer circumcised partners, but it's not a 'deal-breaker.'</t>
  </si>
  <si>
    <t>I strongly prefer the appearance of the intact (uncircumcised) penis.</t>
  </si>
  <si>
    <t>There is no significant difference in pleasure potential between the two groups.</t>
  </si>
  <si>
    <t>White / Caucasian / European American</t>
  </si>
  <si>
    <t>56 - 65</t>
  </si>
  <si>
    <t>Generation X (born 1965-1980)</t>
  </si>
  <si>
    <t>Some college / Associate's degree</t>
  </si>
  <si>
    <t>Some college/Associate's degree</t>
  </si>
  <si>
    <t>Straight/Heterosexual</t>
  </si>
  <si>
    <t>Not at all significant</t>
  </si>
  <si>
    <t>1 (Low/Poor)</t>
  </si>
  <si>
    <t>variable</t>
  </si>
  <si>
    <t>difficult to reach orgasm</t>
  </si>
  <si>
    <t>6-15 seconds</t>
  </si>
  <si>
    <t>Not at all confident, feels like something is missing</t>
  </si>
  <si>
    <t>Sometimes, depending on the situation or partner.</t>
  </si>
  <si>
    <t>Yes, I've occasionally experienced this.</t>
  </si>
  <si>
    <t>there is a very narrow window of sensation that must not be disturbed or it's back to the starting point</t>
  </si>
  <si>
    <t>A Small Amount: I typically notice a drop or two, or a slight moistness at the tip of my penis.</t>
  </si>
  <si>
    <t>Sometimes challenging</t>
  </si>
  <si>
    <t>Very dissatisfied</t>
  </si>
  <si>
    <t>Actively restoring my foreskin / I consider myself restored</t>
  </si>
  <si>
    <t>Neonatal/Infant (within first few weeks/months)</t>
  </si>
  <si>
    <t>Early childhood</t>
  </si>
  <si>
    <t>absolutely ZERO...it is VILE</t>
  </si>
  <si>
    <t>I, at 57 years old, have never had a normal intimate relationship...the mutilation is always there</t>
  </si>
  <si>
    <t>It was likely a mutual decision without significant debate.</t>
  </si>
  <si>
    <t>my parents never researched at all.... my father had been mutilated at birth in 1928...they never looked beyond the...everybody does it</t>
  </si>
  <si>
    <t>As a routine, almost automatic procedure included with standard newborn care ("It's just what we do").</t>
  </si>
  <si>
    <t>Institutional Medical Norm: The general belief that "this is just the standard procedure" at hospitals, making it a routine, unquestioned part of postpartum care. (The power of the system).</t>
  </si>
  <si>
    <t>I was mutilated with a plastibel... I was left with nearly no inner skin, no frenulum at all, and I have a broad swath of scars that it looks as though the ligature was pulled so tight it tore through my skin before the intended necrosis</t>
  </si>
  <si>
    <t>It's a source of some dissatisfaction or body-image concern for me.</t>
  </si>
  <si>
    <t>Yes, I've often wondered</t>
  </si>
  <si>
    <t>I would give up nearly anything to be whole and un-mutilated... I long to know what I cannot know... what is it like to have my complete body</t>
  </si>
  <si>
    <t>Yes, these feelings are or have been strong and frequent</t>
  </si>
  <si>
    <t>they emerged in my early teens and grew to very harmful levels as an older teen.. just seeing the scar when urinating as a 17 year old could whip me into rage or sobbing, often both</t>
  </si>
  <si>
    <t>Yes</t>
  </si>
  <si>
    <t>my mutilation was so tight I would sometimes awaken after a night's sleep with tears in the tiny bit of mucosal/inner skin and a little blood on the sheets</t>
  </si>
  <si>
    <t>Yes, I've had a detailed conversation and have a clear understanding of their reasons at the time.</t>
  </si>
  <si>
    <t>I told them both I LOATHED what had been done to me</t>
  </si>
  <si>
    <t>He is circumcised.</t>
  </si>
  <si>
    <t>Yes, I have 1</t>
  </si>
  <si>
    <t>All of us are the same: All my brothers and I are CIRCUMCISED.</t>
  </si>
  <si>
    <t>Significantly dissatisfied with sensation, function, or appearance</t>
  </si>
  <si>
    <t>Reclaim what was taken, Feel more 'natural' or 'whole', Improve sexual pleasure/orgasms, Regain gliding motion, Increased overall sensitivity, Achieve glans coverage and dekeratinization</t>
  </si>
  <si>
    <t>Teens</t>
  </si>
  <si>
    <t>started with taping and then devices as they were made available.... I've been at this since the late 1980's</t>
  </si>
  <si>
    <t>More than 10 years</t>
  </si>
  <si>
    <t>yes</t>
  </si>
  <si>
    <t>RCI-0 (Super tight cut, very little, if any, skin mobility hard or soft)</t>
  </si>
  <si>
    <t>RCI-7 (Large-size penis flaccid coverage, retracts only with full erection)</t>
  </si>
  <si>
    <t>better over all sensation but the frenular area remains frustratingly tiny and where my frenulum would have been remains the main spot of sensation</t>
  </si>
  <si>
    <t>it has improved and has been quite remarkable, shocking even, a few times but now I suspect aging and natural decline may be starting to outpace any gains from restoration</t>
  </si>
  <si>
    <t>I use restored and refer to my coverage as Neo-foreskin....it will never be OEM... original equipment</t>
  </si>
  <si>
    <t>the fact that I must do it... my entire adult life saddled with an artificial, forced on me, violation of my body that I must address to gain what little I can</t>
  </si>
  <si>
    <t>start as soon as possible... be diligent, bordering on obsessed to succeed...be self reliant</t>
  </si>
  <si>
    <t>Yes, I'm familiar with specific organizations/research (e.g., Foregen)</t>
  </si>
  <si>
    <t>Doesn't change my current feelings or plans</t>
  </si>
  <si>
    <t>there are many things yet to be solved...how to make it without any scars....what damage was done to the nervous system and developing brain while in agony in a diaper as an infant</t>
  </si>
  <si>
    <t>Context-Dependent: "My view depends entirely on the specific procedure or situation."</t>
  </si>
  <si>
    <t>It was the unquestioned norm; I believe nearly all boys were circumcised.</t>
  </si>
  <si>
    <t>A medically necessary or beneficial health procedure.</t>
  </si>
  <si>
    <t>conformity and a lack of questioning was the norm</t>
  </si>
  <si>
    <t>normal intact men were considered freaks</t>
  </si>
  <si>
    <t>mutilated was considered "normal" intact was imagined to be some kind of problem</t>
  </si>
  <si>
    <t>Unsure / Don't Know</t>
  </si>
  <si>
    <t>The intact state (with normal hygiene) is slightly healthier due to the protective function of the foreskin.</t>
  </si>
  <si>
    <t>The intact state (with its additional structures like the complete foreskin and frenulum) offers slightly more potential for pleasure/sensation.</t>
  </si>
  <si>
    <t>put bluntly...stupidity in media, very poor medical texts of the time, poor medical education</t>
  </si>
  <si>
    <t>Intact men, on average, likely experience significantly superior sexual pleasure.</t>
  </si>
  <si>
    <t>The circumcised state is generally seen as more normal and socially advantageous.</t>
  </si>
  <si>
    <t>I would ensure my child remains intact.</t>
  </si>
  <si>
    <t>The Child's Right to Bodily Autonomy: Prioritizing the principle that a person's body should not be permanently and non-consensually altered without a clear and present medical necessity, preserving their right to make that decision for themselves as an adult.</t>
  </si>
  <si>
    <t>children are not cattle to be cut up...that baby boy's penis is his and his alone...ALL OF IT</t>
  </si>
  <si>
    <t>Yes, it resonates somewhat.</t>
  </si>
  <si>
    <t>it's not really hiding...it is actively promoted</t>
  </si>
  <si>
    <t>OH - Ohio</t>
  </si>
  <si>
    <t>36 - 45</t>
  </si>
  <si>
    <t>Skilled Trades (e.g., Electrician, Carpenter, Mechanic, Cosmetologist)</t>
  </si>
  <si>
    <t>Middle income (Family was generally comfortable, could afford needs and some wants, maybe saved a bit)</t>
  </si>
  <si>
    <t>Conservative</t>
  </si>
  <si>
    <t>Gay</t>
  </si>
  <si>
    <t>Genderfluid</t>
  </si>
  <si>
    <t>A cultural norm to follow</t>
  </si>
  <si>
    <t>It’s a horrible religion</t>
  </si>
  <si>
    <t>Very Negative</t>
  </si>
  <si>
    <t>I cannot feel anything pleasurable until about an inch below my circumcision scar. My penis is only about 5 inches and the scare line is half way. So that leaves me about an inch and a half of feeling pleasure by the base of my penis.</t>
  </si>
  <si>
    <t>I don’t think I have ever had an orgasm from my penis. I only ejaculate out of necessity and it doesn’t feel pleasurable at all.</t>
  </si>
  <si>
    <t>Not applicable / No sexual experience of this kind.</t>
  </si>
  <si>
    <t>I hate lube, it is like nails on a chalkboard for my penis. It makes me want to cut my penis off when it gets wet let alone lube.</t>
  </si>
  <si>
    <t>Yes, I've often felt this kind of disconnect or difficulty in communication.</t>
  </si>
  <si>
    <t>I have a penis that doesn’t get hard, doesn’t feel pleasure and makes me hate myself. Every relationship I have had ended bc of it.</t>
  </si>
  <si>
    <t>None or Barely Noticeable: I produce very little to no noticeable pre-ejaculate.</t>
  </si>
  <si>
    <t>Often difficult</t>
  </si>
  <si>
    <t>Circumcised</t>
  </si>
  <si>
    <t>Nothing. It completely altered my life in every way and stole my ability to love and have any kind of relationship.</t>
  </si>
  <si>
    <t>I don’t get hard and cannot feel anything. I have never been able to use my penis for sex.</t>
  </si>
  <si>
    <t>To Look Like Father/Peers: Desire for the son's penis to match the father's or other males in the family/community.</t>
  </si>
  <si>
    <t>Aesthetic Preference: A belief, possibly influenced by media or pornography, that the circumcised penis is visually "neater," "more attractive," or the "correct" look. (The power of aesthetics)., Lack of Counter-Information: Crucially, the simple absence of any strong, readily available information presenting the benefits of intactness or the risks of circumcision, making it an easy default choice. (The power of silence)., Paternal Influence (The "Like Father" Factor): A specific desire for you to genitally match your father or other male family members. (The power of conformity within the family unit).</t>
  </si>
  <si>
    <t>My penis looks scared and deformed. I hate it.</t>
  </si>
  <si>
    <t>It's a reminder that I had surgery as an infant/child.</t>
  </si>
  <si>
    <t>Everything ! I have never felt anything pleasurable.</t>
  </si>
  <si>
    <t>The day I found out what happened.</t>
  </si>
  <si>
    <t>No feeling, no pleasure. ED, never had an orgasm.</t>
  </si>
  <si>
    <t>I hate you and hope you die</t>
  </si>
  <si>
    <t>Yes, I'm actively researching it</t>
  </si>
  <si>
    <t>All of us are the same: All my brothers and I are INTACT.</t>
  </si>
  <si>
    <t>Lean Towards Natural State: "I believe the body's natural design should be trusted and preserved unless there is a clear, present medical problem."</t>
  </si>
  <si>
    <t>A combination of the above (please briefly explain which ones seem most prominent).</t>
  </si>
  <si>
    <t>I think every parent was pressured to do it. I matter what</t>
  </si>
  <si>
    <t>Nobody new anything</t>
  </si>
  <si>
    <t>It was normal and lied about being born that way or it was mandatory at birth</t>
  </si>
  <si>
    <t>A strong preference for intact partners is becoming the norm.</t>
  </si>
  <si>
    <t>That it is how we are supposed to be</t>
  </si>
  <si>
    <t>The circumcised state is overwhelmingly seen as the normal and expected standard.</t>
  </si>
  <si>
    <t>You are cutting off your body!</t>
  </si>
  <si>
    <t>Yes, it resonates very strongly with my view.</t>
  </si>
  <si>
    <t>It’s a monster! It ruined my life!</t>
  </si>
  <si>
    <t>I hate my body and have never been able to love. I hate my family and live in depression and anxiety all alone every day waiting to die</t>
  </si>
  <si>
    <t>United Kingdom</t>
  </si>
  <si>
    <t>46 - 55</t>
  </si>
  <si>
    <t>Professional degree (e.g., MD, JD, DDS, PharmD)</t>
  </si>
  <si>
    <t>Clerical / Administrative Support (e.g., Secretary, Office Clerk)</t>
  </si>
  <si>
    <t>Anglican / Episcopalian</t>
  </si>
  <si>
    <t>A non-issue, left to parents</t>
  </si>
  <si>
    <t>I'm not a Christian now, I'm atheist</t>
  </si>
  <si>
    <t>Not sensitive, nowhere near as sensitive as lips</t>
  </si>
  <si>
    <t>Relatively quick build up then release is largely focused on genital areas but this is improving with restoration</t>
  </si>
  <si>
    <t>Often need saliva to enter</t>
  </si>
  <si>
    <t>Girls assume things should worth as is but they don't, I often just move to something else</t>
  </si>
  <si>
    <t>Somewhat dissatisfied</t>
  </si>
  <si>
    <t>Childhood (after infancy, before puberty)</t>
  </si>
  <si>
    <t>I've always just known</t>
  </si>
  <si>
    <t>None</t>
  </si>
  <si>
    <t>Sexual problems, skin tearing, problematic erections with not enough skin to accommodate it, low self esteem, avoiding intimacy.</t>
  </si>
  <si>
    <t>Childhood non retractability</t>
  </si>
  <si>
    <t>Likely not brought up by the doctor unless the parents requested it.</t>
  </si>
  <si>
    <t>Prevailing Health &amp; Hygiene Beliefs: General societal "knowledge" at the time—gleaned from various sources—that presented circumcision as being fundamentally cleaner, healthier, or preventive of future diseases. (The power of a cultural 'truth')., Paternal Influence (The "Like Father" Factor): A specific desire for you to genitally match your father or other male family members. (The power of conformity within the family unit)., Lack of Counter-Information: Crucially, the simple absence of any strong, readily available information presenting the benefits of intactness or the risks of circumcision, making it an easy default choice. (The power of silence).</t>
  </si>
  <si>
    <t>Very tight, no mobile skin, skin fused to shaft, prominent scarring and tearing scars and uneven freehand low cut.</t>
  </si>
  <si>
    <t>Sensitivity, ridged band, variation in sensations and gliding</t>
  </si>
  <si>
    <t>Started at a young age due to being different then became an issue during teenage years where it became dysmorphia</t>
  </si>
  <si>
    <t>I've told them that I wish they hadn't</t>
  </si>
  <si>
    <t>Yes, seriously considered it</t>
  </si>
  <si>
    <t>Yes, I have 2</t>
  </si>
  <si>
    <t>There is a mix (I am CIRCUMCISED): I am circumcised, but I have at least one brother who is intact.</t>
  </si>
  <si>
    <t>Yes. I had minor issues with irritation so I was cut like my father</t>
  </si>
  <si>
    <t>Motivated by research or learning about intact anatomy/function, Curious about what might be different if intact, Experienced feelings of loss, grief, or anger, Significantly dissatisfied with sensation, function, or appearance, Mildly dissatisfied with sensation or appearance, Felt physically uncomfortable or experienced complications</t>
  </si>
  <si>
    <t>Increased overall sensitivity, Feel more 'natural' or 'whole', Improve sexual pleasure/orgasms, Reclaim what was taken, Heal psychological trauma, Achieve glans coverage and dekeratinization, Regain gliding motion</t>
  </si>
  <si>
    <t>20s</t>
  </si>
  <si>
    <t>Manual, inflation, dual tension</t>
  </si>
  <si>
    <t>Yes to partner, nobody else knows</t>
  </si>
  <si>
    <t>RCI-4 (Intermittent rollover / "The Hump")</t>
  </si>
  <si>
    <t>Some minor improvements around sulcus that is starting to dekeratinise</t>
  </si>
  <si>
    <t>Yes, they are occasionally stronger during sex,</t>
  </si>
  <si>
    <t>No significant change</t>
  </si>
  <si>
    <t>Normal or natural, I'm still cut and always will be</t>
  </si>
  <si>
    <t>The time is a challenge, the rewards are feeling rollover</t>
  </si>
  <si>
    <t>Do it but commit</t>
  </si>
  <si>
    <t>Science fiction for now</t>
  </si>
  <si>
    <t>Balanced View: "I believe in preserving the natural state but am also very open to preventative or elective medical procedures if they offer potential future benefits."</t>
  </si>
  <si>
    <t>It was uncommon; being left intact was the more typical path.</t>
  </si>
  <si>
    <t>I've never really categorized it.</t>
  </si>
  <si>
    <t>It's normal in the UK, no stereotypes</t>
  </si>
  <si>
    <t>Cleaner or religious</t>
  </si>
  <si>
    <t>Definitely Circumcised</t>
  </si>
  <si>
    <t>Hygiene and looks for heterosexual</t>
  </si>
  <si>
    <t>The intact state is generally seen as more normal or is becoming the new standard.</t>
  </si>
  <si>
    <t>The fact it is normal in the world and in nature</t>
  </si>
  <si>
    <t>Circumcision is an abhorrent affrontery foisted upon those who can't object. It's the cruellest thing I've been subjected to in my life. It's damaged my body, soul and mind. There were no benefits to me.</t>
  </si>
  <si>
    <t>RicBoy87</t>
  </si>
  <si>
    <t>GA - Georgia</t>
  </si>
  <si>
    <t>High school diploma or GED (or equivalent)</t>
  </si>
  <si>
    <t>Bachelor's degree</t>
  </si>
  <si>
    <t>Upper-middle income (Family was financially secure, could comfortably afford needs and wants, saved regularly, maybe owned property beyond primary home)</t>
  </si>
  <si>
    <t>Yes, very significant</t>
  </si>
  <si>
    <t>Non-Denominational Christian</t>
  </si>
  <si>
    <t>It was portrayed as a commandment but I believe that’s more so to support what is a already occurring cultural practice.</t>
  </si>
  <si>
    <t>It is the condition of the heart that concerns God. The inside of the dish must first be washed so that the outside may then be clean also.
I was beautifully made in my God’s image and someone took a part of that away from me.</t>
  </si>
  <si>
    <t>Neutral</t>
  </si>
  <si>
    <t>Frenulum and sulcus are most sensitive. Sulcus has always been covered because of loose cut. The portion of my glans that was usually covered would come uncovered as a child/teen and was very uncomfortable.</t>
  </si>
  <si>
    <t>Usually the slower build up leads to a more intense orgasm. I almost exclusively stimulate myself by rolling the foreskin back and forth over my corona.</t>
  </si>
  <si>
    <t>If my partner desires it but not for masturbation.</t>
  </si>
  <si>
    <t>Some women would hold my penis loosely and slip their hand over it. This doesn’t feel as good as moving the skin.</t>
  </si>
  <si>
    <t>A Significant Amount: I produce a significant amount</t>
  </si>
  <si>
    <t>Generally easy</t>
  </si>
  <si>
    <t>Pre-teen years</t>
  </si>
  <si>
    <t>Societal</t>
  </si>
  <si>
    <t>It’s uncomfortable. It damages the penis, to whatever extent. It robs a boy of his autonomy. I appreciate the natural aesthetic.</t>
  </si>
  <si>
    <t>Cultural Tradition/Family Norm: It was a strong family tradition, cultural expectation, or simply "what people in our community did.", To Look Like Father/Peers: Desire for the son's penis to match the father's or other males in the family/community., 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t>
  </si>
  <si>
    <t>Paternal Influence (The "Like Father" Factor): A specific desire for you to genitally match your father or other male family members. (The power of conformity within the family unit)., Peer &amp; Social Pressure (The "Fitting In" Factor): The widespread belief that "everyone else is doing it," and a desire for you to avoid being seen as different in locker rooms or later in life. (The power of broad social conformity)., Lack of Counter-Information: Crucially, the simple absence of any strong, readily available information presenting the benefits of intactness or the risks of circumcision, making it an easy default choice. (The power of silence).</t>
  </si>
  <si>
    <t>Fortunately received a very high and loose cut. As a teen I was embarrassed that sometimes part of my glans would be covered. I was torn between a seeking a revision or restoration.</t>
  </si>
  <si>
    <t>Ridged band</t>
  </si>
  <si>
    <t>When I began seeking restoration.</t>
  </si>
  <si>
    <t>Leave me alone. Your grandsons are perfectly fine the way they are.</t>
  </si>
  <si>
    <t>No I don't have any brothers or AMAB siblings</t>
  </si>
  <si>
    <t>Curious about what might be different if intact, Felt physically uncomfortable or experienced complications, Mildly dissatisfied with sensation or appearance, Experienced feelings of loss, grief, or anger, Motivated by research or learning about intact anatomy/function</t>
  </si>
  <si>
    <t>Achieve glans coverage and dekeratinization, Reclaim what was taken, Improve gliding mechanics/reduce need for lube, Feel more 'natural' or 'whole', Improve sexual pleasure/orgasms, Increased overall sensitivity</t>
  </si>
  <si>
    <t>Devices and tape</t>
  </si>
  <si>
    <t>With some. They may not understand but they’ve at least tried to act supportive.</t>
  </si>
  <si>
    <t>RCI-3 (Loose cut, skin bunches at corona, may roll over a bit when cold)</t>
  </si>
  <si>
    <t>RCI-6 (Full Flaccid Coverage)</t>
  </si>
  <si>
    <t>The more I stay covered the more my sensation and comfort improve.</t>
  </si>
  <si>
    <t>Improved in quality</t>
  </si>
  <si>
    <t>Somewhat reduced need</t>
  </si>
  <si>
    <t>I like saying I’m un-cut. I’m proud of it but deeply sad that I wasn’t left alone as a baby.</t>
  </si>
  <si>
    <t>Consistency. Had I not taken breaks I would have already reached my goal.</t>
  </si>
  <si>
    <t>It’s worth it.</t>
  </si>
  <si>
    <t>Skeptical it will ever be viable/accessible</t>
  </si>
  <si>
    <t>Cultural norm</t>
  </si>
  <si>
    <t>They were gross and weird looking</t>
  </si>
  <si>
    <t>More attractive</t>
  </si>
  <si>
    <t>A strong preference for circumcised partners is the overwhelming norm.</t>
  </si>
  <si>
    <t>Cultural familiarity</t>
  </si>
  <si>
    <t>It’s blown out of proportion in the US. Totally unnecessary!</t>
  </si>
  <si>
    <t>People are blinded by societal norms.</t>
  </si>
  <si>
    <t>Turkey</t>
  </si>
  <si>
    <t>Italy</t>
  </si>
  <si>
    <t>White / Caucasian / European American, Middle Eastern / North African (MENA)</t>
  </si>
  <si>
    <t>18 - 25</t>
  </si>
  <si>
    <t>Generation Z (born 1997-2012)</t>
  </si>
  <si>
    <t>Education (e.g., K-12 Teacher, Professor, School Administrator)</t>
  </si>
  <si>
    <t>Military Service</t>
  </si>
  <si>
    <t>Straight/Heterosexual, Questioning</t>
  </si>
  <si>
    <t>Islamic</t>
  </si>
  <si>
    <t>Just Muslim / Unaffiliated with a specific school/branch, Progressive/Liberal Muslim, Sunni</t>
  </si>
  <si>
    <t>As a highly recommended Sunnah (prophetic tradition) and an important act of purification/hygiene.</t>
  </si>
  <si>
    <t>Hygiene, and god intending penis to be cut as a passage to manhood</t>
  </si>
  <si>
    <t>A mix of these</t>
  </si>
  <si>
    <t>Yes, somewhat</t>
  </si>
  <si>
    <t>They don't even considered</t>
  </si>
  <si>
    <t>Terrible for all since keratinization</t>
  </si>
  <si>
    <t>Terrible unless I edge for long</t>
  </si>
  <si>
    <t>Penetration sometimes gets dry due to circumcision</t>
  </si>
  <si>
    <t>Especially since I live in Europe my partners didn't know how to handle my penis or give me pleasure because they don't know how to please a circumcised one</t>
  </si>
  <si>
    <t>Maybe ease of washing and not dealing with pain from phimosis, as I had it all the way until I was cut</t>
  </si>
  <si>
    <t>Dryness, keratinization, painful erections due to stitches, terrible visual look, lack of lubrication, lack of sensitivity, less flexibility in foreplay, discomfort in certain clothes, feeling not in control of my body, lack of confidence, erectile dysfunction, weak erections, pain after or during ejaculation, being prone to Peyronie's disease, shame felt by having my partner see it, feeling incomplete, violated and assaulted</t>
  </si>
  <si>
    <t>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Parent's General Preference: Parents simply preferred the circumcised appearance or state without specific medical, religious, or cultural reasons being primary., Religious Reasons: Performed as a religious ritual (e.g., Brit Milah in Judaism, Khitan/Sunnet in Islam) or based on religious belief., To Look Like Father/Peers: Desire for the son's penis to match the father's or other males in the family/community., Just standard practice: Based on observing its prevalence, assumed it was the default medical procedure without a specific individual reason., Cultural Tradition/Family Norm: It was a strong family tradition, cultural expectation, or simply "what people in our community did.", Hygiene: Belief that circumcision makes the penis easier to keep clean or is inherently more hygienic.</t>
  </si>
  <si>
    <t>Religious Mandate/Tradition: A direct requirement or strong cultural expectation stemming from their religious beliefs and community. (The power of faith)., Prevailing Health &amp; Hygiene Beliefs: General societal "knowledge" at the time—gleaned from various sources—that presented circumcision as being fundamentally cleaner, healthier, or preventive of future diseases. (The power of a cultural 'truth')., Lack of Counter-Information: Crucially, the simple absence of any strong, readily available information presenting the benefits of intactness or the risks of circumcision, making it an easy default choice. (The power of silence).</t>
  </si>
  <si>
    <t>Looks dry and patchy. Very prominent scar with a bit of frenulum left. Upward curve due to Peyronie's. As a result of being cut, shaft of penis is hairier than before and testicles are drawn up due to tightness from lack of skin</t>
  </si>
  <si>
    <t>All</t>
  </si>
  <si>
    <t>My stitches caused edema and pain very often during erection and masturbation. Sometimes I would have fever from masturbating, and would have pain from touching glans. I feel no pleasure whatsoever from touching it and only discomfort.</t>
  </si>
  <si>
    <t>In highschool as I drifted away from religion, explored sexuality and saw how I was made incomplete/mutilated</t>
  </si>
  <si>
    <t>Most mentioned above as examples</t>
  </si>
  <si>
    <t>I've tried to bring it up, but they were reluctant to discuss it or the conversation was difficult.</t>
  </si>
  <si>
    <t>A cultural tradition or rite of passage.</t>
  </si>
  <si>
    <t>They were horny, unclean, perverted, unhealthy</t>
  </si>
  <si>
    <t>Clean, demure, moral, 'as it should be'</t>
  </si>
  <si>
    <t>Foreskin isn't just a useless piece of skin to be cut</t>
  </si>
  <si>
    <t>NY - New York</t>
  </si>
  <si>
    <t>Baby Boomer (born 1946-1964)</t>
  </si>
  <si>
    <t>Doctoral degree (e.g., PhD, EdD)</t>
  </si>
  <si>
    <t>Doctoral or Professional degree (MD, JD, PhD, etc.)</t>
  </si>
  <si>
    <t>Law/Government/Public Service</t>
  </si>
  <si>
    <t>A recommended practice for health/hygiene</t>
  </si>
  <si>
    <t>There was no theological basis for circumcision in my family. It was regarded as a routine procedure for health and hygiene.</t>
  </si>
  <si>
    <t>The Catholic Church forbade circumcision. Then it surrendered its opposition in the face of so-called medical expertise. The Church should be on the forefront of opposing this evil.</t>
  </si>
  <si>
    <t>5 (High/Excellent)</t>
  </si>
  <si>
    <t>Sensitive glans, no problem enjoying a variety of touches</t>
  </si>
  <si>
    <t>Build-up is faster than I would like. Orgasm is intense but duration is brief and focus is in the genitals and not full-body.</t>
  </si>
  <si>
    <t>Yes, it's always or almost always necessary for comfort and pleasure.</t>
  </si>
  <si>
    <t>The need for lubrication was for my wife's comfort. I do not masturbate.</t>
  </si>
  <si>
    <t>I find manual foreplay extremely enjoyable, but it was difficult to convey to my wife the variety of ways in which to touch the penis to elicit a variety of pleasurable sensations.</t>
  </si>
  <si>
    <t>A Moderate Amount: I produce a noticeable amount</t>
  </si>
  <si>
    <t>Adulthood</t>
  </si>
  <si>
    <t>Knowing what I know now, I see no advantages.</t>
  </si>
  <si>
    <t>The main drawback was discomfort for my wife during intercourse and the need to use generous amounts of lubricant.</t>
  </si>
  <si>
    <t>Primarily driven by a doctor's or hospital's recommendation.</t>
  </si>
  <si>
    <t>Prophylactic Health Reasons (General Prevention): Belief that it prevents potential future health problems (e.g., infections, inflammation, later penile issues) that were not currently present., Just standard practice: Based on observing its prevalence, assumed it was the default medical procedure without a specific individual reason., 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t>
  </si>
  <si>
    <t>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t>
  </si>
  <si>
    <t>I would describe my circumcision as high and tight, and my glans is completely exposed when my penis is flaccid. I have a significant amount of hair on my shaft. Erections are not uncomfortable. No sexual dysfunction. Frenulum and ridged band are gone. Skin removal was circumferentially even.</t>
  </si>
  <si>
    <t>What it feels like to have the prepuce retract from the glans as the penis becomes erect; to experience gliding motion; to have the sensations from the frenulum and the ridged band; to have intercourse with my wife without so much lubricant; to have intercourse with her without so much discomfort on her part.</t>
  </si>
  <si>
    <t>Before I understood what circumcision does, I thought my penis and sexual experiences were normal. My strong feelings arose after I educated myself about circumcision.</t>
  </si>
  <si>
    <t>I worried it would seem like I was blaming or criticizing them.</t>
  </si>
  <si>
    <t>I forgive you. You did this out of ignorance.</t>
  </si>
  <si>
    <t>No,</t>
  </si>
  <si>
    <t>Virtually no thought at all</t>
  </si>
  <si>
    <t>Yes, I have 5</t>
  </si>
  <si>
    <t>Generally satisfied or hadn't thought much about it, Curious about what might be different if intact, Motivated by research or learning about intact anatomy/function</t>
  </si>
  <si>
    <t>Increased overall sensitivity, Regain gliding motion, Achieve glans coverage and dekeratinization, Improve sexual pleasure/orgasms, Improve gliding mechanics/reduce need for lube, Reclaim what was taken, Feel more 'natural' or 'whole'</t>
  </si>
  <si>
    <t>60s</t>
  </si>
  <si>
    <t>MM 2 and 3; Advanced Devices Novice Canister; meatal stenosis dilator</t>
  </si>
  <si>
    <t>6 months - 1 year</t>
  </si>
  <si>
    <t>I am currently single and not sexually active. I have told no one about my restoration because they would probably think it is very weird.</t>
  </si>
  <si>
    <t>RCI-1 (Tight cut, no slack when soft)</t>
  </si>
  <si>
    <t>RCI-3</t>
  </si>
  <si>
    <t>I am not sexually active and I do not masturbate, so I have not noticed any changes.</t>
  </si>
  <si>
    <t>I prefer "restored" because restoration will not change the fact that I was circumcised, which removed my frenulum and ridged band. Restoration will not return me to an uncircumcised state.</t>
  </si>
  <si>
    <t>The most challenging has been determining the right device to use with a starting point of CI1. The most rewarding has been rapid progress from CI1 to CI3.</t>
  </si>
  <si>
    <t>Consult with experienced restorers to find the right beginner device for the CI starting point. Be very patient. Do not try to rush the process and incur injuries.</t>
  </si>
  <si>
    <t>I think I will achieve my restoration goal of CI8 or 9 before this therapy is available.</t>
  </si>
  <si>
    <t>Circumcision resulted from an over-reliance on the medical profession as the experts whose judgment should not be questioned.</t>
  </si>
  <si>
    <t>I never encountered intact men or thought about being intact. I only saw intact penises on Greek and Roman statues in art museums, and I thought they looked odd.</t>
  </si>
  <si>
    <t>Circumcised penises were regarded as clean and free of smegma, which only dirty, intact hillbillies would have.</t>
  </si>
  <si>
    <t>I have no idea; it varies too much to generalize.</t>
  </si>
  <si>
    <t>If there is a preference for circumcised men, it is because of the false impression that a circumcised penis is cleaner.</t>
  </si>
  <si>
    <t>The prepuce is a sexual organ, not a redundant piece of skin.</t>
  </si>
  <si>
    <t>Circumcision is routine male genital mutilation for profit, and the practice continues because parents are not informed about what it does to a child.</t>
  </si>
  <si>
    <t>I deeply regret having my sons circumcised. I apologized to both of them.</t>
  </si>
  <si>
    <t>Reddit username: Latewisdom</t>
  </si>
  <si>
    <t>Master's degree (e.g., MA, MS, MBA, MEd)</t>
  </si>
  <si>
    <t>Business/Finance/Management</t>
  </si>
  <si>
    <t>Healthcare/Medicine (e.g., Doctor, Nurse, Therapist, Technician)</t>
  </si>
  <si>
    <t>I know that it’s against the Church’s teachings now, but growing up I heard, “if it’s good enough for Jesus, it’s good enough for you.”</t>
  </si>
  <si>
    <t>I wish more Christians understood the Bible’s New Testament condemns the practice for Christians. I which US Catholics were taught it’s against the Catechism as an amputation of vulnerable persons where other simple medical alternatives are available (i.e. antibiotics for UTIs, etc)</t>
  </si>
  <si>
    <t>Just ok, less pleasure than when I was younger</t>
  </si>
  <si>
    <t>I can feel pleasure, but I don’t feel a strong orgasm anymore; just ejaculate and a feel dissatisfied most of the time.</t>
  </si>
  <si>
    <t>Rarely find it necessary.</t>
  </si>
  <si>
    <t>I’ve used lube in the past when my partner said she needed it (i.e. the length of sex was drying her out).</t>
  </si>
  <si>
    <t>I've never really thought about it in these terms.</t>
  </si>
  <si>
    <t>I don’t see any now, but as a child when I learned about it, I was told I should be grateful it was done as an infant so I didn’t have to go through it later o in life. So as a child I was glad, but eventually I learned what was truly taken from me.</t>
  </si>
  <si>
    <t>Yes, anger/depressed feelings about having my genitals altered without my permission. Knowing I’ll never experience sex as I was intended to. As I’ve aged I’ve lost sensation and that’s deeply frustrating. I know I can’t talk to my family, as past hunting was
met with ridicule. I tried saving my nephews and was mocked, and I felt worse knowing they may feel like me some day.</t>
  </si>
  <si>
    <t>Prophylactic Health Reasons (General Prevention): Belief that it prevents potential future health problems (e.g., infections, inflammation, later penile issues) that were not currently present., Religious Reasons: Performed as a religious ritual (e.g., Brit Milah in Judaism, Khitan/Sunnet in Islam) or based on religious belief., Just standard practice: Based on observing its prevalence, assumed it was the default medical procedure without a specific individual reason., To Look Like Father/Peers: Desire for the son's penis to match the father's or other males in the family/community., Prophylactic Health Reasons (Specific Disease Prevention - e.g., Cancer, STIs, HIV, UTIs): Belief that it lowers the risk of specific diseases later in life (e.g., penile cancer, certain sexually transmitted infections like HIV or HPV, infant urinary tract infections - UTIs)., 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t>
  </si>
  <si>
    <t>My scar line is no longer prominent, which I believe has been the result of restoration and stretching that area.</t>
  </si>
  <si>
    <t>Different sensations, especially the frenulum</t>
  </si>
  <si>
    <t>Not sure</t>
  </si>
  <si>
    <t>In my late teens when I had access to the internet and learned what circumcision really was. It’s something a quietly resented my father for many years, because I felt he should’ve questioned the “medicine” of this pointless cosmetic procedure. I’ve moved past resenting my parents, because I don’t think they believed they were doing what was best, and I realized my dad doesn’t question authority. Now I get negative feelings when I’m restoring, hear about someone’s intact status, and when showering—so daily.</t>
  </si>
  <si>
    <t>I just wish someone would’ve convinced them not to have my foreskin removed, to leave the choice to me.</t>
  </si>
  <si>
    <t>Mildly dissatisfied with sensation or appearance, Experienced feelings of loss, grief, or anger, Curious about what might be different if intact, Motivated by research or learning about intact anatomy/function</t>
  </si>
  <si>
    <t>Improve sexual pleasure/orgasms, Achieve glans coverage and dekeratinization, Improve gliding mechanics/reduce need for lube, Feel more 'natural' or 'whole', Reclaim what was taken, Regain gliding motion, Increased overall sensitivity</t>
  </si>
  <si>
    <t>T-tape, DTR, Chris Air</t>
  </si>
  <si>
    <t>No, I haven’t talked about it and I’ve had many breaks while in relationships</t>
  </si>
  <si>
    <t>RCI-5 (Partial Flaccid Coverage)</t>
  </si>
  <si>
    <t>Not really</t>
  </si>
  <si>
    <t>Not yet</t>
  </si>
  <si>
    <t>I feel like uncircumcised should be like undoing your circumcision and intact should mean never cut</t>
  </si>
  <si>
    <t>Frustrating with how long it takes, when my skin is irritated I get angry and frustrated that I’m even having to go through this. I constantly feel frustrated that I never had a choice to be left intact. The best part is having some mobility now, where I was completely tight beforehand.</t>
  </si>
  <si>
    <t>I wish I had started younger and been consistent. I wish I had told my exes and didn’t let relationships stop me.</t>
  </si>
  <si>
    <t>I also fear it will be too cost prohibitive. Then after learning my foreskin was likely sold and medical or cosmetic companies made money off my body and feel like they should have to share profits take us whole again.</t>
  </si>
  <si>
    <t>Often dirty with gross smegma, smelly</t>
  </si>
  <si>
    <t>Cleaner and less prone to infections</t>
  </si>
  <si>
    <t>Most partners have no strong preference and are open to or curious about both.</t>
  </si>
  <si>
    <t>I think it’s becoming less expected to be circumcised: liberals probably for bodily autonomy, conservatives due to a lack of trust in medical ethics</t>
  </si>
  <si>
    <t>How simple it is to care for an intact infant.</t>
  </si>
  <si>
    <t>It angers me that our legal system protects girls but not boys from routine genital surgeries.</t>
  </si>
  <si>
    <t>Yes, I'd be open to a confidential follow-up interview (audio or text-based).</t>
  </si>
  <si>
    <t>Possibly</t>
  </si>
  <si>
    <t>I almost always notice and am very aware of this.</t>
  </si>
  <si>
    <t>I notice it, but it's generally on par with many other physical details.</t>
  </si>
  <si>
    <t>IN - Indiana</t>
  </si>
  <si>
    <t>Trade School Certificate / Pre-Apprenticeship Program</t>
  </si>
  <si>
    <t>Prefer not to say / Unsure</t>
  </si>
  <si>
    <t>Culturally, but no</t>
  </si>
  <si>
    <t>Church of Christ</t>
  </si>
  <si>
    <t>My beliefs are irrelevant in this country. My body is treated as the issue.</t>
  </si>
  <si>
    <t>Tight when erect except for the bottom half of the shaft is loose and saggy. The head gets painful when over stimulated. Really don’t feel much on my shaft at all. No frenulum remnant.</t>
  </si>
  <si>
    <t>I feel it coming but at orgasm the orgasm is almost like I’m pissing. I feel relieved but the head gets painful over stimulated and hurts. It’s weak and short.</t>
  </si>
  <si>
    <t>Often helpful for maximizing pleasure, but not strictly necessary for basic comfort.</t>
  </si>
  <si>
    <t>I’ve given up. Disconnect in general sums up how I feel about relationships. Relationships will just end up like my genitals sad and severed. I didn’t want to be a victim. It’s not fair I was made into one. I’m lost and forgotten and that’s good for me. I can’t wait to leave this hell that treats my body as an issue.</t>
  </si>
  <si>
    <t>A disconnect and dark manipulation of human psychology turning men into something that is crude and brutal.</t>
  </si>
  <si>
    <t>I suffer an extreme loss of will to live. I’ve been violated and abused. My freedoms and my beliefs have been completely disregarded. I have an extreme distrust in the “free country” I live in.(USA) I’ve been controlled as if it’s a dictatorship. Sexually assaulted, laughed at, and mutilated. I’m full of a very negative emotion that someone else bred with trauma. PHYSICAL TRAUMA performed with forced that resulted in physical scars and mental agony.</t>
  </si>
  <si>
    <t>They said it was normal and they wanted me to fit in. (Forced alteration is far from normal)</t>
  </si>
  <si>
    <t>Peer &amp; Social Pressure (The "Fitting In" Factor): The widespread belief that "everyone else is doing it," and a desire for you to avoid being seen as different in locker rooms or later in life. (The power of broad social conformity)., Direct Medical Authority: Specific advice from their obstetrician, pediatrician, or the hospital staff where you were born. (The voice of a trusted professional)., Institutional Medical Norm: The general belief that "this is just the standard procedure" at hospitals, making it a routine, unquestioned part of postpartum care. (The power of the system).</t>
  </si>
  <si>
    <t>This one is disgusting. I have a divot under my urethra where my frenulum was removed. I was cut as far down as possible with lenoscrotsl webbing. Approaching the scar line I have thin, white, skin scar spots (2) that look like claw marks. (What made me research and discover my assault very early on” my scar is very uneven it’s a spiral like thread on a bolt. On the base there is a vertical cut to make the scar connect. This is a house of horrors I am so done with this HELL. GET ME OUT OF HERE</t>
  </si>
  <si>
    <t>The physical connection and emotional bond. The receptors removed are fine touch and you would be able to better feel the partners anatomy and mucosal tissue is the barrier for the body and environment. I’ve been disconnected and see no point in trying to connect. I wish I knew what it was like to have a real connection..</t>
  </si>
  <si>
    <t>The moment I saw divots I was uneasy and then the moment I saw the truth I was in disbelief. Broken instantly. Turned into an anxiety attack as I keep digging and digging. I looked for help and found nothing. Turned apathetic from learnt hopelessness. Now I’ve just grown bitter. I don’t actually get to know anyone. I keep every interaction surface level suppress my emotions and very rarely bring up this topic. I fight for my rights often on the internet or when it comes up naturally. I moved away from family and friends. I got rid of them so I can leave this world without them being attatched</t>
  </si>
  <si>
    <t>Penoscrotal webbing. Body dismorphia, depression, suicidal thoughts, apathy/rage, the swing of emotion is almost bipolar. I believe I can’t do anything so my emotions bounce around to try to find a way out. Completely distrust everyone.</t>
  </si>
  <si>
    <t>I’d rather be dead</t>
  </si>
  <si>
    <t>Yes, briefly considered it but decided against it</t>
  </si>
  <si>
    <t>I don't know / I'm unsure.</t>
  </si>
  <si>
    <t>Something else entirely (please specify).</t>
  </si>
  <si>
    <t>A lie and falsely endorsed to gain or keep traction. Completely the opposite of what religion pushes.</t>
  </si>
  <si>
    <t>No one talked about penis’s if they saw intact they would be shocked though. Indiana was bad.</t>
  </si>
  <si>
    <t>It’s stops STDs and dick cheese</t>
  </si>
  <si>
    <t>People just want love. The “preference” is a happy, loving partner</t>
  </si>
  <si>
    <t>We have the information. We don’t have the honestly and love. We don’t have the care to even research and question the norm. Complacency kills and I’m so tired of the laziness and cruelty of the amount of accountability to the very US law/ constitution. It’s already illegal. It’s no exception. I demand my body back or I demand death</t>
  </si>
  <si>
    <t>It’s manipulation and evil. It’s advertised as beneficial but it’s a lie. It’s controlling and harming. Severely harming</t>
  </si>
  <si>
    <t>This is only suffering that is present in hell</t>
  </si>
  <si>
    <t>Yes, I'd be open to other forms of deeper contribution (please specify briefly if you have ideas).</t>
  </si>
  <si>
    <t>I’m open to any and all ideas. I’d even be a martyr to show just how much this has fucked me up.</t>
  </si>
  <si>
    <t>I rarely notice or pay attention to this specifically.</t>
  </si>
  <si>
    <t>I never really notice or think about this.</t>
  </si>
  <si>
    <t>Not applicable / I rarely or never notice.</t>
  </si>
  <si>
    <t>PA - Pennsylvania</t>
  </si>
  <si>
    <t>White / Caucasian / European American, Asian / Asian American (e.g., East Asian, South Asian, Southeast Asian), Multiracial / Biracial</t>
  </si>
  <si>
    <t>Master's degree / Other advanced degree</t>
  </si>
  <si>
    <t>Military Service, Arts/Humanities/Entertainment</t>
  </si>
  <si>
    <t>Gay, Bisexual</t>
  </si>
  <si>
    <t>No.</t>
  </si>
  <si>
    <t>The region of uneven/irregular skin is most pleasurable above the scar line. Below the scar line is a low sensitivity area. My glans is not very sensitive and my shaft often feels unpleasantly stretched and I feel lots of pain where the frenulum should be.</t>
  </si>
  <si>
    <t>I feel very little build up. It comes on suddenly and it's difficult to control. When it occurs it is short and unsatisfying.</t>
  </si>
  <si>
    <t>It's very difficult to remain lubricated</t>
  </si>
  <si>
    <t>I cannot come from oral sex or from hand jobs.</t>
  </si>
  <si>
    <t>I do not feel there are any advantages. It could be argued that meeting cultural standards is beneficial but it is a private aspect of my body that most people should unaware of.</t>
  </si>
  <si>
    <t>Where my frenulum should attach usually hurts when I penetrate my partner.
My early elections starting when I was ten and lasting for years after were very painful. I struggled to masturbate and the pain only began to subside after I forced myself to masturbate despite the pain.</t>
  </si>
  <si>
    <t>Just standard practice: Based on observing its prevalence, assumed it was the default medical procedure without a specific individual reason.,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 Cultural Tradition/Family Norm: It was a strong family tradition, cultural expectation, or simply "what people in our community did.", To Look Like Father/Peers: Desire for the son's penis to match the father's or other males in the family/community., Medical Advice (without stated necessity): Recommended by a doctor or healthcare provider without explaining a specific existing medical problem, perhaps framing it as routine or generally beneficial.</t>
  </si>
  <si>
    <t>As a strong medical recommendation for health or hygiene.</t>
  </si>
  <si>
    <t>Prevailing Health &amp; Hygiene Beliefs: General societal "knowledge" at the time—gleaned from various sources—that presented circumcision as being fundamentally cleaner, healthier, or preventive of future diseases. (The power of a cultural 'truth')., 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t>
  </si>
  <si>
    <t>My glans is fully exposed at all times. 
There is no bunched/excess skin when flaccid.
When erect the skin is visibly tight and skin from my scotum is pulled forward so far that my balls are often pulled up above my penis.
My scar is about an inch long with pitted stretch marks. 
My glans is dry and scaly.</t>
  </si>
  <si>
    <t>The feeling of having an adequate amount of skin, a moisturized/naturally lubricated glans, and the subtle sensations from the fine touch nerve endings in the foreskin.</t>
  </si>
  <si>
    <t>I learned I was circumcized when I was 7 and was horrified that part of my body had been cut off and discarded.</t>
  </si>
  <si>
    <t>Where my frenulum should be hurts when I have sex .
My erections were painful from when they started when I was ten until a little after I turned 18.
Even now my erections are uncomfortably tight.</t>
  </si>
  <si>
    <t>I hate that you did this to me. It is a gross violation of my body's autonomy and they're are millions of uncircumcised men who are living proof that there is nothing wrong with being intact.</t>
  </si>
  <si>
    <t>Bodily autonomy should be the key factor.</t>
  </si>
  <si>
    <t>That they were weird and gross.</t>
  </si>
  <si>
    <t>That they were normal.</t>
  </si>
  <si>
    <t>That when given the choice (left intact) almost no men choose to be circumcized.</t>
  </si>
  <si>
    <t>I was assigned circumcision as the topic of my bioethics final and it was deeply traumatizing to research and dug up terrible feelings of fear from when I was a child and learned that part of my body could be taken away from AND that it had somehow already happened with my parents consent</t>
  </si>
  <si>
    <t>I would be willing to write</t>
  </si>
  <si>
    <t>It's a noticeable characteristic, but not necessarily the first or most prominent.</t>
  </si>
  <si>
    <t>Apolitical / Not focused on politics</t>
  </si>
  <si>
    <t>I was not taught about this verse growing up.
However, I now understand it to mean that circumcision of the heart is what is necessary, NOT circumcision of the flesh.</t>
  </si>
  <si>
    <t>As an independent viewpoint, I believe that similar to crucifixion, circumcision is something that Jesus underwent so that the rest of us would not have to.</t>
  </si>
  <si>
    <t>I have slight mobility so far, but I have no glide yet (late CI-3 basically). My frenulum remnant is the most sensitive part of my penis. My corona (which is slightly dekeratinized) and inner foreskin (not yet dekeratinized) are next with good sensitivity. Orgasms are decent but not great yet. My glans does not hurt when I rinse it with the shower head (which shoots water very fast in thin streams), however I do experience mild pleasure when doing this. My shaft is not sensitive on its own, but mobility contributes to overall pleasure.</t>
  </si>
  <si>
    <t>My orgasms take 4-5 minutes of focused stimulation to build up, and they feel decent. They feel better than before I started restoring, however they are not “full-body” orgasms yet.
The feeling sometimes causes me to shake, but again, it is not “full-body” yet.</t>
  </si>
  <si>
    <t>I used to think needing lubrication as a guy was normal, and I would spit on my penis to masturbate (and still do). However I now know I should not need this assistance, which makes me angry that I need it to begin with.
I’ve never used lube other than saliva, however, because it was not necessary.</t>
  </si>
  <si>
    <t>Not applicable / No partnered sexual experience of this kind.</t>
  </si>
  <si>
    <t>I see no benefits to being circumcised. Even though some men may feel that phimosis, cleaning under the foreskin, etc. are “burdens”, I see them as experiences and parts of being a man. I’m angry I was cut and I see nothing good about being circumcised.
If a woman complimented my circumcised penis, I would feel angry, not happy. She shouldn’t “prefer” a damaged penis over a natural one to begin with, just as I wouldn’t prefer a circumcised clitoris.</t>
  </si>
  <si>
    <t>1. Reduced sexual pleasure
2. Reduced/no skin mobility
3. Dull appearance
4. Chafing due to exposed glans (especially pronounced for cyclists)
5. Lack of feeling whole
6. Being betrayed by the medical system that cares more about profit than medicine.
7. Having parents that didn’t do their research and claim they “didn’t have time to” or “didn’t think of it”.</t>
  </si>
  <si>
    <t>Hygiene: Belief that circumcision makes the penis easier to keep clean or is inherently more hygienic., Cultural Tradition/Family Norm: It was a strong family tradition, cultural expectation, or simply "what people in our community did.", Just standard practice: Based on observing its prevalence, assumed it was the default medical procedure without a specific individual reason., Medical Advice (without stated necessity): Recommended by a doctor or healthcare provider without explaining a specific existing medical problem, perhaps framing it as routine or generally beneficial., Prophylactic Health Reasons (Specific Disease Prevention - e.g., Cancer, STIs, HIV, UTIs): Belief that it lowers the risk of specific diseases later in life (e.g., penile cancer, certain sexually transmitted infections like HIV or HPV, infant urinary tract infections - UTIs).</t>
  </si>
  <si>
    <t>As a neutral choice for them to make, with pros and cons presented.</t>
  </si>
  <si>
    <t>I was given a medium cut (maybe slightly tight; I’ve always had a pubic fat pad so I’m not sure). Some shaft skin remaining (but mostly with hairs), some inner foreskin remaining, some frenulum remaining. Basically an average cut.
The scar line used to be more visible; it’s not faded yet, but it’s not as visible either simply due to a partially moistened inner foreskin and occasionally having rollover at smaller sizes.</t>
  </si>
  <si>
    <t>I’m curious about gliding action the most, although I’m also curious how “full-body” orgasms would feel. How would my moist, mucosal regions feel when stimulated if there weren’t micrometers of keratin/skin laying on top of them?</t>
  </si>
  <si>
    <t>I first had these feelings at 22 years old (now 24 for reference). I heard about Bloodstained Men protesting at a P!nk concert when my mother told me about it. At first, we agreed that the protest wasn’t important and was at the wrong place and at the wrong time.
However, I did my own research later that week and found out what was actually done to me. I previously thought “circumcised, uncircumcised, who cares?”, but I came to think “why did they think they had the right to do that to me?”</t>
  </si>
  <si>
    <t>You have no right or reason to modify another person’s body surgically without their consent. Circumcision is not comparable to vaccination because vaccination does not amputate healthy tissue, but circumcision does.
The “doctors” who recommend this procedure are in it for themselves. Real first-world countries with legitimate medical systems and good insurance industries, such as those in the EU, do not promote male genital mutilation at birth (or ever).
Additionally, parents have a responsibility to do research, not just to “make decisions”. If you have done no research, that makes you guilty of being ignorant (even if you “did not mean to be”).</t>
  </si>
  <si>
    <t>A moderate amount</t>
  </si>
  <si>
    <t>I thought how I felt was a little lackluster, but normal, so I thought nothing of it until realizing the damage caused by circumcision.</t>
  </si>
  <si>
    <t>Increased overall sensitivity, Feel more 'natural' or 'whole', Reclaim what was taken, Improve sexual pleasure/orgasms, Preventing daily chafing of my glans by my underwear.</t>
  </si>
  <si>
    <t>Mantor DS tugger, manual, Restore in Comfort packers</t>
  </si>
  <si>
    <t>1-2 years</t>
  </si>
  <si>
    <t>Parents- Apologized for their decision and expressed some support, but also expressed worry about me potentially injuring myself through restoration.</t>
  </si>
  <si>
    <t>RCI-2 (Medium cut, can pull skin to corona (head) when soft)</t>
  </si>
  <si>
    <t>Before restoration: 
Orgasms- okay/lackluster
Mobility- none when erect
Frenulum- didn’t know it existed
Buildup to orgasm- 4-5 minutes, not much pleasure before climax
Now: 
Orgasms- decent/good
Mobility- some when erect, but no true glide yet
Frenulum- decent/good (still keratinized)
Buildup to orgasm- 4-5 minutes, little to some buildup before climax</t>
  </si>
  <si>
    <t>Orgasms are better now in intensity, however they take the same amount of time and typically the same methods to trigger. Sometimes I experiment with trying to produce a glide, which yields pleasure in more spots at once upon orgasm.</t>
  </si>
  <si>
    <t>I identify as “restoring”, however I will identify as “uncircumcised” or “self-uncircumcised” upon being restored. I find “uncircumcised” to be a prideful term for the restoration community, but pejorative and downputting when used to refer to intact men. It implies they are “not yet circumcised” rather than just “not circumcised”.</t>
  </si>
  <si>
    <t>Most rewarding- Noticing changes and improvements, both visually and functionally, along the way.
Most challenging- The hump, taking a while to get over it (still not achieved yet). Additionally, I have injured myself (accidentally and angrily so) along the way a few times. This reinforces the point that I should not have to restore to begin with; I should’ve been left intact.</t>
  </si>
  <si>
    <t>1. Do it; you will not regret it.
2. Experiment with different methods and find whichever one works best.
3. Do not overtension. Tension should feel like a light stretch, not a strong tug.
4. Do not try to stifle your own erections physically (this causes Peyronie’s disease). Also, do not think about or look at sexually stimulating things while wearing a device (especially anything with a pusher pad). Keep yourself safe.
5. Join r/foreskin_restoration. It is a wonderful community with no toxicity and good moderation. The guys here can help you with questions or concerns you have.
6. Always complain about being circumcised whenever you go to a medical setting (if American). Make it known that you’re not thankful that the system permitted this injustice upon you. You have freedom of speech for a reason.</t>
  </si>
  <si>
    <t>Makes me feel hopeful/optimistic about future options</t>
  </si>
  <si>
    <t>I’ve heard of Foregen, but not any other organizations focused on foreskin regeneration specifically. I support them and their mission, however I am aware they have exaggerated progress or made it sound like they’re getting research done faster than they actually are. I’m optimistic, but only to a logical extent.</t>
  </si>
  <si>
    <t>Circumcision was mainly seen as a procedure with “medical benefits” that outweigh the “risks”, with no thought given to universal disadvantages of circumcision. However, it was also seen as a cultural norm in Eastern America in 2000.</t>
  </si>
  <si>
    <t>Media portrayed circumcision as an “enhancement” or “improvement” over intact penises. Intact penises were seen as “weird”, “outdated”, or inherently “dirty”.</t>
  </si>
  <si>
    <t>Circumcised penises were incorrectly viewed as “better-looking” and “cleaner”.</t>
  </si>
  <si>
    <t>There is no significant health or hygiene difference between the two states.</t>
  </si>
  <si>
    <t>I believe culture leads people (especially older women) to prefer circumcised penises. However, this is changing because people are starting to think about circumcision from a more ethical standpoint.</t>
  </si>
  <si>
    <t>Circumcision is an irreversible tissue amputation inflicted upon children for millennia, historically with the purpose of curtailing sexual pleasure. When that excuse didn’t hold up, new ones (both religious and medical in nature) were created.</t>
  </si>
  <si>
    <t>I’ve never heard the metaphor before, but circumcision is absolutely harmful and unnecessary, with cultural brainwashing and indoctrination being to blame for how rampant it is.</t>
  </si>
  <si>
    <t>u/Delicious_Ad_Four4 (Reddit)</t>
  </si>
  <si>
    <t>Unsure at this time, but I'm willing to leave contact information in case I decide later.</t>
  </si>
  <si>
    <t>Yes; a personal essay or testimonial for a lawsuit or documentary.</t>
  </si>
  <si>
    <t>Not applicable / I am rarely or never in such situations.</t>
  </si>
  <si>
    <t>I only really notice it if I'm consciously looking for it or thinking about the topic.</t>
  </si>
  <si>
    <t>MD - Maryland</t>
  </si>
  <si>
    <t>Law/Government/Public Service/Civil Servant</t>
  </si>
  <si>
    <t>Law/Government/Public Service, Skilled Trades (e.g., Electrician, Carpenter, Mechanic, Cosmetologist)</t>
  </si>
  <si>
    <t>Liberal / Progressive</t>
  </si>
  <si>
    <t>Gay, Bisexual, Pansexual</t>
  </si>
  <si>
    <t>My tip is dried out and feels like nothing. My shaft/upper shaft is the only part that feels much. My frenulum was removed, so that area isn’t special.</t>
  </si>
  <si>
    <t>Orgasm feels like one short burst, and then it’s just gone, basically as soon as it came. It doesn’t feel particularly strong. Definitely doesn’t feel like anything I would ever be “vocal” for.</t>
  </si>
  <si>
    <t>I never use lube for normal masterbation, though of course I have to use it when using a fleshlight.</t>
  </si>
  <si>
    <t>I have only climaxed a single time from partnered sex, and it just is really difficult how to tell my partner how to make me feel good. Usually, my partner will say their tip if very sensitive and to focus on that area, so they assume I will be the same, but my tip feels nothing, so usually they have to take it deep in their mouth to pleasure the shaft, which can be extremely difficult.</t>
  </si>
  <si>
    <t>There are none. I remember my first time seeing an intact penis in porn and my first thought was, “wow! I can’t wait till I finish puberty and my penis looks like that!” The evidence suggests no correlation between STDs and being cut. Although the study in Africa implies that, when you look at the same study from Canada it shows it isn’t true.</t>
  </si>
  <si>
    <t>When I was a kid, when I would masterbate, sometimes my skin would tear and blister. It only stopped happening when I started restoring. It is harder to masterbate, the glans of the penis are dried out and constantly rub on the underwear, and during erections the skin of the balls gets pulled upwards and tightens. The grief of knowing I had no choice in what happened to my own genitals torments me every single day.</t>
  </si>
  <si>
    <t>To Look Like Father/Peers: Desire for the son's penis to match the father's or other males in the family/community., Just standard practice: Based on observing its prevalence, assumed it was the default medical procedure without a specific individual reason.</t>
  </si>
  <si>
    <t>Peer &amp; Social Pressure (The "Fitting In" Factor): The widespread belief that "everyone else is doing it," and a desire for you to avoid being seen as different in locker rooms or later in life. (The power of broad social conformity).</t>
  </si>
  <si>
    <t>I definitely have more skin that other people, but also I know other people who have more skin. Also my frenulum was removed. My scar is clearly visible, though with restoration it is becoming less visible.</t>
  </si>
  <si>
    <t>The gliding motion, frenulum, different sensations, ease of pleasuring the tip, and strength of orgasm.</t>
  </si>
  <si>
    <t>They emerged the second I realized I was circumcised. I remember it. My first boyfriend asked me if I was circumcised and I didn’t really know whether I was or not. I remember when it was mentioned in health class that, no diagrams were shown. So when they said the top part was removed I thought they removed the TIP. Like the glans. I never expected I would of had surgery performed on me to remove part of my genitals. But when I realized I was circumcised I felt shocked and betrayed. Every single day since then (which has been close to 2 years) I grieve and feel betrayed.</t>
  </si>
  <si>
    <t>It has gotten so much less common (has been a long time now) but at least before I started restoring, sometimes my skin would tear and blister because it was too tight.</t>
  </si>
  <si>
    <t>N/A I have talked to them.</t>
  </si>
  <si>
    <t>Experienced feelings of loss, grief, or anger, Motivated by research or learning about intact anatomy/function, Felt physically uncomfortable or experienced complications, Significantly dissatisfied with sensation, function, or appearance</t>
  </si>
  <si>
    <t>Achieve glans coverage and dekeratinization, I felt extreme grief that my body was changed in a way I didn’t consent to.</t>
  </si>
  <si>
    <t>I use the mantor restorer. I started with manual, and that was good too.</t>
  </si>
  <si>
    <t>I have been open. My first partner was the one who introduced me to the idea of circumcision. I told my my, and she actually got the me the mantor. She never considered it, and she said she regrets her choice greatly.</t>
  </si>
  <si>
    <t>I haven’t noticed that much, I haven’t been dedicated enough to get rollover yet. But when I used a retaining cone (artificially keeps skin pulled above the glans), I noticed HUGE differences.</t>
  </si>
  <si>
    <t>I stopped using a retaining cone, but when I used it was the only time I ever was able to climax during sex with a partner.</t>
  </si>
  <si>
    <t>I would prefer the term restored. I was cut at birth, it is a fact. When I finally get to CI7 or 8 I will have gone through the process to restore myself. That takes more effort than just being uncut at birth. I think bring Falles restored is a term of pride that you went through the struggle. But being mistaken for being uncut would give a sense of “euphoria” like passing as a trans person. I wouldn’t get mad at a person who has gone through restoration and called themselves “uncut”. I wouldn’t interrupt them and be like “NO, you WERE cut”</t>
  </si>
  <si>
    <t>The mantor can’t be used at night, which can slow progress.</t>
  </si>
  <si>
    <t>You just have to be patient, and go in knowing it’s a long, long process. But worth it.</t>
  </si>
  <si>
    <t>I really hope they succeed, and succeed soon.</t>
  </si>
  <si>
    <t>It was very common, but not universal; there was some awareness of intact boys.</t>
  </si>
  <si>
    <t>It’s mostly a cultural norm, but many believe it has health benefits, like being clean and protecting from UTI/STDs.</t>
  </si>
  <si>
    <t>None, I guess. According to my mom she never even saw one until she was a lot older.</t>
  </si>
  <si>
    <t>People just thought they were the regular penis.</t>
  </si>
  <si>
    <t>I think most people in my area and a lot of the USA (especially east) don’t have much experience with uncut people, but I think are generally just as happy with uncut people once they actually get experience with them.</t>
  </si>
  <si>
    <t>They should know that the foreskin is not “useless” or “pointless”. And they should be informed that it is irreversible, and the euphemism “circumcision” should be replaced with “partial genital amputation”.</t>
  </si>
  <si>
    <t>Circumcision is a euphemism. Circumcision sounds easy. Something everyone does, normal, tried and tested. But “partial genital amputation” sounds like something no one would do.</t>
  </si>
  <si>
    <t>Canada</t>
  </si>
  <si>
    <t>Law/Government/Public Service, Education (e.g., K-12 Teacher, Professor, School Administrator)</t>
  </si>
  <si>
    <t>ON - Ontario</t>
  </si>
  <si>
    <t>Baptist</t>
  </si>
  <si>
    <t>Only remember it being taught as part of the Jewish tradition and not part of Christian or people of gentile origins practices.</t>
  </si>
  <si>
    <t>I stopped being religious after I learned what my parents had done. I felt distant from my religion at first and then I failed to understand how God could allow me to feel the way I did about things beyond my control and in the end my beliefs became agnostic at best.</t>
  </si>
  <si>
    <t>Light touch and gliding sensations are the most important to my experience. Frenulum and foreskin are most sensitive areas</t>
  </si>
  <si>
    <t>Build up is quite gradual with actual climax often somewhat quickly subsiding into the "after glow" experience which can be short or long. Sensation often centred in the groin and shoulders full body on occassion. Can be either or for a more reflex or more deep release experience of orgasm, sex is often more enjoyable then the actual climax.</t>
  </si>
  <si>
    <t>16-30 seconds</t>
  </si>
  <si>
    <t>I produce a fair amount of pre-cum and we tend not to rush foreplay so lube usually is really only ever consider in a quickie sort of situation and even then we can generally get by without the need. With my foreskin I never need lube for masturbation though on occasion I will use it for a different experience.</t>
  </si>
  <si>
    <t>Very easy, I'm very open</t>
  </si>
  <si>
    <t>I'm still not entirely sure what was done</t>
  </si>
  <si>
    <t>I don't feel that there are any</t>
  </si>
  <si>
    <t>Before I knew I was circumcised I had had reoccurring nightmares and several panic attacks on the few occasions that I thought have might have been done. I used to have some discomfort during erection and masturbation that I wonder if it was caused by an internal adhesion. Once I learned that I had been circumcised the nightmares and panic attacks returned with bouts of depression and anxiety. Most of my foreskin was preserved so I am not sure how noticeably I would have been affected in terms of physical experience.</t>
  </si>
  <si>
    <t>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t>
  </si>
  <si>
    <t>Lack of Counter-Information: Crucially, the simple absence of any strong, readily available information presenting the benefits of intactness or the risks of circumcision, making it an easy default choice. (The power of silence)., Peer &amp; Social Pressure (The "Fitting In" Factor): The widespread belief that "everyone else is doing it," and a desire for you to avoid being seen as different in locker rooms or later in life. (The power of broad social conformity)., Direct Medical Authority: Specific advice from their obstetrician, pediatrician, or the hospital staff where you were born. (The voice of a trusted professional).</t>
  </si>
  <si>
    <t>Glans is no less than half covered when flaccid generally fully covered. On erection foreskin generally gathers in folds behind the glans though partial coverage sometimes occurs. Scar is similar skin tone to the rest of my penis though darker/ more olive toned. Scarring is uneven and varies in width inner foreskin seems to be preserved fairly evenly but twisted so that the ends of my frenulum does not line up on either side of the scar. I didn't notice the scar for years before I knew but now I can't not see it.</t>
  </si>
  <si>
    <t>Would it feel different? My foreskin as it is is an important part of my sexual experience how would that change? What would my natural body have looked like?</t>
  </si>
  <si>
    <t>As a young child, 7 to 9 years old, but at the time I believed I hadn't been and calmed myself down by telling myself that my parents couldn't have done that to me. Just being circumcised the practice has disgusted me since I first heard of it.</t>
  </si>
  <si>
    <t>Unsure</t>
  </si>
  <si>
    <t>I was good enough the way I was born, I didn't need to be fixed.</t>
  </si>
  <si>
    <t>I only really knew of it as a religious thing growing up. When I started looking at porn I realised it was a cultural thing in the US. When I learned it had been done to me I learned it was a much more common thing in Canada then I realised. I thought it was quite rare here, most of the guys I grew up with weren't.</t>
  </si>
  <si>
    <t>Wasn't really ever talked about. When I thought I was intact I never had a negative feeling about it didn't even realise people viewed it in a negative way. It was after that I noticed the stereotypes around being uncircumcised but they were from American media.</t>
  </si>
  <si>
    <t>Don't remember this being much of thing either I just thought natural looked more comfortable than being circumcised.</t>
  </si>
  <si>
    <t>Both are seen as equally normal and acceptable.</t>
  </si>
  <si>
    <t>It's not your body, Your child is not your property. You can't know what he will want and this change is permanent. How will having your opinion literally carved into his body make him feel?</t>
  </si>
  <si>
    <t>I sometimes notice.</t>
  </si>
  <si>
    <t>It's a very minor observation for me, if I notice at all.</t>
  </si>
  <si>
    <t>MO - Missouri</t>
  </si>
  <si>
    <t>I was not taught anything nor did I go church. When I did try reading the Bible on my own it was very evident that being circumcised was wrong and a rejection of Jesus and his sacrifice.</t>
  </si>
  <si>
    <t>I am an atheist. But if I was a Christian I would be going to hell because I was circumcised.</t>
  </si>
  <si>
    <t>My penis roughly the same degree of sensitivity as my forearm, with it being the most sensitive at it’s base and getting less sensitive towards the tip.</t>
  </si>
  <si>
    <t>The sensation is the same as the feeling of urinating, just less intense and not nearly as long.
The sensation can pass without notice with the expelled ejaculate as the indicator anything happened.</t>
  </si>
  <si>
    <t>I am dependent on my partner ability to be sufficiently aroused and wet enough to make up for my lack of foreskin</t>
  </si>
  <si>
    <t>Being unable to climax can be hurtful to my partner ability</t>
  </si>
  <si>
    <t>There are none.</t>
  </si>
  <si>
    <t>Several. Thinking I was deformed and the shame associated with that before I learned of circumcision. The intense pain of puberty. Feelings of not being “good enough” to have my body integrity respected. I was too ashamed of my disfigured penis to have sex as an adolescence. Difficulty in ejaculation. Feeling of being inadequate. Struggles with suicidal ideation. Fear of other’s seeing my naked body, was unable to overcome my fear of the locker room to participate in sports. The isolation, because society doesn’t let me share my experience; gaslighting, etc.</t>
  </si>
  <si>
    <t>Don't Know/Not Told: The reasons were never explained or learned later.</t>
  </si>
  <si>
    <t>My penis is grotesque. I have no mobility with the skin taught. The hideous scar divides my penis in half below the scar my public hair has been pulled up the shaft and above the scar the inverted remnants of foreskin is dried out unsmooth with a light red hue before you get to the glans that consent exposure have left dried out. The whole thing has an unnatural twist.</t>
  </si>
  <si>
    <t>Everything, all of it.</t>
  </si>
  <si>
    <t>I have had such feelings since my earliest childhood memories. Feeling inadequate is a trigger as is when the subject comes up. As a child I would disassociate when the topic came up.</t>
  </si>
  <si>
    <t>Erections can be painful. Puberty was exceptionally painful to the pain where I was unable to stand and had to lay in the fetal position on the floor until the erection passed.</t>
  </si>
  <si>
    <t>Why wasn’t I good enough to be loved the way I was born? Why wasn’t I good enough for to respect my body integrity? Why wasn’t I good enough?</t>
  </si>
  <si>
    <t>It is just what is done with no thought given to why</t>
  </si>
  <si>
    <t>That circumcision was an uncomfortable and taboo topic. Everyone did, but no one ever talked about it.</t>
  </si>
  <si>
    <t>It was a Jewish thing. There were antisemitic undertones, even though this did not make any sense as this abuse was universal and actual Jewish people were extremely rare.</t>
  </si>
  <si>
    <t>Cultural familiarity.</t>
  </si>
  <si>
    <t>Honestly I think most people just don’t think at all, this abuse is normalized and as such do not give it any thought whatsoever.
There is a strong barrier for most people to ever consider that this abuse is harmful or wrong, because that would mean that they have been abused and harmed. Most would rather Scarface their own son instead of confronting that truth.</t>
  </si>
  <si>
    <t>This abuse is horrific but because it has been normalized most people are unable to see it for what it is.</t>
  </si>
  <si>
    <t>There is a secondary harm that come about from this abuse when culture/society refuses to acknowledge or validate the victims.</t>
  </si>
  <si>
    <t>Yes, I might be open to a confidential video interview for research purposes.</t>
  </si>
  <si>
    <t>I am open to sharing my experience, I desperately want no one else to have to experience what I have. I do fear, being ostracized if I do not keep my identity anonymous.</t>
  </si>
  <si>
    <t>It's one of the very first and most prominent things I notice.</t>
  </si>
  <si>
    <t>France</t>
  </si>
  <si>
    <t>Stay-at-Home Parent / Homemaker, Clerical / Administrative Support (e.g., Secretary, Office Clerk)</t>
  </si>
  <si>
    <t>Bisexual</t>
  </si>
  <si>
    <t>Few sensation
Sensitive around the leftover of the frenulum
Pain with friction</t>
  </si>
  <si>
    <t>Sudden, quick</t>
  </si>
  <si>
    <t>Pain and no pleasure without</t>
  </si>
  <si>
    <t>Adolescence</t>
  </si>
  <si>
    <t>Absolutely none</t>
  </si>
  <si>
    <t>Pain
Loss of pleasure
Loss of confidence
Loss of trust
Self hatred
Depression</t>
  </si>
  <si>
    <t>Medical Advice (without stated necessity): Recommended by a doctor or healthcare provider without explaining a specific existing medical problem, perhaps framing it as routine or generally beneficial.</t>
  </si>
  <si>
    <t>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t>
  </si>
  <si>
    <t>Few skin shaft remaining
Very Tight with erection
Scars very visible and swell up</t>
  </si>
  <si>
    <t>I experienced this before being circumcised</t>
  </si>
  <si>
    <t>Immediately after the procedure</t>
  </si>
  <si>
    <t>Tight skin and pain over the scar</t>
  </si>
  <si>
    <t>They know I’m very angry about this decision</t>
  </si>
  <si>
    <t>He is intact (not circumcised).</t>
  </si>
  <si>
    <t>Medical decision due to slight scar on the foreskin around teenage years and lie from doctor on the procedure</t>
  </si>
  <si>
    <t>Natural state</t>
  </si>
  <si>
    <t>More hygienic</t>
  </si>
  <si>
    <t>Natural and cultural state in my country</t>
  </si>
  <si>
    <t>That the foreskin is not a nearly useless piece of skin</t>
  </si>
  <si>
    <t>In my opinion people who subject their children to this procedure should be berated.
It is completely human mutilation and is only « accepted » as culture or religious because that is what people are accustomed to.
As I view it, it is the same as removing a « non essential » organs or a limb and say that it serves a purpose.
Excluding really needed medical care.</t>
  </si>
  <si>
    <t>People are really dismissive of the damage that is done and the impact on psychology it can have.
People I spoke to really did not differentiate this irreversible procedure to going to the dentist for treatment or any other light operation.</t>
  </si>
  <si>
    <t>I came to learn about that through my own theological research and education at a Jesuit Catholic institution for my masters degree. But it was not something which I was taught growing up. In my growing up in the Catholic Church, when circumcision was mentioned (which was not often) it was not talked about in a religious context. It was presented as a parental decision made or not made for non-religious reasons (such as matching the father, health, etc).</t>
  </si>
  <si>
    <t>My position now as a specifically Catholic Christian is that infant circumcision should be dissuaded against for Catholics. There are the well known scriptural references that could apply to all Christians. Specific to Catholics there are additional reasons. The Catechism of the Catholic Church teaches that unnecessary body modifications without a clear medical need on individuals who cannot consent are immoral. There are also Papal decrees from the 1400’s-1600’s which place restrictions on infant circumcision for Catholics when there is not a clear and present need for it.</t>
  </si>
  <si>
    <t>The glans is the most sensitive but also finicky. Uncomfortably sensitive at times. Touch from my wife on/over the glans is pleasurable for a time. But for too long or a change in the motion can be uncomfortable to painful at times.</t>
  </si>
  <si>
    <t>Intensity is good. Sensation is good. Build up to orgasm is hard to describe because it’s not there. I don’t know I’m about to orgasm until I reach the point of no return and the orgasm starts. The sensation of building up to it isn’t there. It’s like a flatline sensation where I go from 0 right to 5 in terms of pleasure at the start of an encounter, then stay at 5 until I cross the point of no return and reach level 10 (orgasm). There’s no gradual build up to it.</t>
  </si>
  <si>
    <t>Needed for any non-vaginal sex with my wife. Not needed for vaginal sex.</t>
  </si>
  <si>
    <t>No, I generally feel my partners understand what provides me pleasure.</t>
  </si>
  <si>
    <t>Generally speaking, none. But if forced to find some advantage I would say that being circumcised meant I was in the majority of my peers in places where I had to change or shower in front of other boys growing up (summer camp, middle/high school gym class, etc). So in that way I fit in with most of my peers.</t>
  </si>
  <si>
    <t>Negative impact to how I experience pleasure. Not being able to experience the build-up to orgasm from 0-10.</t>
  </si>
  <si>
    <t>Primarily my father (e.g., to have his son "look like him").</t>
  </si>
  <si>
    <t>Paternal Influence (The "Like Father" Factor): A specific desire for you to genitally match your father or other male family members. (The power of conformity within the family unit)., 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t>
  </si>
  <si>
    <t>Fairly prominent circumcision scar like and notable change in skin color. No tightness with just an erection, but there is some slight tightness any time it’s stimulated (either by my self or my wife).</t>
  </si>
  <si>
    <t>It's a neutral physical feature like a freckle or birthmark.</t>
  </si>
  <si>
    <t>Gliding motion, ability to sense the build up to orgasm to know when it’s coming.</t>
  </si>
  <si>
    <t>During my age 14 physical exam my pediatrician made a note about the visible skin color difference at my circumcision scar on my penis during the genital exam. This was not a formal intervention the way a procedure might be. But that moment/memory has stuck with me ever since. Not in a bad way per se. But it was noticeable enough that a pediatrician who had to see a hundred penises every week would find it notable.</t>
  </si>
  <si>
    <t>Yes, I experience some of these feelings sometimes</t>
  </si>
  <si>
    <t>I first experienced them in my preteen years, but I became more aware of them as a college student and beyond.</t>
  </si>
  <si>
    <t>Premature ejaculation based on the definition of frequently ejaculating in one minute or less during sexual encounters.</t>
  </si>
  <si>
    <t>Yes, we've discussed it briefly, but not in great depth.</t>
  </si>
  <si>
    <t>I understand you made the best decision you could given the time in US history when I was born. I wish that the information available today was available to you then.</t>
  </si>
  <si>
    <t>No, never considered it / Happy as I am</t>
  </si>
  <si>
    <t>Both the medical and the cultural. The cultural context being that circumcision was the bass majority norm in the US when I was born as well as there being a notion that boys should “match” their father.</t>
  </si>
  <si>
    <t>That it wasn’t as clean, and it wasn’t normal (in the sense that it was the minority of boys where I grew up).</t>
  </si>
  <si>
    <t>That they were cleaner and that they were normal (despite needing a surgery to gain that appearance).</t>
  </si>
  <si>
    <t>It’s self perpetuating. When the majority of males are circumcised, that’s all people know. So that has become normative both in porn and in lived sexual encounters. Which then can shape and inform people’s decisions about whether or not to circumcise any male children they have.</t>
  </si>
  <si>
    <t>I have no aesthetic preference; both look equally normal/appealing to me.</t>
  </si>
  <si>
    <t>Cleaning an intact penis on a baby or child isn’t rocket science! It’s not this mystical or difficult thing. Wipe it like a finger and he’s good to go!</t>
  </si>
  <si>
    <t>Circumcision causes a lot of harm, but it’s so normalized in the US many people cannot or will not acknowledge that fact.</t>
  </si>
  <si>
    <t>I’m sure there is more to share, but this survey hit a lot of the main things. Well written and thorough.</t>
  </si>
  <si>
    <t>I was only able to select one option above, but I am interested in participating in ways that would allow me to share my story but remain anonymous. Less than a handful of people in my life know how I feel on this topic from my lived experience (as opposed to a public stance that it’s not medically necessary when the topic comes up in conversation but without sharing my personal experience).</t>
  </si>
  <si>
    <t>I frequently notice.</t>
  </si>
  <si>
    <t>MA - Massachusetts</t>
  </si>
  <si>
    <t>White / Caucasian / European American, Hispanic / Latino / Latina / Latinx, Native American / Alaska Native / Indigenous / First Nations, Multiracial / Biracial</t>
  </si>
  <si>
    <t>Military Service, Engineer</t>
  </si>
  <si>
    <t>Very Liberal / Progressive / Left-Leaning</t>
  </si>
  <si>
    <t>I can tell something is off just under the glans, feels like something isn't there. I was circumcised and didn't question it until high school but could always tell some sort of feeling was missing there. My sexual organs should be more sensitive.</t>
  </si>
  <si>
    <t>quick, mild, focused in one spot</t>
  </si>
  <si>
    <t>Even before understanding the foreskin had sensitivity, for a long time I understood that my penis lacked sensitivity</t>
  </si>
  <si>
    <t>Primarily my mother (e.g., for perceived hygiene, aesthetic, or other reasons).</t>
  </si>
  <si>
    <t>Prophylactic Health Reasons (Specific Disease Prevention - e.g., Cancer, STIs, HIV, UTIs): Belief that it lowers the risk of specific diseases later in life (e.g., penile cancer, certain sexually transmitted infections like HIV or HPV, infant urinary tract infections - UTIs)., 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t>
  </si>
  <si>
    <t>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 Popular Media &amp; Parenting "Experts": Information or attitudes transmitted through widely-read parenting books (like Dr. Spock in earlier eras), magazines, or other mainstream media. (The power of mass media).</t>
  </si>
  <si>
    <t>My skin ain't tight. I've heard some people's is but mine just isn't.</t>
  </si>
  <si>
    <t>Often, and about everything</t>
  </si>
  <si>
    <t>I am not upset with my parents for not understanding and I am still happy with my body. Though every time I look at it I feel incomplete with the more I know. Despite my discomfort I feel hopeful about being able to stop these acts on people like me who were too young.</t>
  </si>
  <si>
    <t>You need to accept what you did was wrong. I am not upset with you for what you did. But when you refuse to accept that things that you did were very wrong (and obviously wrong), it's not OK. You still today refuse to accept it was wrong when it comes up briefly about once a year.</t>
  </si>
  <si>
    <t>You need to write this question better</t>
  </si>
  <si>
    <t>That it was dirty and "gross"</t>
  </si>
  <si>
    <t>It was "normal"</t>
  </si>
  <si>
    <t>Old dying lies</t>
  </si>
  <si>
    <t>Circumcision takes away sensitivity</t>
  </si>
  <si>
    <t>I understand the metaphor, but I see it differently.</t>
  </si>
  <si>
    <t>It's not transparent, it's the difference between responsibility, thinking freely, versus following what you have been told without questioning.</t>
  </si>
  <si>
    <t>Not sure / Prefer not to say</t>
  </si>
  <si>
    <t>Prefer not to say</t>
  </si>
  <si>
    <t>I'm not sure</t>
  </si>
  <si>
    <t>BC - British Columbia</t>
  </si>
  <si>
    <t>The most sensitive parts(inner skin and frenulum remnant) ends abruptly into the rest of the shaft skin. A dead give away that the rest of the most sensitive part was amputated.</t>
  </si>
  <si>
    <t>During sex it can become numb to sensation. It can take long time to reach orgasm. It feels like there's something missing from the experience. Orgasms can be okay...</t>
  </si>
  <si>
    <t>An old girlfriend wouldn't want to use lubrication because she didn't want to have synthetic products inside her. She would try to only use her hand and it was to dry for me so she would have to us saliva or it would be too uncomfortable to continue.</t>
  </si>
  <si>
    <t>They don't understand that it doesn't work in the way nature intended. Whether it's the saliva thing or another example is when she was saying, "its the motion of the ocean". She doesn't get that I can't feel it like a normal uncut man and would need to go hard to feel anything at all.</t>
  </si>
  <si>
    <t>None. I wish I was a whole man. It's against my beliefs to be cut and also against my morals and values to cut another person.</t>
  </si>
  <si>
    <t>Physically, sometimes hard to finish especially with a condom. 
Mentally and emotionally it has caused a lot of traumatic psychological pain. It was very world shattering to find out and it disgusts me that people violated my human rights. 
I feel hatred towards it and it feels like a great injustice that goes unpunished.
I don't believe in a society that doesn't respect the rights and freedoms of others and that doesn't respect the body autonomy of individuals. 
It's like living with my abusers and having to push done the truth of the sex crime that has been committed against me. 
I've been waiting for 14 years to be regenerated by science(for when) so I can feel and be whole.
It's made me not really want to be in relationships and seriously doubt having kids in a world that is so apathetic to the mutilation of children's private parts.
I also have not spoken to my father in several years because of it and I promised to myself that I wouldn't speak to him again in this life if I don't become a whole man. In other words get regenerated by science(foregen).</t>
  </si>
  <si>
    <t>Paternal Influence (The "Like Father" Factor): A specific desire for you to genitally match your father or other male family members. (The power of conformity within the family unit).</t>
  </si>
  <si>
    <t>There is a bit of mobility because I tried to restore for a year. But realized I wouldn't be happy until I get everything back that was cut off through regenerative medicine. 
The scar is ugly. It's deep and like tread marks. 
It also is ugly to have two dissimilar skin(inner and outer skin) stitched together.</t>
  </si>
  <si>
    <t>Everything about what it would feel like, but also the confidence and pride I would feel about being a whole and natural man. 
When having sex/masturbating I pretend and imagine that I'm intact during.</t>
  </si>
  <si>
    <t>When I was about 11 years old. I became very depressed about it at 13/14 and have had episodes of depression because of it since. I also drank a lot to cope. 
I don't feel like a whole man and I feel sexually violated by it and take advantage of. 
Society doesn't allow proper healing either because obviously they're still actively participating in the mutilation of children.</t>
  </si>
  <si>
    <t>They already know how much I hate it and how much I resent it. I had to fight for my nephew to remain intact. It's child abuse.</t>
  </si>
  <si>
    <t>I'm not sure what the expectation was.</t>
  </si>
  <si>
    <t>Can't recall ever hearing about it. I had to find out on my own, which was obvious to me because it would be like not noticing that you're missing ear lobes with giant scars on them.</t>
  </si>
  <si>
    <t>Most partners tend to prefer intact partners, but it's not a 'deal-breaker.'</t>
  </si>
  <si>
    <t>I think that circumcision kills a few hundred children each year so the hygiene becomes irrelevant, but people should be washing their genitals on a regular bases anyway, so it's the same situation. Also I think due to the lack of sensation and maybe perhaps not use condoms because of it and also due to the perpetuated myth that somehow a circumcised penis doesn't get STDs that people are more likely to pick up STDs if they are circumcised. And STDs are about as unhygienic as it comes. The USA has some of the highest rates of AIDS in the modern developed world and also some of the highest rates of circumcision. In Canada the rates are something like 60-70% intact so partners are more likely to experience people with whole penises and find that the form and function is more pleasurable. Only in cultures where the rates are higher could they be gaslighted to see that it is beneficial because the reality is screwed towards men who are not whole and natural, so everyone is more accustomed to being with handicapped people.</t>
  </si>
  <si>
    <t>That the foreskin is highly innervated and the most erogenous part of the male body and it has cells that are part of the immune system that actually prevent against STDs and viruses. Let the man who the child grows into decide what happens to their own private parts.</t>
  </si>
  <si>
    <t>The monsters facing the little girl. It would make more sense if it was facing the little boy in regards to male genital mutilation.
Plus if it was my I wouldn't be smiling along with everyone else. I would be sad/angry.</t>
  </si>
  <si>
    <t>Everyone deserves the right to be whole and I think that religions shouldn't be able to have rights over what happens to the child either. If that kid grows up and doesn't even want to be apart of those beliefs they have had their own personal religious freedom stopped from them. It's not okay to carve religious beliefs into someone else's body.</t>
  </si>
  <si>
    <t>I'd have to think about it... I try not to go over it too much for mental health reasons. It takes me to a dark place.</t>
  </si>
  <si>
    <t>QC - Quebec</t>
  </si>
  <si>
    <t>Corona, meatus and the zone where the frenulum should be are the most sensitive. Circumcision scar is also pleasurable</t>
  </si>
  <si>
    <t>Depends on the Partner/Situation</t>
  </si>
  <si>
    <t>Improves pleasure for masturbation, use of condoms</t>
  </si>
  <si>
    <t>Hygenic advantages only. Easy to mantain</t>
  </si>
  <si>
    <t>Loss of sensation. Appearance</t>
  </si>
  <si>
    <t>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 Hygiene: Belief that circumcision makes the penis easier to keep clean or is inherently more hygienic., Prophylactic Health Reasons (Specific Disease Prevention - e.g., Cancer, STIs, HIV, UTIs): Belief that it lowers the risk of specific diseases later in life (e.g., penile cancer, certain sexually transmitted infections like HIV or HPV, infant urinary tract infections - UTIs)., To Look Like Father/Peers: Desire for the son's penis to match the father's or other males in the family/community., Prophylactic Health Reasons (General Prevention): Belief that it prevents potential future health problems (e.g., infections, inflammation, later penile issues) that were not currently present., Supposed tight foreskin in infancy</t>
  </si>
  <si>
    <t>Family Tradition/Pressure: The expectation from grandparents or other influential relatives; the idea that "it's what the men in our family have always done." (The power of heritage)., Prevailing Health &amp; Hygiene Beliefs: General societal "knowledge" at the time—gleaned from various sources—that presented circumcision as being fundamentally cleaner, healthier, or preventive of future diseases. (The power of a cultural 'truth')., Direct Medical Authority: Specific advice from their obstetrician, pediatrician, or the hospital staff where you were born. (The voice of a trusted professional).</t>
  </si>
  <si>
    <t>Uneven scar, had a skin bridge until I got it fixed. Low cut, somewhat hairy shaft</t>
  </si>
  <si>
    <t>Gliding motion, frenulum, overall sensations</t>
  </si>
  <si>
    <t>Skin bridge removal as an adult</t>
  </si>
  <si>
    <t>When I learned as a teen that there was debate about circumcision, that it is unnecessary and not widely practiced in the majority of men. When I learned what a skin bridge was. Knowing someone else is intact or when a couple didn’t circumcise their son is a trigger</t>
  </si>
  <si>
    <t>Tight erections, problems with skin bridge until I got it fixed</t>
  </si>
  <si>
    <t>I never really felt the need to; I accepted it as normal.</t>
  </si>
  <si>
    <t>Wish you had given me the choice, or at least make sure it was a well done circumcision, healed correctly</t>
  </si>
  <si>
    <t>He was born premature and with health problems. Later he got a frenulectomy or some kind of surgery but not a full circumcision</t>
  </si>
  <si>
    <t>Experienced feelings of loss, grief, or anger, Motivated by research or learning about intact anatomy/function, Significantly dissatisfied with sensation, function, or appearance, Felt physically uncomfortable or experienced complications, Mildly dissatisfied with sensation or appearance, Curious about what might be different if intact</t>
  </si>
  <si>
    <t>Improve gliding mechanics/reduce need for lube, Achieve glans coverage and dekeratinization, Increased overall sensitivity, Improve sexual pleasure/orgasms, Heal psychological trauma</t>
  </si>
  <si>
    <t>30s</t>
  </si>
  <si>
    <t>Manual tugging and Foreskinned Air</t>
  </si>
  <si>
    <t>No, keeping it as a personal thing so far</t>
  </si>
  <si>
    <t>Huge increase in glans sensitivity, especially corona and meatus zone</t>
  </si>
  <si>
    <t>Improved greatly. Longer and more pleasurable</t>
  </si>
  <si>
    <t>Restored</t>
  </si>
  <si>
    <t>Takes too long. Gives peace of mind</t>
  </si>
  <si>
    <t>Start as soon as possible</t>
  </si>
  <si>
    <t>Even close intact males either think circumcision is healthier or it has no effect on function, or they’re not sure if being intact is better or not. Parents that don’t do it think it should be a choice but don’t oppose the practice</t>
  </si>
  <si>
    <t>Unhealthy, dirty, low social class thing, unaesthetic, weird looking, gross, something to be embarrased about, women don’t like it</t>
  </si>
  <si>
    <t>Healthier, upper class status, aesthetic, cleaner, better for sex, safer for women, easier to care, you’ll have to do it sooner or later</t>
  </si>
  <si>
    <t>The circumcised state is slightly healthier/more hygienic.</t>
  </si>
  <si>
    <t>Pornography, ideas about hygiene, American influence</t>
  </si>
  <si>
    <t>I slightly prefer the appearance of the circumcised penis.</t>
  </si>
  <si>
    <t>Unbiased and honest information about the functions of the foreskin and how to care for it</t>
  </si>
  <si>
    <t>I think some intactivist organizations use wrong methods and tactics. I think they can be counterproductive for the cause, divisive and agressive</t>
  </si>
  <si>
    <t>Yes, I'm willing to answer questions about my experiences as a circumcised person (before/alongside restoration)</t>
  </si>
  <si>
    <t>Not very sensitive</t>
  </si>
  <si>
    <t>Brief</t>
  </si>
  <si>
    <t>It’s hard for partners to get me anywhere near the point of ejaculation.</t>
  </si>
  <si>
    <t>There are no advantages only disadvantages</t>
  </si>
  <si>
    <t>It’s almost impossible to ejaculate from penetrative sex. It’s very hard for partners to make me ejaculate from masturbation or oral sex. I mostly avoid sex because of how circumcision has damaged me.</t>
  </si>
  <si>
    <t>Religious Reasons: Performed as a religious ritual (e.g., Brit Milah in Judaism, Khitan/Sunnet in Islam) or based on religious belief., Medical Advice (without stated necessity): Recommended by a doctor or healthcare provider without explaining a specific existing medical problem, perhaps framing it as routine or generally beneficial.</t>
  </si>
  <si>
    <t>Tight with little remaining mobile skin and a prominent scar</t>
  </si>
  <si>
    <t>The damage circumcision has done to me is the cause. They started a few years after my circumcision after I stopped denying the damage to myself.</t>
  </si>
  <si>
    <t>Circumcision is horrific and should be banned</t>
  </si>
  <si>
    <t>Pornography from the US</t>
  </si>
  <si>
    <t>People think men don’t complain about circumcision, but they do and no one listens</t>
  </si>
  <si>
    <t>Written personal essays</t>
  </si>
  <si>
    <t>Korea, South (Republic of Korea)</t>
  </si>
  <si>
    <t>Asian / Asian American (e.g., East Asian, South Asian, Southeast Asian)</t>
  </si>
  <si>
    <t>Unsure / Haven't thought about it in terms of time</t>
  </si>
  <si>
    <t>Confident. it generally feels great</t>
  </si>
  <si>
    <t>To Look Like Father/Peers: Desire for the son's penis to match the father's or other males in the family/community., Cultural Tradition/Family Norm: It was a strong family tradition, cultural expectation, or simply "what people in our community did.",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Parent's General Preference: Parents simply preferred the circumcised appearance or state without specific medical, religious, or cultural reasons being primary., Aesthetic Preference / To Look "Better" or "Neater": Belief that the circumcised penis looks more visually appealing, "prettier," or tidier than an intact one., Just standard practice: Based on observing its prevalence, assumed it was the default medical procedure without a specific individual reason.</t>
  </si>
  <si>
    <t>Prevailing Health &amp; Hygiene Beliefs: General societal "knowledge" at the time—gleaned from various sources—that presented circumcision as being fundamentally cleaner, healthier, or preventive of future diseases. (The power of a cultural 'truth')., Peer &amp; Social Pressure (The "Fitting In" Factor): The widespread belief that "everyone else is doing it," and a desire for you to avoid being seen as different in locker rooms or later in life. (The power of broad social conformity)., Lack of Counter-Information: Crucially, the simple absence of any strong, readily available information presenting the benefits of intactness or the risks of circumcision, making it an easy default choice. (The power of silence).</t>
  </si>
  <si>
    <t>Felt physically uncomfortable or experienced complications, Motivated by research or learning about intact anatomy/function, Curious about what might be different if intact, Mildly dissatisfied with sensation or appearance, Experienced feelings of loss, grief, or anger, Significantly dissatisfied with sensation, function, or appearance</t>
  </si>
  <si>
    <t>Feel more 'natural' or 'whole', Reclaim what was taken, Regain gliding motion, Increased overall sensitivity, Improve gliding mechanics/reduce need for lube, Achieve glans coverage and dekeratinization, Heal psychological trauma, Improve sexual pleasure/orgasms</t>
  </si>
  <si>
    <t>Manual, TLC</t>
  </si>
  <si>
    <t>Not applicable / I do not plan to have children.</t>
  </si>
  <si>
    <t>White / Caucasian / European American, Hispanic / Latino / Latina / Latinx, Multiracial / Biracial</t>
  </si>
  <si>
    <t>Business/Finance/Management, Retail / Customer Service / Hospitality, Stay-at-Home Parent / Homemaker, Healthcare/Medicine (e.g., Doctor, Nurse, Therapist, Technician), Clerical / Administrative Support (e.g., Secretary, Office Clerk)</t>
  </si>
  <si>
    <t>Clerical / Administrative Support (e.g., Secretary, Office Clerk), Skilled Trades (e.g., Electrician, Carpenter, Mechanic, Cosmetologist), Retail / Customer Service / Hospitality, Factory / Manufacturing / General Labor</t>
  </si>
  <si>
    <t>No my dad was a lazy fake Christian and he did it more for his own control vs religious control.</t>
  </si>
  <si>
    <t>It feels very sensitive to abrasive and rigorous stimulation. I still have a frenulum and a bit of inner skin which feel very sensitive to sliding. Sensation stops after scar and the rest feels like just pleasant but not like how it might be expected to feel if it could follow through like if it were intact.</t>
  </si>
  <si>
    <t>I think I have learned various techniques over the years and can say I can feel pretty intensely when I orgasm. It feels really good but I also have weird feelings that I feel get in the way and give me distress more than pleasure. With that in mind, I do still feel intense pleasure depending on how I am getting stimulated but it's easier to give intense stimulation with my hand vs what I am able to do during sex.</t>
  </si>
  <si>
    <t>I have used it on occasion and don't find it harmful, but not super necessary. More useful for initial penetration but I can handle that myself given enough prep.</t>
  </si>
  <si>
    <t>My previous partner tried masturbating me and it they just didn't bother attempting and made excuses to not try more. Personally I don't feel a disconnect on communicating about it myself to others. It's whether the other person is even receptive of whether it even affects you. And how receptive they are over even letting you personally attempt to overcome those hurdles and difficulty understanding how there is something different that it needs to be treated differently, whether it be by just difference in penile anatomy or being different in anatomical function.</t>
  </si>
  <si>
    <t>The only real advantage I can feel and like about not really the whole experience of being cut but something that isn't all bad is that I can always feel from my head... Not that it's helped by perpetually also not being able to be protected so. To be frank I don't see much advantage, it almost wholly seems reductive to any positivity that my natural anatomy would have provided. Even the good almost seemingly feels completely overshadowed or marred by the bad. I love my body and having my genitals damaged in this way has given me no positive perspective quality to give to what I already have.</t>
  </si>
  <si>
    <t>Psychologically it has been atrocious. I have psychological issues from my very own sensations over how they intertwine with good and bad sensations, I have felt extremely insufficient, altho my sexual experience with partners isn't necessarily negative. However my perception over my penis gives me anxiety to even show it to others and building a relationship with a hang up over any part of your body can really get in the way of things. Emotionally, I have a lot of anger and feelings of missing out on living, at least to a degree that should be accessible. Functionally I'm not a fan, I don't like how my masturbation feels reduced and tight and like I can only focus on getting errogenous and arousing sensation from the tip and what's remaining of my inner skin, frenulum, and frenular delta. Every push in or anything pulling toward my body is distressing over this feeling that the push in should follow through with what I feel closer from the tip. And then it's just dull save for the saving grace of sensation that seemingly comes from pressure against the rest of the shaft. That feeling makes it feel like I need to feel more and it creates so much disturbance even after I've finished. It causes so much distress trying to cum actually peaking while cumming cuz I just want to feel the rest and then it dies down. Still lingering but continuously bothering. And my head has felt less and less over the years. Along with my remaining structures. I even have a hard time staying hard and I'm only 26. But it's not about staying hard overall, cuz I can get really hard but cumming, actually makes me go soft and then I can go again and I get hard again but when I masturbate I can give enough forceful stimulation to cum more than I ce while staying hard, altho I soften a bit but it's much easier to get what I need from my hand than a vagina. Having little skin to pull back, and my cut in particular is uneven which I can feel and discern smaller differences between each side of skin. Not being able to tell whether the curve or twist you have is natural or a product of being cut is very disturbing. And initially trying to masturbate was terrible as I was a child with no understanding of inner musical skin vs or people skin vs inner skin or general penile anatomy. So I would run the parts that would feel good, and very quickly caused years and causing on very delicate skin. It lasted for years till it was just tougher and stopped tearing. And doesn't feel as sensitive at all. My penis has made existing feel very alien and disconnected. However in my current state, I doesn't always feel bad beside some nerve pain that resurfaces here and there along the scar. Puberty was a major problem because I was always openly rubbing against things which made it hard to focus. I was always concerned about my penis because I actively feel it regardless of the shit I ignore over it. And I ignore whatever else but it gets to me and I'm so tired of it already. It's constant and I just want to feel at ease. So much distress over something that I should have never needed to pay attention to.</t>
  </si>
  <si>
    <t>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 Some need from my dad to have this done like he was.</t>
  </si>
  <si>
    <t>Lack of Counter-Information: Crucially, the simple absence of any strong, readily available information presenting the benefits of intactness or the risks of circumcision, making it an easy default choice. (The power of silence)., Peer &amp; Social Pressure (The "Fitting In" Factor): The widespread belief that "everyone else is doing it," and a desire for you to avoid being seen as different in locker rooms or later in life. (The power of broad social conformity)., Paternal Influence (The "Like Father" Factor): A specific desire for you to genitally match your father or other male family members. (The power of conformity within the family unit).</t>
  </si>
  <si>
    <t>I have an unvenly angled cut which leaves more inner skin and less outer skin on my right side that gradually twists and inverts in proportion to what other type of skin that was left, leaving my other side with more outer skin and less inner skin. It all meets at the middle under my frenulum. It's like I go from almost 2 inches of inner skin to only having about a little under an inch. And that side with less inner skin has so much more looseness. I think I have a twist and bend that could be attributes to how much remaining skin I have and how it keeps my penis restricted in a way that affects it. And it gets more pronounced as I pull my penis skin back down my shaft as far as I can. As in it twists and bends much more and almost look like my actual penis is trying to escape but is bound by the scar. Anyway one side is much looser and doesn't expose inner skin and the other side is very noticable tauter. Flaccid, same thing but there is enough skin to roll over corona but the other side is so short it inverts my remaining outer skin so that's always just reacting to things. I have the mobility to cover my head with skin but it feels better on one side and the outer skin feels amazing against my head, but only feeling up to my scar in that way feels incomplete. My scar is seemingly somewhat variable in prominence. Also I am Latino so my penis is a bit darker than the rest of my body which is a fair bit lighter. Then my inner skin is a very contrasting mucosal inner flesh like reddish pink that looks very dried and dull. Very calloused. I'm a 4'11 man with a 7 inch penis, so I feel like it's huge and the amount of skin on that alone would be a lot from how I've learned to estimate the extent and potential of what is lost. I have about 2 and a half inches of feeling from my head to the end of where my remaining inner and outer skin meet at the scar. It makes the tightness from pulling and pushing it, any stroke, to have different amounts of give and slack from both sides. One side has more mobility going forward while one side has more mobility going backward and it causes weird sensations to either direction.</t>
  </si>
  <si>
    <t>I'm interested in a lot of it. How It feels to have the full breath of sensations from everything that should be there... What it feels like to have all that skin invert over itself. Even with what I have that can move over itself it feels amazing, but it's like I'm cut off, which in part I literally am. How the skin feels itself.and how it feels things. How it would feel through to the head and how it itself would feel on my head. How it would feel to feel protected and moist. Or even to retain moisture. How it would feel to have it all push down and invert onto the shaft, and how squishy the base should be. How it would feel to have it be pulled taut all the way to the base and have that full stroke feel complete from head through my frenulum down the space I don't have down to the base. And then to feel it pull itself forward naturally, over the head to the very extent of what I would have genetically had. And to feel that skin in my head during sex and how it feels for it to all interact with the vagina instead of feeling all my intense stimulation simply near the base without much feeling down the rest of my shaft while having a small range of nation for an in stroke and having more out stroke and pulling instead of sliding in myself to then slide into a partner and everything inverts to make contact. And to feel what I am originally supposed to feel from my head and all that skin while it retains itself. I just want to feel what I never got to feel. And what I never will feel. I want to see how it would have interacted for penetration and stroking in general. All while feeling. What I have now doesn't feel like I am feeling. It's awful, even if I can get off through it. And it's so tight feeling and uneven feeling. I can't stand it.</t>
  </si>
  <si>
    <t>I had feelings of unease looking at my genitals throughout my early childhood till puberty. But sexually developing made it very prominent to me. And especially after having been exposed to it online through porn and seeing something that looked healthy and unlike mine. And being bi, I ended up fooling around with men and experiencing the difference has always been something that makes me question everything about myself and how I feel my pleasure and my penis's ability to hold it's sexual capacity. Growing up and looking at porn did not help in my already negative perception of having been altered in some way that I eventually learned the name to. I can't stand looking at porn. Just the visual image of another cut human being reminds me of mine and it's just horrid to me. But then I would just watch intact men in porn situations and it made me feel even more inadequate and like I am just not meant to love properly or like a human or that sex is more uneven and impaired and that I will be the reason for unfulfilling sex. Or that the issues I have with holding erections through orgasms will make partners dissatisfied. And that not only is there a disconnect with how much pleasure I am giving but with how much I am receiving and can enjoy in reciprocation. Sex itself can trigger it, masturbation can. Seeing men's intact genitals, seeing women's intact genitals, seeing other men with variably damaged genitals.</t>
  </si>
  <si>
    <t>Some nerve pain at different points along my scar, uneven skin, tight skin and unbalanced skin sensations, meatal stenosis.</t>
  </si>
  <si>
    <t>Burn in hell, I'm never doing it to my kids and you'll never be around them in their lifetime. Fuck this shit and fuck your want to control me in your gross twisted ways. I should have never been wanted to be like you, and I never wanted to ever be like you.</t>
  </si>
  <si>
    <t>Experienced feelings of loss, grief, or anger, Mildly dissatisfied with sensation or appearance, Curious about what might be different if intact, Motivated by research or learning about intact anatomy/function, Significantly dissatisfied with sensation, function, or appearance, Felt physically uncomfortable or experienced complications,</t>
  </si>
  <si>
    <t>Improve gliding mechanics/reduce need for lube, Achieve glans coverage and dekeratinization, Heal psychological trauma, Improve sexual pleasure/orgasms, Increased overall sensitivity,</t>
  </si>
  <si>
    <t>My partner liked me being cut to spite me, but they didn't care and potentially thought it was good. My brother knows and hopes it works out for me. My dad has no comment and my mom just thinks I need medical devices.</t>
  </si>
  <si>
    <t>Not yet but I notice more intensity after kind days without taking some devices off</t>
  </si>
  <si>
    <t>I personally don't have any issues</t>
  </si>
  <si>
    <t>Finding good devices and techniques. And starting with very little outer skin. . The most rewarding thing has been the nice calmness I get when my brain isn't trying to constantly fill out sensation to my head</t>
  </si>
  <si>
    <t>Find something that you can be consistent in and don't overdo it. However it requires a lot of time under tension which can luckily be done passively. But it's much harder seemingly with an active, mobile lifestyle. So find a good balance over when you do it or what methods and how they will interact in your life.</t>
  </si>
  <si>
    <t>It seems like a dream that's out of reach. Either by time or accessibility because of money. I'm already 26 so I'd rather restore than wait for something that is almost akin to false hope, altho its end goal is attainable and I will want a piece of that.</t>
  </si>
  <si>
    <t>It was a 50/50 choice with no strong expectation either way.</t>
  </si>
  <si>
    <t>It just seemed like something that could be done that seemingly improved something, until I learned it didn't</t>
  </si>
  <si>
    <t>Everyone just seems to think it's dirtier. A normalized repulsion</t>
  </si>
  <si>
    <t>Cleaner, assumedly better looking I guess</t>
  </si>
  <si>
    <t>Idk</t>
  </si>
  <si>
    <t>How much skin will be potentially removed and how damaging it can potentially be.</t>
  </si>
  <si>
    <t>I see it as a thick blanket that we are forced to pretend is whatever.</t>
  </si>
  <si>
    <t>I wouldn't know I have a lot of anxiety over it but maybe ideas over writing something about it would be nice. It any ideas in a collaborative project would be nice too</t>
  </si>
  <si>
    <t>Gay, Asexual</t>
  </si>
  <si>
    <t>Don't Know/Not Told: The reasons were never explained or learned later., Don't know/Not told</t>
  </si>
  <si>
    <t>I have absolutely no idea what influenced them.</t>
  </si>
  <si>
    <t>Mental stenosis</t>
  </si>
  <si>
    <t>United Arab Emirates</t>
  </si>
  <si>
    <t>Middle Eastern / North African (MENA)</t>
  </si>
  <si>
    <t>Sunni</t>
  </si>
  <si>
    <t>As a strong cultural practice deeply intertwined with Muslim identity, even if not explicitly mandated by the Quran.</t>
  </si>
  <si>
    <t>Somewhat</t>
  </si>
  <si>
    <t>Primarily an emphasized Sunnah</t>
  </si>
  <si>
    <t>Aware of them, but haven't deeply explored</t>
  </si>
  <si>
    <t>Religious Reasons: Performed as a religious ritual (e.g., Brit Milah in Judaism, Khitan/Sunnet in Islam) or based on religious belief., Cultural Tradition/Family Norm: It was a strong family tradition, cultural expectation, or simply "what people in our community did.", Hygiene: Belief that circumcision makes the penis easier to keep clean or is inherently more hygienic., Just standard practice: Based on observing its prevalence, assumed it was the default medical procedure without a specific individual reason.</t>
  </si>
  <si>
    <t>Religious Mandate/Tradition: A direct requirement or strong cultural expectation stemming from their religious beliefs and community. (The power of faith).</t>
  </si>
  <si>
    <t>Yes, I have 4</t>
  </si>
  <si>
    <t>Significantly dissatisfied with sensation, function, or appearance, Curious about what might be different if intact, Experienced feelings of loss, grief, or anger</t>
  </si>
  <si>
    <t>Achieve glans coverage and dekeratinization, Regain gliding motion, Increased overall sensitivity, Heal psychological trauma, Improve sexual pleasure/orgasms, Improve gliding mechanics/reduce need for lube, Reclaim what was taken, Feel more 'natural' or 'whole'</t>
  </si>
  <si>
    <t>Mantor restorer device</t>
  </si>
  <si>
    <t>2-3 years</t>
  </si>
  <si>
    <t>White / Caucasian / European American, Hispanic / Latino / Latina / Latinx, Prefer not to say</t>
  </si>
  <si>
    <t>I'm not sure, Retail / Customer Service / Hospitality</t>
  </si>
  <si>
    <t>I'm not sure, Factory / Manufacturing / General Labor</t>
  </si>
  <si>
    <t>Very Conservative / Right-Leaning</t>
  </si>
  <si>
    <t>Assemblies of God</t>
  </si>
  <si>
    <t>Yes, I was taught that although it wasn't ultimately necessary "circumcision of the heart" it was also said that "It was good enough for jesus, so it's good enough for you", and that mentality was present.</t>
  </si>
  <si>
    <t>Unlike my relatives, I am not a christian, but rather I am a proud atheist.</t>
  </si>
  <si>
    <t>I would liken the sensitivity to that of an outer forearm. fine touch sense simply isn't there, sensitivity is bad, and even though I have been restoring fairly consistently for a few months this year, and did so for a while previously 3 year ago before going on a long hiatus from restoring, I don't feel as though I have, nor will ever make great progress.</t>
  </si>
  <si>
    <t>My typical orgasm experience is very low sensitivity, very quick, the final release isn't very exciting or pleasurable, no moreso than rubbing one's inner forearm, and it is entirely forcused on my frenulum remnant, nowhere else on my entire body experiences that pleasure, sadly.</t>
  </si>
  <si>
    <t>Upon continuing restoration, I can feel a bit of looseness, but lubrication helps a lot. Moreso than lubrication, I use a rough blanket to stimulate my penis, and that works the best for me.</t>
  </si>
  <si>
    <t>I don't believe there to be any advantages of being circumcised.</t>
  </si>
  <si>
    <t>Yes, so many that it will take a while to answer unless I list them as is, so I will do so. Complete and utter lack of sensitivity and pleasure, shame, disgust, dysphoria, and self loathing. I can remember from an extremely young age desperately trying to push what little skin I had over my glans, and thinking "god is dumb, if I were god I would have designed some skin to cover my tip" without ever even having known what circumcision was, or that I had undergone it. I am now atheist, and identify as gay, which adds a further layer of complexity, especially when interacting intimately with other men even online, and feeling horribly inadequate.</t>
  </si>
  <si>
    <t>Cultural Tradition/Family Norm: It was a strong family tradition, cultural expectation, or simply "what people in our community did.", Hygiene: Belief that circumcision makes the penis easier to keep clean or is inherently more hygienic., Religious Reasons: Performed as a religious ritual (e.g., Brit Milah in Judaism, Khitan/Sunnet in Islam) or based on religious belief., Parent's General Preference: Parents simply preferred the circumcised appearance or state without specific medical, religious, or cultural reasons being primary., Controlling/Restricting Masturbation: A belief that circumcision would reduce the urge or ability to masturbate (a view common in certain historical eras).,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 Aesthetic Preference / To Look "Better" or "Neater": Belief that the circumcised penis looks more visually appealing, "prettier," or tidier than an intact one.</t>
  </si>
  <si>
    <t>Direct Medical Authority: Specific advice from their obstetrician, pediatrician, or the hospital staff where you were born. (The voice of a trusted professional)., Paternal Influence (The "Like Father" Factor): A specific desire for you to genitally match your father or other male family members. (The power of conformity within the family unit)., Prevailing Moral Beliefs about Sexuality (e.g., concern over masturbation):</t>
  </si>
  <si>
    <t>I would say that I was given a relatively low, but pretty tight cut with very little skin mobility, very tight erections, a highly visible dark scar, very uneven/jagged skin removal, frenulum nearly completely gone, my skin bunches up just behind my glans when completely soft, and my scar is 1/2-2/3rds up my shaft when erect, and I also have struggled with erectile dysfunction since my early years.</t>
  </si>
  <si>
    <t>I would love to feel the incredible sensitivity, the fine touch nerves, the feelings of the frenulum and ridged band, the gliding motion, the full body orgasms, and have been personally told by friends about being able to orgasm without any physical touch, just pure mind power.</t>
  </si>
  <si>
    <t>I believe that I may have undergone a revision when I was young in order to remove what little pleasure I had remaining. My parents are incredibly religious (christian), and conservative, and view masturbation as evil, and funny enough, I turned out to be a leftist. It makes me feel even worse knowing that I might not have had as many negative side effects, even though I would have felt terrible anyways.</t>
  </si>
  <si>
    <t>These feeling first emerged in my very early childhood, and have always been intense, only feeling stronger and stronger as time passes. The primary triggers are seeing others nude (particularly intact men), seeing myself naked, or feeling what little skin I have opening back up.</t>
  </si>
  <si>
    <t>Overly tight skin, pains, urinary spraying, and a feeling as though my (significant grower of up to 7.3 inches) penis is constricted by the lack of skin and not able to stretch as long as it could be.</t>
  </si>
  <si>
    <t>I would tell them that I absolutely hate the decision that they made for me, that it has on several occasions driven me to suicide, and that it makes me feel disgusted and ashamed.</t>
  </si>
  <si>
    <t>Felt physically uncomfortable or experienced complications, Curious about what might be different if intact, Motivated by research or learning about intact anatomy/function, Significantly dissatisfied with sensation, function, or appearance, Experienced feelings of loss, grief, or anger, I felt majorly dysphoric from an extremely young age, and swear that I can actually remember being circumcised as an infant.</t>
  </si>
  <si>
    <t>Increased overall sensitivity, Improve sexual pleasure/orgasms, Achieve glans coverage and dekeratinization, Regain gliding motion, Reclaim what was taken, Heal psychological trauma, Improve gliding mechanics/reduce need for lube, Feel more 'natural' or 'whole'</t>
  </si>
  <si>
    <t>I have been using MM3 (pinching the scarline, and tugging the skin upwards towards the tip of my glans whilst simulataneously wearing a steel ball stretcher (38 mm, and 15 mm tall), and have ordered a priva duo.</t>
  </si>
  <si>
    <t>Less than 6 months</t>
  </si>
  <si>
    <t>Yes, I have let friends know. They were very surprised, and upon learning more about circumcision, were horrified to learn about the awful side effects of being mutilated.</t>
  </si>
  <si>
    <t>Yes, it feels looser, and some spots feel as though they are more sensitive, such as spots around the corona where skin has begun to bunch up.</t>
  </si>
  <si>
    <t>Yes, I have actually began to feel the pleasure spread out a little bit to my back, and now my legs will sometimes involuntarily twitch.</t>
  </si>
  <si>
    <t>The terms "uncut/uncircumcised" can mean the same thing as "intact" to me, but I have been retraining my mind to identify those who have never undergone circumcision as "intact", and individuals who are far along into their restoration journey as "uncut", or perhaps "decut" in a way, as a sign of their reversal of their mutilation.</t>
  </si>
  <si>
    <t>The most challenging part has been accepting what I have lost, tackling my shame, disgust, and self loathing, whilst realizing that there is no easy or short term fix to even bring back what can be restored. The most rewarding is the understanding of why I felt so horrible, and knowing that I can somewhat heal and re-sensitize myself.</t>
  </si>
  <si>
    <t>I would so highly recommend it. Even though I am in the early stages, I feel so much better, and have felt the dysphoria and pain diminish, as well as feel my sensitivity begin to return, and my penis to not feel so constricted by the tightness of the skin.</t>
  </si>
  <si>
    <t>Makes me feel frustrated this wasn't available sooner</t>
  </si>
  <si>
    <t>I genuinely believe that this a fully viable option, and am highly excited to see it provide a solution to people who have long felt hopeless.</t>
  </si>
  <si>
    <t>It was viewed as important to restrict masturbation, and was seen as a hygiene improvement.</t>
  </si>
  <si>
    <t>It was commonly thought that due to the increased sensitivity in comparison to circumcised penises, males with foreskins would masturbate constantly, and that they were difficult to keep clean.</t>
  </si>
  <si>
    <t>It was assumed that although the sensitivity was significantly decreased, this was a good thing, and that they were easy to clean.</t>
  </si>
  <si>
    <t>I believe that religious dogma, and the us medical industry are responsible.</t>
  </si>
  <si>
    <t>I slightly prefer the appearance of the intact (uncircumcised) penis.</t>
  </si>
  <si>
    <t>That there are massive sensitivity decreases that always happen with circumcision.</t>
  </si>
  <si>
    <t>Although I myself am unfortunately circumcised, it is seen as completely normal despite being horrific.</t>
  </si>
  <si>
    <t>I personally have been near the point of suicide several times due to how horrible I feel about having been circumcised.</t>
  </si>
  <si>
    <t>I would be very interested in answering further questions in a text or audio format, or video if I get some more information about that!</t>
  </si>
  <si>
    <t>Azerbaijan</t>
  </si>
  <si>
    <t>Asian / Asian American (e.g., East Asian, South Asian, Southeast Asian), Middle Eastern / North African (MENA), Multiracial / Biracial</t>
  </si>
  <si>
    <t>Skilled Trades (e.g., Electrician, Carpenter, Mechanic, Cosmetologist), Factory / Manufacturing / General Labor</t>
  </si>
  <si>
    <t>Straight/Heterosexual, Bisexual</t>
  </si>
  <si>
    <t>Aesthetic Preference / To Look "Better" or "Neater": Belief that the circumcised penis looks more visually appealing, "prettier," or tidier than an intact one., 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 Religious Reasons: Performed as a religious ritual (e.g., Brit Milah in Judaism, Khitan/Sunnet in Islam) or based on religious belief., Cultural Tradition/Family Norm: It was a strong family tradition, cultural expectation, or simply "what people in our community did.", Parent's General Preference: Parents simply preferred the circumcised appearance or state without specific medical, religious, or cultural reasons being primary.</t>
  </si>
  <si>
    <t>Two prominent suture marks on the top, tiny bit of hanging flesh at the bottom, frenulum preserved, somewhat uneved scar</t>
  </si>
  <si>
    <t>There is no significant difference in the potential for pleasure/sensation between the two states.</t>
  </si>
  <si>
    <t>Australia</t>
  </si>
  <si>
    <t>Other US Territory not listed</t>
  </si>
  <si>
    <t>&lt; 18</t>
  </si>
  <si>
    <t>Less than high school diploma or equivalent</t>
  </si>
  <si>
    <t>Law/Government/Public Service/Civil Servant, Retail / Customer Service / Hospitality</t>
  </si>
  <si>
    <t>No, I had no idea about any of the circumcision things until I was older and already atheist.</t>
  </si>
  <si>
    <t>I'm atheist now but believed in God when I was younger. This topic was never brought up, but currently, I'm honestly quite mad that regardless of the fact it says in New Testament (which is the main one followed in my cases) that it says circumcision of the heart, not the body. It makes me think "Then why the fuck was I mutilated?!"</t>
  </si>
  <si>
    <t>No major difference.</t>
  </si>
  <si>
    <t>Quick? Feels nice but no real other descriptors.</t>
  </si>
  <si>
    <t>I was cut relatively loose.</t>
  </si>
  <si>
    <t>N/A</t>
  </si>
  <si>
    <t>The very slight discrease in things like STI's and UTI's and it is easier to clean.</t>
  </si>
  <si>
    <t>The things like losing sensitivity and all the sexual downsides. But mainly, the psychological effects. I feel marked, wronged, taken away from, less like a man. If my brain wanders for too long when just seeing other men and realising they probably aren't mutilated makes me feel alien and horrible. It floats into my mind every time I see it whilst in the toilet or showering, and it makes me feel bad and angry. Just sucks all around.</t>
  </si>
  <si>
    <t>Hygiene: Belief that circumcision makes the penis easier to keep clean or is inherently more hygienic., To Look Like Father/Peers: Desire for the son's penis to match the father's or other males in the family/community.,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Prophylactic Health Reasons (Specific Disease Prevention - e.g., Cancer, STIs, HIV, UTIs): Belief that it lowers the risk of specific diseases later in life (e.g., penile cancer, certain sexually transmitted infections like HIV or HPV, infant urinary tract infections - UTIs)., Cultural Tradition/Family Norm: It was a strong family tradition, cultural expectation, or simply "what people in our community did."</t>
  </si>
  <si>
    <t>Family Tradition/Pressure: The expectation from grandparents or other influential relatives; the idea that "it's what the men in our family have always done." (The power of heritage)., Paternal Influence (The "Like Father" Factor): A specific desire for you to genitally match your father or other male family members. (The power of conformity within the family unit)., Prevailing Health &amp; Hygiene Beliefs: General societal "knowledge" at the time—gleaned from various sources—that presented circumcision as being fundamentally cleaner, healthier, or preventive of future diseases. (The power of a cultural 'truth').</t>
  </si>
  <si>
    <t>I'm pretty roughly cut, so no tightness, pretty even and overall better off then some other circumcised men, but the fact I am at all sucks balls.</t>
  </si>
  <si>
    <t>The full gliding motion, frenelum, and just how it would feel different in any non-specific way.</t>
  </si>
  <si>
    <t>I first figured out I was circumcised when in High School (the fact sex ed doesn't talk about that is absolute bullshit) when I kept hearing this word 'foreskin' in jokes and wondered what it was, searched it up, and came across a diagram that showed the differences between cut and uncut. I instantly thought "Thank god I'm not cut" like that, and when I realized I *was* cut, I felt so dissatisfied and wondered why a parent would ever do this. I felt angry but brushed it off when I started to get more and more sad about it, and started researching further.</t>
  </si>
  <si>
    <t>"Fuck you" (not really) and / or "Why?!"</t>
  </si>
  <si>
    <t>Some thought</t>
  </si>
  <si>
    <t>Motivated by research or learning about intact anatomy/function, Curious about what might be different if intact, Significantly dissatisfied with sensation, function, or appearance, Experienced feelings of loss, grief, or anger</t>
  </si>
  <si>
    <t>Reclaim what was taken, Regain gliding motion, Feel more 'natural' or 'whole', To see what restoration was like (it's scientifically interesting), to see if it actually worked, and also just the littlest bit of spite :)</t>
  </si>
  <si>
    <t>Manual Methods 1 and 2</t>
  </si>
  <si>
    <t>I've talked very briefly with a friend about it when we were talking about circumcision.</t>
  </si>
  <si>
    <t>None so far, it's only barely visibly noticeable in specific situations.</t>
  </si>
  <si>
    <t>Not so far.</t>
  </si>
  <si>
    <t>Both scientifically and in my opinion, restored and intact are very different.</t>
  </si>
  <si>
    <t>The hardest part is the amount of time it takes, but it's pretty easy to do whilst watching something or listening to music. The best part is when I noticed the slightest bit of physical difference, I had the dumbest sense of happiness ever.</t>
  </si>
  <si>
    <t>I was cut pretty lose so I don't think I've lost much sexual function, so this was entirely about taking back something, and I can recommend it, seeing progress is great :D</t>
  </si>
  <si>
    <t>I've looked into Foregen quite a lot and believe they can make something, I just hope it's within the next decade, or at least it's proved wrong to not drag people along. I do think they can do it though.</t>
  </si>
  <si>
    <t>At least with my mother (Quite frankly most of my community is probably intact, which makes me feel good for them but I hate it because I feel even more alien), she said she did research and at the time it was seen as medically beneficial. I call a bit of bullshit, I hardly believe the difference could be that major from now from the year I was born, and I don't know if she even thought about the psycholgical side effects, but she has said she understands the problem and isn't fully for it anymore. I am trying to speak more with her.</t>
  </si>
  <si>
    <t>I don't know.</t>
  </si>
  <si>
    <t>Again, this will be contained mainly to my parents since the rest of my community is likely intact (lucky bastards), but seen as medically beneficial and probably easier to clean.</t>
  </si>
  <si>
    <t>I'm not fully sure, if it's cut, then probably porn from America (those unlocky bastrds have a 60-40% cut rate), if intact, then probably due to most being allowed to choose what they do with their body (again, lucky bastards.)</t>
  </si>
  <si>
    <t>The intact state is overwhelmingly seen as the normal and expected standard.</t>
  </si>
  <si>
    <t>There's many, but the fact circumcision does actually psychologically impact many negatively.</t>
  </si>
  <si>
    <t>The issue is greatly undiscussed, which is horrible since it does nothing but bad in almost all cases. I think it should be illegal.</t>
  </si>
  <si>
    <t>I believe circumcision without proper reason (cases like uncurable phismosis) is entirely immoral and should be outlawed in every country. A person's culture or religion should have no permenant on an unconsenting person. I am planning to write an entire argument and discussion about this in my free time, with sources and all that, so I'd say this discussion is important in culture and I wanna help stop this generational abuse :D</t>
  </si>
  <si>
    <t>Yes, just said I'm planning on writing an essay on this, it would only be on text though, no video or images. I don't have the most interesting story but have plenty of opinions and open to help this movement in any way I can :)</t>
  </si>
  <si>
    <t>Journeyman Certification / Licensed Tradesperson</t>
  </si>
  <si>
    <t>AB - Alberta</t>
  </si>
  <si>
    <t>Very Positive</t>
  </si>
  <si>
    <t>I enjoy the feeling of blowjobs especially when I wife sucks me off the warmth the touch feels good on all areas of my penis. The skin being slid up and down my shaft definitely helps me reach orgasm</t>
  </si>
  <si>
    <t>When I reach orgasm it starts from the top of my foreskin and sends a wave of full body release that is incredibly intense that makes my back arch from the pleasure</t>
  </si>
  <si>
    <t>Extremely confident, can't imagine it being better</t>
  </si>
  <si>
    <t>Don't typically need it unless using toys</t>
  </si>
  <si>
    <t>Generally proud and satisfied</t>
  </si>
  <si>
    <t>The pleasure I get from my foreskin is insane. I can't imagine life without it. Sex is amazing wife enjoys my body. My penis doesn't look dried out nor do I have a large scar on my shaft. I feel more of a man being intact and have no problems or feel shame hiding that fact</t>
  </si>
  <si>
    <t>Felt awkward in highschool but never a concern</t>
  </si>
  <si>
    <t>Medical Information/Advice: They were informed by a doctor/medical literature that circumcision was medically unnecessary (e.g., citing AAP 1971/1975 statements or similar, or advice from a specific medical professional).</t>
  </si>
  <si>
    <t>Primarily influenced by a doctor's or midwife's strong recommendation against the procedure.</t>
  </si>
  <si>
    <t>Na</t>
  </si>
  <si>
    <t>5 or 6 had some kind of rash I believe it was Fordyce spots. Doctor layed my on a table ripped my foreskin back exposing my glans and gave my Dad some kind of cream.. I'm glad my foreskin was able to retract by then otherwise that might have been a worse experience</t>
  </si>
  <si>
    <t>I was one of the few kids I knew grow ling up intact. Remember peeing with a neighbors kid and we noticed our penises were different. Felt self conscious early in life.</t>
  </si>
  <si>
    <t>Fulls loose short foreskin. When I'm hard it pulls back completely. But when masturbating or sex skin freely moves up and down. Glans is shinny and sensitive.</t>
  </si>
  <si>
    <t>It's a critical part of my orgasm. I focus on this area when I slelf pleasure</t>
  </si>
  <si>
    <t>No, I believe being intact is preferable</t>
  </si>
  <si>
    <t>Not applicable - no same-sex partners or no partners with differing status</t>
  </si>
  <si>
    <t>No, I have never felt any pressure and have never considered getting circumcised; I value being intact.</t>
  </si>
  <si>
    <t>Don't like the term intact/natural is better</t>
  </si>
  <si>
    <t>It's not dirty.. and how much pleasure it can bring you.</t>
  </si>
  <si>
    <t>A cosmetic preference.</t>
  </si>
  <si>
    <t>It's was seen as being dirty, anteater</t>
  </si>
  <si>
    <t>Normal looking</t>
  </si>
  <si>
    <t>Foreskin feels amazing for you and future sexual partners</t>
  </si>
  <si>
    <t>Every one has the right to a whole body.</t>
  </si>
  <si>
    <t>Spain</t>
  </si>
  <si>
    <t>Switzerland</t>
  </si>
  <si>
    <t>White / Caucasian / European American, Hispanic / Latino / Latina / Latinx</t>
  </si>
  <si>
    <t>Science/Research/Academia</t>
  </si>
  <si>
    <t>Journalist</t>
  </si>
  <si>
    <t>I generally feel more pain from friction/tightness rather than pleasure.</t>
  </si>
  <si>
    <t>Short, difficult to reach and not particularly pleasurable.</t>
  </si>
  <si>
    <t>I hate having to need lube to avoid friction pain.</t>
  </si>
  <si>
    <t>No matter how hard my partners try, it's difficult to manipulate my penis in a way that is not painful for me. Most of the time I just lose the erection from the pain.</t>
  </si>
  <si>
    <t>I don't really frame my feelings about it in terms of 'pride' or 'dissatisfaction'.</t>
  </si>
  <si>
    <t>There are no advantages.</t>
  </si>
  <si>
    <t>Yes, both physical and emotional pain.</t>
  </si>
  <si>
    <t>Medical Advice (without stated necessity): Recommended by a doctor or healthcare provider without explaining a specific existing medical problem, perhaps framing it as routine or generally beneficial., Prophylactic Health Reasons (General Prevention): Belief that it prevents potential future health problems (e.g., infections, inflammation, later penile issues) that were not currently present., My parents are simply retarded and followed a Drs advice after my older brother with Down's syndrome had a UTI.</t>
  </si>
  <si>
    <t>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 Direct Medical Authority: Specific advice from their obstetrician, pediatrician, or the hospital staff where you were born. (The voice of a trusted professional).</t>
  </si>
  <si>
    <t>Very little tissue left, aggressive free-hand cut.</t>
  </si>
  <si>
    <t>All aspects interest me.</t>
  </si>
  <si>
    <t>I had to have corrective surgery when I was 26</t>
  </si>
  <si>
    <t>They emerged after learning about penile anatomy after my early gay experiences. I've been extremely unhappy since I became fully aware of what it was done to me.</t>
  </si>
  <si>
    <t>Tight and painful erections, dryness, lack of sensitivity.</t>
  </si>
  <si>
    <t>You will die without my forgiveness, they same way I will die suffering from the consequences of your actions.</t>
  </si>
  <si>
    <t>My parents didn't mutilate my brother because he had Down's Syndrome so they didn't care about his future sexuality.</t>
  </si>
  <si>
    <t>Felt physically uncomfortable or experienced complications, Experienced feelings of loss, grief, or anger, Significantly dissatisfied with sensation, function, or appearance</t>
  </si>
  <si>
    <t>Increased overall sensitivity, Improve gliding mechanics/reduce need for lube, Regain gliding motion, Heal psychological trauma, Improve sexual pleasure/orgasms, Reclaim what was taken, Feel more 'natural' or 'whole', Achieve glans coverage and dekeratinization</t>
  </si>
  <si>
    <t>T-tapes</t>
  </si>
  <si>
    <t>5-7 years</t>
  </si>
  <si>
    <t>100% open</t>
  </si>
  <si>
    <t>Yes, slightly less pain.</t>
  </si>
  <si>
    <t>"Uncut" as a word should just disappear, trying to "reclaim" it is pointless since the general population is fully unaware of restoration/intactivism. It makes much more sense to push for the use of "intact" instead.</t>
  </si>
  <si>
    <t>The slowness can be maddening. But the results are worth it and I physically enjoy the sensation of wearing a T-tape all day.</t>
  </si>
  <si>
    <t>You have nothing to lose, time is going to pass regardless and you might as well try to enjoy your own body before you die.</t>
  </si>
  <si>
    <t>I hope it's eventually successful.</t>
  </si>
  <si>
    <t>Europeans are generally very ignorant, they just believe it's beneficial/necessary if done by medical Drs.</t>
  </si>
  <si>
    <t>There are no stereotypes like this in Spain.</t>
  </si>
  <si>
    <t>Same as above.</t>
  </si>
  <si>
    <t>Mostly cultural familiarity/media.</t>
  </si>
  <si>
    <t>Men suffer pain, sadness and anguish but sharing such feelings is frowned upon, specially when they relate to such a delicate topic. Just leave your child's genitals alone.</t>
  </si>
  <si>
    <t>More than a monster, circumcision causes extreme cognitive dissonance to the people it affects, no matter whether they are circumcised or not. It's just accepted because male suffering is ignored and normalized.</t>
  </si>
  <si>
    <t>I'm happy about any type of public debate about this topic. The gay experience surrounding it is also significantly different from the heterosexual one. Perhaps you could add questions in that sense in future surveys.</t>
  </si>
  <si>
    <t>Californiu (Reddit user)</t>
  </si>
  <si>
    <t>I don't know, I'm very paranoid when it comes to this topic.</t>
  </si>
  <si>
    <t>76 - 85</t>
  </si>
  <si>
    <t>Circumcision of males was irrelevant to 'Disciples of Christ' church theology.</t>
  </si>
  <si>
    <t>I am an observant Christian.</t>
  </si>
  <si>
    <t>Positive</t>
  </si>
  <si>
    <t>My 1979 surgically reconstructed foreskin generates excellent sensitivity for itself and the glans it covers when my phallus is not erect.</t>
  </si>
  <si>
    <t>I never experienced a whole-body orgasm during sexual intercourse until 1982, five years after my flawless surgical reconstruction by Dr. Charles Horton (deceased), practicing cosmetic genital reconstruction in Virginia.</t>
  </si>
  <si>
    <t>none</t>
  </si>
  <si>
    <t>Very proud and satisfied</t>
  </si>
  <si>
    <t>None.</t>
  </si>
  <si>
    <t>The loss of tactile sensation in my penis after my circumcision at age nine was enormous.</t>
  </si>
  <si>
    <t>It was performed by our Jewish family physician after a hernia repair by another physician at age nine.</t>
  </si>
  <si>
    <t>What is it like to have sexual intercourse with one's intact and natural sexual equipment?</t>
  </si>
  <si>
    <t>When I first realized as a medical student at age 27 that I had been denying the fact that I had been circumcised as a child for all of my adult life, I became determined to recover some sort of foreskin, even if it was a crude imitation.</t>
  </si>
  <si>
    <t>When I was first forced to confront the fact at age 27 that I had been disfigured at age nine.</t>
  </si>
  <si>
    <t>Your decision to have me genitally mutilated to resemble my peers destroyed my natural sexuality!</t>
  </si>
  <si>
    <t>Regain gliding motion, Reclaim what was taken, Improve gliding mechanics/reduce need for lube, Feel more 'natural' or 'whole', Heal psychological trauma, Improve sexual pleasure/orgasms, Achieve glans coverage and dekeratinization, Increased overall sensitivity</t>
  </si>
  <si>
    <t>I had a surgical reconstruction completed at age 33. You can examine in detail my pictorial description of that surgery at https://tinyurl.com/vb35cer2.</t>
  </si>
  <si>
    <t>I consider myself 'complete' or have achieved my goals and stopped active tugging</t>
  </si>
  <si>
    <t>Since I first realized at age 27 that I had been phallically disfigured and sexually diminished.</t>
  </si>
  <si>
    <t>By age 38, my penile sensitivity had recovered enough to allow me to experience whole body orgasms during (heterosexual) intercourse for the first time.</t>
  </si>
  <si>
    <t>Until my penis had been resheathed at age 33 by my surgical foreskin reconstruction that required taking a skin graft from my thigh, sex was more work than pleasure to achieve ejaculation.</t>
  </si>
  <si>
    <t>Significantly reduced need</t>
  </si>
  <si>
    <t>I think of myself as 'foreskin recovered.'</t>
  </si>
  <si>
    <t>My family refuses to acknowledge that my circumcision at age nine ever mutilated and disfigured my penis. My relatives obsessively 'cut' their newborn males before even bringing them home after their birth.</t>
  </si>
  <si>
    <t>Use one of the excellent shaft skin stretching into foreskin devices readily available to recover a functional foreskin.</t>
  </si>
  <si>
    <t>Male circumcision was an obsession for my peers, and I know of classmates who were cosmetically circumcised at seniors in my high school class of 1964 for the sake on conformity of male genital appearance.</t>
  </si>
  <si>
    <t>My father had me circumcised simple for the sake of conformity of genital appearance with my peers. I have written an essay about this that you can read at https://tinyurl.com/5n7mhwf9.</t>
  </si>
  <si>
    <t>Easier to maintain, cleaner, more resistant to venereal diseases, more visually attractive.</t>
  </si>
  <si>
    <t>cultural familiarity</t>
  </si>
  <si>
    <t>If it's not broken, don't try to fix it!</t>
  </si>
  <si>
    <t>Unsure.</t>
  </si>
  <si>
    <t>Even though my relatives are aware that I, a retired family physician, consider RIC to be disfiguring and damaging to male sexuality, they still insist on cutting their newborn males.</t>
  </si>
  <si>
    <t>Yes, I might consider sharing a more public (potentially non-anonymous, with my explicit consent for its specific use) written or video testimonial if the opportunity arose.</t>
  </si>
  <si>
    <t>I have included two Internet addresses for essays that I have written in earlier responses to questions. An additional essay that will interest you can be read at https://tinyurl.com/yntyppw8</t>
  </si>
  <si>
    <t>Germany</t>
  </si>
  <si>
    <t>Libertarian</t>
  </si>
  <si>
    <t>Used to, after gaining enough skin it's not required, and feels much better without</t>
  </si>
  <si>
    <t>Anything that I could say here is simply a consequence of not having said tissue. Can't get hangnails anymore if you don't have nails. Can't get breast cancer if you don't have breasts anymore.</t>
  </si>
  <si>
    <t>Constant rubbing on the glans is extremely uncomfortable.</t>
  </si>
  <si>
    <t>Direct Medical Authority: Specific advice from their obstetrician, pediatrician, or the hospital staff where you were born. (The voice of a trusted professional).</t>
  </si>
  <si>
    <t>Very little mucosal tissue remaining, unfortunately. Small circumcision scar, fortunately. Very even skin removal, as stated before my circumcision was from a very good hypospadias surgeon, who is obviously leagues above most other jobs that perform circumcisions, didn't stop him from taking a lot of inner foreskin from me, though.</t>
  </si>
  <si>
    <t>everything</t>
  </si>
  <si>
    <t>Scar removal from hypospadias reconstruction, said scars hindered me from restoring by being very painful</t>
  </si>
  <si>
    <t>Felt physically uncomfortable or experienced complications, I was always annoyed how I needed lube, but never really thought about it much, I knew it was caused by circumcision, but I didn't think I could actually change anything about it, so I didn't waste time and energy thinking of something I thought I couldn't change anyway.</t>
  </si>
  <si>
    <t>Increased overall sensitivity, Achieve glans coverage and dekeratinization, Improve sexual pleasure/orgasms, Heal psychological trauma, Regain gliding motion, Feel more 'natural' or 'whole', Improve gliding mechanics/reduce need for lube, Reclaim what was taken, Circumcision feels emasculating, I want to take that part of my masculinity back.</t>
  </si>
  <si>
    <t>Priva Air, Mantor, Stealth Retainer, CAR</t>
  </si>
  <si>
    <t>I was circumcised because of a hooded foreskin from hypospadias, when my hypospadias was fixed, foreskin reconstruction was also tried, but ultimately there wasn't enough material, so the doctor offered to circumcise me because "it would look better than a hooded foreskin." My parents now very much regret that decision, and they have even bought me devices.</t>
  </si>
  <si>
    <t>Just better, nothing more to really say than that</t>
  </si>
  <si>
    <t>Tissue was taking from us that we can't, and will never get back. We will never be "uncut" or "intact." Uncircumcised does fit and describe it well, though.</t>
  </si>
  <si>
    <t>Continue, it's worth it, even if you think you're happy as you are now.</t>
  </si>
  <si>
    <t>Fever dream</t>
  </si>
  <si>
    <t>How much it impacts sexual pleasure.</t>
  </si>
  <si>
    <t>Because it is accurate. Also please don't use AI, it makes us look less competent, and people will agree with us less.</t>
  </si>
  <si>
    <t>Healthcare/Medicine (e.g., Doctor, Nurse, Therapist, Technician), Education (e.g., K-12 Teacher, Professor, School Administrator)</t>
  </si>
  <si>
    <t>Jesus was circumcised; Catholic Catechism/Theology teaches that modern circumcision is prohibited except for medically necessary (treated as body mutilation)</t>
  </si>
  <si>
    <t>Prior to foreskin restoration lube was always a necessity</t>
  </si>
  <si>
    <t>Tight skin, physical pain, decreased sensitivity, keratinzarion, feeling of being mutilated/ medically “raped”</t>
  </si>
  <si>
    <t>Don't Know/Not Told: The reasons were never explained or learned later., Don't know/Not told, I assume parents were told cleaner, healthier, and easier but I have never asked</t>
  </si>
  <si>
    <t>Tight, uneven, significant scar line, frenulum looks internally destroyed/dug out</t>
  </si>
  <si>
    <t>sensation, gliding, lack of keratization, etc.</t>
  </si>
  <si>
    <t>During sex ed talk with parents explained that some cousins were uncircumcised; this was first experience of rage about it knowing that my parents had a choice</t>
  </si>
  <si>
    <t>I assumed they wouldn't remember or have a clear reason.</t>
  </si>
  <si>
    <t>You made a horrible choice that I have to live with for the rest of my life</t>
  </si>
  <si>
    <t>Motivated by research or learning about intact anatomy/function, Significantly dissatisfied with sensation, function, or appearance, Curious about what might be different if intact, Generally satisfied or hadn't thought much about it, Felt physically uncomfortable or experienced complications, Experienced feelings of loss, grief, or anger, Mutilated, medically “raped”</t>
  </si>
  <si>
    <t>Increased overall sensitivity, Regain gliding motion, Improve sexual pleasure/orgasms, Feel more 'natural' or 'whole', Reclaim what was taken, Heal psychological trauma, Achieve glans coverage and dekeratinization, Improve gliding mechanics/reduce need for lube, Appear as God created</t>
  </si>
  <si>
    <t>Car-1, manuals, Mantor, retainer, packers</t>
  </si>
  <si>
    <t>Wife knows, doesn’t understand it as she can’t experience it but accepts it</t>
  </si>
  <si>
    <t>Yes, no frenulum left but more sensational over the area</t>
  </si>
  <si>
    <t>Better</t>
  </si>
  <si>
    <t>I would use the term “UN”-circumcised to describe myself at end of journey to encourage others. I am a medical provider and I use the term intact/neo-intact in medical documentation as I believe the term uncircumcised makes it sound like its baseline/normal to be circumcised</t>
  </si>
  <si>
    <t>The mental aspect of knowing I was mutilated as a defenseless neonate; my parents allowed it/requested it, and now I have a decades long process of restoring ahead of me</t>
  </si>
  <si>
    <t>Start early, start slow, just start.</t>
  </si>
  <si>
    <t>Smell</t>
  </si>
  <si>
    <t>Cleaner</t>
  </si>
  <si>
    <t>Function of foreskin, importance of bodily autonomy for males</t>
  </si>
  <si>
    <t>ID - Idaho</t>
  </si>
  <si>
    <t>I was adopted as an infant (typically within the first year of life).</t>
  </si>
  <si>
    <t>Stay-at-Home Parent / Homemaker, Retail / Customer Service / Hospitality</t>
  </si>
  <si>
    <t>Skilled Trades (e.g., Electrician, Carpenter, Mechanic, Cosmetologist), Military Service</t>
  </si>
  <si>
    <t>No, talk never got that deep, just that if your Christian your circumsised to give a part of yourself to god.</t>
  </si>
  <si>
    <t>Currently I’m a believer but don’t goto church, I feel like religion has gotten out of hand, and to political.. I prefer day to day teaching and how to be better, and treat people better with love. But I disagree with “religion” and practices.</t>
  </si>
  <si>
    <t>Really sensitive from circumsicion scar up the tip, and feeling in that area is really sensitive, which makes inserting for intercourse really hard, because all the sensations are overwhelming. the base is less sensitive and pleasurable.</t>
  </si>
  <si>
    <t>The build up is quick if the tip of the penis is involved, the release is pleasurable, and mild. If more of the base is involved and less of the tip, then there is more of a gradual build up, and the longer that’s focused on the more pleasureahle of an orgasm, and the longer it takes more a full body feeling.</t>
  </si>
  <si>
    <t>It increases sensitivity and most of the time makes me overly sensitive causing me to climax even earlier.</t>
  </si>
  <si>
    <t>It becomes difficult because the partner tends to focus to much on the tip or they masturbate me or use oral and that brings me to climax fast, so by the time we’re ready for full blown sex I’m basically ready to climax so I get a couple pumps in and done, and when I try to tell them it gets really sensitive or slow down they tend to treat it like there own penis, and they last allot longer then me.</t>
  </si>
  <si>
    <t>Ease of function because it’s all I’ve known. That it’s pretty common so it’s not off putting.</t>
  </si>
  <si>
    <t>Yes, being overly sensitive, my underwear can rub my penis raw sometimes, way to easy to climax, not feeling like I’m natural. I feel different from other guys that are circumsised.</t>
  </si>
  <si>
    <t>Just standard practice: Based on observing its prevalence, assumed it was the default medical procedure without a specific individual reason., Cultural Tradition/Family Norm: It was a strong family tradition, cultural expectation, or simply "what people in our community did.", Don't Know/Not Told: The reasons were never explained or learned later.</t>
  </si>
  <si>
    <t>Institutional Medical Norm: The general belief that "this is just the standard procedure" at hospitals, making it a routine, unquestioned part of postpartum care. (The power of the system)., Prevailing Health &amp; Hygiene Beliefs: General societal "knowledge" at the time—gleaned from various sources—that presented circumcision as being fundamentally cleaner, healthier, or preventive of future diseases. (The power of a cultural 'truth').</t>
  </si>
  <si>
    <t>Glans are completely uncovered, a lot of shaft skin. 1/3rd inner skin, pretty tight when I have an errection but some movable skin. That can stretch to the glans, the scar is a darker brown color. It is looser skin on the underside but tighter and uneven on the dorsal side. When soft the skin bunches up but doesn’t cover the glans at all. And very rarely depending on tightness of underwear or temperature or weight gain some could pop over very briefly.</t>
  </si>
  <si>
    <t>The different sensations, the motion, the frenulum, the moistness, what it’s like hard verses soft. What it’s like to pee with foreskin over the glans. If it would produce more pre cum.</t>
  </si>
  <si>
    <t>Rarely</t>
  </si>
  <si>
    <t>I’ve just had thoughts on why I didn’t get a choice, because I would’ve chosen to not be. I don’t feel like I fit in with most circumsised men, and I feel like I’m not totally whole down there or that I’m different and that I didn’t approve of it. Even as a child I wanted to be uncircumcised. I would push my glans down into my skin all of the time and try to get it to stay feeling that that was the real way it should be.</t>
  </si>
  <si>
    <t>Not applicable (parents are deceased, adopted and no contact, etc.)</t>
  </si>
  <si>
    <t>Why did you chose this? Why didn’t you give me the option, and why was it more important to you then it was to my descion and does it bother you knowing I’m trying to reverse it. Did you know it would effect me in my sex life later in life?</t>
  </si>
  <si>
    <t>Not applicable / No father or primary male guardian in my upbringing.</t>
  </si>
  <si>
    <t>Yes, I have 3</t>
  </si>
  <si>
    <t>Curious about what might be different if intact, Mildly dissatisfied with sensation or appearance, Significantly dissatisfied with sensation, function, or appearance, Motivated by research or learning about intact anatomy/function</t>
  </si>
  <si>
    <t>Improve sexual pleasure/orgasms, Improve gliding mechanics/reduce need for lube, Regain gliding motion, Achieve glans coverage and dekeratinization, Feel more 'natural' or 'whole', Hopefully tune down the sensitive glans.</t>
  </si>
  <si>
    <t>Mannual, and stealth retainer</t>
  </si>
  <si>
    <t>I’ve kind of talked about the subject to see some friends reaction and they are pretty much so so about it. I’ve talked with two different partners. One was ok with it but kind of weirded out by it, the other was ok with it as long as the retainer didn’t affect our sex. I typically get to shy to just outright wear the device if I’m in a relationship and I’m out right to shy to say that I’m doing this.</t>
  </si>
  <si>
    <t>Yes, it is a more pleasurable sensitivity, but if I have worn the retainer for a couple of weeks, the sensitivity is more controllable and feels allot better and more comfortable like I’m not already at the edge of climax.</t>
  </si>
  <si>
    <t>Yes, I notice that the orgasms are a bit better. I feel more compete and finished, if I have been consistently wearing the retainer, it takes longer to get there and it’s more satisfying.</t>
  </si>
  <si>
    <t>Not finished restoring but would love to be considered in those terms.</t>
  </si>
  <si>
    <t>The most challenging for me has been figuring out wearing the retainer. I get to nervous or scared if someone were to find out I’m wearing it, and then if hookups are on the table it makes for an awkward time because I’m not fully restored so I have to figure out how to get the device off, and the device creates an odor and my glans get moist easy if I’ve warm the retainer for a long time. So then I have to clean up a bit. The most rewarding has been seeing the changes, and wanting more to change. And to achieve being restored. It’s exciting, but also makes me nervous because what if it makes finding a partner harder.</t>
  </si>
  <si>
    <t>I would suggest it if they are serious about it, and explain that time and dedication is definitely key. But they can achieve it.</t>
  </si>
  <si>
    <t>Yes, I've heard the concept exists, but no specifics</t>
  </si>
  <si>
    <t>Most boys were circumsised for those various reasons the only boys I noticed in school that sometimes weren’t were the Mexicans in my class.</t>
  </si>
  <si>
    <t>That they were weird, or gross. And not normal.</t>
  </si>
  <si>
    <t>That they were better, cleaner, normal, more attractive. And right as a Christian.</t>
  </si>
  <si>
    <t>Probably a combination of hygiene, porn, lack of experience etc.</t>
  </si>
  <si>
    <t>That being uncircumcised isn’t a bad thing. And that yea it could impact things lifelong.</t>
  </si>
  <si>
    <t>I agree, because it can impact things lifelong, and it’s not necessarily needed and it rips the choice away from an individual. But sometimes medicaly it’s necessary like if there foreskin is to tight and retraction is impossible or other reasons like that that circumscion is needed. So I think that’s when it’s necessary. But normalizing it is definitely wrong.</t>
  </si>
  <si>
    <t>No, I prefer to keep my contribution to this anonymous survey only.</t>
  </si>
  <si>
    <t>WA - Washington</t>
  </si>
  <si>
    <t>The only part that feels anything is the head and it doesn’t feel much</t>
  </si>
  <si>
    <t>I don’t feel much then it just happens</t>
  </si>
  <si>
    <t>I feel nothing without it</t>
  </si>
  <si>
    <t>Cleaning but that barely means anything</t>
  </si>
  <si>
    <t>Reduce in pleasure, needing lube, more visibility, less protection on it so it feels weird in clothes, keratinalizarion (I don’t know how to spell it)</t>
  </si>
  <si>
    <t>Don't know/Not told</t>
  </si>
  <si>
    <t>Lack of Counter-Information: Crucially, the simple absence of any strong, readily available information presenting the benefits of intactness or the risks of circumcision, making it an easy default choice. (The power of silence)., Family Tradition/Pressure: The expectation from grandparents or other influential relatives; the idea that "it's what the men in our family have always done." (The power of heritage)., Paternal Influence (The "Like Father" Factor): A specific desire for you to genitally match your father or other male family members. (The power of conformity within the family unit).</t>
  </si>
  <si>
    <t>Everything was removed, scars are very visible</t>
  </si>
  <si>
    <t>Gliding, frenulum, not needing lube</t>
  </si>
  <si>
    <t>When I found I was</t>
  </si>
  <si>
    <t>Sometimes erections hurt</t>
  </si>
  <si>
    <t>That they’re crazy and mutated me</t>
  </si>
  <si>
    <t>I don't know the status of my sibling(s).</t>
  </si>
  <si>
    <t>The question above I see it as mutation</t>
  </si>
  <si>
    <t>They had more pleasure</t>
  </si>
  <si>
    <t>They look dried out and don’t get that much pleasure</t>
  </si>
  <si>
    <t>Circumcised penises are weird</t>
  </si>
  <si>
    <t>The loss in pleasure</t>
  </si>
  <si>
    <t>I see it as mutation relating to a monster and it happens too much</t>
  </si>
  <si>
    <t>WI - Wisconsin</t>
  </si>
  <si>
    <t>Personal Care / Service</t>
  </si>
  <si>
    <t>Non-Binary</t>
  </si>
  <si>
    <t>Lutheran</t>
  </si>
  <si>
    <t>Circumcision was not seen as religiously necessary</t>
  </si>
  <si>
    <t>Being raised Christian with very intense purity culture had a lot of intense impacts on my experiences with intimacy.</t>
  </si>
  <si>
    <t>I am much more sensitive to pain than pleasure. Maintaining a full erection for an extended period of time is painful. The skin is so tight that I sometimes will have small tears in the surface of the skin on my shaft after a few hours of penetrative sex.</t>
  </si>
  <si>
    <t>I feel a spike in pleasure only as I approach orgasm. The experience usually feels more like a particularly satisfying sneeze than any sort of release. Very often I will orgasm and then immediately after feel disappointed and like it wasn’t worth the effort.</t>
  </si>
  <si>
    <t>Unless with a partner, I will feel pain if not adequately applying lube.</t>
  </si>
  <si>
    <t>I find it very challenging to achieve orgasm, especially with a partner. I’ve had over 20 sexual partners, most of which I was or am intimate with regularyl, and I have only achieved orgasm from sex in three instances. Those didn’t feel worth the effort after. I struggle to know how to communicate what feels good because I don’t feel much of any pleasure until on the verge of orgasm.</t>
  </si>
  <si>
    <t>I really don’t feel I experience any advantages.</t>
  </si>
  <si>
    <t>My erections are painfully tight, I find it very difficult to achieve orgasm and rarely ever do with a partner. I feel uncomfortable knowing I’m not intact. I feel like something is wrong with me and my sexual dysfunction makes me more self conscious about intimacy</t>
  </si>
  <si>
    <t>Prophylactic Health Reasons (General Prevention): Belief that it prevents potential future health problems (e.g., infections, inflammation, later penile issues) that were not currently present., Just standard practice: Based on observing its prevalence, assumed it was the default medical procedure without a specific individual reason., Prophylactic Health Reasons (Specific Disease Prevention - e.g., Cancer, STIs, HIV, UTIs): Belief that it lowers the risk of specific diseases later in life (e.g., penile cancer, certain sexually transmitted infections like HIV or HPV, infant urinary tract infections - UTIs)., Medical Advice (without stated necessity): Recommended by a doctor or healthcare provider without explaining a specific existing medical problem, perhaps framing it as routine or generally beneficial.</t>
  </si>
  <si>
    <t>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t>
  </si>
  <si>
    <t>I have a lot of scarring and very tight errections, very often painfully so.</t>
  </si>
  <si>
    <t>I’ve wondered what it would be like to live without sexual dysfunction</t>
  </si>
  <si>
    <t>I remember my mother saying something about the doctors mentioning there might be need for surgical revision</t>
  </si>
  <si>
    <t>When I first started masturbating and felt like I must be doing it wrong because it felt like something was missing.</t>
  </si>
  <si>
    <t>Tight and painful erections.</t>
  </si>
  <si>
    <t>DON’T</t>
  </si>
  <si>
    <t>That the foreskin was somehow vestigial and problematic</t>
  </si>
  <si>
    <t>Intact men likely experience slightly better sexual pleasure.</t>
  </si>
  <si>
    <t>The foreskin is there for a reason. The default shouldn’t be cutting it off in newborns</t>
  </si>
  <si>
    <t>LA - Louisiana</t>
  </si>
  <si>
    <t>Chemical Engineer</t>
  </si>
  <si>
    <t>Upset it was done without parental consent. 1970s, they just circumcised first because it was so common</t>
  </si>
  <si>
    <t>Just standard practice: Based on observing its prevalence, assumed it was the default medical procedure without a specific individual reason.</t>
  </si>
  <si>
    <t>I have mobility of skin, small scar, very loose circumcision.</t>
  </si>
  <si>
    <t>Just the feeling of being natural</t>
  </si>
  <si>
    <t>During puberty</t>
  </si>
  <si>
    <t>Don't do it</t>
  </si>
  <si>
    <t>It was common and done without asking parents consent</t>
  </si>
  <si>
    <t>They were foreign born</t>
  </si>
  <si>
    <t>Everyone was circumcised</t>
  </si>
  <si>
    <t>I've dated lots of foreign girls</t>
  </si>
  <si>
    <t>I have no basis to form an opinion on this.</t>
  </si>
  <si>
    <t>Violating the body autonomy at such a young age for cosmetic reasons is wrong</t>
  </si>
  <si>
    <t>My parents did not decide to circumcise me. It was so common that the doctors did it with our asking. My father was intact, all males on mother's side of family was intact.</t>
  </si>
  <si>
    <t>Sure</t>
  </si>
  <si>
    <t>MI - Michigan</t>
  </si>
  <si>
    <t>I read about this in high school and was frustrated that it was nonetheless so common</t>
  </si>
  <si>
    <t>It overall doesn't feel very sensitive. Really the strongest sensations are if I lube up and rub the head directly.</t>
  </si>
  <si>
    <t>It can take me a very long time to get hard but once I finally am I'll cum quickly</t>
  </si>
  <si>
    <t>After about two years of foreskin restoration I can masturbate without lube, but still need lube sometimes.</t>
  </si>
  <si>
    <t>Just being in the majority and not feeling strange in locker rooms or around family.</t>
  </si>
  <si>
    <t>I was cut very tightly and so it was impossible to masturbate without lube and actually took me a long time to figure out how to do it. I had some what painful erections even and a lot of hairy scrotal skin on my shaft.</t>
  </si>
  <si>
    <t>Just standard practice: Based on observing its prevalence, assumed it was the default medical procedure without a specific individual reason., Prophylactic Health Reasons (Specific Disease Prevention - e.g., Cancer, STIs, HIV, UTIs): Belief that it lowers the risk of specific diseases later in life (e.g., penile cancer, certain sexually transmitted infections like HIV or HPV, infant urinary tract infections - UTIs)., To Look Like Father/Peers: Desire for the son's penis to match the father's or other males in the family/community., Medical Advice (without stated necessity): Recommended by a doctor or healthcare provider without explaining a specific existing medical problem, perhaps framing it as routine or generally beneficial., Cultural Tradition/Family Norm: It was a strong family tradition, cultural expectation, or simply "what people in our community did.", Hygiene: Belief that circumcision makes the penis easier to keep clean or is inherently more hygienic.</t>
  </si>
  <si>
    <t>High with a full inch of inner skin and very tight. A thick, brown very straight scar.</t>
  </si>
  <si>
    <t>The gliding, the feeling of the frenulum, and the sensitivity of the head.</t>
  </si>
  <si>
    <t>When I started researching about bodies during puberty I realized what a foreskin is and was upset I didn't have a choice to experience mine. Then I lived abroad where almost no one is cut and got to experience a lot of intact penises and definitely prefer them.</t>
  </si>
  <si>
    <t>Very tight shaft, painful erections as a kid, and scrotal skin on the shaft, which is hairy and pulls the balls forward when trying to top or masturbating, leaving less shaft to work with</t>
  </si>
  <si>
    <t>Experienced feelings of loss, grief, or anger, Curious about what might be different if intact, Significantly dissatisfied with sensation, function, or appearance, Motivated by research or learning about intact anatomy/function</t>
  </si>
  <si>
    <t>Regain gliding motion, Increased overall sensitivity, Feel more 'natural' or 'whole', Reclaim what was taken, Improve sexual pleasure/orgasms, Improve gliding mechanics/reduce need for lube, Achieve glans coverage and dekeratinization</t>
  </si>
  <si>
    <t>Stealth Retainers, since I can wear it all day at work</t>
  </si>
  <si>
    <t>With partners and a few close friends. They've reacted positively but I haven't told family</t>
  </si>
  <si>
    <t>I do think I have more frenulum sensitivity and also depending on the day and how long I've been covered the glans will be much more sensitive</t>
  </si>
  <si>
    <t>I'll probably describe myself as uncut or intact when I reach a ci-6 or 7</t>
  </si>
  <si>
    <t>The very very slow progress. The most rewarding is feeling the skin glide when masturbating or during sex. I recently was topping someone and could actually feel the skin gliding back and forth a little bit inside my partner which was amazing.</t>
  </si>
  <si>
    <t>Be patient and consistent. Don't let yourself fall out of the habit. A good routine is one that you can maintain.</t>
  </si>
  <si>
    <t>That they're hard to clean or dirty or likely to cause medical problems</t>
  </si>
  <si>
    <t>They're cleaner and better looking</t>
  </si>
  <si>
    <t>That foreskin is natural and healthy</t>
  </si>
  <si>
    <t>Prefer not to say, turkısh</t>
  </si>
  <si>
    <t>Upper income / Wealthy (Family had significant financial resources, wealth, or passive income)</t>
  </si>
  <si>
    <t>Just Muslim / Unaffiliated with a specific school/branch, Sunni</t>
  </si>
  <si>
    <t>A cultural practice with religious associations</t>
  </si>
  <si>
    <t>Not interested in such interpretations</t>
  </si>
  <si>
    <t>Religious Reasons: Performed as a religious ritual (e.g., Brit Milah in Judaism, Khitan/Sunnet in Islam) or based on religious belief., Just standard practice: Based on observing its prevalence, assumed it was the default medical procedure without a specific individual reason., Cultural Tradition/Family Norm: It was a strong family tradition, cultural expectation, or simply "what people in our community did.", Hygiene: Belief that circumcision makes the penis easier to keep clean or is inherently more hygienic.</t>
  </si>
  <si>
    <t>Prevailing Health &amp; Hygiene Beliefs: General societal "knowledge" at the time—gleaned from various sources—that presented circumcision as being fundamentally cleaner, healthier, or preventive of future diseases. (The power of a cultural 'truth')., Lack of Counter-Information: Crucially, the simple absence of any strong, readily available information presenting the benefits of intactness or the risks of circumcision, making it an easy default choice. (The power of silence)., Religious Mandate/Tradition: A direct requirement or strong cultural expectation stemming from their religious beliefs and community. (The power of faith).</t>
  </si>
  <si>
    <t>TX - Texas</t>
  </si>
  <si>
    <t>Law/Government/Public Service, Military Service</t>
  </si>
  <si>
    <t>Transgender Woman</t>
  </si>
  <si>
    <t>Not as a child</t>
  </si>
  <si>
    <t>Numb</t>
  </si>
  <si>
    <t>Poor and Painful</t>
  </si>
  <si>
    <t>It’s led to a near constant burning sensation in my genital area</t>
  </si>
  <si>
    <t>To Look Like Father/Peers: Desire for the son's penis to match the father's or other males in the family/community., Parent's General Preference: Parents simply preferred the circumcised appearance or state without specific medical, religious, or cultural reasons being primary., Aesthetic Preference / To Look "Better" or "Neater": Belief that the circumcised penis looks more visually appealing, "prettier," or tidier than an intact one., Punitive/Punishment: Used as a punishment or consequence. (Note: This is rare in standard medical contexts but sadly documented in some historical/abuse settings).</t>
  </si>
  <si>
    <t>Aesthetic Preference: A belief, possibly influenced by media or pornography, that the circumcised penis is visually "neater," "more attractive," or the "correct" look. (The power of aesthetics)., Paternal Influence (The "Like Father" Factor): A specific desire for you to genitally match your father or other male family members. (The power of conformity within the family unit)., Family Tradition/Pressure: The expectation from grandparents or other influential relatives; the idea that "it's what the men in our family have always done." (The power of heritage).</t>
  </si>
  <si>
    <t>The ability to feel things</t>
  </si>
  <si>
    <t>The lack of care from family and society</t>
  </si>
  <si>
    <t>Painful scar tissue and difficulty urinating</t>
  </si>
  <si>
    <t>That they were dirty and vectors for disease</t>
  </si>
  <si>
    <t>That they were cleaner and more valuable</t>
  </si>
  <si>
    <t>Cultural dogma</t>
  </si>
  <si>
    <t>That it’s not their body to alter</t>
  </si>
  <si>
    <t>I'm not sure / Prefer not to say</t>
  </si>
  <si>
    <t>It’s annoying to use.</t>
  </si>
  <si>
    <t>Direct Medical Authority: Specific advice from their obstetrician, pediatrician, or the hospital staff where you were born. (The voice of a trusted professional)., Lack of Counter-Information: Crucially, the simple absence of any strong, readily available information presenting the benefits of intactness or the risks of circumcision, making it an easy default choice. (The power of silence).</t>
  </si>
  <si>
    <t>Very tight circumcision. Scrotum pulled up onto shaft.</t>
  </si>
  <si>
    <t>Gliding sensation.</t>
  </si>
  <si>
    <t>Almost straight after the circumcision.</t>
  </si>
  <si>
    <t>Painful/tight erections. Discomfort from rubbing underwear.</t>
  </si>
  <si>
    <t>My older brother is a lot older and was left intact.</t>
  </si>
  <si>
    <t>A religious requirement.</t>
  </si>
  <si>
    <t>It was just assumed you would be uncircumcised.</t>
  </si>
  <si>
    <t>That you were probably Jewish.</t>
  </si>
  <si>
    <t>The circumcised state is significantly healthier/more due to specific medical benefits</t>
  </si>
  <si>
    <t>The foreskin isn’t just a bit of skin.</t>
  </si>
  <si>
    <t>Frenulum, sulcus</t>
  </si>
  <si>
    <t>Full body</t>
  </si>
  <si>
    <t>I like the feeling of a lubed handjob more than a dry</t>
  </si>
  <si>
    <t>Less smelly</t>
  </si>
  <si>
    <t>Everything, including autonomy, sensitivity</t>
  </si>
  <si>
    <t>Cultural Tradition/Family Norm: It was a strong family tradition, cultural expectation, or simply "what people in our community did.", Don't Know/Not Told: The reasons were never explained or learned later.</t>
  </si>
  <si>
    <t>Family Tradition/Pressure: The expectation from grandparents or other influential relatives; the idea that "it's what the men in our family have always done." (The power of heritage)., Paternal Influence (The "Like Father" Factor): A specific desire for you to genitally match your father or other male family members. (The power of conformity within the family unit)., Peer &amp; Social Pressure (The "Fitting In" Factor): The widespread belief that "everyone else is doing it," and a desire for you to avoid being seen as different in locker rooms or later in life. (The power of broad social conformity).</t>
  </si>
  <si>
    <t>It’s a very tight cut, high and tight. I can’t tell if mogen or gomco</t>
  </si>
  <si>
    <t>Just what is lost</t>
  </si>
  <si>
    <t>Too tight</t>
  </si>
  <si>
    <t>Don’t do it</t>
  </si>
  <si>
    <t>Experienced feelings of loss, grief, or anger, Curious about what might be different if intact, Motivated by research or learning about intact anatomy/function</t>
  </si>
  <si>
    <t>Feel more 'natural' or 'whole', Reclaim what was taken, Improve sexual pleasure/orgasms, Heal psychological trauma</t>
  </si>
  <si>
    <t>Manor, AirForce, manual</t>
  </si>
  <si>
    <t>7-10 years</t>
  </si>
  <si>
    <t>Yes just partners - they’re supportive.</t>
  </si>
  <si>
    <t>HUGE increase in sensitivity on all of the tip and inner remaining foreskin</t>
  </si>
  <si>
    <t>A lot more intense, a lot longer</t>
  </si>
  <si>
    <t>Uncircumcised makes sense</t>
  </si>
  <si>
    <t>Just finding the time, and discreetness.</t>
  </si>
  <si>
    <t>Do it</t>
  </si>
  <si>
    <t>It seems like a good idea but I’m concerned about it the Foregen cult.</t>
  </si>
  <si>
    <t>How violent it is</t>
  </si>
  <si>
    <t>TN - Tennessee</t>
  </si>
  <si>
    <t>much more sensitivity after restoring</t>
  </si>
  <si>
    <t>after restoring it is larger band between completion and going soft</t>
  </si>
  <si>
    <t>after restoring I haven't needed extra lubrication</t>
  </si>
  <si>
    <t>none to me, but justified my parent's world views, and generated funds for the hospital</t>
  </si>
  <si>
    <t>tremendous psychological trauma, I couldn't comprehend what was done to me and was too scared to ask</t>
  </si>
  <si>
    <t>Cultural Tradition/Family Norm: It was a strong family tradition, cultural expectation, or simply "what people in our community did."</t>
  </si>
  <si>
    <t>Family Tradition/Pressure: The expectation from grandparents or other influential relatives; the idea that "it's what the men in our family have always done." (The power of heritage).</t>
  </si>
  <si>
    <t>I was lucky to be left with more than typical</t>
  </si>
  <si>
    <t>I wonder how close restored is to intact, what is still missing?</t>
  </si>
  <si>
    <t>6 years old</t>
  </si>
  <si>
    <t>minor stenosis, scarring/stretch marks</t>
  </si>
  <si>
    <t>I really wish you didn't</t>
  </si>
  <si>
    <t>Curious about what might be different if intact, Significantly dissatisfied with sensation, function, or appearance, Motivated by research or learning about intact anatomy/function, Experienced feelings of loss, grief, or anger</t>
  </si>
  <si>
    <t>Reclaim what was taken, Heal psychological trauma, Feel more 'natural' or 'whole'</t>
  </si>
  <si>
    <t>t-tapes around waistband</t>
  </si>
  <si>
    <t>3-5 years</t>
  </si>
  <si>
    <t>only a few people, neutral to positive responses</t>
  </si>
  <si>
    <t>RCI-8 (Partial Erect Coverage)</t>
  </si>
  <si>
    <t>absolutely, glans is much more sensitive and the gliding skin adds more sensation</t>
  </si>
  <si>
    <t>noticed more mini orgasm like feelings</t>
  </si>
  <si>
    <t>uncircumcised would be a good term for restored</t>
  </si>
  <si>
    <t>honestly it's knowing that it makes a big difference but then dealing with the medical misinformation that says what I experienced quite literally firsthand isn't real</t>
  </si>
  <si>
    <t>the journey is long, but worth it</t>
  </si>
  <si>
    <t>thought it was cleaner</t>
  </si>
  <si>
    <t>belief that they were unclean</t>
  </si>
  <si>
    <t>that no damage is done...somehow</t>
  </si>
  <si>
    <t>circumcised men and women who circumcised their babies needing to justify the damage done</t>
  </si>
  <si>
    <t>it has very real downsides and risks</t>
  </si>
  <si>
    <t>I think cut men have trouble admitting the harm done and it is easier to pass that harm along then to confront it, it is very psychologically cruel in that it depends on a childhood trauma defense of denial</t>
  </si>
  <si>
    <t>NH - New Hampshire</t>
  </si>
  <si>
    <t>Stay-at-Home Parent / Homemaker, Healthcare/Medicine (e.g., Doctor, Nurse, Therapist, Technician)</t>
  </si>
  <si>
    <t>Questioning</t>
  </si>
  <si>
    <t>Congregational / United Church of Christ (UCC)</t>
  </si>
  <si>
    <t>Not very sensitive outside of the frenulum remnant and the area at the base of my glans that has started to dekeratinize from restoration</t>
  </si>
  <si>
    <t>Quick, mild, underwhelming. Very localized to genital area, but I've started noticing more reaction/sesnation as I've been restoring</t>
  </si>
  <si>
    <t>Always need it for sex despite my partner naturally producing alot of natural lubrication.</t>
  </si>
  <si>
    <t>My partner would ask what I like, or try two different levels of pressure/touch/rhythm and ask which I like better. All of it feels the same, like there's no difference.</t>
  </si>
  <si>
    <t>There are none</t>
  </si>
  <si>
    <t>Minimal sensation. Tight skin. Low confidence. Feeling violated and lesser. I think it looks disgusting and unnatural (because it is). The mental side is very difficult. I remember being a little kid 4-5yo and having an overwhelming feeling that something was horribly wrong with me. This no doubt had ha negative effect on my upbringing and development.</t>
  </si>
  <si>
    <t>Medical Advice (without stated necessity): Recommended by a doctor or healthcare provider without explaining a specific existing medical problem, perhaps framing it as routine or generally beneficial., Cultural Tradition/Family Norm: It was a strong family tradition, cultural expectation, or simply "what people in our community did."</t>
  </si>
  <si>
    <t>Very tight. ugly messy scar. Had to have a corrective surgery to clean up the scar line as a teen (had excess skin that looked like genital warts; took a tremendous mental toll)</t>
  </si>
  <si>
    <t>All of it.</t>
  </si>
  <si>
    <t>Had a large lump of excess skin on the scarline, looked like a wart. I initiated it. Dr who did it at birth told my parents the skin lump would "even out" but they never did. Had the surgery at 17 to fix it. Angry that my dr never brought it up before. Took a tremendous mental toll. Avoided dating for my teen years. Thought I was born with an std resulting from an affair and that bringing it up would tear my family apart.</t>
  </si>
  <si>
    <t>My entire life, though I was not able to place the source until my mid 20s</t>
  </si>
  <si>
    <t>Tight skin. uncomfortable erections. Skin lump on scarline</t>
  </si>
  <si>
    <t>I thought you were better than this. I thought you were smarter than this</t>
  </si>
  <si>
    <t>Experienced feelings of loss, grief, or anger, Curious about what might be different if intact, Motivated by research or learning about intact anatomy/function, Felt physically uncomfortable or experienced complications, Significantly dissatisfied with sensation, function, or appearance, Mildly dissatisfied with sensation or appearance</t>
  </si>
  <si>
    <t>Increased overall sensitivity, Heal psychological trauma, Reclaim what was taken, Feel more 'natural' or 'whole', Achieve glans coverage and dekeratinization, Improve sexual pleasure/orgasms, Regain gliding motion, Improve gliding mechanics/reduce need for lube</t>
  </si>
  <si>
    <t>DTR with set screw and leg strap</t>
  </si>
  <si>
    <t>Only my partner. Her reaction has been positive and supportive. I don't feel the need to discuss it with my parents given their old age.</t>
  </si>
  <si>
    <t>Yes. Frenulum remnant and area below glans that's covered most times are very sensitive</t>
  </si>
  <si>
    <t>Higher peak, more sensation in other parts of my body</t>
  </si>
  <si>
    <t>I don't think much about terminology, and not much of it has resonated with me</t>
  </si>
  <si>
    <t>The physical gains have done little to impact the mental struggle.</t>
  </si>
  <si>
    <t>Do whatever you can to get started asap.</t>
  </si>
  <si>
    <t>I'm optimistic these technologies will ultimately lead to a better result than restoring within my lifetime, but I will continue to restore. The time will pass anyway</t>
  </si>
  <si>
    <t>Gross, weird</t>
  </si>
  <si>
    <t>Clean, normal</t>
  </si>
  <si>
    <t>Cultural norms. Media</t>
  </si>
  <si>
    <t>The importance of body autonomy</t>
  </si>
  <si>
    <t>Registered Apprenticeship (Completed or In Progress)</t>
  </si>
  <si>
    <t>Pilot</t>
  </si>
  <si>
    <t>Decreased sensation, compared to my current restoring state.</t>
  </si>
  <si>
    <t>Prevailing Health &amp; Hygiene Beliefs: General societal "knowledge" at the time—gleaned from various sources—that presented circumcision as being fundamentally cleaner, healthier, or preventive of future diseases. (The power of a cultural 'truth').</t>
  </si>
  <si>
    <t>A fair bit of slack skin, noticeable scar line, frenulum partially removed</t>
  </si>
  <si>
    <t>Gliding motion, overall sensitivity</t>
  </si>
  <si>
    <t>Metal stenosis</t>
  </si>
  <si>
    <t>Significantly dissatisfied with sensation, function, or appearance, Experienced feelings of loss, grief, or anger</t>
  </si>
  <si>
    <t>Regain gliding motion, Increased overall sensitivity, Improve sexual pleasure/orgasms, Achieve glans coverage and dekeratinization, Improve gliding mechanics/reduce need for lube, Feel more 'natural' or 'whole'</t>
  </si>
  <si>
    <t>Manual methods, and weighted devices</t>
  </si>
  <si>
    <t>Hove been open with my girl friend, she is supper supportive.</t>
  </si>
  <si>
    <t>Noticeably more sensation around the frenulum, and coronal ridge</t>
  </si>
  <si>
    <t>Having more free gliding skin has definitely made vaginal sex more pleasurable, with more sensation leading up to climax</t>
  </si>
  <si>
    <t>Yes i think uncut or uncircumcised is suitable for someone who has restored their foreskin.</t>
  </si>
  <si>
    <t>Staying consistent with restoration every day has been a challenge. Having intermittent roll over and coverage has been very rewarding</t>
  </si>
  <si>
    <t>Cleaner, more beautiful Penis is what I remembered. I don't think they told me about the religious aspect tho. It was simply about a better looking clean penis. I only learned about the religious significance of it a few years later as a child</t>
  </si>
  <si>
    <t>Yes, extensively</t>
  </si>
  <si>
    <t>I find them genuinely very good and convincing arguments. I have recently pretty much questioned the whole Sunnah/Hadith corpus in its entirety. And since it's not a Quranic commandment, even in regards to the Sunnah, I think at least it should be thought about letting this religious tradition of Khitan fall as it certainly is not necessary anymore.</t>
  </si>
  <si>
    <t>As of now, no room whatsoever.
It's too deeply ingrained within the Muslim tradition both Sunni, Shia and Ibadi.
Especially since it's more of a highly "recommended" tradition, it is more of an obligatory rite.
Even the most secular Muslims like the once in turkey circumcised their children, although much later than other more conservative Muslims.
It's pretty much what makes a Muslim men and an thinking of dropping this tradition is a thought no Muslim, secular or religious, wants to even entertain.
I think even secular Jews are more open of dropping the Brit Milah then secular Muslims even</t>
  </si>
  <si>
    <t>Well they don't...
It's not much thought done about it.
It's just what Muslim boys have to go through.
Not much to think of from their side or to reconcile.</t>
  </si>
  <si>
    <t>Other than the area where the frenulum was not much</t>
  </si>
  <si>
    <t>Quick release, not necessarily pleasurable. Just a release</t>
  </si>
  <si>
    <t>I just rub the shaft of my penis to reach orgasm so lube is not needed for that. I tried it once with and it really did nothing for me and took longer.</t>
  </si>
  <si>
    <t>Well it begins of knowing if I'm even in or not</t>
  </si>
  <si>
    <t>I won't have something in mind tbh</t>
  </si>
  <si>
    <t>Sure, lack of physical sensations is definitely a major one. Functional differences too. But surprisingly it's not that much bothering me to a degree where I get a negative psychological impact from it</t>
  </si>
  <si>
    <t>Cultural Tradition/Family Norm: It was a strong family tradition, cultural expectation, or simply "what people in our community did.", Religious Reasons: Performed as a religious ritual (e.g., Brit Milah in Judaism, Khitan/Sunnet in Islam) or based on religious belief.</t>
  </si>
  <si>
    <t>Lack of Counter-Information: Crucially, the simple absence of any strong, readily available information presenting the benefits of intactness or the risks of circumcision, making it an easy default choice. (The power of silence)., Family Tradition/Pressure: The expectation from grandparents or other influential relatives; the idea that "it's what the men in our family have always done." (The power of heritage)., Religious Mandate/Tradition: A direct requirement or strong cultural expectation stemming from their religious beliefs and community. (The power of faith).</t>
  </si>
  <si>
    <t>I have a little mobile skin but it does not go over the glans when hard and has no feeling. The glans is very rough I would say and is always exposed. Flaccid and erect. I don't feel much tightness or at least I don't know since I'm not sure what "tight feeling really means in that context</t>
  </si>
  <si>
    <t>Sensations are definitely an exciting thought.
Like how it feels? Does it tickle? Does it feel like more when having sex? Can you actually feel the vagina inside? How is the frenulum working in all of this? How is the gliding motion working?
Certainly it's almost everything tbh but sensation is definitely a major one</t>
  </si>
  <si>
    <t>I think I had them at like 14 or 15 I believe. There aren't any triggers to it tbh that I can specifically think of but it certainly happens when I masturbate</t>
  </si>
  <si>
    <t>Tbh i would send no message.
It's unfortunate that they did this to me but I don't see saying anything to them since I think they wouldn't understand</t>
  </si>
  <si>
    <t>Well it's a religious requirement but also a strong tradition.
I think as for my family, the traditional aspects was way more in their mind than the actual religious justification for it</t>
  </si>
  <si>
    <t>Well, I was teached they are unclean and not pretty :D It's what makes us Muslims and the others non Muslim.
I know especially from how Islam is being perceived that sounds like a "us Vs them" thinking but it's not totally that.
It's not necessarily "you're better than them" but more like "you are Muslim and you have to be circumcised. Cleanliness and having a pretty looking penis is something they will "envy"" .
It's similar to Judaism and doesn't mean outright hostility to non muslims</t>
  </si>
  <si>
    <t>Well they are seen as cleaner and better looking.</t>
  </si>
  <si>
    <t>I would say since I'm living in a majority intact country, most people do not have really a preference. I think from a straight perspective tho there is surprisingly a slightly more preference for circumcised men from women.
From what I understand as the reason for it it's mostly because of Hygiene and aesthetics</t>
  </si>
  <si>
    <t>Well it's certainly that especially in my religious community, people are clueless about the foreskin in general and why we are born with it.
They see it as a useless flap of skin for the most part</t>
  </si>
  <si>
    <t>Well honestly Im Not sure if I get this correctly but if I did:
I think it's indeed known, even in my culture, that this is an operation that causes harm to the child.
But it's seen as an necessary and short harm with long term benefits.
So it's a normalized harm, but especially normalized because they can't think of any long term negative consequences of it</t>
  </si>
  <si>
    <t>No I think so far it covered everything. I don't see any addings needed :)</t>
  </si>
  <si>
    <t>I would be comfortable about writing stuff like essays or so but I'm kinda invested into other things so I don't know how much available I am time wise</t>
  </si>
  <si>
    <t>Law/Government/Public Service/Civil Servant, Arts/Humanities/Entertainment (e.g., Artist, Writer, Musician), Clerical / Administrative Support (e.g., Secretary, Office Clerk), Business/Finance/Management, Retail / Customer Service / Hospitality</t>
  </si>
  <si>
    <t>Born Male, transitioned at 13 to trans, detransitioned at 27</t>
  </si>
  <si>
    <t>Incredibly sensitive to the touch (think nails on a chalkboard). It is more sensitive during release like scratching an incredibly satisfying itch (if rubbing the glans and/or frenulum).</t>
  </si>
  <si>
    <t>Build-up was and is gradual. Final release is brief, does not linger for long (this may be an effect of SRS).</t>
  </si>
  <si>
    <t>Though SRS destroyed my genitals, lubrication is thankfully still not necessary.</t>
  </si>
  <si>
    <t>Sensitivity, but more broadly, integrity. In hindsight, I was incredibly distressed over being the odd one out. But at home, there was a sense of superiority, something exotic and rare that I had the luck of having.</t>
  </si>
  <si>
    <t>My mother was very overbearing. As a single mother, she would be very intense with her demands and relied on secondary help from her family doctor. I was misdiag osed with phimosis very young, I was told I had recurrent UTIs in early life, and I was observed while washing as well. This bore resentment, shame, and guilt for things out of my control (a tight foreskin and a want for privacy). I decided to no longer discuss private matters with her after a visit with the family doctor, he had attempted to retract the foreskin, and damaged it in the process.</t>
  </si>
  <si>
    <t>Ethical Concerns: They had ethical objections to non-consensual surgery on a healthy child/believed strongly in bodily autonomy or children's rights., Medical Circumstance Prevented It: There was a specific medical reason at birth or shortly after (e.g., prematurity, other health issues requiring immediate attention) that led to the procedure being postponed or skipped altogether, and it wasn't pursued later., Father was supportive of circumcision, mother was in support of autonomy. My brother was taken from her and was leaving the room before she demanded he be returned immediately.</t>
  </si>
  <si>
    <t>Primarily my mother's decision/advocacy.</t>
  </si>
  <si>
    <t>As a routine, almost automatic procedure ("It's just what we do"). They likely had to actively refuse.</t>
  </si>
  <si>
    <t>Due to the shame and horror stories we all seem to hear, I never had the confidence to look for partners in my earlier years, even after I mistakenly transitioned (an irrational response to feeling dissatisfied with being male, having a lenis, having foreskin). To be transparent, I rationalised SRS (complete destruction) over circumcision when I was a preteen. I saw it as a way to get people to leave me alone about my foreskin. No more tightness to dwell on, no more questions by my mother, no more grief.</t>
  </si>
  <si>
    <t>Very very young, I was told by my mother she was given corticosteroid cream (or an alternative) to alleviate tight foreskin. This was far too young in my opinion, maybe 1-3 years old.</t>
  </si>
  <si>
    <t>It's like walking on a tightrope. Sometimes you feel you've got a good balance going. But when you stop, look around, you get wobbly. You see how rare you are, like a black sheep. My skin gets prickly just thinking about it. Having to hear peoples negative opinions about foreskin growing up. It was gross for a child to be made so self aware of his body.</t>
  </si>
  <si>
    <t>Because my foreskin was tight during erections, it wasn't very mobile. It protected the glans and, for the minimal mobility, it was lubricated naturally.</t>
  </si>
  <si>
    <t>Yes, very much a part of it. From what I can remember, during release it was the best part for me to stimulate. It felt like scratching the best itch you've ever had. I was hypersensitive to touch, so for me, I would say it also felt a bit like very tiny cuts from hot glass. A hot searing sensation. Not necessarily painful, but hard to describe.</t>
  </si>
  <si>
    <t>How horrible it must be. I have tried in my past to retract the glans in my underwear but I couldn't take a single step. Requiring third party tools for basic functions no longer available to you (Lubrication). The tight feeling of no skin must be uncomfortable. Like pulling tight all of the skin on your face and trying to live that way.</t>
  </si>
  <si>
    <t>Yes, I have felt pressure AND have briefly considered or researched getting circumcised for myself.</t>
  </si>
  <si>
    <t>I prefer intact, but largely prefer no prefixes for natural genitals.
A penis, to me, is a penis. A penis that was circumcised is a circumcised penis.
A vagina/vulva isn't uncircumcised. It's not uncut. It's always just a vagina, despite FGM existing elsewhere in America. It feels like a double standard to me.</t>
  </si>
  <si>
    <t>Please just let your children be as they were born. Stop making kids feel bad about their bodies, and get therapy. The intact penis is a biological marvel. As much as we can admire the biological nuance of vaginas as a human race, we seem to neglect mens bodies and cut things away. Intact men feel more, they are more receptive to touch. More importantly they aren't being mutilated.</t>
  </si>
  <si>
    <t>I have spoken to a few friends previously after being more active about MGM; one said she grew up thinking all men were (circumcised). Another friend explained her brother was "botched" and grew to dislike the practice. Another, told me his friend had to have corrective surgeries, and resents his parents in private.</t>
  </si>
  <si>
    <t>There were no benefits to being intact. Whenever foreskin was mentioned, it was about phimosis or smegma. Very often people seemed to have a story about someone "needing" to have it done.</t>
  </si>
  <si>
    <t>That they were simply a sign of health or improvement. In my personal life, I believe it was an acceptable unremarkable difference to intact men.</t>
  </si>
  <si>
    <t>American (US) influence. American media, pornography, tv and movies and immigration probably all play a part.</t>
  </si>
  <si>
    <t>That circumcision is never medically necessary;
Physiological phimosis is natural. Pathological phimosis is treatable. Paraphimosis is preventable, by not forcibly retracting. Penile cancer is extremely rare and does not remove the penis. Balanitis is often a cause of underlying skin conditions (so often it is also due to overwashing). Circumcision is just never necessary.
There are a plethora of advanced and updated interventions for worst cases, that still maintain the integrity, mobility, and function of the penis.</t>
  </si>
  <si>
    <t>Nobody wants to talk about it. People who see it, are seen as crazy. They are seen as people looking to create problems where there are none.</t>
  </si>
  <si>
    <t>I have had a very unique perspective as someone who chose to transition due to my body. I was also undiagnosed autistic. Around 20 was when I had these surgeries, but it wasn't until my mid twenties I had gotten lroper therapy. I became my own advocate, caught between two terrible worlds, and a final diagnosis was my rational decision to stop what I was doing and reconnect with my male self. I hated my body, my penis, and my sexuality. I thought SRS was my ticket out of being ashamed of my foreskin, but running away from pain only delays the grief.</t>
  </si>
  <si>
    <t>I am totally fine with being public, as well.</t>
  </si>
  <si>
    <t>Education (e.g., K-12 Teacher, Professor, School Administrator), Stay-at-Home Parent / Homemaker</t>
  </si>
  <si>
    <t>Ethical Concerns: They had ethical objections to non-consensual surgery on a healthy child/believed strongly in bodily autonomy or children's rights., Lack of Perceived Benefit: They didn't see any compelling reason to circumcise., Concerns about Risks/Pain: They were worried about the potential complications or pain of the procedure.</t>
  </si>
  <si>
    <t>Primarily my father's decision/advocacy.</t>
  </si>
  <si>
    <t>Yes, I experience some of these feelings sometimes.</t>
  </si>
  <si>
    <t>In childhood and through college I was self conscious about this because all of my friends were cut and I only knew one other kid who was uncut along with my brother.</t>
  </si>
  <si>
    <t>It’s the most sensitive part</t>
  </si>
  <si>
    <t>How it feels in your pants with the head exposed</t>
  </si>
  <si>
    <t>No, not really or no opportunity for such discussion</t>
  </si>
  <si>
    <t>Yes, I have felt some societal/cultural pressure or expectation to be circumcised, but never seriously considered it for myself.</t>
  </si>
  <si>
    <t>Uncut</t>
  </si>
  <si>
    <t>How pleasurable it is</t>
  </si>
  <si>
    <t>Clean and normal</t>
  </si>
  <si>
    <t>Media and friends</t>
  </si>
  <si>
    <t>Israel</t>
  </si>
  <si>
    <t>Pansexual</t>
  </si>
  <si>
    <t>Agender</t>
  </si>
  <si>
    <t>Jewish</t>
  </si>
  <si>
    <t>Secular / Cultural Jewish</t>
  </si>
  <si>
    <t>As a practice open to discussion, with varying opinions on its necessity or form in modern times.</t>
  </si>
  <si>
    <t>All of them, including social, thinking were the only ethnic group doing it.</t>
  </si>
  <si>
    <t>Personally, as a cultural Jewish atheist, in a much religiously controlled society, I look for ways to disassociate myself from Judaism. I do think it's great and important that there'll be an alternative, but I wish to abolish religion as humanity.</t>
  </si>
  <si>
    <t>I think it's unacceptable for non practicing Jews to commit those atrocities. We have enough ways to be unique.</t>
  </si>
  <si>
    <t>Yes, participated</t>
  </si>
  <si>
    <t>Very sensitive, different reactions to different types of stimulation. Overall, a lot of different sensations from different parts, and different sensations from each dependant on the type of touch.</t>
  </si>
  <si>
    <t>It varies a lot. Different kind of stimulations can lead me to very different types of orgasms. I would say in general the more leading up to it, the more intense the orgasm. Also, different rounds can lead to different sensations, and much longer build ups. Sex and masturbation build very different reactions, and usually sex leads quicker to the same result. Generally speaking, self stimulation hits different from outside touch. A quick handjob can be .uch more intense then a longer masturbation.</t>
  </si>
  <si>
    <t>The fact I don't need it, doesn't mean I can't play with it. Sometimes it's a nice tool to have, and sometimes, anal for example, it changes the whole sensation even if not necessary. Saing that, I cant get penetrated by a circumscised penis or a dildo without lube.</t>
  </si>
  <si>
    <t>It's perfect. Everything functions much smoother, as a pansexual I was exposed to mutilated penises, and it was horrific. Also, as a "lone" intact in a Jewish society, as a teenager word spread fast and I got a lot of action from curious occetional partners. I love the whole range of sensations that it provides, and showing it off in fetish parties. The fact I know my parents faced criticism for their decision to protect me, is a key connection point in our relationship, because we do live in a society that it is not trivial in, and they did pay a social price for that decision, and I'm genuinely thankful for that. Also, all of my partners loved it, and I wish to be a good partner, so it's important.</t>
  </si>
  <si>
    <t>Nope. It's even more interesting because as a child I was braced for possible reaction from society by my parents, only to find out no one cares. The only way I thought it might have effected me is by seeing it as a barbaric act, but the current microsociety of my daily life view it similarly, and circumscised friends has to live with the same disgust from the practice, but as victims of it, knowing their own parents did it to them, so I don't think there's any base to assume I would have looked at it differently if I was cutted. So it is an advantage anyways.</t>
  </si>
  <si>
    <t>Ethical Concerns: They had ethical objections to non-consensual surgery on a healthy child/believed strongly in bodily autonomy or children's rights., Personal Experience: One or both parents had a negative personal experience with circumcision (their own, or someone they knew)., Other Personal Experience (Non-Father): One or both parents had a negative personal experience or saw complications related to circumcision (e.g., on a sibling, friend's child, or themselves if circumcised later).</t>
  </si>
  <si>
    <t>My parents took it as a side activism quest, to educate expecting parents that thought about not circumcising. As it was looked at as taboo, they created a NGO that arranged meetings for the expecting parents. As a result, I was invited in my teens to share my experience, and I'm doing it ever since, for more than a decade. It is important cause for me. Also, my dad who is a holocaust survivor, and had to hide his own circumcision from the Nazis, and my grea grandmother, his mother in law, also a holocaust survivor, had very strong opinions against circumcising the first born baby on the way, in a fight that splitted the family. It was my mom, and her being female settled it. They both told me about it, and about supporting my parents in their decision.</t>
  </si>
  <si>
    <t>I can orgasm just by playing with it. It is so good. It makes everything so much smoother, and so much softer. Also, I've found out a simple toy, a cock ring, can hold it all backwards, and let me experience sex with more friction, without sacrificing the sensation. Needles to say this method requires lube. Stretching it, biting, scratching, licking, and any other type of stimulation feels amazing even if it's only the foreskin that being touched, handjobs are much more enjoyable compared to other mutilated penises I stroked, and I really enjoy titjobs, wich my partners always claim "doesn't work in real life" before trying it with my foreskin.</t>
  </si>
  <si>
    <t>It's definitely a nice one, and definitely feels great, but I usually get more satisfaction with the head, unless the foreskin is played with prior to the frenulum. Of course, without mentioning the tongue, any thing tongue related, it is the best thing for the frenulum, and vice versa, the pest spot for the tongue is the frenulum.</t>
  </si>
  <si>
    <t>Yes, we've discussed/I've observed significant differences</t>
  </si>
  <si>
    <t>Much less sensitive, the glance is unpleasant to the touch, you cant really stroke it, I find the scar unappealing, amd need much more lubrication. Sex with them as penetrated was much worse compared to intact.</t>
  </si>
  <si>
    <t>It's mostly irrelevant. English is not my native language, and just one of few foreign languages I'm fluent in. The other languages doesn't have circumcision in their culture, and I can perhaps relate to the dilemma in Hebrew, my native language, but because it is relatively a new phenomenon in a reserectaed language, the terminology is yet to be completed and we can simply choose our own terminology for the matter. The Hebrew equivalent of foreskined has a negative connotation, originated from the bible, so we actually avoid this one, and the equivalent of uncut has actually more neutral connotation then in English, so it isn't as big of a deal.</t>
  </si>
  <si>
    <t>It holds the key functions. Mutilating it is harming and make the penis dysfunctional.</t>
  </si>
  <si>
    <t>I was one of few, but today there are much more. My brother is only 4 years younger and already have much more intact peers. My parents were pioneers, but many followed.</t>
  </si>
  <si>
    <t>No one thought about it back then. Today theres still no stereotypes, but there is awareness, back them it wasn't a thing at all. Maybe dirty or something... Idk</t>
  </si>
  <si>
    <t>Again, everyone had them, so it wasn't really a thing.</t>
  </si>
  <si>
    <t>Many haven't experienced foreskins. I had few conversations with partners who preferred circumscised, until trying intact.</t>
  </si>
  <si>
    <t>The way foreskin functions.</t>
  </si>
  <si>
    <t>Most people around me are generally unaware, so they mutilating their children because it's the standard.</t>
  </si>
  <si>
    <t>Israel is an extreme case of circumcision. Yet, the intact community of intact man, and parents is growing only faster. The most circumcising community can (slowly) change it ways. Theodore Herzel, father of the entire Zionist movement that founded Israel, didn't circumscised his sons. We all have hope.</t>
  </si>
  <si>
    <t>There are, and I do. I share my experience in online communities of expecting parents, and I also do that in meetings in real life too. Every thing I do, even one tiny written word in a comment can save a baby's foreskin.</t>
  </si>
  <si>
    <t>Very sensitive. Very responsive.</t>
  </si>
  <si>
    <t>The buildup is gradual but when it arrives it’s inevitable and all over sensation.</t>
  </si>
  <si>
    <t>Sometimes I like to use lube for a change. But it’s not necessary.</t>
  </si>
  <si>
    <t>When my partner is handling my penis in a way that is not a turn on.</t>
  </si>
  <si>
    <t>Sensitivity. More to play with. Protection.</t>
  </si>
  <si>
    <t>Smegma buildup</t>
  </si>
  <si>
    <t>Father is Intact: The father is intact, and this influenced their decision, Cultural Background/Family Tradition (of intactness): They came from a family or cultural background where intactness was the norm.</t>
  </si>
  <si>
    <t>It was a mutual, agreed-upon decision without a single primary driver.</t>
  </si>
  <si>
    <t>As a strong medical recommendation for health or hygiene that they chose to decline.</t>
  </si>
  <si>
    <t>When I was a teen and during some of my earlier sexual experiences</t>
  </si>
  <si>
    <t>Treatment for balanitis. I was in my 20s. No effects.</t>
  </si>
  <si>
    <t>All the men in my family are intact so it was not something out of the ordinary. I did feel though that I needed to keep it to myself with my peers.</t>
  </si>
  <si>
    <t>It plays a big role. Protecting the glands and stimulating the head during masturbation and hand play.</t>
  </si>
  <si>
    <t>It’s very sensitive. I can orgasm from just rubbing this area.</t>
  </si>
  <si>
    <t>How it feels. What it would be like to masturbate a circumcised penis.</t>
  </si>
  <si>
    <t>Yes, some differences noted</t>
  </si>
  <si>
    <t>They find it harder to masturbate.</t>
  </si>
  <si>
    <t>No, I've never felt pressure, but I have been curious enough to research what circumcision entails and why others choose it.</t>
  </si>
  <si>
    <t>I don’t care.</t>
  </si>
  <si>
    <t>That there is no reason to circumcise a penis, unless absolutely medically necessary</t>
  </si>
  <si>
    <t>to me, it just seemed like something Americans did.</t>
  </si>
  <si>
    <t>That they were dirty.</t>
  </si>
  <si>
    <t>That they were cleaner.</t>
  </si>
  <si>
    <t>Friends and family</t>
  </si>
  <si>
    <t>A natural penis is just as healthy and clean as a circumcised one</t>
  </si>
  <si>
    <t>I enjoy being an intact man and have never had any serious issues with it. My partners have for the most part enjoyed it as well.</t>
  </si>
  <si>
    <t>Lower income (Family struggled to consistently meet basic needs like housing, food, healthcare)</t>
  </si>
  <si>
    <t>Ethical Concerns: They had ethical objections to non-consensual surgery on a healthy child/believed strongly in bodily autonomy or children's rights., Lack of Perceived Benefit: They didn't see any compelling reason to circumcise., Father is Intact: The father is intact, and this influenced their decision</t>
  </si>
  <si>
    <t>Prefer "Cut" and "Uncut" as that is what it is.</t>
  </si>
  <si>
    <t>You wouldn't cut the genitals of a female baby so why with males? Leave it as it naturally is. It's better that way.</t>
  </si>
  <si>
    <t>Unhygienic</t>
  </si>
  <si>
    <t>"Normal"</t>
  </si>
  <si>
    <t>Gliding</t>
  </si>
  <si>
    <t>Slow build until release</t>
  </si>
  <si>
    <t>Use it for fun sometimes</t>
  </si>
  <si>
    <t>Sensation, looks, sexual functionality</t>
  </si>
  <si>
    <t>Ethical Concerns: They had ethical objections to non-consensual surgery on a healthy child/believed strongly in bodily autonomy or children's rights., Concerns about Risks/Pain: They were worried about the potential complications or pain of the procedure.</t>
  </si>
  <si>
    <t>As a neutral choice with pros and cons presented, and they chose intactness.</t>
  </si>
  <si>
    <t>Yes, but rarely.</t>
  </si>
  <si>
    <t>Being different than my friends</t>
  </si>
  <si>
    <t>I was embarrassed</t>
  </si>
  <si>
    <t>All of the above</t>
  </si>
  <si>
    <t>Yes I love having it sucked on</t>
  </si>
  <si>
    <t>Intact or natural or uncut is fine</t>
  </si>
  <si>
    <t>It feels and looks great leave it alone</t>
  </si>
  <si>
    <t>I feel like not too many people knew about it</t>
  </si>
  <si>
    <t>Correct</t>
  </si>
  <si>
    <t>Porn and tv</t>
  </si>
  <si>
    <t>It's just better</t>
  </si>
  <si>
    <t>Multiracial / Biracial</t>
  </si>
  <si>
    <t>I was adopted as a child or teenager (after the age of one).</t>
  </si>
  <si>
    <t>Woman</t>
  </si>
  <si>
    <t>Female / AFAB (Assigned Female at Birth)</t>
  </si>
  <si>
    <t>I did not</t>
  </si>
  <si>
    <t>I am the partner of an intact man</t>
  </si>
  <si>
    <t>Not as much lubricationnis needed. He seems to get more pleasure during intimate time, especially at the head, more than any circumcized person I have been with. There was some communication needed in the beginning because I had never been with someone who was intact but he was very knowledgable and just kind of told me the differences between the two. It was never an issue.</t>
  </si>
  <si>
    <t>It hasn't really affected any of those 3 areas. Id say the big change that occurred from what I grew up with is I became very anti-circumcision</t>
  </si>
  <si>
    <t>Most of the pushback I hear people give is that its unhygienic but in actually the hygiene to maintain it can be taught very early on. Any time Ive heard of someone having an issue with being uncut themselves, it was always something that developed from a lack of education on how to properly clean themselves</t>
  </si>
  <si>
    <t>It really is an unnecessarily cruel procedure that people campaign against for avoidable reasons. Its ridiculous</t>
  </si>
  <si>
    <t>They were unhygienic and weird if Im being honest</t>
  </si>
  <si>
    <t>They looked better and felt better</t>
  </si>
  <si>
    <t>Conversations with friends, jokes on movies and TV, and people being made fun of</t>
  </si>
  <si>
    <t>PROPER HYGIENE</t>
  </si>
  <si>
    <t>No one discusses it outright, its just expected and most times people know theres a chance it occurred but never know if the child went through something traumatic</t>
  </si>
  <si>
    <t>NE - Nebraska</t>
  </si>
  <si>
    <t>Retail / Customer Service / Hospitality, Business/Finance/Management</t>
  </si>
  <si>
    <t>Bisexual, Questioning</t>
  </si>
  <si>
    <t>i don't really</t>
  </si>
  <si>
    <t>a lot of times i start and never finish just because it takes too much effort to make myself cum and it doesn't feel good trying to get there</t>
  </si>
  <si>
    <t>I use a ton of it</t>
  </si>
  <si>
    <t>none at all</t>
  </si>
  <si>
    <t>It looks bad, there's a scar, it makes masturbating feel unpleasant - I start sometimes, but then I do not finish because I just give up before I cum. I have a very limited dating pool considering most guys are uncut nowadays and being circumcised makes me look like a freak and makes me a bad sexual partner (any woman or man I have sex with would've had better, even though I'm hung)</t>
  </si>
  <si>
    <t>Prophylactic Health Reasons (General Prevention): Belief that it prevents potential future health problems (e.g., infections, inflammation, later penile issues) that were not currently present., Aesthetic Preference / To Look "Better" or "Neater": Belief that the circumcised penis looks more visually appealing, "prettier," or tidier than an intact one., Controlling/Restricting Masturbation: A belief that circumcision would reduce the urge or ability to masturbate (a view common in certain historical eras)., Just standard practice: Based on observing its prevalence, assumed it was the default medical procedure without a specific individual reason., Hygiene: Belief that circumcision makes the penis easier to keep clean or is inherently more hygienic., Parent's General Preference: Parents simply preferred the circumcised appearance or state without specific medical, religious, or cultural reasons being primary., To Look Like Father/Peers: Desire for the son's penis to match the father's or other males in the family/community., Medical Advice (without stated necessity): Recommended by a doctor or healthcare provider without explaining a specific existing medical problem, perhaps framing it as routine or generally beneficial.</t>
  </si>
  <si>
    <t>Paternal Influence (The "Like Father" Factor): A specific desire for you to genitally match your father or other male family members. (The power of conformity within the family unit)., Direct Medical Authority: Specific advice from their obstetrician, pediatrician, or the hospital staff where you were born. (The voice of a trusted professional)., Institutional Medical Norm: The general belief that "this is just the standard procedure" at hospitals, making it a routine, unquestioned part of postpartum care. (The power of the system).</t>
  </si>
  <si>
    <t>I'm just glad I still have more skin to tug. The evenness of skin removal is uneven and it feels tight during an erection, while I do have rollover when I am soft.</t>
  </si>
  <si>
    <t>gliding motion, knowing what an orgasm feels like, ridged band</t>
  </si>
  <si>
    <t>this is the reason why you're not seeing me date, you took away that ability from me. sex is meant to be pleasurable and not just for reproduction.</t>
  </si>
  <si>
    <t>Significantly dissatisfied with sensation, function, or appearance, Experienced feelings of loss, grief, or anger, Felt physically uncomfortable or experienced complications, it makes it hard to want to have sex or date because i don't want to be the one to have a messed up penis that makes me worse at sex than other people</t>
  </si>
  <si>
    <t>Improve sexual pleasure/orgasms, Reclaim what was taken, Achieve glans coverage and dekeratinization, Feel more 'natural' or 'whole', Improve gliding mechanics/reduce need for lube, Increased overall sensitivity, Heal psychological trauma, Regain gliding motion, It expands my dating pool beyond just midwestern white girls, now I'd look like most men do and I'll fit in anywhere else</t>
  </si>
  <si>
    <t>t tape, manual tugging, foreskinned air</t>
  </si>
  <si>
    <t>i have not because i don't plan on dating or sex until i am restored, and telling friends and family would feel bad - i don't want to tell other guys what they're missing and have them feel the way i do</t>
  </si>
  <si>
    <t>I do when I keep my tip covered, when I take the tape or device or retainer off</t>
  </si>
  <si>
    <t>I don't really feel them yet</t>
  </si>
  <si>
    <t>I think you are better off saying restored. Saying "uncut" or "uncircumcised" implies that you were never cut in the first place, but you were, and still are, cut, considering you have the scar there and your foreskin isn't the original one</t>
  </si>
  <si>
    <t>I have high standards where I want it to be as natural looking as possible and I have a certain way I want it to look</t>
  </si>
  <si>
    <t>More people experience them and they feel and look better</t>
  </si>
  <si>
    <t>The actual purpose of the foreskin which is to protect the head. I don't bother talking about sexual pleasure, some people don't see it as a big deal as long as they can reproduce, but the head being irritated due to constant exposure. Also tell them that it's just as easy to clean and take care of, some people with cut dicks actually have worse hygiene because they don't think they have to do anything</t>
  </si>
  <si>
    <t>It is a way that the American medical system makes extra money. They normalised parents harming their kids, have medicaid pay for it in certain areas, then go and sell those tissues to labs while doctors and hospitals make money off of the procedure. Takes 10 minutes after someone is born to sabotage someone's entire sex life, and it is a business.</t>
  </si>
  <si>
    <t>NS - Nova Scotia</t>
  </si>
  <si>
    <t>NB - New Brunswick</t>
  </si>
  <si>
    <t>Presbyterian / Reformed</t>
  </si>
  <si>
    <t>Sensitive, like moderate to rough tough, stretch, tug, fill.</t>
  </si>
  <si>
    <t>Prolonged</t>
  </si>
  <si>
    <t>I dislike any unnatural lube.</t>
  </si>
  <si>
    <t>Natural, fully sensitive, glorious</t>
  </si>
  <si>
    <t>It was not easy in the 1970’s to be intact. Very rare among my peers</t>
  </si>
  <si>
    <t>Lack of Perceived Benefit: They didn't see any compelling reason to circumcise., Father is Intact: The father is intact, and this influenced their decision, Cultural Background/Family Tradition (of intactness): They came from a family or cultural background where intactness was the norm.</t>
  </si>
  <si>
    <t>Yes, these feelings are or have been strong and frequent.</t>
  </si>
  <si>
    <t>I was alone in my peer group.</t>
  </si>
  <si>
    <t>Parent, taught me to retract over time</t>
  </si>
  <si>
    <t>It was a very significant negative factor in my self confidence, body image, and acceptance in my peer groups.</t>
  </si>
  <si>
    <t>Although tight in my youth, my foreskin became generous , easily retraced and incredibly sensitive in my teens. More so over the years.</t>
  </si>
  <si>
    <t>A Hot spot for me. Pierced at age 45. I enjoy the sensation of movement that jewelry provides through out the day.</t>
  </si>
  <si>
    <t>In my early teens I was very focused on being like the others. Circumcision was a frequent thought.</t>
  </si>
  <si>
    <t>Many are angry</t>
  </si>
  <si>
    <t>I prefer “ uncircumcised “ I have “earned “ that thru much distress from surviving abuse by circumcised peers.</t>
  </si>
  <si>
    <t>Leave the boy alone</t>
  </si>
  <si>
    <t>Cultural</t>
  </si>
  <si>
    <t>Many didn’t know about intact.</t>
  </si>
  <si>
    <t>I knew many peers who did not know they had been circumcised or what that was.</t>
  </si>
  <si>
    <t>Circumcision is prevalent.</t>
  </si>
  <si>
    <t>The penis belongs to the child. Leave it up to him.</t>
  </si>
  <si>
    <t>Society is barbaric.</t>
  </si>
  <si>
    <t>I was a victim of a society where circumcision was the norm. It affected me in a serious manner. Intact men can also have trauma.</t>
  </si>
  <si>
    <t>I think it is a very important topic, your study may benefit the cause in a significant way.</t>
  </si>
  <si>
    <t>AK - Alaska</t>
  </si>
  <si>
    <t>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Parent's General Preference: Parents simply preferred the circumcised appearance or state without specific medical, religious, or cultural reasons being primary., Aesthetic Preference / To Look "Better" or "Neater": Belief that the circumcised penis looks more visually appealing, "prettier," or tidier than an intact one.</t>
  </si>
  <si>
    <t>Aesthetic Preference: A belief, possibly influenced by media or pornography, that the circumcised penis is visually "neater," "more attractive," or the "correct" look. (The power of aesthetics)., Prevailing Health &amp; Hygiene Beliefs: General societal "knowledge" at the time—gleaned from various sources—that presented circumcision as being fundamentally cleaner, healthier, or preventive of future diseases. (The power of a cultural 'truth').</t>
  </si>
  <si>
    <t>I don't really think of it as a scar; it's just part of my penis.</t>
  </si>
  <si>
    <t>The recommendation of Medical Authorities and Parental Discretion: Prioritizing the professional guidance given to parents and the right of parents to make preventative health and cultural choices they believe are in their child's best interest.</t>
  </si>
  <si>
    <t>No, I don't see it that way.</t>
  </si>
  <si>
    <t>Good</t>
  </si>
  <si>
    <t>Satisfying release</t>
  </si>
  <si>
    <t>Need external lubricants for masturbation every time</t>
  </si>
  <si>
    <t>None. There is no advantage whatsoever. It is a mistake to to do it.</t>
  </si>
  <si>
    <t>Yes. A lot. Physical and emotional.</t>
  </si>
  <si>
    <t>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t>
  </si>
  <si>
    <t>Lack of Counter-Information: Crucially, the simple absence of any strong, readily available information presenting the benefits of intactness or the risks of circumcision, making it an easy default choice. (The power of silence)., Aesthetic Preference: A belief, possibly influenced by media or pornography, that the circumcised penis is visually "neater," "more attractive," or the "correct" look. (The power of aesthetics).</t>
  </si>
  <si>
    <t>Tightness during erection.</t>
  </si>
  <si>
    <t>I don't have/haven't noticed a visible scar</t>
  </si>
  <si>
    <t>Comfort</t>
  </si>
  <si>
    <t>One month after procedure.</t>
  </si>
  <si>
    <t>Tight skin</t>
  </si>
  <si>
    <t>It just never occurred to me to ask.</t>
  </si>
  <si>
    <t>Please Don’t do it</t>
  </si>
  <si>
    <t>It is not a common topic among my ecosystem</t>
  </si>
  <si>
    <t>Everybody “seems” to understand the topic, but nobody really knows.</t>
  </si>
  <si>
    <t>I strongly prefer the appearance of the circumcised penis.</t>
  </si>
  <si>
    <t>Being intact is better than anything</t>
  </si>
  <si>
    <t>People are not well informed and circumcision is a monster nobody can see or understand</t>
  </si>
  <si>
    <t>Circumcision is wrong</t>
  </si>
  <si>
    <t>VA - Virginia</t>
  </si>
  <si>
    <t>Light touch on my glans with a finger is pretty much imperceptible to me. Firm pressure is a little more perceptible (drag across with a firm pressure and it simultaneously causes some sexual pleasure, and hurts quite a bit). Since I started restoring, I have grown enough skin to have a little outer/shaft skin gliding on my glans too, which interestingly feels quite different, not as pleasurable than my inner foreskin doing the same thing.</t>
  </si>
  <si>
    <t>It varies quite a bit, sometimes it’s a very gradual, pleasurable buildup, that feels quite good the entire time, other times it is just more of a race to the finish, where I don’t feel much of anything at all. The final release can vary a lot too, sometimes it doesn’t really feel that pleasurable, the only sensation percieved being the muscle contractions involved in ejaculation. Other times, however, it is quite amazing, a rush that, while most intense in my penis, can be felt throughout most of my body, which has residual sensations that persist beyond the actual orgasm. Both ultimately have a reflexive component, but the former feels almost solely like a reflex (basically like a sneeze), while the latter feels much deeper, much more satisfying.</t>
  </si>
  <si>
    <t>I was cut in a way that left me with enough skin to move over my corona when erect, allowing me to orgasm from that, no lubrication necessary. Before I started restoring, I did find lube to be helpful, but not necessary. Currently, with the new skin I’ve grown, I find lube to actually not feel as good, so I don’t use it at all now.</t>
  </si>
  <si>
    <t>I see no advantages at all.</t>
  </si>
  <si>
    <t>My glans and inner foreskin is dry, desensitized, and callused. I have an obvious dark brown scar encircling my penis. I almost certainly have lost most of my sensitivity, I will never know how it is to be intact, to have a normal, whole penis, a whole body. I feel angry, violated, traumatized, even though I was too young to consciously remember anything of the procedure.</t>
  </si>
  <si>
    <t>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 Direct Medical Authority: Specific advice from their obstetrician, pediatrician, or the hospital staff where you were born. (The voice of a trusted professional).</t>
  </si>
  <si>
    <t>I was left with enough skin that when flaccid, it would wrinkle a little bit, and when erect I could move it over the corona. I was thankfully left with most of my frenulum, and a lot of inner skin, however my cut was quite uneven, having more outer skin on the right side, and more inner skin on the left. My scar is quite noticeable, thick, and dark, especially on the ventral side.</t>
  </si>
  <si>
    <t>Different sensations, having the glans partially or completely covered even when erect, how having a ridged band feels.</t>
  </si>
  <si>
    <t>They emerged as soon as I found out I was circumcised, when I was around 10 or so. What mainly triggers them is that my mother was misinformed by doctors, and led to make a decision that has only harmed me, and my bodily autonomy was violated for no good reason.</t>
  </si>
  <si>
    <t>N/A, We’ve already talked about it enough that I have nothing more to say about it to my mom. My dad was not part of the decision, so I have nothing to say to him about it either, he isn’t at fault here.</t>
  </si>
  <si>
    <t>Heal psychological trauma, Achieve glans coverage and dekeratinization, Regain gliding motion, Increased overall sensitivity, Improve sexual pleasure/orgasms, Feel more 'natural' or 'whole', Reclaim what was taken</t>
  </si>
  <si>
    <t>Solely use manual methods, my situation doesn’t allow me to get a device unfortunately. I use both manual method 2, and 3 (3 is done specifically with the scar line as an anchor point).</t>
  </si>
  <si>
    <t>I’ve told a couple friends, their response has varied. One was disgusted, trying to convince me that being circumcised was better, that I shouldn’t restore, and sticking to their point about “It’s just extra skin that causes infections, you should be glad you’re circumcised”, even after showing them evidence to the contrary (and yet according to them I’m the one who needs to “be more open-minded”). The other was pretty supportive and understanding, seeming quite interested in the process (he is intact, so not interested as in considering doing it himself too.), and wished me luck with it. I haven’t and don’t tell my family about it. My extended family and my father are pro-circ, my mother, while anti-circ, doesn’t need to know either at this time, and my sister too has no need to know.</t>
  </si>
  <si>
    <t>While my penis hasn’t gotten more sensitive, I have gained more skin mobility/gliding, allowing me to feel sensations that I previously could not feel. Interestingly, my sulcus is slightly more sensitive to fine touch now, perhaps as a result of it being covered much of the time (haven’t seen any signs of actual dekeratinization however).</t>
  </si>
  <si>
    <t>It has, my orgasms have always been of two main types, one being like a sneeze, but in my penis instead. The other being a full-body rush with a gradual come down, actually feels satisfying, and affects my emotional state after too (feeling very calm/tired after). Restoring has caused my orgasms to trend more towards the latter, than the former.</t>
  </si>
  <si>
    <t>I prefer other terms to describe being restored. I believe uncircumcised shouldn’t be commonly used to describe being intact, as it implies to me that being circumcised is the default.</t>
  </si>
  <si>
    <t>The most challenging aspect of my restoration journey has been staying consistent. I use solely manual methods (sessions have to be done very frequently throughout the day), which my ADHD doesn’t like, and in extreme cases has caused me to skip a day or two entirely. Getting on ADHD meds has helped, but it hasn’t made that issue disappear entirely. The most rewarding? Just seeing more and more skin bunching up against my corona, to the point where I notice that when I’m cold, my skin sometimes covers the corona on it’s own. This has been very rewarding and motivating, knowing it means what I’m doing works, and eventually it will be like that almost all the time, not just when cold.</t>
  </si>
  <si>
    <t>Try to be as consistent as possible (easier said than done). Listen to your body, restoring should not hurt, if it does, you’re doing something incorrectly. Perhaps you’re using too much tension, perhaps it’s a little too early on to use that device yet. Finally, expect this to take several years, not just 1-2. It is pretty rare to be able to fully restore in only 1-2 years, most need several more, and expecting it to not take even up to a decade is just asking to be disappointed at some point. Just be consistent, listen to your body, and enjoy the ride.</t>
  </si>
  <si>
    <t>That they were inherently unhygienic/dirty, and if you were intact you were just asking for an infection.</t>
  </si>
  <si>
    <t>That they were cleaner, healthier, and sex felt better with one.</t>
  </si>
  <si>
    <t>Ideas about hygiene, mostly what is told to people throughout their lives, so not being exposed to any information showing the harm circumcision causes, and a general lack of experience.</t>
  </si>
  <si>
    <t>Circumcision is mutilation. Simple as that, it is mutilation, it is an egregious violation of bodily autonomy. In the same way removing the clitoral hood (AFAB structure analogous to the foreskin) is mutilation, removing the foreskin is mutilation.</t>
  </si>
  <si>
    <t>I don’t really know how to word it, it just doesn’t resonate well with me.</t>
  </si>
  <si>
    <t>MN - Minnesota</t>
  </si>
  <si>
    <t>White / Caucasian / European American, Asian / Asian American (e.g., East Asian, South Asian, Southeast Asian), Multiracial / Biracial, Japanese-Norwegian</t>
  </si>
  <si>
    <t>Bisexual, Pansexual</t>
  </si>
  <si>
    <t>Man, Genderfluid</t>
  </si>
  <si>
    <t>No, not until discussions with intactivists.</t>
  </si>
  <si>
    <t>The anti-circumcision sentiment of early Christianity has been all but censored out of existence in the common US American Christian perspective. All I have spoken to have been universally surprised to hear of it, my family included.</t>
  </si>
  <si>
    <t>I don't really think about its appearance much</t>
  </si>
  <si>
    <t>None. Even being considered attractive to genital cutting fetishists is not a plus to me as I am repulsed by them.</t>
  </si>
  <si>
    <t>Intense body dysmorphia resulting in constant depression anxiety and suicidal ideation. Difficulty reaching orgasm. Scrotal webbing. Torsion.</t>
  </si>
  <si>
    <t>Prophylactic Health Reasons (General Prevention): Belief that it prevents potential future health problems (e.g., infections, inflammation, later penile issues) that were not currently present., Religious Reasons: Performed as a religious ritual (e.g., Brit Milah in Judaism, Khitan/Sunnet in Islam) or based on religious belief., To Look Like Father/Peers: Desire for the son's penis to match the father's or other males in the family/community., Hygiene: Belief that circumcision makes the penis easier to keep clean or is inherently more hygienic., Prophylactic Health Reasons (Specific Disease Prevention - e.g., Cancer, STIs, HIV, UTIs): Belief that it lowers the risk of specific diseases later in life (e.g., penile cancer, certain sexually transmitted infections like HIV or HPV, infant urinary tract infections - UTIs)., Cultural Tradition/Family Norm: It was a strong family tradition, cultural expectation, or simply "what people in our community did.", Just standard practice: Based on observing its prevalence, assumed it was the default medical procedure without a specific individual reason., Parent's General Preference: Parents simply preferred the circumcised appearance or state without specific medical, religious, or cultural reasons being primary., Medical Advice (without stated necessity): Recommended by a doctor or healthcare provider without explaining a specific existing medical problem, perhaps framing it as routine or generally beneficial., My Christian parents believed in following certain Old Testament laws over the New Testament, as do many US Christians.</t>
  </si>
  <si>
    <t>Peer &amp; Social Pressure (The "Fitting In" Factor): The widespread belief that "everyone else is doing it," and a desire for you to avoid being seen as different in locker rooms or later in life. (The power of broad social conformity)., Lack of Counter-Information: Crucially, the simple absence of any strong, readily available information presenting the benefits of intactness or the risks of circumcision, making it an easy default choice. (The power of silence)., Direct Medical Authority: Specific advice from their obstetrician, pediatrician, or the hospital staff where you were born. (The voice of a trusted professional).</t>
  </si>
  <si>
    <t>High/tight with scrotal webbing, severe torsion, and an extremely uneven dark brown scarline.</t>
  </si>
  <si>
    <t>The lack of damage. The un-loss of it. Autonomy.</t>
  </si>
  <si>
    <t>Many things trigger me. Religion, parenthood, birthdays, words starting with the prefix "circ-". I have been bothered somewhat by it since my early teens, but did not become deeply triggered regularly until researching further in recent years.</t>
  </si>
  <si>
    <t>Prominent scarring, chronic glans irritation, difficulty reaching orgasm, severe body dysmorphia</t>
  </si>
  <si>
    <t>"Normal". That's what my father said. All he said really. He said "I thought it was normal". Well I say "normal" is just a word conformists use to try to get others to act like themselves through peer pressure. Other things were alluded to but none as immediately and prominently as unspoken conformism. My parents were aghast at the idea that they intruded on my autonomy or diminished my sexual experiences in any way as this apparently did not cross their minds as a possibility until I brought it up.</t>
  </si>
  <si>
    <t>Never mentioned</t>
  </si>
  <si>
    <t>"No one thinks about that." - an exact quote from my friend the single time I discussed it in childhood.</t>
  </si>
  <si>
    <t>Botched circumcisions kill.</t>
  </si>
  <si>
    <t>I cracked into your manifesto. Hit the nail on the head.</t>
  </si>
  <si>
    <t>Chronic pain. How many of us have chronic pain?</t>
  </si>
  <si>
    <t>I can do reddit stuff or anything using that handle.</t>
  </si>
  <si>
    <t>66 - 75</t>
  </si>
  <si>
    <t>Mennonite / Amish</t>
  </si>
  <si>
    <t>never mentioned</t>
  </si>
  <si>
    <t>Very positive</t>
  </si>
  <si>
    <t>gradual buildup, reflex release</t>
  </si>
  <si>
    <t>Naturally functional, physical sensations</t>
  </si>
  <si>
    <t>greater need to stay clean</t>
  </si>
  <si>
    <t>"Stroke of Luck"/Circumstance: e.g., Born at home, logistical issues at the hospital, doctor didn't push it, scheduled, but never performed, etc..</t>
  </si>
  <si>
    <t>I appreciate the gliding, lubrication, the ability to play with it</t>
  </si>
  <si>
    <t>It is a great contributor to sexual pleasure, I touch it frequently</t>
  </si>
  <si>
    <t>Not really, I'm happy with my experience</t>
  </si>
  <si>
    <t>natural</t>
  </si>
  <si>
    <t>Circumcision should always be the penis owner's choice.</t>
  </si>
  <si>
    <t>Cosmetic</t>
  </si>
  <si>
    <t>not as pretty</t>
  </si>
  <si>
    <t>Circumcision sometimes go horribly wrong</t>
  </si>
  <si>
    <t>Everyone should have a say in their own body alterations</t>
  </si>
  <si>
    <t>As an important tradition and cultural marker, though perhaps with some flexibility in interpretation or practice.</t>
  </si>
  <si>
    <t>Being part of a coin unity</t>
  </si>
  <si>
    <t>No. But I think that the ceremony could be replaced or modified</t>
  </si>
  <si>
    <t>Not much</t>
  </si>
  <si>
    <t>Yes, considered it</t>
  </si>
  <si>
    <t>I don’t feel much. Light touch seems to be the most pleasant but can feel too intense. Other than that it is hard for me to reach orgasm despite having no issue getting hard</t>
  </si>
  <si>
    <t>I have a very limited orgasm. I feel it mostly with the contraction when I ejaculate. This has had a challenge on many of my relationships</t>
  </si>
  <si>
    <t>I live in an area where most men are not circumcised. It is difficult to explain how to manipulate my penis in a way that is pleasurable. They also have a hard time understanding that I do not feel a lot and they then feel like I am not interested. It is challenging. I often feel like I am broken or incomplete or that I cannot satisfy my partner. I also have profound feelings of jealousy and resentment, which is also combined with feelings of guilt</t>
  </si>
  <si>
    <t>None really.. maybe hygiene. Membership into a community (e.g.. Jewish)</t>
  </si>
  <si>
    <t>Yes. My first depressive episode was due to a realization that I was having difficulty reaching orgasm. I searched potential reasons and came to the conclusion that it was likely due to my circumcision. I had read nearly a hundred articles about circumcision, mostly research articles, and realized that the symptoms they described matched my experience. In addition to having difficulty with sexual satisfaction, I realized I was having pain in sex. This left me feeling undesirable (which was then worsened by reactions of men on the internet that expressed clear preferences for intact men and occasional hostility to circumcised individuals). This had an affect on my relationship with my parents and left me suicidal. This was worsened by a negative interaction with a urologist. I was lucky to get psychosocial help and medication. However, although I am not suicidal I am still experiencing strong negative emotions towards my body.</t>
  </si>
  <si>
    <t>Primarily driven by my grandparents' or other relatives' expectations.</t>
  </si>
  <si>
    <t>Cultural Tradition/Family Norm: It was a strong family tradition, cultural expectation, or simply "what people in our community did.", Religious Reasons: Performed as a religious ritual (e.g., Brit Milah in Judaism, Khitan/Sunnet in Islam) or based on religious belief., To Look Like Father/Peers: Desire for the son's penis to match the father's or other males in the family/community.</t>
  </si>
  <si>
    <t>Family Tradition/Pressure: The expectation from grandparents or other influential relatives; the idea that "it's what the men in our family have always done." (The power of heritage)., Religious Mandate/Tradition: A direct requirement or strong cultural expectation stemming from their religious beliefs and community. (The power of faith)., Lack of Counter-Information: Crucially, the simple absence of any strong, readily available information presenting the benefits of intactness or the risks of circumcision, making it an easy default choice. (The power of silence).</t>
  </si>
  <si>
    <t>I have a visible scar and textural irregularity. I have some of my frenulum left. My head is dry and rough. Over the years, some of the skin has stretched likely due to masturbation but there is not much.</t>
  </si>
  <si>
    <t>I wonder about it all. I am often preoccupied by what would have happened. I wonder if I would have better relationships with lovers, if I would feel more intense sensations, etc.</t>
  </si>
  <si>
    <t>As a man who is attracted to other men, I am often faced with reminders. I am attracted to men and by that virtue, I see other penises often and am reminded of how I was circumcised. I wish I could finish. I wish I could feel more to enjoy sex. I wish I could forget about the resentment I have for my circumcision when I am having sex.</t>
  </si>
  <si>
    <t>Don’t.</t>
  </si>
  <si>
    <t>I believe that in my community it was a way to brand a child and to Weldon him into the tribe. My mother was not given a choice and was coerced into participating. As a non-Jew, she did not consent and I was taken from here</t>
  </si>
  <si>
    <t>That they were dirtier but more sensitive and functional</t>
  </si>
  <si>
    <t>Interactions with people on dating and hookup apps</t>
  </si>
  <si>
    <t>I am unsure</t>
  </si>
  <si>
    <t>Punitive/Punishment: Used as a punishment or consequence. (Note: This is rare in standard medical contexts but sadly documented in some historical/abuse settings)., Controlling/Restricting Masturbation: A belief that circumcision would reduce the urge or ability to masturbate (a view common in certain historical eras)., 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t>
  </si>
  <si>
    <t>Popular Media &amp; Parenting "Experts": Information or attitudes transmitted through widely-read parenting books (like Dr. Spock in earlier eras), magazines, or other mainstream media. (The power of mass media)., Prevailing Moral Beliefs about Sexuality (e.g., concern over masturbation):</t>
  </si>
  <si>
    <t>It's a source of pride or satisfaction for me.</t>
  </si>
  <si>
    <t>No, never</t>
  </si>
  <si>
    <t>Probably should have done it earlier. Recovery at that age was annoying.</t>
  </si>
  <si>
    <t>Little thought</t>
  </si>
  <si>
    <t>It doesn’t really matter, and as someone who experienced both I can say they’re different, but neither is specifically better or worse.</t>
  </si>
  <si>
    <t>Methodist</t>
  </si>
  <si>
    <t>I did not like being a part of the church, and I have since left it for reasons unrelated to my circumcision.</t>
  </si>
  <si>
    <t>I guess some people find it more attractive. What people find attractive about a scarred, numb, dysfunctional stick I will never understand.</t>
  </si>
  <si>
    <t>During my entire childhood, I experienced recurring nightmares that someone in brown scrubs was coming to cut off my penis. My parents told me I was probably just remembering my circumcision, but I didn't really know what that was. When I became a teenager and learned the truth of what was done to me, and I started reliving the entire experience from start to finish in my nightmares every night, pain and all. That, along with feelings of rape, violation, loss of bodily autonomy, and mutillation genuinely almost led me to suicide. If foreskin restoration had not worked, I would most likely be dead right now. When I was a teenager, but before I learned what had been done to me, I found myself wishing that there was a better method to masturbate than using my rough hand and a copious amount of lube. I felt there was something I was missing. I wished that I had some kind of soft mouth or pussy or something to wrap around my glans rather than my hand. As I was going through puberty, my penis grew and grew until it didn't have enough skin to contain it during erections. My erections were often painful, tight to the body, and sometimes the skin would tear. My frenulum remnant tore several times, causing even more damage to an already damaged erogenous zone.
The fact that my glans was constantly rubbing on my underwear was also a sensory nightmare. I could never escape it. Never. I just had to constantly have what was supposed to be the most sensitive part of my body rubbing up against grating fabric constantly, with no release. One time when I was a young child at summer camp, we went swimming and then proceeded to walk around a lot after swimming before we were able to go get changed. My glans rubbed on the netting of my swim trunks until it bled. None of these things would have happened if I had been allowed to remain intact</t>
  </si>
  <si>
    <t>Just standard practice: Based on observing its prevalence, assumed it was the default medical procedure without a specific individual reason., 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 Medical Advice (without stated necessity): Recommended by a doctor or healthcare provider without explaining a specific existing medical problem, perhaps framing it as routine or generally beneficial.</t>
  </si>
  <si>
    <t>Direct Medical Authority: Specific advice from their obstetrician, pediatrician, or the hospital staff where you were born. (The voice of a trusted professional)., Prevailing Health &amp; Hygiene Beliefs: General societal "knowledge" at the time—gleaned from various sources—that presented circumcision as being fundamentally cleaner, healthier, or preventive of future diseases. (The power of a cultural 'truth')., Lack of Counter-Information: Crucially, the simple absence of any strong, readily available information presenting the benefits of intactness or the risks of circumcision, making it an easy default choice. (The power of silence).</t>
  </si>
  <si>
    <t>Glans completely exposed. Erections extremely tight to the point of skin tearing, thick visible brownish scar, minimal inner foreskin remaining.</t>
  </si>
  <si>
    <t>I want to know what an intact frenulum and ridged band feel like. Those are two of the structures that are severely damaged or removed completely during circumcision, and they are also the two most sensitive parts of the penis. Where the frenulum intersects the ridged band is often called "the male clitoris" for it's nerve density and it is removed entirely in circumcision.</t>
  </si>
  <si>
    <t>They first emerged in my early teens, but they got WAY worse after I took an anatomy and physiology class where the professor explained all of the form and function of the foreskin, and then proceeded to explain what circumcision was and how it destroys all the most sensitive parts of the penis for no real medical reason, and without their consent. I will never forget when one of my (intact) classmates said "Oh my God, that's horrible. They're missing the best part!"</t>
  </si>
  <si>
    <t>Extremely tight erections and some skin ripping.</t>
  </si>
  <si>
    <t>Please don't. Love, your son.</t>
  </si>
  <si>
    <t>They are cheesy, smelly, and the foreskin is just a "useless flap of skin"</t>
  </si>
  <si>
    <t>It's healthier, cleaner, etc.</t>
  </si>
  <si>
    <t>I have had men that preferred intact cock, I've had women that preferred intact cock. I've had men that preferred circumcised cock, and I've had women that preferred circumcised cock. Usually, my female partners that prefer circumcised have never been with an uncut man prior to me. Then, after getting to experience something really close to a intact foreskin, they change their minds. This has not at all been my experience with men. All the men that I've been with that have a preference for cut cock have kept that preference. I don't know if this just means that I'm much better at pleasuring women than I am men, but I digress.</t>
  </si>
  <si>
    <t>It is unethical to remove a healthy body part, especially the most sensitive part of a baby's genitals, without that person's informed consent.</t>
  </si>
  <si>
    <t>Circumcision is male genital mutillation. We have banned all forms of female genital mutillation, and are universally horrified by the practice, but male genital mutillation is treated as normal, routine, and necessary. It's insane.</t>
  </si>
  <si>
    <t>Restoring my foreskin wasn't enough to fix all of the mental and emotional damage that circumcision did to me. I have been working with a trauma therapist that specializes in EMDR, and that has helped me tremendously to recover the rest of the way emotionally. My physical restoration is almost done, my mental restoration still has a little ways to go, but I'm getting there.</t>
  </si>
  <si>
    <t>That I would be open to doing.</t>
  </si>
  <si>
    <t>India</t>
  </si>
  <si>
    <t>I knew jesus was circumcised and when i was a kid i wondered why was he when I wasn't and the other way.</t>
  </si>
  <si>
    <t>We have it good here with no religious reasons for circumcision.</t>
  </si>
  <si>
    <t>As I'm permanently retracted now my glans has lost most of its sensitivity and the tip of foreskin is more sensitive than my glans.</t>
  </si>
  <si>
    <t>The build up is gradual and ejaculation is intensely pleasurable.</t>
  </si>
  <si>
    <t>Recently I've started jerking off with my foreskin retracted so I need lubrication for direct contact with my glans otherwise I don't usually use it.</t>
  </si>
  <si>
    <t>There was no disconnect as uncut was the normal here and they understood it very well.</t>
  </si>
  <si>
    <t>The sensitivity and the mobility, and since I'm practicing "pulled back" i have the convenience of both modes like mastrubation with my foreskin on or pulled back.</t>
  </si>
  <si>
    <t>Nope, cleaning once every day or two during bath is enough.</t>
  </si>
  <si>
    <t>Concerns about Risks/Pain: They were worried about the potential complications or pain of the procedure., Cultural Background/Family Tradition (of intactness): They came from a family or cultural background where intactness was the norm., They left me uncircumcised as it was the normal in our country and is only done by the Muslim guys. I came very close to getting partially circumcised during to some irritation but my parents opposed and helped it heal by itself.</t>
  </si>
  <si>
    <t>Likely not brought up by the doctor unless they asked; preserving intactness was the default.</t>
  </si>
  <si>
    <t>Nope, but I'm practicing autoretraction as I like the exposed feeling of my glans.</t>
  </si>
  <si>
    <t>I had some infection on the tip of my foreskin and the doctor recommended partial circumcision but my parents rejected it. When I was 11 I found out I had mild phimosis and I started stretching it for some time.</t>
  </si>
  <si>
    <t>Uncut is the norm here, but seeing one of my circumcised classmate made me feel proud and glad even though he was twice the size of my penis.</t>
  </si>
  <si>
    <t>The inner foreskin is not as sensitive as it used to be but I love the glide action.</t>
  </si>
  <si>
    <t>It's not that sensitive as others say for me and it gets in my way of auto retraction, so its just there.</t>
  </si>
  <si>
    <t>I used to wonder seeing my uncut friend directly rubbing on the glans that's why I started auto retraction and I can now mastrubate either way with my foreskin or stroking my glans directly.</t>
  </si>
  <si>
    <t>The most we had was mutual mastrubation and I found his glans to be so dry and I didn't know what to do and I had to use my saliva several to make him cum.</t>
  </si>
  <si>
    <t>I prefer intact and uncut.</t>
  </si>
  <si>
    <t>How much it is better with one.</t>
  </si>
  <si>
    <t>Only done if some medical complications arise.</t>
  </si>
  <si>
    <t>Uncut guys don't last long in bed.</t>
  </si>
  <si>
    <t>They don't feel any sensitivity.</t>
  </si>
  <si>
    <t>Th important of leaving the penis as it is and the sensitivity.</t>
  </si>
  <si>
    <t>Missing out on it for life.</t>
  </si>
  <si>
    <t>Altering something on someone's body even if they are your child with lifelong consequences is wrong.</t>
  </si>
  <si>
    <t>The idea of circumcision doesn't necessarily need to be denied but should be done at their own terms.</t>
  </si>
  <si>
    <t>Yeah, sure.</t>
  </si>
  <si>
    <t>ND - North Dakota</t>
  </si>
  <si>
    <t>Touch around the base and shaft feels the best</t>
  </si>
  <si>
    <t>Sliw build up and then very intense full body feeling</t>
  </si>
  <si>
    <t>Feels better with lube</t>
  </si>
  <si>
    <t>There are no advantages</t>
  </si>
  <si>
    <t>Even scar line not overly tight skin</t>
  </si>
  <si>
    <t>The different more intense feelings</t>
  </si>
  <si>
    <t>Late teens after seeing the first uncircumcised penis</t>
  </si>
  <si>
    <t>You should have let me choise</t>
  </si>
  <si>
    <t>Dirtier</t>
  </si>
  <si>
    <t>Hygiene</t>
  </si>
  <si>
    <t>Intact are just as clean and safe</t>
  </si>
  <si>
    <t>Personnel essay</t>
  </si>
  <si>
    <t>South Africa</t>
  </si>
  <si>
    <t>Apostolic / Pentecostal</t>
  </si>
  <si>
    <t>No, our flavour of religion didn't advocate for circumcision at all.</t>
  </si>
  <si>
    <t>I am now Atheist, but the religion of my parents didn't directly inform the reasons for my circumcision.</t>
  </si>
  <si>
    <t>Outside of curing a medical issue with no other resolution, or confirming a personal preference, none.</t>
  </si>
  <si>
    <t>Rubbing on clothes can be frustrating and sometimes painful.
I much prefer the look of an intact penis so it's harmed my self image.
Growing up my friends were all intact so I felt like the odd-one-out.
My country, and generally gay men in my country have a preference towards intactness which has impacted my dating and sex life.</t>
  </si>
  <si>
    <t>My father has mild phimosis grownup which he resolved non-surgically. The reasoning I got was they wanted to "save me the trouble". Beyond this I do not know. I take it they had a fear that I might develop issues and perhaps got some dodgy advice and just had it done, despite not being normal where I was born.</t>
  </si>
  <si>
    <t>This has all changed since restoring so difficult to answer this one.</t>
  </si>
  <si>
    <t>The sensation of the foreskin gliding over the glans. The increases sensitivity and different sensations from a glans that hasn't been rubbing against closed and exposed for many years.</t>
  </si>
  <si>
    <t>First felt "other than" around 5 or 6 when I noticed my friend's penis looked different from mine and I asked my mother about it. Ever since it was a feeling of something is wrong with my penis. This really came to a head around 18/19 when I learned a lot about what was taken and learning about restoring. I went through a few years of feeling very angry and upset and it consumed my thoughts.</t>
  </si>
  <si>
    <t>I feel like I have to grip too hard when masturbating for there to be good enough sensation and this can sometimes cause pain. Also just the discomfort of having my exposed glans rubbing in underwear is awful.</t>
  </si>
  <si>
    <t>Curious about what might be different if intact, Motivated by research or learning about intact anatomy/function, Experienced feelings of loss, grief, or anger, Felt physically uncomfortable or experienced complications, Mildly dissatisfied with sensation or appearance, While I was young and before I understood what any of this meant, there was some deep part of me that just felt like something was wrong/missing.</t>
  </si>
  <si>
    <t>Reclaim what was taken, Achieve glans coverage and dekeratinization, Improve gliding mechanics/reduce need for lube, Heal psychological trauma, Regain gliding motion, Increased overall sensitivity, Improve sexual pleasure/orgasms, Feel more 'natural' or 'whole', I think intact just LOOKS so much better. It's also about removing frustration from glans rubbing on clothes and bedsheets and such. It's a feeling I hate.</t>
  </si>
  <si>
    <t>DTR with tugging strap &amp; T-taping</t>
  </si>
  <si>
    <t>I have been open with some of my friends. Some of them thought it was weird and didn't really want to talk about it further, meanwhile others were very supportive.</t>
  </si>
  <si>
    <t>Hard to say, but I think so</t>
  </si>
  <si>
    <t>Definitely. Once flaccid coverage was more consistent I began to experience fuller and 'deeper" orgasms, like it radiated deeper into my pelvis area. Previously it was very localised to the penis.</t>
  </si>
  <si>
    <t>I like the idea, but I don't see it ever be largely accepted enough to make sense to anyone outside of the restoring community, and I would feel disingenuous if I described myself as "uncut" to someone unsuspecting knowing they won't share my meaning of word.
In an ideal world, uncut was never used to mean intact, then it would make sense to begin using that word.</t>
  </si>
  <si>
    <t>Restoring sucks. It's uncomfortable, there's not a lot of science behind it, it's hard to know if you're actually making progress and restoring devices are becoming expensive. Restoring can also be very time consuming, not just in the years it takes to reach completion, but the time it takes to do a session. Because of all this, the most challenging aspect has been maintaining a proper routine.</t>
  </si>
  <si>
    <t>It's absolutely worth it. Do lots of research.</t>
  </si>
  <si>
    <t>Won't hold my breath, and I would recommend that everyone continue to pursue restoring until something like Foregen is actually a proven procedure you can go book in for.</t>
  </si>
  <si>
    <t>Not done routinely but also not frowned upon if done.</t>
  </si>
  <si>
    <t>Having grown up in Australia there really wasn't any common stereotypes about being cut or intact other than just something that isn't very common amongst native Aussie boys. However, US media and perspectives have a way of penetrating the rest of the world so there might be some people who echo the "it's cleaner" statements if really pressed to give an opinion on the matter.</t>
  </si>
  <si>
    <t>Not that I'm aware of.</t>
  </si>
  <si>
    <t>Culture - or rather the lack of US cultural influence on Australia. The US has strong feelings towards the topic, meanwhile in Australia it's just not something people think about a lot.</t>
  </si>
  <si>
    <t>That they have a 3rd choice: abstention. There seems to be this pressure to decide which way to go right after birth as if there's some kind of time limit. There isn't. I feel like trying to help people realise that this time pressure is a myth would be beneficial, and it might help them make better decision. Of course, the bodily autonomy factor is the most important part of this but it's so debated, it's hard to use it as a single piece of information that people are missing.
In the scenario of the US, some education on the real reason circ happens and became so popular could be useful. The more people realise that all the reasons given for doing it are just to perpetuate what is essentially a cultural habit.</t>
  </si>
  <si>
    <t>It's certainly harmful and unnecessary but the "optics" of using "significant" probably won't help the cause very much when compared with other global issues caused by culture. I think highlighting how absurd and unnecessary it is and its potential to cause unnecessary harm might be a better approach.</t>
  </si>
  <si>
    <t>Happy with most any form that doesn't involve a picture/video of me.</t>
  </si>
  <si>
    <t>Science/Research/Academia, Engineering</t>
  </si>
  <si>
    <t>Pansexual, Asexual</t>
  </si>
  <si>
    <t>Reform (Liberal/Progressive)</t>
  </si>
  <si>
    <t>As a mark of the covenant.</t>
  </si>
  <si>
    <t>I think it's admirable that people are refusing to circumcise, but the simple reality is that this is part of the religion, and in my view the only logical option is to leave a religion that commands such things.</t>
  </si>
  <si>
    <t>There is some room, and it's growing, but it is still very small. I think most Jews still view circumcision as non-negotiable, and worse than that, do not understand why it is wrong.</t>
  </si>
  <si>
    <t>LIGHT TOUCH: When flaccid, my outer foreskin is sensitive to light touch created by stroking very gently with a fingertip or two. When I am erect, my frenulum and inner foreskin along my scarline (I am restored) is sensitive to light touch as described above. My shaft is also sensitive to light touch, but not at the same level. FIRM PRESSURE: My shaft is sensitive to pressure from my fingers grasping it, as is my glans (especially my corona), but only when stimulated through my foreskin or lubricated. My frenulum is sensitive to firm pressure with stroking fingers or with a vibrator, but only when lubricated. GLIDING SENSATION: My inner foreskin (especially my frenulum) and glans are extremely sensitive to being stroked in tandem using gliding sensation. My shaft is similarly sensitive to being stroked using mobile skin. DIFFERENT TEXTURES: My glans and frenulum are sensitive to touch from a soft object, i.e. blanket. MOST SENSITIVE AREAS: My frenulum is by far my most sensitive area followed by the rest of my inner foreskin and my sulcus. My corona is quite sensitive, as is my shaft. My glans has the capacity to be sensitive, but only when it is stimulated properly, either through my foreskin or with lubrication.</t>
  </si>
  <si>
    <t>The buildup to my orgasm is generally gradual but by no means slow. I can feel it welling up in my scrotum and the underside of my shaft early in my stimulation. The build up becomes intense as I get closer, overwhelming my whole penis as I reach the point of no return. I then feel my semen travel up my urethra, at which point I release. The release is very pleasurable, with the feeling concentrated on my frenulum, radiating out the rest of my penis. Sometimes I feel it in other parts of my body. I feel the emotional ecstasy and "mind going blank" throughout but the sexual pleasure is concentrated in my penis and occasionally my hips. It feels very satisfying and leaves me catching my breath.</t>
  </si>
  <si>
    <t>I enjoy using lube for a different sensation or with a toy, but I mainly masturbate using my foreskin and therefore it is not required.</t>
  </si>
  <si>
    <t>Not having to worry about phimosis.</t>
  </si>
  <si>
    <t>Lack of protection of the glans and cutting of tissue on the glans itself.</t>
  </si>
  <si>
    <t>Religious Reasons: Performed as a religious ritual (e.g., Brit Milah in Judaism, Khitan/Sunnet in Islam) or based on religious belief.</t>
  </si>
  <si>
    <t>I had a great deal of loose foreskin remnant that appeared as a ring of wrinkly skin directly around the base of my glans. I had loose, mobile shaft skin. My scar is not very visible except as a transition from inner to outer skin. My frenulum is cut but the remnant is significant, raised and visible.</t>
  </si>
  <si>
    <t>I'm mostly curious about glans sensitivity, gliding motion and orgasm intensity.</t>
  </si>
  <si>
    <t>Seeing the craggy texture of my glans where it was cut.</t>
  </si>
  <si>
    <t>Why do you feel the need to do this? It's abnormal and barbaric.</t>
  </si>
  <si>
    <t>Generally satisfied or hadn't thought much about it, Curious about what might be different if intact</t>
  </si>
  <si>
    <t>I restored by accident through masturbation, but I believe my body was subconsciously attempting to repair what was missing</t>
  </si>
  <si>
    <t>I restored through a masturbation technique that approximates manual methods. It involved stretching my foreskin remnant up onto my glans from the dorsal and ventral side, and tugging it there in short strokes.</t>
  </si>
  <si>
    <t>I have discussed it with several friends. Their reactions have generally begun as incredulous (i.e. didn't know restoration was possible) then positive. I have not discussed it with family as we generally do not discuss these topics.</t>
  </si>
  <si>
    <t>It is hard for me to say as I did not experience sexual pleasure until I began accidentally restoring. However, I have found that my frenulum has become more and more receptive to pleasure, as has my glans.</t>
  </si>
  <si>
    <t>Again, hard to say as I only had two orgasms before I started accidentally restoring. I would say that they are more intense, but that is because I am more focused on pleasure.</t>
  </si>
  <si>
    <t>I do not like "uncircumcised" as it implies that circumcision needs to be done. "Uncut" has always felt a little violent to me, as has "cut." I prefer "intact" to describe intact foreskins and "restored" to describe my own. Personally, I know I was cut and that parts of my penis will never be intact. I'm also proud of being restored, because it means I fixed something that was wrong.</t>
  </si>
  <si>
    <t>Challenging has been realizing the magnitude of what was taken from me. Rewarding has been the discovery of how crucial the foreskin is to penis pleasure.</t>
  </si>
  <si>
    <t>Start! But more specifically, I would encourage people practice foreskin-focused masturbation. Once you have enough skin to pull up toward the glans, you should be doing that to experience pleasure. It worked wonders for me!</t>
  </si>
  <si>
    <t>I think it's a bit of a red herring. Our energy, in my view, is far better focused on helping restorers and preventing further circumcisions.</t>
  </si>
  <si>
    <t>It was something all Jews did. Simple as that. In my Jewish community there was no question.</t>
  </si>
  <si>
    <t>Ironically, I never heard any.</t>
  </si>
  <si>
    <t>That you're Jewish.</t>
  </si>
  <si>
    <t>Media. Not even porn, just movies and TV.</t>
  </si>
  <si>
    <t>That the foreskin is crucial to penile health and pleasure.</t>
  </si>
  <si>
    <t>It feels accurate because it is something so few people think about. People even think it's funny to be against or discuss.</t>
  </si>
  <si>
    <t>When I saw my first intact penis, I had no idea what it was because I had had no education that this was even an option. That's how normalized circumcision was. Now, as a restored adult, I get so much pleasure just from looking down and seeing my foreskin. I'm ignorant no longer.</t>
  </si>
  <si>
    <t>Reddit DM u/foremica</t>
  </si>
  <si>
    <t>I'd be happy to discuss this further anonymously in an audio or text format for publication, or in a video format for internal use.</t>
  </si>
  <si>
    <t>Only son, apparently my parents debated a lot and my mom thought I shouldn't be but didn't mind much either way and was ok with my dad deciding I should be just because he is and maybe wanting to cater to my mom's religious family not sure</t>
  </si>
  <si>
    <t>I heard from my mom and from media growing up that most women like circumcised men, and that it's needed in some religious contexts.</t>
  </si>
  <si>
    <t>I remember they separated the boys and girls in 3rd grade or something and I remember them touching on the topic, and showed both diagrams. Mainly focused on the circumcised one for simplicity of the anatomy? And in highschool health class I forget what diagram we studied, but it mainly focused on the organs and not the skin</t>
  </si>
  <si>
    <t>I've seen 2 girls on dating apps say uncut men are gross in their bio. Also it's huge that people don't think it's a big deal or affects people. I even talk to other cut runners and they don't seem to notice the chaffing or care at all.</t>
  </si>
  <si>
    <t>Definitely pornography shaping people's ideas of what sex and genitals look like</t>
  </si>
  <si>
    <t>Let them decide later</t>
  </si>
  <si>
    <t>I've heard people become nicer and I feel like Men would be more satisfied and want sex less if it was more satisfying and it didn't feel like they were chasing something deeper, even if they didn't realize it</t>
  </si>
  <si>
    <t>From experiences I've read in my own experience, this can be really hard to come to terms with. I personally feel incomplete and sometimes debilitated. Even at some parts of this survey, there are so many things I want to say and I tend to just stare feeling sad for minutes at a time before I actually force myself to continue on writing. Hope and desire is what drives people, and without religion it's more difficult to find it and keep moving.</t>
  </si>
  <si>
    <t>I'm ok even if I'm not anonymous, this is real and I don't feel ashamed to restore or condone this surgery openly</t>
  </si>
  <si>
    <t>Farmer</t>
  </si>
  <si>
    <t>I feel light touch and pressure through most of the penis. Deeper and stronger sensations are more centered on coronal rim of the glans as well as the underside. Overall the surface of the glans is more sensitive the the rest of the penis</t>
  </si>
  <si>
    <t>The intensity of the orgasm fluctuates from each session. I have had a quick session with a very intense orgasm but also intense ones with a long protracted session. It may depend on length and strength of the arousal state.</t>
  </si>
  <si>
    <t>Sometime I lubricate enough but if I'm not then I will resort to saliva.</t>
  </si>
  <si>
    <t>Not needed any special attention. Enjoy seeing my glans.</t>
  </si>
  <si>
    <t>In my circumstance, circumcision done later, more inner foreskin was removed. I found the inner foreskin very sexually sensitive.</t>
  </si>
  <si>
    <t>Prophylactic Health Reasons (Specific Disease Prevention - e.g., Cancer, STIs, HIV, UTIs): Belief that it lowers the risk of specific diseases later in life (e.g., penile cancer, certain sexually transmitted infections like HIV or HPV, infant urinary tract infections - UTIs)., Peer pressure and medical pressure while in the military.</t>
  </si>
  <si>
    <t>Peer &amp; Social Pressure (The "Fitting In" Factor): The widespread belief that "everyone else is doing it," and a desire for you to avoid being seen as different in locker rooms or later in life. (The power of broad social conformity)., Institutional Medical Norm: The general belief that "this is just the standard procedure" at hospitals, making it a routine, unquestioned part of postpartum care. (The power of the system).</t>
  </si>
  <si>
    <t>My circumcision was done as an adult. Much of the inner fingers foreskin was removed. The circumcision scar is about about a 1/2" behind the coronal rim if the glans.</t>
  </si>
  <si>
    <t>My sensations were more intense but I've adapted.</t>
  </si>
  <si>
    <t>I lost sensitive areas of the foreskin I enjoyed but have had to adapt.</t>
  </si>
  <si>
    <t>Most of the factor above seemed to be at play as well as the family's economic situation.</t>
  </si>
  <si>
    <t>It's a sign of lower income. The foreskin was smelly and dirty.</t>
  </si>
  <si>
    <t>It was preferred and more aesthetically attractive.</t>
  </si>
  <si>
    <t>Social media consumption.</t>
  </si>
  <si>
    <t>Most new parents, males that are circumcised are unaware that they have been altered until they arrive at making the decision for their first born male. Education is lacking and no one questions or challenges a doctor.</t>
  </si>
  <si>
    <t>I agree it's a problem. How to combat the practice will be difficult due the medical industry in the US is for profit, other religious factors, like Jewish and Muslims will fight it and it has become so normalize in this society. It's a huge uphill battle due to the complexity of the root causes.</t>
  </si>
  <si>
    <t>FL - Florida</t>
  </si>
  <si>
    <t>Prefer not to specify denomination</t>
  </si>
  <si>
    <t>Jesus was circumcised so it must be good.</t>
  </si>
  <si>
    <t>Around the rim and under the head are the most sensitive</t>
  </si>
  <si>
    <t>I could cum in less than 3 minutes if I wanted to, but I like to edge it some.</t>
  </si>
  <si>
    <t>Not needed, but it is nice once in a while and adds extra sensation.</t>
  </si>
  <si>
    <t>Occasionally some girls don’t know what to do with an uncut dick or react badly.</t>
  </si>
  <si>
    <t>No lube needed.</t>
  </si>
  <si>
    <t>Just have to stay on top of hygene.</t>
  </si>
  <si>
    <t>Financial Reasons: The cost of the procedure was a factor.</t>
  </si>
  <si>
    <t>My dad and older brother are circumcised.</t>
  </si>
  <si>
    <t>In my house it was 50/50 since me and my younger brother are uncut, and my dad and older brother are circumcised. We were born in a different state that did not cover the cost.</t>
  </si>
  <si>
    <t>It makes it easy.</t>
  </si>
  <si>
    <t>Was bad until it snapped when I was going through puberty and jerking off because it was tight. Since then it has been fine. I like the feeling it gives.</t>
  </si>
  <si>
    <t>I have pretended I was circumcised by pulling my skin back.</t>
  </si>
  <si>
    <t>Just noticed that in circumcised penises the tip looks big.</t>
  </si>
  <si>
    <t>I like uncut. It’s descriptive and fairly commonly known. Just like sweet or unsweet tea, unsweet is the default. It’s just English. People get too upset over the smallest things. Intact term is already used medically for uncastrated animals, so I don’t like using that term. A natural penis is good too, but it’s not as descriptive, so people won’t know what you mean.</t>
  </si>
  <si>
    <t>I feel like they should just let it be unless it causes problems medically.</t>
  </si>
  <si>
    <t>With my family, it was 50/50. I think only 30% of my peers were uncut in high school. Girls always said they preferred circumcised when they were asked. They said circumcised is cleaner and looks better.</t>
  </si>
  <si>
    <t>They all get dick cheese.</t>
  </si>
  <si>
    <t>They are all good looking.</t>
  </si>
  <si>
    <t>Porn and general medical advice stating benefits of circumcision.</t>
  </si>
  <si>
    <t>This decision would primarily be up to my partner.</t>
  </si>
  <si>
    <t>That not circumcising can be a valid choice too as long as you teach it them good hygiene.</t>
  </si>
  <si>
    <t>I don’t think it’s that big a deal. Cut and uncut dicks are not as dis-similar as people make them out to be. It’s usually not a deal-breaker for partners... Just a preference like shaved vs hairy.</t>
  </si>
  <si>
    <t>I thought about getting circumcised, but I found out when I’m naked, I can just keep the skin pulled back and I get the cut look. But I decided I like having the skin for making jerking off easy, and it protects my tip from rubbing against clothing and drying out. So as long as there is not a medical issue where the skin cannot retract, I think an uncut penis has more benefits as long as it can stay clean.</t>
  </si>
  <si>
    <t>Straight/Heterosexual, Mostly straight, but bicurious</t>
  </si>
  <si>
    <t>Only the reminder of my frenulum has any sensation. I was overweight as a teen which meant my penis stayed in my fat pad unable to run against my pants and it was much more pleasurable then. When I lost weight I saw it slowly keratinize. Once my girlfriend had her head on my stomach and started sucking my dick, and commented on how I wasn’t getting hard, but I genuinely didn’t feel a thing,</t>
  </si>
  <si>
    <t>Cum quickly and all ejaculation is without orgasm. I experienced an orgasm once when I was 16 so I know what it’s meant to be like. Now on a pleasure scale of 1-10, I probably experience a 3 or 4 for sex, and then build up to a 5 and ejaculate (no orgasm) for it to instantly drop to 0. I definitely have anorgasmia, where circumcision is the reason or not, I don’t know. I’m not on any SSRIS</t>
  </si>
  <si>
    <t>If I don’t use it during sex the skin behind the head of my dick will tear and scab up.</t>
  </si>
  <si>
    <t>I have to focus insanely hard on any blow job. Like I’ve mentioned before I have a hard time knowing if it’s actually in, unless I can see. Any swirling of the tongue on the inside is lost on me. I can feel gentle biting but it’s not pleasurable</t>
  </si>
  <si>
    <t>Honestly can’t think of any.</t>
  </si>
  <si>
    <t>No sensation, sexual disconnect with a partner, possible autism ocd adhd and other brain damages associated</t>
  </si>
  <si>
    <t>My dad is circumcised, so is his side of the family, my mother defends its and said it needs to be done, but nobody on her is (like my cousins) my theory is my dad wanted it done and my mom was probably brainwashed by him and copes about it</t>
  </si>
  <si>
    <t>Family Tradition/Pressure: The expectation from grandparents or other influential relatives; the idea that "it's what the men in our family have always done." (The power of heritage)., I have absolutely no idea what influenced them., Prevailing Moral Beliefs about Sexuality (e.g., concern over masturbation):</t>
  </si>
  <si>
    <t>C-3</t>
  </si>
  <si>
    <t>What sex is meant to feel like, and the nervous system relaxation of an orgasm</t>
  </si>
  <si>
    <t>I had no conscience revisions. I dont know if Anything was done after the initial surgery</t>
  </si>
  <si>
    <t>When I was about 17, after learning how much was missing from me, and that my parents had to take me to a paediatrician and pay out of pocket for them to remove it</t>
  </si>
  <si>
    <t>Tight skin, erectile dysfunction, anorgasmia, hard flaccid syndrome</t>
  </si>
  <si>
    <t>Kill yourself</t>
  </si>
  <si>
    <t>I think it was just something done in my family. Not in any of my extended. And growing up I only knew one other guy that was circumcised at 8 because of (phismosis). We all know that’s medically unnecessary and can’t even be diagnosed until after puberty though.</t>
  </si>
  <si>
    <t>Literally nothing. Nobody cares, and 90% of guys are intact.</t>
  </si>
  <si>
    <t>It definitely doesn’t matter as much as boomers think it does. Nobody's looks twice or cares</t>
  </si>
  <si>
    <t>How much role it plays in sex and spirituality.</t>
  </si>
  <si>
    <t>This section of the survey makes it so biased, that people not tapped into this movement aren’t going to like it</t>
  </si>
  <si>
    <t>I’d have to think about it but possibly</t>
  </si>
  <si>
    <t>Italian</t>
  </si>
  <si>
    <t>Education (e.g., K-12 Teacher, Professor, School Administrator), Clerical / Administrative Support (e.g., Secretary, Office Clerk)</t>
  </si>
  <si>
    <t>Romans viewed circumcision as barbaric. I'm sure Christians feel the same way.</t>
  </si>
  <si>
    <t>The two tips of the head on either side of the frenulum are the most sensitive and pleasurable. If I run my fingers up and down on the two tips of the head on either side of the frenulum... the pleasure is so intense.</t>
  </si>
  <si>
    <t>It depends on the situation and the connection with a woman.</t>
  </si>
  <si>
    <t>I don't experience disconnect however a natural foreskin provides so much pleasure that we don't need to communicate how to give a blowjob. It's the best feeling that I wonder why we even have wars.</t>
  </si>
  <si>
    <t>I've tried living with my foreskin up for a couple of hours and couldn't stand the lack of protection for the head of my penis. Having protection for the head of my penis is natural and I don't see it as superior or inferior. This is how we're born.</t>
  </si>
  <si>
    <t>Nope. Hygiene concerns usually occur from ejaculating in our own foreskin and not washing with a soap bar right after because ejaculate does contain antimicrobials that disrupt the natural bacterial flora on the penis head.</t>
  </si>
  <si>
    <t>Cultural Background/Family Tradition (of intactness): They came from a family or cultural background where intactness was the norm., Religious Reasons (for intactness): Specific religious beliefs that discourage or are neutral towards circumcision, Born Abroad: You were born in a country where routine infant circumcision was not the cultural or medical norm at the time.</t>
  </si>
  <si>
    <t>I was 24-25 at the time. I think I developed a bacterial infection which caused my foreskin to become inflamed and trouble retracting. I knew I didn't want to get circumcised so I get washing it with glycerol liquid soap and pulling it back until it healed. Never had a problem since and wash my penis every single day even if I don't shower since it only takes a couple minutes over the bathroom sink.</t>
  </si>
  <si>
    <t>It keeps the penis moist unlike a cut fibrotic penis. Therefore everything else that follows is heaven.</t>
  </si>
  <si>
    <t>It's not the frenulum. It's the two sides of the head on either side of the frenulum that provide intense pleasure. Perhaps the frenulum is required for connecting the nerves of parts of the head of the penis but I don't know since I'm intact.</t>
  </si>
  <si>
    <t>Like I've said earlier. I've tried living with my foreskin up and it's hell. I wouldn't mutilate my penis for a trillion dollars.</t>
  </si>
  <si>
    <t>Dishonest and gaslighting as if "un" = "unnatural". Therefore circumcision is supposedly natural.</t>
  </si>
  <si>
    <t>Sex is so pleasurable with an intact penis that I wonder why we even have wars. Therefore, removing the foreskin must be contributing to men not being able to feel love while having sex.</t>
  </si>
  <si>
    <t>Barbaric.</t>
  </si>
  <si>
    <t>Protects against STDs, HIV, etc. , clean nonsense,</t>
  </si>
  <si>
    <t>The medical industry conditioning those who can't think for themselves.</t>
  </si>
  <si>
    <t>The foreskin is there to protect the head of the penis and don't let anyone else persuade you to mutilate your own son.</t>
  </si>
  <si>
    <t>I see it more as the road to hell is paved with good intentions. Doctors are imbeciles doing their job and therefore push circumcision because they've been conditioned by medical school to believe that it's healthy. The blind leading the blind.</t>
  </si>
  <si>
    <t>I think those of us who are intact and have morals feel enraged by the thought of circumcision because it's mutilation. It's BARBARIC.</t>
  </si>
  <si>
    <t>Very pleasurable</t>
  </si>
  <si>
    <t>Since getting older I use moisturiser to masturbate</t>
  </si>
  <si>
    <t>It is natural and provides for amazing masturbation</t>
  </si>
  <si>
    <t>It is pretty normal to have foreskin here.</t>
  </si>
  <si>
    <t>Medical Information/Advice: They were informed by a doctor/medical literature that circumcision was medically unnecessary (e.g., citing AAP 1971/1975 statements or similar, or advice from a specific medical professional)., Father is Intact: The father is intact, and this influenced their decision, Cultural Background/Family Tradition (of intactness): They came from a family or cultural background where intactness was the norm.</t>
  </si>
  <si>
    <t>Very valuable</t>
  </si>
  <si>
    <t>Somewhat valuable</t>
  </si>
  <si>
    <t>What it feels like</t>
  </si>
  <si>
    <t>It is the default term and doesn't bother me</t>
  </si>
  <si>
    <t>It isn't their bodies it should only be their sons choice</t>
  </si>
  <si>
    <t>Foreskin is the norm in Australia</t>
  </si>
  <si>
    <t>It isn't necessary and there are no benefits to circumcision</t>
  </si>
  <si>
    <t>Adelaide, South Australia</t>
  </si>
  <si>
    <t>OK - Oklahoma</t>
  </si>
  <si>
    <t>Clerical / Administrative Support (e.g., Secretary, Office Clerk), Stay-at-Home Parent / Homemaker</t>
  </si>
  <si>
    <t>engineer</t>
  </si>
  <si>
    <t>Generally pretty sensitive, but have lost some of that sensitivity over the years. Under the glans is the most sensitive part.</t>
  </si>
  <si>
    <t>Intensity is good. The feeling kind of pulses out from the genitals. Lasts about 15-20 seconds... always satisfying. It is a steady progression to go from arousal to plateau and then orgasm.</t>
  </si>
  <si>
    <t>I sometimes use lube to avoid excess friction/wear and tear on my parts.</t>
  </si>
  <si>
    <t>Glans protection and mobile skin makes sex and masturbation easier.</t>
  </si>
  <si>
    <t>Rare hygiene issues.</t>
  </si>
  <si>
    <t>Medical Circumstance Prevented It: There was a specific medical reason at birth or shortly after (e.g., prematurity, other health issues requiring immediate attention) that led to the procedure being postponed or skipped altogether, and it wasn't pursued later.</t>
  </si>
  <si>
    <t>When I was becoming sexually active and wanted to 'fit in' with most men in America</t>
  </si>
  <si>
    <t>very likely, forced retraction before I could remember</t>
  </si>
  <si>
    <t>honestly, the topic didn't really come up at all... wash thoroughly, is all</t>
  </si>
  <si>
    <t>It helps during intercourse and hand jobs. I enjoy the sensation when as it is pulled back. It helps keeps my glans sensitive.</t>
  </si>
  <si>
    <t>It is the most sensitive spot for me. It feels very good to touch, when licked, etc... However, it is only part of the equation and I need stimulation elsewhere to finish.</t>
  </si>
  <si>
    <t>I wonder what circumcised men feel during sex, and what the overall difference in sensitivity is.</t>
  </si>
  <si>
    <t>Much less mobile skin and he needed lube to do any 'hand action'.</t>
  </si>
  <si>
    <t>I take no offense to any of these terms</t>
  </si>
  <si>
    <t>Feedback from a couple of my female sexual partners suggests that them having sex with uncircumcised men feels better.</t>
  </si>
  <si>
    <t>A cultural expectation, too</t>
  </si>
  <si>
    <t>Circumcised was the norm and was expected. Sex ed didn't mention anything about it.</t>
  </si>
  <si>
    <t>It was assumed that every guy was circumcised.</t>
  </si>
  <si>
    <t>Culture and what partners are used to. However, as I'm in a diverse part of the country, I believe a substantial portion of men are uncircumcised, and women have likely encountered both kinds of penises</t>
  </si>
  <si>
    <t>That male circumcision should be just as abhorrent as female genital mutilation</t>
  </si>
  <si>
    <t>I think that circumcision is harmful, but I don't think it's a substantial threat to society.</t>
  </si>
  <si>
    <t>Education (e.g., K-12 Teacher, Professor, School Administrator), Skilled Trades (e.g., Electrician, Carpenter, Mechanic, Cosmetologist)</t>
  </si>
  <si>
    <t>Very sensitive</t>
  </si>
  <si>
    <t>Orgasm</t>
  </si>
  <si>
    <t>It creates a different sensation, can't say its better or worse. Can masturbate without lube, perhaps the orgasm might be more intense without lube.</t>
  </si>
  <si>
    <t>Sometimes women don't understand how to masturbate with a foreskin. They may not fully retract you so your not getting full stimulation, others may be very rough and retract your foreskin very hard and forcibly.</t>
  </si>
  <si>
    <t>It's natural, I find intact penises more aesthetically pleasing in my own opinion. When retracted, the penis looks the same as one that is circumsized. There are no ugly scars on the shaft. A natural penis smells and tastes better. The foreskin retains flavour, scent and pheromones much like the labia on a vagina. I find this very arousing, a cut penis may have no scent or taste. I've seen the skin on many circumsized penis looking very dry and rough. I've been complemented by women saying my penis smells and tastes delicious. I've also been told by women that they enjoy playing with a foreskin.</t>
  </si>
  <si>
    <t>No, other than some women not knowing exactly how to handle a foreskin. I</t>
  </si>
  <si>
    <t>I've always just known about the distinction</t>
  </si>
  <si>
    <t>Father is Intact: The father is intact, and this influenced their decision, Cultural Background/Family Tradition (of intactness): They came from a family or cultural background where intactness was the norm., Religious Reasons (for intactness): Specific religious beliefs that discourage or are neutral towards circumcision</t>
  </si>
  <si>
    <t>Broken frenulum when young. Bit scared lots of blood.</t>
  </si>
  <si>
    <t>I think most boys were intact</t>
  </si>
  <si>
    <t>All of the benefits, I don't think there are any disadvantages</t>
  </si>
  <si>
    <t>It is very sensitive, but easily to break or damage</t>
  </si>
  <si>
    <t>I don't know How'd I'd masturbate, because I use my foreskin when masturbating.</t>
  </si>
  <si>
    <t>Unsure or not enough experience to compare</t>
  </si>
  <si>
    <t>Penis has no scent or flavour, tastes like skin. No arousel</t>
  </si>
  <si>
    <t>Normal / natural</t>
  </si>
  <si>
    <t>It's natural and it should be left that way. It creates unrealistic experiences and expectations. A foreskin is the same as a women's labia, it's there for a reason, women don't have there labia cut off for the same reasons.</t>
  </si>
  <si>
    <t>Medical benefits</t>
  </si>
  <si>
    <t>None that I'm aware of</t>
  </si>
  <si>
    <t>None that I'm aware</t>
  </si>
  <si>
    <t>A penis is not dirty, and there is no risk of hygiene issues with normal use a practice.</t>
  </si>
  <si>
    <t>A foreskin is natural and has a purpose</t>
  </si>
  <si>
    <t>I love my foreskin, and couldn't imagine being without it</t>
  </si>
  <si>
    <t>Erotic</t>
  </si>
  <si>
    <t>Quick</t>
  </si>
  <si>
    <t>To tight for anal</t>
  </si>
  <si>
    <t>Fun to play with</t>
  </si>
  <si>
    <t>Fun</t>
  </si>
  <si>
    <t>I've never thought about it</t>
  </si>
  <si>
    <t>Fife Scotland</t>
  </si>
  <si>
    <t>Fife</t>
  </si>
  <si>
    <t>Transportation</t>
  </si>
  <si>
    <t>Culturally Muslim / Secular, Sunni</t>
  </si>
  <si>
    <t>Not a major topic of discussion or emphasis in my specific familial or community context.</t>
  </si>
  <si>
    <t>I'm not a muslim, my dad is.</t>
  </si>
  <si>
    <t>it's really just not needed, afaik they treat it like shaving your armpits or pubes, and normally done on adolesents only western muslims do it on infants because it's offered.</t>
  </si>
  <si>
    <t>No idea, My Dad is a Muslim in name only, that mans faith is fucking faker than Kim Kardashians tits, you can feel the demonic energy emmenating off that mans quran</t>
  </si>
  <si>
    <t>Pretty sad</t>
  </si>
  <si>
    <t>I can keep myself on edge for hours, but final release is dependent on mental state but largely just the feeling of Cum filling my pants and the need to just chill for a few seconds, but this isn't a lasting state, if i open my eyes even to get the porn off my screen it's over.</t>
  </si>
  <si>
    <t>The duration varies too much to give a typical answer</t>
  </si>
  <si>
    <t>When i discovered lube i couldn't make myself cum with it because i wasn't sure how to stroke with it so i would overstimulate myself every time i got close and it would take me 30 minutes to cum, this lasted a week and i haven't gotten that level of pleasure since, i think it's because i subconciously know how to stroke with lube now</t>
  </si>
  <si>
    <t>absolutely none, i want my foreskin back.</t>
  </si>
  <si>
    <t>I wanted to kill myself for years over it, i'm MORE self concious about ever being nude from it, it makes your penis smaller especially flaccid, the scar is thick, raised, and uneven, sometimes the bottom ridge of my glans feels like it's getting scratched while masturbating, my glans looks cracked and textured, and i can't look at myself while i piss or shower.</t>
  </si>
  <si>
    <t>Just standard practice: Based on observing its prevalence, assumed it was the default medical procedure without a specific individual reason., Aesthetic Preference / To Look "Better" or "Neater": Belief that the circumcised penis looks more visually appealing, "prettier," or tidier than an intact one., Parent's General Preference: Parents simply preferred the circumcised appearance or state without specific medical, religious, or cultural reasons being primary., Cultural Tradition/Family Norm: It was a strong family tradition, cultural expectation, or simply "what people in our community did.", Religious Reasons: Performed as a religious ritual (e.g., Brit Milah in Judaism, Khitan/Sunnet in Islam) or based on religious belief., Hygiene: Belief that circumcision makes the penis easier to keep clean or is inherently more hygienic.</t>
  </si>
  <si>
    <t>Religious Mandate/Tradition: A direct requirement or strong cultural expectation stemming from their religious beliefs and community. (The power of faith)., 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t>
  </si>
  <si>
    <t>it's loose, i can roll the skin over the bottom 1/5 of the glans when masturbating if i cup the skin right, but this makes my penis look TINY flaccid and leaves a really thick collar and the scar is uneven with more mobility on the left, also sometimes if it's soft it can actually roll back into itself but since this is normal penile skin it's kept there by tension and can actually be painful if i need to piss in that state</t>
  </si>
  <si>
    <t>the feeling of skin against the glans rather than fabric, also the idea of the sensation of the shaft skin doubled up over my glans rubbing against the glans, must be a crazy experience it sounds like stroking 3 times at once</t>
  </si>
  <si>
    <t>it started the second i learned about it, with my first exposure to pornography, i thought "why did they do that to me" it only spiraled from there, I resent my father. I can never have a good marriage because someone is from a fucking desert cult</t>
  </si>
  <si>
    <t>I fucking resent you, and you brushed me off and mutilated your other two children despite knowing you fucked up your first son over it I hate you, i hate Islam, i hate Egypt, and i'm going to sue you with no mercy just you fucking wait. (Dad) and you slept with this man, didn't challenge it, and went with cultural tropes (mom)</t>
  </si>
  <si>
    <t>look, i was raised in the midwest by a sandnigger and too uneducated to know better, this fucker has a medical degree from the finest university in the middle east and still does this? unacceptable thats deliberate malice. my parents divorced at 9 and i moved to new york.</t>
  </si>
  <si>
    <t>no idea</t>
  </si>
  <si>
    <t>no idea, i was raised cultureless</t>
  </si>
  <si>
    <t>Systemic brainwashing in women pornography in men</t>
  </si>
  <si>
    <t>the AMA and AAP and every hospital make too much money off this shit and it's a demonic sacrifice to moloch, more over even Jews didn't start doing it until 140 AD, meaning the New Testament is older than this practice, most of this 'research' relies on careful sample selecting and linguistic manipulation like '60% decrease on HIV' was conducted on 5000 men in the Caribbean and it's a 60% decrease in RELATIVE transmission, if you had sex with an HIV infected person, your odds of getting HIV yourself was only 2%, if you mutilate yourself it's 1% and neglects the actual impact of spreading it as an HIV prevention tool that would result in less condom usage, more partners, and less HIV testing.</t>
  </si>
  <si>
    <t>Satan, Moloch, and all his agents live in plain sight.</t>
  </si>
  <si>
    <t>Should include a page about your current religion if you converted (I'm Eastern Orthodox)</t>
  </si>
  <si>
    <t>through a pseudonym, im currently pursuing legal action over this.</t>
  </si>
  <si>
    <t>Queer</t>
  </si>
  <si>
    <t>Most sensitive around the glans</t>
  </si>
  <si>
    <t>I find it difficult to orgasm</t>
  </si>
  <si>
    <t>The only time I use lube is to stimulate the glans directly</t>
  </si>
  <si>
    <t>Enhanced sensitivity</t>
  </si>
  <si>
    <t>I had a tight foreskin until I was about 17 and it’s still a little tight when I’m very erect</t>
  </si>
  <si>
    <t>Born Abroad: You were born in a country where routine infant circumcision was not the cultural or medical norm at the time.</t>
  </si>
  <si>
    <t>17 - steroid cream initiated by doctor. Glad I experienced it</t>
  </si>
  <si>
    <t>I like it to be retracted and have the glans directly stimulated</t>
  </si>
  <si>
    <t>I don’t find it that sensitive</t>
  </si>
  <si>
    <t>Mechanics</t>
  </si>
  <si>
    <t>I don’t mind</t>
  </si>
  <si>
    <t>Sex feels better with a foreskin</t>
  </si>
  <si>
    <t>It was normal</t>
  </si>
  <si>
    <t>It was a religious intervention</t>
  </si>
  <si>
    <t>It isn’t relevant to my culture</t>
  </si>
  <si>
    <t>Wales</t>
  </si>
  <si>
    <t>AL - Alabama</t>
  </si>
  <si>
    <t>Black / African American / African / Afro-Caribbean</t>
  </si>
  <si>
    <t>Im not a Christian.</t>
  </si>
  <si>
    <t>Theres a tiny remnant of foreskin left and it has sensation. The rest is nothing. Even as restoring at ci 5 the skin itself is not affected.</t>
  </si>
  <si>
    <t>My orgasm intensity comes from pelvic floor health not glandular sensation.</t>
  </si>
  <si>
    <t>Mildly dissatisfied with sensation or appearance, Significantly dissatisfied with sensation, function, or appearance, Experienced feelings of loss, grief, or anger</t>
  </si>
  <si>
    <t>Improve gliding mechanics/reduce need for lube, Heal psychological trauma, Achieve glans coverage and dekeratinization, Improve sexual pleasure/orgasms, Regain gliding motion, Reclaim what was taken, Increased overall sensitivity, Feel more 'natural' or 'whole'</t>
  </si>
  <si>
    <t>Tlc, car 1</t>
  </si>
  <si>
    <t>Some</t>
  </si>
  <si>
    <t>Yes. The improved gliding and when consistently dekeratinzed, they feel great.</t>
  </si>
  <si>
    <t>Sounds good</t>
  </si>
  <si>
    <t>Consistency</t>
  </si>
  <si>
    <t>Have a plan. Stay consistent.</t>
  </si>
  <si>
    <t>That people are not using their brains. Stupid for even stepping foot into a hospital to give birth in the 1st place.</t>
  </si>
  <si>
    <t>Propaganda and lies.</t>
  </si>
  <si>
    <t>They obviously do not believe in male humanity.</t>
  </si>
  <si>
    <t>The medical industry is anything but Transparent. I worked as a courier and delivered a package to a pediatrician office and the window in front of clerks desk was opaque. They are hiding this. Its not transparent.</t>
  </si>
  <si>
    <t>I could say a lot but its late and tired. I write my hatred for this practice on my blog.</t>
  </si>
  <si>
    <t>No, I'd prefer to skip that section and proceed to the</t>
  </si>
  <si>
    <t>I understood Jews got cut, and they were like the prequel to Christianity, and many Americans seem to think it's a religious requirement of Christ (Although I suspect it's the same group that assigns anything American to Christianity, thinking they're God's chosen people.) but Jesus came to free us of the jewish laws, so... my understanding was that christians were not expected to circumcise.</t>
  </si>
  <si>
    <t>Further bible study later on has led me to understand it is in fact anti-christian to circumcise (Galatians 5:2 for example) and that Jesus/God wants us to move on from Jewish customs. Regardless, I don't think religion is any excuse to circumcise an infant/child before an age where they are able to make a willing, informed decision to do so (Say 13). I know this will come with massive religious coercion to do it then anyway, but at least there is some choice in the matter so those who were not as willing may be less likely to "force" the next generation, and so on. I strongly believe in freedom of religion and bodily autonomy, so I'm perfectly fine with any male who wants to be circumcised for their faith - but it HAS to be their choice. Nobody gets to force faith on another person, especially where that faith comes with permanent, non-reversible consequences (See also, children denied lifesaving blood transfusions)</t>
  </si>
  <si>
    <t>I guess it looks more "ready to go" but not really something I want.</t>
  </si>
  <si>
    <t>Definitely less sensation and feeling after cut, I believe it's harder to masturbate, it's unusual in my country so makes me different (Guys dont know what to do!), and has potential to result in complications.</t>
  </si>
  <si>
    <t>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t>
  </si>
  <si>
    <t>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 Prevailing Health &amp; Hygiene Beliefs: General societal "knowledge" at the time—gleaned from various sources—that presented circumcision as being fundamentally cleaner, healthier, or preventive of future diseases. (The power of a cultural 'truth').</t>
  </si>
  <si>
    <t>When done, it was medium tight with a little skin movement, about 5mm of inner foreskin with mostly outer skin left. Scar was raised as a bump after healing, which flattened out with erections. The scar ring is even and at the same "length"/height along penis. Glans was always exposed with no bunching of skin (apart from raised scar). During puberty my penis grew and I became a "grower" - I gain about 1-1.5 inches when hard. Due to this it all tightened up - inner foreskin only grew to ~1cm and erections became tight, to the point that by 15-16 there was very little movement and during an erection I could feel the skin being pulled. I could get an erection but could not maintain it without lube as trying to "Jerk" just yanked at the head and hurt. The scar flattened out even when flaccid. Around 16 I found out about restoration and began stretching, after a while it loosened out and I now get a little bunching when soft, and erections are comfortable (I also have just enough to masturbate without lube, although it's still easier with. But I don't get caught out now!). I am not attempting to continue stretching, as much as I'd like my foreskin back it takes too long and is too big an annoyance to do all the time, I have regained the ability to have comfortable sex and masturbation so I'll live with it as it is now.</t>
  </si>
  <si>
    <t>How easy and comfortable it feels when all the required parts are present.</t>
  </si>
  <si>
    <t>As noted, I attempted stretching techniques to loosen up my erection so I could masturbate easier.</t>
  </si>
  <si>
    <t>Not long after being cut. Healing from it is a pain and an irritation, and I was old enough to recognise it was due to something missing. After a while the sensitivity of rubbing on everything numbed, and while I was glad to be comfortable I still knew feelings I used to have had disappeared. The more I learnt, the worse it got - I was cut for phimosis but it wasn't even needed, I could retract comfortably enough to wash, it was just quite tight. I could very well have been left alone and not had any issues, while avoiding the problems circumcision dealt.</t>
  </si>
  <si>
    <t>Overly tight erections were an issue, but I'd consider the entirety of circumcision to be an issue - the very loss of my foreskin means I don't have the feeling of the extra inner foreskin, my glans has less sensitivity (They all must, otherwise every cut guy would be wincing as he walked), and it's not what nature intended.</t>
  </si>
  <si>
    <t>Do not circumcise him until actual problems arise, there's no rush nor urgency. You can always get circumcised later on if it really truly is needed, but an amputation on the basis that it might get worse later on is awful. Also, don't accept there are no negative side effects - even if Dad wants to feel like his penis is fully functional.</t>
  </si>
  <si>
    <t>They did not have a doctor notice phimosis, so the surgery was not considered for them.</t>
  </si>
  <si>
    <t>If anything, "A parent's choice". It was rare, but of those males (my age, from my general area, that I knew well enough to have talked about it or know the reason behind it) who were cut, it varied. Some boys - 2 jewish, 1 muslim - were done for faith, not that they were particularly devout at any stage. I vaguely remember the doctor telling me before my circumcision that being cut was fine and normal because he "helps" a boy like me probably every month - so there were a few done for medical needs. However, I think most came from a mix of tradition and aesthetic preference - it wasn't seen as a "bad" thing nor shunned anyway by society, dad was cut as was every male for generations, so the sons were cut at birth too.</t>
  </si>
  <si>
    <t>For my peer group intact was the norm, so there wasn't really any narrative about it specifically. Most came from comparisons to cut, and the previous generation had higher circumcision rates so some stereotypes remained. Intact was harder to clean, it should be able to be pulled back from birth, and apparently getting it caught in a zipper was a major danger.</t>
  </si>
  <si>
    <t>I was often assumed to be Jewish by peers who found out. Apparently I don't need to clean my penis, I'm less likely to get STDs, and women prefer cut guys.</t>
  </si>
  <si>
    <t>Partly because while intact is the norm, being cut isn't seen as "abnormal", and most partners are concerned about far more other things than the foreskin. Some may prefer one way or the other, but most don't. By the time they've got far enough to find out, they're already in bed and aren't going to back out now!</t>
  </si>
  <si>
    <t>If I could magically give every person making a decision regarding a circumcision one bit of knowledge? Exactly how it feels to be intact, and to be cut (and know this before the procedure!). Or, at least, a full understanding of the benefits and downsides for the person being cut. If I may add on a bit extra, I'd like everyone to be aware of every other non- or less-invasive alternative to try before cutting it off. But people are, on average, fools, and I don't want them knowing, I want laws!</t>
  </si>
  <si>
    <t>Your description is accurate enough, but giving it cute names you then need to explain doesn't seem necessary - just call it a significant harm normalized by culture.</t>
  </si>
  <si>
    <t>My views on my circumcision, RIC, and circumcision in general are three different things. My circumcision was done too tight and wasn't strictly required, however done at the suggestion of a doctor who likely was trained in a day of routine circumcisions, and who lacked knowledge of alternatives (Including leave it alone!). I do not bear a grudge, as they were doing their best on outdated knowledge. I hope my local doctors today are more knowledgeable. I truly wish I wasn't cut, but that's because mine wasn't good - if I'd not had complications, I may well not care. I abhor RIC however, performing body modifications on an infant is abhorrent. There are no good reasons to not at least delay it until the boy is old enough to make the decision themselves with full consent and understanding. However, part of my belief on bodily autonomy is that we should be allowed to do as we wish to our own bodies, so once that boy is 18 I have no issues with him choosing it for himself and being able to access the procedure openly and affordably. Covered under public health in Australia, even.</t>
  </si>
  <si>
    <t>ash_ryan on Reddit</t>
  </si>
  <si>
    <t>I would love to know the (anonymised, aggregated) results of this survey, I'm quite curious now about the information you're gathering here!</t>
  </si>
  <si>
    <t>MT - Montana</t>
  </si>
  <si>
    <t>Arts/Humanities/Entertainment (e.g., Artist, Writer, Musician), Stay-at-Home Parent / Homemaker</t>
  </si>
  <si>
    <t>No. Circumcision never came up in Sunday school.</t>
  </si>
  <si>
    <t>Christianity has only two commandments: love God and love thy neighbour. Mutilating infants without consent is not loving thy neighbour.</t>
  </si>
  <si>
    <t>When I touch my bare glans, I hardly feel anything. When I touch my foreskin on its own, I hardly feel anything. However, when I touch my glans THROUGH my foreskin, it feels AMAZING, even with very light touch. The sensation is weakest at the urinary meatus and gets stronger as I move towards the corona. The texture of the thing rubbing against it makes no difference because my hand is on the outside of my foreskin, and the pleasure is happening where my foreskin meets my glans. When masturbating, most of the pleasure that brings me to orgasm is generated from the foreskin sliding over the corona.</t>
  </si>
  <si>
    <t>The buildup can be either gradual or quick, depending on how recently I masturbated. (Please note that I am a virgin despite being 32 years old because I'm autistic and no woman wants to date an autistic dude.) The final release is intensely pleasurable, focused on the glans and corona. It very much feels like the pleasure is on the surface of the glans rather than within, like a sexual version of the skin effect in electrical engineering. It lingers briefly. I had multiple orgasms within a few seconds once (but only once).</t>
  </si>
  <si>
    <t>I only learned through the internet that some people need lubrication to masturbate or have sex. I've never used any; I just start moving the foreskin over the glans and it works.</t>
  </si>
  <si>
    <t>The movement of the foreskin over the glans and corona is how sexual pleasure is produced; neither the foreskin nor the glans on its own is very pleasurable. The foreskin protects my glans: even though the bare glans isn't pleasurable, it is still sensitive such that it is painful if something rough, like clothing, rubs against it. It means that I never need artificial lubrication: the foreskin moves smoothly over the glans; I've never even used lube. Being intact is very important to me psychologically: my body is mine; no one else gets to say what happens to it. It makes me appreciate my parents for making the ethically correct decision to leave me intact. I also like how it looks.</t>
  </si>
  <si>
    <t>The only problem I've ever had is that urine clings to the foreskin if I don't retract it to urinate. As a kid, obviously it was never retracted, so urine always clung to it. As an adult, I retract the foreskin to urinate and everything works just fine.</t>
  </si>
  <si>
    <t>Ethical Concerns: They had ethical objections to non-consensual surgery on a healthy child/believed strongly in bodily autonomy or children's rights., Religious Reasons (for intactness): Specific religious beliefs that discourage or are neutral towards circumcision, Intuition/Gut Feeling: A general sense that leaving you intact was the natural or right thing to do, even without specific articulated reasons.</t>
  </si>
  <si>
    <t>When I was two years old, my family moved to British Columbia, where being intact is the norm for my age group, so I fit in in pool changing rooms and whatnot. I must admit that I get judgemental when I see a circumcised penis. I'm not judging the circumcised person, but rather his parents for mutilating him; I see the circumcised person as a victim of aggravated sexual assault.
My family is very relaxed about nudity (not quite nudists, but nearly), so when I was a little kid I asked my dad (who is circumcised) why his penis looked weird. He explained that part of his penis was cut off when he was a baby, and that they didn't do it to me. Apparently my mum (who is from the southern US, where there is no sex education) didn't know what circumcision was, and was absolutely horrified when she found out. I was really young at the time, and although my dad explained it to me, I didn't really understand what he was talking about. It was only later, when I learned about circumcision in elementary school sex education, that I realised that that was what he was talking about.</t>
  </si>
  <si>
    <t>It's absolutely critical. The glans on its own isn't very pleasurable. If anything, rubbing against the bare glans is painful. The interaction between the glans and the foreskin is what generates pleasure. It also eliminates the need for lube; I've never even used lube.</t>
  </si>
  <si>
    <t>It's irrelevant to the point that I forget that it exists. It's less sensitive than the glans, which is less sensitive than the corona, which is MUCH less sensitive than the interaction between the foreskin and the glans. There's no point focusing on the frenulum if all of the other adjacent anatomy is better at generating pleasure.</t>
  </si>
  <si>
    <t>I was curious about the effect of constant glans exposure and how it would feel, so I bought a silicone ring that holds the foreskin back and ran an experiment: I peeled back the foreskin, held it in place with the silicone ring, and waited for it to dry out. I then tried masturbating without touching the foreskin--only the exposed, dry glans and corona. It felt fun psychologically to imagine life as someone whose body has been modified and controlled by someone else without my consent, but it didn't feel like much physically. I couldn't orgasm with just the exposed glans and corona; I ended up having to take the ring off and let my foreskin slide over my glans and corona before I could orgasm.</t>
  </si>
  <si>
    <t>I prefer the term "intact." I've never heard or read the term "foreskinned" in my life before this survey, and I don't like it; I think it sounds cringey. I also dislike "uncut," but mostly because, as is common with autistic people, I prefer the formal terms for all things relating to the genitalia and sex generally (e.g. I absolutely hate the terms "dick," "pussy," "balls," "ballsack," "butthole," etc.), and I find "uncut" to be annoyingly euphemistic.
I don't really care about the term "uncircumcised." I get that some people think "uncircumcised" presents circumcision as the norm and "uncircumcision" as a deviation from that norm, and I get that, but I'm not particularly bothered. If the topic of discussion is circumcision specifically, it's logical to use terminology that reflects the topic of discussion, so "uncircumcised" makes perfect sense. If the topic of discussion is bodily autonomy generally, circumcision is only one of the sub-topics, so "uncircumcised" doesn't make sense in that context.</t>
  </si>
  <si>
    <t>The interaction between the foreskin and the glans IS male sexual experience. If you remove the foreskin, male sexual experience is eliminated--not reduced, but completely eliminated.</t>
  </si>
  <si>
    <t>In my family and community (note that by "community," I mean British Columbia, not Montana, because I moved to BC when I was two), as far as I could tell as a child and as far as I can tell now, circumcision is primarily seen as unjustified mutilation.</t>
  </si>
  <si>
    <t>That they're rare in the United States but common in Canada and Europe.</t>
  </si>
  <si>
    <t>That they're associated with Judaism, Islam, and the United States.</t>
  </si>
  <si>
    <t>Cultural familiarity and ethics</t>
  </si>
  <si>
    <t>The interaction between the glans and the foreskin IS the male sexual experience. If you remove the foreskin, the male sexual experience is eliminated--not reduced, but completely eliminated.</t>
  </si>
  <si>
    <t>While the culture where I live tends to be anti-circumcision, it also defers to "multiculturalism," so it's considered wrong to circumcise infants UNLESS their parents are Jewish or Muslim, in which case it's considered totally fine.</t>
  </si>
  <si>
    <t>There's a sense among intacrtivist men that many people who are pro-circumcision are motivated by a sexual fetish, rather than actual ethical principles, and that some pro-infant-circumcision spaces are paedophilic.
Many intactivist men feel resentment towards women as a group due to the fact that, in some regions, women prefer circumcised partners. There's also a broader feeling that circumcision is done for women's benefit at men's expense. There's also a sense that the law unjustly discriminates against men by allowing male circumcision, but prohibiting female circumcision. Many people try to derail that concern by claiming that female circumcision is not reasonably comparable to male circumcision, but those people are either ignorant or lying: female circumcision is the removal of the clitoral hood, which is exactly the same thing as the foreskin. Female circumcision does not include removing any part of the clitoris itself (clitoridectomy is something else entirely and is not included in the term "female circumcision"), even though it is often framed that way, whether out of ignorance or bad faith, to justify laws that only protect women's bodily autonomy, and not men's.</t>
  </si>
  <si>
    <t>I'd be happy to share my perspective publicly or privately, anonymously or non-anonymously, in any of the formats listed in this question.</t>
  </si>
  <si>
    <t>NJ - New Jersey</t>
  </si>
  <si>
    <t>Lesbian</t>
  </si>
  <si>
    <t>Transgender Woman, Woman</t>
  </si>
  <si>
    <t>On a typical day my penis does not have sensitivity to light touch and responds much better to firm pressure. I do not have an adequate amount of skin to experience gliding motions but things generally feel better when the skin is moved to the small extent that it can. The area that has the most surface level sensitivity is the corona of the glans. I do not have much of a visible frenulum remnant if any at all, and I don’t have any surface level sensitivity in that area. However, when that area is stimulated more deeply such as with a powerful vibrator, it creates a more intense build up and release than stimulation to other areas.</t>
  </si>
  <si>
    <t>On an average day I don’t experience much of a feeling of buildup until I am close to orgasm. The final release generally feels mild, brief, and focused on my genitals rather than full body. The brief buildup that occurs prior to release generally feels better than the release, but this can sometimes feel mild too.</t>
  </si>
  <si>
    <t>Lubrication would absolutely be required for most partnered sex or for typical masturbation. However, I generally prefer other forms of stimulation such as the use of vibrators both solo and with partners, which doesn’t require lubricant.</t>
  </si>
  <si>
    <t>I have felt this disconnect consistently during oral sex, which I generally cannot experience any pleasure from regardless of what my partner does.</t>
  </si>
  <si>
    <t>There aren’t any</t>
  </si>
  <si>
    <t>Lack of pleasurable sensation, discomfort or pain during masturbation or sex, and psychological struggles pertaining to feelings of my sexual autonomy having been violated as well as feelings of loss.</t>
  </si>
  <si>
    <t>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 Direct Medical Authority: Specific advice from their obstetrician, pediatrician, or the hospital staff where you were born. (The voice of a trusted professional).</t>
  </si>
  <si>
    <t>The skin is uncomfortably tight during erection and the scrotal skin gets pulled upwards to accommodate it. While flaccid it generally appears as a CI-1 or CI-2 on the coverage index. I have about two centimeters of inner mucosa remaining and little/no visible frenulum remnant. The scars are visible but not particularly prominent.</t>
  </si>
  <si>
    <t>Sensation without keratinization and the sensation of a frenulum</t>
  </si>
  <si>
    <t>They first emerged when I learned what circumcision was from a puberty book at around age 9. I immediately felt nauseous and violated. The aspects of circumcision that contribute most to these feelings are the loss of natural sensation/function and the fact that it was a completely non-consensual violation of my sexual autonomy.</t>
  </si>
  <si>
    <t>Tight skin causing pain during sex, occasional pain from the scar area.</t>
  </si>
  <si>
    <t>My parent has stated that she would still make the same decision despite knowing my feelings, there is really nothing to say.</t>
  </si>
  <si>
    <t>Reddit username: rho75901</t>
  </si>
  <si>
    <t>I would consider sharing my story or perspective in any of those mediums, and have considered writing personal essays in the past.</t>
  </si>
  <si>
    <t>CT - Connecticut</t>
  </si>
  <si>
    <t>pull foreskin over the head, back of the head most sensitive</t>
  </si>
  <si>
    <t>great build up, sensation in full crotch area</t>
  </si>
  <si>
    <t>Up to 1 minute</t>
  </si>
  <si>
    <t>never use it, always pull the foreskin over the head</t>
  </si>
  <si>
    <t>not sure</t>
  </si>
  <si>
    <t>I like the look of an uncut cock better</t>
  </si>
  <si>
    <t>Hygiene: Belief that circumcision makes the penis easier to keep clean or is inherently more hygienic.</t>
  </si>
  <si>
    <t>some loose skin since I've been tugging</t>
  </si>
  <si>
    <t>gliding motion,</t>
  </si>
  <si>
    <t>porn</t>
  </si>
  <si>
    <t>I would be undecided and need more information</t>
  </si>
  <si>
    <t>IA - Iowa</t>
  </si>
  <si>
    <t>During the Milennial era, circumcision was almost Universal amongst White Evangelical Christians. It was something that everyone was expected to do.</t>
  </si>
  <si>
    <t>Ease of cleanliness and lack of stickiness or smegma</t>
  </si>
  <si>
    <t>Prophylactic Health Reasons (Specific Disease Prevention - e.g., Cancer, STIs, HIV, UTIs): Belief that it lowers the risk of specific diseases later in life (e.g., penile cancer, certain sexually transmitted infections like HIV or HPV, infant urinary tract infections - UTIs)., Aesthetic Preference / To Look "Better" or "Neater": Belief that the circumcised penis looks more visually appealing, "prettier," or tidier than an intact one., Parent's General Preference: Parents simply preferred the circumcised appearance or state without specific medical, religious, or cultural reasons being primary., 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 Controlling/Restricting Masturbation: A belief that circumcision would reduce the urge or ability to masturbate (a view common in certain historical eras)., To Look Like Father/Peers: Desire for the son's penis to match the father's or other males in the family/community., Prophylactic Health Reasons (General Prevention): Belief that it prevents potential future health problems (e.g., infections, inflammation, later penile issues) that were not currently present.</t>
  </si>
  <si>
    <t>Peer &amp; Social Pressure (The "Fitting In" Factor): The widespread belief that "everyone else is doing it," and a desire for you to avoid being seen as different in locker rooms or later in life. (The power of broad social conformity)., Prevailing Health &amp; Hygiene Beliefs: General societal "knowledge" at the time—gleaned from various sources—that presented circumcision as being fundamentally cleaner, healthier, or preventive of future diseases. (The power of a cultural 'truth')., Direct Medical Authority: Specific advice from their obstetrician, pediatrician, or the hospital staff where you were born. (The voice of a trusted professional).</t>
  </si>
  <si>
    <t>No, I believe being circumcised is preferable</t>
  </si>
  <si>
    <t>Removed a minor skin bridge - (self)</t>
  </si>
  <si>
    <t>Slight bunching of excess skin at base of glans due to not enough skin being circumcised off.</t>
  </si>
  <si>
    <t>"Uncircumcised is undesirable because they have 'cheese' under the hood"</t>
  </si>
  <si>
    <t>Circumcised are cleaner and protected from STIs</t>
  </si>
  <si>
    <t>Circumcised men likely experience slightly better sexual pleasure.</t>
  </si>
  <si>
    <t>I would choose to have my child circumcised.</t>
  </si>
  <si>
    <t>OR - Oregon</t>
  </si>
  <si>
    <t>I definitely prefer the sensation of the gliding motion but I don't say no to a little frenulum play.</t>
  </si>
  <si>
    <t>Obviously it varies from event to event but on the whole, I find the build up to be very steady and the release to generally be a full body experience.</t>
  </si>
  <si>
    <t>Never saw a need for it.</t>
  </si>
  <si>
    <t>Usually it occurs during a handjob when a woman is accustomed to the methods required for a circumcised penis.</t>
  </si>
  <si>
    <t>I appreciate having my genitals as nature intended them to function. Knowing something wasn't removed from me without my permission gives me great comfort and confidence.</t>
  </si>
  <si>
    <t>I occasionally encounter some ignorant comments but for the most part, the interactions have been broadly positive, ranging from curious to excited.</t>
  </si>
  <si>
    <t>Ethical Concerns: They had ethical objections to non-consensual surgery on a healthy child/believed strongly in bodily autonomy or children's rights., Personal Experience: One or both parents had a negative personal experience with circumcision (their own, or someone they knew)., Partner's Preference: One parent strongly preferred intactness and advocated for it.</t>
  </si>
  <si>
    <t>I did have to have a frenuloplasty due to a very short frenulum but it did not minimize sensations.</t>
  </si>
  <si>
    <t>I always knew I was different but it wasn't until I got older that I realized how special it was. I don't recall ever being teased for it...just got lots of odd looks and the occasional question.</t>
  </si>
  <si>
    <t>I would say it is crucial to the male sexual experience, the gliding motion in particular I find very enjoyable and can't imagine living without.</t>
  </si>
  <si>
    <t>I enjoy it but do find it can be overstimulating at times.</t>
  </si>
  <si>
    <t>Mostly the lack of the gliding motion and the constant glans exposure. I think the latter would drive me nuts.</t>
  </si>
  <si>
    <t>I use all the terms interchangeably. They don't bother me much.</t>
  </si>
  <si>
    <t>It is so much more than just a "useless flap of skin" and should be protected at all costs.</t>
  </si>
  <si>
    <t>In America, at least, circumcised penises have (for some time) been seen as "normal" which makes the argument for routine infant circumcision a cosmetic one based solely on appearance. The perceived "health benefits" are merely a bonus.</t>
  </si>
  <si>
    <t>That they're dirty, smelly, and unnecessary.</t>
  </si>
  <si>
    <t>That they are cleaner, better looking and generally just "better".</t>
  </si>
  <si>
    <t>Generations of routine circumcision have relegated the foreskin to being an oddity or curiosity, at least in America. When people have little to no experience with something and only know it one way, they tend to assume it's that way for a reason and that's because the other way is somehow flawed or bad.</t>
  </si>
  <si>
    <t>If he wants, he can always have it removed later but you can't put it back.</t>
  </si>
  <si>
    <t>There is nothing more dangerous than the phrase "we've always done it this way". Blind obedience to a cultural norm can make people do wild things.</t>
  </si>
  <si>
    <t>Just wanted to say thank you for doing this.</t>
  </si>
  <si>
    <t>I might be open to this, yes.</t>
  </si>
  <si>
    <t>No significant religious/spiritual/cultural tradition influencing this topic.</t>
  </si>
  <si>
    <t>The most pleasurable parts are the tip of the foreskin and the inner foreskin. The glans is sensitive too but less pleasant to touch</t>
  </si>
  <si>
    <t>The orgasm is a satisfying release after a gradual build-up process</t>
  </si>
  <si>
    <t>For me it feels better without lube. I like to have grip to the foreskin and use the foreskin for the movement</t>
  </si>
  <si>
    <t>I like how the foreskin feels especially I like the feeling while touching and especially playing with foreskin. Additionally I like that I have possibility to play with the foreskin, especially tugging on it, put something into the foreskin and so on. Furthermore I like how the foreskin looks.</t>
  </si>
  <si>
    <t>Father is Intact: The father is intact, and this influenced their decision, Cultural Background/Family Tradition (of intactness): They came from a family or cultural background where intactness was the norm., Born Abroad: You were born in a country where routine infant circumcision was not the cultural or medical norm at the time.</t>
  </si>
  <si>
    <t>At an age of approximately 5 the doctor had the opinion that it should be possible at that age to retract the foreskin. That's why they did an incision to widen the foreskin. I've got bad memories about that (pain and I emotionaly never liked that an operation was done) but I'm glad that they haven't done more. It's not visible anymore that something was done.</t>
  </si>
  <si>
    <t>I've got an quite long foreskin (even hard it's completely covered with a little bit of overhang).
In my sexual experiences I prefer to let the glans covered. While wanking I move the skin only that amount back that the opening of the foreskin widen a little bit but it's still completely covered. I get the main please through the massage of the skin with an variing degree of pressure.
While blow Jobs I especially like when the partner plays with the foreskin using his tongue.</t>
  </si>
  <si>
    <t>Since it's hidden under the foreskin I don't use it directly for pleasure but it contributes to the cocktail of different pleasures.</t>
  </si>
  <si>
    <t>All od the mentioned examples from the question and additionaly I wonder if it get boring to do something with an circumcised penis because I can't imagine many things to do with it (the only thing which comes in my mind one can do wit an circumcised one is rub the skin).</t>
  </si>
  <si>
    <t>I'm OK with these standard terms but I like intact and foreskinned more</t>
  </si>
  <si>
    <t>I would like that they could comprehend the pleasures and feelings an intact can get through his foreskin</t>
  </si>
  <si>
    <t>On one hand it was seen as a necessity for Muslims and Jews. And quite many have the opinion that the foreskin should be able to be pulled back at an age between 6 and 12 and many doctors circumcise if that's not the case.</t>
  </si>
  <si>
    <t>That an intact penis is pleasurable and sometimes its seen to be dirty more likely</t>
  </si>
  <si>
    <t>The exactly opposite of the answer above</t>
  </si>
  <si>
    <t>I think the own status shapes the preferance</t>
  </si>
  <si>
    <t>I would modify the metaphor to fit it in my cultural context where it's not the routine infant circumcision but the circumcision of young boys with tight foreskin where it's not necessary. That's a monster that are these children afraid of because they don't know if they have luck, because either the foreskin widens by itself or they have luck with the doctors who don't circumcise because of that, or if they have bad luck they get circumcised. So all in all they live with hidden fear and some decide to actively hide it. This is also an hidden monster which follows them.</t>
  </si>
  <si>
    <t>I'm open for contribution but it should be anonymous</t>
  </si>
  <si>
    <t>The importance of the act as a covenant with God.</t>
  </si>
  <si>
    <t>Im still trying to understand and research them. Im not all that sure about them yet.</t>
  </si>
  <si>
    <t>I think our religion is an ever evolving dialogue with God and as such doversity of viewpoints and discussion is very important.</t>
  </si>
  <si>
    <t>My most sensitive area is my frenulum. It responds to light touch, vibrations and licking and gives me the best and longest orgasms. The feeling of my foreskin moving back and forth over the head feels very good too. I dont get much sensation from stimulating the base.</t>
  </si>
  <si>
    <t>It depends on how I reach it i guess. If its through stimulation of the frenulum, i find that the build up is very slow and pleasurable leading to a very intense orgasm that often makes me contract my hole body in pleasure. If im having sex or mastirbating in wich case the pleasure comes from the gliding back and forth of my foreskin, the build up is much shorter and the orgasm less intense but still great.</t>
  </si>
  <si>
    <t>I will masturbate without lube, but when im having sex I use it for the comfort of my partner.</t>
  </si>
  <si>
    <t>My partner does not know where it feels the best when she is giving me a hand job but when getting oral there are no issues. Im too embarassed to guide her tho so its my fault.</t>
  </si>
  <si>
    <t>I love the way my foreskin feels when gliding back and forth around the head of the penis. I love that I have a full frenulum which allows me to have intense orgasms. I love that my parents gave me a choice on the matter if i want to get cut or not.</t>
  </si>
  <si>
    <t>Im Jewish. I love my culture and traditions and I sometimes feel aliented from them given how important circumcision is to our relationship with God.</t>
  </si>
  <si>
    <t>Medical Information/Advice: They were informed by a doctor/medical literature that circumcision was medically unnecessary (e.g., citing AAP 1971/1975 statements or similar, or advice from a specific medical professional)., Ethical Concerns: They had ethical objections to non-consensual surgery on a healthy child/believed strongly in bodily autonomy or children's rights., Natural/Holistic Approach: A general philosophy of valuing the body's natural state and avoiding unnecessary medical interventions.</t>
  </si>
  <si>
    <t>As i said above, it mostly related to the improtance of circumcison in my culture. They really first emerged when one of my brothers decided to get circumcised after his Bar Mitzvah as a way to get closer to God. My older brother and myself did not. It does not seem to affect him. But i do sometimes get feelings of guilt.</t>
  </si>
  <si>
    <t>I had mild phimosis at 13. The doctor let me know about it. Told me to stretch it in the shower and gave me some steroid cream.</t>
  </si>
  <si>
    <t>No major issues even within my Jewish community. I was not the only intact one amongst my friends group (even other jewish ones). And none of my girfriends had an issue with it.</t>
  </si>
  <si>
    <t>I love the way it glides back and forth when masturbating or having sex. I love the i can feel this movement and the pleasure that it brings. I love that I can play with it when im soft.</t>
  </si>
  <si>
    <t>Its the most amazing thing. The orgasms i get from stimulating my frenulum are intense.</t>
  </si>
  <si>
    <t>I dont mind any of those. I usually say im uncut when talking about myself.</t>
  </si>
  <si>
    <t>Its hard to say given that im not cut so Im unsure of how they experience it. But i hope they still get some sensation from the frenulum cause thats amazing.</t>
  </si>
  <si>
    <t>That they were unclean</t>
  </si>
  <si>
    <t>That they were cosmetically better</t>
  </si>
  <si>
    <t>Tradition and lack of experience with uncut pensis</t>
  </si>
  <si>
    <t>You can always get cut later in life if you want/need to (like one of my brothers did).</t>
  </si>
  <si>
    <t>Again my issue is that this a choice of body modification that is up to the individual. It should not be forced onto them. Consent is very important and yet often minimized.</t>
  </si>
  <si>
    <t>No but thank you for doing this.</t>
  </si>
  <si>
    <t>Retail / Customer Service / Hospitality</t>
  </si>
  <si>
    <t>Business/Finance/Management, Retail / Customer Service / Hospitality</t>
  </si>
  <si>
    <t>Frenulum is sensitive</t>
  </si>
  <si>
    <t>Full-body</t>
  </si>
  <si>
    <t>Hygiene and takes longer to orgasm.</t>
  </si>
  <si>
    <t>Penis sometimes gets very dry and cracks.</t>
  </si>
  <si>
    <t>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 Parent's General Preference: Parents simply preferred the circumcised appearance or state without specific medical, religious, or cultural reasons being primary.</t>
  </si>
  <si>
    <t>Direct Medical Authority: Specific advice from their obstetrician, pediatrician, or the hospital staff where you were born. (The voice of a trusted professional)., Aesthetic Preference: A belief, possibly influenced by media or pornography, that the circumcised penis is visually "neater," "more attractive," or the "correct" look. (The power of aesthetics)., Lack of Counter-Information: Crucially, the simple absence of any strong, readily available information presenting the benefits of intactness or the risks of circumcision, making it an easy default choice. (The power of silence).</t>
  </si>
  <si>
    <t>My penis is very obviously circumcised.</t>
  </si>
  <si>
    <t>Different sensations</t>
  </si>
  <si>
    <t>Cystoscopy. I was 35 and a doctor initiated it. I felt extremely uncomfortable and felt violated.
Catheterisation. I was 46 and a male nurse initiated it. It was uncomfortable but necessary as I was unable to urinate naturally.</t>
  </si>
  <si>
    <t>When I was 10 years old.</t>
  </si>
  <si>
    <t>My erect penis sometimes feels very tight.</t>
  </si>
  <si>
    <t>Do what you think is medically necessary.</t>
  </si>
  <si>
    <t>He never had phimosis.</t>
  </si>
  <si>
    <t>That to be circumcised you "must" be Jewish.</t>
  </si>
  <si>
    <t>That circumcision permanently alters the sensitivity of the penis.</t>
  </si>
  <si>
    <t>Circumcision is sometimes medically necessary.</t>
  </si>
  <si>
    <t>Stay-at-Home Parent / Homemaker, Science/Research/Academia</t>
  </si>
  <si>
    <t>Sensitive to mostra types of touches, especially on the foreskin and the frenulum</t>
  </si>
  <si>
    <t>Quick buildup, moderate to intense final release.It feels as a reflex if I get stimulated for a brief time, more of a satisfying release if the stimulation is longer</t>
  </si>
  <si>
    <t>Usually produce enough quantity of precum</t>
  </si>
  <si>
    <t>I appreciate the natural aspect of my body and especially of my foreskin. In addition the foreskin is a key element of my sexual satisfaction.</t>
  </si>
  <si>
    <t>Not that i remember of.</t>
  </si>
  <si>
    <t>Cultural Background/Family Tradition (of intactness): They came from a family or cultural background where intactness was the norm.</t>
  </si>
  <si>
    <t>In Italy circumcision is never done to babies</t>
  </si>
  <si>
    <t>I think it gives the "plus" in every form of sex in terms of moistness and gliding motion, especially in masturbation</t>
  </si>
  <si>
    <t>I think it's very sensitive and if stimulated it adds a lot to the experience. I can easily ejaculate by just stimulating my frenulum</t>
  </si>
  <si>
    <t>I like uncut or "with a foreskin"</t>
  </si>
  <si>
    <t>It is simply as nature intended and there are not any scientific reasons to do that.</t>
  </si>
  <si>
    <t>Apart from the religious minorities, it was seen as a medical intervention for those boys who couldn't get over some foreskin problems such as phmosis in any other ways</t>
  </si>
  <si>
    <t>There was no stereotypes because almost all the italian natives are uncircumcised/intact.</t>
  </si>
  <si>
    <t>People circumcised were frequently seen as part of a religion (jews, muslims,etc)</t>
  </si>
  <si>
    <t>Reddit : pit0605</t>
  </si>
  <si>
    <t>Czechia (Czech Republic)</t>
  </si>
  <si>
    <t>Various</t>
  </si>
  <si>
    <t>Intense</t>
  </si>
  <si>
    <t>No need</t>
  </si>
  <si>
    <t>Pleasure &amp; appearance</t>
  </si>
  <si>
    <t>I never felt the need to; I assumed it was a good decision.</t>
  </si>
  <si>
    <t>Feels perfect</t>
  </si>
  <si>
    <t>Sensitive</t>
  </si>
  <si>
    <t>Intact</t>
  </si>
  <si>
    <t>Leave it as it was meant to be</t>
  </si>
  <si>
    <t>It should be done only if medically required</t>
  </si>
  <si>
    <t>Loss of sensation</t>
  </si>
  <si>
    <t>Religion</t>
  </si>
  <si>
    <t>Leave it as it was intended</t>
  </si>
  <si>
    <t>It’s no different than FGM</t>
  </si>
  <si>
    <t>Czechia</t>
  </si>
  <si>
    <t>Yes, lots</t>
  </si>
  <si>
    <t>To Look Like Father/Peers: Desire for the son's penis to match the father's or other males in the family/community., Parent's General Preference: Parents simply preferred the circumcised appearance or state without specific medical, religious, or cultural reasons being primary.,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 Just standard practice: Based on observing its prevalence, assumed it was the default medical procedure without a specific individual reason.</t>
  </si>
  <si>
    <t>Not sensitive</t>
  </si>
  <si>
    <t>Mild, brief</t>
  </si>
  <si>
    <t>Lack of feeling</t>
  </si>
  <si>
    <t>Don't know/Not told, Just standard practice: Based on observing its prevalence, assumed it was the default medical procedure without a specific individual reason.</t>
  </si>
  <si>
    <t>Institutional Medical Norm: The general belief that "this is just the standard procedure" at hospitals, making it a routine, unquestioned part of postpartum care. (The power of the system)., I have absolutely no idea what influenced them.</t>
  </si>
  <si>
    <t>Gliding motion</t>
  </si>
  <si>
    <t>Rare</t>
  </si>
  <si>
    <t>Every one was cut</t>
  </si>
  <si>
    <t>The circumcised state offers significantly more potential for pleasure/sensation.</t>
  </si>
  <si>
    <t>The glans in general is very sensitive. Just a slight pull back of the foreskin is enough to climax.</t>
  </si>
  <si>
    <t>The build up is very easy. Peak erection is when I am able to go as fast as possible. Ejaculation in the first 10 seconds are the most intense, but the glans remains highly sensitive some time after ejaculation.</t>
  </si>
  <si>
    <t>Only if performing anal sex I need to use lube on my dick, although it’s not 100% necessary.</t>
  </si>
  <si>
    <t>The best response is the high level of sensitivity I feel because my foreskin has protected my penis. Penetration has always been smooth and masturbation is always quick and easy.</t>
  </si>
  <si>
    <t>Father is Intact: The father is intact, and this influenced their decision, Cultural Background/Family Tradition (of intactness): They came from a family or cultural background where intactness was the norm., Natural/Holistic Approach: A general philosophy of valuing the body's natural state and avoiding unnecessary medical interventions.</t>
  </si>
  <si>
    <t>When penetrating the foreskin glides so far back and it helps the motion and adds extra sensation through the whole penis</t>
  </si>
  <si>
    <t>My frenulum used to be a little tight until I was completely able to push it back and it made penetration so much easier and smoother</t>
  </si>
  <si>
    <t>The use of lube was always what was noticeable. My circumcised partner would always need lube and I would not</t>
  </si>
  <si>
    <t>Indifferent</t>
  </si>
  <si>
    <t>There is a joy in discovering and experimenting with your foreskin, as it is the natural part of your body</t>
  </si>
  <si>
    <t>That the overhang looked like an anteater and that it was more susceptible to bacteria</t>
  </si>
  <si>
    <t>That a circumcised penis was “cleaner” and “reduced” risk to UTI/STDs</t>
  </si>
  <si>
    <t>That you are making a decision for your child that it could’ve made on his own at an older age</t>
  </si>
  <si>
    <t>Bulgaria</t>
  </si>
  <si>
    <t>Arts/Humanities/Entertainment (e.g., Artist, Writer, Musician)</t>
  </si>
  <si>
    <t>It is very sensitive to all types of touch and I love that. I find the most sensitive areas for me are my glans when the foreskin glides up and down it and of course my frenulum.</t>
  </si>
  <si>
    <t>This depends on what I am doing. If I am masturbating I usually keep my foreskin covering my glans and use my fingers to wrap around it and stimulate the glans by movign up and down. This build up is slow and not too intense until about a couple of seconds before I am about to cum and then it is very intese as I orgasm. Sometimes I will masturbate with the foreskin pulled all the way down and I will either stimulate my frenulum with m finger or a vibrator. The build up of those orgasms lasts much longer and is much more pleasurable and usually leads to intense, toe curling orgasms that last longer then usual. When I am having sex wether penetatative or oral, the build up, and orgasm intensity is between the two situations above.</t>
  </si>
  <si>
    <t>I can masturbate without lube and get oral without lube. But I will always use lube when I am having sex with my partner for my comfort and hers.</t>
  </si>
  <si>
    <t>Its usually when my partner is giving me a hand job. She seems to focus more on the base as oppsoed to the gliding action of the foreskin</t>
  </si>
  <si>
    <t>That I was given a choice on the matter. That I still have my frenulum (I know some cut guys who dont)</t>
  </si>
  <si>
    <t>No real drawback honestly</t>
  </si>
  <si>
    <t>I remember when I was 6 years old, the doctor forecibly retracted my foreskin to "cure" my phimosis. I now know that it was unecessary to do this at such a youg age and they should have waited. I remeber it hurting very much at the time btu it does not seem to have had any physical effects and I have no emotinal issues around it.</t>
  </si>
  <si>
    <t>I grew up in three places. In Bulgaria being uncut was the default, in Quebec most were uncut, and in Ontario it was closer to 50/50. I remeber in high school in Ontario there being some negative comments about foreskin but it was never addressed to me so while I was slighlty embarassed about it then, it was not a big deal.</t>
  </si>
  <si>
    <t>I dont know what I would do without it frankly. I love how it keeps my glans moist and sensitive and then how it pulls back when Im errect and having sex. The gliding motion of the foreskin is such a big part of how I feel pleasure.</t>
  </si>
  <si>
    <t>Its so amazing to have a frenulum, It contributes greatly to how much I love my orgasms.</t>
  </si>
  <si>
    <t>When I was younger, a cut friend and I masturbated together. I noticed that he did not have a frenulum so he was focusing more on the up and down motion along the whol penis where as I would concentrate on the glans/head.</t>
  </si>
  <si>
    <t>I dont mind any of the terms but can see why intact may be preffered</t>
  </si>
  <si>
    <t>That having foreskin in almost all cases will not cause any medical issues</t>
  </si>
  <si>
    <t>In Ontario currently the most common reason is the so called medical benefits</t>
  </si>
  <si>
    <t>They are unclean</t>
  </si>
  <si>
    <t>Ideas about hygiene and ideas about risk of STD (including HPV) transmission</t>
  </si>
  <si>
    <t>Their sons can always get cut later in life if they wish to or have to. It is true its more traumatic because they will remeber, but nowadays anasthesia is much more effective</t>
  </si>
  <si>
    <t>I think the decision to infringe one someones bodily anatomy in such a visible way (unlike vaccines) should be taken more seriously. There are parents who will actually do research on the matter and make an infomred decision wether it is to cut or not, and I respect that, but most people are very much ignorant.</t>
  </si>
  <si>
    <t>I dont mind a text based interview or contibuting to projects as long as I remain anonymous</t>
  </si>
  <si>
    <t>AZ - Arizona</t>
  </si>
  <si>
    <t>I was raised primarily in a different family structure (e.g., by other relatives like grandparents, in foster care, with legal guardians).</t>
  </si>
  <si>
    <t>It’s mildly sensitive in some areas but some areas like my glans are slightly more sensitive than the rest of my penis</t>
  </si>
  <si>
    <t>It’s a gradual build up but then when I ejaculate it’s sometimes a full body feeling other times it’s quick.</t>
  </si>
  <si>
    <t>To Look Like Father/Peers: Desire for the son's penis to match the father's or other males in the family/community., Medical Advice (without stated necessity): Recommended by a doctor or healthcare provider without explaining a specific existing medical problem, perhaps framing it as routine or generally beneficial., Don't know/Not told</t>
  </si>
  <si>
    <t>Institutional Medical Norm: The general belief that "this is just the standard procedure" at hospitals, making it a routine, unquestioned part of postpartum care. (The power of the system)., Peer &amp; Social Pressure (The "Fitting In" Factor): The widespread belief that "everyone else is doing it," and a desire for you to avoid being seen as different in locker rooms or later in life. (The power of broad social conformity)., Lack of Counter-Information: Crucially, the simple absence of any strong, readily available information presenting the benefits of intactness or the risks of circumcision, making it an easy default choice. (The power of silence).</t>
  </si>
  <si>
    <t>I have a very visible circumcision scar when erect but a decent amount of coverage of the glans when flaccid</t>
  </si>
  <si>
    <t>Sensation, gliding motion and frenulum sensation</t>
  </si>
  <si>
    <t>Teen years</t>
  </si>
  <si>
    <t>Curious about what might be different if intact, Experienced feelings of loss, grief, or anger, Motivated by research or learning about intact anatomy/function</t>
  </si>
  <si>
    <t>Reclaim what was taken, Regain gliding motion, Improve sexual pleasure/orgasms, Feel more 'natural' or 'whole', Achieve glans coverage and dekeratinization, Increased overall sensitivity, Improve gliding mechanics/reduce need for lube</t>
  </si>
  <si>
    <t>Manator</t>
  </si>
  <si>
    <t>Yes I’ve noticed changes in the glans and near the frenar area</t>
  </si>
  <si>
    <t>Yes. Made it more of a whole body feeling rather than just focused at the penis and testicles</t>
  </si>
  <si>
    <t>I use it sometimes other times I use the term restored</t>
  </si>
  <si>
    <t>Always finding the time or right device. The most rewarding part is the increased sensation</t>
  </si>
  <si>
    <t>Unknown, it was just assumed that everyone was circumcised. Not really discussed in the home, school or sexual education</t>
  </si>
  <si>
    <t>That everyone was circumcised</t>
  </si>
  <si>
    <t>Hygiene and pornography</t>
  </si>
  <si>
    <t>Xennial/Oregon Trail (born approx. 1977-1983)</t>
  </si>
  <si>
    <t>Arts/Humanities/Entertainment</t>
  </si>
  <si>
    <t>It was important in the Old Testament but deprecated in the New Testament.</t>
  </si>
  <si>
    <t>more pleasurable sex life</t>
  </si>
  <si>
    <t>some of my partners were confused by it</t>
  </si>
  <si>
    <t>Lack of Perceived Benefit: They didn't see any compelling reason to circumcise.</t>
  </si>
  <si>
    <t>It was weird to see boys who have been circumcised</t>
  </si>
  <si>
    <t>makes penetration easier, makes masturbation easy and pleasurable</t>
  </si>
  <si>
    <t>I'm aware of it, but it's not dramatically different from other sensitive areas</t>
  </si>
  <si>
    <t>general feeling</t>
  </si>
  <si>
    <t>It doesn't really matter</t>
  </si>
  <si>
    <t>They are missing out a great deal of pleasure, not necessarily pleasure intensity but pleasure richness and complexity.</t>
  </si>
  <si>
    <t>It is not discussed much.</t>
  </si>
  <si>
    <t>Mainly a Jewish/Muslim ritual.</t>
  </si>
  <si>
    <t>Personal experiences</t>
  </si>
  <si>
    <t>People choosing to circumcise their children without a valid medical reason are condemning them to life of inferior sexual experiences and robbing them of something that should be their right to have.</t>
  </si>
  <si>
    <t>Arts/Humanities/Entertainment, Education (e.g., K-12 Teacher, Professor, School Administrator)</t>
  </si>
  <si>
    <t>Yes and it always bothered me.</t>
  </si>
  <si>
    <t>It is very strange bc there are a lot of Christians who think it is necessary in order to not go to hell. Even though in the new testament god removed that and even stated "what God hath cleansed, thou shalt not call unclean"</t>
  </si>
  <si>
    <t>The glans are extremely sensitive, and the tip of the foreskin I sensitive</t>
  </si>
  <si>
    <t>It builds slowly and then once it bursts a sudden goes through my entire body and I am a state of euphoria for a good minute</t>
  </si>
  <si>
    <t>I only ever use it for anal play. 
I do spit on my finger a bit before fingering my foreskin</t>
  </si>
  <si>
    <t>They ignore the foreskin and don't use it hardly at all. 
They also retract it too much. 
When I masturbate my foreskin is my primary focus</t>
  </si>
  <si>
    <t>It feels very comfortable day to day. 
Think of it kinda like a sock on the dick lol. 
I love everything about it and it makes me feel good</t>
  </si>
  <si>
    <t>Mostly other people being stupid. 
I would have to go multiple days without cleaning for smegma to appear. 
The main challenge was figuring out how to clean it bc I was never taught properly. 
Now that I know it is easier than cleaning my feet</t>
  </si>
  <si>
    <t>Medical Information/Advice: They were informed by a doctor/medical literature that circumcision was medically unnecessary (e.g., citing AAP 1971/1975 statements or similar, or advice from a specific medical professional)., Lack of Perceived Benefit: They didn't see any compelling reason to circumcise., my dad's sister advocated for me to be intact</t>
  </si>
  <si>
    <t>I had really bad phimosis and didn't know it was supposed to retract all the way until I saw online intact porn. I then looked up how to fix it and found some silicone phimosis rings. I used those along with the cream and it is perfectly fine now. No problems pulling it back at all.</t>
  </si>
  <si>
    <t>Every boy that saw it was very curious and I liked the attention</t>
  </si>
  <si>
    <t>Oh my god haha
Many things. 
Playing with the tip of the foreskin, fingering the glans with the foreskin up so that it also stimulates the inner foreskin, the feeling of the foreskin popping under and over the ridge of the glands, playing with the extremely sensitive frenulum.. 
I also like to pull on it hard sometimes a bit before orgasm</t>
  </si>
  <si>
    <t>It helps my foreskin bounce back, and it is very sensitive. It feels completely different from other areas but the closest is the urethra entrance</t>
  </si>
  <si>
    <t>It seems like it would suck to be honest. 
I would often wonder HOW they even found it that pleasurable in the first place</t>
  </si>
  <si>
    <t>They are very dry. Like really dry. 
Also they often feel uncomfortable when their scar is touched</t>
  </si>
  <si>
    <t>I prefer intact, but people talking about at all is more important to me</t>
  </si>
  <si>
    <t>Anyone can get cut later in life. No one can be truly fully restored after. Would you make your kid permanently bald from birth? That would help prevent lice and it would be very easy to clean right? But you most likely wouldn't bc the thought of taking away the experience of hair seems barbaric. Now apply that to the most intimate part of a man's body. That is how important it is.</t>
  </si>
  <si>
    <t>"Him looking like his dad" which I find creepy</t>
  </si>
  <si>
    <t>The whole smegma thing. But no one ever talks about how a vagina produces MORE SMEGMA. Men get told to mutilate them self's while woman are told they are perfect. If you complained about vagina smell you would be called sexist, but you complain about dick smell and they immediately ask if he was cut and if not he should be. He just needs to clean it properly! It takes less than a minute!</t>
  </si>
  <si>
    <t>"They are cleaner" which in my personal experience as a gay man is complete bullshit. I often find a lot of cut guys smell worse XD</t>
  </si>
  <si>
    <t>Porn is mostly cut, everyone sees cut and says it is good yet Don't have too much of a preference</t>
  </si>
  <si>
    <t>Most intact guys love their penis even when others might mock them.</t>
  </si>
  <si>
    <t>It is very accurate. 
Most see it as whatever yet babies die bleeding out. 
Another example at how far it is normalized is people will say their baby "slept" during the procedure. 
THEY WEREN'T ASLEEP THEIR BODY MADE THEM GO UNCONSCIOUS DUE TO SHOCK. it is a natural response to OVERWHELMING pain enough to cause the body to shut down</t>
  </si>
  <si>
    <t>I am not very good at coming up with ideas</t>
  </si>
  <si>
    <t>Yes.</t>
  </si>
  <si>
    <t>HI - Hawaii</t>
  </si>
  <si>
    <t>Not a significant topic of discussion or emphasis in my specific context.</t>
  </si>
  <si>
    <t>Increasingly, it seems people are becoming more secular in general, and there is a movement at least among some Jews in liberal areas to leave the decision to their kid, and not raise them extremely religious.</t>
  </si>
  <si>
    <t>I'm against indoctrinating children, and think religion and circumcision should be left for the kid to decide when he's 18+. Children aren't old enough to understand what it is they're being forced to believe without question.</t>
  </si>
  <si>
    <t>Ridged band, frenulum, inner foreskin, and glans are the most sensitive.</t>
  </si>
  <si>
    <t>Gradual build-up and sustained, very pleasurable, full body deep release</t>
  </si>
  <si>
    <t>Circumcised men sometimes have trouble understanding, unless they have a lot of experience with uncut men. I've never had an issue with other uncut men.</t>
  </si>
  <si>
    <t>Mostly cultural, based on whether the dad is cut or not. Justified by supposed medical benefits. Occasionally a religious requirement, but not usually in the US.</t>
  </si>
  <si>
    <t>Smelly, dirty, smegma, looks like an anteater</t>
  </si>
  <si>
    <t>Cleaner, more attractive</t>
  </si>
  <si>
    <t>Large variety it seems based on country, gender, and sexuality. American women seem to prefer circumcised mostly, while American gay men seem to overwhelmingly prefer uncut. From what I hear, women outside of the US (and other countries that practice circumcision widely) tend to prefer uncut also.</t>
  </si>
  <si>
    <t>Anything not medically necessary should be left for the person to decide about their own body.</t>
  </si>
  <si>
    <t>From what I read, circumcision is declining in popularity in the US and more parents are becoming educated on the topic. So it's not as widespread as it was a few decades ago.</t>
  </si>
  <si>
    <t>Graphic design/manufacturing</t>
  </si>
  <si>
    <t>So I have to backtrack a little here. I was raised with the Christian Bible, but not a part of a church going family. We do not associate with a denomination. There was no theological basis that I am aware of, other than maybe my mother’s side of the family being a bit Bible Belt. My dad’s sister however, married a Jewish man. They raised their sons Jewish. There is a seedling of worry in me that I may have been given a Jewish bris rather than in a hospital at the very least. I am not an antisemite, but I very strongly disagree with the body modification of children for religious practice regardless of race, creed or religion and my personal interpretation of the Christian New Testament denounced it as a whole practice as well.</t>
  </si>
  <si>
    <t>Not much else to say other than despite it having been over 2,000 years since Christ walked the earth and the apostle Paul stated that it was not necessary for salvation, many still participate in this barbaric, ancient practice.</t>
  </si>
  <si>
    <t>My glans has lost its ability to detect fine touch, though the remnants of my frenulum and foreskin behind the scar and frenulum are very sensitive</t>
  </si>
  <si>
    <t>I am not diagnosed, but I suspect I have hyperspermia and ejaculate some large quantities and typically during intercourse I’ll reach my first orgasm within 5-10 strokes. Which is an improvement from 10 years ago. After the first however, I used to be able to keep it up for a few more (much longer) rounds. These days I’m lucky if I can keep it hard enough for reach a second finish. The first one is normally the most intense, the following used to equal intensity and are diminishing to half as intense to sometimes hardly worth it. I am unsure of the cause of my early ejaculation, but I have suspected it to be a combination of my quantities of ejaculate and the scar tissue that just focus the sensation to a small area.</t>
  </si>
  <si>
    <t>Funny enough; if I use lube to masturbate then it generally feels better but I can last longer. I don’t use it often as I don’t like the mess it makes. I have lately been applying shea butter Vaseline to the glans and shaft to combat my eczema affliction and learned that as a side effect it of course makes it softer, but to my surprise also provided a sort of moisture to the glans that keeps it more sensitive throughout the day</t>
  </si>
  <si>
    <t>I’m not sure if I can quite put my finger on that experience though I think I can sometimes “feel” what it is supposed to feel like</t>
  </si>
  <si>
    <t>Saves me 5 seconds in the shower maybe. And girls tend to prefer it around here</t>
  </si>
  <si>
    <t>I don’t like the scar, lost sensation(and other side effects of keratinization, and the fact that even before I knew I was circumcised, I understood that some people modified their genitals. I did not want that for myself, only to learn in the coming couple of years that it had been done for me before I could even understand what was being done.</t>
  </si>
  <si>
    <t>Lack of Counter-Information: Crucially, the simple absence of any strong, readily available information presenting the benefits of intactness or the risks of circumcision, making it an easy default choice. (The power of silence)., Peer &amp; Social Pressure (The "Fitting In" Factor): The widespread belief that "everyone else is doing it," and a desire for you to avoid being seen as different in locker rooms or later in life. (The power of broad social conformity)., Popular Media &amp; Parenting "Experts": Information or attitudes transmitted through widely-read parenting books (like Dr. Spock in earlier eras), magazines, or other mainstream media. (The power of mass media).</t>
  </si>
  <si>
    <t>My shaft is fairly mobile and the foreskin remnant behind the scar on the top can reach over the crest of the glans particular stroking techniques, but not enough to cause any noticeable feeling most of the time. I do have some remnants including the frenulum and very small quantities of foreskin remain behind the scar with the largest area of remnant being on the bottom below the frenulum. As far as the scar goes, It is mostly only prominent on the top and around the side but fades around the bottom. I hate it. I am a grower, so when it’s flaccid, unless it’s warm outside, you wouldn’t notice it. But erect? You can definitely notice it. My current partner swears she can’t but it’s got webbings that give me the impression that the procedure was either done improperly or healed incorrectly.</t>
  </si>
  <si>
    <t>I’m curious about all of it. And jealous of those intact too. I want to feel my natural lubrication, the gliding, intercourse, oral sex where I can feel every detail</t>
  </si>
  <si>
    <t>I can’t recall precisely when it was, but they began when I learned that I was circumcised at approximately 13-15 years old. I do remember how it went though. I had some how heard of it and that it was a procedure that they do on baby boys. I’m a curious person and wanted to know if it had been done to me, so I looked up the definition and still didn’t fully understand so I went looking for medical diagrams. And I think the traumatizing part was going into it fully believing and specifically thinking that surely my parents would not have chosen to remove something from me that I wouldn’t have wanted modified as I clicked on that diagram. I remember it as my first heartbreak. I was devastated, they never had never and to this day have never brought it up to me. My behavior towards my parents changed after that. I’m already introverted but I went recluse from them for a while as much as I could while living in the same house and not being able to drive. But the defensive walls went up and have only recently started to diminish and along the same time line. I’ve finally noticed the correlation. I hand my even noticed that is separated myself. This next experience happened earlier in my life, before I had even heard of circumcision and does add to my distress and confusion.
I was in fourth grade, I was reading the seventh Harry Potter book. The bulb had gone out in my room so I went to my parents room to read. My dad was using the shower in the master bathroom and didn’t hear me alert him that I was in there. He came out of the bathroom not expecting me to be there, not wearing his towel. There was only a glimpse as I was not too keen on eyeing up my dad’s weiner and focused on getting out of there, but it was enough to notice his looked different. And I was confused as to why. I hadn’t seen many by then, though had male cousins approximately my age and had seen theirs (circumcised) in the past and knew mine was the same as theirs, so why was my dad different? This hurt multiple times over as I learned what had been done to me, then later learning that one of the largest factors in babies being circumcised is so that they match their father. Anything anymore can trigger a rabbit hole in my brain. Anything from feeling the friction of my pants to actual stimulation can make me think about it and the confusion, distaste and anger associated. And almost more than anything else, it has warped my perception of the world. We are really still mutilating children this late in human history? And lawmakers are making it illegal to perform gender swap surgery on minors deeming it mutilation, but I could t stay intact? WE can’t stay intact?</t>
  </si>
  <si>
    <t>I never considered urinary spraying a symptom but if it is, it does happen to me from time to time. The most prominent symptom though, is the friction burn I get if I’ve masturbated in excess or during intercourse without enough lubrication.</t>
  </si>
  <si>
    <t>I would most likely preface by asking my dad (mom is out of the question. She’s volatile and stuff like that I’m worried would set her off) if I can ask him an awkward and maybe uncomfortable question. Knowing him, he would likely say yes, then I would ask him outright. “Why did you and mom have me circumcised?” I am prepared to accept most answers with dignity, though there are a few that could dramatically polarize the conversation. My family historically is pretty reserved and such conversations are rare outside of siblings and cousins.</t>
  </si>
  <si>
    <t>Round where I’m from, it seems to mostly be the hygiene/cosmetic argument that takes the stage. At least since I have started conversating about the issue over the last 5 years or so. That said, a significantly large portion of the population in my town is Hispanic and likely most of them are intact.</t>
  </si>
  <si>
    <t>I remember everyone always said that it was just an extra flap of skin that makes smelly cheese under it. It only takes a google search to prove that wrong. A simple diagram can point out all of the structures and functions, but the “educated” people were the ones pushing the dirty/unhealthy narratives.</t>
  </si>
  <si>
    <t>They’re better, they look better, they last longer and they’re cleaner. Guess what?? A dick smells bad no matter if it’s intact or not if you don’t keep it clean.</t>
  </si>
  <si>
    <t>I am genuinely unsure which state offers greater potential for pleasure.</t>
  </si>
  <si>
    <t>Hygiene and the area/demographic of right wing people in my area. I have specifically heard a few people close to me refer to our Hispanic population as dirty people. Very wrong In my opinion.</t>
  </si>
  <si>
    <t>That baby is going to grow up and have preferences of his own. One decision can be changed later in life. The other leaves scars on the body and can leave scars on the mind, will be with him forever and cannot be undone.</t>
  </si>
  <si>
    <t>I would say this is a fairly accurate metaphor. The topic is seen as a non issue because “well it still works right?” And it frequently gets swept under the rug. How many men do you know that are willing to admit that they think something is wrong with their penis? If you express your opinion that you think it’s mutilation, they’ll shut down the conversation. Nobody wants to talk about it. We’re just supposed to deal with it.</t>
  </si>
  <si>
    <t>I’ve always wanted to include it into a discussion but haven’t had the chance, so I’ll put it here. 
If we’re removing foreskins of children and claiming it to reduce chances of certain diseases, why then are we not removing the tonsils of children as they’re born? A child is very likely to have to go and have their tonsils removed due to very common illnesses. They say that they preform the circumcision on infants so that they don’t remember the pain (fallacy in my opinion). I concede that the genitals are more sensitive than the throat, but a kid that’s had their tonsils removed has difficulty talking for days afterwards, has change their diet to soft foods for weeks following, and has similar limitations to their physical activity during the healing process. Why is genital cutting routine, but this procedure to correct an actual threat is not? What about appendicitis? This affliction can cause incredible pain, swelling, and sometimes even death if untreated. The appendix is not a necessary organ. We still have no knowledge of its function. But we don’t remove it at birth. Why? The answer to both afflictions is that it is not a necessary procedure until it becomes an emergency to need them to be removed. Why are our most sensitive and sacred body parts not treated with the same respect?</t>
  </si>
  <si>
    <t>Not at this time, no. This survey already took a significant portion of my day haha. Perhaps at a later time down the road. Life keeps me pretty busy lately</t>
  </si>
  <si>
    <t>White / Caucasian / European American, Asian / Asian American (e.g., East Asian, South Asian, Southeast Asian)</t>
  </si>
  <si>
    <t>Retail / Customer Service / Hospitality, Personal Care / Service, Stay-at-Home Parent / Homemaker</t>
  </si>
  <si>
    <t>Sometimes need to simply communicate what feels good - using the foreskin, not pulling back too far, etc.</t>
  </si>
  <si>
    <t>Very sensitive, no lube needed, no scars on my wiener</t>
  </si>
  <si>
    <t>American stigma. Most partners have even said they prefer circumcised and are glad I am, and are then shocked to hear I'm not</t>
  </si>
  <si>
    <t>Ethical Concerns: They had ethical objections to non-consensual surgery on a healthy child/believed strongly in bodily autonomy or children's rights., Lack of Perceived Benefit: They didn't see any compelling reason to circumcise., Natural/Holistic Approach: A general philosophy of valuing the body's natural state and avoiding unnecessary medical interventions.</t>
  </si>
  <si>
    <t>Only as a teen/young adult due to stigma arising from movies, pop culture, etc</t>
  </si>
  <si>
    <t>Parents educated me on what it was, why they didn't circumcise me (even though my father is). Besides that pretty dang easy.</t>
  </si>
  <si>
    <t>Amazing. Likely the most sensitive part of my penis - especially the tip of the foreskin, frenulum, and underneath the foreskin</t>
  </si>
  <si>
    <t>Insanely sensitive (in a good way). Both the foreskin and frenulum are very sensitive, without ever being overly sensitive like the glans can be</t>
  </si>
  <si>
    <t>I just thought about it when I was younger due to porn and seeing lots of circumcised penises.</t>
  </si>
  <si>
    <t>Didn't really think about it until I saw an article explaining how "uncut" or "uncircumcised" is incorrect and now agree "intact" or "natural" is the most correct term.</t>
  </si>
  <si>
    <t>Basically no child cares if their penis is different than their dad's - just be open and talk to your kids. Foreskin is one of the, if not most, pleasurable parts of the penis.</t>
  </si>
  <si>
    <t>They were dirty and caused infections</t>
  </si>
  <si>
    <t>The norm. Clean. Aesthetic.</t>
  </si>
  <si>
    <t>Just cultural "norms"</t>
  </si>
  <si>
    <t>Foreskin is there for a reason.</t>
  </si>
  <si>
    <t>Asexual, queer</t>
  </si>
  <si>
    <t>no</t>
  </si>
  <si>
    <t>my parents were religious for a short period before they fell off and became largely non religious</t>
  </si>
  <si>
    <t>i can only do light touch on my glans, otherwise it's uncomfortable/too intense/creates an involuntary contraction. my skin remnant/what I've restored feels good when I try to glide onto it, it mostly reaches the corona, so it feels very pleasurable there and where the frenulum used to be. I like light to medium pressure and very rarely like direct contact on my inner foreskin/glans unless it's very lubricated. nevertheless, this type of sensation feels less full but it's still technical pleasurable. the negative aspect of this stimulation is that it mostly triggers ejaculation/bad orgasms, so I highly disprefer this type of stimulation over using my foreskin</t>
  </si>
  <si>
    <t>it really depends, I will have days where it feels like a reflex despite moments of moderate pleasure and other times I feel it everywhere and it feels like I'm enveloped in a warm and tingly cloud on top of the sexual sensations on my penis. when this happens, I can sustain the pleasure for a while but if I do it for too long, it becomes markedly less pleasurable. other times, I will just be quick about it and it'll feel mildly pleasurable for a bit, then it fairly quickly becomes much more pleasurable and my orgasm will be a toss up. My orgasm honestly feels hard to predict unless I am having a very low pleasure build up. I could have a 10/10 build up, but my orgasm will feel reflexive despite the very strong contractions and ejaculation. when the stars align, I have completely debilitating orgasms that feel like I was hit with a cloud of sensation across my body and I almost feel unconscious momentarily. lastly, the feeling of fulfillment varies. I can have a mind blowing orgasm but still feel like I'm not "done" or have a very low pleasure reflexive orgasm but it might feel enough and I will not want anymore sexual contact</t>
  </si>
  <si>
    <t>I really dislike lubricant. it feels like it reduces my sensations and I can't glide my foreskin as well. I do produce a lot of precum and it can sometimes create this issue but a moderate amount does enhance my pleasure slightly. ideally, I just use whatever tackiness my foreskin has and that is sufficient lubrication without removing the necessary friction</t>
  </si>
  <si>
    <t>it's difficult because I know I can give myself pleasure fairly easily but it feels like my partners can't seem to replicate it well. occasionally, if someone is just gentle and not trying to have me orgasm, I don't need to intervene as much, but stimulating me to the point of climax is a very challenging task to guide for me</t>
  </si>
  <si>
    <t>honestly, none. the only possible benefit appears being able to confirm socially, but that's limited to the few situations when your penis is somehow a social marker. I think the fundamental loss of function obviates any possible benefit outside of the above</t>
  </si>
  <si>
    <t>everything. being Latino, people tend to expect an intact penis when you initiate sexual contact, so there is a negative social component. furthermore, it is becoming increasingly uncommon to be circumcised in my region, so I am sure when I'm old, I will (hopefully) be a tiny minority. I feel that being circumcised stunted my own sexual exploration because of the minimal sensations I felt. I had to research how to masturbate and had to force a way to make it work</t>
  </si>
  <si>
    <t>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t>
  </si>
  <si>
    <t>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 Direct Medical Authority: Specific advice from their obstetrician, pediatrician, or the hospital staff where you were born. (The voice of a trusted professional).</t>
  </si>
  <si>
    <t>before restoration, I had a high and moderately tight cut. I had a good amount of inner foreskin left, but I believe I have a Gomco scar, so the scar is irregular, dark, and there appears to be scarring on parts of the inner foreskin. my frenulum appears to be fully removed and I have perhaps a micro remnant that's become more apparent since restoring. very little coverage flaccid</t>
  </si>
  <si>
    <t>all of it, I want to be able to touch every part of my foreskin and feel the maximal potential sensations of every part. I want have the look as well, I want to have overhang and have it be completely unambiguous that I have foreskin</t>
  </si>
  <si>
    <t>when I understood what was done to me, I began have these feelings. I think having constant reminders of how most other Latino peers are intact, and how most potential sex partners are usually intact makes it a permanent thought in my mind. it's very hard to avoid thinking about circumcision because of this</t>
  </si>
  <si>
    <t>I have one part of the right side below the corona that I believe has very faint scarring and very easily creates painful sensations if touched a certain way and interferes with stimulation</t>
  </si>
  <si>
    <t>I likely understand why you did it because I know you would never do me any harm and I know you had no social context for circumcision. I ultimately blame the professionals involved who likely told you it was likely medically necessary and hoping to do the best for your child, you complied. I could never in good faith blame my mother and I wished my dad would have intervened because he should understand as an intact man</t>
  </si>
  <si>
    <t>Significantly dissatisfied with sensation, function, or appearance, Felt physically uncomfortable or experienced complications, Experienced feelings of loss, grief, or anger, Motivated by research or learning about intact anatomy/function</t>
  </si>
  <si>
    <t>Achieve glans coverage and dekeratinization, Improve sexual pleasure/orgasms, Reclaim what was taken, Improve gliding mechanics/reduce need for lube, Increased overall sensitivity, Feel more 'natural' or 'whole', Heal psychological trauma, Regain gliding motion, to align more with cultural expectations of my body</t>
  </si>
  <si>
    <t>manual, I believe Andre's method? I've tried T Taping, some devices, but they've been less satisfactory</t>
  </si>
  <si>
    <t>very few, mostly because I don't talk about sex often</t>
  </si>
  <si>
    <t>all areas of my inner foreskin are very sensitive and pleasurable, my glans is very sensitive but because my foreskin isn't long enough when erect, it feels like a disadvantage</t>
  </si>
  <si>
    <t>immensely. my orgasms now are completely different experiences than before</t>
  </si>
  <si>
    <t>I haven't thought of that because I have been very intermittent with my restoration and have a long way to go. I don't know how I'll feel when I'm "done". I think I would likely not lie about being circumcised despite what it would look like but I would mention that I have restored. I think because I won't have all the original anatomy, I wouldn't necessarily feel inclined to fall myself uncut. I think the idea of reclamation is great though</t>
  </si>
  <si>
    <t>being able to be consistent. it is exceedingly difficult for me and if I had been consistent since I had begun, I'd likely have incredible coverage and could probably claim to be finished. this has been difficult to contend with but the rewarding aspects have kept me from feeling too disappointed. the most rewarding is looking intact while flaccid to some and the sensation. my orgasms aren't always consistently amazing, but the improvement I do have alone is sufficient to feel worthwhile</t>
  </si>
  <si>
    <t>never give up. even if you stop for months/years, it's never too late, and you will ALWAYS experience some sort of benefit. it's pointless to lament what could have been; instead, it's better to see how much you gain even from short periods of consistency and that those gains are permanent</t>
  </si>
  <si>
    <t>if it becomes viable, that's great! I still think it's worthwhile to restore traditionally</t>
  </si>
  <si>
    <t>something seldom done and usually associated with white Americans and upper class Mexicans</t>
  </si>
  <si>
    <t>I don't think I ever really heard negative things likely because most people in my community are probably intact</t>
  </si>
  <si>
    <t>conflicting things: that it has reduced sensation, but that it's desirable because of the "clean" look</t>
  </si>
  <si>
    <t>probably because the gay men (the people I'm most likely to have sex with) encounter both kinds on a regular basis</t>
  </si>
  <si>
    <t>it's actually easier to take care of, especially for a baby/child. people don't realize the extra work involved in caring for a circumcised penis and how zero maintenance is involved until puberty/first retraction</t>
  </si>
  <si>
    <t>it does because it's the truth. it's become so normalized that people don't understand truly how damaging a practice it is</t>
  </si>
  <si>
    <t>I know I talk about the whole Latino/intact thing, but there are still circumcised Latinos in the area and it seems like they don't experience any real difficulties. I think this stems from my region having exposure to both types of penises and it not being a huge deal which one a person has</t>
  </si>
  <si>
    <t>as long as it's anonymous and doable, I'm likely willing</t>
  </si>
  <si>
    <t>IL - Illinois</t>
  </si>
  <si>
    <t>Currently my penis is less sensitive and requires effort to erect and orgasm. Always super sensitive after argasm</t>
  </si>
  <si>
    <t>Currently takes a lot to achieve orgasm but is very intense. Still it feels more like a reflex than a release. I am having more sex without orgasm compared to my history.</t>
  </si>
  <si>
    <t>I consider saliva a good lube as well. Of course I must have lube to be penetrated analy, saliva isn’t enough</t>
  </si>
  <si>
    <t>Often I find that disappointing and rarely engage with that person again.</t>
  </si>
  <si>
    <t>I don’t know of any real advantage.</t>
  </si>
  <si>
    <t>I assume circumcision has dulled sensitivity and I much prefer the look of intact penises.</t>
  </si>
  <si>
    <t>Don't Know/Not Told: The reasons were never explained or learned later., Just standard practice: Based on observing its prevalence, assumed it was the default medical procedure without a specific individual reason., Medical Advice (without stated necessity): Recommended by a doctor or healthcare provider without explaining a specific existing medical problem, perhaps framing it as routine or generally beneficial.</t>
  </si>
  <si>
    <t>I do have sufficient mobile shaft skin. Glans is always fully exposed. Scar is about 1/3 the length when flaccid, 1/4 when erect. Never felt tight or stretched.</t>
  </si>
  <si>
    <t>Feeling of skin gliding over glans. Wishing frenulum was more sensitive.</t>
  </si>
  <si>
    <t>At about 20 years old I thought it was a poor choice to circumcise. I discovered that I also much preferred the look of an intact penis. A foreskin looked to me like I’d enjoy having it.</t>
  </si>
  <si>
    <t>Well, that was a poor choice.</t>
  </si>
  <si>
    <t>Older half brother was a home birth, no doctor involved. The rest of us were born in a hospital with a doctor making decisions</t>
  </si>
  <si>
    <t>It was almost never questioned. Our son was circumcised without consulting us.</t>
  </si>
  <si>
    <t>Low class, uninformed families didn’t bother with circumcision.</t>
  </si>
  <si>
    <t>Medical preference. Prophylactic to some medical risks. Hygiene.</t>
  </si>
  <si>
    <t>Medical reasons being debunked. Awareness that infant pain is unnecessary.</t>
  </si>
  <si>
    <t>Barring physical anomaly, no cutting!</t>
  </si>
  <si>
    <t>Unnecessary surgery can only be about monetizing it for medical providers or socially controlling a group’s autonomy.</t>
  </si>
  <si>
    <t>Thailand</t>
  </si>
  <si>
    <t>Single mom, no father</t>
  </si>
  <si>
    <t>Buddhism</t>
  </si>
  <si>
    <t>More sensitive if forest in is pulled down</t>
  </si>
  <si>
    <t>I feel like like I’m going to reach orgasm about one minute before and then it was mildly good orgasm and it was not lingering. When I’m having sex, usually bottoming, the orgasm would be more intense.</t>
  </si>
  <si>
    <t>I don’t need lube for masturbation</t>
  </si>
  <si>
    <t>When I try topping it doesn’t feel pleasurable lie when I’m masturbating</t>
  </si>
  <si>
    <t>You can masturbate without lube</t>
  </si>
  <si>
    <t>I could pull my skin back all the way down and this was point of contention with my ex boyfriend, I don’t feel as good when topping therefore I just stop topping, I didn’t know you could pull the foreskin down until I dated my ex and when to urologist, hygiene: raise by single mom, I didn’t know how to properly clean my foreskin until I went to urologist 1-2 years ago</t>
  </si>
  <si>
    <t>Cultural Background/Family Tradition (of intactness): They came from a family or cultural background where intactness was the norm., My mom was gonna circumcise me and her mother said don’t do it why would you and mom listened to her, that’s all I know.</t>
  </si>
  <si>
    <t>After my ex boyfriend criticize me for not being to pull my foreskin back when topping him and I realized I have hard time topping</t>
  </si>
  <si>
    <t>23, urologist recommend circumcision but also will prescribe me cream perhaps a steroid or something</t>
  </si>
  <si>
    <t>In elementary me and classmates have informal discussions talking about our penises and who have circumcision. That’s about it</t>
  </si>
  <si>
    <t>Make it harder for me to too and feel pleasure</t>
  </si>
  <si>
    <t>Enevee thought about it</t>
  </si>
  <si>
    <t>Different sensation and if it’s feels better</t>
  </si>
  <si>
    <t>I feel like when they injeculate it seems more intense and pleasurable</t>
  </si>
  <si>
    <t>Yes, I have felt pressure AND have seriously considered getting circumcised for myself at some point.</t>
  </si>
  <si>
    <t>No uncut sounds good</t>
  </si>
  <si>
    <t>It’s harder to top</t>
  </si>
  <si>
    <t>Lean Towards Medical Optimization: "I believe medical science can and often should be used to improve upon, manage, or optimize the body's natural state, even in the absence of disease."</t>
  </si>
  <si>
    <t>In Thailand? No stereotype, not much talks about “cut” or “uncut,” don’t hear much about it and when discussed it doesn’t seems important either or.</t>
  </si>
  <si>
    <t>In Thailand? No stereotype, not much talks about “cut” or “uncut,” don’t hear much about it and when discussed it doesn’t seems important unless there are the 1-2% of population that of religion that mandates such action such as Islam.</t>
  </si>
  <si>
    <t>Circumcised men, on average, likely experience superior sexual pleasure.</t>
  </si>
  <si>
    <t>Long term risks and benefits</t>
  </si>
  <si>
    <t>Text wise I understand it perfectly, the illustration doesn’t seems the covey that message though</t>
  </si>
  <si>
    <t>North Eastern Region</t>
  </si>
  <si>
    <t>Hispanic / Latino / Latina / Latinx, Asian / Asian American (e.g., East Asian, South Asian, Southeast Asian), Multiracial / Biracial</t>
  </si>
  <si>
    <t>No, I was not taught nor did I understand any specific theological basis for or against male circumcision within a catholic context. However, I believe my parents were pressured or were raised to believe that this was normal due to cultural pressures.</t>
  </si>
  <si>
    <t>I just think my parents made the decision to circumcise because it was all they were told as young parents. It was the thing to do in the 1970’s.</t>
  </si>
  <si>
    <t>The top of my penis probably doesn’t feel as much sensation as say the bottom of my penis. The underside of my penis has more sensation and typically is the reason why I reach orgasm. The tip of my penis (corona) typically needs to be stimulated more than the rest of my penis before i reach orgasm. I typically rub the bottom head of my penis for a while before i use long strokes to reach orgasm.</t>
  </si>
  <si>
    <t>My typical orgasm experience in terms of intensity can be short. The build-up can be short as well. Majority of my time is trying to get to the point of build-up which can take me a while since my penis doesn’t feel much sensation after stroking for a while. But like most things, If i can stroke myself for a while, obviously the build-up is greater as well as the orgasm. However, If I stroke for a long time, my penis becomes numb and doesn’t feel pleasurable because it feels overly sensitive which is not pleasurable. The release is brief and is typically focused in one spot. However, when consuming cannabis edibles, my orgasms can be intensely pleasurable throughout my body (full-body) which is amazing.</t>
  </si>
  <si>
    <t>I’ve almost always used some type of lubricant my entire life. It hasn’t been until recently (past few years) that I’ve slowly been using my own saliva to stroke myself. However, when with others or partner, we almost always use lubricants.</t>
  </si>
  <si>
    <t>Rubbing my penis up and down doesn’t bring me to orgasm. It must be a variation of rubbing just the head and occasionally going up and down the shaft. There must be more emphasis on the head (bottom) of my penis and light touch of the head to stimulate and help me reach orgasm.</t>
  </si>
  <si>
    <t>At this point of my life (51yo) I can’t think of any advantages of being circumcised other than looking similar to all of the other boys when I was in high school. Knowing what I know now, I wish I didn’t because of all of the sensations we were all missing out on.</t>
  </si>
  <si>
    <t>In my opinion, I miss having the same sensations that uncircumcised men have when they orgasm along with the feeling of being exposed. I have been trying to restore for the past year and have noticed that when the head of my penis is not covered, I feel very exposed. As if I’m physically unclothed, as funny as that sounds. When I were shorts and I’m not wearing a retainer, my penis is uncovered and I feel exposed. I now know the feeling of how uncircumcised men feel when their foreskin is pulled back. When this happens and my penis rubs against my boxers or jeans, it hurts or creates too much sensation/sensitivity.</t>
  </si>
  <si>
    <t>Don't Know/Not Told: The reasons were never explained or learned later., Cultural Tradition/Family Norm: It was a strong family tradition, cultural expectation, or simply "what people in our community did."</t>
  </si>
  <si>
    <t>Paternal Influence (The "Like Father" Factor): A specific desire for you to genitally match your father or other male family members. (The power of conformity within the family unit)., Family Tradition/Pressure: The expectation from grandparents or other influential relatives; the idea that "it's what the men in our family have always done." (The power of heritage)., Institutional Medical Norm: The general belief that "this is just the standard procedure" at hospitals, making it a routine, unquestioned part of postpartum care. (The power of the system).</t>
  </si>
  <si>
    <t>I would say I have a tighter feel when erect. I have little to no shaft skin left when erect. So rubbing the skin up and down doesn’t allow any coverage over my gland which is why I need lubricant in order to glide up and down the shaft to my head to feel any sensation.</t>
  </si>
  <si>
    <t>Yes, I wonder about it all! I often wonder about the sensation, gliding motion, my frenulum, the smell, the taste, the motion I would have had.. it’s quite frustrating to think that it was all taken from me at birth.</t>
  </si>
  <si>
    <t>I’ve had these feelings more as an adult, knowing and understanding what was done to me. With the power of the internet (knowledge), I’ve been able to see what I would have looked like and experienced if I didn’t get circumcised. When I see and uncircumcised penis, I do feel a sense of sadness/anger/grief because I will never be able to get back what I now wish I had.</t>
  </si>
  <si>
    <t>I would say the tightness of my skin when I’m very much erect. I remember, in my childhood, my erections were very tight and sometimes painful. Which has probably become numb to me now in my 50’s. This could also be one reason why I can’t hold my erection for very long because the tightness can become painful after a while. However, I am trying to restore by using weights and using a retainer to encourage skin growth gland coverage. However, it’s difficult when living an active lifestyle. It’s very difficult and an inconvenience which leads to a lot of delay in any progress or relief.</t>
  </si>
  <si>
    <t>I would try to convince them NOT to circumcise and keep to the traditions of their actual culture that NEVER convinced its people to circumcise. I would fight fire with fire and use the fact that if they believe in God being all mighty and creating a child was part of him, then why would there be a need to “correct” or “remove” a part of the body that was natural. I believe part of the reason i was circumcised was due to religious beliefs… and they were just following what others were telling them they should do.</t>
  </si>
  <si>
    <t>I believe the decision for circumcision was most prominent in my area was for “health” reasons but also due to religious beliefs in the catholic community. I also believe it was social pressure since doctors at that time and in California were more prominent to offer the service.</t>
  </si>
  <si>
    <t>The common stereotype for intact boys/men was that they were somehow seen as unclean/dirty, or lower class. I believe that view is slowly changing in today’s age especially with the internet being available to young parents and to everyone.</t>
  </si>
  <si>
    <t>A common stereotype for circumcised men…. I can’t remember ever hearing of one growing up or one that stood out.</t>
  </si>
  <si>
    <t>I think most men around the world are intact. Given that information, I think the 1% wealthy take pride in being circumcised which then encourages many others to emulate them. That mentality trickles down to aesthetics, pornography, and the lack of experience with intact men. However, I think intact men are becoming more and more accepted with today’s generation. Something that most men around the world already experience.</t>
  </si>
  <si>
    <t>If I could ensure everyone knew ONE THING, it would be that the human body should be left alone if nothing is wrong with it. If there are NO medical issues or reasons for a circumcision, then every boy/man should be left intact. The overall decision should be left to each individual to make that decision.</t>
  </si>
  <si>
    <t>yes, this metaphor absolutely resonates with me. I think often parents just look to doctors or professionals to make the decision or recommendation to have their child circumcised which ultimately puts more money in their pockets. This practice should stop and education should be prioritized and left up to the parents with the emphasis that if it’s not broken, don’t fix it. Leave it alone!</t>
  </si>
  <si>
    <t>Yes, I like to share that I didn’t really know about this movement until I was an adult. When my younger sister was pregnant, she had a slight complication with her baby. During that time I told her, “please don’t circumcise your son if you really care about him. It causes so much pain and stress on him…. Would you want that done to you when you were a baby?” I believe that struck a chord with her especially since she was very concerned with her pregnancy and didn’t want any additional harm or stress on her new born. She never told me whether she had him circumcised or not, but I honestly believe she left him intact. She left him intact because she knew deep down inside that having him circumcised at birth was more painful to her new born that could potentially cause other complications to his overall well being. Sadly after a year or so, we got into an unrelated argument and stopped talking so I never had the chance to confirm whether she had him circumcised or not. But I believe in my heart she didn’t since I knew she loved him enough to not cause additional pain for him.</t>
  </si>
  <si>
    <t>Yes, I would feel comfortable sharing my personal story in a potentially anonymous or pseudonymous way if the opportunities arose.</t>
  </si>
  <si>
    <t>Christians do not circumcise.</t>
  </si>
  <si>
    <t>It is quite sensitive, especially when I focus on just light touch during masturbation</t>
  </si>
  <si>
    <t>I think it's a gradual build-up and the release is, of course very pleasurable. Sometimes it can even be a full-body sensation, since if I'm standing my legs can sometimes go a bit weak.</t>
  </si>
  <si>
    <t>I feels nice, but it is not necessary, since I Am intact.</t>
  </si>
  <si>
    <t>More sensitivity. The foreskin protects the glans and keeps the glans sensitive, moist, soft and smooth. It also has an important sexual function and it greatly helps during masturbation. I would get more pleasure and my partner aswell, thanks to the foreskin. Not to mention that it is messed up to mutilate (circumcise) somebody, especially without consent (like a minor). It truely bothers me and makes me sad that this practice still exists in modern day. Boys get traumatized due to circumcision. I want them to have rights and I want them to be whole/intact like most men around the world, I want them to enjoy future sex and masturbation to the max and I want the same for their partners.</t>
  </si>
  <si>
    <t>I have not, but unfortunately my foreskin was forcefully retracted when I was young due to my parents not knowing that the foreskin is not meant to be retractable during childhood. I have talked to my parents about this, I educated them and forgived them, since they acknowledged that they made a mistake, they didn't know any better. Fortunately I Am healthy today, but I Am a bit traumatized by the forced foreskin retraction in my childhood.</t>
  </si>
  <si>
    <t>They never even considered it, we live in a non-circumcising country. And they would never do it either.</t>
  </si>
  <si>
    <t>When I was 3 or 4 years old my mother brought me to the doctor to force my foreskin back which had natural synechia all-around coronal sulcus of the glans. The doctor forced my foreskin back, using a blunt metal surgical probe. It was really painful, no anesthesia were used. After that I was afraid to pull my foreskin back, since I thought it would hurt (it was kinda painful even after the procedure). So the foreskin re-adhered and then the doctor forced my foreskin back again, since my mother brought me in for that again. The last time my foreskin was forced back, was at the age of 6, after that I started to retract my foreskin, since I didn't want my foreskin to be forced back again. It was a traumatic experience and I Am traumatized even today, I can't stand a when a baby or child cries, especially if it's a boy.</t>
  </si>
  <si>
    <t>It feels amazing. My foreskin covers my glans even during an erection and when I pull it back and let go of the foreskin, it springs back up to cover the glans again. Although I do wish I would release more pre-cum, that only happens when I "edge".</t>
  </si>
  <si>
    <t>It is very sensitive and it feels comfotable. Just like my foreskin, it is a very important part of my genital anatomy.</t>
  </si>
  <si>
    <t>Absolutely not. It would be horrible in my opinion.</t>
  </si>
  <si>
    <t>I believe terms "uncircumcised" and "uncut" are wrong and incorrect. You wouldn't call a person with all their limbs "unamputated". The correct term is definitely intact and I highly prefer it.</t>
  </si>
  <si>
    <t>I wish they would acknowledge that the myths that are spread about intact penises in circumcising countries were false and offensive and body shaming is never ok. I wish people would learn about the importance of the foreskin and it's functions.</t>
  </si>
  <si>
    <t>Unfortunately, some people are misinformed and ignorant/brain-washed about intact penises. Mostly these myths are spread by circumcising countries (mostly USA). It is not true that intact penis is less hygienic and then a circumcised penis, even circumcised penises get smegma, but it gets rubbed off in their pants and underwear. Not like smegma is anything bad though, it is harmless and it can easily get rid of by just washing with warm water.</t>
  </si>
  <si>
    <t>The importance of the prepuce and the harms of circumcision. It would be best to show the parents or people in general a good documentary/studies about the foreskin and circumcision. I think if they would witness a video of infant circumcision, they would change their mind about doing it to their own child.</t>
  </si>
  <si>
    <t>Because circumcision was so normalized that some people don't question it. Even here in Europe, some people think it is "harmless", boy are they wrong.</t>
  </si>
  <si>
    <t>Moravia</t>
  </si>
  <si>
    <t>Belarus</t>
  </si>
  <si>
    <t>Poland</t>
  </si>
  <si>
    <t>Clerical / Administrative Support (e.g., Secretary, Office Clerk), I'm not sure</t>
  </si>
  <si>
    <t>most sensitive part is what was left of the frenulum</t>
  </si>
  <si>
    <t>mid</t>
  </si>
  <si>
    <t>great psychological impact, diminished self worth and image, emotionally unable to have sex because of circumcision</t>
  </si>
  <si>
    <t>Lack of Counter-Information: Crucially, the simple absence of any strong, readily available information presenting the benefits of intactness or the risks of circumcision, making it an easy default choice. (The power of silence).</t>
  </si>
  <si>
    <t>uneven inner skin and outer skin, very scarred, skin bridge was present before removal, little skin left</t>
  </si>
  <si>
    <t>frenulum, gliding motion</t>
  </si>
  <si>
    <t>age 16, skin bridge removal at a private doctor, initiated by myself, more physical scarring than before but no skin bridge anymore</t>
  </si>
  <si>
    <t>when I was 13 and found out about my circumcision, then those feelings started to slowly go away, now only triggered sometimes for a brief moment</t>
  </si>
  <si>
    <t>skin bridge (not anymore though), prominent scarring</t>
  </si>
  <si>
    <t>I hate you</t>
  </si>
  <si>
    <t>circumcision is a barbaric procedure purely aiming for aesthetics</t>
  </si>
  <si>
    <t>Sensitivity of the head is very high, with the fren area being nearly painfully sensitive. Gliding of the foreskin is pleasurable and has a moderate amount of sensitivity.</t>
  </si>
  <si>
    <t>varies on my mood. Sometimes it is extremely quick while other times I have to work to achieve it. 1/4 of the time it is a full body feeling, 1/4 it is a satisfying release and the rest it is something less.</t>
  </si>
  <si>
    <t>With the foreskin, it is rarely needed unless the area is very dry.</t>
  </si>
  <si>
    <t>Just difference cadence</t>
  </si>
  <si>
    <t>covering the glans to be more sensitive.</t>
  </si>
  <si>
    <t>social issues with previous partners. friends making off-hand comments. For the off-hand comments, I usually shy away. For partners I attempted to educate them, but that is not always possible.</t>
  </si>
  <si>
    <t>Father is Intact: The father is intact, and this influenced their decision, Cultural Background/Family Tradition (of intactness): They came from a family or cultural background where intactness was the norm., From an immigrant family</t>
  </si>
  <si>
    <t>First started in school, in middle school when changing around other kids. I was already different by being an immigrant, so this was one more thing that stood out.</t>
  </si>
  <si>
    <t>In areas where I would be with others that were nude (like showers in school, showers at work, vacationing, etc), it was embarrassing. Later, I would retract my foreskin in attempt to 'fit in'</t>
  </si>
  <si>
    <t>It provides natural lubrication and protects the glans. I don't really notice it much past that.</t>
  </si>
  <si>
    <t>It is the most sensitive spot, by far. Former partners who picked up on that were able to get me to orgasim quicker.</t>
  </si>
  <si>
    <t>The sensation, and the confidence that would come with it.</t>
  </si>
  <si>
    <t>They all describe the same thing.</t>
  </si>
  <si>
    <t>It was more cultural than anything. Everybody just did it.</t>
  </si>
  <si>
    <t>That it smelled and was weird.</t>
  </si>
  <si>
    <t>It was the norm, so it was the expectation.</t>
  </si>
  <si>
    <t>media, tv, etc.</t>
  </si>
  <si>
    <t>While I was born in NY, I grew up deep in the midwest, and my peers were overwhelmingly circumcised (95%+). I was often the only intact classmate from K through college, and of all my partners, I was always their first. Even in groups of friends where it came up, I was the first person with a foreskin that they ever saw live, so I had to dispel a lot of rumors and innuendos. I don't believe that to be as much of a problem these days with more and more folks across the US growing up intact, so just there being more around makes it more 'normal'</t>
  </si>
  <si>
    <t>Jordan</t>
  </si>
  <si>
    <t>I don’t know</t>
  </si>
  <si>
    <t>Nothing</t>
  </si>
  <si>
    <t>Everything</t>
  </si>
  <si>
    <t>Religious Reasons: Performed as a religious ritual (e.g., Brit Milah in Judaism, Khitan/Sunnet in Islam) or based on religious belief., Cultural Tradition/Family Norm: It was a strong family tradition, cultural expectation, or simply "what people in our community did."</t>
  </si>
  <si>
    <t>Religious Mandate/Tradition: A direct requirement or strong cultural expectation stemming from their religious beliefs and community. (The power of faith)., Family Tradition/Pressure: The expectation from grandparents or other influential relatives; the idea that "it's what the men in our family have always done." (The power of heritage)., Paternal Influence (The "Like Father" Factor): A specific desire for you to genitally match your father or other male family members. (The power of conformity within the family unit).</t>
  </si>
  <si>
    <t>Very little left</t>
  </si>
  <si>
    <t>different sensations</t>
  </si>
  <si>
    <t>Premature ejaculation</t>
  </si>
  <si>
    <t>The children rights</t>
  </si>
  <si>
    <t>Demigender (e.g., Demiboy, Demigirl)</t>
  </si>
  <si>
    <t>No one thought about it till me and my brother started going to public school where people were constantly thinking about it.</t>
  </si>
  <si>
    <t>I'm not a Christian anymore. I left the church when I was like 14 and haven't looked back since to my parents chagrin. I was just raised Christian and with hardcore Mennonite traditions ingrained in my psyche since my parents spent 30 in the mennonite denomination before leaving.</t>
  </si>
  <si>
    <t>When I'm feeling my penis while my foreskin covers the tip, I don't feel much besides a pressure through firm pressure, when the foreskin is back, it's a nice small sensation, when I'm masturbating and my foreskin is going up and down and making a stimulation with my frenulum, I feel a tickle that feels really good. Frenulum contact is where I feel the most pleasure. Sometimes I just masturbate by tickling my frenulum or even just having a small vibrator to it to create a charge. I think this is something like a male equivalent to the six or so different orgasms that AFABs get. I think intact men experience three. Like masturbation through rubbing and retracting the foreskin over and over, frenulum organs, and then prostate orgasm. Something to think about, I guess.</t>
  </si>
  <si>
    <t>It matters how fast I'm going. I can reach orgasm in thirty seconds if I'm really motivated and horny, but if I'm really horny and want to take it slow, I edge for like an hour every morning. I usually cum up to two times a day, sometimes three if I'm feeling a lot and need a release, but each time, ab orgasm feels like a good workout. And I feel it all over. My stomach, my legs, my prostate. Porn is something I use, but mostly just to observe the feeling and try to connect it with others. I like the feeling of seeing someone else feel something and knowing that that is there body and what I'm doing is something that is my body's reaction. I also sometimes feel my orgasm in my throat. Like it's clogged until I'm cumming. I think it might be a reflex since I've always lived with my family, my siblings now, parents are out of the picture, and I don't want to make it known that I'm masturbating sting or having sex.</t>
  </si>
  <si>
    <t>For masturbation, not at all. I only use water to wash under my foreskin so the natural oils are good enough along with precum. For parents, matters on them. If they're an AFAB, most of time they can produce their own lubricant but if they're AMAB, lube is necessary. Of course, I use protection most of the time unless we're both tested for STIs and are on birth control if their AFAB.</t>
  </si>
  <si>
    <t>Since I live in Ohio and have lived in Wyoming as well, both of which are stated with high rates of circumcision, I have to tell them what feels good and what doesn't. Most of the time it's turn in that I get to reach them about my body tho.</t>
  </si>
  <si>
    <t>Natural lube, extra sensitive, faster to get to orgasm, masturbation in a way that feels right without having to use lotion, lube, and a healthy habit of hygiene.</t>
  </si>
  <si>
    <t>Social misunderstandings. My parents come from Mennonite communes and we're taught that the penis can clean itself like how AFABs can, so they never gave me a proper education on how to clean myself with water. I eventually told my parents this was wrong when I was like 16 and started doing regular hygiene for my penis. I did have a habit of sexting at a young age when I shouldn't have, most people just fetishized my penis and even now, living in Ohio, most men that I have sex with think my penis is something to idolize. Calling my penis, "natural" or something else like they have to degrade their own dicks be able to blow me or have me fuck them. It's a weird thing. The manosphere is interesting when it comes to intact dicks!</t>
  </si>
  <si>
    <t>Both of my parents were raised Mennonite but do have some Jewish ancestry. When I was younger, I decided to look into it and decided I wanted to convert to Judaism but felt angry at my penis for being intact even tho my dad was not circumcised and neither were any of the men in my family for generations.</t>
  </si>
  <si>
    <t>My mother is Norwegian and her father converted to Anabaptism when he was young before having my mom and her siblings with my partially Jewish and mennonite grandmother who left it up to him on if he wanted to circumcise. My father is from a Mennonite commune in northern BC, Canada and tho it's practiced in that area, he was very isolated from doctors and the woman in my family for generations have served in midwifery so when he was born, circumcision was not something to think about. I grew up in rural Ohio and was so distanced from my parents upbringing since they left the Mennonite movement on their 7th child (I am the ninth and final child). I grew up in a closely knit small town with my cousins and my immediate family. All of us were intact so I always assumed it was the norm before going to public school in my teens and learning that me and one other were the only intact guys around for a bit, I thought about getting a circumcision as soon as I turned 18, but have decided against it after going to figure drawing classes, engaging in discourse with the intact community and learning that intact dicks are becoming more commune than I thought.</t>
  </si>
  <si>
    <t>I think it provided more pleasure for both parties especially if I'm having sex without protection (rare, but it happens when we are both tested and being responsible). It's like when you use a ribbed condom. The skin going back and forth inside feels good for both of us.</t>
  </si>
  <si>
    <t>I feel it during blowjobs since people are curious and lick it to see the reaction I give them. Which is always shocked and full of pleasure more than they expect so they keep on going till ik near orgasm. I've heard the frenulum described as the male clit. I might need to do more research into that tho. With masturbation, it's the same. Sometimes I use a vibrator to run against me and that results in a mind blowing orgasm, but with vaginal and anal sex, it's not as much since it'd only exposed for only brief moments.</t>
  </si>
  <si>
    <t>I wonder what it could feel like to jerk off with a dry tip that I have to keep applying lubricant to and chafing. I've wondered about the scar they have. Parts of it are remnants of the frenulum and I wonder if they feel any sort of pleasure there from the once was frenulum.</t>
  </si>
  <si>
    <t>I've noticed that they want to dock more than an intact person would. Maybe they want to feel what a foreskin would feel like on their tip. Idk. I've noticed that the scar is very large and that they need lots of lubricant and it takes longer for them to get to orgasm since they don't have a lot of the functions that I do.</t>
  </si>
  <si>
    <t>Yes, I am planning getting circumcised for myself at some point.</t>
  </si>
  <si>
    <t>I honestly don't mind them, but I do know that some people feel different so I try to be nice and accommodating to them. It's the same like how I don't really mind being called a boy or man but I'm still a demiboy because I also like being androgenous to other people more than masculine downtimes.</t>
  </si>
  <si>
    <t>Why the hell is it up to you what you get to do with a kids body? I'm currently taking care of my brothers kid and he chose not to his his kid circumcised which good for him, but it's got men wondering what people are thinking about when they think about circumcising their children who are AMAB. What's this accomplishing, what's this doing for you because its not doing anything for the kid. It's purely in what you want for the kid which is weird because kids don't owe you anything.</t>
  </si>
  <si>
    <t>It doesn't matter. That's what they viewed it as growing up. Mostly, people were more focused on the vulva to give complex thought on the penis.</t>
  </si>
  <si>
    <t>That's it's self cleaning. It not. I grew up being taught that it was so was never taught any hygiene towards my dick. Just use water! Make sure there's no smegma and if there is, it's not gonna hurt you. Just make sure to keep your dick clean in a good way of taking care of it without hurting you pH balance.</t>
  </si>
  <si>
    <t>When I got to school, people said it was healthy and good to have a circumcised dick. Which was weird. But I didn't let it get to me till I was 14 where I started hating it till I was like 17 and started liking my dick again.</t>
  </si>
  <si>
    <t>Hygiene, cultural norms. I think queer culture likes intact dicks more than straight people. At least, that's what people think on Grindr and what not.</t>
  </si>
  <si>
    <t>It's legit just a dick at the end of the day. It's not gonna harm you. The man with it might, but the dick is just a dick and the kid once grown can make their own decision on what they want done with it.</t>
  </si>
  <si>
    <t>I think circumcision will always been something that people argue about. I think if it's a cultural thing the culture can change around it to take care of the child the best they can. If the child decides they want to be circumcised then the child can choose to and they can go about their business afterward. It's not my choice, it's not your choice, it's the kids. I don't know how Abrahamic religions in general will take this since it's ingrained in those cultures that circumcision is needed.</t>
  </si>
  <si>
    <t>Most likely! I'll have to give it some thought</t>
  </si>
  <si>
    <t>high sensetivity</t>
  </si>
  <si>
    <t>quick built up with intense release</t>
  </si>
  <si>
    <t>social misunderstandings and stigmas</t>
  </si>
  <si>
    <t>Intuition/Gut Feeling: A general sense that leaving you intact was the natural or right thing to do, even without specific articulated reasons.</t>
  </si>
  <si>
    <t>around age 10</t>
  </si>
  <si>
    <t>It's very sensitive and adds a lot</t>
  </si>
  <si>
    <t>all of those</t>
  </si>
  <si>
    <t>i think its weird when people put so much emphasis on the different words when we all understand what's being said-- it sounds forced</t>
  </si>
  <si>
    <t>i just think that they shud let the boy decide for himself because it shud be his body his choice and ur taking the choice away form him</t>
  </si>
  <si>
    <t>cosmetic and necessary for health</t>
  </si>
  <si>
    <t>that there dirty and look weird/bad</t>
  </si>
  <si>
    <t>that there normal and better</t>
  </si>
  <si>
    <t>growing up where circumcised is the norm where i live</t>
  </si>
  <si>
    <t>foreskin isnt dirty if you just clean it like u wud a circumcised dick and its dumb to make a permanent decision for a boy based on that when he has no say in it</t>
  </si>
  <si>
    <t>i think its a big issue for some people who didnt get a choice and wish it was different for them but most of the boys where i live are happy they are circumcized based on what i know</t>
  </si>
  <si>
    <t>u/Forsaken_Wasabi14 (reddit)</t>
  </si>
  <si>
    <t>I was cut at birth. My shaft skin isn’t very sensitive compared to what’s left of my foreskin. I began restoring in my early 30s as a result of research I did when I realized I was experiencing sexual dysfunction (inability to climax) during sex as my sensitivity faded as I got “older” (I was 29 when I noticed the reduced sensation). Research exposed me to the damage circumcision does, the frequency of adult sexual dysfunction as a result, especially as a man ages, and the possibilities and positive results from no surgical foreskin restoration. I decided to try it, got great results rather quickly, and kept at it until my full sexual function returned.</t>
  </si>
  <si>
    <t>Great since I’ve restored my foreskin. Before, not so much.</t>
  </si>
  <si>
    <t>I used to use lube all the time for masturbating. Since I’ve restored my foreskin, I almost never use it.</t>
  </si>
  <si>
    <t>For me, I had none. I was very poorly cut, leaving extra skin on top and cutting the underside far too tight. I had infections in the overlap of skin on top of my glans as I was growing up and extremely painful torn frenulum issues later in life. I truly knew my penis had been purposely mutilated.</t>
  </si>
  <si>
    <t>Again, due to a poor cut, I had too much skin left on top, leading to skin infections and far too tight on the bottom, leading to my frenulum splitting and bleeding during maturation and sex later in life. Also, knowing that my genitals were needlessly altered without consideration for what *I* might want and the mutilation that resulted from it has created a great deal of mental anguish, rage, and grief that I’ve dealt with my entire life.</t>
  </si>
  <si>
    <t>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 Prophylactic Health Reasons (General Prevention): Belief that it prevents potential future health problems (e.g., infections, inflammation, later penile issues) that were not currently present., Parent's General Preference: Parents simply preferred the circumcised appearance or state without specific medical, religious, or cultural reasons being primary.</t>
  </si>
  <si>
    <t>Whatever tool was used was put on crooked, creating a very uneven cut leaving “too much” skin on top and far too little below.</t>
  </si>
  <si>
    <t>All of the above, but mostly us the sensation of having a foreskin that always covers and protects that glans, especially inside clothing, and the feeling of a true foreskin as it lubricates itself with precum and glides up and down the shaft and over the glans.</t>
  </si>
  <si>
    <t>Endless antibiotic creams to cure infections on the top due to the “excess” skin left and it being folded up against the base of my glans, creating the perfect place for infections to start. Also, bandaging to let the frenulum heal after regular sexual activity tore it open due to my circumcision.</t>
  </si>
  <si>
    <t>When i was 29, having trouble reaching an orgasm and doing the research to discover what was wrong ad how to fix it. Having had my penis needlessly mutilated for no reason is ALWAYS troublesome for any type of sex, partnered or alone.</t>
  </si>
  <si>
    <t>Anger, grief, rage, loss, betrayal.</t>
  </si>
  <si>
    <t>Do not do it. You’ll be dooming your son to a lifetime of pain, loss of sensation, grief, feelings of being militated, betrayed. The only person deciding to surgically alter anyone’s genitals should be that person, no one else.</t>
  </si>
  <si>
    <t>Experienced feelings of loss, grief, or anger</t>
  </si>
  <si>
    <t>Improve sexual pleasure/orgasms</t>
  </si>
  <si>
    <t>T-tapes. But I restored close to 30 years ago now and very few options were available then.</t>
  </si>
  <si>
    <t>I tell everyone that will listen.</t>
  </si>
  <si>
    <t>HUGE change. Even after only a few weeks of having my glands covered by the t-tapes and o-rings I was using. The difference was noticeable in about two weeks. Unfortunately, that realization of what was pointlessly take from me when I was cut at birth stirred up a lot of anger and grief over it, but that’s a different story.</t>
  </si>
  <si>
    <t>Big time. I was nearly unable to orgasm before I started. Researching that problem was what lead me to restoring.</t>
  </si>
  <si>
    <t>They both mean the same thing—never had their foreskin surgically removed.</t>
  </si>
  <si>
    <t>Challenging was realizing what was taken from me when I was cut and the anger and grief that followed. Most rewarding was being able to cum during sex again.</t>
  </si>
  <si>
    <t>Be patient. Don’t try to go too fast or you could hurt yourself (guess how I know that!)</t>
  </si>
  <si>
    <t>I keep hoping to actually happens. I’d give almost anything to be able to get back what was taken from me. No surgical restoration has been great, but regrowing what was/is supposed to be there would be even better.</t>
  </si>
  <si>
    <t>My parents claim they never consented to my brother or me being cut. In 1963 and 1964, doctors just did it post birth and handed a screaming newborn over to his mother afterward.</t>
  </si>
  <si>
    <t>That they weee dirty, stinky, and gross,</t>
  </si>
  <si>
    <t>They were cleaner and functioned exactly the same as intact ones (which, of course, are blatant lies).</t>
  </si>
  <si>
    <t>At my age, 61, and in the US, most people have never even seen an intact penis, let alone had sex with one.</t>
  </si>
  <si>
    <t>Circumcision is needless, pointless genital mutilation that comes with great risk, both to your son’s genitals and his future mental and sexual health.</t>
  </si>
  <si>
    <t>The fact that it’s so common and considered “no big deal” to slice open the penis of an non-consenting patient and surgically alter it for zero gain and potentially great loss is a horrifying reality and failure of todays modern medicine and parenting.</t>
  </si>
  <si>
    <t>Both MGM and FGM should be outlawed with severe punishments for those that perform it, especially on a non-consenting or minor patient.</t>
  </si>
  <si>
    <t>Personal essays or interviews would be fine. Whatever works to promote preserving genital integrity and an end to both MGM and FGM. The only thing I cannot do is debate the issues. They’re far too emotional and upsetting for me to be able to do that.</t>
  </si>
  <si>
    <t>They're all idiots, like every abrahamic religion, or religion in general.</t>
  </si>
  <si>
    <t>The most sensitive areas are where the frenulum was, and the line from that point down the center of my scrotum. Other areas are less sensitive.</t>
  </si>
  <si>
    <t>Penetration takes the longest time to reach orgasm. It's less sensation that having oral performed on me, which builds slowly but faster than penetration. Masturbation is the quickest way to reach orgasm. As for thew intensity of orgasm, penetration and masturbation are about equal, oral is the only one that generally brings the deep satisfying release.</t>
  </si>
  <si>
    <t>More than as little lube and my sensation is diminished.</t>
  </si>
  <si>
    <t>Literally nothing.</t>
  </si>
  <si>
    <t>I know I have a loss of pleasurable sensations. I can't do anything related to the mechanical function of having a foreskin, or have it done to me by a partner. It's caused me to have bouts of extreme anger and depression over the fact that I was cut and can't fix it. I think about it every time I see myself, have sex, hear any word that begins with "circum-". It's basically hell.</t>
  </si>
  <si>
    <t>Aesthetic Preference / To Look "Better" or "Neater": Belief that the circumcised penis looks more visually appealing, "prettier," or tidier than an intact one., "It's just a little useless piece of skin" as told by my parents.</t>
  </si>
  <si>
    <t>Prevailing Health &amp; Hygiene Beliefs: General societal "knowledge" at the time—gleaned from various sources—that presented circumcision as being fundamentally cleaner, healthier, or preventive of future diseases. (The power of a cultural 'truth')., Aesthetic Preference: A belief, possibly influenced by media or pornography, that the circumcised penis is visually "neater," "more attractive," or the "correct" look. (The power of aesthetics)., Paternal Influence (The "Like Father" Factor): A specific desire for you to genitally match your father or other male family members. (The power of conformity within the family unit).</t>
  </si>
  <si>
    <t>I didn't have a high-cut circumcision, there is no tightness when erect, there is a clearly visible scar. Glans are always exposed.</t>
  </si>
  <si>
    <t>Everything I can think of.</t>
  </si>
  <si>
    <t>When I found out what a foreskin was, and what circumcision did. The rage that I was violated by people that profess to love me, permanently altering my genitals and depriving me of everything related tot he parts I lost.</t>
  </si>
  <si>
    <t>I don't give a f*ck about them in that regard. Anyone old enough to have a child should be old enough to know better than to mutilate their genitals for NO REASON. It's the only thing that has ever made me think about harming my parents. I never would, but I have definitely thought they deserved it.</t>
  </si>
  <si>
    <t>They were dirty and useless.</t>
  </si>
  <si>
    <t>They're the best, because all of those dumb f*cks were cut.</t>
  </si>
  <si>
    <t>Porn</t>
  </si>
  <si>
    <t>They're monsters that shouldn't be allowed to have kids if they're going to mutilate their genitals.</t>
  </si>
  <si>
    <t>Because it's actually horrific, disgusting, and unnecessary but people act like it's the most acceptable thing ever.</t>
  </si>
  <si>
    <t>Nothing specific. Just a lot of rage about what was done to me.</t>
  </si>
  <si>
    <t>Anything that would help stop people from mutilating babies.</t>
  </si>
  <si>
    <t>Nope</t>
  </si>
  <si>
    <t>My glans is most sensitive</t>
  </si>
  <si>
    <t>Build up is slow, if I reach orgasm it is very intense</t>
  </si>
  <si>
    <t>Easy to keep clean</t>
  </si>
  <si>
    <t>Scar is visible, I believe I have a lot of mobile shaft skin left</t>
  </si>
  <si>
    <t>All of the above :-)</t>
  </si>
  <si>
    <t>No message, it is what it is</t>
  </si>
  <si>
    <t>Most foreign men were uncircumcised, added effort was need to keep them clean.</t>
  </si>
  <si>
    <t>Easier to keep "clean"</t>
  </si>
  <si>
    <t>Don't really know, never really thought about it</t>
  </si>
  <si>
    <t>Never addressed as a specifically Christian contextual requirement</t>
  </si>
  <si>
    <t>Highly sensitive where foreskin trimmed on left side.</t>
  </si>
  <si>
    <t>Intense and pleasurable with bigger load of semen and length/intensity of orgasm the longer the stimulation and foreplay leads up to it</t>
  </si>
  <si>
    <t>Wife not interested in truly exploring my pleasure</t>
  </si>
  <si>
    <t>Painful sensitivity on left side near glans if the penis</t>
  </si>
  <si>
    <t>Paternal Influence (The "Like Father" Factor): A specific desire for you to genitally match your father or other male family members. (The power of conformity within the family unit)., Popular Media &amp; Parenting "Experts": Information or attitudes transmitted through widely-read parenting books (like Dr. Spock in earlier eras), magazines, or other mainstream media. (The power of mass media)., Institutional Medical Norm: The general belief that "this is just the standard procedure" at hospitals, making it a routine, unquestioned part of postpartum care. (The power of the system).</t>
  </si>
  <si>
    <t>Appears not to have been evenly accomplished and erection has always curved downward.</t>
  </si>
  <si>
    <t>Sensation during sex and what bathing would entail</t>
  </si>
  <si>
    <t>During sexual experiences with intact guys</t>
  </si>
  <si>
    <t>Burning sensation during sex where skin is thinnest</t>
  </si>
  <si>
    <t>N/A (no longer living)</t>
  </si>
  <si>
    <t>Circumcision was evidence of care to raise hygenic boys and the ability to afford that care was probably some sort of status sign</t>
  </si>
  <si>
    <t>Europeans and the poor were intact. Middle and upper class Americans, circumcised.</t>
  </si>
  <si>
    <t>This is not reversible and it can have far-reaching effects.</t>
  </si>
  <si>
    <t>One</t>
  </si>
  <si>
    <t>Grief</t>
  </si>
  <si>
    <t>Decreased length</t>
  </si>
  <si>
    <t>You were unconscious at me expense</t>
  </si>
  <si>
    <t>Increased overall sensitivity, Improve sexual pleasure/orgasms, Feel more 'natural' or 'whole', Heal psychological trauma, Reclaim what was taken, Improve gliding mechanics/reduce need for lube, Achieve glans coverage and dekeratinization, Regain gliding motion</t>
  </si>
  <si>
    <t>40s</t>
  </si>
  <si>
    <t>Don’t reference surgery</t>
  </si>
  <si>
    <t>Slow progress</t>
  </si>
  <si>
    <t>Patienc</t>
  </si>
  <si>
    <t>No, I was unaware this was being researched</t>
  </si>
  <si>
    <t>Too expensive</t>
  </si>
  <si>
    <t>Weird</t>
  </si>
  <si>
    <t>Normal</t>
  </si>
  <si>
    <t>Cultural norms</t>
  </si>
  <si>
    <t>Openness</t>
  </si>
  <si>
    <t>Retail / Customer Service / Hospitality, Stay-at-Home Parent / Homemaker</t>
  </si>
  <si>
    <t>Just Jewish / Non-denominational / Post-denominational</t>
  </si>
  <si>
    <t>As a non-negotiable religious commandment (mitzvah) central to Jewish identity.</t>
  </si>
  <si>
    <t>Just that God commanded it</t>
  </si>
  <si>
    <t>There is an irrational amount of pushback against alternatives in the community.</t>
  </si>
  <si>
    <t>Minimal room within communities</t>
  </si>
  <si>
    <t>Left side is way more sensitive in every regard, more. The difference is less pronounced for deep tissue sensation, but still noticeable.</t>
  </si>
  <si>
    <t>Takes like half an hour of edging to get close to orgasm, not notably pleasurable until I'm right at the threshold.</t>
  </si>
  <si>
    <t>Awful. Silicone ruins fabrics, water based dry out way too quickly. I have to take a shower afterwards to completely wash off either.</t>
  </si>
  <si>
    <t>Hard to describe, but the pleasure is more mental than physical until I'm close to finishing.</t>
  </si>
  <si>
    <t>I guess it's pushed me to action to save other people from being cut as infants...</t>
  </si>
  <si>
    <t>Needing to use lubrication, feeling mutilated/like you were branded, fighting with parents, intense feelings of jealousy that have ruined friendships, massive financial loss from donation to anti circumcision organizations, sleepless nights, trouble trusting people...</t>
  </si>
  <si>
    <t>Cultural Tradition/Family Norm: It was a strong family tradition, cultural expectation, or simply "what people in our community did.", Religious Reasons: Performed as a religious ritual (e.g., Brit Milah in Judaism, Khitan/Sunnet in Islam) or based on religious belief., To Look Like Father/Peers: Desire for the son's penis to match the father's or other males in the family/community., Hygiene: Belief that circumcision makes the penis easier to keep clean or is inherently more hygienic.</t>
  </si>
  <si>
    <t>Religious Mandate/Tradition: A direct requirement or strong cultural expectation stemming from their religious beliefs and community. (The power of faith)., Family Tradition/Pressure: The expectation from grandparents or other influential relatives; the idea that "it's what the men in our family have always done." (The power of heritage)., Lack of Counter-Information: Crucially, the simple absence of any strong, readily available information presenting the benefits of intactness or the risks of circumcision, making it an easy default choice. (The power of silence).</t>
  </si>
  <si>
    <t>No mobility, prominent brown and uneven scar line, skin is slightly twisted. Like the it didn't fuse at the right spots.</t>
  </si>
  <si>
    <t>Age 11, when learned what a foreskin was. Primary triggers are looking at mine, watching pornography, any mention of god since belief in one was the primary motivator for my parents.</t>
  </si>
  <si>
    <t>Occasional pain from skin being too tight during erection.</t>
  </si>
  <si>
    <t>It's not your body, so it's not your choice. You cannot remove healthy tissue in good conscience. It is not comparable to a vaccination, it is an amputation.</t>
  </si>
  <si>
    <t>Medical</t>
  </si>
  <si>
    <t>The narrative was that they were inherently gross and undoubtedly would need to be removed at some point in life.</t>
  </si>
  <si>
    <t>Cleaner, better looking...</t>
  </si>
  <si>
    <t>Culture, lack of experience</t>
  </si>
  <si>
    <t>Knowledge about the foreskin s structure/function</t>
  </si>
  <si>
    <t>Forcing my parents to confront my dissatisfaction nearly destroyed my family</t>
  </si>
  <si>
    <t>Not as sensitive to touch</t>
  </si>
  <si>
    <t>Gradual</t>
  </si>
  <si>
    <t>Better looks</t>
  </si>
  <si>
    <t>Reduced sensation, irritation</t>
  </si>
  <si>
    <t>Religious Reasons: Performed as a religious ritual (e.g., Brit Milah in Judaism, Khitan/Sunnet in Islam) or based on religious belief., Don't Know/Not Told: The reasons were never explained or learned later.</t>
  </si>
  <si>
    <t>Some mobile shaft skin</t>
  </si>
  <si>
    <t>Knowing that i was forcefully multated</t>
  </si>
  <si>
    <t>I'm not sure, Healthcare/Medicine (e.g., Doctor, Nurse, Therapist, Technician)</t>
  </si>
  <si>
    <t>Business/Finance/Management, Stay-at-Home Parent / Homemaker</t>
  </si>
  <si>
    <t>It's not full body. Just at the end</t>
  </si>
  <si>
    <t>I use it all the time</t>
  </si>
  <si>
    <t>I live in UK so guys are uncut so they dont know how to touch mine</t>
  </si>
  <si>
    <t>Loss of function, worse appearance for my dating market, loss of bodily autonomy and never going to be loved as they can just find uncut guys in UK</t>
  </si>
  <si>
    <t>There's a scar and it looks dry</t>
  </si>
  <si>
    <t>To have your penis covered and sensitive. Also how it would smell as I love uncut guys natural scent</t>
  </si>
  <si>
    <t>A Jewish cunt who circumcised boys in the west london area. My parents hired him as its not commonly done in UK.</t>
  </si>
  <si>
    <t>At 25 when my friend explained that circumcision is evil</t>
  </si>
  <si>
    <t>Fuck you. You've permanently disfigured me. I'm gay man in UK so by doing that you've ruined my life and chance of being loved.</t>
  </si>
  <si>
    <t>It was the norm. They mocked cut guys</t>
  </si>
  <si>
    <t>It's odd</t>
  </si>
  <si>
    <t>It's cosmetic</t>
  </si>
  <si>
    <t>Its evil and cant be reversed it is a sign your parents aren't intelligent</t>
  </si>
  <si>
    <t>England</t>
  </si>
  <si>
    <t>Other / Not listed (please specify)</t>
  </si>
  <si>
    <t>Not at all significant / I have no religious or spiritual background.</t>
  </si>
  <si>
    <t>very sensitive</t>
  </si>
  <si>
    <t>full body</t>
  </si>
  <si>
    <t>my penis is quite sensitive, so sometimes I can be over-stimulated</t>
  </si>
  <si>
    <t>natural, as nature intended</t>
  </si>
  <si>
    <t>very sensitive glans, somewhat snug foreskin</t>
  </si>
  <si>
    <t>Father is Intact: The father is intact, and this influenced their decision</t>
  </si>
  <si>
    <t>when I was younger, I heard friends making fun of 'uncut' penises</t>
  </si>
  <si>
    <t>Most of my friends, growing up, were circumcised (probably 80% of more)</t>
  </si>
  <si>
    <t>good but tightse</t>
  </si>
  <si>
    <t>how does it feel?</t>
  </si>
  <si>
    <t>natural, intact, uncut, normal</t>
  </si>
  <si>
    <t>I prefer intact but I am not an activist about it</t>
  </si>
  <si>
    <t>Stay-at-Home Parent / Homemaker,</t>
  </si>
  <si>
    <t>My penis head has desensitized over the years, I do go crazy over my frenulum being stimulated</t>
  </si>
  <si>
    <t>The build up is gradual until I start shooting ropes and I feel the intensity through my body shorting out of my cock</t>
  </si>
  <si>
    <t>Usually when I’m having sex with my wife and she is “dry” my foreskin allows me to stay here entrance but still slide my glans in getting the wetness from inside making her whole wet for my entire dick to go in</t>
  </si>
  <si>
    <t>Wife and I are on different spectrums when it comes to our libido I would love my dick touched everyday if we could</t>
  </si>
  <si>
    <t>Natural lubricant, makes sex easier gliding in and out with foreskin</t>
  </si>
  <si>
    <t>When I was a teen I asked my mother about getting a circumcision</t>
  </si>
  <si>
    <t>Glides perfectly up and down, no tightness, I have a longer foreskin so it bunches up behind my head when retracted</t>
  </si>
  <si>
    <t>My favorite spot to be licked during oral sex</t>
  </si>
  <si>
    <t>See how different the organs feels, texture of the glans</t>
  </si>
  <si>
    <t>When I was playing with his dick he said sorry mines dry I don’t get naturally lubricated like yours</t>
  </si>
  <si>
    <t>Uncut, intact</t>
  </si>
  <si>
    <t>Foreskin is important</t>
  </si>
  <si>
    <t>Circumcision is usually done religious or people who say they want a “pretty dick”</t>
  </si>
  <si>
    <t>Girls used to say they were “smelly” but most of my guy friends were uncut</t>
  </si>
  <si>
    <t>That they “looked better”</t>
  </si>
  <si>
    <t>Were born with it for a reason, no other animal in the world cuts off something it was born with</t>
  </si>
  <si>
    <t>Of course</t>
  </si>
  <si>
    <t>86 - 95</t>
  </si>
  <si>
    <t>We did not, but I now know that the Council at Jerusalem came out against circumcision. (Acts of the Apostles chapter 15.)</t>
  </si>
  <si>
    <t>Circumcision is discouraged by Scripture. https://www.cirp.org/pages/cultural/christian.php</t>
  </si>
  <si>
    <t>My penis is very sensitive to any motion of the protective foreskin. I never tire of gliding my foreskin.</t>
  </si>
  <si>
    <t>Due to my advanced age (88), I no longer reach orgasm.</t>
  </si>
  <si>
    <t>I like to put jojoba oil in my preputial sac. I think it enhances the pleasure from the motion of my restored foreskin.</t>
  </si>
  <si>
    <t>There are NO advantages to being circumcised!</t>
  </si>
  <si>
    <t>Yes, loss of protection, loss of comfort, loss of sexual sensation, and the presence of a two-tone circumcision scar.</t>
  </si>
  <si>
    <t>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My father was born in 1911. He developed a penis infectition when he was 6 (about 1917). His doctor circumcised him and it was intensely painful. He had me circumcised so I would not suffer as he did! I think Abraham Wolbarst's 1914 paper may have influenced my father's doctorWolbarst AL. Universal Circumcision as a Sanitary Measure. JAMA. 10 January 1914; 62(2): 92-97. Retrieved 30 March 2020..</t>
  </si>
  <si>
    <t>Paternal Influence (The "Like Father" Factor): A specific desire for you to genitally match your father or other male family members. (The power of conformity within the family unit)., I have absolutely no idea what influenced them., Prevailing Health &amp; Hygiene Beliefs: General societal "knowledge" at the time—gleaned from various sources—that presented circumcision as being fundamentally cleaner, healthier, or preventive of future diseases. (The power of a cultural 'truth').</t>
  </si>
  <si>
    <t>As a child, it was somewhat tight during erection, but not painful.</t>
  </si>
  <si>
    <t>All of the above, but I am now restored. I still wonder about the frenulum, which cannot be restored.</t>
  </si>
  <si>
    <t>When I was in the first grade, my school had a trough urinal where one could view other boys' penises. The boys that come in from the country on school buses had foreskins, while the boys fror town did not. I could not understand why there could be two types of penises. This was a complete mystery for me until age 9 when I learned about circumcisions. When I was in puberty, I came to better understand my losses.</t>
  </si>
  <si>
    <t>It was my father and it would not be a nice message.</t>
  </si>
  <si>
    <t>Improve gliding mechanics/reduce need for lube, Regain gliding motion, Heal psychological trauma, Achieve glans coverage and dekeratinization, Reclaim what was taken, Increased overall sensitivity, Improve sexual pleasure/orgasms, Feel more 'natural' or 'whole'</t>
  </si>
  <si>
    <t>I initially restored using various devices, but finished with manual stretching.</t>
  </si>
  <si>
    <t>No, I have not been open. I started restoring when foreskin restoring was new. I did not want to be labelled as "some kind of nut case", so I kept it to myself. I can now pass for intact, so I leave it at that.</t>
  </si>
  <si>
    <t>My glans has covered 24/7 for many years. I have seen significant de-keratinization and improvement in sensation, However the creation of gliding action and skin mobility has been much more important. I discovered recently that I can feel some mild stimulation while bumping along on a riding lawnmower while cutting grass!</t>
  </si>
  <si>
    <t>It did, until I reached a chronological age at which that portion of my body started to shut down.</t>
  </si>
  <si>
    <t>Those terms are offensive. I recommend terms such as normal, natural, whole, complete, intact, and foreskinned. I recommend using "foreskinned" regularly to introduce it into circulation. https://en.intactiwiki.org/wiki/Foreskinned</t>
  </si>
  <si>
    <t>I think getting to rollover was the hardest and most rewarding. It occurred by surprise one day when I sat down.</t>
  </si>
  <si>
    <t>Patience and perseverance are required.</t>
  </si>
  <si>
    <t>Yes. It comes too late for me. There are now two companies working on it using alternative approaches. I have it will become a reality and a benefit for others. https://en.intactiwiki.org/wiki/%CE%91kroprint</t>
  </si>
  <si>
    <t>I am an intactivist so this may bias my input.</t>
  </si>
  <si>
    <t>Less as I've aged.</t>
  </si>
  <si>
    <t>Gradual build-up. Intense release.</t>
  </si>
  <si>
    <t>It's not something I've thought about.</t>
  </si>
  <si>
    <t>Would have been good to have been told as an adolescent how to ensure hygiene.</t>
  </si>
  <si>
    <t>It's extra sensitive.</t>
  </si>
  <si>
    <t>Mainly the need for lubricant and stronger pressure to get them off.</t>
  </si>
  <si>
    <t>I don't have a preference.</t>
  </si>
  <si>
    <t>Circumcision was not done unless there was a religious or medical reason.</t>
  </si>
  <si>
    <t>It was just normal and therefore wasn't even brought up.</t>
  </si>
  <si>
    <t>Circumcision is unnecessary.</t>
  </si>
  <si>
    <t>Your entire view as it comes across in these survey questions seems to assume that people come from a country/culture where infant circumcision is the norm. For those of us who don't come from such a place (eg, Europe in my case) the attitudes that come across in the questions and in this metaphor are quite bizarre.</t>
  </si>
  <si>
    <t>Sure.</t>
  </si>
  <si>
    <t>Paraguay</t>
  </si>
  <si>
    <t>RI - Rhode Island</t>
  </si>
  <si>
    <t>Truck driver</t>
  </si>
  <si>
    <t>Love my penis gliding, sucking, texture of seaman rubbed all over my gland,shaft,and balls. Anal play, prostate message and my ass being felt.</t>
  </si>
  <si>
    <t>Gradual build up intensely pleasurable all over</t>
  </si>
  <si>
    <t>Only if partner needs lube</t>
  </si>
  <si>
    <t>Disappointed, oral, anal, and vanilla sex position. No kinky sex.</t>
  </si>
  <si>
    <t>Appreciation of the exposed head and easy to keep clean.</t>
  </si>
  <si>
    <t>My penis and testicles were burned by acid in an industrial accident and scarring my shaft and gland making me feel slightly embarrassed if people saw it.</t>
  </si>
  <si>
    <t>Parent's General Preference: Parents simply preferred the circumcised appearance or state without specific medical, religious, or cultural reasons being primary.</t>
  </si>
  <si>
    <t>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 I have absolutely no idea what influenced them.</t>
  </si>
  <si>
    <t>Veins, soft skin and scarring on parts of my shaft and gland. Tight skin when erect.</t>
  </si>
  <si>
    <t>All,,the looks, the gliding motion the sensations and a wet gland.</t>
  </si>
  <si>
    <t>After I was burned with acid in,an industrial accident and scarring my gland and shaft, which now have white and dark brown complexion</t>
  </si>
  <si>
    <t>Don't</t>
  </si>
  <si>
    <t>Mildly dissatisfied with sensation or appearance, Motivated by research or learning about intact anatomy/function, Curious about what might be different if intact</t>
  </si>
  <si>
    <t>Feel more 'natural' or 'whole', Increased overall sensitivity, Improve sexual pleasure/orgasms, Improve gliding mechanics/reduce need for lube, Reclaim what was taken, Regain gliding motion, Achieve glans coverage and dekeratinization</t>
  </si>
  <si>
    <t>70+</t>
  </si>
  <si>
    <t>Manual, silicon gripper, weights</t>
  </si>
  <si>
    <t>No, it's personal. Afraid of failure</t>
  </si>
  <si>
    <t>Definitely</t>
  </si>
  <si>
    <t>Time/results, sensation</t>
  </si>
  <si>
    <t>Do it, get all your sensations back</t>
  </si>
  <si>
    <t>I wish it to become avaliable, affordable, and bring back all that was taken, coverage and sensations.</t>
  </si>
  <si>
    <t>Your born intact stay intact</t>
  </si>
  <si>
    <t>I wish I stayed intact</t>
  </si>
  <si>
    <t>Circumcision is a choice for the individual not anyone else</t>
  </si>
  <si>
    <t>Not sure right now</t>
  </si>
  <si>
    <t>Stay-at-Home Parent / Homemaker, Education (e.g., K-12 Teacher, Professor, School Administrator)</t>
  </si>
  <si>
    <t>I recall learning about those biblical references. The Catholic position was originally against circumcision. The Catechism of the Catholic Church states that, "except when performed for strictly therapeutic medical reasons, directly intended amputations, mutilations, and sterilizations performed on innocent persons are against the moral law." This should apply to circumcision, but sadly Catholic hospitals don't forbid this cosmetic procedure on infants.</t>
  </si>
  <si>
    <t>Most Catholics around the world are NOT circumcised, just in America</t>
  </si>
  <si>
    <t>There are a number of types of sensation, pressure and touch intensity. The inner foreskin and frenulum, along with the glans are quite sensitive. The gliding motion is incredible and produces significant pleasure</t>
  </si>
  <si>
    <t>It is generally and best from gradual build-up and this results in very strong intensity and longer duration. The final release is intensely pleasurable, full-body, and lingers for a while after orgasm. A faster build-up can still be very pleasurable, but is not as intense. Sex and gliding motion produces the most intense orgasms.</t>
  </si>
  <si>
    <t>Longer than 1 minute</t>
  </si>
  <si>
    <t>Wish my body produced more pre-cum for lubrication, as that is the main thing that is lacking. Despite this, the moisture and skin quantity allows for masturbation without lubricant. My partner has ample lubrication, so sex is even better in that regard.</t>
  </si>
  <si>
    <t>The only disconnect I've experienced is with other guys that have a difference in their own needs, or anatomy that changes how they need to be pleasured, but communication helps resolve that.</t>
  </si>
  <si>
    <t>NONE</t>
  </si>
  <si>
    <t>Many - insecurity, disgust at the scars and unnatural appearance, as well as the loss of structures that are physiologically important and provide pleasure and function. Dried out skin, discomfort, less sensation during sex to where orgasms seemed less intense than of partners, lack of natural lubrication, glide, and protection. Emotionally insecure of my penis (despite it being large) and body as a whole.</t>
  </si>
  <si>
    <t>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Just standard practice: Based on observing its prevalence, assumed it was the default medical procedure without a specific individual reason., To Look Like Father/Peers: Desire for the son's penis to match the father's or other males in the family/community., 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 Controlling/Restricting Masturbation: A belief that circumcision would reduce the urge or ability to masturbate (a view common in certain historical eras)., Prophylactic Health Reasons (Specific Disease Prevention - e.g., Cancer, STIs, HIV, UTIs): Belief that it lowers the risk of specific diseases later in life (e.g., penile cancer, certain sexually transmitted infections like HIV or HPV, infant urinary tract infections - UTIs)., Parent's General Preference: Parents simply preferred the circumcised appearance or state without specific medical, religious, or cultural reasons being primary.</t>
  </si>
  <si>
    <t>Prevailing Health &amp; Hygiene Beliefs: General societal "knowledge" at the time—gleaned from various sources—that presented circumcision as being fundamentally cleaner, healthier, or preventive of future diseases. (The power of a cultural 'truth')., Family Tradition/Pressure: The expectation from grandparents or other influential relatives; the idea that "it's what the men in our family have always done." (The power of heritage)., Lack of Counter-Information: Crucially, the simple absence of any strong, readily available information presenting the benefits of intactness or the risks of circumcision, making it an easy default choice. (The power of silence).</t>
  </si>
  <si>
    <t>Looser, as is expected from the timeframe (80's) and method (Plastibell) used. The skin was wrinkled behind the glans prior to restoring, was mostly tight but not painful when erect considering major expansion in size from erection. Scar isn't colored like from Gomco method, but was visible as a non-smooth line. Some difference from side-to-side. Glans fully exposed when flaccid (and erect).</t>
  </si>
  <si>
    <t>Frenulum fully intact, rigid band sensation, glans texture, gliding motion. Also if the tip would have more sensitivity due to meatotomy performed as a child due to UTI's likely caused from meatal stenosis resulting from circumcision.</t>
  </si>
  <si>
    <t>Meatotomy at age 5, initiated by doctor as a result of frequent UTIs. I hate that I had further mutilation as a result of circumcision, wonder if I'd have more sensation without the meatotomy on the opening, or if it somehow impacted production or stimulation of precum secretion. It causes urine stream issues at times as well.</t>
  </si>
  <si>
    <t>When I discovered what had been taken from me and that there is no legitimate medical reason for what was done. The scars, missing pieces, impact on my personal and sexual confidence.</t>
  </si>
  <si>
    <t>Metal stenosis, urinary spraying as a result of meatotomy, discomfort with sex/masturbation due to lack of skin and lubrication. Lack of penile sensitivity and orgasm intensity</t>
  </si>
  <si>
    <t>Fuck you - why did you think it was acceptable to mutilate my healthy and normal body, ruin my sexuality. What led to the idea that allowing me to be restrained, without anesthetic, and mutilated and raped as a helpless infant by some perverse pedophile doctor was a good idea? All to fit into some kind of stupid cult-like belief that a mutilated penis is somehow healthier, safer, superior, or normal. I have spent decades feeling insecure. This may have affected my choice of a life partner because I was too insecure to interact with others. It certainly played a role in my decision to not have children. It destroyed my confidence.</t>
  </si>
  <si>
    <t>Motivated by research or learning about intact anatomy/function, Curious about what might be different if intact, Experienced feelings of loss, grief, or anger, Felt physically uncomfortable or experienced complications, Significantly dissatisfied with sensation, function, or appearance, Violation of bodily autonomy</t>
  </si>
  <si>
    <t>Improve sexual pleasure/orgasms, Achieve glans coverage and dekeratinization, Heal psychological trauma, Feel more 'natural' or 'whole', Regain gliding motion, Increased overall sensitivity, Reclaim what was taken, Improve gliding mechanics/reduce need for lube, Potentially induce greater production of precum</t>
  </si>
  <si>
    <t>T-Tape method in the beginning, then switched to Tug-Ahoy. Later purchased TLC-X for dual tension, which improved comfort and progress. Currently using Foreskinned Air 2, which is even more comfortable, produces faster results, and easier to use.</t>
  </si>
  <si>
    <t>My female partner has always known and is very favorable to it. She now experiences vaginal orgasms from sex and can see how much happier I am both with my body, and with the pleasure I get from sex being much closer or equal to hers as I have progressed further.</t>
  </si>
  <si>
    <t>Incredibly more sensation, types of sensation, intensity of sensation. Frenulum, inner foreskin, glans all have increased sensitivity as well as quality/intensity of the pleasure.</t>
  </si>
  <si>
    <t>Absolutely 100% - Orgasms were rarely if ever a total full body phenomenon, and the intensity and resultant pleasure are magnitudes better. I can't say that they were poor or not pleasurable before, but by comparison it is crazy. The orgasms now last longer, my body shakes and shudders, and I am left awash in a full-body glow which lasts much longer. I attribute at least some of this to being able to achieve glide.</t>
  </si>
  <si>
    <t>I agree with the author, about reclaiming the term uncut/uncircumcised. I consider myself as such given that I have CI-9 level coverage, overhangs the glans into a tapered, closed snout. Even in earlier stages without full flaccid coverage, I have seen where doctors notes listed me as uncircumcised, as have others who have seen my penis.</t>
  </si>
  <si>
    <t>Sticking to the process and believing that I was making progress. After I was mostly covered flaccid, I had a gap because I stupidly thought I was done or had little to no more gains to make, which was totally wrong. For one, I didn't really feel completely whole, and for two, the gains from glide are remarkable. The change in orgasm and intensity has been breathtaking. It has been insanely rewarding, and motivates me to keep wearing my device. I still have some progress to make before I would consider myself finished, as I am a substantial "grower" and would like my erect state to have some coverage, as well as additional skin to ensure glide is 100% and maintain a more intact look.</t>
  </si>
  <si>
    <t>Do it, use an air device because it will make good progress and be easy to use. Your sex life will improve dramatically, your orgasms will be better, your intimacy will blossom. It improved a good relationship, made me able to be happy with my body and penis, and more comfortable with nudity. It has been one of the most important self-improvements I have made in my life.</t>
  </si>
  <si>
    <t>I have hope for these techniques to someday be able to restore structures that have been removed or damaged, such as the rigid band, frenulum, and in my case, meatus tissues as circumcision resulted in a meatotomy as a child.</t>
  </si>
  <si>
    <t>Medically necessary / health procedure, societally commonplace, cleaner and/or better appearance, be like family.</t>
  </si>
  <si>
    <t>That they are somehow dirty, more disease prone, not the norm, or look weird.</t>
  </si>
  <si>
    <t>They are cleaner, and it is the normal American thing to do to amputate the foreskin from the penis.</t>
  </si>
  <si>
    <t>Ideas about hygiene, aesthetics from exposure and commonplace nature of circumcision, porn, lack of experience (especially sex!!) with intact men.</t>
  </si>
  <si>
    <t>Altering the anatomy significantly impacts sexual function, enjoyment, and intimacy because it removes critical structures that have important functions.</t>
  </si>
  <si>
    <t>I totally believe it - our culture constantly sends messaging about intactness being bad, and something that should be considered rape and violation of bodily autonomy, in addition to being mutilation, is sane-washed into a healthy improvement. I've always believed that anyone that looks at the actual facts cannot morally justify doing such a thing, and especially routinely and on individuals that cannot consent.</t>
  </si>
  <si>
    <t>This was a very intensely in-depth survey. Thank you for doing this and I hope that the data it captures will help change minds. I consider the doctor who did this to me a rapist and a despicable individual. I personally don't know how someone with a soul could inflict such damage on a helpless infant.</t>
  </si>
  <si>
    <t>Definitely open to contributing in some way, uncertain as to exactly what extent without further details of how and where it may be used. If anonymous, I definitely would be eager to participate and maybe even if not.</t>
  </si>
  <si>
    <t>White / Caucasian / European American, Native American / Alaska Native / Indigenous / First Nations, Multiracial / Biracial</t>
  </si>
  <si>
    <t>It never came up outside of the Bible.</t>
  </si>
  <si>
    <t>I'm now Catholic and it's supposed to be strictly forbidden unless there's a VERY compelling medical reason for it - don't tell that to 'Murrikuh, the Philippines, or South Korea though.</t>
  </si>
  <si>
    <t>Ridged band, gliding motion, frenulum - don't touch the glans unless I'm actively having an orgasm</t>
  </si>
  <si>
    <t>Usually I don't have a long buildup to orgasm, but I usually have a mild full-body response and an intense penis response.</t>
  </si>
  <si>
    <t>I can make my own lube just by stimulating my ridged band.</t>
  </si>
  <si>
    <t>Ease of function and INTENSE pleasure</t>
  </si>
  <si>
    <t>I do have diabetes, so the rinse does take a bit longer than it does for most other intact guys - but it's a minor inconvenience and not a big deal.</t>
  </si>
  <si>
    <t>Father is Intact: The father is intact, and this influenced their decision, Financial Reasons: The cost of the procedure was a factor., "Stroke of Luck"/Circumstance: e.g., Born at home, logistical issues at the hospital, doctor didn't push it, scheduled, but never performed, etc..</t>
  </si>
  <si>
    <t>My peers never really noticed that. I was the fat kid and also have a big mole on my lower back - that was what they noticed. It didn't register until I started masturbating.</t>
  </si>
  <si>
    <t>I would be completely lost without the gliding motion and the way it keeps everything smooth and supple, not to mention all the nerve-rich areas.</t>
  </si>
  <si>
    <t>I don't generally focus on it, but it does allow me some variety from time to time.</t>
  </si>
  <si>
    <t>It's intact, not uncircumcised. Let's not make child abuse normal, m'kay?</t>
  </si>
  <si>
    <t>Ask a guy who had it forced on him at an older age what he lost, then consider that's what you're doing to your son. If you're still set on doing that, you shouldn't have children.</t>
  </si>
  <si>
    <t>Outside of my oldest sister, they don't seem to question it much.</t>
  </si>
  <si>
    <t>I doubt they ever saw it, so they probably just "knew" the standard bullshit.</t>
  </si>
  <si>
    <t>They just knew that was "normal" as far as the cultural brainwashing told them.</t>
  </si>
  <si>
    <t>They don't know any better and aren't willing to question a bloody thing.</t>
  </si>
  <si>
    <t>That routine male genutal mutilation meets exactly NONE of the ethical requirements for valid proxy consent and is thus sexual assault barely covered with a fig leaf.</t>
  </si>
  <si>
    <t>Everyone knows OF it, but most don't know what it really is.</t>
  </si>
  <si>
    <t>An interview would probably be better than an essay, video or written. I tend to ramble; the structured nature of an interview would get you the most bang for the buck. Just be warned that I feel VERY strongly about this issue and have no desire to pull my punches.</t>
  </si>
  <si>
    <t>Orthodox (including Modern Orthodox, Haredi, Hasidic, etc.)</t>
  </si>
  <si>
    <t>It's a mark of my religious/cultural identity.</t>
  </si>
  <si>
    <t>tight skin affecting erections</t>
  </si>
  <si>
    <t>Experienced feelings of loss, grief, or anger, Significantly dissatisfied with sensation, function, or appearance</t>
  </si>
  <si>
    <t>Increased overall sensitivity, Regain gliding motion, Improve sexual pleasure/orgasms, Improve gliding mechanics/reduce need for lube, Achieve glans coverage and dekeratinization</t>
  </si>
  <si>
    <t>RCI-1</t>
  </si>
  <si>
    <t>WV - West Virginia</t>
  </si>
  <si>
    <t>Frenulum and coronal ridge</t>
  </si>
  <si>
    <t>I can get from 0–10 relativly quickly. If I allow myself a quick release, the sensations are most focused on my penis. However longer sessions with pauses in stimulation can result in more full-body sensations.</t>
  </si>
  <si>
    <t>Only need it when using a masturbation sleeve/toy.</t>
  </si>
  <si>
    <t>My head has stayed protected and sensitive. I am able to play with my foreskin and have it played with.</t>
  </si>
  <si>
    <t>There aren't many opportunities to discuss my status with friends as I am often the only one intact.</t>
  </si>
  <si>
    <t>Towards the end of high school. It's mostly a curiosity of what it feels like to be circumcised. What my penis would look like, where the scar would be, would it be bigger, would the head be more pronounced.</t>
  </si>
  <si>
    <t>I love the ability to move and include or exclude my foreskin during both masturbation and sex. My partners have also been keen on its exploration as it is frequently the only intact penis they've ever encountered</t>
  </si>
  <si>
    <t>It is one of the most sensitive spots on my penis and I cannot imagine masturbation or sex without it's stimulation</t>
  </si>
  <si>
    <t>Constant glans exposure is definitely an area of curiosity. The tightness of an erection. Overall sensitivity and ease of reaching orgasm with or without a partner.</t>
  </si>
  <si>
    <t>Mostly lack of movable skin</t>
  </si>
  <si>
    <t>It's commonplace and I generally have no negative feelings associated with those words. I do tend to use intact when having serious discussions about the topic</t>
  </si>
  <si>
    <t>The notion a foreskin is unclean and will get infections or cause problems is too uncommon to worry about. As a child I was not as attentive to my penis cleanliness as I should have been and suffered no adverse side effects.</t>
  </si>
  <si>
    <t>It was what a penis was "supposed to look like" but only Jewish men were circumcised.</t>
  </si>
  <si>
    <t>Curiosity in what one doesn't have</t>
  </si>
  <si>
    <t>White / Caucasian / European American, Native American / Alaska Native / Indigenous / First Nations</t>
  </si>
  <si>
    <t>The only area that is sensitive is the under rim of the glands the rest has no sensitivity has less sensitivity than regular external skin like chest legs face skin.</t>
  </si>
  <si>
    <t>Takes a very long time to orgasm and requires extreme pressure and abrasion on the rim of the glands the only part that has feelings the rest is numb. I cannot feel anything when it comes to oral sex. Lubricant is always required.</t>
  </si>
  <si>
    <t>I have no precum due to the fact that the glands are so dry and leathery. I have been with uncut guys that have smooth moist dicks that have tons of precum because it is not absorbed by the dry leathery glands.</t>
  </si>
  <si>
    <t>Many times is very difficult to feel sensation and takes a long time to come there is not enough sensation but you want to come.</t>
  </si>
  <si>
    <t>There is very little feeling compared to uncut guys I have been with it takes extreme pressure and very violent moves versus very soft pressure and movement. There is no sensation on the whole tip of the penis only on the underside of the glands and it looks rough and leathered with deep crevices. I have more feeling in my fingers or other parts of my body than on the head of my penis or the underside of my penis it is at least sensitive part of my whole body even less sensitive than my feet bottoms.</t>
  </si>
  <si>
    <t>Prophylactic Health Reasons (Specific Disease Prevention - e.g., Cancer, STIs, HIV, UTIs): Belief that it lowers the risk of specific diseases later in life (e.g., penile cancer, certain sexually transmitted infections like HIV or HPV, infant urinary tract infections - UTIs)., Medical Advice (without stated necessity): Recommended by a doctor or healthcare provider without explaining a specific existing medical problem, perhaps framing it as routine or generally beneficial.</t>
  </si>
  <si>
    <t>Prevailing Health &amp; Hygiene Beliefs: General societal "knowledge" at the time—gleaned from various sources—that presented circumcision as being fundamentally cleaner, healthier, or preventive of future diseases. (The power of a cultural 'truth')., Lack of Counter-Information: Crucially, the simple absence of any strong, readily available information presenting the benefits of intactness or the risks of circumcision, making it an easy default choice. (The power of silence)., Direct Medical Authority: Specific advice from their obstetrician, pediatrician, or the hospital staff where you were born. (The voice of a trusted professional).</t>
  </si>
  <si>
    <t>When I was a teenager going through puberty and getting my first erections the skin was so tight that the shaft and head skin would bleed and crack every time I got an erection. Only after a few years of it slightly stretching from erections and pulling away from the base of the penis and not being attached there found the cracking and bleeding stopped. It is very tight when I have an erection with no skin movement. So lubricant is always required. It was done with probably a gomco clamp so there is a brown wide scar. It is much darker than the rest of the skin so it looks very unattractive and is also very rough with a few pieces of skin hanging off the scar.</t>
  </si>
  <si>
    <t>I have wondered about the sensitivity the smoothness of the head the moistness of the head the gliding motion the sensation everything involved that is missing. It is caused me to only have sex with uncut men so I very well know the differences.</t>
  </si>
  <si>
    <t>I have anger and wish that I could have not been circumcised and born in any other country that that does not circumcise. It is something I think of all the time as far as when I use the restroom go to bed get up anytime I see my dick. They started from the time I found out at age 6 and at that time I had nightmare dreams about someone coming back and cutting off my whole penis. I would wake up with sweats panic attacks hyperventilating in the middle of the night from age 6 until about age 9 or 10. I was not able to tell my parents this is why I was having nightmares I just said someone was coming to kill me in reality I was always dreaming that someone was coming to take the rest of my penis.</t>
  </si>
  <si>
    <t>I have experienced lack of pleasure lack of orgasm taking too long to come and I find it much easier just to masturbate myself because I get very little pleasure even when I was not openly gay and had sex with women I had no feeling and I have no feeling when it comes to oral sex or someone else trying to masturbate me because they are not hard enough or rough enough when they do it because I have very little feeling.</t>
  </si>
  <si>
    <t>The message would be to never do it. It has caused me to only have sex with uncut men because I feel I am seeking to know what I am missing. I would explain all the problems that I have had. I would convince them not to do it and then probably convince them to go to another doctor that did not do circumcisions.</t>
  </si>
  <si>
    <t>I believe that a parent should not be able to make the choice of another person's body for an unnecessary medical procedure. I view it as child abuse and I think there should be punishment and ramifications for performing circumcisions I feel under no circumstance is it ever necessary.</t>
  </si>
  <si>
    <t>Thought it was not as clean and that it was more prone to infections having foreskin due to the medical community and what doctors told people.</t>
  </si>
  <si>
    <t>That it would prevent disease.</t>
  </si>
  <si>
    <t>Knowing the difference being a child that did not like toys missing their parts. I have had sex with uncut men so I I have a first account and know exactly the differences and having been with over 2,000 men that were uncut every single one of them was 10 times more sensitive or even greater. Even men with unretractable foreskin were much more sensitive and came much easier.</t>
  </si>
  <si>
    <t>The difference in sensitivity, the fact that it does not prevent any diseases, the fact that no infant will ever die from not being circumcised but will die from the operation and that there is a death rate.</t>
  </si>
  <si>
    <t>If I was not circumcised I would not be as strongly against it probably I would still be against it but it would not be an ever-present monster knowing at me every time I see my penis every time I use the restroom every time I get up go to bed every time I see someone I want to date.</t>
  </si>
  <si>
    <t>I feel that most things are captured but I think that the United States seems to be run by people that are about making profits and Performing circumcisions for fetal tissue and other things using it for Cosmetics skin grafts which is morally disgusting to ruin someone's sexual pleasure for money. It should be a crime I also feel that just like the us is going to war for Israel that the United States is really run by the Jewish religion because I feel they have infiltrated the medical community during the war and that is when circumcision became so popular in the United States during World War II when Jewish doctors came over and push the procedure for false reasons and I feel they did that so that no one would know who was Jewish or who was not so there would never be a Hitler again because everybody would be circumcised in the United States just for their religion. I still feel they run the medical community. And to a large extent the United States.</t>
  </si>
  <si>
    <t>I would be comfortable with any of the above.</t>
  </si>
  <si>
    <t>Reddit: (A general option for any subreddit)</t>
  </si>
  <si>
    <t>Glans, glans rim and scar frenulum very sensitive.</t>
  </si>
  <si>
    <t>Builds up slowly, tingling throughout the body.</t>
  </si>
  <si>
    <t>With lubricant it feels different.</t>
  </si>
  <si>
    <t>feels good, looks good, no problems with the foreskin.</t>
  </si>
  <si>
    <t>no, glad being circumcised</t>
  </si>
  <si>
    <t>Aesthetic Preference / To Look "Better" or "Neater": Belief that the circumcised penis looks more visually appealing, "prettier," or tidier than an intact one., Medical Advice (without stated necessity): Recommended by a doctor or healthcare provider without explaining a specific existing medical problem, perhaps framing it as routine or generally beneficial., 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t>
  </si>
  <si>
    <t>low&amp;tight, frenulum removed, moderate tight, scar lightly visible</t>
  </si>
  <si>
    <t>it is normal</t>
  </si>
  <si>
    <t>not the norm in germany</t>
  </si>
  <si>
    <t>The circumcised state offers slightly more potential for pleasure/sensation.</t>
  </si>
  <si>
    <t>maybe</t>
  </si>
  <si>
    <t>Hessen</t>
  </si>
  <si>
    <t>Near the head is pretty sensitive, i generally masturbate by grabbing near the scar line and moving it up and down. I will also rub the frenulum depending on the mood it can range from slightly to very plearurable</t>
  </si>
  <si>
    <t>It depends, if its an edging session it can be alot more gradual with a more pleasurable orgasm and more semen ejaculated. Generally it is a full body feeling. If its just a quick orgasm its not nearly as nice</t>
  </si>
  <si>
    <t>Cleaner, maybe looks nicer</t>
  </si>
  <si>
    <t>Im sure sensitivity would be even better being uncut. Might feel interesting having skin to move over the head</t>
  </si>
  <si>
    <t>Don't Know/Not Told: The reasons were never explained or learned later., Parent's General Preference: Parents simply preferred the circumcised appearance or state without specific medical, religious, or cultural reasons being primary.</t>
  </si>
  <si>
    <t>I have some shaft skin to move around, never enough to roll over the head. The scar line is close to the middle of the shaft favoring the head side. My genital skin is pretty dark and the scar line is even darker so its stands out. The skin closer to the head is 2 tone and lighter compared to the base</t>
  </si>
  <si>
    <t>Mainly the gliding feel</t>
  </si>
  <si>
    <t>Only thing would be i have hairs groing up thr shaft to about the middle that are kind of annoying</t>
  </si>
  <si>
    <t>Hygeine, how i feel about my own penis</t>
  </si>
  <si>
    <t>For the most part its impossible to get it back to its original state</t>
  </si>
  <si>
    <t>Culturally, but no (Meaning culturally religious, but not religiously observant/practicing in terms of belief)</t>
  </si>
  <si>
    <t>Light touch, rolling of the foreskin. Or, extremely light touch on the glans.</t>
  </si>
  <si>
    <t>Dull until ejaculation.</t>
  </si>
  <si>
    <t>Lubrication adds variety but isn't necessary.</t>
  </si>
  <si>
    <t>Most women need time and practice to zero in on what I want. My difficulty in articulating while I'm aroused contributes to this.</t>
  </si>
  <si>
    <t>A feeling of shared intimacy. When my foreskin is open, I'm exposed and vulnerable.</t>
  </si>
  <si>
    <t>Two partners have declined sex or oral sex when they learned I was intact.</t>
  </si>
  <si>
    <t>Medical Information/Advice: They were informed by a doctor/medical literature that circumcision was medically unnecessary (e.g., citing AAP 1971/1975 statements or similar, or advice from a specific medical professional)., Concerns about Risks/Pain: They were worried about the potential complications or pain of the procedure., Doctor declined my mother's desire for my circumcision.</t>
  </si>
  <si>
    <t>I cannot remember my foreskin ever resisting full range of motion. I believe it was retracted early and cleaned at the doctor's suggestion.</t>
  </si>
  <si>
    <t>I felt anxious about potentially being exposed as the "only" intact boy. I was born in a small town with a physician who discouraged circumcision, but raised in a big city where RIC was the norm. I'm grateful to be intact but the anxiety was overwhelming at times.</t>
  </si>
  <si>
    <t>It feels delightful to the touch -- mine or hers. Sometimes I shudder, in a good way, from the sensations.</t>
  </si>
  <si>
    <t>At peak arousal, the frenulum seems to be the trigger to orgasm.</t>
  </si>
  <si>
    <t>The complete exposure feels masochistic, as if I have no choice but to suffer stimulation. No place to hide.</t>
  </si>
  <si>
    <t>Other males' glandes look dead compared to mine. I feel bad for them.</t>
  </si>
  <si>
    <t>I prefer intact but I understand why uncircumcised is the default term and I don't criticize others for it.</t>
  </si>
  <si>
    <t>Having a foreskin makes my penis more of a shared experience with a woman. My glans and foreskin are sensitive in a good way and more like her clitoris and labia.</t>
  </si>
  <si>
    <t>Every other penis I saw was circumcised. It was "normal." Mine was not. Circumcised penises were cleaner and healthier.</t>
  </si>
  <si>
    <t>Intact penises smell bad and need constant maintenance.</t>
  </si>
  <si>
    <t>Intact penises are smelly and unclean, perhaps uncivilized.</t>
  </si>
  <si>
    <t>When asked, most women repeat the cultural narrative -- circumcised is cleaner and healthier. Most are open to the intact experience, however, because of the feminine need to make others feel loved and accepted. After having regular sex with me, they have become intactivists.</t>
  </si>
  <si>
    <t>Intactness is the normal, natural state of being. Boys are not born defective.</t>
  </si>
  <si>
    <t>Parents delegate the procedure because if pressed, they recoil at the reality. Then it's done, forgotten, and regarded as "for the best."</t>
  </si>
  <si>
    <t>Growing up intact with anxiety about it shaped my personality in challenging ways. I had difficulty connecting with other boys because I knew I had a secret to keep. Women have been far less concerned about it than I expected.</t>
  </si>
  <si>
    <t>I'm willing to talk or write about my experiences publicly.</t>
  </si>
  <si>
    <t>Linked on the Discord "Foreskin" group.</t>
  </si>
  <si>
    <t>No, just that it was mentioned in the bible</t>
  </si>
  <si>
    <t>Foreskin moving over the coronal ridge is the most sensitive</t>
  </si>
  <si>
    <t>Deep satisfying release</t>
  </si>
  <si>
    <t>I’ve tried lube in the past, it made things too slippery, less pleasurable</t>
  </si>
  <si>
    <t>The foreskin slides up and down, and is pleasurable for me and my partner</t>
  </si>
  <si>
    <t>I was the only intact person in my peer group, so at times I did feel abnormal</t>
  </si>
  <si>
    <t>No feelings occurred</t>
  </si>
  <si>
    <t>I tried to hide my foreskin while in the high school shower by leaving it retracted so I could look like my peers. In college, I never hid my foreskin while showering in a group setting</t>
  </si>
  <si>
    <t>It’s great, I prefer when a partner plays with it specifically</t>
  </si>
  <si>
    <t>No noticeable difference in sensitivity with my frenulum</t>
  </si>
  <si>
    <t>How much lube would be necessary</t>
  </si>
  <si>
    <t>Neutral, I still use uncut and uncircumcised when describing my penis</t>
  </si>
  <si>
    <t>It should be the child’s choice whether to be circumcised or not</t>
  </si>
  <si>
    <t>That it is dirtier than a circumcised penis</t>
  </si>
  <si>
    <t>That everyone had one</t>
  </si>
  <si>
    <t>Most partners only have experience with circumcised penises</t>
  </si>
  <si>
    <t>The foreskin feels really great</t>
  </si>
  <si>
    <t>An Intactivist or Advocacy Website/Forum: (e.g., a link from a known organization or community forum)</t>
  </si>
  <si>
    <t>not directly...however, my mother preempted her brief and inaccurate lecture on what circumcision is, by explaining that the circumcision of Jesus was the "real" reason we celebrate New Years Day.</t>
  </si>
  <si>
    <t>I am baffled at the contradiction between St. Paul's lengthy condemnation of the Jewish practice of circumcision and the massive silence of the American Catholic Church.</t>
  </si>
  <si>
    <t>For 75 years, the most sensitive area on my penis has always been the frenulum and the area just below it; followed by the remaining mucosa lining and then the glans. Today all areas of my penis have experienced a loss in sensitivity.</t>
  </si>
  <si>
    <t>That totally depends upon my state of mind and what mental stimulation has preceeded the physical</t>
  </si>
  <si>
    <t>for the majority of my life, manipulation of my frenulum without lube would bring me quickly to orgasm</t>
  </si>
  <si>
    <t>I have always had to explain to my sexual partners how to pleasure my penis / what areas are the most sensitive</t>
  </si>
  <si>
    <t>I do Not consider it an advantage... not at all.</t>
  </si>
  <si>
    <t>I was somewhat loosely circumcised and my frenulum and the area just below the frenulum was largely left intact. Even as a pre-teen, those physical structures provided me with pleasure. As a young adult, it became clear to me that I enjoyed "more" than what other circumcised men enjoyed. This led me to comprehend and wonder what intact men must enjoy, above and beyond those who have been circumcised. The pleasure from my frenulum and associated tissues was so vivid, that that it provided me with one of the strongest incentives to become active in the Genital Autonomy Movement.</t>
  </si>
  <si>
    <t>I suspect many "reasons" were responsible for my parents to have had me circumcised. I believe my intact father enjoyed his foreskin but felt socially inferior for having it and wanted me to have the social advantage of growing up circumcised in a circumcising culture. In addition, my circumcision made our family All-American and broke the physical ties to our European background. Lastly, I strongly believe that both my father and my mother received some degree of sexual titilation by having me circumcised.</t>
  </si>
  <si>
    <t>Prevailing Moral Beliefs about Sexuality (e.g., concern over masturbation):, Direct Medical Authority: Specific advice from their obstetrician, pediatrician, or the hospital staff where you were born. (The voice of a trusted professional)., Prevailing Health &amp; Hygiene Beliefs: General societal "knowledge" at the time—gleaned from various sources—that presented circumcision as being fundamentally cleaner, healthier, or preventive of future diseases. (The power of a cultural 'truth').</t>
  </si>
  <si>
    <t>The exact, same circumcision technique will result in different healed appearances, depending upon the natural characteristics of the penises being circumcised. My penis is a "grower" and that alone strongly influenced the appearance of my penis. I was circumcised just before my 3rd birthday. The development of my penis beyond birth status , influence how the surgeon could carry out the procedure--allowing for more "accuracy" than a RIC. The method used, I believe, was free-hand with forceps guided. The surgeon did not go back, after amputating the foreskin, and remove either the frenulum ... nor do any further "trimming" of the mucosa (as is usually done today). As a young circumcised adult, when flaccid, both the shaft skin and remaining mucosa would bunch-up behind the corona. I could - even erect - pull the skin over the corona, but it wouldn't stay there. My scar was pale, continuous but a bit "wobbly." The area below my frenulum-- where my circumcision scar crosses over the frenular delta has a few skin tags that are remnants from foreskin folds. Otherwise, my penis was circumcised in a very tiddy and "competant" fashion.</t>
  </si>
  <si>
    <t>All of the above... and also the scent, especially in the morning upon waking.</t>
  </si>
  <si>
    <t>I grew up in the world of art --- having been led through the galleries of great art museums from the time I was in a stroller. By the age of 7, I was keenly aware of the difference between the beautiful men and boys of the classical Greek and Roman statues, and my own physical appearance. Renaissance paintings...especially Michelangelo's "Adam," in the Sistine Chapel further impressed upon me "their" beauty and the clumsy appearance of my genitals. I also had a French-born playmate who had no inhibitions to urinate in the open, when we were playing in wooded areas. I knew from early on that there were two types of penises-- also, which of the two I preferred-- but didn't know "why." Learning "why" occurred when I was 12 yo.</t>
  </si>
  <si>
    <t>Skin tags where my circumcision line crosses the bottom of my frenulum</t>
  </si>
  <si>
    <t>It is not ethical for any parent to remove healthy body tissue from their children</t>
  </si>
  <si>
    <t>Heal psychological trauma, Reclaim what was taken, Feel more 'natural' or 'whole', achieve the look of an intact penis</t>
  </si>
  <si>
    <t>manual restoration / tape at night</t>
  </si>
  <si>
    <t>only if asked do I explain in detail</t>
  </si>
  <si>
    <t>Over time, my glans became more sensitive to tactile stimulation</t>
  </si>
  <si>
    <t>I don't think restoration impacted the physical quality of orgasms. My restoration served me more in the locker room or sauna or at the nude beach</t>
  </si>
  <si>
    <t>I have always considered myself and others who have restored as "circumcised but restored"</t>
  </si>
  <si>
    <t>The beginning of the "journey" and the use of night tape was the most difficult. Once progress was achieved, continued stretching became pleasurable.</t>
  </si>
  <si>
    <t>I believe restoration mainly serves the psyche and not sexual function. But, that does diminish its value. I tell others that the path to restoration is a long one and success depends largely upon they degree of circumcision you experienced.</t>
  </si>
  <si>
    <t>I suspect it will first be successful in other restorative areas, internal organs--for example... and that that will only happen with large-scale government spending. Once the technology has been perfected, it will become available for cosmetic alteration.</t>
  </si>
  <si>
    <t>Conformity is a strong motivator for circumcision in most regions of the US</t>
  </si>
  <si>
    <t>The uncircumcised penis is dirty and ugly.</t>
  </si>
  <si>
    <t>The circumcised penis is healthier and looks better.</t>
  </si>
  <si>
    <t>media: the constant bombardment of jokes in TV sit-coms, Hollywood moves, public education and government notifications</t>
  </si>
  <si>
    <t>A man's perception of his penis colors everything in his life. To tell a young man that his penis, in its natural state, was /is unhealthy and needed surgical intervention, is to tell a young man that his gender is unhealthy .</t>
  </si>
  <si>
    <t>I have explained this in my previous answers</t>
  </si>
  <si>
    <t>"Intactivism" fails, to a large degree, because of the unwillingness to admit to the physical difficulties that many, many intact teens and young men experience-- inability to retract; painful tightness; premature ejaculation; and more. Until these problems are truthfully addressed in a non-invasive manner, the "Intactivist Movement" will continue to be seen by young men-- both circumcised and angry / as well as circumcised and satisfied...as false leadership .</t>
  </si>
  <si>
    <t>Yes, I am working on a print article at this time.</t>
  </si>
  <si>
    <t>A Friend or Partner: (They shared the link with me directly via text, email, chat, or word of mouth)</t>
  </si>
  <si>
    <t>Never brought up</t>
  </si>
  <si>
    <t>Having a normal, functioning penis</t>
  </si>
  <si>
    <t>Social stigma</t>
  </si>
  <si>
    <t>Medical Information/Advice: They were informed by a doctor/medical literature that circumcision was medically unnecessary (e.g., citing AAP 1971/1975 statements or similar, or advice from a specific medical professional)., "Stroke of Luck"/Circumstance: e.g., Born at home, logistical issues at the hospital, doctor didn't push it, scheduled, but never performed, etc..</t>
  </si>
  <si>
    <t>When I was a kid in locker rooms, I was the only one who was intact - just a feeling of being different and misunderstood but not in a way that it's acceptable to talk about.</t>
  </si>
  <si>
    <t>Very convenient for blowjobs and handjobs. No effect on sex with a condom.</t>
  </si>
  <si>
    <t>The best part</t>
  </si>
  <si>
    <t>Don't care</t>
  </si>
  <si>
    <t>Hygiene issues arise from people with poor hygiene, not from the foreskin</t>
  </si>
  <si>
    <t>Weird-looking, unhygienic</t>
  </si>
  <si>
    <t>Women don't notice if an erect penis is circumcised or not. There is general ignorance/apathy toward it most of the time. Negative associations come from women's experiences with penises with phimosis that do not have all the normal functions of an intact penis.</t>
  </si>
  <si>
    <t>The foreskin is analogous in structure and function to the clitoral hood. There is no reason to damage either.</t>
  </si>
  <si>
    <t>Build up</t>
  </si>
  <si>
    <t>Some women don't want to hear criticism in bed</t>
  </si>
  <si>
    <t>No lube needed. Adds girth</t>
  </si>
  <si>
    <t>Some odor at days end. But that could be a difficult reason</t>
  </si>
  <si>
    <t>Ethical Concerns: They had ethical objections to non-consensual surgery on a healthy child/believed strongly in bodily autonomy or children's rights.</t>
  </si>
  <si>
    <t>Doctor forced back my skin</t>
  </si>
  <si>
    <t>Canadians are mostly uncircumcised but there are still plenty of circumcised men and the stereotypes flow.</t>
  </si>
  <si>
    <t>All the above good for sex and self lubrication</t>
  </si>
  <si>
    <t>Can't complain</t>
  </si>
  <si>
    <t>I mean you can keep the foreskin pulled back but I find it difficult then wanting to be circumcised.</t>
  </si>
  <si>
    <t>No feedback although I do use intact</t>
  </si>
  <si>
    <t>Not to say its cleaner. It's a form of body shaming</t>
  </si>
  <si>
    <t>It's either for looks or religious reasons</t>
  </si>
  <si>
    <t>Hygiene and looks</t>
  </si>
  <si>
    <t>Jewish and USA</t>
  </si>
  <si>
    <t>Hollywood media</t>
  </si>
  <si>
    <t>People should be given a choice</t>
  </si>
  <si>
    <t>This only applies to the US but it seems very brain washed the viewpoint plus profits doctors make.</t>
  </si>
  <si>
    <t>Maybe</t>
  </si>
  <si>
    <t>DE - Delaware</t>
  </si>
  <si>
    <t>Nope, except that it was required in the Jewish faith</t>
  </si>
  <si>
    <t>The underside right below the head is by far the most sensitive area, with the rest of the bottom being the next most sensitive area followed by the entire sides and with the top being not very sensitive at all.</t>
  </si>
  <si>
    <t>It is now a gradual build up that has made edging a more common practice for me. I usually get hard quick then flaccid then hard again, alternating quite a few times but often becoming slightly soft immediately before orgasm. The orgasm itself is usually VERY intense and full body and feels like it comes from deep within me. I shudder quite a lot and am left utterly exhausted by the more intense orgasms.</t>
  </si>
  <si>
    <t>Appearance and ease of cleanliness</t>
  </si>
  <si>
    <t>No. Although I hear that a circumcised penis is less sensitive, without ever experiencing what it feels like to not be circumcised, I have no way to know if I’m missing out or am truly less sensitive.</t>
  </si>
  <si>
    <t>I don’t have any shaft skin left. It is entirely tight all around with no visible scars.</t>
  </si>
  <si>
    <t>The level of sensitivity</t>
  </si>
  <si>
    <t>Just curious if they ever considered not circumcising me.</t>
  </si>
  <si>
    <t>Nothing that I am aware of. The topic never really came up.</t>
  </si>
  <si>
    <t>Just that most men were circumcised and that it was once believed to be healthier to be circumcised.</t>
  </si>
  <si>
    <t>That in modern society with our access to modern hygiene practices, the past health benefits gained from circumcision have been rendered moot and thus circumcision is unnecessary and therefore the decision should be left to the child when he is an adult.</t>
  </si>
  <si>
    <t>There are potential harmful consequences of circumcising an infant and the results are mostly permanent and all for a practice that is no longer needed considering the ease of keeping your penis clean in modern society. In the end, it’s taking away a man’s right to decide for himself and with no significant benefit to him as a child.</t>
  </si>
  <si>
    <t>Another Social Media Platform: (e.g., X/Twitter, Bluesky, Tumblr, Instagram, etc.)</t>
  </si>
  <si>
    <t>Science/Research/Academia, Education (e.g., K-12 Teacher, Professor, School Administrator)</t>
  </si>
  <si>
    <t>Orthodox Christian (e.g., Greek, Russian, Eastern, Oriental)</t>
  </si>
  <si>
    <t>Intact is my preferred term. Uncrictumcised/uncut is like referring to a woman as either having a fake breasts or unfake breasts. It's strange to name the natural state by how it differs from the modified state.</t>
  </si>
  <si>
    <t>https://straight-foreskin.com/d/11708-intactcircumcision-survey</t>
  </si>
  <si>
    <t>I think cutting up what God gave us is not good.</t>
  </si>
  <si>
    <t>Very sensitive. Just as sensitive as my lips.</t>
  </si>
  <si>
    <t>Long build up, relatively quick orgasm, but it depends. Long lovemaking session with a woman is way more intense.</t>
  </si>
  <si>
    <t>Foreplay with my woman really makes me and her lubed up</t>
  </si>
  <si>
    <t>I like the feeling of being a whole man. I’ve been the first whole man for a bunch of women and I’ve been able to get most of them to come. Some women tell me they don’t usually come from PIV but they do with me. I think this is due to the natural function of my penis.</t>
  </si>
  <si>
    <t>I’ve only had one negative experience where a woman reached in my pants and suddenly lost interest. There was no discussion about it we were both drunk. One time in college I was about to get laid and realized I wasn’t as clean as I needed to be, just washed up in a sink and was good to go.</t>
  </si>
  <si>
    <t>Medical Information/Advice: They were informed by a doctor/medical literature that circumcision was medically unnecessary (e.g., citing AAP 1971/1975 statements or similar, or advice from a specific medical professional)., Concerns about Risks/Pain: They were worried about the potential complications or pain of the procedure., Medical Circumstance Prevented It: There was a specific medical reason at birth or shortly after (e.g., prematurity, other health issues requiring immediate attention) that led to the procedure being postponed or skipped altogether, and it wasn't pursued later.</t>
  </si>
  <si>
    <t>It wasn’t really an issue. Some kids were and some weren’t. There was the typical negative comments people made about it but I kept a pristine wildly and didn’t worry about it.</t>
  </si>
  <si>
    <t>Definitely facilitates sex. Can go as long as I want and women tell me they are surprised they aren’t sore after due to my larger than average size.</t>
  </si>
  <si>
    <t>Pressure and tension on this part seems to trigger orgasm. Feels great, particularly when I bottom out and hit the cervix.</t>
  </si>
  <si>
    <t>Just curious about the other side.</t>
  </si>
  <si>
    <t>I think there are two sides battling for what to call it. I prefer to call myself whole. Nothing but the whole dick for my ladies.</t>
  </si>
  <si>
    <t>If it’s not your dick, don’t touch it.</t>
  </si>
  <si>
    <t>There was plenty of it’s dirty comments.</t>
  </si>
  <si>
    <t>They trouble maintaining erections and needed viagra when they were older.</t>
  </si>
  <si>
    <t>Aesthetics</t>
  </si>
  <si>
    <t>It’s sexually functional and makes a more satisfying and experience for men and women.</t>
  </si>
  <si>
    <t>Don’t really need a strong metaphor for this issue.</t>
  </si>
  <si>
    <t>There was no section for women to describe how it feels inside them and the other opportunities available with a whole dick.</t>
  </si>
  <si>
    <t>Ethical Concerns: They had ethical objections to non-consensual surgery on a healthy child/believed strongly in bodily autonomy or children's rights., Concerns about Risks/Pain: They were worried about the potential complications or pain of the procedure., Father is Intact: The father is intact, and this influenced their decision</t>
  </si>
  <si>
    <t>Malaysia</t>
  </si>
  <si>
    <t>Business/Finance/Management, Education (e.g., K-12 Teacher, Professor, School Administrator), Stay-at-Home Parent / Homemaker, Clerical / Administrative Support (e.g., Secretary, Office Clerk)</t>
  </si>
  <si>
    <t>Straight/Heterosexual, Bisexual, Questioning</t>
  </si>
  <si>
    <t>tip of the foreskin feels things a lot more when it comes to light touches and gliding motions. frenulum area is more sensitive to pressure, glans is more sensitive to different textures</t>
  </si>
  <si>
    <t>build-up is gradual, then suddenly spikes. final release would be during the spike, and can is pleasurable and lingers a bit. feels like a release, and is focused on the groin</t>
  </si>
  <si>
    <t>when first started, way too sensitive. would move away from partner automatically due to how sensitive it was. adapted over time.</t>
  </si>
  <si>
    <t>this is like, for handjobs i guess? since those are what i have the most experience with haha. sometimes my partner would say they are only gripping lightly, but it feels a lot stronger than what they say. conversely, when it comes to P in V, i feel almost no grip. unless this is false expectations due to pornography?</t>
  </si>
  <si>
    <t>no need lube to masturbate, a fidget toy of sorts when my hands are idle and i'm alone, ability to appreciate and experiment with some kinks on the internet that would not be available if circumcised, like putting items under the foreskin</t>
  </si>
  <si>
    <t>hygiene concerns and needing to educate (and be educated) by partners</t>
  </si>
  <si>
    <t>Cultural Background/Family Tradition (of intactness): They came from a family or cultural background where intactness was the norm., Born Abroad: You were born in a country where routine infant circumcision was not the cultural or medical norm at the time., born in a southeast asian country to a race which has a culture of not circumcising, believing it to be a thing for a different race which primary practices Islam</t>
  </si>
  <si>
    <t>around the age of 8? 9? it got swollen, and i didn't know why. only remember i showed my parents, can't remember steps taken after. similar event happened during university days, when with an active partner. can't recall what the reason was, but was prescribed a cream to reduce swelling</t>
  </si>
  <si>
    <t>intact was the norm for my race in my country, so nothing notable, really</t>
  </si>
  <si>
    <t>no need for lube when using it, something extra for partner to play with, the gliding motion of the foreskin over the glans when the area is lubed up is intense and a different sensation when compared to without.</t>
  </si>
  <si>
    <t>extremely immense pleasure spot. several times while masturbating, have nearly reached orgasm just by lightly rubbing that area. when receiving oral, licks or friction to that spot is the most pleasurable, even compared to the glans.</t>
  </si>
  <si>
    <t>the impact of constant glans exposure, and having to use lube all the time (how do cut people deal with having to wash immediately after cumming if they don't like feeling the sticky lube on their hand??)</t>
  </si>
  <si>
    <t>i have no preference beyond knowing the terms to seek out others with a similar status to fulfil my curiosity</t>
  </si>
  <si>
    <t>the choice should be in the hands of the foreskin owner, so leave the child be until they can make a well-reasoned, well-informed decision, unless it is a medical emergency</t>
  </si>
  <si>
    <t>it was the rite of passage and a religious requirement for Muslims in my country</t>
  </si>
  <si>
    <t>not anything that i noticed consciously/know of. topic was generally not something discussed, as local community/society considers sex a taboo topic in general</t>
  </si>
  <si>
    <t>circumcised is likely a Muslim. in fact, converts who choose not to be circumcised are fetishised by a part of the community</t>
  </si>
  <si>
    <t>I am genuinely unsure which is considered healthier.</t>
  </si>
  <si>
    <t>a partner suggested it was good for hygiene, and probably expectations due to Western pornography</t>
  </si>
  <si>
    <t>that parents knew how to properly take care of a child's foreskin, and impart that knowledge to them in the appropriate stages. would have personally benefited from this</t>
  </si>
  <si>
    <t>as you said, it is genital mutilation that is normalised by culture, and removes bodily autonomy without a clear medical need in most reasons</t>
  </si>
  <si>
    <t>when in high school, noticed an upperclassman taking a piss, and saw how he was caring for his penis after he was done (was ritually washing it, apparently was part of his religion, though i'm not sure about this). he very kindly explained it to me, which led to me being more aware about washing under the foreskin</t>
  </si>
  <si>
    <t>u/ThrowawayWrongCastle</t>
  </si>
  <si>
    <t>short personal essays or moderated discussions sound good</t>
  </si>
  <si>
    <t>I tend to have more pleasure with firm pression. Frequently ask my partners for more firm pressure.</t>
  </si>
  <si>
    <t>Sometimes havea really hard times to reach the orgasm with partner a nd sometimes while I'm masturbating. Sometimes it's very pleasurable and sometimes it's just mild sensation.</t>
  </si>
  <si>
    <t>Sometimes I feel I neeed more even if I'm uncircumcised.</t>
  </si>
  <si>
    <t>Sometimes I need firmer/ harder stimulations.</t>
  </si>
  <si>
    <t>Foreskin protect the head of the penis. I think that it tend to make masturbation more pleasurable. Help to lubricated the penis.</t>
  </si>
  <si>
    <t>Only one partner that made a comment.</t>
  </si>
  <si>
    <t>Medical Information/Advice: They were informed by a doctor/medical literature that circumcision was medically unnecessary (e.g., citing AAP 1971/1975 statements or similar, or advice from a specific medical professional)., Financial Reasons: The cost of the procedure was a factor., "Stroke of Luck"/Circumstance: e.g., Born at home, logistical issues at the hospital, doctor didn't push it, scheduled, but never performed, etc..</t>
  </si>
  <si>
    <t>Partner's remark.</t>
  </si>
  <si>
    <t>Sometimes afraid of partner reaction but there's a great amount of intact persons on my region.</t>
  </si>
  <si>
    <t>It's mostly pleasurable.</t>
  </si>
  <si>
    <t>I't's very sensitive, it's pleasurable if it well stimulated.</t>
  </si>
  <si>
    <t>Reaction of my partners. Not perceived any positive issue for myself.</t>
  </si>
  <si>
    <t>I definetly prefer the term "intact".</t>
  </si>
  <si>
    <t>It's unecessary.</t>
  </si>
  <si>
    <t>Cultural tradition but mostly cosmetic preference..</t>
  </si>
  <si>
    <t>Their uncleans because the smegma accumulation. They look bad.</t>
  </si>
  <si>
    <t>They look good. Their cleaners, more sane.</t>
  </si>
  <si>
    <t>The pornography influence also religious influence.</t>
  </si>
  <si>
    <t>The trauma of circumcision.</t>
  </si>
  <si>
    <t>I feel the social norm is more powerfull.</t>
  </si>
  <si>
    <t>I think the arrival of massive immigration of communities where circumcision is the norm will change the circumcision statu in my region.</t>
  </si>
  <si>
    <t>Don't use my full name or sensitivew informations.</t>
  </si>
  <si>
    <t>Nope.</t>
  </si>
  <si>
    <t>The head is the most sensitive and I like pressure on my whole dick and heat from the inside of a man</t>
  </si>
  <si>
    <t>Full body if I breath in deeply and I like to maneuver so the organs lasts as long as possible</t>
  </si>
  <si>
    <t>I presume another so it's necessary to get in but after that I'm good.</t>
  </si>
  <si>
    <t>Being angry that it was done to me.</t>
  </si>
  <si>
    <t>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t>
  </si>
  <si>
    <t>I have a lot of mobile skin even before starting to restore. Also, when I was about 5 I got bit by a mosquito and the little amount of skin I had swelled up and now it's bunched up. People ask me if I'm uncut</t>
  </si>
  <si>
    <t>Gliding motion and sensation from a non-keritinazed head</t>
  </si>
  <si>
    <t>I thought I was left intact and the mosquito bite caused the foreskin to bunch and I asked my mom and she said I had been circumcised</t>
  </si>
  <si>
    <t>Spray. I have to sit down to pee</t>
  </si>
  <si>
    <t>No words. I'd punch my dad in the face for doing it but he's dead.</t>
  </si>
  <si>
    <t>Experienced feelings of loss, grief, or anger, Significantly dissatisfied with sensation, function, or appearance, Curious about what might be different if intact</t>
  </si>
  <si>
    <t>Regain gliding motion, Reclaim what was taken, Achieve glans coverage and dekeratinization</t>
  </si>
  <si>
    <t>P.U.D. with weights. I'm going to get a DTR soon</t>
  </si>
  <si>
    <t>Just partners</t>
  </si>
  <si>
    <t>I haven't noticed any changes</t>
  </si>
  <si>
    <t>No. The servers or structures of the foreskin will never come back. I'll always be mutilated.</t>
  </si>
  <si>
    <t>Most challenging would be the time and fear of losing more skin.
Rewarding would be that it's an inside joke among friends when they know I'm wearing it.</t>
  </si>
  <si>
    <t>Go slow so you don't f up whats already there</t>
  </si>
  <si>
    <t>I'm HIV+ so I'll never be a candidate and the expense will be out of my means</t>
  </si>
  <si>
    <t>Mutilation</t>
  </si>
  <si>
    <t>Intact penises are foreign ro my generation</t>
  </si>
  <si>
    <t>"Cleaner" is the answer people seem to use the most</t>
  </si>
  <si>
    <t>Hygiene and it's the norm for my generation</t>
  </si>
  <si>
    <t>Body autonomy. The parents don't own the body. The man should get to choose as an adult.</t>
  </si>
  <si>
    <t>It's not transparent. It's solid, right in front of people. It's the people who are monsters to inflict mutilation on a baby.</t>
  </si>
  <si>
    <t>It should be illegal and every doctor should be in jail. The nurses in the room should be locked up and the parents should be in jail for child sexual abuse and put on the sex iffenders registery. Also, no religious exemptions. The child isn't born religious, they are born to religious parents.
Hospitals should be fined for every one they performed in the past. That money should go to research foreskin regeneration.</t>
  </si>
  <si>
    <t>Dudesnude.com</t>
  </si>
  <si>
    <t>Engineering</t>
  </si>
  <si>
    <t>I only feel any good pleasure from the little remaining part of my forskin. The head can feels things but doesn’t feel good.</t>
  </si>
  <si>
    <t>It’s quick not much build up and feels okay then it’s over no full body feeling and honestly not worth it</t>
  </si>
  <si>
    <t>Nothing it has not proved me any benefit.</t>
  </si>
  <si>
    <t>When I was younger it was to tight and erections use to hurt</t>
  </si>
  <si>
    <t>Just standard practice: Based on observing its prevalence, assumed it was the default medical procedure without a specific individual reason., Hygiene: Belief that circumcision makes the penis easier to keep clean or is inherently more hygienic.</t>
  </si>
  <si>
    <t>It’s tight very visible scar and the scar is uneven the glans is exposed both soft and hard and the gland has a rough texture</t>
  </si>
  <si>
    <t>Everything I want to know every that was taken for me</t>
  </si>
  <si>
    <t>Somewhere in my teens any circumcision talk triggers them</t>
  </si>
  <si>
    <t>I had very tight skin</t>
  </si>
  <si>
    <t>Fuck you</t>
  </si>
  <si>
    <t>They smell and look bad</t>
  </si>
  <si>
    <t>Easier to clean</t>
  </si>
  <si>
    <t>It’s just the norm</t>
  </si>
  <si>
    <t>If he wants he can be circumcised later in life he can but you can’t put back what you took if you do it as a kid if it’s bad</t>
  </si>
  <si>
    <t>It feels accurate because it seems like no one brings it up and when it is it’s brushed off like it’s a non issue</t>
  </si>
  <si>
    <t>Heal psychological trauma, Feel more 'natural' or 'whole', Reclaim what was taken</t>
  </si>
  <si>
    <t>Manual</t>
  </si>
  <si>
    <t>Not that I can tell</t>
  </si>
  <si>
    <t>Still having to wait to get an appointment to get rid of a skin Bridge</t>
  </si>
  <si>
    <t>Don't have any</t>
  </si>
  <si>
    <t>Prefer not to answer</t>
  </si>
  <si>
    <t>My dad said because it was always done back then my mom hinted it was because my sister had uti</t>
  </si>
  <si>
    <t>Architect</t>
  </si>
  <si>
    <t>Construction Management</t>
  </si>
  <si>
    <t>Just standard practice: Based on observing its prevalence, assumed it was the default medical procedure without a specific individual reason., Cultural Tradition/Family Norm: It was a strong family tradition, cultural expectation, or simply "what people in our community did."</t>
  </si>
  <si>
    <t>Lack of Counter-Information: Crucially, the simple absence of any strong, readily available information presenting the benefits of intactness or the risks of circumcision, making it an easy default choice. (The power of silence)., Family Tradition/Pressure: The expectation from grandparents or other influential relatives; the idea that "it's what the men in our family have always done." (The power of heritage)., Institutional Medical Norm: The general belief that "this is just the standard procedure" at hospitals, making it a routine, unquestioned part of postpartum care. (The power of the system).</t>
  </si>
  <si>
    <t>Metal stenosis repair around age 5. This was a complication for my, my brother, AND our father</t>
  </si>
  <si>
    <t>The movement of the foreskin over the glans feels really good, this is a huge improvement over before I had restored my foreskin</t>
  </si>
  <si>
    <t>The build up to orgasm is much more of a build up now as before I had restored my foreskin it used to go from not feeling much at all for a long time and then feeling good for a very short period before I would orgasm with not much build up. Since I have restored my foreskin I have come to realise how important foreskin plays a role during sex.</t>
  </si>
  <si>
    <t>I need lubricant for sex as my wife is menopausal but not for masturbation</t>
  </si>
  <si>
    <t>My wife does not really understand how to deal with my new foreskin</t>
  </si>
  <si>
    <t>It is slightly easier to urinate (no foreskin to worry about)</t>
  </si>
  <si>
    <t>There is much less sensitivity. There is much less feeling during sex and masturbation. Orgasms are less intense. There is more chafing for the female during sex. There is no build up to orgasm during sex.</t>
  </si>
  <si>
    <t>Parent's General Preference: Parents simply preferred the circumcised appearance or state without specific medical, religious, or cultural reasons being primary., 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t>
  </si>
  <si>
    <t>Lack of Counter-Information: Crucially, the simple absence of any strong, readily available information presenting the benefits of intactness or the risks of circumcision, making it an easy default choice. (The power of silence)., Popular Media &amp; Parenting "Experts": Information or attitudes transmitted through widely-read parenting books (like Dr. Spock in earlier eras), magazines, or other mainstream media. (The power of mass media)., Institutional Medical Norm: The general belief that "this is just the standard procedure" at hospitals, making it a routine, unquestioned part of postpartum care. (The power of the system).</t>
  </si>
  <si>
    <t>When flaccid there is a small amount of inner skin bunched up behind the glans. When erect there is a small amount of mobile skin that can be moved but not over the glans. There is about 20mm of inner skin behind the glans.</t>
  </si>
  <si>
    <t>I feel that I an missing out on all the sensations that an intact penis could feel.</t>
  </si>
  <si>
    <t>I started to question things when in my late forties I started to notice that at times I was finding it difficult to orgasm. I started to research circumcision on line and the more I found out the more I realised what I was missing.</t>
  </si>
  <si>
    <t>I have noticed that although I don't have metal stenosis my meatal opening is smaller than I think is should be.</t>
  </si>
  <si>
    <t>Please just don't go along with the medical establishment.</t>
  </si>
  <si>
    <t>Curious about what might be different if intact</t>
  </si>
  <si>
    <t>Regain gliding motion, Feel more 'natural' or 'whole', Increased overall sensitivity, Improve gliding mechanics/reduce need for lube, Achieve glans coverage and dekeratinization, Improve sexual pleasure/orgasms</t>
  </si>
  <si>
    <t>50s</t>
  </si>
  <si>
    <t>DTR , MMF , Foreskinned Air</t>
  </si>
  <si>
    <t>Only my wife, I feel anyone else would understand and think I was weird</t>
  </si>
  <si>
    <t>The glans is more sensitive but the biggest change is the interaction of the foreskin and the glans. Sex feels much better now when you can feel the foreskin rolling back and forth.</t>
  </si>
  <si>
    <t>Orgasm intensity is much greater and it lasts longer and there is also much more of a build up to orgasm than before. Vaginal sex is much better now as there can be a slow build up to orgasm as before there wouldn't be much feeling at all and then all of a sudden I would orgasm.</t>
  </si>
  <si>
    <t>I like the term restored as I feel the terms uncircumcised or uncut don't really describe the situation. You can't really return a penis to an unaltered state. It is now in a new and unique state.</t>
  </si>
  <si>
    <t>The amount of time this takes is very taxing ,you need to be extremely patient.
The most rewarding is the new feelings that I can now experience.</t>
  </si>
  <si>
    <t>It is going to take a long time so be prepared to be at for years but if you can persevere the rewards are well worth it.</t>
  </si>
  <si>
    <t>It seemed that mostly only foreign boys weren't circumcised</t>
  </si>
  <si>
    <t>That they were cleaner</t>
  </si>
  <si>
    <t>Circumcision takes away tissue that is very important and there is no way to ever get it back.</t>
  </si>
  <si>
    <t>Circumcision has been so ingrained into our society that a lot of people don't realise how destructive it really is.</t>
  </si>
  <si>
    <t>Here in Australia circumcision rates have dropped dramatically since I was born but there is still a significant amount done every year. It would be good to see it reduce even further.</t>
  </si>
  <si>
    <t>Victoria Australia</t>
  </si>
  <si>
    <t>Light touch is nice, but firm pressure is needed for orgasm. Not much gliding, but hopefully that can change one day. The underside of the corona and the frenulum remnant are a tiny bit more sensitive.</t>
  </si>
  <si>
    <t>Quick, Mild, &amp; Brief, more like a reflex; on rare occasions it is more satisfying, which tends to be when the build up is longer.</t>
  </si>
  <si>
    <t>Can cum without it, but it's not the full experience.</t>
  </si>
  <si>
    <t>None really, other than the fact that it is common where I live, and people seem to think its "normal".</t>
  </si>
  <si>
    <t>Obviously I am missing out on a lot of the functionality that my penis was intended to have. I can't help but feel that I am missing out when it comes to my body.</t>
  </si>
  <si>
    <t>Glans is always exposed, but when flaccid the skin is loose and bunched up behind the corona. Scar is very visible and stiffer than the surrounding skin but the texture is roughly the same. Erections are slightly tight, but not painful. At least some of the frenulum remains, maybe most, it's hard to tell.</t>
  </si>
  <si>
    <t>Different sensations and an all-around easier experience. I think having the glans covered would be nice. I believe it would also be better for any future partners as well.</t>
  </si>
  <si>
    <t>At first I had no idea that there were different kinds of penises (I thought circumcision meant cutting off the entire head, glans included, lol). At first I was weirded out by intact penises and preferred my own, but it wasn't too long before I changed my mind. I came to recognize that the natural form was better (more functional) and also the practice in general was barbaric because it is performed on literal babies. Only after realizing those things did I begin to feel like I was missing out. I already know what my own penis is like, and I guess I would like to know what it is supposed to be like.</t>
  </si>
  <si>
    <t>I wouldn't, and here's my reasoning. I do sometimes feel angry about it, and I believe the practice is absolutely vile and should be banned forever. However, I understand that they are just one set out of billions of parents throughout human history who have allowed this to happen to their children. I know they are not stupid or uncompassionate people, but I also know that most people are selectively intelligent and selectively compassionate, and it is very easy to throw those things out the window to upon the slightest suggestion from someone or something that seems credible. I know my parents are big fans of authority, especially "science" above all else. Additionally, I do not think it would be a stretch to state that most people consider children to be objects, not people, even if they would never admit it. I have a good relationship with my parents most of the time, and I have no desire to confound that by bringing up old problems. Like it or not my body is the way it is (for now). I have ben delt a less than ideal hand in life, and it is up to me to make the most of it.</t>
  </si>
  <si>
    <t>I would say it is probably everything except religious.</t>
  </si>
  <si>
    <t>That they are not circumcised. Other than that, I have never heard any other discussions about them in real life. On the internet you can find lots of people with very strong opinions, same in some slop tv shows, but nothing I nor anyone my age watched.</t>
  </si>
  <si>
    <t>That they are "the norm." I do not get the sense that there is all that much awareness about how people's bodies actually work.</t>
  </si>
  <si>
    <t>Probably just because it is "the norm" therefore there is unfamiliarity with the alternative. The health and hygiene stuff is just an excuse people use to prop up what is actually a preference without any thought behind it.</t>
  </si>
  <si>
    <t>You are literally cutting off a healthy god-given body part of your BABY because of no credible reason, and that is absolutely insane. Your child will always have a choice if they want to get circumcised later in life, so let them have that choice, don't decide for them.</t>
  </si>
  <si>
    <t>Brazil</t>
  </si>
  <si>
    <t>Frenelum is the most sensitive to touch, also pleasurable.</t>
  </si>
  <si>
    <t>Full body, deep, satisfying release for sure.though as I age, harder to achieve.</t>
  </si>
  <si>
    <t>If I masturbate with my skin retracted Ibalwats use lube.</t>
  </si>
  <si>
    <t>All good…</t>
  </si>
  <si>
    <t>I believe it’s more pleasurable and physically appealing/attractive.</t>
  </si>
  <si>
    <t>Growing up I often believed I was in the minority being intact, afraid to let others see. Eventually that passed.</t>
  </si>
  <si>
    <t>I had these feelings growing up but they subsided as an adult. Triggering factor was I believed I was in the vast minority being uncircumcised.</t>
  </si>
  <si>
    <t>I have tight foreskin and when I began having sexual relations had paraphimosis a few times, I took care of it by myself as in time it subsided and learned to deal with it.</t>
  </si>
  <si>
    <t>I felt shame, growing up in USA having been born in a country (Brazil) where circumcision was not the norm.</t>
  </si>
  <si>
    <t>I absolutely love it as I got older, the movement of the foreskin and extra sensibility as it is retracted.</t>
  </si>
  <si>
    <t>The frenelum is crucial as a pleasure point for me, love having it licked or touched softly.</t>
  </si>
  <si>
    <t>I wonder how different the sensation would be like.</t>
  </si>
  <si>
    <t>Perfectly fine with either terms.</t>
  </si>
  <si>
    <t>The sensations of an intact penis is much more intense in general also just natural.</t>
  </si>
  <si>
    <t>All depends where you grow up, I was born in a country mostly intact (Brazil) but grew up where most are cut (USA).</t>
  </si>
  <si>
    <t>That having foreskin was nasty made you dirty and that it was ugly looking.</t>
  </si>
  <si>
    <t>That it was the “norm”. Especially in porn in those days (80s, 90s), American porn.</t>
  </si>
  <si>
    <t>Porn, hygiene mostly.</t>
  </si>
  <si>
    <t>Being intact is the natural state of being.</t>
  </si>
  <si>
    <t>I believe circumcision is absolutely unnecessary unless for medical reasons.</t>
  </si>
  <si>
    <t>No, all good.</t>
  </si>
  <si>
    <t>Crane Driver</t>
  </si>
  <si>
    <t>I'm uncircumcised and my foreskin is an important part of sexual pleasure, either with a partner or by myself. Just inside the end/rim of my unretracted foreskin is probably the most sensitive to light touch but it also feels nice to have this pinched and pulled. The majority of my inner foreskin is pleasurably sensitive to light touch as well as the base of my frenulum and the groove immediate;y behind the corona of my glans. The glans itself is neutral with regard to light touch - I can feel it but it's neither here nor there for me. Firmer pressure on it does feel nice, especially on &amp; around the meatus and corona. Having my foreskin move back &amp; forth over the glans during coitus or other stimulation does feel nice. There are so many ways for this to occur (speed, length of stroke, position of foreskin, position of hand, amount of lubrication - whether my foreskin mostly rolls or slides, etc) and they all can feel very nice at different times (usually depending on how long sexual stimulation has been going on for).</t>
  </si>
  <si>
    <t>I prefer to take some time to reach orgasm as it is generally considerably more intense, lasts longer, and is much more pleasurable. I find that building up to an orgasm and the backing off for a bit before building again, always leads to a higher "peak" when I finally allow myself to ejaculate. The more build &amp; relax repetitions the better but there other considerations such as time, partner's motivation, wishing to avoid soreness, which usually limit me to 3 or 4.</t>
  </si>
  <si>
    <t>More often these days, I will apply some of my saliva between my glans and foreskin to provide a differing sensation during masturbation but it isn't necessary. We sometimes use a water-based gel during coitus depending on my partner's lubrication. We also used to use a water-based gel when we occasionally had anal sex.</t>
  </si>
  <si>
    <t>It happened when I was younger and shyer about speaking about these things, especially with a new partner. I was also reticent to specifically talk about anything to do with my foreskin because the majority of men in my age cohort were circumcised at birth and uncircumcised boys were ridiculed at school.</t>
  </si>
  <si>
    <t>Masturbation and sex with a partner are almost certainly a lot more pleasurable for me than they would be if I was circumcised. I have also had 2 partners specifically say that coitus felt nicer for them. On occasions when my partner's vagina is internally lubricated but the entrance is not quite, my foreskin has allowed us to initiate penetration my acting as a sort of introducing sleeve.</t>
  </si>
  <si>
    <t>I was teased a bit by other boys in high school since the majority of boys my age had been circumcised. The inexperience of some girls when I was in my late teens twenties meant that they weren't sure how to "handle" my penis which lead to occasional awkwardness.</t>
  </si>
  <si>
    <t>Ethical Concerns: They had ethical objections to non-consensual surgery on a healthy child/believed strongly in bodily autonomy or children's rights., Lack of Perceived Benefit: They didn't see any compelling reason to circumcise., Born Abroad: You were born in a country where routine infant circumcision was not the cultural or medical norm at the time.</t>
  </si>
  <si>
    <t>Embarrassment but never regret. The embarrassment was the same as I would feel whenever I was teased in a group for being different in some way.</t>
  </si>
  <si>
    <t>See above answers. We migrated to Australia when I was 7. When I learned shortly after arriving that all of the other boys were circumcised (and I was teased for not being) I would attempt to hide my status by retracting my foreskin whenever I used public urinals. I stopped doing this either in upper primary (11-12 yo) or lower high school (13).</t>
  </si>
  <si>
    <t>With regard to the general rolling / sliding action alluded to in earlier answers, there are two specific moments that particularly feel nice - the beginning of the retraction stroke as my glans comes out of my foreskin opening and as my foreskin rolls over my corona. I think this is because my foreskin is being stretched outwards. I also enjoy having the end of it stretched forwards, nibbled, etc. It especially feels nice when my partner inserts her tongue underneath y foreskin when it is forward so that my glans and inner foreskin are stimulated at the same time. I appreciate how it protects my glans, keeping it more sensitive, as well as retaining precum and/or vaginal lubrication between the foreskin &amp; glans.</t>
  </si>
  <si>
    <t>It's less of a focus for me. It does feel nice to have the base of it stimulated but I have found in the past that too much direct (or firm) attention can lead to it feeling more like irritation than pleasure.</t>
  </si>
  <si>
    <t>I've never wondered from a perspective of wanting to experience it myself, simply from trying to understand what it might feel like. There are a lot less "playful" things that can be done with a circumcised penis. I know that there are different "styles" of circumcision with regard to how much inner foreskin is retained and I have occasionally wondered about the difference in sensation between the two extremes, as well as with respect to tightness/looseness given how much skin was removed.</t>
  </si>
  <si>
    <t>I prefer either "intact" or "natural" since we don't describe people with limbs as being "unamputated" and because of the inherent implied negativity of being "un-" or "non-" anything (similar, I feel, as to how a man growing a beard might be described as "unshaven"). However, I live in the real-world, and most-often will use the term "uncircumcised" when speaking/writing in general (as here). Depending on the context of a discussion, I might choose to specifically use "intact" if I think that it might be informative/helpful for the understanding of others. It's hardly ever a topic of conversation for me.</t>
  </si>
  <si>
    <t>That there is absolutely nothing wrong with foreskin - it is perfectly natural and there is no reason to amputate healthy flesh from someone who can't give their consent.</t>
  </si>
  <si>
    <t>It's both a cultural norm (it's what we did / look like father) and provides medical/health benefits (lower rates of disease / it's "cleaner")</t>
  </si>
  <si>
    <t>They look weird and their unhygienic</t>
  </si>
  <si>
    <t>Nothing obvious other than the opposite of above</t>
  </si>
  <si>
    <t>Partners for me are women and my experience has been that, for the most part, they are not that fussed. They're much more interested in a man's general look, personality, social views, etc than whether he is circumcised or not. I think that most women will say that they like - and are happy with - the penis of the man that they are currently in a relationship with. This is not to say that women are superficial thinkers, simply that being in a relationship, especially being in love, is about much more that what a man's penis looks like - this includes size, whether it's straight or has an obvious curve, etc, etc.</t>
  </si>
  <si>
    <t>How much better coitus usually is for women with an uncircumcised partner and not requiring artificial lubricant which can change the biome of the vagina.</t>
  </si>
  <si>
    <t>Whilst I would like to see RIC, including for religious reasons, cease to exist, I also think that using hyperbole which could be construed to demonise "the other side" can often lead to them becoming defensive and "digging in" in their resistance to change.</t>
  </si>
  <si>
    <t>When I was 19 I put peppermint essence on my glans (and recovered it with my foreskin) as a nice surprise for my girlfriend at the time. It stung so much that I had wash it off. :-)</t>
  </si>
  <si>
    <t>Western Australia</t>
  </si>
  <si>
    <t>a forum for sharing foreskin-focussed content (mostly porn)</t>
  </si>
  <si>
    <t>Colombia</t>
  </si>
  <si>
    <t>Medical Information/Advice: They were informed by a doctor/medical literature that circumcision was medically unnecessary (e.g., citing AAP 1971/1975 statements or similar, or advice from a specific medical professional)., Born Abroad: You were born in a country where routine infant circumcision was not the cultural or medical norm at the time.</t>
  </si>
  <si>
    <t>Intact is preferred.</t>
  </si>
  <si>
    <t>The morals and ethics of unnecessary body alterations, especially when it belongs to someone else</t>
  </si>
  <si>
    <t>Genital Mutilation</t>
  </si>
  <si>
    <t>Ugly, dirty. Weird</t>
  </si>
  <si>
    <t>Ireland</t>
  </si>
  <si>
    <t>No problems</t>
  </si>
  <si>
    <t>No need for it here</t>
  </si>
  <si>
    <t>Flexibility &amp; movement</t>
  </si>
  <si>
    <t>Hygiene ???</t>
  </si>
  <si>
    <t>Curiosity</t>
  </si>
  <si>
    <t>Not applicable (parents are deceased, adopted and no contact, etc.).</t>
  </si>
  <si>
    <t>Nothing to share</t>
  </si>
  <si>
    <t>Average</t>
  </si>
  <si>
    <t>Short</t>
  </si>
  <si>
    <t>How it would feel</t>
  </si>
  <si>
    <t>Had no experience of this</t>
  </si>
  <si>
    <t>Am indifferent</t>
  </si>
  <si>
    <t>Sensitivity loss</t>
  </si>
  <si>
    <t>No applicable</t>
  </si>
  <si>
    <t>No idea</t>
  </si>
  <si>
    <t>No ifea</t>
  </si>
  <si>
    <t>Iteland</t>
  </si>
  <si>
    <t>Cork</t>
  </si>
  <si>
    <t>White / Caucasian / European American, Middle Eastern / North African (MENA), Multiracial / Biracial</t>
  </si>
  <si>
    <t>The most sensitive area is my frenulum, especially with lighter, circular motions. My shaft is sensitive mostly to firmer touch and gliding motion by borrowing scrotal skin. My glans is sensitive in an uncomfortable way most of the time, but feels some pleasurable sensation just before and during orgasm.</t>
  </si>
  <si>
    <t>My orgasm builds much like an exponential curve. There’s barely any pleasure until I’m getting close to climax. The final release is mild and brief, about 5 seconds on average. I liken my orgasm to a biological function more so than a deep satisfying release. Despite that, I do enjoy masturbation.</t>
  </si>
  <si>
    <t>When masturbating, I do not use lubrication, as I cannot receive enough stimulation to reach orgasm most times without a firm grip. With a partner lubrication helps.</t>
  </si>
  <si>
    <t>I find it difficult to help a partner navigate toward my pleasure centers. What stimulates me during masturbation doesn’t necessarily stimulate me with a partner. I require fairly precise movement and pressure in order to climax, otherwise I take a very long time to get there.</t>
  </si>
  <si>
    <t>I cannot see any advantages.</t>
  </si>
  <si>
    <t>Yes, my sensations are far from what I’ve seen and heard described by intact/restored individuals. I have come to realize many aspects of my life have been affected by my circumcision. Not having autonomy over one’s body, especially over something as personal and pleasurable as one’s foreskin, has taken a toll on me psychologically and emotionally.</t>
  </si>
  <si>
    <t>Religious Reasons: Performed as a religious ritual (e.g., Brit Milah in Judaism, Khitan/Sunnet in Islam) or based on religious belief., To Look Like Father/Peers: Desire for the son's penis to match the father's or other males in the family/community., Just standard practice: Based on observing its prevalence, assumed it was the default medical procedure without a specific individual reason., Hygiene: Belief that circumcision makes the penis easier to keep clean or is inherently more hygienic.</t>
  </si>
  <si>
    <t>When erect, my shaft has to borrow some scrotal and pubic skin. My scar line is misaligned on the ventral side by about half an inch, and the color difference between the inner and outer skin is stark, highlighting the scar. I have very little inner skin, probably a third of what I’d expect to have if left intact. My glans is very dry and received very little pleasurable sensation. My shaft skin is immobile without the borrowed skin mentioned before.</t>
  </si>
  <si>
    <t>Definitely the gliding motion and the impact of intact mucosa. Different sensations go hand in hand with that. I also wonder how I might feel differently about my penis if it were intact. More positive, I would assume.</t>
  </si>
  <si>
    <t>They first emerged when I saw an intact penis at the age of six or so. They’ve increased in frequency and intensity since I’ve looked into restoration. My discomfort and lack of genuine pleasure contributes greatly.</t>
  </si>
  <si>
    <t>No one can change the past, but I hope with my testimony they would choose not to circumcise if given the chance again.</t>
  </si>
  <si>
    <t>Curious about what might be different if intact, Motivated by research or learning about intact anatomy/function, Felt physically uncomfortable or experienced complications, Significantly dissatisfied with sensation, function, or appearance, Experienced feelings of loss, grief, or anger</t>
  </si>
  <si>
    <t>Achieve glans coverage and dekeratinization, Increased overall sensitivity, Feel more 'natural' or 'whole', Heal psychological trauma, Reclaim what was taken, Improve sexual pleasure/orgasms, Improve gliding mechanics/reduce need for lube, Regain gliding motion, Regain a sense of genital autonomy</t>
  </si>
  <si>
    <t>MM2/MM3 and T-taping</t>
  </si>
  <si>
    <t>I opened up to a friend about my disdain toward circumcision and educated them on the plethora of cons as I see them, and as I’ve read others have experienced them. They were dumbfounded and did a bunch of research on their own. They came back to me with what they found, and reiterated how disgusted they were that circumcision is so routine.</t>
  </si>
  <si>
    <t>RCI-2</t>
  </si>
  <si>
    <t>I’ve only been restoring for a few weeks, but my glans has been much less dry and is actually the slightest bit sensitive in a positive way, as opposed to my experience before.</t>
  </si>
  <si>
    <t>Not yet.</t>
  </si>
  <si>
    <t>In the future I hope to mirror the sentiment that reclaiming those words will be empowering, however at this time I feel the need for validation of my loss and grief. If I were to be magically done with restoration right now, I’d choose “restored”, because it acknowledges the trauma caused by my circumcision.</t>
  </si>
  <si>
    <t>The most challenging has been accepting what was done to me. I didn’t think about it being a no -consensual amputation of tissue until recently. The most rewarding would be the small improvements in skin texture on my glans even in the short time I’ve been restoring.</t>
  </si>
  <si>
    <t>Join a group or forum. The r/foreskin_restoration subReddit is awesome. It helps validate my own feelings, and it opens my eyes to just how common complications from circumcision are. I also appreciate the courage of others to share images of their restoration on r/restoringdick, as men are typically quite reserved about what they consider ‘problems’ with their genitals.</t>
  </si>
  <si>
    <t>It saddens me that there is a need for this technology in the first place, but I’m glad someone is working toward that end. I hope one day circumcisions are only ever done with medical justification, and extremely conservative at that.</t>
  </si>
  <si>
    <t>Religion plays a major role, but circumcised penises are seen as the norm.</t>
  </si>
  <si>
    <t>They’re harder to clean, prone to infection, unsightly, odorous.</t>
  </si>
  <si>
    <t>They’re clean, preferred, attractive.</t>
  </si>
  <si>
    <t>All of the above, unfortunately.</t>
  </si>
  <si>
    <t>Most of the world is uncircumcised and do not encounter the issues we wrongly assume to be associated with intact foreskin.</t>
  </si>
  <si>
    <t>It does. The amputation of vital anatomy of the male genitalia is totally fine, but the same is not said regarding female genitalia in much of the world.</t>
  </si>
  <si>
    <t>Genderqueer</t>
  </si>
  <si>
    <t>Generally it is only skin movement on what is left of my inner skin and frenulm remnant that provides real pleasure feelings</t>
  </si>
  <si>
    <t>it feels like a reflex, usually builds a little in the groin but is breif and does not lead to full body sensations usually</t>
  </si>
  <si>
    <t>Its hard to explain to partners that i don't really like glans touching when my glans is always exposed and leads to a lot of uncomfortable sensations</t>
  </si>
  <si>
    <t>feeling like i'm not enough, that i had to be changed, that people didn't care about me, the lack of sensation and the stealing of my body form me</t>
  </si>
  <si>
    <t>Just standard practice: Based on observing its prevalence, assumed it was the default medical procedure without a specific individual reason.,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 Cultural Tradition/Family Norm: It was a strong family tradition, cultural expectation, or simply "what people in our community did."</t>
  </si>
  <si>
    <t>short inner skin and frenulum fragment some mobile shaft skin, visable scar</t>
  </si>
  <si>
    <t>having a full frenulum, what full glide and a moist sensitive glans</t>
  </si>
  <si>
    <t>interacting with my penis generally can cause them as its a constant reminder that i was altered against my wishes, they first started when i was 12 and got more frequent when i started to turn 30</t>
  </si>
  <si>
    <t>How dare you teach me that bodily autonomy was key when you disreguard mine, if you truely have morals you won't do it.</t>
  </si>
  <si>
    <t>Experienced feelings of loss, grief, or anger, Significantly dissatisfied with sensation, function, or appearance, Motivated by research or learning about intact anatomy/function</t>
  </si>
  <si>
    <t>Heal psychological trauma, Regain gliding motion, Feel more 'natural' or 'whole', Reclaim what was taken</t>
  </si>
  <si>
    <t>I have tried andres manual methods and the DTR</t>
  </si>
  <si>
    <t>yes, most responses are generally neutral</t>
  </si>
  <si>
    <t>My glans is more smooth and sensitive and the sensitivity of my frenar area has increses</t>
  </si>
  <si>
    <t>has lead to some increse in the intensity of orgasms as well as more tollerance of lubed contact with my glans</t>
  </si>
  <si>
    <t>i am not considered restored yet, generally i don't feel either of thouse terms apply to me, over all i prefer restored though</t>
  </si>
  <si>
    <t>The depression at the amount of time it takes as well as just issues with skin griping and fatigue</t>
  </si>
  <si>
    <t>Try it, espeically if your in the strong anger and greif, it does help feel like you're reclaiming your body</t>
  </si>
  <si>
    <t>Just something you did, either cultually or for medical reasons</t>
  </si>
  <si>
    <t>that they were less clean and some how wrong</t>
  </si>
  <si>
    <t>they were cleaner, people prefered them</t>
  </si>
  <si>
    <t>Generally people are open to it or curous about both, there is a very slight preffernce to circumcised due to porn and the lack of experence with intact</t>
  </si>
  <si>
    <t>That it is hypocritical to preach consent when we deny our son's the right to make choices about their own genitalia</t>
  </si>
  <si>
    <t>i'd be willing to write essays</t>
  </si>
  <si>
    <t>HR Director</t>
  </si>
  <si>
    <t>Well, this certainly wasn’t the kind of questions I was expecting. I would say that inner skin is more sensitive and I have some frenulum left so that’s the most sensitive, though not very.</t>
  </si>
  <si>
    <t>It’s very… bland until the end, no feeling except for the touch.</t>
  </si>
  <si>
    <t>Can’t get phimosis? But the restorer in me will freak out if I don’t point out there are better ways to help with phimosis.</t>
  </si>
  <si>
    <t>Everything…? I’d kill to not feel my underwear on my tip every time I take a step. Also sexual pleasure, basically nothing. It’s awkward, looks bad, and I have PTSD from being cut (born before standard pain-prevention).</t>
  </si>
  <si>
    <t>I don’t have much mobile skin, though it’s not tight, I can glide but the sensation is so dull it’s not worth it.</t>
  </si>
  <si>
    <t>Sensation, gliding, frenulum, everything.</t>
  </si>
  <si>
    <t>The scar line, conversations around the topic, anything that brings my head to remember</t>
  </si>
  <si>
    <t>Skin bridges.</t>
  </si>
  <si>
    <t>Tell them to stop, I deserve freedom of choice and they don’t get to take that from me (also not everyone has phimosis and it doesn’t always end up being paraphimosis so don’t act like it does).</t>
  </si>
  <si>
    <t>Experienced feelings of loss, grief, or anger, Felt physically uncomfortable or experienced complications, Significantly dissatisfied with sensation, function, or appearance, Curious about what might be different if intact, Motivated by research or learning about intact anatomy/function, I have PTSD from being cut so… well I was a bit busy having panic attacks to remember how I fully felt.</t>
  </si>
  <si>
    <t>Improve sexual pleasure/orgasms, Reclaim what was taken, Heal psychological trauma, Improve gliding mechanics/reduce need for lube, Feel more 'natural' or 'whole', Increased overall sensitivity, Achieve glans coverage and dekeratinization, Regain gliding motion</t>
  </si>
  <si>
    <t>The Mantor resorter seems to be able to provide the most constant tension.</t>
  </si>
  <si>
    <t>My father, he tried to convince me that the health benefits were worth not doing it, I agreed to disagree.</t>
  </si>
  <si>
    <t>Somewhat? My skin, specifically the inner skin, seemed overly eager to lose all Katernization, something about being stretched every day.</t>
  </si>
  <si>
    <t>No I don’t believe it has yet.</t>
  </si>
  <si>
    <t>Uncut feels more like that means intact, uncircumcised I think would be better.</t>
  </si>
  <si>
    <t>Patients, goodness I knew it took a long time but going 6 months with little progress sure destroys motivation. Looking down and seeing the little bit of roll over, especially after a device.</t>
  </si>
  <si>
    <t>Prepare yourself, it’s going to take a long time, you’ll have to be crafty if you can’t get a real device. It will be worth it.</t>
  </si>
  <si>
    <t>It’s… helped keep me sane, it’s just hope but knowing that maybe one day it’ll all be over and I’ll basically wake up from what feels like a nightmare is really good for me.</t>
  </si>
  <si>
    <t>It’s final, you can’t go back, you are changing this babies life permanently and it could be against what they want. Freedom of choice, they’re human, they deserve theirs.</t>
  </si>
  <si>
    <t>My dad was the doctor who recommended it, during his residency he saw bad cases of balathisis, people screaming apparently as they were cleaned. I don’t think it connected that that only happens with bad hygiene and not taking care of yourself.</t>
  </si>
  <si>
    <t>I will gladly explain my story confidentially if it means that less babies in the future will be cut.</t>
  </si>
  <si>
    <t>Aesthetic Preference / To Look "Better" or "Neater": Belief that the circumcised penis looks more visually appealing, "prettier," or tidier than an intact one.,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t>
  </si>
  <si>
    <t>Computer Science / Engineering / Information Technology / Programming</t>
  </si>
  <si>
    <t>My penis generally prefers smooth textures. It's designed for gliding motion so even lubricated silicone is not as smooth or pleasurable as a partner's orifice or my own foreskin. Over time, my frenulum became a secondary site of stimulation due to the way I hold my penis when I masturbate (both hands or left hand with thumb behind the glans (ventral) and fingers over the corona (dorsal). This occurred during my early 20s. I masturbate 3-6 times a day or more. Now, my primary erogenous zone is my coronal flare (dorsal) which I leave covered with foreskin. Pleasuring my penis this way on both sides of the corona is very pleasurable. I also like to use all my fingers to move my foreskin around on my glans without retracting it (think a claw). I notice that stimulating my glans corona triggers a deep warm pleasure sensation in my prostate and perineum and this causes my penis to release precum. I occasionally like to stimulate my ring / acroposthion with my finger by rubbing it through the precum but primarily like to "jerk off" my doing a wrist motion outwards, causing the tip of foreskin / ring / acroposthion to close and to touch/rub against itself with the precum. Switching between these three (jerk, claw, fingering precummy acroposthion) is my favored way and incredibly pleasurable. Light sensation is the best but I like firm pressure on the bottom of my glans / corona; I think this is the case because it mimics the natural sensation of penetrating an orifice. During sex, I like deep long hard strokes which stretch my foreskin back to expose the sensitive inner foreskin or small pumps once I'm balls deep, allowing the foreskin to slide over/squeeze the corona with light movements. But with toys this does not feel very good. If I could I would still prefer penetration and if I could I would control when my foreskin retracts during penetration, but this is not possible for my penis.</t>
  </si>
  <si>
    <t>I have edged since I was a young boy since I started masturbating before puberty. The build-up is gradual and sustained unless I'm very horny and my penis is needy and hasn't cum in a couple of days.It is intensely pleasure, lingering, reminding me of glittery decoration and fireworks or a very fine perfume which I am lost in for about a minute. The emotional afterglow lasts much longer and I typically feel very relaxed and may fall asleep briefly. It is deep and satisfying to the point of being addicting. The ejaculation is centered on my penis and perineum/prostate, but the skin of my scrotum is quite erogenous as well as my anus so I may stimulate these in quick alternation as I reach climax. It is a full-body feeling, as if I am fulfilling my purpose and my penis is going to explode. For me, the best part is the build-up. As a teen and young adult, I would edge for up to 6-8 hours, staying up all night in my room looking at porn with an erection the entire time until I began to get blue balls and had to ejaculate around sunrise. I don't even deny myself orgasm or ejaculation in the end as it is enhanced by longer and longer edging and may be as good as the entire build-up itself in a single moment. I only wish it lasted longer and I'm jealous of those men who have orgasms lasting over a minute or pump out multiple ropes (I'm limited to 2-3). I recall my first ejaculation vividly and remember it almost burning as the semen shooting out actually felt better than dry ejaculations.</t>
  </si>
  <si>
    <t>Lubricants never have the correct texture and are tacking or sticky in a way that interferes with gliding motion and feel uncomfortable under my foreskin. Most water-based ones contain glycerin which is the main factor contributing to this. Non-water based are too slippery and remove all the delicious friction that makes gliding motion pleasurable, largely negating it. I have yet to find a lubricant which would enhance rather than diminish my experience (it would have the same texture and viscosity as precum). Female lubrication can sometimes be excessive and is too watery.</t>
  </si>
  <si>
    <t>If my partners are female, they usually don't know what to do with whole penis or with the foreskin and it has to be slowly negotiated or explained over several sessions. I usually put up with some pain during the beginning for affective/relational success. With males, I usually avoid circumcised males altogether as they do not know what they are doing and never quite understand the amount of sensitivity (incredibly pleasure if done correctly, pain if done carelessly).</t>
  </si>
  <si>
    <t>Everything. It feels better, looks better, smell better, tastes better. Circumcised males have compromised function, highly reduced sensation, and most of all highly impaired psychological well-being. Studies show this early pain trauma is linked to alexithymia and may increase psychological traits on the dark triad. Many men circumcised at birth require ED medication or have PE or both. I strongly suspect that circumcision is linked to cultural (both geopolitical and interpersonal) violence. Sexual frustration and difficulty is expressed in other areas of life and results in a desire for control and domination (emotional rather than physical hedonism). I have always thought whole penises and the foreskin are beautiful and highly appreciate my natural body. I have always found circumcised penises to be scarred, dried, and unattractive. I feel sad and pity them and think it is desecration to mutilate both penises and boys/men in this manner. It is not medicine as there are always alternatives including surgically (preputioplasty). Amputation would only ever be required in the case of cancer (&lt;0.1% and usually virally mediated thus preventable by vaccination) or frostbite/gangrene/necrosis. Gliding action is a necessary part of the cascade of reflexes leading to full erection, ejaculation, and orgasm (bulbocavernosus reflex/bulbospongiosus reflex or BSR/BCR). Males with a spinal cord injury have more function because of the preservation of this cascade and reflexes when intact. The penis is designed to penetrate deeply and remain there to ensure successful sperm deposition and reproduction (large size compared to other primates displaces tissue causing pleasure from expansion), usually with less movement (primary erogeneity is from the foreskin moving over the glans which is why humans uniquely evolved a large bulbous glans). We do not have large testicles since there is reduced partner competition among humans (serial monogamy). We don't have knots or ties (no need to prevent sperm addition or removal by competitors), nor barbs or spines (females are constantly fertile and we have sex frequently or daily). Unlike other animals, we are not prey and don't ejaculate rapidly (no evolutionary need) but are supposed to maximize pleasure sensations for pair bonding. The foreskin is key for this. The intromission function of the foreskin reduces friction by an order of magnitude or more especially when paired with pre-ejaculatory fluid (Taves 2002) and its gliding action likewise reduces friction during intercourse allowing for long sustained sex (pair bonding). Only human man has a proportionally large penis with large bulbous glans (not main erogenous zone as in other animals) meant to stimulate our own foreskin (main erogenous zone). To have foreskin is to be human!</t>
  </si>
  <si>
    <t>I ignore social misunderstandings as I'm not concerned; since I was a young preteen I have been certain of my penis' superiority over circumcised. I don't have any hygiene concerns and think this is old wives' tales foolishness that needs to vanish. I do teach partners what to do but I don't educate them per se as it readily becomes apparent that a whole penis is highly pleasurable.</t>
  </si>
  <si>
    <t>Being of a different race/ethnic background and having a different first language were only intensified by physical differences such as different facial features, darker skin, and whole/intact penis status. In grade school, I was alienated by my peers for my differences and had few friends. On occasion, I did make better friendships with males because of our shared intactness but many simply shunned me, having too much shame about their status. In order to avoid bullying during gym/locker room changes, I was quick or hid it but never felt inferior. I have always longed to be among peers where we could feel normal: other intact males. This made me an advocate of naturism.</t>
  </si>
  <si>
    <t>It's a sleeve that is unique on the human body. Protection functions are highly overemphasized since the glans only exists in its large size and unique morphology (compare to other animals) to support and stimulate the foreskin. The inner foreskin is much more sensitive but is best stimulated by movement over the smooth glans. I enjoy gliding motion and while I think easy and complete retraction are necessary for every male, I prefer to keep it largely covered during sexual activities. I produce precum and it lubricates the tip but may also cover the entire glans as a result of foreskin movement during activity. When that occurs, penetration feels better than continuing any other activity since it is now more lubricated / some sensations changed or reduced.</t>
  </si>
  <si>
    <t>N/A, I can always retract or tape back my foreskin. It's something only a child might be initially curious about and the initial exposure might be initially titillating. I see no reason to as the dry head loses sensation over time and contact with materials would lead to pigmentation of my pink glans and tissues.</t>
  </si>
  <si>
    <t>Circumcised partners have suffered from PE and ED even in their teens or 20s, and don't enjoy basic light touch. They find little enjoyment from frotting etc. They almost always need lubrication especially for penetration. They frequently feel pain from their exposed urethra rubbing or touching cloth or from soap entering. It takes them an extended amount of time to orgasm and ejaculate. Orgasm is brief, perfunctory. They usually struggle to reach it and do not greatly enjoy the process to climax or they may alternately not enjoy climax and only enjoy the process. Usually, they develop unusual fetishes from the psychological displacement to other forms of sensation or pleasure which are similar to what they experience (such as feet or tickling fetishes due to the intense but not truly erogenous sensation of directly stimulating the stimulation). Circumcised men are alternately much less sexual (reduced sensation) or hypersexual (high libido but must increase activity to make up for reduced pleasure). They tend to be more callous or less aware of their own emotional states/wellbeing. I avoid circumcised men as partners for this and other reasons.</t>
  </si>
  <si>
    <t>I don't mind 'uncut' since to me it reminds that whole males are more raw and masculine. The foreskin is pure masculinity (darker, wrinkled, abundant, fragrant). In contrast, uncircumcised is too obviously oxymoronic and normalizes circumcision and its discourses by its regular acceptance/conventionalization and medicalized formality. 'Foreskinned' is a stupid term unless comparing humans as animals to other species. I see the benefit in and use intact for discourse purposes, but it personally has too much proximity to the use of intact in animals (unneutered dogs). I am a man. A whole, natural male. I have a whole and natural penis. Anything else is submission to circumcision dogma. I am not ashamed and refuse to be bowed.</t>
  </si>
  <si>
    <t>Neither the appendix nor the tonsils are removed at birth (no one in my family has ever had these issues and they seem to be linked to white/Western diets and modes of living). Increasingly we understand their functions. 
I never have to give my penis a second thought, knowing that I am complete and fully functional as a man. Why would you diminish or reduce your son in any way, even prophylactically? 
There is no actual scientific evidence it has benefit but so much that is lost. Your son's body is a temple. His penis is sacred. He is not a dog.</t>
  </si>
  <si>
    <t>Nonsense or abusive.</t>
  </si>
  <si>
    <t>That was "ugly" or "smelly", whereas no whole cultures find these descriptions apt.</t>
  </si>
  <si>
    <t>Large head or glans ("tip").</t>
  </si>
  <si>
    <t>Internet discourse in my life time has drastically changed opinions.</t>
  </si>
  <si>
    <t>Logic has limited utility in swaying masses. Pathos is best. If I could, I would have every person experience the subjective personal sensation of having an intact versus circumcised penis.</t>
  </si>
  <si>
    <t>The 'monster' aspect displaces agency it when it is a choice volitionally made by adults humans on children. I see what you are getting at with invisible but this further displaces it. Like Aesop's fable of the fox and his tail, it is really about a turning away or blindness, a refusal to see and a refusal to stop (which would mean confronting the monstrous truth). It's normalization by spreading/sharing the harm.</t>
  </si>
  <si>
    <t>It's important that high-level planning is done privately among those interested in combating cutting discourses (e.g. whole penis = "dog dick"). Intactivists are usually mad, typically survivors of this procedure, and difficult to communicate or organise with. There are too many different contrasting stances and opinions for any unity that would be necessary. I have tried to organize to make subtle but profound changes on Reddit but have been largely unsuccessful in garnering long-term support.</t>
  </si>
  <si>
    <t>Reach out on Reddit to u/qarlap</t>
  </si>
  <si>
    <t>No. It was just something stated to be done in the context of scripture. I found examples against it in the New Testament for myself in my 20s and first saw a Lutheran Pastor speak against it when I was almost 30.</t>
  </si>
  <si>
    <t>There is this weird desire amongst the Lutherans that I have grown up with to idolize specific Jewish law from the old testament, in this case circumcision, yet get violently opposed to others, such as not eating certain meats. I feel like when Kellogg and these other pro circumcision moralists in the 1950s pushed this as something for Christians to do, it somehow stuck and had been a blight in their thinking that hasn't gone away. Lastly, with the exception of that one pastor I have never heard another one in 38 years speak on the topic.</t>
  </si>
  <si>
    <t>Sensative to touch, but not light touch. Sensitivity is at its highest when I'm getting hard, then the head almost becomes numb to friction and I struggle to maintain a feeling of pleasure.</t>
  </si>
  <si>
    <t>Currently my orgasms are fairly quick and not as explosive as they were years ago. On a good day I will feel it radiate up my back, but most of the times it's very localized to the pelvic region with some light muscle spasms in the thighs.</t>
  </si>
  <si>
    <t>I get the most pleasure from the friction or force on my penis, so at least when it comes to masturbation, I find myself not using lube most times. However, since I'm cut this usually leads to tears or friction burns, depending on how long I go. Lube is necessary for actual sex.</t>
  </si>
  <si>
    <t>Because my sensitivity is at its highest leading to an erection, as sexual activity progresses, I become more numb on the glands. This has led to moments where I start getting soft, and she begins to wonder if there's something wrong she is doing. Saying it's not you, it's me, rarely works. And since I'm in the USA and most women have experience with other cut men, they compare my lack of sensitivity to other situations where they've had no issues, and they believe that I'm lying and it is their fault.</t>
  </si>
  <si>
    <t>Unsure / I haven't paid attention to this.</t>
  </si>
  <si>
    <t>I'm not sure what they would be. I guess the one time I was asked by a girl about it and I said I was cut, she said good and then blowed me. Beyond that, I'm sure what's good about it.</t>
  </si>
  <si>
    <t>I was cut too tight. Early erections as a child would tear shaft skin and likely contributed to peyronies disease, that I would later be recommended to fix via surgery. All sexual activity has required lube of some sort, even when young. Prolonged activity would usually lead to dryness and friction, which would cause tears or burns on my penis.</t>
  </si>
  <si>
    <t>Just standard practice: Based on observing its prevalence, assumed it was the default medical procedure without a specific individual reason., Medical Advice (without stated necessity): Recommended by a doctor or healthcare provider without explaining a specific existing medical problem, perhaps framing it as routine or generally beneficial.</t>
  </si>
  <si>
    <t>Direct Medical Authority: Specific advice from their obstetrician, pediatrician, or the hospital staff where you were born. (The voice of a trusted professional)., 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t>
  </si>
  <si>
    <t>Scar is very noticeable and almost halfway down the shaft when erect. Prior to restoration, the skin was super tight, like the insides were trying to break out. Glans was always visible.</t>
  </si>
  <si>
    <t>Gliding motion and the feeling of being flaccid with a protective layer over the head. And then wondering what that head would feel and look like after not rubbing against clothing.</t>
  </si>
  <si>
    <t>Peyronies disease. A surgery to fix curvature from internal damage was done when I was 20. I sought out treatment because erections had been painful as a young teen and got worse as I got older. Tried chemical injections first to fix it, but they didn't work. Stretching exercises and devices were not recommended by the "specialists".
they put the surgical scar on top of my circ scar, almost like they knew that would be the best way to hide one surgery with another. The first scar already bothered me, but to see it become more prominent following the surgery angered me. It also angered me to learn that my condition may have been caused by the circumcision to begin with, and that alternative options to to surgery were available but in typical American doctor fashion they went straight to surgery.</t>
  </si>
  <si>
    <t>When I was 14 in high school. I grew up, and still am, Christian and heard old testament stories about circumcision. All I knew was that it involved my penis. High school was when I first saw a foreskin and what was done to remove it. Knowing that it was unnecessary for religious reasons started the anger of went out was done to me. I then had access to the internet and began to read up on the medical necessity, or lack there of, of the surgery and sealed it for me. It was done to me without my consent and for no good reason.</t>
  </si>
  <si>
    <t>Overly tight skin, confirmed. Suspected it contributed to Peyronies disease curvature.</t>
  </si>
  <si>
    <t>I don't knew why you did this, if it was a deliberate choice or a passive don't care type of choice, but it wasn't right. There was and still is no reason to do this to me or any other boy. And while things can't be changed for me, they can be for others. And if I ever have a son, I will never do this to him.</t>
  </si>
  <si>
    <t>Felt physically uncomfortable or experienced complications, Generally satisfied or hadn't thought much about it, Curious about what might be different if intact</t>
  </si>
  <si>
    <t>Feel more 'natural' or 'whole', Reclaim what was taken</t>
  </si>
  <si>
    <t>T tape to start, but I became impatient with it. I moved on to the DTR and used it for awhile, but the bell would cut off circulation so I could not wear it the recommended 8hrs a day. Weight tugging with ForeGestalt is the most comfortable method I have foind, along with their indirect air system, and I think it's working. I am still in the process.</t>
  </si>
  <si>
    <t>No. The majority of my friends come from a Conservative Christian background, and are conditioned to believe that it's somehow necessary for religious purposes, despite it Christianity opposing it in the new testament.
The closest I came was telling my younger brother I opposed circumcision, and I got the stereotypical American "it's no big deal" answer. I didn't try to explain that I was attaching devices to my penis to stretch the skin.</t>
  </si>
  <si>
    <t>I have no increased sensation, as I no longer have a frenulum.</t>
  </si>
  <si>
    <t>If I wait a week to have an orgasm following a full week of restoration, the corona of my gland feels great. This is when I get the rare orgasm where my legs shake and I can feel it up my back.</t>
  </si>
  <si>
    <t>I would never call myself either of those terms, since even if I achieved CI 10 coverage, I know that I will never be truly whole. Personally I hate both of those terms to begin with, as they seem to define a natural state in a negative sense (not being or Un being). Intact and natural are better terms to me.</t>
  </si>
  <si>
    <t>Time. I have been at this for 18 years and I'm still at CI4. As I get older it appears to be more difficult to make any gains. But the few times I see the skin roll over the glands or if I hold it over and it stays for a few minutes, that's when I get motivated.</t>
  </si>
  <si>
    <t>Be patient. Most people recommend starting with T Tape to get a base amount of skin, and they're right. I abandoned it too quickly and went straight to devices and I believe that set me back. And don't work through pain. Physical pain does not mean it's working harder or faster.</t>
  </si>
  <si>
    <t>I wish this technology success and that it would become widely available to all men worldwide (although knowing American Healthcare, they will probably try and jam it up or make it cost prohibitive.)</t>
  </si>
  <si>
    <t>American Medical Society pushes circumcision as a medical necessity, so it's usually not questioned since the "experts" recommend it. And in my experience among American Christians, there is this weird overlap where they feel this one facet of Jewish Old Testament law is still a necessary action and so they feel they have to do it ( some view it under the lens of "it couldn't hurt" which implies that it could help spiritually. This flies in the face of Christian teaching that faith not works leads to salvation).</t>
  </si>
  <si>
    <t>The common stereotype I heard in high school was they were weird or dirty. And only "foreigners" had them, not "Americans". I didn't even know what an intact penis was or looked line until I was 14. I felt like not acknowledging them was a way saying anyone natural was "different".</t>
  </si>
  <si>
    <t>They look better, are cleaner, and girls like them better were all the things I heard growing up.</t>
  </si>
  <si>
    <t>The fact that cut was the default state of most men for multiple Generations in America shaped it as the norm. In my experience, the vast majority of men and women have no idea what a foreskin is or does. Men don't want to admit something is wrong or done to them, and women have been conditioned to believe that cut is how it should look.</t>
  </si>
  <si>
    <t>What a foreskin is and does, and mostly what it doesn't do and the issues it doesn't cause.</t>
  </si>
  <si>
    <t>Stay-at-Home Parent / Homemaker, Personal Care / Service</t>
  </si>
  <si>
    <t>Military Service, taxi</t>
  </si>
  <si>
    <t>Man, Questioning</t>
  </si>
  <si>
    <t>I was not taught and I never thought about it.</t>
  </si>
  <si>
    <t>It doesnt feel sensitive at all untjl I am close to orgasm.</t>
  </si>
  <si>
    <t>The intensity feels alright. The build-up feels like a long, boring and sometimss even painful process. The quality feels alright</t>
  </si>
  <si>
    <t>it feels annoying that I always need to use lubrication .</t>
  </si>
  <si>
    <t>I honestly cant think of any</t>
  </si>
  <si>
    <t>My penis diesnt have a 'glider' or solid lubricant so mastuebation is harder. Also I do believe my orgasms are less intense.</t>
  </si>
  <si>
    <t>Religious Reasons: Performed as a religious ritual (e.g., Brit Milah in Judaism, Khitan/Sunnet in Islam) or based on religious belief., Prophylactic Health Reasons (Specific Disease Prevention - e.g., Cancer, STIs, HIV, UTIs): Belief that it lowers the risk of specific diseases later in life (e.g., penile cancer, certain sexually transmitted infections like HIV or HPV, infant urinary tract infections - UTIs)., Aesthetic Preference / To Look "Better" or "Neater": Belief that the circumcised penis looks more visually appealing, "prettier," or tidier than an intact one., Parent's General Preference: Parents simply preferred the circumcised appearance or state without specific medical, religious, or cultural reasons being primary., Cultural Tradition/Family Norm: It was a strong family tradition, cultural expectation, or simply "what people in our community did.", Punitive/Punishment: Used as a punishment or consequence. (Note: This is rare in standard medical contexts but sadly documented in some historical/abuse settings).</t>
  </si>
  <si>
    <t>Prevailing Health &amp; Hygiene Beliefs: General societal "knowledge" at the time—gleaned from various sources—that presented circumcision as being fundamentally cleaner, healthier, or preventive of future diseases. (The power of a cultural 'truth')., Religious Mandate/Tradition: A direct requirement or strong cultural expectation stemming from their religious beliefs and community. (The power of faith)., Lack of Counter-Information: Crucially, the simple absence of any strong, readily available information presenting the benefits of intactness or the risks of circumcision, making it an easy default choice. (The power of silence).</t>
  </si>
  <si>
    <t>It has always feltls tight when Im erect. It it feels somewhat tight even when Im not erect. The only thing Id say that went well about my circumcision is that my penis wasnt cut in half like Dave Reimer's</t>
  </si>
  <si>
    <t>deifference in pleasure, ability to reach orgasm, durationnof orgasm, how my future partners would feel in compariason to a circumcised penis.</t>
  </si>
  <si>
    <t>every time I masturbate or witness sexual activity in some type of media</t>
  </si>
  <si>
    <t>painful erections, difficulty maturbating</t>
  </si>
  <si>
    <t>YOure both idiots who let traditions dictate your life more than youll everr allow YOURSELF to ever dictate your life lol</t>
  </si>
  <si>
    <t>Experienced feelings of loss, grief, or anger, Motivated by research or learning about intact anatomy/function, Felt physically uncomfortable or experienced complications, Curious about what might be different if intact, Significantly dissatisfied with sensation, function, or appearance</t>
  </si>
  <si>
    <t>Increased overall sensitivity, Improve gliding mechanics/reduce need for lube, Feel more 'natural' or 'whole', Regain gliding motion, Achieve glans coverage and dekeratinization, Improve sexual pleasure/orgasms, Reclaim what was taken, Heal psychological trauma</t>
  </si>
  <si>
    <t>MAnual Tugging</t>
  </si>
  <si>
    <t>Nobody I have talked to cares about me restoring.</t>
  </si>
  <si>
    <t>No changes that Ive noticed.</t>
  </si>
  <si>
    <t>it simply makes reaching orgasm slightly easier</t>
  </si>
  <si>
    <t>Well Im not restored yet so.... But anyways, uncircumcised and uncut means the natural state of the penis</t>
  </si>
  <si>
    <t>The most challenging part is how long itll take</t>
  </si>
  <si>
    <t>I share with them all the things I have seen condemning circumcision. Like...
Study of Danish men shows that amongst about 800,000 men tested those who were circumcised had higher STD and HIV rates
https://link.springer.com/article/10.1007/s10654-021-00809-6  
Study of almost 400 men shows that after circumcision more of them reported having more difficulty achieving orgasm and masturbating than before 
https://pubmed.ncbi.nlm.nih.gov/17155977/ 
histological study of 26 men showed that the foreskin was the most neurologically sensitive part of the penis. The foreskin also played a part in protecting the glan of the penis from rubbing against clothing that made it more sensitive in those with a foreskin https://onlinelibrary.wiley.com/doi/full/10.1111/joa.13481       
 Intact America Survey finds that the majority of mothers who were prompted to give their son a circumcision accepted meanwhile the majority who were not did not give their son a circumcision. mothers were asked on average 8 times if they wanted to circumcise their son. Soft sells,” such as being handed a consent form, increased circumcisions by 137%. Instead mothers should be given informational materials on how to clean theirvintact son's foreskin. the foreskin will correctly retract after late puberty 
https://intactamerica.org/press-release-having-a-baby-boy-get-ready-for-the-circumcision-sellers/ 
American Academy of Pediatrics representatives get grilled on questions that have to do with the functionality of the foreskin AND OF COURSE, they cannot answer them. Because they're corrupt bribed shills! 
https://www.youtube.com/watch?v=wUU6g_hoGvU 
https://www.researchgate.net/publication/334636997_Perversion_and_Perpetration_in_Female_Genital_Mutilation_Law_The_Unmaking_of_Women_as_Bearers_of_Law 
A study of nearly 200 adolescents from Tanzania, Zimbabwe, and South Africa show overwhelming ridicule of those who have an intact penis and a ton of misinformation. Women believed that men who had a circumcision could be more promiscuous and that having a circumcised penis improved the sexual health of all partners involved in sex. Men reported a widespread support from female lovers to get a circumcision. There is no evidence that male genital mutilation or circumcison leads to significant increases in pleasure or decreases in disease transmission rates . The circumcision propaganda machine is clearly working! 
https://www.ncbi.nlm.nih.gov/pmc/articles/PMC5888916/ 
according to the CDC and what they examined amongst men in the USA at least. The rates for breast cancer and penile cancer in men are actually about the same. 
https://www.cdc.gov/cancer/breast/men/index.htm 
https://gis.cdc.gov/Cancer/USCS/#/Trends/ 
https://www.cdc.gov/cancer/breast/basic_info/index.htm#:~:text=Each%20year%20in%20the%20United,What%20Is%20Breast%20Cancer%3F 
https://www.healthline.com/health-news/cancer-of-the-penis-is-rare-but-can-quickly-become-deadly 
Therefore, In men preventative mastectomies against breast cancer are more justifiable than circumcisions as preventative measures against penile cancers. 
(And also yes being bigger or having more skin does increase your odds of getting some cancers as having more skin cells increases your odds of getting cancer... but I doubt that penile cancer is one of them - https://www.bbc.com/news/magazine-34515952) 
https://i.redd.it/or5hgojxkk991.png 
"Does Circumcision Reduce Men’s Sexual Sensitivity? " Sham article that was 'medically reviewed' by a person who...is a writer that majored in English!? HOW!? We don't see people who majored in mathematics medically reviewing articles, right? So why should people who majored in English be the ones to medically review stuff??! We should have had a surgeon or doctor medically reviewing all human anatomy articles 
https://www.psychologytoday.com/us/blog/all-about-sex/201510/does-circumcision-reduce-men-s-sexual-sensitivity 
https://archive.is/u0l9C 
https://www.circumstitions.com/resent-celebs.html#affleck 
https://bristoluniversitypressdigital.com/view/journals/gd/12/1/article-p9.xml 
https://docs.google.com/document/d/10vHvJlEizN88J83r5H0FtUa627GykBum1IWOry-JeR0/edit 
You can't even trust the wrold health organization for accurate information on male genital mutilation and circumcisions since they are biased and ahve blood money from bill gates and melinda foundation 
https://en.intactiwiki.org/wiki/World_Health_Organization#cite_note-garenne2022B-30 
Posts and surveys from hundreds of people showing their anger against having had been circumcised. 
http://www.circumstitions.com/Resent.html 
The ridiculousness of male circumcision 
https://www.dovepress.com/female-genital-mutilation-and-male-circumcision-toward-an-autonomy-bas-peer-reviewed-fulltext-article-MB 
AccorDing to the Circumcision Information and Resources Pages, studies they have reviewed have shown that circumcision laeds to problems like premature ejaculation, erectile dysfunction, and less marital and sexual satisfaction 
http://www.cirp.org/library/anatomy/ 
A heroic website created by women who talk about how their partner's circumcision has negatively impacted their lives 
http://www.drmomma.org/2009/07/how-male-circumcision-impacts-women.html 
Phimosis: Stretching Methods with or without Application of Topical Steroids? 
https://www.jpeds.com/article/S0022-3476(05)00684-0/fulltext 
The penises of mutilated boys of the Ulwaluko tribe who are forced to undergo circumcision from a young age in unhygenic settings by unprofessional surgeons (VERY NSFW) 
https://en.intactiwiki.org/wiki/Ulwaluko#Ulwaluko_photos_collection 
"There Are 20 Different Penis Types — and They’re All Important" SHAM article written by a quack which downplays the terrors of circumcision. Even in the article they recommend that circumcised penises should most likely use lubrication for masturbation...right after saying that circumcised penises function similarly to uncircumcised ones!? wooot!? Another SHAM article that's what!
https://www.healthline.com/health/types-of-penises#penis-defined 
 Lost Boys: An Estimate of USA Circumcision-Related Infant Deaths 
https://www.academia.edu/6394940/Lost_Boys_An_Estimate_of_U.S._Circumcision-Related_Infant_Deaths 
Numerous cases Of chidren having their penises burned and severed off as a result of a botched unnecessary circumcision process 
https://intaction.org/botched-circumcision-baby-loses-penis-malpractice/ 
Doctor Accidentally Lasers Off Boy’s Penis During Circumcision 
https://www.menshealth.com/health/a19535324/laser-circumcision/ 
Boy who was forced to live as a woman after their genitals had been seriously damaged in a botched circumcision in Canada 
https://canadiancrc.com/newspaper_articles/Globe_and_Mail_Boy_raised_as_girl_suffered_final_indignity_11MAY04.aspx 
According to a small survey the prevalence of death-grip syndrome , which is a serious destruction of nerves in the penis due to harsh masturbation, is moreso prevalent in circumcised men than in non circumcised men.   
http://www.joseph4gi.com/2019/11/death-grip-and-circumcision-is-there.html?m=1 
The foreskin is a massive organ remember! It covers the whole of the penile shaft from the meatus to the testicles and it slides back and forth and acts as a natural protector and solid lubricator for the penile shaft during masturbation or intercourse. Men with no foreskin tend to be gripping the the unprotected urethral shaft , which is not meant to be tightly gripped at all one should note, just as tightly as they would a protected one. That unprotected urethral shaft over time WILL receive thousands of  microinjuries and destroyed nerves over time. The loss of nerves in that region means that a man has to grip the unprotected urethral shaft harder and *Harder* and  this damage eventually results in a loss of stimulation. I am sure there are many women out there who suffer from **dead vagina syndrome** which was made worse by their unconsensual circumcision!   
https://metro.co.uk/2017/12/13/need-know-dead-vagina-syndrome-7156032/   
There has also been a connection found between delayed ejaculation and circumcision. Some men with circumcised penises have found that the suffer from delayed ejaculation as a result of the numbness https://sci-hub.se/10.1111/and.12101 
A study of over 100 men proved that a circumcised penis is FAR less sensitive than a uncircumcised one in the ventral scar and glans of a penis because the foreskin protects the man's ventral scar AND glans from unwanted overstimulation (like when a man's glan is rubbing against his pants on a shaky bus ride)  and environmental damage like water running down his urethra during a shower - https://sci-hub.se/10.1111/j.1464-410X.2006.06685.x It is possible that circumcised women ALSO experience a decrease in stimulation to the clitoris without the clitoral hood due to , once again, overstimulation and environmental damage and it is possible that a woman gets her clitoral hood chopped off in a unconsensual circumcision. I believe, and I'm sure most men agree with me, that a woman has the right to be born with and grow up wit h a vagina that is unharmed and unadulterated and gives her as much sensitivity as she wants. Now, why do I as a man not have this right to having a protection against over stimulation and environmental damage?! In this case both men and women are getting fucked over equally 
I then also tell them that there communities of people restoring their foreskin with thousands of people like reddit's foreskin restoration community</t>
  </si>
  <si>
    <t>that uncircumcised penises were 'unclean'</t>
  </si>
  <si>
    <t>that circumcised penises were 'clean'</t>
  </si>
  <si>
    <t>the medical community that is owned by billionaires, y, the media that is owned that billionaires, old cultural beliefs, old religious beliefs</t>
  </si>
  <si>
    <t>Id tell them that I havr difficulty masturbating and am freuqently in pain when erect so maybe their children or grandchildren will have the same wheb they grow up. But saying such this is not allowed normally...</t>
  </si>
  <si>
    <t>No .</t>
  </si>
  <si>
    <t>Maybe. It depends on if I have the time and what type of platform I am sharing it on...</t>
  </si>
  <si>
    <t>discord</t>
  </si>
  <si>
    <t>Light touches are very sensual, my frenulum and rigid band are the most sensitive.</t>
  </si>
  <si>
    <t>Relatively intense, last quite a while and can edge over an over.</t>
  </si>
  <si>
    <t>Lubrication can be fun but never necessary.</t>
  </si>
  <si>
    <t>Sensitivity and sexual pleasure. Psychological wellness, knowing that I am intact and have not been cut.</t>
  </si>
  <si>
    <t>Hygiene, medical issues like balanitis.</t>
  </si>
  <si>
    <t>Ethical Concerns: They had ethical objections to non-consensual surgery on a healthy child/believed strongly in bodily autonomy or children's rights., Father is Intact: The father is intact, and this influenced their decision, Cultural Background/Family Tradition (of intactness): They came from a family or cultural background where intactness was the norm.</t>
  </si>
  <si>
    <t>Preteens, wanted to fit in with the other boys around me.</t>
  </si>
  <si>
    <t>Always felt out of place in the locker rooms at school, very few other intact boys.</t>
  </si>
  <si>
    <t>Love foreskin attention both the outer and inner foreskin feel great to be touched. tugging and tight rectractions also feel very good.</t>
  </si>
  <si>
    <t>Very important to my sexual pleasure. Very sensitive and feels amazing to be touched or rubbed.</t>
  </si>
  <si>
    <t>How it would feel without my foreskin, what being bare all the time would feel like.</t>
  </si>
  <si>
    <t>Sensitivity is very different and different parts of the penis feel good to be touched.</t>
  </si>
  <si>
    <t>I prefer intact to uncut or uncircumcised</t>
  </si>
  <si>
    <t>How much pleasure and joy a foreskin can bring, and how easy it is to keep hygienic.</t>
  </si>
  <si>
    <t>Circ was seen as a expected medical norm.</t>
  </si>
  <si>
    <t>That they were dirty, unhygienic and ugly.</t>
  </si>
  <si>
    <t>Cleaner, seen as normal.</t>
  </si>
  <si>
    <t>Hygiene and aesthetics from porn and cultural norm.</t>
  </si>
  <si>
    <t>That a intact penis is just as healthy and normal as a uncut one.</t>
  </si>
  <si>
    <t>Circumcision is seen as a norm and accepted, but it is genital mutilation.</t>
  </si>
  <si>
    <t>love it all</t>
  </si>
  <si>
    <t>mind blowing</t>
  </si>
  <si>
    <t>its fun but dont need it</t>
  </si>
  <si>
    <t>when I was younger I was bad at talking about my preferences and needs</t>
  </si>
  <si>
    <t>its awesome and I feel bad for every man who had it done</t>
  </si>
  <si>
    <t>fuck no</t>
  </si>
  <si>
    <t>Ethical Concerns: They had ethical objections to non-consensual surgery on a healthy child/believed strongly in bodily autonomy or children's rights., Lack of Perceived Benefit: They didn't see any compelling reason to circumcise., Cultural Background/Family Tradition (of intactness): They came from a family or cultural background where intactness was the norm.</t>
  </si>
  <si>
    <t>when yoiung mabye</t>
  </si>
  <si>
    <t>lots of foreskin moves easily, super sensitive. Current GF loves it</t>
  </si>
  <si>
    <t>The best feeling in the world</t>
  </si>
  <si>
    <t>scary</t>
  </si>
  <si>
    <t>good with it. prefer intact but uncut is fine</t>
  </si>
  <si>
    <t>wish they wouldn't do it but its not easy to discus</t>
  </si>
  <si>
    <t>no stereotuype but I was always different</t>
  </si>
  <si>
    <t>no one had anything negative to say, just different</t>
  </si>
  <si>
    <t>no one thing but people need more info</t>
  </si>
  <si>
    <t>it is very true</t>
  </si>
  <si>
    <t>no thank you</t>
  </si>
  <si>
    <t>yes if asked</t>
  </si>
  <si>
    <t>Clerical / Administrative Support (e.g., Secretary, Office Clerk), Loan Documentation and Government Contract work</t>
  </si>
  <si>
    <t>Transgender Woman, Non-Binary</t>
  </si>
  <si>
    <t>Nope not really. It was mentioned as part of various stories in the bible, but not with any particular bias or hinting inclination of moral value.</t>
  </si>
  <si>
    <t>Frenulum remnant is very sensitive to touch and stimulation, the corona is close behind it. Beyond that it's pretty even across the board at a moderate level.</t>
  </si>
  <si>
    <t>Build-up can be tricky, and absolutely not without some form of lubrication or other assistance, gliding motion is aided more by unusually stretchy skin, than major restoration progress. Final release is almost always fairly satisfying, on best days is very intense and widespread in feeling and "glow."</t>
  </si>
  <si>
    <t>It hurts more, has to be shorter, and is less pleasure by and order of magnitude without it.</t>
  </si>
  <si>
    <t>I am in neutral about the detriments, but I don't really see that many advantages. I disagree with most of the ones people talk about, but I am not overly discouraged because of that. I do like the way I look, and I am fairly happy with it all things considered. But I wouldn't necessarily call it a plus side.</t>
  </si>
  <si>
    <t>As more and more understanding dawned about the differences, the loss of agency bothered me more and more, surpassing the actual physical effects. It was just another decision that my parents made for me, that can't be so simply reversed like some of the others.</t>
  </si>
  <si>
    <t>Cultural Tradition/Family Norm: It was a strong family tradition, cultural expectation, or simply "what people in our community did.", Prophylactic Health Reasons (General Prevention): Belief that it prevents potential future health problems (e.g., infections, inflammation, later penile issues) that were not currently present., Just standard practice: Based on observing its prevalence, assumed it was the default medical procedure without a specific individual reason., Prophylactic Health Reasons (Specific Disease Prevention - e.g., Cancer, STIs, HIV, UTIs): Belief that it lowers the risk of specific diseases later in life (e.g., penile cancer, certain sexually transmitted infections like HIV or HPV, infant urinary tract infections - UTIs).</t>
  </si>
  <si>
    <t>Fairly loose and mobile shaft skin across the large majority of the length. Some bunching around the scar line for about a quarter of an inch, before reaching the corona. A decent frenular remnant, likely no partial frenectomy, consistent bbunchingand wrinkling all around. Fairly prominent scar line about four or five shades darker than the surrounding skin. Fairly consistent size all around, with a couple thinner or thicker sections. When erect skin is still relatively mobile and can be pulled to about half glans coverage no apparent "turkey neck" or drawing up of scrotal skin despite my outside of average dimensions, plausibly indicating that decent leeway was given, and a fairly loose cut overall.</t>
  </si>
  <si>
    <t>I am most curious about the differences my frenulum and Corona will feel like when they are covered 24/7. I'm sure it will feel different, and I am very interested to know in exactly what ways. And what more natural easier gliding motion feels like.</t>
  </si>
  <si>
    <t>Hard to say when they emerged, but usually when things are more difficult, or I think about others who don't have these problems or experiences, it makes me think of them more.</t>
  </si>
  <si>
    <t>What was the largest factor in why you did have it done, and would you do it differently now?</t>
  </si>
  <si>
    <t>Curious about what might be different if intact, Motivated by research or learning about intact anatomy/function, Felt physically uncomfortable or experienced complications, Mildly dissatisfied with sensation or appearance</t>
  </si>
  <si>
    <t>Increased overall sensitivity, Regain gliding motion, Feel more 'natural' or 'whole', Reclaim what was taken, Improve gliding mechanics/reduce need for lube, Achieve glans coverage and dekeratinization, Improve sexual pleasure/orgasms</t>
  </si>
  <si>
    <t>Primary Manual Methods 2 and 5, more recently DTR.</t>
  </si>
  <si>
    <t>Somewhat confused but supportive of pursuing restoration for my partner. Quite supportive for my sister. No one else known, just not relevant to bring up, and I don't have the world's best relationship with my parents.</t>
  </si>
  <si>
    <t>Some degree of change has been noticed, but I haven't been restoring long or consistent enough for more than minor improvement. Largely surrounding the frenulum, but also around the scar line and the small amount of new skin.</t>
  </si>
  <si>
    <t>Minor improvements all around.</t>
  </si>
  <si>
    <t>To me they kind of mean on modified, or otherwise "parts as they came" and I don't have strong feelings about them from that perspective. I have heard people talk about not liking them because it seems to imply that circumcision or being cut is the norm, but I don't really feel that way.</t>
  </si>
  <si>
    <t>It's really hard to form the habits, be consistent, really connect with your body and understand what it wants and needs from you, and to communicate all of that to anybody else. The most rewarding was the first time I saw real noticeable change, and was reassured that it was working, and that this was possible.</t>
  </si>
  <si>
    <t>It's going to be some time before major change occurs, but it might not be as long as you think for small improvements, and motivating steps forward.</t>
  </si>
  <si>
    <t>Well some research has come out that is somewhat promising, I think the accessibility is always going to be subject, or certainly for a very long time. And it's full total viability might not be until many people who are even starting just now, have otherwise completed restoration.</t>
  </si>
  <si>
    <t>I think if you asked most people they would see it as a religious thing, due to the prominence of the practice in Judaism. But if you asked why was it done for non jews, they would probably say something along the lines of it's just a medical thing, or that's just how America likes things aesthetically.</t>
  </si>
  <si>
    <t>It never really came up much to have stereotypes about it.</t>
  </si>
  <si>
    <t>Same as above</t>
  </si>
  <si>
    <t>I think the general sentiment is shifting as people ask the questions more often, and I also think as more people get exposure to intact penises, they noticed the advantages and are more amiable to the aesthetics.</t>
  </si>
  <si>
    <t>You don't have to say yes, it isn't necessary for everyone.</t>
  </si>
  <si>
    <t>I like the general framing, but while the practice is a monster, I think describing it like that more likely alienates the parents who didn't mean to unleash that on their children. Framing like the hidden harm or unknown evil, probably speaks more to parents who didn't realize what they were doing.</t>
  </si>
  <si>
    <t>I think so. I have learned a lot more about it since then, so I'm a little uncertain.</t>
  </si>
  <si>
    <t>I trust St. Paul when he says it's not necessary and even problematic.</t>
  </si>
  <si>
    <t>I'm not aware of it being particularly sensitive to one thing over another.</t>
  </si>
  <si>
    <t>It varies from orgasm to orgasm.</t>
  </si>
  <si>
    <t>Need it for using a Fleshlight, but that's the nature of that toy. Otherwise use it rarely on my own. Use it with a girl if she requests it (or if the condom is prelubed).</t>
  </si>
  <si>
    <t>Ease of stroking; protection of glans; sensation in the foreskin; looks good.</t>
  </si>
  <si>
    <t>Some partners were curious but then didn't have a problem once they got acquainted with it. Some male friends have expressed a cultural norm that penises should be circumcised or that being uncircumcised is odd, and I didn't feel comfortable talking about it.</t>
  </si>
  <si>
    <t>Unsure; but possibly religion as mother was roman catholic.</t>
  </si>
  <si>
    <t>My answer is NO, but:
My pediatrician was having trouble retracting my foreskin (not sure how old I was, but probably 7-ish). Doctor said that was a problem (not sure what would have happened next). But then I showed him that I could do it and that ended the conversation.</t>
  </si>
  <si>
    <t>I was always careful to not be naked in front of others, such as in the locker room at school, or in front of my aunt (who would hold up a towel to let the boys change near the pool while girls went to change in the bathroom).</t>
  </si>
  <si>
    <t>It glides back and forth easily and reduces friction. Not sure what else to say.</t>
  </si>
  <si>
    <t>I don't know. I haven't often tried giving attention to it. (I do know about it from a Ron White joke, so I probably should have tried it more.)</t>
  </si>
  <si>
    <t>Just whether the sensation is reduced or lacking.</t>
  </si>
  <si>
    <t>I'm okay with all the terms.
I recognize that "un-" is a clunky way of saying that something did not happen, but it is grammatically correct. It also might make it seem like the "un-" version is abnormal.
I do like "intact" or "natural" for clinical/political/social discussion.
"Uncircumcised" is better for casual conversation. It also is used in the bible and has religious meaning.
"Uncut" is better for porn/dirty talk.
I think "foreskinned" is odd, but not bad.
I wonder how the circumcised would feel about "unforeskinned."</t>
  </si>
  <si>
    <t>It works quite well and is not hard to keep clean.</t>
  </si>
  <si>
    <t>I just know that it's an ordinary thing for most males growing up. Obviously for Jews it was a religious thing, but for others it was just standard.</t>
  </si>
  <si>
    <t>I think people thought they were dirty. But, I don't remember much about that.</t>
  </si>
  <si>
    <t>Men would say that women preferred circumcised (but whether that's true or not, or if that's just the result of women being more familiar with circumcised, I don't know).</t>
  </si>
  <si>
    <t>It's unnecessary.</t>
  </si>
  <si>
    <t>Factory / Manufacturing / General Labor, Stay-at-Home Parent / Homemaker</t>
  </si>
  <si>
    <t>Very sensitive to light touch. Also depending on partner firm hold can feel nice and ease of moving skin makes it easier for stimulation of the head</t>
  </si>
  <si>
    <t>It’s not a struggle to reach orgasm. The head of my penis is sensitive and feels on every thrust my partners vaginal walls squeezing and wanting me to ejaculate</t>
  </si>
  <si>
    <t>My foreskin and partner provide enough moisture naturally that we don’t need it</t>
  </si>
  <si>
    <t>Having a sensitive head. The head poking out from underneath the foreskin creates a fun sensation for my partner to play with it. How much easier it is for my partner to feel pleasure.</t>
  </si>
  <si>
    <t>Luckily most partners have experienced it and I’m hygienic and good about keeping my penis clean that most enjoy it</t>
  </si>
  <si>
    <t>Started around teen years and I was rejected due to being intact</t>
  </si>
  <si>
    <t>Wife stretching the foreskin, using tongue underneath it and licking around the head, general play that brings great pleasure</t>
  </si>
  <si>
    <t>It’s sensitive and I can ejaculate from stimulation of the frenulum alone</t>
  </si>
  <si>
    <t>Intact is the proper term to me. Uncut and uncircumcised is in the vernacular as that’s what most in America call it when it’s intact when the term is technically wrong</t>
  </si>
  <si>
    <t>My wife and I left our son intact because it’s bodily autonomy of the baby and he can make the decision for himself when he is older</t>
  </si>
  <si>
    <t>They’re dirty and not clean</t>
  </si>
  <si>
    <t>That it looks nicer</t>
  </si>
  <si>
    <t>It’s America and most are familiar with circumcised</t>
  </si>
  <si>
    <t>It is normal healthy functional tissue that’ll give you more pleasure</t>
  </si>
  <si>
    <t>It can be done with and should only be practiced as a last resort medical necessity</t>
  </si>
  <si>
    <t>MB - Manitoba</t>
  </si>
  <si>
    <t>Frenulum is highly sensitive, shaft very insensitive</t>
  </si>
  <si>
    <t>Gradual build-up with a very quick release. Sensation is concentrated in the glans and prostate areas</t>
  </si>
  <si>
    <t>Never used it</t>
  </si>
  <si>
    <t>Multiple partners have had no prior experience with foreskin and needed instruction</t>
  </si>
  <si>
    <t>Ease of masturbation, higher sensitivity, strong sense of bodily autonomy</t>
  </si>
  <si>
    <t>Need to educate partners, social stigma about it being "unclean" or "gross," less refined appearance, difficulty with condom use due to gliding action</t>
  </si>
  <si>
    <t>Lack of Perceived Benefit: They didn't see any compelling reason to circumcise., Concerns about Risks/Pain: They were worried about the potential complications or pain of the procedure.</t>
  </si>
  <si>
    <t>efore I started attending school (age 5-ish) my mother explained the general concept of circumcision (that it involved cutting off part of the penis), and that it had strong cultural and religious significance for some people. She wanted me to understand why some boys at school might look different than me if I saw them in the bathroom or while changing.
My mother studied anthropology in university with an emphasis on body art and body modification (makeup, body paint, piercings, tattoos, tooth-filing, circumcision, branding, etc...); she mentioned Polynesian, African, and Jewish cultures specifically that see it as a mark of manhood or religious belonging (she may have mentioned others, but those are the 3 that I can recall now). She emphasized the pain of the procedure and explained that, while my father had had it done as a baby, she decided not to get it done to me.
The way she described the cultural significance of it, and when I later found out how common the procedure was among my peers, I felt like she had denied me the chance to "fit in." Rather than being happy I was spared the pain, I felt like I had missed out on a seemingly near-universal male experience.</t>
  </si>
  <si>
    <t>Routine physical examination with my doctor when i was aged somewhere around 10-12. (Late childhood to early puberty, I can't remember my exact age) the doctor did retract my foreskin while examining my genitals. He had never done that at any previous visits, so it stood out as something distinct. He didn't say anything, just retracted the skin, examined the glans, and returned the skin to its normal position.</t>
  </si>
  <si>
    <t>I definitely felt self-conscious about it. Glancing around the changing room at the pool where I took swimming lessons, it was very obvious most older men and boys around my age were circumcised. I regularly kept my towel wrapped around my waist while changing to prevent anyone seeing that I was not circumcised.
In 4 of my relationships with women I was the first man they had been with who was not circumcised. One was my first girlfriend (around age 15), so she had never been with anyone before. All admitted surprise that I hadn't been circumcised, but expressed a variety of opinions. Two were genuinely curious about the differences and why my parents chose not to do it. One was largely indifferent, and one was openly upset about my status and frequently tried to convince me to get circumcised.</t>
  </si>
  <si>
    <t>Masturbation is almost exclusively done via moving the skin. Occasionally I'll hold the skin back tightly to simulate circumcision, but this is mostly just to add variety.
Most partners simply hold the skin back in a simulated circumcision when performing oral sex. Manual stimulation is usually done by moving the skin though.</t>
  </si>
  <si>
    <t>The frenulum is definitely the most sensitive area and produces the most intense sensations. But it's not necessary for orgasm; stimulating other parts of the glans and inner foreskin also feels very pleasurable.</t>
  </si>
  <si>
    <t>I'm mostly curious about the mechanical differences and how the sensations compare, especially during unprotected penetrative sex. Does it feel better to have the bare head sliding directly against the inside of the partner, or does the sliding motion of the foreskin feel better? Most people will never actually know for certain.</t>
  </si>
  <si>
    <t>I always grew up thinking of myself as "uncircumcised" or "not circumcised" so the terms seem unobjectionable to me. "Cut" and "uncut" are convenient shorthand terms that are widely understood that I don't find offensive. I've seen "intact" and "whole" rising in prominence over the last several years, and occasionally use "intact," though it's not my default choice usually. I've never seen "foreskinned" before this survey.</t>
  </si>
  <si>
    <t>If you choose not to circumcise at birth/early childhood, I would strongly advise parents discuss with their sons when they're older and offer them the choice to get circumcised if they want to. So many people talk about choosing not to circumcise as "letting him decide later" but never actually present that choice to their sons. It often feels like the parents made a permanent choice either way, either removing their son's foreskin permanently or leaving it permanently attached. Explaining that it's an option that CAN be done later is often not done. Even if most boys choose not to, they're still making an affirmative choice about their body and not just deferring a decision about their bodies to their parents.</t>
  </si>
  <si>
    <t>Insert picture of a girl wrinkling her nose and going "ew" here. The prevailing opinion seemed to be that not being circumcised meant the man was unclean, likely to have/pass-on STDs, and generally considered less attractive.</t>
  </si>
  <si>
    <t>The impression I had was that it was very widespread to near-universal. It was "for the best" or "necessary" that circumcision be performed. It was simply the assumed default state.</t>
  </si>
  <si>
    <t>Circumcision definitely seems more prevalent in porn. Various TV depictions of the topic seem to strongly favour circumcision (e.g. Sex &amp; The City).</t>
  </si>
  <si>
    <t>I'm honestly not sure</t>
  </si>
  <si>
    <t>My primary disagreement with the metaphor is that, for better or worse, it's a significant religious practice for some groups. Stigmatizing their beliefs with that sort of language feels wrong, even if I largely agree with the thesis that boys &amp; men deserve to decide for themselves whether or not to keep their foreskin.</t>
  </si>
  <si>
    <t>Yes, I would be open to sharing further details either anonymously or pseudonymously</t>
  </si>
  <si>
    <t>White / Caucasian / European American, Asian / Asian American (e.g., East Asian, South Asian, Southeast Asian), Native Hawaiian / Other Pacific Islander, Multiracial / Biracial</t>
  </si>
  <si>
    <t>Retail / Customer Service / Hospitality, Skilled Trades (e.g., Electrician, Carpenter, Mechanic, Cosmetologist), Business/Finance/Management</t>
  </si>
  <si>
    <t>Asexual, Aegosexual</t>
  </si>
  <si>
    <t>Non-Binary, Genderfluid, Genderqueer, Agender, Prepucegender</t>
  </si>
  <si>
    <t>You need to be circumcised or you’ll go to Hell.</t>
  </si>
  <si>
    <t>I’m not a Christian but due to this connection between religion and mutilation was one of reasons I’m an atheist.</t>
  </si>
  <si>
    <t>Light touch feels like nothing and tough touch feels painful</t>
  </si>
  <si>
    <t>Quick build up, mild and brief, and like a reflex</t>
  </si>
  <si>
    <t>Sans lube, it’s painful</t>
  </si>
  <si>
    <t>All situations</t>
  </si>
  <si>
    <t>None, there’s no advantages of being circumcised.</t>
  </si>
  <si>
    <t>So much emotional and physical trauma. It has even caused me to be disabled to the point of being unable to work due to its trauma.</t>
  </si>
  <si>
    <t>Parent's General Preference: Parents simply preferred the circumcised appearance or state without specific medical, religious, or cultural reasons being primary., Controlling/Restricting Masturbation: A belief that circumcision would reduce the urge or ability to masturbate (a view common in certain historical eras)., Prophylactic Health Reasons (General Prevention): Belief that it prevents potential future health problems (e.g., infections, inflammation, later penile issues) that were not currently present., Punitive/Punishment: Used as a punishment or consequence. (Note: This is rare in standard medical contexts but sadly documented in some historical/abuse settings)., Aesthetic Preference / To Look "Better" or "Neater": Belief that the circumcised penis looks more visually appealing, "prettier," or tidier than an intact one., Hygiene: Belief that circumcision makes the penis easier to keep clean or is inherently more hygienic., Prophylactic Health Reasons (Specific Disease Prevention - e.g., Cancer, STIs, HIV, UTIs): Belief that it lowers the risk of specific diseases later in life (e.g., penile cancer, certain sexually transmitted infections like HIV or HPV, infant urinary tract infections - UTIs)., Medical Advice (without stated necessity): Recommended by a doctor or healthcare provider without explaining a specific existing medical problem, perhaps framing it as routine or generally beneficial., Religious Reasons: Performed as a religious ritual (e.g., Brit Milah in Judaism, Khitan/Sunnet in Islam) or based on religious belief., Cultural Tradition/Family Norm: It was a strong family tradition, cultural expectation, or simply "what people in our community did.", My bio mum states she did this so she could rape me because she loves circumcised penis and couldn’t have sex with me otherwise.</t>
  </si>
  <si>
    <t>Prevailing Moral Beliefs about Sexuality (e.g., concern over masturbation):, Aesthetic Preference: A belief, possibly influenced by media or pornography, that the circumcised penis is visually "neater," "more attractive," or the "correct" look. (The power of aesthetics)., Religious Mandate/Tradition: A direct requirement or strong cultural expectation stemming from their religious beliefs and community. (The power of faith).</t>
  </si>
  <si>
    <t>The sensations, gliding, frenulum, and even the small.</t>
  </si>
  <si>
    <t>They first emerge around age 7. Being reminded of the fact that I’m a victim of mutilation. Even feeling my head rubbing against my pants.</t>
  </si>
  <si>
    <t>Painful erections, pain while rubbing against pants, and more.</t>
  </si>
  <si>
    <t>You really fucked it up</t>
  </si>
  <si>
    <t>Significantly dissatisfied with sensation, function, or appearance, Curious about what might be different if intact, Felt physically uncomfortable or experienced complications, Motivated by research or learning about intact anatomy/function, Experienced feelings of loss, grief, or anger</t>
  </si>
  <si>
    <t>Reclaim what was taken, Heal psychological trauma, Increased overall sensitivity, Feel more 'natural' or 'whole', Regain gliding motion, Improve sexual pleasure/orgasms, Improve gliding mechanics/reduce need for lube, Achieve glans coverage and dekeratinization</t>
  </si>
  <si>
    <t>Manual method 2 and stealth retainer</t>
  </si>
  <si>
    <t>Partners, yes. Reactions are either confused or understanding and or wanting to restore themselves</t>
  </si>
  <si>
    <t>Increase in sensitivity all over the penis</t>
  </si>
  <si>
    <t>It has increase the quality and quantity of orgasms.</t>
  </si>
  <si>
    <t>I prefer to stealth as uncut once I fully restored.</t>
  </si>
  <si>
    <t>Keeping constant is the most challenging part. Most rewarding is seeing more foreskin coming back.</t>
  </si>
  <si>
    <t>Do it asap</t>
  </si>
  <si>
    <t>I hope it’ll be achievable in the near future.</t>
  </si>
  <si>
    <t>I personally see it as a personal choice done by a consenting individual. The cult believes circumcision is necessary and must be done at all cost.</t>
  </si>
  <si>
    <t>Intact are evil and unholy, ugly, impure, etc</t>
  </si>
  <si>
    <t>Circumcision is a gift from God(my bio mum). Circumcised penis are the only correct ones. Circumcision can cure all diseases, even covid. Etc</t>
  </si>
  <si>
    <t>The cult focusing on my bio mum and her preference.</t>
  </si>
  <si>
    <t>Bodily autonomy</t>
  </si>
  <si>
    <t>It’s a good metaphor as it’s socially acceptable. Also please avoid AI.</t>
  </si>
  <si>
    <t>Yes, I’m honestly good with anything</t>
  </si>
  <si>
    <t>The discord server r/CircumcisionGrief</t>
  </si>
  <si>
    <t>Medical coordinator</t>
  </si>
  <si>
    <t>Very little sensitivity</t>
  </si>
  <si>
    <t>It is very hard to build up an orgasm, sometimes I would try with my wife for hours and we just give up because I can’t reach orgasm</t>
  </si>
  <si>
    <t>I notice difficulty reaching orgasm, pain around my glan when I exercise due to friction against my clothes. I feel like I lost a part of my body which really hurts my self esteem, it makes it difficult to talk about sex and it makes me uncomfortable to hear about it because I feel extremely discontent being circumcised. I also feel that the world is against me when I speak out about my physical and psychological pain, I’ve been kicked out of psychologists offices just trying to talk about it</t>
  </si>
  <si>
    <t>Religious Reasons: Performed as a religious ritual (e.g., Brit Milah in Judaism, Khitan/Sunnet in Islam) or based on religious belief., Hygiene: Belief that circumcision makes the penis easier to keep clean or is inherently more hygienic., 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t>
  </si>
  <si>
    <t>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 Family Tradition/Pressure: The expectation from grandparents or other influential relatives; the idea that "it's what the men in our family have always done." (The power of heritage).</t>
  </si>
  <si>
    <t>Noticeable Skin bridge, tightness during erection, visible scar</t>
  </si>
  <si>
    <t>How it would be like to feel more pleasure</t>
  </si>
  <si>
    <t>I felt feelings of depression, anger, grief, frustration, I feel very frustrated that I have very little sensation and that it’s very hard for me to achieve orgasm, I feel like half a man, as if a part of me has been stolen</t>
  </si>
  <si>
    <t>Pain from gland rubbing against clothing especially during exercise, tightness during erections causes some pain</t>
  </si>
  <si>
    <t>I hate what you’ve done to me, what in your right mind made you think it is ok to strap a baby down without anesthesia and forcefully rip apart their genitals just for the virtue of them being born male. Also why did you leave my older brother intact and I have to be mutilated? Why is he allowed to enjoy sex and I’m not?</t>
  </si>
  <si>
    <t>My bother was born with a different father, he was born in China. My father was a Jewish man, who believed in the medical superstitions attributed to circumcision</t>
  </si>
  <si>
    <t>They act like if you were intact you will automatically die of penile cancer, get constant UTIs and that it is disgusting, dirty, and ugly</t>
  </si>
  <si>
    <t>It prevents you from catching STIs, cleaner, doesn’t smell</t>
  </si>
  <si>
    <t>Porn, propaganda, movies, “medical sources”, politicians, celebrities</t>
  </si>
  <si>
    <t>The testimonies of those who are experiencing circumcision grief and complications</t>
  </si>
  <si>
    <t>It’s in plain sight that this is an invasive and destructive procedure but we chose to put the blinders on and ignore it as if it’s not there</t>
  </si>
  <si>
    <t>I resented my parents for what they did to me, I experience both physical and psychological pain that shakes me down to my core. I cannot enjoy sex and it feels like I’m not even allowed to. Being circumcised makes exercise and sex very unpleasant, it makes the topic of sex very uncomfortable to talk about because I cannot relate to how everyone else feels good from it. I feel very depressed to the point that the only thing I do is go to work to distract me from the mental and physical pain. I feel as if no one wants to hear my opinion or how I feel, I’ve been kicked out of psychologists offices and urologists all drink the coolaid of circumcision. I feel as if there is no hope for myself, the only thing that gives me a reason to live is my loving wife and the fact that foregen is doing their best to have a procedure to undo this damage.</t>
  </si>
  <si>
    <t>In-Person Event: (e.g., a poster, flyer, or QR code at a parade, fair, or gathering like the Fremont Solstice or Pride)</t>
  </si>
  <si>
    <t>Sensitive to touch</t>
  </si>
  <si>
    <t>I am able to last as long as needed and the intensity of release is ethereal</t>
  </si>
  <si>
    <t>I've never used lube and have never needed to</t>
  </si>
  <si>
    <t>Everything! The ease of masturbation, the ease of penetration, ease of producing natural lubrication, extreme sensation, it's more aesthestically pleasing, it's absolutely perfect!</t>
  </si>
  <si>
    <t>None whatsoever, I ignore the ignorant people because they don't know what they're missing out on and also feel bad for them because their health education system failed them.</t>
  </si>
  <si>
    <t>Lack of Perceived Benefit: They didn't see any compelling reason to circumcise., Concerns about Risks/Pain: They were worried about the potential complications or pain of the procedure., Intuition/Gut Feeling: A general sense that leaving you intact was the natural or right thing to do, even without specific articulated reasons.</t>
  </si>
  <si>
    <t>I would get looks in the locker rooms, but no one ever said anything. I knew I was different and I felt bad that they were robbed of the best part of the penis</t>
  </si>
  <si>
    <t>Everything about it is perfect</t>
  </si>
  <si>
    <t>It's very sensitive and it adds a lot of pleasure to the overall experience</t>
  </si>
  <si>
    <t>It's stupid and makes no sense both by definition and by nature. "Normal" is what I usually use because if I just say "penis," people tend to just assume circumcised despite a normal penis being intact.</t>
  </si>
  <si>
    <t>Literally everything about it is better and I will never understand why people are so brainwashed into thinking otherwise. I feel sorry for all of those individuals</t>
  </si>
  <si>
    <t>I believe circumcision is genital mutilation and it should be illegal just like female genital mutilation is. I also consider it to be sexual assault since it is performed on a non-consenting human being</t>
  </si>
  <si>
    <t>It was "dirty" and "smelly" 🙄</t>
  </si>
  <si>
    <t>It's "the right thing" and "better" 🙄</t>
  </si>
  <si>
    <t>In my experience, no one really cares</t>
  </si>
  <si>
    <t>The functions of the foreskin is the most important thing that everyone should know.</t>
  </si>
  <si>
    <t>RIC ruins a person's right to bodily autonomy, sensation and pleasure, and self-confidence</t>
  </si>
  <si>
    <t>NC - North Carolina</t>
  </si>
  <si>
    <t>Education (e.g., K-12 Teacher, Professor, School Administrator), Healthcare/Medicine (e.g., Doctor, Nurse, Therapist, Technician)</t>
  </si>
  <si>
    <t>Man, Non-Binary, Genderqueer</t>
  </si>
  <si>
    <t>The gliding action is far and away the most pleasurable feeling</t>
  </si>
  <si>
    <t>Slow build, then a sustained plateau. I can generally cum when I decide to.</t>
  </si>
  <si>
    <t>I didn't undergo unnecessary cosmetic surgery, which might have impacted my thoughts on the importance of consent.</t>
  </si>
  <si>
    <t>I've had my frenulum nicked by a partners teeth. Extremely painful. That's the one instance where it's been a "bad" thing (if we can even call it that?)</t>
  </si>
  <si>
    <t>Ethical Concerns: They had ethical objections to non-consensual surgery on a healthy child/believed strongly in bodily autonomy or children's rights., Personal Experience: One or both parents had a negative personal experience with circumcision (their own, or someone they knew)., Per my father "it's a barbaric practice that needs to end"</t>
  </si>
  <si>
    <t>It was ONLY when I was a kid growing up in the deep south. I saw another kid in the 3rd grade get bullied in the showers. I changed in the stalls as a result. These days, it doesn't occur to me at all. I've had strangers (in a bit of a bathhouse situation?) respond with curiosity or jealousy.</t>
  </si>
  <si>
    <t>I've had balantitis/thrush before.</t>
  </si>
  <si>
    <t>Gliding, 100%</t>
  </si>
  <si>
    <t>It's essentially the male clitoris</t>
  </si>
  <si>
    <t>Having had sex with some men who were circumcised, it's shocking how much grip and friction is needed. Totally unrelated to my experience of sex. Has only made for bad circumcised male partners.</t>
  </si>
  <si>
    <t>Cut partners need much more aggressive stimulation, and tend to POUND their partners to feel stimulation in my experience</t>
  </si>
  <si>
    <t>Don't do it. You don't "own" your child, and it's a huge violation of bodily autonomy.</t>
  </si>
  <si>
    <t>That if you haven't had it done, you're actively trying to get rid of it. It's seen as a "defect" rather than something that serves a purpose.</t>
  </si>
  <si>
    <t>They're "cleaner", whatever that means.</t>
  </si>
  <si>
    <t>Studies show it impacts brain development. Genital Trauma is a horrible introduction to the world.</t>
  </si>
  <si>
    <t>Philippines</t>
  </si>
  <si>
    <t>Telecommunications</t>
  </si>
  <si>
    <t>I dont have a father</t>
  </si>
  <si>
    <t>Asexual</t>
  </si>
  <si>
    <t>The glans are too sensitive if touched by a bare hand. I cannot stand getting it touched except my foreskin. It's just like getting electrocuted.</t>
  </si>
  <si>
    <t>The orgasm is very intense when gliding the foreskin. It builds up as I glide it with my glans. It's getting more intense as the momentum builds up.</t>
  </si>
  <si>
    <t>- Glans Protection
- Rebellion Against Culture
- Intense Orgasm</t>
  </si>
  <si>
    <t>- Discrimination
- Sticky hands after retracting due to precum</t>
  </si>
  <si>
    <t>I got preputioplasty instead! I'm still intact and don't lose anything.</t>
  </si>
  <si>
    <t>It's a terrible form of discrimination. I'm considering to seek asylum after graduate.</t>
  </si>
  <si>
    <t>The gliding action makes orgasm soooo intense. The lubrication is hated and loved it. It makes my hands very sticky but it makes gliding feels smooth.</t>
  </si>
  <si>
    <t>TOO INTENSE! ORGASM BY JUST TOUCHING IT.</t>
  </si>
  <si>
    <t>Very expensive because of lube</t>
  </si>
  <si>
    <t>That's not matter for me. Language is just a tool!</t>
  </si>
  <si>
    <t>Please leave your sons intact! Being called "Supot" is much better than losing one very important organ. Will you sell your body for peer pressure? It's your decision! If you say yes, then you are likely willing to sell your soul to a stranger!</t>
  </si>
  <si>
    <t>Tuli is a sign of masculinity.</t>
  </si>
  <si>
    <t>- Unclean
- Bad Smell
- Lack of Masculinity
- Childish</t>
  </si>
  <si>
    <t>- Masculine
- Clean</t>
  </si>
  <si>
    <t>Rite of Passage ("tuli")</t>
  </si>
  <si>
    <t>Glans Protection! It's hard to think the a glans will collides with a fabrics 24/7</t>
  </si>
  <si>
    <t>Bulacan Philippines</t>
  </si>
  <si>
    <t>Christian, Pre-Colonial Culture Philippines</t>
  </si>
  <si>
    <t>Hooded</t>
  </si>
  <si>
    <t>I learned on my own that Christianity opposes the practice</t>
  </si>
  <si>
    <t>Frenulum area, waist/inner thigh, scrotum</t>
  </si>
  <si>
    <t>Full body now because of 10+ years of circumcision reversal methods (aka foreskin restoration)</t>
  </si>
  <si>
    <t>Only for bottoming</t>
  </si>
  <si>
    <t>Due to societal pressures in my past, I have not had many experiences that I could and should have had. Can be difficult to convey that.</t>
  </si>
  <si>
    <t>There are no advantages to routine genital modification to a nonconsenting person and their amputated body part is sold for profit</t>
  </si>
  <si>
    <t>It created hate. It left scars physical and mental that can never be fully healed from</t>
  </si>
  <si>
    <t>Don't Know/Not Told: The reasons were never explained or learned later., Prophylactic Health Reasons (General Prevention): Belief that it prevents potential future health problems (e.g., infections, inflammation, later penile issues) that were not currently present., Just standard practice: Based on observing its prevalence, assumed it was the default medical procedure without a specific individual reason., Medical Advice (without stated necessity): Recommended by a doctor or healthcare provider without explaining a specific existing medical problem, perhaps framing it as routine or generally beneficial., Don't know/Not told</t>
  </si>
  <si>
    <t>Institutional Medical Norm: The general belief that "this is just the standard procedure" at hospitals, making it a routine, unquestioned part of postpartum care. (The power of the system)., Prevailing Health &amp; Hygiene Beliefs: General societal "knowledge" at the time—gleaned from various sources—that presented circumcision as being fundamentally cleaner, healthier, or preventive of future diseases. (The power of a cultural 'truth')., Peer &amp; Social Pressure (The "Fitting In" Factor): The widespread belief that "everyone else is doing it," and a desire for you to avoid being seen as different in locker rooms or later in life. (The power of broad social conformity).</t>
  </si>
  <si>
    <t>Uneven scar</t>
  </si>
  <si>
    <t>Being a whole male human</t>
  </si>
  <si>
    <t>Primarily in late high school years and thinking more</t>
  </si>
  <si>
    <t>Tight skin affecting erections and sexual activity</t>
  </si>
  <si>
    <t>Too horrific a response to share - the hate this modification created within me could make me seem psychotic</t>
  </si>
  <si>
    <t>Feel more 'natural' or 'whole', Achieve glans coverage and dekeratinization, Improve gliding mechanics/reduce need for lube, Improve sexual pleasure/orgasms, Regain gliding motion, Reclaim what was taken, Increased overall sensitivity, Heal psychological trauma</t>
  </si>
  <si>
    <t>Combination approaches of various devices and manual methods</t>
  </si>
  <si>
    <t>Yes but I tend to not share it now - I have lost friends, made to feel belittled because of the process, and was told I was wrong to do it. For those who I have shared, most have been supportive.</t>
  </si>
  <si>
    <t>Changes all over; from centered physical sensations to emotional and mental</t>
  </si>
  <si>
    <t>I can now experience long lasting full body orgasms</t>
  </si>
  <si>
    <t>Those terms are technically incorrect - there is no such thing as uncut. The penis is designed to have everything there, anything else is modified. Untouched, unmodified, are more correct terms. Uncut or uncircumcised creates a way for people to willfully be ignorant of the natural male form.</t>
  </si>
  <si>
    <t>The commitment to actively healing when it’s something nobody should have to do.</t>
  </si>
  <si>
    <t>It is one of the best forms of self love we can do.</t>
  </si>
  <si>
    <t>The procedure is proof that humans are stupid and the fact that is continues make humans even stupider.</t>
  </si>
  <si>
    <t>It was the social norm</t>
  </si>
  <si>
    <t>Documentary, article, research</t>
  </si>
  <si>
    <t>Frenulum</t>
  </si>
  <si>
    <t>Slow start= more intense, more pleasurable. Use of intoxicants heightens sensation to whole body</t>
  </si>
  <si>
    <t>Just standard practice: Based on observing its prevalence, assumed it was the default medical procedure without a specific individual reason., Parents were not consulted before procedure</t>
  </si>
  <si>
    <t>Institutional Medical Norm: The general belief that "this is just the standard procedure" at hospitals, making it a routine, unquestioned part of postpartum care. (The power of the system)., I have absolutely no idea what influenced them., Prevailing Health &amp; Hygiene Beliefs: General societal "knowledge" at the time—gleaned from various sources—that presented circumcision as being fundamentally cleaner, healthier, or preventive of future diseases. (The power of a cultural 'truth').</t>
  </si>
  <si>
    <t>High &amp; tight</t>
  </si>
  <si>
    <t>Don’t let the doctor/nurse take me</t>
  </si>
  <si>
    <t>Youngest brother born 10 years later</t>
  </si>
  <si>
    <t>Our bodies are fine the way they are</t>
  </si>
  <si>
    <t>Grandparents(on father's side) told my mother that my penis should look like Christ's.</t>
  </si>
  <si>
    <t>Average to above-average sensitivity to all kinds of stimulation. Area most effected by stimulation is the head of the penis. Glans is especially sensitive, frenulum is surprisingly not sensitive to touch.</t>
  </si>
  <si>
    <t>Orgasm builds up subtly over time but when close to climax the build-up is far more quick and far less subtle in feeling. Orgasm is intense and localized mostly in pelvic floor but sometimes full-body.</t>
  </si>
  <si>
    <t>Pre-seminal fluid is abundant enough for lubrication, and skin has more than enough give for lubricant to be necessary.</t>
  </si>
  <si>
    <t>Even during sex sometimes it can be difficult to be genuine or vulnerable in asking for a specific act or touch.</t>
  </si>
  <si>
    <t>Being at a baseline, if I should choose to make any alterations to my own penis it would be my own decision. The main advantages I find are in personal aesthetics, variety of sexual stimulations, and variety in psychological stimulations in sexual encounters.</t>
  </si>
  <si>
    <t>Feeling judged or made the butt of a joke.</t>
  </si>
  <si>
    <t>Ethical Concerns: They had ethical objections to non-consensual surgery on a healthy child/believed strongly in bodily autonomy or children's rights., Cultural Background/Family Tradition (of intactness): They came from a family or cultural background where intactness was the norm., Partner's Preference: One parent strongly preferred intactness and advocated for it.</t>
  </si>
  <si>
    <t>Feelings of embarrassment and anger have occurred from adolescence into adulthood in response to hearing women make vexing remarks or jokes.</t>
  </si>
  <si>
    <t>Slight interest in showing off. Brief explanation on how to clean penis in bathtub. Mostly normal.</t>
  </si>
  <si>
    <t>Mostly kept over the glans during masturbation and it plays a bigger role in partnered sex. During partnered sex it is pushed back and pulled back over the glans multiple times. Attempts to utilize the foreskin in some way during partnered sex is always appreciated instead of it just being retracted and ignored.</t>
  </si>
  <si>
    <t>It has never played an important role in my sexual experiences. My frenulum is short and not particularly sensitive. Has never given me reason to pay it any mind.</t>
  </si>
  <si>
    <t>I personally don't mind the terms uncircumcised or uncut in certain situations or in some even prefer them, but I ultimately think of the use of those terms as counterintuitive.</t>
  </si>
  <si>
    <t>It's easy to clean, fun to play with, and you can always cut it off later.</t>
  </si>
  <si>
    <t>People often assumed the stereotype that the foreskin was always covering the glans or that the foreskin was a cesspool of germs.</t>
  </si>
  <si>
    <t>That it was the default state, or that it was something entirely practiced by Jewish people(sometimes derogatory)</t>
  </si>
  <si>
    <t>Most people don't hold a hard preference, but the loud minority that does either gets their preference from media or cultural background.</t>
  </si>
  <si>
    <t>Circumcision should be thought of as less of a choice to be made and more of as a procedure to treat health issues.</t>
  </si>
  <si>
    <t>People think of circumcision as a normal everyday decision. They consider intactness to be something decided instead of being the default state of the body before a decision is even pondered. Cultural normalization pushes for a decision to be made and thusly turns the natural state of the penis into just one side of a hotly debated argument about permanent body alteration.</t>
  </si>
  <si>
    <t>In my own sexual experiences, the main reason I have any focus on the intact state of my penis is because of societal and media focusing on circumcision. Without the very vocal people who prefer circumcision to intactness, I would not have found myself focusing on the importance of intactness.</t>
  </si>
  <si>
    <t>Most sensitive is the head and the underside of the glans, rest is alright</t>
  </si>
  <si>
    <t>Quick buildup. Mild and brief, focused on the head.</t>
  </si>
  <si>
    <t>Shaft skin is mobile enough.</t>
  </si>
  <si>
    <t>Appearance, sensation not too much, cleaner</t>
  </si>
  <si>
    <t>Sometimes the meatus gets a little stuck to my underwear, if I've released precum with them on.</t>
  </si>
  <si>
    <t>Hygiene: Belief that circumcision makes the penis easier to keep clean or is inherently more hygienic., Aesthetic Preference / To Look "Better" or "Neater": Belief that the circumcised penis looks more visually appealing, "prettier," or tidier than an intact one., I made this decision for myself, it was not done by my parents. It was considered, though, because I had a hypospadias</t>
  </si>
  <si>
    <t>A lot of skin remaining. It has enough skin left over that I look like I've just got a rolled-back foreskin when erect. Soft, though, I look circumcised. The scar is medium height, but my skin is quite loose. The scar is clearly visible, though the line is quite even.</t>
  </si>
  <si>
    <t>I do sometimes wish you had gotten me circumcised at birth, when the doctor recommended it. But I do appreciate the choice you gave me and my self-control over it.</t>
  </si>
  <si>
    <t>Neither of us was circumcised at birth. I chose to get circumcised when I was 15.</t>
  </si>
  <si>
    <t>I don't know any white families who openly circumcise. The only people I know who are circumcised, apart from me due to my own choice, are Muslim families.</t>
  </si>
  <si>
    <t>They're the norm.</t>
  </si>
  <si>
    <t>Circumcision happened as a baby, if you were circumcised.</t>
  </si>
  <si>
    <t>Circumcision is uncommon enough that it's a novelty. I imagine most people, when presented with a circumcised penis in a sexual setting, would be like "oh cool, it's different" and then just go on like usual.</t>
  </si>
  <si>
    <t>The foreskin is pretty overhyped by anti-circumcision activists (speaking as someone who had a foreskin for 15 years), but it should be each man's choice to be circumcised or not.</t>
  </si>
  <si>
    <t>RIC isn't great or anything, and it should very much be the choice of every man to do so or not, but I think circumcision is a lot less harmful than a lot of people make it out to be. It's pretty insignificant, all things considered. I've been both, and I've noticed only benefit from getting cut -- though I realise that other men have different experiences with it.</t>
  </si>
  <si>
    <t>I made this decision for myself, when I was old enough to.</t>
  </si>
  <si>
    <t>I'm fine with being emailed or messaged on Reddit, and I'm happy to answer as many questions as you have for me and even give my story in full if needed.</t>
  </si>
  <si>
    <t>Normal? The head is overly sensitive. Like, annoyingly.</t>
  </si>
  <si>
    <t>It's quite quick. A mild sensation overall.</t>
  </si>
  <si>
    <t>It's considered normal here. It prevents desensitisation, I guess?</t>
  </si>
  <si>
    <t>Mine is kind of deformed, so it's incredibly ugly. It's a bit of a turn-off and I feel bad about it.</t>
  </si>
  <si>
    <t>Lack of Perceived Benefit: They didn't see any compelling reason to circumcise., Father is Intact: The father is intact, and this influenced their decision, Born/Raised in a Culture Where Intactness is the Norm: The decision wasn't an active 'choice against circumcision,' but rather the standard cultural and medical practice in my country of birth/upbringing.</t>
  </si>
  <si>
    <t>Not applicable - grew up where intact is the norm</t>
  </si>
  <si>
    <t>It was the unquestioned cultural default to remain intact; it likely wasn't discussed at all.</t>
  </si>
  <si>
    <t>When I was around 13, and it's that my foreskin is deformed and abnormal. If mine was normal, I wouldn't care. It's thick and gets in the way and it's gross-looking, regardless of how you feel about foreskin.</t>
  </si>
  <si>
    <t>It gets in the way mostly, but my glans is really hypersensitive. It's a really thick foreskin, and doesn't feel very good to play with.</t>
  </si>
  <si>
    <t>Not different from the rest, really.</t>
  </si>
  <si>
    <t>Exposure, different sensation</t>
  </si>
  <si>
    <t>Uncut is my preferred term. I think intact can be a bit degrading to circumcised guys.</t>
  </si>
  <si>
    <t>Foreskin is overrated. Or has been for me.</t>
  </si>
  <si>
    <t>No real stereotypes.</t>
  </si>
  <si>
    <t>No one really discussed it at all.</t>
  </si>
  <si>
    <t>The rarity of circumcision. No one cares one way or the other -- how could they, when they've never experienced cut?</t>
  </si>
  <si>
    <t>Not sure what this really means</t>
  </si>
  <si>
    <t>Who really cares that much, man? It's not a monster, it's a minor surgery. Sure, it shouldn't be done on babies without their choice, but oh well, it's not the worst that could happen.</t>
  </si>
  <si>
    <t>Victoria</t>
  </si>
  <si>
    <t>New Zealand</t>
  </si>
  <si>
    <t>I have no feeling in my glans. I coul run it with sandpaper and not feel it.</t>
  </si>
  <si>
    <t>It can be a marathon to reach ejaculation. Often orgasm is brief and not great.</t>
  </si>
  <si>
    <t>Before growing additional shaft skin through a process of foreskin restoring, sex or masturbation was painful without lube.</t>
  </si>
  <si>
    <t>Desire is present but sex does not satisfy and often feels robotic. Sex often seems more likel fucking rather than making love.</t>
  </si>
  <si>
    <t>None. None at all.</t>
  </si>
  <si>
    <t>Growing up owing something was missing.
Growing up different to other kids.
Lack of ownership of my own body.
Lack of knowing what I was actually missing.
Knowing that I was missing something that others had.
Knowing I was damaged because of someone else’s desire.
Intense feelings of an adequacy.
Fuck it it’s my body and I should have control of it.
Having an urge and an itch which I just cannot scratch.
Not having the physical sensations that other speak of.
Painful sex and masturbation.
A huge feeling of injustice.
I’m fucking mad about this.</t>
  </si>
  <si>
    <t>Don't Know/Not Told: The reasons were never explained or learned later., Parent's General Preference: Parents simply preferred the circumcised appearance or state without specific medical, religious, or cultural reasons being primary., My narcissistic parents are fucked in the head. They had to find a doctor to do this shit as most doctors refused to. My parents actively found someone to cut me when the medical advice was to not cut.</t>
  </si>
  <si>
    <t>Tight cut, no mobile skin. Very prominent Gomco scar. Frenulum almost entirely removed.</t>
  </si>
  <si>
    <t>Not having nerve rich skin ripped off. Having a frenulum. Not having a keratinised head. Having sensual tissue and a delicate foreskin.</t>
  </si>
  <si>
    <t>Since childhood.</t>
  </si>
  <si>
    <t>Lack of skin to accommodate erections. Meatal stenosis.</t>
  </si>
  <si>
    <t>They need to understand how the hurt me. I have protected my kids from cutting and from them.</t>
  </si>
  <si>
    <t>Felt physically uncomfortable or experienced complications, Experienced feelings of loss, grief, or anger, Curious about what might be different if intact, Significantly dissatisfied with sensation, function, or appearance</t>
  </si>
  <si>
    <t>Heal psychological trauma, Reclaim what was taken, Regain gliding motion, Increased overall sensitivity, Achieve glans coverage and dekeratinization, Improve gliding mechanics/reduce need for lube, Feel more 'natural' or 'whole'</t>
  </si>
  <si>
    <t>Manual method 2 until I had enough skin to use DTR and later CAR.</t>
  </si>
  <si>
    <t>Yes open. Partner supportive.</t>
  </si>
  <si>
    <t>Not huge changes yet. But glans is still fully exposed and Keratinised. Some improvement in the frenulum area.</t>
  </si>
  <si>
    <t>Slightly improved to date but much further to go.</t>
  </si>
  <si>
    <t>Intact genitals or cut genitals to describe status. Restored to describe restored penises. The word circumcised or uncircumcised should be canceled.</t>
  </si>
  <si>
    <t>Most challenging is defently going from a tight cut as there was nothing to work with manual was very slow. Now can use devices. Most rewarding is no longer seeing a very pronounced Gomco scar every time I see my dick. Also the gliding function is so much better than being cut tight.</t>
  </si>
  <si>
    <t>Patients and dedication is key.</t>
  </si>
  <si>
    <t>Unfortunately it is very easy to prey on the vulnerability of desperate or distraught people. I hope I am proved wrong.</t>
  </si>
  <si>
    <t>Rare in my community but parents insisted.</t>
  </si>
  <si>
    <t>Intact was normal.</t>
  </si>
  <si>
    <t>Viewed as damaged and dry.</t>
  </si>
  <si>
    <t>Leave the child intact. Circumcision is cruel.</t>
  </si>
  <si>
    <t>Thank you.</t>
  </si>
  <si>
    <t>Pots</t>
  </si>
  <si>
    <t>ME - Maine</t>
  </si>
  <si>
    <t>White / Caucasian / European American, Black / African American / African / Afro-Caribbean</t>
  </si>
  <si>
    <t>Military Service, Factory / Manufacturing / General Labor</t>
  </si>
  <si>
    <t>Bisexual, Pansexual, Questioning</t>
  </si>
  <si>
    <t>Non-Binary, Questioning</t>
  </si>
  <si>
    <t>No, I'm not aware of any religious basis for my circumcision.</t>
  </si>
  <si>
    <t>I'm not christian so no. :&gt;</t>
  </si>
  <si>
    <t>My outer skin and the foreskin remnant under my glans are the most sensitive parts of my penis.</t>
  </si>
  <si>
    <t>The most pleasure I get out of it is the orgasm itself, and afterwards I feel empty like something is missing.... Like a phantom sensation.</t>
  </si>
  <si>
    <t>Lube only makes mastrabating more uncomfortable due to the missing skin. :&lt;</t>
  </si>
  <si>
    <t>None. One could argue that it has health benefits, but any perceived benefits can easily be created by just practicing proper hygiene. :&gt;</t>
  </si>
  <si>
    <t>Many. Physical discomfort, mental stress, and little to no pleasure when mastrabating. As well as a feeling of something being missing after orgasm. :&lt;</t>
  </si>
  <si>
    <t>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 Just standard practice: Based on observing its prevalence, assumed it was the default medical procedure without a specific individual reason., Cultural Tradition/Family Norm: It was a strong family tradition, cultural expectation, or simply "what people in our community did.", Religious Reasons: Performed as a religious ritual (e.g., Brit Milah in Judaism, Khitan/Sunnet in Islam) or based on religious belief., 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t>
  </si>
  <si>
    <t>Religious Mandate/Tradition: A direct requirement or strong cultural expectation stemming from their religious beliefs and community. (The power of faith)., Institutional Medical Norm: The general belief that "this is just the standard procedure" at hospitals, making it a routine, unquestioned part of postpartum care. (The power of the system)., Direct Medical Authority: Specific advice from their obstetrician, pediatrician, or the hospital staff where you were born. (The voice of a trusted professional).</t>
  </si>
  <si>
    <t>A really nasty scar where there is little to no shaft skin left, and there's more skin missing on the left side than the right. Causing the only comfortable way to mastrabate being when half erect as to use testicular skin as mobile skin. As well as a remnant of foreskin that hangs on my glans, causing discomfort and irritation due to it rubbing against my underwear. :&lt;</t>
  </si>
  <si>
    <t>Just generally not feeling irritated all the time, and comfortable in my own skin. :&gt;</t>
  </si>
  <si>
    <t>Knifes and blades are triggers for me, as for things that bother me it's the permanence of it. :&lt;</t>
  </si>
  <si>
    <t>Intense irritation around the scar line, especially when physically stimulated.</t>
  </si>
  <si>
    <t>A religious requirement that is seen as medically necessary / beneficial. :&gt;</t>
  </si>
  <si>
    <t>That it's just a skin tag to be removed, and it only causes health issues for the person if you don't perform the circumcision. :&gt;</t>
  </si>
  <si>
    <t>Superior, cleaner and just better over all to an intact penis. :&gt;</t>
  </si>
  <si>
    <t>Ideas about hygiene, as in: societal brainwashing convincing people to be disgusted by an intact penis generally speaking.</t>
  </si>
  <si>
    <t>Because unconsentual circumcision is harmful for a variety of reasons. But it will take people a very long time to become aware of this, and break free of the status quo.</t>
  </si>
  <si>
    <t>It deeply saddens me that this practice is still going on even today, and more people are being subjected to this.</t>
  </si>
  <si>
    <t>My penis is generally sensitive. It is most sensitive on the head, and on the inner foreskin, especially the underside around the frenulum. The shaft skin is the least sensitive; feeling like anywhere else on my body.</t>
  </si>
  <si>
    <t>My orgasms vary but are generally quite good. There is usually a gradual build up, and then an intense feeling of pleasure just before and during orgasm, lasting a few seconds. It is focused in my genital region, especially my penis and in my back just above the butt. It is a deep, satisfying release</t>
  </si>
  <si>
    <t>Needed for manual stimulation but not sex.</t>
  </si>
  <si>
    <t>Some women are too rough in manual stimulation without lube, or generally need guidance on what feels pleasurable.</t>
  </si>
  <si>
    <t>It is cleaner and requires less maintenance, less smells, less taste. Most women I've been with express a preference for it. I've never had smegma. The appearance is better/more culturally accepted</t>
  </si>
  <si>
    <t>I felt insecure about not having foreskin compared to my intact male peers. I worry about whether I lost any sensation. Lube for masturbation makes things messier and less easy. Female partners don't seem to realize they require lube until told. I feel I was robbed of an intimate part of my body and an important choice by parents.</t>
  </si>
  <si>
    <t>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 Just standard practice: Based on observing its prevalence, assumed it was the default medical procedure without a specific individual reason., Don't know/Not told, Cultural Tradition/Family Norm: It was a strong family tradition, cultural expectation, or simply "what people in our community did.", Parent's General Preference: Parents simply preferred the circumcised appearance or state without specific medical, religious, or cultural reasons being primary., Don't Know/Not Told: The reasons were never explained or learned later., Aesthetic Preference / To Look "Better" or "Neater": Belief that the circumcised penis looks more visually appealing, "prettier," or tidier than an intact one., To Look Like Father/Peers: Desire for the son's penis to match the father's or other males in the family/community., 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t>
  </si>
  <si>
    <t>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t>
  </si>
  <si>
    <t>The shaft skin is tight, and there is a faint circumcision scar in a straight line about an inch from the corona. The shaft skin is almost immobile, it cannot cover any part of the head. Frenulum is still there but underdeveloped and disconnected from the glans.</t>
  </si>
  <si>
    <t>Whether any sensations would differ, and whether my head has been desensitized by external exposure</t>
  </si>
  <si>
    <t>n/a</t>
  </si>
  <si>
    <t>They first emerged when I discovered what circumcision is, and that it was done to me. When I learned what it was I hoped I was not cut because it seemed unnecessary, but quickly discovered I was. I was then embarrassed that I had been cut when many of my peers were not. Later on, I also became semi-concerned about lost sensitivity, but always my biggest source of negative feelings have been related to jealousy that I was cut when others are not, shame related to that (feeling like I have less of my penis than others) and feeling I was robbed of a say in the matter.</t>
  </si>
  <si>
    <t>Don't do it; there's no evidence it is necessary, and he can always make the choice later.</t>
  </si>
  <si>
    <t>There is a slight bias in favor of it for hygiene reasons in the community, but also a growing amount of people who default to not doing it. Immigrants seem to be the least likely to do it, while Canadians who have lived here a long time are more likely. Women seem to believe generally that it is more hygienic and more attractive.</t>
  </si>
  <si>
    <t>They are dirtier and uglier.</t>
  </si>
  <si>
    <t>They are cleaner and nicer looking.</t>
  </si>
  <si>
    <t>Ideas about hygiene, peer pressure and the media/pornography.</t>
  </si>
  <si>
    <t>That the relative benefits of circumcision are vastly overstated compared to the available scientific literature. There are advantages and disadvantages to both sides, but they are so minor that it is not worth doing it to babies.</t>
  </si>
  <si>
    <t>I definitely think neonatal circumcision is bad, and too easily accepted, but I also think its motivated more by laziness and ignorance than malice.</t>
  </si>
  <si>
    <t>Clerical / Administrative Support (e.g., Secretary, Office Clerk), Retail / Customer Service / Hospitality</t>
  </si>
  <si>
    <t>Ridge of glans and frenulum area</t>
  </si>
  <si>
    <t>Gradual buildup, rapidly increasing in intensity shortly before orgasm. Intensity of orgasm sensation can vary, generally a brief full-body feeling and slightly more intense feelings concentrated in the penis area. A brief moment of tension followed by a gradual relaxing feeling.</t>
  </si>
  <si>
    <t>Only solo experience, no partnered experiences. Dry foreskin slides smoothly enough for easy masturbation, and ample precum is released leading up to orgasm, lubricating it even more.</t>
  </si>
  <si>
    <t>Ease of masturbation, protecting glans and keeping it more sensitive, not needing to wonder what it would be like if part of penis hadn’t been removed.</t>
  </si>
  <si>
    <t>Gets messy under the foreskin if not cleaned frequently. I have mild phimosis that does not significantly affect functioning or hygiene, but can cause discomfort if I try to retract foreskin while fully erect. From what I remember, it used to be even tighter and would cause mild discomfort when retracting it while flaccid to clean, but it seems like it naturally loosened over time.</t>
  </si>
  <si>
    <t>Essential part of most masturbation techniques I’ve used. No partnered experience.</t>
  </si>
  <si>
    <t>Slightly more sensitive</t>
  </si>
  <si>
    <t>Differences in sensation (type and intensity) and mechanics</t>
  </si>
  <si>
    <t>“Uncircumcised” can be a mouthful to say, “uncut” or “intact” is easier to say, though perhaps less clear in meaning depending on circumstances</t>
  </si>
  <si>
    <t>It just feels right to me</t>
  </si>
  <si>
    <t>That they looked “funny” flaccid, with the skin overhanging</t>
  </si>
  <si>
    <t>Hygiene, aesthetics, circumcised being the norm</t>
  </si>
  <si>
    <t>UT - Utah</t>
  </si>
  <si>
    <t>Mormon / Church of Jesus Christ of Latter-day Saints (LDS)</t>
  </si>
  <si>
    <t>There was never any direct doctrinal or theological basis for support for circumcision, but it was indirectly supported by the idea that sexual pleasure is inherently sinful and sex is a necessary evil for creating children and not an act to be enjoyed (which to clarify, is not preached doctrine in the Mormon/LDS church but is or at least was still the generally held opinion). It seemed like most people saw the sole purpose of circumcision being to harm sexual function, which is exactly why they supported it.</t>
  </si>
  <si>
    <t>I suppose it's not directly relevant to the survey, but the suffering inflicted by my circumcision and the Mormon/LDS community's tacit support of circumcision was one of several factors that led to me questioning my faith and subsequently abandoning the church. It wasn't as big of a factor as growing up and realizing I was gay, but it definitely helped.</t>
  </si>
  <si>
    <t>Pressure on the shaft is generally the most pleasurable sensation. Friction on the shaft is only pleasurable when lubricated, and is slightly uncomfortable without proper lubrication. Direct friction on the glans is extremely painful, lubricated or not, but tiny amounts of friction on the coronal ridge can be very pleasurable.</t>
  </si>
  <si>
    <t>It varies dramatically based on several factors, mainly the length of stimulation, variety of types of stimulation, and my level of arousal. If I just directly stimulate my penis, I usually reach orgasm fairly quickly, but it's a quick and mild orgasm that's localized mainly in the penis and the leaves me feeling dissatisfied and sometimes even sore. To get a satisfying, full-bodied orgasm I need to put in more effort to build it up, stimulating my penis in a variety of ways and making sure to stimulate other parts of my body as well. The most difficult part is definitely resisting the urge to orgasm too quickly, and the longer I hold out the better it feels.</t>
  </si>
  <si>
    <t>I can usually masturbate and reach orgasm comfortably without lubrication, but it's a much less satisfying experience and more importantly inflicts painful friction burns on my penis. They don't hurt in the moment, but they give me hell for days afterwards.</t>
  </si>
  <si>
    <t>There have been a few times where my partner tried to stimulate my glans in a way that was just painful for me. I have heard that for other men it's more of a painfully intense pleasure, but for me it's just pure pain. In all these cases, my partner was another man who was also circumcised.</t>
  </si>
  <si>
    <t>The closest I can come up with is perhaps the hope that reduced pleasure makes it a little easier to resist orgasm for longer.</t>
  </si>
  <si>
    <t>For me, circumcision has been nothing but drawbacks. I could write a whole fucking book about it, but I'll try to limit it to personal experience and not rail against the immense systemic injustices involved. (The emotional distress over those systemic injustices are a very significant drawback of circumcision though)
The most obvious drawback is that my penis has been left more sensitive to pain and less sensitive to pleasure. There are the obvious sexual drawbacks from this, but there's more to it than that. Something I think most people overlook is that this then affects things like the types of clothing I find comfortable and the way I position and move my body. The impact is not limited to sexual activity, my circumcision scars impact every second of my entire life. They are always there, and all it takes is a little accidental brush against something for them to hurt me just a little bit more.</t>
  </si>
  <si>
    <t>Just standard practice: Based on observing its prevalence, assumed it was the default medical procedure without a specific individual reason., I was circumcised without parental consent in direct violation of my mother's expressed wishes. The doctors asked her if she wanted me to be circumcised, she told them NO, and they performed the procedure anyway.</t>
  </si>
  <si>
    <t>Institutional Medical Norm: The general belief that "this is just the standard procedure" at hospitals, making it a routine, unquestioned part of postpartum care. (The power of the system)., Direct Medical Authority: Specific advice from their obstetrician, pediatrician, or the hospital staff where you were born. (The voice of a trusted professional)., Prevailing Moral Beliefs about Sexuality (e.g., concern over masturbation):</t>
  </si>
  <si>
    <t>My circumcision was extremely tight, leaving the scar almost exactly halfway down the shaft while erect. The scar is uneven, asymmetrical, and extremely pronounced. There is almost no skin mobility, the skin of my penis is less mobile than on other parts of my body like my arms or hands.</t>
  </si>
  <si>
    <t>I think I'm most curious about how docking would feel, at least when it comes to sexual activities and sensations. I think I'm more curious about the aspects of daily living that are likely to go unnoticed and unmentioned by intact men.</t>
  </si>
  <si>
    <t>They first started when it was explained to me around the age of 10 or 11 that I had been circumcised as an infant against my mother's wishes. I feel overwhelming rage over my circumcision and the system that inflicted it upon me, and that rage has only grown as I've grown older and come to understand that various foundational injustices that created that system. I feel overwhelming despair at how easily people accept and support such a system, and how quick they are to dismiss the harm it inflicts and the suffering of its victims. I've had to learn to live with these feelings, but they're always there in the back of my mind. My circumcision scars continue to hurt me just a tiny bit every moment of my entire life, and the rage I feel over that is likewise always there, just a little bit.</t>
  </si>
  <si>
    <t>As mentioned previously, friction on my glans is painful enough to affect the way I stand, sit, and walk. The overly tight skin on my penis also leaves it very vulnerable to abrasions, vulnerable enough that even simply walking in the wrong kind of clothing can be painful and damaging.</t>
  </si>
  <si>
    <t>As I mentioned earlier, in the heavily Mormon culture of Utah and Idaho that I grew up in, people generally seemed to believe that circumcision is meant to prevent masturbation and make sex less enjoyable, and those were the reasons they supported it. Other health and hygiene and social concerns were just flimsy excuses to avoid directly talking about sex, nobody seemed to actually believe them.</t>
  </si>
  <si>
    <t>I suppose the implication was that they were sinful, since circumcision was meant to promote virtue and chastity.
I mean this is from a culture where colleges teaching medical classes would censor anatomical diagrams of penises in textbooks, so the majority of the cultural narrative was that you should be ashamed of the existence of penises and should never ever acknowledge that existence.</t>
  </si>
  <si>
    <t>The implication was very much that circumcision was the righteous thing to do. Excuses of health and hygiene and social conformity would also be brought up, but in an insincere way that suggested nobody really believed them and they were mostly just supporting the central sex-negative argument. A penis that makes sex less pleasurable, or even painful, is a more righteous penis.</t>
  </si>
  <si>
    <t>The few times I've heard people express a preference, their reasoning has come down to familiarity. Circumcised penises are what they are personally familar and comfortable with, and they are unwilling to deviate from that.</t>
  </si>
  <si>
    <t>An understanding of the full effects of circumcision. The harm is so, so much more than just reduced sexual function. There are countless risks and even life-threatening complications, but even in the ideal case where everything goes perfectly according to plan, it is still a wound that will never fully heal and will continue to inflict harm across every single moment of the victim's entire life.</t>
  </si>
  <si>
    <t>There are countless systems of injustice ingrained in our culture, and because they are so huge and complicated and inflict harm indirectly, most people are unaware of them, or even actively deny their existence. I think circumcision and the harm it inflicts are especially invisible because it's at the center of a nasty web of some of the largest, oldest and most damaging of those systems. This is exacerbated by the fact that it doesn't really fall cleanly into any of the social reform movements that have arisen to challenge those systems.
I think it's also made more invisible by the fact that men who were circumcised as infants have no way of truly knowing the full extent of the harm. We cannot ever truly know what we are missing, and it's very easy to remain ignorant of the harm caused when we have no other baseline for comparison.</t>
  </si>
  <si>
    <t>I just want to thank you for making this survey. It's very cathartic to share my experience in this formal, organized way. I don't have anyone I can talk about this with, and my feelings usually just collapse into an incoherent rant when I try to write them out myself, so thank you.</t>
  </si>
  <si>
    <t>I'd definitely be open to writing more about my experience. Text would be a preferred medium, since I have a harder time being as open or eloquent when speaking, but this is a subject that's important to me so I'd be open to try.</t>
  </si>
  <si>
    <t>Dudesnude forum post</t>
  </si>
  <si>
    <t>Stay-at-Home Parent / Homemaker, Law/Government/Public Service/Civil Servant, Retail / Customer Service / Hospitality</t>
  </si>
  <si>
    <t>No, no instruction provided or raised to general attention.</t>
  </si>
  <si>
    <t>I no longer practice Catholicism or consider myself a Christian, as I find it morally incompatible with a free and healthy life as a gay man.</t>
  </si>
  <si>
    <t>Generally most sensitive around the glans and corona. I generally use lubricant when masturbating or engaging in sex because I don't produce much precum and I find the friction unpleasant.</t>
  </si>
  <si>
    <t>It can be quite a gradual build toward arousal, even with sustained stimulation, then with a brief, moderately intense peak.</t>
  </si>
  <si>
    <t>Even before I had access to lube, I would masturbate in the shower or use whatever lubricating agents were available to me to make it easier to masturbate.</t>
  </si>
  <si>
    <t>I try to be fairly proactive in discussing what is and isn't pleasurable when my partners and I start having sex. I do enjoy novelty with sex so often it can be a matter of what acts or positions or circumstances are most pleasant for us as a pair.</t>
  </si>
  <si>
    <t>It's culturally normalized for my generation and social class.</t>
  </si>
  <si>
    <t>I believe I have reduced function and pleasure in my penis. I feel a sense of violation and that my bodily autonomy was ignored as an infant, for dubious cultural and traditional reasons I do not agree with as an adult.</t>
  </si>
  <si>
    <t>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 To Look Like Father/Peers: Desire for the son's penis to match the father's or other males in the family/community.</t>
  </si>
  <si>
    <t>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 Paternal Influence (The "Like Father" Factor): A specific desire for you to genitally match your father or other male family members. (The power of conformity within the family unit).</t>
  </si>
  <si>
    <t>Noticable scar of darker color where the inner foreskin begins. Cut or skin is generally loose enough that I donnot suffer pain or tension from erections, but generally do not experience any gliding action or loose skin while erect.</t>
  </si>
  <si>
    <t>Gliding action, sensation of having a covered glans, potential texture difference in the skin of the glans, potential to have retention of and more noticable production of precum.</t>
  </si>
  <si>
    <t>As an adult and after sexual contact with uncircumcised males.</t>
  </si>
  <si>
    <t>I wish you had thought about what I might have wanted, asked more questions of medical staff, and considered the ethics of routine surgery on infants instead of simply going along with something that seemed easy at the time. I sometimes feel like you let me down, and that I don't have a way to explain to you that you probably caused me a harm you might never be able to correct.</t>
  </si>
  <si>
    <t>It was considered rare, if it was thought about at all - I was never formally told I was circumcised until I was nearly an adult, and it wasn't presented as something that was optional or culturally dependent.</t>
  </si>
  <si>
    <t>Circumcision has very few tangible medical benefits, and the standard bioethics calculations used for ither preventative peocedures would not recommend circumcision given the low rate of those benefits and the higher relative rate of complications from the procedure. From a purely mathematical perspective, it produces more health risks than it prevents.</t>
  </si>
  <si>
    <t>I'd be willing to write essays, contribute to documentary media, or participate in moderated discussions.</t>
  </si>
  <si>
    <t>Stay-at-Home Parent / Homemaker, Military Service</t>
  </si>
  <si>
    <t>Firmer touch works better than lighter</t>
  </si>
  <si>
    <t>It comes quickly not gradually, and feels like a reflex. The moments after ejaculation feel great.</t>
  </si>
  <si>
    <t>When my partner is too soft.</t>
  </si>
  <si>
    <t>It is cleaner and looks better</t>
  </si>
  <si>
    <t>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 Controlling/Restricting Masturbation: A belief that circumcision would reduce the urge or ability to masturbate (a view common in certain historical eras)., Medical Advice (without stated necessity): Recommended by a doctor or healthcare provider without explaining a specific existing medical problem, perhaps framing it as routine or generally beneficial., Prophylactic Health Reasons (Specific Disease Prevention - e.g., Cancer, STIs, HIV, UTIs): Belief that it lowers the risk of specific diseases later in life (e.g., penile cancer, certain sexually transmitted infections like HIV or HPV, infant urinary tract infections - UTIs)., Aesthetic Preference / To Look "Better" or "Neater": Belief that the circumcised penis looks more visually appealing, "prettier," or tidier than an intact one.</t>
  </si>
  <si>
    <t>Prevailing Moral Beliefs about Sexuality (e.g., concern over masturbation):, Aesthetic Preference: A belief, possibly influenced by media or pornography, that the circumcised penis is visually "neater," "more attractive," or the "correct" look. (The power of aesthetics)., Prevailing Health &amp; Hygiene Beliefs: General societal "knowledge" at the time—gleaned from various sources—that presented circumcision as being fundamentally cleaner, healthier, or preventive of future diseases. (The power of a cultural 'truth').</t>
  </si>
  <si>
    <t>The glans is always exposed. It is not too tight when erect with some skin mobility</t>
  </si>
  <si>
    <t>Masturbation was better uncircumcised</t>
  </si>
  <si>
    <t>They tend to be dirtier</t>
  </si>
  <si>
    <t>They tend to be cleaner</t>
  </si>
  <si>
    <t>Perceived cleanliness and staying power</t>
  </si>
  <si>
    <t>Circumcision decreases pleasure</t>
  </si>
  <si>
    <t>In my culture it's mostly seen as medical and not cultural at all</t>
  </si>
  <si>
    <t>Maybe writing, not sure</t>
  </si>
  <si>
    <t>Engineer</t>
  </si>
  <si>
    <t>Frenulum and circumcision scar sensitive</t>
  </si>
  <si>
    <t>Brief reflex</t>
  </si>
  <si>
    <t>Ease of cleaning</t>
  </si>
  <si>
    <t>Appearance of penis and loss of sensitivity</t>
  </si>
  <si>
    <t>Seems to be freehand. Low and loose. Frenulum largely intact. Prominent scar. Messy appearance on the underside.</t>
  </si>
  <si>
    <t>Having a partner retract foreskin. Greater sensation</t>
  </si>
  <si>
    <t>Early teens. Concern at body modification without consent</t>
  </si>
  <si>
    <t>Messy scar on underside. Shame at appearance</t>
  </si>
  <si>
    <t>You should not ask for an unnecessary procedure without consent</t>
  </si>
  <si>
    <t>For the majority of boys intact was normal and thought to be superior</t>
  </si>
  <si>
    <t>Unnecessary procedure</t>
  </si>
  <si>
    <t>Familiarity with intact penises</t>
  </si>
  <si>
    <t>A procedure done without consent can lead to lifelong resentment</t>
  </si>
  <si>
    <t>Straight foreskin</t>
  </si>
  <si>
    <t>Stimulation to the head used to be oveewhelming but the glans has become less sensitive with time</t>
  </si>
  <si>
    <t>It makes masturbation easier</t>
  </si>
  <si>
    <t>Never</t>
  </si>
  <si>
    <t>Lack of Perceived Benefit: They didn't see any compelling reason to circumcise., Partner's Preference: One parent strongly preferred intactness and advocated for it., Natural/Holistic Approach: A general philosophy of valuing the body's natural state and avoiding unnecessary medical interventions.</t>
  </si>
  <si>
    <t>I was the only intact male in my family. While I liked having a foreskin, it was somewhat embarrassing growing up being one of the only intact males. I became more comfortable with my penis as I got older.</t>
  </si>
  <si>
    <t>It functions as a normal foreskin does and the gliding motion is important for achieving orgasm.</t>
  </si>
  <si>
    <t>I think it only really comes into play during oral sex otherwise stimulation of the frenulum isn’t terribly important to me</t>
  </si>
  <si>
    <t>How the orgasm feels</t>
  </si>
  <si>
    <t>I think uncircumcised is a stupid term.</t>
  </si>
  <si>
    <t>How pleasurable the foreskin is and how much they are missing out on.</t>
  </si>
  <si>
    <t>They were dirty and women didn’t like them.</t>
  </si>
  <si>
    <t>They were cleaner.</t>
  </si>
  <si>
    <t>I think you are right. Circumcision has negatively impacted the majority of males in this country and they have no idea what they are missing. Then they perform the unnecessary surgery on their male children ensuring the tradition continues.</t>
  </si>
  <si>
    <t>I feel little to no sensation.</t>
  </si>
  <si>
    <t>Orgasms feel like nothing.</t>
  </si>
  <si>
    <t>There are no advantages. (In my opinion)</t>
  </si>
  <si>
    <t>I’ve experienced trauma, sadness, insecurity, due to being circumcised.</t>
  </si>
  <si>
    <t>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t>
  </si>
  <si>
    <t>I have a slight amount of mobile shaft skin and a small amount of my frenulum left.</t>
  </si>
  <si>
    <t>Mostly sensation and gliding.</t>
  </si>
  <si>
    <t>They first emerged at 12 and is triggered by the topic of circumcision, seeing someone have foreskin (envy), or looking at it.</t>
  </si>
  <si>
    <t>I would say "How can you do this to your kids?"</t>
  </si>
  <si>
    <t>That it was "hygienic".</t>
  </si>
  <si>
    <t>I would insure that it’s really unneeded and unnatural.</t>
  </si>
  <si>
    <t>The most sensitive part of my entire body is the normally covered portions of my penis, by my foreskin.</t>
  </si>
  <si>
    <t>It all depends on the time and place and desire to achieve an orgasm. I can still go from zero to orgasm in under 60 seconds, and I can stimulate or be stimulated for hours, without ever getting sore, without any need or desire to use lubrication. If I want the "sexual enjoyment session" to last longer, all the better! However if I am sexually aroused and have limited time available in the moment, I can relieve sexual desires by being able to achieve an orgasm, in less than one minute
My having a very normal, intact, foreskin, allows me to enjoy the full spectrum of possibilities, and having the entire spectrum of anatomical advantages available to me with every sexual opportunity, is something the routinely circumcised guys done at birth, cannot simply imagine. Circumcision permanently severs the neural lines of communication from highly sensitive and erotic nerve endings are forever inaccessibile. Having the entire spectrum of all possible male experiences and sensations, is extremely beneficial. Nobody ever limited and restricted all of my sensate possibilities, becuae they believed in one or ALL of the socially constructed nonsense and generationally perpetuated lies, prejudices and hypothetical misinformation that are, for whatever bizarre reasons, found to be acceptable in what is regarded in a civilized society.</t>
  </si>
  <si>
    <t>The human, male foreskin could not have been designed better, to provide the entire spectrum of desired stimulation, without any need or desire to use even saliva, to achieve an orgasm. The foreskin is always ready when needed or a desire for stimulation is wanted. The foreskin is far neater and tidier to contain projectile sperm if the foreskin end is pniched closed as the orgasm erupts. The foreskin fills like a water balloon, easily accommodating an average amount of ejaculate, so there is no "genetic matter" to clean-up in the surrounding area. I have the ability to simply carry the load, in my pinched closed foreskin, to a place where it can neatly be disposed. There is no wet spot in the bed, and no "evidence that needs to be cleaned-up afterwards.</t>
  </si>
  <si>
    <t>The tree females I have been with, grew up in a circumcising culure, both in their families and in the general population. All three had never seen a real, live foreskin until mine. All three were curious, and all threestayed and played with my foreskin, very specifically in ways that I easily communicated where and how it all functioned.</t>
  </si>
  <si>
    <t>Growing up in a circumcising culture, where 95% of my local and national peers had been subjected to "Routine Infant Circumcision (RIC), it was very understandably confusing and weird to be different from most males I saw naked from as early as four years old. How could a boy with a very different looking penis from his peers, not wonder WHY his penis was different? Cleanliness was never a big deal. Yes, I did get smegma accumulations that were far easier to clean, and far less complicated to understand how to clean, than bruhing my teeth! Educating intimate partners was something I feared as the moment approached, but was easily communicated and my fears of rejection were never experienced. If someone is so culturally prejudiced about any and all of the pervasive,socially constructed nonsense about any and all of those uneducated, brainwashed beliefs, they are not intellectually qualified to be my partner!</t>
  </si>
  <si>
    <t>Father is Intact: The father is intact, and this influenced their decision, "Stroke of Luck"/Circumstance: e.g., Born at home, logistical issues at the hospital, doctor didn't push it, scheduled, but never performed, etc.., Medical Circumstance Prevented It: There was a specific medical reason at birth or shortly after (e.g., prematurity, other health issues requiring immediate attention) that led to the procedure being postponed or skipped altogether, and it wasn't pursued later.</t>
  </si>
  <si>
    <t>I first realized as i sat in the bathtub with my older brother, when I was four and he was eight years old, that our penises were not alike. I wondered why his head was always fully exposed, and mine had skin over half of it, all the timeit, all the time. I also realized at the time, that dad had a penis with a lot more skin than mine had. Dad had so much skin that I never saw any portion of his head, even when we all, quite frequently,, peed together, standing around the toilet bowl..Three very different looking penises in our immediate family. How could those differences not be something I wondered about then?</t>
  </si>
  <si>
    <t>At four years old, my mother made an appointment with my pediatrician, specifically because her "Baby Care" book stated, "All uncircumcised boys foreskins should become retractable by age three." Clearly, mine was stil fused to my glans/head then, and was not typical, according to the misinformation in that particular child "care" book of mom's. (I read all this in the book. many years later.).My pediatrician forcibly retracted my foreskin, skinning ne alive, ripping the adhesions apart, between my inner foreskin and glans, There was no prior explanation, to informed consent, no anesthetic, and zero compassion expressed toward the screaming piece of raw meat between my doctor and my mother. It was one of my earliest and memories and one I can NEVER erase. It was nothing less than horibble child abuse and medical malpractice. It was obviously not that doctor's first rodeo, because the only advance indication he was about to do something b=very painful, was the grimace on his face, a second before he ripped my foreskin back.Obviously, his medical education about minor children's foreskins was lacking at the time.</t>
  </si>
  <si>
    <t>There were many experiences and situations I encountered, where I felt like I was "omitted" frombeing a member of the predominantly circumcised amongst my peers. It would take volumes to cite all of the times I felt weird or different, or excluded from the "cut culture." Nobody wanted a penis with a permanently exposed head all the time, more than I did, at least every time I peed. between ages four and 23. I thought I was a freak, witha. birth defect until I had my "WTF Moment" on the first day of gym class in 7th grade, when I finally understood that doctors had deliberately cut off the foreskins of nearly all of my peers, shortly after they were born, I think nearly every male, at some point, be they circumcised or intact, has that "WTF Moment" when they finally understand what was, or was not done to their penis.</t>
  </si>
  <si>
    <t>My Humanely respected RIGHTand informed choice as an adult, to a full and complete, male sexual experience. (is that concise enough?)</t>
  </si>
  <si>
    <t>"I'm not particularly focused on it." It never has n=been a central focal point. the skin traveling over the rim of my glans was always far more erotic and sensitive.</t>
  </si>
  <si>
    <t>I wondered, in my early teens, how it was even possible for the tightly circumcised guys to achieve an orgasm. The first and every time I "instinctively" masturbated, involved the use of my foreskin.I did not learn the tightly circumcised guys could only get there, IF the used messy lubricants as a prosthetic replacement for a missing foreskin, until I was 18 years old.</t>
  </si>
  <si>
    <t>I am not anymore unappendectomied than uncircumcised. "Uncircumcising" is the only viable way for a circumcised guy to restore or "get back" HIS foreskin. You must first be circumcised, to become "uncircumcised." Thankfully, I escaped the RIC beliefs enough to never feel the need to become "uncircumcised." However, I have lengthened my once shorter-than-avearge length foreskin, to achieve an unquestionably intact appearance, and to discover what guys with long overhangs are experiencing, thot I had never. Until I stretched my foreskin, much the same way restorers stretch, I would never know how it feels to have skin beyond the tip of my glans. If skin did not stretch via a process called "mitosis," fat people would be exploding around us, every day! Restoring can never reconnect the severed and murdered nerves compromised in each and every circumcision, but it can get as much as 75% of the function, and nearly 100% of the form.</t>
  </si>
  <si>
    <t>(Do the math:). " less &lt; MORE" (Simple and to the point!)</t>
  </si>
  <si>
    <t>There were only 12 of us with foreskins (that I observed) in my class going through school, with required communal showers in gym classes and sports, from age 11-18. 95% of my peers I saw, had been RIC'd. Five of the dozen were farm boys, five were lower class city boys, and just two of us were middle class city guys. It was not exactly the desired "IN-Crowd" I wanted to be associated with. The demographics I observed were the circumcised were the expected majority. I sure wondered if budding friendships disolved when they saw I was not among the circumcised majority.</t>
  </si>
  <si>
    <t>It was quite obvious that the RIC'd guys thought they were born that way, and so did I, until I was 12.5 yrs old.</t>
  </si>
  <si>
    <t>Education, FACTS vs. the social construct:s and medical hypotheticals, religious beliefs in utter nonsense, ad cultural conformity. Applying CRITICAL THINKING and looking at each and every one of the seeingly endless succession of lies and conjecture, to sell more circumcisions.Nothing that promotes RICis medically ethical or justifiable.</t>
  </si>
  <si>
    <t>My experience growing up was somewhat unusual in that my dad was intact, my older brother was RIC'd (perhaps without either of my parents knowing it was part of the hospital's routine of the era), I was left intact, and my younger brother was RIC'd.My dad NEVER expressed any opinion on the differences and fathers were excluded from maternity matters back then. Being the only intact brother, and the inexplicably different, middle brother, was an enormous part of my feelings and desires to be like then=m and nearly all of my peers.I wanted to BE circumcisedmore than anything when I was younger, long before I knew and undertood whtat caused the differences in my own family. Religion of the Catholic pursuasion and belief were foisted upon all of us, from a very early age.That taught us if we so much as THOUGHT about a penis, our souls would burn for eternity in Catholic HELL! It was impossible for me to even ask WHY my penis was so obviously differnt from both of my brothers, or why dad looked like he had a worse birth defect than what I assumed we both had... until I knew better.
No baby EVER asked to have his adult sexual experiences and campabilities forever limitedand restricted. Nearly all circumcisions are DONE TO minors, before they are old enough to understand the consequences, and run awayast enough!
My mother was obviously all about having "all-American, clean, cut" sons, and it was obvious that she disapproved of my having MY foreskin.But she did not pursue getting me circumcised, after encountering two different doctors that were very rare their day, who said I did not need a circumcision. Mom abandoned her efforts to get me circumcised, after the second doctor, told her, "No" Mom always followed "doctor's Orders," no matter how much she obviously disagreed or disagreed in her beliefs about several medical practices.of the day.Nobody should be allowed to cut off a male's most sensitive part of HIS penis.HIS body, unless it is the penis owner's choice, when he is old enough to make HIS informed choice. HIS choice (at 21 or older... no exceptions).</t>
  </si>
  <si>
    <t>I prefer to remain anonymous, but the usual way I communicate with te person sending me the link to the survey is fine.</t>
  </si>
  <si>
    <t>No, was not taught that there was or wasn’t</t>
  </si>
  <si>
    <t>I later learned it not recommended or necessary</t>
  </si>
  <si>
    <t>The front of my penis, and the midpoint of the shaft are most sensitive. I loose sensitivity when there is too much wetness and fast motion. I don’t have much feeling in the head of the penis.</t>
  </si>
  <si>
    <t>For sex it occurs suddenly and without as much pleasure. When masturbating I can build it up more and it is more intense.</t>
  </si>
  <si>
    <t>It’s always needed for sex to work but never for masturbation</t>
  </si>
  <si>
    <t>In any partnered sex act. I am unable to conduct penetrative sex in a way that improves sensation. I can give my partner instruction to improve sensation from oral or manual sex.</t>
  </si>
  <si>
    <t>None that I can tell</t>
  </si>
  <si>
    <t>It’s a mindfuck to put it nicely. It’s hard to say exactly was is attributable to circumcision. I had extreme chaffing when I was young. I have never peed very smooth or straight. I feel like I have ruined my life from thinking about it so much.</t>
  </si>
  <si>
    <t>Cultural Tradition/Family Norm: It was a strong family tradition, cultural expectation, or simply "what people in our community did.", Just standard practice: Based on observing its prevalence, assumed it was the default medical procedure without a specific individual reason., 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 Aesthetic Preference / To Look "Better" or "Neater": Belief that the circumcised penis looks more visually appealing, "prettier," or tidier than an intact one., Hygiene: Belief that circumcision makes the penis easier to keep clean or is inherently more hygienic., To Look Like Father/Peers: Desire for the son's penis to match the father's or other males in the family/community.</t>
  </si>
  <si>
    <t>Peer &amp; Social Pressure (The "Fitting In" Factor): The widespread belief that "everyone else is doing it," and a desire for you to avoid being seen as different in locker rooms or later in life. (The power of broad social conformity)., 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t>
  </si>
  <si>
    <t>It’s very dry and tight. Prominent scare in the middle of the shaft</t>
  </si>
  <si>
    <t>All of those things are. Also just the feeling of being covered, and revealing the head of the penis</t>
  </si>
  <si>
    <t>The age of 13. It seems kind of random. Sexual encounters make it think of it.</t>
  </si>
  <si>
    <t>Yes prominent scarring, spraying urination. Chaffing, raw skin on my inner mucosa</t>
  </si>
  <si>
    <t>Please don’t do it, your son will never get over the grief from it. He will never feel normal once he figures out the awful thing you did.</t>
  </si>
  <si>
    <t>My mom explained it to my like, the foreskin was helpful when lived in the wild but now doctors know it isn’t necessary</t>
  </si>
  <si>
    <t>I didn’t have much of one. I guess it could be surmised that it was seen as vestigial</t>
  </si>
  <si>
    <t>I don’t think I could have made a generalization about it then</t>
  </si>
  <si>
    <t>I don’t really know, depictions in pornography?</t>
  </si>
  <si>
    <t>That people can be extremely upset my their circumcision status</t>
  </si>
  <si>
    <t>Because we are all the monster.</t>
  </si>
  <si>
    <t>Despite trying to restore and fix myself, I feel like something was fundamentally broken when I realized what was done to me.</t>
  </si>
  <si>
    <t>I am blakethepigsnickerson on the foregen/ circ grief discord</t>
  </si>
  <si>
    <t>I am interested in this. I’ve basically gone public and am open to a non anonymous documentation of my story</t>
  </si>
  <si>
    <t>Discord group</t>
  </si>
  <si>
    <t>Not really. These sorts of things were rarely discussed, and if they were, there wasn’t a very direct connection to genital cutting.</t>
  </si>
  <si>
    <t>I was raised Catholic and converted to evangelical fundamentalism as a teenager. I’m an affirming Christian now. As I gained a greater understanding of God’s love, God showed me that he’s totally fine with sex. As long as it’s consensual, it’s fine. Sex-positivity and intactivism are fundamental tenets of my faith now. I view God as being supportive of my sexuality like an elder or counselor would. He wants me to enjoy myself and have fulfilling relationships if I want to.
I don’t really believe in Christianity as an institution because their views are so divorced from mine. Even LGBT-affirming churches are still sexually controlling and sex-negative, e.g. they only affirm committed relationships.
I’m gay and a gear fetishist. What turns me on is guys in things like motorcycle gear, rubber, gas masks, hockey gear, and so on. I used to feel like my fetishes were sinful, but now I believe God made my sexuality this way and I’m thankful for it, because gear makes me happy and my fetishes are what make me special.</t>
  </si>
  <si>
    <t>I’m not retaining right now, but I’m protecting it with friction with a gauze pad, because I had a friction burn that recently healed. My sensitivity to fine touch is not great, it’s mediocre, but it gives a good amount of pleasure. But when I was retaining, my fine touch sensitivity was good. I find fine touch very pleasurable because it feels good without bringing me to ejaculation too quickly. Firm pressure can create a lot of interesting sensations in the form of squeezing my glans or bending my penis when it’s hard. Right now, I can feel different textures vaguely, but when I was retaining, I felt them clearly.
I’ve studied my own erogenous zones a lot. My frenulum is very pleasurable, and rubbing it creates a deep, smooth pleasure. The very top of it, close to the glans, has less fine touch and the pleasure feels deeper, the very bottom of it is very sensitive to fine touch, so it feels like pleasurable rubbing, but doesn’t lead to ejaculation as quickly. The middle is kind of in between. I have 45 mm of inner foreskin and I’m very upset about whatever additional fine-touch sensitive frenulum tissue I lost due to MGM, because I love the sensation of that spot.
The corona of my glans is pleasurable too, but the pleasure it produces is more hot and shallow. It’s irritating if it’s too intense, but rubbing only the glans can be fun as a way of teasing myself and getting very aroused. Really, I need to stimulate both my glans and frenulum in order to feel the most pleasure, but touching only one or the other is great for maintaining arousal or building it slowly, because I’m going to take a lot longer to reach the edge.
As far as gliding action is concerned, I’m really missing out. At CI-3 and only 80% forced erect coverage, it’s hard to do. But it feels very good because it’s stimulating all the erogenous areas of my penis in the way they’re designed to. When I do this as opposed to use lube, the build-up to orgasm is impressive but the orgasm itself is mediocre. Maybe I need to restore more, or maybe my brain is conditioned to stimulation with friction.</t>
  </si>
  <si>
    <t>These questions are really hard, because I would need to have experience with being intact in order to answer them properly, but I experienced MGM when I was two and a half days old. I know something is missing, but I can’t characterize what. That’s a big part of my grief.
I feel like the quality of my orgasms is just okay. The build-up tends to be quick unless I stroke slowly. The pleasure is intense, focused in my frenulum, corona and pelvic floor. It’s not a very full-body experience and I wish it was. It’s not at all like a reflex, it’s a powerful release, but not in a good way. I feel drained of sexual energy, I feel a sense of emptiness and loss.
I wish my normal mode of having orgasms was being able to have multiples without a refractory period or resolution. I wish my orgasms were more of a full-body experience as well. Like a woman’s in these ways. I think being intact would have helped, but I don’t just want to orgasm like an intact man either. I’m quite sure it’s a gender thing as well. For that reason I consider myself altersex—someone who wants a mix of sex characteristics. But besides my orgasms, I’m consistently masculine. I love being masculine, and I love the other masculine aspects of sexuality.
It’s hard to deal with because the mix of sex characteristics that would make me happy isn’t achievable, or really accepted in the trans community. I don’t know anyone like me. Either way, I think if I were intact, I would be less dissatisfied but still dissatisfied with my sexual functioning.</t>
  </si>
  <si>
    <t>I definitely don’t like having to use it, knowing intact people don’t. I like to dilute my lube with some water to make it thinner because it allows for more fine touch.</t>
  </si>
  <si>
    <t>I’m a genital mutilation survivor. What happened to me was a fundamentally immoral act, so discussion of the advantages doesn’t make sense. It would be like asking Harriet Tubman “What were the advantages of being enslaved?”
There are no real advantages. The only things I can think of are entirely insignificant. Like not getting your foreskin stuck in a zipper. I don’t often wear pants with a zipper. Or a tiny absolute reduction in the risk of penile cancer.
I want to be intact with every fiber of my being.</t>
  </si>
  <si>
    <t>This could include anything from physical sensations or functional differences to emotional or psychological impacts. Please be candid about your own experiences, if any.
The consequences of genital mutilation were absolutely life-altering. I have sexual trauma from it, and many of the symptoms. Loss of trust in others, loss of parts of my identity and worldview, worsening of my eating disorder, emotional disturbances, and sex aversion even though I want to be able to feel safe having sex and masturbating. I love Jesus, but I lost my faith in Christianity as an institution, because even progressive churches don’t care about MGM.
I lost sexual pleasure as well as control of my body and I have serious grief over it. I know I lost something major, but I have no idea what I really lost because I never experienced it. I lost gliding action, I lost sensitivity, I lost erogenous tissue I don’t even have in my mental body map. I lost all of the joy and connection that can come from that. But I’m also quite mentally uncomfortable with sexual things now. How can I enjoy sex when I know I’m missing something? How can I enjoy sex within a society that mutilated me, among people who don’t understand or care? And this applies to masturbation too. It’s really awful.
My pee sprays a lot, probably from constant rubbing of the glans on my clothes. I have scars on my inner foreskin from when I was a teenager/young adult and didn’t have access to lube.</t>
  </si>
  <si>
    <t>Hygiene: Belief that circumcision makes the penis easier to keep clean or is inherently more hygienic., To Look Like Father/Peers: Desire for the son's penis to match the father's or other males in the family/community., Prophylactic Health Reasons (General Prevention): Belief that it prevents potential future health problems (e.g., infections, inflammation, later penile issues) that were not currently present.</t>
  </si>
  <si>
    <t>Lack of Counter-Information: Crucially, the simple absence of any strong, readily available information presenting the benefits of intactness or the risks of circumcision, making it an easy default choice. (The power of silence)., Paternal Influence (The "Like Father" Factor): A specific desire for you to genitally match your father or other male family members. (The power of conformity within the family unit)., Prevailing Health &amp; Hygiene Beliefs: General societal "knowledge" at the time—gleaned from various sources—that presented circumcision as being fundamentally cleaner, healthier, or preventive of future diseases. (The power of a cultural 'truth').</t>
  </si>
  <si>
    <t>When I started, I had about 45mm of inner skin. I had a decent amount of shaft skin too, I didn’t have hair climbing way up my shaft. I was RCI-2 so I had some skin mobility when soft, but my skin was tight when hard. My forced erect coverage was 33%. It was uneven, with about 40mm of inner skin on the dorsal side but maybe 55 on the right side. The scar is prominent. It’s not raised, but I have light skin and the scar is fairly dark. I don’t like it.</t>
  </si>
  <si>
    <t>My desire to be intact is an integral part of me and being intact again would complete me. I would want to know everything. Most of all, I want to know what the overall experience is like. I want to know what new sensations are available and how they feel. How having more sensitivity allows the session to progress. What having lots of foreskin for gliding action is like. And how my erogenous zones would shift. I’m especially curious about what the lower part of the frenulum and transition between skin and mucosa feel like. The portions I lost to MGM.</t>
  </si>
  <si>
    <t>It started when I first learned what circumcision/MGM was and that I’d been mutilated. I felt oddly uncomfortable. I was 11 or 12 then. As I learned more about foreskin, my distress grew. I tried to repress it though. It peaked after I started restoring, and since then, it’s gotten somewhat better because I’ve been able to process my grief instead of trying to ignore it.</t>
  </si>
  <si>
    <t>Loss of sexual pleasure due to loss of erogenous tissue, gliding action, and glans protection. It’s hard to characterize, because I was mutilated in infancy, but I do consider it a form of sexual dysfunction because it’s a difference between what I have and what God wanted me to have, even if I can’t specifically name symptoms.
Honestly, just not having a foreskin. It’s a complication in and of itself. I’m sick of people not saying that.
Poor cosmetic outcome because intact looks better.
Prominent scarring
Peeing in double streams
Scarring on my inner foreskin due to masturbating and not having access to lube
Stretch marks from restoring—MGM caused it indirectly</t>
  </si>
  <si>
    <t>You mutilated my genitals and you’re depraved for doing that. What you did to me was sexual assault.</t>
  </si>
  <si>
    <t>Felt physically uncomfortable or experienced complications, Significantly dissatisfied with sensation, function, or appearance, Experienced feelings of loss, grief, or anger, Motivated by research or learning about intact anatomy/function, Curious about what might be different if intact, I discovered I was mutilated when I was 11-12, and from then on, my dissatisfaction with it gradually grew until I resolved to do something constructive about it, and started restoring.</t>
  </si>
  <si>
    <t>Heal psychological trauma, Increased overall sensitivity, Achieve glans coverage and dekeratinization, Regain gliding motion</t>
  </si>
  <si>
    <t>Manual tugging (Andre's Method) and packing</t>
  </si>
  <si>
    <t>I’ve told friends and online partners. I didn’t tell family I’m restoring because that’s personal, but I have talked to them about restoring. They may have inferred I’m restoring. Most reactions have ranged from curiosity to positive and that makes me feel more accepted.</t>
  </si>
  <si>
    <t>Restoring gave me a modest increase in pleasure by giving me more skin mobility. It’s easier to play with myself with some loose skin. I can use gliding action to get myself aroused, though it’s a bit difficult when I’m fully hard and I still prefer rubbing with lube. When I use a Fleshlight, I feel the skin gliding a little and the additional mobility feels a lot better than when my skin was tight.
Retaining was a game changer. It at least doubled my fine touch sensitivity. My frenulum became moderately more sensitive but the biggest difference was in my glans. Masturbation became more intense and gripping. I could feel the textures inside my Fleshlight for the first time, and my natural instinct became to thrust very slowly instead of quickly while enjoying the sensations, instead of having to thrust quickly to keep myself aroused. Sometimes sexual pleasure made me start laughing or feeling high, which I’d only felt from anal play before. But oddly, it triggered my dysphoria over MGM as well.</t>
  </si>
  <si>
    <t>I think my orgasms became mildly more intense. No huge changes yet.</t>
  </si>
  <si>
    <t>Restored is the word I prefer. Another term I like is sheathed, because it refers to having a foreskin regardless of its origin, and feels like it can apply to me as a person “I’m sheathed” instead of just “My penis is sheathed”. Genital integrity is part of me. Wanting it is part of my identity, a lot like gender, thus I prefer terms that refer to me as a person, not just my penis.</t>
  </si>
  <si>
    <t>The most challenging has been my mental health. After restoring helped me understand how much pleasure I lost to MGM, I started experiencing severe grief and trauma symptoms that upended my life. I began experiencing the loss that occurred many years ago. I had (and have) a lot of sexual trauma symptoms and I feel like I lost my sexuality. I had a lot of spiritual problems. I felt better as I was able to understand my grief and integrate it into my identity and life narrative. Now I can acknowledge my grief in a way that feels comfortable and doesn’t consume me. It helped me a lot to heal the spiritual sex-negativity I had my whole life. I’m more comfortable with things because I feel like I’ll be intact again when I go to heaven. It’s a lot easier to bear when I feel like God supports me as an intactivist, and will make up for anything I’ve lost on Earth due to MGM.</t>
  </si>
  <si>
    <t>I didn’t do well with it myself, it unearthed a lot of trauma. I would say to take care of yourself. If restoring is a trigger for trauma and dysphoria, talk honestly and openly about it, and get the support you need from friends, partners, and mental health professionals, because feeling alone makes it much more painful. Ultimately, MGM is a form of sexual abuse. Shame and isolation make the trauma a lot worse, and the silence in victims allows it to go forward.</t>
  </si>
  <si>
    <t>I’m hopeful, but realistic. Foregen isn’t guaranteed to succeed but it will be good if they do. I’m going to restore instead of waiting for something that might never happen, because restoration is the current standard of care.</t>
  </si>
  <si>
    <t>My father believed it was necessary for medical reasons, that it was cleaner and would reduce my risk of disease. He also thought it was necessary for me to look like him, or I would have psychological problems. Which is ridiculous because he drank heavily and physically and emotionally abused both me and my mother. If I end up anything like him, I’ve failed in life.</t>
  </si>
  <si>
    <t>The stereotype is that intact penises are weird and gross. They look funny and accumulate smegma. I used to think masturbating with them looked weird and painful, because the foreskin was so skin.</t>
  </si>
  <si>
    <t>There wasn’t much of a stereotype. Cut penises are considered right and normal, the way things are, but the attitudes that lead to MGM aren’t talked about much. It’s just kind of accepted.</t>
  </si>
  <si>
    <t>I think Americans tend to prefer partners missing foreskin because most of their partners are that way.</t>
  </si>
  <si>
    <t>What do you think is the single most important piece of information that people (especially expectant parents or young men) are MISSING when it comes to understanding male genital anatomy, intactness, and the lifelong impacts of circumcision?
If you could ensure everyone knew ONE THING, what would it be?
That MGM causes loss of sexual pleasure, and that this is not some abstract idea, but it’s loss of freedom, connection, and quality of life, because sexual pleasure is sacred. Our problem is ultimately about values, not facts. We need people to value caring for their children in a way that grows their autonomy as they grow up. Unfortunately this is lacking in so many families.</t>
  </si>
  <si>
    <t>I think it’s accurate. I would add that MGM isn’t unique. It’s a harmful cultural practice. Many cultures have them but we tend to be blind to our own.</t>
  </si>
  <si>
    <t>Definitely.</t>
  </si>
  <si>
    <t>I'd say my penis feels like it's just normal nerves. If I touch my glans, it feels like a tactical touch. If I lightly rub it, it does feel a little ticklish, but not enough to give me any pleasure. My frenulum is mostly gone, and touching that area does nothing at all. I'd say what can get me to cum is holding my penis strongly and trying to get the remaining skin to cover only a little bit of my glans.</t>
  </si>
  <si>
    <t>I'd say the build-up is there, but depending on how I'm feeling, it can be quick or it can take forever for me to cum. I'd say the pleasure is mild, and focused on just the genital area. After the orgasm, I simply just move on with my life as if nothing happened. I experience little to no afterglow.</t>
  </si>
  <si>
    <t>From my experience, it can make masturbation more pleasurable. Especially with my glans being more sensitive as a result. Sometimes, I've even cried while masturbating with lube due to the pleasure increase.
Without lube, I can usually get more pleasure from a hug than from a usual orgasm in which I don't use lube.</t>
  </si>
  <si>
    <t>I can feel a tactical touch. I did tell her that swirling her tongue around my glans feels nice, but I feel like I have to exaggerate my reactions to make her feel like she's doing a good job. She never made me cum via any sexual act. It was mostly me exaggerating during foreplay. With intercourse, I only had it with a condom on. At times, I had no idea if my penis was even inside her or not. But I tried convincing myself that due to her motions, that it was proof my penis was inside her.</t>
  </si>
  <si>
    <t>I don't see anything good that came from me being circumcised.</t>
  </si>
  <si>
    <t>It can make masturbation harder. Sometimes, I can get soft out of nowhere. Other times, just when I think I might cum, I don't and I have to try again later. 
After each orgasm, my brain feels disappointed that I could have had more. But due to me not having foreskin, I cannot reach that level of pleasure even if I use the best lube or the best sex toy on the market. Sometimes after an orgasm, I can experience phantom limb syndrome, but for my missing foreskin. It feels so surreal.
When I think about the pleasure I would have had had I remained intact, I sometimes wonder if I'm even blowing it out of proportions or if it's more pleasurable than I imagine. 
Throughout my life, I had this feeling that I was missing something, but I couldn't figure out what it was even after I learned about the basic idea of circumcision. It was only after my brother (who was also circumcised) told me about the harm of circumcision that it all started to make sense.
Subconsciously before I knew circumcision was amputation, I would try to pull my remains to completely cover my glans. I liked doing it even though I didn't know why. It was my subconscious brain trying to cover up what should have been covered up at birth. I also had a subcounsious desire to experience my glans getting completely covered even at my hardest during masturbation.</t>
  </si>
  <si>
    <t>Just standard practice: Based on observing its prevalence, assumed it was the default medical procedure without a specific individual reason., To Look Like Father/Peers: Desire for the son's penis to match the father's or other males in the family/community.</t>
  </si>
  <si>
    <t>Peer &amp; Social Pressure (The "Fitting In" Factor): The widespread belief that "everyone else is doing it," and a desire for you to avoid being seen as different in locker rooms or later in life. (The power of broad social conformity)., 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t>
  </si>
  <si>
    <t>The circumcision left an ugly scar. Erections can sometimes hurt. I'd say the circumcision was somewhere between loose and tight.</t>
  </si>
  <si>
    <t>Would I enter into a dream-like state while masturbating and/or during sex? Would I moan? How do frenulum orgasms feel like compared to a standard intact masturbation session? Would I masturbate more often?</t>
  </si>
  <si>
    <t>At first, it was subconscious. Then it was conscious when my brother told me about the harms of circumcision. Hearing anecdotes from intact men is likely to trigger jelousy and grief, but also happy for them as they have been spared from genital mutilation.</t>
  </si>
  <si>
    <t>Painful erections mainly.</t>
  </si>
  <si>
    <t>Was it worth damaging my penis, while I was wide awake having no idea what's going on, and ruining my future sex life just so the doctor could have an extra Ben Franklin in his wallet? The hospital I was born at was sued for botched circumcisions and they had to pay millions of dollars because of it. And you were willing to take that risk?
Look mom, I know your childbirth experience was very unpleasant. But that doesn't trivialize my suffering while I was strapped on the circumstrait, losing the most sensitive and most erogenous part of my penis.</t>
  </si>
  <si>
    <t>That they look alien, and that they were more prone to HIV.</t>
  </si>
  <si>
    <t>That there were thought of as "normal" looking penises.</t>
  </si>
  <si>
    <t>Most likely familiarity.</t>
  </si>
  <si>
    <t>That the foreskin is the male clitoral hood, and performing it is akin to type 1a FGM (Where only the clitoral hood is removed). And just like how FGM, in any form, is rightfully viewed as the most evil thing you can do to a girl, performing genital mutilation on a boy is the most evil thing you can do to him.</t>
  </si>
  <si>
    <t>Because genital mutilation is being normalized and performed so often to the point where the practice is normalized.</t>
  </si>
  <si>
    <t>I think so.</t>
  </si>
  <si>
    <t>CO - Colorado</t>
  </si>
  <si>
    <t>My penis is very sensitive overall, with the foreskin, glans, and frenulum being the most reactive areas. Light touch tends to be the most pleasurable. Teasing or gliding motions over the foreskin can cause full-body waves of pleasure, especially if I’ve been edging or am already highly aroused. Even a soft brush across the overhang of the foreskin can begin to wake up arousal, and with enough buildup, that type of stimulation alone can lead to orgasm.
The foreskin is my main focus during both solo and partnered activity. I usually keep it over the glans and use my fingers and thumb to stimulate through it. This lets me indirectly stimulate the frenulum and the rim of the glans, creating a mix of soft, sharp, and layered sensations. The tip and inner part of the foreskin are especially sensitive. When gently massaged, rubbed, or fingered, they can create anything from subtle pleasure to something very intense. Once wet with precum, that sensitivity increases even more.
Firm pressure along the shaft also feels good, but it is noticeably less sensitive compared to the foreskin and glans. It responds better to gripping or consistent motion, rather than delicate touch.
In terms of texture, I prefer unlubricated stimulation. My foreskin allows for smooth, natural movement without discomfort. When I use lube, the sensation becomes too slippery, and I lose some of the friction and intensity that make stimulation feel satisfying.
Direct glans stimulation is highly sensitive but only feels good when the surface is moist. If I touch it dry right after pulling back the foreskin, the feeling is too sharp and unpleasant. Once the glans is wet with water, saliva, or precum, the sensation becomes sharply pleasurable and more focused. Even then, I tend to stick to indirect stimulation using the foreskin, since it gives me more control and variety in sensation.
Overall, I respond best to slow, rhythmic touch that focuses on the foreskin and frenulum. These areas don’t just feel good on their own. They set off sensations that ripple across my entire body and create a much more immersive experience than simple stimulation of the shaft.</t>
  </si>
  <si>
    <t>My typical orgasm, especially when I'm edging or very aroused, builds up slowly and steadily. It feels like waves of pleasure rolling outward from my cock, getting stronger and more overwhelming the longer I hold off. I can tell very easily how close I am to cumming. The build-up isn't just physical—there’s a mental component too, where I start to lose track of everything else and get fully absorbed in the sensation. It can feel almost trance-like.
When I finally orgasm, it hits hard. The waves of pleasure intensify and crash all at once, like a tsunami. The release feels full-body, not just local to my genitals. I usually can’t move for a few seconds, and it often takes me a bit to catch my breath and come back to myself. It’s not just a reflex—it feels like a deep, satisfying release that clears my head and leaves me physically and mentally spent in the best way.
When I’m just doing a more routine or quick session, the orgasm is still good but more subdued. The build-up is shorter, the pleasure is more focused in the cock, and while I still get a nice wave of release, it doesn’t hit with the same full-body intensity. I still get a brief moment of that “paralyzed with pleasure” feeling, but it's not as strong or lasting.
Overall, my most intense orgasms tend to come from longer sessions or when i'm with a partner, especially when I’m using slow, foreskin-focused stimulation. Those are the ones that give me that deep, overwhelming, and completely satisfying feeling.</t>
  </si>
  <si>
    <t>I only find lube necessary for having anal sex, otherwise I never need it.</t>
  </si>
  <si>
    <t>The biggest advantage for me is the sensitivity and range of sensation it provides. The foreskin is the most responsive part of my penis, and it allows for a type of stimulation that feels more layered and dynamic. Gentle touch, teasing, or rubbing through the foreskin can lead to incredibly powerful sensations even full-body pleasure or orgasm without direct glans stimulation. It gives me much more control over build-up and edging, especially during longer sessions.
It also makes masturbation smoother and more comfortable without needing lube. The foreskin creates its own natural glide, and that friction feels better and more controlled. When I use lube, the sensation becomes too slippery and dulls the intensity. Being intact allows me to connect more closely with the sensations and take things at my own pace.
Aesthetic matters too. An intact penis just looks better, in my opinion. There’s no scar, no surgical alteration it’s the penis in its natural state. The foreskin adds movement and shape, and the whole structure looks more complete and balanced. It feels like nothing was taken away or damaged, and that has value both physically and emotionally.
Overall, being intact means more sensation, more options for pleasure, and a more natural look and feel. It’s something I value a lot.</t>
  </si>
  <si>
    <t>Overall, my experience of being intact has been overwhelmingly positive, but there have been a few minor challenges. I have a mild case of phimosis, which means my foreskin is a bit tight when I’m erect. It doesn't fully retract on its own and needs some work to pull back, especially when hard. That said, it’s never caused me any pain or discomfort during sex or masturbation, and I’ve always been able to keep clean without a problem. My foreskin retracts easily when I’m flaccid, so hygiene is simple.
For a short time, I felt pressure to stretch or “fix” it just because of what I read online, or from people treating phimosis like a problem that always needs correction. But the more I got in touch with my own body and needs, the more I realized it wasn’t affecting my health, pleasure, or confidence. In fact, my foreskin enhances sensation and has helped me have a more satisfying sex life.
Socially, I’ve never felt ashamed or insecure about being intact, even though I grew up in the U.S. where circumcision is common. I’ve always liked how my penis looks and functions, and I’ve had mostly positive responses from others too. If anything, the biggest challenge has been how taboo or misinformed discussions around foreskin can be, especially in male spaces. People often treat it as weird or wrong just because it’s different from the norm where they live, and that can make it harder for intact guys to talk openly about their experiences.
So while I’ve had a mild case of phimosis and felt some outside pressure, I don’t consider those real drawbacks. My foreskin has never limited me, and I’ve always been glad to have it.</t>
  </si>
  <si>
    <t>Ethical Concerns: They had ethical objections to non-consensual surgery on a healthy child/believed strongly in bodily autonomy or children's rights., Lack of Perceived Benefit: They didn't see any compelling reason to circumcise., Intuition/Gut Feeling: A general sense that leaving you intact was the natural or right thing to do, even without specific articulated reasons.</t>
  </si>
  <si>
    <t>Presented as a routine/automatic medical procedure by a doctor/hospital. They likely had to actively refuse.</t>
  </si>
  <si>
    <t>Growing up intact in the U.S., where circumcision is common, honestly didn’t feel strange or uncomfortable for me. I was never ashamed or insecure about my body. My mom made a deliberate decision not to have me circumcised. She believed the foreskin was there for a reason and felt it was cruel to remove it without consent. I later learned that she had to step in and stop the hospital from performing the procedure after I was already prepped for it. I’m incredibly grateful she did.
From a young age, I was naturally curious about other boys' bodies, not in a sexual way at first but in a "why does his look different than mine?" sort of way. I remember noticing differences at urinals in school, but I never saw my foreskin as weird or wrong. To me, it was just part of who I was. I just assumed every penis was different.
That curiosity eventually led to exploration with friends during childhood and early adolescence. A lot of the boys I fooled around with were either uncut like me or simply never made a big deal about it. I never faced teasing or negative comments, and my experiences with peers were largely positive and affirming. In fact, a few times I got compliments, and even admiration, especially during puberty when I had developed more quickly than some of the other boys.
As I got older into my teen years and started to research why my penis looked different from others, I became even more proud of being intact. Learning about how the foreskin functions and how much sensation it adds made me realize I hadn’t just avoided harm—I’d kept something important. It gave me a strong sense of body confidence and reinforced how thankful I was that no one had taken that choice from me.
If anything, the only challenge has been the way society tends to avoid or shame open conversations about male anatomy. Being intact isn’t weird or abnormal, but in the U.S., it’s still treated like a deviation from the “default.” That can be frustrating. I think more guys would feel secure and positive about their own bodies if we just talked more openly and honestly about the natural variety of penises.
So for me, growing up intact was mostly a positive experience. I never felt like something was wrong with me, and over time, I came to take a lot of pride in it. My foreskin is a part of me I value deeply, both for how it looks and how it feels.</t>
  </si>
  <si>
    <t>My foreskin plays a central role in both masturbation and partnered sex. It’s not just a passive feature it actively shapes how I experience pleasure. It provides natural gliding motion that makes stimulation smoother and more controlled, especially during masturbation. I rarely use lube because the foreskin handles that function so well on its own. The movement of the skin over the glans creates layered, rolling sensations that are both gentle and intense, depending on how I engage with it.
During masturbation, I usually keep the foreskin over the glans and stimulate through it. This allows me to focus on the frenulum and the ridge of the glans without the overstimulation that direct contact sometimes brings. The difference in sensation between the inner and outer foreskin is also noticeable the inner foreskin is more sensitive and produces sharper, more focused pleasure when it’s moist with precum or saliva. Fingering or tugging it can create full-body reactions, especially during edging sessions and with partners. Sometimes just the slow retraction of the foreskin itself is enough to trigger an orgasm, especially if I’ve been aroused for a while.
In sex, even if I don’t consciously focus on it, the foreskin enhances comfort and sensation. It reduces friction and adds a gliding feel that makes penetration more fluid. It also protects the glans, keeping it moist and sensitive without being raw or desensitized from constant exposure. I’ve never had sex without my foreskin moving along with the rhythm, so I can’t really compare, but I’m confident it makes the experience more pleasurable for me and likely for my partner as well.
Overall, my foreskin isn’t just a feature I happen to have. It’s a vital part of how I give and receive pleasure. It enables more nuanced stimulation, allows better control, and adds to both comfort and intensity during sex. I genuinely enjoy exploring it, and I consider it one of the best parts of being intact.</t>
  </si>
  <si>
    <t>The frenulum is absolutely one of the key sources of pleasure for me. It’s incredibly sensitive and plays a major role in both masturbation and sex. I often focus on stimulating it indirectly through the foreskin, using two fingers underneath and a thumb on top. That kind of pressure and movement creates sharp, precise waves of pleasure that roll out through my whole body. It’s not just “one of many” sensitive spots it’s a hotspot, and I can feel the difference when it’s being stimulated directly or even just lightly teased.
During edging or high arousal, stimulating the frenulum especially when it’s moist can bring me right to the edge of orgasm quickly. It’s not just about the intensity either, it’s about the control and nuance it adds to the experience. I can really feel it respond differently than the rest of the penis. Even if I’m not focused on it consciously, it’s almost always involved in my most intense orgasms.
So yes, for me, the frenulum is crucial for my most intense pleasure. It’s one of the reasons I’m glad to be intact and have that part of my anatomy fully present and functional.</t>
  </si>
  <si>
    <t>Yes, I’ve had multiple sexual experiences with circumcised partners, and I’ve definitely noticed some recurring differences in sensitivity, technique, and how they experience pleasure. One of the most immediate and consistent things I’ve observed is the need for lube. Most cut partners have required frequent reapplication of lubricant during sex or mutual play. Without it, they often experience discomfort, or in some cases, even rub themselves raw or tear skin if the motion is too dry or fast. My foreskin provides natural gliding, so I rarely need lube unless it's for added sensation or specific activities.
Some cut partners have also shared that they don’t feel much sensation in their penis, especially in the head. A few have even said that things like frotting or light touch don’t do much for them, while for me those kinds of activities are incredibly stimulating. In one case, a partner explained that he preferred to bottom during sex because his penis had become so desensitized that it didn’t provide any pleasure at all. Others have told me that direct contact with the glans can feel unpleasant or overly sensitive in a raw, exposed way.
I’ve also had cut partners grip my penis with an intense amount of pressure what felt painful to me because that was the only way they could feel anything on their end. Their masturbation style is noticeably different too, usually focused on aggressive shaft stimulation, sometimes with only occasional contact with the glans. In contrast, my own approach is much more centered on the foreskin, using gentle and varied touch to build up sensation slowly and deliberately.
I’ve also noticed a difference during oral sex. With circumcised partners, I often have to use much more suction and grip than I would with an intact one. In one case, I was going so hard I accidentally gave a guy a hickey on the tip of his penis. He told me it felt really good and that he didn’t feel any pain at all, which was surprising considering the intensity. That kind of aggressive stimulation would probably be overwhelming or even painful for me as someone intact, but for him it was necessary just to get strong sensation.</t>
  </si>
  <si>
    <t>I have a preference for Intact but will use Uncut interchangeably.</t>
  </si>
  <si>
    <t>I wish people truly understood that the foreskin isn’t just some extra flap of skin it’s a functional, sensitive, and deeply integral part of the sexual experience. Being intact isn’t about being “uncut,” it’s about being whole. The foreskin protects the glans, keeps it soft and sensitive, and creates a natural gliding motion that adds layers of pleasure during both masturbation and sex. It allows for more variety, more control, and a deeper, more immersive connection to my body.
From my experience, the difference is not subtle. I can orgasm just from foreskin stimulation alone. I don’t need lube. I can feel pleasure in delicate, nuanced ways that build slowly and intensely. That’s not just a physical benefit it’s emotional too. I’ve always felt confident in my body, proud of how it looks and functions, and grateful that no one took that choice away from me.
If I could tell a parent one thing, it would be this: your child deserves the right to experience their body fully and make their own choices about it. Once the foreskin is removed, it’s gone forever and so is everything it contributes. There is no medical need to remove it in a healthy baby. Leave them whole. Let them grow up with the chance to decide for themselves.</t>
  </si>
  <si>
    <t>Health and cosmetic</t>
  </si>
  <si>
    <t>Honestly, I don’t remember a lot of negativity about being intact while I was growing up. There might have been some jokes here and there—like the “elephant trunk” thing or vague comments about them being harder to clean—but they were more mean-spirited throwaway lines on TV than anything people around me actually believed or talked about seriously.</t>
  </si>
  <si>
    <t>To be honest, I don’t remember hearing much about circumcised penises growing up either. If there was any assumption, it was just that being circumcised was “normal” in the U.S., and that’s how most boys were. Occasionally you’d hear someone say that circumcised penises “looked better” or were somehow cleaner, but I didn’t absorb much of that at the time.
I was pretty blissfully unaware of the whole debate until I was a teenager and started questioniung the differences more and seeking answers. Up until then, I just figured everyone’s body was a little different, and that was normal. It wasn’t something I gave a lot of thought to.</t>
  </si>
  <si>
    <t>I think the perceived preference for circumcised penises comes from several overlapping influences rather than any inherent truth about what's better. A big one is “adamant father syndrome”where circumcised fathers want their sons to be circumcised too, often out of a desire to match or to validate their own experience. That kind of generational pressure can carry a lot of weight, especially when decisions are made early and without much discussion.
Then there’s the influence of American pornography, which for decades almost exclusively showed circumcised men. That shaped what people especially in the U.S. thought penises were supposed to look like. Though in more recent years, the increase in European-produced porn has helped normalize the sight of intact men and shift that visual standard a bit.
There's also just a lack of exposure. Many people in the U.S. have never encountered an intact penis in real life, so there’s this unfamiliarity that can easily turn into discomfort or bias. Women who have only ever been with circumcised partners may simply assume that’s normal or preferable not out of malice, but because it’s all they’ve known.
Add to that the long history of misinformation from doctors and hospitals, who for decades promoted circumcision as medically necessary or hygienic, often without giving parents balanced or accurate information. A lot of that thinking traces back to Victorian-era doctors who originally promoted circumcision as a way to reduce masturbation and encourage moral and physical “purity.” Over time, the religious and moral angle faded, but the routine continued under the new guise of health and hygiene.
Finally, there's the way the media depicts foreskin—often as the butt of jokes or something strange or excessive. “Elephant trunk” jokes, casual ridicule, or treating circumcision as just the default have all contributed to a culture that normalizes cutting and stigmatizes being intact.</t>
  </si>
  <si>
    <t>If I could make sure everyone understood one thing, it’s that the foreskin is not extra. It’s not a mistake, not a useless flap of skin, it’s an essential, functional part of the penis. It plays a huge role in pleasure, protection, and natural sexual function. Removing it doesn’t just change how a penis looks; it permanently alters how it feels and how it functions.</t>
  </si>
  <si>
    <t>Yes, the “transparent monster” metaphor resonates with me completely. Circumcision is one of those things everyone knows about, but no one really wants to look at too closely. It’s treated like a normal, harmless procedure, even though it's anything but. Parents openly talk about it, sometimes even laugh about how their newborn screamed for days, as if that's just part of the process. It’s deeply unsettling.
The harm is hiding in plain sight. It’s right there, but society has built such a thick layer of cultural normalization and misinformation around it that people stop questioning it. Doctors treat it like a routine checkbox. Parents think they’re doing the right thing. And the babywho can’t consent just has to live with the lifelong consequences.</t>
  </si>
  <si>
    <t>I think what stands out most to me is how normal and positive my experience of being intact has always been, and how little that narrative is represented. I didn’t grow up feeling weird or ashamed I didn’t even realize it was unusual in the U.S. until I was a teenager. My foreskin has never caused me pain or hygiene issues. It has only ever added to my pleasure, my confidence, and my sense of bodily integrity.
That’s not to say I was totally untouched by cultural messaging. As I got older, I started to hear more of the jokes, the assumptions, the misinformation. But I never internalized shame because by that point, I knew my body was normal. I had already felt how good it could feel, how well it worked, and how natural it was. The more I learned, the more grateful I became that no one had taken that from me.
What frustrates me is how invisible the intact experience still is. So many guys grow up thinking something’s wrong with them, or that they’re somehow less clean, less appealing, or less normal. And it’s just not true. Worse, a lot of them are pressured to "fix" things that were never broken. The voices of intact men, especially those who are confident healthy and happy, are still missing from most conversations. That silence matters.</t>
  </si>
  <si>
    <t>Absolutely. I would share my story gladly and openly—whether through writing, video, interviews, live discussions, or in-person events. I don’t feel the need to stay anonymous. I’m proud of my body, my experiences, and what I’ve learned.</t>
  </si>
  <si>
    <t>Transgender Woman, Agender, Demigender (e.g., Demiboy, Demigirl)</t>
  </si>
  <si>
    <t>I find that I tend to be the most sensitive near my frenulum (I think I still have mine?), but otherwise, I would say I'm not as sensitive as I would like to be overall, though the looser skin from the restoration I've ben doing certainly helps.</t>
  </si>
  <si>
    <t>I'd say my orgasms are okay(?). They're not very intense and tend to take a bit of time and focus to get to. They focus more around my penis for the most part (though, I've found as I've been restoring, I tend to get more and more "shivers" with my orgasms).</t>
  </si>
  <si>
    <t>I'd say that loss of sensation, is both a weakness and a strength, as being less sensitive down there can (theoretically) allow one to last longer in bed (though, being a virgin, I can't be sure). At the very least, it made it easier to ignore in most situations (my autism makes some sensations annoying to deal with, so having one less is helpful for me at the very least).</t>
  </si>
  <si>
    <t>Loss of sensation can be both a strength and a weakness, as I've found that sexual satisfaction (at the very least from masturbation) isn't as satisfactory as I would like it to be.</t>
  </si>
  <si>
    <t>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t>
  </si>
  <si>
    <t>Direct Medical Authority: Specific advice from their obstetrician, pediatrician, or the hospital staff where you were born. (The voice of a trusted professional)., Institutional Medical Norm: The general belief that "this is just the standard procedure" at hospitals, making it a routine, unquestioned part of postpartum care. (The power of the system)., Prevailing Health &amp; Hygiene Beliefs: General societal "knowledge" at the time—gleaned from various sources—that presented circumcision as being fundamentally cleaner, healthier, or preventive of future diseases. (The power of a cultural 'truth').</t>
  </si>
  <si>
    <t>I'd say the most visible scar from my circumcision would be the one right underneath the ridge of my glans opposite my frenulum.</t>
  </si>
  <si>
    <t>The sensations are the most relevant part to me, with the gliding motions being second. Just being able to feel *more* and having an easier time doing things without needing so much outside assistance from lube and such.</t>
  </si>
  <si>
    <t>I would say they started when I really started physically transitioning. Before I began, I just plain didn't like my penis. However, as I began taking HRT, my feelings on it became more clear as I actually started to examine them, and I realized that I didn't mind my penis at all, and that most of my dysphoria around it was social (being perceived as a man due to having one). What physical dysphoria was left was around being circumcised and feeling like I'd lost out on potential pleasure and joy from being cut.</t>
  </si>
  <si>
    <t>Please don't. Just teach her how to clean it, it's super easy.</t>
  </si>
  <si>
    <t>Significantly dissatisfied with sensation, function, or appearance, Experienced feelings of loss, grief, or anger, Curious about what might be different if intact</t>
  </si>
  <si>
    <t>Improve sexual pleasure/orgasms, Achieve glans coverage and dekeratinization, Regain gliding motion, Improve gliding mechanics/reduce need for lube, Increased overall sensitivity</t>
  </si>
  <si>
    <t>TLC Tugger</t>
  </si>
  <si>
    <t>I've only really told my mom (she noticed my tugger underneath my pants and asked about it). She was okay with it, but was worried about possible infections (I don't think she's that educated about foreskins). Haven't told anyone else, nor do I plan to. This is for me</t>
  </si>
  <si>
    <t>I find the most changes to sensitivity tend to be around the frenulum area, as it's become much more sensitive then it was before restoration.</t>
  </si>
  <si>
    <t>I would say my orgasms are slightly more intense than before I started restoring, though that could also be from my HRT as well.</t>
  </si>
  <si>
    <t>I think I'd prefer restored as it seems more accurate, but do what thou wilt.</t>
  </si>
  <si>
    <t>I've found that the social aspect has been the hardest part - knowing my parents circumcised me makes me less likely to talk about it to them, and I find it hard to believe that most people care, let alone understand the desire to restore, so I generally keep it to my self. Though, if there's anything I like about restoring, it's seeing the progress of restoration, day by day, millimeter by millimeter.</t>
  </si>
  <si>
    <t>Patience is a virtue ( especially when you reach RC4, The Hump), and whatever you do, don't hurt yourself. If the way you tug or pull hurts, try something else.</t>
  </si>
  <si>
    <t>There wasn't much, but from what I remember, the focus was mainly on how intact penises were "dirty" (mainly talking about smegma)</t>
  </si>
  <si>
    <t>Not any that come to mind aside from the assumed corollary to the intact ones (that they're "cleaner").</t>
  </si>
  <si>
    <t>I'd guess most of these preferences revolve around hygiene and appearance more than anything.</t>
  </si>
  <si>
    <t>I'm not sure.</t>
  </si>
  <si>
    <t>PE - Prince Edward Island</t>
  </si>
  <si>
    <t>Mild.</t>
  </si>
  <si>
    <t>Lack of sensation</t>
  </si>
  <si>
    <t>To Look Like Father/Peers: Desire for the son's penis to match the father's or other males in the family/community., Hygiene: Belief that circumcision makes the penis easier to keep clean or is inherently more hygienic., Aesthetic Preference / To Look "Better" or "Neater": Belief that the circumcised penis looks more visually appealing, "prettier," or tidier than an intact one.,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Parent's General Preference: Parents simply preferred the circumcised appearance or state without specific medical, religious, or cultural reasons being primary., Cultural Tradition/Family Norm: It was a strong family tradition, cultural expectation, or simply "what people in our community did.", Prophylactic Health Reasons (Specific Disease Prevention - e.g., Cancer, STIs, HIV, UTIs): Belief that it lowers the risk of specific diseases later in life (e.g., penile cancer, certain sexually transmitted infections like HIV or HPV, infant urinary tract infections - UTIs)., Just standard practice: Based on observing its prevalence, assumed it was the default medical procedure without a specific individual reason.</t>
  </si>
  <si>
    <t>Prevailing Health &amp; Hygiene Beliefs: General societal "knowledge" at the time—gleaned from various sources—that presented circumcision as being fundamentally cleaner, healthier, or preventive of future diseases. (The power of a cultural 'truth')., Aesthetic Preference: A belief, possibly influenced by media or pornography, that the circumcised penis is visually "neater," "more attractive," or the "correct" look. (The power of aesthetics)., Peer &amp; Social Pressure (The "Fitting In" Factor): The widespread belief that "everyone else is doing it," and a desire for you to avoid being seen as different in locker rooms or later in life. (The power of broad social conformity).</t>
  </si>
  <si>
    <t>Tight</t>
  </si>
  <si>
    <t>12 years old</t>
  </si>
  <si>
    <t>They are dirty</t>
  </si>
  <si>
    <t>Clean and tidy</t>
  </si>
  <si>
    <t>Media</t>
  </si>
  <si>
    <t>Foreskin doesn't go back in infants</t>
  </si>
  <si>
    <t>No. Never heard of it.</t>
  </si>
  <si>
    <t>It was never mentioned as something related to Christianity in any shape or form.</t>
  </si>
  <si>
    <t>Long build up. The release is amazing.</t>
  </si>
  <si>
    <t>I hate the smell of lube. I find too much glide is a turn off.</t>
  </si>
  <si>
    <t>Just when some partners are really rough when pulling the foreskin.</t>
  </si>
  <si>
    <t>It just works.</t>
  </si>
  <si>
    <t>Sometimes gets itchy if I shower with cheap soaps.</t>
  </si>
  <si>
    <t>Lack of Perceived Benefit: They didn't see any compelling reason to circumcise., Other Personal Experience (Non-Father): One or both parents had a negative personal experience or saw complications related to circumcision (e.g., on a sibling, friend's child, or themselves if circumcised later)., Born/Raised in a Culture Where Intactness is the Norm: The decision wasn't an active 'choice against circumcision,' but rather the standard cultural and medical practice in my country of birth/upbringing.</t>
  </si>
  <si>
    <t>When I was 5 the doctor said I might have to get cut if my foreskin didn’t retract enough and it scared me to death even to this day as an adult</t>
  </si>
  <si>
    <t>It was the norm. I thought being cut didn’t exist anymore until in my teenage years.</t>
  </si>
  <si>
    <t>I love the feeling of it gliding on my dick.</t>
  </si>
  <si>
    <t>Not focused on it</t>
  </si>
  <si>
    <t>The exposure, the need for lube, the different sensation</t>
  </si>
  <si>
    <t>It’s much more complicated to masturbate them. They want spit or lube.</t>
  </si>
  <si>
    <t>I prefer intact.</t>
  </si>
  <si>
    <t>They’re less clean</t>
  </si>
  <si>
    <t>They’re cleaner. It’s old fashioned / not done anymore.</t>
  </si>
  <si>
    <t>That cutting doesn’t have real benefits</t>
  </si>
  <si>
    <t>The best line I’ve ever read what that it’s a tribal way of marking boys.</t>
  </si>
  <si>
    <t>Well to be honest, most women seem to say they prefer it if asked. That's about the only advantage I can think of; physically it's only negative</t>
  </si>
  <si>
    <t>Probably mostly psychological. But I really really hated that this was done to me, and for a while I hated my parents. Physically I never had any trouble masturbating without lube, but orgasm was extremely underwhelming.</t>
  </si>
  <si>
    <t>I have a pretty obvious scar and strongly two-tone look. My glans is completely exposed flaccid, but I can pull the shaft skin up to cover it completely, but it immediately retracts when let go of. No coverage is possible without actively holding it. When erect i can't cover the head but there's easy and comfortable and pleasurable skin movement. I have a very small remnant of frenulum.</t>
  </si>
  <si>
    <t>Mostly i wonder what it would feel like, and look like.</t>
  </si>
  <si>
    <t>When I first learned that I had been circumcised, at about 12, I felt extremely uncomfortable and humiliated. But I thrust those feelings aside, until at 16 I learned about the harm it does. I think even more than the harm itself, the thing that made me sad and crazy and obsessed was that this was done to me without my consent.</t>
  </si>
  <si>
    <t>There's nothing really to say. They didn't think anything of it and still don't. I don't think they really care how I feel about it.</t>
  </si>
  <si>
    <t>Curious about what might be different if intact, Significantly dissatisfied with sensation, function, or appearance, Experienced feelings of loss, grief, or anger</t>
  </si>
  <si>
    <t>Improve gliding mechanics/reduce need for lube, Increased overall sensitivity, Heal psychological trauma, Reclaim what was taken, Feel more 'natural' or 'whole', Improve sexual pleasure/orgasms, Achieve glans coverage and dekeratinization</t>
  </si>
  <si>
    <t>TLC tugger</t>
  </si>
  <si>
    <t>I don't really like to get into it. One time I was asked if I were cut or uncut and neither answer felt true so I just offered to show it. I passed as uncut which made me happy. Nowadays I would be more comfortable saying uncut or restored.</t>
  </si>
  <si>
    <t>I think its much more sensitive, but I won't be able to answer most of these questions very well, since its been a long time since I either had sex or masturbated</t>
  </si>
  <si>
    <t>Maybe just a little bit? As I recall they were still pretty short and not very intense</t>
  </si>
  <si>
    <t>As I said in an earlier answer, its taken a very long time for me to consider myself uncircumcised or uncut. I think I'm finally there though. But I also would not mind being more specific for a good reason or an interested partner</t>
  </si>
  <si>
    <t>Definitely do it. You don't have to live with that decision made without any thought of what you might want. Also, be careful if you tug to only tug the shaft skin, don't pull up scrotal skin or skin around the penis.</t>
  </si>
  <si>
    <t>Hope it gets here, but don't hold your breath. I've been waiting like 20 years.</t>
  </si>
  <si>
    <t>I don't remember it ever really coming up.</t>
  </si>
  <si>
    <t>That everyone is.</t>
  </si>
  <si>
    <t>It's not just a tiny bit of skin (ive heard people say it's 1cm). It's a whole complex organ with thousands of nerve endings. You don't have the right to just cut that off someone who can't consent.</t>
  </si>
  <si>
    <t>People get very weird when this subject comes up. They're all wounded by it in some way or other.</t>
  </si>
  <si>
    <t>Yeah, sure, ask me.</t>
  </si>
  <si>
    <t>not very sensitive</t>
  </si>
  <si>
    <t>takes some time</t>
  </si>
  <si>
    <t>with new partner</t>
  </si>
  <si>
    <t>none if the foreskin is too tight</t>
  </si>
  <si>
    <t>educating partners to be les forceful</t>
  </si>
  <si>
    <t>Born/Raised in a Culture Where Intactness is the Norm: The decision wasn't an active 'choice against circumcision,' but rather the standard cultural and medical practice in my country of birth/upbringing.</t>
  </si>
  <si>
    <t>when I got married</t>
  </si>
  <si>
    <t>I've tried to bring it up, but they didn't seem to recall much or the conversation was brief.</t>
  </si>
  <si>
    <t>age 11. Forced retraction and dilation of preputial orifice</t>
  </si>
  <si>
    <t>Quite embarrassing to expose myself to peers and Girlfriends</t>
  </si>
  <si>
    <t>Sometimes difficult to re-position after retraction</t>
  </si>
  <si>
    <t>very sensitive when exposed</t>
  </si>
  <si>
    <t>I have not considered it</t>
  </si>
  <si>
    <t>Let child decide for himself</t>
  </si>
  <si>
    <t>I thought circumcision was only a religious thing</t>
  </si>
  <si>
    <t>not much information</t>
  </si>
  <si>
    <t>Discussion with partners</t>
  </si>
  <si>
    <t>Loss of sensitivity especially as an older person</t>
  </si>
  <si>
    <t>Transfer of parental ideas to child.</t>
  </si>
  <si>
    <t>There are times when preputio-plasty solves issues that circumcision is used for. A sledge hammer to crack a nut.</t>
  </si>
  <si>
    <t>I would answer question in an essay format</t>
  </si>
  <si>
    <t>London</t>
  </si>
  <si>
    <t>Straight-foreskin forum</t>
  </si>
  <si>
    <t>The glans is the most sensitive part to touch, it feels good when rubbed vigorously.</t>
  </si>
  <si>
    <t>Long, gradual build-up. Intense, sudden orgasm: release feels good. Feeling is focussed on the glans.</t>
  </si>
  <si>
    <t>I mostly use cheap and easily purchased lotions and oils, which work very well. No complaints.</t>
  </si>
  <si>
    <t>I've only ever really felt this when I was younger and my partners and I were inexperienced. Improving communications skills have resolved most of these problems.</t>
  </si>
  <si>
    <t>Hygiene, appearance (no wrinkles), pleasure (I think?) because the sensitive glans isn't covered up.</t>
  </si>
  <si>
    <t>Maybe needing lube to masturbate comfortably / easily?</t>
  </si>
  <si>
    <t>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 Just standard practice: Based on observing its prevalence, assumed it was the default medical procedure without a specific individual reason.</t>
  </si>
  <si>
    <t>Peer &amp; Social Pressure (The "Fitting In" Factor): The widespread belief that "everyone else is doing it," and a desire for you to avoid being seen as different in locker rooms or later in life. (The power of broad social conformity)., Institutional Medical Norm: The general belief that "this is just the standard procedure" at hospitals, making it a routine, unquestioned part of postpartum care. (The power of the system)., Prevailing Health &amp; Hygiene Beliefs: General societal "knowledge" at the time—gleaned from various sources—that presented circumcision as being fundamentally cleaner, healthier, or preventive of future diseases. (The power of a cultural 'truth').</t>
  </si>
  <si>
    <t>No shaft skin mobility. Skin is smooth and when erect it feels very tight. There is no frenulum. The scar is very faint and not that visible.</t>
  </si>
  <si>
    <t>I wonder if it's more convenient / easier to not need lube, and how sensitive it would be if the glans was covered some of the time.</t>
  </si>
  <si>
    <t>The only time I have ever felt this way was when I first learned I was circumcised. It was mostly triggered by the surprise of learning that I was circumcised for the first time. I quickly grew out of it.</t>
  </si>
  <si>
    <t>Does "overly tight skin affecting erections" include when the hairy scrotal skin is pulled up the shaft on erection as a "symptom"? Otherwise no, I have never experienced any ongoing "symptoms".</t>
  </si>
  <si>
    <t>That they are unclean or unhealthy, and bad for sex.</t>
  </si>
  <si>
    <t>That they are cleaner and healthier.</t>
  </si>
  <si>
    <t>Hygiene and cosmetics shape this preference, as well as the perception that circumcised men have better stamina in sex.</t>
  </si>
  <si>
    <t>Recent research as opposed to conventional wisdom.</t>
  </si>
  <si>
    <t>It doesn't feel accurate because it doesn't reflect my personal experience that no negative impacts have emerged from this. I've also never known any other circumcised men who strongly dislike it. Calling it "transparent" and saying that there are "hidden harms" doesn't change the fact that my sex life and experiences is and are very satisfying, and it just feels very natural to me.</t>
  </si>
  <si>
    <t>Mormons generally accept the Old Testament is a covenant with god for those people at that time, hence Mormons will eat pork, shellfish, etc and ignore most laws set within the Old Testament. Culturally they still cut in the whole, but I don’t believe it’s due to religious dogma.</t>
  </si>
  <si>
    <t>Christians in the US believe they are doing it for religious reasons a lot of the time, but don’t realize it is just a veil to justify a cultural practice they want to participate in. We don’t see Christians in Europe mass circumcising for religious reasons, and they have the same texts and interpretations throughout their denominations.</t>
  </si>
  <si>
    <t>There is no section of my penis that is more sensitive than my palm, there is a scar where my frenulum was ripped off and there is no sensitivity on the bottom of my penis at all.</t>
  </si>
  <si>
    <t>Orgasm is satisfying but only for a moment, and it feels like some thing is missing completely, as there is no sensitivity post orgasm or while it’s happening. There are parts of my penis that “feel like” they should be roaring with sensitivity post orgasm(frenulum, head etc) yet are completely dead as I finish.</t>
  </si>
  <si>
    <t>I have no skin with gliding action and am in pain due to my tight cut even with massive amounts of lubrication, the idea of doing it without is torturous.</t>
  </si>
  <si>
    <t>One of the most frustrating things is lack of understanding and a culture built around thinking circumcision is a net positive, and that all cuts are similar. I experience pain in almost any intimate situation due to the tightness of my cut and lack of skin, however women I have been with have been with other cut men who had a much more mild cut and still had a large amount of frenulum/foreskin attached. This causes them to not understand when I tell them the issues I’m having with my cut and lack of my feeling in my penis, as they have been with other “cut” men even though those men had a wildly different outcome from their own circumcisions. I have almost had a mental breakdown multiple time as women unironically start mentioning death grip that they have seen on tik tok as the cause of this lack of sensitivity or struggle to be intimate, when in reality I can barely even bring myself to masturbate ever as it is extremely uncomfortable and a constant reminder of what I hate. It’s impossible to find women who understand when all they are told their whole life is that you are a sex pervert or a chronic masturbator if you have sensitivity and intimacy problems.</t>
  </si>
  <si>
    <t>There are genuine health reasons to be circumcised in specific situations, however the health benefits purported by advocates of mass circumcision are from studies done in third world countries during the 80s. Of course if you have a population who doesn’t shower regularly then cutting will make them slightly cleaner. However last time I checked we are doing it in a country where the social norm is to shower daily and be clean and presentable. There is no medical upside unless you are born with a condition that requires it for normal function, and even then, the types done for medical reasons are much less extreme than neonatal removal, and most men having it done as a young adult for health reasons have much looser cuts and much better outcomes, you don’t have the same luck with neonatal as it’s more of a scorched earth tear it all off since the foreskin is still fused to the head. All of my colleagues who had it done for medical or cultural reasons as teenagers/adults have loose mild cuts around a CI-3 or 4 and almost all neonatal I have asked are CI 1-2.</t>
  </si>
  <si>
    <t>There are obviously the large physical limitations I have struggled with (no sensitivity, uncomfort/pain even when actively penetrating or being intimate), yet the psychological impacts have been infinitely worse. It has made me insanely distrustful of medical staff or anyone trained medically, as they all took an oath to help not harm, but they all recommend a procedure that almost no other first world country would recommend as routine. The reason they want to push this procedure isn’t some illusion of health, they make more money every time they push a couple to cut their child, and get huge subsidies from the government for continuing to push it. It is akin to a server upselling you on getting dessert with your meal, except they are upselling you on mutilating your newborn child because they would like the extra 500 bucks. Not only medical professionals but it has also ruined my ability to have good faith relationships with women. Almost all women I have talked to aren’t extremely invested one way or the other but have a definite preference towards “clean and cut”. The defense of this is “well it’s just my preference I can’t help it” yet we would consider anybody with similar preferences in other cultures absolutely disgusting. In China it was considered beautiful to crush the feet’s of infants and continue to wrap those feet to keep them so small that the person with the small feet was always in extreme pain and couldn’t walk properly. For these men it’s also “just our preference we can’t help it” but everybody outside of their cultural framework can obviously see how awful of a stance it is to hold. I also hate Americans in general because if it, knowing that most of the people you meet and talk to on a daily basis within your country support a practice that is barbaric and unethical makes it hard to stomach just being around them all the time. It feels akin to being a citizen in the Middle East and hearing everybody just casually talking about executing gay people because culturally they view it as fine, yet if you are the only one who realizes the magnitude of the crimes your fellow countrymen participate it it makes you feel insane to live among people participating in that practice.</t>
  </si>
  <si>
    <t>Prophylactic Health Reasons (Specific Disease Prevention - e.g., Cancer, STIs, HIV, UTIs): Belief that it lowers the risk of specific diseases later in life (e.g., penile cancer, certain sexually transmitted infections like HIV or HPV, infant urinary tract infections - UTIs)., 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 Just standard practice: Based on observing its prevalence, assumed it was the default medical procedure without a specific individual reason., Prophylactic Health Reasons (General Prevention): Belief that it prevents potential future health problems (e.g., infections, inflammation, later penile issues) that were not currently present.,</t>
  </si>
  <si>
    <t>Peer &amp; Social Pressure (The "Fitting In" Factor): The widespread belief that "everyone else is doing it," and a desire for you to avoid being seen as different in locker rooms or later in life. (The power of broad social conformity)., Family Tradition/Pressure: The expectation from grandparents or other influential relatives; the idea that "it's what the men in our family have always done." (The power of heritage)., Institutional Medical Norm: The general belief that "this is just the standard procedure" at hospitals, making it a routine, unquestioned part of postpartum care. (The power of the system).</t>
  </si>
  <si>
    <t>There is no moving skin when I am fully erect, and any movement is painful as there is no natural gliding action. The bottom of my penis is a large scar starting at the top running all the way down my shaft, and where my frenulum is supposed to be is smooth feeling less scar tissue.</t>
  </si>
  <si>
    <t>I would love to experience any of the sensitivity and function that comes with being intact, gliding motion, frenulum especially etc, and wonder how good the entire intimate experience feels, as for me it’s a few seconds of pleasure from finishing but everything before and after that brief moment is extremely uncomfortable and only serves to bring me to that moment.</t>
  </si>
  <si>
    <t>Masturbation is a chore, all I can think about during it are the lack of feeling and uncomfortable I have to go through just to have a release that biologically I need. Anytime I am intimate or pleasuring myself the only thing in my mind is circumcision.</t>
  </si>
  <si>
    <t>Skin is much too tight, extremely uncomfortable or painful to be intimate/masturbate.</t>
  </si>
  <si>
    <t>Honestly I’ve had many fantasies about telling the doctor who did it that they are evil and monsters within society. However I realized that anybody who is mutilating newborn infants and deceiving parents so that they can make a quick buck(even as an already extremely high paid profession), has been preselected to not care about anything I say as they have sociopathic traits.</t>
  </si>
  <si>
    <t>Seems almost everyone goes along with it as a cultural norm, they have seen their fathers, grandfathers, husbands etc all go through it and support it, so people assume it must be good and just.</t>
  </si>
  <si>
    <t>Unclean, unsightly etc, just common disgust within the culture for it.</t>
  </si>
  <si>
    <t>Cleaner, normal, better looking etc, essentially a mirrored opposite to feelings about intact penises.</t>
  </si>
  <si>
    <t>Cultural normality, they have been told their whole lives that cut is better, even though nobody does research or critically thinks about it at all. We have seen in other cultures that truly horrific preferences can be observed and we recognize as wrong, since they are not within our cultural norms, however that same degree of thought isn’t applied to our own culture.</t>
  </si>
  <si>
    <t>That all circumcisions are wildly different. There are men who still have lots of skin, a intact frenulum, and are much closer to an intact person than many of us who have no skin with movement left, and have no frenulum at all. Many of the men who get cut as adults will tell people there wasn’t a huge change in pleasure, but these men usually have functioning gliding action and a full frenulum. People believe that it is all the same outcome and the procedure has set outcomes. Nothing could be further from the truth as some men have a complete loss of sensitivity and function, while others experience only a slight change from being intact.</t>
  </si>
  <si>
    <t>It is extremely accurate, and I would bet it is one of the things we as a society look back on in horror as we do with so much from our past that we can now see as abhorrent. But as you stated, right now it’s seen as a good thing which is an even darker spot culturally to be in. As I said earlier, it is really hard to live in a society where it’s an underlying theme constantly, as you know whoever you are interacting with in a daily basis likely not only hasn’t given any thought to the monster lurking in our society, but have also encouraged and fed this monster.</t>
  </si>
  <si>
    <t>There is more but it would take a book to fill. Thank you as the survey was quite comprehensive and allowed me to share the most important bits.</t>
  </si>
  <si>
    <t>Discussions, surveys, interviews etc</t>
  </si>
  <si>
    <t>Nothing was taught to me about circumcision at my catholic school or at church. I chose not to be confirmed in grade 8.</t>
  </si>
  <si>
    <t>Religion is for low IQ people.</t>
  </si>
  <si>
    <t>After years of chafing, I barely feel anything.</t>
  </si>
  <si>
    <t>Zero satisfaction, hardly any pleasure.</t>
  </si>
  <si>
    <t>The purpose of lube is so the female will not be chafed, even then it doesn't work well because of long strokes the man has to take the lube dries out and needs to be reapplied. It doesn't give me any more pleasure or comfort.</t>
  </si>
  <si>
    <t>The girl thinks there is something wrong with her and that you're not attracted to her. Sadly because circumcised sex is painful for the woman, they usually think there is something wrong with them, when circumcision is the real problem.</t>
  </si>
  <si>
    <t>There are ZERO advantages of being circumcised. What a fucking retarded question!</t>
  </si>
  <si>
    <t>It has destroyed my life. Once I realized circumcised sex harms women I gave up. The only thing keeping me going now is pure rage. I ran a successful business without trying even though I wanted to die every day. I knew about bitcoin when it was at $10 for example. If I wasn't horribly mutilated (by a sick jewish blood ritual designed to destroy the bond between men and women) I'd have a beautiful family and not have to worry about money. Also the torture is even worse because I am good looking, in shape and over 6 feet tall, I have turned down so many opportunities to date beautiful women because I want to spare them the pain of circumcised sex.</t>
  </si>
  <si>
    <t>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 Medical Advice (without stated necessity): Recommended by a doctor or healthcare provider without explaining a specific existing medical problem, perhaps framing it as routine or generally beneficial., Parent's General Preference: Parents simply preferred the circumcised appearance or state without specific medical, religious, or cultural reasons being primary., Just standard practice: Based on observing its prevalence, assumed it was the default medical procedure without a specific individual reason., Hygiene: Belief that circumcision makes the penis easier to keep clean or is inherently more hygienic., Aesthetic Preference / To Look "Better" or "Neater": Belief that the circumcised penis looks more visually appealing, "prettier," or tidier than an intact one., To Look Like Father/Peers: Desire for the son's penis to match the father's or other males in the family/community.</t>
  </si>
  <si>
    <t>So much skin was removed that I now have hair going up the shaft where it shouldn't be. Also I try to never look at it.</t>
  </si>
  <si>
    <t>All of the above, as well as how much better sex and the bond with a woman would be.</t>
  </si>
  <si>
    <t>I had to get another surgery for meatal stenosis when I was 5 years old, it still didn't fix the problem completely.</t>
  </si>
  <si>
    <t>Any time I see a beautiful woman it is enraging thinking about how circumcised sex would harm her.</t>
  </si>
  <si>
    <t>Overly tight, causing hair to grow on shaft and meatal stenosis.</t>
  </si>
  <si>
    <t>That they were fooled by jewish lies.</t>
  </si>
  <si>
    <t>That they were gross, smelled bad and we called them elephant trunks as a derogatory term.</t>
  </si>
  <si>
    <t>That it looked better, was cleaner and healthier.</t>
  </si>
  <si>
    <t>Jewish lies and the porn they make.</t>
  </si>
  <si>
    <t>The fact that circumcision intentionally destroys the bond between men and women, it is the number 1 cause of divorce.</t>
  </si>
  <si>
    <t>My previous answers make it obvious why this feels accurate to me.</t>
  </si>
  <si>
    <t>Circumcision make life a living hell.</t>
  </si>
  <si>
    <t>Reddit username Jay5007 Harrison Bergeron</t>
  </si>
  <si>
    <t>Yes, I could write an essay.</t>
  </si>
  <si>
    <t>I almost never use it when masturbating. I only use it for partnered sex</t>
  </si>
  <si>
    <t>It’s how penises are meant to be. I think it looks and feels better than being circumcised</t>
  </si>
  <si>
    <t>When I was younger I was self conscious about it. Most penises I saw were in American porn, where foreskin was uncommon at the time. Now I feel more secure with my intact status. The main drawback I find now is that my dick gets smelly if I go more than a couple days without a shower, particularly if I’ve had sex or masturbated.</t>
  </si>
  <si>
    <t>I felt this way as a teenager, when I was afraid of being perceived as different or unattractive. I don’t feel this way at all now.</t>
  </si>
  <si>
    <t>I prefer to keep it pulled up/forward as much ch as possible, especially when getting blowjobs or handjobs. I enjoy the feeling of my skin gliding and don’t really like having my glans stimulated directly.</t>
  </si>
  <si>
    <t>I find this area too sensitive to enjoyably receive direct stimulation</t>
  </si>
  <si>
    <t>I mostly think of the word uncircumcised. Sometimes uncut</t>
  </si>
  <si>
    <t>I am incredibly grateful to be uncircumcised and I wish everyone had the same opportunity to decide for themself whether to get circumcised</t>
  </si>
  <si>
    <t>They smell and are predisposed to premature ejaculation</t>
  </si>
  <si>
    <t>It’s a fucked up thing we are doing to our men, but it’s not a salient issue for many prime</t>
  </si>
  <si>
    <t>Stay-at-Home Parent / Homemaker, Factory / Manufacturing / General Labor, Clerical / Administrative Support (e.g., Secretary, Office Clerk)</t>
  </si>
  <si>
    <t>On one side there is a part of my frenulum that was cut farther away from the head and that part is noticeably more sensitive to touch than anywhere else.</t>
  </si>
  <si>
    <t>There is not really a pleasurable sensation until about 5-10 seconds before the orgasm. If I stretch the spot on the right side of my frenulum it feels much more pleasurable than if I stroke it like normal.</t>
  </si>
  <si>
    <t>I don’t use it because it’s messy</t>
  </si>
  <si>
    <t>I’ve explained it to girlfriends and most of them felt some kind of disappointment because they want to make me feel good, and I’m telling them they literally can’t do it the way I make them feel good.</t>
  </si>
  <si>
    <t>Girls tend to think intact ones are gross so at least if it comes up I can avoid that stigma.</t>
  </si>
  <si>
    <t>It looks ugly and it’s hard to feel anything</t>
  </si>
  <si>
    <t>Hygiene: Belief that circumcision makes the penis easier to keep clean or is inherently more hygienic., Cultural Tradition/Family Norm: It was a strong family tradition, cultural expectation, or simply "what people in our community did.", Just standard practice: Based on observing its prevalence, assumed it was the default medical procedure without a specific individual reason.</t>
  </si>
  <si>
    <t>Lack of Counter-Information: Crucially, the simple absence of any strong, readily available information presenting the benefits of intactness or the risks of circumcision, making it an easy default choice. (The power of silence)., Direct Medical Authority: Specific advice from their obstetrician, pediatrician, or the hospital staff where you were born. (The voice of a trusted professional)., Prevailing Health &amp; Hygiene Beliefs: General societal "knowledge" at the time—gleaned from various sources—that presented circumcision as being fundamentally cleaner, healthier, or preventive of future diseases. (The power of a cultural 'truth').</t>
  </si>
  <si>
    <t>Uneven. One side is tight and the other is loose. Really jagged ugly scar.</t>
  </si>
  <si>
    <t>Definitely wonder about what it would feel like. People describe it like seeing in color vs black and white</t>
  </si>
  <si>
    <t>As a teenager reading about it on the internet</t>
  </si>
  <si>
    <t>Weird jagged scar</t>
  </si>
  <si>
    <t>Please don’t.</t>
  </si>
  <si>
    <t>That they’re dirty</t>
  </si>
  <si>
    <t>That it’s cleaner</t>
  </si>
  <si>
    <t>Movies and tv making jokes</t>
  </si>
  <si>
    <t>It isn’t just a flap of skin, it is important and has many functions</t>
  </si>
  <si>
    <t>It affects me every day of my life and no one knows or understands and I can’t talk about it.</t>
  </si>
  <si>
    <t>Education (e.g., K-12 Teacher, Professor, School Administrator), Arts/Humanities/Entertainment (e.g., Artist, Writer, Musician)</t>
  </si>
  <si>
    <t>Tech/IT</t>
  </si>
  <si>
    <t>Sometimes I barely feel anything when any part of my penis is touched.</t>
  </si>
  <si>
    <t>I get very little pleasure during sex and throughout an orgasm. When I am having one, it's a solid 2/10. And it's localized sensation not whole body.</t>
  </si>
  <si>
    <t>I always require it to avoid damage</t>
  </si>
  <si>
    <t>Lack of sexual pleasure, hatred due to the ugly appearance and scar, it's always dry, underwear friction very uncomfortable, extreme psychological distress causing suicidal attempt and self removal of the penis was attempted as well.</t>
  </si>
  <si>
    <t>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Prophylactic Health Reasons (Specific Disease Prevention - e.g., Cancer, STIs, HIV, UTIs): Belief that it lowers the risk of specific diseases later in life (e.g., penile cancer, certain sexually transmitted infections like HIV or HPV, infant urinary tract infections - UTIs).</t>
  </si>
  <si>
    <t>Paternal Influence (The "Like Father" Factor): A specific desire for you to genitally match your father or other male family members. (The power of conformity within the family unit)., Institutional Medical Norm: The general belief that "this is just the standard procedure" at hospitals, making it a routine, unquestioned part of postpartum care. (The power of the system).</t>
  </si>
  <si>
    <t>Scar is hideous, moderate amount of skin flexibility for a circumcised penis, complete gland exposure all the time, no frenulum remaining</t>
  </si>
  <si>
    <t>Every part of it</t>
  </si>
  <si>
    <t>They emerged in my teens once I found out the truth</t>
  </si>
  <si>
    <t>Urinary incontinence, rubbing against my underwear constantly</t>
  </si>
  <si>
    <t>I hope you experience the same pain that I did</t>
  </si>
  <si>
    <t>That it was unsanitary and looked ugly. Which is false!</t>
  </si>
  <si>
    <t>That they were cleaner and girls preferred it</t>
  </si>
  <si>
    <t>Medical literature from Europe</t>
  </si>
  <si>
    <t>That it's painful, offers no benefits and causes PTSD</t>
  </si>
  <si>
    <t>Alex Y.</t>
  </si>
  <si>
    <t>computer operator</t>
  </si>
  <si>
    <t>if they read then they would have known that the bible opposes circumcision</t>
  </si>
  <si>
    <t>nothing good to say</t>
  </si>
  <si>
    <t>no sensation at all. i don't even know it's in.</t>
  </si>
  <si>
    <t>fast build up. quick orgasism . not satisfying. just a reflex. brief . when it works at all</t>
  </si>
  <si>
    <t>my penis dry keratinized and covered in hair almost to the glands</t>
  </si>
  <si>
    <t>vaginal is the only thing i can stand</t>
  </si>
  <si>
    <t>designed to damage from the very beginning . the only "advantage" is to destroy the man he was to become and control him through fear</t>
  </si>
  <si>
    <t>i have been partially transtransitioned, i am less of man as part of my penis was amputated. my penis has never been comfortable and requires consent adjustment as no position is comfortable. a "normal" circ is about 50% remove of the skin of the penis. my amputation is about 80% - 90% of the skin as hair grow from the shaft of my penis almost all the way to the glands. erections are ALWAYS painful as there is not enough skin to grow into. growing up i had a buried penis from the extreme amount of skin removed. sex has always been painful. i wish i was never born.</t>
  </si>
  <si>
    <t>Religious Reasons: Performed as a religious ritual (e.g., Brit Milah in Judaism, Khitan/Sunnet in Islam) or based on religious belief.,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Prophylactic Health Reasons (Specific Disease Prevention - e.g., Cancer, STIs, HIV, UTIs): Belief that it lowers the risk of specific diseases later in life (e.g., penile cancer, certain sexually transmitted infections like HIV or HPV, infant urinary tract infections - UTIs)., Aesthetic Preference / To Look "Better" or "Neater": Belief that the circumcised penis looks more visually appealing, "prettier," or tidier than an intact one., Just standard practice: Based on observing its prevalence, assumed it was the default medical procedure without a specific individual reason., Controlling/Restricting Masturbation: A belief that circumcision would reduce the urge or ability to masturbate (a view common in certain historical eras)., Cultural Tradition/Family Norm: It was a strong family tradition, cultural expectation, or simply "what people in our community did.", punishment for being born a man</t>
  </si>
  <si>
    <t>the skin is so tight that i have given up on "restoration" i hate that term we are not lizards and what is amputated can never grow back. for me hasn't my penis been through enough torture and what's the point so the hair can grow all the way to the end.</t>
  </si>
  <si>
    <t>i wonder what all the 16 functions are</t>
  </si>
  <si>
    <t>i had medial stenosis. they had to cut the opening</t>
  </si>
  <si>
    <t>i regret that my parents didn't protect me and stood idly by while i was being mutilated. i am angry at a society that has normalized infant body modifications. i did not consent to penis reduction surgery aka circumcision. when they took my foreskin they took my life, what do i mean by that. i will never know connection to another person as my subconscious believes that physical touch is dangerous.</t>
  </si>
  <si>
    <t>overly tight skin. painful erections . loss of sensation leading to e.d.</t>
  </si>
  <si>
    <t>why do you want me to be sexual handicapped for life ? i have lost the ability to trust and connect . intimacy and affection is my ptsd</t>
  </si>
  <si>
    <t>circ was normal for male children</t>
  </si>
  <si>
    <t>intact was "dirty"</t>
  </si>
  <si>
    <t>cleaner and more attractive</t>
  </si>
  <si>
    <t>lies by sexual fearful religion and doctors</t>
  </si>
  <si>
    <t>penis reduction surgery aka circumcision is a sexual handicap</t>
  </si>
  <si>
    <t>analogous to the current view of penis reduction surgery aka circumcision .. as long as it is done behind closed doors and no one talks about it is fine.</t>
  </si>
  <si>
    <t>my belief is that i was being shown affection and caring during my amputation. this left me with a twisted view of intimacy and affection and leaving me with PTSD from the first few moments of my life</t>
  </si>
  <si>
    <t>i don't need anonymity. i'll stand on the roof top to tell my story.</t>
  </si>
  <si>
    <t>personal invitation by you</t>
  </si>
  <si>
    <t>fully body, long lasting.</t>
  </si>
  <si>
    <t>needed for older AFAB partners or anal despite the presence of foreskin</t>
  </si>
  <si>
    <t>none, unless you prefer yourself that way, it should be your choice</t>
  </si>
  <si>
    <t>lack of sensation, depression, suicidal thoughts, etc</t>
  </si>
  <si>
    <t>my cut was pretty loose, i’ve always had something of a short foreskin.</t>
  </si>
  <si>
    <t>any different sensations.</t>
  </si>
  <si>
    <t>seeing foreskins in porn</t>
  </si>
  <si>
    <t>but why?</t>
  </si>
  <si>
    <t>Felt physically uncomfortable or experienced complications, Significantly dissatisfied with sensation, function, or appearance, Curious about what might be different if intact, Generally satisfied or hadn't thought much about it, Experienced feelings of loss, grief, or anger</t>
  </si>
  <si>
    <t>Regain gliding motion, Feel more 'natural' or 'whole', Increased overall sensitivity, Achieve glans coverage and dekeratinization, Heal psychological trauma, Improve gliding mechanics/reduce need for lube, Reclaim what was taken, Improve sexual pleasure/orgasms</t>
  </si>
  <si>
    <t>manual methods, TLC Tugger.</t>
  </si>
  <si>
    <t>i have told past partners about it, but now that i’m “fully restored” at my goal of CI-6, most partners just assume i am intact.</t>
  </si>
  <si>
    <t>major changes to sensitivity, orgasms are better, my tip is always covered by my foreskin now.</t>
  </si>
  <si>
    <t>it made them much more intense and feel fuller, in addition to the changes from HRT.</t>
  </si>
  <si>
    <t>i generally don’t think of myself as “circumcised” anymore. i feel fully healed from that experience and just feel whole and affirmed.</t>
  </si>
  <si>
    <t>Staying motivated, depression, anger, etc</t>
  </si>
  <si>
    <t>you won’t regret this, keep trying no matter what. you’ve got this</t>
  </si>
  <si>
    <t>i feel good enough about my restoration that i’d likely not get any regenerative surgeries done. i love my foreskin the way it is</t>
  </si>
  <si>
    <t>that it was gross, dirty, unclean, unattractive</t>
  </si>
  <si>
    <t>they were cleaner, better, more attractive etc</t>
  </si>
  <si>
    <t>porn and culture, progression</t>
  </si>
  <si>
    <t>the damage that can be done to the penis</t>
  </si>
  <si>
    <t>yes, under an alias and anonymous</t>
  </si>
  <si>
    <t>No teachings</t>
  </si>
  <si>
    <t>Very little sensation overall. Receiving oral sex is totally pointless as I feel nothing. I also struggle to really have an orgasm at most times. Needing rough hard handling and friction and pain to reach orgasms.</t>
  </si>
  <si>
    <t>Unsatisfactory</t>
  </si>
  <si>
    <t>Needing to teach my partner how to handle my penis, how to stimulate my frenulum, and not to pull too hard so not to tear tight skin.</t>
  </si>
  <si>
    <t>There are absolutley no advantages</t>
  </si>
  <si>
    <t>yes. Too tight shaft skin when erect, keratinization of the glans - leaving less sensation. Needing to induce friction and pain to reach ejaculation. Wea and paltry orgasms. Tearing of the scar tissue during penetrative sex.
It's cause significancy psychological issues from deep depression, body dysmorphia, even thought of suicide. I'm also embarrassed to show my mutilated penis in public or in private.
I absolutely detest being circumcised.</t>
  </si>
  <si>
    <t>Prophylactic Health Reasons (Specific Disease Prevention - e.g., Cancer, STIs, HIV, UTIs): Belief that it lowers the risk of specific diseases later in life (e.g., penile cancer, certain sexually transmitted infections like HIV or HPV, infant urinary tract infections - UTIs).,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Cultural Tradition/Family Norm: It was a strong family tradition, cultural expectation, or simply "what people in our community did.", To Look Like Father/Peers: Desire for the son's penis to match the father's or other males in the family/community., Just standard practice: Based on observing its prevalence, assumed it was the default medical procedure without a specific individual reason.</t>
  </si>
  <si>
    <t>Direct Medical Authority: Specific advice from their obstetrician, pediatrician, or the hospital staff where you were born. (The voice of a trusted professional)., Prevailing Moral Beliefs about Sexuality (e.g., concern over masturbation):, Lack of Counter-Information: Crucially, the simple absence of any strong, readily available information presenting the benefits of intactness or the risks of circumcision, making it an easy default choice. (The power of silence).</t>
  </si>
  <si>
    <t>High and tight. Gomco clamp cut. Remnant of frenulum left. But also left an ugly scar down the ventral of the shaft.</t>
  </si>
  <si>
    <t>Being fully covered and having all sensory inputs intact.</t>
  </si>
  <si>
    <t>at age 14 when masturbation really hurt from all the friction burns. I could not understand why it should need to hurt before feeling good. Nor did I understand why my penis had a scar.</t>
  </si>
  <si>
    <t>tight skin affecting erections, painful scarring, hair on the shaft, glans that looks like an old mans face, friction burns, tearing of skin, painful penetration</t>
  </si>
  <si>
    <t>Both of them</t>
  </si>
  <si>
    <t>Understanding that intact genitals are a human right</t>
  </si>
  <si>
    <t>Yes. I have founded the Genital Autonomy Action Alliance in South Africa. My goal is to effect and win a Constitutional challenge against the current provisions regarding not only circumcision, but genital autonomy and integrity rights for all children.</t>
  </si>
  <si>
    <t>Facebook: (In a group, on a page, or a shared post)</t>
  </si>
  <si>
    <t>Not all that sensitive. My glans are well keratinized</t>
  </si>
  <si>
    <t>The orgasm is brief, comes on quickly, and is located mainly in the pubic area (no full body)</t>
  </si>
  <si>
    <t>Spit is the go to. Only needed if I feel like playing with the head. Not needed to simply achieve an orgasm</t>
  </si>
  <si>
    <t>Experienced feelings of loss, grief, or anger, Motivated by research or learning about intact anatomy/function, Curious about what might be different if intact, Mildly dissatisfied with sensation or appearance</t>
  </si>
  <si>
    <t>Improve gliding mechanics/reduce need for lube, Improve sexual pleasure/orgasms, Increased overall sensitivity, Regain gliding motion, Achieve glans coverage and dekeratinization, Feel more 'natural' or 'whole'</t>
  </si>
  <si>
    <t>Taping and manual methods</t>
  </si>
  <si>
    <t>Not at all</t>
  </si>
  <si>
    <t>No, as I’ve just recently begun restoring</t>
  </si>
  <si>
    <t>N/A, as I’ve just recently begun restoring</t>
  </si>
  <si>
    <t>Do it! You can always stop if you don’t like it, and it’s so easy to do, it’d be stupid not to at least give it a shot to experience things you’re never experienced before, especially if you are a victim of RIC</t>
  </si>
  <si>
    <t>They’re all smelly and dirty</t>
  </si>
  <si>
    <t>It’s cleaner and more visually appealing</t>
  </si>
  <si>
    <t>Culture and stigma around intact penises</t>
  </si>
  <si>
    <t>Foreskin is obviously there for a reason, we would have evolved out of having them by now if it didn’t. Yes, intact penises have a higher chance of becoming dirty, but that can simply be solved by practicing proper hygiene and teaching the same to your sons</t>
  </si>
  <si>
    <t>My understanding was that it was a Jewish requirement that the early church moved away from. I understood that many Catholics, especially from Latin American or European backgrounds may be uncut, but many others like myself followed the American norm in being cut. Cultural reasons but not based in religion.</t>
  </si>
  <si>
    <t>I wish that religious people of all faiths would expand their understanding of empathy and compassion to include children's informed consent.</t>
  </si>
  <si>
    <t>Frenulum and corona</t>
  </si>
  <si>
    <t>I generally need a gradual build up. Five minutes is usually not enough time. Final release is probably a moderately pleasurable, brief, all over body sensation. It doesn't feel like a mere reflex, but probably not as deep or as satisfying as some others may experience. It has certainly lessened with age.</t>
  </si>
  <si>
    <t>On those rare occasions when lube is unavailable, it is much less enjoyable. I usually prefer a wide variety of sensations, varying my technique as needed. Without lube, I have to limit the types of sensation I can receive, otherwise the skin will tear.</t>
  </si>
  <si>
    <t>It's hard to generalize. It depends on the partner and the situation. I think I am pretty good at communicating my needs, but some partners aren't always good at listening or understanding.</t>
  </si>
  <si>
    <t>I resent the loss of pleasurable sensation taken from me without my consent.</t>
  </si>
  <si>
    <t>I have some mobility in the skin, but not a lot. I am envious of uncut partners who have a lot of mobility. My scar is visible, but I am not sure I would call it "prominent."</t>
  </si>
  <si>
    <t>All of the above. Why would you ever alter the part of your body that gives you the most pleasure? Why would you risk that.</t>
  </si>
  <si>
    <t>I think it really first emerged in my early twenties, when repressed memories started to surface. It intersects with my history of abuse. Consent matters, but our culture doesn't respect little gay boys. Circumcision is just one example in a larger picture.</t>
  </si>
  <si>
    <t>Consent matters</t>
  </si>
  <si>
    <t>It seemed very much an ethnic thing. Hispanics tended to be uncircumcised, while causcasians were mostly circumcised.</t>
  </si>
  <si>
    <t>Some people expressed the opinion that intact penises were less hygienic or esthetically unpleasing, but I don't think people gave much thought about it.</t>
  </si>
  <si>
    <t>Some people expressed the idea that circumcised penises were more hygienic or more esthetically pleasing. I also heard the "I want my son to look like me" explanation, but again, I don't think people gave much conscious thought to it.</t>
  </si>
  <si>
    <t>When the above question asks about male circumcision "in your culture," I take that to mean the gay male culture I am immersed in. Gay men give much more thought to penises than anyone else. We learn through trial and error and compare notes. In contrast to the dominant culture where circumcision is probably still preferred, gay men DEFINITELY prefer intact penises. I know that other people do not think about it in depth.</t>
  </si>
  <si>
    <t>American culture is very contradictory. We watch a lot of porn and crave sexual freedom, but still carry all the shame of our Puritan heritage. Rather than self reflect, we'd rather project that guilt on others (LGBTQ, "rapists" crossing the border from Mexico, "cannibal pedophile elites," etc.).
The penis is demonized by evangelicals on the right and feminists on the left. Is it any wonder that the bodily autonomy of infant boys gets lost in the shuffle?</t>
  </si>
  <si>
    <t>Thank you for shedding some light on a topic that too many people are unwilling or unable to look at honestly.</t>
  </si>
  <si>
    <t>Probably</t>
  </si>
  <si>
    <t>Slow strokes with someone's lubed hand would work, but I've not been with another person for 5+ years. I think the greatest sensitivity is the upper shaft and corona. 95% of time, just repeated stroking of my penis through my jeans or sweats provides enough pleasure to get off.</t>
  </si>
  <si>
    <t>I have always been good with controlling when I finish. If I was with someone, I'd probably hold off on release until the other person finished, but I've focused more on quantity as a solo bator and I don't hold back. I could get off in a minute or an hour, but one of the advantages of not having a partner is not having to alter your experience to someone else's desires and my fantasy can be whatever I want. My orgasm itself is pretty intense, with my face feeling flush, and a rush of dopamine or whatever makes you want to do it again.</t>
  </si>
  <si>
    <t>I had prostate cancer and while I have intense organs that are maybe better than before when everything was working right, but I have dry orgasms now, and with that, I find rubbing my penis through the fabric of my underwear and/or pants works well, and I don't have to worry about messing up my clothing. For special occasions, I sometimes use a small bullet vibrator with multiple patterns of vibration through my pants. It works well, but if I do it too long without releasing, it becomes too intense and is not pleasurable anymore.</t>
  </si>
  <si>
    <t>It's been a few years, but some guys seem to think that stroking it tugging faster and harder is going to be what it takes to get one over the finish line, when nothing could be further from the truth. For me, it's the slow stroking from someone else that would get me off. If I'm masturbating, I can tug fast if need be, but it's an instant erection killer if someone else starts getting rough with my member.</t>
  </si>
  <si>
    <t>Easier to keep up with hygiene, wearing a condom.</t>
  </si>
  <si>
    <t>Aside the the advantages I listed, I have always wished I was intact. My intact friends didn't need lube and I was jealous.</t>
  </si>
  <si>
    <t>Aesthetic Preference / To Look "Better" or "Neater": Belief that the circumcised penis looks more visually appealing, "prettier," or tidier than an intact one., To Look Like Father/Peers: Desire for the son's penis to match the father's or other males in the family/community., Hygiene: Belief that circumcision makes the penis easier to keep clean or is inherently more hygienic., Just standard practice: Based on observing its prevalence, assumed it was the default medical procedure without a specific individual reason.</t>
  </si>
  <si>
    <t>Lack of Counter-Information: Crucially, the simple absence of any strong, readily available information presenting the benefits of intactness or the risks of circumcision, making it an easy default choice. (The power of silence)., Popular Media &amp; Parenting "Experts": Information or attitudes transmitted through widely-read parenting books (like Dr. Spock in earlier eras), magazines, or other mainstream media. (The power of mass media)., Peer &amp; Social Pressure (The "Fitting In" Factor): The widespread belief that "everyone else is doing it," and a desire for you to avoid being seen as different in locker rooms or later in life. (The power of broad social conformity).</t>
  </si>
  <si>
    <t>I think I got a pretty good circumstance, all things considered. My penis was of average size, if not a little thick. I don't have a very visible circumstance scar. Everything is relatively even, with enough skin that isn't too tight when erect. Glans is fully exposed when flaccid.</t>
  </si>
  <si>
    <t>Sensitivity and the gliding motion are definitely a wonder.</t>
  </si>
  <si>
    <t>I did hormone therapy and radiation for prostate cancer for 30 months during which time I wasn't able to have a sexual thought, drive, or function of any kind. Total impossibility during treatment.</t>
  </si>
  <si>
    <t>I've wished I was uncut/intact after being with someone that was uncut/intact.</t>
  </si>
  <si>
    <t>I know all the reasons and why I was circumcised, but unless being done for religious or cultural tradition, I think it should be the choice of the penis owner to decide.</t>
  </si>
  <si>
    <t>I think the majority of USA circumcisions are done so the child is "normal" or like the others. I specifically remember seeing my friend's uncut penis while in elementary school (he was Italian) and telling my parents his was "different" and being told it was because he was from somewhere else.</t>
  </si>
  <si>
    <t>Uncut people were from other countries or religions.</t>
  </si>
  <si>
    <t>Everyone in the USA was circumcised. "It's cleaner." Jewish guys are all circumcised as part of their religion. Filipinos too, but as a cultural right of passage.</t>
  </si>
  <si>
    <t>Guess it's wanting what you don't have.</t>
  </si>
  <si>
    <t>This is a procedure that can't be reversed.</t>
  </si>
  <si>
    <t>I don't see it as monstrous, just a misunderstood procedure, normalized by the local culture or religion.</t>
  </si>
  <si>
    <t>I'm happy to write about anything you care to know.</t>
  </si>
  <si>
    <t>Your profile on Dudesnude</t>
  </si>
  <si>
    <t>Chile</t>
  </si>
  <si>
    <t>Pressure is most def. most pleasurable, light touch doesn't do much</t>
  </si>
  <si>
    <t>varies a lot, but a healthy amount of build up followed by a long orgasm</t>
  </si>
  <si>
    <t>Difficulty being masturbated because of the taughtness of the skin</t>
  </si>
  <si>
    <t>never had smegma, I guess.</t>
  </si>
  <si>
    <t>diminished sexual sensations due to keratinization, sensitivity when glans is exposed, shame of being naked when glans is exposed.</t>
  </si>
  <si>
    <t>Medical Advice (without stated necessity): Recommended by a doctor or healthcare provider without explaining a specific existing medical problem, perhaps framing it as routine or generally beneficial., Prophylactic Health Reasons (General Prevention): Belief that it prevents potential future health problems (e.g., infections, inflammation, later penile issues) that were not currently present.</t>
  </si>
  <si>
    <t>Lack of Counter-Information: Crucially, the simple absence of any strong, readily available information presenting the benefits of intactness or the risks of circumcision, making it an easy default choice. (The power of silence)., Aesthetic Preference: A belief, possibly influenced by media or pornography, that the circumcised penis is visually "neater," "more attractive," or the "correct" look. (The power of aesthetics)., Popular Media &amp; Parenting "Experts": Information or attitudes transmitted through widely-read parenting books (like Dr. Spock in earlier eras), magazines, or other mainstream media. (The power of mass media).</t>
  </si>
  <si>
    <t>I think they were told they were going with a light circumcision, leaving some skin</t>
  </si>
  <si>
    <t>Frenulum sensitivity, glans with no kertainization, gliding, prepuce sensitivity</t>
  </si>
  <si>
    <t>When I started to inform myself</t>
  </si>
  <si>
    <t>don't :(</t>
  </si>
  <si>
    <t>Mine was a "medical" recomendation</t>
  </si>
  <si>
    <t>Curious about what might be different if intact, Experienced feelings of loss, grief, or anger, Mildly dissatisfied with sensation or appearance</t>
  </si>
  <si>
    <t>Achieve glans coverage and dekeratinization, Regain gliding motion, Improve gliding mechanics/reduce need for lube, Improve sexual pleasure/orgasms</t>
  </si>
  <si>
    <t>Only manual</t>
  </si>
  <si>
    <t>Yes, seems strange to them, or irrelevant</t>
  </si>
  <si>
    <t>Corona is definetely more sensitive</t>
  </si>
  <si>
    <t>I¡m unable to tell really, but it seems to affect</t>
  </si>
  <si>
    <t>I don't think i will never be intact, I can have a natural looking penis, that is covered at all times, but it isn't the same as intact</t>
  </si>
  <si>
    <t>Challenging: Not having access to devices from the region im in.
Rewarding: Full coverage while doing sports or when cold.</t>
  </si>
  <si>
    <t>Start with a device, and as soon as you can.</t>
  </si>
  <si>
    <t>Love that there is some hope, but I think I will continue restoring until it is available</t>
  </si>
  <si>
    <t>A solution to phymosis</t>
  </si>
  <si>
    <t>Nobody talked about it because it's a none issue</t>
  </si>
  <si>
    <t>Make them walk a day with their foreskin taped back before making the decision</t>
  </si>
  <si>
    <t>It is one of the dumbest things that is asumed to be normal</t>
  </si>
  <si>
    <t>would be honored to share my point of view, I don't think I would need to hide myself</t>
  </si>
  <si>
    <t>retired</t>
  </si>
  <si>
    <t>I don't understand the question</t>
  </si>
  <si>
    <t>gradual and sustained</t>
  </si>
  <si>
    <t>sensitivity, appearance</t>
  </si>
  <si>
    <t>friction hyperpigmentation</t>
  </si>
  <si>
    <t>moveable</t>
  </si>
  <si>
    <t>I used to have them, but they seem to have faded over time.</t>
  </si>
  <si>
    <t>Man, Non-Binary</t>
  </si>
  <si>
    <t>No, it was never brought up within my family in any religious context (nor really at all), neither positively nor negatively. I ended up cut only for the usual cultural-default, quacky medical reasons.</t>
  </si>
  <si>
    <t>I no longer consider myself a Christian today, rather an atheist, but was never raised with any religious teaching or expectation regarding circumcision, beyond vaguely knowing that Jews and Muslims believed it to be important.</t>
  </si>
  <si>
    <t>My glans, especially its corona, can be unpleasantly sensitive to rubbing against clothes (tight briefs help), yet considerably less sexually sensitive than those of intact men I've been with, perhaps half as much or less, and can also be prone to unpleasant over-stimulation during sex. Once aroused enough, there is a good sensitivity to positive or negative pressure, like grinding, sucking or tapping. Probably my most erogenous remaining tissue is what's left of my inner foreskin and frenulum. Comparing myself to male partners, I generally feel most varieties of sexual stimulation less than those who've been intact, but count myself lucky to be less impaired than a past circumcised partner, due probably to having received a less severe style of cut. Fellatio seems to have been impacted the worst for me, comparing myself to intact men, penetration (vaginal or anal) the least, other practices like frottage and hand stroking somewhere in between. I feel I've lost sexual sensitivity over the years, perhaps faster than I would have if intact, but I do at least have enough enough motile skin to allow for some gliding motion when erect.</t>
  </si>
  <si>
    <t>Orgasms are often disappointing for me in both intensity and duration, enough so that I often prefer to just skip them, whether with a partner or alone. I can reach one quickly if I wish to, but have learned to draw the process out, since pleasure from the build-up, especially "edging" near the brink, is nearly as good as an orgasm would be, but can be sustained much longer. With a partner, often I'll prefer to enjoy their release while holding off on my own, unless they insist.</t>
  </si>
  <si>
    <t>Lubrication is most beneficial, and all but required for me during frottage with a male partner: grinding against one another while embracing, belly to belly or with thighs intertwined. Based on intact partners' experiences, I believe that with good foreskin coverage and gliding, it could still improve sensation, but would no longer be necessary for this type of intimacy, which could be nice for spontaneity. We'll use it for anal sex too, but that's a good idea for anyone practicing that, circumcised or not. It's not necessary for masturbation, nor manual attention from a partner, since I wasn't cut as tightly as some, and have enough motile skin left. For PIV with a woman, it's also not needed but can help for her comfort, maybe to a greater degree than if I were intact.</t>
  </si>
  <si>
    <t>My boyfriend is from Europe, had never been with a circumcised man before me, and was disappointed that most of his best fellatio techniques, so effective for his previous partners, just couldn't do much for me, as a result of my impaired sensitivity. Also, we enjoy frottage for its inherent symmetry (no "top"/"bottom" polarity), but feel this is compromised by our difference in circumcision status - I need a lot more stimulation than he does, making it difficult for us both to linger on the brink of orgasm, as we enjoy.</t>
  </si>
  <si>
    <t>It probably does make cleanliness and hygiene slightly easier, saving perhaps a minute or two per day. Some partners like the aesthetic.</t>
  </si>
  <si>
    <t>Discomfort from abrasion against clothing, though never severe, has been a frequent annoyance all through my life. Sexually, I'm sure I feel significantly less than if I were intact, in terms of both variety and intensity of sensations. Orgasms can be underwhelming. Some practices, like fellatio and frottage, feel better when not fully erect, which hasn't been the case for intact partners. Having been intimate with intact men gives me more basis of comparison for general sensitivity differences than strictly hetero men would tend to have. Beyond that, it's always bothered me a little that this was done to me against my will, that one of my first experiences in this world was one of excruciating pain (no anesthesia then), and permanent bodily alteration, for no good reason.</t>
  </si>
  <si>
    <t>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 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t>
  </si>
  <si>
    <t>Aesthetically, it was well-done (unlike one ex's), with a very symmetrical and nearly invisible scar line, probably using a Plastibell, Gomco or the like. Though my glans is always exposed, I feel fortunate to have perhaps half my original inner foreskin left, about 3cm on ventral side and 2cm dorsal (not erect), and to have part of my frenulum, which is sexually sensitive. Also, enough motile skin was left for masturbation without needing lube. I guess mine was a "medium" style on both high/low and tight/loose axes. I was around a RCI-1 for most of my life, which gradually loosened on its own to an RCI-2, now at RCI-3, having just started restoration.</t>
  </si>
  <si>
    <t>I've often felt a bit jealous of my intact male partners, for their better variety of possible sensations, gliding motion, lack of keratinization for more glans sensitivity, and stronger orgasms. They enjoy oral much more.</t>
  </si>
  <si>
    <t>First time being intimate with an intact man partner, about 30 years ago, when I realized some of what I was missing out on sexually. Ongoing, if mild, discomfort from clothing can be a frequent reminder too. More recently, trying to help and console a close female friend who endured childhood FGM made me think more about the parallels. Despite her experience and inflicted disability having been far worse than mine, both stemmed from a similar lack of respect for bodily autonomy. I've become increasingly bothered by the continued, needless prevalence of infant circumcision in the US, and managed to convince a couple of people close to me to leave their newborn sons intact.</t>
  </si>
  <si>
    <t>Nothing that would qualify as a true medical problem, only mild discomfort from the exposed glans</t>
  </si>
  <si>
    <t>Having been born in mid-70s, near the height of this dumb pseudo-medical fad, although I wish they had somehow pushed back against ever-present doctor and hospital pressure, I can't reasonably blame them for having gone along. It was difficult to even find contrary opinions or arguments back then, though being intact himself, and never having had any problems as a result (to my knowledge) might have given my father pause. We've discussed how I wish that hadn't happened, but never in an accusatory way. My father's now deceased, and my mother will never have more children, so no good could come of stoking rancor or regret. Parents who make such a decision today, though, are another story. I now feel quite distant from a once-close friend who insisted on cutting her son.</t>
  </si>
  <si>
    <t>Curious about what might be different if intact, Mildly dissatisfied with sensation or appearance</t>
  </si>
  <si>
    <t>Feel more 'natural' or 'whole', Improve gliding mechanics/reduce need for lube, Improve sexual pleasure/orgasms, Increased overall sensitivity, Reclaim what was taken, Achieve glans coverage and dekeratinization, Hoping to eliminate or reduce day-to-day discomfort from glans abrading against clothing, and to be able to comfortably wear any style of underwear</t>
  </si>
  <si>
    <t>Manual Method 2 initially, then Restore-in-Comfort packers now</t>
  </si>
  <si>
    <t>So far, only my (intact) boyfriend knows. He encouraged me to give it a try, and has been very supportive.</t>
  </si>
  <si>
    <t>I have noticed better sexual sensitivity, especially during fellatio, but much of this may be due simply to increased blood flow to the area from having worn a device (RIC packer) most of the day, and/or lack of normal (mostly unpleasant) stimulation from clothes during those hours. I've only been actively restoring for just over a month, too little time for much permanent gain. Some of my apparent RCI2-to-RCI3 improvement may be just temporary skin stretching, but it's welcome nonetheless.</t>
  </si>
  <si>
    <t>Possibly slightly better? Though it's only been a month, and often I don't go for orgasm anyway, unless my boyfriend wants me to. So, limited data points so far.</t>
  </si>
  <si>
    <t>That's an interesting notion, and I'm not far enough along for this to be personally relevant yet, but even if I manage to restore as fully as possible, I probably wouldn't be inclined to call myself "uncut" (except maybe on some medical form, if that's the closest applicable option). For those few people who will ever know of my status other than accidentally, intimate partners but eventually friends too, I'd want to share with them the whole process, to emphasize that there really are people who feel dissatisfied enough with being circumcised that they're willing to go to all this trouble to (partially) "fix" it. For some, this might help dispel the usual dismissive, no-big-deal attitudes on this topic. And if I have a chance again to influence someone against circumcising their child, I'll likely share my story while trying to dissuade them.</t>
  </si>
  <si>
    <t>I'm only about one month in, so very early days, and not much progress yet, but there's been some occasional soreness from overdoing it, wearing a packer more than 14 hours, several days in a row. Manual methods were too inconvenient, stymied by lack of time and opportunity while at work, and not wanting to interrupt other activities elsewhere.</t>
  </si>
  <si>
    <t>I've barely started, but patience and determination seem particularly important, along with not overdoing things and setting oneself back.</t>
  </si>
  <si>
    <t>I'm glad these organizations are making the effort, and hopeful that generations to come might have more options, but given the slow pace and great expense of medical research, and being older myself, I don't expect anything in the short term. I expect to probably be as restored as I can be using old-fashioned methods before this ever becomes viable. Being lucky to have (guessing) about half my original inner foreskin tissue left, along with part of the frenulum, I also might not stand to gain especially much from regenerative techniques over traditional restoration, as might someone who had a "low and tight" circ.</t>
  </si>
  <si>
    <t>Claimed health &amp; cleanliness benefits were always rather vague, an "everybody knows" sort of assumption for which no one seemed to care about details</t>
  </si>
  <si>
    <t>unclean or unhygienic, ugly. strange-looking, especially with any significant overhang "snout". Some jokes about smegma or "cheese"</t>
  </si>
  <si>
    <t>cleaner, more attractive, (paradoxically) more "natural". Occasionally acknowledged as less sensitive, but that would be presented a good thing, helping a man's "stamina" and letting him have sex longer, or better please his partner.</t>
  </si>
  <si>
    <t>When I was growing up, I heard more negative comments about intact genitals, and for those few who stated a preference (especially girls &amp; women) it was invariably for circumcised. I think this general leaning has abated somewhat in later generations, though, and it's perhaps never been as prevalent among men attracted to other men, though of course people all have their own aesthetic ideals, some even a fetish for circumcision, which I would never want to be involved with. Cultural narratives, along with pornography, probably both play a role.</t>
  </si>
  <si>
    <t>That claimed health/cleanliness benefits are dubious, often exaggerated, and have changed over time as new justifications seemed necessary; and that the tissue removed is not merely an inconsequential flap of skin: its absence will have lifelong impacts on one's sexuality. Some detrimental effects, like accelerated sensitivity loss, can take years to fully manifest, so even for men cut as adults, who can actually claim some before-vs-after experience, the immediate post-healing state isn't necessarily an indication of how you will end up, years down the line. Of course, I support anyone's right to do as they wish with their own body, but please do your research first!</t>
  </si>
  <si>
    <t>The more I learn about circumcision and its rather sordid history in America, the more bizarre it all seems, particularly the fact that it's still routinely offered and done as a standard, non-therapeutic procedure in normal hospitals, with few people ever giving this much thought. This reminds me of how FGM is still routinely done in Egyptian hospitals, acknowledging that the degree of harm done is usually greater from that. I think your metaphor is apt.</t>
  </si>
  <si>
    <t>Your survey seemed quite thorough and well-done. One technical suggestion, though: consider updating the final page, which says "Survey Complete! Thank You for Your Candid Feedback!", to include a very prominent reminder that respondents need to scroll all the way down, past the various informative links, QR code, images, etc. to click Submit and actually register their results. Otherwise, I can imagine quite a few seeing "Survey complete!" and just closing out that page, with their information being unwittingly lost.</t>
  </si>
  <si>
    <t>No, I do not have them.</t>
  </si>
  <si>
    <t>I've never had them, perhaps due to being circumcised since infancy. Some partners, including my boyfriend now, do have these, and I find them attractive.</t>
  </si>
  <si>
    <t>As I have a foreskin it's sensitive, as are my hairy balls.</t>
  </si>
  <si>
    <t>When I want a quick orgasm the build up, thanks to the sensitivity, is fast and pleasurable. When I have more time and want to take more time the sensitivity is great for giving me mini orgasms before a final, more intense, release.</t>
  </si>
  <si>
    <t>When I'm turned on I self-lubricate sufficently (and that tastes great in itself) but when I like to vary things up I use lubrication on my cock, and the sensation is most welcome.</t>
  </si>
  <si>
    <t>Oddly it's easier to communicate one's needs in a one night stand as with a longer term partner there's an expectancy they should know what to do; sadly, this isn't always the case.</t>
  </si>
  <si>
    <t>When younger there could be a smegma build up but a quick wash with soap and water and everything was fine.</t>
  </si>
  <si>
    <t>Father is Intact: The father is intact, and this influenced their decision, Cultural Background/Family Tradition (of intactness): They came from a family or cultural background where intactness was the norm., Born/Raised in a Culture Where Intactness is the Norm: The decision wasn't an active 'choice against circumcision,' but rather the standard cultural and medical practice in my country of birth/upbringing.</t>
  </si>
  <si>
    <t>Phimosis. As a teenager I couldn't pull my foreskin over my rather large cock head. I had seen straight porn and couldn't understand why my foreskin wouldn't slide over the end of my cock. I was still able to masturbate and ejaculate but had to get creative with baby oil I recall. The problem was the first time I managed to get the foreskin back I couldn't then cover my very sensitive cock head. I had to take a lot of deep breaths and not panic to get my cock to go soft. I would do this regularly to stretch the foreskin and eventually I was able to retract it and recover the head when both erect and flaccid.</t>
  </si>
  <si>
    <t>Culturally every other boy whose cock I saw had a foreskin. I had never seen a circumcised cock until I saw porn, and it just looked odd to me. No one pulled their foreskin back either and the first time a guy did I thought it looked very painful.</t>
  </si>
  <si>
    <t>A thing of beauty and very pleasurable. As I produce a lot of precum it feels great and I love sharing it with a partner by rubbing it on their cockhead too.</t>
  </si>
  <si>
    <t>My frenulum is very sensitive and I enjoy it being licked and tongued. It helps me produce more precum.</t>
  </si>
  <si>
    <t>Lubrication. I'm used to having the foreskin to glide, in a slick fashion because of my copious precum, over my cock head; without the foreskin I'm thinking a lot of lube would be needed.</t>
  </si>
  <si>
    <t>I've no problem with any of the terminology but I do like 'intact' as it implies I've not been butchered for spurious religious reasons. We are born with a foreskin as that is what nature/science intended. Cutting a foreskin off is tantamount to child abuse in my opinion so 'intact' is definitely the 'mot juste' for me.</t>
  </si>
  <si>
    <t>That anyone who has been circumcised has been abused under the spurious umbrella of religion.</t>
  </si>
  <si>
    <t>A mix of both cultural and religious (both wrong in my opinion).</t>
  </si>
  <si>
    <t>That an intact cock smelt of cheese and you'd get cancer.</t>
  </si>
  <si>
    <t>That a cut cock had no sensitivity and would take ages to cum.</t>
  </si>
  <si>
    <t>As everything is discussed nowadays and nothing is off the table I think there has been a slow understanding that leaving a boy's foreskin intact is how it should be. If he wants to get circumcised down the line then it's his decision such a barbaric act should not be performed on an infant who is too young to decide for him/herself.</t>
  </si>
  <si>
    <t>If you cut the foreskin off at birth it can't be 'regrown' or stuck back on; the choice has been removed. Give the boy a choice but leaving him intact.</t>
  </si>
  <si>
    <t>I find circumcision barbaric in the extreme and would make it the law that it cannot be performed for aesthetic reasons or religious reasons.</t>
  </si>
  <si>
    <t>I think you've been more through in your survey and it was interesting to complete.</t>
  </si>
  <si>
    <t>a link on https://www.dickflash.com</t>
  </si>
  <si>
    <t>I just assumed every guy had them and never worried about their existence.</t>
  </si>
  <si>
    <t>It was noted in sermons that it was done for God, ect, but not mentioned as a need for members, such as baptism is.</t>
  </si>
  <si>
    <t>I don't think it had much bearing on my status</t>
  </si>
  <si>
    <t>The top half towards the glans is where the best sensations are. Shaft feels ok and has normal nerves. The glans and foreskin are pretty sensitive and feel great even when touched in a non-erotic setting. The gliding of sliding back the foreskin feels great. Proble most sensitive by the frelum area.</t>
  </si>
  <si>
    <t>Feels great and addicting. Build up starts quick when the foreskin starts gliding for/aft across the glans and I can reach orgasm quickly. It can be a medium intensity if I maserbate with the purpose of being quick. It gets more intense if I edge and start/stop to prolong the experience. It's very intense if I hold the foreskin retracted and masterbate like a circumcised person. Orgasms are usually localized to the groin/ mid region and feel like a great big release, very satisfying. It can have the full body release feel occasionally if it's a particularly drawn out or intense orgasm.</t>
  </si>
  <si>
    <t>Very early on I used it for lubing my foreskin against the glans, when I was young enough that it was very sensitive. Usually just spit then. Eventually, through lots of masterbation the glans became less uncomfortably sensitive and I could just do it "dry" with no lube.</t>
  </si>
  <si>
    <t>For atleast the first half of my overall sex life, partners didn't really know how to work with my uncut penis and I was too unconfident to speak up. I was in many situations were I was in a mix of pleasure and discomfort.</t>
  </si>
  <si>
    <t>It probly makes it easier to orgasm than cut men. The gliding action of the foreskin mean lube is not needed for masterbation and almost never for penetration, including anal sex.</t>
  </si>
  <si>
    <t>Definitely social challenges, as cut seemed to be the norm in my childhood. I always retracted to pee and was shy to let any peers see it. Talked and pretended i was cut. I was always my partners first intact penis. I usually didn't have any sexual activity with anyone unless I trusted them to keep it personal.</t>
  </si>
  <si>
    <t>Lack of Perceived Benefit: They didn't see any compelling reason to circumcise., "Stroke of Luck"/Circumstance: e.g., Born at home, logistical issues at the hospital, doctor didn't push it, scheduled, but never performed, etc.., Intuition/Gut Feeling: A general sense that leaving you intact was the natural or right thing to do, even without specific articulated reasons.</t>
  </si>
  <si>
    <t>They began very young as soon as I noticed mine looked different than my peers (back when moms would throw boys in the tub for baths together). Being told by my mother that if I didn't retract to clean it the doctor would cut the skin. Having to be checked and retracted by dr's/nurses. Getting the impression that my kind of penis is looked down upon and therefore feeling very isolated by that.</t>
  </si>
  <si>
    <t>I don't remember forced retractions that injured or pained me, but as far back as I can remember it was always retracted during physicals to check it. Even a school nurse during a physical.</t>
  </si>
  <si>
    <t>It was embarrassing and very isolating. I was afraid to get too involved with a lot of girls I really liked due to the fear of humiliation and rejection. I always felt humiliation when exposing my penis, as I knew it wasn't what they were expecting, even if the reaction wasn't bad.
I had terrible self-esteem and associated with others with issues, somewhat toxic people.</t>
  </si>
  <si>
    <t>It works very well at protecting the glans and keeping it safe. Moves nice and smoothly with no issues, skin to skin contact with no lube. Allows different sensations like when the glans is touched through the skin vs retacted, moving the shaft skin vs the foreskin.My penis gives me tons of pleasure.</t>
  </si>
  <si>
    <t>It's more sensitive than the head or inner skin but not crucial to getting off.</t>
  </si>
  <si>
    <t>The different feelings. Also the confidence boost having a nicely appealing cut dick would have.</t>
  </si>
  <si>
    <t>A bit different in handling, looser grip so my hand can move when the skin doesn't. Or shorter strokes with the available Mobil skin.</t>
  </si>
  <si>
    <t>Intact is a much better/ affirming term. Uncut describes the societal expectation that I don't meet, which is also a truth in my life.</t>
  </si>
  <si>
    <t>That they are the minority. Also that it's not necessary if considering, intact can be a sexually fulfilling and hygienic choice.</t>
  </si>
  <si>
    <t>It seemed to be the normal practice, culturally, cited in religion and popculture. Was referred to as being more hygienic and the optimal choice, though technically optional.</t>
  </si>
  <si>
    <t>Dirty, gross, weird, deformed from peers and society. Family saw it as fine, normal but unique.</t>
  </si>
  <si>
    <t>Better sexually. Cleaner.</t>
  </si>
  <si>
    <t>Definitely porn. Cultural redundancy (father to son, ect). Misguided medical info or bias (Kellogg)</t>
  </si>
  <si>
    <t>How good the parts removed feel for someone who has them. And the dangers that that surgery posses with its unknown/variable outcomes.</t>
  </si>
  <si>
    <t>Ive learned to accept my penis and differences, took a long time but learned to love myself for myself. Made the choice to keep my son intact too. I just don't think it's the most significant issue today as a nicely cut one can be just as satisfying for both partners.</t>
  </si>
  <si>
    <t>It was very hard growing up different and feeling less than my peers. I e had many struggles in my life that could probably be some what related to that perceived core sexual difference. Now I've come around to accept myself and find others either don't care or like it/ some even prefer it. I love it and that's great, but it retarded my sexual development somewhat and caused unnecessary stress in my life.</t>
  </si>
  <si>
    <t>Discussion/ interview, I'm not sure what else but would be open to hearing ideas</t>
  </si>
  <si>
    <t>I have tiny spots that may be ppp, and I may have been self conscious of them as a teen, but they're pretty nonexistent and no one has even commented. Once I saw real ones online I felt fine about myself in that regard.</t>
  </si>
  <si>
    <t>Ethical Concerns: They had ethical objections to non-consensual surgery on a healthy child/believed strongly in bodily autonomy or children's rights., Intuition/Gut Feeling: A general sense that leaving you intact was the natural or right thing to do, even without specific articulated reasons., Natural/Holistic Approach: A general philosophy of valuing the body's natural state and avoiding unnecessary medical interventions.</t>
  </si>
  <si>
    <t>I enjoy light touches and licks on my frenulum.</t>
  </si>
  <si>
    <t>Sometimes it is extremely full bodied</t>
  </si>
  <si>
    <t>My partner rarely expresses his hat she needs or wants and if I do something, she’ll reject it.</t>
  </si>
  <si>
    <t>Many North American women are often not very attracted to intact penises.</t>
  </si>
  <si>
    <t>Medical Information/Advice: They were informed by a doctor/medical literature that circumcision was medically unnecessary (e.g., citing AAP 1971/1975 statements or similar, or advice from a specific medical professional)., Cultural Background/Family Tradition (of intactness): They came from a family or cultural background where intactness was the norm.</t>
  </si>
  <si>
    <t>Not attractive for women</t>
  </si>
  <si>
    <t>Phimosis diagnosed by dr. Have not experienced in over 30 years</t>
  </si>
  <si>
    <t>It was embarrassing as I moved from a country (Scotland) to Canada where most males my age were circumcised</t>
  </si>
  <si>
    <t>I am happy that have it. It is very sensitive</t>
  </si>
  <si>
    <t>I’m have recently discovered this. Most intense orgasm I have ever experienced</t>
  </si>
  <si>
    <t>Non issue now</t>
  </si>
  <si>
    <t>They were not as clean</t>
  </si>
  <si>
    <t>Porn, cleanliness</t>
  </si>
  <si>
    <t>Religion and hygiene</t>
  </si>
  <si>
    <t>Yes, I have them but didn't know what they were .</t>
  </si>
  <si>
    <t>No issues</t>
  </si>
  <si>
    <t>Almost painful if dry</t>
  </si>
  <si>
    <t>With cut partners who tend to not realize how sensitive uncut cocks are</t>
  </si>
  <si>
    <t>Sensitivity, pleasure it gives</t>
  </si>
  <si>
    <t>Handled primarily as a religious/cultural matter by family or community leaders (not primarily in a medical setting).</t>
  </si>
  <si>
    <t>I probably couldn't cum without foreskin</t>
  </si>
  <si>
    <t>The different mechanics</t>
  </si>
  <si>
    <t>They needed a tighter grip to have sensations and didn't feel much from oral</t>
  </si>
  <si>
    <t>I feel intact is better</t>
  </si>
  <si>
    <t>Picardie</t>
  </si>
  <si>
    <t>light touch stimulates</t>
  </si>
  <si>
    <t>gradual build up</t>
  </si>
  <si>
    <t>Cleanliness</t>
  </si>
  <si>
    <t>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 To Look Like Father/Peers: Desire for the son's penis to match the father's or other males in the family/community., Hygiene: Belief that circumcision makes the penis easier to keep clean or is inherently more hygienic.</t>
  </si>
  <si>
    <t>some scarring</t>
  </si>
  <si>
    <t>the look and feel</t>
  </si>
  <si>
    <t>Did you ever consider not circumcising me?</t>
  </si>
  <si>
    <t>Mostly hispanics, europeans, asians were uncut</t>
  </si>
  <si>
    <t>Jewish or religious reasons</t>
  </si>
  <si>
    <t>Gay culture</t>
  </si>
  <si>
    <t>Military Service, Law/Government/Public Service</t>
  </si>
  <si>
    <t>Head is sensitive to touch far more then circumcised men i know</t>
  </si>
  <si>
    <t>Excellent</t>
  </si>
  <si>
    <t>I dont need alot</t>
  </si>
  <si>
    <t>Having feeling in the head of the penis, some circumcised guys have little or none.</t>
  </si>
  <si>
    <t>It was fine, even opened things up to others being curious</t>
  </si>
  <si>
    <t>Wonderful</t>
  </si>
  <si>
    <t>No more sensitive then the rest for me</t>
  </si>
  <si>
    <t>Rarely are they very sensitive</t>
  </si>
  <si>
    <t>Its fine with me</t>
  </si>
  <si>
    <t>Gain of sexual pleasure</t>
  </si>
  <si>
    <t>Dirty</t>
  </si>
  <si>
    <t>Austria</t>
  </si>
  <si>
    <t>Norway</t>
  </si>
  <si>
    <t>I think it's fairly sensitive especially after ejaculation. Can't even stand to be touched or sucked on then.</t>
  </si>
  <si>
    <t>I'm older now so while the intensity and build-up is always as it has been. I can feel the spasms (especially while in my wife) as they propel my semen out. The quantity of semen however is far less than when I was younger. overall each release is deeply satisfying</t>
  </si>
  <si>
    <t>Lube is nice, but for the most part when I masturbate I don't use any.</t>
  </si>
  <si>
    <t>Easier to clean. And to me, it just looks more complete than my uncircumcised friends flaps of foreskin.</t>
  </si>
  <si>
    <t>Nope none at all.</t>
  </si>
  <si>
    <t>Institutional Medical Norm: The general belief that "this is just the standard procedure" at hospitals, making it a routine, unquestioned part of postpartum care. (The power of the system)., Popular Media &amp; Parenting "Experts": Information or attitudes transmitted through widely-read parenting books (like Dr. Spock in earlier eras), magazines, or other mainstream media. (The power of mass media).</t>
  </si>
  <si>
    <t>The amount of shaft skin is more than adequate to masturbate without using lube. There is no tightness during erection and visually it does not look like there was any surgery involved.. no scars, no nothing.</t>
  </si>
  <si>
    <t>I've talked with most of my sexual partners and the answer I got was they preferred circumcised partners but it wasn't a deal breaker. Maybe they said that because I'm circumcised (??)</t>
  </si>
  <si>
    <t>I don't know</t>
  </si>
  <si>
    <t>I don't believe it is a harm hiding in plain sight or otherwise.</t>
  </si>
  <si>
    <t>From my father to my grandsons, the males in my family have been in both states. My dad born in 1930s was left intact. I was born in the late 1950's and was circumcised because that's just the way it was done. My parents were not consulted. My son was born in the late 1980s His mother and I opt'd to not have him circumcised. The pre-natal classes gave us a non-biased look at both options and we acted as we felt was best. I assumed other parents were treated to teh same education however our son was the only one that had a "no-circ" tag pinned to his bassinet in the hospital nursery. Both my son's sons were circumcised at birth. When I talked to my son about it, he didn't say much, but I believe what he was upset growing up intact and didn't want that for his sons.</t>
  </si>
  <si>
    <t>to tell teh truth I can't remember. It was some forum website.. maybe about men's issues (??)</t>
  </si>
  <si>
    <t>Very low. My inner foreskin and frenulum were removed. I feel like the head of my penis is not very sensitive.</t>
  </si>
  <si>
    <t>I struggle to feel build-up pleasure so when I orgasm it feels quick and short-lived</t>
  </si>
  <si>
    <t>I struggle to orgasm, almost always, unless I use lubricant of some kind</t>
  </si>
  <si>
    <t>Circumcision is not common here so I find that women try to arouse me as they would a man with a foreskin which usually means discomfort. I struggle to tell them because it makes me feel different</t>
  </si>
  <si>
    <t>None. It wasn't my choice to be circumcised.</t>
  </si>
  <si>
    <t>Lack of sensation, physical scarring, discomfort during erection, inability to masturbate without lubricant, feelings of being different, difficulty reachimg orgasm, low quality of orgasm and sex.</t>
  </si>
  <si>
    <t>Parent's General Preference: Parents simply preferred the circumcised appearance or state without specific medical, religious, or cultural reasons being primary., Aesthetic Preference / To Look "Better" or "Neater": Belief that the circumcised penis looks more visually appealing, "prettier," or tidier than an intact one., Hygiene: Belief that circumcision makes the penis easier to keep clean or is inherently more hygienic.</t>
  </si>
  <si>
    <t>Family Tradition/Pressure: The expectation from grandparents or other influential relatives; the idea that "it's what the men in our family have always done." (The power of heritage)., Lack of Counter-Information: Crucially, the simple absence of any strong, readily available information presenting the benefits of intactness or the risks of circumcision, making it an easy default choice. (The power of silence)., Prevailing Moral Beliefs about Sexuality (e.g., concern over masturbation):</t>
  </si>
  <si>
    <t>My circumcision left me with no moveable skin so I feel discomfort during erection because of the tightness. My inner foreskin was completely removed and my scarring is directly below the head of my penis. My frenulum was completely removed. My scar is very visible. The head of my penis is completely uncovered 100% of the time.</t>
  </si>
  <si>
    <t>How it would feel. I have no idea</t>
  </si>
  <si>
    <t>When I first learned about circumcision at school I began feeling trauma about why it was done to me without my consent</t>
  </si>
  <si>
    <t>Why did you do this to me? Why did you cause me pain and ongoing issues? Why diid you think I needed this?</t>
  </si>
  <si>
    <t>Unsure / Never heard of it</t>
  </si>
  <si>
    <t>That they were normal</t>
  </si>
  <si>
    <t>That it was not normal or common to be circumcised, that it was to stop me playing with it.</t>
  </si>
  <si>
    <t>How damaging circumcision is</t>
  </si>
  <si>
    <t>I feel like circumcision is often viewed as painless and better which makes it seem ok to do</t>
  </si>
  <si>
    <t>Discussing with you / answering follow-on questions</t>
  </si>
  <si>
    <t>NM - New Mexico</t>
  </si>
  <si>
    <t>Easier to clean but I am very sensitive than most circumcised men.</t>
  </si>
  <si>
    <t>I do have some scar tissue attached to my gland</t>
  </si>
  <si>
    <t>Prophylactic Health Reasons (Specific Disease Prevention - e.g., Cancer, STIs, HIV, UTIs): Belief that it lowers the risk of specific diseases later in life (e.g., penile cancer, certain sexually transmitted infections like HIV or HPV, infant urinary tract infections - UTIs)., Hygiene: Belief that circumcision makes the penis easier to keep clean or is inherently more hygienic.</t>
  </si>
  <si>
    <t>Prevailing Health &amp; Hygiene Beliefs: General societal "knowledge" at the time—gleaned from various sources—that presented circumcision as being fundamentally cleaner, healthier, or preventive of future diseases. (The power of a cultural 'truth')., Peer &amp; Social Pressure (The "Fitting In" Factor): The widespread belief that "everyone else is doing it," and a desire for you to avoid being seen as different in locker rooms or later in life. (The power of broad social conformity).</t>
  </si>
  <si>
    <t>I still have a lot of skin left but I do have scar tissue that is attached to my gland</t>
  </si>
  <si>
    <t>I wonder about the sensation</t>
  </si>
  <si>
    <t>Finding out that circumcision isn’t real necessary unless there is a true medical reason for it</t>
  </si>
  <si>
    <t>Skin bridge</t>
  </si>
  <si>
    <t>You should have allowed me to make that decision when I was of legal age</t>
  </si>
  <si>
    <t>Unclean and they cause UTIs</t>
  </si>
  <si>
    <t>Minimum amount of sensation and easier to clean</t>
  </si>
  <si>
    <t>Some of it is cultural</t>
  </si>
  <si>
    <t>I believe parents need to consult with a doctor first and be more educated and not base their own opinions and assumptions on why it should be done.</t>
  </si>
  <si>
    <t>I believe parents have this ignorant mindset that it’s more clean and it could lessen the chances of their son to masturbate and it would be easier to clean.</t>
  </si>
  <si>
    <t>Finance</t>
  </si>
  <si>
    <t>Glans and frenulum</t>
  </si>
  <si>
    <t>It take a long time for me to orgasm but the sensation bulls pauses</t>
  </si>
  <si>
    <t>My palms sear slightly when I masturbate and that causes the sun on my hands to stick to the skin on my penis</t>
  </si>
  <si>
    <t>It’s confusing because it seems that the same actions when performed by a partner are not as pleasurable as when I perform them.</t>
  </si>
  <si>
    <t>Hard to say. I know that they are men who are more attracted to circumcised penises but I haven’t experienced them personally in my sexual encounters.</t>
  </si>
  <si>
    <t>No that I recall</t>
  </si>
  <si>
    <t>Institutional Medical Norm: The general belief that "this is just the standard procedure" at hospitals, making it a routine, unquestioned part of postpartum care. (The power of the system)., Popular Media &amp; Parenting "Experts": Information or attitudes transmitted through widely-read parenting books (like Dr. Spock in earlier eras), magazines, or other mainstream media. (The power of mass media)., Direct Medical Authority: Specific advice from their obstetrician, pediatrician, or the hospital staff where you were born. (The voice of a trusted professional).</t>
  </si>
  <si>
    <t>I have a lot of loose skin when I’m flaccid. I tightens up when I’m rest</t>
  </si>
  <si>
    <t>Intensity and duration of pre-orgasmic and orgasmic sensation</t>
  </si>
  <si>
    <t>Frustration that I wasn’t consulted</t>
  </si>
  <si>
    <t>What were your reasons for having me circumcised?</t>
  </si>
  <si>
    <t>I don't really have a preference.</t>
  </si>
  <si>
    <t>I think that "invisible" is a better word that "transparent". What you're referring to is a kind of normativity, such as heteronormatitivity, cisnormativity, and amatonoramtivity.</t>
  </si>
  <si>
    <t>Not that I can think of.</t>
  </si>
  <si>
    <t>Not at this point.</t>
  </si>
  <si>
    <t>Yes, I have them and am still concerned about their appearance.</t>
  </si>
  <si>
    <t>I understood the theological stance against it but never heard it taught or preached. I'm also aware that the pastor was circumcised and he probably wasn't willing to take a side publicly. (He was born in the late 40's)</t>
  </si>
  <si>
    <t>There was a quiet undertone that good Christians were all in and, if asked, most church members would say circumcision was required to be a good Christian. But this conversation was never had publicly, it was more of a quiet understanding. I'm sure a public conversation would have had different outcomes. My church had about 500 members</t>
  </si>
  <si>
    <t>Pleasurable and consistent to orgasm</t>
  </si>
  <si>
    <t>Sometimes lube is needed for wife to skip extended forplay if we don't have a large time window</t>
  </si>
  <si>
    <t>Protection, sensitivity of glans, autonomy, spouse enjoys playing with foreskin. Overall intimacy is more gentle and caring, not rough and aggressive.</t>
  </si>
  <si>
    <t>I have phimosis (10-12cm opening) and that is frustrating to realize I could be experiencing more. But it also hasn't caused any problems or concerns at this point.</t>
  </si>
  <si>
    <t>Religious Reasons (for intactness): Specific religious beliefs that discourage or are neutral towards circumcision, Natural/Holistic Approach: A general philosophy of valuing the body's natural state and avoiding unnecessary medical interventions., My dad was circumcised as a baby but had no opinion on it. As Christians, they realized that the New Testament/Jesus fulfilled the law and negated the law of circumcision so it was not required religiously. My mom also tends towards holistic health approach so, if it isn't NEEDED, we ain't doin it. All in all, there was probably a luck factor as well (that a doctor didn't push it hard)</t>
  </si>
  <si>
    <t>As an adult, I consulted a urologist for my phimosis and they only offered circumcision, which I declined. I have tried several stretching methods but my inconsistency isn't helpful. If I was more adamant about stretching, I might consult another urologist for some steroidal cream.</t>
  </si>
  <si>
    <t>It was never discussed or came up.</t>
  </si>
  <si>
    <t>Considering I have phimosis, it stays in place and doesn't retract but, that hasn't caused any issues. It is very sensitive and seems to help me bring my wife to orgasm well</t>
  </si>
  <si>
    <t>It remains covered but is very sensitive and pleasurable</t>
  </si>
  <si>
    <t>Full glans exposure and how it would feel after keratinization. If BJ's would feel more pleasurable. I've wondered if the overall experience would be better or if I would regret it.</t>
  </si>
  <si>
    <t>I prefer Uncircumcised because it is very clear what the two states are and where I stand in that camp. Uncut or Intact feels disconnected from the circumcision conversation and doesn't confront others with the reality of the actual issue.</t>
  </si>
  <si>
    <t>It's not theirs to permanently alter. There is very little rational reason to expose someone to that experience and, if it does end up being MEDICALLY required, let them experience it as an older person who can speak up and receive proper pain management. RIC is like slavery, it's not your property/possession.</t>
  </si>
  <si>
    <t>Religious 80 % and hygiene 20%</t>
  </si>
  <si>
    <t>Intact unusual and rare</t>
  </si>
  <si>
    <t>Cut was healthy and normal</t>
  </si>
  <si>
    <t>The medical industry has profited off of circumcision enough that the narrative is cut is preferred, cleaner and the norm. And where the money is....there is the narrative.</t>
  </si>
  <si>
    <t>There are thousands of nerve endings you are discussing cutting off. How do you think that won't affect anything and what gives you the right to make that choice?</t>
  </si>
  <si>
    <t>It's odd that society almost refuses to acknowledge the magnitude of this topic and yet they continue to adamantly perpetuate it. One would think FGM and feminism would pave the way to remove RIC from American culture</t>
  </si>
  <si>
    <t>Written testimony or audio interview with pseudonym</t>
  </si>
  <si>
    <t>Belgium</t>
  </si>
  <si>
    <t>ight caresses, touched with the tips of the fingers are enough to awaken the best sensations in me.The glans and the corona, but especially where the frenulum was, are the most sensitive,to vary the pleasures, I can avoid the glans and simply slide the skin over the body of the penis (small movement) but I prefer the sensations that the glans gives me.</t>
  </si>
  <si>
    <t>At first, the excitement puts me in a pleasant state that I want to last forever, then after a time that can vary and even be very long (depends on me) I feel the sensations rise from my calves to my stomach and end shortly after ejaculation, when they are so strong that I cry out slightly and my whole body twists before slowly returning to a general feeling of well-being and calm.</t>
  </si>
  <si>
    <t>Usually saliva or sometimes coconut oil</t>
  </si>
  <si>
    <t>In this case, it means that we are not made for each other and that the dialogue did not work.</t>
  </si>
  <si>
    <t>Always clean: no odor, not "sticky" at the end of the day, no cheese on the glans.
Much more beautiful: without this trunk hanging from the end.
Live easier: no need to pull back your foreskin to urinate or wash, penis always ready for action.
Sensitive gland sufficiently to respond to stimulation and enduring to give maximum pleasure.
What happiness to be circumcised and proud of it.</t>
  </si>
  <si>
    <t>No, I'm circumcised and I'm proud of it: no problems in the locker room, on the beach, or in the naturist sauna.</t>
  </si>
  <si>
    <t>It was my personal choice.</t>
  </si>
  <si>
    <t>When at rest, no skin touches the glans, which is always visible. When erect, the skin slides slightly.
The scar below the glans is slightly visible. When erect, it's as if I were born like that.</t>
  </si>
  <si>
    <t>Circumcision prevents many problems and offers a simple solution to awkward situations. Circumcised equals an easier life!</t>
  </si>
  <si>
    <t>Intact: it's natural, circumcised is for Jews or Muslims</t>
  </si>
  <si>
    <t>circumcised is for Jews or Muslims</t>
  </si>
  <si>
    <t>Circumcised: it's cleaner</t>
  </si>
  <si>
    <t>People know that circumcision is removing the foreskin but nothing more.</t>
  </si>
  <si>
    <t>For me, there is only one drawback to circumcision: the operation: anesthesia, surgeon's skill and convalescence. After that, it's only positive.</t>
  </si>
  <si>
    <t>I lived 25 years with a foreskin in a mostly intact country and despite having a perfectly functional foreskin: I have never regretted having been circumcised, nothing but the advantages in terms of hygiene, aesthetics and sensations. The only regret: having to face the doctors and then the operation, so much easier to do that in childhood.</t>
  </si>
  <si>
    <t>Brussels</t>
  </si>
  <si>
    <t>forum LPSG</t>
  </si>
  <si>
    <t>High cut. More sensation on foreskin remnant. Most pleasurable on frenulum remnant.</t>
  </si>
  <si>
    <t>It usually starts slow, then builds quickly to orgasm.</t>
  </si>
  <si>
    <t>Adds more sensation to glans. Virgin, but makes me wonder if lack of lubrication to glans would cause premature ejaculation.</t>
  </si>
  <si>
    <t>NA</t>
  </si>
  <si>
    <t>I guess skin never covers it. Everyone talks about how it reduces transmission of diseases.</t>
  </si>
  <si>
    <t>I find the look and function of an intact penis sexually arousing. It makes me feel as if I have an inferior penis.</t>
  </si>
  <si>
    <t>I believe that masturbating most of my life without lube has cause my penis to loosen up or maybe it has always been loose. Compared to other penises I see online, my penis appears to have a distinct separation between scar and shaft skin. I would say it is a high cut circumcision with a frenulum remnant. I started and stopped restoring over a year ago, so the skin has very little "bunching" towards the glans when flaccid.</t>
  </si>
  <si>
    <t>The two big things that make me most curious is the softness/ smoothness of the inner foreskin and the glans, and the I wonder how the penis feels when there is gliding motion.</t>
  </si>
  <si>
    <t>I have had a varicocele that has been treated with embolism.</t>
  </si>
  <si>
    <t>When I first discovered how intact penises function and their appearance.</t>
  </si>
  <si>
    <t>Why don't you just let your son make the decision?</t>
  </si>
  <si>
    <t>They were given names and seen as unnatural.</t>
  </si>
  <si>
    <t>That they had a procedure.</t>
  </si>
  <si>
    <t>Lack of sexual education. Norms</t>
  </si>
  <si>
    <t>Circumcision is a permanent surgery.</t>
  </si>
  <si>
    <t>Changes that are usually never seen.</t>
  </si>
  <si>
    <t>My circumcision status slowly crept up to me. I have always been a little self conscious about how I look, but the more research I do into foreskin and its function, the more I become resentful of my body. It makes me start to wonder what a world would look like without me getting cut. I now envy intact penises.
Truthfully, my sexuality has come into question given my fascination with male foreskin. I have gained an interest in the prospect of hooking up with men, especially intact men, to see how their penises work. I feel ashamed of this because I feel as if I am using them for my own curiosity instead of enjoying the moment with them.
To wrap up my sex life, I am still a virgin, have had plenty, and I mean plenty, of "pleasurable" orgasms derived from masturbation as a teenager, was always shy around women, developed and treated a varicocele, performed jelqing exercises in an attempt to increase my sexual confidence, developed a milder form of ED from an injury doing said exercises, and have visited my healthcare provider multiple times to the point where I saw a real urologist who performed an ultrasound, confirming my ED and only offering options to manage my symptoms. This has led me to a dark low point in my life, spending thousands of dollars on experimental treatments, even making visits for psychotherapy all because I am unsatisfied with the function and look of my penis. I know that most of my frustrations come from MY own doing, but I have to wonder if my circumcision status has a play in my sex life today.</t>
  </si>
  <si>
    <t>I am unsure, but I would be more than happy to help others not make the same mistakes I made or become more educated on men's sexual health.</t>
  </si>
  <si>
    <t>My penis is very sensitive</t>
  </si>
  <si>
    <t>I think circumcision is really good and has a lot of benefits and all that, but I think children should be left intact and given the option to choose at 14-16</t>
  </si>
  <si>
    <t>Portugal</t>
  </si>
  <si>
    <t>Very sensitive, especially the foreskin covering the glans. The difference between the glan's and the foreskin's sensitivity is very noticeable when light touch is applied.</t>
  </si>
  <si>
    <t>The build-up is usually very gradual and long-lasting. The final release is intensely pleasurable, focused mainly on the foreskin opening and inner foreskin.</t>
  </si>
  <si>
    <t>With enough arousal and foreplay (kissing, gentle touches, etc...) the penis gets naturally lubricated and the foreskin glides effortlessly. Artificial lubrication is not necessary during masturbation but greatly improves the sensation and comfort during penetration.</t>
  </si>
  <si>
    <t>The foreskin is highly sensitive compared to the glans and the shaft; Having skin around the glans provides protection against abrasion and friction caused by clothes. There is a psychological well-being and the satisfaction of knowing my genitals/body is whole and complete. Having a foreskin allows for unique sexual play/stimulation.</t>
  </si>
  <si>
    <t>I wasn't able to retract my foreskin completely and comfortably until I was 20. Sometimes intact men can retract their foreskin at 3, 6, or 12 years old, but in my case, it took much longer. Sometimes, as a child, my doctor and my father would try to forcibly retract my foreskin, which I still remember as being extremely painful. In my opinion, there are no disadvantages to being intact; there are only benefits. However, without proper education on the subject, some parents or doctors may falsely claim that the child has phimosis, which can lead to unnecessary circumcisions. Parents need to learn about the foreskin and the importance of NOT retracting it prematurely.</t>
  </si>
  <si>
    <t>Lack of Perceived Benefit: They didn't see any compelling reason to circumcise., Born/Raised in a Culture Where Intactness is the Norm: The decision wasn't an active 'choice against circumcision,' but rather the standard cultural and medical practice in my country of birth/upbringing.</t>
  </si>
  <si>
    <t>When I started watching porn as a teenager/young adult, most of the penises I saw were circumcised, which made me feel weird and embarassed. I thought there was something wrong with my penis because I looked so different from all the other men, but once I learned about circumcision and what it really meant, those feelings disappear and now I am simply glad/relieved to be intact.</t>
  </si>
  <si>
    <t>The foreskin plays an enormous role in my sexual experiences. It provides natural lubrication and gliding motion. Most of the sensitivity comes from the inner foreskin.</t>
  </si>
  <si>
    <t>I don't find it dramatically different from other sensitive areas. It is sensitive, but I'm not particuarly focused on it during orgasm.</t>
  </si>
  <si>
    <t>The idea of having my glans constantly exposed feels very uncomfortable. Sliding movements play a crucial role in my sexual stimulation, so not having a foreskin would drastically reduce sensitivity. I probably wouldn't be able to masturbate without artificial lubrication.</t>
  </si>
  <si>
    <t>As a gay man, I had a circumcised partner once. I noticed the tissue on his glans was very rough, hard and dry compared to mine.</t>
  </si>
  <si>
    <t>I think intact is the correct term. Uncircumcised makes it sound like there is something missing about me, when it's the other way around.</t>
  </si>
  <si>
    <t>I wish people understood circumcision is a form of (male) genital mutilation. Most people are against FGM, but because circumcision is such a norm in some parts of the world, people don't think about it as a form of MGM. It is a severe and unethical violation of human rights to remove perfectly healthy body parts without the consent of the owner. Simply put, circumcision is an evil and barbaric practice.
Intact babies don't require any special care regarding their foreskin; parents simply need to wash it like any other body part, with soap and water AROUND it, not inside it. 
Sometimes people say the foreskin is "the extra skin around the glans". Men are not born with EXTRA body parts. Every mammal has a foreskin. 
I think I would be very depressed if suddenly I didn't have my foreskin anymore. I probably would never get naked in front of another person again.</t>
  </si>
  <si>
    <t>Societal messages: intact men are dirtier, smell worse (smegma) and look worse than circumcised men.</t>
  </si>
  <si>
    <t>More clean, easier to clean.</t>
  </si>
  <si>
    <t>Ideas about hygiene, aesthetics learned from pornography and lack of education...</t>
  </si>
  <si>
    <t>Intact babies don't require any special care regarding their foreskin and penis. Parents simply need to wash it like they would wash any other body part - around it, not inside it. Forcibly retracting the foreskin is unnecessary, painful and dangerous for the child. Infant circumcision is a form of MGM (male genital mutilation) and a severe violation of human rights (bodily autonomy).</t>
  </si>
  <si>
    <t>Christian, New Age / Spiritual but not religious</t>
  </si>
  <si>
    <t>X (formerly Twitter) (e.g. from @acc_intactivist or other account.)</t>
  </si>
  <si>
    <t>El Salvador</t>
  </si>
  <si>
    <t>Factory / Manufacturing / General Labor, Skilled Trades (e.g., Electrician, Carpenter, Mechanic, Cosmetologist)</t>
  </si>
  <si>
    <t>Gliding motion of Foreskin makes orgasms very easy to have.</t>
  </si>
  <si>
    <t>Slow build up until the orgasm happens and I'm left with a tingling full body sensation.</t>
  </si>
  <si>
    <t>American partners do not understand foreskin function, inexperienced ones will retract foreskin too quickly</t>
  </si>
  <si>
    <t>Easy orgasms, natural glide which helps climax sooner than later.</t>
  </si>
  <si>
    <t>Educating American partners on basic foreskin functions, slight phimosis from retraction when younger.</t>
  </si>
  <si>
    <t>Pre-teen years when you start realizing your body is changing.</t>
  </si>
  <si>
    <t>American doctors forcibly retracted at a young age as I have phimosis now.</t>
  </si>
  <si>
    <t>Its awkward conversations to have with friends who were cut as babies but they eventually realize parents made choices based on myths or what society deemed a rite of passage.</t>
  </si>
  <si>
    <t>It's one of the absolute driving factors to getting an orgasm, it feels intense as the sensation builds.</t>
  </si>
  <si>
    <t>When a partner understands this is the easy route to getting me off, its exciting because it feels intense.</t>
  </si>
  <si>
    <t>The conversations and experiences I have had with cut men have basically summed up that exposed glans have dulled the sensation on the head of their penis. It's very noticeable.</t>
  </si>
  <si>
    <t>Sensation is somewhat dulled, I can touch the head of their penis lightly and they don't always feel it.</t>
  </si>
  <si>
    <t>I dont mind them but the accurate term should be "Natural" as this is how we're all born.</t>
  </si>
  <si>
    <t>Parents have to understand they are taking away the basic choice of how their sons experience and live their life with a very important organ.</t>
  </si>
  <si>
    <t>It was a rite of passage for most white american parents and a religious tradition for jewish and muslim families.</t>
  </si>
  <si>
    <t>Dirty and unclean.</t>
  </si>
  <si>
    <t>Clean and never needed much hygienic upkeep.</t>
  </si>
  <si>
    <t>American Society pushing the narrative that circumcision is required.</t>
  </si>
  <si>
    <t>Decisions like infant circumcision will change the lives of boys from infancy into adulthood with detrimental consequences.</t>
  </si>
  <si>
    <t>Very accurate as it changes lives and usually for the worst.</t>
  </si>
  <si>
    <t>@republicofhood</t>
  </si>
  <si>
    <t>Yes, I have them and was worried about them until I learned they were normal.</t>
  </si>
  <si>
    <t>Yes dating as a young man was shaped by interactions with people who didn't know any better and assumed all men are circumcised.</t>
  </si>
  <si>
    <t>My penis is very sensitive, from extremely gentle touch all the way to rough handling, it feels very good. I am often amazed at how the lightest touch, almost barely touching, can cause so much intense sensation</t>
  </si>
  <si>
    <t>generally i prolong the sensations as much as reasonably possible. I could orgasm very quickly if i wanted to, but the buildup is very pleasurable.</t>
  </si>
  <si>
    <t>i remember being confused once as a high schooler, because my friends laughed that there was hand lotion next to my bed. I used it on my dry hands, but they seemed to think it was there for masturbation. I never used it for that, and did not associate it with masturbation. My moist, thick nerve-rich foreskin was easily sufficient to have very satisfying orgasms.</t>
  </si>
  <si>
    <t>I think women seem to have learned, possibly from pornography featuring circumcised men, that intense manipulation is necessary. I often wonder whether 'hardcore' porn is the result of circumcised men just not being able to feel anything, and thus requiring this kind of intensity to orgasm. Anyway, I feel like women may have been culturally trained to be overly aggressive on penises, rather than handle them the way they might handle their clitorises.</t>
  </si>
  <si>
    <t>- The foreskin feels incredible. Easily the most complex, intense, and pleasurable parts of my penis. 
- The foreskin keep my head protected from friction and drying out
- At some level, it does afford privacy where my glans is hidden
- I feel whole with my foreskin, especially when comparing against cut penises, which look mutilated and stripped of the best parts</t>
  </si>
  <si>
    <t>No, never. And I was raised in a place where everyone was cut. It was never brought up and seemed to almost not be recognized as a distinct status. I'd had several homoerotic experiences throughout high school, and oddly I don't remember it ever coming up.</t>
  </si>
  <si>
    <t>Concerns about Risks/Pain: They were worried about the potential complications or pain of the procedure., Born/Raised in a Culture Where Intactness is the Norm: The decision wasn't an active 'choice against circumcision,' but rather the standard cultural and medical practice in my country of birth/upbringing., Intuition/Gut Feeling: A general sense that leaving you intact was the natural or right thing to do, even without specific articulated reasons.</t>
  </si>
  <si>
    <t>I think I had balanitis at least once, and I told my mom about it. But I think she just told me to be cleaner and to stop touching it so much.</t>
  </si>
  <si>
    <t>No specific recollections that made me feel different for being intact</t>
  </si>
  <si>
    <t>The foreskin, the ridged band, the frenulum, and all the rich nerves involved with them unquestionably compose the core of my sexual experiences with regards to my penis. The gliding, the high sensitivity, the strong release of physical pleasure... the subtle differences in the types of orgasms (shaft, ridged band, frenulum, moist head) all stem from the presence of my foreskin.</t>
  </si>
  <si>
    <t>I put a lot of time and touch into my frenulum. It feels incredible, especially where it comes in contact with the ridged band. It is extremely sensitive, and I would describe it as the male clitoris.</t>
  </si>
  <si>
    <t>How it feels to not have any of what I would consider the best parts. I would want to know how much sensation is removed, where focus is transferred, how the circumcision scar feels, what it would be like to not have any frenulum left and just a smooth empty space. What does the frenular delta feel like when the frenulum has been completely ablated?</t>
  </si>
  <si>
    <t>inability to cover the glans</t>
  </si>
  <si>
    <t>I think they are fine. Intact is ok too.</t>
  </si>
  <si>
    <t>My foreskin is responsible for 90% of my sexual pleasure. I understand that this is a huge idea to wrap one's head around, given how many peoples' dicks have been cut out there. But try.</t>
  </si>
  <si>
    <t>I would guess in my extended family, there was a 3 way tension between ethnic tradition, local custom, and medical recommendation, with the latter 2 generally winning.</t>
  </si>
  <si>
    <t>that they were dirty and gross, and it was probably not good to have one if you wanted to participate in normal dating-- though honestly, I cannot for the life of me remember anyone actually saying that</t>
  </si>
  <si>
    <t>clean, sexy, "ready-to-go"</t>
  </si>
  <si>
    <t>historically, mainstream media has impacted this a lot towards circumcision, but now I feel like a lot of social media is impacting it against circumcision</t>
  </si>
  <si>
    <t>This is not just a childhood cleanliness issue. Cutting off foreskin will sexually cripple your child for the rest of their life. You are literally cutting off his male clit.</t>
  </si>
  <si>
    <t>The normalcy and routineness of it somehow reinforces the idea that it couldn't possibly be harmful, or certain not "that harmful"</t>
  </si>
  <si>
    <t>Hinduism, Secular Humanism / Atheism / Agnosticism</t>
  </si>
  <si>
    <t>N/
A</t>
  </si>
  <si>
    <t>KS - Kansas</t>
  </si>
  <si>
    <t>Gay, Asexual, Questioning</t>
  </si>
  <si>
    <t>I would say the most sensitive part would be the rim around the head of the penis. If firm pressure is not applied I barely feel anything and the limited sliding motion impairs my ability to comfortably get sensation on my tip. Sometimes I have noticed it is easier/feels better if instead of focusing on my penis I instead sort of bang into my body.. where the penis comes out of me in order to feel some pleasure</t>
  </si>
  <si>
    <t>I’m not really sure what an orgasm should be.. I know it “happens” when you cum but typically I don’t feel much of anything until right before I cum and lasting until shortly after. It doesn’t necessarily feel “good” .. it’s not bad just like a short time of relaxation..</t>
  </si>
  <si>
    <t>Typically I don’t use any lube because I am lazy.. but sometimes if I am with a partner they use it/offer it for me since it’s either what they are used to or even one guy said he didn’t want to give me like a rug burn or something..</t>
  </si>
  <si>
    <t>When receiving head or having sex typically I am unaware of what is happening.. the first time I got head I was mostly confused since I couldn’t tell if anything was happening.. if I hadn’t been using my eyes I’m not sure I would’ve known much was happening down there other than a slightly warm sensation.. and same goes for sex.. my penis has slipped out before and I didn’t realize until my partner was trying to fix it or telling me to fix it..</t>
  </si>
  <si>
    <t>A lot.. for a while as a child I had though that my penis was attached to me after I was born since I noticed something that looked like a scar and wasn’t sure why it would be there.. then as I learned the penises are normal for men I never gave it a second thought until I was an adult and learned of circumcision.. however I have always been very insecure potentially due to my false beliefs as a child. I’ve been with a few uncircumcised guys and the way they seem to enjoy sexual experiences is foreign to me and feeling how their penis move even feels better than when I am masturabting</t>
  </si>
  <si>
    <t>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 Prophylactic Health Reasons (Specific Disease Prevention - e.g., Cancer, STIs, HIV, UTIs): Belief that it lowers the risk of specific diseases later in life (e.g., penile cancer, certain sexually transmitted infections like HIV or HPV, infant urinary tract infections - UTIs).</t>
  </si>
  <si>
    <t>Fairly tight skin while erect, visable scar and looks kind of weird (I assume it should look like regular skin) on the bottom.. the color differences from the shaft skin to the scar to the inner skin bothers me a good bit. Scar line isn’t exactly straight.. the amount of skin varies on the top compared to bottom. My glans are always exposed.. potentially some meatal stenosis, though I’m not sure how large the meatus should be, mine is considerably smaller than my partners have been</t>
  </si>
  <si>
    <t>Different sensations, gliding motion, pre cum? Idk if curcumcision effects it I just know the uncircumcised partners I’ve had have produced a lot whereas I dont/barely produce any</t>
  </si>
  <si>
    <t>They first emerged when I learned of circumcision and I did some research into it. When I am exposed to penises, even thinking of my own the feelings emerge. Also any words that start with circ</t>
  </si>
  <si>
    <t>Semi tight skin? Prominent scaring, potentially meatal stenosis</t>
  </si>
  <si>
    <t>Fuck you ima kms (note I’m not in danger just to make them feel like shit</t>
  </si>
  <si>
    <t>Unless medically necessary but I know there are alternatives for most things</t>
  </si>
  <si>
    <t>Clean</t>
  </si>
  <si>
    <t>Just cultural and social norms</t>
  </si>
  <si>
    <t>The potential psychological effects</t>
  </si>
  <si>
    <t>Yes, I have them but didn't know what they were.</t>
  </si>
  <si>
    <t>They are almost unnoticeable, they don’t effects me</t>
  </si>
  <si>
    <t>Black / African American / African / Afro-Caribbean, Native American / Alaska Native / Indigenous / First Nations</t>
  </si>
  <si>
    <t>My mom has consistently said that she believes that circumcision is recommended by the bible for Christians.</t>
  </si>
  <si>
    <t>I was raised Christian but do not practice that religion.</t>
  </si>
  <si>
    <t>My penis is generally not that sensitive to light touch. For firm pressure and gliding motion, there is more apparent sensation, but despite the fact that my frenulum is still partially intact, that area of my penis is completely insensitive to light touch and even pressure, with very minimal erogenous sensation.</t>
  </si>
  <si>
    <t>I would describe my orgasms as having mild intensity. The build-up is also labored, and occasionally I have difficulty reaching orgasm. I occasionally don't climax when having sex because of the required effort and the lack of fulfillment. My orgasms are almost entirely focused in the pelvic area in terms of sensation. I do not have full-body orgasms.</t>
  </si>
  <si>
    <t>I've never needed lubrication to masturbate, despite occasionally being "dry" down there.</t>
  </si>
  <si>
    <t>In America, most intimate partners will be more experienced with circumcised penises.</t>
  </si>
  <si>
    <t>Reduced sensation. Lack of bodily autonomy. No gliding motion during intimacy. Keratinized glans. It's significantly less aesthetically appealing (to me). Stroke technique has wide variety and is sometimes challenging to figure out, especially for a partner.
I generally find circumcised partners significantly more challenging to pleasure and climax, and it's not remotely close.</t>
  </si>
  <si>
    <t>Cultural Tradition/Family Norm: It was a strong family tradition, cultural expectation, or simply "what people in our community did.", To Look Like Father/Peers: Desire for the son's penis to match the father's or other males in the family/community., Parent's General Preference: Parents simply preferred the circumcised appearance or state without specific medical, religious, or cultural reasons being primary., Hygiene: Belief that circumcision makes the penis easier to keep clean or is inherently more hygienic., Religious Reasons: Performed as a religious ritual (e.g., Brit Milah in Judaism, Khitan/Sunnet in Islam) or based on religious belief., Aesthetic Preference / To Look "Better" or "Neater": Belief that the circumcised penis looks more visually appealing, "prettier," or tidier than an intact one.</t>
  </si>
  <si>
    <t>Paternal Influence (The "Like Father" Factor): A specific desire for you to genitally match your father or other male family members. (The power of conformity within the family unit)., Aesthetic Preference: A belief, possibly influenced by media or pornography, that the circumcised penis is visually "neater," "more attractive," or the "correct" look. (The power of aesthetics).</t>
  </si>
  <si>
    <t>My circumcision was very tight, with a prominent, dark scar around the circumference of my shaft (likely from a gomco). The skin was generally removed evenly. My erections were always very tight, sometimes to the point of being unpleasant. I had very little mobile shaft skin, but was able to masturbate without lube regardless.</t>
  </si>
  <si>
    <t>What does a "full-body" orgasm feel like? How different is it with an intact penis? Would my frenulum be sensitive? Would I care more about sensitivity, like pressure or pinching? Would the smell be different?</t>
  </si>
  <si>
    <t>I asked my grandmother what the "dark ring" was on my peepee at 5 years old. I find my circumcision scar to be aesthetically atrocious and get feelings of malaise every time I see it.
I wonder about my circumcision status every time I piss. Every single time.</t>
  </si>
  <si>
    <t>Tightness during erections was common. Dryness was also a concern, with my penis frequently having an "ashy" appearance.</t>
  </si>
  <si>
    <t>They know how I feel about it.</t>
  </si>
  <si>
    <t>Motivated by research or learning about intact anatomy/function, Experienced feelings of loss, grief, or anger, Significantly dissatisfied with sensation, function, or appearance</t>
  </si>
  <si>
    <t>Reclaim what was taken, Feel more 'natural' or 'whole'</t>
  </si>
  <si>
    <t>Foreskinned workhorse, TLC-X, DTR, and FMD (foreskin mitosis device)</t>
  </si>
  <si>
    <t>I'm open to my partner about it; I would not have pursued a relationship with someone who was not fully onboard with my journey, even if they didn't choose to take it themselves. 
While I have directly confronted my parents about their decision to circumcise me, I have not discussed my restoration efforts with them. I do not consider it their concern what I do with my penis.
I've mentioned restoration directly to two friends. Neither responded negatively, but they also clearly had absolutely no interest in engaging on the subject or discussing it any further, and I respected that.</t>
  </si>
  <si>
    <t>My glans are significantly more sensitive than before, especially to pressure. I do not have any different level of sensitivity otherwise.</t>
  </si>
  <si>
    <t>My orgasms feel slightly, but not significantly, better since I've undergone restoration. Gliding motion helps with this.</t>
  </si>
  <si>
    <t>I don't care.</t>
  </si>
  <si>
    <t>I'm naturally a very habit-focused person, so developing a habit and being consistent were non-issues for me. The learning curve of some devices was occasionally challenging, as figuring out how to apply them or how to create tension was not always obvious, or I would have to ask questions in forums/discord communities to figure out what the intent was.
Understanding my emotions and feelings on the subject of restoration, especially when dealing with difficult devices or vague instructions was my biggest challenge overall. The frustration of having to go through a years (or decades) long process to partially reverse a decision I had no input in and would have never made myself is a mental quagmire.</t>
  </si>
  <si>
    <t>Set goals for yourself early in the process (target a specific RCI level, or erect coverage, or whatever). Take personal progress pictures at least once a year. Buy a device and stay under tension for at least 40 hours a week. Be ready for it to take 5 years at minimum.</t>
  </si>
  <si>
    <t>I need to see peer-reviewed studies and research conducted by Foregen before I'm willing to take them seriously. There has been minimal communication and movement in the over ten years they have been an established entity.</t>
  </si>
  <si>
    <t>The first thing my mom said when I confronted her about it was "it's generally cleaner". The first thing my dad said when I separately confronted him about it was "I'm circumcised and all of your uncles are circumcised".</t>
  </si>
  <si>
    <t>Intact penises were not something that were regularly discussed in my childhood. When I was a young adult, I recall a girl I was talking to mentioning that she thought she could see another guy through his swim trunks and he was uncut with some disgust. That's the only experience I can recall hearing from someone who wasn't an intimate partner on the subject.</t>
  </si>
  <si>
    <t>"It's cleaner". Circumcised penises were not something that was discussed with any frequency in my upbringing. I do believe that just about everyone around me assumed that circumcised was the default.</t>
  </si>
  <si>
    <t>Cultural prevalence.</t>
  </si>
  <si>
    <t>A circumcision cannot be undone. Every time I urinate, for the rest of my life, I will see the result of a decision made without any need, my input, or my will. That is a mental tax some circumcised people pay for their entire lives. Society doesn't have sympathy for men who express dissatisfaction with their penis, and there is no retribution or recourse for people who feel negatively about what was done to them. We just suffer, silently.</t>
  </si>
  <si>
    <t>Using the word "monster" is interesting when describing a procedure. It personifies it a bit more than I think I am generally comfortable, but the sentiment is spot on.</t>
  </si>
  <si>
    <t>I'm a moderator of a discord server in this space, and there are multiple intactivism/restoration focused discords/subreddits in this space. I'm surprised you didn't ask more about people's community engagement on the subject, especially if they're restoring. It's very difficult to restore on one's own without at least an anonymous space to talk to other human beings on subjects like how to apply devices, how much tension to use, sharing progress pics, etc.</t>
  </si>
  <si>
    <t>I've done a handful of video calls and interviews with people on the subject. I'll do more if need be.</t>
  </si>
  <si>
    <t>Computer Coder</t>
  </si>
  <si>
    <t>Relatively sensitive, not that I have a comparison, but it can even get too sensitive</t>
  </si>
  <si>
    <t>Like lava bubbling up from a volcano eventually erupting</t>
  </si>
  <si>
    <t>Lube is needed because without stimulation to my glans all the above comments are not true</t>
  </si>
  <si>
    <t>None outside of fixing any mechanical/physical issues one might have with his foreskin</t>
  </si>
  <si>
    <t>dryness, pain from rubbing too much, difficulty orgasming and weak orgasms, difficulty with erections</t>
  </si>
  <si>
    <t>Aesthetic Preference / To Look "Better" or "Neater": Belief that the circumcised penis looks more visually appealing, "prettier," or tidier than an intact one., Parent's General Preference: Parents simply preferred the circumcised appearance or state without specific medical, religious, or cultural reasons being primary.</t>
  </si>
  <si>
    <t>Lack of Counter-Information: Crucially, the simple absence of any strong, readily available information presenting the benefits of intactness or the risks of circumcision, making it an easy default choice. (The power of silence)., Peer &amp; Social Pressure (The "Fitting In" Factor): The widespread belief that "everyone else is doing it," and a desire for you to avoid being seen as different in locker rooms or later in life. (The power of broad social conformity)., Institutional Medical Norm: The general belief that "this is just the standard procedure" at hospitals, making it a routine, unquestioned part of postpartum care. (The power of the system).</t>
  </si>
  <si>
    <t>Lots of inner skin, desaturation, very visible and dark scar, very dry and pockmarked glans</t>
  </si>
  <si>
    <t>Pretty much everything I can't do due to circumcision</t>
  </si>
  <si>
    <t>When I found out at ~11yrs old. The trigger is anything reminding me I'm circumcised</t>
  </si>
  <si>
    <t>You really hurt me and I know you didn't mean to, but you did. An apology and acknowledgement that what you did was wrong and not up to you would do wonders, but you can't undo that you had me, your son, mutilated for no good reason and I do want you to feel guilty for that.</t>
  </si>
  <si>
    <t>Americans are heavily propagandized into thinking circumcision has major health benefits, but without proper context or any counter-factual data the supposed health benefits seem far more beneficial than they may actually be. On top of that many Americans straight up ignore the ethical concerns so that is a non-factor</t>
  </si>
  <si>
    <t>They were "smelly or stinky" they "looked weird" it was "dirtier"</t>
  </si>
  <si>
    <t>They were women's "preferred" style they were "cleaner" it made you look "bigger"</t>
  </si>
  <si>
    <t>Lack of knowledge and experience with the foreskin</t>
  </si>
  <si>
    <t>Real in-depth counter arguments against circumcision</t>
  </si>
  <si>
    <t>I think monster is the wrong term to use here. I would see it more as the beginning the tendrils of patriarchal society wrapping itself around boys to control them</t>
  </si>
  <si>
    <t>Whatever I can do to help push the national conversation forward and make more Americans informed about the ethical concerns and lack of counter data on circumcision</t>
  </si>
  <si>
    <t>N/A; it was a thing that we did and there was very little information shared about the history or thought behind it. There was also the medical, "this is better for boys" perspective as well.</t>
  </si>
  <si>
    <t>I have MANY thoughts on the matter and explored this deeply several years ago. The history of male circumcision dates back thousands of years and some history points to it being part of our time in the Greco-Roman area. At this time, circumcision was really more about getting a drop of blood so that is what Jewish parents did to their sons. A bit invasive and odd? Sure – but not anywhere near to the extent of what it is today. That evolved over time (for a multitude of reasons which I do not feel the need to go in but none of them sit particularly well as "justified reasons" for circumcision. The history of circumcision really did change over time and became increasingly (and negatively) impactful to Jewish men. Most people do not know the history and when you explore it, discuss it, or bring it up with people (even rabbis / theological scholars), there is a sense of joking about it, not wanting to engage further, or noting that questioning is fine but one should still do it. This truly frustrates me. Jews are known to discuss hard topics at length but this particular one really seems to be off-limits and I hope that changes.</t>
  </si>
  <si>
    <t>Traditionally? Not much – but I think that is changing. As more people question medical heterodoxy and look for more natural, integrative lifestyles, circumcision often comes to light as another point to dig deep on. I have had more conversations about it in recent years than prior to that. I think a major shift happened since 2020.</t>
  </si>
  <si>
    <t>I am a parent who has made/is considering a decision about infant circumcision for my son</t>
  </si>
  <si>
    <t>He was circumcised at birth and feels that it has not impacted him – but how would he really know that?</t>
  </si>
  <si>
    <t>Ethical considerations, Religious beliefs, Information about risks/benefits</t>
  </si>
  <si>
    <t>I found it poor and that healthcare professionals were pushing it, even when I questioned them on why / their own knowledge of the procedure (or the latest research).</t>
  </si>
  <si>
    <t>None of these capture my experience.</t>
  </si>
  <si>
    <t>The level of misinformation out there about how normal this is in our society, how medically important it is to do a circumcision, and how critical it is for fathers and sons to match. Also, the lack of information about how negatively impactful circumcision is – when people learn this, they are more likely to make a different decision.</t>
  </si>
  <si>
    <t>Simply asking what people believe about circumcision and why; this opens the door to a real dialogue.</t>
  </si>
  <si>
    <t>Honestly, people are so irrational here. From what I can tell, FGM is seen as horrific and MGM is somehow not. I have yet to hear a true justification of the difference between the two. I view them as universally and equally awful in every way.</t>
  </si>
  <si>
    <t>I do not think they understand the deep medical and lifelong impact this has on men – as well as the mental health impact.</t>
  </si>
  <si>
    <t>I am Jewish and being a Jewish mom who said well in advance of having a baby boy that she would keep her son intact – and then doing so – genuinely sparked a LOT of anger in people. From what I can tell, people refuse to acknowledge that this is a "rite" and "commandment" of sorts that we could (should) question (or if we do question it, we should still perform it). The anger I received about it was not only upsetting for me and my husband but it was invasive, pervasive, and disturbing as we became parents (first to a baby girl and then, a few years later, to our son). The willingness to not question, to turn a blind eye, and to continue perpetrating this on baby boys – in the name of religion – is a reminder that beautiful, meaningful religions / cultures can still lose their way. As humans and parents, it is our job to do what is best for our children and not follow doctrine or dogma.</t>
  </si>
  <si>
    <t>A lot of this has to do with the emphasis on a bris for baby boys but also the medical association with it being the healthier and smarter choice.</t>
  </si>
  <si>
    <t>Circumcision steals a significant amount of your pleasure and has a strong potential of harming you – all without your express permission to do so.</t>
  </si>
  <si>
    <t>This is really good descriptor – it is well said and captures so much about how harmful (and pervasive) circumcision is but in a society that accepts it.</t>
  </si>
  <si>
    <t>My initial deepdive into this topic, especially as a Jew, has been life-changing. I do love being Jewish and do not question that, per se. Rather, learning to question what I have been told to believe (about religion, history, the healthcare industry, parenting, etc.) has its roots in what I came up against and learned about when researching circumcision. The impact on my life cannot be overstated and though standing up for my son created some rifts within my family (and my husband's) as well as within the Jewish community, I would do it a million times over. My son is now five and he knows we kept him intact. He was horrified to learn other boys are cut. Clearly, that was was confirmatory that we made the right decision!
I appreciate that there is an increasing focus on this topic and more people questioning it from a multitude of perspectives. It's about damn time! Thank you for what you are doing!</t>
  </si>
  <si>
    <t>Absolutely. Reach out and we can discuss.</t>
  </si>
  <si>
    <t>Sweden</t>
  </si>
  <si>
    <t>Low</t>
  </si>
  <si>
    <t>Small build up then orgasm, good control</t>
  </si>
  <si>
    <t>N</t>
  </si>
  <si>
    <t>Orgasms smaller</t>
  </si>
  <si>
    <t>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 Hygiene: Belief that circumcision makes the penis easier to keep clean or is inherently more hygienic.</t>
  </si>
  <si>
    <t>Kinda tight skin, minimal inner foreskin left. Scar almost invisible</t>
  </si>
  <si>
    <t>I have experienced</t>
  </si>
  <si>
    <t>Webbing adult</t>
  </si>
  <si>
    <t>They didn’t cut me</t>
  </si>
  <si>
    <t>That we all had a foreskin</t>
  </si>
  <si>
    <t>Noone thought of that</t>
  </si>
  <si>
    <t>Y</t>
  </si>
  <si>
    <t>Dk</t>
  </si>
  <si>
    <t>Circumcised is good</t>
  </si>
  <si>
    <t>Many questions about my circumcision wrongly assumed I was cut by my parents in the answer choises.</t>
  </si>
  <si>
    <t>Nah</t>
  </si>
  <si>
    <t>Yes, I have them and have always known what they were.</t>
  </si>
  <si>
    <t>Small negative</t>
  </si>
  <si>
    <t>Full body feeling</t>
  </si>
  <si>
    <t>Looks better, natural, I would imagine easier to masturbate</t>
  </si>
  <si>
    <t>Cultural Background/Family Tradition (of intactness): They came from a family or cultural background where intactness was the norm., Born/Raised in a Culture Where Intactness is the Norm: The decision wasn't an active 'choice against circumcision,' but rather the standard cultural and medical practice in my country of birth/upbringing.</t>
  </si>
  <si>
    <t>It was the unquestioned cultural default to be circumcised; it likely wasn't presented as a choice. They likely had to actively refuse.</t>
  </si>
  <si>
    <t>Every male I know or have known was uncircumcised to the best of my knowledge</t>
  </si>
  <si>
    <t>I can retract it fully, but it can be tight when I have fully erect</t>
  </si>
  <si>
    <t>I like uncircumcised and uncut, but it’s natural so I don’t see why it should have these terms when over 60% of men have foreskin (I think)</t>
  </si>
  <si>
    <t>That it’s natural and being circumcised is unnatural, completely unnecessary, and completely unethical. And that it should be the individual who chooses, NOT the parents.</t>
  </si>
  <si>
    <t>Don’t know</t>
  </si>
  <si>
    <t>Ethics</t>
  </si>
  <si>
    <t>I completely agree with it. It is completely unnecessary and unethical to circumcised an infant without their consent.</t>
  </si>
  <si>
    <t>Another Social Media Platform: (e.g., Bluesky, Tumblr, Instagram, etc.)</t>
  </si>
  <si>
    <t>Factory / Manufacturing / General Labor, Business/Finance/Management</t>
  </si>
  <si>
    <t>The frenulum is the most comfortable to light touch</t>
  </si>
  <si>
    <t>The build-up feels like chasing something that's not coming for a long time and then suddenly it gets quick before I bust a nut. The release itself comes in waves and when they subside there's a short bodily relaxation</t>
  </si>
  <si>
    <t>I need it with my partner, but often spit and/or foreplay is enough</t>
  </si>
  <si>
    <t>I don't like it that much when a partner pulls the remaining skin so to speak as this also pulls up my skin from the balls and stomach</t>
  </si>
  <si>
    <t>I feel like being circumcised means you provide pleasure more then you take it, I also like that you can just whip it out and piss hands free</t>
  </si>
  <si>
    <t>I wouldn't really know as I don't actively recall what it was like when I had a foreskin</t>
  </si>
  <si>
    <t>Hygiene: Belief that circumcision makes the penis easier to keep clean or is inherently more hygienic., Doctors said it was phimotic</t>
  </si>
  <si>
    <t>Lack of Counter-Information: Crucially, the simple absence of any strong, readily available information presenting the benefits of intactness or the risks of circumcision, making it an easy default choice. (The power of silence)., Popular Media &amp; Parenting "Experts": Information or attitudes transmitted through widely-read parenting books (like Dr. Spock in earlier eras), magazines, or other mainstream media. (The power of mass media)., Prevailing Health &amp; Hygiene Beliefs: General societal "knowledge" at the time—gleaned from various sources—that presented circumcision as being fundamentally cleaner, healthier, or preventive of future diseases. (The power of a cultural 'truth').</t>
  </si>
  <si>
    <t>The skin is slightly bunching up when soft, but the glans is always exposed, its grey when soft, the skin is really tight when hard and can only be moved when gripped hard and then the skin from the balls and stomach area are moved as well, the frenulum was cut so I guess that's why I doesn't feel hurtful as I heard it would some, the scar itself is visible and straight on the upper side and on the under side v shaped</t>
  </si>
  <si>
    <t>If there were alternatives they considered and why they framed it as "this is to fix your problem" while I didn't even knew I had one</t>
  </si>
  <si>
    <t>It was a different doctor with him (we also lived in a different city)</t>
  </si>
  <si>
    <t>Its seen as either medical or something religious people do</t>
  </si>
  <si>
    <t>Being the norm</t>
  </si>
  <si>
    <t>Jews and muslims do it</t>
  </si>
  <si>
    <t>experience with muslims when they grew up (they masturbated less, were more assertive and probably fucked them well), also never had issues when they did certain practices with them</t>
  </si>
  <si>
    <t>That it is NOT purely cosmetic</t>
  </si>
  <si>
    <t>Because I believe in our modern times it is advantageous to not become a slave to your sexual urges and circumcision imo is a sacrifice just as being born as in a price to pay to live well</t>
  </si>
  <si>
    <t>I believe especially being mixed race because of being circumcised I was considered "culturally muslim" by the muslim kids when growing up and so I had kind of a circle to defend against white kids, also opened door to certain concepts of adulthood earlier, also believe I had sexual experiences with girls earlier then if I had not be circumcised. as I feel confident in general... I don't wanna know how much trauma I would have endured had I been bullied for looking mixed race (lets face it, that would have been guaranteed back then and a child can't defend against that)... so I think being circumcised was part of why I turned out how I am and I think the missing sensation is a fair price. after all I could restore rather easily compared to if I had been bullied paying lifelong for therapy LOL</t>
  </si>
  <si>
    <t>Christian, Buddhism</t>
  </si>
  <si>
    <t>Denmark</t>
  </si>
  <si>
    <t>I have no idea what you are talking about</t>
  </si>
  <si>
    <t>That I can feel how sensitive the tip of my foreskin is, that my glans remains smooth and sensitive</t>
  </si>
  <si>
    <t>We don't do that here. It is not even a question parents are asked when giving birth.</t>
  </si>
  <si>
    <t>I remember the first time I saw a circumcised penis, that was a WTF moment, all of us intact guys asked him about it and he told us that he was born in a Jewish family</t>
  </si>
  <si>
    <t>I wouldn't want to try it without</t>
  </si>
  <si>
    <t>It's nice, but still the edge of the foreskin is way more sensitive</t>
  </si>
  <si>
    <t>The glans too sensitive to have exposed 24/7</t>
  </si>
  <si>
    <t>That it is mutilation to perform circumcision without a medical reason, which cannot be found on infants and children/teens can very often outgrow issues like phimosis.</t>
  </si>
  <si>
    <t>Stereotype about having an intact penis in a country where it is normal to have an intact penis? I don't understand this question.</t>
  </si>
  <si>
    <t>That it is a downgrade.</t>
  </si>
  <si>
    <t>Question above is missing "prefer intact partners only"</t>
  </si>
  <si>
    <t>We are born with foreskin.</t>
  </si>
  <si>
    <t>Infant/child/non-therapeutic circumcision is mutilation</t>
  </si>
  <si>
    <t>If requested, but it might be boring to read...</t>
  </si>
  <si>
    <t>https://bsky.app/profile/kazran.bsky.social/post/3lsncutiajk2b</t>
  </si>
  <si>
    <t>Nope, and they are super sensitive and my girlfriend loves them too, it adds some "texture" she says.</t>
  </si>
  <si>
    <t>VT - Vermont</t>
  </si>
  <si>
    <t>Very sensitive to all types of touch</t>
  </si>
  <si>
    <t>I have my entire penis. What more is there to say really?</t>
  </si>
  <si>
    <t>It is very important (I would even say central) to my overall sexual experience.</t>
  </si>
  <si>
    <t>It is the most pleasurable part of my entire body. I can orgasm just by gently rubbing it in a circle with a single fingertip.</t>
  </si>
  <si>
    <t>How much worse it actually is. It seems like it would be bad.</t>
  </si>
  <si>
    <t>I tend to use "uncut" and "intact" interchangeably.</t>
  </si>
  <si>
    <t>That the foreskin is easily the most erogenous part of the male anatomy.</t>
  </si>
  <si>
    <t>Didn't come up much.</t>
  </si>
  <si>
    <t>How much of an intact man's sexual pleasure originates from the foreskin. It's a LOT.</t>
  </si>
  <si>
    <t>Hospital</t>
  </si>
  <si>
    <t>Physician (e.g., OB-GYN, Family Doctor)</t>
  </si>
  <si>
    <t>Don't Know / Unsure</t>
  </si>
  <si>
    <t>No, I believe their decision was based on principles/research, not a specific negative event.</t>
  </si>
  <si>
    <t>Highly valued scientific evidence and did their own research, Fiscally conscious (questioned unnecessary medical costs), Strongly principled about consent and bodily autonomy in general</t>
  </si>
  <si>
    <t>It overwhelmingly portrayed the circumcised penis as the default or "normal" look.</t>
  </si>
  <si>
    <t>It's a primary driver, perhaps more powerful than any medical argument.</t>
  </si>
  <si>
    <t>Should never be done; the individual must be old enough to consent for themselves.</t>
  </si>
  <si>
    <t>The rate will be about the same as it is today.</t>
  </si>
  <si>
    <t>There were no teachings about this matter. My own studies showed that circumcision as a Christian was tantamount to rejecting Christ.</t>
  </si>
  <si>
    <t>With the medical reasons for circumcision being so thoroughly debunked, it should be possible for routine circumcision to be pushed an unchristian from within those communities.</t>
  </si>
  <si>
    <t>Never need it when paired with a vagina and foreplay. Always needed for anal.</t>
  </si>
  <si>
    <t>The great variety and ease of stimulating my intact penis.</t>
  </si>
  <si>
    <t>I one got my foreskin caught in a zipper (I was about 9yo). Learned to use underwear when wearing a zipper that day. Hasn't been a problem since.</t>
  </si>
  <si>
    <t>Financial Reasons: The cost of the procedure was a factor., Midwife or Home Birth: The birth setting (midwife-attended or at home) was chosen, which may have made a non-medical procedure less likely to be offered or pursued routinely., Natural/Holistic Approach: A general philosophy of valuing the body's natural state and avoiding unnecessary medical interventions.</t>
  </si>
  <si>
    <t>Older brother was diagnosed with phimosis in his early teens and underwent circumcision. As a result, my parents subjected me to what was essentially a penis inspection by our family doctor. It was determined that I did not have any issues.</t>
  </si>
  <si>
    <t>It was always a positive thing. I never experienced any form of negative reaction. My parents never discussed anything genital related, so I had to figure out how to clean it properly myself, but this was easy to do.</t>
  </si>
  <si>
    <t>Mobility of all penile skin is extremely helpful for all forms of sexual activity. Any pain is due to skin stretched too far, which the mobility prevents from being an issue. Keeping the glans covered during non-sexual activity keeps it nicely sensitive. The foreskin also helps keep lint/debris from getting in the way during oral.</t>
  </si>
  <si>
    <t>I consider it the most sensitive part of my penis. It provides excellent sensations during every type of sexual activity involving my penis (masturbation, oral, vaginal, and anal). If I want to accelerate orgasm then I find angles and motion that cause rubbing on the frenulum.</t>
  </si>
  <si>
    <t>I do not have a strong feelings about it, but I prefer "natural penis" or "intact penis".</t>
  </si>
  <si>
    <t>For parents: a circumcised penis will never be as good as a natural penis. For those that are circumcised: Don't be harsh with yourself, but also don't inflict it on your own children. Let them enjoy their natural penis and make up their own mind about it.</t>
  </si>
  <si>
    <t>Generally, discussions and education just assumed everyone was circumcised and the medical benefits were supposedly obvious.</t>
  </si>
  <si>
    <t>I don't even recall any. Others that learned I was intact all reacted with curiosity and wanted to know what it was like. It was like they had met an alien.</t>
  </si>
  <si>
    <t>It was simply the default. Any stereotypes from circumcision was simply attributed to penises in general. For example, boys needing lube to masturbate wasn't seen as a circumcision thing, but as something applicable to all penises.</t>
  </si>
  <si>
    <t>Pornography sets the expectations, and lack of experience keeps them from finding out otherwise.</t>
  </si>
  <si>
    <t>Circumcision removes a lot more than just skin.</t>
  </si>
  <si>
    <t>The belief that routine infant circumcision is good is very pervasive, and trying to discuss it with people that believe it causes them to lose their ability to reason. They simply state why they believe it and will not entertain anything to the contrary.</t>
  </si>
  <si>
    <t>Finding sexual partners has been very easy with an intact penis. Simply revealing this fact to new potential partners has always made them curious and more interested in engaging.</t>
  </si>
  <si>
    <t>Reddit user Lyceq</t>
  </si>
  <si>
    <t>Home (Homebirth)</t>
  </si>
  <si>
    <t>Certified Nurse-Midwife (CNM) or Midwife</t>
  </si>
  <si>
    <t>Nearly all other boys in their circle were being circumcised (My parents were significant outliers).</t>
  </si>
  <si>
    <t>Valued natural, holistic, or low-intervention approaches to health, Fiscally conscious (questioned unnecessary medical costs)</t>
  </si>
  <si>
    <t>It's a significant factor, but not the most important one.</t>
  </si>
  <si>
    <t>It will continue to be very common until there is either social pressure to avoid it, medical insurance refuses to cover it, or it somehow becomes illegal.</t>
  </si>
  <si>
    <t xml:space="preserve">My penis is generally insensitive to light touch. For me to feel pleasure, the stimulation has to be quite strong and focused on the circumcision scar and the spot where the frenulum used to be before it was removed. The glans is almost completely numb. </t>
  </si>
  <si>
    <t>Arousal builds up gradually and over a long period of time. The pleasure during orgasm comes mainly from the release of built-up tension. It doesn't last long, but it's very intense.</t>
  </si>
  <si>
    <t>cleanliness, easy hygiene, nice neat look, sometimes more interest from partners</t>
  </si>
  <si>
    <t>Since almost no men in Poland are circumcised, my status caused many questions from my peers, which I felt ashamed to answer as a child and teenager. It also happened that my first sexual partners were surprised by the way I looked, which made me feel embarrassed. Then I got used to it.</t>
  </si>
  <si>
    <t>Religious Reasons: Performed as a religious ritual (e.g., Brit Milah in Judaism, Khitan/Sunnet in Islam) or based on religious belief., Aesthetic Preference / To Look "Better" or "Neater": Belief that the circumcised penis looks more visually appealing, "prettier," or tidier than an intact one., Hygiene: Belief that circumcision makes the penis easier to keep clean or is inherently more hygienic.</t>
  </si>
  <si>
    <t>a lot of foreskin has been removed, which makes the penis skin very tight when erect; the skin of the penis even pulls the testicles forward; the scar is very smooth and barely visible, but the contrast between the color of the shaft skin and the remnant of the inner foreskin is prominent; the glans and the scar are visible all the time, even when flaccid</t>
  </si>
  <si>
    <t>Having had uncircumcised partners, I've seen how much pleasure they experience with even the slightest stimulation—even in places where I feel almost nothing. I was particularly interested in the sensitive frenulum, which I don't have at all. I have often wondered whether circumcision makes me feel less pleasure overall, or whether I feel it in a different way.</t>
  </si>
  <si>
    <t>When I was a teenager, I had painful erections due to the small amount of skin on my penis.</t>
  </si>
  <si>
    <t>I would say that overall I like how it looks and works. They made a fairly good decision.</t>
  </si>
  <si>
    <t>I don't know what exactly changed their minds, they only did it to their younger sons</t>
  </si>
  <si>
    <t>just a normal penis</t>
  </si>
  <si>
    <t>something strange, only Jews do this to their sons</t>
  </si>
  <si>
    <t>Uncircumcised penises are common in Poland and expected of partners, but having a circumcised one doesn't result in rejection. As more and more men undergo circumcision in Poland, the circumcised penis becomes the second normal variant. This preference may stem from the frequency of seeing both types.</t>
  </si>
  <si>
    <t>that circumcision is a procedure that most men can live without and they are not in any danger because of it</t>
  </si>
  <si>
    <t xml:space="preserve">I don't believe that circumcision has no benefits at all. </t>
  </si>
  <si>
    <t>Most other boys in their circle were being left intact (Circumcision was the outlier choice).</t>
  </si>
  <si>
    <t>Likely biased towards promoting circumcision, minimizing risks or ignoring alternatives.</t>
  </si>
  <si>
    <t>They likely made a thoughtful, researched decision based on what they believed was best for my health and hygiene.</t>
  </si>
  <si>
    <t>No, I believe they remain fully confident in their decision.</t>
  </si>
  <si>
    <t>It portrayed both intact and circumcised penises as equally normal.</t>
  </si>
  <si>
    <t>Should generally be avoided, but can be acceptable in some cultural or family contexts.</t>
  </si>
  <si>
    <t>It might become more common again due to shifting social or medical trends.</t>
  </si>
  <si>
    <t>Old testament is very clear on requiring circumcision.</t>
  </si>
  <si>
    <t>It was only after I had left Christianity, reading the book of Acts in my early 20s, that I learned that circumcision was not normally required.</t>
  </si>
  <si>
    <t>Almost no sensitivity</t>
  </si>
  <si>
    <t>Lack of Counter-Information: Crucially, the simple absence of any strong, readily available information presenting the benefits of intactness or the risks of circumcision, making it an easy default choice. (The power of silence)., Prevailing Moral Beliefs about Sexuality (e.g., concern over masturbation):, Religious Mandate/Tradition: A direct requirement or strong cultural expectation stemming from their religious beliefs and community. (The power of faith).</t>
  </si>
  <si>
    <t>The scar is a brown band around my penis. There is no trace of any foreskin left.</t>
  </si>
  <si>
    <t>Increased sensitivity</t>
  </si>
  <si>
    <t>It's really just a symbol of my parents' authoritarianism.</t>
  </si>
  <si>
    <t>The number of nerve-endings in the foreskin</t>
  </si>
  <si>
    <t>Infant circumcision does very serious harm to the body, yet very few people question it.</t>
  </si>
  <si>
    <t>Nearly all other boys in their circle were being circumcised (It was the strong default).</t>
  </si>
  <si>
    <t>Likely driven entirely by religious or non-medical cultural tradition.</t>
  </si>
  <si>
    <t>They were likely acting out of firm religious or deep-seated cultural conviction.</t>
  </si>
  <si>
    <t>The topic is taboo or has never come up in a way that would reveal this.</t>
  </si>
  <si>
    <t>I haven't really noticed or thought about media's influence on this.</t>
  </si>
  <si>
    <t>It's a minor factor, but still plays a role.</t>
  </si>
  <si>
    <t>The underside of my glans is the most sensitive</t>
  </si>
  <si>
    <t xml:space="preserve">Little increases then a massive painful release </t>
  </si>
  <si>
    <t>If is wears out I get abrasions on my penile shaft</t>
  </si>
  <si>
    <t>Erection just goes away. If I am not constantly working on it I will lose the orgasm.</t>
  </si>
  <si>
    <t>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 Cultural Tradition/Family Norm: It was a strong family tradition, cultural expectation, or simply "what people in our community did.", Just standard practice: Based on observing its prevalence, assumed it was the default medical procedure without a specific individual reason., Parent's General Preference: Parents simply preferred the circumcised appearance or state without specific medical, religious, or cultural reasons being primary.</t>
  </si>
  <si>
    <t>Aesthetic Preference: A belief, possibly influenced by media or pornography, that the circumcised penis is visually "neater," "more attractive," or the "correct" look. (The power of aesthetics)., Popular Media &amp; Parenting "Experts": Information or attitudes transmitted through widely-read parenting books (like Dr. Spock in earlier eras), magazines, or other mainstream media. (The power of mass media)., Direct Medical Authority: Specific advice from their obstetrician, pediatrician, or the hospital staff where you were born. (The voice of a trusted professional).</t>
  </si>
  <si>
    <t>Tight skin, shaft skrinks getting to the glans</t>
  </si>
  <si>
    <t>Orgasm, gliding, and no pain</t>
  </si>
  <si>
    <t xml:space="preserve">When I was a teen, but became exponentially worse when I got married </t>
  </si>
  <si>
    <t>Tight skin, disappearing orgasms, lack of sensitivity</t>
  </si>
  <si>
    <t>Dirty, and girls didn't like them</t>
  </si>
  <si>
    <t>It's the cultural Zeitgeist, women. Shame men about it all the time, they think a mutilated penis is how men should be</t>
  </si>
  <si>
    <t>Functions, like not needing lube</t>
  </si>
  <si>
    <t xml:space="preserve">It isn't invisible, it is well known people just done care about men, men are disposable </t>
  </si>
  <si>
    <t>Yes, any form</t>
  </si>
  <si>
    <t>I'm not sure if I have them.</t>
  </si>
  <si>
    <t xml:space="preserve">I don't know if I have them </t>
  </si>
  <si>
    <t>They likely didn't give it much thought at all; it was just a routine, "check-the-box" part of having a boy.</t>
  </si>
  <si>
    <t>It will be significantly less common, a choice made by a small minority.</t>
  </si>
  <si>
    <t>Gross</t>
  </si>
  <si>
    <t>The head has most of the sensitivity particularly under the rim, but I need consistent firm pressure against the head to cum</t>
  </si>
  <si>
    <t xml:space="preserve">It takes a long time and it’s pretty centralized to my groin and maybe my hamstrings? </t>
  </si>
  <si>
    <t xml:space="preserve">Spit doesn’t work it dries too fast and I have to lick my hand constantly </t>
  </si>
  <si>
    <t>My husband often asks what feels good or tell him to do something more or less and I have trouble verbalizing it because it all kind of feels the same, like it’s either an on or off sensation</t>
  </si>
  <si>
    <t xml:space="preserve">Even before I was aware I was circumcised I hated my penis and the way it looked, it always felt off and I had a fixation on the scar line which I perceived as a blemish </t>
  </si>
  <si>
    <t>that was a poor decision, yo</t>
  </si>
  <si>
    <t>Significantly dissatisfied with sensation, function, or appearance, Motivated by research or learning about intact anatomy/function, Experienced feelings of loss, grief, or anger, Mildly dissatisfied with sensation or appearance, Felt physically uncomfortable or experienced complications, Curious about what might be different if intact</t>
  </si>
  <si>
    <t>Increased overall sensitivity, Improve gliding mechanics/reduce need for lube, Improve sexual pleasure/orgasms, Achieve glans coverage and dekeratinization, Reclaim what was taken, Feel more 'natural' or 'whole', Regain gliding motion, Heal psychological trauma</t>
  </si>
  <si>
    <t xml:space="preserve">None lol. I use a DTR style device but have had limited success because I have issues being consistent </t>
  </si>
  <si>
    <t>Nope, even my husband thinks it’s weird</t>
  </si>
  <si>
    <t>Yes, but minor.</t>
  </si>
  <si>
    <t xml:space="preserve">A bit, not much. </t>
  </si>
  <si>
    <t>Consistency and actually getting reaults</t>
  </si>
  <si>
    <t>Start yesterday.</t>
  </si>
  <si>
    <t>Makes me question my restoration efforts</t>
  </si>
  <si>
    <t>It’s a major hope in holding out for that I’ve donated money to and will be buying the second it is available to me if it ever actually is developed</t>
  </si>
  <si>
    <t>They were dirty</t>
  </si>
  <si>
    <t>It’s a body part</t>
  </si>
  <si>
    <t>A sign outside Denny Blaine park in Seattle</t>
  </si>
  <si>
    <t>Being married to an intact man</t>
  </si>
  <si>
    <t>Mostly negative, dismissive, or mocking</t>
  </si>
  <si>
    <t>It hasn’t that much I don’t think, if anything fixating on it makes me feel worse and I feel sometimes that when I fall out of practice and am able to not think about it for a week or so it’s better until I remember again</t>
  </si>
  <si>
    <t xml:space="preserve">I want to be able to jerk off without lube and have flaccid coverage that makes me look natural </t>
  </si>
  <si>
    <t>It rarely, if ever, showed intact penises, contributing to their perceived strangeness.</t>
  </si>
  <si>
    <t>It will be largely abandoned and seen as a historical curiosity.</t>
  </si>
  <si>
    <t>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 Peer &amp; Social Pressure (The "Fitting In" Factor): The widespread belief that "everyone else is doing it," and a desire for you to avoid being seen as different in locker rooms or later in life. (The power of broad social conformity).</t>
  </si>
  <si>
    <t>Likely minimal or absent; it was probably presented as a routine choice needing little information.</t>
  </si>
  <si>
    <t>Education (e.g., K-12 Teacher, Professor, School Administrator), Law/Government/Public Service/Civil Servant</t>
  </si>
  <si>
    <t xml:space="preserve">Yes for sex, no for masturbation </t>
  </si>
  <si>
    <t xml:space="preserve">I prefer the look and what I assume to be higher sensitivity due to being uncircumcised </t>
  </si>
  <si>
    <t xml:space="preserve">Main issue has been hygiene but I feel comfortable that I have a good regimen down. When I was younger I had some concerns about social acceptance due to being uncircumcised in a country where most men are circumcised </t>
  </si>
  <si>
    <t>Mostly as a teenager and in my early 20s</t>
  </si>
  <si>
    <t>I wasn't really educated about keeping myself clean down there, had to figure out a regiment on my own. I think being uncut in a primarily cut country has made me fascinated with penises even though I am straight.</t>
  </si>
  <si>
    <t xml:space="preserve">When flacid it completely covers my glans, when erect it rolls back slightly to expose part of my glans. However I can easily roll it back all the way without difficulty. </t>
  </si>
  <si>
    <t>It's one of my favorite parts to have stimulated during masturbating and oral sex.</t>
  </si>
  <si>
    <t xml:space="preserve">I'm curious if all aspects of what it would like to be cut. But frankly I'm curious about penises in general </t>
  </si>
  <si>
    <t>I would never say foreskinned but accept intact, uncircumcised, or uncut. In a casual or sexual conversation I would probably say I'm uncut.</t>
  </si>
  <si>
    <t>I don't have an issue with circumcision necessarily, but unless it's done for a medical reason the chose of whether being intact or circumcised should be left to the individual with the penis as they reach adolescents or adult hood.</t>
  </si>
  <si>
    <t>Just like women, it should be our body, or choice</t>
  </si>
  <si>
    <t>I feel like I could add more depth to my story by being asking more direct less broad questions</t>
  </si>
  <si>
    <t>I was concerned about them for a while due to look and concern it might be a disease. No longer an issue as now know they are normal and they aren't as prominent looking as they used to be.</t>
  </si>
  <si>
    <t>Valued natural, holistic, or low-intervention approaches to health, Highly valued scientific evidence and did their own research, Identified as non-conformist or counter-cultural</t>
  </si>
  <si>
    <t>I had mild phimosis as a teenager which made it hard to wash under my foreskin and made sex sometimes uncomfortable. I never got medical help for this, but through stretching I was able to reach full functionality and now I am able to fully retract my foreskin all the time, even when erect.</t>
  </si>
  <si>
    <t>Virtually no thought at al</t>
  </si>
  <si>
    <t>There's literally no reason to chop it off lol. This is bizarre, it's like asking why you shouldn't chop your arm off. Why would you?</t>
  </si>
  <si>
    <t xml:space="preserve">United Kingdom </t>
  </si>
  <si>
    <t>No, their decision was accepted without much comment.</t>
  </si>
  <si>
    <t>None of the above feel particularly accurate</t>
  </si>
  <si>
    <t>Unsure / I've never considered this.</t>
  </si>
  <si>
    <t>Ukraine</t>
  </si>
  <si>
    <t>It's not such intensive, focused in one spot and feels like reflex</t>
  </si>
  <si>
    <t>I prefer the appearance and feelings</t>
  </si>
  <si>
    <t>sometimes I miss it also I'm feeling to be a black sheep among others.</t>
  </si>
  <si>
    <t>Hygiene: Belief that circumcision makes the penis easier to keep clean or is inherently more hygienic., Aesthetic Preference / To Look "Better" or "Neater": Belief that the circumcised penis looks more visually appealing, "prettier," or tidier than an intact one.</t>
  </si>
  <si>
    <t>I have a darker and quite wide scar</t>
  </si>
  <si>
    <t>Cosmetic, health benefit.</t>
  </si>
  <si>
    <t>that is a Jewish person</t>
  </si>
  <si>
    <t>pornography</t>
  </si>
  <si>
    <t>Freestanding Birthing Center (not located within a hospital)</t>
  </si>
  <si>
    <t>Likely high-quality and balanced, presenting clear pros, cons, and alternatives.</t>
  </si>
  <si>
    <t>It has shifted over time, with more diversity in recent years.</t>
  </si>
  <si>
    <t>KY - Kentucky</t>
  </si>
  <si>
    <t>Skilled Trades (e.g., Electrician, Carpenter, Mechanic, Cosmetologist), Information technology</t>
  </si>
  <si>
    <t>Man, Non-Binary, Agender, Demigender (e.g., Demiboy, Demigirl)</t>
  </si>
  <si>
    <t>Not really. Only that circumcision is not necessary for salvation, as discussed by Paul</t>
  </si>
  <si>
    <t>It's likely seen as normal and healthy because God commanded it in the Old Testament. People just assume He knows what's best for us and wouldn't harm us.</t>
  </si>
  <si>
    <t>My frenulum is my favorite part of my penis, just two fingers can make me orgasm on command or edge pretty much indefinitely. I rub the remaining part of my foreskin over my head and wiggle my frenulum. This is almost always the way I masturbate and my far my favorite.</t>
  </si>
  <si>
    <t>When masturbating, I do 'peaks' wherein I hold a kegel for as long as I can, then release it. Each time builds up a little bit of intensity for the next round. I gradually increase speed until I am stroking as fast as I can and I cannot flex without it tipping over to the point of orgasm. It takes me at least 15 seconds to release and cum down. I don't ejaculate until well after my orgasm is complete, and it dribbles out of my cock. During sex, my experience is a lot more "normal", with orgasm and ejaculation happening simultaneously, and with less control over the buildup and edging.</t>
  </si>
  <si>
    <t>None -- women in the US tend to prefer it? But I'm gay</t>
  </si>
  <si>
    <t>Yes. Extreme jealousy for fully intact men. Diminished sense of own masculinity. Profound circumcision fetish. Can't appreciate romantic and sexual partners if they are circumcised. Missed opportunities hooking up with men who prefer uncut cocks. Ugly penis. Difficult/impossible to enjoy anal sex due to friction and lack of gliding.</t>
  </si>
  <si>
    <t>Parent's General Preference: Parents simply preferred the circumcised appearance or state without specific medical, religious, or cultural reasons being primary., Don't Know/Not Told: The reasons were never explained or learned later., To Look Like Father/Peers: Desire for the son's penis to match the father's or other males in the family/community.</t>
  </si>
  <si>
    <t>Paternal Influence (The "Like Father" Factor): A specific desire for you to genitally match your father or other male family members. (The power of conformity within the family unit)., Prevailing Health &amp; Hygiene Beliefs: General societal "knowledge" at the time—gleaned from various sources—that presented circumcision as being fundamentally cleaner, healthier, or preventive of future diseases. (The power of a cultural 'truth')., Family Tradition/Pressure: The expectation from grandparents or other influential relatives; the idea that "it's what the men in our family have always done." (The power of heritage).</t>
  </si>
  <si>
    <t>I'm high and loose, with more slack than anyone else I've ever known (it's imbalanced, with much more underneath than on top). Lots of pink inner foreskin, full frenulum, shiny pink head. When soft, my head is almost always covered. I have a few gashes/scrapes at the edge of my dickhead that could be from a freehand scalpel.</t>
  </si>
  <si>
    <t>Sensation, especially on the very tip.</t>
  </si>
  <si>
    <t>Ever since I first saw an intact penis during my second or third masturbation session. Inferiority, irreversibility, lack of consent/feeling of rape, envy/jealousy, loss of sensation, loss of sexual function, creation of my circumcision fetish (inconvenient and possibly unhealthy reaction to trauma)</t>
  </si>
  <si>
    <t>This decision will become the single most important thing in my life. I'll be psychologically and physically scarred forever. This decision will drive a wedge between you two and me even more than the fact that I'm gay. You had no moral right to do this to me.</t>
  </si>
  <si>
    <t>Traditional, medically beneficial, and possibly somewhat pleasing to God</t>
  </si>
  <si>
    <t>Unclean and smelly</t>
  </si>
  <si>
    <t>Looks more attractive</t>
  </si>
  <si>
    <t>Women prefer circumcised penises due to aesthetics and perceived cleanliness. Gay men prefer intact penises due to aesthetics and increased sensitivity.</t>
  </si>
  <si>
    <t>The experiential knowledge of how it feels to have an orgasm while intact</t>
  </si>
  <si>
    <t>It's decided flippantly without much thought and has permanent lifelong effects on the victim.</t>
  </si>
  <si>
    <t>Feelings of rape, trauma, and survivorship. Feelings of diminished value in the gay community.</t>
  </si>
  <si>
    <t>I'm open to it</t>
  </si>
  <si>
    <t>Sniffies profile</t>
  </si>
  <si>
    <t>Clergy</t>
  </si>
  <si>
    <t>I am concerned about my circumcision status and the apostolic decree in Galatians 5:2-4</t>
  </si>
  <si>
    <t>There is a difference between light and firm touch. There is almost no sensation on my remaining shaft skin, but most sensitive at the scar, frenulum remnant, and remains inner mucosa.</t>
  </si>
  <si>
    <t>Gradual, enhanced by visual and aural stimulation.</t>
  </si>
  <si>
    <t>Always required for penetration, usually requires replenishment during sexual intercourse.</t>
  </si>
  <si>
    <t>I am ashamed of how much effort is required for my partner to stimulate me to orgasm.</t>
  </si>
  <si>
    <t xml:space="preserve">Lose of sensation, no gliding action, artificial lubrication required, neuropathy in my glans, chafing </t>
  </si>
  <si>
    <t>Cultural Tradition/Family Norm: It was a strong family tradition, cultural expectation, or simply "what people in our community did.", 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 Parent's General Preference: Parents simply preferred the circumcised appearance or state without specific medical, religious, or cultural reasons being primary., Just standard practice: Based on observing its prevalence, assumed it was the default medical procedure without a specific individual reason., To Look Like Father/Peers: Desire for the son's penis to match the father's or other males in the family/community.</t>
  </si>
  <si>
    <t>No shaft skin remaining on my ventral penis; before skin-stretch the skin was painfully tight during erections; the scar is prominent and ugly; there are two noticeably different pigmentations above and below the scar; too much was removed from the ventral skin, pulling my scrotum up the shaft.</t>
  </si>
  <si>
    <t>Every aspect</t>
  </si>
  <si>
    <t>Age five years, inpatient pediatric urology procedures to resolve meatal stenosis including: meatotomy, rigid cystoscopy, pinch bladder biopsy, and voiding cystourethrogram; caused lifelong post-traumatic stress (nightmares, fear of medication professionals and situations, trust issues)</t>
  </si>
  <si>
    <t>Emerged around the time I was becoming pubescent, I hate being scarred and mutilated, left me with deep trust issues</t>
  </si>
  <si>
    <t xml:space="preserve">Peno-scrotal webbing, pubic hair on the shaft of my penis, acute neuropathy in my glans penis, abnormal curvature when erect </t>
  </si>
  <si>
    <t>I want my foreskin and my life with foreskin back, I was violated, my rights were ignored, no one took into consideration what I would prefer later in life</t>
  </si>
  <si>
    <t xml:space="preserve">Hygiene, maintenance, prophylaxis </t>
  </si>
  <si>
    <t>Dirty, ugly, likely-diseased, would require surgery as an adult</t>
  </si>
  <si>
    <t>Cleaner, healthier, parental duty</t>
  </si>
  <si>
    <t>Function and anatomy of human prepuce</t>
  </si>
  <si>
    <t>I engage in public demonstrations, forums, social media, and education/awareness campaigns regularly.</t>
  </si>
  <si>
    <t>Business/Finance/Management, Skilled Trades (e.g., Electrician, Carpenter, Mechanic, Cosmetologist)</t>
  </si>
  <si>
    <t xml:space="preserve">Great for masterbation and sex, sensitivity and versatility </t>
  </si>
  <si>
    <t>Feel like not enough glans vagina contact at times</t>
  </si>
  <si>
    <t>Ethical Concerns: They had ethical objections to non-consensual surgery on a healthy child/believed strongly in bodily autonomy or children's rights., Concerns about Risks/Pain: They were worried about the potential complications or pain of the procedure., Natural/Holistic Approach: A general philosophy of valuing the body's natural state and avoiding unnecessary medical interventions.</t>
  </si>
  <si>
    <t>First gen uncut, cousins are cut, so a feeling of not being the same as the rest of the family, growing up I assumed everyone else was cut too, and being from an age where male nudity isn’t common the only adult male penis’s I’ve seen are those of cut status from when I was a child</t>
  </si>
  <si>
    <t>The glide is excellent, it gets nicely lubed with precum and is a real treat, sometimes I crave extra friction during penetration to achieve orgasm</t>
  </si>
  <si>
    <t>I managed to stretch it to allow more foreskin retraction which now adds a lot with the stretch sensation, as well as the touch on the area</t>
  </si>
  <si>
    <t>I’ve experimented with keeping foreskin retracted and enjoy feeling glans exposed, I wonder how a flared glans would feel during sex without a foreskin to retract into</t>
  </si>
  <si>
    <t>I prefer penis or cock as the norm then to describe Circ status with a variation</t>
  </si>
  <si>
    <t xml:space="preserve">NSW </t>
  </si>
  <si>
    <t>Yes, they faced some questioning from family or friends.</t>
  </si>
  <si>
    <t>Strongly principled about consent and bodily autonomy in general</t>
  </si>
  <si>
    <t>Sales</t>
  </si>
  <si>
    <t xml:space="preserve">I can feel a variety of sensations but they dampen quickly </t>
  </si>
  <si>
    <t>Very focal sensation throughout the penis but not whole body or even other areas</t>
  </si>
  <si>
    <t xml:space="preserve">Generally accepted by sexual partners, low maintenance </t>
  </si>
  <si>
    <t>I was depressed for a long time in my 20s about not having the sensation and experience of being uncut. Can take a long time to orgasm, and very long refractory period.</t>
  </si>
  <si>
    <t xml:space="preserve">High and mostly tight. I restored for a year or so and got a little skin movement back. I get a small roll of shaft skin covering my corona when soft, tight and minimal mobility when erect. Scar one third down, still have my frenulum thank god. </t>
  </si>
  <si>
    <t xml:space="preserve">Just how it would feel to have foreskin covering my head, and how my head would feel if protected all these years. </t>
  </si>
  <si>
    <t>Really became prominent during medical training observing neonatal circumcisions. It was very traumatic to see and imagine myself in that scenario.</t>
  </si>
  <si>
    <t xml:space="preserve">How dare you. </t>
  </si>
  <si>
    <t>That they should have had the right to decide</t>
  </si>
  <si>
    <t xml:space="preserve">Frenulum is most sensitive </t>
  </si>
  <si>
    <t xml:space="preserve">Depends on how it's achieved </t>
  </si>
  <si>
    <t>Once had a partner with vaginismus that made it essential</t>
  </si>
  <si>
    <t xml:space="preserve">I've had to educate a few women on the intricacies of foreskin </t>
  </si>
  <si>
    <t xml:space="preserve">Sexual pleasure, visual aesthetic </t>
  </si>
  <si>
    <t xml:space="preserve">I was a late learner on the subject, and had phimosis at first </t>
  </si>
  <si>
    <t>Born/Raised in a Culture Where Intactness is the Norm: The decision wasn't an active 'choice against circumcision,' but rather the standard cultural and medical practice in my country of birth/upbringing., Medical Circumstance Prevented It: There was a specific medical reason at birth or shortly after (e.g., prematurity, other health issues requiring immediate attention) that led to the procedure being postponed or skipped altogether, and it wasn't pursued later., Natural/Holistic Approach: A general philosophy of valuing the body's natural state and avoiding unnecessary medical interventions.</t>
  </si>
  <si>
    <t>The prospect of talking about it was scary enough to prevent it being an option anyway</t>
  </si>
  <si>
    <t>I remember a gradual realisation that none of the men in porn had a penis like mine, despite at that point I had been aware others were like me</t>
  </si>
  <si>
    <t>I penetrate with the foreskin forward to experience the feeling of my partner's vagina retracting it</t>
  </si>
  <si>
    <t>I have had many orgasms from frenulum stimulation alone, and the sensation is different to stroking or sex</t>
  </si>
  <si>
    <t>Prefer intact but uncut is fine</t>
  </si>
  <si>
    <t>Education just before puberty begins</t>
  </si>
  <si>
    <t>The foreskin specifically seems to be oddly taboo, as if retraction outside of a private invidiual context is sexual</t>
  </si>
  <si>
    <t xml:space="preserve">Despite most men having foreskin coverage, the prevailing representation of a penis is with an exposed head, as if the circumcised appearance is most desirable </t>
  </si>
  <si>
    <t>Cultural familiarity first, but porn second</t>
  </si>
  <si>
    <t>That it should be retracted. I received sex education at school at 11, 14 and 16 and there was no mention of foreskin at all</t>
  </si>
  <si>
    <t>A cultural norm in one region can affect another by representation in media and porn</t>
  </si>
  <si>
    <t xml:space="preserve">I'd be willing to write about my experience in my detail if it's of interest </t>
  </si>
  <si>
    <t>Valued natural, holistic, or low-intervention approaches to health</t>
  </si>
  <si>
    <t xml:space="preserve">Good sensitivity for all. The frenulum, the inside of the fireskin and the area just below of the glans is very sensitive in a good way. </t>
  </si>
  <si>
    <t xml:space="preserve">The build-up to the orgasm is gradual. The first impulses of the ejaculstion give an intens orgasm that later start to decline. The intendent feeling is located in the penis but the whole bodybuilding feels good. </t>
  </si>
  <si>
    <t xml:space="preserve">I"m happy to have a normal penis with a foreskin that protects the glans and hence can have the maximum sensitivity of the glans. The foreskin gives me a larger area for sexual stimulation and it makes it easy to masturbate. </t>
  </si>
  <si>
    <t xml:space="preserve">It's easy to clean and in my country most guys are intact. </t>
  </si>
  <si>
    <t xml:space="preserve">I use my foreskin for masturbation. No lube is needed and I get a lot of sexual pleasure from both the sensitive glans and the inside of the foreskin. The frenulum is also very sensitive. It's possible for me to get an orgasm just by stimulating the inside of the foreskin. 
When wet the penis and foreskin glide very well in the vagina. If the vagina is not wet enough I can get a bit discomfort from the sensitive foreskin but I think that that is good so I can make sure that tha woman is ready sn prepared before entering. </t>
  </si>
  <si>
    <t>t's very sensitive and adds a lot. A perfect place for stimulation in oral sex</t>
  </si>
  <si>
    <t xml:space="preserve">I have thought about how much sensation you lose and how hard it would be to masturbate. </t>
  </si>
  <si>
    <t>I prefere intact or natural penis</t>
  </si>
  <si>
    <t>Sexual advantage and supereasy to clean</t>
  </si>
  <si>
    <t>Circumcision is not medically motivated</t>
  </si>
  <si>
    <t>Information Technology</t>
  </si>
  <si>
    <t>Numerous psychical and aesthetic consequences. Great psychological consequences that adults can take something from you permanently for no real reason.</t>
  </si>
  <si>
    <t>Paternal Influence (The "Like Father" Factor): A specific desire for you to genitally match your father or other male family members. (The power of conformity within the family unit)., Institutional Medical Norm: The general belief that "this is just the standard procedure" at hospitals, making it a routine, unquestioned part of postpartum care. (The power of the system)., Aesthetic Preference: A belief, possibly influenced by media or pornography, that the circumcised penis is visually "neater," "more attractive," or the "correct" look. (The power of aesthetics).</t>
  </si>
  <si>
    <t>Pre-teen years. Lack of bodily integrity and autonomy.</t>
  </si>
  <si>
    <t>Experienced feelings of loss, grief, or anger, Motivated by research or learning about intact anatomy/function, Significantly dissatisfied with sensation, function, or appearance</t>
  </si>
  <si>
    <t>Heal psychological trauma, Feel more 'natural' or 'whole'</t>
  </si>
  <si>
    <t>CAT II Q and medical tape for retaining</t>
  </si>
  <si>
    <t>RCI-9 (Full Erect Coverage)</t>
  </si>
  <si>
    <t>Most challenging would be the use of devices in public. Most rewarding is seeing results and approaching the goal.</t>
  </si>
  <si>
    <t xml:space="preserve">Just start as soon as you can. Don't worry about "perfect" technique or the hypothetical "floppy opening" result. </t>
  </si>
  <si>
    <t>Cultural and medical</t>
  </si>
  <si>
    <t xml:space="preserve"> lack of experience with one type or the other</t>
  </si>
  <si>
    <t>You, and others, have the right to be in control of their own bodies.</t>
  </si>
  <si>
    <t>They were likely acting on strong social or family pressure to conform to what "everyone else" was doing.</t>
  </si>
  <si>
    <t>I sense they may have second thoughts, but we haven't discussed it openly.</t>
  </si>
  <si>
    <t>Healing would be proof of control over my own body as opposed to my parents or society.</t>
  </si>
  <si>
    <t>A mix of support and confusion/skepticism</t>
  </si>
  <si>
    <t>Restoration has significantly improved my feeling of my own body image, transforming it from damaged and abused to making me feel very in control of how I look and how I feel from a health standpoint.</t>
  </si>
  <si>
    <t>Regaining what was taken from me is a testament to my control over my own body and therefore my life.</t>
  </si>
  <si>
    <t>It seems to be slowly on the decline</t>
  </si>
  <si>
    <t>Aesthetic Preference: I (or my partner/parents) preferred the appearance of a circumcised penis., Social Conformity: A desire to "look like" peers or fit a cultural norm.</t>
  </si>
  <si>
    <t>Significantly Improved</t>
  </si>
  <si>
    <t>Social Conformity: A desire to "look like" peers or fit a cultural norm.</t>
  </si>
  <si>
    <t>Military Service, Skilled Trades (e.g., Electrician, Carpenter, Mechanic, Cosmetologist)</t>
  </si>
  <si>
    <t>No, I learned it as an adult</t>
  </si>
  <si>
    <t>Most Christians don’t understand their own religion like my parents, when ask why I was cut, one of my dads reasons were “Jews and Muslims are circumcised” and my response was in anger “I’m not a dirty, filthy Jew or Muslim”</t>
  </si>
  <si>
    <t>Sensitivity is horrible, there are no spots more sensitive than any other spots. The skin on my back and bottoms of my feet are more sensitive than my penis</t>
  </si>
  <si>
    <t>The only way an organism feels good is I have to edge multiple times, and even then it only feels good on the initial pop. After that, pleasure really goes away and I experience muscle fatigue throughout more core, quads and glutes due to to constant flexing of the muscles</t>
  </si>
  <si>
    <t xml:space="preserve">It’s a must for masturbation and lightly used during sex, mainly for penetration. It’s a must for initial penetration and any other penetration if I’ve been out for more than a few seconds. The outside air drys up vaginal lubricantion very quickly </t>
  </si>
  <si>
    <t xml:space="preserve">Embarrassed, like there was something wrong with me and I didn’t know what was wrong with me </t>
  </si>
  <si>
    <t>Unable to reach orgasms, lack of feeling in my penis, chafing of my shaft during sex</t>
  </si>
  <si>
    <t>Hygiene: Belief that circumcision makes the penis easier to keep clean or is inherently more hygienic., Cultural Tradition/Family Norm: It was a strong family tradition, cultural expectation, or simply "what people in our community did.", To Look Like Father/Peers: Desire for the son's penis to match the father's or other males in the family/community., Prophylactic Health Reasons (General Prevention): Belief that it prevents potential future health problems (e.g., infections, inflammation, later penile issues) that were not currently present., Aesthetic Preference / To Look "Better" or "Neater": Belief that the circumcised penis looks more visually appealing, "prettier," or tidier than an intact one., Prophylactic Health Reasons (Specific Disease Prevention - e.g., Cancer, STIs, HIV, UTIs): Belief that it lowers the risk of specific diseases later in life (e.g., penile cancer, certain sexually transmitted infections like HIV or HPV, infant urinary tract infections - UTIs).</t>
  </si>
  <si>
    <t>Direct Medical Authority: Specific advice from their obstetrician, pediatrician, or the hospital staff where you were born. (The voice of a trusted professional)., Prevailing Health &amp; Hygiene Beliefs: General societal "knowledge" at the time—gleaned from various sources—that presented circumcision as being fundamentally cleaner, healthier, or preventive of future diseases. (The power of a cultural 'truth')., Aesthetic Preference: A belief, possibly influenced by media or pornography, that the circumcised penis is visually "neater," "more attractive," or the "correct" look. (The power of aesthetics).</t>
  </si>
  <si>
    <t xml:space="preserve">I was cut tight with an uneven scar, massive amounts of keratinized skin and after begging restoring, suture scars became visible. Erections were tight and painful </t>
  </si>
  <si>
    <t>What sex is supposed to feel like, I grew up hearing guys say how good sex felt but from the very first time I had sex, I thought to myself, this is what guys rave about. Oral sex felt like nothing, vaginal sex felt like nothing and god forbid if a girl tried giving me a handjob. It felt like she was trying to rip her it off</t>
  </si>
  <si>
    <t>When I learned what was causing my issues(5years ago)Every time I see my penis, anytime I’m wearing my restoration device, almost any time of day will “trigger” me</t>
  </si>
  <si>
    <t>Tight erections, unable to masturbate initially due to a skin bridge, then that skin bridge ripping the first time I had sex. I had sex for the first time at 17 and was unable to climax from sex until I was 26 years old. This caused me lot of stress which led to me avoiding sex</t>
  </si>
  <si>
    <t>I fucking hate you for what you did to me, the fucking consequences of your fucking decision are now my problems to live with. I hope you fucking enjoy yourself for what you fucking did to me</t>
  </si>
  <si>
    <t>Motivated by research or learning about intact anatomy/function, Experienced feelings of loss, grief, or anger, Felt physically uncomfortable or experienced complications</t>
  </si>
  <si>
    <t>Increased overall sensitivity, Feel more 'natural' or 'whole', Heal psychological trauma, Improve sexual pleasure/orgasms, Improve gliding mechanics/reduce need for lube, Regain gliding motion, Reclaim what was taken, Achieve glans coverage and dekeratinization</t>
  </si>
  <si>
    <t xml:space="preserve">Only my wife. She has been very supportive and understanding </t>
  </si>
  <si>
    <t>Really the only change in sensitivity has been in my glands. Examples are when I shower and have water from the shower head directly hit my glands, it hurts. Also when drying off, depending on the towel, it can feel almost like sandpaper if it touched my glands</t>
  </si>
  <si>
    <t>I hate hearing the words cut, uncut and for form of the word circumcise. Even words like circumstances will piss me off</t>
  </si>
  <si>
    <t>The fact that I have to wear a device to get a half ass foreskin back when I was born with one</t>
  </si>
  <si>
    <t>Be prepared for a rough road</t>
  </si>
  <si>
    <t>Hurry up, I want to not have to wear a contraption on my penis anymore</t>
  </si>
  <si>
    <t>They were gross, women weren’t going to have sex with you if you were not cut</t>
  </si>
  <si>
    <t>Cleaner, looked better</t>
  </si>
  <si>
    <t>Not many people have seen an intact penis so they just believe is circumcision is normal</t>
  </si>
  <si>
    <t>Once you cut it off, you can’t go back</t>
  </si>
  <si>
    <t>Because it’s an injury no one’s sees, it not like seeing someone walking down the street and they’re missing an arm. Also most men who have a problem with their penis, they’re not going to openly talk about about it of fear of being judged and many of them don’t even associate their circumcision with their problems because that’s the penis they know. My original thought was other guys enjoy sex, they have kids so they can orgasm, why can’t I? There must be something wrong with me</t>
  </si>
  <si>
    <t>Foregen</t>
  </si>
  <si>
    <t>When i did research on circumcision when my wife and I were having our first kid and I came across a laundry list of side effects and I had more than half of them</t>
  </si>
  <si>
    <t>Only my wife knows</t>
  </si>
  <si>
    <t xml:space="preserve">Love hate. Angry/irritated all the time. I’m angry it was done to me, I’m irritated I have to wear a device on my genitals to get a fake foreskin back that’s not the real thing and that angers me. It’s irritating to struggle to put a device on just to have to take it off 10 minutes later to piss. Then have to go through the frustration to put it back on. It’s irritating wearing a device and my toddlers want to sit on lap but I can let them because it will turn into fight because they want to sit the way they want to, which always pulls on the device with all their body weight causing extreme pain and discomfort. It’s almost like it ruining my life. Restoring is like a double edge sword </t>
  </si>
  <si>
    <t>Complete coverage while flaccid and erect</t>
  </si>
  <si>
    <t>Aesthetic Preference: I (or my partner/parents) preferred the appearance of a circumcised penis., Perceived Hygiene Benefits: A belief that it would be cleaner or easier to care for., Social Conformity: A desire to "look like" peers or fit a cultural norm., Sensation: A belief or hope that it would change or improve sexual sensation (e.g., help with premature ejaculation).</t>
  </si>
  <si>
    <t>Somewhat Improved</t>
  </si>
  <si>
    <t>No Noticeable Change</t>
  </si>
  <si>
    <t>Gay, Bisexual, Questioning</t>
  </si>
  <si>
    <t>To Look Like Father/Peers: Desire for the son's penis to match the father's or other males in the family/community., Prophylactic Health Reasons (Specific Disease Prevention - e.g., Cancer, STIs, HIV, UTIs): Belief that it lowers the risk of specific diseases later in life (e.g., penile cancer, certain sexually transmitted infections like HIV or HPV, infant urinary tract infections - UTIs)., Aesthetic Preference / To Look "Better" or "Neater": Belief that the circumcised penis looks more visually appealing, "prettier," or tidier than an intact one., Hygiene: Belief that circumcision makes the penis easier to keep clean or is inherently more hygienic., Parent's General Preference: Parents simply preferred the circumcised appearance or state without specific medical, religious, or cultural reasons being primary., Cultural Tradition/Family Norm: It was a strong family tradition, cultural expectation, or simply "what people in our community did.", Don't Know/Not Told: The reasons were never explained or learned later., Religious Reasons: Performed as a religious ritual (e.g., Brit Milah in Judaism, Khitan/Sunnet in Islam) or based on religious belief.</t>
  </si>
  <si>
    <t>Aesthetic Preference: A belief, possibly influenced by media or pornography, that the circumcised penis is visually "neater," "more attractive," or the "correct" look. (The power of aesthetics)., Religious Mandate/Tradition: A direct requirement or strong cultural expectation stemming from their religious beliefs and community. (The power of faith)., Peer &amp; Social Pressure (The "Fitting In" Factor): The widespread belief that "everyone else is doing it," and a desire for you to avoid being seen as different in locker rooms or later in life. (The power of broad social conformity).</t>
  </si>
  <si>
    <t>Perceived Hygiene Benefits: A belief that it would be cleaner or easier to care for., Religious Conversion or Affirmation, Social Conformity: A desire to "look like" peers or fit a cultural norm.</t>
  </si>
  <si>
    <t>I have been restoring for 10+ years. I can my feel very gentile fine touch and cool and hot temperatures. Even freshly washed towels feel rough on my glans now. My frenulum has also become extremely sensitive and I can orgasm from stimulating this part alone. In my teens/before restoration I could comfortably scrape a finger nail over my glands( even leaving a scratch) and not feel a thing.</t>
  </si>
  <si>
    <t>Before restoration, almost no build up at all. with very brief sometimes no orgasm with ejaculation. I think what I was enjoying in that moment was that I had finally finished and the intimacy with my partner. more like finishing a workout session, glad you have done it.</t>
  </si>
  <si>
    <t>I liked oral sex because it wasn't painful. which my partner happy participated in but I think she couldn't understand why sex would be painful for me to prefer so much oral sex</t>
  </si>
  <si>
    <t>it might sound weird but you can eat what ever you want, you don't have to keep everything so dry after urinating. my wife definitely prefers circumcised for the cleanliness reason.</t>
  </si>
  <si>
    <t>Being circumcised has definitely destroyed me as a person. I just feel so hopeless and that there is no point to life anymore. I am very wealthy in money, health and family but I can not understand how my parents could do this and expect me not to care, even feel grateful that the did it</t>
  </si>
  <si>
    <t>Prophylactic Health Reasons (Specific Disease Prevention - e.g., Cancer, STIs, HIV, UTIs): Belief that it lowers the risk of specific diseases later in life (e.g., penile cancer, certain sexually transmitted infections like HIV or HPV, infant urinary tract infections - UTIs)., Cultural Tradition/Family Norm: It was a strong family tradition, cultural expectation, or simply "what people in our community did.",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Parent's General Preference: Parents simply preferred the circumcised appearance or state without specific medical, religious, or cultural reasons being primary., Just standard practice: Based on observing its prevalence, assumed it was the default medical procedure without a specific individual reason.</t>
  </si>
  <si>
    <t>Peer &amp; Social Pressure (The "Fitting In" Factor): The widespread belief that "everyone else is doing it," and a desire for you to avoid being seen as different in locker rooms or later in life. (The power of broad social conformity)., Aesthetic Preference: A belief, possibly influenced by media or pornography, that the circumcised penis is visually "neater," "more attractive," or the "correct" look. (The power of aesthetics)., Paternal Influence (The "Like Father" Factor): A specific desire for you to genitally match your father or other male family members. (The power of conformity within the family unit).</t>
  </si>
  <si>
    <t>extremely tightly circumcised. no movement at all of shaft skin and skin drawn up from the scrotum when erect. my scar is a noticeable light brown colour. very neat on the topside but is very uneven on the underside with frenulum remnants near the circumcision scar.</t>
  </si>
  <si>
    <t>the sensations, how long the foreskin would be and how that would affect how my partner would see my body</t>
  </si>
  <si>
    <t>when I was 15, when I first learnt that parents don't actually have to have a really really good reason to do this. they are almost constant. the only time I don't feel that way is when I am concentrating on hobbies.</t>
  </si>
  <si>
    <t xml:space="preserve">painful and numb erections/sex </t>
  </si>
  <si>
    <t>I wish I could snap my fingers and transfer all the shame, the hopelessness and, the anger to you. You deserve to carry that around more than me.</t>
  </si>
  <si>
    <t>Significantly dissatisfied with sensation, function, or appearance, Felt physically uncomfortable or experienced complications, Experienced feelings of loss, grief, or anger, Motivated by research or learning about intact anatomy/function, Curious about what might be different if intact</t>
  </si>
  <si>
    <t>Heal psychological trauma, Achieve glans coverage and dekeratinization, Improve sexual pleasure/orgasms, Increased overall sensitivity, Reclaim what was taken, Feel more 'natural' or 'whole'</t>
  </si>
  <si>
    <t>DTR restoration device has what has given me the most gains</t>
  </si>
  <si>
    <t>Yes. my partner has been absolutely amazing throughout this process. I have told my parents, I think they were a bit weirded out by it. An intact friend of mine was supportive of the process but could not get his head around why I would be so upset about being circumcised or the need to talk to my parents about it</t>
  </si>
  <si>
    <t>Yes! My frenulum alone can now give me full bodied orgasms from stimulation of this area alone. I can feel warm and cool temperatures. and fine touch. I and my wife like the rolling motion of the restored foreskin. But also now there is hard to explain turning on of sensitivity, physically, mentally and emotionally. I can relax and enjoy the experience with my partner more.</t>
  </si>
  <si>
    <t>Restoration has given me my orgasm back. I now can had full bodied orgasms. there is build up and different types of orgasms. The change has made me realise how much was take from me. I (almost unconsciously) said to my wife once after an amazing orgasm, that I had no idea that sex was supposed to be that good</t>
  </si>
  <si>
    <t>I think the focus should be on this not having happened in the first place and the language used around that. We are not going to restore our way to ending non-consentual male circumcision</t>
  </si>
  <si>
    <t>maintaining relationships with pro-cutting friends and family whilst trying to actively undo the same damage they are causing to other people and realising how sex and and intimacy has improved( for myself)</t>
  </si>
  <si>
    <t xml:space="preserve">Do it. buy a few different devices so you know what a comfortable device feels like and realise that just because you are restoring your foreskin people won't magically understand how traumatic circumcision is for you or why you are doing it. </t>
  </si>
  <si>
    <t>I think it's creating a cycle of abuse. parents will continue to mutilate their sons, companies will continue to use the discarded foreskins. eventually they will all start saying if you don't like it you can just restore your foreskin later. same for restoration. we need more men speaking out about how they feel about how this was done to them.</t>
  </si>
  <si>
    <t>the combination of excuses ensures there is no accountability for the people involved in the decision making due to rotating motives. the cycle of abuse continues in plain sight because of the lack of accountability and shame from the victims</t>
  </si>
  <si>
    <t>That you need to take extra care of it and wash properly.</t>
  </si>
  <si>
    <t>sex-ed telling you that its fine to be circumcised without ever telling why of how it is done.</t>
  </si>
  <si>
    <t>I don't watch much porn but I believe that porn has reinforced the stereotypes that everyone is cut, sex is better, women prefer it ect. Also a unbalanced view of bodily autonomy skewed towards FGM ensures there is low to no value inremaining intact by men and women</t>
  </si>
  <si>
    <t>That not everyone is happy that this is done to them.</t>
  </si>
  <si>
    <t xml:space="preserve">It has become easy to ask the question what is wrong with men, but not question what are we doing to men. The fact we are not willing to include a traumatic experience specific to males, done to multiple generations, in the conversation is wild to me. I think it's a huge piece of the puzzle </t>
  </si>
  <si>
    <t>this has been one of the better surveys about circumcision I have done. Looking forward to seeing the results.</t>
  </si>
  <si>
    <t>u/dippa555</t>
  </si>
  <si>
    <t>yes but anonymously</t>
  </si>
  <si>
    <t>western Australia</t>
  </si>
  <si>
    <t>Perth</t>
  </si>
  <si>
    <t>too long ago to remember. I think just the curiosity in my teens of what would it have like to be left intact. Also I felt that all the pro circumcision information I Had read on the internet just didn't apply to me. I din't get a proper restoration device until my mid 20s</t>
  </si>
  <si>
    <t>I've realised Restoration has its limits. I am repairing the damage to my genitals through restoration which is great, but I can't restore my mind. I don't feel intact, and this was done to me without my consent. That has shaped how I see my genitals/body. Damaged.</t>
  </si>
  <si>
    <t>I would need to feel Whole mentally. so I don't think I will ever stop. but I would like to reach RCI9</t>
  </si>
  <si>
    <t>Aesthetic Preference: I (or my partner/parents) preferred the appearance of a circumcised penis., Perceived Hygiene Benefits: A belief that it would be cleaner or easier to care for., Social Conformity: A desire to "look like" peers or fit a cultural norm.</t>
  </si>
  <si>
    <t>Along circumcision scar and inner skin</t>
  </si>
  <si>
    <t xml:space="preserve">Full bodied </t>
  </si>
  <si>
    <t>Saliva is the go to lub</t>
  </si>
  <si>
    <t>Partners not understanding this type of penis</t>
  </si>
  <si>
    <t xml:space="preserve">Limited experience of partners with a circumcised partner </t>
  </si>
  <si>
    <t xml:space="preserve">Scar inch from glans, still see 7 suture wounds after 60 yrs, very noticeable change in colour tone above and below scar, scar is relatively smooth in texture but is very jagged uneven scar line, skin is tight but not taught when erect, glans permanently exposed at all times </t>
  </si>
  <si>
    <t>What it would smell like and how much overhang it would likely had</t>
  </si>
  <si>
    <t>Bridge and tunnel</t>
  </si>
  <si>
    <t xml:space="preserve">Bridge and suture tunnel </t>
  </si>
  <si>
    <t>I’m glad I was cut very young as I would have chosen in later life</t>
  </si>
  <si>
    <t xml:space="preserve">Medicaly necessary </t>
  </si>
  <si>
    <t>That all the lower middle classes were intact</t>
  </si>
  <si>
    <t xml:space="preserve">That Jews were circumcised and the upper class people </t>
  </si>
  <si>
    <t>Porn , lack of experience and understanding of circumcised penis</t>
  </si>
  <si>
    <t xml:space="preserve">When you are the only boy in the locker rooms that is circumcised </t>
  </si>
  <si>
    <t>Because man can carry on without the foreskin</t>
  </si>
  <si>
    <t xml:space="preserve">Circumcision should have been publicised more in my infancy to all parents of its benefits </t>
  </si>
  <si>
    <t xml:space="preserve">Cornwall </t>
  </si>
  <si>
    <t>Medical Diagnosis: Phimosis (inability to retract the foreskin)</t>
  </si>
  <si>
    <t>Healthcare/Medicine (e.g., Doctor, Nurse, Therapist, Technician), Education (e.g., K-12 Teacher, Professor, School Administrator), Stay-at-Home Parent / Homemaker</t>
  </si>
  <si>
    <t>Firm touch and skin gliding are most pleasurable. Since I am partially restored, I primarily masturbate by gliding the skin just over the coronal ridge. Direct glans contact can be uncomfortably sensitive, especially after a restoration device has kept it covered for several hours.</t>
  </si>
  <si>
    <t>Gradual and pleasurable build-up. Orgasm is very pleasurable but not overwhelming. The sensation feels concentrated in the lower abdomen and only lasts for a few seconds. I occasionally feel a bit of a full-body sensation but not much. Overall, it feels like a satisfying release.</t>
  </si>
  <si>
    <t>Using lube is more pleasurable than not, but I never find it necessary and I almost never bother to use it due to the mess and hassle. Even before starting restoration, I almost never used lube.</t>
  </si>
  <si>
    <t>I've thought about this, and every answer I think of feels disingenuous because these things don't actually make me feel 'positive'. For example:
- Being in the midwestern US, being intact would make me more of an outsider. However, I had almost no experiences of being naked around peers while growing up, so this would've been a non-issue.
- Not having to deal with any complications from things like phimosis. However, this would've been statistically unlikely, and I'd like to think I'd have explored non-surgical solutions.</t>
  </si>
  <si>
    <t>I have experienced almost no physical drawbacks. I suspect that things would be physically much better intact, but I haven't had any specific problems.
Primarily my issues have been emotional. I feel deeply violated and dehumanized.
When I hear discussions or jokes about MGM, I start to feel panicked and need to find a private place to cool down. I often feel repulsed looking at my penis.</t>
  </si>
  <si>
    <t>Institutional Medical Norm: The general belief that "this is just the standard procedure" at hospitals, making it a routine, unquestioned part of postpartum care. (The power of the system)., Direct Medical Authority: Specific advice from their obstetrician, pediatrician, or the hospital staff where you were born. (The voice of a trusted professional)., Lack of Counter-Information: Crucially, the simple absence of any strong, readily available information presenting the benefits of intactness or the risks of circumcision, making it an easy default choice. (The power of silence).</t>
  </si>
  <si>
    <t>All things considered, a "good" physical outcome. Even scarline. More outer skin than inner, but still some inner skin. Not too tight (no painful or tight erections).</t>
  </si>
  <si>
    <t>The sensation of a moist glans not affected by keratinization. The general gliding motion.</t>
  </si>
  <si>
    <t>Immediately upon learning what was done (age 11-12). I find the concept of not experiencing a full/complete body immensely disturbing.</t>
  </si>
  <si>
    <t>Please do some independent research. Realize that this is a real, significant surgery. Question why so few countries do this in the way the US does.</t>
  </si>
  <si>
    <t>Experienced feelings of loss, grief, or anger, Motivated by research or learning about intact anatomy/function, Curious about what might be different if intact, Significantly dissatisfied with sensation, function, or appearance</t>
  </si>
  <si>
    <t>Primarily devices. The ones I've seen the most progress with are the DTR, FS Air, and Foreskin Mitosis Device. I've occasionally used manual methods (Andre's method but not as frequently).</t>
  </si>
  <si>
    <t>Only with my husband and one close friend. They were supportive and understanding, but this is extremely difficult for me to talk about with anyone.</t>
  </si>
  <si>
    <t>Noticeable improvements in sensation in the inner foreskin and glans. This is most prominent after restoring/retaining for several days, and starts to fade when I take a break.</t>
  </si>
  <si>
    <t>I began noticing the prolonged full-body sensations, especially after restoring/retaining for several days in a row. It's not significantly different though.</t>
  </si>
  <si>
    <t>I don't identify with this term. I think of 'restored'.</t>
  </si>
  <si>
    <t>Challenging has been the slow speed, and struggling with motivation. Seeing not much visible progress after hundreds of hours is demoralizing. Rewarding has been milestone events such as achieving some rollover.</t>
  </si>
  <si>
    <t>Find a method that is comfortable and easy for you. Anything that's not will be difficult to stick with.</t>
  </si>
  <si>
    <t>I'm optimistic with Foregen's recent progress and look forward to big progress over the next two years. This hasn't stopped me from restoring, but it does make me feel that restoration will never be 'good enough' for me.</t>
  </si>
  <si>
    <t>General perception that it's cleaner.</t>
  </si>
  <si>
    <t>Not much specific beyond them being weird/scary. Some understanding that they are inherently dirty.</t>
  </si>
  <si>
    <t>I believe people in the US are more open-minded about this, but still don't view intact as "normal".</t>
  </si>
  <si>
    <t>I want people to have more anatomical understanding of the foreskin, and that it's more than a small amount of basic skin.</t>
  </si>
  <si>
    <t>Mostly resonates, but something about the term "monster" makes it sound like some force of nature as opposed to something that people choose to propagate.</t>
  </si>
  <si>
    <t>Just a reflection on how significant this has been in my life. My negative feelings are so overwhelming that they now feel like a core part of my identity.</t>
  </si>
  <si>
    <t>After I learned about what was done to me, I almost immediately discovered and became interested in restoration. I began the process once I moved to university and had more privacy.</t>
  </si>
  <si>
    <t>Overwhelmingly positive and supportive</t>
  </si>
  <si>
    <t>I do feel comfortable and proud while restoring. However, my overall psychological pain hasn't improved much. I also have struggled with motivation, despite my strong feelings on the subject, and this makes me feel ashamed.</t>
  </si>
  <si>
    <t>The 'done enough' feeling is what I'd be looking for, but I'd expect that to occur with near-full flaccid coverage.</t>
  </si>
  <si>
    <t>Perceived Hygiene Benefits: A belief that it would be cleaner or easier to care for.</t>
  </si>
  <si>
    <t>Not a primary goal / Not applicable to me</t>
  </si>
  <si>
    <t>WY - Wyoming</t>
  </si>
  <si>
    <t>I didn’t pay much attention to religious practice. My family attended while I tended to zone out for an hour every week</t>
  </si>
  <si>
    <t xml:space="preserve">While my upbringing was catholic, I’m a run of the mill bond/ atheist </t>
  </si>
  <si>
    <t xml:space="preserve">I love the gliding sensation </t>
  </si>
  <si>
    <t xml:space="preserve">I always find it odd that I take awhile to orgasm but enjoy the full body shaking during the end result </t>
  </si>
  <si>
    <t xml:space="preserve">Only for penetrative sex, never for masterbating </t>
  </si>
  <si>
    <t xml:space="preserve">It took time but enjoy open communication </t>
  </si>
  <si>
    <t>Everyone just assumed it was an oddity as a millennial in a rural state</t>
  </si>
  <si>
    <t xml:space="preserve">They just seemed the norm but to me seemed odd and modified </t>
  </si>
  <si>
    <t xml:space="preserve">I’ve dated in past mostly Latino men so it seems familiarity. </t>
  </si>
  <si>
    <t xml:space="preserve">If routine circumcision didn’t exist, imagine how hard of a pitch it would be to adopt as a practice. </t>
  </si>
  <si>
    <t xml:space="preserve">Functionality if intact </t>
  </si>
  <si>
    <t xml:space="preserve">Fluctuation but down trend </t>
  </si>
  <si>
    <t>Sometimes the head of my penis is too sensitive when I wear rougher clothing, and it can be very uncomfortable and unpleasant. I prefer wearing underwear that is smoother because of that.</t>
  </si>
  <si>
    <t>The build up is pretty quick. The final release is pleasurable and is a”full-body” feeling. I would say it’s between a reflex and a deep, satisfying release.</t>
  </si>
  <si>
    <t>You have to be very careful to wash under the foreskin regularly, or there’s a risk of infection which can be very painful. Also, apparently a lot of women in North America find them kind of ugly.</t>
  </si>
  <si>
    <t xml:space="preserve">Maybe watching porn, and just social conditioning </t>
  </si>
  <si>
    <t>I think circumcision really limits a man’s sexual pleasure and should not be done when the child cannot consent.</t>
  </si>
  <si>
    <t>I think “monster” is maybe a bit too strong of a term, but I agree that it is so prevalent in our culture but causes significant harm.</t>
  </si>
  <si>
    <t xml:space="preserve">A while back, I tried to restore my foreskin, but it was too time consuming, painful, and a bit embarrassing. </t>
  </si>
  <si>
    <t>I’m not sure, but I think the current trend of parents choosing not to circumcise could continue</t>
  </si>
  <si>
    <t>My glans and inner foreskin are sensitive to light touch and gliding motions, but can get overstimulated from friction, my foreskin and frenulum have a pleasurable movement/stretch sensation. A variety of sensations on my foreskin are pleasurable, including some that would be unpleasant on a typical circumsised glans, my shaft is sensitive to full deep pressure.</t>
  </si>
  <si>
    <t>If I am having anal sex I need lube, otherwise never.</t>
  </si>
  <si>
    <t>There is enough variety where I live that people don't tend to associate circumcision with much except older age, it is more common in people over 30, people my age intact is much more prevalent, there is no real narrative i was aware of to say 'x lasts longer' or 'y is easier to have sex with'</t>
  </si>
  <si>
    <t>Among Gay men, there seems to be a broad preference for intact penis, due to the factor of 'having something extra to play with', for lack of a better word. Women I don't have that much perception of a preference either way.</t>
  </si>
  <si>
    <t>If there is a hassle to being uncut, it's people who aren't. Its not a tradeoff of maintenance versus sensation.</t>
  </si>
  <si>
    <t>Another Social Media Platform: (e.g.,  Bluesky, Tumblr, Instagram, etc.)</t>
  </si>
  <si>
    <t>Episcopal priest</t>
  </si>
  <si>
    <t xml:space="preserve">Frenulum remnant is very sensitive, I dekeritinized last year and gained significant glans sensitivity but have lost that after stopping stretching and using a retainer </t>
  </si>
  <si>
    <t>Brief, not very intense, sparse</t>
  </si>
  <si>
    <t>Odor, unclean</t>
  </si>
  <si>
    <t xml:space="preserve">It’s totally unnecessary  </t>
  </si>
  <si>
    <t>I am a PARENT / STEP-PARENT / GUARDIAN who has made (or is making) a decision about infant circumcision for a child in my care.</t>
  </si>
  <si>
    <t>Not Applicable: The decision was primarily driven by non-medical factors (e.g., religious/cultural tradition).</t>
  </si>
  <si>
    <t>Confident &amp; Unconflicted: We were confident in our decision and did not experience significant doubt or anxiety.</t>
  </si>
  <si>
    <t>My blind guess is that some people are uncomfortable with sexuality and wouldn't push back against a norm that reduced sexual pleasure, but my hope is that they just don't realize what they are denying their kid, and would choose to give their kid all the future happiness, if they knew</t>
  </si>
  <si>
    <t>The reason I chose "unsure / it depends" is because I imagine people who were cut don't know anything else, so may not feel it had any impact on them, having nothing to compare it to; but I would assume that if they could flip back and forth, they would perhaps choose to be intact, and would then maybe miss it</t>
  </si>
  <si>
    <t>I am so ignorant on this!</t>
  </si>
  <si>
    <t>Again, I truly dunno</t>
  </si>
  <si>
    <t>unsure</t>
  </si>
  <si>
    <t>the body works just fine!  let it be</t>
  </si>
  <si>
    <t xml:space="preserve">I don't find it scary in the way I think of monsters as being scary - for me, it's more of an "invisible injustice" or "hidden </t>
  </si>
  <si>
    <t>I'm glad I was raised with no religious background, so I can make my own choices.  The downside of this is that I find religion confusing and terrifying, and because the majority of the world is religious, there's less secular community (unless you are a clear part of a marginalized group and band together), since people seem to get that from church.  I'm kind of an in between whatever person so it's lonely.  I guess my answer is less in response to the survey and more to say hi, tone, I like you</t>
  </si>
  <si>
    <t>could it be nap-based?  I'm tired</t>
  </si>
  <si>
    <t>was an emergency c-section, so OB-GYN</t>
  </si>
  <si>
    <t>Conversations with friends</t>
  </si>
  <si>
    <t>Unsure / Not Applicable</t>
  </si>
  <si>
    <t>Unsure / It depends</t>
  </si>
  <si>
    <t>Very comfortable and well-informed; I could confidently discuss various viewpoints.</t>
  </si>
  <si>
    <t>All of my sons/AMAB children are INTACT</t>
  </si>
  <si>
    <t>I am FINISHED with this section; please take me to the final reflections.</t>
  </si>
  <si>
    <t>tried for home birth, needed to be cesarian (after 32 hrs labor ugh)</t>
  </si>
  <si>
    <t>I'm not sure what the norm was.</t>
  </si>
  <si>
    <t>2010 - 2014</t>
  </si>
  <si>
    <t>Biological Parent</t>
  </si>
  <si>
    <t>Ethical beliefs about bodily autonomy and a child's right to consent, Information about the functions and sensitivity of the foreskin, Lack of a clear medical necessity for the procedure</t>
  </si>
  <si>
    <t>No, our decision was accepted without much comment or resistance.</t>
  </si>
  <si>
    <t>I am extremely proud and confident it was the right decision.</t>
  </si>
  <si>
    <t>the body works pretty darn well, as-is</t>
  </si>
  <si>
    <t>No, I do not.</t>
  </si>
  <si>
    <t>There was no single "tipping point"; it was a combination of factors., why would you ever cut off part of a penis?</t>
  </si>
  <si>
    <t>During pregnancy - didn't do research, just decided</t>
  </si>
  <si>
    <t>No, I/we never encountered any significant information promoting the procedure.</t>
  </si>
  <si>
    <t>they somehow find it annoying to spend two seconds pulling back to clean in the shower, but dude, just get over it and wash your body, it's fine</t>
  </si>
  <si>
    <t>Netherlands</t>
  </si>
  <si>
    <t>In general not very sensitive, the frenulum part a bit more. The glans and remainder of the inner foreskin (which is not an enormous part) are not very sensitive. There is friction though when wearing the wrong underwear and walking.</t>
  </si>
  <si>
    <t>Orgasms themselves tend to be quite pleasurable, build-up while masturbating is gradual, through intercourse a bit less predictable. Release can be highly pleasurable, sometimes a bit more mild, depends on the situation. It's not so much a full-body feeling as it's felt mostly in the lower belly, balls, penis.</t>
  </si>
  <si>
    <t>Never needed for masturbation or vaginal intercourse. Definitely needed for anal sex.</t>
  </si>
  <si>
    <t>My current partner is male. He is intact and therefore experiences sensations quite differently. It can be quite frustrating to have sex and notice that you hardly feel anything despite the other doing all the 'right' things, specifically when you notice the pleasure those things bring him. I tend to be overly focused on climaxing given it's otherwise quite hard to reach that point through anything but masturbation.</t>
  </si>
  <si>
    <t>None. Some sexual partners seemed to like the appearance, but even then I don't think they cared a lot.</t>
  </si>
  <si>
    <t>I am from a European country where circumcision is rare (besides the muslim minority). Maybe max a few percent of non-muslim men are circumcised. As a child, I was not ashamed to be naked, until I got circumcised at the age of 7. At that point I became very conscious and immediately realized I stood out. From that moment onwards, I became extremely insecure on that front. As I started becoming sexually active around the age of 18, I learned girls (and guys, later) tended to be fine with it, sometimes even appreciate the appearance. I forgot about being circumcised for a bit. Later I noticed my lack of sensitivity, I started studying the subject more and realized the impact it had. Up to that point I had not realized my circumcision was to blame. All in all, drawbacks in that sense are emotional (something being taken without your consent), psychological (standing out) and physical (lack of sensitivity, friction in clothes)</t>
  </si>
  <si>
    <t>Prophylactic Health Reasons (General Prevention): Belief that it prevents potential future health problems (e.g., infections, inflammation, later penile issues) that were not currently present.</t>
  </si>
  <si>
    <t>Prevailing Health &amp; Hygiene Beliefs: General societal "knowledge" at the time—gleaned from various sources—that presented circumcision as being fundamentally cleaner, healthier, or preventive of future diseases. (The power of a cultural 'truth')., Lack of Counter-Information: Crucially, the simple absence of any strong, readily available information presenting the benefits of intactness or the risks of circumcision, making it an easy default choice. (The power of silence).</t>
  </si>
  <si>
    <t>It is a low and tight circumcision, although the frenulum was intact. Aesthetically it really does not look bad. It is visually appealing. In that sense they did a decent job. It's just that it is indeed tight. Even when flaccid, the skin never even touches the glans. When erect, there is about half a centimeter of skin motion (again not touching the head at all).</t>
  </si>
  <si>
    <t>I have seen with male sexual partners how a penis is supposed to function. When masturbating, it is a smooth motion and the pleasure comes from the foreskin gliding over the glans. I cannot experience that, which is unfortunate. The intensity I am equally curious about. 'What am I missing?' I notice it a little bit when touching the frenulum but that is a very small part obviously.</t>
  </si>
  <si>
    <t>On the day itself, when I figured out what had happened. As shared in a previous answer, I felt betrayed. I did not know what circumcision was. I thought I was the only one in the world. Nowadays I still have these feelings but more related to the physical part (lack of stimulation). To a lesser degree, there is still a lingering sense of feeling less 'Dutch' or 'European' when being in communal showers. It is just so uncommon here to be circumcised.</t>
  </si>
  <si>
    <t>Not sure that this is directly related to the tight circumcision, but masturbating or having other forms of sex very frequently leads to more irritation than I think is normal.</t>
  </si>
  <si>
    <t>They were misled by the GP to believe that at the age of 7 you can diagnose phimosis and you should take such radical measures. I was experiencing some irritation/pain because my mother kept insisting I should practice retracting my foreskin, which is sometimes still hard at that age. Our GP then recommended circumcision. What I would share with them is that they did not honestly tell me what was going to happen. They got me under full anesthesia so that I was oblivious to what happened. I felt extremely betrayed, even at that age, at what had been done to me. I asked my mother at the time and she said they had decided in the moment it was better to go for a circumcision. I already knew at that moment that this was a lie. I think it fundamentally created a trust issue with my parents from that moment onwards. I believe they did what they thought was right because of the doctor's advice, but they could have studied the subject better. Additionally, they knew deep down that I would have objected to it, otherwise they could have simply told me, which they didn't do. For years, I would dream and hope to wake up with my foreskin regrown, and that was even without knowing the physical consequences it would bring. It was only about bodily integrity and about standing out from the other boys. I would also tell them that the one thing this has taught me is that I would never do something like that to my own kids.</t>
  </si>
  <si>
    <t>In my case there was a - supposedly - clear 'medical' reason to have me circumcised at the age of 7. It was not an RIC. So logically that set me apart from anyone else.</t>
  </si>
  <si>
    <t xml:space="preserve">Dutch boys are not circumcised, unless they are muslim (or Jewish, of which there are very few). Very rarely would you see circumcised Dutch men, even fewer today. When I was circumcised in the 90s it maybe happened to a few percent of the male population, now most doctors heavily advocate against the practice even when there is a perceived medical reason. Mostly because they believe it can be addressed differently. Nowadays, if non-religious, some people later in life opt for it because they prefer the look, but that's extremely rare. As such, being intact is the norm. Not having a foreskin is an anomaly or as a sign of being muslim. </t>
  </si>
  <si>
    <t>There were no stereotypes. Being uncircumcised was the norm. People never questioned having a foreskin. It was not framed as a decision point (to cut or not to cut).</t>
  </si>
  <si>
    <t>Given people were not very familiar with circumcision, you would hear rumours about 'it being good for hygiene' or 'you lasting longer'. But no guy that said that would actually opt for getting circumcised. It was seen as something 'weird Americans' would do to prevent masturbation, or - again - something for muslims. Circumcised penises were something you saw in porn (because that's often from the U.S.)</t>
  </si>
  <si>
    <t>If you are Dutch or European woman, 99% of the 'native' guys you sleep with are intact. Circumcision is the outlier. Typically, they would not mind too much, or even be curious about it, but they would consider intact the norm. Most people would react with shock/disbelief if they would have partners insisting on guys getting circumcised because they 'prefer' it.</t>
  </si>
  <si>
    <t>Even in Europe, where being intact is the norm, primarily BECAUSE it is the norm, people don't think about what circumcision means. They think it's just a bit of skin. The single thing they do not understand is that the foreskin has a very important function, without which the penis functions suboptimal.</t>
  </si>
  <si>
    <t>Despite my own situation, thankfully, in Europe circumcision is uncommon, especially at birth. I have heard people joke here that countries that perform RIC - like America - are on the one hand repressive when it comes to sex and nudity, yet on the other, the moment a baby boy is born, they will say 'now please cut off the most sensitive part of his penis'. Conceptually, that is so disturbing and odd that I am not sure it requires a further explanation.</t>
  </si>
  <si>
    <t xml:space="preserve">If I look at Europe, and it may be the same in the U.S.: intact men tend not to care too much about the topic, they simply do not think about it. Circumcised men may feel ashamed and not feel comfortable discussing the topic. They may even become defensive when attacked (I recognise that tendency with myself). We need to find a narrative that allows for a mature discussion without stigmatizing people that underwent the procedure (voluntarily or, mostly and regretfully, involuntarily). </t>
  </si>
  <si>
    <t>South-Holland</t>
  </si>
  <si>
    <t>Foregen Discord (a non-profit trying to find a way to regrow your foreskin).</t>
  </si>
  <si>
    <t>They were likely anxious (especially if first-time parents) and put their complete trust in their doctor's advice.</t>
  </si>
  <si>
    <t>It's an outdated concern that has very little influence today.</t>
  </si>
  <si>
    <t>Medical Diagnosis: Phimosis (inability to retract the foreskin), Medical Diagnosis: Other specific condition</t>
  </si>
  <si>
    <t>Should be allowed with parental consent, as parents have the right to make such decisions for their children.</t>
  </si>
  <si>
    <t>Clerical / Administrative Support (e.g., Secretary, Office Clerk), Law/Government/Public Service/Civil Servant</t>
  </si>
  <si>
    <t>I am an ADVOCATE ALLY, or INTACTIVIST</t>
  </si>
  <si>
    <t>They struggle to reach orgasm and use my body aggressively in that aim. I have to bear discomfort being used for that goal. Their movements don't bring me pleasure. No matter what the emotions are (emotionally close, etc)  their cut bodies have limitations and can't please mine. The men get frustrated upset or angry that they can't please me and I refuse to fake orgasm. They cheat or get abusive out of their resentment toward me not faking orgasm for them. They want anal sex. They get obsessed with strange porn practices. They refuse to acknowledge that their being cut radically changed their sexual function. They threaten to sexually mutilate their future sons. They interact less sexually. Some seek other partners, prostitutes, porn, or ?? drugs, alcohol, other interests, solo hobbies</t>
  </si>
  <si>
    <t xml:space="preserve">Having to refuse to make a child for my married spouse and divorce, due to his insistence to sexually mutilate a son. Around that time I was realizing that many of my peers I thought would never ever sexually mutilate a child like they were, had done so or would do so. I never imagined this insane thing that was done to our dads, the boomers, would be something my generation would repeat. I realized it was a hazing sickness with a domino effect. </t>
  </si>
  <si>
    <t xml:space="preserve">Circumcision was designed to DIMINISH sexual function and make sex WORSE. People right now, who have only ever known mutilated diminished sex, think that somehow it makes it better. They are completely wrong. They also think that it's somehow healthier, when in fact it leads to problems like meatal stenosis. There is no improving the penis by radically changing its form and function through a major amputation. </t>
  </si>
  <si>
    <t xml:space="preserve">The idea that it sexually improves the male that women will like it more, also ideas about hygiene, "Jesus was circumcised" without realizing that all Christians are forbidden to circumcise because Jesus is the ONLY blood sacrifice, ideas that "no woman can come from sex, you have to do other things" or "most women need extra lube" i.e. the problems of make circumcision have med to inaccurate ideas about female sexuality. "My son and the men in our family are unusual, we all had to be circumcised" people have been lead to believe they have special or odd reasons they MUST be mutilated. "I don't want to have to pull it back all the time or have to teach him to or have him get infections" etc. people believe they have to retract which is actually wrong and abuse. Etc some still think it looks "poor" to not do it (makes them feel like they would look hillbilly, un-Americanized  Hispanic, "country" black, etc). Some women think males need punishment or curbing of sexuality while they have the upper hand (when they are in the cradle) because "all men are pigs/dogs" and "all men are sexually selfish use you and discard you" etc. when in fact circing a male makes them a far worse partner to women and far more likely to leave them looking for one who can satisfy him so these women are cursing the next generation of women with the male behavior they hate, thinking they're somehow doing women a favor they create the worst partners for women (emotionally and physically damaged men who are handicapped emotionally and sexually for life). </t>
  </si>
  <si>
    <t>People seemed to think women didn't want it and it would give infections. Also the belief that "no one" was intact or that sex was "the same" regardless (which is mostly true if the man is wearing a condom. Intact with no condom is night and day better for women)</t>
  </si>
  <si>
    <t xml:space="preserve">People seemed to believe it was the norm, that women didn't want it, that it was cleaner less STDs, and believed it was "no different" than mutilated (and an intact man in a condom is actually basically the same experience for women as a cut man, neither has the rolling motion or clitoral contact of an intact man with no condom). </t>
  </si>
  <si>
    <t xml:space="preserve">Porn, Jewish dominance of both media and medicine pushing ideas about cut as better </t>
  </si>
  <si>
    <t xml:space="preserve">Intact is normal, healthy and necessary for normal sexual function. Circumcised men are HANDICAPPED and can NEVER have normal sex. The female body cannot compensate for a male being circumcised. The female brain creates oxytocin with orgasm, and intact men have been rated 9/10 for providing orgasm to women where cut men rate 1/10. Cir ing a male sexually handicaps him for life and creates a lot of problems for him and all his partners for life. Higher divorce rates, higher STDs, more problems with porn, more legal problems around sex, more ED, more partners (more broken/failed relationships), higher rates of giving women infections and lower rates of giving women orgasms. Gay men also much prefer intact partners. Cut partners are a lot of work for the other partner and often the difficulties of the cut male partner destroys relationships. No one is improved by sexual mutilation. It makes a person LESS likely to be monogamous because they can't get sex that feels good to them and a partner both, it makes men MORE likely to mow through women and to seek prostitutes porn depravity an debauchery and extremes. It makes a male more likely to have ED and start seeking other partners, a younger partner etc because his penis no longer works, while the intact man has no function problems with his wife after several kids and into old age.
</t>
  </si>
  <si>
    <t xml:space="preserve">It breaks over a dozen laws every time it's done in the US. It's clearly child rape, organ theft, etc. and does not meet the requirements of the 14th amendment. It's not medicine at all. It was a smokescreen for a religious minority that turned into amputee fetish for people who had no experience of intactness. </t>
  </si>
  <si>
    <t>Personal experiences with intimate partners, Independent research I've done myself, Always knew it was wrong even as a child. No one should be sexually mutilating anyone.</t>
  </si>
  <si>
    <t>It's considered a private, almost taboo subject that isn't discussed.</t>
  </si>
  <si>
    <t>A major, life-altering decision with lifelong physical and psychological consequences.</t>
  </si>
  <si>
    <t>He is / They are Circumcised.</t>
  </si>
  <si>
    <t>Yes, we've touched on it briefly a few times.</t>
  </si>
  <si>
    <t>Proud &amp; Content: He expresses clear satisfaction, pride, or gratitude with his body as it is (whether intact or circumcised).</t>
  </si>
  <si>
    <t>Don't ignore the elephant in the bedroom. Don't sacrifice your body in ways that are not ok for you physically or emotionally. Encourage sensation preservation (SenSlip, etc) and for him to look at norm.org. Never ever make a child for someone without "no circumcision" in your wedding prenup or a pre-pregnancy legal document you have drawn up by a lawyer to protect you and the child before ever getting pregnant. Be ready to go to jail if necessary to prevent someone mutilating your child. Don't assume an individual who claims to be about nature, human rights, etc. will be anti-circ. Logic goes out the window when a man feels threatened that someone will have more penis than him. Don't assume that a man is "selfish" in bed as a character flaw if he's circumcised it's likely the only way his damaged parts work. You're not obligated to stay in a relationship that doesn't work for you sexually. In cultures where most men are mutilated and most are not going to put in the work to create re-coverage, their partners don't have many good options. People whose bodies and hearts can't tolerate their body being used and abused by a circd male for his own satisfaction, may find themselves on an endless search for a compatible partner, and circd men often find themselves on an endless search for a partner that can please them, refusing to face the truth of the damage that was done to them and abusing others as a result sexually and/or emotionally. It leads to a lot of divorce, perpetual dating, and frustration for circd men and the partners of circd men. In the process many people end up with STDs, and the real experience of sex is with both partners intact with no condom. Condom sex and circd sex are both lackluster and will never give a female satisfaction, only the male to some minor degree. The constant churn of dissatisfied partners partnering, breaking up, repartnering, etc. results in children in broken homes, difficulty attempting blended families, etc. Both males and females, straight and gay, can end up incels due to the difficulty male circumcision creates in sex for the circumcised male and his partners.</t>
  </si>
  <si>
    <t>It has sometimes been a source of frustration or difficulty in communication.</t>
  </si>
  <si>
    <t xml:space="preserve">People assume that circumcising a male improves his sexual function for himself and his partner and that women prefer it and get more out of sex with a cut man and won't touch any intact man. When in fact circing a man ruins sex for himself and all his partners. He is left with barely enough to even impregnate someone when he is young and healthy, and can't even give the woman an orgasm in the process unless using other techniques which most are hopeless at. Circd men are severely sexually handicapped. They are sexual special needs. A woman in a relationship with a cut man will always have to make an exception for him and sacrifice herself for an unnatural act that is never what it was supposed to be. If he wants to please her he may not be able to ever do it. Not every man is good with his hands or tongue and not every woman responds to alternative acts. He shouldn't have to be, he was given the equipment to do the job and it was taken away. Circumcising men ruins sex for women and men, and also permanently resets the circ victim's brain in how they perceived intimacy, threats, pain, stress, etc. It can skew their sexuality toward kinks like anal (their nerves there have not been damaged and they have no connotation or pain or rape there in their subconscious if no one ever attacked them in that way), bdsm or rape, hatred of women (because infants relate everything to the mother so when that happened to them it was because of the mother, and literally that's usually true also). Circumcision of males is not doing anyone any favors. It ruins sex for women so the parents who think their son needs it for dating, have just cursed their daughter in law and son to a lifetime of sexual trouble or divorce, incel status both male and female, etc. </t>
  </si>
  <si>
    <t>Public Educator / Awareness Raiser (e.g., social media, blogging, public speaking), Parental Support / Counselor (helping expectant parents navigate the decision), Personal Storyteller / Testimonial Sharer</t>
  </si>
  <si>
    <t>Attempts to middle easternize the US / make those practices normal in the US to create a smokescreen for those who practice it</t>
  </si>
  <si>
    <t xml:space="preserve">Not sure </t>
  </si>
  <si>
    <t>Legal challenges and lawsuits (like the Equal Protection cases), Legislative action (e.g., defunding Medicaid for RIC), Direct outreach and education for expectant parents, Reforming medical school curricula and hospital protocols, High-visibility public protests and awareness campaigns, Supporting foreskin restoration and regeneration research, Creating high-quality media (documentaries, articles), Building broader coalitions with other human rights groups</t>
  </si>
  <si>
    <t>No not at all</t>
  </si>
  <si>
    <t>Very easy to get aroused for the foreskin being touched and gliding</t>
  </si>
  <si>
    <t>Feels great from the moment it’s touched</t>
  </si>
  <si>
    <t>Never ever used lube. Always have had the foreskin move freely</t>
  </si>
  <si>
    <t xml:space="preserve">Intact guys have dick cheese </t>
  </si>
  <si>
    <t xml:space="preserve">International and American media promoting circumcised penis as more desirable </t>
  </si>
  <si>
    <t xml:space="preserve">The foreskin is natural and should be left alone. Any problems that come with it can be fixed </t>
  </si>
  <si>
    <t>Because I’m an Intactivist too</t>
  </si>
  <si>
    <t>Firm pressure and motion</t>
  </si>
  <si>
    <t>Long build up easy to loose</t>
  </si>
  <si>
    <t xml:space="preserve">Unsure </t>
  </si>
  <si>
    <t xml:space="preserve">Lack of skin movement, lube requirement, feelings of isolation </t>
  </si>
  <si>
    <t>Just standard practice: Based on observing its prevalence, assumed it was the default medical procedure without a specific individual reason., Prophylactic Health Reasons (Specific Disease Prevention - e.g., Cancer, STIs, HIV, UTIs): Belief that it lowers the risk of specific diseases later in life (e.g., penile cancer, certain sexually transmitted infections like HIV or HPV, infant urinary tract infections - UTIs).,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t>
  </si>
  <si>
    <t>Low and tight, frenulum intact. Tight enough to where little remaining inner skin always visible</t>
  </si>
  <si>
    <t>Gliding and natural lubrication</t>
  </si>
  <si>
    <t>Once I realised that circumcision isn't something that everyone goes through at the age I did</t>
  </si>
  <si>
    <t>Tight skin, keritin</t>
  </si>
  <si>
    <t>Why didn't you do more reserch</t>
  </si>
  <si>
    <t>The notions seem to be that it's more of a fun quirk</t>
  </si>
  <si>
    <t>That it was normal</t>
  </si>
  <si>
    <t xml:space="preserve">That it was a weird unique thing that meant I wasn't normal </t>
  </si>
  <si>
    <t xml:space="preserve">England </t>
  </si>
  <si>
    <t>Not Applicable / Unsure</t>
  </si>
  <si>
    <t>Medical Diagnosis: Phimosis (inability to retract the foreskin), Aesthetic Preference: I (or my partner/parents) preferred the appearance of a circumcised penis.</t>
  </si>
  <si>
    <t>Indonesia</t>
  </si>
  <si>
    <t>Asian / Asian American (e.g., East Asian, South Asian, Southeast Asian), Chinese</t>
  </si>
  <si>
    <t>It is unnecessary for christian salvation, but chistians here are poisoned by islamic teaching to mutilate their children, or tricked by doctors or the verses that said Jesus was circumcised and it is good.</t>
  </si>
  <si>
    <t>Circumcision is barbaric and the lie from Jews, not Father commandment. Jesus came to stop it but He needed to adopt Jewish tradition first, so He could be accepted as teacher, I'm sure that there are hidden verses which show Jesus is against circumcision.</t>
  </si>
  <si>
    <t>The glans is not too sensitive, but inner foreskin is sensitive, especially frenulum area, and behind corona. The gliding motion makes glans and orgasm pleasureable.</t>
  </si>
  <si>
    <t>It is flexible, I can use quick, build up gradual, or sustained. The final release is pleasurable, deep and satisfying full body release.</t>
  </si>
  <si>
    <t>I dont understand.</t>
  </si>
  <si>
    <t>Medical hygiene or religious tradition</t>
  </si>
  <si>
    <t>Dirty or immature</t>
  </si>
  <si>
    <t>Healthy, clean, normal</t>
  </si>
  <si>
    <t>I dont understand</t>
  </si>
  <si>
    <t>The natural body is much better</t>
  </si>
  <si>
    <t>It is sexual abuse</t>
  </si>
  <si>
    <t>Email or chat</t>
  </si>
  <si>
    <t>Surabaya City, East Java Province</t>
  </si>
  <si>
    <t xml:space="preserve">my penis is all bu numb. the only sensitive bit is the glans ridge and the frenulum. </t>
  </si>
  <si>
    <t>It is quick to arrive with little build up, then it happens. It is quite disapointing, as I barely squirt or cum far, I feel it in my balls and groin, and penis, but not really in my body.</t>
  </si>
  <si>
    <t>I have learned to cum without any lube</t>
  </si>
  <si>
    <t>Most partners are used to uncut guys, and try rubbing me as if I am uncut. It frankly hurts! I explain the cut, and the just go slower. I also have a large frenulum from the cut, and the comments have been unsettling, putting me off continuing.</t>
  </si>
  <si>
    <t>Clean and more healthy.</t>
  </si>
  <si>
    <t>It is numb! -I have very little sensation in any part of it, apart from the frenulum and underside glans ridge. Masturbation took years to master due to the tigther skin, and I always feel like it is half of what it should be. Partners have never really known what to do with it. The exception being one partner who decided to rub my frenulum for about an hour... I was begging for them to change! 
I have had to get a prince albert to prevent my frenulum from being stimulated during intercourse, but it is also quite tight and prevents a proper drawing back of shaft skin.</t>
  </si>
  <si>
    <t>I had balinitis and phimosis, unable to retract the foreskin, and peeing caused a huigeswelling of the foreskin. It took 30 minutes to pee, and was excruciatingly painful. Steroid cream didn't work.</t>
  </si>
  <si>
    <t xml:space="preserve">quite tight, immobile with a head that filled out. I had some bridges left ebhind and an ugly frenulum. </t>
  </si>
  <si>
    <t>How it would feel to be fully skinned up and over the whole head. what a fully sensitive head feels like.</t>
  </si>
  <si>
    <t>just when reflecting after a bad sex time. or comments from a partner.</t>
  </si>
  <si>
    <t xml:space="preserve">tight frenulum. </t>
  </si>
  <si>
    <t>they were normal. cut was most definitely the odd one out! There was two of us in the whole year group of about 60 boys.</t>
  </si>
  <si>
    <t>Word got to the girls we would hang and fool around with, I was seen as a freak and I later found out, if they got picked by spin the bottle to fool with me, and it was a penis activity, like hand job or blow job in the bushes, they would be considered "dirty" or unlucky that they got me. I some years later found out that several of them preferred me as I was cleaner, harder and firmer! - but didn't want to let on they preferred it... cant win!</t>
  </si>
  <si>
    <t>it will fuck up the penis forever! - I can not be undone!!</t>
  </si>
  <si>
    <t>Dorset, England</t>
  </si>
  <si>
    <t>its art of the penis, isn;t it?</t>
  </si>
  <si>
    <t>Unsure / It depends heavily on the specific procedure.</t>
  </si>
  <si>
    <t>Medical Diagnosis: Phimosis (inability to retract the foreskin), Medical Diagnosis: Recurring Balanitis/Infections</t>
  </si>
  <si>
    <t xml:space="preserve">My glands are most sensitive, my frenulum is also pleasurable whenever I glide my foreskin all the way back </t>
  </si>
  <si>
    <t xml:space="preserve">Full body deep sensitive release </t>
  </si>
  <si>
    <t>I love not needing lubricants to masturbate</t>
  </si>
  <si>
    <t xml:space="preserve">Cultural norms and de facto practice. Wasn’t discussed much </t>
  </si>
  <si>
    <t>They are presumed to be dirty and unclean</t>
  </si>
  <si>
    <t>That’s the “normal” way penises look</t>
  </si>
  <si>
    <t>Gay men love natural manly cock</t>
  </si>
  <si>
    <t xml:space="preserve">Intact pensises are clean </t>
  </si>
  <si>
    <t>The metaphor is unclear and not direct enough for a general audience</t>
  </si>
  <si>
    <t>It’s not overly sensitive, but it’s sensitive enough to be pleasurable. Light is okay, firm pressure is better. Gliding feels good. My glans and inner foreskin are the most sensitive areas.</t>
  </si>
  <si>
    <t>The build up is gradual, but once I start getting closer to the edge of orgasm, it becomes intensely pleasurable and lasts for 10-15 seconds. The pleasure building up in the edge phase is more pleasurable than the orgasm, but the orgasm bring relief and is satisfying.</t>
  </si>
  <si>
    <t>Too much and I can’t feel much, when it dries up the friction feels better</t>
  </si>
  <si>
    <t xml:space="preserve">Circumcision was unnecessary </t>
  </si>
  <si>
    <t>The media, upbringing</t>
  </si>
  <si>
    <t>It’s not difficult to keep clean</t>
  </si>
  <si>
    <t>Combination of the above</t>
  </si>
  <si>
    <t>Amongst the people in favour of circumcision, intact penises were considered dirty, and unhygienic.</t>
  </si>
  <si>
    <t>Circumcised penises were considered to be "better", somehow. I never heard any explanation of why though.</t>
  </si>
  <si>
    <t>Where I live most people are intact, so cultural familiarity.</t>
  </si>
  <si>
    <t>It is normal for the foreskin to not be retractable in young children. A lot of people don't seem to realize this.</t>
  </si>
  <si>
    <t xml:space="preserve">I believe non-consensual circumcision is so obviously wrong. I think it persists because a lot of people are uncomfortable questioning criticizing or opposing societal norms, and criticizing anything to do with religion is taboo. </t>
  </si>
  <si>
    <t>South Australia</t>
  </si>
  <si>
    <t>It's already pretty uncommon here, in 20-30 years I think it will be even more uncommon</t>
  </si>
  <si>
    <t>Uk</t>
  </si>
  <si>
    <t>I was taught that circumcision was a requirement in Old Testament times, but physical circumcision was no longer necessary. We were supposed to have “circumcision of the heart.” 
Personally, I picked up a subconscious belief that circumcision was “better” because the “bad guys” in the Old Testament were often referred to as “uncircumcised.” So, it felt like even though circumcision was no longer necessary, if I were circumcised, I would be more like the Israelites than the gentiles.</t>
  </si>
  <si>
    <t>I don't necessarily need lube, but I typically prefer to use it. I find the reduced friction, especially during masturbation, to make it more peasurable</t>
  </si>
  <si>
    <t>I feel like most people didn't really question circumcision. It was just something you do. If challenged, I expect that people would claim "health benefits" rather than aesthetics or religion.</t>
  </si>
  <si>
    <t>In my immediate family, intact penises were "normal," so there weren't really any prevalent stereotypes. I did feel like society as a whole assumed that intact penises were dirty and ugly.</t>
  </si>
  <si>
    <t>I feel like there was a stereotype in society that circumcision was expected and that circumcised penises were healthier and cleaner.</t>
  </si>
  <si>
    <t>I think it's due to the prevalence of circumcision in American society. I think most people here haven't had experience with intact penises, so they tend to favor what they know, which is a circumcised penis.</t>
  </si>
  <si>
    <t>Foreskin isn't inherently dirty. With a typical hygiene regiment, cleanliness is a non-issue with intact penises.</t>
  </si>
  <si>
    <t xml:space="preserve">I feel like both sides (pro-circumcision vs. intactavist) tend to overexaggerate the benefits/dangers of circumcision to dramatize their own stance. So, I would agree that routine infant circumcision has more drawbacks than advantages, and our society should move away from it, I feel like words/phrases like "monster" and "significant harm" feel a bit dramatic. </t>
  </si>
  <si>
    <t>I typically like text-based discourse, so I could see doing a personal essay, blog, or something like that.</t>
  </si>
  <si>
    <t xml:space="preserve">I think it will be very localized in the United States. For example: Circumcision will probably all but dissappear on the west coast, the deep south will likely keep circumcising, and the northeast will likely see a decline, but not abandonment of the practice. </t>
  </si>
  <si>
    <t>Healthcare/Medicine (e.g., Doctor, Nurse, Therapist, Technician), Personal Care / Service</t>
  </si>
  <si>
    <t>Healthcare/Medicine (e.g., Doctor, Nurse, Therapist, Technician), Law/Government/Public Service</t>
  </si>
  <si>
    <t>Light touch on my glans makes it jump unconsciously! The Ridged Band is the most fun to have licked, the frenulum is the epicenter of my orgasms!</t>
  </si>
  <si>
    <t xml:space="preserve">I can pretty much orgasm on demand in under two minutes, but the longer and more stimulated I am, the more intense the orgasms. I would describe my orgasms as mind blowing. I have literally passed out during an orgasm which was amazing, but also kind of scary. The feelings are intense, rhythmic, and long lasting, at least a minute or longer. </t>
  </si>
  <si>
    <t xml:space="preserve">No lube needed, except for times when I top. I find lube in my hands and penis icky feeling, although it can feel pretty good slithering around with someone wlse. </t>
  </si>
  <si>
    <t>My partner has little to no interest in exploring my body or my sexuality, or so it seems....</t>
  </si>
  <si>
    <t>Great advantage while masturbating and performing penetrative sex, S-tier level orgasms, the smug satisfaction that my parents had enough confidence in me to make the choice to be circumcised if and when I wanted to.</t>
  </si>
  <si>
    <t xml:space="preserve">I was highly self-conscious about being intact most of my life. It was triggering to even heard the word "circumcised" because it usually meant it had been or was going to be done to someone close to me. During puberty there were all sorts of natural smells that I found to be kind of unpleasant and sometimes even fishy, and at some point, probably in high school, I started retracting my foreskin daily to try to pass for circumcised. I knew it would have set me apart because 90% of my peers were circumcised, and I was acutely aware of this. But I always maintained it was the right way to be, even if only to myself. </t>
  </si>
  <si>
    <t>Medical Information/Advice: They were informed by a doctor/medical literature that circumcision was medically unnecessary (e.g., citing AAP 1971/1975 statements or similar, or advice from a specific medical professional)., Ethical Concerns: They had ethical objections to non-consensual surgery on a healthy child/believed strongly in bodily autonomy or children's rights., Lack of Perceived Benefit: They didn't see any compelling reason to circumcise.</t>
  </si>
  <si>
    <t xml:space="preserve">It was highly unusual for my classmates, and yet I have always had a good number of best friends who were intact like me. My best friend in kindergarten was from New Zealand, in the tiny rural school I went to for Elementary, my best friend's dad was intact, and apparently that was why he was intact, although I know he also had a complicated birth. In junior high I started hanging out with a friend who was the son of my parents old friends and roommates, so our mothers were contemporaries in pregnancy and would have no doubt had discussions amongst themselves. In high school I also lucked out with an intact best friend, this time the consequence of counter culture parents and a possible alternative birthing scene. I always wondered if his mom would have made the same decision if he was born at the same time as his younger sister who was fathered by his new Jewish stepdad. </t>
  </si>
  <si>
    <t xml:space="preserve">It's the main event - the gliding motion is what makes it happen. I use a pretty light grip, using my thumb on top and two fingers on the bottom to slide the foreskin back and forth over my glans. Whenever I'm ready I can choose to climax, and sliding the foreskin while ejaculating feels SOOO good, especially right on the frenulum. My partners sometimes want me to cum in their mouth, but truthfully, for me that's a waste of an orgasm - If I can't be moving the skin while I'm cumming, it's not nearly so blissful. </t>
  </si>
  <si>
    <t xml:space="preserve">Epicenter of orgasm. Sensation starts right where the glans is connected to the frenulum and radiates down my legs and abdomen, often causing me to involuntarily pulsate and contract inward as the intense feelings keep radiating for minutes at time. </t>
  </si>
  <si>
    <t xml:space="preserve">Mostly just amazed HOW people manage to ejaculate with what they're sometimes left with. I know what kind of stimulation it takes for me to achieve orgasm as an intact man; It's really mind boggling to understand how the mechanics translate. </t>
  </si>
  <si>
    <t>Lube is almost always necessary for masturbation/sexual play; orgasms are severely diminished or curtailed; Sensitivity is absent; it requires figuring out how to make the most of someone's disfigurement. I have no idea what feels good to someone who lacks significant chunks of their anatomy.</t>
  </si>
  <si>
    <t>I personally prefer and use intact, but I appreciate foreskinned for its specificity.</t>
  </si>
  <si>
    <t>That the very first thing you have the opportunity to do is rip away your son's capacity to fully experience sexual pleasure for the rest of his life! This is not hypothetical, this is what the first hand data show. Circumcision is the objectively wrong decision</t>
  </si>
  <si>
    <t xml:space="preserve">Well it was always sort of offered as something that you could just do if you wanted to and it sure seems like a hell of a lot of people were somehow convinced it was a necessary and appropriate thing to do to their newborn. </t>
  </si>
  <si>
    <t xml:space="preserve">That they were "funny looking", had smegma, were for immigrants and Europeans, and that intact people should feel bad about having their natural anatomy. </t>
  </si>
  <si>
    <t xml:space="preserve">It's "cleaner" - It's "healthier" - It's "prettier" - People universally prefer circumcised penises </t>
  </si>
  <si>
    <t>Growing up that is just the vibe you get in America. Circumcision is so ubiquitous that it's just assumed everyone identifies with needing lube to masturbate. But god forbid they every actually show a penis on screen. It's such a bizarre taboo to maintain...</t>
  </si>
  <si>
    <t xml:space="preserve">One the very first things they do when most men are born here is rip away their very capacity to fully experience sexual pleasure for the rest of their life! That's the intention of circumcision, and the only valid reason for preforming it routinely. So if that's what you're considering doing, either for yourself of for someone else, fer pete's sake, is that really something you want to do? Let alone should be able to choose for anyone else? </t>
  </si>
  <si>
    <t>Well we cribbed that from Rational Animations, so we should follow up soon with that!</t>
  </si>
  <si>
    <t xml:space="preserve">This was originally just a debugging run of the survey, which allowed me to uncover a loop in  the logic after selecting 2 or more siblings, you'd get pushed back to the status pathway... It's now correctly directing to the Cultural Questions. </t>
  </si>
  <si>
    <t>tone@circumsurvey.online</t>
  </si>
  <si>
    <t>Well I think my manifesto captured much of what I wanted to say, and now this survey will be the forge from which great tools in the fight for genital autonomy will spring!</t>
  </si>
  <si>
    <t xml:space="preserve">Yes, because I always think it's an additional hurdle people have to overcome to appreciate my penis. My current partner said something he things he saw or read about those being potential vestigial penile spines like a cat. I haven't ever seen anything peer reviewed to indicate that... </t>
  </si>
  <si>
    <t>Advice from a specific group or community (e.g., La Leche League, a natural health co-op), A specific medical statement or article (e.g., the 1971 AAP statement disavowing medical need)</t>
  </si>
  <si>
    <t>Yes, they faced significant pushback or were repeatedly questioned by doctors/nurses.</t>
  </si>
  <si>
    <t>Highly valued scientific evidence and did their own research, Identified as non-conformist or counter-cultural, Strongly principled about consent and bodily autonomy in general</t>
  </si>
  <si>
    <t>PR - Puerto Rico</t>
  </si>
  <si>
    <t>Skilled Trades (e.g., Electrician, Carpenter, Mechanic, Cosmetologist), Military Service, Factory / Manufacturing / General Labor, Farmer</t>
  </si>
  <si>
    <t xml:space="preserve">Coming from Puerto Rico, Catholics do not circumcise their boys. Only the wealthy white elites do so because they want to look like the Gringos. I find those views despicable. </t>
  </si>
  <si>
    <t>I am not a Christian anymore. I became an Atheist when I turned 20.</t>
  </si>
  <si>
    <t>While masturbating, sensitivity is quite good, and I am able to climax relatively fast, depending on the mood. However, with penetrative sex, my sensitivity is over the top, and without condoms, I climax way too fast.</t>
  </si>
  <si>
    <t>Again, my previous answer says it all. Depending on the mood and situation, while masturbating, I can pace myself to last as long as I want, or to climax as fast as possible. With penetrative sex, I really have to concentrate enough so that I won't climax too soon.</t>
  </si>
  <si>
    <t>I only need lubrication to penetrate my sex partner. I do not need lubrication to masturbate.</t>
  </si>
  <si>
    <t>When dealing with partners that are used to circumcised men, they tend to deal with an intact man's penis too aggressively, especially when giving a blow job. They tend to put too much pressure on the frenulum area, which makes orgasms quite uncomfortable.</t>
  </si>
  <si>
    <t>None whatsoever.</t>
  </si>
  <si>
    <t>Growing up as a gay man at the beginning of the AIDS pandemic, being forced to wear condoms for sex was very frustrating because I could not feel anything. I could not climax while wearing condoms during sex. I could climax with relative ease while having bareback sex.</t>
  </si>
  <si>
    <t>Medical Advice (without stated necessity): Recommended by a doctor or healthcare provider without explaining a specific existing medical problem, perhaps framing it as routine or generally beneficial., My father was intact and a military man. He was teased in the army for being intact. He thought that by getting me circumcised he was doing me a favor.</t>
  </si>
  <si>
    <t>I had the type of circumcision that left all my frenulum intact, and I was a CI-3.</t>
  </si>
  <si>
    <t>Experiencing at having a frenar band so that my glans stays always covered.</t>
  </si>
  <si>
    <t>Having a lousy sex life in my youth.</t>
  </si>
  <si>
    <t>Lousy sensitivity when having sex in my youth.</t>
  </si>
  <si>
    <t>To my father, I would ask him; What the hell were you thinking?!!! It is a good thing that, after what I went through, and my mother had to clean up the bloody diapers, she put her foot down, and left the other boys intact.</t>
  </si>
  <si>
    <t>Felt physically uncomfortable or experienced complications, Mildly dissatisfied with sensation or appearance, Significantly dissatisfied with sensation, function, or appearance</t>
  </si>
  <si>
    <t>Increased overall sensitivity, Improve gliding mechanics/reduce need for lube, Achieve glans coverage and dekeratinization, Feel more 'natural' or 'whole', Improve sexual pleasure/orgasms, Regain gliding motion</t>
  </si>
  <si>
    <t xml:space="preserve">I use only MM3 on the scar line. Once I reached a CI-4, I started wearing a single o-ring to keep the foreskin forward, and expedite glans dekeratinization. As the new foreskin was getting even longer, I added more o-rings to the mix, plus started to do my "Pull and Twist" method to add variety to the tugging process. Plus, once I could, I started wearing a single o-ring at night, so that the nocturnal erections did the tugging for me while I slept. </t>
  </si>
  <si>
    <t xml:space="preserve">I told my current spouse that I was restoring, and it did not go well. My husband is from the Midwest, and he believes that there is nothing wrong about being cut. </t>
  </si>
  <si>
    <t>I went through a range of sensory changes while restoring. I was about a CI-5 or 6, when I started experiencing full body orgasm just by rolling my new foreskin. There was no erection, nor any ejaculation. Just full body but satisfying “orgasms”. Once the glans was fully covered, all the time, those full body orgasms went away, replaced by more intense orgasm when masturbating or having sex.</t>
  </si>
  <si>
    <t>I went from I can barely feel anything when having sex to "holy fuck! I can't believe that I was missing so much sensitivity!"</t>
  </si>
  <si>
    <t xml:space="preserve">Though I have never thought about using a new terminology, I kind of like "neo-intact", since my new prepuce works and performs just like what I've experienced with intact partners. </t>
  </si>
  <si>
    <t>Challenging? Getting started, because so many restorers were into devices. I realized early on that devices were not for me. Most rewarding? Seeing that, I was growing skin at a rate of a CI every two months.</t>
  </si>
  <si>
    <t>You must have a lot of discipline and dedication. This restoration process is not for the faint of heart. If you are not disciplined or dedicated to this process, and if you cannot tug daily and often, wishful thinking won't cut it.
In my opinion, you get the best results by tugging manually regularly and frequently.</t>
  </si>
  <si>
    <t>First off, I am not sure where the tissue for a new foreskin comes from, but if such tissue comes from donors, it really defeats the purpose. It is like robbing Paul to pay Peter. If it comes from your own tissue, and a new prepuce is made in the lab before getting implanted on a cut penis, then, I feel differently about it. Still, I don't know how you can regenerate and rebuild the nerve ending that will connect from your penis into the lab generated foreskin.
That said, I am very skeptical about Foregen. As the Italian saying goes; quando vedo il mio culo con miei occhi. When I see my ass with my own eyes.</t>
  </si>
  <si>
    <t>In Puerto Rico, way back when, only the wealthy white elites circumcised their boys because they wanted to look like gringos. I was an exception because we are white but poor.</t>
  </si>
  <si>
    <t xml:space="preserve">Being intact was the norm. </t>
  </si>
  <si>
    <t>Being circumcised was seen as odd.</t>
  </si>
  <si>
    <t>As a gay man, I've been with lots of sex partners during my active years. I realized early on that having sex with circumcised men was more frustrating because of the diminished sensitivity of their penis. Having sex with intact men was more fun and enjoyable.</t>
  </si>
  <si>
    <t>I am convinced that neonatal circumcision is rape and sexual assault. Those people that perform circumcisions are psychopaths, lacking empathy, and do it for the love of money.</t>
  </si>
  <si>
    <t xml:space="preserve">As I said before, neonatal circumcision is rape and sexual assault. The fact that circumcisers arouse the child so he gets an erection to facilitate the circumcision process is sexual molestation. The whole process should be made illegal, regardless of medical beliefs or religious beliefs for that matter. 
Your beliefs end when someone's body begins. </t>
  </si>
  <si>
    <t>I already do on Reddit, but I am willing to go further...</t>
  </si>
  <si>
    <t>Yes, they have explicitly expressed regret or said they would choose differently today.</t>
  </si>
  <si>
    <t>When I hit my mid-fifties, I started experiencing penile numbness. When having penetrative sex, it felt as if I had applied Lidocaine to my penis. I could not climax when having sex. Or, put another way, it felt as when I used condoms in my younger years; I could not climax with a condom on. Long story short, I discovered foreskin restoration, and restored by repositioning my scar line to the very tip of my eventual foreskin. Now, I have an anatomically correct prepuce, that is highly sensitive to fine touch. And now, penetrative sex is beyond all my previous expectation. I cannot believe that I was missing so much sensitivity.</t>
  </si>
  <si>
    <t>I love my genitals more than when I was a young man.</t>
  </si>
  <si>
    <t>I don't use the RCI to measure coverage. That said, my goal was to have full flaccid coverage, and full erect coverage. However, given how difficult it has been to elongate the ligament on the dorsal side of the penis, my restoration stalled at a CI-8+ level. In my eyes, that is a very good restoration goal, though I wish I could have a CI-10.</t>
  </si>
  <si>
    <t>The idea that being circumcised would prevent others from teasing me for having a foreskin.</t>
  </si>
  <si>
    <t>In religion class, when I heard that Jesus was also circumcised.</t>
  </si>
  <si>
    <t>Circumcision was abolished in most Christian churches because they did not want to scare away pagans with circumcision.</t>
  </si>
  <si>
    <t>The most sensitive areas are the glans, the rim of the glans, and the area where the frenulum was removed.</t>
  </si>
  <si>
    <t>Builds up slowly, tingling sensation in the body, faster breathing, deep feeling of satisfaction.</t>
  </si>
  <si>
    <t>Better appearance, no problems with the foreskin, cleaner, no smegma,better feeling during sex and masturbation</t>
  </si>
  <si>
    <t>I couldn't find any disadvantages.</t>
  </si>
  <si>
    <t>My glans is always exposed when flaccid and erect. When flaccid, I can cover one third of the glans, but it always returns to its original position on its own. When erect, the skin on the shaft is tight. The scar is located 0.5–1 cm behind the edge of the glans and is not visible when flaccid, but appears as a thin line when erect.</t>
  </si>
  <si>
    <t>the significantly stronger sensation during sex and masturbation.</t>
  </si>
  <si>
    <t>because I voluntarily decided to do so at the age of 25</t>
  </si>
  <si>
    <t>If it is medically necessary, it is accepted by most people. In my circle, I have not heard anything negative about religious circumcision.</t>
  </si>
  <si>
    <t>It was just normal</t>
  </si>
  <si>
    <t>That's what Jews or Muslims do when it's medically necessary, usually thinking it had to be done.</t>
  </si>
  <si>
    <t>A combination of both medical and elective reasons.</t>
  </si>
  <si>
    <t>Somewhat informed; I had the basics but some aspects were a surprise.</t>
  </si>
  <si>
    <t>Fully Consensual: It was entirely my own informed decision as an adult.</t>
  </si>
  <si>
    <t>Somewhat Dissatisfied / Below Average</t>
  </si>
  <si>
    <t>Neutral / Average</t>
  </si>
  <si>
    <t>Somewhat Satisfied / Above Average</t>
  </si>
  <si>
    <t>Very Dissatisfied / Poor</t>
  </si>
  <si>
    <t>A whole new body awareness; I have become much more aware of my penis.</t>
  </si>
  <si>
    <t>It was one of the best choices of my life; I'm extremely happy with the result.</t>
  </si>
  <si>
    <t>I encourage them to take this step of circumcision.</t>
  </si>
  <si>
    <t>White / Caucasian / European American, Black / African American / African / Afro-Caribbean, Hispanic / Latino / Latina / Latinx, Multiracial / Biracial</t>
  </si>
  <si>
    <t>Straight/Heterosexual, Gay, Bisexual, Lesbian, Pansexual</t>
  </si>
  <si>
    <t>Transgender Man</t>
  </si>
  <si>
    <t>Supporting the survey author's work</t>
  </si>
  <si>
    <t xml:space="preserve">It is not hygienic to perform unnecessary surgery on infants genitals immediately after birth. </t>
  </si>
  <si>
    <t>It does not respect the agency of the individual to circumcise them at birth</t>
  </si>
  <si>
    <t>They are more likely to be Jewish?</t>
  </si>
  <si>
    <t>Consent is most important and babies can't consent</t>
  </si>
  <si>
    <t>I have spoken to amab circumsized friends and sex partners who wished they were given the chance to choose for themselves as an adult whether they're cut or not</t>
  </si>
  <si>
    <t>Personal experiences with intimate partners, Independent research I've done myself, Conversations with friends</t>
  </si>
  <si>
    <t>Lesbian, Pansexual</t>
  </si>
  <si>
    <t>Unnatural, sensation, I don't think we should do it</t>
  </si>
  <si>
    <t>Religious Reasons: Performed as a religious ritual (e.g., Brit Milah in Judaism, Khitan/Sunnet in Islam) or based on religious belief., Hygiene: Belief that circumcision makes the penis easier to keep clean or is inherently more hygienic., To Look Like Father/Peers: Desire for the son's penis to match the father's or other males in the family/community.</t>
  </si>
  <si>
    <t>Unnecessary</t>
  </si>
  <si>
    <t xml:space="preserve">Foreskin , ridged band,  and Frenulum. </t>
  </si>
  <si>
    <t>Feels like a longish plateau and a fairly intense release.</t>
  </si>
  <si>
    <t xml:space="preserve">Fun for foreskin fingering. </t>
  </si>
  <si>
    <t>Less foreskin focus than I would like.</t>
  </si>
  <si>
    <t>Experience all sensations.</t>
  </si>
  <si>
    <t>Teased a bit as a kid.</t>
  </si>
  <si>
    <t xml:space="preserve">Brief episode of balantist  </t>
  </si>
  <si>
    <t>My parents didnt know that the foreskin would separate from the corona ridge. Neither did my family doctor.  When it started to happen I showed my mom and ended up getting some prescription cream.</t>
  </si>
  <si>
    <t>Central to all experiences.</t>
  </si>
  <si>
    <t>It feels good but occasionally a bit too tight.</t>
  </si>
  <si>
    <t>What the absence of the foreskin stretching/rolling over the head would feel like.</t>
  </si>
  <si>
    <t>Uncircumcised seems like it goes with penis, uncut goes with cock, intact is more inside baseball jargon.</t>
  </si>
  <si>
    <t xml:space="preserve">How the sensations from the head of the penis are background to the sensations from the foreskin. </t>
  </si>
  <si>
    <t>Something that was just done, often because the father's were cut.</t>
  </si>
  <si>
    <t xml:space="preserve">They were dirty and needed to be cleaned regularly. </t>
  </si>
  <si>
    <t>They were clean, perhaps more attractive or what girls wanted.</t>
  </si>
  <si>
    <t>Exposure to both cut and uncut men.</t>
  </si>
  <si>
    <t>The number of men who resent that the choice was made for them.</t>
  </si>
  <si>
    <t>Routine infant circumcision isn't too common where I live anymore.</t>
  </si>
  <si>
    <t>I've used foreskin restoration techniques to increase the length of my shorter than average foreskin.</t>
  </si>
  <si>
    <t>They were actually praised or supported for their decision.</t>
  </si>
  <si>
    <t>Highly valued scientific evidence and did their own research</t>
  </si>
  <si>
    <t>It's really really dumb.</t>
  </si>
  <si>
    <t>Glans is most sensitive area, primarily to friction</t>
  </si>
  <si>
    <t>Gradual buildup, moderately pleasurable and brief, focused in one spot</t>
  </si>
  <si>
    <t>None, it's mutilation.</t>
  </si>
  <si>
    <t>Lack of pleasure, lack of natural lubrication, difficulty orgasming</t>
  </si>
  <si>
    <t>Family Tradition/Pressure: The expectation from grandparents or other influential relatives; the idea that "it's what the men in our family have always done." (The power of heritage)., Lack of Counter-Information: Crucially, the simple absence of any strong, readily available information presenting the benefits of intactness or the risks of circumcision, making it an easy default choice. (The power of silence)., Religious Mandate/Tradition: A direct requirement or strong cultural expectation stemming from their religious beliefs and community. (The power of faith).</t>
  </si>
  <si>
    <t>Moderate amount of mobile skin left. Visible scar.</t>
  </si>
  <si>
    <t>Gliding, lubrication, extra sensation</t>
  </si>
  <si>
    <t>You made the wrong choice. Religion is fake.</t>
  </si>
  <si>
    <t>Religious Conversion or Affirmation</t>
  </si>
  <si>
    <t>White / Caucasian / European American, Black / African American / African / Afro-Caribbean, Hispanic / Latino / Latina / Latinx, Native American / Alaska Native / Indigenous / First Nations, Multiracial / Biracial</t>
  </si>
  <si>
    <t>We were taught that it's something that only Jews did, and that the New Testament did away with circumcision.</t>
  </si>
  <si>
    <t>I need firm pressure.</t>
  </si>
  <si>
    <t>I need to edge for a while in order to have an intense orgasm.</t>
  </si>
  <si>
    <t>I like silicone lube to masturbate.</t>
  </si>
  <si>
    <t>I feel like people have always have an easier time climaxing than me. Before I was circumcised and after.</t>
  </si>
  <si>
    <t>Culturally I felt I fit in. And I felt attractive.</t>
  </si>
  <si>
    <t>A lot of people had opinions about me getting circumcised. I was always against infant circumcision. When I disclosed to friends I was considering circumcision, people misinformed me of medical facts to scare me, and eventually even threatened me physically. I felt like they didn't understand the cultural context of what I was going through. They were white gay men who were resentful of having been circumcised. I wish they hadn't been circumcised. But I felt like I had to reaffirm to them my decision as to why I had wanted to be circumcised. I constantly feel the need to reaffirm. Mostly to white men though, usually because they're the ones who ask me.</t>
  </si>
  <si>
    <t>I received a circumcision at 24, and a revision at 26.</t>
  </si>
  <si>
    <t>I sometimes wish I had been circumcised younger to avoid feeling of place in society, or having to pay so much money to get it done. However, I am also very proud that I had consent to make this decision on my own.</t>
  </si>
  <si>
    <t>We were all born intact. That's according to my culture. I chose to be circumcised.</t>
  </si>
  <si>
    <t>An American and Jewish practice that's unnecessary. Not medically necessary, except in rare conditions.</t>
  </si>
  <si>
    <t>Only something White people did. It was weird.</t>
  </si>
  <si>
    <t>A lot of people telling me they would never have sex with an intact man.ww</t>
  </si>
  <si>
    <t xml:space="preserve">I wish people would trust adults who opt to get circumcised without imposing their personal narrative and personal store on them. But also at the same time, I wish American men would not see uncut as uncivilized. </t>
  </si>
  <si>
    <t>Elective/Non-Therapeutic: It was performed for non-medical reasons (e.g., aesthetic preference, partner preference, religious or cultural reasons).</t>
  </si>
  <si>
    <t>Very well-informed; I felt I had a complete picture.</t>
  </si>
  <si>
    <t>Somewhat Diminished</t>
  </si>
  <si>
    <t>I felt more confident. I knew what I wanted to do. After doing it, I felt more confident about myself because I had been considering it practically all my life.</t>
  </si>
  <si>
    <t>Trust your heart. If you've been considering this for as long as you remember, just know that you aren't alone. But also, if you're afraid and insecure because you're intact, know that you're beautiful that way too. Never do something for someone else, do it for yourself. Whether that means being intact or circumcised.</t>
  </si>
  <si>
    <t>There's a cultural component missing. In my culture, being uncircumcised is a point of defiance towards American culture. It felt like getting circumcised was betraying my ancestry. I still feel bad about this piece.</t>
  </si>
  <si>
    <t>Hinduism</t>
  </si>
  <si>
    <t xml:space="preserve">Penis head is sensitive..like to jerk with firm pressure </t>
  </si>
  <si>
    <t xml:space="preserve">Timing is not that good but release feels satisfying </t>
  </si>
  <si>
    <t xml:space="preserve">I don't need any lube as I enjoy dry masturbation </t>
  </si>
  <si>
    <t>U can jerk with it</t>
  </si>
  <si>
    <t>Building smegma,smelly</t>
  </si>
  <si>
    <t>Cultural Background/Family Tradition (of intactness): They came from a family or cultural background where intactness was the norm., Religious Reasons (for intactness): Specific religious beliefs that discourage or are neutral towards circumcision, Born/Raised in a Culture Where Intactness is the Norm: The decision wasn't an active 'choice against circumcision,' but rather the standard cultural and medical practice in my country of birth/upbringing.</t>
  </si>
  <si>
    <t xml:space="preserve">I don't like the looks of long foreskin and covered head and smegma buildup </t>
  </si>
  <si>
    <t xml:space="preserve">Nothing </t>
  </si>
  <si>
    <t xml:space="preserve">I don't use it that much </t>
  </si>
  <si>
    <t>No pleasure from it but it causes prob with pulling skin fully</t>
  </si>
  <si>
    <t xml:space="preserve">Glans sensation inner skin exposure </t>
  </si>
  <si>
    <t xml:space="preserve">They have no smegma smelly issue and timing increased </t>
  </si>
  <si>
    <t xml:space="preserve">Circumcise but when they reach adult </t>
  </si>
  <si>
    <t xml:space="preserve">In hindu family they don't circumcise unless medical reasons </t>
  </si>
  <si>
    <t xml:space="preserve">It's for islam religion </t>
  </si>
  <si>
    <t xml:space="preserve">Hygiene aesthetics </t>
  </si>
  <si>
    <t xml:space="preserve">They don't think anything </t>
  </si>
  <si>
    <t xml:space="preserve">Anyone can get it when they want </t>
  </si>
  <si>
    <t xml:space="preserve">North East India </t>
  </si>
  <si>
    <t>Family history or cultural background from a non-circumcising country/culture</t>
  </si>
  <si>
    <t>NV - Nevada</t>
  </si>
  <si>
    <t>Non-Binary, Genderqueer</t>
  </si>
  <si>
    <t>No longer have one - used to be sensitive to vibration but otherwise unpredictable and generally not very.</t>
  </si>
  <si>
    <t>Able to masturbate without lube, the aesthetics of not having scarred two-tone skin, having somehow not been mutilated by what amounts to a death-cult, probably sensitivity but there's other problems there.</t>
  </si>
  <si>
    <t>None personally, but I have a couple friends with phimosis.</t>
  </si>
  <si>
    <t>Made masturbation without lubrication much easier.  Don't know the effect on sensitivity.</t>
  </si>
  <si>
    <t>The area around it is extremely sensitive.  The frenulum itself is only sensitive to pain.</t>
  </si>
  <si>
    <t>The lack of skin mobility in the context of vaginal penetration</t>
  </si>
  <si>
    <t>It seems to be about 50/50.  Some are pretty sensitive, others are very much not.  Of note, however, most sexual partners take feminizing hormones.</t>
  </si>
  <si>
    <t>I think intact is the most honest one.</t>
  </si>
  <si>
    <t>That it's not fully reversible, very hard to restore, and disrespecting bodily autonomy like that is explicitly child abuse.  It's okay if they want it themselves but barbaric to force it on others.  Moreover, it can have a huge impact on sensitivity and my cut friends are almost unanimously resentful about having it done to them.</t>
  </si>
  <si>
    <t>Depending on the person, either religious or medical (the false belief it prevents UTIs rather than causing them)</t>
  </si>
  <si>
    <t>They didn't.</t>
  </si>
  <si>
    <t>It's split between the backwards perception of infection risk and the differences in pleasure</t>
  </si>
  <si>
    <t>It's genital mutilation.  Like, literally identical to 'stage 1' FGM.  I've had friends liken it to CSA as well, due to the emotional effects.</t>
  </si>
  <si>
    <t>In the absence of justification, it's considered 'normal'.  The pressure to conform is itself the monster in the room.</t>
  </si>
  <si>
    <t>Yes, I believe one of my parents (e.g., my father) had a negative personal experience with their own circumcision.</t>
  </si>
  <si>
    <t>Generally skeptical of medical authority or "doctor knows best"</t>
  </si>
  <si>
    <t>I suspect we're going to see a split.  Lower in blue states, higher or the same in red ones.</t>
  </si>
  <si>
    <t>Clerical / Administrative Support (e.g., Secretary, Office Clerk), Business/Finance/Management</t>
  </si>
  <si>
    <t xml:space="preserve">Only pleasurably sensitive to light touch around the frenulum. Require firm pressure otherwise to achieve useful pleasure. Exposed glans is either dull or quasi painful to touch. Skin is fragile on the sides around the glans and circumcision scar, easily chafes and becomes inflamed and painful.
The only useful, pleasurable form of masturbation is whole-fist stroking, to bring remaining skin up over the glans. Direct friction against the glans is very uncomfortable. </t>
  </si>
  <si>
    <t xml:space="preserve">Orgasm is sustained, powerful, and deep, and intense in pleasure, but not localized to one location. Feels more muscular than anything, tension and release. It builds behind the penis and is associated more with the action of ejaculation than the sensation of touch or localized pleasure. </t>
  </si>
  <si>
    <t xml:space="preserve">Lubrication is useful, but can also result in a lack of rolling motion of shaft skin, and a lot more direct glans exposure and touch, which is uncomfortable in almost every context despite lubrication. </t>
  </si>
  <si>
    <t xml:space="preserve">Some partners seem to instinctively grasp the kind of stimulation I require, and where it's needed, but others just blindly work at it and I despite me letting them know, they still end up applying friction in ways and places that are very uncomfortable. Which leads to erectile dysfunction and it's just not great. </t>
  </si>
  <si>
    <t xml:space="preserve">Cleanliness, maybe, but that is hardly a significant challenge. I have very little to recommend this. </t>
  </si>
  <si>
    <t xml:space="preserve">Challenges relating to chafing, friction hypersensitivity and lack of sensitivity. Either it's overwhelming and painful, or dull as to be useless. I functionally do not experience useful skin sensitivity anywhere except my frenulum, which is extremely fragile due to scar tissue. I don't have many good things to say and a lot of bad. </t>
  </si>
  <si>
    <t>Hygiene: Belief that circumcision makes the penis easier to keep clean or is inherently more hygienic., Parent's General Preference: Parents simply preferred the circumcised appearance or state without specific medical, religious, or cultural reasons being primary., Just standard practice: Based on observing its prevalence, assumed it was the default medical procedure without a specific individual reason., Medical Advice (without stated necessity): Recommended by a doctor or healthcare provider without explaining a specific existing medical problem, perhaps framing it as routine or generally beneficial.</t>
  </si>
  <si>
    <t>Direct Medical Authority: Specific advice from their obstetrician, pediatrician, or the hospital staff where you were born. (The voice of a trusted professional)., 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t>
  </si>
  <si>
    <t>I have fairly motile shaft skin that I can draw up from the base of my penis, since I would be described as a grower. But when fully erect, my glans is completely exposed, as is the space behind it, at the corona. The scars are not prominent, but the skin of the corona and frenulum are both extremely fragile. I have experienced friction burns severe enough to bleed after what I would imagine is nominal levels of friction and stimulation.</t>
  </si>
  <si>
    <t xml:space="preserve">I've wondered if I'd have useful, pleasurable skin sensitivity from anywhere other than my frenulum, if I'd be able to have any kind of endurance in coital sex, or indeed pleasure of any kind that might result from skin stimulation rather than deep pressure upon the shaft. </t>
  </si>
  <si>
    <t xml:space="preserve">When I happened to see my brother naked one time when he was getting dressed as a little kid, and I realized that he was intact. So I had been deprived of my foreskin, but he'd been left intact, making it an entirely arbitrary decision. </t>
  </si>
  <si>
    <t xml:space="preserve">Painful scarring, lack of sensitivity or only painful sensitivity at the glans, skin fragility at the corona and frenulum. </t>
  </si>
  <si>
    <t xml:space="preserve">That was a bad idea. Our GP got that wrong, big time. </t>
  </si>
  <si>
    <t xml:space="preserve">Haven't a clue. Brief conversation on the subject revealed it was a matter of routine when I was delivered by my GP, but I think my brother may have been delivered by a different doctor. It wasn't a religious thing on the part of my parents, I think it was literally the GP just acting on routine and my parents not knowing better or caring. </t>
  </si>
  <si>
    <t xml:space="preserve">It seemed primarily driven by religious tradition among peers (but without specific cases). </t>
  </si>
  <si>
    <t xml:space="preserve">That they were harder to take care of, or undesirable in some nebulous way that wasn't articulated. </t>
  </si>
  <si>
    <t xml:space="preserve">Mostly harm reduction, bodily autonomy, recognition of health issues and complications, and most of all, a healthier respect for consent. </t>
  </si>
  <si>
    <t xml:space="preserve">How fragile everything is, and how that only gets worse with time. </t>
  </si>
  <si>
    <t xml:space="preserve">It's a quiet thing that has nonetheless distinctly altered the way I perceive and interact sexually. As far as I'm concerned, I have the essential aspects of genetalia when it comes to basic things, like urination, but I'm functionally unable to offer useful penetration or have normal penetrative sex, I think due in large part to sensitivity and pain issues associated with my circumcision. It's a huge problem, but it was just a non issue for my parents. </t>
  </si>
  <si>
    <t>It was a mix; some boys were being circumcised and some were not.</t>
  </si>
  <si>
    <t>I enjoy it but I do not find it "vivid" or intense. I prefer a light touch from others but a heavy touch from myself.</t>
  </si>
  <si>
    <t xml:space="preserve">I am not very sensitive and it takes me a long time to get in the zone unless I have extra stimulation. release is less "sharp" than it used to be when I was a youth, but the sensation lasts much longer in different parts of my body, becoming almost an ache that reaches all the way to my balls. 
this has changed many times over my life depending on how I come, what medications I'm on, if I use a vibrator etc. right now this is my experience while on finasteride. on SSRI medicines I would get prostate orgasms from masturbation that took forever to get to but were intense enough to make me faint. </t>
  </si>
  <si>
    <t xml:space="preserve">I never use lube for masturbation, but always use it during sex - it makes it more comfortable for us both and I am less likely to tear my foreskin. 
I SHOULD use it during masturbation tbh. </t>
  </si>
  <si>
    <t xml:space="preserve">I have to explain that certain touches are painful, or pressures, etc, and that things seen in dirty videos are more performative and seldom actually do anything for me. </t>
  </si>
  <si>
    <t xml:space="preserve">I like the appearance, and masturbation is easy, since I don't need to worry about chafing the head. </t>
  </si>
  <si>
    <t xml:space="preserve">my foreskin is tight and it tears easily at the tip, which makes sex painful some times. </t>
  </si>
  <si>
    <t>Lack of Perceived Benefit: They didn't see any compelling reason to circumcise., Intuition/Gut Feeling: A general sense that leaving you intact was the natural or right thing to do, even without specific articulated reasons.</t>
  </si>
  <si>
    <t xml:space="preserve">When dealing with complications of my specific foreskin issues I sometimes wish I had the nerve to be done with the whole damn thing; this is a feeling that has grown as I get older, starting somewhere in my 30s. </t>
  </si>
  <si>
    <t xml:space="preserve">my partner enjoyed toying with it, moving it down till the glans is revealed repeatedly - i have to limit that because it gets uncomfortable when it stretches my scars. the foreskin invites unique play in oral because a tongue can poke around under it and that's fun. </t>
  </si>
  <si>
    <t xml:space="preserve">Sensitive, but not in a good way. hate the feeling of it being pulled; it is uncomfortable. if I could specifically disconnect my foreskin there, I would. </t>
  </si>
  <si>
    <t xml:space="preserve">effect on overall size and partners sensation of being penetrated </t>
  </si>
  <si>
    <t xml:space="preserve">Their circumcision was done poorly and made it difficult for them to experience pleasure from other's touch. They asked it to be left "in their own hands". </t>
  </si>
  <si>
    <t xml:space="preserve">"intact" seems fine. "uncut" feels like it is for sure a pornographic descriptor, not something about me the human being. </t>
  </si>
  <si>
    <t xml:space="preserve">one has a responsibility to teach their child hygiene and care so that they don't harm themselves by being too aggressive with their handling of their penis. it can happen. </t>
  </si>
  <si>
    <t>uncircumsized boys masturbate (religious shaming? idk)</t>
  </si>
  <si>
    <t>"circumsized boys won't masturbate" (religious)</t>
  </si>
  <si>
    <t>hygiene and religion</t>
  </si>
  <si>
    <t xml:space="preserve">Teach your children with foreskins how to care for them, and not hurt them self. </t>
  </si>
  <si>
    <t>mastodon</t>
  </si>
  <si>
    <t>Fiscally conscious (questioned unnecessary medical costs)</t>
  </si>
  <si>
    <t>Man, Transgender Woman, Non-Binary, Genderfluid</t>
  </si>
  <si>
    <t>Neutral to negative throughout most of it - only pleasant sensitivity at the base / within body</t>
  </si>
  <si>
    <t>On good days, the build-up is about 10-30 seconds. On bad days it can take tens of minutes to get there.  Release is generally pleasant around genitals but somewhat full-body.  Satisfying.</t>
  </si>
  <si>
    <t>Too much lube and I can't climax.</t>
  </si>
  <si>
    <t>Never had a partner who's been able to act on my descriptions to find the right place to touch, not for lack of trying.</t>
  </si>
  <si>
    <t>Not having my penis rot off during trench warfare. And...that's about it.  (That's how my grand/great-grandparents scared my parents into doing it.)</t>
  </si>
  <si>
    <t>I feel like it's hurt my sensitivity at the tip - what I have in sensitivity there now isn't pleasurable. Also, I wish I had that little bit more skin to work with in my upcoming vaginoplasty bottom surgery.</t>
  </si>
  <si>
    <t>Institutional Medical Norm: The general belief that "this is just the standard procedure" at hospitals, making it a routine, unquestioned part of postpartum care. (The power of the system)., Prevailing Health &amp; Hygiene Beliefs: General societal "knowledge" at the time—gleaned from various sources—that presented circumcision as being fundamentally cleaner, healthier, or preventive of future diseases. (The power of a cultural 'truth')., Lack of Counter-Information: Crucially, the simple absence of any strong, readily available information presenting the benefits of intactness or the risks of circumcision, making it an easy default choice. (The power of silence).</t>
  </si>
  <si>
    <t>No scars, fair amount of skin present</t>
  </si>
  <si>
    <t>The gliding motion</t>
  </si>
  <si>
    <t>Please don't.</t>
  </si>
  <si>
    <t>Never came up</t>
  </si>
  <si>
    <t>Really have no idea</t>
  </si>
  <si>
    <t>I'm 41 years old and never noticed they existed until this question.</t>
  </si>
  <si>
    <t>Transgender Woman, Non-Binary, Genderqueer</t>
  </si>
  <si>
    <t>New Age / Spiritual but not religious</t>
  </si>
  <si>
    <t>I'm on estrogen, so it's a little different, but the frenulum is still the most sensitive.</t>
  </si>
  <si>
    <t>Estrogen is a factor again, but nowadays it's a slow buildup to a shimmering orgasm, and I literally cannot be loud about it.</t>
  </si>
  <si>
    <t>I don't need it for the most part aside from anal topping or using penetratable toys.</t>
  </si>
  <si>
    <t>More material for bottom surgery if I ever qualify. Before HRT, combined with how much I pre when I'm turned on, I needed to use lube a lot less often, which is nice.</t>
  </si>
  <si>
    <t>My foreskin was very tight growing up, and it took a lot of work to get it fully functional. Also, going commando means sometimes skirt or pant fuzz gets trapped under my foreskin and that sucks.</t>
  </si>
  <si>
    <t>Ethical Concerns: They had ethical objections to non-consensual surgery on a healthy child/believed strongly in bodily autonomy or children's rights., Lack of Perceived Benefit: They didn't see any compelling reason to circumcise.</t>
  </si>
  <si>
    <t>Doctor wanted to circumcise/etc. due to my tight foreskin, but I just decided to take my time and stretch it instead.</t>
  </si>
  <si>
    <t>It's just a part of my current configuration.</t>
  </si>
  <si>
    <t>It's sensitive, though before HRT sometimes it would stretch in painful ways if I was really turned on.</t>
  </si>
  <si>
    <t>It's different with every partner. It's silly to go into any kind of sexual encounter with someone new and expecting their bodies to behave entirely in expected ways. I usually just ask people what they like or if what I'm doing feels good, and adapt based on their responses. In general, circumcised AMAB partners take a little bit longer to cum, but so do folks running an estrogen build or DIYing a mix of hormones.</t>
  </si>
  <si>
    <t>I'm trans. I don't really care.</t>
  </si>
  <si>
    <t>The language of this question is leading and kind of messed up. My having a foreskin doesn't make me any more whole than any of my circumcised AMAB partners. How condescending.</t>
  </si>
  <si>
    <t xml:space="preserve">It's not a matter of accuracy, it's just kind of over the top. Like the literary equivalent of getting smacked by a protest sign you might otherwise agree with </t>
  </si>
  <si>
    <t>The framing of these questions was really really bad.</t>
  </si>
  <si>
    <t>Fediverse</t>
  </si>
  <si>
    <t>Identified as non-conformist or counter-cultural, Unsure</t>
  </si>
  <si>
    <t>It's an unpredictable nightmare scenario right now in the US in terms of public health, just, in general. Who knows.</t>
  </si>
  <si>
    <t>Very sensitive to moving the foreskin, sensitive to tongue touch on the gland and urethra, sometimes pleasurably, sometimes overwhelmingly.</t>
  </si>
  <si>
    <t>I typically do not orgasm when I am having sex with a partner. When I want to have an orgasm they are usually self-administered alone, and quick, small, and furtive due to the fact that I am couch surfing and do not have my own dedicated room with privacy.</t>
  </si>
  <si>
    <t xml:space="preserve">If I'm horny enough I'm entirely self lubricating but nowadays I rarely have the time to invest in that kind of slow buildup of sexual pleasure </t>
  </si>
  <si>
    <t>I am a lot of people's first foreskin experience and so I have to provide a tutorial</t>
  </si>
  <si>
    <t>Variety of sexual acts possible, ability to use foreskin material to construct a vagina, yonic feeling of having a sheath</t>
  </si>
  <si>
    <t>Peeing takes a couple seconds longer because of retracting the foreskin and putting it back</t>
  </si>
  <si>
    <t>Father is Intact: The father is intact, and this influenced their decision, Midwife or Home Birth: The birth setting (midwife-attended or at home) was chosen, which may have made a non-medical procedure less likely to be offered or pursued routinely., Natural/Holistic Approach: A general philosophy of valuing the body's natural state and avoiding unnecessary medical interventions.</t>
  </si>
  <si>
    <t>Around ten years old my doctor inspected my penis asked me if I could retract my foreskin. I said no. She said that for health reasons it would be best if every time I went to pee I pulled my foreskin back as far as it would go, to the point of tension but not pain. Within a few months I could fully retract it leaving the entire glans exposed.</t>
  </si>
  <si>
    <t>Kind of a blur I wish I remembered more.</t>
  </si>
  <si>
    <t>It feels nice to have it glide over my glans. It also feels nice when partners put the tip of their tongue inside it.</t>
  </si>
  <si>
    <t>It's great, I really like having it licked</t>
  </si>
  <si>
    <t>Different sensitivity level</t>
  </si>
  <si>
    <t>I have to use more lube when jacking them off</t>
  </si>
  <si>
    <t xml:space="preserve">I don't identify with my genitals enough to care my </t>
  </si>
  <si>
    <t>My parents were hit or miss with my bodily autonomy but I enjoy the fact that they left my body a blank slate to permanently alter as *I* see fit.</t>
  </si>
  <si>
    <t xml:space="preserve">It does resonate with me but it feels incomplete that you haven't connected it conceptually to the nonconsensual genital surgeries regularly performed on intersex infants. </t>
  </si>
  <si>
    <t>Despite attempts to be inclusive, the survey conflates maleness with amab status frequently (some amab siblings are sisters, thankyouverymuch) and leaves out considerations of intersex experiences entirely</t>
  </si>
  <si>
    <t>Christian, New Age / Spiritual but not religious, Secular Humanism / Atheism / Agnosticism, one parent from a Catholic family, one from a protestant family. both had stopped identifying as Christian when they had me but brought a lot of the cultural assumptions from their religious traditions into what they considered a secular/spiritual household.</t>
  </si>
  <si>
    <t>Advice from a specific group or community (e.g., La Leche League, a natural health co-op), Family history or cultural background from a non-circumcising country/culture</t>
  </si>
  <si>
    <t>Generally skeptical of medical authority or "doctor knows best", Valued natural, holistic, or low-intervention approaches to health, Identified as non-conformist or counter-cultural</t>
  </si>
  <si>
    <t xml:space="preserve"> No</t>
  </si>
  <si>
    <t xml:space="preserve">Yes but I know know enough biology to describe it meaningfully. </t>
  </si>
  <si>
    <t xml:space="preserve">A sort of “hockey stick” curve of sensations. Slow buildup, until it quickly reaches culmination that takes my whole body which very slowly fades. </t>
  </si>
  <si>
    <t>Not having to pull back foreskin for proper hygiene, I guess?</t>
  </si>
  <si>
    <t xml:space="preserve">I wouldn’t know. I’ve always been circumcised. </t>
  </si>
  <si>
    <t>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t>
  </si>
  <si>
    <t>Prevailing Health &amp; Hygiene Beliefs: General societal "knowledge" at the time—gleaned from various sources—that presented circumcision as being fundamentally cleaner, healthier, or preventive of future diseases. (The power of a cultural 'truth')., Direct Medical Authority: Specific advice from their obstetrician, pediatrician, or the hospital staff where you were born. (The voice of a trusted professional)., Institutional Medical Norm: The general belief that "this is just the standard procedure" at hospitals, making it a routine, unquestioned part of postpartum care. (The power of the system).</t>
  </si>
  <si>
    <t>A visible scar with some mobile shaft skin. (I really don’t have a lot of experiences with other penises to compare.)</t>
  </si>
  <si>
    <t>Don’t mutilate genitals.</t>
  </si>
  <si>
    <t xml:space="preserve">To my recollection it was a bit trendy medically, but also recommended (or certainly not forbidden) by the Catholic Church at that time. </t>
  </si>
  <si>
    <t>No idea.</t>
  </si>
  <si>
    <t xml:space="preserve">I don’t have the background or experience to form a meaningful opinion. </t>
  </si>
  <si>
    <t xml:space="preserve">Mutilating genitals of children and infants is evil. </t>
  </si>
  <si>
    <t xml:space="preserve">While my own circumcision is something I long ago accepted, it resonates with me deeply. Genital mutilation of infants and children is vile. </t>
  </si>
  <si>
    <t>Mastodon</t>
  </si>
  <si>
    <t>Straight/Heterosexual, Gay, Bisexual, Lesbian, Pansexual, Asexual, Multiple individuals in body, several seperate sexualities</t>
  </si>
  <si>
    <t>Man, Transgender Woman, Woman, Transgender Man, Non-Binary, Genderqueer, Demigender (e.g., Demiboy, Demigirl), Multiple individuals in body</t>
  </si>
  <si>
    <t>Intersex</t>
  </si>
  <si>
    <t>Realizing the sensitivity of my foreskin, that it is ESSENTIAL for my sexual contact, and recognizing that people have had their access to sex and pleasure destroyed, without their consent, for no reason.</t>
  </si>
  <si>
    <t>A vast majority of circumcised people do not like being circumcised. They are at best neutral to it, and at worst actively suicidal because of the trauma done to them as a child.
Additionally, it makes sex more difficult due to a lack of lubrication and protection for the nerves in the glans, and makes orgasm very difficult as the foreskin is a key erogenous zone.
It is by far THE most sensitive part of my penis, and I am not unique.</t>
  </si>
  <si>
    <t>Pornography, simply because circumcision is so common in the united states, people rarely even see intact penises, much less have dialog about them.</t>
  </si>
  <si>
    <t>The foreskin is an essential part of the penis's function, both sexually and protectively. We have them for a reason.</t>
  </si>
  <si>
    <t>I would be happy to talk about my experiences and struggles as an intact person</t>
  </si>
  <si>
    <t>Personal experiences with intimate partners, Information or advice from doctors or medical professionals, Independent research I've done myself, Conversations with friends</t>
  </si>
  <si>
    <t>It's rarely discussed, but when it is, it's assumed to be a normal, positive choice.</t>
  </si>
  <si>
    <t>Somewhat comfortable; I know my own opinion but might struggle to represent other sides fairly.</t>
  </si>
  <si>
    <t>Personal Storyteller / Testimonial Sharer, A "quiet" ally, sharing information within my personal social circle</t>
  </si>
  <si>
    <t>Deeply ingrained cultural and social norms ("it's just normal")</t>
  </si>
  <si>
    <t>Focusing on the ethics of consent and bodily autonomy for children</t>
  </si>
  <si>
    <t>Legal challenges and lawsuits (like the Equal Protection cases), Legislative action (e.g., defunding Medicaid for RIC), Direct outreach and education for expectant parents, Reforming medical school curricula and hospital protocols, High-visibility public protests and awareness campaigns, Supporting foreskin restoration and regeneration research, Creating high-quality media (documentaries, articles), Building broader coalitions with other human rights groups, Other (please specify)</t>
  </si>
  <si>
    <t>Military Service, Stay-at-Home Parent / Homemaker, Healthcare/Medicine (e.g., Doctor, Nurse, Therapist, Technician)</t>
  </si>
  <si>
    <t>Nope, it was cultural</t>
  </si>
  <si>
    <t xml:space="preserve">Nope, it's basically just another subculture like being a furry. Except it is tax free and controls a frightening part of certain governments worldwide. This sort of behavior should be extremely curtailed, the French have the right idea.
</t>
  </si>
  <si>
    <t>The tip is more sensitive than the rest</t>
  </si>
  <si>
    <t>It really depends on my mindset, but it ranges dramatically across the spectrum.</t>
  </si>
  <si>
    <t xml:space="preserve">It's nice for masturbation, but not needed. It's more useful for topping/bottoming, though natural precum also works. Vaginal sex is typically done with condoms, so they're already lubricated. </t>
  </si>
  <si>
    <t xml:space="preserve">STD resistance </t>
  </si>
  <si>
    <t>Less sensation, less cute, more calluses</t>
  </si>
  <si>
    <t>Hygiene: Belief that circumcision makes the penis easier to keep clean or is inherently more hygienic., Just standard practice: Based on observing its prevalence, assumed it was the default medical procedure without a specific individual reason., 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 Cultural Tradition/Family Norm: It was a strong family tradition, cultural expectation, or simply "what people in our community did."</t>
  </si>
  <si>
    <t>No scars, but not much skin left</t>
  </si>
  <si>
    <t>Different sensstions</t>
  </si>
  <si>
    <t xml:space="preserve">I zipped my penis/shaft skin into my zip-up footie PJs when I was a child. The firefighters came and rescued my penis. I owe them a debt I can never fully repay in this lifetime and I will always be grateful for them. I now have a Harry-Potter-esque scar on my penis, lmfao. </t>
  </si>
  <si>
    <t>I wanna look like other guys and also be more sensitive. I wish I had that skin back to protect my bits.</t>
  </si>
  <si>
    <t>N/a</t>
  </si>
  <si>
    <t>I'd rather have had the choice</t>
  </si>
  <si>
    <t xml:space="preserve">Medical + cultural. Not really religious </t>
  </si>
  <si>
    <t>This was not really discussed at all tbh</t>
  </si>
  <si>
    <t>Not really discussed. I just assumed people were born that way when I was a kid.</t>
  </si>
  <si>
    <t xml:space="preserve">Sorry to generalize here, but there are a lot of straight guys that DO NOT take care of their body or their toilet. Absolutely filthy, not washing their ass, peeing all over the toilet seat, etc. For them, circumcision makes sense, especially if they aren't scrubbing their penis with soap. I can absolutely see why people got circumcised to reduce smegma and infections. 
Obviously, not everyone is like this, I know straight guys who are clean and tidy too, or at least appear to be, but I understand (historically) why cutting the foreskin off was a thing. LGBT+ people can also be dirty, but on the whole, seem to be remarkably clean and attuned to not having stank dick/unwashed asses. And the women I've dated are also pretty clean, so I'm not worried about them, haha. 
I don't know why, but I believe there's some cultural components here that might be worth exploring someday. </t>
  </si>
  <si>
    <t>Just on the above question, stuff I would fix are things like thing like cleft lips. My child's penis decisions are their own, assuming they are healthy.  Onto this question: the child's right to choose. This affects them their entire life, including their sexual life. IDGAF what they choose, but I'm not making that decision for them.</t>
  </si>
  <si>
    <t>I hope stem cell research takes off, because I want my foreskin back, lol.</t>
  </si>
  <si>
    <t>I thought I was whipping it too much, lol. I assumed they were from wear and tear. TIL.</t>
  </si>
  <si>
    <t>Less to clean?</t>
  </si>
  <si>
    <t>Less sensitive and dry glans</t>
  </si>
  <si>
    <t>Just standard practice: Based on observing its prevalence, assumed it was the default medical procedure without a specific individual reason., 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t>
  </si>
  <si>
    <t>Direct Medical Authority: Specific advice from their obstetrician, pediatrician, or the hospital staff where you were born. (The voice of a trusted professional)., Institutional Medical Norm: The general belief that "this is just the standard procedure" at hospitals, making it a routine, unquestioned part of postpartum care. (The power of the system)., I have absolutely no idea what influenced them.</t>
  </si>
  <si>
    <t>Let me make the decision</t>
  </si>
  <si>
    <t>Law/Government/Public Service/Civil Servant, Clerical / Administrative Support (e.g., Secretary, Office Clerk)</t>
  </si>
  <si>
    <t>Transgender Woman, Genderfluid</t>
  </si>
  <si>
    <t>Low sensitivity</t>
  </si>
  <si>
    <t>Since beginning HRT I now have a gradual build. If masturbating it's usually focused near my groin, but if having sex it's more of a full body sensation. I now have much more difficulty achieving orgasm but even before HRT it was not a guarantee, and even now it can still be difficult to find "the spot" that will get me there.</t>
  </si>
  <si>
    <t xml:space="preserve">It's required. I'm very particular and kind of embarrassed about it. Being able to see my peers have far more ambivalent attitudes or even needs, I feel like I'm too much work to bother having an intimate encounter with </t>
  </si>
  <si>
    <t>I can describe things that I enjoy, but it's not the same as things that will get me off. Those I can't do much for.</t>
  </si>
  <si>
    <t>Pleasure, sensation, connection with a partner, all are dramatically reduced</t>
  </si>
  <si>
    <t>Just standard practice: Based on observing its prevalence, assumed it was the default medical procedure without a specific individual reason., Don't Know/Not Told: The reasons were never explained or learned later.</t>
  </si>
  <si>
    <t>Peer &amp; Social Pressure (The "Fitting In" Factor): The widespread belief that "everyone else is doing it," and a desire for you to avoid being seen as different in locker rooms or later in life. (The power of broad social conformity)., Family Tradition/Pressure: The expectation from grandparents or other influential relatives; the idea that "it's what the men in our family have always done." (The power of heritage).</t>
  </si>
  <si>
    <t>Visible scarring, not much foreskin left at all</t>
  </si>
  <si>
    <t>All of it, in every way</t>
  </si>
  <si>
    <t>When finding out I was bisexual, and my interest in the sensations of other people with penises started to arise</t>
  </si>
  <si>
    <t>Painful erections, prominent scarring</t>
  </si>
  <si>
    <t>Don't do this, don't do this to your child. If they want it later they can have it done, but taking away part of their body without even asking and for no clear reason is awful</t>
  </si>
  <si>
    <t>Inertia, driven by seeing children as property instead of people</t>
  </si>
  <si>
    <t>They were gross and also desireable/exotic</t>
  </si>
  <si>
    <t>"Everyone" had that</t>
  </si>
  <si>
    <t>Pornography</t>
  </si>
  <si>
    <t>Self determination is paramount for mental health in this regard</t>
  </si>
  <si>
    <t>It's a horrific practice, impossible to fully undo, and performed on infants without any possible way for them to know</t>
  </si>
  <si>
    <t>As a trans person it has significantly limited my options, having unforeseen consequences that haunt me long after my parents grew bored of me</t>
  </si>
  <si>
    <t>I am the PARTNER of a man (intact, circumcised, or restoring).</t>
  </si>
  <si>
    <t>My partner is intact. It causes less vaginal chafing issues during sex, can provide more early lubrication as the foreskin holds preseminal fluid, and makes sex more fun because of the added stimulation when the foreskin is pulled back. Sometimes, there are concerns about smell, hygiene, cleanliness. For us, it's not an issue: we have a fetish for him smelling like us/me. Separately, he has good hygiene, so even when we're not engaging in sexual play or fantasies, it's a non-issue. This has not been the case with other partners, where the hygiene is a concern and has given me a UTI before. Plus, it's a great fidget toy.</t>
  </si>
  <si>
    <t>The biggest misconception I feel is that bodily autonomy is the distinct right of a parent as a matter of authority over a child. To me, this is a topic of consent and often I feel that it should be the decision of the child, similar to when a child gets their ears pierced prematurely. It is a lifelong decision that I don't feel a parent should make for their child.</t>
  </si>
  <si>
    <t>Religious and culture connotations are the most common even if that means from a "culture" standpoint that it is simply the norm and people are doing it "because everyone else is."</t>
  </si>
  <si>
    <t>That they were unhygienic, which is untrue.</t>
  </si>
  <si>
    <t>That they were more visually appealing.</t>
  </si>
  <si>
    <t>The thing that has most shaped this tends to be ideas of hygiene.</t>
  </si>
  <si>
    <t>The difference it can make in your sex life in regards to required level of stimulation for ejaculation. Circumcised people in my experience generally require a lot more stimulation, for longer, in order to achieve orgasm. As a bottom, this makes my life tougher.</t>
  </si>
  <si>
    <t>It overrides the authority of autonomy for minors, in a grander context.</t>
  </si>
  <si>
    <t>I am happy to contribute to this and have done so in other projects.</t>
  </si>
  <si>
    <t>A telegram furry chat group</t>
  </si>
  <si>
    <t>Personal experiences with intimate partners, Information or advice from doctors or medical professionals, Media portrayals (movies, TV, internet), Independent research I've done myself, Conversations with friends</t>
  </si>
  <si>
    <t>It's becoming a topic of active debate and diverse opinions.</t>
  </si>
  <si>
    <t>It impacts our relationship positively. We both enjoy him being in tact, for different reasons mostly related to fetish, sexual pleasure, and ease of sex between us.</t>
  </si>
  <si>
    <t>He is / They are Intact (not circumcised).</t>
  </si>
  <si>
    <t>Yes, we've discussed it openly and in-depth.</t>
  </si>
  <si>
    <t>Ultimately this comes down to shining a light on shame of bodies, discussion of them, and especially in sexual contexts. I am very lucky to be a part of communities (furry, BDSM, kink, Leather, queer) where talking openly and honestly about these topics is generally positively welcomed. Listen to the concerns of people, try to understand where they're coming from. You don't have to understand fully, but being curious and lending an ear can be helpful in just getting to know someone better.</t>
  </si>
  <si>
    <t>It has been a topic of open, easy, and positive communication.</t>
  </si>
  <si>
    <t>That if you are in tact you are superior somehow, or that if you have foreskin your hygiene can only be bad or mixed. Often the topics are around hygiene, what is considered the bare minimum vs what is considered healthy hygiene is often confusing between groups of people. Some people enjoy smegma, for example, others do not. Some people don't understand how hygiene impacts vaginal health, too, so I am someone who has to be on alert for that.</t>
  </si>
  <si>
    <t>Hated it</t>
  </si>
  <si>
    <t>High sensitivity overall</t>
  </si>
  <si>
    <t>Varies, can be full body groundbreaking or a quick, local sensation</t>
  </si>
  <si>
    <t xml:space="preserve">Not having any extra skin requires very different movements for pleasure, most folks dont understand how to interact with a tight circumcision </t>
  </si>
  <si>
    <t>I understand there's a very marginal reduction of risk of penile cancer, which i find not worth it and laughable</t>
  </si>
  <si>
    <t xml:space="preserve">Lube, chafing, discomfort </t>
  </si>
  <si>
    <t>Ive been told it looks fine, like a picturesque, nice looking one</t>
  </si>
  <si>
    <t>No real point in that, it's done. I just think new parents need better information to prevent the frustration going forward</t>
  </si>
  <si>
    <t>Motivated by research or learning about intact anatomy/function, Mildly dissatisfied with sensation or appearance, Experienced feelings of loss, grief, or anger, Significantly dissatisfied with sensation, function, or appearance</t>
  </si>
  <si>
    <t>Improve gliding mechanics/reduce need for lube, Improve sexual pleasure/orgasms, Achieve glans coverage and dekeratinization, Regain gliding motion, Feel more 'natural' or 'whole', Reclaim what was taken, Increased overall sensitivity</t>
  </si>
  <si>
    <t>Dtr</t>
  </si>
  <si>
    <t>At first, i was very ashamed. Found a partner that is encouraging and it was much nicer. First partner would always say a jock or mock it in some way, i grew to hate and hide it, the new one helped me a lot with overcoming that</t>
  </si>
  <si>
    <t>Sensation of roll over skin has been wonderful and new, but otherwise very slight if at all sensitivity changes</t>
  </si>
  <si>
    <t>I think of those who have never been cut, but i like the idea of restorers callung themselves uncut once they hit a point of overhang and such</t>
  </si>
  <si>
    <t>Not comfortable, cant dtr at work / during the day</t>
  </si>
  <si>
    <t>Start with a cheap/easy method, see if it's something you wouldnt mind doing daily, go from there</t>
  </si>
  <si>
    <t>Ive had partners wirh them but never really bothered us</t>
  </si>
  <si>
    <t>At first i hated the idea that it would take many years to do, and i wasnt sure if itd ever be what i wanted. Then i realized that if it's gradual, i can stop whenever I'm satisfied, and that was enough of a removal of risk for me to do it. Also finding a DTR that was only 25 bucks instead of the 100+ one my friend told me about helped a lot</t>
  </si>
  <si>
    <t>Mostly curious and non-judgmental</t>
  </si>
  <si>
    <t>I still feel regret, but the fact I'm doing all that i can to restore helps some. Still fight with feelings that i cant get back to 100%</t>
  </si>
  <si>
    <t>Not entirelt sure yet. Going from RCI 0 to 3 has been great but also no significant appearance change, so ill continue on and gradually reassess. Though i can see myself liking a long overhang</t>
  </si>
  <si>
    <t xml:space="preserve">People think it’s for health and sanitation </t>
  </si>
  <si>
    <t xml:space="preserve">People have a right to bodily autonomy </t>
  </si>
  <si>
    <t xml:space="preserve">More sensitive </t>
  </si>
  <si>
    <t xml:space="preserve">People don’t think about lifelong negative impacts </t>
  </si>
  <si>
    <t>Again, I correlate circumcision of boys to female genital mutilation</t>
  </si>
  <si>
    <t xml:space="preserve">Great topic to address </t>
  </si>
  <si>
    <t>The "Accidental Intactivist's" Blog/Website: (e.g., from Substack or Medium)</t>
  </si>
  <si>
    <t>I’m opposed to genital mutilation for both sexes</t>
  </si>
  <si>
    <t>A significant health and identity decision, but not necessarily life-altering.</t>
  </si>
  <si>
    <t>remaining inner foreskin sensitive to touch, gliding motions, textures, and pressure. Glans sensitive to touch, gliding motions textures when erect, pressure less so. Frenulum somewhat sensitive.</t>
  </si>
  <si>
    <t>gradual build up in intensity to the final release, satisfying release. Felt more so in remaining inner foreskin, glans not as much.</t>
  </si>
  <si>
    <t>lubrication helps if stimulating the glans, not needed for remaining inner foreskin</t>
  </si>
  <si>
    <t>better hygiene, less smell</t>
  </si>
  <si>
    <t>gliding sensation from a foreskin, possible loss of sensitivity</t>
  </si>
  <si>
    <t>Prevailing Moral Beliefs about Sexuality (e.g., concern over masturbation):, Institutional Medical Norm: The general belief that "this is just the standard procedure" at hospitals, making it a routine, unquestioned part of postpartum care. (The power of the system)., Peer &amp; Social Pressure (The "Fitting In" Factor): The widespread belief that "everyone else is doing it," and a desire for you to avoid being seen as different in locker rooms or later in life. (The power of broad social conformity).</t>
  </si>
  <si>
    <t>fairly loose, high cut, noticeable scar somewhat faded, possible mogen method judging from scar</t>
  </si>
  <si>
    <t>different sensations, overall sensitivity</t>
  </si>
  <si>
    <t>first experienced in early twenties, resentment that this most personal body part was surgically altered without my consent</t>
  </si>
  <si>
    <t>my body, my choice not theirs</t>
  </si>
  <si>
    <t>Medically necessary and a cultural tradition</t>
  </si>
  <si>
    <t>dirty and smelly</t>
  </si>
  <si>
    <t>cleaner, better hygiene</t>
  </si>
  <si>
    <t>na</t>
  </si>
  <si>
    <t>the infant's right to body integrity, their body, their choice.</t>
  </si>
  <si>
    <t>Our society has normalized the genital mutilation of male infants due to in part, prudish, superstitous ancestors concerned about masturbation, ignorant doctors who have no insight about an intact penis because they are likely cut themselves plus just believing what they read about circumcision in the medical textbooks combined with them seeing a quick operation for financial gain. Our society gets upset about female genital mutilation, but sees male circumcision as the norm</t>
  </si>
  <si>
    <t>nothing</t>
  </si>
  <si>
    <t>yes can contribute more but must be anonymous</t>
  </si>
  <si>
    <t>mentioned in lpsg website</t>
  </si>
  <si>
    <t>It may be a little less common. all about educating people, not easy.</t>
  </si>
  <si>
    <t>Perceived Hygiene Benefits: A belief that it would be cleaner or easier to care for., Social Conformity: A desire to "look like" peers or fit a cultural norm.</t>
  </si>
  <si>
    <t xml:space="preserve">Pastor/ therapist </t>
  </si>
  <si>
    <t>Just that it wasn’t necessary to alter your circumcision status in order to be a xtan/ become close to god. Paul I believe, but it’s been a while since I have read any bible.</t>
  </si>
  <si>
    <t>Yes, as I was raised in two different countries with the same religious dogma, country customs far outweighed any religious ideas on circumcision.</t>
  </si>
  <si>
    <t>The underside of my glans, where my frenulum, or what remains of it, is ans the coronal ridge of the glans.</t>
  </si>
  <si>
    <t>More of a reflex. However I am relieved when it happens because I suffer from extreme retarded ejaculation.</t>
  </si>
  <si>
    <t xml:space="preserve">As I have restored partners often manipulate my penis as if I were uncut. However I feel more with a forceful downstroke </t>
  </si>
  <si>
    <t>Societal bullying difficulties masturbating</t>
  </si>
  <si>
    <t>A good amount of shaft skin. A scar from the clamp as well as the circumcision scar.</t>
  </si>
  <si>
    <t>If i could feel more</t>
  </si>
  <si>
    <t>Once I realized I was cut</t>
  </si>
  <si>
    <t xml:space="preserve">Difficulty orgasim </t>
  </si>
  <si>
    <t>Don’t do it.</t>
  </si>
  <si>
    <t>Significantly dissatisfied with sensation, function, or appearance, Hated it and how different it made me feel from every one else.</t>
  </si>
  <si>
    <t>Improve sexual pleasure/orgasms, Not be ”othered” from society.</t>
  </si>
  <si>
    <t>Manual methods, later objects beneath foreskin pushing outward.</t>
  </si>
  <si>
    <t>Partners</t>
  </si>
  <si>
    <t>No as I was able to keep my glans covered at puberty and forward.</t>
  </si>
  <si>
    <t>Not really. A piercing, however, did. It also aided my restoration.</t>
  </si>
  <si>
    <t>In a non English language country the tearms are only penis or circumcised so no need for any ”un”. A penis is a whole intact thing and the other one is seen as the ”un”. I will never be uncircumcised and I have the scar to prove it. I am someone who has restored some of what was taken from me.</t>
  </si>
  <si>
    <t>Slow progress. Rewarding partners being unaware until told.and the gliding action.</t>
  </si>
  <si>
    <t>Do it if you’re unhappy with your status.</t>
  </si>
  <si>
    <t>I don’t have a lot of hope for the idea. Would be pleasantly surprised if it works.</t>
  </si>
  <si>
    <t xml:space="preserve">That they smell or are dirty </t>
  </si>
  <si>
    <t xml:space="preserve">Cleaner, prettier </t>
  </si>
  <si>
    <t xml:space="preserve">People are informed here and everyone is intact unless a medical condition or religious </t>
  </si>
  <si>
    <t xml:space="preserve">It is simply unnecessary trauma with no benefit whatsoever and potential harm </t>
  </si>
  <si>
    <t xml:space="preserve">u/pansarkraft on Reddit </t>
  </si>
  <si>
    <t>Yes after an hormonal imbalance and what later was determined to be a slow growth tumor I had a rapid weight gain and noticed some rolling over. This prompted manual tugging.</t>
  </si>
  <si>
    <t>Yes, somewhat. I experience my restored foreskin keeps more of my penis inside the body, giving a smaller appearance but I am rather viewed as a grower with a smaller flaccid penis than circumcised.</t>
  </si>
  <si>
    <t>As I looked at my school mates, all had overhang and full erect coverage and I want that too.</t>
  </si>
  <si>
    <t>It won’t change it will stay as intact as the norm</t>
  </si>
  <si>
    <t>Social Conformity: A desire to "look like" peers or fit a cultural norm., Mother was bullied into it. She was against it but gave in.</t>
  </si>
  <si>
    <t>Partner's Preference: One parent strongly preferred intactness and advocated for it.</t>
  </si>
  <si>
    <t>I was taught (and believe) that the Bible cannot be taken literally, and must be interpreted in historical context as stories and narratives written in part to serve the writers' purposes many millennia ago. Thus, today many Jews do not follow all of the strict laws in the Hebrew Bible (such as endorsing slavery, treating women as property, and prohibiting a number of acts such as mixing cloths now understood to be harmless). Christians are further freed from much of these Old Testament laws in favor of the laws set forth in the New Testament, which primarily pertain to acting with love and compassion rather than requiring or prohibition specific actions. Thus, Christians have no specific law regarding circumcision, leaving it as a personal choice.</t>
  </si>
  <si>
    <t>The preceding question about lubrication doesn't seem to treat anal sex separately from vaginal sex. For anal sex, there is no natural lubrication available and lubrication is pretty much a necessity for everyone.</t>
  </si>
  <si>
    <t>Guys who mostly have experience with circumcised penises tend to be very rough, using a lot of friction and rubbing the surface of the skin rather than gliding loose skin up and down the shaft. This has sometimes led to rubbing the skin so much it becomes chafed and raw.</t>
  </si>
  <si>
    <t>Having full sensation on the glans and inner foreskin, which greatly adds to stimulation and pleasure as they are naturally very sensitive since they ordinarily spend most of their time protected from any contact with clothes, hands, etc.
Ease of masturbation, since no lubrication is required.
Satisfaction from knowing that I have something many other guys don't and that my body wasn't altered without my input.
In locker rooms and such, having a foreskin feels like I have an additional piece of clothing compared to circumcised men. In those situations, sometimes I enjoy feeling like I'm not as exposed as they are. Other times I retract the foreskin so it appears similar to a circumcised penis, which makes me feel like I'm "extra naked" compared to when the foreskin is rolled forward.
When I want extra stimulation, I can retract the foreskin and leave it there while going about my day. Because I retain a lot of sensation compared to someone who's circumcised, this provides a stimulation I can still notice and enjoy.</t>
  </si>
  <si>
    <t>I wasn't taught much about foreskin, so I didn't figure out until late high school or maybe college that I needed to retract and clean underneath the foreskin to avoid a buildup of smegma. Similarly, urinating with the foreskin forward leads to urine spraying in unpredictable directions, so around the same time I started retracting the foreskin before urinating so it's easier to direct the flow.
Because the inner foreskin and especially the glans are normally not exposed to any external stimulation, they were extremely sensitive and delicate. When I was younger, I sometimes caused a bit of chafing and even bleeding when masturbating due to rubbing the glans or inner foreskin against something as soft as a tissue. Over much time, I made a point of stimulating the glans and foreskin more to "toughen them up" a little so this would no longer be an issue.
I would not say I am "jealous" of circumcised men per se (I definitely prefer that I'm intact), but I do personally find circumcised penises to usually be more visually appealing, and in situations like locker rooms I sometimes want to feel like I belong to that group. So I often retract my foreskin in locker rooms in order to appear circumcised to the casual observer.</t>
  </si>
  <si>
    <t>Lack of Perceived Benefit: They didn't see any compelling reason to circumcise., Father is Intact: The father is intact, and this influenced their decision</t>
  </si>
  <si>
    <t>The gliding motion is fantastic for masturbation. Compared to trying to masturbate like circumcised guys do by rubbing the surface of the skin, it feels vastly superior.
Protecting the glans to retain sensitivity is also great, although this is a mixed bag. To some degree, the glans can actually be TOO sensitive, and stimulating it can feel overwhelming or can lead to chafing.</t>
  </si>
  <si>
    <t>I don't feel like it's any more sensitive than the rest of the inner foreskin. Mostly I feel like it gets in the way. When pulling down strongly to retract the foreskin as much as possible, my frenulum seems to be shorter, and this pulls on the underside of the glans. I also feel like there's a risk I might rub the frenulum too hard and damage or tear it. I mostly just work around these problems, but I have given a little thought to getting my frenulum surgically cut or removed.</t>
  </si>
  <si>
    <t>For as long as I can remember since I started looking at male pornography around puberty, I've tended to think that circumcised penises are more aesthetically pleasing to me. This might be because they're simply more prevalent in a lot of pornography. It also might be because of a "grass is always greener" effect, being curious about something different than what I have and even sometimes thinking it might even be better. Knowing how sensitive my glans is, the idea of it constantly being stimulated when it's forcibly exposed sounds exciting. (Of course, that's a fallacy because if it were exposed like that it would soon become desensitized.)
Starting around college age, I began experimenting with keeping my foreskin retracted to expose the glans. At first I could only leave it like that for an hour or two before it became too sensitive (or before I became too aroused, masturbated, and then lost interest in continuing to leave the glans exposed). Over a long time I worked up to being able to leave it retracted for as much as 1-3 days.
I experimented with some methods for keeping the foreskin retracted tightly using tape to roughly approximate the lack of loose skin on a circumcised penis. I had partial success, but was never very satisfied with the results. This may be partly because I'm a grower, and when flaccid and small the glans would still hide underneath the foreskin, which wasn't the result I wanted to achieve. That said, it was interesting to try masturbating when taped up like that, having to rub the skin rather than relying on gliding action. Later I had more success using silicone rings or rubber bands behind the glans to keep the foreskin from rolling forward. While the bunched up retracted foreskin doesn't have the same sleek look as a circumcised penis, it was close enough for what I wanted to achieve. I've also had some success using silicone sex toys such as cock-and-ball rings that can be used to pull the loose skin of the penis down, keeping the foreskin retracted and the skin tight; this was much better to simulate what it might feel like to masturbate with a circumcised penis.
A few years ago I decided to try retracting the foreskin for much longer periods of time, and eventually challenged myself to see how long I could go. It wasn't a perfect streak, since it would frequently roll forwards again while I slept, but aside from that I was able to keep it retracted fairly continuously for weeks, months, and eventually more than a year with hardly any interruptions.
After about 2 weeks of keeping the foreskin retracted, I noticed a mental shift where my brain finally started tuning out the sensations from the exposed glans and foreskin. I would think that the foreskin must have rolled forward because I wasn't feeling anything, only to check and find out that it hadn't. Over the next month or two, the glans became partially desensitized and toughened, and I could handle it much more aggressively during masturbation, which I found to be a positive change. However, it never became so desensitized that I stopped noticing it entirely even while going about my day with it rubbing in my pants.</t>
  </si>
  <si>
    <t>While I understand the motivation for other terminology, I feel that cut/uncut and circumcised/uncircumcised are natural pairs of words where it's easy to derive the opposite. (Compare this with earlobes, which we comfortably describe with the pair of words attached/unattached (or sometimes "detached").)
What is the opposite of "intact"? There is no such word as "unintact". I feel that using the term "intact" is somewhat misleading or dishonest similar to using the term "pro-life" instead of "anti-choice". It sets up a dichotomy where the opposite of intact might be "broken" or "mutilated"; even if these are never explicitly stated, it's still implied in order to further an anti-circumcision agenda. Although I'm personally opposed to RIC, I feel that focusing on "intact" as the highest status sets up a judgmental attitude and can even propagate a stigma against people who in most cases *did not have any choice* regarding their own circumcision.
That said, I don't feel very strongly about it, and will usually defer to any person's or group's preferred terminology in discussions.</t>
  </si>
  <si>
    <t>Having a foreskin really does provide a lot of pleasurable sensation and function. And someone can always choose to get a circumcision as an adult, which is much more humane than the way infant circumcision is practiced, and also lets them tailor their circumcision for their fully-grown adult penis rather than cutting an arbitrary amount of skin off a baby and hope there's enough left in 15-20 years to not impair their sexual function too much.</t>
  </si>
  <si>
    <t>All my siblings are INTACT.</t>
  </si>
  <si>
    <t>Valued natural, holistic, or low-intervention approaches to health, Highly valued scientific evidence and did their own research, Unsure</t>
  </si>
  <si>
    <t>I have a PENIS.</t>
  </si>
  <si>
    <t>Circumcision without medical necessity is regarded as a very grave sin, banned by Canon Law, citing the Acts of the Apostles</t>
  </si>
  <si>
    <t>No feeling in fraenular delta, elsewhere average</t>
  </si>
  <si>
    <t>gradual build up, release is pleasurable but brief, locally focussed</t>
  </si>
  <si>
    <t>Certain sex positions can have little pleasure or even sensation, even when activity is intense</t>
  </si>
  <si>
    <t>None whatsoever</t>
  </si>
  <si>
    <t>Hard ridges of scarring and skin bridges that required further surgery, areas with no sensation that are meant to be sensitive, scarring from severe sport chafing of the glans, scrotum drawn up by lack of skin, taught and uncomfortable erections, looking like a freak... (could go on)</t>
  </si>
  <si>
    <t>Was an emergency caesarian. Doctor forced a consent form on my mum after giving her opioids when she was out of it though she had already refused</t>
  </si>
  <si>
    <t>A V-shaped Mogen-clamp scar, originally 5mm from the glans before stretching and restoration. Scar tissue bridges to the coronal ridge; fraenular delta obliterated with scarring. Excessively tight, pulling up the scrotum and a turkey neck. No shaft skin: pubic hair grew in right to the scar as the shaft had abdominal skin pulled over it. Slightly lop-sided and tighter on the left. Disgusting and horrible mess.</t>
  </si>
  <si>
    <t>I'm so fucked up I just wonder what it would be to be normal.</t>
  </si>
  <si>
    <t>Skin ulcerations and infections on scar site about; 6 months; removal of torn scar bridges (35) initiated by me, anger that the scar tissue was there at all and that it was painful; after that, assistance with foreskin restoration by a GP, self initiated, mixed feelings. Scheduled to have surgical V-Y plasties to increase coverage of glans by pulling skin forward.</t>
  </si>
  <si>
    <t>First confronted my parents and demanded that they they do something to fix what they had done when I was 4. Just seeing the state of my penis, hearing a story of a botch job in the news, hearing things that remind me that mutilations are still going on in some backwards places, &amp;c makes my blood boil</t>
  </si>
  <si>
    <t>Skin bridges, overly tight skin</t>
  </si>
  <si>
    <t>I know that you never intended to give consent to it, but you failed to protect me from an evil foreign system at my most vulnerable and then came up with excuses for years</t>
  </si>
  <si>
    <t>All my siblings are CIRCUMCISED.</t>
  </si>
  <si>
    <t>Experienced feelings of loss, grief, or anger, Significantly dissatisfied with sensation, function, or appearance, Felt physically uncomfortable or experienced complications</t>
  </si>
  <si>
    <t>Feel more 'natural' or 'whole', Achieve glans coverage and dekeratinization, Regain gliding motion, Heal psychological trauma, Reclaim what was taken, not look like a freak</t>
  </si>
  <si>
    <t>Mixed: DTR by day; TLC tugger at night; manual pulling when taking off or switching. These stopped working despite round the clock tugging with medical supervision, and I am now looking into surgical methods.</t>
  </si>
  <si>
    <t>General facts to parents (in denial about the damage, but have nevertheless paid for treatment), open to wife (supportive)</t>
  </si>
  <si>
    <t>Glans has got smoother and more sensitive, as has inner mucosal tissue remnant</t>
  </si>
  <si>
    <t>I really don't care about terms. Leave them to the Yanks who want a special term for every sexual feeling and experience. No resonance, though the former seems more accurate.</t>
  </si>
  <si>
    <t>That progress has stopped completely is frustrating. Having some coverage and looking more normal is rewarding.</t>
  </si>
  <si>
    <t>It takes time &amp; dedication far more than you think it will</t>
  </si>
  <si>
    <t>Foregen has always been advertising that they are 2 years from human trials since I first saw their website in 2009 and they still are.</t>
  </si>
  <si>
    <t>Evil unless medically necessary among us Europeans, but my parents were working abroad in a place where it was seen as normal, and had it forced on my without their consent before they understood what happened</t>
  </si>
  <si>
    <t xml:space="preserve">That they are protected so as to keep the internal mucosa protected, soft, and therefore erogenous </t>
  </si>
  <si>
    <t>That they are leathery messes of scars</t>
  </si>
  <si>
    <t>Circumcision is not normal, something only seen among immigrants and Jews, and which a large majority would like to see banned (though our parliament won't act)</t>
  </si>
  <si>
    <t>No one is missing any information here at home; it's the fucking Americans</t>
  </si>
  <si>
    <t>Because I was harmed by an alien, i.e. American, culture that is not my home nor my nationality or that of my parents. The monster is hardly hiding in Europe where there are alreadyrestrictions on genital mutilation and many national medical authorities are bringing in bans. The phrase implies that America is somehow normal when it is a barbaric outlier for being the last developed nation not seeing the harm when the whole world does.</t>
  </si>
  <si>
    <t>I had scar-tissue bridges on the corona that tore and had to be removed. When choosing a doctor I ran into information on restoring on line.</t>
  </si>
  <si>
    <t>Feel better physically about not having severe sport chafing, and also feel better about looking something approaching normal, but wearing restoring devices seems to remind me of loss and make me angry, as has the fact that progress in restoration has stopped completely for several years despite increased tugging.</t>
  </si>
  <si>
    <t>Looking normal</t>
  </si>
  <si>
    <t>It will be banned by law as an affront to human rights</t>
  </si>
  <si>
    <t>Greedy and unscrupulous doctor forced it without any meaningful consent from parents who refused it until sedated</t>
  </si>
  <si>
    <t>I am a HEALTHCARE PROVIDER / MEDICAL PROFESSIONAL.</t>
  </si>
  <si>
    <t>Not a significant difference for me either way, and each partner only has experienced sex as circumcised or uncircumcised but not both so have no point of comparison</t>
  </si>
  <si>
    <t>I present it as a completely neutral choice with pros and cons.</t>
  </si>
  <si>
    <t>American Academy of Pediatrics (AAP) policy statements, Hospital or clinic protocols, Conversations with mentors or senior colleagues, Personal beliefs or experiences</t>
  </si>
  <si>
    <t>Questions about pain, bleeding, and healing process</t>
  </si>
  <si>
    <t>Has definitely decreased, no longer seems to be the norm. Is now a parent-driven intervention unless medically recommended based on condition</t>
  </si>
  <si>
    <t>I've know people who have regrets both getting and not getting circumcised, so no matter what choice you make you cns still get it "wrong"</t>
  </si>
  <si>
    <t>This survey felt biased, which may impact results</t>
  </si>
  <si>
    <t>It seems to be more about fitting in with future peers and family members, the sense that if everyone is likely circumcised then my child will be too</t>
  </si>
  <si>
    <t>That the head of the penis had better sensation than a circumcised penis</t>
  </si>
  <si>
    <t>Less sensitive penis</t>
  </si>
  <si>
    <t>You will never know how you would have felt if you made a different decision, so there is always the potential for regret</t>
  </si>
  <si>
    <t xml:space="preserve">I disagree with performing medically unnecessary procedures on infants, but this survey feels more like you're looking to change perspectives than gather perspectives, and I disagree with that too </t>
  </si>
  <si>
    <t>Personal experiences with intimate partners, Information or advice from doctors or medical professionals, Conversations with friends</t>
  </si>
  <si>
    <t>Circumcision status has not impacted the relationship</t>
  </si>
  <si>
    <t>I have had partners with a mix of different statuses.</t>
  </si>
  <si>
    <t>It has never been a significant topic of conversation for us.</t>
  </si>
  <si>
    <t>Nurse (e.g., L&amp;D, NICU, Pediatric)</t>
  </si>
  <si>
    <t>I lean against it, but present it as the parents' choice.</t>
  </si>
  <si>
    <t>Rarely; the conversation usually focuses on other aspects like hygiene or disease prevention.</t>
  </si>
  <si>
    <t>Excellent &amp; Balanced: Parents are consistently given comprehensive, unbiased information about all risks, benefits, and alternatives.</t>
  </si>
  <si>
    <t>Yes, but only very rarely.</t>
  </si>
  <si>
    <t>Bleeding, adhesions</t>
  </si>
  <si>
    <t>Being the child of a circumcised parent seems to be the strongest driving factor of the decision to circumcise an infant</t>
  </si>
  <si>
    <t>Large Public or University Hospital</t>
  </si>
  <si>
    <t>Prefer not to answer / Not applicable (I am female/AFAB)</t>
  </si>
  <si>
    <t>It will remain at roughly the same level of prevalence as today.</t>
  </si>
  <si>
    <t>I am here primarily to share my perspective as a PARTNER, PARENT, HEALTHCARE PROVIDER or other OBSERVER.</t>
  </si>
  <si>
    <t>Undefined</t>
  </si>
  <si>
    <t>Fuck religion</t>
  </si>
  <si>
    <t>Generally muted</t>
  </si>
  <si>
    <t>Whoops, where'd it go</t>
  </si>
  <si>
    <t xml:space="preserve">It has brought me only pain </t>
  </si>
  <si>
    <t>Hygiene: Belief that circumcision makes the penis easier to keep clean or is inherently more hygienic., Prophylactic Health Reasons (Specific Disease Prevention - e.g., Cancer, STIs, HIV, UTIs): Belief that it lowers the risk of specific diseases later in life (e.g., penile cancer, certain sexually transmitted infections like HIV or HPV, infant urinary tract infections - UTIs)., Gullible, stupid, overwhelming hubris</t>
  </si>
  <si>
    <t>Tight, full of scars, hairy, mostly scrotum</t>
  </si>
  <si>
    <t>Instantly</t>
  </si>
  <si>
    <t>Tightness dryness temperature sensitivity constant irritation</t>
  </si>
  <si>
    <t>May you suffer longer than I do</t>
  </si>
  <si>
    <t>Curious about what might be different if intact, Experienced feelings of loss, grief, or anger, Felt physically uncomfortable or experienced complications, Significantly dissatisfied with sensation, function, or appearance</t>
  </si>
  <si>
    <t>Reclaim what was taken, Feel more 'natural' or 'whole', Regain gliding motion, Increased overall sensitivity, Achieve glans coverage and dekeratinization, Improve gliding mechanics/reduce need for lube, Improve sexual pleasure/orgasms, Heal psychological trauma</t>
  </si>
  <si>
    <t>Barely anything works</t>
  </si>
  <si>
    <t>Couldn't care less</t>
  </si>
  <si>
    <t>Be nice if they existed</t>
  </si>
  <si>
    <t>You do not have the right</t>
  </si>
  <si>
    <t>That's what people do best, create monsters and every good monster wants to destroy its Creator.</t>
  </si>
  <si>
    <t>When I learned about it</t>
  </si>
  <si>
    <t xml:space="preserve">This additional burden has only made me angrier </t>
  </si>
  <si>
    <t>Full flaccid coverage</t>
  </si>
  <si>
    <t xml:space="preserve">Rates will drop, slowly </t>
  </si>
  <si>
    <t>Peers did it to their own kid after a bladder infection</t>
  </si>
  <si>
    <t>It was never brought up until I asked about it in my late teens.</t>
  </si>
  <si>
    <t>Most of the pleasure is centered in the frenulum area on the ventral side, with some in the coronal ridge of the glans.</t>
  </si>
  <si>
    <t>Pretty mild, although noticeably better if I do not edge before orgasm.</t>
  </si>
  <si>
    <t>I am generally not a fan and I find it actually harder to achieve orgasm through masturbation with lubricant.</t>
  </si>
  <si>
    <t>Lack of pleasure during masturbation from an early age and injuries from friction.</t>
  </si>
  <si>
    <t>I am a grower and have full coverage when flaccid but next to not skin motility when fully erect and my testicles are pulled up noticeably during erection.</t>
  </si>
  <si>
    <t>I think about everything to do with the foreskin nearly every day and how I'm missing out on all of it. It is such an exquisitely designed piece of equipment and the fact that I'll never have it depresses me to no end. I wonder about how everything would feel, from the ridged band to the muscle to the frenulum. I wish I could experience all of this even for just one day.</t>
  </si>
  <si>
    <t>They emerged when I first discovered the truth in my late teens and have never gone away. The worst part about it all is that I never had a chance to experience my foreskin when I could remember it, it was brutally ripped away from me within a few days of my existence and I'll never know what it would have looked or felt like.</t>
  </si>
  <si>
    <t>Uncomfortable erections and lack of sensation.</t>
  </si>
  <si>
    <t>Own up to your mistake.</t>
  </si>
  <si>
    <t>Significantly dissatisfied with sensation, function, or appearance, Experienced feelings of loss, grief, or anger, Felt physically uncomfortable or experienced complications</t>
  </si>
  <si>
    <t>Improve sexual pleasure/orgasms, Improve gliding mechanics/reduce need for lube, Regain gliding motion, Heal psychological trauma, Achieve glans coverage and dekeratinization, Increased overall sensitivity, Reclaim what was taken, Feel more 'natural' or 'whole'</t>
  </si>
  <si>
    <t>Used the TLC Tugger in the past as well as some basic manual tugging.</t>
  </si>
  <si>
    <t>I told one friend about it and he was briefly interested in it for himself.</t>
  </si>
  <si>
    <t>The glans has become supple and is irritated by contact with underwear and the ventral side provides a very pleasant ticklish sensation during masturbation.</t>
  </si>
  <si>
    <t>They seem a bit stronger and to last a bit longer.</t>
  </si>
  <si>
    <t>I prefer not to use "uncircumcised" or "uncut" at all.</t>
  </si>
  <si>
    <t>I am far from done and what has been most challenging is consistency.</t>
  </si>
  <si>
    <t>Start as soon as possible and never stop until you are done.</t>
  </si>
  <si>
    <t>I know I will never see it in my lifetime.</t>
  </si>
  <si>
    <t>I'm not an incredibly sociable person but I generally gather that most people don't think about it much around here at all and that it's largely viewed as just what everybody does and oh, things can go wrong if you don't do it, can't they? And so on.</t>
  </si>
  <si>
    <t>It was hardly discussed.</t>
  </si>
  <si>
    <t>Cultural stupidity.</t>
  </si>
  <si>
    <t>That baby boy you just had is one day going to be a man, and when that day comes, there is a good chance he's going to come to you and ask why you didn't protect him when you had the chance, and no apology you give is ever going to be good enough because nothing can undo the trauma or bring his intact body back.</t>
  </si>
  <si>
    <t>Infant male circumcision in the US is routine sexual torture of men that causes lifelong disfigurement and harm, and to this day (9-17-25) there has never been a serious national dialogue about it. It's as baffling as it is absolutely infuriating and I could write you a novel about it if you gave me the chance.</t>
  </si>
  <si>
    <t>All I can say is that I am not optimistic. I have known about this issue for nearly 20 years and the average person is just as retarded and ignorant about it as they were then, and the medical establishment is somehow even more evil. There will be no circumcision revolution if you ask me.</t>
  </si>
  <si>
    <t>Probably not, it's too personal. My approach to the subject would be less candid regarding my own sexual experience if my face and/or identity were on display.</t>
  </si>
  <si>
    <t>Doctors Opposing Circumcision frontpage</t>
  </si>
  <si>
    <t>Military Base Hospital or Clinic</t>
  </si>
  <si>
    <t>I found Ron Low's old foreskin restoration forum.</t>
  </si>
  <si>
    <t>It gives me a sense of comfort and control over my own body, and a feeling of having successfully hidden the mark of something I never would have chosen for myself.</t>
  </si>
  <si>
    <t>Achieving RCI-9.</t>
  </si>
  <si>
    <t>base of my penis is more sensitive, can barely feel much above my scar line</t>
  </si>
  <si>
    <t>depends how often I masturbate, but usually it's a pleasurable burst for 5-10 seconds</t>
  </si>
  <si>
    <t xml:space="preserve">I usually pull what skin I do have up when jerking </t>
  </si>
  <si>
    <t>my penis looks similar to the majority of my peers</t>
  </si>
  <si>
    <t>orgasms don't feel as good, some psychological impacts</t>
  </si>
  <si>
    <t>Medical Advice (without stated necessity): Recommended by a doctor or healthcare provider without explaining a specific existing medical problem, perhaps framing it as routine or generally beneficial., Prophylactic Health Reasons (Specific Disease Prevention - e.g., Cancer, STIs, HIV, UTIs): Belief that it lowers the risk of specific diseases later in life (e.g., penile cancer, certain sexually transmitted infections like HIV or HPV, infant urinary tract infections - UTIs)., To Look Like Father/Peers: Desire for the son's penis to match the father's or other males in the family/community., Just standard practice: Based on observing its prevalence, assumed it was the default medical procedure without a specific individual reason.</t>
  </si>
  <si>
    <t>feeling, sensation, what other people would think</t>
  </si>
  <si>
    <t>around 15-16</t>
  </si>
  <si>
    <t xml:space="preserve">Logistics/trucking </t>
  </si>
  <si>
    <t xml:space="preserve">Circumcision line </t>
  </si>
  <si>
    <t xml:space="preserve">Gradual and pleasurable </t>
  </si>
  <si>
    <t>My partner is experiencing perimenopause. We hadn’t used lube to date.</t>
  </si>
  <si>
    <t xml:space="preserve">Some partners don’t initially know how to handle a penis </t>
  </si>
  <si>
    <t xml:space="preserve">No smell. Easier to stimulate glans, no problems with retracting, no over lubrication problems. No tearing during masturbation. </t>
  </si>
  <si>
    <t xml:space="preserve">First cut was loose. I got a revision to tighten things up </t>
  </si>
  <si>
    <t xml:space="preserve">I have a two tone look with prominent scar. I like it. The glans has roughened a bit but when wet is very stimulating. </t>
  </si>
  <si>
    <t xml:space="preserve">I already know </t>
  </si>
  <si>
    <t xml:space="preserve">I got a revision to tighten things up. </t>
  </si>
  <si>
    <t xml:space="preserve">Never </t>
  </si>
  <si>
    <t xml:space="preserve">Urinary spraying until I was healed. It’s gone now. </t>
  </si>
  <si>
    <t xml:space="preserve">Many boys were cut growing up.  I was not. I didn’t feel pressured to fit in. Most everything was normal and it was well known and accepted that two types of penises existed. </t>
  </si>
  <si>
    <t xml:space="preserve">Most people throught they were smelly. </t>
  </si>
  <si>
    <t xml:space="preserve">That they were not smelly. </t>
  </si>
  <si>
    <t xml:space="preserve">I think there is a lot of evidence that North Americans embrace circumcision. I think it’s normal here to be cut. But also normal to be uncut. I find a lot of adults make the choice because they know it’s healthier and better looking. The foreskin is kind of childish. People make too much about a small flap of skin that supposedly decreases pleasure. Mine was removed and I have better sex than ever. </t>
  </si>
  <si>
    <t xml:space="preserve">It gets dry sometimes. Moisturize it. </t>
  </si>
  <si>
    <t xml:space="preserve">Didn’t have them </t>
  </si>
  <si>
    <t>Very Satisfied / Excellent</t>
  </si>
  <si>
    <t xml:space="preserve">It was two weeks of hell to heal but was worth it. </t>
  </si>
  <si>
    <t xml:space="preserve">Follow the healing guidelines, do not resume sexual activity until told to do so. </t>
  </si>
  <si>
    <t xml:space="preserve">I basically look at it each day and am thankful I did it. </t>
  </si>
  <si>
    <t>General curiosity about the topic</t>
  </si>
  <si>
    <t>Cultural bias, propagated by the for profit medical industry.</t>
  </si>
  <si>
    <t>It's a cultural norm that people don't question, and supported by tenuous health benefits.</t>
  </si>
  <si>
    <t>They were weird.</t>
  </si>
  <si>
    <t>They were normal.</t>
  </si>
  <si>
    <t>People gravitate to what they know, and they are more familiar with circumcised penises, causing them to prefer and justify it.</t>
  </si>
  <si>
    <t>The anatomy of the penis: frenulum, mucosa etc.</t>
  </si>
  <si>
    <t>It is evil, yet viewed as normal.</t>
  </si>
  <si>
    <t>Independent research I've done myself</t>
  </si>
  <si>
    <t>Paul(I don't know the specific passages)however I've often heard,"circumcision of the heart and not the flesh"</t>
  </si>
  <si>
    <t>Head of the penis(with the foreskin covering it)is the best feeling,outside of that it feels good but nowhere near *as* good</t>
  </si>
  <si>
    <t>Very rarely satisfying,occasionally bodywide,buildup varies(but is usually very long to buildup)</t>
  </si>
  <si>
    <t>Inability to climax if I use lubrication</t>
  </si>
  <si>
    <t>Comfort for sex,be it anal or vaginal or even oral is the big one,personally for me intact looks better,and knowing I'm intact,the inner foreskin feels uniquely good for me oftentimes.</t>
  </si>
  <si>
    <t>Only frenulum breve which makes my foreskin feel tighter but outside of that,sister misunderstood alot of things about being intact and respectfully chatted with her about it(but it was challenging emotionally for me,however mother helped  me)</t>
  </si>
  <si>
    <t>Ethical Concerns: They had ethical objections to non-consensual surgery on a healthy child/believed strongly in bodily autonomy or children's rights., Cultural Background/Family Tradition (of intactness): They came from a family or cultural background where intactness was the norm., Born/Raised in a Culture Where Intactness is the Norm: The decision wasn't an active 'choice against circumcision,' but rather the standard cultural and medical practice in my country of birth/upbringing.</t>
  </si>
  <si>
    <t>From what I can recall,only light stretching when I'd shower as a child(mother showed me how to do it so I could then do it safely alone)</t>
  </si>
  <si>
    <t>Seeing circumcision as a "norm" in other places is..alien to say the least,always was and to this day feels alien</t>
  </si>
  <si>
    <t>It allows me to climax,without me masturbating on the foreskin covering the head,I can't climax,it's basically essential for me to climax</t>
  </si>
  <si>
    <t xml:space="preserve">Negative feelings,I have frenulum breve,thus is either hyper sensitive feeling or pinch type pain if I press it or rub it when erect,otherwise it feels hypersensitive </t>
  </si>
  <si>
    <t xml:space="preserve">Mainly the lack of sensations and lower orgasm quality one would have relative to an intact guy which must feel bizzare even when I try to imagine it </t>
  </si>
  <si>
    <t>I loathe such terms as uncut as it presupposes being cut is "normal",intact is for me the proper way of saying it</t>
  </si>
  <si>
    <t>Primarily it being my body,and the sensations,functions(eg gliding mechanism aides alot for comfort)</t>
  </si>
  <si>
    <t>Not much,however the usual "dirty" trope occasionally comes up but outside of where I live it's very very rare it'll be brought up</t>
  </si>
  <si>
    <t>Here the biggest assumption was circumcised guys would climax too quickly</t>
  </si>
  <si>
    <t>The sheer misinformation surrounding said male anatomy,religion plays a massive part as well(imo,it's not a singular thing)</t>
  </si>
  <si>
    <t>Somewhat transparent but not enough to the point wherein people don't rightly question and push back against it,but I agree it's often in plain sight</t>
  </si>
  <si>
    <t>I'm satisfied with the way everything went,nothing to add or critique</t>
  </si>
  <si>
    <t>The most I'm comfortable with at most is something akin to a discord server or reddit chat and what have you</t>
  </si>
  <si>
    <t>A specific medical statement or article (e.g., the 1971 AAP statement disavowing medical need), Family history or cultural background from a non-circumcising country/culture</t>
  </si>
  <si>
    <t>Generally skeptical of medical authority or "doctor knows best", Valued natural, holistic, or low-intervention approaches to health, Strongly principled about consent and bodily autonomy in general</t>
  </si>
  <si>
    <t>I believe itll go down significantly but maybe not as much as an idealist might like to think,but still (imo)significant enough,hopefully</t>
  </si>
  <si>
    <t>DC - District of Columbia</t>
  </si>
  <si>
    <t>Minimal &amp; Rushed: It was presented as a routine choice needing little discussion, and I was given very little information.</t>
  </si>
  <si>
    <t xml:space="preserve">Many parents do not research, assume since it was done to them or their partner and the hospital/doctor recommends it, then it is the norm, must be good and should go ahead with it. They don’t feel the need to do their own research to learn more about it and its significance. </t>
  </si>
  <si>
    <t xml:space="preserve">I gave birth in 2020 and 2022 to boys and both times I was asked multiple times from multiple healthcare professionals if I wanted to circumcise, and questioned about it when I said no, which is pretty crazy and concerning </t>
  </si>
  <si>
    <t xml:space="preserve">I believe it is cosmetic/cultural but also a bit of a white upper class / upper middle class thing that is expected </t>
  </si>
  <si>
    <t xml:space="preserve">They they are weird looking abnormal and unclean </t>
  </si>
  <si>
    <t xml:space="preserve">They look better and are cleaner that intact penises </t>
  </si>
  <si>
    <t>Media, cultural familiarity</t>
  </si>
  <si>
    <t xml:space="preserve">Intact is normal - circumcision is literally cutting a part off of your baby and hurting him for no legitimate reason </t>
  </si>
  <si>
    <t xml:space="preserve">Yes - I have been shocked at the people I know who chose to circumcise and do not get it at all. Crazy to me that’s it is seen as normal. </t>
  </si>
  <si>
    <t>Circumcision was the unquestioned norm; nearly all boys were circumcised.</t>
  </si>
  <si>
    <t>2020 - Present</t>
  </si>
  <si>
    <t>Ethical beliefs about bodily autonomy and a child's right to consent, Information about the functions and sensitivity of the foreskin, Lack of a clear medical necessity for the procedure, Concerns about surgical risks and potential complications, Independent research (documentaries, articles, online communities)</t>
  </si>
  <si>
    <t>Circumcision was the unquestioned norm; our choice was a significant departure.</t>
  </si>
  <si>
    <t>Yes, we faced some questioning or criticism from family or friends.</t>
  </si>
  <si>
    <t xml:space="preserve">His body his choice: he can always get it done as an adult, he cannot get it undone. There is no medical reason for it and it causes pain. </t>
  </si>
  <si>
    <t>Information from an online community, website, or forum (e.g., NOCIRC, Intact America)</t>
  </si>
  <si>
    <t>A deeply held conviction: It was a decision I/we had made long before pregnancy, based on core beliefs.</t>
  </si>
  <si>
    <t>Yes, and I/we found it unconvincing or dismissed it.</t>
  </si>
  <si>
    <t>My son is not yet old enough to have this conversation.</t>
  </si>
  <si>
    <t>Nsw</t>
  </si>
  <si>
    <t>Parental/Guardian-Led: It was primarily my parents'/guardians' decision, which I agreed to or went along with at the time.</t>
  </si>
  <si>
    <t>Significantly Diminished</t>
  </si>
  <si>
    <t>I'm generally happy with the choice and the outcome.</t>
  </si>
  <si>
    <t>ok</t>
  </si>
  <si>
    <t>long time and then fast sudden orgasm</t>
  </si>
  <si>
    <t xml:space="preserve">the look and feel </t>
  </si>
  <si>
    <t xml:space="preserve">high and tight </t>
  </si>
  <si>
    <t xml:space="preserve">doctor said i needed it </t>
  </si>
  <si>
    <t xml:space="preserve">it was normal </t>
  </si>
  <si>
    <t xml:space="preserve">it was uncommon </t>
  </si>
  <si>
    <t xml:space="preserve">cut is best </t>
  </si>
  <si>
    <t xml:space="preserve">I have experianced both and cut is best </t>
  </si>
  <si>
    <t>yes sure happy to help</t>
  </si>
  <si>
    <t>Therapeutic/Medical: It was performed to treat a specific, diagnosed medical condition (e.g., phimosis, balanitis).</t>
  </si>
  <si>
    <t>great best decision</t>
  </si>
  <si>
    <t xml:space="preserve">yes i have </t>
  </si>
  <si>
    <t xml:space="preserve">love it </t>
  </si>
  <si>
    <t>Personal Care / Service, Retail / Customer Service / Hospitality, Stay-at-Home Parent / Homemaker</t>
  </si>
  <si>
    <t>Law/Government/Public Service, Science/Research/Academia</t>
  </si>
  <si>
    <t>My penis is as nature and God designed it.  Head is sensitive but not too sensitive.</t>
  </si>
  <si>
    <t>No, none at all.</t>
  </si>
  <si>
    <t>Works like it should.</t>
  </si>
  <si>
    <t>Delicate, I'm mindful to not hurt it.</t>
  </si>
  <si>
    <t>Intact or natural</t>
  </si>
  <si>
    <t>The personal stories of those who wish they weren't circumcised.</t>
  </si>
  <si>
    <t>Just because a cultural practice is normalized does not automatically make it good or ethical.</t>
  </si>
  <si>
    <t>Valued natural, holistic, or low-intervention approaches to health, Highly valued scientific evidence and did their own research</t>
  </si>
  <si>
    <t>Skilled Trades (e.g., Electrician, Carpenter, Mechanic, Cosmetologist), Law/Government/Public Service</t>
  </si>
  <si>
    <t>Pansexual, Asexual, Questioning</t>
  </si>
  <si>
    <t xml:space="preserve">Christians don't need to be circumcised and probably shouldn't be. </t>
  </si>
  <si>
    <t xml:space="preserve">None. </t>
  </si>
  <si>
    <t xml:space="preserve">Chafing of my glans on my clothing. Painful erections when I was young. Significant swelling during my first masturbation attempts due to limited skin mobility. And don't forget the feeling of shame and exposure having my glans out in the open all the time. </t>
  </si>
  <si>
    <t>Don't Know/Not Told: The reasons were never explained or learned later., Just standard practice: Based on observing its prevalence, assumed it was the default medical procedure without a specific individual reason., Don't know/Not told, Medical Advice (without stated necessity): Recommended by a doctor or healthcare provider without explaining a specific existing medical problem, perhaps framing it as routine or generally beneficial.</t>
  </si>
  <si>
    <t>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 Peer &amp; Social Pressure (The "Fitting In" Factor): The widespread belief that "everyone else is doing it," and a desire for you to avoid being seen as different in locker rooms or later in life. (The power of broad social conformity).</t>
  </si>
  <si>
    <t xml:space="preserve">Gliding, the feeling of being covered, and skin mobility in general. </t>
  </si>
  <si>
    <t xml:space="preserve">Age 6 or so, triggered by medical nightmares.
Note, I had no fear of doctors or hospitals. Just specific nightmares about being strapped down with doctors in masks near my face holding things over my mouth. </t>
  </si>
  <si>
    <t>When I was young, I had painfully tight erections and did not masturbate typically. It took years to get enough mobility of the skin to be able to stroke.</t>
  </si>
  <si>
    <t xml:space="preserve">You allowed somebody to cut off part of my penis. But, you likely did it hoping that you found trust them and their judgement. You likely wanted to do the best thing for me, and you meant no harm. You were just wrapped up in a system set up to make you fail, caught in a well designed trap. It wasn't your fault, and what is done is done. Just, please tell this story and don't encourage others to circumcise their children. </t>
  </si>
  <si>
    <t>Curious about what might be different if intact, Motivated by research or learning about intact anatomy/function, Felt physically uncomfortable or experienced complications, Experienced feelings of loss, grief, or anger, Significantly dissatisfied with sensation, function, or appearance</t>
  </si>
  <si>
    <t>Increased overall sensitivity, Feel more 'natural' or 'whole', Improve gliding mechanics/reduce need for lube, Achieve glans coverage and dekeratinization, Reclaim what was taken, Heal psychological trauma</t>
  </si>
  <si>
    <t xml:space="preserve">CAT II now, but first manual tugging (mostly method 2 and 3), and then taping for a brief while. </t>
  </si>
  <si>
    <t xml:space="preserve">Some of my male friends just are confused or don't really care, but they don't seem bothered by it either.
I have not told my family. </t>
  </si>
  <si>
    <t xml:space="preserve">I'm not intact, and I don't think restoring would change that for me personally. I will always see myself as cut, simply on account of the visible scar. </t>
  </si>
  <si>
    <t xml:space="preserve">Most challenging was when I realized I had been cut, all on my own, and how horrifying it actually was. Most rewarding was realizing that I wasn't actually alone. </t>
  </si>
  <si>
    <t xml:space="preserve">Take your time, but don't ignore it. </t>
  </si>
  <si>
    <t xml:space="preserve">That they were weird or unclean. </t>
  </si>
  <si>
    <t xml:space="preserve">That it was "normal" to be circumcised. </t>
  </si>
  <si>
    <t xml:space="preserve">Foreskin is easy to clean and take care of at any age, or at least, it is no more difficult than cleaning your teeth, ears, or ass. </t>
  </si>
  <si>
    <t xml:space="preserve">I'd be happy to speak about this publicly. It's a desperately important public health issue, in my view, and could be stopped overnight with the messaging delivered to the right people in the right ways. </t>
  </si>
  <si>
    <t xml:space="preserve">I woke up as a young boy and a
distinctly remember an absolutely horrible empty feeling. Something about my penis was just WRONG and it filled me with a fear and grief that I couldn't contextualize or process as that age. I had frequent nightmares and bedwetting issues well into my teens, and I think it was directly related to my circumcision. </t>
  </si>
  <si>
    <t xml:space="preserve">I don't think there will ever be success or completion. I will always be cut. Always missing something that cannot be given back.
So I just restore for the same reason one might exercise, or study a skill. To keep improving. </t>
  </si>
  <si>
    <t>Telecom</t>
  </si>
  <si>
    <t>The head is numb and so is the area where my foreskin was amputated.</t>
  </si>
  <si>
    <t>Less than satisfactory. Slow buildup. Quick ejaculation.</t>
  </si>
  <si>
    <t>I wish I didn’t need it.</t>
  </si>
  <si>
    <t>It takes away from spontaneous sex.</t>
  </si>
  <si>
    <t>I see no advantage at all.</t>
  </si>
  <si>
    <t>I wish my parents hadn’t done this to me. I’m 57 years old and this is still on my mind.</t>
  </si>
  <si>
    <t>Parents didn’t want others to think we were poor. We were and mom’s weekly pay was what it cost. $75.00.</t>
  </si>
  <si>
    <t>My scar is prominent and V shaped midway up the shaft. I hope I didn’t feel the pain.</t>
  </si>
  <si>
    <t>The difference of the overall sexual sensations. Something I’ll newer know. It was stolen without my consent.</t>
  </si>
  <si>
    <t>At the onset of puberty. Boys do a show and tell. I saw a kids penis and it was very different than mine.</t>
  </si>
  <si>
    <t>It wasn’t a required procedure and you really couldn’t afford it. You clearly didn’t consult me .</t>
  </si>
  <si>
    <t>Parents should realize the body of their infant son is his. He should be able to decide what he wants and at some point be allowed to make an informed decision.</t>
  </si>
  <si>
    <t>We didn’t know difference till much later in teen age years. Nobody told us. W3 had to awkwardly figure it all out.</t>
  </si>
  <si>
    <t>We thought our penises were natural. Asking questions was not an option. Nobody really wanted to talk about it.</t>
  </si>
  <si>
    <t xml:space="preserve">Religion </t>
  </si>
  <si>
    <t>This penis is not yours. It’s your son’s penis. His decision. His body.</t>
  </si>
  <si>
    <t>Everyone should have body autonomy.</t>
  </si>
  <si>
    <t>I’m satisfied with my answers. Thank you !</t>
  </si>
  <si>
    <t>Not at this time. Ask again sometime😎</t>
  </si>
  <si>
    <t>I was young. I remember them but it’s neutral.</t>
  </si>
  <si>
    <t xml:space="preserve">Hygiene is so much easier being circumcised versus when I wasn't. I much prefer the sensations and the ability to directly pleasure my head. I've especially noticed a difference in the way oral sex feels - it was largely too intense and unpleasureable before, now it's one of my favorite sensations. It's a penis that's less work, less thought, and highly functional. </t>
  </si>
  <si>
    <t>Revision to tighten up excess skin at 23</t>
  </si>
  <si>
    <t>DULL</t>
  </si>
  <si>
    <t>REFLEXIVE</t>
  </si>
  <si>
    <t>difficult to say</t>
  </si>
  <si>
    <t>lower libido later in life</t>
  </si>
  <si>
    <t>tight, very little loose skin when erect</t>
  </si>
  <si>
    <t>sensation intensity</t>
  </si>
  <si>
    <t>about age 45</t>
  </si>
  <si>
    <t>let it be</t>
  </si>
  <si>
    <t>There is a mix: I am circumcised, but I have at least one sibling who is intact.</t>
  </si>
  <si>
    <t>born to different fathers and birthed in a different hospital</t>
  </si>
  <si>
    <t>Being intact was an oddity</t>
  </si>
  <si>
    <t>Being cut was the community standard</t>
  </si>
  <si>
    <t>nothing is gained by circumcision</t>
  </si>
  <si>
    <t xml:space="preserve">Machinist </t>
  </si>
  <si>
    <t>Heteroflexible</t>
  </si>
  <si>
    <t>Since I was cut, I don't have any sensations really, and I don't have any gliding skin at all.</t>
  </si>
  <si>
    <t>It does take some time to build up, but not a long time. The final release does feel pleasurable but it's not intense. And it's not in my whole body, just in my whole groin area.</t>
  </si>
  <si>
    <t>I noticed that my partner was feeling more pleasure and satisfaction than I was, and I couldn't figure out why.</t>
  </si>
  <si>
    <t>Felt physically uncomfortable or experienced complications, Experienced feelings of loss, grief, or anger, Mildly dissatisfied with sensation or appearance, Significantly dissatisfied with sensation, function, or appearance, Motivated by research or learning about intact anatomy/function, Generally satisfied or hadn't thought much about it, Curious about what might be different if intact</t>
  </si>
  <si>
    <t>Regain gliding motion, Reclaim what was taken, Increased overall sensitivity, Achieve glans coverage and dekeratinization, Feel more 'natural' or 'whole', Heal psychological trauma, Improve gliding mechanics/reduce need for lube, Improve sexual pleasure/orgasms, To feel included in countries/areas that are intact.</t>
  </si>
  <si>
    <t>For now, I'm currently using manual methods.</t>
  </si>
  <si>
    <t>Tbh, I'm kinda afraid to.</t>
  </si>
  <si>
    <t>I'm not familiar with the RCI score / I can't estimate my starting score</t>
  </si>
  <si>
    <t>I'm not familiar with the RCI score / I can't estimate my current score</t>
  </si>
  <si>
    <t>A little bit, I can roll the restored skin that I got restored above the corona, but that's about it so far (I'm not completely restored yet) I do feel a little more intensity though.</t>
  </si>
  <si>
    <t xml:space="preserve">It has helped, the quality is better, and the orgasms and intensity are better </t>
  </si>
  <si>
    <t>It doesn't matter to me.</t>
  </si>
  <si>
    <t>The most challenging part is patience and not having the money to buy restore-devices. The most rewarding is seeing the progress.</t>
  </si>
  <si>
    <t>Start off slow, and don't start do too much at first/once, you'll hurt yourself doing that.</t>
  </si>
  <si>
    <t>That they were extremely uncommon and weird.</t>
  </si>
  <si>
    <t>It was usually: well, everyone else has them.</t>
  </si>
  <si>
    <t>All the above.</t>
  </si>
  <si>
    <t>The consequences and the set backs from it, and that their all irresponsible.</t>
  </si>
  <si>
    <t>It's a invisible demon that lingers and plays with people's minds to get them to do something evil and irreversible.</t>
  </si>
  <si>
    <t>No, I'd prefer to skip that section and proceed to the next section</t>
  </si>
  <si>
    <t>When I found out what circumcision was.</t>
  </si>
  <si>
    <t>I have not disclosed my journey to anyone</t>
  </si>
  <si>
    <t xml:space="preserve">The progress I see, the more clean and clear I become. </t>
  </si>
  <si>
    <t>My goal is get back what was taken from as much as a possibly can.</t>
  </si>
  <si>
    <t>SC - South Carolina</t>
  </si>
  <si>
    <t>Senses pressure and temperature</t>
  </si>
  <si>
    <t>Very strong and I am 75</t>
  </si>
  <si>
    <t>Sensitivity and sexual ability into older years</t>
  </si>
  <si>
    <t>Never hygiene, feel sorry for the circumcised</t>
  </si>
  <si>
    <t>significant I had my first orgasm the night the foreskin retracted spontaneously</t>
  </si>
  <si>
    <t>Male G spot</t>
  </si>
  <si>
    <t xml:space="preserve">uncircumcised is a hate word. Impossible to uncircumcised.
</t>
  </si>
  <si>
    <t>Its abnormal and it is not their penis to modify</t>
  </si>
  <si>
    <t>People didn't speak about this. Men were skewed to speak.</t>
  </si>
  <si>
    <t>Normal is natural leave him alone</t>
  </si>
  <si>
    <t>Iran</t>
  </si>
  <si>
    <t>Shia</t>
  </si>
  <si>
    <t>As a child, I was told that this was an Islamic custom and that as a Muslim you had to be circumcised, but I never accepted this.</t>
  </si>
  <si>
    <t>It is usually strongly recommended to do so.</t>
  </si>
  <si>
    <t>Among very religious Muslims, there is little flexibility. But in my country (Iran), if there is a conflict between religion and science, people, especially young people, accept science.</t>
  </si>
  <si>
    <t>Not circumcising is not something that is considered by Muslims.
I have seen several Muslim and religious families in Iranian cyberspace who have not circumcised their sons and who cite the perfect and flawless creation of man as stated in the Quran. But this is very rare.
There is a strong contradiction between the verses of the Quran and the hadiths of the prophets regarding circumcision, which you are probably familiar with, but Muslims do not think about it. I have tried to discuss this issue with several very religious people several times, but they considered it an insult and of course had no response.</t>
  </si>
  <si>
    <t>The head of the penis is dry and usually painful to the touch. The right side of the penis has almost no sexual sensation, while the left side is very sensitive.</t>
  </si>
  <si>
    <t>This process is quick and transient. It is often just a reaction rather than a pleasurable release.</t>
  </si>
  <si>
    <t>I masturbated with my foreskin intact as a teenager. It was enjoyable at first, but over time it caused severe dryness in my penis. After that, I use lubricant.</t>
  </si>
  <si>
    <t>I think the only benefit is to fit in with society and escape the pressure to be different. Of course, this is much, much easier for me to bear than the problems of circumcision.</t>
  </si>
  <si>
    <t>Yes, absolutely!
I was circumcised when I was a few months old. My circumcision was in front of my mother and it really bothered her and my father. They both described my circumcision as very painful and bitter and told me that we had no choice!
After the circumcision, I had problems with urinary retention and cried for a long time and was restless for about a whole day.
But that wasn’t my main problem!
I have two sisters and since childhood I knew that circumcision was only for me, this affected me deeply. I thought that the part of my body that made me a boy was inherently wrong. I was 5 years old when I understood this.
I forgot about it and when I was about 12 years old everything came back to life. When I saw a picture of an uncircumcised man’s body, I realized that I was missing a big part and my attention was drawn to the severed head of the penis, the part that is the source of pleasure! I studied this topic for months and became obsessed. I felt hatred towards my parents. I went to a counselor for about 5 sessions about circumcision when I was 18. This issue bothered me every day for 6 years.
My negative feelings about my body reduced my sexual pleasure in masturbation and I was in a negative cycle. I even thought about suicide.
I am happy that I have been in recovery for a year, but this issue is still sensitive for me.
I also think that I am a weak person because of my strong emotions.</t>
  </si>
  <si>
    <t>Hygiene: Belief that circumcision makes the penis easier to keep clean or is inherently more hygienic., 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 Religious Reasons: Performed as a religious ritual (e.g., Brit Milah in Judaism, Khitan/Sunnet in Islam) or based on religious belief., Prophylactic Health Reasons (General Prevention): Belief that it prevents potential future health problems (e.g., infections, inflammation, later penile issues) that were not currently present.</t>
  </si>
  <si>
    <t>There is no problem with this.</t>
  </si>
  <si>
    <t>I've been studying various aspects of it for several years! I was curious about everything.</t>
  </si>
  <si>
    <t>When I was 18, I had 5 sessions with a psychologist about circumcision and its consequences. I was also given sedatives a few times when I was so affected.</t>
  </si>
  <si>
    <t>I first had strong feelings about circumcision when I was 5 years old.
Topics that stir my feelings:
A doctor's support for circumcision
The news of a child being circumcised
Mocking negative feelings about circumcision
Religious Muslims or Jews! (They remind me of circumcision)</t>
  </si>
  <si>
    <t>I think this story is the best answer:
One day in an online chat I told my mother that my circumcision and the fact that it had affected my psyche for years was the price I paid for being Muslim. (With insults and criticism of Islam)
My mother was immediately upset, more because of my deep discomfort with this than because of my criticism of Islam. She called me immediately (I was in another city at the time) and was very upset. She understood my feelings perfectly and cried on the phone and said that if I had known it would be like this, I would never have done it. I was thinking of you and I thought it would be good for you.</t>
  </si>
  <si>
    <t>In previous years (like when I was circumcised) religion played a more important role, but now doctors are pushing more people towards circumcision. (Iranian youth is not very religious.)</t>
  </si>
  <si>
    <t>Both now and in the past:
Uncircumcised is dangerous and causes infections
Dangerous to society (increases AIDS and sexually transmitted diseases)
Women don't like it and it causes problems during marriage</t>
  </si>
  <si>
    <t>Clean
Normal and Natural
Healthier and Better
Significant transition from childhood to adulthood</t>
  </si>
  <si>
    <t>I think the reason women in Iran are attracted to circumcised penises is because they are no strangers to it!</t>
  </si>
  <si>
    <t>That circumcision is not a practice based on science and scientific evidence
It is a purely cultural practice</t>
  </si>
  <si>
    <t>The explanation was very thorough.
Circumcision is the removal of healthy, functional tissue, so it is definitely considered an injury. This injury lasts a lifetime and is irreversible.
Just like female circumcision in Africa, this practice is made normal and natural by culture.</t>
  </si>
  <si>
    <t>I have long hated Islam and Judaism because of my circumcision, even though all my relatives are Muslim. Now this feeling has diminished, but it will never go away.
In the meantime, I am ready to do whatever I can to raise awareness. Incidentally, today, I started making Persian subtitles for the documentary “American Circumcision” to convey this message to Persian speakers. Once in high school and again in university, I gave a conference to my classmates about the disadvantages and harms of circumcision.
I also have a Telegram channel where I inform about the harms of circumcision. I created this channel a year ago.
I plan to create a Persian version of the website “doctorsopposingcircumcision.org” to fill the gap in scientific resources about circumcision in Iran, but I currently do not have enough funds.
For research purposes or any other reason:
amin1384se@gmail.com</t>
  </si>
  <si>
    <t>I am very interested in sharing my perspective or story and would like to help. I will accept any method that is confidential.</t>
  </si>
  <si>
    <t>I was scared when I first saw them! But then they seemed normal and didn't matter anymore.</t>
  </si>
  <si>
    <t>Increased sensitivity in areas, bit requiring lube for masturbation, protection of the glans</t>
  </si>
  <si>
    <t>Those feelings only briefly occurred in my early teenage years when I was first exposed to American pornography. All of the men were circumcised in the videos</t>
  </si>
  <si>
    <t xml:space="preserve">This is an essential part of the penis. I couldn't imagine living without it. </t>
  </si>
  <si>
    <t xml:space="preserve">It's a sensitive spot. I have a masturbation sleeve with a vibrator that stimulates that area and it provides an extreme level of pleasure </t>
  </si>
  <si>
    <t>All of the above. Particularly how much the sensitivity is reduced. When I was young my penis was extremely sensitive. This has lessened over time with age, and I've often wondered how aging circumcised men experience a reduction in sensitivity over time</t>
  </si>
  <si>
    <t>The scar band on a circumcised penis seems to be the most sensitive area</t>
  </si>
  <si>
    <t xml:space="preserve">I don't mind uncut. Intact is fine too. Don't particularly care for foreskinned or uncircumcised </t>
  </si>
  <si>
    <t>I have never had an issue with my penis and can't imagine living without a foreskin. There's literally no good reason for this barbaric surgery</t>
  </si>
  <si>
    <t xml:space="preserve">"Dick cheese" would come up occasionally </t>
  </si>
  <si>
    <t>Circumcision was mostly associated with Jews</t>
  </si>
  <si>
    <t xml:space="preserve">After watching a video of the procedure being performed I couldn't understand how anyone could do that to another human being. The fact that it has been normalized is absolutely abhorrent </t>
  </si>
  <si>
    <t>I actively recommend AGAINST the procedure, citing ethical/medical reasons.</t>
  </si>
  <si>
    <t>Guidelines from international medical bodies (e.g., from Europe, Canada, Australia), Independent research I've done myself, Conversations with mentors or senior colleagues, Personal beliefs or experiences</t>
  </si>
  <si>
    <t>“What about what his father thinks?”</t>
  </si>
  <si>
    <t xml:space="preserve">Honestly perspective is shifting. In nursing school 10+ years ago I refused to participate in a circ saying it was technically illegal. Physician used a 15 scalpel and sugar water doing the procedure regardless. Baby got a collapsed lung from screaming. Providers now are at least giving anesthetic (usually) </t>
  </si>
  <si>
    <t xml:space="preserve">Sleeping with a long term parter who was a cut man he hated that his mother had a forever decision in our sex life </t>
  </si>
  <si>
    <t xml:space="preserve">Your survey is too long </t>
  </si>
  <si>
    <t xml:space="preserve">I’m a pediatric nurse, I’ve had issues because I refuse to have anything to do with circs. My partner (lawyer) was in the process of legal action against parents and providers that did his. Men are not thankful. </t>
  </si>
  <si>
    <t>Never; it's not a part of the standard informed consent process I'm familiar with.</t>
  </si>
  <si>
    <t>Deeply Inadequate: Parents are often pressured or given incomplete information, undermining true informed consent.</t>
  </si>
  <si>
    <t>Yes, frequently.</t>
  </si>
  <si>
    <t xml:space="preserve">I see complications of it more frequently at least that twice the rate of any boy left with his natural anatomy. Parents arguments of doing it when he won’t remember doesn’t apply to how many have to get corrections done at later ages because of unnecessary cosmetic surgery </t>
  </si>
  <si>
    <t xml:space="preserve">Cut adult men wanting their child’s genitals to look like theirs (that has needed 2 corrections and viagra to make functional) </t>
  </si>
  <si>
    <t>I am Intact</t>
  </si>
  <si>
    <t>It will be significantly less common, but still regularly practiced.</t>
  </si>
  <si>
    <t>Science/Research/Academia, Law/Government/Public Service</t>
  </si>
  <si>
    <t>Nope. Never mentioned outside of "God made the ancient jews do it."</t>
  </si>
  <si>
    <t xml:space="preserve">The glans and the scar line are the most sensitive </t>
  </si>
  <si>
    <t>Very quick, not full body</t>
  </si>
  <si>
    <t>Feels great, but it's expensive and messy</t>
  </si>
  <si>
    <t xml:space="preserve">It's easier to clean, I guess. Not that cleaning an intact penis seems very difficult. </t>
  </si>
  <si>
    <t>Oh man, the loss of all my erogenous tissue, loss of my normal appearance, keratinization, loss of normal functions like the gliding of the skin. So much.</t>
  </si>
  <si>
    <t>To Look Like Father/Peers: Desire for the son's penis to match the father's or other males in the family/community., 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 Just standard practice: Based on observing its prevalence, assumed it was the default medical procedure without a specific individual reason., Aesthetic Preference / To Look "Better" or "Neater": Belief that the circumcised penis looks more visually appealing, "prettier," or tidier than an intact one., Prophylactic Health Reasons (Specific Disease Prevention - e.g., Cancer, STIs, HIV, UTIs): Belief that it lowers the risk of specific diseases later in life (e.g., penile cancer, certain sexually transmitted infections like HIV or HPV, infant urinary tract infections - UTIs)., Parent's General Preference: Parents simply preferred the circumcised appearance or state without specific medical, religious, or cultural reasons being primary.</t>
  </si>
  <si>
    <t xml:space="preserve">I have virtually no inner foreskin, no frenulum, and a large, prominent scar. </t>
  </si>
  <si>
    <t>Different sensations, gliding motion, intensity of sensation</t>
  </si>
  <si>
    <t>After I learned I had been lied to about the benefits.</t>
  </si>
  <si>
    <t>Scaring, urinary spraying,</t>
  </si>
  <si>
    <t xml:space="preserve">I wish you had listened when my pediatrician told you there was no reason to cut up my genitals. </t>
  </si>
  <si>
    <t xml:space="preserve">They believe it prevents infections and diseases. </t>
  </si>
  <si>
    <t>The common stereotype is that intact penises all are hotbeds for disease, infections, and uncleanliness.</t>
  </si>
  <si>
    <t>That it's the norm and optimal thing to do</t>
  </si>
  <si>
    <t>Ideas about what is normal, healthy, and lack of exposure to the other state.</t>
  </si>
  <si>
    <t xml:space="preserve">There are no benefits to circumcision and it is not necessary for a normal, healthy life. </t>
  </si>
  <si>
    <t xml:space="preserve">I wish I had not been circumcised. I am very upset about it and I wish I could get back what I lost. I regularly donate to foregen, hoping someday, to regain what I lost. </t>
  </si>
  <si>
    <t>Medical Diagnosis: Phimosis (inability to retract the foreskin), Aesthetic Preference: I (or my partner/parents) preferred the appearance of a circumcised penis., Perceived Hygiene Benefits: A belief that it would be cleaner or easier to care for., Social Conformity: A desire to "look like" peers or fit a cultural norm.</t>
  </si>
  <si>
    <t>AR - Arkansas</t>
  </si>
  <si>
    <t>Hmm generally not very sensitive</t>
  </si>
  <si>
    <t xml:space="preserve">I’m an edger, so typically I have pretty intense orgasms due to the build up. Maybe lasting about 10-15 seconds with additional spasms after. </t>
  </si>
  <si>
    <t>No lubricant is possible because I’m restoring, but because I’m not restored, skin pulling doesn’t feel as good as actually stroking under the head -</t>
  </si>
  <si>
    <t xml:space="preserve">It sucks cause sometimes I’m unable to put into words what my needs are cause occasionally nothing feels particularly sensitive    </t>
  </si>
  <si>
    <t>Reclaim what was taken, Regain gliding motion, Increased overall sensitivity, Feel more 'natural' or 'whole', Improve sexual pleasure/orgasms, Improve gliding mechanics/reduce need for lube, Achieve glans coverage and dekeratinization</t>
  </si>
  <si>
    <t>CAT || Q for early stages, DTR for more advanced stretching and discretion, manual tugging, and CAT II Q retainer</t>
  </si>
  <si>
    <t xml:space="preserve">Yes. They’ve typically been pretty supportive of it. </t>
  </si>
  <si>
    <t xml:space="preserve">YES! I noticed sensitivity changes immediately once I started tugging with devices consistently due to dekeratinization of the glans. As well as the inner skin. It varies though. </t>
  </si>
  <si>
    <t xml:space="preserve">Yes, increased sensitivity. </t>
  </si>
  <si>
    <t xml:space="preserve">I don’t really care tbh. I think the reality is that people use the terms because it’s a reality. Circumcision happens. And while no, it isn’t the natural state, I think naturally through time the word usage will change. I don’t find as much intrigue in the semantics as I do the knowledge that it’s not necessary.  </t>
  </si>
  <si>
    <t xml:space="preserve">Keeping going is tough. It’s harder when I’m sexual active so I can’t wear it as much due to skin peeling or the excess cleaning I have to do to be presentable. Most rewarding part is definitely the sensations and seeing the difference. </t>
  </si>
  <si>
    <t xml:space="preserve">If it’s on your mind, do it. It’s your body and it always has been. </t>
  </si>
  <si>
    <t xml:space="preserve">I think it’s really cool and I hope to see it become accessible for guys like me. I’d heard of foregen before moving to WA and just recently found out they have an office here. I’d love to connect with them in some way outside of the newsletter. </t>
  </si>
  <si>
    <t xml:space="preserve">It varies from person to person, but all in all it’s just a bunch of social norms. Nothing rooted in fact.  </t>
  </si>
  <si>
    <t xml:space="preserve">They’re the norm. They’re clean. </t>
  </si>
  <si>
    <t>Porn, not having the option in the beginning</t>
  </si>
  <si>
    <t xml:space="preserve">That men deserve to choose. Bodily autonomy is importante- even for a kid. Don’t take anything from someone who isn’t given a choice. </t>
  </si>
  <si>
    <t xml:space="preserve">“Monster” feels a bit dramatic to me but I get it. The act in itself is wrong. Bottom line no one should choose for you. </t>
  </si>
  <si>
    <t xml:space="preserve">I’m down for whatever honestly. Seems like a good route to go down. </t>
  </si>
  <si>
    <t xml:space="preserve">Found a small flyer in the portapotty during a science fair at my job. </t>
  </si>
  <si>
    <t xml:space="preserve">Well.. I wasn’t really aware of what foreskin was til I saw it in porn and I started testing to understand things from an anatomical perspective. When I realized what its purpose was, I felt a little betrayed. Out of curiosity I wondered if you could get it back, now here we are. </t>
  </si>
  <si>
    <t xml:space="preserve">It brought me closer to my body I think. I started thinking about my own body, autonomy, and that of others. It was nice to find out I wasnt alone in a lot of these feelings as well. </t>
  </si>
  <si>
    <t xml:space="preserve">Full flacos coverage maybe? I at the very least want a smooth and protected glans. </t>
  </si>
  <si>
    <t>Taxi</t>
  </si>
  <si>
    <t>Non-Binary, Genderfluid</t>
  </si>
  <si>
    <t>My parents never really talked about anything penis related. Or sex in general</t>
  </si>
  <si>
    <t>I'm no longer a christian, but stuck living with christians who want me to believe</t>
  </si>
  <si>
    <t>nothing on the shaft, nor on the skin leading up to the glans from the scar, glans has become more sensitive (I think?, I hope?) from wearing a silicone retainer on it every day for over a year</t>
  </si>
  <si>
    <t xml:space="preserve">Orgasm feels like trying to hold pee in, really trying and then after ejaculation just pain/disconfort until I pull out. </t>
  </si>
  <si>
    <t>When pleasuring the traditional way with a toy, yes, I will use lube. But I sometimes just squeeze my genetalia between my legs, so I don't use lubrication when I do it that way.</t>
  </si>
  <si>
    <t>No phimosis i guess</t>
  </si>
  <si>
    <t xml:space="preserve">Pain after ejaculation, not being normal, not feeling anything for a majority of interactions, </t>
  </si>
  <si>
    <t>Just standard practice: Based on observing its prevalence, assumed it was the default medical procedure without a specific individual reason., To Look Like Father/Peers: Desire for the son's penis to match the father's or other males in the family/community.,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Aesthetic Preference / To Look "Better" or "Neater": Belief that the circumcised penis looks more visually appealing, "prettier," or tidier than an intact one., Prophylactic Health Reasons (Specific Disease Prevention - e.g., Cancer, STIs, HIV, UTIs): Belief that it lowers the risk of specific diseases later in life (e.g., penile cancer, certain sexually transmitted infections like HIV or HPV, infant urinary tract infections - UTIs)., 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t>
  </si>
  <si>
    <t>Peer &amp; Social Pressure (The "Fitting In" Factor): The widespread belief that "everyone else is doing it," and a desire for you to avoid being seen as different in locker rooms or later in life. (The power of broad social conformity)., 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t>
  </si>
  <si>
    <t>No glans coverage, when soft, about 1cm between bottom of glans and scar, less skin on the center both on the top and underside of the penis, and left hand side has more skin.</t>
  </si>
  <si>
    <t>Everything mentioned in the examples, plus having it covered naturally for all the years that have gone by</t>
  </si>
  <si>
    <t>They first emerged in my early twenties when I started really thinking about boys</t>
  </si>
  <si>
    <t>Different mother, both of us were premature, but his mother decided against it to save him pain after birth. Was also born in a different province. Where I was born in my city's jewish hospital if that matters...</t>
  </si>
  <si>
    <t>From what I've heard from some coworkers and my mother, that intact penises just lead to problems like dick cheese or problems when getting to old age.</t>
  </si>
  <si>
    <t>Thoughts about consequences down the line. As, you know... Permanent. And if they don't like it, well, it's done and gone.</t>
  </si>
  <si>
    <t>Just as explained, it is hidden in plain sight because people don't like talking penises, and when they do, they just talk negatively, and what is the scapegoat? intact penises.</t>
  </si>
  <si>
    <t>Maybe through an interview in VRChat</t>
  </si>
  <si>
    <t>I don't put too much hope in people in western countries where religion is really prevalent. They'll continue to be duped by fantasy books and medics with an interest in cutting.</t>
  </si>
  <si>
    <t>Perceived Hygiene Benefits: A belief that it would be cleaner or easier to care for., Social Conformity: A desire to "look like" peers or fit a cultural norm., The belief that I would end up straight and that women preferred cut penises</t>
  </si>
  <si>
    <t>Seamstris for Dry Cleaners, at home</t>
  </si>
  <si>
    <t>Dry Cleaner=Owned business</t>
  </si>
  <si>
    <t>My cock head, my balls, my taint, my anus and prostate</t>
  </si>
  <si>
    <t>I am a gooner and edger. Feels way intense, after hours of play. Quickies are OK, but I really get into longer sessions for mastrubation bliss.</t>
  </si>
  <si>
    <t>I like to wake up my prostate with toy. I always use a lube shooter to lube up inside rectum. Also use a penis pump=electronic suction, and Fleshlight needs lubed up well.</t>
  </si>
  <si>
    <t>In US, being cut is the norm I have experienced. Easier on GF to figure out. She was glad when we first got together, that I was cut. More familiar for her.</t>
  </si>
  <si>
    <t xml:space="preserve">I have not been impacted with any drawbacks for challenges. One less thing on my body that I have to cleanse regularly. </t>
  </si>
  <si>
    <t>Is me-Unique and fully functional,</t>
  </si>
  <si>
    <t>The sensitive head, and ability of shooting ropes across me, Frenujum</t>
  </si>
  <si>
    <t>Thanks</t>
  </si>
  <si>
    <t>More invold to wear comdom. most women are not experienced with pleasuring with forskin.</t>
  </si>
  <si>
    <t>That the glans would be too sensitive wearing underwear.</t>
  </si>
  <si>
    <t xml:space="preserve">the goverment with god
</t>
  </si>
  <si>
    <t>feel not so much</t>
  </si>
  <si>
    <t>come quick</t>
  </si>
  <si>
    <t>cleanness</t>
  </si>
  <si>
    <t xml:space="preserve">no
</t>
  </si>
  <si>
    <t>Religious Reasons: Performed as a religious ritual (e.g., Brit Milah in Judaism, Khitan/Sunnet in Islam) or based on religious belief., Parent's General Preference: Parents simply preferred the circumcised appearance or state without specific medical, religious, or cultural reasons being primary., Hygiene: Belief that circumcision makes the penis easier to keep clean or is inherently more hygienic., Cultural Tradition/Family Norm: It was a strong family tradition, cultural expectation, or simply "what people in our community did.", Prophylactic Health Reasons (General Prevention): Belief that it prevents potential future health problems (e.g., infections, inflammation, later penile issues) that were not currently present., To Look Like Father/Peers: Desire for the son's penis to match the father's or other males in the family/community., Controlling/Restricting Masturbation: A belief that circumcision would reduce the urge or ability to masturbate (a view common in certain historical eras).</t>
  </si>
  <si>
    <t>Prevailing Moral Beliefs about Sexuality (e.g., concern over masturbation):, Paternal Influence (The "Like Father" Factor): A specific desire for you to genitally match your father or other male family members. (The power of conformity within the family unit)., Religious Mandate/Tradition: A direct requirement or strong cultural expectation stemming from their religious beliefs and community. (The power of faith).</t>
  </si>
  <si>
    <t xml:space="preserve">very tight low circumcised </t>
  </si>
  <si>
    <t xml:space="preserve">Sensation </t>
  </si>
  <si>
    <t xml:space="preserve">with 8 years circumcised again because my parents mean it was tight enough. sometimes I have had the glans half covered. now my penis sti k out when flaccid. </t>
  </si>
  <si>
    <t>after the second circumcision the tightness</t>
  </si>
  <si>
    <t>why ?</t>
  </si>
  <si>
    <t xml:space="preserve">it is normal with foreskin </t>
  </si>
  <si>
    <t>no much</t>
  </si>
  <si>
    <t>intact is better</t>
  </si>
  <si>
    <t xml:space="preserve">Hessen </t>
  </si>
  <si>
    <t>Perceived Hygiene Benefits: A belief that it would be cleaner or easier to care for., Religious Conversion or Affirmation</t>
  </si>
  <si>
    <t xml:space="preserve">Not very sensitive </t>
  </si>
  <si>
    <t xml:space="preserve">None </t>
  </si>
  <si>
    <t xml:space="preserve">Yes. Lack of sensitivity. Lack of motility. </t>
  </si>
  <si>
    <t>Don't know/Not told, Don't Know/Not Told: The reasons were never explained or learned later., Just standard practice: Based on observing its prevalence, assumed it was the default medical procedure without a specific individual reason.</t>
  </si>
  <si>
    <t>Direct Medical Authority: Specific advice from their obstetrician, pediatrician, or the hospital staff where you were born. (The voice of a trusted professional)., Institutional Medical Norm: The general belief that "this is just the standard procedure" at hospitals, making it a routine, unquestioned part of postpartum care. (The power of the system).</t>
  </si>
  <si>
    <t xml:space="preserve">Not much mobility due to lack of skin. </t>
  </si>
  <si>
    <t xml:space="preserve">Sensation of foreskin, gliding motion, trigger caused by frenulum. </t>
  </si>
  <si>
    <t xml:space="preserve">As a small child I saw my cousin who was intact. I then knew I had been cut. It bothered me everyday since then. Appearance and lack of sensitivity are main aspects of </t>
  </si>
  <si>
    <t xml:space="preserve">Wish you had protected your baby. </t>
  </si>
  <si>
    <t xml:space="preserve">Cut cannot be undone. His body his decision. </t>
  </si>
  <si>
    <t xml:space="preserve">Too many men living through trauma that they don’t understand. </t>
  </si>
  <si>
    <t xml:space="preserve">Knowing that I had my body cut for no medical reason placed a barrier between me and my parents. </t>
  </si>
  <si>
    <t>italy</t>
  </si>
  <si>
    <t>Generation Alpha (born 2013-Present)</t>
  </si>
  <si>
    <t>Stay-at-Home Parent / Homemaker, I'm not sure</t>
  </si>
  <si>
    <t>I don’t think any. Given how I can’t have my natural body.</t>
  </si>
  <si>
    <t xml:space="preserve">The psychological impact mainly, immense terrible feeling and dread. Lack of sensation I’ll never experience, violation of my body by people who were supposed to help me, and the lack of empathy and care. </t>
  </si>
  <si>
    <t>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 Just standard practice: Based on observing its prevalence, assumed it was the default medical procedure without a specific individual reason., Parent's General Preference: Parents simply preferred the circumcised appearance or state without specific medical, religious, or cultural reasons being primary., Don't Know/Not Told: The reasons were never explained or learned later., Prophylactic Health Reasons (General Prevention): Belief that it prevents potential future health problems (e.g., infections, inflammation, later penile issues) that were not currently present., These are truly all speculation, I have no way of knowing. But I could ask.</t>
  </si>
  <si>
    <t>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 Family Tradition/Pressure: The expectation from grandparents or other influential relatives; the idea that "it's what the men in our family have always done." (The power of heritage).</t>
  </si>
  <si>
    <t xml:space="preserve">I have some at the head. </t>
  </si>
  <si>
    <t xml:space="preserve">Everything. Everything beneficial I was robbed of. </t>
  </si>
  <si>
    <t xml:space="preserve">I always feel Immense dread, panicking fear/heart beating scary feelings, and some resentment. I learned about it 2 years ago as a teen and was in mortified, and terrified. The fact that my mother and family said yes and that people who were supposed to “do no harm” did this to me. The fact that mothers trivialize it, fathers treat it like it’s normal, that doctors say it’s beneficial, that nurses mutilate boys without a second thought. That there exists NO PROTECTION for boys like there does girls. The lies, hypocrisy, medicalization and above all the lack of awareness and empathy, treating THIS like it’s normal. It will always hurt. </t>
  </si>
  <si>
    <t xml:space="preserve">There is so much to say, yet so little. I am torn. 
There is so much hurt that this has caused me, caused willingly by my own mother, my supposed protector, because she was didn’t do her due diligence as a parent of a son or caved to pressure from people who were not my mom who birthed me. The fearful, dreadful, distrustful and panicking realization that I was mutilated, that a natural healthy and sensitive part of me was cut from me against my will, a defenseless infant, with me screaming pain by people who were supposed to “do no harm” to me and it thrown away like trash. Being uncomfortable to even go to the bathroom. The thing about things that you cannot get back is that conversation and accountability seems pointless yet you want it so bad. I don’t know what I want. Anything I feel I’ll get will be forever insufficient. The disconnect on the conversation. I do not think this loss can ever be resolved or reconciled. </t>
  </si>
  <si>
    <t>That they were “unclean” that those who had them and advocated for boys to not be mutilated just wanted “dick cheese”, that boys would get infections. That it is “ugly” All of the “downsides”</t>
  </si>
  <si>
    <t xml:space="preserve">That it’s “hygienic”, and “clean” that doctors recommend it so it should be done, that it “looks better” that it’s “normal”, that the procedure is “painless”. Any lie you can find about or know about the topic, was most likely believed but I just listed a few. There are far too many. </t>
  </si>
  <si>
    <t>Answers listed: hygiene, aesthetics learned from pornography, lack of experience with one type or the other, cultural familiarity. Viz</t>
  </si>
  <si>
    <t xml:space="preserve">That you are robbing an infant of their natural body against their will because of lies, something that can never be reversed for the rest of their life that will impact them at that realization. Harshly. </t>
  </si>
  <si>
    <t xml:space="preserve">Because it is a: human rights abuse that is seen as normal. That phrase should never be a thing, ever. </t>
  </si>
  <si>
    <t xml:space="preserve">I truly hope that this can make a difference, thank you, I hope what I have said means something, even a little. Thank you for allowing me to express this. Thank you. </t>
  </si>
  <si>
    <t xml:space="preserve">I truly do not know, given how strong a grip advocates, medical professionals have, I have no idea. </t>
  </si>
  <si>
    <t xml:space="preserve">Aesthetic Preference: I (or my partner/parents) preferred the appearance of a circumcised penis., Perceived Hygiene Benefits: A belief that it would be cleaner or easier to care for., Social Conformity: A desire to "look like" peers or fit a cultural norm., A mix of those three likely, again I truly don’t know, I can only speculate. </t>
  </si>
  <si>
    <t>White / Caucasian / European American, Black / African American / African / Afro-Caribbean, Multiracial / Biracial</t>
  </si>
  <si>
    <t>Culturally Christian (but not practicing/believing)</t>
  </si>
  <si>
    <t>No, I was only told how disgusting I would have been if not mutilated.</t>
  </si>
  <si>
    <t xml:space="preserve">Touching the head of my penis is uncomfortable and painful when dry, when wet usually just uncomfortable. If the head is focused on it does not feel good. I have remnants of my frenulum I only gain pleasure from the small area but only spontaneously throughout sex followed by pain and uncomfortable. Orgasms feel like pressure and then nothing, maturation feels like nothing but usually pain, numbness. I frequently go numb during sex. These affects are so severe that I never used my penis until hormone replacement therapy, when I gain a full-body orgasm, only than had I actually organized. </t>
  </si>
  <si>
    <t>Orgasm tend to feel like pressure then that's it. I don't have organs really.</t>
  </si>
  <si>
    <t>Masturbating with lubricant or lotion is uncomfortable and goes numb after a while. Masturbating dry is painful.</t>
  </si>
  <si>
    <t>Sex tends to feel mild, with pain, and uncomfortability. I have a huge scar on my throat, the sensations are similar.</t>
  </si>
  <si>
    <t>No advantages, this sucks</t>
  </si>
  <si>
    <t>I do not like sex using my penis. Tight and painful elections. Curved penis. Loss of almost total sensation. Painful and numb sex.</t>
  </si>
  <si>
    <t>Hygiene: Belief that circumcision makes the penis easier to keep clean or is inherently more hygienic., Prophylactic Health Reasons (Specific Disease Prevention - e.g., Cancer, STIs, HIV, UTIs): Belief that it lowers the risk of specific diseases later in life (e.g., penile cancer, certain sexually transmitted infections like HIV or HPV, infant urinary tract infections - UTIs)., Medical Advice (without stated necessity): Recommended by a doctor or healthcare provider without explaining a specific existing medical problem, perhaps framing it as routine or generally beneficial.</t>
  </si>
  <si>
    <t>Prevailing Health &amp; Hygiene Beliefs: General societal "knowledge" at the time—gleaned from various sources—that presented circumcision as being fundamentally cleaner, healthier, or preventive of future diseases. (The power of a cultural 'truth')., Direct Medical Authority: Specific advice from their obstetrician, pediatrician, or the hospital staff where you were born. (The voice of a trusted professional)., Family Tradition/Pressure: The expectation from grandparents or other influential relatives; the idea that "it's what the men in our family have always done." (The power of heritage).</t>
  </si>
  <si>
    <t>I have a huge thick scar. Pieces of my frenulum. The head looks rough and dry like the whole penis. Curved, with what lookes like a ligament or bone the the middle bending upward.</t>
  </si>
  <si>
    <t>Experiencing severe without pain. A frenulum that doesn't hurt. Elections that aren't painful.</t>
  </si>
  <si>
    <t>When I first began to masturbate I noticed it didn't feel good, I was a preteen. I did researched, read medical docs. Being raised by someone, my mother, who has intact genitals but took that from you, and took sex from you, and made fun of your mutilation, kills you. I will never trust anyone ever</t>
  </si>
  <si>
    <t>Painful erections 
Painful scar and prominent 
Almost total lack of sensation 
No orgasm
Urinary spraying
Urinary retention problems</t>
  </si>
  <si>
    <t>We all deserve bodily autonomy. If you have intact genitals, then you know what that is like. You have no excuse then to take it from someone else.</t>
  </si>
  <si>
    <t>I am a Trans woman and my body deserves the same right to bodily autonomy that the cis woman in my family were freely given without question.</t>
  </si>
  <si>
    <t>Smelly
Unclean</t>
  </si>
  <si>
    <t xml:space="preserve">Christian propaganda and then medical propaganda for money </t>
  </si>
  <si>
    <t>Circumcision turns the penis from an analog of the vagina to a desensitized stick.</t>
  </si>
  <si>
    <t>This is all obvious and anyone with intact genitals knows how amazing it is...so this is mallous.</t>
  </si>
  <si>
    <t>Some pieces of rigged band and frenular delta remain, frenulum is non functional.</t>
  </si>
  <si>
    <t>Sudden and brief, slightly more intense than normal sensation. Deeply disappointing experience.</t>
  </si>
  <si>
    <t>Overtime the skin has stretched and it's possible without, but it's an even worse experience.</t>
  </si>
  <si>
    <t>I cant feel much while they say it feels incredible for them, it's like were not even sharing the same experience.</t>
  </si>
  <si>
    <t>None, it's only made me feel like I was better off dead my whole life.</t>
  </si>
  <si>
    <t>I've been on disability for most of my life because of this.</t>
  </si>
  <si>
    <t>Direct Medical Authority: Specific advice from their obstetrician, pediatrician, or the hospital staff where you were born. (The voice of a trusted professional)., Paternal Influence (The "Like Father" Factor): A specific desire for you to genitally match your father or other male family members. (The power of conformity within the family unit).</t>
  </si>
  <si>
    <t>Dried, cracked, skin with an uneven dark scar, very tight earlier on, but over time has stretched a little with many stretch marks.</t>
  </si>
  <si>
    <t>The pleasure and not feeling pain.</t>
  </si>
  <si>
    <t>As early as age 8, and any discussion of the topic reminds me of being abused.</t>
  </si>
  <si>
    <t>Pain around the scar, scrapping of clothes around the urethra causing more pain.</t>
  </si>
  <si>
    <t>I was better off being aborted than living like this.</t>
  </si>
  <si>
    <t>The look weird.</t>
  </si>
  <si>
    <t>Social factors.</t>
  </si>
  <si>
    <t>Almost all the pleasure felt by the penis comes from structures in the foreskin.</t>
  </si>
  <si>
    <t>It causes immense harm to people and many don't even understand what is going on.</t>
  </si>
  <si>
    <t>It completely and utterly ruined me. I'm stuck living a fate worse than death, and Foregen is the only reason I'm struggling to go on living for now.</t>
  </si>
  <si>
    <t>Aesthetic Preference: I (or my partner/parents) preferred the appearance of a circumcised penis.</t>
  </si>
  <si>
    <t>Aesthetic Preference: A belief, possibly influenced by media or pornography, that the circumcised penis is visually "neater," "more attractive," or the "correct" look. (The power of aesthetics)., 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t>
  </si>
  <si>
    <t xml:space="preserve">Direct touch to head of penis is uncomfortable. Most sensitive area is around circumcision scar. </t>
  </si>
  <si>
    <t xml:space="preserve">Build up to orgasm is average, very linear. Final release is a bit of a letdown, not the best part of the entire process. </t>
  </si>
  <si>
    <t xml:space="preserve">Lube is not necessary but definitely enhances the experience. </t>
  </si>
  <si>
    <t xml:space="preserve">Partner does not have a sense of what touch is enjoyable and which is uncomfortable. </t>
  </si>
  <si>
    <t xml:space="preserve">Cleanliness. Yes you can clean it in the shower, but when covered by skin that freshness only lasts about an hour. Circumcised penis stay cleaner for longer post shower throughout the day. </t>
  </si>
  <si>
    <t xml:space="preserve">Appearance of penis is unsatisfying. Dark and uneven scar. Skin on head of penis textured like a dry dessert. </t>
  </si>
  <si>
    <t xml:space="preserve">Originally, loose with some mobile shaft skin. A lot of inner forskin left. Dark uneven scar. Texture of glans is dry like a dessert floor. Basically think doctor did a sloppy job. </t>
  </si>
  <si>
    <t xml:space="preserve">Sensations. </t>
  </si>
  <si>
    <t xml:space="preserve">When I first learned what circumcision was and that I was circumcised. </t>
  </si>
  <si>
    <t>No message</t>
  </si>
  <si>
    <t>Mildly dissatisfied with sensation or appearance</t>
  </si>
  <si>
    <t xml:space="preserve">Aesthetics </t>
  </si>
  <si>
    <t xml:space="preserve">Ttape manual and oring </t>
  </si>
  <si>
    <t xml:space="preserve">No change in sensitivity whatsoever. </t>
  </si>
  <si>
    <t xml:space="preserve">No. </t>
  </si>
  <si>
    <t xml:space="preserve">Means someone who has not undergone surgery and has their foreskin removed. </t>
  </si>
  <si>
    <t xml:space="preserve">Challenging to find a restoration method and schedule that works personally for you. Once that is found, a restoring routine is easy to get into. </t>
  </si>
  <si>
    <t xml:space="preserve">Find what works for you. Try different method. And also others for their experiences. </t>
  </si>
  <si>
    <t xml:space="preserve">Forgen has been promising results and taking donations forever with nothing to show for it. They sound like a scam. I wouldn’t trust them. And even if, restoration by stretching have been tried and tried, granted it takes a long time, but works. Forgen sounds like snake oil. </t>
  </si>
  <si>
    <t xml:space="preserve">It was unclean. It was unamerican. </t>
  </si>
  <si>
    <t xml:space="preserve">More clean. Showed you were American, not an immigrant. </t>
  </si>
  <si>
    <t xml:space="preserve">Hygiene and experiencing only circumcised as a majority of the population will make people tend to prefer circumcised. </t>
  </si>
  <si>
    <t xml:space="preserve">That their baby may be unhappy and resent their parents decision when they are older. </t>
  </si>
  <si>
    <t xml:space="preserve">I don’t understand the metaphor. Don’t see the connection.  </t>
  </si>
  <si>
    <t xml:space="preserve">Anything that is not too  time consuming. </t>
  </si>
  <si>
    <t xml:space="preserve">Do not have them. </t>
  </si>
  <si>
    <t xml:space="preserve">Seeing Whose Body Whose Rights on TV. </t>
  </si>
  <si>
    <t xml:space="preserve">At first, I liked the look of being uncircumcised, but now I am ambivalent. </t>
  </si>
  <si>
    <t xml:space="preserve">I have had full coverage for over 25 years. I want to see how much more I can achieve in the next 6 months, then I will quit until I feel motivated again to see how much even further I can get. </t>
  </si>
  <si>
    <t xml:space="preserve">Low tight invisible scar </t>
  </si>
  <si>
    <t>Swe</t>
  </si>
  <si>
    <t>complete anestesia</t>
  </si>
  <si>
    <t>there is none</t>
  </si>
  <si>
    <t>bad appearance, peeling, pain, dryness, anorgasmia, insecurity, deformation</t>
  </si>
  <si>
    <t>Don't Know/Not Told: The reasons were never explained or learned later., Controlling/Restricting Masturbation: A belief that circumcision would reduce the urge or ability to masturbate (a view common in certain historical eras)., Punitive/Punishment: Used as a punishment or consequence. (Note: This is rare in standard medical contexts but sadly documented in some historical/abuse settings).</t>
  </si>
  <si>
    <t>A deformed penis with a horrible scar, a dry glans and peeling. Tightness during erection and loss of sensitivity.</t>
  </si>
  <si>
    <t>Having a natural-looking penis, feeling pleasure, orgasm, being able to have sex with a girl, feeling the foreskin slide back, and much more.</t>
  </si>
  <si>
    <t>I hated seeing my penis throughout puberty. I don't want it, I hate my parents for that, as well as society for not caring. Since I can't feel orgasms, I usually consume alcohol or opioids that make me feel pleasure. I think about suicide most of the time.</t>
  </si>
  <si>
    <t>Dryness,, deforming scar, pain during masturbation, deformed glans. completed botched</t>
  </si>
  <si>
    <t>They have just destroyed my life and my sexuality completely. I wish I had died in the hospital so they would truly know the damage they did to me.</t>
  </si>
  <si>
    <t>I believe that intact people are privileged to be born into an environment of love and empathy. And that they will live their lives free and happy.</t>
  </si>
  <si>
    <t>Unfairly damaged</t>
  </si>
  <si>
    <t>Aesthetically, an intact penis is beautiful in its own right, as well as being healthy and bringing pleasure. .</t>
  </si>
  <si>
    <t>They don't care about men's anatomy or sexuality. The foreskin is a fundamental part of pleasure.</t>
  </si>
  <si>
    <t>Because it destroys children's bodies, and society doesn't care about sexuality, it only cares about women.</t>
  </si>
  <si>
    <t>I wish I were dead. I don't think I'm fit to live in this world. I'm not in control of my own body, and apparently nobody cares.</t>
  </si>
  <si>
    <t>I would be delighted to help you not only with your research but also because I would be very grateful to have someone I can trust to talk openly about my bad experience.</t>
  </si>
  <si>
    <t>Barranquilla</t>
  </si>
  <si>
    <t>Barranquilla/Atlantico/Colombia</t>
  </si>
  <si>
    <t>The frenulum and underside are most sensitive</t>
  </si>
  <si>
    <t>Usually gradual build up, final release is usually most pleasurable, brief but sometimes lingering, focused mostly in my penis and testes, but also 'full-body' feeling. deep, satisfying release</t>
  </si>
  <si>
    <t>I only use lube with partners or toys</t>
  </si>
  <si>
    <t>I match my father, easy to clean</t>
  </si>
  <si>
    <t>Sometimes require a lot of friction to orgasm</t>
  </si>
  <si>
    <t>Cultural Tradition/Family Norm: It was a strong family tradition, cultural expectation, or simply "what people in our community did.", To Look Like Father/Peers: Desire for the son's penis to match the father's or other males in the family/community.</t>
  </si>
  <si>
    <t>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 Paternal Influence (The "Like Father" Factor): A specific desire for you to genitally match your father or other male family members. (The power of conformity within the family unit).</t>
  </si>
  <si>
    <t>More of a tight circumcision, not a wide scar, but definitely noticeable and brown. No skin bridges</t>
  </si>
  <si>
    <t xml:space="preserve">Difference in pleasure intensity, gliding, difference in sensitivity </t>
  </si>
  <si>
    <t>They are mild and infrequent, I just wish that the decision had been left up to me, and that I would have been able to be consulted or given consent one way or the other</t>
  </si>
  <si>
    <t xml:space="preserve">Don’t do things without another person’s consent </t>
  </si>
  <si>
    <t>The norm, to match the father</t>
  </si>
  <si>
    <t>They can be more unhygienic?</t>
  </si>
  <si>
    <t>I am a gay man, and my partner and I are both circumcised, and every sexual partner that I’ve ever had has been circumcised. I have only seen intact penises in porn, and it has given me a slight foreskin fetish</t>
  </si>
  <si>
    <t>Taiwan (Republic of China)</t>
  </si>
  <si>
    <t xml:space="preserve">software engineering </t>
  </si>
  <si>
    <t>Extremely sensitive. The corona is the most sensitive. Shaft skin the least sensitive.</t>
  </si>
  <si>
    <t>The buildup is very gradual. The final release is a very intense full body sensation. It feels like a satisfying release, not a reflex.</t>
  </si>
  <si>
    <t>Don't need it, but it helps.</t>
  </si>
  <si>
    <t>Aesthetic and lasting long.</t>
  </si>
  <si>
    <t>Women in uncircumcised countries don't know how to stroke it.</t>
  </si>
  <si>
    <t>10mm inner foreskin remaining. About 10mm mobile shaft skin when erect.</t>
  </si>
  <si>
    <t>Dick cheese</t>
  </si>
  <si>
    <t xml:space="preserve">Cleaner </t>
  </si>
  <si>
    <t xml:space="preserve">Hygiene </t>
  </si>
  <si>
    <t>If circumcised in adulthood, you can pick your aesthetic style. You can even keep the foreskin, giving you more options for how your penis looks.</t>
  </si>
  <si>
    <t>taiwan</t>
  </si>
  <si>
    <t xml:space="preserve">Negatively </t>
  </si>
  <si>
    <t>The most challenging part is waiting for the wound to heal.</t>
  </si>
  <si>
    <t>Do your research first.</t>
  </si>
  <si>
    <t>My foreskin and frenulum were never pleasurable as many data stated. My foreskin muffled my pleasure. My frenulum made he orgasm too quickly by reflex.</t>
  </si>
  <si>
    <t>Clerical / Administrative Support (e.g., Secretary, Office Clerk), Healthcare/Medicine (e.g., Doctor, Nurse, Therapist, Technician)</t>
  </si>
  <si>
    <t>Clerical / Administrative Support (e.g., Secretary, Office Clerk), Business/Finance/Management, Law/Government/Public Service</t>
  </si>
  <si>
    <t>Genderfluid, Genderqueer</t>
  </si>
  <si>
    <t>Barely any</t>
  </si>
  <si>
    <t xml:space="preserve">Quick and unsatisfying </t>
  </si>
  <si>
    <t>Skin is too tight thanksto those butchers</t>
  </si>
  <si>
    <t>Any time they try to jerk me off it hurts</t>
  </si>
  <si>
    <t xml:space="preserve">All. The. Time. Pain discomfort social shame resentment suicisal ideation. i hate my parents </t>
  </si>
  <si>
    <t>Cultural Tradition/Family Norm: It was a strong family tradition, cultural expectation, or simply "what people in our community did.", To Look Like Father/Peers: Desire for the son's penis to match the father's or other males in the family/community., Hygiene: Belief that circumcision makes the penis easier to keep clean or is inherently more hygienic., Parent's General Preference: Parents simply preferred the circumcised appearance or state without specific medical, religious, or cultural reasons being primary.</t>
  </si>
  <si>
    <t>Paternal Influence (The "Like Father" Factor): A specific desire for you to genitally match your father or other male family members. (The power of conformity within the family unit)., Direct Medical Authority: Specific advice from their obstetrician, pediatrician, or the hospital staff where you were born. (The voice of a trusted professional).</t>
  </si>
  <si>
    <t>No skin remain hideous scar very tight</t>
  </si>
  <si>
    <t xml:space="preserve">All the above. Being normal. Not being a mutilated freak. </t>
  </si>
  <si>
    <t xml:space="preserve">First at 13. That i was robbed of the greatest physical sensation. That my bodily integrity wasnt a concern </t>
  </si>
  <si>
    <t>Its social control its emasculation of men to demoralize us. Its evil and i hope the savage who cut me burns in hell</t>
  </si>
  <si>
    <t>It was never spoken of</t>
  </si>
  <si>
    <t xml:space="preserve">Just the default </t>
  </si>
  <si>
    <t>Cutting babies is fucking evil</t>
  </si>
  <si>
    <t xml:space="preserve">That it can drive people insane with grief and resentment </t>
  </si>
  <si>
    <t xml:space="preserve">I hate baby cutters and hooe they all suffer for what theyve done. </t>
  </si>
  <si>
    <t xml:space="preserve">Fuck everyone who downplays male suffering </t>
  </si>
  <si>
    <t xml:space="preserve">Ill do anything that defames this horrible barbaric practice </t>
  </si>
  <si>
    <t xml:space="preserve">I personally loved Acts 10 and Galatians 5, since they spoke of God not being partial to hose wanting to worship him, and that circumcision was not required to serve him </t>
  </si>
  <si>
    <t>God in the New Testament made it clear that circumcision was no longer required to serve him</t>
  </si>
  <si>
    <t xml:space="preserve">I’ve restored a bit of foreskin, so I can feel a little gliding motion, which feels good. Generally, I can tell when my penis is being touched </t>
  </si>
  <si>
    <t>I suffer from sexual anhedonia, so I can’t explain my orgasms very well, since I can’t really feel them. It feels like a quick burst of pleasure though, as much as I can feel, doesn’t really spread across my body. I wish it lasted longer</t>
  </si>
  <si>
    <t xml:space="preserve">Oversensitive glans, gave me an awful tingling feeling my whole life whenever my glans touched clothing. My penis being dry during masturbation felt unsatisfying, and I needed lube if it was going to be a good session. I feel like my body isn’t whole, what I was born with naturally was taken away, with all the pleasurable sensations and normal functions of a foreskin removed </t>
  </si>
  <si>
    <t>Prevailing Health &amp; Hygiene Beliefs: General societal "knowledge" at the time—gleaned from various sources—that presented circumcision as being fundamentally cleaner, healthier, or preventive of future diseases. (The power of a cultural 'truth')., Religious Mandate/Tradition: A direct requirement or strong cultural expectation stemming from their religious beliefs and community. (The power of faith)., Family Tradition/Pressure: The expectation from grandparents or other influential relatives; the idea that "it's what the men in our family have always done." (The power of heritage).</t>
  </si>
  <si>
    <t xml:space="preserve">I have a dark circumcision scar, fully exposed glans, but thankfully a foreskin remnant, and not too tight of a cut, since I can move my skin there at least a little </t>
  </si>
  <si>
    <t xml:space="preserve">Every single function that a natural penis with foreskin would have </t>
  </si>
  <si>
    <t>When I first learned about foreskin restoration, and did my research on what I had lost</t>
  </si>
  <si>
    <t>Overly sensitive glans that leave tingling sensation when they touch clothing, dry penis that needs lubricant, no gliding motion</t>
  </si>
  <si>
    <t xml:space="preserve">There are no significant medical benefits to circumcision. I wish this procedure never happened to me. I love you, but I wish my body was whole and natural, so I could enjoy life sexually as much as I could’ve </t>
  </si>
  <si>
    <t>Religious, cultural, and hygiene</t>
  </si>
  <si>
    <t>That they were viewed as unhygienic (smegma, even though they only need a quick rinse without soap 🧼) and gross</t>
  </si>
  <si>
    <t>That they were preferred (despite looking like they were dipped in acid)</t>
  </si>
  <si>
    <t xml:space="preserve">Religion and medical practices passed down </t>
  </si>
  <si>
    <t xml:space="preserve">That foreskin is a natural part of the male body, and exists for many reasons and should be cared for properly </t>
  </si>
  <si>
    <t xml:space="preserve">Because it’s a tradition that is unnecessary and damaging for people </t>
  </si>
  <si>
    <t>Growing up with oversensitive glans and sexual anhedonia, I was miserable, I thought I had done damage to my body by squeezing my thighs together to masturbate before hitting puberty. As I thought I was going to live like this forever, I discovered foreskin restoration, and with the little I’ve restored, I feel a little more whole, natural, like I should’ve been</t>
  </si>
  <si>
    <t xml:space="preserve">Not at the moment </t>
  </si>
  <si>
    <t xml:space="preserve">Mine aren’t prominent, and I don’t mind </t>
  </si>
  <si>
    <t xml:space="preserve">The head/glans are most sensitive. However I had an accident when oyung and tore the frenulum and tip of my foreskin which made it loose and often rolled back. I think over time this desensitized my penis somewhat </t>
  </si>
  <si>
    <t>I can feel it happening, it builds up, lots of pre-cum then as the orgasm starts it pulses, my balls contract slightly and when I cum it starts with a few drops then about 5-7 spurts then a few more pulses where some just dribbles out. Occationally if I keep momentum I can cum again a moment or 2 later but this is just a few drops</t>
  </si>
  <si>
    <t>I generate lots of pre-cum</t>
  </si>
  <si>
    <t xml:space="preserve">I had a girlfriend once who preferred circumcised men. When masturbating me she would retract the foreskin fully back and aggressively stroke up and down. At that age (19) the head was too sensitive and this got painful after a while. </t>
  </si>
  <si>
    <t>the mobility during sex both vaginal, anal or purely masturbating. The foreskin also help lube as it holds pre-cum</t>
  </si>
  <si>
    <t>Yes, my father was circumcised as were all the men on his side of the family. Mothers side were intact. So my parents waited and discussed circumcision with me age 10 (pre-puberty) we went as far as seeing a doctor but I decided to keep it. I felt some pressure to have it done to be like my father and uncle and cousins who I had seen naked on naturist holidays. I also had a bike accident age 12. This tore my frenulum and resulted in my foreskin being very long and loose. At times I have caught it in things and also had comments in gym showers or on naturist beaches, mainly by circumcised men or women with circumcised men</t>
  </si>
  <si>
    <t xml:space="preserve">Partner's Preference: One parent strongly preferred intactness and advocated for it., My mother was keen on me being intact so persuaded my father not to have me circumcised when young. </t>
  </si>
  <si>
    <t>Seeing my father naked and realizing his penis was different from mine. With circumcised boys at school or with partners who preferred circumcised</t>
  </si>
  <si>
    <t>following a bike accident in which I tore the tip of my foreskin. I had 3 stitches in the tip and frenulum. Aged 12</t>
  </si>
  <si>
    <t>I went to a boys boarding school and out of 14 new boys in my year 5 were circumcised. This was evident in showers etc. The intact boys would comment and tease the circumcised ones and visa versa. It was an identity thing. I should say size and puberty were also differentiators</t>
  </si>
  <si>
    <t>Mine is very long and loose. Erect it can still cover the glans but rolls back easily. When soft it is very bunched up.</t>
  </si>
  <si>
    <t>Mine tore age 12 and I lost some sensitivity</t>
  </si>
  <si>
    <t>Circumcised men seem to have wider, more flared glans</t>
  </si>
  <si>
    <t>I masturbated with circumcised boys when young at boarding school and noticed it was different</t>
  </si>
  <si>
    <t>I don't mind</t>
  </si>
  <si>
    <t>It feels great during masturbation and sex</t>
  </si>
  <si>
    <t>I think it was accepted for religious reasons and if medically needed</t>
  </si>
  <si>
    <t xml:space="preserve">I think in some cultures it is seen as dirty or encouraged masturbation. </t>
  </si>
  <si>
    <t>Religious identifier</t>
  </si>
  <si>
    <t xml:space="preserve">Hygene, family tradition, personal experience
</t>
  </si>
  <si>
    <t>that the intact penis is the norm as nature intended</t>
  </si>
  <si>
    <t>I have seen some very damaged penises from poorly done circumcision. A friend at school had skin bridges and a chunk of his glans missing from a botched circumcision. He was very curious about mine</t>
  </si>
  <si>
    <t>No, thank you for conducting it</t>
  </si>
  <si>
    <t xml:space="preserve">I would be happy to contribute more detail in terms of my experiences or photograph of my intact penis as long as it was kept anonymous </t>
  </si>
  <si>
    <t>scotland</t>
  </si>
  <si>
    <t>It was a mix; there were other families making a similar choice.</t>
  </si>
  <si>
    <t>Highly valued scientific evidence and did their own research, Strongly principled about consent and bodily autonomy in general</t>
  </si>
  <si>
    <t>The overhang is very sensitive to light touch, as is the frenulum. Even the outer skin on the head feels good when I stroke it lightly. The frenulum is definitely my most sensitive part, but I can feel the tip expand and contract when I pull it down over the head and up again which feels very good. When I roll back, I can stroke anywhere round the bottom of the head and it feels very good. When I play with my frenulum, it starts to feel especially good from only half way up the base, and by the time I reach the part on the underside of the head it becomes very very sensitive.</t>
  </si>
  <si>
    <t>Orgasm greatly differs based on how I choose to bring it on, but I can feel precisely when I’m on the edge and when it’s coming, to the point where I can sometimes stop it and wait to go again.</t>
  </si>
  <si>
    <t>Feels very good with especially if I have a lot of going, I can jerk as if cut which can be fun, but often, my precum is enough or I just play with my frenulum or use the gliding motion. Lubrication it’s definitely not necessary for me.</t>
  </si>
  <si>
    <t>Looks better, feels very good, and have every part of me</t>
  </si>
  <si>
    <t>Had balanitis asa child but don’t remember this</t>
  </si>
  <si>
    <t>It’s a very important aspect. It works well in the natural way, or it can be good to stick a finger inside and swirl it around, or just stretch it out and play with the outside. It can also feel very good to lightly stroke it especially when (half) retracted. I love the look of it half retracted too when I’m hard. Sometimes I like to retract it and let my glands brush my pants which feels good but only occasionally. The ridged band feels great to massage when it’s sitting under the glans, and I’m glad not to need lube unless I want to use it.</t>
  </si>
  <si>
    <t>I love to play with my frenulum. It feels so good being stretched , stroked , even tapped. It makes a key contribution to my overall pleasure</t>
  </si>
  <si>
    <t>The impact of constant gland exposure; how it would feel to jerk or fuck with just with a flared gland and no mobile skin.</t>
  </si>
  <si>
    <t>Feel fine about most returns, like uncut it feels casual and non intimidating in a way, some can be a bit clunky but intact is also fine</t>
  </si>
  <si>
    <t>The feeling of having your glans surrounded and protected</t>
  </si>
  <si>
    <t>How different the sensation really is</t>
  </si>
  <si>
    <t>rarely_smooth_maple reddit</t>
  </si>
  <si>
    <t>Willing to be contacted</t>
  </si>
  <si>
    <t>Fiscally conscious (questioned unnecessary medical costs), None of the above feel particularly accurate, Unsure</t>
  </si>
  <si>
    <t>Before restoration, my glans would be totally numb, and only the remnants of my frenulum had any sensitivity.</t>
  </si>
  <si>
    <t>Better now after restoring for a year, but still hit &amp; miss.</t>
  </si>
  <si>
    <t>Lubricant used to be required to avoid chaffing but it also removed all friction that was the only way to feel enough sensations. Things are better now after restoring for 1 year, but still not great.</t>
  </si>
  <si>
    <t>No advantages whatsoever!</t>
  </si>
  <si>
    <t>Near complete loss of sexual pleasure! Undesirable friction and discomfort with my glans. Being humiliated as a boy (growing up in a country where circumcision isn’t the norm).</t>
  </si>
  <si>
    <t>Institutional Medical Norm: The general belief that "this is just the standard procedure" at hospitals, making it a routine, unquestioned part of postpartum care. (The power of the system)., Direct Medical Authority: Specific advice from their obstetrician, pediatrician, or the hospital staff where you were born. (The voice of a trusted professional)., Prevailing Health &amp; Hygiene Beliefs: General societal "knowledge" at the time—gleaned from various sources—that presented circumcision as being fundamentally cleaner, healthier, or preventive of future diseases. (The power of a cultural 'truth').</t>
  </si>
  <si>
    <t>Very tight cut, with nearly no inner foreskin left.</t>
  </si>
  <si>
    <t>The amount of pleasure, especially when compared to the pleasure I see women having.</t>
  </si>
  <si>
    <t>After I learned what the procedure entails and the loss of the function of the foreskin.</t>
  </si>
  <si>
    <t>Inability to reach orgasm and frequent pain after sex</t>
  </si>
  <si>
    <t>Keep your babies unharmed.</t>
  </si>
  <si>
    <t>Experienced feelings of loss, grief, or anger, Felt physically uncomfortable or experienced complications, Significantly dissatisfied with sensation, function, or appearance</t>
  </si>
  <si>
    <t>Regain gliding motion, Heal psychological trauma, Improve sexual pleasure/orgasms, Increased overall sensitivity, Achieve glans coverage and dekeratinization, Improve gliding mechanics/reduce need for lube, Feel more 'natural' or 'whole', Reclaim what was taken</t>
  </si>
  <si>
    <t>Device: Mantor DS</t>
  </si>
  <si>
    <t>Unsupportive and dubious at first, more compassionate as time goes on.</t>
  </si>
  <si>
    <t>My glans has now some sensitivity (as opposed to none whatsoever), and I’m starting to get a glimpse of gliding pleasure.</t>
  </si>
  <si>
    <t>I’ve been able to feel full-body orgasms a few times, which never ever happened in my life before.</t>
  </si>
  <si>
    <t>I prefer term restored as the word circumcised is still and likely to remain very triggering for me.</t>
  </si>
  <si>
    <t>Finding the right device and being consistent. The reward is the quality of sensations and depth of my orgasms.</t>
  </si>
  <si>
    <t>The most effective way to heal from circumcision trauma.</t>
  </si>
  <si>
    <t>It’s great but unlikely to be available to the 1.3B men who technically need it.</t>
  </si>
  <si>
    <t xml:space="preserve">Intact penises are unhygienic </t>
  </si>
  <si>
    <t xml:space="preserve">Cleaner, more beautiful </t>
  </si>
  <si>
    <t xml:space="preserve">Cultural propaganda </t>
  </si>
  <si>
    <t xml:space="preserve">The experience of the adult man. </t>
  </si>
  <si>
    <t xml:space="preserve">Circumcision is a barbaric act, not dissimilar form ancient blood sacrifice </t>
  </si>
  <si>
    <t>Thank you for putting this survey together!</t>
  </si>
  <si>
    <t>I already recorded a podcast (anonymously) where they told most of my story.</t>
  </si>
  <si>
    <t>No longer feeling any pleasure from sex</t>
  </si>
  <si>
    <t>Totally, a clear sense of agency and revenge even, against the thieves who stole my foreskin.</t>
  </si>
  <si>
    <t>RCI-10 ideally, anything above 7 would be great</t>
  </si>
  <si>
    <t>Stay-at-Home Parent / Homemaker, Tech</t>
  </si>
  <si>
    <t>Healthcare/Medicine (e.g., Doctor, Nurse, Therapist, Technician), Factory / Manufacturing / General Labor, Business/Finance/Management</t>
  </si>
  <si>
    <t>Non-Binary, Agender</t>
  </si>
  <si>
    <t>The topic came up during Gospel readings at church (and school), but it was not discussed besides that capacity. In general, bodies are not discussed very much (especially not sexuality-related things).</t>
  </si>
  <si>
    <t>I no longer identify as a Christian, but I still have deep-rooted feelings of shame around my sexuality from that upbringing. Not just because I'm attracted to the same sex (although that is a fair bit) but because sex in general is so taboo. It's not that I'm ashamed of my sexuality, but I still feel weird being open about it.</t>
  </si>
  <si>
    <t>Sensitivity varies a lot based on which part(s) are involved. The head is not very sensitive at all. In contrast, the remaining fragment of frenulum and ring where the glans joins the shaft are sensitive to certain motions. The largest factor is that, some sensations I _can_ feel are not pleasurable. Occasionally, I can feel my glans rub against rough fabric which is not comfortable at all. Even worse, with less careful stimulation, it feels unpleasant (sometimes even like sandpaper).</t>
  </si>
  <si>
    <t>The build-up is usually fairly fast. That in itself is not necessarily a problem, but I have a hard time telling if I am on the edge or close enough to back off. Sometimes I can have a great time edging really close and finishing exactly when I want, with a pretty intense and good-quality orgasm. However, the majority of the time is fairly mediocre -- fine, but not nearly as good as I know I can sometimes achieve. And there are times where I do reach ejaculation but basically get no pleasure from it at all.</t>
  </si>
  <si>
    <t>I've developed techniques for myself that don't require lubrication for some amount of pleasure, partially because I've found that lubrication actually can dull the sensation. However, this is a problem with partners because the techniques *they* use are not adapted in the same way.</t>
  </si>
  <si>
    <t>Partners often don't believe quite how difficult it is for me to control finishing (or how quickly it can happen with blunt stimulation). Most of my partners are also intact, so the types of stimulation that work well for them do not work at all for me. This is most perceivable with handjobs, because they try to approach that as if there is more slack in my skin there than there is in reality.</t>
  </si>
  <si>
    <t>Cleaning my penis might be slightly easier; I've been with partners who say fully cleaning can be a bit too sensitive, which I've never experienced. However, that's entirely it.</t>
  </si>
  <si>
    <t>Plenty.
1. From what I can tell, there was still a small amount of foreskin fused to the head of my penis. During puberty, this started to separate, and it hurt pretty badly because there was sensitive tissue now totally unprotected from rubbing against fabric
2. The skin right near my circumcision scar is pretty fragile. I usually have a fairly light touch while masturbating, because I know that if I don't, the skin there will tear and I'll have to go a week without to properly heal.
3. Sometimes, I get phantom pains in/around my circumcision scar.
4. There are days (varying frequency) where I basically can't get much pleasure from my penis at all.
5. Certain days (or even weeks) I can't get out of the rut of extreme negative emotion about having been sexually assaulted by people/institutions that should have protected me. (This is even worse if I start thinking about how this sort of thing is still happening to so many people, including infants, and I can't do anything to prevent it.)</t>
  </si>
  <si>
    <t>Prophylactic Health Reasons (Specific Disease Prevention - e.g., Cancer, STIs, HIV, UTIs): Belief that it lowers the risk of specific diseases later in life (e.g., penile cancer, certain sexually transmitted infections like HIV or HPV, infant urinary tract infections - UTIs)., Hygiene: Belief that circumcision makes the penis easier to keep clean or is inherently more hygienic., Cultural Tradition/Family Norm: It was a strong family tradition, cultural expectation, or simply "what people in our community did.", Prophylactic Health Reasons (General Prevention): Belief that it prevents potential future health problems (e.g., infections, inflammation, later penile issues) that were not currently present.</t>
  </si>
  <si>
    <t xml:space="preserve">I don't have a lot of mobile shaft skin left, but I can move it a little bit. This is enough that I don't perceive a feeling of tightness when erect, even though I have a fairly big size difference between flaccid and erect. I also have a fragment of frenulum left, which is pretty sensitive. In fact, it's the place where I can fairly consistently get the best orgasms. The scar is pretty darn visible, with the color of skin different on each side (and also different on the scar itself). </t>
  </si>
  <si>
    <t>Primarily three things:
1. The gliding motion from the foreskin (particularly if I would have ended up with a longer foreskin)
2. The full frenulum, and the places where it ends up being pretty sensitive
3. The ability to retain pre-ejaculate. (I can sometimes get some as now, but there's nothing to keep it there.)</t>
  </si>
  <si>
    <t>These first came about when I was a younger teenager (about 14-15). I had been reading about atheism, and I wondered about undoing the markers of being religious (e.g. baptism). That led me to be curious about whether my circumcision could be reversed -- even though it wasn't for religious reasons, I did view it as connected to religion. Further research showed me exactly what I was missing, and for a year or more I was severely depressed because I knew I would never be able to experience the things I read about (or in some cases found videos of).</t>
  </si>
  <si>
    <t>1. Fragility of the skin around the scar tissue (to the point of sometimes having to abstain from masturbation to avoid damage)
2. Phantom pain at the scar</t>
  </si>
  <si>
    <t>Believe the doctor who did it when he told you it was unnecessary and just a paycheck for him. In fact, not only is it not necessary, but if you go through with this, your child will forever have to grapple with your decision. Both on a physical level and emotional level.</t>
  </si>
  <si>
    <t>That they were less clean and more prone to things like STIs.</t>
  </si>
  <si>
    <t>That they were cleaner and less prone to STIs.</t>
  </si>
  <si>
    <t>The foreskin is not "just a piece of (extra) skin". It's a whole complex part of the body.</t>
  </si>
  <si>
    <t>Based on my own experience, I firmly believe routine infant circumcision is one of the worst forms of sexual assault. But when people try to speak up about it, no one wants to know.</t>
  </si>
  <si>
    <t>This has also made dating, as someone who is AMAB and also attracted to men, difficult. I don't want to look at my partner and be reminded of my own trauma. This is in part why I left the US to live in Europe, as it's much less difficult to find intact partners.</t>
  </si>
  <si>
    <t>Utrecht</t>
  </si>
  <si>
    <t>Perceived Hygiene Benefits: A belief that it would be cleaner or easier to care for., Desire to prevent health problems a cousin had who apparently "had" to be circumsied as an older child.</t>
  </si>
  <si>
    <t>Marking the flesh is a mortal sin, except when we do it. Then it becomes completely acceptable.</t>
  </si>
  <si>
    <t>There is no part of the new testament where circumcision is presented as acceptable. A deep hypocrisy exists in the Christian church today. They ignore the actual teaching of the gospel when it is politically convenient to do so.
Learning all this and learning what was done to me is the reason I refuse to engage with the church to this day.</t>
  </si>
  <si>
    <t>No different then any other part of my body.</t>
  </si>
  <si>
    <t>I feel like I have to pee and then I'm out of breath for a few seconds. There has never been any other sensation.</t>
  </si>
  <si>
    <t>I haven't had any physical contact with another human in more then 20 years as I don't like to be touched.</t>
  </si>
  <si>
    <t>Lack of sex drive, emasculation, almost complete lack of sensation. I've have rubbed my penis raw in the past trying to reach orgasm.</t>
  </si>
  <si>
    <t>Because insurance covered it</t>
  </si>
  <si>
    <t>A massive scar where my life should be.</t>
  </si>
  <si>
    <t>I've mostly wondered what normal sexual sensation should be in general, instead of a single part, and what an orgasm should actually feel like.
This is hard to describe for me because it's like asking a blind man if he was ever curious about a rainbow.</t>
  </si>
  <si>
    <t>They first emerged in my teens when I realized that I had severely delayed orgasms and that my orgasms were weak/non existant.</t>
  </si>
  <si>
    <t>meatal stenosis</t>
  </si>
  <si>
    <t>It wouldn't matter. He won't listen to either of his sons now, he wouldn't listen then.</t>
  </si>
  <si>
    <t>Significantly dissatisfied with sensation, function, or appearance, Felt physically uncomfortable or experienced complications</t>
  </si>
  <si>
    <t>Improve sexual pleasure/orgasms, Feel more 'natural' or 'whole', Reclaim what was taken, Heal psychological trauma</t>
  </si>
  <si>
    <t>I started off trying to use tape, but because of my oily skin the tape would slide and tear the skin. For about the last year I used manual methods. Now that I'm finally somewhere around CI-3 or CI-3.5 I've started to use a DTR.</t>
  </si>
  <si>
    <t>Not by choice. I had a package that accidentally got sent to my parents house. My father opened it and called to ask what it was. When I told him he pretended to be supportive and then went into his usual gaslighting. Every time I talk to him he tries to convince me that it's actually better off that I'm all alone, that I've never been able to form a successful relationship, and that I have severe psychological issues because intact men get UTI's and have to take antibiotics or some other mild inconvenience.</t>
  </si>
  <si>
    <t>Not much yet. My frenulum was completely removed so restoring will never bring that back. In the past few months where I've had intermittent rollover the folds of my skin have begun to collect moisture and the underside of the corona of my glans has become somewhat more sensitive.</t>
  </si>
  <si>
    <t>Uncircumcised is a disgusting term. It turns circumcision into a normal act. In the south we say "Unsweet Tea" if we don't want sugar. But tea leaves don't contain sugar. "Tea" would be the normal term "Unsweet Tea" is the bastardization.
I don't like the idea of  'restored' or 'neo-intact' either. Another bastardization of terms. We will always be circumcised. We will always have the physical and psychological scars. While we can restore some of the functionality, we will never be intact or any form of it. Our journeys should not be prettied up or celebrated in any form. To do so only reinforces the normalization of circumcision. The best we can do is stand as a testament to the abuses of the past so that one day a future generation will never have to know what it's like to be mutilated to fit a societal norm.</t>
  </si>
  <si>
    <t>Dealing with my family has been the hardest. My mother thinks I'm some weird sexual degenerate and my father can't help himself when it comes to the gaslighting.
The most rewarding part is knowing I don't have to deal with their nonsense and lies anymore. They committed the sin of marking of the flesh and expect me to bear the punishment. That isn't going to happen. Not anymore.</t>
  </si>
  <si>
    <t>Don't wait like I did. Don't listen to the naysayers. Most of them are suffering from the cycle of violence that was inflicted on them. Breaking away from that is a bridge that you will ultimately have to cross on your own. Don't let anyone stop you.</t>
  </si>
  <si>
    <t>I've known about FOREGEN for about 20 years when they first started. They have been saying that human trials are right around the corner ever since then. It takes about 6 months for government approval and there have been no filings in either the EU or US. Realistically it's not going to be until 2030 in the EU and if the US requires their own trials that won't be until 2035.</t>
  </si>
  <si>
    <t>It was just a thing that was and no one questioned it.</t>
  </si>
  <si>
    <t>Nothing. No one ever talked about it. Even the textbooks in the health classes depicted circumcised men and never once even mentioned what circumcision was.</t>
  </si>
  <si>
    <t>That it was normal and just how men where.</t>
  </si>
  <si>
    <t>Lack of experience. I've talked to people from other nations where circumcision is not the norm and they think that circumcised men are strange.</t>
  </si>
  <si>
    <t>Everything. Doctors don't tell parents what circumcision is or how much damage it causes, nor are they told about the possibilities and sevarity psychological damage.</t>
  </si>
  <si>
    <t>Men are taught to suffer in silence. Those who speak up are dismissed as too emotional or degenerate sex pests.
Hospitals hide statistics on how many times circumcisions are botched. Even circumcisions that are considered normal often result in skin tags, skin bridges, infection and other complications.</t>
  </si>
  <si>
    <t>I would be willing to contribute to documentary or written forms that are not necessarily anonymous.</t>
  </si>
  <si>
    <t>I first became aware that I had trouble reaching orgasm in my late teens/early 20's. I have never had a sexual experience that didn't end in embarrassment and emasculation. By 25 I had lost all interest in having a sex life. I was convinced by society and doctors that this is just normal for some men. They tried giving me things like Viagra but that didn't make any difference. Eventually I became depressed and it was around then the nightmares started. The same one every few nights. I'm strapped down to a table being wheeled through a hospital hallway. At the end of the hall I come to a surgical bay and a doctor cuts into my penis. The pain is the worst thing I have ever experienced and it's so real that I can still feel it when I wake up.
I spent my time trying to have a semi normal life until the stress made me crack in my mid 30's. I wound up in a mental institution. All they did was feed me anti-psychotics and tell me I'm crazy and "infants don't form memories" so it just an apparition.
When I was in my late 30's I had a sort of Patch Addams moment when that the doctors only cared about feeding me drugs and had no intention of ever helping me. I found out about foreskin restoration about a year ago and have been restoring ever since. I still see a psychological concealer to deal with my complete sense of inferiority and total lack of self confidence and I still have the nightmares though the pain isn't as severe doesn't linger in the daylight like it used to.
I used to be afraid to share this story because it's such an extreme example of what could happen that most people dismiss it as fiction. These days I fell like if more parents knew what they were forcing their children into then maybe they wouldn't see RIC as "Just something that is done".</t>
  </si>
  <si>
    <t>I haven't gotten very far into restoring but these days I'm somewhat less of a morose nihilist and can finally see that maybe one day my life will change.</t>
  </si>
  <si>
    <t>My goal is to at least be around RCI-8 and to regain some sort of sexual function.</t>
  </si>
  <si>
    <t>No reason</t>
  </si>
  <si>
    <t>I understand that circumcision was a law given to Abraham but it was done away by Jesus</t>
  </si>
  <si>
    <t>The glans is the least sensitive to so sensation. Then the shaft skin.</t>
  </si>
  <si>
    <t xml:space="preserve">It takes a while to feel building up towards climax. The building up is pleasurable. I don't feel like I have fine control over orgasm. If it gets too close , I can't delay orgasm. If I don't immerse in orgasm it could feel like only a release/reflex, but I try to enjoy it. It doesn't feel as deep and satisfying release. It's good, but only last for a few seconds </t>
  </si>
  <si>
    <t>I rather use lube and take a shower after than not having a better experience.</t>
  </si>
  <si>
    <t>Often my partner isn't giving me the most pleasure, he doesn't get what I like the most or unwilling to do it for me.</t>
  </si>
  <si>
    <t>Cleanliness and ease of hygiene, aesthetic, fitting in the culture</t>
  </si>
  <si>
    <t xml:space="preserve">Difficulty in reaching orgasm, lower quality of orgasm, chaffing to underwear during vigorous activities, inadvertent reveal of penis when wearing tight clothing </t>
  </si>
  <si>
    <t>I have a moderate cut, not to tight, have some movements. My scar has prominent suture marks. It feels a little hard under the scar. The scar is about a quarter of an inch from the head. Glans is exposed when flaccid, with skin touching the corona when seated. When erect, skin has little movement. Can pull to reach the corona.</t>
  </si>
  <si>
    <t>My original circ left a swelling in inner skin on one side of penis. I wanted my urologist to remove extra skin and tightened a little. I was still 28 when I got a revision.</t>
  </si>
  <si>
    <t>Half a year after my revis, desensitization eventually set in and I started to notice the pleasure diminished . I wish I have a little more inner skin for sensitivity.</t>
  </si>
  <si>
    <t xml:space="preserve">Chinese males are usually uncircumcised </t>
  </si>
  <si>
    <t xml:space="preserve">It's performed as a cultural practice </t>
  </si>
  <si>
    <t>Let the baby choose to get circumcised out not when he gets older</t>
  </si>
  <si>
    <t xml:space="preserve">It is damaging baby boys. Circumcision shouldn't be done to healthy boys but it's overly done in the US </t>
  </si>
  <si>
    <t>Hong Kong</t>
  </si>
  <si>
    <t>It was difficult. I went through healing and had to learn how to masturbate and find pleasure points. Tried lube, toys, etc to enhance feeling. It's just different after living south a foreskin for 28 years previously.</t>
  </si>
  <si>
    <t>I have mixed feelings; there are both positives and negatives.</t>
  </si>
  <si>
    <t>You will absolutely gain some and lose some feelings. The most important consideration of this is necessary and if you are ok to proceed the irreversible.</t>
  </si>
  <si>
    <t>I like being cut but sometimes I miss my foreskin</t>
  </si>
  <si>
    <t>Worked from home in our family business</t>
  </si>
  <si>
    <t>Owned a Propanr Distribution Company</t>
  </si>
  <si>
    <t>No. Circumcision was NEVER discussed. I only learned about it through my own study the bible at a young age (11 or 12, i think). Growing up uncircumcised in the 1960's and 70's was not the cultural norm so I was very shy...even ashamed , to let people discover my uncut status. I was the only uncut kid in my family (brothers, cousins, friends were all circumcised)</t>
  </si>
  <si>
    <t>I am an athiest now. Growing up Baptist in the South during the 60's and 70's, no one in my family ever talked about sex, especially circumcision. Sure would have been bice for someone to sit the 6 year old ROn down and simply say there's two kinds of dick...those that are altered and those that are natural. You have the natural kind. It;s not a big deal and certainly nothing to be ashamed of. I definitely had that talk with my boys.</t>
  </si>
  <si>
    <t>Light touch is wonderful all over the penis, especially the glans and frenulum area. Firm pressure feels best when hand or mouth is on shaft. The gliding motion back and forth of the foreskin over the glans is pretty amazing. Glans and frenulum area are more sensitive that shaft.</t>
  </si>
  <si>
    <t>typical orgasm is a gradual build up then when ejaculation begins, it starts as pressure in the prostate area and an explosion throught the urethra and finally blasts out from the body. I'd say a regional feeling mostly but also a sense of deep relaxation overall</t>
  </si>
  <si>
    <t>I find the combination of natural pre-cum and the gliding motion of my foreskin is 90% of the time all that is necessary. Usually i can simply rub the tip of my penis (with the foreskin held forward) to lubricate the vaginal opening the push forward and let the foreskin glide back allowing full penetration.</t>
  </si>
  <si>
    <t>How can I know that? I suspect I have the advantage of "ease of use" when it comes to penetration. Foreskin going back and forth over the glans certainly is nice. The range of motion (gripping the shaft at the base and gliding the foreskin up and back to the base without have to drag the hand over tight skin seems like an advantage but I have nothing to compare that to so who knows?</t>
  </si>
  <si>
    <t>Definitely. The general disgust Americans seem to have against foreskin was very difficult for me growing up. It wasn't until I reached high school age that I finally just said "Fuck em, tjis is who I am. Take it or leave. Don't care." Educating partners is simply taking their hand and showing how much range of motion I have compared to circumcised guys. Partners who have only been with circumcised guys tend to just jiggle the skin hehind the head because that is what that are used to doing. It's actually funny to see they're reaction when I show them how far it will go. For the women who say it smells bad, I simply challenge them to a "swipe test." One finger swipes under my forskin and the other swipes they're labia. Then we compare. I usually win the "doesn't smell as bad" competition.</t>
  </si>
  <si>
    <t>Financial Reasons: The cost of the procedure was a factor., "Stroke of Luck"/Circumstance: e.g., Born at home, logistical issues at the hospital, doctor didn't push it, scheduled, but never performed, etc..</t>
  </si>
  <si>
    <t xml:space="preserve">I only had them as a child because I wanted to be like the other boys. </t>
  </si>
  <si>
    <t>SInce this is the first essay question on the page, let me explain my situation further. When I was young (maybe 6 or so) I asked my Mother while I was in the tub, why I had more skin than all the other boys. Her response confused me. She said "because the doctor didn't cut enough off!!!" So, I think perhaps I may have had a nearsighted circumciser or a just a shit ton of baby foreskin. Regardless, I am unmistakenly "foreskined"...with overhang. ALso, my Father was uncircumcised. Both my younger and older brothers were definitely circumcised. I suspect that they did not take me back for a revision is because they had no insurance and money was very tight.</t>
  </si>
  <si>
    <t xml:space="preserve">Embarrassing. Whenever I went swimming or had to change around over boys, I would always turn away or find a reason to do it after everyone else finished. That worked until junior high gym showers. The forst time was a nightmare. Even then, I was able to hide the fact for the better part of the 8th grade school year. But, one day, the secret was revealed. Even then, though, the other boys didn't say anything directly to be. like teasing. It was more just  curious looks. Then a friend just came out and asked, why is your dick weird. Soon after that was the forst time I heard the term "Anteater" when referring to a dick. The guys never were mean or anything, I was just light teasing. That's about the worst of it. I've never had a sexual partner run away in disgust. They always been curious too. Guys and gals wanted to see how it worked. Had no idea gay men were so enamored with foreskin. Had I know, I probably been more of an exhibitionist in my young adult life. </t>
  </si>
  <si>
    <t>See my answers above. It only enhances the experiences</t>
  </si>
  <si>
    <t>I do not have as much frenulum as some of the guys I've seen. But ther area is VERY sensitive. I can actually orgasm but just rubbing that spot.Takes a good bit longer to reach ejaculation. Makes me pre-cum like you wouldn't believe.</t>
  </si>
  <si>
    <t>I wonder what it must feel like masturbating without any lose skin and what the glans must feel like dried out like I've seen them.</t>
  </si>
  <si>
    <t>I've noticed that many circumcised men do ont have as much pre-cum. I never really ask them about sensation because I honestly feel bad for them. I do get asked very often about my own sensitivity. I kind of downplay it a bit because I dont want them to feel bad by comparison.</t>
  </si>
  <si>
    <t>I don't really care. I always heard the terms cut and uncut, circumcised and uncircumcised so I'm comfortable with them, I do feel that intact and circumcised are better, more accuate terms</t>
  </si>
  <si>
    <t xml:space="preserve">It's the way we were meant to be. It's our natural state. </t>
  </si>
  <si>
    <t xml:space="preserve">MOst common thing I heard (before anyone knew my intact status) was that uncut dicks are smelly and dirty. </t>
  </si>
  <si>
    <t>In the same line of thought...Cut dicks are cleaned...oh, and look better.  FFS!</t>
  </si>
  <si>
    <t>Media (TV and Movies make fun of foreskin), bad medical studies and medical advice from biased doctors, most US porn only shows cut dicks, lack of experience with intact dicks...but that is changing</t>
  </si>
  <si>
    <t>How good it really feels to be intact</t>
  </si>
  <si>
    <t>I'm open to consider various contribution options</t>
  </si>
  <si>
    <t>No, not as much as having an actual foreskin.</t>
  </si>
  <si>
    <t xml:space="preserve">I had heard the early christianity drama over circumcision in new testament readings in church, and knew the conclusion was ultimately against circumcision, though my parents said I was circumcised ‘because of our religion when I confronted them on it’ </t>
  </si>
  <si>
    <t>Head / frenulum</t>
  </si>
  <si>
    <t>Gradual build up</t>
  </si>
  <si>
    <t>Physical, Functional, Psychological, Emotional, relational</t>
  </si>
  <si>
    <t>Just standard practice: Based on observing its prevalence, assumed it was the default medical procedure without a specific individual reason., Cultural Tradition/Family Norm: It was a strong family tradition, cultural expectation, or simply "what people in our community did.", Hygiene: Belief that circumcision makes the penis easier to keep clean or is inherently more hygienic., Religious Reasons: Performed as a religious ritual (e.g., Brit Milah in Judaism, Khitan/Sunnet in Islam) or based on religious belief., Prophylactic Health Reasons (General Prevention): Belief that it prevents potential future health problems (e.g., infections, inflammation, later penile issues) that were not currently present.</t>
  </si>
  <si>
    <t>People would classify it as ‘normal’ but I see a large, rough and uneven scar w/ skin tags. Probably pretty tight, with a good amount of inner foreskin and frenulum remaining. It could have been much worse.</t>
  </si>
  <si>
    <t>What was lost. What it would have looked like</t>
  </si>
  <si>
    <t>Told I was circumcised by an (uncircumcised) friend’s older brother, Feelings of violation, loss, helplessness, frustration at injustice / unethicalness of the procedure</t>
  </si>
  <si>
    <t xml:space="preserve">Skin tags, uneven tightness during sex </t>
  </si>
  <si>
    <t>Felt physically uncomfortable or experienced complications, Experienced feelings of loss, grief, or anger, Significantly dissatisfied with sensation, function, or appearance, Motivated by research or learning about intact anatomy/function, Curious about what might be different if intact</t>
  </si>
  <si>
    <t>Heal psychological trauma, Feel more 'natural' or 'whole', Increased overall sensitivity, Reclaim what was taken, Achieve glans coverage and dekeratinization</t>
  </si>
  <si>
    <t>Tape, TLC, TLC-X, DTR, R2K</t>
  </si>
  <si>
    <t>Only my wife</t>
  </si>
  <si>
    <t>Breath. It’s a slow and long process, and can be a pain in the ass. I wouldn’t recommend it to everyone, but I would recommend everyone try it if they feel motivated to. It can become a routine, and second nature, and it does get easier.</t>
  </si>
  <si>
    <t xml:space="preserve">As a child who had just learned about circumcision I went online and found a video of one. The picture quality was so bad as to be unusable, but the audio revealed a baby crying/screaming that only increased in intensity as the procedure went on. After the second or third increase in the baby’s crying intensity I found myself thinking ‘This is uncomfortable to watch, I don’t like hearing that baby cry like that, but at least it can’t get worse, he’s screaming at 100% right now.’ Then they’d move on to the next step and the baby would hit another intensity level, and I’d think the same thought. Finally it got to the point where the boy was screaming so hard noise stopped kind of stopped coming out, only air and gurgling saliva noises. It was clear to me, in that moment that that baby was being outright tortured, and raped in a medical setting. </t>
  </si>
  <si>
    <t xml:space="preserve">Absolutely. I hate how society only mentions circumcision in a joking sense, I think it’s highly possibly a silent minority of American men are uncomfortable with it, but confronting it would make them have to examine their own traumatic experiences, so we shut the hell up or discount it with jokes. </t>
  </si>
  <si>
    <t>another two cents of mine that I don’t hear intact of us talking about: my father‘s generation seemed to put intense value on a boy resembling their father. My grandfather was born in 1911, and not circumcised, as far as I know. I think there is an interesting trauma angle that they suffered, knowing that their fathers had a part that they didn’t that they then passed on under the misguided notion of boys need to look like dads.</t>
  </si>
  <si>
    <t xml:space="preserve">I began pulling/holding penile skin over the head of my penis with tape/bandages in elementary/middle school. I wanted to restore more actively but was terrified my parents would find out and/or a doctor would circumcise me again. One day in early high school I ran out of tape and tried to work out without taping, I couldn’t make it through the running warm-up due to how sensitive my glans had become and the painful sensation of it bouncing around in my underwear. I was simultaneously thrilled and terrified, I still didn’t really have enough skin to cover anything naturally, but I saw the benefits of what I had been doing and I knew I wanted that to be my ‘normal’  committed to restoring all the way then and there. </t>
  </si>
  <si>
    <t>I don’t know, and I’m exploring what that goal should be right now</t>
  </si>
  <si>
    <t>Gradual and deep/intense</t>
  </si>
  <si>
    <t>Lube for masturbation/handjob is a must, not for sex, though we've used it before and does feel good.</t>
  </si>
  <si>
    <t>Clean, attractive to partners.</t>
  </si>
  <si>
    <t>A little tight on the shaft, but adds to overall sleek appearance. ALWAYS needing lube to masturbate.</t>
  </si>
  <si>
    <t>Neat scar, not really noticeable. Glans always exposed no mobile shaft skin when erect, tight feeling.</t>
  </si>
  <si>
    <t xml:space="preserve">Skin is tight but not an issue or challenge </t>
  </si>
  <si>
    <t>Literally 50/50</t>
  </si>
  <si>
    <t xml:space="preserve">Aesthetics and hygiene and performance </t>
  </si>
  <si>
    <t>I would have preferred to be circumcised at birth rather than adult</t>
  </si>
  <si>
    <t>NSW</t>
  </si>
  <si>
    <t>I didn't know about circumcision styles. The doc opted to remove all foreskin, including inner foreskin, frenulum and a lot of shaft skin too, resulting in very tight shaft skin when I get erections. Needing lube to masturbate was a surprise, but feels great when I get the opportunity. Cleanliness and overall partner satisfaction is a big positive change.</t>
  </si>
  <si>
    <t>Do it, I regret not having it done sooner</t>
  </si>
  <si>
    <t>Shaft, scar and inner skin carry more sensation than the head, the head numbs quick after too much contact</t>
  </si>
  <si>
    <t>A long build up with an intense short lived end</t>
  </si>
  <si>
    <t xml:space="preserve">Lubricant is always needed, too dry for anuthing other than a squeeze otherwise </t>
  </si>
  <si>
    <t>People not understanding the lack of skin movement and natural lubricant that a circumcised Penis has</t>
  </si>
  <si>
    <t>Its definitely easier to clean without having to retract anuthing, not that thats hard to do</t>
  </si>
  <si>
    <t>Keratin forming over the head, the post surgery few weeks were painful, the scar sometimes splits in small places and there a high and consistent tension on the skin. Not to mention how fast the skin dries out</t>
  </si>
  <si>
    <t>Controlling/Restricting Masturbation: A belief that circumcision would reduce the urge or ability to masturbate (a view common in certain historical eras)., 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Aesthetic Preference / To Look "Better" or "Neater": Belief that the circumcised penis looks more visually appealing, "prettier," or tidier than an intact one., Hygiene: Belief that circumcision makes the penis easier to keep clean or is inherently more hygienic.</t>
  </si>
  <si>
    <t>Peer &amp; Social Pressure (The "Fitting In" Factor): The widespread belief that "everyone else is doing it," and a desire for you to avoid being seen as different in locker rooms or later in life. (The power of broad social conformity)., Prevailing Health &amp; Hygiene Beliefs: General societal "knowledge" at the time—gleaned from various sources—that presented circumcision as being fundamentally cleaner, healthier, or preventive of future diseases. (The power of a cultural 'truth')., Aesthetic Preference: A belief, possibly influenced by media or pornography, that the circumcised penis is visually "neater," "more attractive," or the "correct" look. (The power of aesthetics).</t>
  </si>
  <si>
    <t>Low and tight, minimal inner skin left and minimal moveable skin with no coverage at all. Maintained frenulum, white wonky scar</t>
  </si>
  <si>
    <t>So much sensation comes from just the frenulum now I wonder what it would have been like to have it all, and the ease masterbation must have</t>
  </si>
  <si>
    <t>I first felt such feelings when I realised that none of my peers were cut too. I had brushed of the experience as difficult but something everyone had gone through until that point.</t>
  </si>
  <si>
    <t>Tight skin and dryness</t>
  </si>
  <si>
    <t>Why was i present for the conversation with the doctor about what style they wanted</t>
  </si>
  <si>
    <t>I know members of my local community viewed it as the new fad thing, it kept aesthetics and cleanliness in mind, and would bonusly help curb masterbaiting</t>
  </si>
  <si>
    <t xml:space="preserve">It was always presented as uncut being normal </t>
  </si>
  <si>
    <t>It was always presented as circumcision being a little thing you could do to help your boys be clean and better looking, and i had heard it being described multiple times as a good way to cut down on how much 'boys would touch themselves'. Despite this it was always described as the outlier and more odd option though, as though its just a fun modification for the ladies</t>
  </si>
  <si>
    <t xml:space="preserve">Despite odd interactions I've found that most dont care </t>
  </si>
  <si>
    <t>Its a self promoted issue, men mutilate themselves and then feel bad. In a patriarchal society they have to be the ones to make the first changes</t>
  </si>
  <si>
    <t>Its not the most normalised in my culture</t>
  </si>
  <si>
    <t>I belive that if a consenting adult wants to undertake a significant body alteration like one of these let them</t>
  </si>
  <si>
    <t xml:space="preserve">Aesthetic Preference: I (or my partner/parents) preferred the appearance of a circumcised penis., Perceived Hygiene Benefits: A belief that it would be cleaner or easier to care for., A strong medical recommendation without any existing conditions </t>
  </si>
  <si>
    <t>Man, Demigender (e.g., Demiboy, Demigirl)</t>
  </si>
  <si>
    <t>Questions are confusing for ask about religion in childhood or present time but only gave option to pick one religion, then prior question missing option like don't remember or didn't notice what viewpoint, if any, were expressed on the practice of circumcision.</t>
  </si>
  <si>
    <t>I do recall parents and relatives saying for religious reasons should not get tattoos or piercings, while having some themselves.</t>
  </si>
  <si>
    <t>Varies</t>
  </si>
  <si>
    <t>Don't have to rely on lube all the time to avoid friction.</t>
  </si>
  <si>
    <t>Father is Intact: The father is intact, and this influenced their decision, Born/Raised in a Culture Where Intactness is the Norm: The decision wasn't an active 'choice against circumcision,' but rather the standard cultural and medical practice in my country of birth/upbringing.</t>
  </si>
  <si>
    <t>Never really thought about it.</t>
  </si>
  <si>
    <t>Generally works as designed.</t>
  </si>
  <si>
    <t>I'm not particularly focused on it.</t>
  </si>
  <si>
    <t>I expect it would be unpleasantly tight and dry.</t>
  </si>
  <si>
    <t>Usually mention needing lube and different areas more sensitive instead of almost dead zones.</t>
  </si>
  <si>
    <t>I prefer natural or intact because uncut implies cut as the norm.</t>
  </si>
  <si>
    <t xml:space="preserve">Not your body, not your choice to permanently surgically modify without meaningful consent. </t>
  </si>
  <si>
    <t>It seemed like something that people in other religions were expected to do.</t>
  </si>
  <si>
    <t>Would usually hear about hygiene and needing to clean carefully.</t>
  </si>
  <si>
    <t>Would usually hear about hygiene and not needing to clean carefully.</t>
  </si>
  <si>
    <t>All of the above.</t>
  </si>
  <si>
    <t>There is no undo.</t>
  </si>
  <si>
    <t>Foreskin appearance can vary in length like with any other body part, but according to friends so can circumcisions sometimes end up uncomfortably tight.</t>
  </si>
  <si>
    <t>As a practice that some in my community/family questioned or chose alternatives to.</t>
  </si>
  <si>
    <t>No, not really</t>
  </si>
  <si>
    <t xml:space="preserve">I think Judaism often supports individualism and therefor Brit Milah isn’t as mandatory as taught. But no one who avoids Brit Milah talks about it. It’s done secretively I think. </t>
  </si>
  <si>
    <t>Not aware of such alternatives</t>
  </si>
  <si>
    <t>Head is very sensitive, frenulum and foreskin feel pain when head is fully engorged and skin gets tugged.</t>
  </si>
  <si>
    <t xml:space="preserve">Quick build up. Mild release. Never full body in my life. </t>
  </si>
  <si>
    <t xml:space="preserve">Always with a partner otherwise it feels too tight and my skin and frenulum feel tugged. Also I need extra lube inside condoms when using them. Without lube in a condom, the tightness has even caused bleeding and abrasions. Masturbating never needs live since it’s always protected beneath the skin and I keep the skin covering everything the whole time. </t>
  </si>
  <si>
    <t>Things feel pleasurable enough, I don’t want to complain and burden my partner when I’m already receiving generous attention. Don’t look a gift horse in the mouth?</t>
  </si>
  <si>
    <t>Ease of masturbation. Protection of glans and urethra from foreign matter entering. Increased sensation.</t>
  </si>
  <si>
    <t xml:space="preserve">Confidence about appearance. Porn portrays mostly circumcised penis and women seem significantly more attracted to circumcised penises. I feel my penis is an instant turn off due to long foreskin. Women are disappointed or outright grossed out when first revealed. Non penetrative acts where my partner uses mouth, hands, or has to see my penis are unwelcome. </t>
  </si>
  <si>
    <t>Ethical Concerns: They had ethical objections to non-consensual surgery on a healthy child/believed strongly in bodily autonomy or children's rights., Lack of Perceived Benefit: They didn't see any compelling reason to circumcise., Midwife or Home Birth: The birth setting (midwife-attended or at home) was chosen, which may have made a non-medical procedure less likely to be offered or pursued routinely.</t>
  </si>
  <si>
    <t>Watching porn as a teen is what triggered them. I realized that if only circumcised men are desired in porn, that means no one wants to see uncircumcised penises. This was reinforced by gossip from friends, experiences with partners, commentary in the media, and USA norms.</t>
  </si>
  <si>
    <t xml:space="preserve">When I was seven I thought my internal organs were exposed the first time I noticed a tiny parting of my foreskin revealing the tip. I was curious so I’d touch what looked like lips to me. I would try pulling back the foreskin to see more and also noticed it felt good. But then I was scared too that my skin was peeling off my organs and thought I might hurt myself or have to go to hospital since I didn’t know the skin is supposed to peel back. </t>
  </si>
  <si>
    <t xml:space="preserve">It is a convenience for masturbation. For partner play it feels like an obstruction since it’s unattractive to my partner and also the skin tightness is painful at times. Then again after doing research I am told being intact is 80% of sensation and I wouldn’t give that up. I do think it limits my partners interest in sex acts where my penis so visible or can be felt in my partners mouth or hands. </t>
  </si>
  <si>
    <t>Purely pain. It is tight the way the skin under tongue feels if you stick tongue out too far. I never explored any pleasure relating to it and was unaware that’s a thing.</t>
  </si>
  <si>
    <t xml:space="preserve">Would my partner be more turned on and would the dryness, size, and hardness be more optimal for pleasuring my partner. Would my partner want to look at and play with my penis. </t>
  </si>
  <si>
    <t>I wish it was just “a penis” when intact. It feels predatory to consider the natural stay as “other”. Why not call the cut penis “mangled”? My answer is that cut must be preferred and more attractive.</t>
  </si>
  <si>
    <t xml:space="preserve">That it is psychologically painful knowing it’s considered uglier. I’d say it’s akin to baldness being unattractive and people are generally sensitive about hair loss and know bald men endure some psychological hardship. So do uncircumcised men in the USA. Also porn and media contributing to that serve as frequent reminders so it’s quite a common feeling that people without intact penises likely don’t notice. </t>
  </si>
  <si>
    <t>Dirty. Smelly. Ugly. Unpleasurable to women. Less masculine. Weird. Other.</t>
  </si>
  <si>
    <t>Normal. Attractive. Pleasurable to women. Clean. More masculine.</t>
  </si>
  <si>
    <t xml:space="preserve">Porn and media </t>
  </si>
  <si>
    <t xml:space="preserve">It’s a game theory problem: if you normalize circumcision for aesthetic, you’re damning every intact man and forcing the practice to continue. Think about if majority of people gave their children nose jobs and dyed their hair blond and created extensive media portrayals that humans who aren’t blonds with perfect face structure are ugly. You are damning everyone whose natural even though the image of a perfect face and hair was artificial. Or at least that ideal goes from being a rarity and therefor not something to really compete with to being a constant challenge due to its prevalence. That’s what circumcision became: an idealized circumcised penis is readily available and therefor intact penises will be questioned constantly.  </t>
  </si>
  <si>
    <t xml:space="preserve">I think it’s a little extreme: while there is a measure of suffering caused, there are many other contributions in life to holistic wellbeing. It’s unclear to me that men in the USA are holistically worse off, intact or otherwise. To me this seems to at least be a well compartmentalized and isolated issue with many mitigations. Also I don’t necessarily argue the aesthetic benefit to circumcision and it could be that the partners pleasure is in fact increased by the anatomy and characteristics of a circumcised penis. I would already go to great extents to increase my partners visual and senator’s pleasure, even at my own detriment. I’m certain my partner would feel the same to me. So it’s hard to know whether the alteration to the male body is holistically better or worse in romantic partnership either. And if the success and quality of life when circumcised is higher performed at infancy compared to adulthood, it could also be the case that by the time a man can consent, the option isn’t truly present because his body is no longer capable of the same adaptation and comfort with circumcision. </t>
  </si>
  <si>
    <t>There’s very little to no portrayal of benefits to intact presented to women or really even anyone. For example even as an intact man I only recently heard (in my 30s) that foreskin increases pleasure. Nor is there any general education in how to handle and pleasure intact penises, not even in porn or r rated media. Compare to common street knowledge about how to pleasure women’s g spot or clit. It feels like you really have to do individual research and want to learn about intact penises via Reddit to find anything about benefits or how to help a partner. Even as prospective parents making the decision, no evidence was presented by medical staff about increased quality of life in any aspect by staying intact. They made it sound 100% aesthetic and a coin flip, end of story, no complex pros or cons. No situational explanations of what sexual interactions will be altered.</t>
  </si>
  <si>
    <t>No. I didn’t even know anyone didn’t have those until this survey. I just assumed it was part of the anatomy.</t>
  </si>
  <si>
    <t>Generally skeptical of medical authority or "doctor knows best", Valued natural, holistic, or low-intervention approaches to health, Highly valued scientific evidence and did their own research, Identified as non-conformist or counter-cultural, Strongly principled about consent and bodily autonomy in general</t>
  </si>
  <si>
    <t>It might become less common strictly due to immigration of individuals who come from non-circumcising cultures. Aka the demographic is reweighted by immigration, not by an actual change in beliefs from one generation to the next.</t>
  </si>
  <si>
    <t xml:space="preserve">No it was pure medical hygene </t>
  </si>
  <si>
    <t xml:space="preserve">Conservative </t>
  </si>
  <si>
    <t xml:space="preserve">Light grip and slow strokes for long edging sessitions </t>
  </si>
  <si>
    <t>Its a long duration and build up for an intense release</t>
  </si>
  <si>
    <t>I leak a lot if precum so lube is not needed</t>
  </si>
  <si>
    <t>I am embasressed to communicate what I desire</t>
  </si>
  <si>
    <t xml:space="preserve">Clean hygiene </t>
  </si>
  <si>
    <t xml:space="preserve">I have not felt ant drawbacks until an understanding I am missing out on sensation </t>
  </si>
  <si>
    <t>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t>
  </si>
  <si>
    <t xml:space="preserve">Education made me look for scare tissue and have never felt tightness in skin. </t>
  </si>
  <si>
    <t>As a daily masturbator I wonder how much better the sensation would be</t>
  </si>
  <si>
    <t xml:space="preserve">Educating myself and talking with men openly regarding the feeling and appearance </t>
  </si>
  <si>
    <t xml:space="preserve">Do you really want him to feel that level of pain? </t>
  </si>
  <si>
    <t xml:space="preserve">Seen as a best health practice </t>
  </si>
  <si>
    <t xml:space="preserve">Caused health problems </t>
  </si>
  <si>
    <t xml:space="preserve">Neglect by parents to stay intact </t>
  </si>
  <si>
    <t xml:space="preserve">Sexual gratification  </t>
  </si>
  <si>
    <t xml:space="preserve">I understand the challenge to societal norms. However it does not prevent climax. I have spoken with 1 adult male cut later in life and only felt minor tightness when masturbating. No difference in sensation or climax. </t>
  </si>
  <si>
    <t xml:space="preserve">Its important to discuss to what degree sensation is lost? Seems vague. I actually prefer the look and have seen naked men from around the world and from many cultures. </t>
  </si>
  <si>
    <t xml:space="preserve">Yes I am open to telling my story in a safe manner. </t>
  </si>
  <si>
    <t xml:space="preserve">Has not factored into how I feel regarding appearance </t>
  </si>
  <si>
    <t>Prophylactic Health Reasons (General Prevention): Belief that it prevents potential future health problems (e.g., infections, inflammation, later penile issues) that were not currently present., To Look Like Father/Peers: Desire for the son's penis to match the father's or other males in the family/community., Just standard practice: Based on observing its prevalence, assumed it was the default medical procedure without a specific individual reason., Hygiene: Belief that circumcision makes the penis easier to keep clean or is inherently more hygienic.</t>
  </si>
  <si>
    <t>Science/Research/Academia, Business/Finance/Management</t>
  </si>
  <si>
    <t>Lack of sensitivity overall</t>
  </si>
  <si>
    <t>Gradual buildup often hard to sustain</t>
  </si>
  <si>
    <t>Required, partially restored so can masterbate without</t>
  </si>
  <si>
    <t>Hard for partners to understand how to pleasure</t>
  </si>
  <si>
    <t>Poor sex life, lack of bodily autonomy, discomfort from a young age</t>
  </si>
  <si>
    <t>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t>
  </si>
  <si>
    <t>Originally quite tight but better with stretching, sizeable scar, some frenulum left</t>
  </si>
  <si>
    <t>All of the above but specifically increased sensation and no need for lube</t>
  </si>
  <si>
    <t>Early teenage years</t>
  </si>
  <si>
    <t>Tight skin with painful erections when young</t>
  </si>
  <si>
    <t>You caused permanent damage</t>
  </si>
  <si>
    <t>Odd looking</t>
  </si>
  <si>
    <t xml:space="preserve">More pleasurable experience </t>
  </si>
  <si>
    <t>Future harm and lack of choice, you’re removing someones right to their own body</t>
  </si>
  <si>
    <t>Man, Non-Binary, Questioning</t>
  </si>
  <si>
    <t>Not a whole lot, particularly the glans. I have partially restored and have some increased sensitivity on the inner foreskin remnant, but it does not do a whole lot for me I feel. It can be hard to know since I have never experienced what it should be, and I may also be biased toward the negative because of what I have learned about the topic.</t>
  </si>
  <si>
    <t>It takes a little while to get close to orgasm. Once I am almost there, I can make it quick, or I can slow it down a bit, but control close to orgasm can feel difficult. I'm led to believe intact men have more control there which I lack. It very much feels focused on the end of my penis and just a brief intense pleasure but I don't feel deeply satisfied. Sometimes it feels more like a need to be satisfied, not the pleasurable sensory experience it was meant to be.</t>
  </si>
  <si>
    <t>Being partially restored, I am able to use moving skin instead of lubrication so that tends to feel sufficient. Often I just use moving skin and try to make my self pleasure sessions relatively quick and a partially restored foreskin suffices for me to do that.</t>
  </si>
  <si>
    <t>Sense of loss, uncomfortable with my body, realizing that it is the reason I had trouble masturbating before restoring.</t>
  </si>
  <si>
    <t>The scar is still visible if I pull my restored skin back. Before restoring, it was a little tight when erect and not something I could work with for self pleasure. Even with lubricant at that time, it was still hard to orgasm and not comfortable.</t>
  </si>
  <si>
    <t>All of it and most of all how it feels to have a complete body and know that people didn't harm you against your will.</t>
  </si>
  <si>
    <t>It seems random. At times I think about myself and that can include this characteristic which is a part of me I did not ask for. Sometimes after masturbating and being more directly reminded of my body I hate.</t>
  </si>
  <si>
    <t>I know at the time there was not enough information available and you made the choice based on what people around you said. But all I ask is that you acknowledge the harms, don't blame yourself, and try to be understanding of my feelings.</t>
  </si>
  <si>
    <t>One brother was born in a country where circumcision is not common.</t>
  </si>
  <si>
    <t>Experienced feelings of loss, grief, or anger, Felt physically uncomfortable or experienced complications, Motivated by research or learning about intact anatomy/function</t>
  </si>
  <si>
    <t>Homemade device with tape and elastic bands. Inspired by what I saw others doing on forums who did not want to spend a lot of money on restoration devices.</t>
  </si>
  <si>
    <t>Not very much. I only said a bit to a few people who I felt confident would be understanding, including some online friends who are intact and in person friends who were very understanding of personal matters. I am generally afraid to talk about something that has been such a mental/emotional harm to me when it can be very likely that people will not understand or even think I am insane for questioning/opposing something so common.</t>
  </si>
  <si>
    <t>Ability to feel some pleasure from moving skin and no longer require lubricant. I have some increased sensitivity on the inner skin remaining but I would say it does not feel quite a whole lot more pleasurable than before, just easier and no longer needing lubricant.</t>
  </si>
  <si>
    <t>I don't think so, just made it easier to have an orgasm.</t>
  </si>
  <si>
    <t>Although I prefer to say "intact", to me I see those terms as describing people who were never victims of genital cutting (consensual or not). I prefer to describe myself as partially restored. It is not the same as someone who has never been a victim of genital cutting and I want my choice of words to maintain that differentiation.</t>
  </si>
  <si>
    <t>The challenges are all the psychological harm and my diagnosis with depression. The "rewarding" part is making it easier to masturbate but I still don't feel sexually satisfied very much. I enjoy thinking about sex and looking at pornography more than actually pleasuring myself. My imagination is sexual experiences that I consider myself to be incapable of having.</t>
  </si>
  <si>
    <t>It's a long process and you should consider the reasons why you may want to. Be aware that although it can significantly improve the functionality of your body, it does not turn it into what your body should have been. It will require a big time commitment to even get to the point where you can notice some differences. Consider your motivations. If you think it's important enough to you to improve the functionality of your body or to fight that feeling of loss, then you may have a good enough reason to justify restoring. Personally, I went into it primarily for the feeling of loss and discomfort with my body, not so much the potential benefits. I think the strongest motivations come from something close to your identity and to me having a complete natural body free of any modification feels like a necessary component of my identity which I am missing. Regardless, give it some thought and consider what your reasons would be. Even if your reasons may not feel that strong, you could give it a try and at any point you're free to stop or even start again.</t>
  </si>
  <si>
    <t>I think I may never feel comfortable with my body until I am able to get my damaged/removed parts replaced by regeneration. Even with that, I am not too sure if that will really make me feel comfortable with my body. The availability of regeneration would be great but personally not enough to me. I feel that I need to see the world change to acknowledge the harm and move past it by correcting their mistakes and returning body autonomy rights to everyone.</t>
  </si>
  <si>
    <t>I can't think there was one. I didn't even know what intact was until high school. Sometime after that I occasionally heard people giving the impression that such penises were disgusting.</t>
  </si>
  <si>
    <t>I don't think people really pointed out differences around me but after learning about the difference, I occasionally heard people in high school or college give the impression that they were "better" because they were "cleaner"</t>
  </si>
  <si>
    <t>There are an increasing amount of people who understand the proper function of a penis but still a lot of people stuck in old culture influenced thinking of ignorance.</t>
  </si>
  <si>
    <t>It is the child's body and their right to choose for it, not yours to choose for them.</t>
  </si>
  <si>
    <t>"Everyone" still seems to think it's better, it continues despite all the research that shows  how harmful it is. People have to justify what was done to them and refuse to feel damaged so they have to create the idea that what was done to them "must be good".</t>
  </si>
  <si>
    <t>Ignorance and misinformation keep the bad ideas going around and nothing changes.</t>
  </si>
  <si>
    <t>Yes, probably open to anonymous interviews and personal essays</t>
  </si>
  <si>
    <t>Learning that I was a victim of nonconsensual body modification was enough to prompt me to learn more and when I learned I could do something about it, I felt the only way forward for me was foreskin restoration so I began within days after learning it was possible. This all happened very quickly after talking to one of my peers and learning his body was different from mine.</t>
  </si>
  <si>
    <t>I never particularly felt comfortable with my body and I saw reason for it when I learned that my body is not what it should be. Even after restoring, I still feel about the same, not comfortable with my body. I believe my discomfort with my own body is the reason I never seeked to have a romantic/sexual relationship and I am afraid I never will because of how I feel.</t>
  </si>
  <si>
    <t>It would be a psychological feeling of completeness which I unfortunately don't think I will be able to achieve without both regenerating a fully functional body part replacement and seeing the world around me change to value peoples' body autonomy and acknowledge the harms and move forward with change to stop it.</t>
  </si>
  <si>
    <t>US Military/Diplomatic Post (APO/FPO/DPO)</t>
  </si>
  <si>
    <t xml:space="preserve">Very strong generally a very strong sensation with the main pleasure points being the frenulum and ridged band. </t>
  </si>
  <si>
    <t>Very gradual and sustained. I have a full body reaction that generally lasts at least a minute after orgasm. This is a very satisfying release.</t>
  </si>
  <si>
    <t>Foreskin and precum act as lube.</t>
  </si>
  <si>
    <t>I can’t imagine not having my foreskin. Every piece of skin I have on my penis is very sensitive and allows for masturbation without lubricants or toys.</t>
  </si>
  <si>
    <t>Never had any issues myself. I have only ever gotten positive comments.</t>
  </si>
  <si>
    <t>Ethical Concerns: They had ethical objections to non-consensual surgery on a healthy child/believed strongly in bodily autonomy or children's rights., Concerns about Risks/Pain: They were worried about the potential complications or pain of the procedure., Intuition/Gut Feeling: A general sense that leaving you intact was the natural or right thing to do, even without specific articulated reasons.</t>
  </si>
  <si>
    <t>I grew up in Virginia where everyone was circumcised. I found it disgusting and my opinion has never changed. People often have never seen an intact penis and some think they are born cut. People are very misinformed generally.</t>
  </si>
  <si>
    <t xml:space="preserve">It is essential to sex and keeping my penis sensitive. If it is not covering my glands when it is in my pants I get overstimulated. </t>
  </si>
  <si>
    <t>It is crucial to reaching orgasm. It is the most sensitive piece of my penis.</t>
  </si>
  <si>
    <t>I’ve wondered whenever I’m having sex with someone who is not intact because it looks dry and is often not as sensitive to them.</t>
  </si>
  <si>
    <t>Often not self lubricating, dry glands, less sensitive. They often tell me they wish they were intact.</t>
  </si>
  <si>
    <t>Intact is more accurate. You can’t be undecapitated. So… how could you be “uncut”. But it doesn’t really matter to me.</t>
  </si>
  <si>
    <t>That the health benefits are not true. They are negligible results. We wouldn’t give every girl a double mastectomy even though breast cancer is thousands of times more common than penile cancer. They should do research and look at all sides.</t>
  </si>
  <si>
    <t>Religious, societal, or misinformed medical views</t>
  </si>
  <si>
    <t>That they needed to be cut. People often don’t even think about how it is natural to be intact.</t>
  </si>
  <si>
    <t>That they need some sort of external lubricant. Every TV show talks about lotion, socks, lube… I never understood it because intact people often don’t need it.</t>
  </si>
  <si>
    <t>Everyone I have been with has said they like intact more, but most have never tried it.</t>
  </si>
  <si>
    <t>It is NOT cleaner, if you don’t wash down there either way you’re disgusting.</t>
  </si>
  <si>
    <t>Nobody questions it yet every form of female circumcision in any compacity is banned. All forms of genital mutilation should be banned.</t>
  </si>
  <si>
    <t>A specific medical statement or article (e.g., the 1971 AAP statement disavowing medical need), Mother lived abroad for many years and saw how inessential it was.</t>
  </si>
  <si>
    <t>I wasn't taught directly that circumcision was part of our religion, but when I insisted my sons remain intact, my parents made a theological argument in favor of circumcision.</t>
  </si>
  <si>
    <t>As a Latter-Day Saint (Mormon), there is a scripture in D&amp;C 74:6 that explicitly states that little children are holy and do not need circumcision.
So there's this weird dichotomy that our scriptures say one thing, but my parents believed circumcision was required.</t>
  </si>
  <si>
    <t>Specific sensitive areas before foreskin restoration: frenulum remnants
Specific sensitive areas after starting foreskin restoration: glans, sulcus, frenulum remnants</t>
  </si>
  <si>
    <t>Build up: Before &amp; after foreskin restoration, it takes a lot of sustained effort and concentration, it's easy to lose it. I'm only able to orgasm from penis-in-vagina sex about 25% of the time.
Final release: before foreskin restoration, pleasurable and brief, like a reflex action; after foreskin restoration, orgasm sensation consumes my whole body with an intense release, and I can experience orgasmic aftershocks for up to two hours, highly satisfying.</t>
  </si>
  <si>
    <t>I have enough skin from foreskin restoration that I *can* masturbate without lube, but I don't like it.</t>
  </si>
  <si>
    <t>My wife thinks it's her fault that I can't orgasm from PIV sex every time. I've spoken about the issue with my doctor and a registered sex therapist, both say I'm just "built that way" after working with me for months.</t>
  </si>
  <si>
    <t>Curious about what might be different if intact, Generally satisfied or hadn't thought much about it, I felt superior, I was taught that circumcision was better.</t>
  </si>
  <si>
    <t xml:space="preserve">Feel more 'natural' or 'whole', Improve gliding mechanics/reduce need for lube, Increased overall sensitivity, Achieve glans coverage and dekeratinization, Improve sexual pleasure/orgasms, Regain gliding motion, Reclaim what was taken, </t>
  </si>
  <si>
    <t>T-Tape, manual method #2, TugAhoy, TLC Tugger, DTR, CAR-1</t>
  </si>
  <si>
    <t>I told my wife before we were married, other than that, I don't want anyone to know until I'm fully and obviously restored. I'm generally anxious about how my family will react based on their reactions to my decision to leave my kids intact.</t>
  </si>
  <si>
    <t>My entire penis is WAY more sensitive than it was before. Specific structures: glans, sulcus, frenulum remnants.
Type of changes: it's too sensitive to wear normal underwear without a retainer, which is inconvenient, but the pleasure is so much more INTENSE.</t>
  </si>
  <si>
    <t>I've learned to have very intense, full body orgasms. The pleasure is off the charts compared to what it used to be.</t>
  </si>
  <si>
    <t>I will never accept being described as "uncircumcised" or "uncut" for 2 reasons:
1) The terms imply that the natural state of being intact is missing something; you wouldn't say a newborn's earlobes are "unpierced."
2) I will always be cut, but someday I'll *look* intact and I'll consider myself "restored."</t>
  </si>
  <si>
    <t>Most challenging: getting/staying motivated to get the time in. I also have oily skin, so devices stop working about 5 hours after my last shower.
Most rewarding: the heightened sensations, also the random rollover I get makes me feel confident and powerful.</t>
  </si>
  <si>
    <t>Stay with it, it's HARD to stay motivated, but the results are amazing.</t>
  </si>
  <si>
    <t>Mostly a medical benefit, but all those reasons were rolled into it</t>
  </si>
  <si>
    <t>They're dirty and gross.</t>
  </si>
  <si>
    <t>They're immune to most of the diseases that "uncircumcised" penises get.</t>
  </si>
  <si>
    <t>Institutionalized ignorance compounded with tradition and culture. When people who should know better describe it as "just a flap of skin," they're intentionally framing it as something that can and should be discarded without consequence.</t>
  </si>
  <si>
    <t>The foreskin is not "just a flap of skin," it has multiple purposes and functions and removing it permanently impairs the sexuality of its owner and is materially, medically, morally, and ethically just the same as removing female genital tissue.</t>
  </si>
  <si>
    <t>While researching causes and cures for a curved penis (not Peyronie's) in 1996, foreskin restoration was the largest non-porn penis-related topic on The Internet. I read that the difference in sensation between protected/covered penis and uncovered/keratinized penis is like the difference of lightly touching the outside and inside of your lips. I tried lightly stroking my lips and that day went to go buy T-Tape materials.
Turns out the curve in my penis was caused by not having enough skin on the left side of my shaft to accommodate erections. It straightened out as I got more skin!</t>
  </si>
  <si>
    <t>Restoration has made me confront the loss of my most sensitive and erogenous tissue. But it's also given me a sense of ownership and control of my body.</t>
  </si>
  <si>
    <t>Enough skin to stay completely covered when I get random erections throughout the day/night.</t>
  </si>
  <si>
    <t>For the most part, it really isn't that sensitive. Like, if you cut it then I'd feel it but otherwise, not sensitive.</t>
  </si>
  <si>
    <t>Literally my entire life with psychological issues around it that persist to this day.</t>
  </si>
  <si>
    <t>Hygiene: Belief that circumcision makes the penis easier to keep clean or is inherently more hygienic., Parent's General Preference: Parents simply preferred the circumcised appearance or state without specific medical, religious, or cultural reasons being primary., Aesthetic Preference / To Look "Better" or "Neater": Belief that the circumcised penis looks more visually appealing, "prettier," or tidier than an intact one., Just standard practice: Based on observing its prevalence, assumed it was the default medical procedure without a specific individual reason.</t>
  </si>
  <si>
    <t>Had both inner and outer, loose, the scar has keloids on the under-side.</t>
  </si>
  <si>
    <t>Literally EVERYTHING about it to the point I can't really list it.</t>
  </si>
  <si>
    <t>They first emerged at like age 5. As for triggers, too many to list.</t>
  </si>
  <si>
    <t>For the sake of keeping responses professional, there would be vulger language and possibly also threats made.</t>
  </si>
  <si>
    <t>Feel more 'natural' or 'whole', Achieve glans coverage and dekeratinization, Reclaim what was taken, Increased overall sensitivity, Regain gliding motion, Heal psychological trauma</t>
  </si>
  <si>
    <t>CAT</t>
  </si>
  <si>
    <t>Haven't noticed any changes in sensitivity</t>
  </si>
  <si>
    <t>Uncut, restored, neo-intact, or uncircumcised would be if someone has ONLY used non-surgical restoration or if they have gone through surgical restoration. They fit most people who go through restoration but would not fit me.</t>
  </si>
  <si>
    <t>There hasn't been reward. The challenge is the fact I have to do this in the first place.</t>
  </si>
  <si>
    <t>If you do it, you do it. If you don't do it, you can't complain. If you don't like it afterwards, you can reverse it.</t>
  </si>
  <si>
    <t>If it gets to the point it checks of my list of criteria, like having ALL the right stimulation, ALL the affected structures, NO scar, and so on, then it would be something I'd consider. At this time, there isn't anything to validate anything so my skepticism is very high that there will be something missing.</t>
  </si>
  <si>
    <t xml:space="preserve">Nope. Generally, there wasn't much thought given to intact or not. </t>
  </si>
  <si>
    <t>Not really.</t>
  </si>
  <si>
    <t>Pornography, personal experiences, cultural familiarity.</t>
  </si>
  <si>
    <t>The psychological damage it can cause and just how severe it can be.</t>
  </si>
  <si>
    <t>Everyone does it but doesn't realize what it is they're doing or could potentially be doing.</t>
  </si>
  <si>
    <t>At this time, it's if anything just made it worse because I'm having to actively grow it back which leads to nights of depression and days where I just can't bring myself to put my device on because it is just a reminder that "it" happened. Double up the reminder that I'm having to put this time into it when I should just already have a foreskin.</t>
  </si>
  <si>
    <t>Success or completion would come when I all the aspects of a natal foreskin are there including sensitivity, appearance, and the affected structures like the frenulum and ridged band even if not the exact tissues, they still have to be there as if they were natal. Essentially, get to the point that I am intact; where uncut or uncircumcised don't fit.</t>
  </si>
  <si>
    <t>Aesthetic Preference: I (or my partner/parents) preferred the appearance of a circumcised penis., Perceived Hygiene Benefits: A belief that it would be cleaner or easier to care for.</t>
  </si>
  <si>
    <t xml:space="preserve">I started to question my religion around age 10, and subsequently rejected it around 14.  Around that very same time is when I learned about circumcision and what was done to me. </t>
  </si>
  <si>
    <t xml:space="preserve">When I was younger - starting around age 12 - the intensity, build up, and quality of my orgasms was the best it has ever been.  Between 12 and 22 I noticed a rapid decline in orgasm intensity, build up, and overall quality.  Fast forward to today, there’s very little intensity or satisfaction, no full body sensation, and the quality is brief and mild.  </t>
  </si>
  <si>
    <t xml:space="preserve">When I was a child and teen, I vividly remember having issues with chaffing and dryness due to my glans always being exposed.  And I remember having a realization that this didn’t feel normal. </t>
  </si>
  <si>
    <t xml:space="preserve">Whenever I’m with intact men, I feel a spotlight shining on every issue and insecurity related to my own body.  I can see and experience - firsthand - how an intact man experiences and responds to touch.  I require rough and hard stimulation to experience what my intact partners feel from
gentle touch; and it’s quite noticeable that their sensory experience and orgasms are FAR more intense and long lasting.  Being with an intact man is the only way in which I can 100% connect with what was done to me, and gauge what I am missing.  Comparing and contrasting my body and my own experiences with other men, in close intimate relationships, has allowed me to understand my own body and what I am missing, very clearly. </t>
  </si>
  <si>
    <t xml:space="preserve">Absolutely fucking nothing. </t>
  </si>
  <si>
    <t xml:space="preserve">Body dysmorphia (knowing a part of my penis is missing, and hating how my body looks), lack of sensitivity, low quality orgasms, frequent inability to keep erection and reach orgasm after age 25 (despite no such problems before 25).  I hate knowing and seeing that my body was forcibly altered, and now I find myself suffering from worsening issues as I age and find myself closer to 40.  I vividly remember what my function and sensation was like as a pre-teen and teenager, and I hate how much quality of life I’ve lost, despite maintaining a healthy lifestyle and proper fitness routine.  </t>
  </si>
  <si>
    <t>Parent's General Preference: Parents simply preferred the circumcised appearance or state without specific medical, religious, or cultural reasons being primary., Prophylactic Health Reasons (General Prevention): Belief that it prevents potential future health problems (e.g., infections, inflammation, later penile issues) that were not currently present., Cultural Tradition/Family Norm: It was a strong family tradition, cultural expectation, or simply "what people in our community did.", To Look Like Father/Peers: Desire for the son's penis to match the father's or other males in the family/community., 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t>
  </si>
  <si>
    <t>Direct Medical Authority: Specific advice from their obstetrician, pediatrician, or the hospital staff where you were born. (The voice of a trusted professional)., Paternal Influence (The "Like Father" Factor): A specific desire for you to genitally match your father or other male family members. (The power of conformity within the family unit)., Institutional Medical Norm: The general belief that "this is just the standard procedure" at hospitals, making it a routine, unquestioned part of postpartum care. (The power of the system).</t>
  </si>
  <si>
    <t xml:space="preserve">Better and more fulfilling experience </t>
  </si>
  <si>
    <t xml:space="preserve">The first time I saw an intact penis in medical literature, in person, and in pornography, was around the age of 9.  My initial feelings were intrigue.  The more I learned about what was done to me and what I was missing, I was depressed, angry, and numb. Being intact is natural and perfect, and anything that reminds me of this is a trigger </t>
  </si>
  <si>
    <t xml:space="preserve">Prominent scarring, mental stenosis, weak orgasms, frequently inability to orgasm during sex, and desensitized glans - all in-spite of my overall good health. </t>
  </si>
  <si>
    <t>Leave my fucking penis alone!</t>
  </si>
  <si>
    <t xml:space="preserve">Younger generation being exposed to different ideas, cultures, and ethnicities through social media; younger people traveling more frequently, providing new opportunities to form intimate relationships with intact men.  Also, amateur pornography such as OnlyFans allows intact creators in the U.S. and abroad to reach a large audience, which often leads to positive discussions. </t>
  </si>
  <si>
    <t xml:space="preserve">It’s self evident.  In a world where people are on the hunt for new, niche social causes to fight, this long-standing atrocity has maimed over 100MM boys and men, causes untold personal and economic damage, violates our constitution and common ethics, and yet it isn’t talked about.  </t>
  </si>
  <si>
    <t xml:space="preserve">I’m open to a lot.  Just ask, and I’ll give an answer. </t>
  </si>
  <si>
    <t>No factor</t>
  </si>
  <si>
    <t>Banned</t>
  </si>
  <si>
    <t xml:space="preserve">My frenulum is sometimes sensitive when I'm erect and my glands is sometimes sensitive after I orgasm </t>
  </si>
  <si>
    <t xml:space="preserve">Because I have some moveable skin but not much, lube reduces sensation </t>
  </si>
  <si>
    <t>I don't really experience physical pleasure from sex with partners. I enjoy it for other reasons, but it doesn't feel good</t>
  </si>
  <si>
    <t xml:space="preserve">Incredibly strong sense of betrayal and violation, inability to know what my experiences would be like if I was intact, very pressing loss of bodily autonomy </t>
  </si>
  <si>
    <t>Religious Reasons: Performed as a religious ritual (e.g., Brit Milah in Judaism, Khitan/Sunnet in Islam) or based on religious belief., Just standard practice: Based on observing its prevalence, assumed it was the default medical procedure without a specific individual reason., Hygiene: Belief that circumcision makes the penis easier to keep clean or is inherently more hygienic., To Look Like Father/Peers: Desire for the son's penis to match the father's or other males in the family/community., Cultural Tradition/Family Norm: It was a strong family tradition, cultural expectation, or simply "what people in our community did."</t>
  </si>
  <si>
    <t xml:space="preserve">I have enough movable skin to masturbate with it, but there is pain when I am fully erect if I am mildly rough. My scar is very visible </t>
  </si>
  <si>
    <t xml:space="preserve">Increased sensitivity and additional frenulum tissue </t>
  </si>
  <si>
    <t>They started about a year ago (2024)</t>
  </si>
  <si>
    <t>I often see it described as a "parental decision"</t>
  </si>
  <si>
    <t xml:space="preserve">The potential psychological risks </t>
  </si>
  <si>
    <t xml:space="preserve">Circumcision is one of many massive harms that I believe would never be accepted in a rational objective society rather than our norm-based subjective culture </t>
  </si>
  <si>
    <t>circumsexual</t>
  </si>
  <si>
    <t xml:space="preserve">No.  My circumcision happened prior to religious influence in life.  </t>
  </si>
  <si>
    <t xml:space="preserve">I joined the Christian faith willingly of my own volition out of curiosity when I was 7.  After turning 11 and discovering what had been done to me as an infant, I severed all religious connections with my faith and no longer consider myself a Christian.  I have no faith in a God that would allowed such transgressions of the flesh to happen to his own prized creations. </t>
  </si>
  <si>
    <t>Overall sensitive to light and fine touch, direct glans stimulation can be sometimes painful.  Oral can be uncomfortable due to said sensitivity. Too much sensation can result in penis going numb from overstimulation. Unfortunate deadzone where frenulum should be.</t>
  </si>
  <si>
    <t>Flaccid to erect is pleasureable however due to prolonged physical and emotional trauma from my circumcision, it can prove difficult to be in a proper headspace to focus on intimacy.  Build up seems sudden and not gradual and once at the peak of climax it happens in a hot flash and lingers on for a scant few moments before subsiding entirely.</t>
  </si>
  <si>
    <t xml:space="preserve">Thanks to foreskin restoration I have no need for lubrication when it comes to self pleasure.  However interpersonal intimacy still requires it.  Lubrication aide also exacerbates my already sensitive glans into painfully sensitive sensation when a lubricated hand is used to directly stimulate it.  This had led to an embarrassing result in where I would urinate myself involuntarily due to said overstimulation. </t>
  </si>
  <si>
    <t>My partner is typically very touch perceptive and able to get pleasure from both light and intense sensation.  Whereas for me it is either a gentle pleasure or painfully intense with very little in between.  It's as if I'm seeing in black and white with hints of grey, while my partner is able to see with full color vision.</t>
  </si>
  <si>
    <t>ignorance, cultural homogenization, appeasing brainwashed people with flawed aesthetic preferences</t>
  </si>
  <si>
    <t>constant irritating stimulation, painful soreness after using netted swim wear, nonexistence glans sensation, painful bowing erections, desire to kill one's self upon the realization of what was done to myself, feeling of alienation like my body isn't my own, feelings of betrayal by parents who were supposed to protect you in your most vulernable moments, feelings of ex-patriotism for a country that touts equal rights and protections but only protects girls from unconsesual genital modifciations</t>
  </si>
  <si>
    <t>Hygiene: Belief that circumcision makes the penis easier to keep clean or is inherently more hygienic., Cultural Tradition/Family Norm: It was a strong family tradition, cultural expectation, or simply "what people in our community did.", To Look Like Father/Peers: Desire for the son's penis to match the father's or other males in the family/community., Just standard practice: Based on observing its prevalence, assumed it was the default medical procedure without a specific individual reason.</t>
  </si>
  <si>
    <t>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 Paternal Influence (The "Like Father" Factor): A specific desire for you to genitally match your father or other male family members. (The power of conformity within the family unit).</t>
  </si>
  <si>
    <t xml:space="preserve">Botched.  I was likely circumcised via the Mogen clamp and the doctor performing it took too much off my ventral skin leaving next to no Outer Skin available and a noticeable scar in the shape of a V running down my ventral shaft.  It looks like a hoodie with it's zipper pulled down to the bottom.  I could not even tell where my outer skin began and my scrotal skin ended.  That is how badly my circumcision was done.  Once I found out it was because of that, I bitterly hated both the fact I was circumcised and the appearance of it because of that. </t>
  </si>
  <si>
    <t xml:space="preserve">The frenulum and gliding skin motion as well as the sensation of a glossy smooth glans. </t>
  </si>
  <si>
    <t>The moment I found out it was done to me. It was a world shatteringly traumatic experience. As if my life was a lie up to that point.  Hearing the word "circum-" would be an immediate trigger for me as would seeing depictions of circumcised penises. Initially I would fully melt down into a fetal position and have full panic attacks. However as I've aged, I am still very much triggered but it is now a more manageable response.</t>
  </si>
  <si>
    <t xml:space="preserve">Painful bowing erections, chafing, chronic numbness, meatal stenosis, improperly healed stitch resulting in isolated skin bridge on circumcision scar </t>
  </si>
  <si>
    <t xml:space="preserve">I have long since gone no-contact with my family due to circumcision trauma.  
The water of the womb runs thinner than the blood of the brotherhood.  You should've listened to mother when she had doubts, but your vanity as a father led me to this emotionally, physiologically, and physically destructive end.  Mother has long since passed, but you are equally as dead to me.  In reality my familial love for both of you had died moments after I discovered what was done to me.  I didn't cry when my mother passed, I won't shed tears for you either. </t>
  </si>
  <si>
    <t>Experienced feelings of loss, grief, or anger, Significantly dissatisfied with sensation, function, or appearance, Disgusted with self over finding the action of circumcision to be arousing</t>
  </si>
  <si>
    <t>Heal psychological trauma, Achieve glans coverage and dekeratinization, Feel more 'natural' or 'whole', Reclaim what was taken, Increased overall sensitivity, Desperately hoping it would "cure" me of being a circumsexual.</t>
  </si>
  <si>
    <t>MM2 MM3 until CI 4, A variety of air devices until CI 5 but none felt effective. Stealth Retainer Extended P-tainer has been most effective taking me all the way to CI-7</t>
  </si>
  <si>
    <t>Family: Active mockery and belittlement.  Saw circumcision as a nonissue and found the fact I'd wish to reverse it as rubbish.
Friends: A mix of curiosity and encouragement. Overall supportive even if not all believed in my stances against circumcision.
Partner: Wholly supportive but would often embody the toxic positivity trait of "I like you no matter what your dick looks like" That while well intentioned, it subtly discouraging.</t>
  </si>
  <si>
    <t xml:space="preserve">Sensations around the circumcision scar, glans, and inner skin went through the roof.  Prior to restoration I could seldom feel anything on my glans, however now it and my inner skin are the most sensory dense parts of my anatomy.  Frustratingly due to an ablated frenulum I do not have any sensation down there.  </t>
  </si>
  <si>
    <t xml:space="preserve">It unfortunately has not had any noticeable change.  The post-orgasm afterglow effect has gotten significantly longer, but the often praised "Full body orgasm" experience some men account for post-restoration has not yet to avail me. </t>
  </si>
  <si>
    <t xml:space="preserve">Reclaiming uncut/uncircumcised for restored folk resonates with me.  I personally feel that only someone who was once circumcised can become uncircumcised.  People born with natural anatomy should simply be called intact/whole/natural/normal.  Our backwards nomenclature feels intellectually insulting.  You wouldn't call someone with functional and normal legs "uncrippled" would you? </t>
  </si>
  <si>
    <t>Device slippage and motivation.  Motivation issues stemming from said device slippage. Device slippage caused by prior mentioned v-shaped skin gap, likely due to overzealous usage of the Mogen circumcision clamp.  Said v-shaped gap plagued me my entire journey and would always be the point of failure whenever I ran into slippage issues.</t>
  </si>
  <si>
    <t>Don't sweat fine-tuning your skin coverage disparity until RCI-5. The bulk of your growth early on will be eaten by your scrotum reclaiming it's space on your pubis and will appear like nothing is happening.  If you were also the victim of a Mogen clamp and your v-scar is your point of failure, consider reaching out to a urologist or plastic surgeon to see if something can be done.  I wish I had done that before starting my restoration journey so I could've had a lot less headaches.  Oh! Also if you're a manual tugger, body-safe sports powder is a lifesaver for dealing with oily skin.</t>
  </si>
  <si>
    <t>Like other fields of medicine, I honestly don't care unless there's a way to get involved directly or a means to make sure I can be signed up for the treatment.</t>
  </si>
  <si>
    <t>It's cleaner, it'll prevent STDs, I like how it looks, girls prefer it that way, it's just what we do, you'll last longer in bed</t>
  </si>
  <si>
    <t>They looked weird, they were smelly, women found it gross, it was assumed you would be circumcised eventually if you weren't right now, you likely weren't getting laid</t>
  </si>
  <si>
    <t>they were cleaner, lasted longer, looked better, were the standard norm</t>
  </si>
  <si>
    <t>Decades of fear mongering over the uncircumcised penis combined with an AIDS epidemic and mass produced pornography resulting in the shaping of the circumcised penis as a cultural normative.</t>
  </si>
  <si>
    <t>The main author of the AAP's 2012 circumcision stance that EVERY clinic and hospital uses as justification for recommendation, has gone on record stating that the risks outweigh the benefits.  I'd trust the man who had to write for the entirety of American Medicine than a random doc trying to push someone into getting their kid snipped.</t>
  </si>
  <si>
    <t>Cultural normalization has allowed atrocities to happen. We are no different than the people who band little girl's feets, artificially elongate one's necks with rings, mutilate one's lips with gauges, or intentionally brain damage via skull indent.</t>
  </si>
  <si>
    <t xml:space="preserve">The psychological, emotional, and libido trauma caused by circumcision grief is under-reported and under-discussed. Due to the anonymous nature of this I am willing to fully admit that I entirely blame my circumcision and resulting trauma for permanently warping my sexuality and erotic turn-ons turning me into an unwilling circumsexual.  Not just one who simply fetishizes the form, but one that also fetishizes the act of it being performed on defenseless infants of which there is plentitudes of footage for on the likes of YouTube. It is an uncontrollable urge and vice that I regularly indulge in to the point I can no longer sexually function without fantasizing about the circumcision procedure being performed on other babies or fantasizing as myself being strapped to a circumstraint board and undergoing the procedure once again.  This horrid atrocity has permanently scarred me in more ways that physical and I have personally made attempts on my life three separate times due to said issues. </t>
  </si>
  <si>
    <t xml:space="preserve">Of course.  I am fully comfortable sharing my own story.  Both in terms of restoration, the culture of circumcision, and the long lasting emotional and physiological damages that can occur.  My story is uncomfortable, but I am willing to tell it if the opportunity arises. </t>
  </si>
  <si>
    <t>None. I was well aware of them being normal and as such held no feelings towards them.</t>
  </si>
  <si>
    <t>The advent of easier to use restoration devices after experiencing nonstop frustration in my teen years battling constant device slippage issues.</t>
  </si>
  <si>
    <t>Overall improvements in body image and confidence. I feel like I've taken back something deeply missing from my life even before I ever knew what was done.  It's led to take better care of my body overall too.  Since hitting RCI-6 I've dropped 70 pounds, retain healthy blood pressure levels again, and managed to wrangle myself out of type 2 diabetes.</t>
  </si>
  <si>
    <t>Reaching RCI 10, having surgical corrections done to address lingering anatomical changes brought about by my circumcision such as a gap of missing skin in the shape of a V along my underside shaft, fully de-keratinizing, having a surgically reconstructed faux-frenulum, having a purse string suture done to recreate a facsimile of the rigid renar band.
Finally find a way to cure myself of being a circumsexual who can't get off unless he's watching medical footage of a baby getting circumcised or fantasizing about it being done to me.</t>
  </si>
  <si>
    <t>It will remain the same as it is with an even so slight downtrend.  Progress has been glacial and I do not expect it to change much.</t>
  </si>
  <si>
    <t>Never got taught it</t>
  </si>
  <si>
    <t>I don't see any advantages</t>
  </si>
  <si>
    <t>Feels less sensitive, never got to feel what having foreskin felt like</t>
  </si>
  <si>
    <t>Cultural Tradition/Family Norm: It was a strong family tradition, cultural expectation, or simply "what people in our community did.", To Look Like Father/Peers: Desire for the son's penis to match the father's or other males in the family/community., Parent's General Preference: Parents simply preferred the circumcised appearance or state without specific medical, religious, or cultural reasons being primary., Don't Know/Not Told: The reasons were never explained or learned later., 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 Aesthetic Preference / To Look "Better" or "Neater": Belief that the circumcised penis looks more visually appealing, "prettier," or tidier than an intact one., Controlling/Restricting Masturbation: A belief that circumcision would reduce the urge or ability to masturbate (a view common in certain historical eras).</t>
  </si>
  <si>
    <t>Religious Mandate/Tradition: A direct requirement or strong cultural expectation stemming from their religious beliefs and community. (The power of faith)., Aesthetic Preference: A belief, possibly influenced by media or pornography, that the circumcised penis is visually "neater," "more attractive," or the "correct" look. (The power of aesthetics)., Institutional Medical Norm: The general belief that "this is just the standard procedure" at hospitals, making it a routine, unquestioned part of postpartum care. (The power of the system).</t>
  </si>
  <si>
    <t>some mobile shaft skin left</t>
  </si>
  <si>
    <t>How sensitive and orgasmic intact feels and the kinks about foreskin</t>
  </si>
  <si>
    <t>somewhere between childhood and adulthood</t>
  </si>
  <si>
    <t>i think it was that "Intact's are unclean" or something, not sure.</t>
  </si>
  <si>
    <t>believe it was "its easy to clean"</t>
  </si>
  <si>
    <t>What having foreskin actually feels like</t>
  </si>
  <si>
    <t>Believe genital mutilation in any form is wrong, except life threatening medical surgery</t>
  </si>
  <si>
    <t>Aesthetic Preference: I (or my partner/parents) preferred the appearance of a circumcised penis., Perceived Hygiene Benefits: A belief that it would be cleaner or easier to care for., Religious Conversion or Affirmation, Social Conformity: A desire to "look like" peers or fit a cultural norm.</t>
  </si>
  <si>
    <t>The lines might be read in a mass setting but are never discussed further</t>
  </si>
  <si>
    <t>I'm currently agnostic but am still a vocalist for a local church to be on decent terms with my  parents. I'm well aware that most Christians around the world don't practice circumcision so my resentment is not tied to the faith.</t>
  </si>
  <si>
    <t>High sensitivity of the glans in the worst way possible. Constant irritation from clothing.</t>
  </si>
  <si>
    <t>Build-up varies, final release is very pleasurable and full-body but wasn't the case before I started restoring.</t>
  </si>
  <si>
    <t>I sometimes use lubrication but don't want to as it takes a while to wash off</t>
  </si>
  <si>
    <t>I've experienced no benefits whatsoever and don't think that any possible advantages are worth it</t>
  </si>
  <si>
    <t>Irritation from clothes, painful erections, skin bridge which constantly had white stuff build up underneath and couldn't be cleaned out before surgery, mental deterioration</t>
  </si>
  <si>
    <t>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 Just standard practice: Based on observing its prevalence, assumed it was the default medical procedure without a specific individual reason., Hygiene: Belief that circumcision makes the penis easier to keep clean or is inherently more hygienic., Parent's General Preference: Parents simply preferred the circumcised appearance or state without specific medical, religious, or cultural reasons being primary., Cultural Tradition/Family Norm: It was a strong family tradition, cultural expectation, or simply "what people in our community did."</t>
  </si>
  <si>
    <t>Very little shaft skin remaining before restoring and high tightness during erections, the scar is hard to notice but is still there, skin removal seem much worse on the underside because of how far up the pubic hair goes, glans fully exposed all the time</t>
  </si>
  <si>
    <t>Sensitivity, What it's like to walk around and not have any pain from clothes</t>
  </si>
  <si>
    <t>Removal of a skin bridge on the scar</t>
  </si>
  <si>
    <t>They started at the age of 16 and they constantly trigger when my glans feel pain. I can't almost never stop thinking about it.</t>
  </si>
  <si>
    <t>The skin bridge</t>
  </si>
  <si>
    <t>Tell them about the skin bridge that needed an extra surgery, the irritation from clothes, the tight erections, and what it actually does mentally</t>
  </si>
  <si>
    <t>Motivated by research or learning about intact anatomy/function, Significantly dissatisfied with sensation, function, or appearance, Felt physically uncomfortable or experienced complications, Curious about what might be different if intact, Experienced feelings of loss, grief, or anger</t>
  </si>
  <si>
    <t>Feel more 'natural' or 'whole', Heal psychological trauma, Improve sexual pleasure/orgasms, Regain gliding motion, Reclaim what was taken, Increased overall sensitivity, Achieve glans coverage and dekeratinization, Improve gliding mechanics/reduce need for lube, I also had a skin bridge which was only recently fixed and the addition of constant irritation since puberty has significantly harmed my mental health to the point of suicidal thoughts. I just don't want to die like this.</t>
  </si>
  <si>
    <t>Manual Method 2</t>
  </si>
  <si>
    <t>I refuse to talk to anyone because of a very bad experience opening up with my parents and is the main reason it took until the age of 30 to get that skin bridge removed. I've never been able to consistently restore due to autism, college, the pandemic, gaming addiction, and hopeless from current unemployment</t>
  </si>
  <si>
    <t>I have better gliding action and more intense orgasms</t>
  </si>
  <si>
    <t>Yes, they weren't full body before</t>
  </si>
  <si>
    <t>I don't mind intact men using the terms if they are from a country or ethnicity where being so is a majority, but don't feel comfortable with an odd-one-out using it.</t>
  </si>
  <si>
    <t>The most challenging part is getting motivation to tug and the mental depression I'm constantly in. I would guess the most rewarding thing is no more hurtful erections as there's still too much to do.</t>
  </si>
  <si>
    <t>Begin immediately, do a lot of tugging but don't overdo it, consider moving to an intact part of the world if you don't already live in one.</t>
  </si>
  <si>
    <t>I'm fully open to a possible surgery in the future, but I still recommend restoring for anyone at the moment because not doing anything results in damage to the glans overtime.</t>
  </si>
  <si>
    <t>Conformity</t>
  </si>
  <si>
    <t>No one talks about it</t>
  </si>
  <si>
    <t>It's just ignored</t>
  </si>
  <si>
    <t>Lack of education</t>
  </si>
  <si>
    <t>The complications, and the true lack of benefits for gay men and asexuals.</t>
  </si>
  <si>
    <t>Because almost no one ever talks about it and is considered deviant to even say anything</t>
  </si>
  <si>
    <t>Learning that 2/3 of men worldwide are intact was close to breaking me, but I instantly snapped around the age of 16 when seeing the video "Circumcision Trauma" and my life has never been the same.</t>
  </si>
  <si>
    <t>There's no tightness anymore, but I still need proper coverage before I can ever feel okay</t>
  </si>
  <si>
    <t>I'd love to have a RC10 but am not sure if I'll live long enough for it given my infrequency with tugging</t>
  </si>
  <si>
    <t>Less than I think is natural</t>
  </si>
  <si>
    <t xml:space="preserve">The build up is fairly quick. I don't really have a ton of pleasure until I'm nearly there. </t>
  </si>
  <si>
    <t>Partners don't seem to grok that I need lube for stimulation to be pleasurable</t>
  </si>
  <si>
    <t xml:space="preserve">Yes. Anger, grief, difficulty acheiving orgasm, a sense that something is missing </t>
  </si>
  <si>
    <t>Relatively tight, small to medium amount of inner skin.</t>
  </si>
  <si>
    <t>Mostly the fine-touch sensations</t>
  </si>
  <si>
    <t xml:space="preserve">They first emerged as a teenager, and I would suppresw them, but they come back in waves. </t>
  </si>
  <si>
    <t>Difficulty with orgasm, feeling that I'm not sensitive enough there.</t>
  </si>
  <si>
    <t xml:space="preserve">You have no idea how much you've hurt me or how this has impacted my life. </t>
  </si>
  <si>
    <t>Increased overall sensitivity, Feel more 'natural' or 'whole', Improve sexual pleasure/orgasms, Heal psychological trauma</t>
  </si>
  <si>
    <t xml:space="preserve">My partners, yes. Nobody else. </t>
  </si>
  <si>
    <t>Yes, some. Mostly as a result of increased skin mobility and the fact that glans is covered most of the time (taped)</t>
  </si>
  <si>
    <t>They do seem longer now</t>
  </si>
  <si>
    <t>Restored. It's. Ot the same.</t>
  </si>
  <si>
    <t xml:space="preserve">The challenging part is psychological. I have a lot of resentment about the work I have to do just to restore SOME sexual function. 
As far as most rewarding, the big milestone for me has been no longer feeling clothing rubbing in the gland all the time, which was a huge sensory relief. </t>
  </si>
  <si>
    <t xml:space="preserve">I would say they should do it, commit to it, and find some moral support or someone they can talk to about it. </t>
  </si>
  <si>
    <t xml:space="preserve">I know this probably won't happen, but im a just world, the hospitals that cut us for profit would pay for these procedures. It's only fair. </t>
  </si>
  <si>
    <t>That they are dirtier</t>
  </si>
  <si>
    <t>That they look better</t>
  </si>
  <si>
    <t>Culture, porn</t>
  </si>
  <si>
    <t xml:space="preserve">The many important sexual functions of the foreskin. </t>
  </si>
  <si>
    <t xml:space="preserve">I have a belief that a desire to spare circumcised men's feelings has blunted any effort to change things. It will be difficult, but circumcised men must deal with the grief they'll doubtless feel. Our children deserve that we are honest with ourselves. </t>
  </si>
  <si>
    <t>I'd be willing to write</t>
  </si>
  <si>
    <t xml:space="preserve">Unfortunately, I don't remember, but I eo recall reading about people restoring, and how their sensation had improved. </t>
  </si>
  <si>
    <t>It's been hard. I keep stopping and starting. It's such a long process that it's hard to stick with it, and doing it beings up grief, so in times of emotional stress, I have to stop.</t>
  </si>
  <si>
    <t>Indon't think I'll be truly happy until surgical restoration is possible (eg foregen), but for me, RCI 6 or 7 is the goal.</t>
  </si>
  <si>
    <t>Glans is most sensitive, obviously, but general touch gets it going pretty easily.</t>
  </si>
  <si>
    <t>Quick build-up, release is INTENSE but mainly located in my crotch</t>
  </si>
  <si>
    <t>When jorking it by hand, no need. When using a toy, needed. When with a partner, no need. Unless it's anal, but everyone needs lube for anal.</t>
  </si>
  <si>
    <t>Appearance, streamlined-ness, sensitivity to touch</t>
  </si>
  <si>
    <t>Nup.</t>
  </si>
  <si>
    <t>Aesthetic Preference / To Look "Better" or "Neater": Belief that the circumcised penis looks more visually appealing, "prettier," or tidier than an intact one., Prophylactic Health Reasons (General Prevention): Belief that it prevents potential future health problems (e.g., infections, inflammation, later penile issues) that were not currently present., Parent's General Preference: Parents simply preferred the circumcised appearance or state without specific medical, religious, or cultural reasons being primary., Cultural Tradition/Family Norm: It was a strong family tradition, cultural expectation, or simply "what people in our community did.", Hygiene: Belief that circumcision makes the penis easier to keep clean or is inherently more hygienic.</t>
  </si>
  <si>
    <t>Tight skin when erect, visible scar, glans fully exposed all the time, even scarline</t>
  </si>
  <si>
    <t>Gliding, different sensation</t>
  </si>
  <si>
    <t>Thanks, it's great so far!</t>
  </si>
  <si>
    <t>People saw it as cosmetic but beneficial, tmk</t>
  </si>
  <si>
    <t>Nothing that I know of</t>
  </si>
  <si>
    <t>Cleaner, nicer looking? I'm not sure</t>
  </si>
  <si>
    <t>Ease of use, aesthetic appearance</t>
  </si>
  <si>
    <t>It's really not a huge deal</t>
  </si>
  <si>
    <t>It's not harmful?</t>
  </si>
  <si>
    <t>Aesthetic Preference: I (or my partner/parents) preferred the appearance of a circumcised penis., Perceived Hygiene Benefits: A belief that it would be cleaner or easier to care for., Sensation: A belief or hope that it would change or improve sexual sensation (e.g., help with premature ejaculation).</t>
  </si>
  <si>
    <t>Genitally mutilated man</t>
  </si>
  <si>
    <t>Completely Inadequate or Absent: I received no real information and felt I was simply following a hospital default or a strong recommendation without context.</t>
  </si>
  <si>
    <t>Feeling Uninformed but Trusting: We didn't have a lot of information but trusted the hospital/doctor to guide us correctly.</t>
  </si>
  <si>
    <t>That "foreskin" is a valuable body part.</t>
  </si>
  <si>
    <t>This topic is extremely difficult for people to look at.  I believe that our brains literally block the information because of the pain that the truth would cause us to go through (self-preservation).  Considering that it is harmful means accepting that our parents, medical professionals, religious leaders, and others who we may love in one way or another have been complicit in causing harm.  In my case, my own country (government) caused the harm and still does not acknowledge it.  It's more difficult when it may be our own body, our own child or our own siblings who have been harmed.  I think that there has been no other social movement that so deeply affects our our psychology and sociology.</t>
  </si>
  <si>
    <t>My parents admitted that they were just following the herd at the time.</t>
  </si>
  <si>
    <t>I don't remember talking about it with my peers when I was young.  ALL of my peers were cut and I don't think anyone knew that there was another way of being.  When an older man made a joke toward me when I was 16, he said that I would go blind if I kept doing that (referring to masturbation).  I thought that he was just suggesting that my P was small and had no idea that he was referring to a claim from the 1800s that was promoting "circumcision."</t>
  </si>
  <si>
    <t>It wasn't talked about.  It never was a conversation topic until I became a dad.  This is part of what makes me so furious: it SHOULD be a conversation topic until the fad dies out.</t>
  </si>
  <si>
    <t>Cultural conditioning - not just familiarity.  It's like the Fox Who Lost His Tail - people WANT to believe that their condition is better and will do everything they can to convince others that it is.</t>
  </si>
  <si>
    <t>The anatomy and functions of what typically gets removed.</t>
  </si>
  <si>
    <t>Humans often wear rose-colored glasses and see things through their own personal lens.  It might be transparent, but that does not mean that people will see it. This is why I support the Bloodstained Men suit - it makes it difficult to NOT see it.</t>
  </si>
  <si>
    <t>My oldest is 20 years old.  I struggled with the decision to leave him and his younger brother intact. Thus, I had to go down the rabbit hole of research on this topic.  That research did not stop with looking at studies and research papers.  I interviewed hundreds of people from several parts of the world, watched all the documentaries and have dozens of books.  I come from a place of heavy bias towards being "circumcised" given my personal state, my upbringing and my own country and still came out the other end being very pro-genital-autonomy.  I use that term instead of body-autonomy, body-integrity or intactivism because I still support people doing what they want to their OWN bodies and I am not anti-vax.</t>
  </si>
  <si>
    <t>I'm very public about this issue. You and I are already connected.</t>
  </si>
  <si>
    <t>POTS interview on YouTube.</t>
  </si>
  <si>
    <t>2000 - 2009</t>
  </si>
  <si>
    <t>Ethical beliefs about bodily autonomy and a child's right to consent, Lack of a clear medical necessity for the procedure, My partner's preference was to keep him intact, Independent research (documentaries, articles, online communities), The medical benefit claims did not make sense.</t>
  </si>
  <si>
    <t>Look at the anatomy and functions of what gets removed.  Once you learn that, all the medical benefit claims seem ridiculous.</t>
  </si>
  <si>
    <t>A news article or scientific study I/we encountered</t>
  </si>
  <si>
    <t>During pregnancy: We did our research and made a firm decision before the birth.</t>
  </si>
  <si>
    <t>Yes, and it made me/us pause and consider, but we chose to remain intact anyway.</t>
  </si>
  <si>
    <t>Yes, he has expressed positive feelings (e.g., gladness that he is intact).</t>
  </si>
  <si>
    <t>Proud that my wife questioned it and proud that I did not get caught up in my own ego when I agreed to leave our sons intact.</t>
  </si>
  <si>
    <t>Silent Generation (born 1928-1945)</t>
  </si>
  <si>
    <t>The Church said it was unnecessary for salvation but the American circumcising culture recommended it for health/hygiene.</t>
  </si>
  <si>
    <t>I've never understood why the Roman Catholic church never spoke out against this vile uniquely American cultural practice.</t>
  </si>
  <si>
    <t>I try to make the build-up gradual with pauses in order to sustain the pleasure as long as possible.  The final release is mildly pleasurable but brief, focused on the muscle contractions.  It feels more like a reflex action.</t>
  </si>
  <si>
    <t>I prefer being as wet as possible.</t>
  </si>
  <si>
    <t>Regarding partners, I've been asexual most of my life.</t>
  </si>
  <si>
    <t>I know of NO advantages to being circumcised.</t>
  </si>
  <si>
    <t>Having my glans constantly radiating a sense of being naked was annoying.</t>
  </si>
  <si>
    <t>Cultural Tradition/Family Norm: It was a strong family tradition, cultural expectation, or simply "what people in our community did.", Parent's General Preference: Parents simply preferred the circumcised appearance or state without specific medical, religious, or cultural reasons being primary., Aesthetic Preference / To Look "Better" or "Neater": Belief that the circumcised penis looks more visually appealing, "prettier," or tidier than an intact one., Hygiene: Belief that circumcision makes the penis easier to keep clean or is inherently more hygienic., Medical Advice (without stated necessity): Recommended by a doctor or healthcare provider without explaining a specific existing medical problem, perhaps framing it as routine or generally beneficial., Don't Know/Not Told: The reasons were never explained or learned later., To Look Like Father/Peers: Desire for the son's penis to match the father's or other males in the family/community., 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 Just standard practice: Based on observing its prevalence, assumed it was the default medical procedure without a specific individual reason.</t>
  </si>
  <si>
    <t>I had been given what was referred to as a "good" circumcision, not too loose while flaccid and not too tight when erect.  On the other hand, my brother's (younger) penis resembles a whittle-stick.</t>
  </si>
  <si>
    <t>The stimulation of the 60% of erogenous nerve-endings encircling the preputial orifice (foreskin opening) as it stretches open while passing over the glans.  Never being able to experience La petite mort, "the little death."</t>
  </si>
  <si>
    <t>I've wanted my glans covered since before age seven (1948).  It was in late 1999 that I first noticed the tell-tale sign (an hourglass-like necking encircling my shaft) that a phimosis ring had formed.</t>
  </si>
  <si>
    <t>Leave me intact!</t>
  </si>
  <si>
    <t>Significantly dissatisfied with sensation, function, or appearance, Felt physically uncomfortable or experienced complications, Motivated by research or learning about intact anatomy/function, Experienced feelings of loss, grief, or anger, I hated it!</t>
  </si>
  <si>
    <t>Regain gliding motion, Feel more 'natural' or 'whole', Improve sexual pleasure/orgasms, Increased overall sensitivity, Reclaim what was taken, Improve gliding mechanics/reduce need for lube, Achieve glans coverage and dekeratinization, Heal psychological trauma</t>
  </si>
  <si>
    <t>A homemade device to which lead fishing weights could be attached.</t>
  </si>
  <si>
    <t>RCI-10 (Full Erect Coverage with overhang)</t>
  </si>
  <si>
    <t>I was given a fairly loose cut and was able to pull the foreskin stump over the glans and hold it there by wearing briefs for many years before I began stretching.  This resulted in very little keratinization.</t>
  </si>
  <si>
    <t>Foreskin is a sign of a FREE man!</t>
  </si>
  <si>
    <t>Being regular and consistent with my stretching retinue.  I'm much more comfortable being permanently covered than I ever was being permanently exposed.</t>
  </si>
  <si>
    <t>Do it, NOW!</t>
  </si>
  <si>
    <t>Will it restore the approximate 80% of erogenous nerve-endings which were amputated at circumcision?</t>
  </si>
  <si>
    <t>It was said to be healthier, cleaner, and looked better.</t>
  </si>
  <si>
    <t>They were difficult to "clean" and therefore "dirty."</t>
  </si>
  <si>
    <t>They  were "cleaner" and more "attractive."</t>
  </si>
  <si>
    <t>All of the above as the U.S. is a circumcising culture.</t>
  </si>
  <si>
    <t>The foreskin first appears in the fossil record at the dawn of the age of reptiles, some 450,000,000 years ago.  In that long period of time, only we humans (and our fellow primates) have had appendages (hands) sufficiently prehensile so as to be able to draw back our foreskins without injuring ourselves.  Among humans, females produce smegma at a rate 2-1/2 times that of males.  We bathe and wear clothes more for sociological reasons than physiological ones.  Group activities become impossible if everyone is giving off sexual aromas.</t>
  </si>
  <si>
    <t>It explains a lot of the male violence in American society.</t>
  </si>
  <si>
    <t>POTS (Prevail over the System)</t>
  </si>
  <si>
    <t>I've had no experience with them.</t>
  </si>
  <si>
    <t>I found the Brownian movement of air molecules again my glans to be extremely annoying.</t>
  </si>
  <si>
    <t>I had always seen my lack of a foreskin as a scarification indicating my slavery to the American circumcising culture.  Now ... not so much.</t>
  </si>
  <si>
    <t>I had been rather aggressive with the weights resulting in the formation and development of a "phimosis ring."  [A relentlessly contracting, inelastic, narrow cord of tissue situated between the inner and outer foreskin layers.]  I was last able to pass the phimo-ring over my glans corona some six, seven years ago.  Currently my preputial orifice (foreskin opening) can be stretched to some 13mm (about 1/2-inch).  I'm not unhappy at having become phimotic as, from an esthetic point of view, I've always preferred the appearance of a covered erection to that of the naked glans.</t>
  </si>
  <si>
    <t>computer programming</t>
  </si>
  <si>
    <t>It was never discussed in a theological context in my church growing up.</t>
  </si>
  <si>
    <t>I am no longer Christian, but if I were, based on the study of the Bible that I have done, I would interpret it to be explicitly denouncing the practice of circumcision among Christians.</t>
  </si>
  <si>
    <t>Most of my shaft has about the same sensitivity to touch and rubbing as my forearm. My glans can essentially feel pressure, and that's about it (if you were to squeeze it, I could tell you someone was squeezing it, but that's the limit of what I'd feel). My circumcision scar is so hypersensitive that even the lightest touch will send shooting pain.</t>
  </si>
  <si>
    <t>Orgasm, if you can call it that, I tend to refer to it as only ejaculation, is a very frustrating experience. It takes a very long time, and not in a "I can last a long time" way, it's a "no matter how hard I try, I can't get it to happen" kind of way. The final release is, and I hate to use this phrasing, anticlimactic. There is a brief sense of release, a bit of flushing, and that's about it.</t>
  </si>
  <si>
    <t>Every partner that I have had has been very confused about why things that work on other men don't work on me. One particular guy, who I later found out was a circumfetishist was very confused why I didn't like anyone playing with my circumcision scar.</t>
  </si>
  <si>
    <t>As far as I'm concerned, there are no advantages. In the United States it does make you more attractive to women, so for a straight man that might be an advantage, but as a gay man that is of no use to me.</t>
  </si>
  <si>
    <t>I have nerve pain in my circumcision scar, very little sensation anywhere else on my penis, too much skin was removed from one side causing an uncomfortable bend in my erections, keeping myself clean is more difficult than if I had just been left intact, because while I don't have to clean underneath a foreskin, I have to figure out how to wash my penis without making any contact with my circumcision scar or just accept that I'm starting each day with a shooting pain in my penis as I wash the area with my circumcision scar. And to add insult to literal injury, I have to live with the knowledge that my bodily autonomy was violated and all this pain caused because that's just the way that my parents liked a penis to look.</t>
  </si>
  <si>
    <t>Just standard practice: Based on observing its prevalence, assumed it was the default medical procedure without a specific individual reason., Parent's General Preference: Parents simply preferred the circumcised appearance or state without specific medical, religious, or cultural reasons being primary., Aesthetic Preference / To Look "Better" or "Neater": Belief that the circumcised penis looks more visually appealing, "prettier," or tidier than an intact one., My mother did not want to have to explain to her friends why her son was different.</t>
  </si>
  <si>
    <t>Aesthetic Preference: A belief, possibly influenced by media or pornography, that the circumcised penis is visually "neater," "more attractive," or the "correct" look. (The power of aesthetics)., Peer &amp; Social Pressure (The "Fitting In" Factor): The widespread belief that "everyone else is doing it," and a desire for you to avoid being seen as different in locker rooms or later in life. (The power of broad social conformity).</t>
  </si>
  <si>
    <t>Before restoration, I had a very uneven tightness, the upper side of my penis had too much skin removed, resulting in a significant (over 60 degree) curvature in my penis, something that has always made me very self conscious. I was given a low and tight explicitly to hide the scar, but it's still visible and as far as I'm concerned quite unsightly.</t>
  </si>
  <si>
    <t>All of it. I want to know what it is like still having the most innervated tissue present on the male body, I want to know what it is like not having a keratinized glans that isn't rough and dry, I want to know what a smooth gliding motion feels like, I want to know what docking feels like, I want to know what it is like having someone put their tongue between my foreskin and my glans, I want to know what it is like not having uncomfortable tugging, I want to know what it is like having a normal shaped penis instead of curvature that gets confused looks from romantic partners.</t>
  </si>
  <si>
    <t>I have not yet, but given advancements in correcting nerve damage I have sought out and am awaiting evaluation to see if it is now possible to do anything about the nerve pain in my circumcision scar other than "apply lidocaine and try not to think about how you just made a part of your body that you feel distress over lack of sensation as it is even more lacking in sensation."</t>
  </si>
  <si>
    <t>They first emerged after my first sexual experience with an intact man and realizing that he was experiencing levels of pleasure that I couldn't even imagine and coming to find out that was just the norm for intact men, but they ramped up to extreme levels after the birth of my son and having the realization that, while every parent wants their child's life to be better than theirs, my son's life was going to be so much better than mine because I made one right decision before he left the hospital that my parents weren't willing to make for me.</t>
  </si>
  <si>
    <t>I've brought most of them up already. Nerve pain in my circumcision scar that sends shooting pain at even the lightest of touch, uncomfortable erections from the tightness of the skin on one side of my penis, lack of sensation, and also urinary spraying (which probably isn't meatal stenosis, at least it has never been diagnosed as such).</t>
  </si>
  <si>
    <t>Your son was born with many problems, children don't end up in the NICU because they are fine. Having a foreskin was not one of those problems. Your decision to cut is the single most important decision you have ever or will ever make, because it has absolutely destroyed your son's life. No one deserves to live life without the ability to experience pleasure and that is what you have condemned your son to.</t>
  </si>
  <si>
    <t>Motivated by research or learning about intact anatomy/function, Generally satisfied or hadn't thought much about it, Significantly dissatisfied with sensation, function, or appearance</t>
  </si>
  <si>
    <t>Feel more 'natural' or 'whole', Achieve glans coverage and dekeratinization, Reclaim what was taken</t>
  </si>
  <si>
    <t>I started with Manual Method 2, later adding in Manual Method 3. After about a year of doing this I began using a Stealth Retainer with a tugging strap with periodic manual tugging mixed in.</t>
  </si>
  <si>
    <t>Yes. My husband has been incredibly understanding. My mother has not been very supportive, thinking it is a waste of time and money (though I believe some of that is that she, correctly, sees my choice to restore as a repudiation of her).</t>
  </si>
  <si>
    <t>As I had very little mobile skin, now that I have enough to get at least some minor improvement in, for lack of better terms, under the skin sensation in the shaft.</t>
  </si>
  <si>
    <t>Only moderately. The only real change is that I can now orgasm/ejaculate via manual methods alone, something that previously was not possible (there was an entire routine I had to go through).</t>
  </si>
  <si>
    <t>I am still in the process of restoring. I believe that uncut and uncircumcised are words that don't actually describe anything. You cannot reverse circumcision, you can not uncut something. Someone is intact or they are circumcised and within circumcised men are a subgroup who are restoring and/or have restored themselves, though what has been restored will never replace what has been stolen.</t>
  </si>
  <si>
    <t>The most challenging aspect is coming to terms with just how long it is going to take. The most rewarding has been the first time it was so cold that shrinkage had pulled my glans in enough that at first glance it looked like I was really small, but intact (I understand very few men would be happy to describe themselves as really small and I'm not exactly thrilled by that description either, but I'd rather be small and intact instead of large and mutilated).</t>
  </si>
  <si>
    <t>Don't give up. Take regular progress pictures. The progress takes so long and moves so slow that there will be days that you won't realize just how far you've come until you look at that old photo of your penis and see just how much difference there is from a few months ago or a year ago instead of comparing it to what you saw the day before.</t>
  </si>
  <si>
    <t>I really hope that it is successful, but I know that it is something that will always be outside of my price range. I can hope that having a high profile, high price, service to restore foreskin will make it much more publicly recognized that men NEED their foreskin and it will bring an end to male genital mutilation as people have that conversation.</t>
  </si>
  <si>
    <t>Growing up it was just the done thing, though there was mention of it being cleaner and neater and it was frequently mentioned to be more attractive and there was some mention that certain religions also saw religious significance to it.</t>
  </si>
  <si>
    <t>About the only stereotype that I remember was that they were funny looking (but no one ever seemed to care when seeing someone who was intact in the locker room)</t>
  </si>
  <si>
    <t>Circumcision is a solution looking for a problem. It is an incredibly profitable practice and given our for profit healthcare system, of course doctors are going to push it as aggressively as they can, telling parents whatever they think will get them to sign the consent form.</t>
  </si>
  <si>
    <t>I honestly don't know. I have a hard time comprehending how anyone doesn't immediately realize that it makes absolutely no sense to remove perfectly healthy tissue that we are born with for a reason. Maybe the most important thing is informing people all of the things that the foreskin does, that it isn't just a "useless flap of skin".</t>
  </si>
  <si>
    <t>As a victim of routine infant circumcision (gone wrong no less), I can attest to just how horrific the harms are, but if you were to listen to general society it is, at worst, harmless, at best the most amazing thing that can happen to you... and yet society seems to be aware enough of the fact that circumcision isn't truly that amazing, because if they did, they would have no problem with leaving boys intact and letting men choose for themselves, instead they ensure it is forced on children.</t>
  </si>
  <si>
    <t>My mother was an emotionally abusive manipulative narcissist who saw me as her vanity project, not my own person, my father killed himself when I was 5 to get out of the situation. From my perspective, every parent who chooses circumcision has one thing in common with my abusive mother, they don't see their sons as their own people, deserving to make their own decisions about what happens to their bodies.</t>
  </si>
  <si>
    <t>I already share my story via social media, I have contemplated making short or long form videos telling my story, putting a voice and face to those who have been victims of this practice.</t>
  </si>
  <si>
    <t>Realizing that I was 38 an a virgin, married for over a decade and a virgin, because holding an erection hard enough for long enough to have penetrative sex was too painful, so my only sexual experiences were mutual masturbation and pretending to have a cuck fetish to "outsource" penetrative sex to satisfy my husband's sexual needs. Finding out that less than 1% of men are virgins at 40. I had felt incomplete and unhappy with being circumcised for a while, but that realization that I was about to become the punchline of a mediocre comedy movie definitely gave me urgency to do something.</t>
  </si>
  <si>
    <t>I so far have only told my husband and my mother, who I discussed in the previous answer.</t>
  </si>
  <si>
    <t>I have found that foreskin restoration has dramatically increased my peace of mind and has helped me control my binge eating disorder. The fact that I am in the process of reclaiming my own genitals is making control of my entire body much easier.</t>
  </si>
  <si>
    <t>Ultimately, my end goal is to be able to look down and see a penis that looks like it could actually be mine, the one I was born with, not the one that was forced on me by my parents' aesthetic choice.</t>
  </si>
  <si>
    <t>Aesthetic Preference: I (or my partner/parents) preferred the appearance of a circumcised penis., I want to be clear, I was still in the NICU, I had no say in the matter, so for Aesthetic Preference, make sure it is noted that it was my parents' preference, not mine</t>
  </si>
  <si>
    <t xml:space="preserve">I was botched and left with skin bridges across the right side of my penis. They sting like needles when they are pulled. I have to be extremely careful during sex and that is just by myself. Sex with a partner is not comfortable and I avoid it. Light touch doesn't really feel like anything for me. I would say that the most sensitive part is what is left of my obliterated  frenulum and the ridge of my glans, only on the left side though, the right side is painful to stimulate because of the scar tissue. </t>
  </si>
  <si>
    <t>I would say my orgasms are muted but I only just learned that recently. It takes me about 2 hours to reach orgasm. For me, it builds and then it goes away, meaning I have to start over. I've never experienced any sort of full-body sensation. Orgasms for me are quick and not particularly satisfying. I don't typically ejaculate at all, and when I do, it's not much at all. I really only do it for health reasons.</t>
  </si>
  <si>
    <t>The last time I did it with no lube, I nearly tore one of the skin bridges and almost had to go to the hospital. The glans hurts to touch without lubrication because the skin is rough and dry.</t>
  </si>
  <si>
    <t>I've only had sex with a partner twice in my life and both times I had to stop because it was not comfortable.</t>
  </si>
  <si>
    <t>If there are any advantages, I sure as hell didn't get any. Because I was botched, it's actually harder to clean than if I was just left alone because I now have to use a syringe to clean underneath the fused scar tissue, otherwise I will get infections. I've never had a partner tell me that it looks better either.</t>
  </si>
  <si>
    <t>The drawbacks are psychological, physical and functional. I am in therapy currently after attempting suicide twice. I have been severely depressed since I was a child. The physical drawbacks are mostly subjective to me. I personally don't think the male genitalia looks better with a big ugly scar around it, especially when that big ugly scar has fused the glans to the shaft unevenly. I've never felt good about my body and I grew up questioning my gender and if I would've preferred to be born a woman. I know now as an adult that I wouldn't have wanted that, but for a child it was very confusing. Functionally, I was told by a urologist that if I wanted to have kids, I could go through a process called TESA where they extract semen using a needle. This is because my orgasms are so muted, that I don't typically produce semen.</t>
  </si>
  <si>
    <t>Medical Advice (without stated necessity): Recommended by a doctor or healthcare provider without explaining a specific existing medical problem, perhaps framing it as routine or generally beneficial., Cultural Tradition/Family Norm: It was a strong family tradition, cultural expectation, or simply "what people in our community did.", Prophylactic Health Reasons (Specific Disease Prevention - e.g., Cancer, STIs, HIV, UTIs): Belief that it lowers the risk of specific diseases later in life (e.g., penile cancer, certain sexually transmitted infections like HIV or HPV, infant urinary tract infections - UTIs).,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t>
  </si>
  <si>
    <t xml:space="preserve">When I look down at my penis, I see Freddie Krueger. I see strips of skin fused to the glans and stretched unnaturally and unevenly. I see holes along the circumference. It's really difficult to describe. </t>
  </si>
  <si>
    <t>I've wondered what it feels like to retract the foreskin over the glans.</t>
  </si>
  <si>
    <t>I haven't had any surgeries, however it was recommended to me by a urologist that I undergo a revision to remove the skin bridges, essentially "finishing the job." I didn't want to do it at first, but eventually I decided that it was my only option. Only then did I found out that my insurance refused to cover the revision because it was an elective cosmetic procedure. So I couldn't even do my *one* option.</t>
  </si>
  <si>
    <t>I always felt uncomfortable in my own skin, but the anger started after I lost my virginity and discovered that sex is uncomfortable at best and painful at worst. Sexual dissatisfaction is really only a small part of it though and not what triggers my anger. I would say using the bathroom, showering, and changing clothes is when I am triggered the most. Having to see myself and see my scar and be reminded of that every single day is the worst part.</t>
  </si>
  <si>
    <t xml:space="preserve">I have to sit down to pee. Which honestly I don't mind but it is directly because I was circumcised. I have skin bridges as mentioned before, and they can be quite painful. The bridges are severe on the right side. So much so that I need to use a syringe to clean under them. Obviously loss of sensation and difficulties having sex. </t>
  </si>
  <si>
    <t>When you discover the scars that run across my arms and legs, remember that I was not the first to take a knife to my body.</t>
  </si>
  <si>
    <t>I would say that the majority of people (not parents) simply see it as a sexual beauty standard and don't think about why it's wrong to apply that sexual standard to an infant. (I'm not sure if that's what you mean)</t>
  </si>
  <si>
    <t xml:space="preserve">I've heard most people talk about hygiene difficulties for intact men. I've mostly heard the excuse that men prefer to be cut and if you don't cut them as babies, they will get themselves cut, and it will be "so painful" for them. They ignore the use of anesthesia for adults and the lack of any pain relief for babies. </t>
  </si>
  <si>
    <t>It's believed that circumcised penises are cleaner and more attractive. I think pornography likely plays a role in this.</t>
  </si>
  <si>
    <t>Probably porn. Most people only know the difference from porn.</t>
  </si>
  <si>
    <t>It is not your body that you are altering, and if you were altered without your consent, you were violated. Understand that you were violated so that you don't violate more children.</t>
  </si>
  <si>
    <t>The first thing I ever did in this life was resist. I resisted the doctor who was cutting me. I kicked my little legs and I suffered for it. Every day I am reminded of my resistance.</t>
  </si>
  <si>
    <t>slimeman03@gmail.com</t>
  </si>
  <si>
    <t>You can text me at (901) 389-0555</t>
  </si>
  <si>
    <t>I would like to do everything I can to contribute to the abolition of neonatal circumcision. I can only argue this point from a leftist perspective, so I believe I would be limited in my ability to reach evangelicals and other religious fundamentalists, as well as anti-LGBTQ individuals. (Though I have opened the eyes of at least one Lutheran Christian) I am not scared of what people would think of me if I expressed these beliefs publicly.</t>
  </si>
  <si>
    <t>Its not very sensitive during the day but extremely sensitive when I get horny.
Overall glans ans circumcision scar are the most sensitive, back when I was uncut overall sensitivity was the same but more concentrated on inner foreskin an frenulum.</t>
  </si>
  <si>
    <t>It's full body for a few second and easily to reach within a minute, but if I want I can build up for far longer than that and it last longer too</t>
  </si>
  <si>
    <t>I don't really need it at all, but I find it more pleasurable sometimes. I never needed it for vaginal intercourse</t>
  </si>
  <si>
    <t xml:space="preserve">Hygiene, mostly the smell </t>
  </si>
  <si>
    <t xml:space="preserve">I'm part of a minority here. </t>
  </si>
  <si>
    <t>Low and tight, almost no inner foreskin left.
Frenulum completely removed. Glans always exposed. Gland dry but sensitive. Completely tight during erection</t>
  </si>
  <si>
    <t xml:space="preserve">It's the normy penis and only Muslims, Jews and guys who had tight foreskin aren't uncircumcised </t>
  </si>
  <si>
    <t xml:space="preserve">It's a religious thing and many boys have it done for tight foreskin </t>
  </si>
  <si>
    <t xml:space="preserve">Always, I'm not ashamed of it </t>
  </si>
  <si>
    <t xml:space="preserve">Germany </t>
  </si>
  <si>
    <t xml:space="preserve">It was very easy, but I experienced phantom foreskin for a while. I sometimes had the feeling I neede to adjust my foreskin as always and was like "oh, it's gone" and I used to pull on the shaft skin while peeing because I was so used to pulling the foreskin back </t>
  </si>
  <si>
    <t>I would absolutely recommend it it he has any reason at all to do it. Especially for my hygiene it's the best thing I've ever done</t>
  </si>
  <si>
    <t xml:space="preserve">The surgery was very quick an easy and the recovery very smooth and completely painless </t>
  </si>
  <si>
    <t>Very little sensitivity to light touch besides what remains of frenulum and the surrounding area. Pressure points are the primary means of sensation. Glans is sensitive only to pressure, only when lubricated.</t>
  </si>
  <si>
    <t>Most if not all pleasure/satisfaction from final release is psychological rather than physical.</t>
  </si>
  <si>
    <t>Because it takes so long to achieve orgasm, lubrication is the only means to avoid injury.</t>
  </si>
  <si>
    <t>Several issues with skin irritation around glans during childhood. It has caused self loathing for the way I look as far back as I can remember, and when I learned for myself later in my childhood what the act of circumcision was, and the significance of the foreskin, I was distraught, and have had feelings of extreme grief and anger on the matter. The main physical drawback is loss of sensation, mentally induced erectile disfunction. A few of many psychological drawbacks are feelings of being violated, akin to how someone feels about being molested, and knowledge that I've permanently lost one of the most functional and important parts of the most sensitive and private area of my body, at the most vulnerable age of my life.</t>
  </si>
  <si>
    <t>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 Cultural Tradition/Family Norm: It was a strong family tradition, cultural expectation, or simply "what people in our community did.", Just standard practice: Based on observing its prevalence, assumed it was the default medical procedure without a specific individual reason.</t>
  </si>
  <si>
    <t>About in the middle of loose and tight. Frenulum is offset, could be from the cut or could be genetic. Scarring, while not visually prominent, does have a tender feel and sensation is greatly diminish around the area.</t>
  </si>
  <si>
    <t>Everything. I wonder all of the time and yearn to experience what the biologically intended sensations would feel like.</t>
  </si>
  <si>
    <t>Likely when I was about 7. No direct answers when I asked what "circumcision" was. All I knew is that I had no say in a major, cosmetic procedure done to my own penis, and that is what fuels my hatred and resentment to this day.</t>
  </si>
  <si>
    <t>They've made a permanent decision to have a part of my body unnecessarily amputated at birth, without doing any research or giving it any thought. You've had something taken from me that I can never get back, and gave me permanent physical and psychological scarring due to that fact. The thought that you aren't kissing my feet in sorrow and regret for the lifetime of pain and discomfort you've caused me is disgraceful, and I wish you the deepest seat in hell for mutilating every one of your healthy, innocent newborn sons.</t>
  </si>
  <si>
    <t xml:space="preserve">All of the above I believe contribute </t>
  </si>
  <si>
    <t>Bad question, because there is no "one thing" in regards to the foreskin that makes it so anatomically important, there is a multitude of factors. 10,000-20,000 nerve endings similar to the ones you have in your finger tips are lost in circumcision. That fact should speak for itself on the importance of this one piece of skin.</t>
  </si>
  <si>
    <t>While I would like to delve into my own psychological outcomes of my circumcision as an infant, testimonial statements are purely anecdotal and I feel that they do not necessarily counter the millions of men who are "satisfied" with the choice that was robbed from them during their own infancy.</t>
  </si>
  <si>
    <t xml:space="preserve">It was taught as a health thing done for the people in the hot desert areas. </t>
  </si>
  <si>
    <t>Having the the whole natural body part, protection and pleasure</t>
  </si>
  <si>
    <t xml:space="preserve">Arousal liquid stays around longer and needs to be cleaned more often. </t>
  </si>
  <si>
    <t xml:space="preserve">The moving of the lubricated foreskin back and forth over the head is very pleasurable. It takes a bit for the natural lubrication pre-ejaculate to pool at the tip and then can be spread over the glans by the foreskin pulling back, increasing sensitivity. </t>
  </si>
  <si>
    <t xml:space="preserve">It is very sensitive and the main place for vibration to be placed. Probably gets stimulated with normal movement back and forth of the foreskin over the glans. </t>
  </si>
  <si>
    <t xml:space="preserve">Mainly how desensitized the glans would be touching underwear all day compared to how sensitive it is now with a foreskin covering it. </t>
  </si>
  <si>
    <t xml:space="preserve">I like intact or natural better. </t>
  </si>
  <si>
    <t xml:space="preserve">It is natural and nothing to be scared of from a medical standpoint. Parents can let their children decide for themselves and they most likely will not choose to do it because of how much of a non issue it is. </t>
  </si>
  <si>
    <t xml:space="preserve">A mix of health and religious reasons why others chose it. </t>
  </si>
  <si>
    <t>None!</t>
  </si>
  <si>
    <t>Less sensitivity</t>
  </si>
  <si>
    <t>Christian, Jewish</t>
  </si>
  <si>
    <t xml:space="preserve">It's can be a delicate subject to talk about because he is aware that circumcision is sexual abuse of children so it's hard for him to think about what he went through as an infant that was circumcised. Thankfully he has no issues with body image or pleasure, sensation, etc. Seems to be that there is some grief or even sadness for what he went through as an infant. </t>
  </si>
  <si>
    <t xml:space="preserve">Having my first child, being Christian also opened my eyes. </t>
  </si>
  <si>
    <t>Highlighting that most of the world does not practice circumcision doesn't help persuade people, most don't change their minds</t>
  </si>
  <si>
    <t xml:space="preserve">It's sexual abuse and has lifelong psychological influence. </t>
  </si>
  <si>
    <t xml:space="preserve">Christians are starting to (re)realize circumcision is wrong. It used to be considered wrong and became more normal as modern medicine picked up. But there is a reemergence of keeping boys intact in the Christian church. It would be a good place to get advocates and outreach </t>
  </si>
  <si>
    <t>- Religious: some Christians believe it's a biblical requirement but in Christianity the sound doctrine is that Jesus paid the cost. He was the last blood sacrifice. So there is a call for Christians to have sound doctrine. (Judaism does believe it is sound doctrine). 
- Generational ignorance: Misinformed caregivers including moms and Grandmas will tell expectant parents and others that it is the "cleaner" thing to do, and will give wrong advice like you have to retract to keep it clean (which is dangerous). They will talk about UTI's, cleanliness or even preference. I my experience there is more pressure from older women or matriarchs of a family especially "boomer" generation.
- Because it is "normal" in the U.S a lot of women may not have experience with intact men so out of ignorance will say it is preference. (Of course, no one should have a sexual preference of a child's genitalia). Of course some men have an opinion on their son looking like them out of pride. But in my experience, women I know, think an intact penis is ugly or are concerned it's dirty. Sadly. 
- Cultural: I believe circumcised men may also feel like it's a right of passage because they "had" to go through it. They may feel resentment for what they went through so expect their child or other children in their lives to also have to go through the same things that they did.
Because it's seen as "normal" in the West there may be fear an intact child will be bullied by peers or feel weird because he looks "different" than dad. 
-  In western culture it may be seen as gross or even poverty because the east does not partake in circumcision. 
- It's a taboo subject and may make some circumcised men uncomfortable because it may make them imagine what they went through as a child.</t>
  </si>
  <si>
    <t xml:space="preserve">That they're dirty, unclean and that baby's they need to be cleaned improperly (i.e. retracting foreskin) also, circumcision was just seem as the normal and expected so it was very abnormal if you were intact </t>
  </si>
  <si>
    <t xml:space="preserve">They're "cleaner," "normal," "healthier," "preferred." Expected. </t>
  </si>
  <si>
    <t xml:space="preserve">Ideas about hygiene, and pornography, lack of experience with intact </t>
  </si>
  <si>
    <t>It's not dirty or unhealthy</t>
  </si>
  <si>
    <t xml:space="preserve">It's sexual abuse which is engrained in a circumcised infant's brain for their entire life </t>
  </si>
  <si>
    <t xml:space="preserve">The abuse of extracting foreskin by caregivers that don't have experience with intact males </t>
  </si>
  <si>
    <t xml:space="preserve">Religious or cultural teachings, Independent research I've done myself, </t>
  </si>
  <si>
    <t xml:space="preserve">A delicate subject to discuss and when we were expecting our first child it was hard for him to consider having to circumcise a boy but it's the "normal" thing and for some reason everyone has a (negative) opinion on intact boys. Especially his family </t>
  </si>
  <si>
    <t>Actively Resentful or Grieved: He has expressed clear and consistent resentment, anger, grief, or dissatisfaction about being circumcised.</t>
  </si>
  <si>
    <t>Be gentle and curious, thoughtful questions are helpful. A circumcised man went through trauma and so it can be a sensitive topic but it's important for a circumcised man to understand this trauma started at birth. He may have to forgive his mom or family, and western medical doctors. Intact is normal.</t>
  </si>
  <si>
    <t xml:space="preserve">A lot of people think circumcision is normal or even "required" especially his family who have no problem expressing it </t>
  </si>
  <si>
    <t>A "quiet" ally, sharing information within my personal social circle</t>
  </si>
  <si>
    <t>The "Hygiene" and "Health Benefits" myths</t>
  </si>
  <si>
    <t>Legal challenges and lawsuits (like the Equal Protection cases), Legislative action (e.g., defunding Medicaid for RIC), Direct outreach and education for expectant parents, Reforming medical school curricula and hospital protocols, Creating high-quality media (documentaries, articles)</t>
  </si>
  <si>
    <t>Business/Finance/Management, Clerical / Administrative Support (e.g., Secretary, Office Clerk), Stay-at-Home Parent / Homemaker, Education (e.g., K-12 Teacher, Professor, School Administrator)</t>
  </si>
  <si>
    <t>Factory / Manufacturing / General Labor, Business/Finance/Management, Skilled Trades (e.g., Electrician, Carpenter, Mechanic, Cosmetologist), Retail / Customer Service / Hospitality</t>
  </si>
  <si>
    <t>Not really. My church followed the new testament while observing the fact that the old testament "law" became inert after Jesus died.</t>
  </si>
  <si>
    <t>I've never once given a fuck about what other people do with their bodies as long as they are happy and healthy.</t>
  </si>
  <si>
    <t>The head is very sensitive, the rest not as much.</t>
  </si>
  <si>
    <t>Pretty streamline I guess? I feel like I'm fairly typical in that area but I have no frame of reference really I guess.</t>
  </si>
  <si>
    <t>Easier to clean/wash</t>
  </si>
  <si>
    <t>Seems pretty typical I guess. No real scarring or anything.</t>
  </si>
  <si>
    <t>Honestly I don't really care and it hasn't affected me negatively in any way that I'm aware of.</t>
  </si>
  <si>
    <t xml:space="preserve">That they're "less clean" and prone to issues </t>
  </si>
  <si>
    <t>That they're less pleasurable for women</t>
  </si>
  <si>
    <t>Risks</t>
  </si>
  <si>
    <t>I feel like things aren't that black and white. Life has a lot of variables.</t>
  </si>
  <si>
    <t>Very sensitive generally. If any of my glans is exposed I have to go to the bathroom and pull my foreskin down to keep my underwear from rubbing against my glans.</t>
  </si>
  <si>
    <t>If it has been a while (3 days or more) since my last orgasm, it's very intense; physical sensation extend well down into my hips and thighs, hips buck up and down/general body-wide movement. Build up is gradual and ideally I come close to orgasming and retreat several times.</t>
  </si>
  <si>
    <t>I don't like using it because it makes my foreskin slippery and hard to move up and down and it leaves my glans exposed all the time which I don't like because it's too sensitive for continual stimulation like that.</t>
  </si>
  <si>
    <t>More physical sensation than I think I would have if I was not intact. Don't have to wonder about what it would be like if I had the penis I was born with, unmodified. Don't like the large scar and color difference above and below it visible on most cut penises.</t>
  </si>
  <si>
    <t>Intact boys were made fun of, but I don't recall that any of my friends ever knew that I was. I never played sports or had any other reason to use locker room showers. As a teenager, I didn't understand until I was probably 16 that other guys used lube to masturbate because they needed to, not just as a preference.</t>
  </si>
  <si>
    <t>Gliding motion is essential, physical pleasure in the foreskin runs all the way down into hips and thighs.</t>
  </si>
  <si>
    <t>It's very sensitive but I'm not particularly focused on it.</t>
  </si>
  <si>
    <t xml:space="preserve">I prefer intact; we don't refer to any other parts of the body as being unmodified. </t>
  </si>
  <si>
    <t>Complications arising from circumcision leads to the death of newborn boys every year. None die from complications arising from not being circumcised.</t>
  </si>
  <si>
    <t>Boys who were intact were made fun of, but no reasoning was ever stated other than being different.</t>
  </si>
  <si>
    <t xml:space="preserve">That they caused or retained large amounts of smegma. </t>
  </si>
  <si>
    <t>That they are more hygienic.</t>
  </si>
  <si>
    <t>In my experience, women will tell their partner they prefer whichever he is, but actually have no strong preference.</t>
  </si>
  <si>
    <t>That circumcision leads to LESS physical/sexual pleasure used to be advertised as a benefit of circumcision, whereas now various excuses about why that's not true or irrelevant are the norm.</t>
  </si>
  <si>
    <t>I'd be willing to participate in various formats, I'd make that decision after hearing more.</t>
  </si>
  <si>
    <t>I seem to recall I had them when I was young, but I don't anymore. I never thought much of them and I think they were gone by the time I became sexually active, but if they weren't none of my partners ever said anything about them.</t>
  </si>
  <si>
    <t>Valued natural, holistic, or low-intervention approaches to health, Identified as non-conformist or counter-cultural, Strongly principled about consent and bodily autonomy in general</t>
  </si>
  <si>
    <t>It will be less common, but still the majority; maybe 2/3 of newborns being subjected to it.</t>
  </si>
  <si>
    <t>it takes me a while to finish but the sensation is very pleasurable</t>
  </si>
  <si>
    <t>the skin protects my head from chaffing and keeps it sensitive</t>
  </si>
  <si>
    <t>tight foreskin before i was sexually active, occasionally needed to educate partners</t>
  </si>
  <si>
    <t>experience very enjoyable sensations sexually, no significant issues, past partners have enjoyed my length and girth and many have enjoyed my foreskin including current one</t>
  </si>
  <si>
    <t>i don't have a preference either way</t>
  </si>
  <si>
    <t xml:space="preserve">i have heard that circumcision greatly reduces sensation and sensitivity and that it is possible for people to experience physical (lack of sensation/pleasure/discomfort later in life) and mental (insecure about their body, insecure about being able to enjoy sex with their partner and/or their partner being able to enjoy sex with them) distress as a result </t>
  </si>
  <si>
    <t>unsure, there was not much conversation about people's penises when i was growing up</t>
  </si>
  <si>
    <t>people seemed to believe and comment that mostly only jewish people were circumcised</t>
  </si>
  <si>
    <t>i think most people have had sex with variety of partners throughout their lives, so there is no strong preference either way</t>
  </si>
  <si>
    <t>the fact that circumcision permanently destroys nerves/nerve endings on a person's body</t>
  </si>
  <si>
    <t>i do not believe that anyone should be circumcised, unless they choose to have it done to themselves later in life</t>
  </si>
  <si>
    <t>internet</t>
  </si>
  <si>
    <t>Generally skeptical of medical authority or "doctor knows best", Valued natural, holistic, or low-intervention approaches to health, Fiscally conscious (questioned unnecessary medical costs)</t>
  </si>
  <si>
    <t>Prefer not to say.</t>
  </si>
  <si>
    <t>Clerical / Administrative Support (e.g., Secretary, Office Clerk), Stay-at-Home Parent / Homemaker, Education (e.g., K-12 Teacher, Professor, School Administrator)</t>
  </si>
  <si>
    <t>Transgender Man, Non-Binary, Genderqueer, Demigender (e.g., Demiboy, Demigirl)</t>
  </si>
  <si>
    <t>A friend of mine shared his story about his botched circumcision and how it has affected his life.</t>
  </si>
  <si>
    <t>highlighting that most of the world does not practice it.</t>
  </si>
  <si>
    <t>that the risk for it being botched is low/unimportant.</t>
  </si>
  <si>
    <t xml:space="preserve">that they were harder to clean and therefore unhygienic </t>
  </si>
  <si>
    <t>that they were more hygienic/it was “normal”</t>
  </si>
  <si>
    <t>it being the “norm” which is likely learned from porn and how common it is</t>
  </si>
  <si>
    <t>that uncircumcised penises are not “unhygienic”</t>
  </si>
  <si>
    <t>Independent research I've done myself, Conversations with friends</t>
  </si>
  <si>
    <t>It's a complete non-issue; circumcision is the unquestioned default.</t>
  </si>
  <si>
    <t>Telling a personal story (your own or someone else's)</t>
  </si>
  <si>
    <t>Direct outreach and education for expectant parents, Reforming medical school curricula and hospital protocols, Supporting foreskin restoration and regeneration research, Building broader coalitions with other human rights groups</t>
  </si>
  <si>
    <t xml:space="preserve">No. Everyone was circumcised. </t>
  </si>
  <si>
    <t xml:space="preserve">Christ was circumcised. It is good.  </t>
  </si>
  <si>
    <t xml:space="preserve">Awesome </t>
  </si>
  <si>
    <t xml:space="preserve">Fun. Pleasurable </t>
  </si>
  <si>
    <t xml:space="preserve">Masturbating yeah. Sex sometimes. </t>
  </si>
  <si>
    <t xml:space="preserve">Cleanliness. Better look. Better sex. Better oral. Less infections. Less cancer. </t>
  </si>
  <si>
    <t xml:space="preserve">Never. All my GFs prefer circumcised </t>
  </si>
  <si>
    <t>Hygiene: Belief that circumcision makes the penis easier to keep clean or is inherently more hygienic., Cultural Tradition/Family Norm: It was a strong family tradition, cultural expectation, or simply "what people in our community did.", Prophylactic Health Reasons (Specific Disease Prevention - e.g., Cancer, STIs, HIV, UTIs): Belief that it lowers the risk of specific diseases later in life (e.g., penile cancer, certain sexually transmitted infections like HIV or HPV, infant urinary tract infections - UTIs)., Just standard practice: Based on observing its prevalence, assumed it was the default medical procedure without a specific individual reason., Medical Advice (without stated necessity): Recommended by a doctor or healthcare provider without explaining a specific existing medical problem, perhaps framing it as routine or generally beneficial., Prophylactic Health Reasons (General Prevention): Belief that it prevents potential future health problems (e.g., infections, inflammation, later penile issues) that were not currently present.</t>
  </si>
  <si>
    <t>Paternal Influence (The "Like Father" Factor): A specific desire for you to genitally match your father or other male family members. (The power of conformity within the family unit)., Institutional Medical Norm: The general belief that "this is just the standard procedure" at hospitals, making it a routine, unquestioned part of postpartum care. (The power of the system)., Prevailing Health &amp; Hygiene Beliefs: General societal "knowledge" at the time—gleaned from various sources—that presented circumcision as being fundamentally cleaner, healthier, or preventive of future diseases. (The power of a cultural 'truth').</t>
  </si>
  <si>
    <t xml:space="preserve">No skin left. Brown scar half way down my shaft. No frenulum. </t>
  </si>
  <si>
    <t xml:space="preserve">Anal maybe? </t>
  </si>
  <si>
    <t xml:space="preserve">Never had a problem being circumcised. </t>
  </si>
  <si>
    <t xml:space="preserve">I’m very happy I’m circumcised. </t>
  </si>
  <si>
    <t xml:space="preserve">None. I love being circumcised. </t>
  </si>
  <si>
    <t xml:space="preserve">Thank you. I’m happy you did it. </t>
  </si>
  <si>
    <t xml:space="preserve">Health benefits. Physical appearance. Social norm. </t>
  </si>
  <si>
    <t xml:space="preserve">Everyone was circumcised </t>
  </si>
  <si>
    <t xml:space="preserve">Societal norm. Medical evidence. </t>
  </si>
  <si>
    <t xml:space="preserve">Not asking medical staff who know best. </t>
  </si>
  <si>
    <t xml:space="preserve">I’m happy to be circumcised as are all my brothers and my buddies. My GFs babe all preferred it too. I like the appearance. </t>
  </si>
  <si>
    <t xml:space="preserve">I’m glad I’m circumcised. I couldn’t care about others actually. </t>
  </si>
  <si>
    <t xml:space="preserve">Possibly </t>
  </si>
  <si>
    <t xml:space="preserve">I don’t have them. </t>
  </si>
  <si>
    <t>The underside of the head of my penis is particularly sensitive. I'm not particularly sensitive around the shaft. I tend to have firm pressure when masturbating.</t>
  </si>
  <si>
    <t>I tend to have a gradual build up into a full-body experience with my orgasm with the most intense pleasure centering within my penis and testicles.</t>
  </si>
  <si>
    <t>Lubrication is necessary for pleasurable sex with my wife, but not for masturbation</t>
  </si>
  <si>
    <t>Sometimes my wife and I just aren't in sync.</t>
  </si>
  <si>
    <t xml:space="preserve">No need for lube when masturbating. Partners are generally curious and interested in how an intact penis looks and feels. </t>
  </si>
  <si>
    <t>I haven't really had any significant drawbacks.</t>
  </si>
  <si>
    <t>My friends and I occasionally played "truth or dare" which was an excuse for us to peek at each other's penises. Most of the time when we played, I was usually the one who got dared to take my pants off first because they knew my penis looked different.</t>
  </si>
  <si>
    <t>My foreskin glides easily so there's no need for lube. During sex, it can be nice sometimes and sometimes it makes for weird friction.</t>
  </si>
  <si>
    <t>It's the spot I try to stimulate most during sex.</t>
  </si>
  <si>
    <t>Mainly just curious how other people's experiences are compared to my experiences.</t>
  </si>
  <si>
    <t>My partner had a very tight circumcision; it was harder to stroke him because I didn't know how to pleasure him.</t>
  </si>
  <si>
    <t>"Uncircumcised" doesn't bother me; "Uncut" is not my favorite.</t>
  </si>
  <si>
    <t>Our penises work the same as a circumcised penis, and parents who have sons should let their son make the decision about his foreskin rather than making that decision for him.</t>
  </si>
  <si>
    <t>There is a mix: I am intact, but I have at least one sibling who is circumcised.</t>
  </si>
  <si>
    <t>My younger brother had a phimosis issue that created a need for circumcision. The doctor cut the minimal amount necessary to correct the issue.</t>
  </si>
  <si>
    <t>People felt it had medical benefits and most dads wanted their sons to look like them.</t>
  </si>
  <si>
    <t>I don't recall</t>
  </si>
  <si>
    <t>Anecdotal experience and conversations with friends in college.</t>
  </si>
  <si>
    <t>Making a decision about changing somebody else's body in a non-medically necessary way is wrong.</t>
  </si>
  <si>
    <t>It blows my mind that people just accept the idea of cutting foreskin off simply because it's been done for generations.</t>
  </si>
  <si>
    <t>I would be open to providing more information via email. Periodically throughout the year my schedule can get very busy in places, so sometimes my response time might be delayed, though.</t>
  </si>
  <si>
    <t>Nope it was in the Bible that it should be done  so it was okay to do it.</t>
  </si>
  <si>
    <t>Hypocrites all of them</t>
  </si>
  <si>
    <t>Limited</t>
  </si>
  <si>
    <t>Not that great pretty fucking boring</t>
  </si>
  <si>
    <t xml:space="preserve">Nothing really feels that great so can't really tell them what feels good or what doesn't </t>
  </si>
  <si>
    <t>Not a fucking thing</t>
  </si>
  <si>
    <t xml:space="preserve">Haha yep.  Where should I start?  Pain/irritation daily at the scar site, difficulty feeling intimiate and enjoying sex, little to no sensation during intercourse, utis due to metal stenosis, and increased infections as an adult.  </t>
  </si>
  <si>
    <t xml:space="preserve">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 Religious Reasons: Performed as a religious ritual (e.g., Brit Milah in Judaism, Khitan/Sunnet in Islam) or based on religious belief., Just standard practice: Based on observing its prevalence, assumed it was the default medical procedure without a specific individual reason., Parent's General Preference: Parents simply preferred the circumcised appearance or state without specific medical, religious, or cultural reasons being primary., 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 Aesthetic Preference / To Look "Better" or "Neater": Belief that the circumcised penis looks more visually appealing, "prettier," or tidier than an intact one., So I wouldn’t be made fun of because kids a mean.  This was told to me about my decision not to circumcise my son against their beliefs.  </t>
  </si>
  <si>
    <t>Institutional Medical Norm: The general belief that "this is just the standard procedure" at hospitals, making it a routine, unquestioned part of postpartum care. (The power of the system)., Family Tradition/Pressure: The expectation from grandparents or other influential relatives; the idea that "it's what the men in our family have always done." (The power of heritage)., Lack of Counter-Information: Crucially, the simple absence of any strong, readily available information presenting the benefits of intactness or the risks of circumcision, making it an easy default choice. (The power of silence).</t>
  </si>
  <si>
    <t>Sacr is always visible, way too much skin removed, looks wounded, because it is.</t>
  </si>
  <si>
    <t>Everything, what am I missing out on, I have no frenulum, no gliding motion, no lubricating action.</t>
  </si>
  <si>
    <t xml:space="preserve">First started around 11-12 when I found out what circumcision was and that it was done to me.  Going to the bathroom and seeing a scar, walking down the hall and it rubs on clothing or something that causes a painful irritation like a cat scratch almost at the scar and underside where the frenulum would have been and much of the scar tissue is very thick and looks roughly cut and torn. </t>
  </si>
  <si>
    <t>All of those examples minus the skin bridge, increased infections as an adult that are contributed to the circumcision.</t>
  </si>
  <si>
    <t xml:space="preserve">I love you, but hate your decision and the fact parents can legally make this type of choice for any child.  I know you did what you thought was best at the time, and I wish you could see why I don't agree it should be a parent's right when you can see how your choice has obviously affected me.  I'm sorry if my speaking up hurts you in any way.  That's not my intent.  I just want change to protect others from having this done to them and feeling exactly as I do and having the problems I have as a result of it.  </t>
  </si>
  <si>
    <t>A combo of all of them, it's what was done to me and I am fine and I was told a bunch of horror stories to make it sound like a good reason it was done to me, everyone else is you should too</t>
  </si>
  <si>
    <t xml:space="preserve">They were cleaner, better for health, less likely to have cancer and loose your penis, clean women prefer it and won't touch one that isn't. </t>
  </si>
  <si>
    <t>Ignorance, and mental conditioning of generations of men</t>
  </si>
  <si>
    <t xml:space="preserve">That it doesn't have to be done,  just because it was normal to be done to you doesn't mean it is right or should continue.  </t>
  </si>
  <si>
    <t xml:space="preserve">I feel as though you read my mind on my feelings </t>
  </si>
  <si>
    <t>Yep, I am open to ideas on how to share</t>
  </si>
  <si>
    <t>Hasn't really they are natural and normal</t>
  </si>
  <si>
    <t>Hopefully it will be illegal along with FGM</t>
  </si>
  <si>
    <t>Absolutely none, it was just what is done so we do it</t>
  </si>
  <si>
    <t>No advantages</t>
  </si>
  <si>
    <t xml:space="preserve">Dried corona and skin, chafing/irritated glans against boxers and bumps/skin condition on parts of scar line. </t>
  </si>
  <si>
    <t>Prevailing Health &amp; Hygiene Beliefs: General societal "knowledge" at the time—gleaned from various sources—that presented circumcision as being fundamentally cleaner, healthier, or preventive of future diseases. (The power of a cultural 'truth')., Institutional Medical Norm: The general belief that "this is just the standard procedure" at hospitals, making it a routine, unquestioned part of postpartum care. (The power of the system)., Peer &amp; Social Pressure (The "Fitting In" Factor): The widespread belief that "everyone else is doing it," and a desire for you to avoid being seen as different in locker rooms or later in life. (The power of broad social conformity).</t>
  </si>
  <si>
    <t xml:space="preserve">Started restoring at 21 with strap tension device. </t>
  </si>
  <si>
    <t>About 20 years old.</t>
  </si>
  <si>
    <t>Bumps due to the scar healing, corona chafing/irritated from boxers and dried up corona in general.</t>
  </si>
  <si>
    <t>It's okay, I fixed it.</t>
  </si>
  <si>
    <t>Mildly dissatisfied with sensation or appearance, Motivated by research or learning about intact anatomy/function, Experienced feelings of loss, grief, or anger, Felt physically uncomfortable or experienced complications, Curious about what might be different if intact</t>
  </si>
  <si>
    <t>Improve gliding mechanics/reduce need for lube, Achieve glans coverage and dekeratinization, Improve sexual pleasure/orgasms, Reclaim what was taken, Heal psychological trauma, Regain gliding motion, Increased overall sensitivity, Feel more 'natural' or 'whole'</t>
  </si>
  <si>
    <t>I started out TLC Tugger which was effective and now I exclusively use DTR bidirectional.</t>
  </si>
  <si>
    <t>I told my father who didn't seem to get it. It's been a normal practice for a very long time in the American Midwest, including when he was born in the 60's. I told a girlfriend once; she didn't care either way, but she didn't seem to quite understand how important it is to me either.</t>
  </si>
  <si>
    <t>More sensitivity in frenular area. Gliding function feels great on the corona. Even with as much skin gained to look intact, the sensitivity still continues to improve the more skin gained.</t>
  </si>
  <si>
    <t>More intense, lasts longer, and more nuanced sensations at frenular area and a bit of the corona.</t>
  </si>
  <si>
    <t>I prefer restored.</t>
  </si>
  <si>
    <t xml:space="preserve">Buy the Tugger strap device and don't worry about applying the device perfectly, but wear it several consecutive hours, 9 days out of 10. Take bathroom breaks during the sessions. </t>
  </si>
  <si>
    <t>They were dirty and not something that should be left.</t>
  </si>
  <si>
    <t>They were the norm.</t>
  </si>
  <si>
    <t>The surgery was the norm in the Midwest U.S. for a very long time, and that is absolutely the only reason women would say they prefer circumcised.</t>
  </si>
  <si>
    <t>Every circumcision has a complication; the head will always be dried out and men will have skin issues due to the head not being covered.</t>
  </si>
  <si>
    <t xml:space="preserve">It resonates because it is all about the dominant culture continuing to push it. But they can only push so much. People are waking up, even in this part of the country. One day this horseshit will be seen for what it is. </t>
  </si>
  <si>
    <t>I had a dream about the topic of circumcision. I don't remember specifics. The next morning I found foreskin restoration online and decided to buy a device. I think I subconsciously resented being circumcised for a couple years leading up to this, but it really was an epiphany.</t>
  </si>
  <si>
    <t xml:space="preserve">Feeling whole and comfortable with my body. </t>
  </si>
  <si>
    <t>I don't see any reason to stop because the gains keep coming and the sensations still improve, even after all these years.</t>
  </si>
  <si>
    <t>use it for anal, no need for masturbation</t>
  </si>
  <si>
    <t>nope</t>
  </si>
  <si>
    <t>very clean, healthy-looking scar.</t>
  </si>
  <si>
    <t>religion bad</t>
  </si>
  <si>
    <t>It’s been generally all right though I have been restoring which has brought more sensation.</t>
  </si>
  <si>
    <t>It of comes on kind of quick usually and is pretty fast. Once over the feeling leaves quickly and that’s it.</t>
  </si>
  <si>
    <t>I learned to take care of things without using any lubrication but it definitely makes it better.</t>
  </si>
  <si>
    <t>It’s hard to describe what feels good to me, particularly in that I need a longer duration for an activity to make me finish.</t>
  </si>
  <si>
    <t>I learned that there aren’t really any beyond a few very specific health issues that are rare from what I understand.</t>
  </si>
  <si>
    <t>I learned all the negatives in my basic research.</t>
  </si>
  <si>
    <t>Before restoring there wasn’t really any movement and a pretty visible line.</t>
  </si>
  <si>
    <t>What I’m missing out on.</t>
  </si>
  <si>
    <t>Since I knew about my injury and how stupid this situation is.</t>
  </si>
  <si>
    <t>Before restoring I had tight skin and still have stenosis.</t>
  </si>
  <si>
    <t>I would tell them about how I feel bad as an adult and the time, effort and discomfort I am going through to try and improve on my situation. I would say that probably all people on this forum would want to do much more with their time than stretching their skin out and what a waste of potential that is for me.</t>
  </si>
  <si>
    <t>Generally satisfied or hadn't thought much about it, Felt physically uncomfortable or experienced complications, Mildly dissatisfied with sensation or appearance</t>
  </si>
  <si>
    <t>Heal psychological trauma, Feel more 'natural' or 'whole', Improve sexual pleasure/orgasms, Increased overall sensitivity, Reclaim what was taken, Regain gliding motion, Achieve glans coverage and dekeratinization, I couldn’t not do something after learning what happened.</t>
  </si>
  <si>
    <t>I have used a couple devices as well as manual and retaining.</t>
  </si>
  <si>
    <t>Not really though I don’t feel like I need to talk about it with others. If it were to come up I would discuss this but I don’t need to share this private problem with everyone.</t>
  </si>
  <si>
    <t>Yes, related to the sliding skin and less tense skin. Being excited feels better and the skin is not tight.</t>
  </si>
  <si>
    <t>Maybe they have become a little more intense.</t>
  </si>
  <si>
    <t>I would tell others that I was badly hurt as a child but I’m not currently attached to a label, though I get the author’s point above.</t>
  </si>
  <si>
    <t>Maintaining the habit when life happens.</t>
  </si>
  <si>
    <t>I would try it if possible.</t>
  </si>
  <si>
    <t>I think it’s a great option for some but I’m skeptical about the idea because I believe in natural medicine/health.</t>
  </si>
  <si>
    <t>It was never really discussed.</t>
  </si>
  <si>
    <t>I think people should consider what their reaction would be if it were baby girls instead.</t>
  </si>
  <si>
    <t>I don’t think I have these.</t>
  </si>
  <si>
    <t>By chance several times I had heard about restoring and I finally decided to try it. It was a long time ago but I had watched a documentary that had some graphic scenes in it, or maybe it was a medical diagram, that was very disturbing and I think pushed me to start</t>
  </si>
  <si>
    <t>I have felt better about myself because I am doing what I can to help myself.</t>
  </si>
  <si>
    <t>I think I’ll find out what is enough when I get there, but I a looking to be covered all the time.</t>
  </si>
  <si>
    <t xml:space="preserve">Embarrassment </t>
  </si>
  <si>
    <t>Don't know/Not told, Don't Know/Not Told: The reasons were never explained or learned later.</t>
  </si>
  <si>
    <t>Paternal Influence (The "Like Father" Factor): A specific desire for you to genitally match your father or other male family members. (The power of conformity within the family unit)., Prevailing Health &amp; Hygiene Beliefs: General societal "knowledge" at the time—gleaned from various sources—that presented circumcision as being fundamentally cleaner, healthier, or preventive of future diseases. (The power of a cultural 'truth').</t>
  </si>
  <si>
    <t xml:space="preserve">Tightness during erection </t>
  </si>
  <si>
    <t>Tight skin affecting erections</t>
  </si>
  <si>
    <t xml:space="preserve">Don't </t>
  </si>
  <si>
    <t>Not very sensitive to touch at all</t>
  </si>
  <si>
    <t>Protection, sensitivity, a sense of wholeness, and the idea of bodily autonomy, i.e. the decision for such thing was left to you and no one else.</t>
  </si>
  <si>
    <t xml:space="preserve">Severe psychological distress over something so barbaric that was done to me without consent and the general societal indifference to such mutilation is the worst for me.  It's a scar I have to look at every single day, so there isn't a day I can escape the reality.  Almost all of my peers think it's terrible, and being exposed on the internet to people across the world really shows how strange and terrible the practice is.  My frenulum, which I understand is one of the most sensitive parts of the penis, is almost entirely gone and the area is quite messed up.  Peers who are uncircumcised whom I have interacted with seem to be so much more sensitive, and I also wonder if my circumcision caused me to not produce pre-ejaculate. </t>
  </si>
  <si>
    <t>To Look Like Father/Peers: Desire for the son's penis to match the father's or other males in the family/community., Just standard practice: Based on observing its prevalence, assumed it was the default medical procedure without a specific individual reason., 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t>
  </si>
  <si>
    <t>Lack of Counter-Information: Crucially, the simple absence of any strong, readily available information presenting the benefits of intactness or the risks of circumcision, making it an easy default choice. (The power of silence)., Direct Medical Authority: Specific advice from their obstetrician, pediatrician, or the hospital staff where you were born. (The voice of a trusted professional)., Institutional Medical Norm: The general belief that "this is just the standard procedure" at hospitals, making it a routine, unquestioned part of postpartum care. (The power of the system).</t>
  </si>
  <si>
    <t>Very visible scar, mutilated and mostly missing frenulum, before restoration erection was tight, and scar tissue looked unnatural, uneven.</t>
  </si>
  <si>
    <t>Having a frenulum, having a protected glans, the sensations in the foreskin itself.</t>
  </si>
  <si>
    <t>They first emerged when I became sexually aware and active among peers, to see and experience all the function of an uncircumcised penis.  It felt like a betrayal from family and society, that such things would be done so casually, it honestly feels like rape condoned by medical authorities and supported by so many people without thought.  It is sexual mutilation, and given that sexual pleasure, reproduction, and the like are such an important part of life (for me at least), it feels like all that was stripped from me partially and there is nothing I can do about it.</t>
  </si>
  <si>
    <t>Curious about what might be different if intact, Felt physically uncomfortable or experienced complications, Mildly dissatisfied with sensation or appearance, Significantly dissatisfied with sensation, function, or appearance, Experienced feelings of loss, grief, or anger, Motivated by research or learning about intact anatomy/function</t>
  </si>
  <si>
    <t>Regain gliding motion, Reclaim what was taken, Feel more 'natural' or 'whole', Improve sexual pleasure/orgasms, Heal psychological trauma, Achieve glans coverage and dekeratinization, Improve gliding mechanics/reduce need for lube, Increased overall sensitivity</t>
  </si>
  <si>
    <t>Manual, DTR</t>
  </si>
  <si>
    <t>Yes, where the new skin has grown and around the edge of the glans where my partially restored skin has began to cover and protect, there is more sensitivity, and the gliding action of the extra skin makes everything much more pleasant already despite the small progress I have made.</t>
  </si>
  <si>
    <t>I would only use that term for someone who has not undergone a circumcision.  Restored or regrown is perfectly okay with me, as it is accurate and does give a nod to the effort, activism, and journey involved.</t>
  </si>
  <si>
    <t>The most challenging has been the amount of time and effort it takes, as well as the long journey itself, and the sense that it will never be as functional as an uncut organ, as well as the experiences I never got to have.  Just the slight function I have regained has already felt like it has healed my soul a little, and I eagerly await more results.</t>
  </si>
  <si>
    <t>Start as soon as possible, even a tiny amount of restoration gives such immense benefits, even if it is abandoned later.</t>
  </si>
  <si>
    <t>It is always done, uncircumsized penises are "gross" or "dirty", trust the doctors.</t>
  </si>
  <si>
    <t>Intact are "gross" and "dirty" and girls don't like it.</t>
  </si>
  <si>
    <t>It's "normal," or such things weren't even brought up or talked about.</t>
  </si>
  <si>
    <t>Pornography is certainly one, but I believe it mostly has to do with the increasingly connected online community.  People are now exposed to the idea that circumcision is not actually the norm worldwide, and education comes along with that.  Ignorance is one of the biggest factors of circumcision promotion, and when educated, the horrors are revealed.</t>
  </si>
  <si>
    <t>It is a one way decision (that was made for you without your consent) that removes a sexual organ and destroys a vast amount of pleasure sensing nerves.</t>
  </si>
  <si>
    <t>I often think of female genital mutilation.  While it is indeed a more serious mutilation, it is explicitly outlawed, and the idea that circumcision is mutilation done without consent is often met with derision or indifference.  Often it is just a shrug because it has already been done and nothing can be done by the time the individual is aware of what has been done.</t>
  </si>
  <si>
    <t>I almost feel bad, but I have had many times were a single conversation about circumcision with another circumcised individual has caused them to become quite distressed as they themselves began to realize what has been done to them, and in a few cases has spurred them towards activism and restoration.  I myself also consider it to be one of the reasons for needing therapy to help with anxiety and depression.</t>
  </si>
  <si>
    <t>Seeing and talking to uncircumsized men, actually realizing what kind of appearance and function the foreskin has.</t>
  </si>
  <si>
    <t>It has helped a little, but I have a long ways to go.</t>
  </si>
  <si>
    <t>Singapore</t>
  </si>
  <si>
    <t>I love feeling my foreskin gliding over my tip</t>
  </si>
  <si>
    <t xml:space="preserve">Gradual
Lingering </t>
  </si>
  <si>
    <t>My foreskin protects my tip really well</t>
  </si>
  <si>
    <t>Not applicable - grew up where intact is the norm and was unaware of circumcision as a common practice elsewhere</t>
  </si>
  <si>
    <t>Lack of Perceived Benefit: They didn't see any compelling reason to circumcise., Cultural Background/Family Tradition (of intactness): They came from a family or cultural background where intactness was the norm., Born/Raised in a Culture Where Intactness is the Norm: The decision wasn't an active 'choice against circumcision,' but rather the standard cultural and medical practice in my country of birth/upbringing.</t>
  </si>
  <si>
    <t xml:space="preserve">It protects my tip </t>
  </si>
  <si>
    <t>Whenever I rub it with my thumb it feels extremely good</t>
  </si>
  <si>
    <t>How their glans feel like</t>
  </si>
  <si>
    <t xml:space="preserve">I wish they can understand that the foreskin protects a boy's penis in both childhood and adulthood, as long as he is taught how to clean it properly there's absolutely no need to get cut </t>
  </si>
  <si>
    <t>Most people only get cut if a doctor thinks they need to do it</t>
  </si>
  <si>
    <t xml:space="preserve">Almost everyone was intact, if a non Muslim guy is cut people usually think either he has a medical condition or he had ultra religious Christan parents who think that by cutting his foreskin he can't masturbate </t>
  </si>
  <si>
    <t>They are Muslims or have a medical problem</t>
  </si>
  <si>
    <t xml:space="preserve">Hygiene and porn I think </t>
  </si>
  <si>
    <t>The foreskin do have it's purpose, it's not redundant</t>
  </si>
  <si>
    <t>I feel like circumcision in the USA is driven by culture instead of medical benefits</t>
  </si>
  <si>
    <t xml:space="preserve">Singapore </t>
  </si>
  <si>
    <t>China</t>
  </si>
  <si>
    <t xml:space="preserve">Very sensitive </t>
  </si>
  <si>
    <t>My tip is always protected</t>
  </si>
  <si>
    <t>The first time a girl saw my dick she said it's a little smelly
I wash it every with warm water</t>
  </si>
  <si>
    <t xml:space="preserve">My foreskin couldn't separate at all until I was 5 and managed to pull it down just enough to see the pee hole
It completely separated at about 16 </t>
  </si>
  <si>
    <t>It slides up and down and it feels super good to do that 
My tip gets protected by it</t>
  </si>
  <si>
    <t>I love to stroke it with a finger, it feels the best</t>
  </si>
  <si>
    <t>Wondering if they can last longer</t>
  </si>
  <si>
    <t>They know that the foreskin is important to a guy in both childhood and adulthood. In childhood the skin protects the boy's tip and in adulthood it protects his tip and makes masturbation comfortable</t>
  </si>
  <si>
    <t xml:space="preserve">Basically when a guy becomes an adult and his foreskin can't be pulled back then he goes to get circumcised or if he prefers the look of it or if he hears about it making guys lasting longer
There are clinics offering "friend packages" like you get cut and your friend gets cut together and there is a discount </t>
  </si>
  <si>
    <t>Intact is the norm, everyone knows that the skin protects the tip below it</t>
  </si>
  <si>
    <t>He is a Muslim or he has a foreskin problem</t>
  </si>
  <si>
    <t>Hygiene because there is a stereotype that virgin guys have long foreskin with grime under it
But most guys don't get cut</t>
  </si>
  <si>
    <t xml:space="preserve">Some parents choose to cut their boys at about age 10 now because they think it's a problem that their boys foreskin can't fully separate because the doctor say its a problem 
But I think that their parents shouldn't cut them and wait for their skin to separate fully because some boys only separate when they get into puberty. I think it should only be done after a boy is fully grown up
Some clinics just are trying to earn money and convince parents their boy needs to get his foreskin chopped off, because it is cleaner </t>
  </si>
  <si>
    <t xml:space="preserve">Guangdong </t>
  </si>
  <si>
    <t>Guangdong</t>
  </si>
  <si>
    <t xml:space="preserve">Buddhism, No significant religious/spiritual/cultural tradition influencing this topic., Chinese folk beliefs </t>
  </si>
  <si>
    <t>Latvia</t>
  </si>
  <si>
    <t>Poorly informed; I was not made aware of significant outcomes or alternatives.</t>
  </si>
  <si>
    <t>Software Engineering</t>
  </si>
  <si>
    <t>The glans is pleasurable to touch and friction. The coronal ridge is extremely pleasurable, and stimulation of it brings me to orgasm. My shaft skin is not pleasurable; it's just like the skin on the rest of my body, and stroking it doesn't really do much. When I pull on the base of my penis, stretching the skin on my penis taught, the tightness is extremely pleasurable and can also bring me to orgasm.</t>
  </si>
  <si>
    <t>The intensity of my orgasms is extremely high. The build-up is very gradual. Masturbation usually takes 30+ minutes to reach orgasm. Sex takes an average of 20 minutes of continuous thrusting.</t>
  </si>
  <si>
    <t>It can help me ejaculate faster when masturbating, but I don't use it due to being too lazy to clean it up.</t>
  </si>
  <si>
    <t>Aesthetics which leads to more confidence. Ability to pleasure women because I last so long</t>
  </si>
  <si>
    <t>I no longer have quickies. And it usually takes more than 1 masturbation session to orgasm. Neither of these really matter to me because when I was intact, I rarely had quickies, and I frequently did multi-session edging.</t>
  </si>
  <si>
    <t>When soft, my glans is fully exposed with a bit of wrinkling on the shaft. When hard, the skin stretches tight with no wrinkling. I have about 1-2cm of slack in my skin depending on how hard you stroke, but that skin is getting pulled from the base of my penis. On the dorsal side, I have about 10mm of inner foreskin remaining. On the ventral side, my frenulum is removed and my scar makes a V-shape. The color of my inner foreskin is significantly lighter than my shaft skin.</t>
  </si>
  <si>
    <t>It had dick cheese, was dirty</t>
  </si>
  <si>
    <t>They are not sensitive and feel less pleasure, but was cleaner</t>
  </si>
  <si>
    <t>Ideas about hygiene and lack of experience</t>
  </si>
  <si>
    <t>Whichever state (cut vs uncut) is better is a highly personal experience.For example, I always masturbated like I was circumcised. And during sex, my foreskin muffled sensation. My frenulum produced zero pleasure. So for me, my foreskin and frenulum were useless.</t>
  </si>
  <si>
    <t>I don't think circumcision is a significant harm. But I still lean towards body autonomy.</t>
  </si>
  <si>
    <t>Not on video, but yes to other methods</t>
  </si>
  <si>
    <t>Hsinchu City, Taiwan</t>
  </si>
  <si>
    <t>I had them when I was uncircumcised. I thought they were ugly, and I wished I didn't have them. They completely went away after I got circumcised</t>
  </si>
  <si>
    <t xml:space="preserve">The most positive outcome is my self-confidence. I love the way my penis looks and feels.
I was surprised that when I lived in Taiwan for 8 years, the women actually expressed a preference for bare glans despite it being normal to be uncircumcised there. The reason was that most men there have a permanently retracted foreskin or less than 50% glans coverage. It was extremely rare to see full coverage or overhang. It seems to be cultural there to either teach your sons to retract early and keep it retracted or for middle schoolers to forcefully (and painfully) retract themselves and keep it retracted. The penis outgrows the foreskin through puberty.
</t>
  </si>
  <si>
    <t>Find a doctor that respects circumcision styles and discuss with him/her.</t>
  </si>
  <si>
    <t>I fully retracted while masturbating when I was 8 years old. I was enamored by the way my glans looked, and that beautiful image stuck with me all my life. I wanted a bare glans despite not knowing what circumcision was. I even tried to permanently retract, but unfortunately, my foreskin wasn't short enough. Although my glans was painfully sensitive to the touch, the cool air against it felt exhilarating. I incorporated glans play into my masturbation sessions, and I gradually stopped using my foreskin to masturbate and instead just played with my head. I believe this is why circumcision was such a positive experience for me.</t>
  </si>
  <si>
    <t>Unsensitive glans (cut) Small amount of movable skin</t>
  </si>
  <si>
    <t>Orgasm is quite impossible due to THS</t>
  </si>
  <si>
    <t>When erected I don't have any movable skin.</t>
  </si>
  <si>
    <t>Sex is so rare: I can't say.</t>
  </si>
  <si>
    <t xml:space="preserve">Hygiène </t>
  </si>
  <si>
    <t>Scar isn't really visible. Due to féminine hormones my penis shrunk a lot. Unable to have à real érection.</t>
  </si>
  <si>
    <t xml:space="preserve">Afraid of à complete SRS (sexualité reasignation surgery) I only had the orchidectomy procedure. </t>
  </si>
  <si>
    <t>Lost sensation being a boy.</t>
  </si>
  <si>
    <t>so</t>
  </si>
  <si>
    <t xml:space="preserve">Indeed it's a monster surgery </t>
  </si>
  <si>
    <t>If the case of a MtF is needed  ...</t>
  </si>
  <si>
    <t xml:space="preserve">Spain / Comunidad Valenciana / Castellón </t>
  </si>
  <si>
    <t>SO</t>
  </si>
  <si>
    <t>I'm not sure how to categorize it.</t>
  </si>
  <si>
    <t>Non-Consensual: It was performed without my consent or against my will.</t>
  </si>
  <si>
    <t>Ashamed being circ. It re-inforced my Will to transition MtF.</t>
  </si>
  <si>
    <t>I generally regret the decision.</t>
  </si>
  <si>
    <t xml:space="preserve">Avoid circumcion </t>
  </si>
  <si>
    <t>Business/Finance/Management, Engineering</t>
  </si>
  <si>
    <t>Peer &amp; Social Pressure (The "Fitting In" Factor): The widespread belief that "everyone else is doing it," and a desire for you to avoid being seen as different in locker rooms or later in life. (The power of broad social conformity)., Paternal Influence (The "Like Father" Factor): A specific desire for you to genitally match your father or other male family members. (The power of conformity within the family unit).</t>
  </si>
  <si>
    <t>Nothing specific, thought it was associated with purity and cleanliness.</t>
  </si>
  <si>
    <t>I feel generally sensitive to different forms of touch. My inner foreskin and circumcision scar areas are the most sensitive.</t>
  </si>
  <si>
    <t>There is a quick build-up to the peak orgasm, and it is powerful, but focused only on specific areas of my penis.</t>
  </si>
  <si>
    <t>Lubrication definitely helps, but isn’t a need.</t>
  </si>
  <si>
    <t>I’m naturally a more private person.</t>
  </si>
  <si>
    <t>It is much easier to clean and maintain, and I think it is more generally accepted by partners</t>
  </si>
  <si>
    <t>I believe I may have been cut too tightly, and I have a large, wide scar that chafes. I also orgasm too quickly at time - I have no control over it.</t>
  </si>
  <si>
    <t>Controlling/Restricting Masturbation: A belief that circumcision would reduce the urge or ability to masturbate (a view common in certain historical eras).,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Cultural Tradition/Family Norm: It was a strong family tradition, cultural expectation, or simply "what people in our community did.", Parent's General Preference: Parents simply preferred the circumcised appearance or state without specific medical, religious, or cultural reasons being primary., Aesthetic Preference / To Look "Better" or "Neater": Belief that the circumcised penis looks more visually appealing, "prettier," or tidier than an intact one., To Look Like Father/Peers: Desire for the son's penis to match the father's or other males in the family/community.</t>
  </si>
  <si>
    <t>Prevailing Moral Beliefs about Sexuality (e.g., concern over masturbation):, Prevailing Health &amp; Hygiene Beliefs: General societal "knowledge" at the time—gleaned from various sources—that presented circumcision as being fundamentally cleaner, healthier, or preventive of future diseases. (The power of a cultural 'truth')., Direct Medical Authority: Specific advice from their obstetrician, pediatrician, or the hospital staff where you were born. (The voice of a trusted professional).</t>
  </si>
  <si>
    <t>I have a “traditional” high and tight style circumcision, with most of my frenulum removed.  My scar is wide and dark, places about 1/3 down from the head, and is tilted to the left.</t>
  </si>
  <si>
    <t>Having a frenulum (which people say is the most sensitive part)</t>
  </si>
  <si>
    <t>I had a revision at 10 to remove bunching scar tissue on the underside. The doctor initiated it. They also removed most of my frenulum then.</t>
  </si>
  <si>
    <t>Someone else made the decision to cut my penis and alter my sexuality.</t>
  </si>
  <si>
    <t>Loss of sensitivity, no control of my orgasm.</t>
  </si>
  <si>
    <t>Abbrasive, most of the time. Direct stimulation through touch can be a bit painful.</t>
  </si>
  <si>
    <t xml:space="preserve">Long build up. </t>
  </si>
  <si>
    <t>lubricant is needed for sexual touching of the tip</t>
  </si>
  <si>
    <t>I had a short frenulum and my skin did not pull back, so Sex was unfomfortable. masturbation wasn't. Circumcission has has made it possible for meto enjoy partnered sex.</t>
  </si>
  <si>
    <t>Masturbation or general touching feels worse than before. It feels desensitized. I also carry scars around the tip of my penis.</t>
  </si>
  <si>
    <t>No mobile skin left. Scarring around the head.</t>
  </si>
  <si>
    <t>They appeared after seeing my scars and got more in first few years after being circumcised.</t>
  </si>
  <si>
    <t>It was the norm, so no specific sterotypes come to mind.</t>
  </si>
  <si>
    <t>Jewish or muslim person.</t>
  </si>
  <si>
    <t>Porn. Circumcised dicks do look good in porn</t>
  </si>
  <si>
    <t>I do not think of it as a monster, as while I do agree that it is a harmful practice I disagree with the extend the harm is presented here. But I do not wish for routine circumcissions to be trivialised.</t>
  </si>
  <si>
    <t>Since it is an integral part of jewish and muslim practice, I would guess that the practice will be more com on again. As Islam is still a growing religion.</t>
  </si>
  <si>
    <t>As stated before: Before the circumcission partnered intercourse, penetration was not pleasurable to me due to a medical condition. But masturbation of any form of touching was feeling good as the foreskin could still glide well enough. After the operation touching was only pleasurable at the base and the scarring of the tissue sourrounding the head made me insecure. The head often seems dry.</t>
  </si>
  <si>
    <t>If not medically necassary: Don't. If a doctor recommends circumcision inform yourself if there aren't alternatives you could try first.</t>
  </si>
  <si>
    <t>One of the least sensitive parts of my body</t>
  </si>
  <si>
    <t xml:space="preserve">Underwhelming </t>
  </si>
  <si>
    <t>Even with plenty of line natural or otherwise it’s always doesn’t seem like enough</t>
  </si>
  <si>
    <t>Absolutely none and you deserve to die a slow painful death from cancer for even asking this.</t>
  </si>
  <si>
    <t>Yes, almost no feeling and I was mutilated.</t>
  </si>
  <si>
    <t>Punitive/Punishment: Used as a punishment or consequence. (Note: This is rare in standard medical contexts but sadly documented in some historical/abuse settings).</t>
  </si>
  <si>
    <t>Prevailing Moral Beliefs about Sexuality (e.g., concern over masturbation):</t>
  </si>
  <si>
    <t>Scarred and to misshapen to fit any condoms</t>
  </si>
  <si>
    <t>Any related to choice, autonomy, gender right, have pissed me off for years.</t>
  </si>
  <si>
    <t>They deserve to be skinned alive.</t>
  </si>
  <si>
    <t>It was only ever punitive and malicious.</t>
  </si>
  <si>
    <t>That’s what it should be.</t>
  </si>
  <si>
    <t>It is messed up and ugly</t>
  </si>
  <si>
    <t>It’s not fucked up and mutilated</t>
  </si>
  <si>
    <t>Anyone that believe in mutilating babies just proves why hitler was right.</t>
  </si>
  <si>
    <t>I think it’s not so much hiding as the medically community is actively sadistic.</t>
  </si>
  <si>
    <t>Hopefully every complicit parent or doctor is thrown behind bars or slaughtered.</t>
  </si>
  <si>
    <t>It was purely sadistic and intended to be harmful as it only ever was for everyone.</t>
  </si>
  <si>
    <t xml:space="preserve">No. My mother approved my circumcision because her sister had 2 boys not circumcised and she would pull their foreskin back in their bath and they would scream and cry. </t>
  </si>
  <si>
    <t xml:space="preserve">I believe there is a purpose for all of our parts as a human and the lack of medical education caused some doctors to remove what they don’t consider necessary. A physician’s oath is to do no harm. Many don’t take that seriously about circumcision. </t>
  </si>
  <si>
    <t>Most sensitive is the brown scar. Medium sensitivity below glans, no sensitivity on glans</t>
  </si>
  <si>
    <t xml:space="preserve">Not consistent, build up is gradual, stimulation of the scar is more intense than stimulating under the glans. </t>
  </si>
  <si>
    <t>Dry rubbing for masturbating, need lubricant for PIV</t>
  </si>
  <si>
    <t xml:space="preserve">When my wife learned about the importance of a foreskin she wished I had one and could see how sex and masturbation could be easier, more stimulating and easier on insertion. </t>
  </si>
  <si>
    <t xml:space="preserve">I can’t think of any advantage. </t>
  </si>
  <si>
    <t xml:space="preserve">In my 70’s I am experiencing incontinence and the dribble even with a pad irritates my glans and scrotal skin. As a man ages the nerves weaken their intensity transmitting pleasure. Also the skin gets dryer and harder to stimulate. </t>
  </si>
  <si>
    <t xml:space="preserve">I have a high and tight circumcision, no loose skin. I have a frenulum tab left that is not sensitive. </t>
  </si>
  <si>
    <t xml:space="preserve">Stretching and stimulation of the ridged band, the sensation of the ridged band opening and gliding over the glans. Sensation of the frenulum stretching. The sensations of warm urine flowing over my foreskin overhang. The sensation of the foreskin moving during intercourse. </t>
  </si>
  <si>
    <t xml:space="preserve">I noticed when about 5 years old when my best friend and I were bathing together and he showed me how his foreskin would retract and his glans was purple and shiny where mine was dull and gray. He then pinched his foreskin closed and peed, ballooning his foreskin. He said stretching it and the warm urine felt really good. </t>
  </si>
  <si>
    <t xml:space="preserve">I wish they had chosen not to have me 
circumcised. Let me decide! I have been penis shy because I feel like having my glans exposed makes me feel vulnerable to judgment from others. A foreskin would be a covering preventing the exposure of the glans and scar line. My dad was uncircumcised and I wish he had let me experience the sensations and natural state. </t>
  </si>
  <si>
    <t xml:space="preserve">A beneficial health and cosmetic preference. </t>
  </si>
  <si>
    <t xml:space="preserve">Having a foreskin can give a woman cervical cancer, a man has to take time to soap and scrub harmful bacteria and viruses, a man can get cancer of the penis, circumcision is cleaner and can eliminate problems. </t>
  </si>
  <si>
    <t xml:space="preserve">Easier to keep clean, can’t get cancer, can’t give VD. </t>
  </si>
  <si>
    <t xml:space="preserve">HIV/HPV, phimosis scare, ignorance on foreskin advantages, old wives tales. </t>
  </si>
  <si>
    <t xml:space="preserve">His body his choice. Circumcision is a permanent lifetime decision. Some restore but it is not the same as feelings. </t>
  </si>
  <si>
    <t xml:space="preserve">It is very difficult to change people’s perspective because stories of the horrors. </t>
  </si>
  <si>
    <t xml:space="preserve">I would describe the sensations as follows: shaft is stimulated by hugging glide of my skin, glans sulcus and frenulum are stimulated by each other which tingles each time the skin pulls back just a little. </t>
  </si>
  <si>
    <t xml:space="preserve">Build up is gradual I feel it in my extremities and it works its way to my trunk until I can’t hold it. The final release is intensely pleasurable and sustained I feel it for minutes on end even often nearly half a hour of residual feelings </t>
  </si>
  <si>
    <t>I have a restored penis 3” soft fully covered. On erection it is 8” and requires lubrication for partnered sex. I sometimes use it for masturbation but it isn’t necessary</t>
  </si>
  <si>
    <t>Only briefly and it my opening the communication pathway doesn’t alleviate the concern it generally isn’t going to workout in the long term.</t>
  </si>
  <si>
    <t>Literally every aspect.</t>
  </si>
  <si>
    <t>Hygiene: Belief that circumcision makes the penis easier to keep clean or is inherently more hygienic., 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 Aesthetic Preference / To Look "Better" or "Neater": Belief that the circumcised penis looks more visually appealing, "prettier," or tidier than an intact one., Medical Advice (without stated necessity): Recommended by a doctor or healthcare provider without explaining a specific existing medical problem, perhaps framing it as routine or generally beneficial., Cultural Tradition/Family Norm: It was a strong family tradition, cultural expectation, or simply "what people in our community did.", Just standard practice: Based on observing its prevalence, assumed it was the default medical procedure without a specific individual reason., To Look Like Father/Peers: Desire for the son's penis to match the father's or other males in the family/community.</t>
  </si>
  <si>
    <t>Paternal Influence (The "Like Father" Factor): A specific desire for you to genitally match your father or other male family members. (The power of conformity within the family unit)., Direct Medical Authority: Specific advice from their obstetrician, pediatrician, or the hospital staff where you were born. (The voice of a trusted professional)., Lack of Counter-Information: Crucially, the simple absence of any strong, readily available information presenting the benefits of intactness or the risks of circumcision, making it an easy default choice. (The power of silence).</t>
  </si>
  <si>
    <t>I was circumcised with the assumed correct amount of tissue removed but I developed quite a large penis compared to my prepubescent one and I am a grower 3” soft 8”. My erections from the moment I hit puberty until a few months into my restoration were tight and painful and my sulcus ripped a few times. Restoration has fixed that issue. I was circumcised with a mogen so my scar is v shaped and retains most of my frenulum and delta. My scar is only slightly perceptibly asymmetrical but when you notice it I’m soft.</t>
  </si>
  <si>
    <t xml:space="preserve">Everything the good and bad. </t>
  </si>
  <si>
    <t xml:space="preserve">I almost was subjected to skin grafts due to my tight skin but I fixed the issues myself </t>
  </si>
  <si>
    <t>At 21 when I found out the truth and why I had been in so much pain</t>
  </si>
  <si>
    <t xml:space="preserve">Skin tightness skin roughness denuded sensation and lack of movement causing sexual problems </t>
  </si>
  <si>
    <t>I didn’t consent, the only thing that could be heard were my screams.</t>
  </si>
  <si>
    <t>Significantly dissatisfied with sensation, function, or appearance, Experienced feelings of loss, grief, or anger, Felt physically uncomfortable or experienced complications, Curious about what might be different if intact, Motivated by research or learning about intact anatomy/function</t>
  </si>
  <si>
    <t>Feel more 'natural' or 'whole', Achieve glans coverage and dekeratinization, Heal psychological trauma, Increased overall sensitivity, Regain gliding motion, Improve sexual pleasure/orgasms, Reclaim what was taken, Improve gliding mechanics/reduce need for lube</t>
  </si>
  <si>
    <t>DTR</t>
  </si>
  <si>
    <t xml:space="preserve">Yes where as before I didn’t really focus it for stimulation now I do and it creates waves of pleasurable sensations </t>
  </si>
  <si>
    <t xml:space="preserve">Yes they are longer lasting and the build up is more powerful </t>
  </si>
  <si>
    <t>Defaulting to modified makes no sense logically. Uncut uncircumcised makes sense for restored penises not intact penises.</t>
  </si>
  <si>
    <t>Doing it alone. Doing it.</t>
  </si>
  <si>
    <t xml:space="preserve">Do it the sooner you start the sooner you finish and the better success foregen will have </t>
  </si>
  <si>
    <t xml:space="preserve">Make it accessible on insurance plans for Americans please. We didn’t get to choose </t>
  </si>
  <si>
    <t>These are the reasons people subject their sons to them, none of them are acceptable and I never believed in these reasons.</t>
  </si>
  <si>
    <t>I had no concept of it growing up.</t>
  </si>
  <si>
    <t>They’re cleaner and better and can’t get cancer or HIV or STIS</t>
  </si>
  <si>
    <t>The anatomical knowledge of both states, the knowledge of the losses and changes with the procedure.</t>
  </si>
  <si>
    <t>That it isn’t “skin” it’s the prepuce and it holds the 5 most erogenous zones of the penis, it is a built in masturbation sleeve and it facilitates naturally mobile sexual intercourse. Removing it denudes the organ and results in a compounding denuding effect over time.</t>
  </si>
  <si>
    <t>It’s obvious this is a horrendous breach in every way against the child and adult they will become. No sane kind loving caring person or parent does this to a child, not a single one.</t>
  </si>
  <si>
    <t>Circumcision destroyed my body my mind my heart my love my trust and my sense of safety in my own self, my community, my family and my country. I would be dead without restoration and foregen.</t>
  </si>
  <si>
    <t xml:space="preserve">I am open to sharing literally any view opinion experience sensation, anything. I mentor men on restoration daily and a large part of that is exposing our restoration to one another to inspire. I’d love to be part of a visual/audio project combining our voices, faces, penises, restoration methods, and if it is an adult oriented video I’d be happy to demonstrate my restoration in all states </t>
  </si>
  <si>
    <t>It’s normal and not a problem or disease</t>
  </si>
  <si>
    <t>I encountered inactivists who discussed it at length. I hadn’t heard the truth about foreskin and circumcision before.</t>
  </si>
  <si>
    <t>Allowed me to love myself where as before all I could see was the damage and harm</t>
  </si>
  <si>
    <t>Foregen becomes available and finished the process that way.</t>
  </si>
  <si>
    <t xml:space="preserve">Hoping against hope it is banned and reparations go through </t>
  </si>
  <si>
    <t xml:space="preserve">Decreasing from when I was younger but it does fluctuate at times. I don't know what causes this or when it will happen. It has not reached the sensitivity I had in the past. </t>
  </si>
  <si>
    <t xml:space="preserve">It's not the same every time. There's a few variations. Sometimes I get a mild build up, other times I know I'm getting there but the pleasure is not increasing. The feeling is always in my penis I don't recall if I feel much in the rest of my body. </t>
  </si>
  <si>
    <t>My girlfriend can pleasure me but I don't feel the same amount every time. Some times I am more sensitive than others. I don't know why.</t>
  </si>
  <si>
    <t>Losing sensitivity, harms sexual performance, scarring looks ugly</t>
  </si>
  <si>
    <t>Medical Advice (without stated necessity): Recommended by a doctor or healthcare provider without explaining a specific existing medical problem, perhaps framing it as routine or generally beneficial., 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 Cultural Tradition/Family Norm: It was a strong family tradition, cultural expectation, or simply "what people in our community did."</t>
  </si>
  <si>
    <t>Lack of Counter-Information: Crucially, the simple absence of any strong, readily available information presenting the benefits of intactness or the risks of circumcision, making it an easy default choice. (The power of silence)., Family Tradition/Pressure: The expectation from grandparents or other influential relatives; the idea that "it's what the men in our family have always done." (The power of heritage)., Prevailing Health &amp; Hygiene Beliefs: General societal "knowledge" at the time—gleaned from various sources—that presented circumcision as being fundamentally cleaner, healthier, or preventive of future diseases. (The power of a cultural 'truth').</t>
  </si>
  <si>
    <t xml:space="preserve">I can see scarring and it does not look like any of the outer foreskin or the frenulum is still there. The scar looks even, it's not crooked. My glans are always exposed and have the keratinized look. The shaft skin slides some but probably less than it should. </t>
  </si>
  <si>
    <t xml:space="preserve">sensation, sensitivity, gliding </t>
  </si>
  <si>
    <t xml:space="preserve">After learning the truth about circumcision in my late 20s. When I'm not getting as much sexual pleasure as I know I should be. And other times when I look at the scars and know they should not be there because foreskin should be. The scars and loss of sexual feeling triggers the feelings. </t>
  </si>
  <si>
    <t xml:space="preserve">Piss spraying sometimes. </t>
  </si>
  <si>
    <t xml:space="preserve">If I am speaking from the future into the past before I am born I would say I am the man your son becomes and in my time people have more access to information and can spread it easily, mostly through the internet. I understand that in the 80s people who were not medical professionals had less medical knowledge. There is a movement against circumcision and I have learned about the purpose of its mission. And by learning foreskin's functions I have learned that circumcision is harmful so therefore causes a disability. Circumcision does not have health benefits. I do not like that it happened to me and that I have to live with it. I know that it has significantly downgraded my sex life. It is a decision that you made for me so the result is I have to live with the consequences of that decision and you don't. It has created a difficulty in our relationship because it's a subject that needed to be confronted yet it's difficult because you did not want to hear the truth by coming to terms with the fact that you approved of a doctor to maim me. This caused several difficult discussions with different outcomes, different things were said in some of the conversations because different things came to mind. It got better for my father because eventually he stopped being defensive and faced the truth. For my mother it just went from bad to worse for her because she showed me that she was never going to face reality because avoiding guilt is more important to her than confronting the past so our relationship can continue. That showed me she is someone I am better off without.
Critical thinking is important and circumcision is a bad trend that should not be followed. </t>
  </si>
  <si>
    <t xml:space="preserve">I was told that at the time I was born it was done for medical reasons, so that is the most prominent reason. It is common in Hawaii so it's also cultural so even if people did not beLIEve in the medical benefit claims they would probably still get their boys circumcised anyway to conform. </t>
  </si>
  <si>
    <t xml:space="preserve">The common beLIEfe then was foreskin stinks and gets infected. </t>
  </si>
  <si>
    <t xml:space="preserve">It's normal and common. There was not much talk about it beyond that. </t>
  </si>
  <si>
    <t>Porn is influential. Jewish people run some of the porn industry and they want the viewers to become conditioned to seeing circumcised penises to think they are normal. 
The medical system tells people that circumcision is healthy so when people beLIEve that (propaganda) then they will want men in their society to be circumcised.</t>
  </si>
  <si>
    <t xml:space="preserve">The functions the foreskin. The problem is too many people think foreskin serves no purpose and can just get infected so it must be better to cut it off to avoid health problems. When people know how and what foreskin does then they will change their minds. </t>
  </si>
  <si>
    <t xml:space="preserve">Because it is well known that it happens but the truth about the effects it has on the victims lives and what and who perpetuate infant genital mutilation is not well known. </t>
  </si>
  <si>
    <t xml:space="preserve">There are many different methods to educate people that circumcision is harmful and needs to stop. Some methods some people are willing to use and other ones they are not and some methods get through to some people and some methods don't. Figure out what works.  People can make a change and intactivism is a movement that can improve society. People can contribute their service to intactivism to help end infant circumcision. When you go down the rabbit hole on this subject you find lots of valid reasons to. Educating people can have a ripple/domino effect. Life is about earning accomplishments. Intactivism is an opportunity to make a difference. </t>
  </si>
  <si>
    <t>https://www.facebook.com/scott.white.7906</t>
  </si>
  <si>
    <t xml:space="preserve">interviews </t>
  </si>
  <si>
    <t>Accidental Intactivist's interview on YouTube</t>
  </si>
  <si>
    <t>Orthodox Christians, my chosen denomination as an adult, do not include any such tradition. I feel zero religious connection from the mutilation that was done to me.</t>
  </si>
  <si>
    <t>Half-numb and painfully tight. Mostly pressure sensations.</t>
  </si>
  <si>
    <t>A challenge to reach, then a reflex that relieves the pressure. Disappointing, but still something I have an urge to achieve.</t>
  </si>
  <si>
    <t xml:space="preserve">Yes. They removed too much skin, resulting in ~2.5 inches of abdominal skin being "tented" up on the dorsal side when it is erect, and ~3.5 inches of scrotal skin on the ventral aspect resulting in a "turkey neck" on the underside. Furthermore, there is a dramatic misalignment of the raphe. The frenulum appears to have been removed almost in its entirety. </t>
  </si>
  <si>
    <t>Controlling/Restricting Masturbation: A belief that circumcision would reduce the urge or ability to masturbate (a view common in certain historical eras)., Don't know/Not told, Don't Know/Not Told: The reasons were never explained or learned later.</t>
  </si>
  <si>
    <t>Religious Mandate/Tradition: A direct requirement or strong cultural expectation stemming from their religious beliefs and community. (The power of faith)., I have absolutely no idea what influenced them., Prevailing Moral Beliefs about Sexuality (e.g., concern over masturbation):</t>
  </si>
  <si>
    <t>Prominent scar that is an unnatural brown color due to Gomco clamp usage, misalign raphe and frenular remnant, majority of frenulum appears to have been removed. I am unsure how, but there is no frenular remnant on the glans, despite the Gomco clamp allegedly "protecting" that part. Lack of shaft skin resulting in painfully "tight" erections.</t>
  </si>
  <si>
    <t xml:space="preserve">All of it, to feel things as God intended, the way I was born. </t>
  </si>
  <si>
    <t>I noticed my circumcision scar a bit before puberty and felt it was "wrong" because I could tell it was a scar, even though I didn't understand what was done at the time.</t>
  </si>
  <si>
    <t>Difficulty achieving orgasm during normal sexual intercourse (&gt;1 hour when I was younger, now I sometimes fail to maintain an erection long enough to achieve orgasm). Painfully tight erections.</t>
  </si>
  <si>
    <t xml:space="preserve">My mother told me when I was in my 20s, "If you don't like it, that's tough, you just have to live with it." I have since excluded her from my life and she is currently dying of breast cancer. I felt joy when I learned of her diagnosis. That is how much I despise her for what was done to me. </t>
  </si>
  <si>
    <t>The psychological harm. To remind them that their infant will someday be an adult, that they'll be an independent person, that children aren't "property" to be branded like cattle with scars from barbaric devices like the Gomco Clamp.</t>
  </si>
  <si>
    <t xml:space="preserve">Light touch/licking if frenulum is most sensitive </t>
  </si>
  <si>
    <t>For oral: gradual buildup, for PIV: pleasurable at first then quick buildup to intense orgasm (explosive release)</t>
  </si>
  <si>
    <t>Only used for masturbation, and not necessary but improves it if prolonged session</t>
  </si>
  <si>
    <t>Can’t think of any unless one has a medical issue (phimosis, frequent balanitis, etc). Some partners like the appearance of circumcised better</t>
  </si>
  <si>
    <t xml:space="preserve">Sometimes need for lube with masturbation. Possible reduction in sensitivity </t>
  </si>
  <si>
    <t>I have a lot of inner foreskin remaining and a sensitive frenulum. This makes for extremely enjoyable oral sex, and I do enjoy PIV sex a lot as well. The skin is fairly tight when erect, but not too tight. There is some mobility. I have been told by multiple partners that I have a really good looking penis, so I like that.</t>
  </si>
  <si>
    <t>Experiencing the different sensations and pleasure would be interesting. Gliding sounds interesting, but I think I’d prefer the friction of my glans on the vaginal wall rather than my skin. Reading accounts of those circumcised as adults show that some feel it is way better and some slightly worse. The fact that is still have a lot of frenulum probably helps my pleasure with sexual activity.</t>
  </si>
  <si>
    <t>During adolescence. I was/am angry that something permanent was done to me without my consent.</t>
  </si>
  <si>
    <t>Leave the decision to the penis owner</t>
  </si>
  <si>
    <t>They are dirty and ugly</t>
  </si>
  <si>
    <t>They are normal, clean, and better looking</t>
  </si>
  <si>
    <t>Seeing other penises in porn or real life. Prob 80+% circumcised. Few females saw uncircumcised and were told they were smelly and gross (smegma)</t>
  </si>
  <si>
    <t>Circumcision is only necessary in a small number of males and has potential risk for significant morbidity</t>
  </si>
  <si>
    <t>Unnecessary surgery performed on generations of boys</t>
  </si>
  <si>
    <t>I think I’m lucky to have my frenulum and it reduced the harm to my sexual experience from circumcision. My partner strongly prefers circumcised penises, but we did not circumcise our son. He can make his own decision someday.</t>
  </si>
  <si>
    <t>Russian Federation</t>
  </si>
  <si>
    <t>Arts/Humanities/Entertainment (e.g., Artist, Writer, Musician), Education (e.g., K-12 Teacher, Professor, School Administrator)</t>
  </si>
  <si>
    <t>Glans is the most sensitive part, especially frenulum, stroking motion, shaft is less sensitive, but still pleasant to stroke it. Rubbing glans feels good.</t>
  </si>
  <si>
    <t>The orgasm feels satisfying, especially if there is enough stimulation during the process. Build up also feels very good, full-body feeling.</t>
  </si>
  <si>
    <t>I almost completely don't need any lubricants, but if I do - water based are best.</t>
  </si>
  <si>
    <t>Sometimes a pertner was doing it to intense (too much friction on my penis)</t>
  </si>
  <si>
    <t>Comfort of not having my glans exposed all the time, not needing lube, keeping high level of sensitivity and control over it.</t>
  </si>
  <si>
    <t>Sometimes the foreskin is in the way during interaction, retracting it (especially in soft state) to get access to sensitive parts sometimes can be a bit annoying, foreskin gets dirty quickly, cosmetic disadvantage in soft state.</t>
  </si>
  <si>
    <t>Sometimes I regret I'm intact because of cosmetic reasons, but very rarely.</t>
  </si>
  <si>
    <t>I had no interventions</t>
  </si>
  <si>
    <t>completely normal in my country, but I had to learn to expose my glans properly.</t>
  </si>
  <si>
    <t>It plays important role during interaction - pulling my foreskin back exposing my glans feels very arousing.</t>
  </si>
  <si>
    <t>Touching it in a right way or applying vibration to it is very arousing.</t>
  </si>
  <si>
    <t>The impact of constant glans exposure.</t>
  </si>
  <si>
    <t>My circumcised partner (he had it because of medical reasons) had more estetic look, but significantly less sensitivity, difficulty because of friction (but he didn't like using lube), his most sensitive part was the scar, problems with handjobs because of skin tugging. About intensity of the orgasms - I'm not sure, can't compare. He also said himself that it's better with foreskin, "more interesting"</t>
  </si>
  <si>
    <t>it doesn't matter</t>
  </si>
  <si>
    <t>functionality of the foreskin, it plays important role in protecting and moisturizing the glans and reduces friction</t>
  </si>
  <si>
    <t>Medical necessity in case of phimosis.</t>
  </si>
  <si>
    <t>I doubt there are any stereotypes about intact men in my region, being intact is a norm where I live.</t>
  </si>
  <si>
    <t>assumption that it prevents you from getting STD or that it's the only way to cure phimosis</t>
  </si>
  <si>
    <t>Natural look</t>
  </si>
  <si>
    <t>loss of sensitivity</t>
  </si>
  <si>
    <t>A baby cannot give his/her consent and unlike vaccination (with no significant side effects to worry about) doesn't change your organism significantly, circumcision is about amputating the part of your body and it's almost completely irreversible (save for restoring forskin which is still questionable) and might change your sexual experience for the wrose. It most likely will change it for the better only in case if a person has phimosis, but it can be done later in life when a person can give his consent to do it and is not necessary before puberty. A man should have a choice about such things. Also I know the story why in USA mass circumcision was justified in the 20 century, it's not a good story.</t>
  </si>
  <si>
    <t>There is a lack of question about how I feel about religious justification of circumcision in Jewish and Muslim families. My attitude to this kind of practice is also negative.</t>
  </si>
  <si>
    <t>unlikely</t>
  </si>
  <si>
    <t>Saint Petersburg</t>
  </si>
  <si>
    <t>No, I don't have them</t>
  </si>
  <si>
    <t>Valued natural, holistic, or low-intervention approaches to health, Strongly principled about consent and bodily autonomy in general</t>
  </si>
  <si>
    <t>Depends on arousal state. Most sensitive area: Remnant of frenulum that remained after circumcision.</t>
  </si>
  <si>
    <t>Satisfying</t>
  </si>
  <si>
    <t>Ugly penis appearance; loss of sensation cannot be evaluated due to having never consciously experienced the intact penis.</t>
  </si>
  <si>
    <t>Urinary tract infection; allegedly phimosis</t>
  </si>
  <si>
    <t>Unevenly scarred with bridges, tunnels and glans attachments.</t>
  </si>
  <si>
    <t xml:space="preserve">Enhanced sensation and orgasm intensity </t>
  </si>
  <si>
    <t>Regret to not be able to ever experience the natural state.</t>
  </si>
  <si>
    <t>Skin bridges and tunnels</t>
  </si>
  <si>
    <t>Seek independent information, do not blindly trust "authorities".</t>
  </si>
  <si>
    <t>Achieve glans coverage and dekeratinization, Reclaim what was taken, Increased overall sensitivity, Feel more 'natural' or 'whole', Regain gliding motion, Improve sexual pleasure/orgasms, Improve gliding mechanics/reduce need for lube</t>
  </si>
  <si>
    <t>foreGestalt</t>
  </si>
  <si>
    <t>Difficult to quantify due to the gradual change. But there are more ways to enjoy intimacy.</t>
  </si>
  <si>
    <t>No, it all depends on the situation.</t>
  </si>
  <si>
    <t>Restored describes it better. Neo-intact would be an euphemism since some functions were permanently lost. Uncircumcised and uncut do not take the past into the account.</t>
  </si>
  <si>
    <t>Challenge: Finding the right method without affecting the focus on daily life. Reward: Finding the right method without affecting the focus on daily life</t>
  </si>
  <si>
    <t>Start and enjoy progress. Make it a habit.</t>
  </si>
  <si>
    <t xml:space="preserve">Taking current research results into consideration, it may (or may not) become available in about 50 years. </t>
  </si>
  <si>
    <t>A medical option when healthcare providers are badly informed, are not interested in trying alternatives to address medical problems first, or run simply out of ideas.</t>
  </si>
  <si>
    <t>The norm.</t>
  </si>
  <si>
    <t>Exception (e.g., due to medical problems).</t>
  </si>
  <si>
    <t>Cultural and/or religious bias</t>
  </si>
  <si>
    <t>To not be fooled by bogus arguments.</t>
  </si>
  <si>
    <t>Hits the nail on its head.</t>
  </si>
  <si>
    <t>Spread the word and point to this survey on as many social platforms as possible.</t>
  </si>
  <si>
    <t>North Rhine-Westphalia</t>
  </si>
  <si>
    <t>Liguria</t>
  </si>
  <si>
    <t>You personal FB page.</t>
  </si>
  <si>
    <t>Realizing that restoration was possible paired with curiosity about the results.</t>
  </si>
  <si>
    <t>Positive self-perception</t>
  </si>
  <si>
    <t>Appearance, the sensation during urination, extended possibilities in intimate moments, dekeratinization</t>
  </si>
  <si>
    <t>I can last 4 hours so not very sensitive</t>
  </si>
  <si>
    <t>mild and brief</t>
  </si>
  <si>
    <t>I need a lot, I spend like $100 a year on it</t>
  </si>
  <si>
    <t>Nothing to compare it to</t>
  </si>
  <si>
    <t>Direct Medical Authority: Specific advice from their obstetrician, pediatrician, or the hospital staff where you were born. (The voice of a trusted professional)., Prevailing Health &amp; Hygiene Beliefs: General societal "knowledge" at the time—gleaned from various sources—that presented circumcision as being fundamentally cleaner, healthier, or preventive of future diseases. (The power of a cultural 'truth').</t>
  </si>
  <si>
    <t>Started as a CI-0... Now A CI-3</t>
  </si>
  <si>
    <t>different sensations, gliding motion, frenulum, and where I would be in life.</t>
  </si>
  <si>
    <t>Any time when I engage in sexual activities</t>
  </si>
  <si>
    <t>Cosmetic preference</t>
  </si>
  <si>
    <t>It can cause more problems then being circumcised</t>
  </si>
  <si>
    <t>Girls preferred it</t>
  </si>
  <si>
    <t>Ease of being cleaned and ready to go whenever</t>
  </si>
  <si>
    <t>Circumcision is child abuse</t>
  </si>
  <si>
    <t>The circumcision surgery is hidden. Many videos blur out important parts, and anatomy is often ignored and the decision is often thrown on parents at the last minute.</t>
  </si>
  <si>
    <t>Circumcision will be done to around 20% of newborns</t>
  </si>
  <si>
    <t>Stay-at-Home Parent / Homemaker, Business/Finance/Management</t>
  </si>
  <si>
    <t xml:space="preserve">Man I wasnt expecting to type anything but fine. I found lighter touch works best for me, esp if its gentle movement of the foreskin over the head. Have found that direct contact with the head is uncomfortable whereas sensation with it covered or just on foreskin is preferred. Less is more, in short. </t>
  </si>
  <si>
    <t xml:space="preserve">This is tough, really depends if its alone, with partner ect. Would say, over all...build up like a curve? Slow to start but the difference between pleasure and the point of no return is super steep, have to stop before you think you should. and then "final release intensely pleasurable" this pretty much focused the head but also involuntary muscle flexing feeling </t>
  </si>
  <si>
    <t>I want to address the duration question from earlier but not clear where to type. The answer. of 6-15 secs is an estimate of how long it really takes but it FEELS like double that time.</t>
  </si>
  <si>
    <t xml:space="preserve">Partner is cut, pulls on my penis like they are trying to start a lawn mower. Had to teach how and what feels good. </t>
  </si>
  <si>
    <t xml:space="preserve">That i was born this way and this is how a dick works? </t>
  </si>
  <si>
    <t>Frenum is a bit short, can tug and be painful. Same when visiting certain doctors, can pull too far back and it hurts</t>
  </si>
  <si>
    <t>Lack of Perceived Benefit: They didn't see any compelling reason to circumcise., Cultural Background/Family Tradition (of intactness): They came from a family or cultural background where intactness was the norm., Intuition/Gut Feeling: A general sense that leaving you intact was the natural or right thing to do, even without specific articulated reasons.</t>
  </si>
  <si>
    <t xml:space="preserve">nope, though it didn't really occur to me that circumsized penises had functional differences until early adulthood. </t>
  </si>
  <si>
    <t xml:space="preserve">I think i had a nappy rash as an infant that affected the penis required a cream. Thankfully didn't require more serious intervention </t>
  </si>
  <si>
    <t>Nothing other than it felt normal</t>
  </si>
  <si>
    <t xml:space="preserve">As stated in earlier section, its a main focus when seeking pleasurable sensation. </t>
  </si>
  <si>
    <t xml:space="preserve">Incredibly sensitive. Have orgasmed from just stimulating that area with foreskin up. Would almost consider it a draw back because it can tug and be painful when engaging in penetrative sex. or, if directly stimulated orgasm pretty quickly. Sort of have to work around it. None the less, would keep it as is. </t>
  </si>
  <si>
    <t xml:space="preserve">Stated this previous section, partner is 'rough' on my penis. Is clear his experience is different from mine. Initially he found my penis too 'delicate' and I find his frustrating bring to orgasm. Its a exercise in communication though because this has improved over the years. </t>
  </si>
  <si>
    <t xml:space="preserve">Normal. Normal is the right term. No one is "unbeheaded" if they still have their skull attached to their neck. They are normal. I've seen people call it a "natty" which is a nice term. </t>
  </si>
  <si>
    <t xml:space="preserve">Just how sensitive the skin is. ALSO the look of it, many cut people dont like the wrinkles on the skin for some reason which I think its a shame. 
Same way they don't notice the scars on a cut penis and thats the first thing that jumps at me. Can't imagine what mine would be like with those scars </t>
  </si>
  <si>
    <t xml:space="preserve">None, it was generally normal. </t>
  </si>
  <si>
    <t>not really brought up, only when maybe talking about religion</t>
  </si>
  <si>
    <t xml:space="preserve">American media, making fun of 'ugly' intact penises and a celebration of circumcision spirituals when it came to stories about certain religious groups. Like it was totally normal and to be looked up to.
And you know, some text books also show the penis with the head exposes all the time. not necessarily cut but it looks like cylinder with a penis head. Should at least show what the foreskin is. </t>
  </si>
  <si>
    <t xml:space="preserve">Never irreversibly alter yourself for what your culture or partner or peers want. </t>
  </si>
  <si>
    <t xml:space="preserve">Theres a weird trend where adult circumcision is being promoted by clinics in the country. 'Benefits' are less hassle, HPV resistance ect. An adult can do whatever they want, but the bad science is worrying. I hear the same thing is happening in China, like its a fad to 'last longer' in bed. </t>
  </si>
  <si>
    <t xml:space="preserve">The more I read into this topic, the more it bothers me. Unsure where to discuss and connect with people about this </t>
  </si>
  <si>
    <t>Phuket</t>
  </si>
  <si>
    <t xml:space="preserve">Google searching the topic + AI recommendation </t>
  </si>
  <si>
    <t xml:space="preserve">Same unless demographics of certain religious increase in the country </t>
  </si>
  <si>
    <t>Factory / Manufacturing / General Labor, Personal Care / Service, Stay-at-Home Parent / Homemaker</t>
  </si>
  <si>
    <t xml:space="preserve">My mom probably got talked into circumcision in part because "it's in the bible" without realizing that the New Testament makes plain that "physical" circumcision is not part of Christianity.  She wasn't very detail oriented, and the details were harder to tease out when there were not electronic searchable bible texts. </t>
  </si>
  <si>
    <t xml:space="preserve">I can recall as a youth that the underside of my glans was so ticklish I would experience something I'm told is the "Cremaster Reflex" (spelling?) where the penis seems to jump when touched, flaccid or erect. I do not experience that at all today.  I'll never know if that is due to circumcision or just aging. </t>
  </si>
  <si>
    <t xml:space="preserve">I have restored my foreskin using gentle tension for five years.  Since doing that, I'm not even worried about what orgasm feels like (although it's much better) because the totally of a sexual interaction is just such a luxurious, sumptuous experience throughout.  </t>
  </si>
  <si>
    <t xml:space="preserve">I can easily reach an enjoyable orgasm from just the mobility of the skin, no lube.  But for intercourse, my wife and I always use lube because she is older and we like to stimulate her externally without "using up" what slipperiness she exudes.  </t>
  </si>
  <si>
    <t xml:space="preserve">When I met my wife (pre-restoration), she would grab my shaft and try to work the immobile skin up and down.  It was uncomfortable, and I wondered why she wanted to do that.  Now I know it's how NORMAL penile skin works, and I was abnormal.  </t>
  </si>
  <si>
    <t xml:space="preserve">Didn't realize that lack of sensation and retarded ejaculation were due to circumcision. </t>
  </si>
  <si>
    <t>Lack of Counter-Information: Crucially, the simple absence of any strong, readily available information presenting the benefits of intactness or the risks of circumcision, making it an easy default choice. (The power of silence)., Peer &amp; Social Pressure (The "Fitting In" Factor): The widespread belief that "everyone else is doing it," and a desire for you to avoid being seen as different in locker rooms or later in life. (The power of broad social conformity).</t>
  </si>
  <si>
    <t xml:space="preserve">I'm sure my doctor and his peers would say he did a good on my circumcision. </t>
  </si>
  <si>
    <t xml:space="preserve">I wonder if having a shiny supple glans would make it hard to last a long time during intercourse. </t>
  </si>
  <si>
    <t xml:space="preserve">I'm pissed that my mom is not an evidence-based person.  She cut me despite my father being intact. </t>
  </si>
  <si>
    <t xml:space="preserve">Not your body, not your choice.  Most of the world is intact. </t>
  </si>
  <si>
    <t>Achieve glans coverage and dekeratinization, Regain gliding motion, Increased overall sensitivity</t>
  </si>
  <si>
    <t xml:space="preserve">TLC Tugger, at least 12 hours per day, gentle tension (such that it would stay on and comfortable for 4-hour spans (8 hours if at night). </t>
  </si>
  <si>
    <t>Fully</t>
  </si>
  <si>
    <t xml:space="preserve">I had no idea how good gliding skin would feel, or how good the revitalized inner skin would feel.  </t>
  </si>
  <si>
    <t xml:space="preserve">I feel I reach a state of higher arousal before orgasm, which makes the orgasm more intense. </t>
  </si>
  <si>
    <t xml:space="preserve">No use for those terms. </t>
  </si>
  <si>
    <t xml:space="preserve">Tugging is tedious.  While actively tugging, there is more penis focus, more arousal. </t>
  </si>
  <si>
    <t xml:space="preserve">Keep the glans covered 24/7 with your own skin during all non-tugging hours, as soon as possible. </t>
  </si>
  <si>
    <t xml:space="preserve">If it involves surgically implanting lab-grown DNA-compatible skin, it will be very disappointing, because that new skin will probably be numb.  </t>
  </si>
  <si>
    <t>normal</t>
  </si>
  <si>
    <t xml:space="preserve">Foreskin feels REALLY good. </t>
  </si>
  <si>
    <t xml:space="preserve">Just not feeling it.  Monster is a weird word, open to people's widely varied individual interpretations. </t>
  </si>
  <si>
    <t xml:space="preserve">People each have their intensity of interest in matters sexual.  My mom's intensity is like a 2/10.  How dare she assume I would also be a 2?  </t>
  </si>
  <si>
    <t xml:space="preserve">Any and all. I've talked about intactivism and restoring on multiple TV shows and in a stage show I wrote and performed at Edinburgh Fringe. </t>
  </si>
  <si>
    <t xml:space="preserve">Saw a GIF video demonstrating gliding action. </t>
  </si>
  <si>
    <t xml:space="preserve">I love that I can go to a nudist event like World Naked Bike Ride and stay covered the whole time.  I feel pity for the cut guys I see there. </t>
  </si>
  <si>
    <t xml:space="preserve">A real success would be waking up covered with no device.  Not even close to that after 5 years tugging.  </t>
  </si>
  <si>
    <t>Urethrotomy or urethroplasty as a toddler. I barely remember it.</t>
  </si>
  <si>
    <t>overly tight skin affecting erections</t>
  </si>
  <si>
    <t>Experienced feelings of loss, grief, or anger, Felt physically uncomfortable or experienced complications</t>
  </si>
  <si>
    <t>Improve gliding mechanics/reduce need for lube, Achieve glans coverage and dekeratinization, Feel more 'natural' or 'whole', Improve sexual pleasure/orgasms, Increased overall sensitivity, Regain gliding motion</t>
  </si>
  <si>
    <t>Manual method 2</t>
  </si>
  <si>
    <t>RCI-9 ... Full erect coverage</t>
  </si>
  <si>
    <t>no, circumcision was cultural norm more than religious norm in my region and age group</t>
  </si>
  <si>
    <t>I stopped going to church when I was 11</t>
  </si>
  <si>
    <t>the foreskin tip, the inner foreskin, and glans are most sensitive. I like the foreskin gliding across the glans and the tension in the foreskin when it's retracted to it's maximum</t>
  </si>
  <si>
    <t>the longer I take to build up, the better the orgasm. Too short and the orgasm is almost painful and jarring</t>
  </si>
  <si>
    <t>with masterbation I don't need it, but for partnered sex it can be beneficial</t>
  </si>
  <si>
    <t>I've sometimes had to instruct partners to what I like, speed, stroke length, pressure, etc</t>
  </si>
  <si>
    <t>it provides a lot of sensations and pleasure</t>
  </si>
  <si>
    <t>when I was growing up there was a lot of negative talk and I was ashamed, kept my status hidden</t>
  </si>
  <si>
    <t>I was embarrassed growing up because I was different and there was negative talk, but it eventually became a non-issue (and I had moved to a more cosmopolitan area)</t>
  </si>
  <si>
    <t>adulthood frenulectomy, my foreskin didn't retract behind my glans and had some partners tear it resulting in a build up of scar tissue. I had lacked any education or knowledge about the condition until I was an adult.</t>
  </si>
  <si>
    <t>I was embarrassed, hid the fact that I was intact, didn't have sexual partners until into my 20s for fear of ridicule</t>
  </si>
  <si>
    <t>the movement of the foreskin over the glans in either masturbation or partnered sex is the primary source of pleasure for me</t>
  </si>
  <si>
    <t>my frenulum has never been particularly sensitive, possibly because of several tears/injuries, and now I don't have one.</t>
  </si>
  <si>
    <t>all of the above</t>
  </si>
  <si>
    <t>intact, uncut, uncircumcised all are fine to me... foreskinned sounds odd to me</t>
  </si>
  <si>
    <t>Let people decide for themselves if they want to have foreskin or not.</t>
  </si>
  <si>
    <t>It just seemed like "The Norm" and all hospitals did it, and parents seemed to not question it</t>
  </si>
  <si>
    <t>That it is gross, unclean, etc.</t>
  </si>
  <si>
    <t>that they were more preferred</t>
  </si>
  <si>
    <t>talking to partners and friends who have experienced both seem to prefer intact</t>
  </si>
  <si>
    <t>The the decision should be with the person having the procedure. If they decide they want to be circumcised, that's up to them.</t>
  </si>
  <si>
    <t>"monsters" as a concept for me personally aren't persuasive, because monsters metaphors. I'm swayed by facts.</t>
  </si>
  <si>
    <t>there could be more resources for ways to use condoms with different length of foreskin. I had no education on the subject and had a lot of condoms break as a result</t>
  </si>
  <si>
    <t>possibly</t>
  </si>
  <si>
    <t>I never considered them to be unnatural, never worried about them, and no partner has ever commented on them</t>
  </si>
  <si>
    <t>no, they intended to have me circumcised at birth but couldn't because of prematurity, then never bothered to take me back</t>
  </si>
  <si>
    <t>laziness?</t>
  </si>
  <si>
    <t>mostly 5-6th gen indian, part black african, part afrikaner.</t>
  </si>
  <si>
    <t>no feeling</t>
  </si>
  <si>
    <t>i cant</t>
  </si>
  <si>
    <t>nothing, made the fat indians happy i guess</t>
  </si>
  <si>
    <t>extreme pain when i got a boner, cant cu m, the fat indians are happy that they did that</t>
  </si>
  <si>
    <t>my mother wanted me to be "lesser" than my father even though all 3 of my grandparents who were alive knew the drawbacks and are not the type of people that my dad is.</t>
  </si>
  <si>
    <t>Lack of Counter-Information: Crucially, the simple absence of any strong, readily available information presenting the benefits of intactness or the risks of circumcision, making it an easy default choice. (The power of silence)., Paternal Influence (The "Like Father" Factor): A specific desire for you to genitally match your father or other male family members. (The power of conformity within the family unit).</t>
  </si>
  <si>
    <t>was tights af and the scar is still VERY visible, the left of my penis is rci1 and right is rci2</t>
  </si>
  <si>
    <t>when I foundout that it they didn't even think it would benefit me</t>
  </si>
  <si>
    <t>inability to ejaculate</t>
  </si>
  <si>
    <t>this shit is so bad that I wouldn't even wish it on you!</t>
  </si>
  <si>
    <t>Experienced feelings of loss, grief, or anger, Significantly dissatisfied with sensation, function, or appearance, i hate african logic</t>
  </si>
  <si>
    <t>Feel more 'natural' or 'whole', Regain gliding motion, Heal psychological trauma, Achieve glans coverage and dekeratinization, Reclaim what was taken, Improve sexual pleasure/orgasms, Increased overall sensitivity, i cant even cu, morning wood used to burn like hell.</t>
  </si>
  <si>
    <t>mm2, mm3</t>
  </si>
  <si>
    <t>oh hell nah</t>
  </si>
  <si>
    <t>someone who didn't get his penis wrecked</t>
  </si>
  <si>
    <t>finding time and privacy has been challenging, it was initially painful. The reduction of pain and increase in size has been rewarding.</t>
  </si>
  <si>
    <t>do it now</t>
  </si>
  <si>
    <t>ill sell my bed, pc, games, door, wardrobe etc. if i have to</t>
  </si>
  <si>
    <t>something that my fat father did</t>
  </si>
  <si>
    <t>everyone had a normal penis</t>
  </si>
  <si>
    <t>medical "benefits" that don't even exist/ are very rare, minimal</t>
  </si>
  <si>
    <t>the sheer importance of having a penis which has not been ruined</t>
  </si>
  <si>
    <t>it causes major problems yet some people seem to struggle to see the se problems</t>
  </si>
  <si>
    <t>The size of my penis has gone up significantly more since I started restoring (most family is 10-12cm intact, I started restoring at 13cm and now i'm somehow 19cm long and 13cm thick and still getting thicker💀 so I think that tight circumcision might have largely reduced the size.</t>
  </si>
  <si>
    <t>johannesburg</t>
  </si>
  <si>
    <t>perth</t>
  </si>
  <si>
    <t>I though my penis was trying to recover its foreskin</t>
  </si>
  <si>
    <t>grandparents</t>
  </si>
  <si>
    <t>everyone else sharing good experiences</t>
  </si>
  <si>
    <t>boners have become less painful, I now have some slack skin when soft and theres a bit of skin appearing at the bottom of thescar</t>
  </si>
  <si>
    <t>looking like a normal penis, being able to do the essential things</t>
  </si>
  <si>
    <t xml:space="preserve">not really </t>
  </si>
  <si>
    <t>My father was a minister in the Jehova Witness organization. It ruined my childhood, early adulthood with respect to conservative sheltering.</t>
  </si>
  <si>
    <t>The upper underside is more sensitive than the tip or lower shaft.</t>
  </si>
  <si>
    <t>It can depend on visual and/or physical stimuli but in best case scenario it’s full body from head to toe.</t>
  </si>
  <si>
    <t xml:space="preserve">Lube tends to dull the sense </t>
  </si>
  <si>
    <t>Although I was circumcised at birth, often wondered what it’s like to have foreskin and have considered restoring. I can masturbate/edge for a few hours before I become sensitive enough to orgasm. Easier to clean/keep clean.</t>
  </si>
  <si>
    <t xml:space="preserve">Oral sex can be sometimes fruitless. </t>
  </si>
  <si>
    <t>I’d say mine looks fairly good, comparatively.</t>
  </si>
  <si>
    <t>Gliding motion, sensitivity, self care, urination sensation</t>
  </si>
  <si>
    <t xml:space="preserve">Late 20s I started experimenting more frequently with my sexuality and  Evan to understand and question </t>
  </si>
  <si>
    <t>If it ain’t broke don’t fix it</t>
  </si>
  <si>
    <t>Cleanliness is godliness</t>
  </si>
  <si>
    <t xml:space="preserve">It was taboo to discuss </t>
  </si>
  <si>
    <t xml:space="preserve">That they were much more hygenically appropriate </t>
  </si>
  <si>
    <t xml:space="preserve">Societal trends ideologies </t>
  </si>
  <si>
    <t xml:space="preserve">It’s normal to discuss with peers and friends. Please discuss it with your children. Ignorance doesn’t do anyone any favors. </t>
  </si>
  <si>
    <t xml:space="preserve">Education and informed decisions should be made common practice by all doctors and staff. </t>
  </si>
  <si>
    <t>I guess if I never had it I’d never miss it has played a huge factor in this whole debacle. But doesn't someone born without a limb generally wonder what it would be like to live life with that limb? Especially if someone had decided to remove my limb for the sake of their own opinion?</t>
  </si>
  <si>
    <t xml:space="preserve">I left my number feel free to text or call for more info. Just don’t sell my info. </t>
  </si>
  <si>
    <t>I've only ever had a partner perform oral sex on me twice, and I never found it enjoyable. But both times we were quite inexperienced.</t>
  </si>
  <si>
    <t>I think it generally looks better, and people talk about fluid buildup sometimes ("dick cheese"?) which I have never experienced</t>
  </si>
  <si>
    <t>I have to be careful with zippers I guess? Um, sometimes when it's very cold, below freezing, it retreats well within the shaft skin which feels odd at times?</t>
  </si>
  <si>
    <t>Cultural Tradition/Family Norm: It was a strong family tradition, cultural expectation, or simply "what people in our community did.", Parent's General Preference: Parents simply preferred the circumcised appearance or state without specific medical, religious, or cultural reasons being primary., To Look Like Father/Peers: Desire for the son's penis to match the father's or other males in the family/community.</t>
  </si>
  <si>
    <t>Paternal Influence (The "Like Father" Factor): A specific desire for you to genitally match your father or other male family members. (The power of conformity within the family unit)., Family Tradition/Pressure: The expectation from grandparents or other influential relatives; the idea that "it's what the men in our family have always done." (The power of heritage)., Lack of Counter-Information: Crucially, the simple absence of any strong, readily available information presenting the benefits of intactness or the risks of circumcision, making it an easy default choice. (The power of silence).</t>
  </si>
  <si>
    <t>glans is mostly exposed, shaft skin is mobile</t>
  </si>
  <si>
    <t>idk</t>
  </si>
  <si>
    <t>I don't feel the need to talk to my living parents about my genitalia.</t>
  </si>
  <si>
    <t>I don't believe I have been harmed by not having a foreskin.</t>
  </si>
  <si>
    <t>Seventh-day Adventist</t>
  </si>
  <si>
    <t>I don't recall it being a point of discussion.</t>
  </si>
  <si>
    <t>I don't think religion had anything to do with my circumcision, but I'd need to ask my mother.</t>
  </si>
  <si>
    <t>Firm pressure below glans, especially near base or even sub-base (below testicles). Very little sensation in glans.</t>
  </si>
  <si>
    <t>Gradual build-up, final release focused on testicles. Penis gets suddenly very sensitive and head can't be touched. Satisfaction of release depends on mental state and partner more than on physical aspects.</t>
  </si>
  <si>
    <t>If I licked my female partner to orgasm, she would be wet enough for some time. Otherwise, she or I would use saliva for lubrication.</t>
  </si>
  <si>
    <t>I was almost always too embarrassed to talk about my crooked penis, which I only recently found out is crooked due to circumcision. Also, the hair at the base of my shaft when fully erect always seemed wrong but I didn't know it was also due to circumcision. The firmness of the pressure required to bring me to orgasm meant that I had to feel very comfortable discussing with my partner why I rarely orgasmed from her touches or sex. With my second wife, I had to jack off while sucking on her tits or being kissed by her. With my one boyfriend, I had to suck on his flaccid cock while I jacked off. The oral sensation and the firm hand pressure that only I could control, did it for me.</t>
  </si>
  <si>
    <t>NONE!</t>
  </si>
  <si>
    <t>On reflection, now knowing the trauma I suffered as a tiny baby, I can see that my trouble with speaking, my distrust of my mother, my difficulty having sexual relationships, my crooked penis, my hair shaft base, my lack of sensation, my strong preference for young girls over adult women and my desire for fantasy and porn videos, are all or mostly a result of something I don't even remember happening because it was so traumatic.</t>
  </si>
  <si>
    <t>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 Prevailing Moral Beliefs about Sexuality (e.g., concern over masturbation):</t>
  </si>
  <si>
    <t>No foreskin remaining, only a scar. Can't believe it's done for "cosmetic" reasons! Curved to the left, much more markedly when I was young, still crooked though, just not as much. Hairline comes up the shaft at least an inch when erect, maybe more when particularly aroused. Must have felt uncomfortable for my female partners but they never said anything. Maybe they didn't know why they didn't like it so much. Had a lot of one-night stands in my late 20's and wondered why sex was not more fulfilling for me or them. When erect, the skin of my penis is very tight so does not have much play at all. My glans is always exposed, whether flaccid or erect.</t>
  </si>
  <si>
    <t>I only knew the advantages recently. I'm now curious about everything: Gliding motion must be so much better; so many more sensations; I hear intact men have multiple orgasms.</t>
  </si>
  <si>
    <t>Since I found out all the disadvantages of circumcision only within the past few weeks, I want to do what I can to stop this non-consensual sex organ amputation from happening any more! Both the initial trauma of the helpless baby boy and the resulting reduction in sexual pleasure for both the man and his woman partner are what I mostly think about.</t>
  </si>
  <si>
    <t>As mentioned, tight skin during erections, crooked penis, lack of sensation and difficulty achieving orgasm.</t>
  </si>
  <si>
    <t>I did ask my mother to proactively increase awareness with her grandchildren and great-grandchildren about the disadvantages and myths of circumcision, but she expressed the thought that it's hygienic and then wanted to drop the subject. I think it will be up to me to bring it up with my nephews and nieces.</t>
  </si>
  <si>
    <t>1. "Hygienic" (NOT!), and 2. "Cosmetic" (cough, cough; conform to norms). Both seem to be rationalizations provided under the influence of paid infiltrators into medical universities, probably mostly Jewish.</t>
  </si>
  <si>
    <t>They're harder to keep "clean".</t>
  </si>
  <si>
    <t>Easier to keep "clean" and look similar to others.</t>
  </si>
  <si>
    <t>Actual experience; I think once a woman has sex with an intact man, she will prefer them if all else is equal.</t>
  </si>
  <si>
    <t>That allowing doctors or rabbis to circumcise their boy will greatly reduce their boys' and their future partners' sexual pleasure, with no possibility of recovery.</t>
  </si>
  <si>
    <t>Because the infant has no recollection of the traumatic amputation, he considers his defective penis to be normal. The biggest normalization has come about because parents don't know any better and doctors and hospitals have a strong financial incentive to continue the practice. To end it, insurance and Medicaid in all states must not be allowed to continue considering circumcision to be an elective, covered, cosmetic surgery.</t>
  </si>
  <si>
    <t>Hoping that RFK, Jr.'s HHS will sponsor studies on this issue and stop any federal funding of Medicaid to states that make payments for male genital mutilations.</t>
  </si>
  <si>
    <t>Currently formulating a company health care policy for my business that would only provide benefits for natural (non-hospital) birthing except in pre-specified cases of emergency, and which would educate prospective employee parents on the hazards of hospital births, including circumcision. Am very open to collaborating with you on this issue! David Montane, founder of FillUps (TM). See my LinkedIn page: https://www.linkedin.com/in/david-montane-a767aa13/</t>
  </si>
  <si>
    <t>Not much. Just thought they were natural.</t>
  </si>
  <si>
    <t>Utter bullshit like the rest of this seventh century cult</t>
  </si>
  <si>
    <t>None, it is seen as just a thing everyone does and has. It isn't questioned.</t>
  </si>
  <si>
    <t>Its never been talked about as its a somewhat taboo topic.</t>
  </si>
  <si>
    <t>I prefer firmer pressure and feel nearly nothing with light touch.</t>
  </si>
  <si>
    <t>It happens quickly and suddenly, it is a full body experience.</t>
  </si>
  <si>
    <t>I could get off without lube, but its like seeing in black and white compared to using lube being seeing full colours.</t>
  </si>
  <si>
    <t>Dont have to clean smegma?</t>
  </si>
  <si>
    <t>Loss of sensation, cosmetic impact (ugly scar line), feeling of having been mutilated against my consent, bullying from school peers</t>
  </si>
  <si>
    <t>Religious Mandate/Tradition: A direct requirement or strong cultural expectation stemming from their religious beliefs and community. (The power of faith)., Lack of Counter-Information: Crucially, the simple absence of any strong, readily available information presenting the benefits of intactness or the risks of circumcision, making it an easy default choice. (The power of silence)., Family Tradition/Pressure: The expectation from grandparents or other influential relatives; the idea that "it's what the men in our family have always done." (The power of heritage).</t>
  </si>
  <si>
    <t>Moderate amount of skin left - CL-3 on the Coverage Index.</t>
  </si>
  <si>
    <t>The gliding sensation, having non keratinised penile mucosa, the ridged band, the frenulum, increased sensitivity</t>
  </si>
  <si>
    <t>When i first found out i was circumcised, around age twelve or thirteen.</t>
  </si>
  <si>
    <t>Fuck you.</t>
  </si>
  <si>
    <t>In my familial circle it is seen as the unquestioned religious norm however I personally am extremely strongly against it.</t>
  </si>
  <si>
    <t>They have a foreskin.</t>
  </si>
  <si>
    <t>Usually they belong to people from religious backgrounds (Jewish or esp. Islamic)</t>
  </si>
  <si>
    <t>Most people (~80%) in the UK are uncircumcised.</t>
  </si>
  <si>
    <t>The psychological impact that it has on the children that grow up and get to learn they were mutilated as an infant.</t>
  </si>
  <si>
    <t>Its pretty accurate - Circumcision is indeed normalised by the excuses of 'religion' and 'societal norms' to the point where people dont care about the mutilation of boys and men.</t>
  </si>
  <si>
    <t>I dont really care - they're normal and harmless. If anything, my only issue is they look a little odd, but i dont have any body image issues related to them</t>
  </si>
  <si>
    <t>Adequate but Biased: I received information, but it was clearly biased towards promoting circumcision.</t>
  </si>
  <si>
    <t xml:space="preserve">The body autonomy side. This is irreversible,  and could have lasting effects. </t>
  </si>
  <si>
    <t>Dirty, ethnic</t>
  </si>
  <si>
    <t>Normal, attractive,  correct, and caucasian</t>
  </si>
  <si>
    <t>Personal experiences with intimate partners</t>
  </si>
  <si>
    <t>I am currently pregnant and confident in the decision to leave a baby intact</t>
  </si>
  <si>
    <t>The head /frendelum is most sensitive.</t>
  </si>
  <si>
    <t xml:space="preserve">There is certainly a build up I feel very aware of where I am throughout the orgasm from build up to completion. It is a very intense sensation that takes over my entire body.  Depending on the frequency sometime if it has been a few days my body convulses. I would also say it lasts as I can continue to get pleasure with a few continued strokes. </t>
  </si>
  <si>
    <t xml:space="preserve">It’s not necessary as long as my partner gets wet. But I do like the sensation of an oiled up female body. Like it’s not necessary for penetration but I like the way two bodies feel rubbing together while oiled up. </t>
  </si>
  <si>
    <t xml:space="preserve"> I can’t imagine life without it. I love the motility of the skin and the protection of the glans </t>
  </si>
  <si>
    <t xml:space="preserve">I felt  extremely insecure when I was younger because I knew that I was different from the far Majority of my male peers. I would even say I was cut just to not feel different. I did also have some women mention they didn’t like the look of an intact penis and this sent me into a spiral of self doubt. It was not until I had my first few sexual experiences and I received positive feedback about the asthetics of my penis that my self-perception began to change for the better. </t>
  </si>
  <si>
    <t>Cultural Background/Family Tradition (of intactness): They came from a family or cultural background where intactness was the norm., Born/Raised in a Culture Where Intactness is the Norm: The decision wasn't an active 'choice against circumcision,' but rather the standard cultural and medical practice in my country of birth/upbringing., Parents are British so it was normal to be intact.</t>
  </si>
  <si>
    <t xml:space="preserve">Yes I was horrified about being different. Despite understanding the topic it didn’t become an issue for me until I was about 12.  and it got worse as I began to come of age and knew I wouldn’t be what female partners expected. </t>
  </si>
  <si>
    <t xml:space="preserve">It was the thing I was most self conscious about. I feel great about my intact status now but the first 20 years were very tough. </t>
  </si>
  <si>
    <t xml:space="preserve">It’s freaking awesome, it contributes so much pleasure to my sexual life. </t>
  </si>
  <si>
    <t xml:space="preserve">Feels amazing when a little pressure is applied </t>
  </si>
  <si>
    <t xml:space="preserve">More I just feel badly for friends that are cut because something in me just knows that it’s not as pleasurable. </t>
  </si>
  <si>
    <t xml:space="preserve">Can’t stand it </t>
  </si>
  <si>
    <t xml:space="preserve">I would like them to understand that all of the pro circumcising argument are either bs or no longer applicable in modern society. </t>
  </si>
  <si>
    <t xml:space="preserve">It’s almost like it was just normal and nobody questioned it. It was done to boys so they wouldn’t be different. </t>
  </si>
  <si>
    <t xml:space="preserve">Higher sensitivity,  unhygienic </t>
  </si>
  <si>
    <t xml:space="preserve">Clean, asthetic </t>
  </si>
  <si>
    <t xml:space="preserve">Cultural familiarity </t>
  </si>
  <si>
    <t>How vital the forskin is</t>
  </si>
  <si>
    <t xml:space="preserve">It was certainly a concern when I was younger but they were never very pronounced and looking now have seemed to almost completely disappeared. </t>
  </si>
  <si>
    <t xml:space="preserve">State department of public works </t>
  </si>
  <si>
    <t xml:space="preserve">Becoming a parent </t>
  </si>
  <si>
    <t>Insulting the parents, no one wants to be called a terrible person for doing what they think is best for their child</t>
  </si>
  <si>
    <t>Not understanding that forced RETRACTION is the cause of the damage caused and the reason why circumcision is carried out for later -in-life circumcision trauma giving people the misconception that carrying out the procedure is "better" and somehow "easier" in infancy.</t>
  </si>
  <si>
    <t>Circumcision trauma has deep and systemic dysfunction that ripples out through our society and holds several negative implications that are not often linked to or associated but are undoubtedly related. Relationship, attachment and connection issues, intimacy, and emotional intelligence being stunted or overall negatively impacted, porn addiction, aggression, lack of empathy in victims and in family dynamics. All can be linked through psychology and the neurological impacts and behavior stemming from deep subconsciously held trauma. Stopping this unethical practice can become a way to heal these issues and heal our broken fragmented society as a whole</t>
  </si>
  <si>
    <t>Something that is routine and not questioned. I researched and quickly discovered the horrors that I would never subject my children to. Research and learning also led me to the realization of why sex with my cut husband was painful. This realization was devastating but I encouraged my husband to engage in restoration (manual tugging) therapy to stretch and regrow skin cells so that his scrotum wouldn't get pulled up his shaft during erection. His efforts were successful and helped alleviate painful sensation I experienced during intimacy.</t>
  </si>
  <si>
    <t>I didn't know anything about circumcision whatsoever.</t>
  </si>
  <si>
    <t>I didn't know anything, it simply wasn't discussed.</t>
  </si>
  <si>
    <t xml:space="preserve">Cultural shaming and references in popular culture like television series and movies </t>
  </si>
  <si>
    <t xml:space="preserve">Proper intact care and the functions of the foreskin. The fused state during infancy and how damaging forced retraction truly is </t>
  </si>
  <si>
    <t>Conducting traumatic and extremely painful amputation of erogenous tissue on a minor who is unable to comprehend what has been consented to on their behalf when their developing mind cannot consciously remember what happened seeds deep, lasting and significant damage to the psyche and genitals of baby boys and the men they will become. It's a catastrophe, but is devastatingly normalized and dismissed as being beneficial instead of harmful. It's definitely an accurate metaphor. A monster lurking in plain sight.</t>
  </si>
  <si>
    <t>Excellent and thorough survey. Some questions were unclear so I left them blank. Some answers given were rooted in optimism that opinions are shifting more than they may currently be but I do believe people should feel that foreskin is beneficial and biologically superior to scarring genitals and prohibiting natural functions.</t>
  </si>
  <si>
    <t xml:space="preserve">I am a community advocate for intactivist movement, if there's something I can do to help, I'm here for it </t>
  </si>
  <si>
    <t xml:space="preserve">Scott White of POTS </t>
  </si>
  <si>
    <t xml:space="preserve">Hospital staff </t>
  </si>
  <si>
    <t xml:space="preserve">The norms in my family or the community I grew up in, Personal experiences with intimate partners, Independent research I've done myself, Conversations with friends, Social activism as an intactivist for 12+years </t>
  </si>
  <si>
    <t>Public Educator / Awareness Raiser (e.g., social media, blogging, public speaking), Grassroots Organizer / Protester, Parental Support / Counselor (helping expectant parents navigate the decision), Personal Storyteller / Testimonial Sharer</t>
  </si>
  <si>
    <t>All of the above. Deeply engrained trauma bond, societal norm.</t>
  </si>
  <si>
    <t xml:space="preserve">All of the above </t>
  </si>
  <si>
    <t>I suddenly had the free time and the passion</t>
  </si>
  <si>
    <t>Talking to Jewish mothers of mutilated sons</t>
  </si>
  <si>
    <t>Babies are not inanimate objects.</t>
  </si>
  <si>
    <t>Thank you!</t>
  </si>
  <si>
    <t>I still know a lot of Jews, but I’m not surrounded by them like I was 77 years ago. Thanks to all the brave intactivists here and in Israel during these decades, very few children nowadays are as saturated with pro-circ propaganda as I was.</t>
  </si>
  <si>
    <t>Dirty, contemptable</t>
  </si>
  <si>
    <t xml:space="preserve">Cleaner, healthier, more attractive </t>
  </si>
  <si>
    <t>I am currently writing a book about the societal impact of legalized child sexual mutilation for males. However, I’m also quite busy with personal stuff so it’s not like on the horizon to be published. I’m getting ready to talk about it though.</t>
  </si>
  <si>
    <t>Independent research I've done myself, Babies. Also Brave Intactivists!</t>
  </si>
  <si>
    <t>Not applicable (I was a single parent, or my partner is not male/AMAB).</t>
  </si>
  <si>
    <t>Being left intact was the more common or expected choice.</t>
  </si>
  <si>
    <t>1990 - 1999</t>
  </si>
  <si>
    <t>Being left intact was the more common or expected choice in our circle.</t>
  </si>
  <si>
    <t>We were actually praised or supported for our decision.</t>
  </si>
  <si>
    <t>Child sexual abuse is a felony</t>
  </si>
  <si>
    <t>Not applicable; being intact was the default and required no specific information., The birth taking place in a less-medicalized setting (e.g., homebirth, birthing center)</t>
  </si>
  <si>
    <t>When he first learned about circumcision around age 4, he almost went into shock.</t>
  </si>
  <si>
    <t>Public Educator / Awareness Raiser (e.g., social media, blogging, public speaking), Grassroots Organizer / Protester, Legal or Legislative Advocate (working on law and policy), Academic / Independent Researcher, A "quiet" ally, sharing information within my personal social circle</t>
  </si>
  <si>
    <t>Organized Jewish resistance to citizens outlawing circumcision</t>
  </si>
  <si>
    <t>Legal challenges and lawsuits (like the Equal Protection cases), High-visibility public protests and awareness campaigns, Other (please specify)</t>
  </si>
  <si>
    <t>Circumcision is unnecessary, damaging, and only done for ridiculous and damaging cosmetic reasons.</t>
  </si>
  <si>
    <t>New South Wales</t>
  </si>
  <si>
    <t>A Facebook friend</t>
  </si>
  <si>
    <t xml:space="preserve">Pregnancy with my son, watching elephant in the hospital on YouTube </t>
  </si>
  <si>
    <t xml:space="preserve">Religion aspects </t>
  </si>
  <si>
    <t xml:space="preserve">The medical fraud </t>
  </si>
  <si>
    <t>Body autonomy for all ❤️</t>
  </si>
  <si>
    <t>I want to help any way I can.</t>
  </si>
  <si>
    <t>Just cruel jokes on how it looks  (I hated the jokes)</t>
  </si>
  <si>
    <t>That it's cleaner and less risk of infection (bs lie!)</t>
  </si>
  <si>
    <t xml:space="preserve">Medical fraud and misinformation </t>
  </si>
  <si>
    <t xml:space="preserve">That it is not medically necessary </t>
  </si>
  <si>
    <t>Because until I became a mom it wast something I never gave second guess to.</t>
  </si>
  <si>
    <t xml:space="preserve">The medical staff borderline harassed me , after giving birth to change my mind. They had my family attack me, they all did. But I protected my son even all woozy from anesthesia. I knew my choice and I stuck by it for him. And he's never had any medical issues with being intact or any urinary issues </t>
  </si>
  <si>
    <t xml:space="preserve">Yes, I'm very open to it </t>
  </si>
  <si>
    <t>2015 - 2019</t>
  </si>
  <si>
    <t>Ethical beliefs about bodily autonomy and a child's right to consent, Lack of a clear medical necessity for the procedure, Concerns about surgical risks and potential complications, Independent research (documentaries, articles, online communities), Brother K ❤️</t>
  </si>
  <si>
    <t>Yes, we faced significant pressure or were repeatedly questioned by doctors/nurses.</t>
  </si>
  <si>
    <t>Leave it up to them</t>
  </si>
  <si>
    <t>A specific documentary or film</t>
  </si>
  <si>
    <t xml:space="preserve">During pregnancy, against all medical staff and family hounding me to do it </t>
  </si>
  <si>
    <t>He's not old enough, but he's never had any health issues they claim that he'd have.</t>
  </si>
  <si>
    <t xml:space="preserve">When / if he does- my answer will simply be that I left that decision up to him and that id support any choice he'd want for his body now that he was old enough to understand consent </t>
  </si>
  <si>
    <t>Public Educator / Awareness Raiser (e.g., social media, blogging, public speaking), Grassroots Organizer / Protester, Parental Support / Counselor (helping expectant parents navigate the decision), Academic / Independent Researcher, Personal Storyteller / Testimonial Sharer, A "quiet" ally, sharing information within my personal social circle</t>
  </si>
  <si>
    <t>The power and authority of the medical establishment (e.g., AAP recommendations)</t>
  </si>
  <si>
    <t>Legal challenges and lawsuits (like the Equal Protection cases), Legislative action (e.g., defunding Medicaid for RIC), Direct outreach and education for expectant parents, Reforming medical school curricula and hospital protocols, Creating high-quality media (documentaries, articles), Building broader coalitions with other human rights groups</t>
  </si>
  <si>
    <t>Vietnam</t>
  </si>
  <si>
    <t>It wasn't held in a religious context in my upbringing.</t>
  </si>
  <si>
    <t>Varies based on if someone else is touching me or if I'm self stimulating.</t>
  </si>
  <si>
    <t>It varies from day to day. Sometimes lack of noticeable pleasure to deep streaming orgasmic sensations.</t>
  </si>
  <si>
    <t>I imagine lubrication would not be necessary if I still had a foreskin.</t>
  </si>
  <si>
    <t>Chafing and irritation rubbing against my underwear, torn skin during intercourse, reduced sensation, lack of frenulum has affected sensation and high and tight cut prohibited foreskin recovery.
Learned helplessness, lack of basic trust, disorganized attachment, lack of hormonal bonding, impaired breast feeding and fracturing of undifferentiated awareness.</t>
  </si>
  <si>
    <t>Prophylactic Health Reasons (Specific Disease Prevention - e.g., Cancer, STIs, HIV, UTIs): Belief that it lowers the risk of specific diseases later in life (e.g., penile cancer, certain sexually transmitted infections like HIV or HPV, infant urinary tract infections - UTIs)., Cultural Tradition/Family Norm: It was a strong family tradition, cultural expectation, or simply "what people in our community did.", Parent's General Preference: Parents simply preferred the circumcised appearance or state without specific medical, religious, or cultural reasons being primary., Prophylactic Health Reasons (General Prevention): Belief that it prevents potential future health problems (e.g., infections, inflammation, later penile issues) that were not currently present., Hygiene: Belief that circumcision makes the penis easier to keep clean or is inherently more hygienic., Just standard practice: Based on observing its prevalence, assumed it was the default medical procedure without a specific individual reason.</t>
  </si>
  <si>
    <t>Lack of Counter-Information: Crucially, the simple absence of any strong, readily available information presenting the benefits of intactness or the risks of circumcision, making it an easy default choice. (The power of silence)., Popular Media &amp; Parenting "Experts": Information or attitudes transmitted through widely-read parenting books (like Dr. Spock in earlier eras), magazines, or other mainstream media. (The power of mass media)., Direct Medical Authority: Specific advice from their obstetrician, pediatrician, or the hospital staff where you were born. (The voice of a trusted professional).</t>
  </si>
  <si>
    <t>High and tight cut with removed frenulum and significant uneven scars.</t>
  </si>
  <si>
    <t>How much more sensational my erotic experience could be with a foreskin.</t>
  </si>
  <si>
    <t>After I became sexually active with partners at 19</t>
  </si>
  <si>
    <t>Tight cut with sometimes painful erections</t>
  </si>
  <si>
    <t>No right to rape me</t>
  </si>
  <si>
    <t>It's rape and trauma based mind control dating back centuries to blood sacrifice rituals</t>
  </si>
  <si>
    <t>Cultural shaming and comparing intact males as dirty, unhygienic, or calling them names like an animal.</t>
  </si>
  <si>
    <t>Clean and healthy and pretty</t>
  </si>
  <si>
    <t>Whether a partner has had interactions with intact males</t>
  </si>
  <si>
    <t>Clean it from base to tip and never retract</t>
  </si>
  <si>
    <t>I see it as a hidden trauma with connections to slave marks and child sacrifice.</t>
  </si>
  <si>
    <t>It's child abuse and the worst way to care for an infant.</t>
  </si>
  <si>
    <t>Willing to contribute in any way I can.</t>
  </si>
  <si>
    <t>Not appearance but reduced sensitivity.</t>
  </si>
  <si>
    <t>Nope, I left the church as soon as I legally could (when I was 15)</t>
  </si>
  <si>
    <t>Glans is mostly numb and insensitive to touch, some sensitivity to temperature.</t>
  </si>
  <si>
    <t>anorgasmic, only getting rid of the “pressure”</t>
  </si>
  <si>
    <t>never tried lube</t>
  </si>
  <si>
    <t>I’ve only awakened from the circumcision coma 11 years ago, no sexual contact with women in these past years. Before, it was always frustrating because I felt much less than I thought I should feel. I had always thought that the reason was that I “didn’t love enough”.</t>
  </si>
  <si>
    <t>no advantages whatsoever</t>
  </si>
  <si>
    <t>painful sex, micro lesions in the scar area, lack of sensation, inability to orgasm, hard work to get to ejaculation</t>
  </si>
  <si>
    <t>Prophylactic Health Reasons (General Prevention): Belief that it prevents potential future health problems (e.g., infections, inflammation, later penile issues) that were not currently present., alleged phimosis but I didn’t have any problems actually</t>
  </si>
  <si>
    <t>Prevailing Health &amp; Hygiene Beliefs: General societal "knowledge" at the time—gleaned from various sources—that presented circumcision as being fundamentally cleaner, healthier, or preventive of future diseases. (The power of a cultural 'truth')., Lack of Counter-Information: Crucially, the simple absence of any strong, readily available information presenting the benefits of intactness or the risks of circumcision, making it an easy default choice. (The power of silence)., Prevailing Moral Beliefs about Sexuality (e.g., concern over masturbation):</t>
  </si>
  <si>
    <t>sometimes painful erections, ugly scar ring</t>
  </si>
  <si>
    <t>when thinking about this it makes me want to cry because I will never experience all that</t>
  </si>
  <si>
    <t>vasectomy – in retrospect I view this as compulsive repetition/self harm</t>
  </si>
  <si>
    <t>constant dissatisfaction and frustration for all my sex life, and added anger and despair after understanding that the circumcision was the reason</t>
  </si>
  <si>
    <t>painful erections, extremely painful micro lesions – and dry vagina of my partners because of scraping out the moisture with glans corona</t>
  </si>
  <si>
    <t>I forgive you because I believe you did it in the serious wish to decide for my best but I want to know more</t>
  </si>
  <si>
    <t>I think my parents may also have been afraid that I’d go to hell because I had begun playing around with my foreskin</t>
  </si>
  <si>
    <t>No idea, everyone else (except for my father) seemed to be intact but it wasn’t talked about</t>
  </si>
  <si>
    <t>see above</t>
  </si>
  <si>
    <t>This is Europe, we usually don't circumcise</t>
  </si>
  <si>
    <t xml:space="preserve">circumcision leads to desensitisation (and other problems), can make the coitus painful also for the woman because the glans corona scrapes the moisture out of the vagina, lack of gliding mechanism, lack of pheromone glands. </t>
  </si>
  <si>
    <t>That I am an intactivist certainly is NOT an accident – it was a very conscious decision as soon as I realised what had been done to me.</t>
  </si>
  <si>
    <t>too many questions seem to be biased towards the situation in the USA</t>
  </si>
  <si>
    <t>I often do that on social networks</t>
  </si>
  <si>
    <t>a PM on Facebook (likely by the “accidental intactivist himself)</t>
  </si>
  <si>
    <t>Doula was present (in a support role)</t>
  </si>
  <si>
    <t>Medical Diagnosis: Phimosis (inability to retract the foreskin), Perceived Hygiene Benefits: A belief that it would be cleaner or easier to care for., Note: diagnosed phimosis but I COULD retract my foreskin.</t>
  </si>
  <si>
    <t>Brother K came to town!</t>
  </si>
  <si>
    <t>People see the procedure as minor and medical. People want their son to match dad.</t>
  </si>
  <si>
    <t>Intact penises were dirtier.</t>
  </si>
  <si>
    <t>Circumcision is healthier and cleaner.</t>
  </si>
  <si>
    <t>Aesthetics learned from pornography</t>
  </si>
  <si>
    <t>Foreskin is not a birth defect.</t>
  </si>
  <si>
    <t>I'm proud to be the mom of two intact sons. It's the best I can do.</t>
  </si>
  <si>
    <t>It's still seen as separate.</t>
  </si>
  <si>
    <t>Ethical beliefs about bodily autonomy and a child's right to consent, Information about the functions and sensitivity of the foreskin, Lack of a clear medical necessity for the procedure, Concerns about surgical risks and potential complications</t>
  </si>
  <si>
    <t>It was a mix; there were other families making a similar choice to ours.</t>
  </si>
  <si>
    <t>It's the way nature made them and it should stay that way.</t>
  </si>
  <si>
    <t>The birth taking place in a less-medicalized setting (e.g., homebirth, birthing center), There was no single "tipping point"; it was a combination of factors.</t>
  </si>
  <si>
    <t>I was glad I made the choice that I did. I know I did the right thing and I reflect on it often. I am glad he knows I protected him. My second son has never commented on it.</t>
  </si>
  <si>
    <t>Public Educator / Awareness Raiser (e.g., social media, blogging, public speaking), Grassroots Organizer / Protester, Parental Support / Counselor (helping expectant parents navigate the decision), Personal Storyteller / Testimonial Sharer, A "quiet" ally, sharing information within my personal social circle</t>
  </si>
  <si>
    <t>Highlighting that most of the world does not practice it</t>
  </si>
  <si>
    <t>Legal challenges and lawsuits (like the Equal Protection cases), Legislative action (e.g., defunding Medicaid for RIC), Direct outreach and education for expectant parents, Reforming medical school curricula and hospital protocols, High-visibility public protests and awareness campaigns, Building broader coalitions with other human rights groups</t>
  </si>
  <si>
    <t>Very aware; I was knowledgeable about the anatomical and functional differences.</t>
  </si>
  <si>
    <t>Yes, I have had significant experience with both.</t>
  </si>
  <si>
    <t>My intact partner had a fuller sexuality.</t>
  </si>
  <si>
    <t>Personal experiences with intimate partners, Independent research I've done myself (intactivist sites, documentaries, etc.), Conversations with male friends or partners about their experiences</t>
  </si>
  <si>
    <t>People believe the procedure is simple and unimportant.</t>
  </si>
  <si>
    <t xml:space="preserve">Yes, I was taught Christian double speak concerning genital mutilation. </t>
  </si>
  <si>
    <t xml:space="preserve">It's Jewish mythology, it is garbage and I no longer enslaved by that particular mythology. </t>
  </si>
  <si>
    <t xml:space="preserve">Not really, sensation is just not there. It's mostly numb. It's one of the least sensitive parts of my body. I don't feel cuts. I got a Prince Albert piercing years ago and didn't even feel the needle pierce me. My knee is more sensitive to touch. </t>
  </si>
  <si>
    <t xml:space="preserve">It's low, even before I knew about genital mutilation I knew something was wrong. I found out about male genital mutilation trying to figure out why sex wasn't very good for me. </t>
  </si>
  <si>
    <t>Lubrication is needed for sex to happen at all due to my excessive girth and length. Otherwise my partner is miserable. You'd think being well endowed would be a good thing, but with circumcision it just becomes your own private hell. The use of lubrication creates a situation where I can't feel sex at all. And since I can't feel it I get bored. I've given up on relationships. There's just no hope. I don't even talk to women anymore. There's no point.</t>
  </si>
  <si>
    <t xml:space="preserve">I've tried to explain what problems I have but people are disconnected. My partners never listen, they never believe it. And so I've just given up. I'd rather be lonely than miserable. </t>
  </si>
  <si>
    <t xml:space="preserve">I don't know, some Jewish banker is probably making money off the slaves it creates it some shit. There are zero benefits to me personally. </t>
  </si>
  <si>
    <t xml:space="preserve">It has ruined my entire life. </t>
  </si>
  <si>
    <t xml:space="preserve">Punitive/Punishment: Used as a punishment or consequence. (Note: This is rare in standard medical contexts but sadly documented in some historical/abuse settings)., I'm not joking, my mother most likely had it done because she was angry at my father and I had to be punished. </t>
  </si>
  <si>
    <t xml:space="preserve">It's not the worst visually. I still don't like it. </t>
  </si>
  <si>
    <t xml:space="preserve">All of it. I wonder what everything feels like. What I have is about as sensor as the skin on my knee, maybe less so. So yeah, I wonder what it's like to be a functional human being rather than whatever this hell is. </t>
  </si>
  <si>
    <t xml:space="preserve">After a failed attempt at restoration I got a Prince Albert piercing to help provide some sensation. It did help to a small degree. Enough to be worth doing. </t>
  </si>
  <si>
    <t xml:space="preserve">A lifetime ban against fictional relationships. A surgical prison of forced loneliness. No, I'm not happy about any of it. </t>
  </si>
  <si>
    <t xml:space="preserve">Frequent UTI as a child. And when I complained of extreme burning and indescribably pain I was told it wasn't possible and that I was just getting a pervert. </t>
  </si>
  <si>
    <t xml:space="preserve">I hope she dies if bone cancer. That's what I'd tell her if I ever spoke to her again. Which I won't. </t>
  </si>
  <si>
    <t xml:space="preserve">I always knew it was perverse and wrong even before I clearly understood it. </t>
  </si>
  <si>
    <t xml:space="preserve">It wasn't discussed. </t>
  </si>
  <si>
    <t xml:space="preserve">Culturally it was something the Jews in the Bible did so we were supposed to act the same. Again, fuck Christianity. It's a shit religion, it doesn't belong to me. This is lifelong rape and an attempt at slavery. </t>
  </si>
  <si>
    <t xml:space="preserve">I don't know. No one ever stays with me once they figure out sex is going to suck. My friends that are intact seem to have more stable relationships. And that seems true across the board. </t>
  </si>
  <si>
    <t xml:space="preserve">It's cult behavior, just like foot binding, neck rings, lip discs, or cannibalism. Cult members can't see its evil. </t>
  </si>
  <si>
    <t xml:space="preserve">It's part of a larger egregore but yes. </t>
  </si>
  <si>
    <t xml:space="preserve">You need to ask how many people still retain their beliefs from their cultural upbringing. I'm a pagan with a body mutilated to please a Jewish god. That needs to be represented in the conversation. I'm living in a body that is an abomination to my beliefs. That's like forcing a Jew to walk around in a suit made of pork skin and have shrimp for every meal until they die. </t>
  </si>
  <si>
    <t xml:space="preserve">I'm down for whatever. I'll interview, write, I don't care if it gets published. You can use my name. I don't care. I'm not worried about Doxxing or being attacked. I don't have a lot to lose. </t>
  </si>
  <si>
    <t xml:space="preserve">It was probably punishment for my father's actions. </t>
  </si>
  <si>
    <t>hairstylist</t>
  </si>
  <si>
    <t>Welder</t>
  </si>
  <si>
    <t>Sexually curious</t>
  </si>
  <si>
    <t>I'm a Jehovah's Witness</t>
  </si>
  <si>
    <t>Quite sensitive</t>
  </si>
  <si>
    <t>gradual, but my abdominal area gets bloated after ejaculating</t>
  </si>
  <si>
    <t>I have never had any issues with being intact</t>
  </si>
  <si>
    <t>Never an issue</t>
  </si>
  <si>
    <t>It's great to be touched there</t>
  </si>
  <si>
    <t>It's not necessary</t>
  </si>
  <si>
    <t>it's dirty</t>
  </si>
  <si>
    <t>don't know</t>
  </si>
  <si>
    <t>It is not necessary</t>
  </si>
  <si>
    <t>No need to elaborate</t>
  </si>
  <si>
    <t xml:space="preserve">Not good, and it has worsened over time </t>
  </si>
  <si>
    <t xml:space="preserve">Currently it is bad, and it started to decline in my early 20’s.  My fulfillment is now really bad. </t>
  </si>
  <si>
    <t xml:space="preserve">I feel horrible about the function of my penis </t>
  </si>
  <si>
    <t xml:space="preserve">I feel like my penis doesn’t experience touch and pleasure the way it’s supposed to.  I’ve been with a number of intact men, and I can see firsthand how their penis functions and experiences pleasure, and it’s very different from my experience.  </t>
  </si>
  <si>
    <t xml:space="preserve">Yes, I experienced chafing and painful erections as a pre-teen and teenager.  I would sometimes get tears in my skin.  I quickly noticed the form and function of my penis was not normal.  </t>
  </si>
  <si>
    <t>Cultural Tradition/Family Norm: It was a strong family tradition, cultural expectation, or simply "what people in our community did.", To Look Like Father/Peers: Desire for the son's penis to match the father's or other males in the family/community., Aesthetic Preference / To Look "Better" or "Neater": Belief that the circumcised penis looks more visually appealing, "prettier," or tidier than an intact one., 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t>
  </si>
  <si>
    <t>Direct Medical Authority: Specific advice from their obstetrician, pediatrician, or the hospital staff where you were born. (The voice of a trusted professional)., Paternal Influence (The "Like Father" Factor): A specific desire for you to genitally match your father or other male family members. (The power of conformity within the family unit)., Prevailing Health &amp; Hygiene Beliefs: General societal "knowledge" at the time—gleaned from various sources—that presented circumcision as being fundamentally cleaner, healthier, or preventive of future diseases. (The power of a cultural 'truth').</t>
  </si>
  <si>
    <t xml:space="preserve">Everything </t>
  </si>
  <si>
    <t xml:space="preserve">When I was 10.  Realizing what had been done to me </t>
  </si>
  <si>
    <t xml:space="preserve">Trouble reaching orgasm, no pleasure during orgasm, tight skin </t>
  </si>
  <si>
    <t xml:space="preserve">I hate you for what you did to me </t>
  </si>
  <si>
    <t xml:space="preserve">People always said they’re dirty, smell, and people will always ridicule you if you’re intact </t>
  </si>
  <si>
    <t xml:space="preserve">That it’s cleaner and more pleasing </t>
  </si>
  <si>
    <t>20 years ago I noticed a strong preference for cut men in dating and hookup culture, with profiles blatantly discriminating against intact me.  Now I’ve seen a 180 shift, with many people seeking out intact men, and it’s been years since I’ve seen anyone say “cut only”</t>
  </si>
  <si>
    <t xml:space="preserve">It’s normal, healthy, and necessary for true intimacy </t>
  </si>
  <si>
    <t xml:space="preserve">Of all the social issues - real and contrived - genital cutting is the most heinous, longest standing, most prolific harm that exists today, with far reaching consequences and physical damages. </t>
  </si>
  <si>
    <t xml:space="preserve">Don’t bother me </t>
  </si>
  <si>
    <t>I didn’t choose</t>
  </si>
  <si>
    <t xml:space="preserve">It only came up in passing but yeah, covenant stuff </t>
  </si>
  <si>
    <t xml:space="preserve">Religion is lame lol </t>
  </si>
  <si>
    <t xml:space="preserve">Not especially sensitive.  </t>
  </si>
  <si>
    <t xml:space="preserve">Pretty pleasurable if I drag out the process. Otherwise it’s almost a mechanical act to get my head clear. </t>
  </si>
  <si>
    <t xml:space="preserve">I find lube unpleasant texturally. </t>
  </si>
  <si>
    <t>I don’t particularly like being touched</t>
  </si>
  <si>
    <t xml:space="preserve">Looks better, less hassle (had a friend who suffered from his foreskin being too tight) </t>
  </si>
  <si>
    <t xml:space="preserve">Not that I’m aware of </t>
  </si>
  <si>
    <t>Medical Advice (without stated necessity): Recommended by a doctor or healthcare provider without explaining a specific existing medical problem, perhaps framing it as routine or generally beneficial., Religious Reasons: Performed as a religious ritual (e.g., Brit Milah in Judaism, Khitan/Sunnet in Islam) or based on religious belief., Just standard practice: Based on observing its prevalence, assumed it was the default medical procedure without a specific individual reason., Hygiene: Belief that circumcision makes the penis easier to keep clean or is inherently more hygienic.</t>
  </si>
  <si>
    <t>Institutional Medical Norm: The general belief that "this is just the standard procedure" at hospitals, making it a routine, unquestioned part of postpartum care. (The power of the system)., Religious Mandate/Tradition: A direct requirement or strong cultural expectation stemming from their religious beliefs and community. (The power of faith).</t>
  </si>
  <si>
    <t xml:space="preserve">Scar is visible but it’s fine </t>
  </si>
  <si>
    <t xml:space="preserve">Ask first next time, but it’s no big deal </t>
  </si>
  <si>
    <t xml:space="preserve">My parents are religious. Part of the covenant. Was no big deal, just what they did. </t>
  </si>
  <si>
    <t xml:space="preserve">That foreskins were ugly </t>
  </si>
  <si>
    <t>Women I’ve known have expressed how weird foreskins look</t>
  </si>
  <si>
    <t xml:space="preserve">It can be decided by the guy later in life </t>
  </si>
  <si>
    <t>It’s more negative than I would frame it, but it’s definitely something we should let guys decide for themselves</t>
  </si>
  <si>
    <t xml:space="preserve">Least amount of effort needed lol </t>
  </si>
  <si>
    <t xml:space="preserve">Totally neutral, just one more variation </t>
  </si>
  <si>
    <t>SK - Saskatchewan</t>
  </si>
  <si>
    <t xml:space="preserve">Intact </t>
  </si>
  <si>
    <t>Lebanon</t>
  </si>
  <si>
    <t xml:space="preserve">Poor after circumcision </t>
  </si>
  <si>
    <t>Medium</t>
  </si>
  <si>
    <t xml:space="preserve">Water based restores some sensation </t>
  </si>
  <si>
    <t>Absolutely none everything got messed up after this assault and disfigurement and loss of sensations that never returned to normal. Trauma also horrific and adult sexual function seriously damaged with diminished sensation and delayed ejaculation and increasing ED after age 55. Loss of confidence and very low mood</t>
  </si>
  <si>
    <t xml:space="preserve">Multiple damages 
Loss of pleasure to big degree
Delayed ejaculation 
Loss of visual aesthetics looks skinned and abnormal 
Difficulty with sensations intravaginally due to sensory losses
Great frustration because pleasure not satisfactory to my strongly felt libido
Poor self image as a virile male
Loss of confidence and courage with women once it gets to actual sex. I can't trust my organ </t>
  </si>
  <si>
    <t>Popular Media &amp; Parenting "Experts": Information or attitudes transmitted through widely-read parenting books (like Dr. Spock in earlier eras), magazines, or other mainstream media. (The power of mass media)., Peer &amp; Social Pressure (The "Fitting In" Factor): The widespread belief that "everyone else is doing it," and a desire for you to avoid being seen as different in locker rooms or later in life. (The power of broad social conformity)., Lack of Counter-Information: Crucially, the simple absence of any strong, readily available information presenting the benefits of intactness or the risks of circumcision, making it an easy default choice. (The power of silence).</t>
  </si>
  <si>
    <t>Ruined skinned sausage no cover feel naked maimed ruined ugly abnormal shameful defective inferior and barely functional on top despite loving sex in all it's stages</t>
  </si>
  <si>
    <t>All aspects of adult intact sexual experience. I try in my head to project my pre age 3 sensations when touching or especially tugging my favorite body part the foreskin and frenulum in particular to my adult ruined sexual experience trying to imagine feeling now my superior sensations prior to the damned circumcision at age 3</t>
  </si>
  <si>
    <t xml:space="preserve">Immediately after the crime at age 3 then later as child in school locker the adult when my first girlfriend noticed my delayed ejaculation and blurted she needed to apply more pressure and friction since I was circumcized and need extra friction to feel and reach orgasms </t>
  </si>
  <si>
    <t xml:space="preserve">Poor sensations delayed ejaculation 
Disgusting skinned look
Feel exposed cold
Feel damaged in girls eyes and lessened girth can't satisfy girl vaginally compared to normal intact girth
Loss self esteem generally and specifically sexually </t>
  </si>
  <si>
    <t>Fuck your stupidity and ignorance and selfish brainless conformity my dad was fully intact ! My mom hated sex plus religious fool despite education but her religion wasn't Jewish nor Moslem ! Go figure</t>
  </si>
  <si>
    <t xml:space="preserve">My religion did not require yet mother insisted either to confirm plus hatred for male organs </t>
  </si>
  <si>
    <t>Some envied normal intact and thought it superior behind closed doors but scared to say openly fear of religious judgement.
Other boys suddenly after the trauma started role playing circumcision games of pretend
Some hated everything about it got angry or depressed and some became manically pro cutting !</t>
  </si>
  <si>
    <t xml:space="preserve">That they had dark scars and red tips and we're as per religion and some seen as somehow nice </t>
  </si>
  <si>
    <t>Experience of women now showing clear preference for girthier normal intact.plus no vaginal friction pain</t>
  </si>
  <si>
    <t>The dozen or more real functs of the foreskin</t>
  </si>
  <si>
    <t>Invisible vrape torture mutilation murder of normal sexual life a serial psychotic psychopaths crime done to those who can't fight back to dominate via one step trauma conditioning</t>
  </si>
  <si>
    <t>It is a real crime even if victim is speechless and helpless</t>
  </si>
  <si>
    <t>Yes as long as anonymous</t>
  </si>
  <si>
    <t>I thought normal</t>
  </si>
  <si>
    <t>I had no specific teaching but the repetitive mind control of the word in the bible desensitized us to it and my mother said she cut me and my brothers because everyone else was and that her family were all cut. My dad was a victim of infant circumcision also and now agrees with intactivists and he can connect the dots on his penile problems now that I've presented all the info to everyone.</t>
  </si>
  <si>
    <t>I am no longer Christian, but they need to preach against it in church and warn people of the evil and harm of childhood genital cutting</t>
  </si>
  <si>
    <t>underside of glans and shaft feel best, Too much touch on glans alone can be irritating. feels alot better to have the foreskin roll over glans to both glans and rolling tissue.</t>
  </si>
  <si>
    <t xml:space="preserve">Since restoring to about CI-5 level, my orgasms have gotten very intense and last alot longer. up to 30s or so with 10-20 penile contractions. Now I don't need as much movement or intensity to enjoy the build-up towards orgasm because I've gained sensitivity and mobile gliding action. </t>
  </si>
  <si>
    <t>I don't need it anymore now that I am restored, but when I was still circumcised I had to use coconut oil to masturbate and a water based lube for sexual intimacy.</t>
  </si>
  <si>
    <t xml:space="preserve">I did not like receiving oral sex very much because it felt irritating to glans and scars but now seems more enjoyable now that ive restored some. </t>
  </si>
  <si>
    <t>i thought it looked better, but that was because i had never seen an intact penis</t>
  </si>
  <si>
    <t>meatal stenosis, infection from having to use soap as lubricant as a teen</t>
  </si>
  <si>
    <t>Peer &amp; Social Pressure (The "Fitting In" Factor): The widespread belief that "everyone else is doing it," and a desire for you to avoid being seen as different in locker rooms or later in life. (The power of broad social conformity)., Family Tradition/Pressure: The expectation from grandparents or other influential relatives; the idea that "it's what the men in our family have always done." (The power of heritage)., Lack of Counter-Information: Crucially, the simple absence of any strong, readily available information presenting the benefits of intactness or the risks of circumcision, making it an easy default choice. (The power of silence).</t>
  </si>
  <si>
    <t>Tight erections but thankfully was still large ~6"</t>
  </si>
  <si>
    <t>meatal stenosis widening at age 20 and infection from lubricant when I was 12</t>
  </si>
  <si>
    <t xml:space="preserve">It ruined the entire trajectory of my life, the psychological and emotional problems caused me to be self destructive in life and my intimate relationships. </t>
  </si>
  <si>
    <t>Generally satisfied or hadn't thought much about it</t>
  </si>
  <si>
    <t>Reclaim what was taken</t>
  </si>
  <si>
    <t>Mantor DS</t>
  </si>
  <si>
    <t xml:space="preserve">Yes I have and bought devices for my brothers, but I haven't heard from them that they've taken and interest and tried them. I think everyone has to come to it in their own timing. Its a big commitment to make a habit of and can be daunting to start. </t>
  </si>
  <si>
    <t xml:space="preserve">Yes probably has doubled. </t>
  </si>
  <si>
    <t>Yes they're now more than 15s and lots of throbbing</t>
  </si>
  <si>
    <t>uncircumcised and uncut are confusing. Restored is better. But even better I would suggest 'Recovered' because we have a new cover</t>
  </si>
  <si>
    <t>emotionally and psychologically to become aware of what they stole from us. and most rewarding is becoming a new man.</t>
  </si>
  <si>
    <t>Do it when you're ready but you'll wish you did earlier.</t>
  </si>
  <si>
    <t>cut culture</t>
  </si>
  <si>
    <t>no body had any clue about intact penises</t>
  </si>
  <si>
    <t>that they were more hygienic and cosmetically preferred</t>
  </si>
  <si>
    <t>lack of experience</t>
  </si>
  <si>
    <t>functions and health benefits of foreskin</t>
  </si>
  <si>
    <t>It's also a cultural amnesia of learned helplessness. Eric Anderson describes it well in his book Jesus and the Unabomber</t>
  </si>
  <si>
    <t>I like documentaries</t>
  </si>
  <si>
    <t>POTS</t>
  </si>
  <si>
    <t xml:space="preserve">I read some testimonies on a FR forum and searched for the TLC tugger but it was no longer made and then searched dual tension and found Mantor. </t>
  </si>
  <si>
    <t>Definitely feel more secure and confident and kind to others.</t>
  </si>
  <si>
    <t>Would like constant flaccid coverage and some extra for erection functionality. CI6-CI8</t>
  </si>
  <si>
    <t>Georgia</t>
  </si>
  <si>
    <t>Growing up, no</t>
  </si>
  <si>
    <t xml:space="preserve">Being intact is an important part of my Christian identity </t>
  </si>
  <si>
    <t xml:space="preserve">Pulling back my foreskin creates an amazing sensation </t>
  </si>
  <si>
    <t xml:space="preserve">Gradual </t>
  </si>
  <si>
    <t xml:space="preserve">It’s an important part of my religious/cultural identity to be intact. Also, foreskin gives me greater sexual enjoyment </t>
  </si>
  <si>
    <t>It lubricates well</t>
  </si>
  <si>
    <t>I am not focused on it</t>
  </si>
  <si>
    <t>Constant glans exposer</t>
  </si>
  <si>
    <t>Intact is best, but the other terms are fine as well</t>
  </si>
  <si>
    <t>Foreskin feels great</t>
  </si>
  <si>
    <t>That I would get infections</t>
  </si>
  <si>
    <t>Intact is healthier</t>
  </si>
  <si>
    <t xml:space="preserve">Tbilisi, Republic of Georgia </t>
  </si>
  <si>
    <t>Later in life I found out Mormon scriptures detail the abolition of infant circumcision, even going as far as to say that those who do it are not true believers.</t>
  </si>
  <si>
    <t>I was raised Mormon but am now an atheist.</t>
  </si>
  <si>
    <t>Almost zero sensation.</t>
  </si>
  <si>
    <t>Happens too quickly and is unsatisfying.</t>
  </si>
  <si>
    <t>Messy and loud.</t>
  </si>
  <si>
    <t>Not applicable.</t>
  </si>
  <si>
    <t>Painful erections, premature ejaculation, constant irritation from chaffing of glans against clothing, inability to maintain erections when I actually want them, unsatisfying orgasms, skin tearing due to lack of glide function, sexual touch has almost no sensation, much of penis is covered in ugly scar tissue, lack of natural protective barriers against STIs and UTIs, lack of natural lubrication.</t>
  </si>
  <si>
    <t>Medical Advice (without stated necessity): Recommended by a doctor or healthcare provider without explaining a specific existing medical problem, perhaps framing it as routine or generally beneficial., Cultural Tradition/Family Norm: It was a strong family tradition, cultural expectation, or simply "what people in our community did.", 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 One side of the family is Jewish and are most likely responsible for giving my mother the idea in the first place.</t>
  </si>
  <si>
    <t>Lack of Counter-Information: Crucially, the simple absence of any strong, readily available information presenting the benefits of intactness or the risks of circumcision, making it an easy default choice. (The power of silence)., Direct Medical Authority: Specific advice from their obstetrician, pediatrician, or the hospital staff where you were born. (The voice of a trusted professional).</t>
  </si>
  <si>
    <t>Not much shaft skin is left, causing somewhat tight erections and masturbation often pulls up skin from the scrotum which causes uncomfortable displacement of my balls. Waking up from a wet dream causes considerable aching due to there simply not being enough skin to fully contain my erect flesh without a destructive amount of stretching. Glans is fully exposed even when completely flaccid and scar tissue is extremely noticeable. Scar line is even all round and the scar tissue itself feels noticeably different to touch compared to the shaft skin.</t>
  </si>
  <si>
    <t>The sensations, the natural functions like the gliding skin and lubrication, the different KINDS of orgasms one can experience that I have no frame of reference for.</t>
  </si>
  <si>
    <t>Early teens. The complete lack of consideration from my mother towards how I would feel. Her rejection and invalidation of my feelings when I tried to talk to her about it and the ways she continues to subtly mock me for being angry with her about it.</t>
  </si>
  <si>
    <t>All symptoms shown in the examples, as well the ones I've already talked about.</t>
  </si>
  <si>
    <t>"Fuck you and go to hell."</t>
  </si>
  <si>
    <t>A barbaric disfiguration of the body's natural state only done by certain religions or complete nutcases.</t>
  </si>
  <si>
    <t>There were none because intact is the default state and hardly anyone thinks about it.</t>
  </si>
  <si>
    <t>It's only done by stupid people.</t>
  </si>
  <si>
    <t>Lack of religious and North American influence in this part of the world.</t>
  </si>
  <si>
    <t>Widespread documentation on the foreskin's specialised structures and many functions.</t>
  </si>
  <si>
    <t>Although MGM is widely seen as abnormal and moronic where I'm from, the fact remains that no country in the world provides legal protections to prevent it from happening. Sleazebags posing as doctors who are only looking to line their pockets from clueless parents are free to keep spouting nonsense about supposed benefits without any repercussions for permanently violating another human being who will be suffering the consequences for life. While countries like mine continue to raise awareness and crack down on FGM despite it already being universally criminalised and seen as a human rights violation to the highest degree, male victims have zero protections in place and we're just expected to suffer in silence.</t>
  </si>
  <si>
    <t>Despite being asexual, I have a high libido and that plays a large role in my disdain for the state of my body. I'm pretty sure I have body dysmorphia and am too ashamed of my body to share it with another person. I've also had suicidal thoughts for a very long time due to my broken penis. Foregen's research and progress is the only thing keeping me going. It's the only thing that gives me hope that I may one day be truly happy.</t>
  </si>
  <si>
    <t>Never thought about them.</t>
  </si>
  <si>
    <t>Perceived Hygiene Benefits: A belief that it would be cleaner or easier to care for., Perceived health "benefits".</t>
  </si>
  <si>
    <t>Definitely the frenulum and around the inner sulcus above the circumcision scar is the most sensitive on my penis. The glans is pretty insensitive but light touch is pleasant on most of the shaft</t>
  </si>
  <si>
    <t>I like to masturbate/edge for at least an hour when I do so it is always a sustained level of pleasure but then at some point I might be 'tipped over' the edge to orgasm and it is an intense and pleasurable sensation as I ejaculate</t>
  </si>
  <si>
    <t>I use a mix of moisturiser and my own precum</t>
  </si>
  <si>
    <t>My partner is intact and has little understanding of how to stimulate my penis to orgasm but I think it's really down to his lack of sexual skill generally!</t>
  </si>
  <si>
    <t>Though I think my penis is attractive as is I don't believe there are any 'advantages' to being circumcised as opposed to being intact.</t>
  </si>
  <si>
    <t>I was envious, perhaps still am a little, of intact men because I knew my penis had been diminished in ways that would have meant more pleasurable and erotic sexual stimulation</t>
  </si>
  <si>
    <t>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 Parent's General Preference: Parents simply preferred the circumcised appearance or state without specific medical, religious, or cultural reasons being primary.</t>
  </si>
  <si>
    <t>Prevailing Health &amp; Hygiene Beliefs: General societal "knowledge" at the time—gleaned from various sources—that presented circumcision as being fundamentally cleaner, healthier, or preventive of future diseases. (The power of a cultural 'truth')., Aesthetic Preference: A belief, possibly influenced by media or pornography, that the circumcised penis is visually "neater," "more attractive," or the "correct" look. (The power of aesthetics).</t>
  </si>
  <si>
    <t>I was circumcised fairly loosely, frenulum mostly intact, with a lot of shaft skin mobility. When soft I have some 'rollover' of skin on my glans. The scar is visible but not dark, it's really a difference in tone on the shaft skin rather than a visible mark.</t>
  </si>
  <si>
    <t>The sensation of peeling the foreskin off the glans and then returning it back over the head. I'd love to feel the sensation of that.</t>
  </si>
  <si>
    <t>When I first learned in my late childhood that I had been circumcised I was more confused and curious but in my early 20s when I first started having sex with men, it grew to anger and resentment as I experienced sex with intact men.</t>
  </si>
  <si>
    <t xml:space="preserve">Though I am 'at peace' with my mother's choice I definitely would have liked to tell her my true feelings of early resentment and anger at having been circumcised so arbitrarily and almost without thought. I was the second-born son so my older brother had already set the precedent for circumcision to occur with me. I felt robbed. plain and simple. But she would be hurt or simply would not understand my feelings. In past conversations I have kept it very positive, almost 'pro-circumcision' when discussing the why and how. In a way, my mother has had enough in life to contend with without her son piling on her for a choice she made in good faith. </t>
  </si>
  <si>
    <t>I believe that in Australia in the 60s/70s RIC was just the 'norm' when it came to being a male infant and born in hospital. It was the medical practice fond belief of the day. People trusted doctors more back then and didn't question some practices.</t>
  </si>
  <si>
    <t>I think foreskin was seen as dirty and circumcision was something poorer families couldn't afford. My mother said my father and his 5 brothers weren't circumcised because the family was poor. I've also just recently read this was a very common perception in Australian society at the time.</t>
  </si>
  <si>
    <t>It was simply how a penis should look. It seems to have been a collective perception that a circumcised penis was the default anatomy of males.</t>
  </si>
  <si>
    <t>I think it's societal attitudes - since circumcision was banned in public hospitals in the early 80 here in my own State, 'uncut' is very much now the 'default' penis and somehow cut cocks have become a little more unique and fetishised!</t>
  </si>
  <si>
    <t xml:space="preserve">That MOST of the world do NOT practice circumcision and the child is born with a foreskin and is perfect as is. </t>
  </si>
  <si>
    <t>Absolutely. It's a subject I feel very passionate about.</t>
  </si>
  <si>
    <t>I am aware of them but don't have them. I know they are a normal part of (mostly intact) penises but I would not like to have them. I think it's rare to see very prominent PPP but they probably freak most people out!</t>
  </si>
  <si>
    <t>Light touch is much better than firm pressure. Gliding of the foreskin gives me most of my sensation. Frenulum stimu</t>
  </si>
  <si>
    <t>Build up is gradual. Release can be intense, mild more common, but tends to linger and be full body.</t>
  </si>
  <si>
    <t>Remaing foreskin is very mobile. Lube  almost always used for different experience/ toys.</t>
  </si>
  <si>
    <t>Partner not used to men with mobile skin and tends to default to direct glans stimulation. While it can feel really good a lot of times it is too much and not enjoyable.</t>
  </si>
  <si>
    <t>I don't believe there are any</t>
  </si>
  <si>
    <t xml:space="preserve">Nightmares and panic attacks as a child before I "knew" I had been circumcised. Complete mental breakdown as an adult upon learning that I had been. </t>
  </si>
  <si>
    <t>Lack of Counter-Information: Crucially, the simple absence of any strong, readily available information presenting the benefits of intactness or the risks of circumcision, making it an easy default choice. (The power of silence)., Direct Medical Authority: Specific advice from their obstetrician, pediatrician, or the hospital staff where you were born. (The voice of a trusted professional)., Paternal Influence (The "Like Father" Factor): A specific desire for you to genitally match your father or other male family members. (The power of conformity within the family unit).</t>
  </si>
  <si>
    <t>Foreskin preservation is extensive, even erect look uncircumcised. Scarring slight. Mild asymmetry for poor alignment of wound edges.</t>
  </si>
  <si>
    <t xml:space="preserve">What was it supposed to look like? How long, how tight, how much was really removed? How much difference would the natural opening make? </t>
  </si>
  <si>
    <t>As soon as I knew.</t>
  </si>
  <si>
    <t>Why wasn't I good enough? I deserved your protection.</t>
  </si>
  <si>
    <t>Mildly dissatisfied with sensation or appearance, Experienced feelings of loss, grief, or anger, Felt physically uncomfortable or experienced complications, Curious about what might be different if intact</t>
  </si>
  <si>
    <t>Achieve glans coverage and dekeratinization, Heal psychological trauma, Increased overall sensitivity, Feel more 'natural' or 'whole', Reclaim what was taken, Improve sexual pleasure/orgasms</t>
  </si>
  <si>
    <t>Modified tuba mouthpiece</t>
  </si>
  <si>
    <t>No, though I have talked about my desire to truly fix what was to me I have never told anyone about training my surviving foreskin forward. Largely prefer not to talk about this topic, I feel a decent amount of shame over what was allowed to happen to me.</t>
  </si>
  <si>
    <t>Sensation has become more like when I was first started discovering my body again.</t>
  </si>
  <si>
    <t>They've become more likely to be full body again and more likely to be intense.</t>
  </si>
  <si>
    <t>Unfortunately, the label of circumcised has never shifted for me.</t>
  </si>
  <si>
    <t>I really only knew as Jewish and then later American thing. It never made any sense to me.</t>
  </si>
  <si>
    <t xml:space="preserve">"What happens if the child doesn't like being circumcised?" I think most people never truly consider this. </t>
  </si>
  <si>
    <t>It's hard to express how much this hurts. It feels like a void deep inside me that calls out from some ancient place. It never g9es away, no matter how good you feel it's always there.</t>
  </si>
  <si>
    <t xml:space="preserve">Made no difference </t>
  </si>
  <si>
    <t>Almost immediately upon learning that it had been done to me I was compelled to try and do something to fix it.</t>
  </si>
  <si>
    <t>This journey unfortunately has not had the psychological healing that I hoped it would. Maybe it's because I was left with enough of foreskin that I've had almost full  coverage my whole life but there was never a feeling of taking back control. I wonder if this has made the need to one day truly fix it stronger.</t>
  </si>
  <si>
    <t>I'm fully covered when I'm flaccid so that's good enough for now. Complete will be when I can truly fix the damage- Iwant the scar gone.</t>
  </si>
  <si>
    <t>Medical Diagnosis: Phimosis (inability to retract the foreskin), Social Conformity: A desire to "look like" peers or fit a cultural norm.</t>
  </si>
  <si>
    <t>information technology</t>
  </si>
  <si>
    <t xml:space="preserve">Nope. It never really came up in my religious education. </t>
  </si>
  <si>
    <t>Currently I'm atheist. I left the church about 30 years ago.</t>
  </si>
  <si>
    <t>The glans seems kind of numb sometimes. Gentle squeezing and pulling at the base is the best while I am still soft. Semi-hard, I have enough skin to get gliding motion and that feels great. Once I'm fully hard, it loses a lot of sensitivity, unfortunately. Full enclosure in a hand, toy, or partner's orifice is best at that point.</t>
  </si>
  <si>
    <t>My orgasms, while very satisfying in general, are difficult to achieve. Build-up is gradual. Were talking slow as molasses, an hour or more, from foreplay to climax. Physical stimulation alone won't do it. I usually have to fantasize a lot, be visually stimulated, and imagine having an orgasm (or imagine other people having one) to have an orgasm. Sometimes this can be frustrating for me and/or my partner. (Sometimes I give up and just masturbate later.) I feel I have to work hard for an orgasm. Once I get there, though, they're usually pretty intense, full bodied, and long-lasting.</t>
  </si>
  <si>
    <t>I'm just glad so many types of lube exist.</t>
  </si>
  <si>
    <t>Like, I'll tell them what feels good when I masturbate myself, and they'll do that, but it doesn't feel good when someone else does it.</t>
  </si>
  <si>
    <t>I don't think there really is any meaningful advantage. The only thing I can think of is I don't get smelly smegma, and that's a pretty minor thing in the age of hot showers.</t>
  </si>
  <si>
    <t>Can't help but think the lack of physical sensations and delayed orgasms/necessity of fantasizing is in some way related to my circumcision.</t>
  </si>
  <si>
    <t>Don't Know/Not Told: The reasons were never explained or learned later., Just standard practice: Based on observing its prevalence, assumed it was the default medical procedure without a specific individual reason.</t>
  </si>
  <si>
    <t>They left me with a little skin, so the glans is partly covered when soft. It's only tight when fully erect, and not painful. The scar is quite dark and smooth.</t>
  </si>
  <si>
    <t>Everything -- gliding, frenulum, having a more sensitive glans, and the thousands of nerve cells thst were lost. I think sex would be a lot better intact. Not that it's bad... but it could be better.</t>
  </si>
  <si>
    <t xml:space="preserve">They probably emerged after reading some intactivist stuff. The frustrating lack of sensation at times can contribute to feelings of resentment </t>
  </si>
  <si>
    <t>Don't do it!</t>
  </si>
  <si>
    <t xml:space="preserve">1) traditional, 2) cosmetic preference, 3) medically necessary </t>
  </si>
  <si>
    <t>That they're unclean in some way.</t>
  </si>
  <si>
    <t xml:space="preserve">That it has no effect on sexual function. </t>
  </si>
  <si>
    <t>The stereotype that foreskins are dirty and smell bad.</t>
  </si>
  <si>
    <t xml:space="preserve">Infants feel pain and circumcision is traumatic! </t>
  </si>
  <si>
    <t>Because chopping off the ends of baby penises is actually a pretty horrible thing to do. People get more upset about cropping dog's ears than baby's foreskins and that's insane.</t>
  </si>
  <si>
    <t>I really wanted to pick "Yes, I might consider sharing a more public (potentially non-anonymous, with my explicit consent for its specific use) written or video testimonial if the opportunity arose." But the survey seems a bit buggy and I couldn't select that one. Moderated discussions sound good too</t>
  </si>
  <si>
    <t>I'm neutral. They're just part of my penis.</t>
  </si>
  <si>
    <t>When I realized that i had been circumcised without my consent.</t>
  </si>
  <si>
    <t>Everybody did it. very few exceptions.</t>
  </si>
  <si>
    <t>being the same as every one else</t>
  </si>
  <si>
    <t>how could circumcision improve generally your sexual enjoyment</t>
  </si>
  <si>
    <t xml:space="preserve">The head is much more sensitive because I have a PA piercing </t>
  </si>
  <si>
    <t xml:space="preserve">It is an intense sensation but nearly always requires prostate stimulation  be it from toys, fingers or penile penetration </t>
  </si>
  <si>
    <t>I honestly don’t feel like there is an actual advantage to being circumcised</t>
  </si>
  <si>
    <t>Not that I’m aware of</t>
  </si>
  <si>
    <t>Paternal Influence (The "Like Father" Factor): A specific desire for you to genitally match your father or other male family members. (The power of conformity within the family unit)., 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t>
  </si>
  <si>
    <t>The scar is noticeable and there is movable skin but the amount varies depending on the hardness of my erection</t>
  </si>
  <si>
    <t xml:space="preserve">What the sensations would be, especially with my PA piercing </t>
  </si>
  <si>
    <t>I got a PA piercing in my late 30s, professionally done. It was a 6g when pierced but is a 00g now</t>
  </si>
  <si>
    <t xml:space="preserve">Please don’t </t>
  </si>
  <si>
    <t>There is no overriding medical reason why circumcision should be the norm</t>
  </si>
  <si>
    <t xml:space="preserve">I think the statement over dramatizes the situation </t>
  </si>
  <si>
    <t>A guy had the QR code on his profile on a gay dating app</t>
  </si>
  <si>
    <t>Not really a factor, they just are.</t>
  </si>
  <si>
    <t>Education (e.g., K-12 Teacher, Professor, School Administrator), Science/Research/Academia</t>
  </si>
  <si>
    <t>Straight/Heterosexual, Asexual</t>
  </si>
  <si>
    <t xml:space="preserve">I understood a specific theological basis against penile circumcision. St Paul sarcastically says, "why not just go all the way and castrate yourself?"  </t>
  </si>
  <si>
    <t>I became Eastern Orthodox. St. John Chrysostom taught (in Homilies on Galatians) that circumcision is denying Christ - apostasy. Out of the all the ancient traditions, the protestants do not keep the traditional fasts, meditations, or spirituality - but they dogmatize mutilating boys and corporeal punishment in direct contrast with the historical practice. 
The Roman Catholic's, going from our shared history, stated this in the Council of Florence (1442); "The Church strictly commands all who glory in the name of Christian, not to practice circumcision either before or after baptism; since whether or not they place their hope in it, it cannot possibly be observed without loss of eternal salvation."
At some level I am comforted to know my parents will burn in hell for mutilating me. This is, perhaps, not a particularly Christian comfort, but it is mine. I refuse to forgive.</t>
  </si>
  <si>
    <t xml:space="preserve">I would say it is not sensitive. I would rate the sensitivity as being lower than almost anywhere else on my body, as being kissed on the neck, having a hand run down my thigh, or just about anything else is more rewarding than anything done with my penis. I have no problem getting erections, but it just is not sensitive, to the point where sexual activity can maybe best be described as a chore. It's not numb, or unfeeling, just unsensational. 
My first experiences with sex were a huge let-down, because somehow I thought it'd be better than masturbation, but I realized when I lost my virginity that, no, the problem is the circumcision. </t>
  </si>
  <si>
    <t>Orgasm often does not occur with ejaculation, whatever build up of feeling just dissipates and nothing is felt, and often instead there will be 30-45 minutes of intense discomfort after ejaculation - focused around the circumcision scar. Orgasm is very rare. Build up is difficult. There is a notable lack of intensity</t>
  </si>
  <si>
    <t>I haven't used synthetic lubrications. I haven't thought of it.</t>
  </si>
  <si>
    <t xml:space="preserve">I felt mostly like I existed to service my partner, because it didn't really matter what went on with me. However, I had increasing fear about performance and became very sex avoidant - leading to significant relationship difficulties. </t>
  </si>
  <si>
    <t>There are none. No advantages whatsoever.</t>
  </si>
  <si>
    <t>1. Post-coital intense discomfort instead of orgasm. Orgasm is rare and lacks intensity.
2. Difficult build-up, lack of intensity, minimal sensation sex.
3. Intense psychological and emotional harm. I have gone no-contact with my parents because of the circumcision. I hate them with all my guts because of the circumcision. I often cannot sleep because I hate what was done to me.
4. I have thought about self-immolating on the steps of congress to make a point about what was done with me. This is a recurring thought due to the lack of legal recourse, lack of medical solutions, and the absolute injustice of the mutilation.
5. Working blue collar in harsh conditions causes issues with weather damage to the glans due to the lack of protection that the foreskin would otherwise provide. Extremely cold and dry weather causes a drying out effect which cannot easily be mitigated.</t>
  </si>
  <si>
    <t>Just standard practice: Based on observing its prevalence, assumed it was the default medical procedure without a specific individual reason., I don't believe much thought was put into it. I have never given my mutilators a chance to explain because their explanations don't matter. As far as i'm concerned every person who practices circumcision can go die - they are too barbaric for society.</t>
  </si>
  <si>
    <t>When flacid the skin barely covers the base of the glans, when erect the skin is tight with only minimal mobility and the glans is fully revealed. The scar is clearly defined when erect, of a darker colour, and of a bumpy texture, and appearing as a ridge. It is also visible when flacid.</t>
  </si>
  <si>
    <t>I don't know about these aspects. I just didn't want sex to just the libido or my partner's expectations pushing me to do something I get nothing from and will probably cause discomfort.</t>
  </si>
  <si>
    <t>I don't believe there are any worthwhile interventions. Nothing can bring back what was lost.</t>
  </si>
  <si>
    <t>I think these first appeared with puberty and have only increased with time.</t>
  </si>
  <si>
    <t>I rarely get orgasms, but I after sensationless ejaculation the circumcision scar causes a horrible itchy-burning feeling that lasts 30-45 minutes.</t>
  </si>
  <si>
    <t>This is an excerpt from my "no contact" letter that I sent to them; 
"Speaking of bodily autonomy, you had my genitals mutilated - circumcized. I have resented ya'll for 16-17 years because of that and I will never forgive you for it. The  Roman Catholic Church taught for centuries that such an act of mutilation is a grave moral sin of which those who commit it "lose eternal salvation." 'Grave' sins are a step worse than 'mortal' sins, and so this places your actions in the realm of murder and apostasy. So I'm waiting for you to refuse accountability and minimize and defend your abhorrent abominable action of slicing off my foreskin - a grave moral sin. "If you be circumcised, Christ shall profit you nothing. Do you see how circumcision is the denial of Christ?" (St. John Chrysostom) Of course, evangelicalism brought male and female genital mutilation back and industrialized it for the expressed purpose of causing pain as prevention or punishment for masturbation - past or future. John Kellog also poured carbonic acid on children's genitals towards this end. This is also the specific reason why anesthesia is commonly not given to infants receiving this physical assault - the pain is the point. "The pain attending the operation will have a salutary effect upon the mind, especially if it be connected with the idea of punishment." (John Kellog, Plain Facts for Old and Young) And despite male and female genital mutilations having been given the same medical, heretical theological, and cultural justification only one the female sex was protected by the 1997 ban in violation of the equal protection clause. Oh, did you mutilate Alison too because that was 'tradional parenting' in the evangelical sense? Female genital mutilation was highly recommended by Christian parenting books through, at least, the 1950's. It wasn't illegal in 1992.
 And if you didn't, why only me? You bastards. You want to complain about the progressives wanting to allow genital mutilation when you are already fully guilty of that. You hypocrites. My undying bitterness is a rational response to the permanence of this mutilation. I will never forgive you. And I am not required to forgive you. God does not require that. My reactions are not pathological, your actions are. And, indeed, I demand vengeance for this.  You are the morons who said, "fuck the new testament, let's slice our child, hurray!" You sons of bitches. Evangelicals just love to get off on mutilating children because they worship their infernal father, the Devil. There will be no forgiveness until what was taken from me is restored - and even the stemcell regenerative therapy that is being crowdfunded would not be the original foreskin which you have, through pure sadism, deprived me of. And don't give me crap about Abraham - you had and ignored the New Testament.
You think my words are cruel? What about your actions? You literally risked my health, my life, my well-being for a cosmetic surgery with no real recognized health benefits (the same alleged benefits as female genital mutilation) and plenty of negative outcomes. You thought it was worth rolling the dice, but hundreds of boys die from it every year. I have to deal with all the consequences of your thoughtless cruel actions. Meanwhile, while you'll play faux at the crassness of my language, I'll remind you that the Holy Ones from Issiah to the Desert Fathers were more crass than I am being here.
You want to parade your authority and how you disciplined for authority, but in the words of Diogenes "When in the house of the rich man, the only place to spit in his face." As such, all mockery is totally deserved. Keep holding onto your stupid vanities you authority-less unrespectable petty tyrant."</t>
  </si>
  <si>
    <t>I have witnessed in evangelicalism a notion that "America is the 13th Tribe of Israel" and due to the 'selective judiaizing' and Christian Zionism/Nationalism" circumcision is seen as part of being "God's people." It is seen as the natural and Christian thing to do. Only when this is questioned will the propaganda about medical or hygiene issues - all of which has no scientific backing.</t>
  </si>
  <si>
    <t>That they are "dirty" or "heathen."</t>
  </si>
  <si>
    <t>That it was "God's tradition" that "God can't be wrong" and that they are "clean and hygenic" and "God had superior science to teach Israel circumcision for their betterment."</t>
  </si>
  <si>
    <t xml:space="preserve"> cultural familiarity</t>
  </si>
  <si>
    <t>Boys are human.</t>
  </si>
  <si>
    <t>It is a systemic dehumanization, no anymore of a 'transparent monster' than the holocaust. Those who choose to mutilate do so unconscionably - they are totally guilty and anyone with normal levels of empathy would reject it. Thus my parents are accurately comparable to Jeffrey Epstein - same with every other parent, doctor, or nurse, who is complicit in the bloodletting.</t>
  </si>
  <si>
    <t>The moment a parent allows circumcision to be inflicted on their child is the moment they give up any right to have any relationship with that child. There can be no forgiving such. There is no restitution possible. No way to restore what is lost.</t>
  </si>
  <si>
    <t>I have written two articles on my substack to date. I'm willing to do anything to fight this injustice.</t>
  </si>
  <si>
    <t>Perceived Hygiene Benefits: A belief that it would be cleaner or easier to care for., Religious Conversion or Affirmation, Social Conformity: A desire to "look like" peers or fit a cultural norm., I don't really know, but I assume this. The Catholic Hospital that did the operation, however, acted directly against the Catholic Faith.</t>
  </si>
  <si>
    <t>Business/Finance/Management, Clerical / Administrative Support (e.g., Secretary, Office Clerk)</t>
  </si>
  <si>
    <t>The glans and what's left of the inner foreskin are very sensitive to clothing and have always hurt being in direct contact with it. On the flip side, it's not that sensitive to pleasure without some force behind it. The scar line on the left side is the most erogenous area.</t>
  </si>
  <si>
    <t>Build-up is very slow, especially for the first 15-20 minutes. The final release is often a full-body experience, but in the past, there have been some duller ones. It's satisfying, but can take a lot of time and effort to get there.</t>
  </si>
  <si>
    <t>I'm not happy that it's a requirement to not chafe. It's expensive.</t>
  </si>
  <si>
    <t>Chafing, some areas lack much sensation, underside looks minced, the surgeon did a shit job.</t>
  </si>
  <si>
    <t>Don't Know/Not Told: The reasons were never explained or learned later., Parent's General Preference: Parents simply preferred the circumcised appearance or state without specific medical, religious, or cultural reasons being primary., Cultural Tradition/Family Norm: It was a strong family tradition, cultural expectation, or simply "what people in our community did.", Aesthetic Preference / To Look "Better" or "Neater": Belief that the circumcised penis looks more visually appealing, "prettier," or tidier than an intact one., 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 To Look Like Father/Peers: Desire for the son's penis to match the father's or other males in the family/community.</t>
  </si>
  <si>
    <t>Family Tradition/Pressure: The expectation from grandparents or other influential relatives; the idea that "it's what the men in our family have always done." (The power of heritage)., 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t>
  </si>
  <si>
    <t>It's fairly mobile. Scar line is dark. Mild turkey neck when erect. The scar line is even, yet strangely shaped, with the inner foreskin remnant only covering the upper half while the underside is all shaft skin below the glans. Frenular remnants are shredded bits, not cleanly cut away, more like they were mutilated and left to heal into what looks like skin tags.</t>
  </si>
  <si>
    <t>Everything.</t>
  </si>
  <si>
    <t>I found out what was done to me when I was 5. I was having a bad day because of the chafing against my underwear. I asked why the dog has a protective sheath, but I have none, because that would be a good thing to have. My mom told me I did have one and they had it removed. I lost all trust in my parents to make good decisions for me from then on.</t>
  </si>
  <si>
    <t>Urine spraying, the appearance is embarrassing, the stitch hole scars that collect smegma and need to be squeezed out to stay clean.</t>
  </si>
  <si>
    <t>Should've left it alone.</t>
  </si>
  <si>
    <t>Felt physically uncomfortable or experienced complications, Motivated by research or learning about intact anatomy/function, Significantly dissatisfied with sensation, function, or appearance, Experienced feelings of loss, grief, or anger, Mildly dissatisfied with sensation or appearance, Curious about what might be different if intact</t>
  </si>
  <si>
    <t>Achieve glans coverage and dekeratinization, Increased overall sensitivity, Improve gliding mechanics/reduce need for lube, Feel more 'natural' or 'whole', Reclaim what was taken, Regain gliding motion, Heal psychological trauma</t>
  </si>
  <si>
    <t>FIT V4 by Walter's Creations.</t>
  </si>
  <si>
    <t xml:space="preserve">No, I doubt it would be understood by other midwesterners. </t>
  </si>
  <si>
    <t>Not from the restoration device, but the retainer cap that serves as a silicone foreskin all the time when I'm not using the stretcher. It's been 3 weeks and the difference is really showing.</t>
  </si>
  <si>
    <t>They seem to be a little more intense.</t>
  </si>
  <si>
    <t>I don't like the un- terms because they contribute to normalizing the procedure.</t>
  </si>
  <si>
    <t>The skin gets sore. Seeing a small amount of progress.</t>
  </si>
  <si>
    <t>Don't use too much force. Little tears can easily happen at the scar line.</t>
  </si>
  <si>
    <t xml:space="preserve">I hope it works. </t>
  </si>
  <si>
    <t>Appearance and the cultural idiocy.</t>
  </si>
  <si>
    <t>That they're gross, that they're uncivilized, they stink, and they're weird.</t>
  </si>
  <si>
    <t>It's just a little snip, just a useless piece of skin removed, it's cleaner, it's prettier.</t>
  </si>
  <si>
    <t>A century of all the usual propaganda, everything listed above, and how unintelligent the average human genuinely is.</t>
  </si>
  <si>
    <t>This all started in this country to dull the pleasurable sensations and make masturbation more difficult based on quack medicine.</t>
  </si>
  <si>
    <t>I don't have anything to add.</t>
  </si>
  <si>
    <t>Nothing noteworthy, this survey has lasted so long now, I'm getting tired.</t>
  </si>
  <si>
    <t>Who knows when and if Foregen's work will become a reality? I've been waiting for 13 years now.</t>
  </si>
  <si>
    <t>It's too early to tell.</t>
  </si>
  <si>
    <t>RCI-8 at the very least.</t>
  </si>
  <si>
    <t>Medical Diagnosis: Other specific condition, Aesthetic Preference: I (or my partner/parents) preferred the appearance of a circumcised penis., Social Conformity: A desire to "look like" peers or fit a cultural norm.</t>
  </si>
  <si>
    <t>Depends upon the circumstances of arousal and whether self stimulation or from other; most sensitive areas being the frenulum and the mucosal membrane; pleasure from the type of touch varies over the expanse of time from foreplay to orgasm</t>
  </si>
  <si>
    <t>as a young man, the quality of my orgasm was a direct result of physical stimulation and they mechanics of that stimulation; now as an older male, the quality of my orgasm is more related to a combination of cerebral stimulation + physical stimulation</t>
  </si>
  <si>
    <t xml:space="preserve">lubrication is very pleasurable towards the end a masturbation session </t>
  </si>
  <si>
    <t>good sex depends upon communication... if a partner is open enough to both ask me what I like, and tell me what he likes... then the experience is usually great</t>
  </si>
  <si>
    <t>Truly can't think of any ADVANTAGES of being circumcised!</t>
  </si>
  <si>
    <t>Most of the disadvantages I had experienced were emotional and specifically relevant to my education and personal values.</t>
  </si>
  <si>
    <t>Parent's General Preference: Parents simply preferred the circumcised appearance or state without specific medical, religious, or cultural reasons being primary., Medical Advice (without stated necessity): Recommended by a doctor or healthcare provider without explaining a specific existing medical problem, perhaps framing it as routine or generally beneficial., Controlling/Restricting Masturbation: A belief that circumcision would reduce the urge or ability to masturbate (a view common in certain historical eras)., It separated my family from our Euro background... my circumcision made our family "All American."</t>
  </si>
  <si>
    <t xml:space="preserve">I was given a moderate circumcision: not high not low / not tight not loose... and frenulum retained. The method was probably forceps guided and the scar, aside from a few skin tags, was almost imperceivable. With age, the scar has almost disappeared and I now have more "restored" foreskin than many men who have naturally short foreskins. </t>
  </si>
  <si>
    <t xml:space="preserve">I always knew there were two types of penises, but when I was 12 and learned what was done to make the difference, it immediately triggered an entire range of emtions... anger, betrayal, loss of confidence, envy.... </t>
  </si>
  <si>
    <t xml:space="preserve">Your sexual values were destructive to your own relationship and that of your children's </t>
  </si>
  <si>
    <t>Experienced feelings of loss, grief, or anger, more of a deep and overwhelming greif over the loss of agency than the loss of any body part</t>
  </si>
  <si>
    <t>Reclaim what was taken, Feel more 'natural' or 'whole', I don't think a person's feelings about his penile status (intact/circumcised) is inseparable from the culture and family emotional dynamics one experiences growing up</t>
  </si>
  <si>
    <t>manual stretching / taping at night / coconut oil and Vit E oil massage</t>
  </si>
  <si>
    <t>only in the last 20 years</t>
  </si>
  <si>
    <t>with time, the glans has become smooth and more sensitive and slow retraction has become extreme erotic</t>
  </si>
  <si>
    <t>my actual orgasm has not changed. What has drastically changed is enjoyment along the path to orgasm</t>
  </si>
  <si>
    <t>While I use the term "Intact," I'm surprised at how many gay men have no idea what this means, and therefore, frequently use the term "uncut," simply to be able to communicate.</t>
  </si>
  <si>
    <t>A bout of balanitis was the most challenging... the most rewarding was in the middle of the restoration process. Upon re-entered a sauna, after a 15 min break, the sole person there, told me that the others who had been in the sauna during my first round, had commented on my intactness and even admitted to one another that they wished they had not been circumcised!</t>
  </si>
  <si>
    <t xml:space="preserve">connect with a "veteran" / don't start the process until you firmly understand why you want to do it </t>
  </si>
  <si>
    <t>better that time, money and effort go into finding cures for the diseases of the foreskin and stopping non-therapeutic circumcision of minors, than into trying to reverse something that should not have been done in the first place</t>
  </si>
  <si>
    <t xml:space="preserve">In the white, middle-class community that I grew up in, while circumcision was the norm, it was not openly discussed. </t>
  </si>
  <si>
    <t>they are dirty and ugly</t>
  </si>
  <si>
    <t>they were healthy and clean</t>
  </si>
  <si>
    <t>media and the American medical industry</t>
  </si>
  <si>
    <t>unbiased and complete information</t>
  </si>
  <si>
    <t>There are many vectors that lead parents to circumcise... the Elephant in the Room is certainly one... but not the only one.</t>
  </si>
  <si>
    <t xml:space="preserve">rather well composed questionaire </t>
  </si>
  <si>
    <t>essay/ periodical article / Youtube pod</t>
  </si>
  <si>
    <t xml:space="preserve">I have been seriously reading and researching the subject of circumcision since I was 12 yo. Most material was academic, however, Bud Berkley's USA Club (1979 &gt;) brought me out of the closet to myself, about my interest in foreskin and circumcision. It was then that I attempted to "restore" -- just like the ancient jewish athletes did during the Greek occupation of the Middle East. I was either fully or well along the path of full coverage when I read about someone selling a weight and strap device to accomplish what I had done manually and felt slighted...thinking that in all fairness, I should get a % of the royalties from his sales.  </t>
  </si>
  <si>
    <t>With the combination of full restoration plus the wisdom of age, I have become more interest on the genitals of others and perhaps most of all, the protection of the genitals of others than of my own genitals.</t>
  </si>
  <si>
    <t xml:space="preserve">flaccid my penis looks fully intact. My restored foreskin covers 2/3 upon erection, but with handling or high arousal, continues to full retraction. After it has retracted, it still looks intact because of the combination of partial exposure of the sulcus and mucosa and the continued partial coverage of the mucosa. With sex play, this "flattens" out and aside from my extant frenulum , looks much like a circumcised penis. </t>
  </si>
  <si>
    <t>The course that society takes regarding personal rights will determine this</t>
  </si>
  <si>
    <t>Social Conformity: A desire to "look like" peers or fit a cultural norm., my intact father was bi-sexual / circumcision was a topic he often brought up in adult company, after his 2nd drink.</t>
  </si>
  <si>
    <t xml:space="preserve">Nope </t>
  </si>
  <si>
    <t>It's ok</t>
  </si>
  <si>
    <t>Nothing nothing and boom</t>
  </si>
  <si>
    <t xml:space="preserve">She still held it too strongly </t>
  </si>
  <si>
    <t>Easy masturbation without lube</t>
  </si>
  <si>
    <t xml:space="preserve">Hygiene is pretty hard - even after a shower it's max 2h before there is an odor. </t>
  </si>
  <si>
    <t>Father is Intact: The father is intact, and this influenced their decision, Natural/Holistic Approach: A general philosophy of valuing the body's natural state and avoiding unnecessary medical interventions.</t>
  </si>
  <si>
    <t xml:space="preserve">I like to retract it and don't use, the moving is annoying </t>
  </si>
  <si>
    <t xml:space="preserve">It's oversensitive, breaks pleasure </t>
  </si>
  <si>
    <t>All of them</t>
  </si>
  <si>
    <t>Silesian</t>
  </si>
  <si>
    <t>Family history or cultural background from a non-circumcising country/culture, Don't Know / Unsure</t>
  </si>
  <si>
    <t>well</t>
  </si>
  <si>
    <t>hygiene</t>
  </si>
  <si>
    <t>masturbation problems</t>
  </si>
  <si>
    <t>Consensual (Adolescent): It was my decision, made with the guidance/consent of my parents.</t>
  </si>
  <si>
    <t>Conservative (Masorti)</t>
  </si>
  <si>
    <t>Religious Reasons: Performed as a religious ritual (e.g., Brit Milah in Judaism, Khitan/Sunnet in Islam) or based on religious belief., 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 Cultural Tradition/Family Norm: It was a strong family tradition, cultural expectation, or simply "what people in our community did.", Parent's General Preference: Parents simply preferred the circumcised appearance or state without specific medical, religious, or cultural reasons being primary.</t>
  </si>
  <si>
    <t>Religious Mandate/Tradition: A direct requirement or strong cultural expectation stemming from their religious beliefs and community. (The power of faith)., Aesthetic Preference: A belief, possibly influenced by media or pornography, that the circumcised penis is visually "neater," "more attractive," or the "correct" look. (The power of aesthetics)., Family Tradition/Pressure: The expectation from grandparents or other influential relatives; the idea that "it's what the men in our family have always done." (The power of heritage).</t>
  </si>
  <si>
    <t xml:space="preserve">My penis is not very sensitive; my sensitivity is greatest at the base. </t>
  </si>
  <si>
    <t xml:space="preserve">I have nerve been able to have an orgasm.  With great difficulty I can ejaculate but the experience is not very intense and often if it was not for the semen I would be unaware that it happened. Often, I will end a sexual encounter before ejaculating.  When I do ejaculate the experience can be frustrating as my erection goes away but my sexual desire has not been satisfied. This frustration is why I will end a sexual encounter after my partner has reached orgasm, instead of forcing the encounter to continue until a frustrating and unsatisfactory ejaculation. 
</t>
  </si>
  <si>
    <t xml:space="preserve">Most people will not accept difficulty in sexual function due to circumcision as legitimate, so it is hard to get accommodation for my disability. </t>
  </si>
  <si>
    <t xml:space="preserve">Yes. Before I knew what circumcision was I thought I was deformed. As a child I was mortified of anyone seeing me naked. I refrain from sports, swimming … I was scared of the locker room. My shame caused me to withdraw and socially isolated. I did not date until my late 20s because I was too ashamed of my grotesque body. When I became sexually active I found I had extreme difficulty in ejaculating, I found my partners were not very empathetic. Puberty was very painful, I did not have enough to contain my erection - sometimes this lack of skin would cause my skin to rip.  </t>
  </si>
  <si>
    <t xml:space="preserve">Grotesque: tight skin, multicolored, scarred; a sad hideous remnant </t>
  </si>
  <si>
    <t>Erection without pain</t>
  </si>
  <si>
    <t>Since I learned what circumcision was (pre-teen)</t>
  </si>
  <si>
    <t>Overly tight skin</t>
  </si>
  <si>
    <t xml:space="preserve">You had no right to violate my body and steal my body autonomy from me. I hate that my penis is a grotesque hideous appendage. Why couldn’t you just love me the way I was born? Why wasn’t I good enough? If you could not accept me in the body I was born in I should have been aborted. All those babies who die when their genitalia is being mutilated are luck and I am envious of them. I wish you could have accepted me as your son and not just your chattel. </t>
  </si>
  <si>
    <t>This form of genital cutting and child abuse is so normalized that no thought is given</t>
  </si>
  <si>
    <t>Intact genitalia did not exist.</t>
  </si>
  <si>
    <t xml:space="preserve">That they were normal. </t>
  </si>
  <si>
    <t xml:space="preserve">Normalization. Deviation from the “norm” makes people feel uncomfortable </t>
  </si>
  <si>
    <t>That they knew that modifying a penis is abuse.</t>
  </si>
  <si>
    <t xml:space="preserve">This abuse has caused me significant mental harm in addition to the physical harm. </t>
  </si>
  <si>
    <t xml:space="preserve">I want to keep my anonymity but I would love to be able to held de-normalize this abuse. </t>
  </si>
  <si>
    <t>Nigeria</t>
  </si>
  <si>
    <t>Only in later years did I come across the early Church's rejection of the Jewish rite of circumcision. It was never a religious issue for me.</t>
  </si>
  <si>
    <t>Enjoy sensations on my frenulum, my ridged band (retracted foreskin), foreskin tip and glans.</t>
  </si>
  <si>
    <t>Slow build up</t>
  </si>
  <si>
    <t>Extremely infrequent. More as an occasional novelty. 99%+ of all masturbation, BJs and intercourse are without any external lubrication.</t>
  </si>
  <si>
    <t>A sense of being who I was born to be, whole and as I actually am. The pleasure of my genitals and the awesome way that my penis works. The pleasure that my intact penis gives me and my partners, which especially hit home when I had a relationship with a US woman for 3 years, who had only ever seen one natural, intact cock. Together we explored why it felt so good for both of us. It was an extremely affirming experience for me.</t>
  </si>
  <si>
    <t>It is a huge part of my overall sexual pleasure and satisfaction, and it provides a range of diverse pleasurable sensations that I - and my partners - simply would not have access to if I had been circumcised.</t>
  </si>
  <si>
    <t>Yes. Mostly in touch and oral sex, less significant in intercourse.</t>
  </si>
  <si>
    <t>I had two cousins who were circumcised and we explored each other's cocks. They tried to make me feel embarrassed for having a foreskin (saying theirs were "cleaner"), but I knew my glans was more sensitive and I didn't want to have a scar like them.</t>
  </si>
  <si>
    <t>Most of the circumcised men I have had sex with seemed to have very tight, even painful erections.</t>
  </si>
  <si>
    <t>Definitely prefer intact or natural!</t>
  </si>
  <si>
    <t xml:space="preserve">It's not just about the numerous advantages in pleasure and sensation and the lack of any real issue with cleanliness. It is also very much about body autonomy and respecting your child's ownership of his own body and boundaries. </t>
  </si>
  <si>
    <t>It was something Jews and Muslims did to their kids.</t>
  </si>
  <si>
    <t>As kids growing up we just learned to play with our foreskins and to roll back the skin, when that became natural, to wash there.</t>
  </si>
  <si>
    <t>My own experience of a relationship where the woman became very aware of the different experience of sex with an intact male.</t>
  </si>
  <si>
    <t xml:space="preserve">It is an assault, leading to an irreversible outcome, on your child's body and on his bodily autonomy, leaving him with both physical and emotional scars. </t>
  </si>
  <si>
    <t>Yorkshire, UK</t>
  </si>
  <si>
    <t>I remember wondering about them as my penis developed and I began to use my foreskin to masturbate (therefore exposing the glans). But read that they were normal. Interestingly, the completely vanished in my late 30s.</t>
  </si>
  <si>
    <t>Much less common and become (again) the domain of hardline Jews and Muslim parents.</t>
  </si>
  <si>
    <t>Bisexual, Lesbian</t>
  </si>
  <si>
    <t>When I was a teenager, I researched circumcision to understand what it really was and what difference it made. I ended up watching a video of a real circumcision, and that turned me against the practice forever.</t>
  </si>
  <si>
    <t>Debunking health/hygiene myths never really works, as people are too intent on believing them and will fire back with their own pro-circ sources. Making FGM comparisons is also a no-go, as the topic is too charged and even those against circumcision may shut you down.</t>
  </si>
  <si>
    <t>That they were ugly and dirty.</t>
  </si>
  <si>
    <t>That it looks way better.</t>
  </si>
  <si>
    <t>Cultural norms, plus inexperience with intact penises because they are less common here.</t>
  </si>
  <si>
    <t>The foreskin is not a useless flap of skin, but a large, important erogenous structure.</t>
  </si>
  <si>
    <t>I think circumcision is one of those topics that most people come to know about in their teen years (if not before). In my own teen years, I remember parroting the cultural myths about hygiene and good looks being benefits of circumcision. I quickly changed my mind after researching one day. If people never question beyond their initial, probably-youthful impression, then I think they are likely to hold on to the myths for longer, if not forever.</t>
  </si>
  <si>
    <t>It's generally viewed negatively, with intactness being the norm.</t>
  </si>
  <si>
    <t>FGM is (rightfully) treated as a gross violation of human rights, while circumcision is excused as "no big deal" and "actually somewhat beneficial." Comparing circumcision to FGM in any form often makes people angry, as though men are "trying to make everything about them." This completely ignores the male right to bodily autonomy, which is just as valid as the female. But in the eyes of many, if the penis "still works" and is "fine," then the violation doesn't actually matter. No would ever say this about female genitals.</t>
  </si>
  <si>
    <t>Legislative action (e.g., defunding Medicaid for RIC), Direct outreach and education for expectant parents, Creating high-quality media (documentaries, articles)</t>
  </si>
  <si>
    <t>Feminist principles of bodily autonomy and consent, Independent research I've done myself (intactivist sites, documentaries, etc.)</t>
  </si>
  <si>
    <t>I think that we should not frame leaving a child intact as "letting him decide when he's older." This makes circumcision seem like a common, everyday choice all adults must eventually make. This is not the case. It also makes circumcision out to be a legitimate option rather than a very serious body modification. As it stands today, the chances of a person receiving detailed, accurate information about the true consequences of circumcision prior to the procedure are slim.</t>
  </si>
  <si>
    <t>Sensitivity varies significantly between areas. The glans, its surrounding area and the underside all respond well to things such as light touch, lubrication, and what amount of mobile skin I can use. This is especially true for the ridge of the glans and frenulum area. Smoother textures and lower friction tend to be more favorable. More towards the base a wider variety of sensations can be used without discomfort than what would be bearable on the more sensitive areas. Additionally I believe I have noted a reasonable increase in sensitivity when moving from using no lubrication to then applying it in the same areas.</t>
  </si>
  <si>
    <t>Generally an orgasm will have a long build up, relatively short plateau and then a release feels focused in the genital, pubic, and lower abdominal area. Assuming it’s not of unusual poor quality, an orgasm is generally highly pleasurable, but not necessarily overwhelming in sensation. A noticeable exception to this description is an orgasm achieved through or with prostate stimulation which often results in a slightly rolling full body sensation during climax. This can also go for an extended period of time compared to “normal” penile stimulated orgasms.</t>
  </si>
  <si>
    <t>It’s not needed for me to climax and it can still be of high quality without lubrication, but I am finding I can sometimes get overall more enjoyment from extended intense sensations when using lube than even the climax that eventually results from it. Whereas without lube (rolling shaft skin over the ridge of the glans), the climax itself is usually very clearly the peak of pleasurable sensation and the most enjoyable part of the experience.</t>
  </si>
  <si>
    <t>When my partner is solely focused on me at times I often watch what my partner does to stimulate me because I can have a difficult time identifying in what way and where I may be receiving stimulation to go with particular sensations, so that I can attempt to relay that information to my partner, however I still have challenges describing the qualities of sensations in these instances. The ways in which especially the more sensitive areas such as the glans can and can’t be touched without discomfort have been somewhat challenging to explain.</t>
  </si>
  <si>
    <t>I feel a significant amount of psychological stress about the violation of bodily autonomy I experienced as a newborn and the fact that I neither have any understanding of the potential personal experience I could be having if I was still intact, nor if or how much my circumcision is a factor in physical, functional, or sensation related issues especially surrounding my sexual experiences. My negative emotions surrounding my circumcision are both cemented and stirred by the very visible scar I permanently carry on an intimate area that I  had no way of stopping or consenting to.</t>
  </si>
  <si>
    <t>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 Aesthetic Preference / To Look "Better" or "Neater": Belief that the circumcised penis looks more visually appealing, "prettier," or tidier than an intact one., Cultural Tradition/Family Norm: It was a strong family tradition, cultural expectation, or simply "what people in our community did.", Prophylactic Health Reasons (Specific Disease Prevention - e.g., Cancer, STIs, HIV, UTIs): Belief that it lowers the risk of specific diseases later in life (e.g., penile cancer, certain sexually transmitted infections like HIV or HPV, infant urinary tract infections - UTIs)., Just standard practice: Based on observing its prevalence, assumed it was the default medical procedure without a specific individual reason.</t>
  </si>
  <si>
    <t>My scar is not particularly gruesome, however I have an easily noticeable, somewhat jagged “ring” of an off color delineating the edges of my upper and lower sections of skin. My amount of mobile skin can vary quite a bit, but can start to get somewhat tight when truly, fully erect, but generally not uncomfortable by itself. I tend to have a slight downward curve and wonder if this isn’t an influencing factor.</t>
  </si>
  <si>
    <t>Likely the things that most make me curious are the role of foreskin as mobile skin that may be usable in a way different from what is currently possible for me and the ability to keep the glans moist and avoid keratinization and how that might effect sensitivity and sensations.</t>
  </si>
  <si>
    <t>I’ve developed these feelings of largely resentment and grief over time as I’ve learned more about the medically unnecessary nature of routine infant circumcision and the violation of bodily autonomy and integrity I experienced almost immediately upon birth as do a great many other males born in the USA these paired with a lack of clarity in which ways and to what extent circumcision has harmed me physically and likely permanently are the main driving factors of these feelings.</t>
  </si>
  <si>
    <t>Please, let me make my own decision. It’s my body and I have to live with the results.</t>
  </si>
  <si>
    <t>A combination of medically beneficial and culturally ubiquitous.</t>
  </si>
  <si>
    <t>Intact penises were often associated with minority groups or poverty, otherwise parents generally saw no reason not to mutilate their child.</t>
  </si>
  <si>
    <t>Circumcised is frequently touted to be cleaner and easier to take care of.</t>
  </si>
  <si>
    <t>Lack of experience or seeing intact penises is a significant factor as well as circumcision being a strong cultural norm and intact penises being often derided as less clean.</t>
  </si>
  <si>
    <t>The foreskin has a specific purpose/benefit and circumcision is guaranteed to destroy some of those functions and possibly significantly more depending on the type and success of the surgery.</t>
  </si>
  <si>
    <t>It’s highly normalized by culture, however even when presented with potential or actual harms of male genital mutilation these are often downplayed and talked over because there is an inherent lack of empathy for the idea that males, infant or not, could be suffering on a systemic level in USA culture currently. So the issue is not only normalization and lack of information it’s also the trivialization of the possibility of systemic male victimization itself.</t>
  </si>
  <si>
    <t>I believe cultural practices of neglect against male children are common in the USA. Often seen in the sentiment that “raising boys is easier” and especially with a lack of parental education on how to properly care for an intact child this is another significant cultural factor in why parents choose to mutilate their children, because they feel a circumcised infant will be easier for their own experience as a parent.</t>
  </si>
  <si>
    <t xml:space="preserve">Not necessary. Jesus sacrificed himself for the new law. </t>
  </si>
  <si>
    <t>Frenulum is very sensitive, so is the corona and foreskin tip</t>
  </si>
  <si>
    <t xml:space="preserve">Orgasms are full body experiences. The buildup is very pleasurable. </t>
  </si>
  <si>
    <t xml:space="preserve">It’s a normal human body. It’s never caused me any issues. </t>
  </si>
  <si>
    <t xml:space="preserve">No. I wash. </t>
  </si>
  <si>
    <t xml:space="preserve">Integral part of my sexual experience </t>
  </si>
  <si>
    <t xml:space="preserve">Very pleasurable. Can orgasm from stimulating this alone. </t>
  </si>
  <si>
    <t xml:space="preserve">I’m intact. Not ‘un’ anything. </t>
  </si>
  <si>
    <t xml:space="preserve">They don’t know the difference. Maybe they should learn. </t>
  </si>
  <si>
    <t xml:space="preserve">Later in life medical issue. </t>
  </si>
  <si>
    <t xml:space="preserve">It’s totally normal to have a foreskin. </t>
  </si>
  <si>
    <t xml:space="preserve">I was taught it was a parent’s choice based on health and hygiene but that the Bible explicitly labelled it as unnecessary from a cultural or religious perspective. </t>
  </si>
  <si>
    <t xml:space="preserve">I think that the Church should actively be denouncing the practice rather than taking an ambivalent position on it. </t>
  </si>
  <si>
    <t xml:space="preserve">I derive pleasure from various different types of touch and areas of the penis. The most sensitive areas are my frenulum and glans but I also derive some pleasure from the foreskin itself. The frenulum and glans are the most sensitive though. If I want to achieve an orgasm quickly I will rely on firm pressure and rapid motion but the orgasms then tend to be lacklustre. I experience more powerful orgasms with moderate to lighter touch/grasp over a longer period of time. </t>
  </si>
  <si>
    <t>It depends on a range of things, including how quickly I achieve orgasm. Typically, if I apply light to moderate touch and do so over a longer period I have more powerful orgasms. They tend to be whole-body sensations which results in a deep release. The sensation tends to last a few seconds but the ‘buzz’ lasts for about 1-2min afterwards. If I orgasm quickly because of firm pressure and rapid motion, the orgasms tend to be greatly diminished in intensity and not as satisfying. They also feel instantaneous rather than prolonged under those conditions.</t>
  </si>
  <si>
    <t xml:space="preserve">I have used lubricants and I find that I achieve orgasm faster with lube but I don’t need it and so don’t use lube. </t>
  </si>
  <si>
    <t xml:space="preserve">It is difficult to say, not having experienced what living with a circumcised penis is like but I know that it protects the glans - having experimented with pulling back the foreskin the glans is extremely sensitive to rubbing/abrasion by clothing and even public hair which can be very uncomfortable and borderline painful. It makes masturbation very easy and pleasurable. I like the idea that I am in a natural state and my body is unaltered. </t>
  </si>
  <si>
    <t xml:space="preserve">I grew up with a circumcised father, in an extended family where all the males were circumcised and with friends who were all circumcised so I always felt the odd one out. I even considered getting circumcised at one stage just to fit in but my intact partner at the time pointed out how much they liked my penis as it was. I’ve been asked by circumcised men why my penis looks like it does which is always a bit awkward. I had to learn to clean my penis regularly which, as a child/teen was very uncomfortable but as an adult is fine. I’ve never had major hygiene issues though. </t>
  </si>
  <si>
    <t>Lack of Perceived Benefit: They didn't see any compelling reason to circumcise., Cultural Background/Family Tradition (of intactness): They came from a family or cultural background where intactness was the norm.</t>
  </si>
  <si>
    <t xml:space="preserve">I felt that I was different and I didn’t want to be. They were insecurities I experienced as a child/teen but I no longer experience them. I am very happy with my intact penis now. </t>
  </si>
  <si>
    <t>Growing up with circumcision being common I definitely felt ‘othered’. I was always ashamed of my intact penis and avoided any situation which involved undressing or revealing my penis to others (e.g. urinals). Questions and jokes about it from other children left me feeling ashamed for it.</t>
  </si>
  <si>
    <t xml:space="preserve">It plays a big role. It facilitates so much of masturbation and sex through the gliding motion. Increasingly I am realising how much pleasure I actually derive from the tip of the foreskin and the frenulum. </t>
  </si>
  <si>
    <t xml:space="preserve">It is very pleasurable. I gain significant amounts of pleasure from stimulation of the frenulum and it feels like it is probably one of, if not the most, sensitive part of my penis. </t>
  </si>
  <si>
    <t xml:space="preserve">The level of sensation. </t>
  </si>
  <si>
    <t xml:space="preserve">My partner experiences pain-level intensity from direct stimulation of the glans and almost no sensation elsewhere. It makes sexual experiences very challenging for him. </t>
  </si>
  <si>
    <t>I prefer intact</t>
  </si>
  <si>
    <t>It is the natural state, serves a vital purpose and should be the norm</t>
  </si>
  <si>
    <t xml:space="preserve">They are unhygienic </t>
  </si>
  <si>
    <t>Clean and good-looking</t>
  </si>
  <si>
    <t xml:space="preserve">Probably mostly porn and cultural background. </t>
  </si>
  <si>
    <t>The loss of sensation is permanent and has implications for their sexual development and function later in life</t>
  </si>
  <si>
    <t>Identified as non-conformist or counter-cultural, Fiscally conscious (questioned unnecessary medical costs)</t>
  </si>
  <si>
    <t>It will remain in cultures which practice it for cultural/religious reasons but the secular/other cultural groups will not maintain the practice</t>
  </si>
  <si>
    <t>I was taught in school that circumcision wasn't practised by Christians.  At the time, I knew that about 90% of the boys in the class were cut.  It was entirely conceivable to me that some boys could have had no knowledge that they were cut.</t>
  </si>
  <si>
    <t>At my school, circumcision was perceived to be done for reasons of hygiene or social conformity-- but never for religious reasons.  I find that a bit strange, because on social media, some claim circumcision to be a Christian practice, yet I have never met someone in real life with that belief.</t>
  </si>
  <si>
    <t>Most of the glans is numb to light touch/rubbing. The corona ,and the region where the frenulum was, remain sensitive to light touch.  I cannot feel my glans rubbing against my underwear-- that's the reason why I prefer wearing briefs.  The scarline on my shaft is also very sensitive-- I can orgasm touching it.</t>
  </si>
  <si>
    <t xml:space="preserve">The buildup to orgasm takes a few seconds.  Orgasm is pleasurable, but I wouldn't say it is intense or full-body.  It feels like a reflex.  Sexual stimulation is focused upon the glans as it's the only sensitive part of my penis.  Orgasm is difficult to reach by stroking the shaft. </t>
  </si>
  <si>
    <t>I can't masturbate without lube without physically harming myself through chafing.</t>
  </si>
  <si>
    <t>Better hygiene; adherence to social norms.</t>
  </si>
  <si>
    <t>Masturbation might be more difficult, but not necessarily less pleasant.</t>
  </si>
  <si>
    <t>I don't have mobile shaft skin when I am erect-- I was cut low and tight.  The corona of the glans is totally exposed when erect.  The scarline is discreet:  it isn't visible when flaccid, and the transition from shaft-skin to inner foreskin isn't that obvious when erect.</t>
  </si>
  <si>
    <t>I would have preferred being circumcised in infancy-- but then, they wouldn't have known what my preference was.</t>
  </si>
  <si>
    <t>My father was uncircumcised, as were probably my grandparents.  In my immediate social network however, being circumcised was perceived as a social and medical norm e.g. all my friends at school were cut, as was my babysitter.  I suspect some members of my family had extreme right-wing political beliefs, i.e. they were Nazis in WW2, and therefore, my mother in particular, was ambivalent about circumcision.</t>
  </si>
  <si>
    <t>Being uncircumcised was weird, oddball, or gross.  It was also effeminate.</t>
  </si>
  <si>
    <t>If you were a boy, you were circumcised.  It was natural or normal for parents to circumcise their sons.</t>
  </si>
  <si>
    <t>I believe the Victorian medical profession first promoted then novel ideas about hygiene.  After a generation or two of male circumcision, cultural familiarity with the practice was bred.</t>
  </si>
  <si>
    <t>Being circumcised is not the end of the world.  I can understand why male circumcision became routine.</t>
  </si>
  <si>
    <t>Circumcision has been normalized, and it can be harmful-- but how significant is that harm?  There are many males on social media who say that they were devastated when they learnt that they were circumcised.  However, the reality is that all sorts of devastating things happen to all sorts of people.  I do not think I am belittling the cut; however, I do not believe that angst about circumcision merits the ruining of one's life.
Also, I notice you talk about routine circumcision.  Despite all the research, I believe the jury is still out as to hygiene benefits of the procedure.  Even if it is more hygienic to be cut, does that justify mass circumcision?</t>
  </si>
  <si>
    <t>Personal essays under a pseudonym.</t>
  </si>
  <si>
    <t>UK</t>
  </si>
  <si>
    <t>Medical Diagnosis: Recurring Balanitis/Infections, Perceived Hygiene Benefits: A belief that it would be cleaner or easier to care for., Social Conformity: A desire to "look like" peers or fit a cultural norm.</t>
  </si>
  <si>
    <t xml:space="preserve">Not sensitive </t>
  </si>
  <si>
    <t xml:space="preserve">Quick buildup mild orgasm. Not a full body feeling usually </t>
  </si>
  <si>
    <t>Hygiene, medical reasons</t>
  </si>
  <si>
    <t xml:space="preserve">Loss of sensation </t>
  </si>
  <si>
    <t>High and semi tight circumcision. Skin never rolls over the glans. Dark scar</t>
  </si>
  <si>
    <t xml:space="preserve">Lack of experience </t>
  </si>
  <si>
    <t>Circumcision leads to a significant loss of pleasure</t>
  </si>
  <si>
    <t xml:space="preserve">Everyone does it thinking it’s a positive </t>
  </si>
  <si>
    <t>Hygiene got easier.</t>
  </si>
  <si>
    <t xml:space="preserve">Do your research </t>
  </si>
  <si>
    <t>I have absolutely no idea what influenced them., Peer &amp; Social Pressure (The "Fitting In" Factor): The widespread belief that "everyone else is doing it," and a desire for you to avoid being seen as different in locker rooms or later in life. (The power of broad social conformity)., Prevailing Moral Beliefs about Sexuality (e.g., concern over masturbation):</t>
  </si>
  <si>
    <t>It is not necessary and a form of forced compliance</t>
  </si>
  <si>
    <t>There is room in who does it or how it's done. But most Jews I know don't question the mandate to do it.</t>
  </si>
  <si>
    <t>Chafing/bleeding from penis rubbing on underwear in athletics. Bleeding/cuts during masturbation from friction. Difficulty peeing in a straight line.</t>
  </si>
  <si>
    <t>Religious Reasons: Performed as a religious ritual (e.g., Brit Milah in Judaism, Khitan/Sunnet in Islam) or based on religious belief., Just standard practice: Based on observing its prevalence, assumed it was the default medical procedure without a specific individual reason., Cultural Tradition/Family Norm: It was a strong family tradition, cultural expectation, or simply "what people in our community did."</t>
  </si>
  <si>
    <t>Religious Mandate/Tradition: A direct requirement or strong cultural expectation stemming from their religious beliefs and community. (The power of faith)., 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t>
  </si>
  <si>
    <t xml:space="preserve">Scar is very wide. I'm not sure what they did. </t>
  </si>
  <si>
    <t xml:space="preserve">Gliding motion. The feeling of the glans when it's not dried out and desensitized from rubbing on clothes. </t>
  </si>
  <si>
    <t>Sometimes irritation of the glans from rubbing on clothes. Difficulty peeing straight.</t>
  </si>
  <si>
    <t xml:space="preserve">My body, my choice. People should have the right to decide whether unnecessary surgeries are performed on them. </t>
  </si>
  <si>
    <t>Curious about what might be different if intact, Felt physically uncomfortable or experienced complications, Significantly dissatisfied with sensation, function, or appearance</t>
  </si>
  <si>
    <t>Reclaim what was taken, Heal psychological trauma, Reject religious/cultural identity that was force on me.</t>
  </si>
  <si>
    <t>No. Potential for awkwardness.</t>
  </si>
  <si>
    <t>I would prefer restored because I feel that it more accurately describes the process.</t>
  </si>
  <si>
    <t>Challenging: Staying consistent. Sometimes researching and restoring dredges up bad thoughts. Rewarding: Feeling that I am taking steps to reclaim my body.</t>
  </si>
  <si>
    <t>Skeptical that significant innervation would be possible.</t>
  </si>
  <si>
    <t>It isn't a 'flap of skin'. Circumcision destroys the inherent mechanical gliding motion and fundamentally alters sexual activities. It also ruins the glans which is designed to be covered/protected.</t>
  </si>
  <si>
    <t>Circumcision should be reclassified as genital mutilation. Nonconsensual genital mutilation (regardless of whether it's male, female, or intersex) should not be performed without a critical medical reason (such as significant birth defects, cancer, significant damage, etc.)</t>
  </si>
  <si>
    <t>The documentary 'Whose Body, Whose Choice'</t>
  </si>
  <si>
    <t>Passing for intact</t>
  </si>
  <si>
    <t>Religious Conversion or Affirmation, Social Conformity: A desire to "look like" peers or fit a cultural norm.</t>
  </si>
  <si>
    <t>Punitive/Punishment: Used as a punishment or consequence. (Note: This is rare in standard medical contexts but sadly documented in some historical/abuse settings)., Controlling/Restricting Masturbation: A belief that circumcision would reduce the urge or ability to masturbate (a view common in certain historical eras).</t>
  </si>
  <si>
    <t>Retail / Customer Service / Hospitality, Law/Government/Public Service</t>
  </si>
  <si>
    <t>Where frenulum was as well as top side under glans</t>
  </si>
  <si>
    <t xml:space="preserve">I feel like I feel these stronger than most people that are cut for sure but I also try and take my time. I also started wearing a faux skin so I did get some sensitivity back. </t>
  </si>
  <si>
    <t xml:space="preserve">It’s difficult to climax without it. </t>
  </si>
  <si>
    <t xml:space="preserve">With another person I often have to take over to finish the job. </t>
  </si>
  <si>
    <t xml:space="preserve">I see no advantages. </t>
  </si>
  <si>
    <t xml:space="preserve">I’m upset to know that something was taken for me that I would have never signed up for, my parents and their parents were lied to, and very upset to have found friends that are intact and know they have zero complications and they love it. It upsets me that I’ll never know what should have been. </t>
  </si>
  <si>
    <t>Institutional Medical Norm: The general belief that "this is just the standard procedure" at hospitals, making it a routine, unquestioned part of postpartum care. (The power of the system)., Prevailing Health &amp; Hygiene Beliefs: General societal "knowledge" at the time—gleaned from various sources—that presented circumcision as being fundamentally cleaner, healthier, or preventive of future diseases. (The power of a cultural 'truth')., Paternal Influence (The "Like Father" Factor): A specific desire for you to genitally match your father or other male family members. (The power of conformity within the family unit).</t>
  </si>
  <si>
    <t>Was very tight with erection</t>
  </si>
  <si>
    <t xml:space="preserve">All of it. </t>
  </si>
  <si>
    <t xml:space="preserve">About 12 when I realized what that scar meant </t>
  </si>
  <si>
    <t xml:space="preserve">I wish you would have watched this happen to another infant and realized how much it actually hurts your baby boy, would have had more information available and maybe just waited and decided to let me make that decision later in life if I wanted that done </t>
  </si>
  <si>
    <t>Significantly dissatisfied with sensation, function, or appearance, Experienced feelings of loss, grief, or anger, Curious about what might be different if intact, Motivated by research or learning about intact anatomy/function, Felt physically uncomfortable or experienced complications</t>
  </si>
  <si>
    <t>Achieve glans coverage and dekeratinization, Regain gliding motion, Increased overall sensitivity, Heal psychological trauma, Improve sexual pleasure/orgasms, Feel more 'natural' or 'whole', Improve gliding mechanics/reduce need for lube, Reclaim what was taken</t>
  </si>
  <si>
    <t xml:space="preserve">I had no extra skin at all, I’ve been wearing a faux skin for 8 years and it’s moderately stretched my skin so there’s some over hang. It’s not really a stretcher but it was a welcome side effect. I started to wear so I had coverage as the friction bothered me. </t>
  </si>
  <si>
    <t xml:space="preserve">Some people know I wear this. Others no. Some wouldn’t understand or are in denial of what they lost. </t>
  </si>
  <si>
    <t xml:space="preserve">I have a lot more sensation, my orgasms are more full. </t>
  </si>
  <si>
    <t xml:space="preserve">Much more intense. </t>
  </si>
  <si>
    <t xml:space="preserve">Uncut would be different from intact. I’ll never be intact again (thanks dad) but I’m working towards uncut. </t>
  </si>
  <si>
    <t xml:space="preserve">Most challenging is finding patience. Most rewarding is not feeling clothing rub on glans any longer and having more motion </t>
  </si>
  <si>
    <t xml:space="preserve">Be patient. </t>
  </si>
  <si>
    <t xml:space="preserve">They are gross </t>
  </si>
  <si>
    <t xml:space="preserve">It’s better and superior </t>
  </si>
  <si>
    <t>Lack of experience as well as a cultural norm of circumcised men</t>
  </si>
  <si>
    <t xml:space="preserve">It’s okay to wait and to let the child decide later. </t>
  </si>
  <si>
    <t xml:space="preserve">I’m willing to help where I can. </t>
  </si>
  <si>
    <t xml:space="preserve">Wanted to know what I maybe missing. </t>
  </si>
  <si>
    <t xml:space="preserve">I feel a little better but have further to go. </t>
  </si>
  <si>
    <t xml:space="preserve">Full glide full coverage when soft. </t>
  </si>
  <si>
    <t>White / Caucasian / European American, Multiracial / Biracial</t>
  </si>
  <si>
    <t>Significantly dissatisfied with sensation, function, or appearance, Experienced feelings of loss, grief, or anger, Felt physically uncomfortable or experienced complications, Motivated by research or learning about intact anatomy/function</t>
  </si>
  <si>
    <t>Heal psychological trauma, Increased overall sensitivity, Achieve glans coverage and dekeratinization, Feel more 'natural' or 'whole', Improve sexual pleasure/orgasms, Reclaim what was taken, Regain gliding motion, Improve gliding mechanics/reduce need for lube</t>
  </si>
  <si>
    <t>Christian, Jewish, Islamic</t>
  </si>
  <si>
    <t>It will be slightly less common.</t>
  </si>
  <si>
    <t>Entrepreneur</t>
  </si>
  <si>
    <t xml:space="preserve">What is left of my frenulum is sensitive to touch and being licked/sucked on. </t>
  </si>
  <si>
    <t xml:space="preserve">It depends on if I’m masturbating or having sex. The release can be intense and quick when I’m use lube to masturbate when I’m thinking about male sexual partners. Sometimes it feels like a full body feeling. It’s a 50/50 split between a reflex and a deep satisfying release regardless if I’m masturbating or having sex. </t>
  </si>
  <si>
    <t xml:space="preserve">I find that certain types of lubrication actually make me have an orgasm and ejaculate faster depending on if I’m masturbating or having sex. </t>
  </si>
  <si>
    <t>It’s hard to explain but it happens when I have a new partner and the situations it happens in is when I’m going to receive oral sex or penetrate  my vagina or butt.</t>
  </si>
  <si>
    <t>I don’t see any advantages to being circumcised!</t>
  </si>
  <si>
    <t xml:space="preserve">Yes. I’ve experienced a lot of emotional and psychological trauma from being circumcised. I feel like I’m not a real man and like less of a man who will never be able to fully satisfy their partner. It’s made me self harm a few times. </t>
  </si>
  <si>
    <t>Aesthetic Preference / To Look "Better" or "Neater": Belief that the circumcised penis looks more visually appealing, "prettier," or tidier than an intact one., Prophylactic Health Reasons (Specific Disease Prevention - e.g., Cancer, STIs, HIV, UTIs): Belief that it lowers the risk of specific diseases later in life (e.g., penile cancer, certain sexually transmitted infections like HIV or HPV, infant urinary tract infections - UTIs).,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t>
  </si>
  <si>
    <t xml:space="preserve">I hate how my circumcision scar looks. I still have some of my frenulum or at least what is left of it after my circumcision. Looks like I have about a quarter of my inner foreskin. It looks like a high and tight circumcision when I have an erection. </t>
  </si>
  <si>
    <t xml:space="preserve">I’m curious about doing everything sexual with an intact penis. </t>
  </si>
  <si>
    <t xml:space="preserve">When I was 18 and found out what circumcision was and that I was circumcised. A lot of aspects of being circumcised contributed to a lot of those feelings. </t>
  </si>
  <si>
    <t>Did you even think about all of the negatives and potential trauma that could cause?</t>
  </si>
  <si>
    <t xml:space="preserve">Everyone thought that intact guys penises were dirty and disgusting and that they didn’t wash their foreskins or penises. </t>
  </si>
  <si>
    <t xml:space="preserve">It was healthier and cleaner and it was more sexually sensitive. </t>
  </si>
  <si>
    <t xml:space="preserve">I think it’s a mix of lack of experience, Ideas about hygiene, definitely pornography and cultural familiarity. </t>
  </si>
  <si>
    <t xml:space="preserve">The lack of education on how the foreskin and being intact is good for boys and men. </t>
  </si>
  <si>
    <t>It resonates with me because I now know that I’m not alone in feeling the way I do about my penis.</t>
  </si>
  <si>
    <t xml:space="preserve">Experience wise my intact partners were more understanding of how I felt about my penis looking different than my circumcised partners. </t>
  </si>
  <si>
    <t xml:space="preserve">A little bit. </t>
  </si>
  <si>
    <t>Stay-at-Home Parent / Homemaker, journalism</t>
  </si>
  <si>
    <t>Arts/Humanities/Entertainment, Science/Research/Academia</t>
  </si>
  <si>
    <t>Gliding motions (particularly those that "roll" the frenulum) bring the most pleasure and easiest orgasm. Scar line, corona, and frenulum (circumcised, but luckily very substantial remnant) are sensitive to light touch and definitely the most sensitive areas of my penis. Stretching the frenulum is also pleasurable in a "deeper" way that is distinct from other sensations. Upper glans is sensitive but direct stimulation of it doesn't bring much pleasure. Inner mucosa not especially sensitive to light touch but stimulation is pleasurable. Shaft skin sensitive to light touch (like the back of my hand) but in the same sense not really a source of pleasure.</t>
  </si>
  <si>
    <t>Depends. If I'm not sufficiently aroused, it's short-lived, not that intense, and feels like a "sneeze" or a release of tension. When I am fully aroused, it's a buildup that starts gradual and then rapidly intensifies as I approach the "point of no return". I feel a buildup of pleasurable pressure at the underside/base of my penis, with waves of pleasure coming from the frenulum area and the corona of the glans; the buildup feels sort of similar to a good stretch while holding your breath. If I am attentive to the point of no return, I can control the buildup as a series of higher and higher "hills" with "dry" kegel contractions at the top of each, until the final one crosses the threshold into orgasm. When that happens, the buildup of pleasure that feels concentrated at the base of my penis and the frenulum intensifies strongly and "explodes" outward toward the tip in an ejaculatory sort of way, but also in the other direction through my pelvic region and into my legs in a sort of "heat" sensation. I also feel something in my forearms towards my fingertips. Then as that winds down, it's all replaced by a fully-body sense of relief and tiredness (like one might feel after a hard workout).</t>
  </si>
  <si>
    <t>I can masturbate without lube (and find it more pleasurable to do so) but that relies on an incomplete gliding motion that would not suffice for penetrative sex acts.</t>
  </si>
  <si>
    <t>Genuinely, none. *Maybe* one could make the hygiene argument, because it's true that being intact requires slightly more hygiene attention, but it's incredibly flimsy and demeaning to assume men can't take the steps to keep themselves clean.</t>
  </si>
  <si>
    <t>Decreased physical/sexual sensation and pleasure, aesthetics (I think intact looks significantly better), uncomfortable and unwanted stimulation from clothes.</t>
  </si>
  <si>
    <t>Don't Know/Not Told: The reasons were never explained or learned later., Parent's General Preference: Parents simply preferred the circumcised appearance or state without specific medical, religious, or cultural reasons being primary., Just standard practice: Based on observing its prevalence, assumed it was the default medical procedure without a specific individual reason.</t>
  </si>
  <si>
    <t>Mobile shaft skin, skin removal quite even. When erect, can pull skin over corona. Flaccid sometimes has rollover depending on seated posture and temperature. Scar is slightly brown but not prominently so, and mostly even but has some jaggedness and variation in width. Frenulum still almost entirely present with delta and folded structure (sometimes even get smegma underneath)</t>
  </si>
  <si>
    <t xml:space="preserve">Gliding motion, glans sensitivity. Ridged band and frenulum stretch sensations. Ability to roll, twiddle, stretch the tip of the foreskin past the glans. Ability to pinch the foreskin shut and ejaculate into it, like a balloon. </t>
  </si>
  <si>
    <t>Knowing that I could experience better or different sensations and life experiences growing up that I physically do not have the anatomy to ever fully experience. I feel robbed of a dimension of the male condition.</t>
  </si>
  <si>
    <t>Slight meatal stenosis but not severe</t>
  </si>
  <si>
    <t>I wish I had been given a choice, not had one (the wrong and irreversable one, too) made for me.</t>
  </si>
  <si>
    <t>Motivated by research or learning about intact anatomy/function, Curious about what might be different if intact, Felt physically uncomfortable or experienced complications, Mildly dissatisfied with sensation or appearance, Discomfort of glans rubbing on clothes, feeling like something was "missing"</t>
  </si>
  <si>
    <t>Increased overall sensitivity, Reclaim what was taken, Improve gliding mechanics/reduce need for lube, Feel more 'natural' or 'whole', Regain gliding motion, Achieve glans coverage and dekeratinization, Improve sexual pleasure/orgasms</t>
  </si>
  <si>
    <t>Packers and manual methods. Ball stretcher also helpful in tensioning ventral shaft skin and eliminating turkey neck.</t>
  </si>
  <si>
    <t>I have not.</t>
  </si>
  <si>
    <t>It has improved sensitivity of corona and inner skin, but I'm still early in the journey so no full-time flaccid coverage yet, dekeritinization, or full gliding action.</t>
  </si>
  <si>
    <t>I do think they are more intense now, having even a little bit more slack skin to play with has made a difference, and I am barely restored. Orgasms engage more of the body, last a bit longer, and are generally more intense.</t>
  </si>
  <si>
    <t>Haven't thought about that much, but I will probably self-identify as uncut or uncircumcised when I deem my journey complete.</t>
  </si>
  <si>
    <t>The most challenging aspect is just building habits (something I struggle with in general). I have thought about restoring for years (dating back to early high school), but am just now getting into a rhythm with it. I wish I started much earlier than I did, because I could be done by now.</t>
  </si>
  <si>
    <t>Just keep at it, and start as early as you possibly can.</t>
  </si>
  <si>
    <t>If they were available now, I'd seriously consider. But I am impatient, and want to fix things *now*, so I'm going forward with restoration without assuming that regeneration will ever be an option.</t>
  </si>
  <si>
    <t>dirty, weird, gross, unusual</t>
  </si>
  <si>
    <t>normal, typical, clean</t>
  </si>
  <si>
    <t>Reddit: u/Admirable-Party625</t>
  </si>
  <si>
    <t>Had seen intact friends in locker room as a child, and wished I could be like them before I even knew of the harms of circumcision—I think I always knew something was "wrong" at some level. Learned later of the impact to pleasure and other deleterious effects, and not long after that that restoration was possible. The main tipping point is that intact men are capable of experiencing entirely different classes of sensation (even nonsexual and mundane ones, such as pee running through their foreskin!) that I cannot, unless I try to do something to reclaim that. I want erect coverage so I can experience complete gliding action, I want to be able to stretch and play with overhang, I want to be covered while flaccid so I feel warmth and security and am protected from unwanted stimulation.</t>
  </si>
  <si>
    <t>It does feel like a kind of taking ownership over my circumstances. I already am happy with my penis in that I think I had quite a "generous" circumcision that spared me much of the worst of it—left a lot of loose skin and frenulum—but I know it can be so much better than it already is, and will give it everything I've got to reclaim that.</t>
  </si>
  <si>
    <t>Full coverage with overhang—CI-9 or 10 if I can achieve it.</t>
  </si>
  <si>
    <t>I'm not Christian anymore</t>
  </si>
  <si>
    <t>Only inner foreskin remnant is sensitive to light touch. Frenuluar delta is most sensitive. Stimulating the glans is painful. Gliding motion (I have a somewhat loose cut) feels best. Sometimes I can't feel vaginal.</t>
  </si>
  <si>
    <t>Some are better than others, for the most part the build up is maybe 3 sec.</t>
  </si>
  <si>
    <t>I have a decent amount of glide ability however scrotal skin is pulled up the shaft almost all the way.</t>
  </si>
  <si>
    <t>I had to teach her how to hold/stimulate it correctly</t>
  </si>
  <si>
    <t xml:space="preserve">There are no advantages </t>
  </si>
  <si>
    <t>Tight/painful erections, not enough skin to accommodate growth/erections causing large penoscrotal webbing, shaft hair, and exaggeration of a downward curve in the shaft. Also, the exposed glans and inner skin have become desensitized (and somehow at the same time glans stimulation can be overwhelming/painful). There's also psychological damage.</t>
  </si>
  <si>
    <t>Aesthetic Preference / To Look "Better" or "Neater": Belief that the circumcised penis looks more visually appealing, "prettier," or tidier than an intact one., Medical Advice (without stated necessity): Recommended by a doctor or healthcare provider without explaining a specific existing medical problem, perhaps framing it as routine or generally beneficial., Cultural Tradition/Family Norm: It was a strong family tradition, cultural expectation, or simply "what people in our community did.", To Look Like Father/Peers: Desire for the son's penis to match the father's or other males in the family/community., Just standard practice: Based on observing its prevalence, assumed it was the default medical procedure without a specific individual reason.</t>
  </si>
  <si>
    <t>The skin is somewhat mobile, there is a good amount of inner skin, the scar is noticeable. From an erect point of view ~40% of the penile tissue has been removed. When flaccid the scar is ~2/3 up the shaft.</t>
  </si>
  <si>
    <t>Having the glans protected/moist, and the overall sensory feeling of foreskin</t>
  </si>
  <si>
    <t>I always knew something was missing, it turned into intense emotions when I fully learned what foreskin is. The thing that bothers me most is that I'll never know/experience my whole body.</t>
  </si>
  <si>
    <t>Before starting restoration, I had tight/painful erections. Also the glans is constantly irritated rubbing against everything.</t>
  </si>
  <si>
    <t>What you did was wrong and ignorant, I feel mutilated. Do you want your child to resent you when they grow up? I wish I was there to stop you. Now I live a life full of rage and despair on the inside.</t>
  </si>
  <si>
    <t>Motivated by research or learning about intact anatomy/function, Curious about what might be different if intact, Experienced feelings of loss, grief, or anger, Mildly dissatisfied with sensation or appearance, Felt physically uncomfortable or experienced complications</t>
  </si>
  <si>
    <t>Increased overall sensitivity, Reclaim what was taken, Improve sexual pleasure/orgasms, Heal psychological trauma, Improve gliding mechanics/reduce need for lube, Feel more 'natural' or 'whole', Achieve glans coverage and dekeratinization, I had tight/painful erections.</t>
  </si>
  <si>
    <t>Hard to say, I started out trying many different devices. After a couple years I decided to focus on mainly manual methods, chris retainer (soft silicone), and CAR-1. Basically methods that dont constrict the shaft too much until I have more slack skin.</t>
  </si>
  <si>
    <t>Yes, everyone. My partner is fully supportive. She didn't understand why I felt the way I do at first but is more understanding now. My friends all think im crazy. All of my male friends are circumcised, none have an issue with it. They aren't for it but also aren't as against it as me, I don't think any of them have a good understanding of what a foreskin is. My family (mother/sister) think im dramatic/delusional.</t>
  </si>
  <si>
    <t>Yes, gliding feels better, oral feels better (on the inner skin). I began feeling sensations in the glans other than pain/overstimulation. I believe these changes could be from moisturizers/retaining.</t>
  </si>
  <si>
    <t>I'm not super far along yet but overall sensations have improved.</t>
  </si>
  <si>
    <t>I probably wouldn't call myself "uncut" or "uncircumcised", but if someone thought I was intact I wouldn't correct them. I guess "restored" is the best word for now.</t>
  </si>
  <si>
    <t>Being at RCI-4 for 2 years now with little visual improvement has been challenging. It feels rewarding when my partner comments on the changes (more skin/gliding).</t>
  </si>
  <si>
    <t>You have nothing to lose, try manuals and see how it makes you feel. It will take longer than you think, dont be discouraged. This is the hardest thing I've ever done but im glad im doing it, I think I'd go crazy thinking about circumcision the rest of my life and not doing anything about it.</t>
  </si>
  <si>
    <t>That they're smelly, hard to clean, and "look gross"</t>
  </si>
  <si>
    <t>That you're less likely to get an std</t>
  </si>
  <si>
    <t xml:space="preserve">Lack of understanding of the foreskin </t>
  </si>
  <si>
    <t>The foreskin I not just some extra skin, it's 30-50% of the penile tissues and has many functions.</t>
  </si>
  <si>
    <t>Its such a harmful practice and yet somehow everyone here thinks its normal and even good to do</t>
  </si>
  <si>
    <t xml:space="preserve">I like them, they're unique </t>
  </si>
  <si>
    <t>I can't remember exactly. I know I've felt that something was missing for my ENTIRE life (I remember being very young, pushing the glans into the shaft skin thinking this is how it should be, I often had irritation of the glans, I must have been ~4yr old I told my mom I think something is missing from my penis) at first I wasn't sure about restoration but seeing people's progress online made me believe I can do it.</t>
  </si>
  <si>
    <t>It's all over the place really. Restoring makes me feel like im doing something to become whole again, but at the same time it forces you to think about your circumcision daily. This can become difficult mentally at times. It also made me extremely aware of every aspect of my genitals so I guess that's good to keep an eye on things (freckles and whatnot)</t>
  </si>
  <si>
    <t>At least consistent flaccid full coverage, ideally I'd like at least 3/4 covered when erect also.</t>
  </si>
  <si>
    <t>The sensation of my glans is not as good as I would like, and less than I hear most people describe. I can feel light touch but it’s not an exceptionally pleasurable experience, just ok. My remaining inner foreskin is quite pleasurable and reasonably sensitive to touch.</t>
  </si>
  <si>
    <t>Fast build up, a short final release - it sort of sneaks up as it comes as a fast wave and from initial to end takes maybe 10 seconds. Continuing the “act” after orgasm feels very sensitive and pleasurable, and can continue for 5 minutes after.</t>
  </si>
  <si>
    <t>When I first started getting erections in puberty, they were tight and uncomfortable - almost painful, and felt very stretched. Due to this masturbation was difficult and sometimes hurt - it was only when I found porn and saw cut males using it that I tried it myself, and continued that way for some time. Since then my skin has loosened, and I have encouraged that to the point that I can now masturbate to completion without, although still use lube whenever available. It’s just handy if caught out.</t>
  </si>
  <si>
    <t xml:space="preserve">As most of my peers are uncut, I often need to give a little guidance how to operate a cut penis, but they’re quick to understand so I don’t feel communication is difficult </t>
  </si>
  <si>
    <t xml:space="preserve">Ugh.  I guess it “solved” the phimosis which didn’t need solving in the first place, and some guys do find it interesting/unique as it’s not so common in guys my age. There’s a certain aesthetic to it, though there’s a certain aesthetic to a nice uncut one too. </t>
  </si>
  <si>
    <t>Less sensation. Worse function. The scar which is there forever, even if I restore. Feeling something is missing. The recovery, oh my god, the recovery, my glans was still uncut level sensitive and it rubbed on everything! Then it lost that feeling. I can remember how it felt before, but never got to have sex with a foreskin, I want to know how much better it is! Knowing it wasn’t really necessary, and newer knowledge shows it likely didn’t even need treatments as it’d resolve itself. I really don’t like any part of the whole deal!</t>
  </si>
  <si>
    <t>Phimosis (Medical need)</t>
  </si>
  <si>
    <t xml:space="preserve">Tight with a small ring of inner foreskin left, no frenulum and a noticeable scar. </t>
  </si>
  <si>
    <t xml:space="preserve">I remember how sensitive the head of my penis was before and immediately after getting cut. It was uncomfortable being exposed all the time, but there’s a reason it feels that way outside sex - it’s meant for sex! So Im missing out on what sex should feel like. </t>
  </si>
  <si>
    <t>Pretty much straight after. It wasn’t really explained to me, just that the “little tightness problem” was going to be “fixed”. Which to 8yo me, sounded like making it looser! Then I wake up with my dick hurting and part of it missing!! Recovery sucked, still hated it. It started to feel more comfortable and didn’t actively bother me, but I still disliked that it happened. Then painful erections during puberty and I realised, I’ve actually been broken. I’ve never really felt “happy” about it!</t>
  </si>
  <si>
    <t>Tight skin affecting erections, yes! Also, the killing off of a whole lot of my pleasure!</t>
  </si>
  <si>
    <t>If it’s not causing immediate pain or complications, leave it! Being tight is OK, and it can always be done later, but can’t be undone. Also, your family doctor has been operating in a small town since he circumcised dad, the guy is not up to date on modern medical information and should be met with criticism when his first and only suggestion is “let’s just cut it off!”</t>
  </si>
  <si>
    <t>Felt physically uncomfortable or experienced complications, Significantly dissatisfied with sensation, function, or appearance, Motivated by research or learning about intact anatomy/function, Experienced feelings of loss, grief, or anger</t>
  </si>
  <si>
    <t>Improve sexual pleasure/orgasms, Improve gliding mechanics/reduce need for lube, Achieve glans coverage and dekeratinization, Increased overall sensitivity, Feel more 'natural' or 'whole', Reclaim what was taken, Regain gliding motion</t>
  </si>
  <si>
    <t>Manual tugging</t>
  </si>
  <si>
    <t>It hasn’t come up, but if it did I don’t think I’d try to keep it secret. I just don’t usually bring up my penis in general conversation!</t>
  </si>
  <si>
    <t>The part where my remaining foreskin bunches against the rim of my glans when “cold” feels far more pleasurable and sensitive than the rest of my glans now! But as most of the head remains uncovered, there is no difference there.
I no longer have a frenulum.</t>
  </si>
  <si>
    <t>No, but as previously noted it is easier to get there without lube.</t>
  </si>
  <si>
    <t>I usually take uncut to mean “has a foreskin”, but “cut” or “circumcised” to mean “has undergone removal of foreskin”. So someone restored could be both I guess! Personally, I am cut, and even if I got full coverage restoring would still be “cut”, though if it looked uncut, might use “not-cut” or restored. On others, I’ll call them how they wish to be referred. Or just not label them, I can describe them “he has a restored foreskin”</t>
  </si>
  <si>
    <t xml:space="preserve">Challenging - feeling the time and effort required is worth it for an ok but not fully restored penis, and staying motivated. 
Rewarding - I can jerk it without lube if I need to. </t>
  </si>
  <si>
    <t xml:space="preserve">If you want it you gotta just keep going. </t>
  </si>
  <si>
    <t xml:space="preserve">I expect if it is available in my lifetime it will be prohibitively expensive for me and I’ll never get it. </t>
  </si>
  <si>
    <t xml:space="preserve">Though not common, infant circumcision is seen as cosmetic/tradition, while childhood is seen as medical, and adult cosmetic again. We did not have many Jewish/muslim people in the small town so it wasn’t assumed to be religious. </t>
  </si>
  <si>
    <t xml:space="preserve">Unsure, actually, I’d say there was a lack as my father’s generation was more likely cut at birth, so info wasn’t “passed on” as such. </t>
  </si>
  <si>
    <t>They work just as well?</t>
  </si>
  <si>
    <t>Complicated. Ok so, people who are exposed to porn often see cut as something special or more “sexual”, so will prefer those, but people who are initially exposed to more intact ones feel this is the norm. But then again, that can also lead to them finding cut ones more interesting. I’ve heard some say they prefer uncut as cut doesn’t glide as comfortably, and others say they prefer cut as it goes rougher and gives more intense sensations to the partner, and others still that say they prefer cut skin friction is more uncomfortable. So ugly really does depend!</t>
  </si>
  <si>
    <t xml:space="preserve">Don’t assume he will like it. </t>
  </si>
  <si>
    <t xml:space="preserve">While I agree, I feel using this term may not properly express the issues. Be specific, make them face their decisions. It’s a non- consensual procedure, and has risks and harms while the “positives” have been disproven over and over. </t>
  </si>
  <si>
    <t xml:space="preserve">South Australia </t>
  </si>
  <si>
    <t>I never took it “seriously”, it was always sporadic, so it was when I found out it existed that I thought “I’ll give it a try”</t>
  </si>
  <si>
    <t>Actually, got worse slightly. Beforehand I disliked being cut, but “it is what it is” and I assumed there wasn’t a way to fix it. Now I know there is, but it takes a long time and dedication so it’s not “unfixable”, now the reason I’m not covered is my own fault. That sucks. If it was a bit quicker or easier, and progressed quickly enough to keep me motivated, it would probably do wonders… and of course if I wasn’t cut in the first place, none of this would be an issue at all!</t>
  </si>
  <si>
    <t>As far as “complete”, getting my whole foreskin back! But that’s not possible, and Im not exactly dedicated, so I’ll likely keep doing little bits as I take an interest again forever. As far as just length, I have liked long foreskins for a long time so I’d probably keep going until it started to look silly!</t>
  </si>
  <si>
    <t>Fisherman/Hunting guide</t>
  </si>
  <si>
    <t>Experience a wide variety of fine touch sensations, etc.  vibration, temperature, gentle airflow, gentle water spray.</t>
  </si>
  <si>
    <t xml:space="preserve">Gradual, and in no hurry, ending with a breathtaking whole body orgasm.  With verbal expressions of total release (mostly involuntary) and a magical feeling of completeness. </t>
  </si>
  <si>
    <t xml:space="preserve">Between the wonderful natural effects of having a very mobile prepuce covering my glans, and my own precum.  I can’t imagine a need for anything else, unless my lover didn’t have enough. </t>
  </si>
  <si>
    <t xml:space="preserve">Lived with circumcision for over 1/2 a century.  Back then, there was a lot of a seemingly disconnect. I’m now fully restored and it’s been a game changer. </t>
  </si>
  <si>
    <t xml:space="preserve">THERE ARE NONE! </t>
  </si>
  <si>
    <t>All of the previously mentioned problems.  And there were many. There was disappointment with masturbation; Then the extreme confusion with PIV, when in a loving relationship.  Even though there was an extremely positive and otherwise satisfying relationship.</t>
  </si>
  <si>
    <t xml:space="preserve">There should have been an N/A option.  My parents were both opposed and informed the doctor.  But the bastard did it anyhow! </t>
  </si>
  <si>
    <t xml:space="preserve">Mine was probably ‘normal’ for a circumcision during WW II.  But all circumcisions are botched and unnecessarily dangerous surgical procedures, resulting in a mutilated sex organ, or worse. </t>
  </si>
  <si>
    <t xml:space="preserve">Sometime after regaining numerous improvements in my sexuality, I realized that I was solving my many physical &amp; mental issues, with having been sexually mutilated.  But I then realized that I would never regain one minute of the lifetime lost, when I was was only experiencing phantom sex. </t>
  </si>
  <si>
    <t xml:space="preserve">Had been diagnosed with ED. When my doctor didn’t have a solution, I concluded that I would fix it or die trying.  This was in the late 1990’s. </t>
  </si>
  <si>
    <t xml:space="preserve">Manual methods, combined with DIY devices. And finally, after acquiring a real computer &amp; getting online, I discovered that I wasn’t the only one that thought restoring was possible, and that Chuck Torres was producing a device.  So I ordered a DTR, and it was what I had needed all along. </t>
  </si>
  <si>
    <t xml:space="preserve">All the above, including most doctors &amp; nurses that I’ve been in contact with. And everyone else that would listen.  I’ve experienced almost all of them being naysayers, until recent years. </t>
  </si>
  <si>
    <t xml:space="preserve">The glans now experiences pleasurable sensations (it didn’t before). But I now have lots of wonderful experiences from all manner of fine touch experiences. Plus that of temperature changes, vibrations, gentle water spray. And of course almost anything a lover does to it.  The frenulum area is still quite numb. </t>
  </si>
  <si>
    <t xml:space="preserve">Before being diagnosed with ED, I had only experienced phantom sex.  That resulted from a combination of an apparent boatload of sex hormones; a powerful desire for, and appreciation for female intimacy. But lacking the foreskin ‘brain’, aka the so-called ridged band.  There was no way to ever feel completely satisfied, from just the absolutely necessary need for companionship, and that of ejaculation. </t>
  </si>
  <si>
    <t xml:space="preserve">Restored, or neo-intact.  Call it anything, as long as people realize how wrong circumcision is. And that there’s strong evidence, that in most cases, it can be fixed, or at least significantly improved/restored. </t>
  </si>
  <si>
    <t xml:space="preserve">Putting up with all the naysayers and that’s been especially problematic when dealing with medical ‘professionals’.  The most rewarding part has been mental.  That was especially true when I realized the positive effects that restoring had on my wife of thirty+ years, and our improved marital relationship. </t>
  </si>
  <si>
    <t xml:space="preserve">Understand yourself and your needs.  If you’re asexual, you may not benefit from having a prepuce and all its  wonderful attributes.  Otherwise, do your due diligence and then don’t let anything discourage or hinder you from seeing it through, until you’ve achieved your goal. </t>
  </si>
  <si>
    <t xml:space="preserve">I’m skeptical of any sexual related surgeries.  Perhaps a future discovery in DNA manipulation, might just discover a way to genetically trigger the necessary mitosis, without having to tension the remaining tissue for years.  </t>
  </si>
  <si>
    <t xml:space="preserve">There didn’t seem to be any local position, one way or the other.  That was likely due to religion and the suppression of discussions related to anything sexual. </t>
  </si>
  <si>
    <t xml:space="preserve">They didn’t talk about it.  Only a few decades later, and the U.S. was still trying to jail people for publishing Playboy and Hustler magazines. </t>
  </si>
  <si>
    <t xml:space="preserve">Mass media, and especially the internet, and the ability for normal people to express their feeling’s and experiences.  Especially about our sex organs, our sexuality and our desires. Things like reddit subs; Facebook; Youtube, etc. are places where people are able to discuss their experiences and desires, and to learn from others.  Where before, narcissistic personality types generally controlled sources of information. </t>
  </si>
  <si>
    <t xml:space="preserve">That a healthy prepuce is essentially as normal, necessary and hygienic as any part of the vulva.  </t>
  </si>
  <si>
    <t xml:space="preserve">Brainwashing can turn reasonable people into monsters.  That’s what religion, and the sick circumfetish’s have done to billions of penises, for untold centuries,.  They’ve savagely removed the foreskin brain, aka the ridged band.  It’s the central nervous system that senses and communicates a persons sexuality throughout their body.  Without it, the brain in their skull doesn’t know how to interpret and respond to the many sexual triggers, leaving it in the state of a preputial tossed salad. </t>
  </si>
  <si>
    <t xml:space="preserve">It’s infuriating that the medical science seems to generally be so ignorant about human sexuality.  And especially so when researching information about the penis, and specifically the prepuce.  I suspect that’s due to a combination of things, starting with the suppressive nature of religious clans, in relation to the contradictory behavior on the subject of the sex organs.  
My experiences and assumptions, led me to believe that my ED, and many other earlier problems, were the direct result of having been circumcised.  I ‘had observed that certain species of critters could loose whole appendages and later regrow them; A skinny teenage girl could get obese, and/or pregnant.  Her body would modify for that condition and later return to pretty much its original state; Some cultures modified their lips, ears, necks, skulls, etc. So what allowed those things to happen.  And why wasn’t that a possibility for someone missing their prepuce?
My conclusion was that it just needed the proper trigger.  That trigger turns out to be tensioning of existing tissues over an extended period of time. That instigates mitosis, which in this case,  is the dividing of stem cells.  Then our DNA instructs each cell to become a tiny part of whatever tissue is required at that particular location.  Over time, it results in the neo prepuce, that I and many others have attained, over years of tensioning (stretching) whatever amount of existing or regrown tissue’s.  Those tissues can and do consist of every part that would have existed in that location, had they not been previously cut off.  Of course, outside influences can delay or prevent some of those things from happening.  In my case, I can’t find any evidence that my penis isn’t presently, exactly what it would look, feel and function like today, if I had never been circumcised. That includes the neo preputial sphincter muscle that maintains my Stage 3 phimosis; My neo ridged band with all it new fine touch nerve ends.  And all the other mucosal tissues that now produce oils and compounds that lubricate and protect it and the glans, while harboring a healthy microbiome.  
For decades, I’ve promoted my thoughts and theories on this subject on RestoringForeskin.org ;  Facebook; Youtube; reddit @ r/restoring_foreskin  u/Restored2019  and other internet locations.  
And I want to thank you Accidental Intactivist, for the opportunity to add my two cents worth to this important project of yours. </t>
  </si>
  <si>
    <t xml:space="preserve">They appeared shortly after I had achieved minimal glans coverage.  Then, a few months later and they completely, and disappointedly disappeared. </t>
  </si>
  <si>
    <t xml:space="preserve">When the doc was unable to help cure my ED.  I concluded that the ED, along with other disappointing aspects of my sexuality, were likely due to having been circumcised (RIC).  That, and my observations of natural human body changes, and other things in nature, convinced me that regrowing my prepuce was possible. So I began trying to research the possibility, while experimenting with tensioning my remaining shaft tissue. </t>
  </si>
  <si>
    <t xml:space="preserve">Looking back to my early childhood, I’ve concluded that pre puberty, I was unaware that there was anything wrong. And yes, I knew that I was circumcised, and others were not. Then from puberty onward, it was clear that something important was missing, but I think that I tried to excuse my disappointment and convince myself that the right future lover would magically fix everything. That didn’t work. Being circumcised resulted in an almost constant hard-on, when there seemed to be no convenient or satisfactory solution.  It was so extreme that I occasionally considered cutting the damn thing off, if it would prevent the almost constant need.  I think that I finally realized that it would only make things worse, if I survived.  Now, I’m sure that Penile excision (penectomy) is just slightly more heinous than circumcision.  Neither removes testosterone, so both circumcision and penectomy, leaves a person with a fire, but nothing to quince the thirst. </t>
  </si>
  <si>
    <t xml:space="preserve">Initially, I was only trying to fix the Erectile Disfunction.  I didn’t fully understand what I was missing.  And I was only superficially aware of a few of them.  I didn’t know that I would regain over fifteen (15) physical and mental parts, substances and sensations. So, my goal kept changing, until I was fully restored, including Stage 3 phimosis, which is fantastic. </t>
  </si>
  <si>
    <t xml:space="preserve">The ‘doctor’ must have been a circumfetish. </t>
  </si>
  <si>
    <t>Basically as non existent during Sex. When we use a condom fe, i am Not able to feel anything and leeds to Frustration and/or tears Most of the time. We feel Like WE are Not connecting physically at all.</t>
  </si>
  <si>
    <t>IF. i reach an Orgasm it feels like inam Just releasing some pressure, i dont feel very satisfied by my Orgasms.</t>
  </si>
  <si>
    <t>IT feels like sticking Something into my partner, that doesnt belong to my Body. Most of the sexual arousal at this Point is visual.</t>
  </si>
  <si>
    <t>There are NONE in my opinion</t>
  </si>
  <si>
    <t>No Feeling during Sex, therefore struggling with ed, being laughed at as a teen when i was having my First sexual experiences.</t>
  </si>
  <si>
    <t>Prophylactic Health Reasons (General Prevention): Belief that it prevents potential future health problems (e.g., infections, inflammation, later penile issues) that were not currently present., Prophylactic Health Reasons (Specific Disease Prevention - e.g., Cancer, STIs, HIV, UTIs): Belief that it lowers the risk of specific diseases later in life (e.g., penile cancer, certain sexually transmitted infections like HIV or HPV, infant urinary tract infections - UTIs).</t>
  </si>
  <si>
    <t>Lack of Counter-Information: Crucially, the simple absence of any strong, readily available information presenting the benefits of intactness or the risks of circumcision, making it an easy default choice. (The power of silence)., Institutional Medical Norm: The general belief that "this is just the standard procedure" at hospitals, making it a routine, unquestioned part of postpartum care. (The power of the system).</t>
  </si>
  <si>
    <t>Dry, almost No movable skin left.</t>
  </si>
  <si>
    <t>How Sex feels when you feel physical arousal and therefore get a full erection</t>
  </si>
  <si>
    <t xml:space="preserve">Whenever i am sexualy frustrated and ever since i reached the Teenager age </t>
  </si>
  <si>
    <t xml:space="preserve">Dont do it, you are ruining your Childs sexuality </t>
  </si>
  <si>
    <t>Everyone seems to know, that Male circumcisation isnt affecting the sexual funtionality of men, even tho we do know it does for multiple decades.</t>
  </si>
  <si>
    <t xml:space="preserve">That it does have the same effects as female circumcisation </t>
  </si>
  <si>
    <t>Because it is a horrible Thing, that is strongly normalized by culture and medical voices.</t>
  </si>
  <si>
    <t>Absolutely</t>
  </si>
  <si>
    <t>North-Rhein-Westfalia</t>
  </si>
  <si>
    <t>Bavaria</t>
  </si>
  <si>
    <t>Complete penis and unmodified feelings</t>
  </si>
  <si>
    <t>School bullying</t>
  </si>
  <si>
    <t>Growing up with everybody around me being circumcised it made me stand out.</t>
  </si>
  <si>
    <t>Primary doctor attempted retraction multiple times when I was young.</t>
  </si>
  <si>
    <t>When it was found out I was uncut in high school, I was often called out on it.</t>
  </si>
  <si>
    <t>Sensations.</t>
  </si>
  <si>
    <t>uncut or intact</t>
  </si>
  <si>
    <t>They were dirty, weird, etc.</t>
  </si>
  <si>
    <t>They were clean and manly.</t>
  </si>
  <si>
    <t>yes. Girlfriends didn't see them as normal.</t>
  </si>
  <si>
    <t>I first officially learned about circumcision during a church-led sex-ed class at around age 12.  All I could think was, "if we are created in God's image, why do we do this?"  That experience solidified my stance against religion and circumcision.</t>
  </si>
  <si>
    <t xml:space="preserve">I am atheist, and have been for a very long time.   </t>
  </si>
  <si>
    <t>The "restored" part of my "foreskin" is most sensitive, especially on the underside.</t>
  </si>
  <si>
    <t>Meh.</t>
  </si>
  <si>
    <t>I only use lubrication for anal sex or sex with a sex toy.</t>
  </si>
  <si>
    <t>Not being a complete, natural human male, with everything that comes along with that.</t>
  </si>
  <si>
    <t>Parent's General Preference: Parents simply preferred the circumcised appearance or state without specific medical, religious, or cultural reasons being primary.,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Just standard practice: Based on observing its prevalence, assumed it was the default medical procedure without a specific individual reason., Medical Advice (without stated necessity): Recommended by a doctor or healthcare provider without explaining a specific existing medical problem, perhaps framing it as routine or generally beneficial., I _strongly_ believe that my mother wanted it done as a sign of belonging to a certain "class".  And that my father wanted it done because he was circumcised.  He was born in 1940.  His father, born in 1903 in rural Louisiana, of German immigrants, was certainly not circumcised, but my father denies knowledge of his father's circumcision status.  One time, my mother came across her half-brother's hospital birth record, and specifically pointed out the charge for circumcision in 1934.  I believe it was $3.50.  I have since looked for this record and have been unable to find it.</t>
  </si>
  <si>
    <t>Institutional Medical Norm: The general belief that "this is just the standard procedure" at hospitals, making it a routine, unquestioned part of postpartum care. (The power of the system)., Popular Media &amp; Parenting "Experts": Information or attitudes transmitted through widely-read parenting books (like Dr. Spock in earlier eras), magazines, or other mainstream media. (The power of mass media)., Lack of Counter-Information: Crucially, the simple absence of any strong, readily available information presenting the benefits of intactness or the risks of circumcision, making it an easy default choice. (The power of silence).</t>
  </si>
  <si>
    <t>some motile skin</t>
  </si>
  <si>
    <t>everything.</t>
  </si>
  <si>
    <t>I have not personally, but I have recommended to two partners they have their skin bridges from circumcision addressed by a urologist.</t>
  </si>
  <si>
    <t>The theft of what is normal, natural and whole.  I could not consent to this cosmetic surgery.  The indifference and nonchalance of those who perform it.  Since I was mid-teens, I've felt this way.</t>
  </si>
  <si>
    <t>Tears of the shaft skin when I was a teenager and early 20's.</t>
  </si>
  <si>
    <t>FUCK YOU, YOU BABY MUTILATORS!</t>
  </si>
  <si>
    <t>Felt physically uncomfortable or experienced complications, Significantly dissatisfied with sensation, function, or appearance, Experienced feelings of loss, grief, or anger, I fucking hate being circumcised.  As a gay man who has experienced what pleasure and being intact brings, I have nothing but hate for people who support circumcision.</t>
  </si>
  <si>
    <t>Heal psychological trauma, Improve sexual pleasure/orgasms, Regain gliding motion, Achieve glans coverage and dekeratinization, Increased overall sensitivity, Feel more 'natural' or 'whole', Improve gliding mechanics/reduce need for lube, Reclaim what was taken</t>
  </si>
  <si>
    <t>Started with T-Tapes.  Moved on to DTR.  Now use Mantor.  Have tried others.</t>
  </si>
  <si>
    <t>Yes.  A few guys asked if I was "uncut".  My family doesn't know specifically, however, I have told them that I hate that they had me circumcised.  They were miffed.  "I'm sorry you feel that way."</t>
  </si>
  <si>
    <t xml:space="preserve">Yes.  There is significantly more sensation.  It is lots less bad than it used to be.  </t>
  </si>
  <si>
    <t>I really don't know.</t>
  </si>
  <si>
    <t xml:space="preserve">I had not considered co-opting these terms.  Personally, I think that society cannot comprehend this change.  </t>
  </si>
  <si>
    <t xml:space="preserve">I have a stretch mark on my "inner foreskin remnant".  I believe this has significantly slowed progress.  </t>
  </si>
  <si>
    <t>Don't wait, start now.  And that I hope your skin isn't as stretchy as mine.</t>
  </si>
  <si>
    <t>I wish them the best.</t>
  </si>
  <si>
    <t>cultural/medical norm</t>
  </si>
  <si>
    <t>nothing.</t>
  </si>
  <si>
    <t>they weren't "weird" or "gross".</t>
  </si>
  <si>
    <t>Experience with intact partners.</t>
  </si>
  <si>
    <t>It is NOT your choice.  A scar on a penis is not NORMAL or a thing that should be accepted.  It is extremely traumatic for the baby.  Medical "professionals" lie about the pain experienced by boys undergoing circumcision.  There are NO benefits to circumcising infants - it is just the opposite.  It is WRONG.</t>
  </si>
  <si>
    <t>I had a few once, but not currently.  It made me feel more "whole".  This was a few years ago during my restoration journey.  I once encountered a guy who had a whole lot, and it didn't bother me.  He was intact.  It seemed like he was very self-conscious about them, so I made it nonverbally clear they didn't bother me one bit, because they are normal and natural.</t>
  </si>
  <si>
    <t>I don't think so, but at the time, I had relatively recently experienced sex with intact men.</t>
  </si>
  <si>
    <t>It is less bad.  I don't hate my penis as much.</t>
  </si>
  <si>
    <t xml:space="preserve">I have a mostly covered glans while soft at a small state.  At a more average soft state, the skin rolls back.  I would like to achieve full soft coverage of the glans at a normal soft state.  </t>
  </si>
  <si>
    <t>It will become less common as men grow with the knowledge of what was stolen from them, and they don't want to pass this on to their children.  Women will take longer to convince, because of the "dirty" or "gross" stereotype, and not having a penis... they feel more detachment from being mutilated.</t>
  </si>
  <si>
    <t>everywhere</t>
  </si>
  <si>
    <t>not comfortable</t>
  </si>
  <si>
    <t>I don't need lube for my penis. I am uncut.</t>
  </si>
  <si>
    <t>I have great sensation and love the glide.</t>
  </si>
  <si>
    <t>I never had a refusal, but I think a couple guys were put-off a bit.</t>
  </si>
  <si>
    <t>10-12 years old</t>
  </si>
  <si>
    <t>It makes all the difference.</t>
  </si>
  <si>
    <t>Very sensitive.</t>
  </si>
  <si>
    <t>As God created.</t>
  </si>
  <si>
    <t>dry</t>
  </si>
  <si>
    <t>Kenya</t>
  </si>
  <si>
    <t>Note: I'm circumcised.  As a teenager and young adult, the inner foreskin cuff and frenulum remnant provided exquisite sensation, but this gradually diminished over time to the point where those sensations disappeared in my 6th decade and by age 60 I was having trouble eliciting an ejaculation.</t>
  </si>
  <si>
    <t>There was really no "journey" and orgasm was just a brief pleasurable release. Picture driving through a tunnel with the expectation of light. Then suddenly you are in bright sun before driving into the next tunnel.  One thing I have to say is that my orgasms never seemed to be anything like as intense as those that I observed in my female partners - they had a gradual build up of intensely pleasurable feeling, culminating in an almost out of body explosion of pleasure that lasted about five times longer than what I experienced.</t>
  </si>
  <si>
    <t>It stands to reason - I was "blessed" with a tight circumcision with virtually no skin mobility.</t>
  </si>
  <si>
    <t>Some women had not realized that the only really sensitive part was the frenulum remnant.</t>
  </si>
  <si>
    <t xml:space="preserve">Absolutely none!!  </t>
  </si>
  <si>
    <t xml:space="preserve">Physiological impact includes steadily declining physical sensation leading to intermittent anejaculation at age 60, then onset of ED at 65,  and by 74, total ED (only partial erection possible even with the use of Cialis or Viagra) and very rare orgasm/ejaculation.  My sex life is virtually over now, which frustrates me immensely, as I'm still in good shape with excellent testosterone levels. From what I have read, these types of handicaps do not happen to intact men until much later in life, if at all.
I first discovered that I had been circumcised at the age of 6 in the communal shower room on my first night in a boarding school.  I was absolutely horrified at the realization that this had been done to me.  I was envious of the intact boys.  An intense curiosity was instilled in me as to what had happened, and more importantly WHY?   My search for information in every library I came across yielded next to nothing and the first written account of any value that I saw appeared in the Saturday Evening Post magazine in about 1980.  Of course, after getting access to the internet I found lots of information.  All of it dispiriting.  
From a psychological standpoint, being circumcised has caused me more distress than any other event in my life.  I grew very resentful that I had been subjected to this sexually damaging, and totally bizarre, surgery.  I feel violated in a very personal way.  It IS a sexual assault, despite many claiming otherwise.  I don't blame my mother as I realize that she had zero access to information and was given bad advice.  I do blame the doctor.  All he needed to do was quietly tell my mother that it wasn't necessary, and I'm sure it would not have happened.
This has caused me to distrust the medical establishment.  I can't even walk into a hospital to visit someone without my blood pressure going sky high - I'm talking about a systolic reading around 190!
</t>
  </si>
  <si>
    <t>Lack of Counter-Information: Crucially, the simple absence of any strong, readily available information presenting the benefits of intactness or the risks of circumcision, making it an easy default choice. (The power of silence)., Family Tradition/Pressure: The expectation from grandparents or other influential relatives; the idea that "it's what the men in our family have always done." (The power of heritage).</t>
  </si>
  <si>
    <t>My shaft skin is very tight, with barely a wrinkle, even when flaccid.  I also have a Grade 2 penoscrotal web.  The scar is quite prominent as I have a good cuff of inner foreskin (equivalent to about 2/3 the length of the glans)  I also was left with a large segment of my frenulum (Thank goodness, because I would have been impotent without it!)</t>
  </si>
  <si>
    <t>The far superior sensation. The gliding motion afforded by fully mobile skin during both masturbation and intercourse.  The additional nuances for sexual play.  The emotional benefit of feeling "whole".</t>
  </si>
  <si>
    <t>At age 60 I began to suffer from intermittent Anejaculation and my doctor (A very empathetic English lady) sent me to a urologist. He thought that I might have scar tissue that was interfering with the pudendal nerve and prescribed daily application of Verapamil cream to mitigate it.  In the meantime my doctor heard about ultrasonic treatment for Peyronies disease and asked if I would consider trying that. I did, for 3 months. After 3 years of no improvement, I gave up.</t>
  </si>
  <si>
    <t>As a child, I envied the intact boys. Later on I developed a sense of loss and a feeling of not being "whole".  I always regretted my circumcised status because I instinctively knew that I was missing something important. As I grew older and information became available about the form, function and value of a foreskin , I became a lot more angry that I had been subjected to it and my distrust of the medical community, who view circumcision so casually grew stronger.  These days it is viewed by many as a violation of a mans basic human rights - and I wholeheartedly endorse that sentiment.</t>
  </si>
  <si>
    <t>Loss of so much sensation that has resulted in anejaculation and severe ED.</t>
  </si>
  <si>
    <t>Didn't it seem a rather bizarre surgery to subject a baby to?  Just because my grandfather had an issue with his foreskin doesn't mean that I would have. And besides I'm not sure that his problem was dealt with in the best way anyway.  Nature does not make mistakes!</t>
  </si>
  <si>
    <t>Growing up in a boarding school where about 2/3 were circumcised and 1/3 intact (open communal shower rooms) it seemed to just be accepted that there were two types of penis. Incidentally, through 12 years in such schools, I never witnessed one incident of teasing based on circumcision status.  Even though my father was circumcised, I don't think he had any preferences, especially considering where and when he was born, circumcision was rare. I really wish I had asked what his views were.  I believe that save for my grandfathers, well meaning, but erroneous advice that my mother might very well have left us intact.</t>
  </si>
  <si>
    <t>No assumptions that I was aware of.</t>
  </si>
  <si>
    <t>Over the last 50 years there has been a shift from the majority being circumcised to a majority being left intact.  I suspect that most people have been exposed to both.</t>
  </si>
  <si>
    <t>The form, function and sexual value of a foreskin.  Conversely the loss of function caused by foreskin amputation.</t>
  </si>
  <si>
    <t>Circumcision has always been about control. In religious circles to permanently mark a child in his parents religion before he is old enough to choose for himself. In short, coercion.  In secular circles it is , for the medical establishment, a  solution looking for a problem in order to perpetuate a very lucrative sideline.  Those that endorse circumcision have come up with all kinds of devious excuses and reasons in order to convince parents to circumcise their sons.</t>
  </si>
  <si>
    <t>Unfortunately circumcision is a difficult topic to bring up and discuss - mostly for fear of ridicule or embarrassment.  However as ever more circumcised men get the courage to speak out about their displeasure of being mutilated, the cultural norm will change.  There are far more men who are distressed over their circumcision that is generally understood, simply due to their suffering in silence.  I also think the media has played a dishonest role in normalizing and perpetuating this bizarre custom .  Finally, the medical community must be held accountable for their role.</t>
  </si>
  <si>
    <t>Possibly an essay</t>
  </si>
  <si>
    <t>I was circumcised on the advice of my maternal grandfather.  He had been born in Ireland and was, of course intact.  However he told my mother that at the age of 12 he had to be circumcised because his foreskin got so tight that he couldn't pee.  This has never made any sense to me and I believe that he probably suffered a paraphimosis. In any case, due to his experience he recommended that it was better to circumcise in infancy rather than face it at a later time in life.</t>
  </si>
  <si>
    <t xml:space="preserve">overall pretty good, the glans, inner foreskin and circumcision scar are most sensitive </t>
  </si>
  <si>
    <t>I feel like the build up is sustained over time and is very good once orgasm is reached</t>
  </si>
  <si>
    <t xml:space="preserve">sensation with no lube is okay, but enjoy using lubricant </t>
  </si>
  <si>
    <t>Looks nicer, easier to care for. I would be more proud to show my penis in public circumcised vs uncircumcised. Don't feel there has been any real loss of pleasure</t>
  </si>
  <si>
    <t>Overall no issues, only drawback would be sometimes dry skin during winter</t>
  </si>
  <si>
    <t>I'm happy with appearance overall, it's a high and tight cut with a little skin mobility. The scar is pretty prominent, and I wish it was a bit less so but it's okay</t>
  </si>
  <si>
    <t>No, I feel like the blend of cut/uncut was fairly even in my age group so no stereotypes either way aside from the normal dick cheese type ones from uncut guys</t>
  </si>
  <si>
    <t>There are pros and cons to both sides. Make sure you have the information you need to make an informed choice and don't let people pressure you into making a choice one way or another</t>
  </si>
  <si>
    <t>While I can empathize with the idea that circumcision can do more harm then good, we have to realize that on both sides there are pros and cons. To my mind, it is the parents choice to do what they feel is best for their child, whether it be circumcised or uncircumcised. The most important thing I feel is that parents are given the information needed to make and informed choice.</t>
  </si>
  <si>
    <t>Was fairly straightforward, was not a big change in my opinion</t>
  </si>
  <si>
    <t>Make sure you have all the information and are making an informed decision</t>
  </si>
  <si>
    <t xml:space="preserve">That it has no bearing on sexual pleasure and it’s just cleaner </t>
  </si>
  <si>
    <t xml:space="preserve">Dick cheese and infections </t>
  </si>
  <si>
    <t xml:space="preserve">Low risk of infections </t>
  </si>
  <si>
    <t>It was a mix; there was no strong expectation either way.</t>
  </si>
  <si>
    <t>Ethical beliefs about bodily autonomy and a child's right to consent, Information about the functions and sensitivity of the foreskin, Lack of a clear medical necessity for the procedure, Independent research (documentaries, articles, online communities)</t>
  </si>
  <si>
    <t xml:space="preserve">The choice should belong to the owner of the penis </t>
  </si>
  <si>
    <t xml:space="preserve">Just when I first learned what the procedure was I was horrified </t>
  </si>
  <si>
    <t>System administrator (it)</t>
  </si>
  <si>
    <t>This was largely taught 'what Christians do' without it being a tenet of the faith. Despite Christians explicitly not needing to circumcise, it was culturally assumed that they would anyway.</t>
  </si>
  <si>
    <t>Glans and shaft are least sensitive. Frenulum remnant is most sensitive. Light touch only works on frenulum remnant, everything else requires significant pressure or friction.</t>
  </si>
  <si>
    <t xml:space="preserve">Buildup is extremely slow, and difficult to gain momentum. Sensation is brief, largely internal (pelvic floor maybe?), and reflexive. </t>
  </si>
  <si>
    <t>Sex or masturbation without lubricant is functionally impossible, it would cause serious chafing/burning before I ever approached climax.</t>
  </si>
  <si>
    <t>(gray) Asexuality may play a significant role, but in my rare partnered experiences, I have been unable to teach them the specific touch I need, or they have been unable to sustain long enough for it to matter. I have never achieved orgasm with a partner because of this.</t>
  </si>
  <si>
    <t>Painful erections, disgust at the scar tissue, difficulty cleaning 'pockets' in the scar. I've always experienced a sense of loss and violation that it was forced upon me - I consider myself a victim of infant genital cutting.</t>
  </si>
  <si>
    <t>Prominent, jagged scar. Asymmetrical, tighter on one side, causing curvature. Tight enough to cause discomfort and pain when erect. Absolutely no mobile skin.</t>
  </si>
  <si>
    <t>Sensation, and aesthetic wholeness.</t>
  </si>
  <si>
    <t>They first emerged when I learned what circumcision truly was (I spent my early years under the impression it had been curing a deformity that was unique to me). The largest factors are the loss of autonomy, the sexual nature of the harm, and how deeply personal and private that choice should have been to me alone.</t>
  </si>
  <si>
    <t>Tight skin, painful erections, urinary spraying, prominent scarring.</t>
  </si>
  <si>
    <t>I wish you had respected me enough to spend any time, whatsoever, researching the practice, even if you came to the same decision. I wish you had spent any time considering that I was a real person who would one day have to live with your choice.</t>
  </si>
  <si>
    <t>Significantly dissatisfied with sensation, function, or appearance, Felt physically uncomfortable or experienced complications, Experienced feelings of loss, grief, or anger, Subjective feeling of sexual violation and emasculation.</t>
  </si>
  <si>
    <t>Regain gliding motion, Feel more 'natural' or 'whole', Improve gliding mechanics/reduce need for lube, Reclaim what was taken, Improve sexual pleasure/orgasms, Increased overall sensitivity, Achieve glans coverage and dekeratinization, Heal psychological trauma</t>
  </si>
  <si>
    <t>Manual methods and air devices (priva).</t>
  </si>
  <si>
    <t>Only my closest male friends know. One was shocked to learn it was possible, and interested. The other was shocked, and thought it was too much work. Both expressed regret at their own circumcisions.</t>
  </si>
  <si>
    <t>No explicit difference in sensitivity itself, but gaining mobile skin and some glide capability has radically improved my experiences.</t>
  </si>
  <si>
    <t>I've found my orgasms easier to achieve, and more pleasurable.</t>
  </si>
  <si>
    <t>I've always preferred the term 'intact' over uncut or uncircumcised (as those terms place the baseline around circumcision), though I don't know if I'll use that term once I'm finished restoring. I suppose I likely will, especially in colloquial settings where I don't want to explain the nuance, but I'll likely say 'restored' when it's relevant.</t>
  </si>
  <si>
    <t>The most challenging is the mental aspect. For me, restoration is fundamentally a form of direct and prolonged engagement with my circumcision - something I spent a long time mentally avoiding. That's made my feelings around it stronger, and that's been difficult. At this stage in my journey, everything is rewarding - erections no longer hurt, my curve has relaxed, every new wrinkle feels like a mile on the path to wholeness.</t>
  </si>
  <si>
    <t>Do it. If you're even considering restoring, it means implicitly that you're unhappy with what was done to you - so fix it. It may be somewhat inconvenient, but so is brushing your teeth or going to the gym. Give your body the love and care it deserves.</t>
  </si>
  <si>
    <t>I expect we are a long way off from any actually coming to market, though I have faith that they will. When they do come to market, I imagine they will be very cost prohibitive, but I still expect they will have clients.</t>
  </si>
  <si>
    <t>The stereotype was always that foreskins were inherently disgusting, and clean, and unappealing.</t>
  </si>
  <si>
    <t>That they're cleaner.</t>
  </si>
  <si>
    <t>I largely think it stems from self-perpetuation - men were circumcised to 'be cleaner and more attractive', so they assume that as true and repeat it.</t>
  </si>
  <si>
    <t xml:space="preserve">That the myth of 'help thank you later, its better, men don't complain' is, in fact, a myth. </t>
  </si>
  <si>
    <t>I absolutely agree. FGM was legal in the United States until 1997 - incredibly recent, at scale. MGM is now it's shadow, seen by all but acknowledged only rarely, while objectively being wrong for the exact same fundamental reasons.</t>
  </si>
  <si>
    <t>I would write an essay if it was wanted.</t>
  </si>
  <si>
    <t>They don't bother me.</t>
  </si>
  <si>
    <t>I had wanted to as soon as I learned it was possible, but I had doubts about the efficacy, and the hassle/time investment seemed absurdly high. I also worried that results would be unsatisfying. As it became more popular and information became more abundant, I realized all my concerns were unfounded, and that if I had just started when I first discovered it, I would have made significant progress already.</t>
  </si>
  <si>
    <t>I now have a healthier relationship with my penis. I still feel damaged, but I see the damage fade every day - the harm was a choice others made for me, and the healing is a choice I get to make for myself. That's incredibly empowering.</t>
  </si>
  <si>
    <t>Flaccid coverage at a minimum, and then I suppose I'll stop when I feel I look truly natural.</t>
  </si>
  <si>
    <t>I believe it will be outlawed.</t>
  </si>
  <si>
    <t xml:space="preserve">It mostly all feels the same, but since I started restoring, the added mobility of skin glide has been wonderful </t>
  </si>
  <si>
    <t xml:space="preserve">Build up is generally slow until it isn't. At a certain point, it suddenly spikes and I can't control it and I'll spontaneously ejaculate, or suddenly lose all interest and go flaccid </t>
  </si>
  <si>
    <t>I've never liked lube when masturbation, even when I was tightly cut. It always makes my skin too easily rubbed raw. I'll use it for penetrative sex, but generally prefer to use spit if I can get away with it. More natural.</t>
  </si>
  <si>
    <t xml:space="preserve">Sensations can be rather inconsistent from moment to moment. </t>
  </si>
  <si>
    <t xml:space="preserve">The only positive would probably be the feeling of being "normal" in my culture, but no one ever really saw my penis through most of the time I would have cared </t>
  </si>
  <si>
    <t>Lack of sensation. Rubbing myself raw from lack of skin glide as a teen. After learning what was taken from me, plenty of anger and trauma. As I age, and still seeing an incomplete penis, it has started affecting my sexual confidence, leading to PE and ED.</t>
  </si>
  <si>
    <t>I had little shaft skin movement when soft. None while hard. Scar line is obvious but fairly even. Very little frenulum remaining.</t>
  </si>
  <si>
    <t>Literally everything. The flooding motion. Sensation of the skin snapping over to coronal ridge, the feel of the skin snug against the Unkeratinized glans. How light touch would feel grazing across all the parts that I lost. What it would feel like having a tongue slip in between the foreskin the glans.</t>
  </si>
  <si>
    <t xml:space="preserve">Started when I first learned about the difference between intact and circumcised. Increased when I learned what it meant I lost and had never known. Nowadays, I think about it every time I see an aggressive or poorly executed circumcision or an exceptionally attractive foreskin. To the cut jobs, I strongly grieve how much skin was taken from someone when I see a scar line halfway down the erect shaft </t>
  </si>
  <si>
    <t xml:space="preserve">Let me make the choice myself, when I'm old enough, unless there's a severe complication that can't be solved any other way </t>
  </si>
  <si>
    <t>Significantly dissatisfied with sensation, function, or appearance, Generally satisfied or hadn't thought much about it, Motivated by research or learning about intact anatomy/function, Experienced feelings of loss, grief, or anger, Curious about what might be different if intact</t>
  </si>
  <si>
    <t>Regain gliding motion, Improve sexual pleasure/orgasms, Achieve glans coverage and dekeratinization, Increased overall sensitivity, Feel more 'natural' or 'whole', Reclaim what was taken</t>
  </si>
  <si>
    <t xml:space="preserve">X-tape, -&gt; T-tape -&gt; canister tugging -&gt; DTR device. Now I try to manually tug every time I think about it and occasionally use my DTR, inflation, or other devices </t>
  </si>
  <si>
    <t xml:space="preserve">I've become more open about it to people as related topics come up. Many are curious to receptive. Only occasionally do I come across negative reactions, and those are usually more out of ignorance, frequently coupled with a lack of understanding why anyone would bother with it. It's too threatening for them to learn what they've lost, so they vehemently deny </t>
  </si>
  <si>
    <t xml:space="preserve">I know that I've found increased sensitivity, but I've been at this stage for long enough to have forgotten the specifics </t>
  </si>
  <si>
    <t xml:space="preserve">Not that I've noticed, other than it's far more pleasurable using rolling skin instead of brute friction </t>
  </si>
  <si>
    <t xml:space="preserve">I would prefer restored over intact or uncut. I want to let people know that it was important enough to me that I went thru the effort to restore after I was unwillingly circumcised.
I also don't like the term uncut, because it gives impression that being circumcised is the normal state, not being intact as a boy is born. </t>
  </si>
  <si>
    <t>Most challenging is definitely the incredibly slow progress, practically invisible as you go until you realize a new feeling or someone makes comment.
Most rewarding has been the increased function, the occasional comment of being loosely cut out the rare mistake that I'm intact. Best of all are the people who hear me talk about it and become curious.</t>
  </si>
  <si>
    <t xml:space="preserve">Start now. Go easy. Be consistent, even if you're not seeing any progress, because it's millimeters in months, not something that will be done overnight </t>
  </si>
  <si>
    <t>There's a lot of promise and hope attached to it, but the problem is the need for it in the first place. Culture needs to change so that technology isn't needed in the first place, but consequently, the need for that technology should show how important that "small bit of skin" is to men, if they're looking for ways to regrow it...even after never having it their entire life.</t>
  </si>
  <si>
    <t xml:space="preserve">Intact was dirty or difficult to keep clean </t>
  </si>
  <si>
    <t xml:space="preserve">They were ideal, clean, and healthy </t>
  </si>
  <si>
    <t xml:space="preserve">Pornography, aesthetics, and lack of experience </t>
  </si>
  <si>
    <t>The true, accurately represented studies of the supposed benefits of circumcision. (I'm looking at you, "10% less likely to get a UTI" going from 1% down to 0.1% chance of getting a UTI in their lifetime)</t>
  </si>
  <si>
    <t>It doesn't hit anything that people can easily identify with. It sound more click-bait to me.</t>
  </si>
  <si>
    <t xml:space="preserve">If gladly contribute for a documentary or similar project </t>
  </si>
  <si>
    <t xml:space="preserve">Never thought about it much except when they are more pronounced, then I worry if it's something I should worry about </t>
  </si>
  <si>
    <t>Foreskin has always fascinated me. When I started learning what was taken from me, I was angry and looked for ways to reverse the process. I eventually found methods of restoring and immediately went out to buy some medical tape to get started.</t>
  </si>
  <si>
    <t xml:space="preserve">Before I learned about it, I was apathetic. I thought it was how I was born. After learning what circumcision was, I felt some loss, but assumed it was done with good reason. Then I learned how weak that reasoning was and became angry. Restoring has let me reclaim a small sliver of autonomy that I was denied. Reclaiming skin mobility has been an accomplishment in grateful for, but there's a sadness at the length of time and effort required to get to my goal. To spend years of my life, constantly trying to convince my body to regrow what it thought it already fixed will enough is mentally exhausting, and when I don't have the fortitude to keep going, I get down on myself for not following they until I reach my goal. It's a vicious cycle </t>
  </si>
  <si>
    <t>50-50 psychological and physical. I want to look down and see a healthy, natural foreskin. I want to feel the skin sliding back and forth like it was meant to be. To feel the skin hugging my rod and it rolls back and forth over my head. I want to see that action both soft and hard to see the head just peaking out from its hood when fully hard. If I could have that, I would feel complete and allowed to be my full authentic self.</t>
  </si>
  <si>
    <t xml:space="preserve">Can feel light touch but just that it's touched. Otherwise fairly numb. </t>
  </si>
  <si>
    <t xml:space="preserve">A reflex that gives maybe 5 to 10s of pleasure </t>
  </si>
  <si>
    <t xml:space="preserve">As the UK doesn't have a strong cutting culture, I've regularly encountered partners who haven't been with a cut man. Often this creates awkwardness in describing how to use my penis. In addition I've been turned away by potential partners based on cut status as they find cut men more difficult and hard work to get to orgasm. </t>
  </si>
  <si>
    <t xml:space="preserve">None. It's miserable. </t>
  </si>
  <si>
    <t xml:space="preserve">Lack of sensation, difficulty connecting with people, sense of violation and loss. </t>
  </si>
  <si>
    <t xml:space="preserve">Medical Advice (without stated necessity): Recommended by a doctor or healthcare provider without explaining a specific existing medical problem, perhaps framing it as routine or generally beneficial., Alleged phimosis </t>
  </si>
  <si>
    <t xml:space="preserve">Low tight with frenulum intact. </t>
  </si>
  <si>
    <t xml:space="preserve">Gliding and protection of the glans. </t>
  </si>
  <si>
    <t xml:space="preserve">As I've got older it's got more numb and I've become distraught by my circumcision status. </t>
  </si>
  <si>
    <t xml:space="preserve">Don't. Let me choose in later life what happens. </t>
  </si>
  <si>
    <t xml:space="preserve">Used to hide my penis in locker rooms due to shame that I was cut </t>
  </si>
  <si>
    <t xml:space="preserve">Assumed I was Jewish. I'm not. </t>
  </si>
  <si>
    <t xml:space="preserve">Aesthetically it's scarred, ugly and the most intimate part of my body is constantly on display when I am nude. It's demeaning. </t>
  </si>
  <si>
    <t xml:space="preserve">How mentally it can mess you up when you realise the damage done. </t>
  </si>
  <si>
    <t>It works, hard to say how sensitive I am. I don't have issues reaching ejaculation.</t>
  </si>
  <si>
    <t>Can he intense with additional help</t>
  </si>
  <si>
    <t xml:space="preserve">Can't explain </t>
  </si>
  <si>
    <t>Glans is dry. While my penis is straight and not deformed by circumcision and I'm 7.5" BP. I'm not feeling the shameful aspects of circumcision.</t>
  </si>
  <si>
    <t xml:space="preserve">My circumcision is looser than most </t>
  </si>
  <si>
    <t>Just the feeling of being intact</t>
  </si>
  <si>
    <t>When I learned that I was circumcised as a baby and the doctor didn't ask my parents if they wanted me circumcised. My father isn't circumcised, but it was the fashion in the early 1970s.</t>
  </si>
  <si>
    <t xml:space="preserve">It was just what they did to boys, nobody knew it was for medical reasons or religious. My city was strongly Catholic </t>
  </si>
  <si>
    <t xml:space="preserve">We knew that foreigners weren't circumcised </t>
  </si>
  <si>
    <t>I'm not aware of any</t>
  </si>
  <si>
    <t>Women</t>
  </si>
  <si>
    <t xml:space="preserve">A foreskin is normal and important </t>
  </si>
  <si>
    <t>I hope it's abolished and seen as barbaric like FGM</t>
  </si>
  <si>
    <t>being a covenant and a blood promise to god</t>
  </si>
  <si>
    <t>-</t>
  </si>
  <si>
    <t>there are no advantages to having a body part amputated and mutilated</t>
  </si>
  <si>
    <t>Prophylactic Health Reasons (General Prevention): Belief that it prevents potential future health problems (e.g., infections, inflammation, later penile issues) that were not currently present., Religious Reasons: Performed as a religious ritual (e.g., Brit Milah in Judaism, Khitan/Sunnet in Islam) or based on religious belief., Cultural Tradition/Family Norm: It was a strong family tradition, cultural expectation, or simply "what people in our community did.", To Look Like Father/Peers: Desire for the son's penis to match the father's or other males in the family/community.</t>
  </si>
  <si>
    <t>Significantly dissatisfied with sensation, function, or appearance, Experienced feelings of loss, grief, or anger, Felt physically uncomfortable or experienced complications, Curious about what might be different if intact</t>
  </si>
  <si>
    <t>Reclaim what was taken, Increased overall sensitivity, Improve sexual pleasure/orgasms, Feel more 'natural' or 'whole', Achieve glans coverage and dekeratinization</t>
  </si>
  <si>
    <t>Sensitivity for glans, additional sensitivity of inner foreskin, frenulum. mobility of skin, ease of masturbating, feel good being whole.</t>
  </si>
  <si>
    <t>No, other than the worry and stress of growing up with a foreskin when most of my friends didn’t have one. I always knew my dick was complete and they were the ones missing a part but I was shy and embarrassed around my peers. Women have always loved my dick!</t>
  </si>
  <si>
    <t>Medical Information/Advice: They were informed by a doctor/medical literature that circumcision was medically unnecessary (e.g., citing AAP 1971/1975 statements or similar, or advice from a specific medical professional)., Lack of Perceived Benefit: They didn't see any compelling reason to circumcise., Father is Intact: The father is intact, and this influenced their decision</t>
  </si>
  <si>
    <t>Circumcision was very common in my generation, at least 80% circumcised so growing up intact and different from most of my friends was stressful making me very self conscious. My father was intact and most of his family and my mother was very open and calm about explaining to me why I was different to other boys and what I needed to do to look after my penis so I was completely aware about all aspects of my foreskin and the fact that other boys had had theirs ‘cut off’ so despite being different I felt I was normal. It did make me very curious about whether other boys had foreskins.</t>
  </si>
  <si>
    <t>My foreskin plays key role in my sex life directly through masturbation via the sliding action, stimulation of the frenulum, foreskin tip inner foreskin and ridged band offering different ways to reach orgasm. It keeps my glans very moist and sensitive, catches precum completely lubricating my glans and inner foreskin, great for masturbating and sliding easily into a vagina. The gliding motion makes penetration easy and comfortable especially at the start of sex, I like how my penis sometimes glides back and forth inside the foreskin during sex making penetration smooth and sensual.</t>
  </si>
  <si>
    <t>The frenulum is highly sensitive, intensely pleasurable part that I often stimulate and focus on when masturbating. The orgasm from frenulum stimulation alone takes longer and is different, more localized and intense that regular masturbation such as sliding the foreskin back and forth over the head.</t>
  </si>
  <si>
    <t xml:space="preserve">Yes Ive wondered about all the sensations I would loose without my foreskin. Mainly loosing the gliding motion and the loss of sensitivity when the glans is exposed. </t>
  </si>
  <si>
    <t xml:space="preserve">The ‘un’ implies that it is not the natural or desirable state so I strongly disagree either those terms. A natural penis has a foreskin. </t>
  </si>
  <si>
    <t>The foreskin protects and maintains the sensitivity of the glans and contains significant sexually sensitive tissue (inner foreskin, frenulum etc) that provide intense pleasure, the foreskin glides back and forth like a built in pocket pussy, catching precum to naturally lubricate the penis providing and intense sexual experience for both masturbating and sex with partners…why would anybody want to deprive and individual of that experience?</t>
  </si>
  <si>
    <t>The intact penis was considered unclean and looked funny</t>
  </si>
  <si>
    <t>The circumcised penis was clean and looked better</t>
  </si>
  <si>
    <t>I’m straight and women generally don’t have strong feeling about the status of men’s penis.</t>
  </si>
  <si>
    <t>The child must be allowed to experience the pleasure of the penis he is born with</t>
  </si>
  <si>
    <t>I was embarrassed about them until I found out what they were and how common they are, I’ve never had negative comments about them from any partners…</t>
  </si>
  <si>
    <t>Influence from a foreign-born, foreign-trained, or older doctor/nurse who was skeptical of the practice</t>
  </si>
  <si>
    <t>in school</t>
  </si>
  <si>
    <t>I like all kinds of touch, especially on the glans</t>
  </si>
  <si>
    <t>feeling</t>
  </si>
  <si>
    <t xml:space="preserve">Yes, always to go to the toilet </t>
  </si>
  <si>
    <t>The glans is always nicely exposed. The circumcision could have been a bit neater.</t>
  </si>
  <si>
    <t>cosmetic and health</t>
  </si>
  <si>
    <t>It was normal for us</t>
  </si>
  <si>
    <t>is performed in cases of phimosis or for religious reasons.</t>
  </si>
  <si>
    <t>hygiene, aesthetics</t>
  </si>
  <si>
    <t>I don't find it terrible.</t>
  </si>
  <si>
    <t>I never thought it would feel so good, especially after 44 years</t>
  </si>
  <si>
    <t>I can tell him that, for me, it was the best decision</t>
  </si>
  <si>
    <t>I should have made the decision sooner</t>
  </si>
  <si>
    <t>Stay-at-Home Parent / Homemaker, Clerical / Administrative Support (e.g., Secretary, Office Clerk), Personal Care / Service</t>
  </si>
  <si>
    <t>demisexual and gynephilia</t>
  </si>
  <si>
    <t>fully-intact frenulum and remnant of prepuce is most sensitive to touch, pressure, and gliding motion</t>
  </si>
  <si>
    <t>Build-uo is very gradual and slow, which leads to pelvic tension and ache related to blood flow. Orgasm seems more diffuse, or body-centered than genital-centered. Pleasure is intense and lingers for a bit of time after. It always feels like a very satisfying release, never reflexive.</t>
  </si>
  <si>
    <t>Tried it, and it simply interferes with the mechanical function.</t>
  </si>
  <si>
    <t>There are no advantages. There are only deficits associated with loss of normative function.</t>
  </si>
  <si>
    <t>Loss of full gliding mechanism interferes with condom use. The reduction of sensation from the condom tends to result in poor erectile quality. Also, there is a degree of skin dryness and keratinization, such that moisturization is required to be fully comfortable. Also, while I can intellectually understand why I was circumsized, that does not assuage my sense of violation, mutilation, and grief at the loss and denial of my own human potential.</t>
  </si>
  <si>
    <t>CI-5. Fully intact frenulum, and about one third of the prepuce remaining. Gliding function reasonably intact in terms of frenulum stimulation, but not total movable sheath. Scar line is visible as a demarcation of change of tissue type, but there is little to no perceivable scar tissue.</t>
  </si>
  <si>
    <t>I wonder what it would be to experience my human potential, as a creature, both conscious and animal. That was taken from me. I will never know, or experience, what I could have been.</t>
  </si>
  <si>
    <t>Circumcision resulted in meatal stenosis, which required surgical correction at age 3.</t>
  </si>
  <si>
    <t>Very early, at age 3, because they had to fix a problem they created, and all of that never had to happen.</t>
  </si>
  <si>
    <t>Alteration to meatus subsequent to stenosis results in instability of stream during urination.</t>
  </si>
  <si>
    <t>It seems so routinized that it becomes a blind, mindless choice. It is a violence, done in ignorance. No care or real concern for the violation of consent, invalidation of autonomy, or the willful absence of ethical concern.</t>
  </si>
  <si>
    <t>I never heard much of anything.</t>
  </si>
  <si>
    <t>Not that I can recall.</t>
  </si>
  <si>
    <t>Greater awareness. A move from ignorance, to awareness of intersectional knowledge.</t>
  </si>
  <si>
    <t>The foreskin is not just a piece of skin.</t>
  </si>
  <si>
    <t>I think your perspective may understate it, actually. It should be rightfully and properly considered a criminal act, and a moral and ethical tragedy.</t>
  </si>
  <si>
    <t>It is unconstitutional that females have genital integrity protections in law, but makes do not. I do not say this because I wish to incite gender war, but as an invitation to consider how poorly human males are regarded in our culture. We're it not so normalized, it would rightly be regarded as aberrant and bigoted.</t>
  </si>
  <si>
    <t>I am unsure, because while there is a downward trend, I also know societal values ebb and flow, and are cyclical. Also, ignorance is like a weed. Cultural momentum and educational gains can be lost very quickly. There is nothing to be sure of in this regard.</t>
  </si>
  <si>
    <t>There was no reason whatsoever. It was the absence of reason. It was mindless and routine, just what was done.</t>
  </si>
  <si>
    <t>Lots of odd jobs, lots of drinking</t>
  </si>
  <si>
    <t xml:space="preserve">Safety Engineer </t>
  </si>
  <si>
    <t xml:space="preserve">It's pretty mid for the most of it, only ramping up quickly near the end
</t>
  </si>
  <si>
    <t xml:space="preserve">Lube makes things feel better but is rarely worth the clean up
</t>
  </si>
  <si>
    <t>Honestly very little</t>
  </si>
  <si>
    <t>Painful, less sensitive, hair on shaft, difficulty orgasming</t>
  </si>
  <si>
    <t>Large scar, very tight skin, hair from scrotum pulled onto shaft</t>
  </si>
  <si>
    <t>Sensation of the dekeretenized head</t>
  </si>
  <si>
    <t>Around 20, when I slept with my first uncut man.  Knowing I could have looked and felt like that, but it was taken from me...</t>
  </si>
  <si>
    <t>Overly tight skin, prominent scarring, urinary spraying</t>
  </si>
  <si>
    <t>Experienced feelings of loss, grief, or anger, Mildly dissatisfied with sensation or appearance, Curious about what might be different if intact</t>
  </si>
  <si>
    <t>Improve sexual pleasure/orgasms, Regain gliding motion, Achieve glans coverage and dekeratinization, Reclaim what was taken, Heal psychological trauma, Increased overall sensitivity</t>
  </si>
  <si>
    <t>Manual tugging 20-40 minutes a day</t>
  </si>
  <si>
    <t>My partner is supportive, but I'm not close with my family</t>
  </si>
  <si>
    <t>Not yet, but I'm hoping</t>
  </si>
  <si>
    <t xml:space="preserve">No change
</t>
  </si>
  <si>
    <t>When complete, I would use uncircumcised.  I  will have undone what was done, so it fits.</t>
  </si>
  <si>
    <t>Lack of progress.  They say it's slow at the beginning.</t>
  </si>
  <si>
    <t>Don't stop, don't take breaks (unless medically necessary). Keep on tugging.</t>
  </si>
  <si>
    <t>I hope one day they won't be needed, but I'm glad they're on their way now.</t>
  </si>
  <si>
    <t>People always said they smelled bad or would have constant smegma</t>
  </si>
  <si>
    <t xml:space="preserve">Porn for sure
</t>
  </si>
  <si>
    <t xml:space="preserve">I was too young to know the difference </t>
  </si>
  <si>
    <t>Learning it was possible made me look into the process</t>
  </si>
  <si>
    <t xml:space="preserve">I feel better.  Something was taken from me as a baby that I had no say in and this is letting me regain some measure of control </t>
  </si>
  <si>
    <t>I want to look natural, I want to feel more sensation</t>
  </si>
  <si>
    <t>I unfortunately think it will take longer than 30 years, but I do believe we will move past in in my lifetime.</t>
  </si>
  <si>
    <t>Ecuador</t>
  </si>
  <si>
    <t>Leftover remnant is most sensitive, followed by tip</t>
  </si>
  <si>
    <t>None?</t>
  </si>
  <si>
    <t>Emotional troubles feeling violated when I learned what happened, physical issues with losing sensitivity of head gets too dry, incredible discomfort with head scratching against underwear, feeling incomplete as a person/body?</t>
  </si>
  <si>
    <t>Medical Advice (without stated necessity): Recommended by a doctor or healthcare provider without explaining a specific existing medical problem, perhaps framing it as routine or generally beneficial., Cultural Tradition/Family Norm: It was a strong family tradition, cultural expectation, or simply "what people in our community did.", Parent's General Preference: Parents simply preferred the circumcised appearance or state without specific medical, religious, or cultural reasons being primary., Just standard practice: Based on observing its prevalence, assumed it was the default medical procedure without a specific individual reason., To Look Like Father/Peers: Desire for the son's penis to match the father's or other males in the family/community.</t>
  </si>
  <si>
    <t>Direct Medical Authority: Specific advice from their obstetrician, pediatrician, or the hospital staff where you were born. (The voice of a trusted professional)., Family Tradition/Pressure: The expectation from grandparents or other influential relatives; the idea that "it's what the men in our family have always done." (The power of heritage).</t>
  </si>
  <si>
    <t>“Low and loose” with most inner skin gone, somewhat mobile shaft skin, frenulum remains but majority of structure removed</t>
  </si>
  <si>
    <t xml:space="preserve">Gliding motion and full coverage </t>
  </si>
  <si>
    <t xml:space="preserve">After learning in middle school what was done in infancy, the physical discomfort and restrictive abilities make me think of it every time I move - very annoying </t>
  </si>
  <si>
    <t xml:space="preserve">Let the person undergoing the procedure make his own decision later in life! Don’t take such an important part away from him without him even knowing what’s happening! </t>
  </si>
  <si>
    <t>Social norm driven (parents social circles and regional culture?)</t>
  </si>
  <si>
    <t>Often unclean?</t>
  </si>
  <si>
    <t>Lasts longer</t>
  </si>
  <si>
    <t>Hope this survey provides data to inform people about bodily autonomy and the effects this procedure (if not medically required) can have on people at all stages of life</t>
  </si>
  <si>
    <t>Striper</t>
  </si>
  <si>
    <t>i have to be very firm, nothing feels much except the frenulum</t>
  </si>
  <si>
    <t xml:space="preserve">its all at once and breif only sometimes feels good </t>
  </si>
  <si>
    <t>i do feel a bit more with it</t>
  </si>
  <si>
    <t>i dont feel shit and it looks bad and dried out</t>
  </si>
  <si>
    <t>Paternal Influence (The "Like Father" Factor): A specific desire for you to genitally match your father or other male family members. (The power of conformity within the family unit)., Direct Medical Authority: Specific advice from their obstetrician, pediatrician, or the hospital staff where you were born. (The voice of a trusted professional)., Peer &amp; Social Pressure (The "Fitting In" Factor): The widespread belief that "everyone else is doing it," and a desire for you to avoid being seen as different in locker rooms or later in life. (The power of broad social conformity).</t>
  </si>
  <si>
    <t>gliding and nerves that im missing</t>
  </si>
  <si>
    <t>as soon as i knew something was missing. violation and lack of feeling</t>
  </si>
  <si>
    <t>stenosis spraying tight skin</t>
  </si>
  <si>
    <t>no one even knew what that was</t>
  </si>
  <si>
    <t>they all are</t>
  </si>
  <si>
    <t>It takes a firm grip to feel much of anything.</t>
  </si>
  <si>
    <t>The build up takes a long time and the peak is a short lived and non intensive experience.</t>
  </si>
  <si>
    <t>If I don’t utilize any lotion/lubrication it hurts.</t>
  </si>
  <si>
    <t>It’s deeply frustrating and humiliating.</t>
  </si>
  <si>
    <t>I do not beleive there are any benefits to being circumcised and I suffer from neuroma around my scar line which is painful</t>
  </si>
  <si>
    <t>I suffer from a painful scar line neuroma.</t>
  </si>
  <si>
    <t>Medical Advice (without stated necessity): Recommended by a doctor or healthcare provider without explaining a specific existing medical problem, perhaps framing it as routine or generally beneficial., Just standard practice: Based on observing its prevalence, assumed it was the default medical procedure without a specific individual reason., Cultural Tradition/Family Norm: It was a strong family tradition, cultural expectation, or simply "what people in our community did."</t>
  </si>
  <si>
    <t>Institutional Medical Norm: The general belief that "this is just the standard procedure" at hospitals, making it a routine, unquestioned part of postpartum care. (The power of the system)., Direct Medical Authority: Specific advice from their obstetrician, pediatrician, or the hospital staff where you were born. (The voice of a trusted professional)., Peer &amp; Social Pressure (The "Fitting In" Factor): The widespread belief that "everyone else is doing it," and a desire for you to avoid being seen as different in locker rooms or later in life. (The power of broad social conformity).</t>
  </si>
  <si>
    <t>My scar line is in pain from neuroma, Erections are tight and uncomfortable for me. I think that a two tone skin color is hideous.</t>
  </si>
  <si>
    <t>I’m curious about the entire sexual experience as a whole. I know deep down that it’s 100% better then what I experience.</t>
  </si>
  <si>
    <t>I was 14 years old and one of my intact friends told me my foreskin was missing. I was devastated because I knew that the scar meant something bad happened to me and that the pain I always felt around my scar line wasn’t normal.</t>
  </si>
  <si>
    <t>Overly tight skin causing painful erections, painful scar line (neuroma)</t>
  </si>
  <si>
    <t>I’m in pain constantly both mentally and physically. I wish this was never done to me, I wish my body was all mine. I was unprotected and harmed. I’ll never forgive this.</t>
  </si>
  <si>
    <t>A cultural norm, and somewhat cleaner thing to do.</t>
  </si>
  <si>
    <t>I was never exposed to any stereotypes about uncircumcised men.</t>
  </si>
  <si>
    <t>“Its normal, all boys get circumcised”</t>
  </si>
  <si>
    <t>I believe that circumcision in the United States exists because Kellogg introduced it as a way to stop boys from masturbating.</t>
  </si>
  <si>
    <t>In the event that all non invasive foreskin procedures don’t solve a foreskin issue, Only 0.6% to 1% of all males globally will ever require a medically necessary circumcision in their lifetime.</t>
  </si>
  <si>
    <t>Everyday of my life I’m miserable and wish I were not circumcised. My scar line is always in pain from being circumcised as an infant a condition called neuroma. Even if I didn’t experience any pain I still wish that the decision was mine to make and not someone else’s. I think all circumcisions look ugly and mutilated and I would have never gotten one given the choice. Now I’m pursuing foreskin restoration but restoration will never restore the original 20,000+ nerve endings that were removed from me.</t>
  </si>
  <si>
    <t>I’m not sure yet.</t>
  </si>
  <si>
    <t>I was born with them they are natural to me and I like them.</t>
  </si>
  <si>
    <t>I was circumcised as an infant it was my mothers decision. She had limited knowledge of what the process was and was encouraged by nurses and friends that it was simply “the normal thing to do”</t>
  </si>
  <si>
    <t xml:space="preserve">I was raised as a sunni muslim (my mom was christian though), but we weren't super religious. I left the religion when I realized I was gay around 14 and started to come back to it a decade later, but from a wildly different perspective. I don't remember circumcision ever being directly addressed as a kid, but I imagine my dad would have seen it as a religious necessity but without much else thought about it. My brothers were circumcised, but I ended up not being circumcised, but not for any particular reason. I remember my parents just saying they forgot to get it done/were too lazy to schedule it or something like that. With the perspective I have now, where I don't believe in hadith and take a very spiritual (and some might say progressive) view of the Quran, I don't view circumcision as required at all since it's not in the Quran and honestly I just don't really care about what people think and do in the mainstream zeitgeist because I think religion/faith/spirituality/etc is an individual experience so even if mainstream Islam can recognize it's not in the Quran but still thinks it's required because of such and such reason, I don't pay it any mind and am personally against it for a variety of reasons even outside of religion. </t>
  </si>
  <si>
    <t>Not sure what you mean by how much room. I imagine you mean something like "is it okay to question/debate this or do we just have to shut up and do what we're told". I don't believe anything is the latter, I think everyone experiences God/religion/faith/spirituality/etc differently and no one will see exactly eye to eye on anything and that's what God intended. I think questioning, discussing, etc is always a good thing. While I personally don't think circumcision has any merit in or out of the Islamic religious context, I get why others do. I do think that more people should consider the type of perspective I have on Islam, but hey, everyone's different so I can't really expect that to happen. That said, I don't care at all for restrictive, dogmatic, controlling forms of religion that prevent people from asking questions, so I think there should always be room to discuss things. But I guess long story short, I think muslims should stop circumcising and not see it as a religious thing to do to begin with. But I accept people as they are and don't think it's my place to control or change people.</t>
  </si>
  <si>
    <t xml:space="preserve">My family like I said was religious but not strict. I don't think they think about this topic very deeply at all. As I've grown older, only my brother has become more strict, traditionalistic and conservative and he sees it as absolutely necessary and you're degenerate if you don't etc etc. In general, it's not something I see really talked about directly and if it is, it seems like most muslims just kinda accept it and perceive it as just a religious thing that muslims do, but the only ones that really deeply believe it's super serious and whatnot are the types like my brother. I think it's only the more progressive/spiritual/etc types like myself that specifically think it shouldn't be done. </t>
  </si>
  <si>
    <t xml:space="preserve">The head/glans, frenulum and the foreskin (especially the inside of the foreskin, the part that touches the glans when it's not retracted) have the most sensitivity. The head is the most sensitive to touch in that it can more easily be overstimulated than the frenulum and foreskin. But all of them are very high in pleasurable sensitivity. The shaft doesn't have as much sensitivity, but isn't like low in sensitivity/numb or anything like that. 
As for sensitivity to the different types of touch, I'm not sure if you mean just 'is it sensitive to it in general' or more specifically 'do these types of touch feel good'. All of those types of touch described in the question (light touch, firm pressure, gliding motions) are both types of touch all the parts of my penis can sense and take pleasure from. The more sensitive parts as described above just feel them/take more pleasure in them. When the foreskin is not retracted, I typically need for firm pressure on the head, but any touch on the head/inside of foreskin/frenulum when the foreskin is retracted is always the most sensitive and pleasurable. Touching the glans directly feels like uncomfortable in a good way if that makes sense? It's the easiest to overstimulate, especially the very tip of the glans, which is too sensitive to touch directly unless the thing touching is like, moist/wet/slimy/lubricated. The rest of the glans is very sensitive but not so much like the very tip. 
On the inside of the foreskin there's also a specific spot that is the most pleasurable. It's kind of on the bottom left side. </t>
  </si>
  <si>
    <t>If I wanted to orgasm more quickly, I could quickly stimulate the head a lot, but doing so provides a less intense orgasm that is mostly focused in the penis. By more gradually building up to the orgasm, it becomes not only very intense in the penis, but also a sort of full body and mental experience. When starting to stimulate the penis, it needs to build up a little bit to the full intensity of sensation and from there it typically stays at max intensity as long as it remains erect. If I'm not mentally into it, though, then the sensitivity slightly decreases and I just don't take as much pleasure from it, but I don't think that's exactly a physical/sensitivity thing per se. After orgasming, the sensitivity stays high and gradually decreases as the penis loses erection.</t>
  </si>
  <si>
    <t>Have never needed to use lube because the natural lubrication has always been enough. However, using lube from the start just makes it more quick and easily to ramp up stimulation because I don't need to wait for the penis to release enough pre-ejaculate/etc to fully lubricate everything under the foreskin and also the extra lubrication just makes it so I can more directly glide around all the flesh under the foreskin with more direct touch. So i guess using lube doesn't necessarily change anything, just makes it easier to get into more quickly.</t>
  </si>
  <si>
    <t xml:space="preserve">I chose no for the last question bc I don't feel like it's necessarily a disconnect, because I know what feels good and what doesn't and can communicate it, I think it's moreso just the fact that almost all the men I've had sex with were circumcised and so they might not have realized from the start just how sensitive my glans, in particular, is and that they have to be more gentle with mine than they might need to be with theirs. </t>
  </si>
  <si>
    <t>Number 1 is definitely all the pleasurable sensitivity that results from both having the nerves in the foreskin and the glans staying moist and not becoming dry and keratinized. The rest of the advantages are in no particular order or rank though. I do think uncircumcised penises look better and especially the glans being moist. I'm sure the flora under the foreskin is probably advantageous than to the flora of the head of a circumcised penis in some way. It's easier to have sex I guess since lube probably isn't needed. In all honesty, I feel like I haven't particularly thought specifically much about pros and cons of having foreskin because to me it's just the way I am and I've never felt anything negative about it. I do 100% know for a fact that circumcision definitely does result in decreased sensitivity and I'm honestly just never gonna be convinced by anyone who says otherwise, but also I've read enough circumcised men talking about the many problems they've had, the physical and mental pain of being circumcised and its affects on them etc that I just don't feel right openly talking about how grateful I am for not being circumcised (mainly bc of increased pleasure) bc I don't want to make them feel bad or trigger them etc even though I feel very strongly about my opinions on this topic (being against circumcision). Years ago, the topic came up in a conversation and I mentioned the sensitivity thing and a friend, who is circumcised, wasn't aware of that and asked me about it, but I didn't wanna make him feel bad or like give him a new thing to feel shitty about, so I brushed it off or downplayed it or changed topics or something.</t>
  </si>
  <si>
    <t>Eh, there was a few negative experiences I guess you could say, but they're so insignificant that I don't really see them as being anything that actually justifies circumcision in any way, especially because I think the positive far outweigh the negatives just based on sensitivity alone, not even mentioning body autonomy, avoiding the trauma that infants experience getting circumcised, etc. 
I got thrush a few times because of some fancy soap irritating the glans or bc I was really sweaty and dirty for a few days and wasn't able to access a shower or something. All it did was itch and slightly smell a bit, but all I had to do was use some yeast infection cream thing from the drug store and it was gone in a few days or so. Also, like I said earlier, sometimes guys didn't know they had to be more gentle with my glans bc it's more sensitive than their bc they were circumcised. Ngl some guys are just bad at sex, but outside of that, all I had to do was tell them.
I'm gay so idk if it's different for straight guys, but I've only ever had guys either make no mention of my being uncircumcised or mention that they actually liked it a lot that I wasn't circumcised. It's been like 60/40 I guess. I've never had a partner say anything negative about it. I did have sex with one woman a few times years ago and she made no mention of it either.</t>
  </si>
  <si>
    <t>Logistical/Hospital Oversight: It was likely intended or standard, but due to an oversight, scheduling issue, being forgotten in the hospital routine, or rapid discharge, it simply didn't happen., My parents just forgot/were too lazy to get it done/etc. Something like that. All the other males in my family were circumcised, though. Growing up, it was never mentioned though and I was never told that I need to get it done or anything like that. It was just never mentioned and I probably only realized I was uncircumcised when I was a little older, though I did always notice that my brothers' penises were different than mine because of my foreskin. I just didn't think much about it as a kid I guess until I was older and learned what it is and still didn't think much of it. It just was how I was.</t>
  </si>
  <si>
    <t>I haven't felt anything negative but just wanted to mention- I've never felt so unbothered by insults as when people insult uncircumcised men. I honestly could not possibly think of something that I would care less about being insulted. It's like making fun of someone for being rich. Like...ok? I'm not gonna psychoanalyze people, but regardless of the motive, I just couldn't give less of a crap.</t>
  </si>
  <si>
    <t xml:space="preserve">When masturbating I typically retract the foreskin and focus on stimulating the foreskin, frenulum and glans because they're the most sensitive. When having sex, I really enjoy my partner playing with my foreskin and stimulating those sensitive parts. </t>
  </si>
  <si>
    <t xml:space="preserve">Yes, this is one of the spots I really love my partner stimulating and I enjoy stimulating it when solo. With a circumcised partner, though, I guess because their penises are less sensitive, I have to clue them in to specifically what the most sensitive parts on my penis are because I find that they typically don't seem to know without telling them. I guess I don't really think of like the specific parts of my penis with sexual stuff, I just think of it as focusing on the pleasurable parts and they just happen to be glans/frenulum/foreskin. I guess I don't typically think of them individually. </t>
  </si>
  <si>
    <t xml:space="preserve">I chose no but want to give context. I prefer uncircumcised penises, so when I see a partner's cock it's the first thing I notice ofc. But I wouldn't like turn them away or tell them I wish they were uncircumcised or anything. As for noticing differences, yeah I always notice a lot of differences, but I don't mention it because I don't want to seem like im bragging about sensitivity or make them feel bad or whatever. The sensitivity and moistness of the glans and just the visual differences if they have like scars and whatnot are the things i always notice. I notice that all of the circumcised men i've been with need more stimulation to orgasm and have to grip harder and go faster when stimulating their penises. To be honest, it's kind of a drag to have to jerk them off for so long to make them cum. </t>
  </si>
  <si>
    <t>I don't care at all. I don't think anyone I've seen anyone care, either. I've been saying uncircumcised/circumcised so far in this survey but that's getting annoying to type out every time so im just gonna say uncut and cut for the rest of it.</t>
  </si>
  <si>
    <t>holy fucking shit it feels so good to touch my cock! don't cut it dude trust me!</t>
  </si>
  <si>
    <t>within my family a religious thing that's required just because. outside of my family but in my community and whatnot, just a thing that has been normalized that people don't think much about and if it's ever questioned they parrot the same canned lines to justify it (hygiene, something something stds, something something his dad's penis, etc) even though they've never actually once thought deeply about the topic</t>
  </si>
  <si>
    <t xml:space="preserve">that they're less hygienic </t>
  </si>
  <si>
    <t>that they're more hygienic</t>
  </si>
  <si>
    <t>Want to give context to my answer: (im gay and uncut) based on my experience of all the guys ive been with, no one ever showed any negativity, most didn't make mention of it and a noticeable amount said they thought it was hotter. based on everything i hear ppl saying online and whatnot, it seems like most ppl probably don't care and some ppl prefer/expect cut. specifically preferring uncut is definitely a preference some people have, but it's just so uncommon for men to be uncut in america that it doesn't get brought up much i guess bc most ppl aren't likely to have much experience if any with having sex with uncut men i guess.</t>
  </si>
  <si>
    <t>Everything negative they think about being uncut is a psy-op by a certain group of people who will silence you if you openly speak out against the practice.</t>
  </si>
  <si>
    <t>I think that most ppl are honestly just too normie to understand the real reasons why circumcision has become such a widespread and so culturally entrenched practice in the usa and people aren't ready for it or able to wrap their head around it. If you scratch a little below the surface and are intellectually honest, you'll see the obvious deep well of misandry. Right off the bat most ppl are way too normie to see and accept that. If you're braver, you'll dig deeper than that to hit an even deeper truth and even many people that can see the former can't allow themselves to entertain the latter, so it rarely, if ever, gets discussed in terms of the latter. All of the typical canned lines that ppl use to justify circumcision are total psy-ops. The medical studies justifying it are obviously biased nonsense and the medical studies showing evidence that it's as terribly unjustified as anyone with common sense could tell you are of course swiftly silenced. Misandry is a large part of why the vast majority of ppl are able to accept this terrible practice and think that men are pussies or whatever for having a problem with it, but it is not the source of why this practice became so widespread in america to begin with, nor is it the source of why it became so specifically entrenched and strictly socially and medically enforced. I don't expect what I'm referring to to ever be openly discussed in anti-circumcision related spaces and a part of me wants to say that I don't think it ever should because the bad pr that would cause, but another part of me knows that while some social influence can be attained by the anti-circumcision crowd to get ppl to think a bit more and choose not to inflict this on their sons, as long as this influence I'm referring to has the power it does, circumcision will never, ever, ever be made illegal, any attempt to make it so will be viciously attacked and it will likely continue to be drilled into people's heads through the medical establishment because of the power this influence has over that field. Let's just leave it at that. iykyk</t>
  </si>
  <si>
    <t>nope they were just lazy and forgot to get it done then didn't care</t>
  </si>
  <si>
    <t>it'll be less common but it's not going anywhere for a long, long time in the usa</t>
  </si>
  <si>
    <t>My parents believed that circumcision is generally what Christians are supposed to do</t>
  </si>
  <si>
    <t>I'm not a Christian myself; I grew up to be an atheist, but my parents are Christian. This is just another thing that baffles me: why would a god make humans born with foreskin, but then tell them to cut it off? Why would they make them go through that pain, and remove erogenous skin? Not even in a "you can change your body if you want to" kind of way, but in a "force this on newborns" kind of way. Just why?? It's just another thing that makes me feel like Christianity and Judiasm were created by humans in the dark ages, not by an all-loving, all-knowing, all-powerful god.</t>
  </si>
  <si>
    <t>I can tell the remnants of my frenulum are the singular most erogenous zone, though I feel like heavy pressure on the whole penis is what I enjoy most. As a child (before even knowing there was a word for masturbation) I'd pleasure myself by essentially humping my fists while laying on the bed or ground. I grew up to learn that such heavy pressure is not sustainable. However, it's never quite felt the same ever since I've tried a hand grip and a lighter touch.</t>
  </si>
  <si>
    <t>I remember when I was younger and I used the humping-my-fists style of masturbation, it felt more like an overall balanced experience. It was an addictive feeling in my general crotch area the whole time, for a reasonable amount of time, and orgasm was a nice release.
I feel like I might be able to chalk this up to multiple factors, like going on anti-depressants, changing to a more sustainable grip, learning that I was circumcised and thoughts about it getting in the way, and maybe having worn myself out from the tight grip from earlier, but masturbation as I got older was far less satisfying. It feels way less intense, and sometimes that just makes a lot harder to orgasm in the first place. Sometimes though, it's also like, "Wait, I'm about to cum already? It hasn't really hit the spot yet, though." When I do cum, lately it's been feeling more like, "Oh, that happened. It felt kinda good coming out, but now it's over. Oh well."</t>
  </si>
  <si>
    <t>Lube feels very necessary. I remember being with an uncircumcised man and being surprised his dick actually got wet, like that's a thing that actually happens, instead of just meaning you're leaking pre-cum, but it not literally making the glans or the rest of the penis wet. I've been stretching my foreskin and I've been able to get a bit more wet, but I'm still in the process. I don't always end up reaching for the lube when I masturbate because it feels inconvenient, but I'm starting to think I should.</t>
  </si>
  <si>
    <t>I still just feel very inexperienced in this area in general, like I don't know what you're supposed to do to make things work, lol.</t>
  </si>
  <si>
    <t>If you're super lazy, it does mean having to clean less often. American women are currently more used to the circumcised look. Apparently it leads to fewer infections? Some say that if circumcision leads to less pleasure, that's a good thing because you can last longer.</t>
  </si>
  <si>
    <t>I can tell that I'm missing out on pleasure; this can't just be it. Obviously cutting off erogenous tissue, including damaging the frenulum, the most erogenous part, is going to have an effect on that. I can tell my glans was karitinized and desensitized, and I could tell I was missing out on being able to get wet when I was with an unicircumcised man. I could tell there's a difference just by wearing a device like Manhood or Senslip that mimics the foreskin.
This has had a major impact on me. It's angered me ever since I found out, and it's taken me until now, age 30, to be somewhere close to acceptance. It felt catastrophic because I'm a very sexual being, no matter how much I want to be one or not, and knowing I've nonconsenually been locked out of knowing what sex is actually supposed to feel like is like having an itch I can never fully scratch. I couldn't see how I could ever just relax and be OK with that.</t>
  </si>
  <si>
    <t>Medical Advice (without stated necessity): Recommended by a doctor or healthcare provider without explaining a specific existing medical problem, perhaps framing it as routine or generally beneficial., To Look Like Father/Peers: Desire for the son's penis to match the father's or other males in the family/community., Prophylactic Health Reasons (General Prevention): Belief that it prevents potential future health problems (e.g., infections, inflammation, later penile issues) that were not currently present., Just standard practice: Based on observing its prevalence, assumed it was the default medical procedure without a specific individual reason., Hygiene: Belief that circumcision makes the penis easier to keep clean or is inherently more hygienic., Cultural Tradition/Family Norm: It was a strong family tradition, cultural expectation, or simply "what people in our community did."</t>
  </si>
  <si>
    <t xml:space="preserve">I have an obvious circumcision scar. I wasn't cut super tight. Even before stretching, I could make a "foreskin rose" by pushing down my glans and grabbing my foreskin past the glans while flaccid. Stretching didn't seem like a crazy idea; I had something to start with. </t>
  </si>
  <si>
    <t>I've wondered how much of my frenulum I'm truly missing, and how different does being restored feel from being intact?</t>
  </si>
  <si>
    <t>They first emerged ever since I truly learned what circumcision was. I think what triggers them, aside from more explicit reminders of the topic, is feeling sexually frustrated. If I feel trouble being satisfied, welp, the biggest culprit has got to be literally having part of my dick sliced off, right?</t>
  </si>
  <si>
    <t>Delayed ejaculation/unsatisfying orgasms, karitinization of the glans</t>
  </si>
  <si>
    <t>I've already talked to them in great detail about my dissatisfaction. They've apologized and told me that it wasn't meant to upset me or make me feel lesser or anything, and I've told them how much of a cold comfort that is. They weren't malicious, they were just ignorant. Fantastic.
As for context for the question about "regretting" their decision: I think they've only regretted it because of how unhappy it made me. I don't think they would've changed their mind indepedently. During these conversations, Mom sure loves to remind me how Dad sure doesn't seem like he feels like he's missing anything being circumcised. Well, good for him, I guess.</t>
  </si>
  <si>
    <t xml:space="preserve">Motivated by research or learning about intact anatomy/function, Experienced feelings of loss, grief, or anger, Significantly dissatisfied with sensation, function, or appearance, Curious about what might be different if intact, At times, suicidally dissatisfied with being circumcised. If I'm just locked out of knowing what sex is really supposed to feel like, as a sexual creature who can't turn off his sex drive, how am I supposed to just relax about that and feel satisfied? </t>
  </si>
  <si>
    <t>Increased overall sensitivity, Improve gliding mechanics/reduce need for lube, Achieve glans coverage and dekeratinization, Improve sexual pleasure/orgasms, Feel more 'natural' or 'whole', Reclaim what was taken, Heal psychological trauma, Regain gliding motion, Increase the area the frenulum takes up; I hear the pleasure doesn't "thin out" like you might expect, but grows with the area</t>
  </si>
  <si>
    <t>I've been using Chris' Tugger from Chris' Online Store. This is what I've been using to actively restore.
Before then, I would sporadically manually tug during my free time in the bathroom. I did see some results from that, so I haven't been starting from complete 0 these last few months.</t>
  </si>
  <si>
    <t>I've told my parents and therapist about doing it. Naturally it's come up in conversations about my dissatisfaction with being circumcised.
I've also told doctors when I tell them about my problems with sexual pleasure</t>
  </si>
  <si>
    <t>Glans has become more sensitive. I can tell when a device has fallen off and I'm not flaccid or I haven't "turtled" back into my foreskin. I think the frenular area has also gotten a little bigger, and there's more opportunity to play with that area.</t>
  </si>
  <si>
    <t>Maybe this has more to do with psychological knowledge than a physical change, but realizing the frenular area can grow and the pleasure can grow with it made me feel like I wasn't giving restoration enough credit when it comes to restoring pleasure. I felt more relaxed, like at least it might be still possible for me to have a pleasurable enough experience to not feel jealous that I'm missing out. When I relaxed and enjoyed what I did have, I finally felt satisified, almost glowing, after a masturbation session, the first time in years, possibly in a decade or so. I'm still in early stages, and I haven't been able to consistently feel great yet, but now I finally can foresee a future where I change my meds and I grow out my foreskin and I'll finally be able to feel satisified.</t>
  </si>
  <si>
    <t>Factually, I have been circumcised. The scar might be where it's hidden, but it's still there. Even if fewer nerve endings don't necessarily mean less intense pleasure, it's still factually a difference you could measure; it's a change to my body that's real that's different from an uncircumcised man. It's not like an idea like "virginity" where you can't really measure it or find lasting physical evidence of it in somebody's body.
I like the sentiment, but it's misleading. I feel like this conversation should be had when it comes to regenerating foreskin.
Maybe once I've stretched enough, maybe I'll call myself neo-intact or something like that. Kind of like plant-based meat; like yeah, it's not real meat, but it's still basically meat from a "when you experience it, what is actually like" point of view.</t>
  </si>
  <si>
    <t>Challenging: Choosing a device, dealing with it falling off
Rewarding: Gaining back some of what I've lost, feeling like I'm a modified improvement over the typical circumcised guy</t>
  </si>
  <si>
    <t xml:space="preserve">Don't wait; start ASAP! </t>
  </si>
  <si>
    <t>Honestly, all of those answers seemed accurate to me: I am hopeful, but also skeptical, and also worried this might also mean my efforts are for nothing, and I am frustrated it wasn't available sooner. I deserved to have my foreskin in my 20s, dammit!</t>
  </si>
  <si>
    <t>My parents explained to me that they wanted me to look my Dad, and it's what Christians did, and it was what doctors recommended</t>
  </si>
  <si>
    <t>A lot of people (in America) say uncircumcised penises are stinky and gross, and they're the ones that get smegma</t>
  </si>
  <si>
    <t>It's funny, because it seems like both the "normal" "default" thing here in America, like it looks weird to not be circumcised, but it's also somehow simultaneously the weird specific thing Jewish boys have done to them</t>
  </si>
  <si>
    <t>It's obviously the culture, not the natural state of things. People see circumcised penises more often, and they're told it's healthier or whatever, and so they just want what they're familiar with. They don't know or care that being circumcised means needing a lot more lube or anything like that.</t>
  </si>
  <si>
    <t>Circumcising cuts off a lot of erogenous skin and nerve endings, including part of the frenulum</t>
  </si>
  <si>
    <t>Yes, circumcision grief is a strong disenfranchised grief. It's very hard to find other people who you'd even feel comfortable mentioning it to, and when you do, they're often dismissive or at least ambivelant. It's rare to get this grief validated. But it is also insane, because it's part of your dick that's been cut off without your consent, and you can just see the scar any time you check your pants if you ever doubt that this is a real thing that happened to you.
It also feels similar to things like how people continue to eat meat, despite the harm it causes to animals. It's just crazy that this violence is normalized, and standing up to it is considered a crazy, fringe position, and nobody takes this harm seriously, like it's merely a preference or a choice to not want this harm inflicted.</t>
  </si>
  <si>
    <t>Before, I was just worried it was an STD or karatinization due to being circumcised or something. I was glad to learn it's more of the opposite. Maybe it's a sign my restoration is working and my penis is working more normally.</t>
  </si>
  <si>
    <t>I had used Senslip and Manhood in the past and already felt my glans become more sensitive and moist. I remember thinking, "man, I'd just like to have that coverage all day without worrying about keeping track of a device and having it fall off all the time." Then I realized, duh, if I stretched my foreskin, my foreskin would act as foreskin.</t>
  </si>
  <si>
    <t>My parents and therapist are generally supportive. Doctors are dismissive, saying that circumcision is normal in the US, and many circumcised men function fine, so stretching might not be necessary or even a good thing.</t>
  </si>
  <si>
    <t>At first, it was just like, "Ugh, another thing I have to do to just get a fraction of what a man should normally have in the first place." Then I learned more about how much better it could make things, and it's started to give me more hope. I've had more joyous experiences, like looking down and seeing something that might pass as uncut, as opposed to a blatant "your dick has had part of it chopped off" reminder. It's made me feel like, even when things are totally fucked, they can still at least get better instead of all hope being lost.</t>
  </si>
  <si>
    <t>Honestly, I might want to make it all the way to at least RCI-8. I have this fantasy of someone putting their tongue underneath my foreskin while I'm erect.
I definitely want at least consistent coverage flaccid, no matter how much or little I've "turtled" or how hot or cold it is or whatever. I'd like to not see my circumcision scar and pass as uncircumcised at a urinal consistently.</t>
  </si>
  <si>
    <t>I see circumcision continuing to moderately decline over the next few decades. Many people are waking up when it comes to this, but cultural intertia is a hell of a thing to fight against</t>
  </si>
  <si>
    <t>glans</t>
  </si>
  <si>
    <t>delayed</t>
  </si>
  <si>
    <t>handjobs</t>
  </si>
  <si>
    <t>Electrical engineer</t>
  </si>
  <si>
    <t>My penis has bled from skin tears.  Psychologically, it is just extremely painful.</t>
  </si>
  <si>
    <t>EVERYTHING!</t>
  </si>
  <si>
    <t>My father was intact, as was his son.  My mother cut her son and me.</t>
  </si>
  <si>
    <t>My half brother said he's glad he's cut as now he won't get penile cancer.</t>
  </si>
  <si>
    <t>Babies being tied down and tortured does not make for a healthy society.  What if we selected another part of society and did similar to them?</t>
  </si>
  <si>
    <t>I can only hope humanity wakes up!</t>
  </si>
  <si>
    <t xml:space="preserve">I’m more sensitive at the corona. </t>
  </si>
  <si>
    <t xml:space="preserve">It’s gradual and sustained. I feel it across my entire body. I feel very relaxed after it. </t>
  </si>
  <si>
    <t xml:space="preserve">I can’t masturbate without it. </t>
  </si>
  <si>
    <t xml:space="preserve">It’s hard because intact guys don’t really know what to do. </t>
  </si>
  <si>
    <t xml:space="preserve">Cleaner. No phimosis. Fewer infections. </t>
  </si>
  <si>
    <t xml:space="preserve">The advantages might not be worth it. The idea that I didn’t get a choice. </t>
  </si>
  <si>
    <t>Hygiene: Belief that circumcision makes the penis easier to keep clean or is inherently more hygienic., Cultural Tradition/Family Norm: It was a strong family tradition, cultural expectation, or simply "what people in our community did.", Religious Reasons: Performed as a religious ritual (e.g., Brit Milah in Judaism, Khitan/Sunnet in Islam) or based on religious belief., To Look Like Father/Peers: Desire for the son's penis to match the father's or other males in the family/community., Aesthetic Preference / To Look "Better" or "Neater": Belief that the circumcised penis looks more visually appealing, "prettier," or tidier than an intact one., Prophylactic Health Reasons (Specific Disease Prevention - e.g., Cancer, STIs, HIV, UTIs): Belief that it lowers the risk of specific diseases later in life (e.g., penile cancer, certain sexually transmitted infections like HIV or HPV, infant urinary tract infections - UTIs)., Prophylactic Health Reasons (General Prevention): Belief that it prevents potential future health problems (e.g., infections, inflammation, later penile issues) that were not currently present.</t>
  </si>
  <si>
    <t>Family Tradition/Pressure: The expectation from grandparents or other influential relatives; the idea that "it's what the men in our family have always done." (The power of heritage)., Religious Mandate/Tradition: A direct requirement or strong cultural expectation stemming from their religious beliefs and community. (The power of faith)., Paternal Influence (The "Like Father" Factor): A specific desire for you to genitally match your father or other male family members. (The power of conformity within the family unit).</t>
  </si>
  <si>
    <t xml:space="preserve">I’m high and tight. The frenulum was removed. It’s tight when I’m erect, I can’t move any skin. I can’t move any skin over the glans even when flaccid. The scar is quite faint but straight. </t>
  </si>
  <si>
    <t xml:space="preserve">I didn’t know what a frenulum was until I was 15. </t>
  </si>
  <si>
    <t xml:space="preserve">This survey has really brought them out. I feel so confused and depressed. </t>
  </si>
  <si>
    <t xml:space="preserve">I’m now very unsure about how I feel about this topic. </t>
  </si>
  <si>
    <t xml:space="preserve">A religious requirement with (pseudo) medical benefits. </t>
  </si>
  <si>
    <t xml:space="preserve">Dirtier. </t>
  </si>
  <si>
    <t xml:space="preserve">Unlucky. This made me very defensive. </t>
  </si>
  <si>
    <t xml:space="preserve">Hygiene, American porn, wanting to stick with what is similar to your own. </t>
  </si>
  <si>
    <t xml:space="preserve">That learning about the negatives of circumcision is very triggering, especially if you’ve been raised brainwashed like me. </t>
  </si>
  <si>
    <t xml:space="preserve">I would like to discuss this with you. </t>
  </si>
  <si>
    <t>Jewish, Secular Humanism / Atheism / Agnosticism, No significant religious/spiritual/cultural tradition influencing this topic.</t>
  </si>
  <si>
    <t xml:space="preserve">Yes in regards to the foreskin specificly the inside is very sensitive and then the head of my penis and the ridge </t>
  </si>
  <si>
    <t>It depends on the situation when i masturbate its usually quick but when im with a partner i try to draw it out to make it longer</t>
  </si>
  <si>
    <t>Haven't needed it ,maybe for anal sex on occasion</t>
  </si>
  <si>
    <t xml:space="preserve">I feel that being uncircumcised its confusing to partners on how it "works" and what feels good for me but once im in longer relationships its easier to communicate what feels good </t>
  </si>
  <si>
    <t>Having a foreskin is great it makes masturbation very fun and easy and also feels great when having sex it feels natural and that its doing its job i couldn't imagine being without it</t>
  </si>
  <si>
    <t xml:space="preserve">The major drawback is 99% of people having no idea how foreskin works or assuming that its "dirty" from jokes in school or conversations in college it always seems people have a negative connotation of foreskin without most of the time ever experiencing it for themselves </t>
  </si>
  <si>
    <t>Mostly when i was a child growing up and i wanted to fit in and no be made fun of or viewed as different,  however now as an adult im glad i have my foreskin</t>
  </si>
  <si>
    <t xml:space="preserve">I had balanitis when i was about 30 years old which required a prescription creme </t>
  </si>
  <si>
    <t>It was tough, i was the only person i knew who was uncut at a young age i knew my penis was different whenever foreskin came up in school and everyone would laugh i would often laugh so people would think i was cut and fit in</t>
  </si>
  <si>
    <t>Its great i love having it it add great feeling and motion</t>
  </si>
  <si>
    <t>Im not too aware of it</t>
  </si>
  <si>
    <t>If i could last longer</t>
  </si>
  <si>
    <t xml:space="preserve">Usually alot dryer head </t>
  </si>
  <si>
    <t>No opinion use to it</t>
  </si>
  <si>
    <t xml:space="preserve">That is is normal and that it isnt hard to keep clean or maintain and that there are almost no complications </t>
  </si>
  <si>
    <t>Its done due to medical reasons</t>
  </si>
  <si>
    <t>That they are dirty and gross "looking"</t>
  </si>
  <si>
    <t>Didnt really hear of any just that they were "normal "</t>
  </si>
  <si>
    <t>Social media tv movies</t>
  </si>
  <si>
    <t>That uncut does not equal dirty</t>
  </si>
  <si>
    <t xml:space="preserve">Colombia </t>
  </si>
  <si>
    <t>Viewed as a dis-figurement.</t>
  </si>
  <si>
    <t>Always sensitive, with or without clothing.</t>
  </si>
  <si>
    <t>Build up is gradual, release is full body, with an extreme intensity in the hip, pelvis, and upper leg.</t>
  </si>
  <si>
    <t>No one listened.</t>
  </si>
  <si>
    <t>Made just like Adam.</t>
  </si>
  <si>
    <t>Minority in all education venues.</t>
  </si>
  <si>
    <t>Concerns about Risks/Pain: They were worried about the potential complications or pain of the procedure., Personal Experience: One or both parents had a negative personal experience with circumcision (their own, or someone they knew)., My mother was with her sister when my cousin was circumcised, it was fone in the patients room, and she heared the loud screaming and wailing and said it would not be done to me.</t>
  </si>
  <si>
    <t>All throughout junior, high, college, local gyms - just be like the other guys.</t>
  </si>
  <si>
    <t>Na.</t>
  </si>
  <si>
    <t>Always uncomfortable in all schooling and gyms.</t>
  </si>
  <si>
    <t>Something that was "in the way".</t>
  </si>
  <si>
    <t>Just as sensitive.</t>
  </si>
  <si>
    <t>Different sensation, glans exposure, and the mechanics.</t>
  </si>
  <si>
    <t>I like all the terms.</t>
  </si>
  <si>
    <t>Greater sensation and expeience</t>
  </si>
  <si>
    <t xml:space="preserve">Protecting health from serial diseases </t>
  </si>
  <si>
    <t>Not clean. Not healthy. Ugly. Odd looking.</t>
  </si>
  <si>
    <t xml:space="preserve">Clean. Handsome. Perfect
</t>
  </si>
  <si>
    <t>Parents. Hygiene. Aesthetics. Pornograhy.</t>
  </si>
  <si>
    <t>The complex sensitivity of the punishment and foreskin. It's just a 'thing'.</t>
  </si>
  <si>
    <t>A penis has one eye. A brain has two.</t>
  </si>
  <si>
    <t>The experience above, i overheard in a conversation.</t>
  </si>
  <si>
    <t>50/50</t>
  </si>
  <si>
    <t>happy to be circumcised, but truly wish it was performed much tighter</t>
  </si>
  <si>
    <t>For this topic, no</t>
  </si>
  <si>
    <t>It's like having a nice cover for the head of my penis</t>
  </si>
  <si>
    <t>I have slight frenulum breve</t>
  </si>
  <si>
    <t xml:space="preserve">I'm fine with it. </t>
  </si>
  <si>
    <t xml:space="preserve">There isn't really a need to perform it. </t>
  </si>
  <si>
    <t>Among most white Americans I know, they are very pro circumcision because they believe it's part of the  American culture.</t>
  </si>
  <si>
    <t>They're ugly or weird looking</t>
  </si>
  <si>
    <t>It's the way a penis is supposed to look</t>
  </si>
  <si>
    <t xml:space="preserve">I'm interested in contributing because being a white American in the Millenial cohort that is intact is still uncommon. </t>
  </si>
  <si>
    <t>No — the topic never came up.</t>
  </si>
  <si>
    <t>The most sensitive part of my penis is the glans. It is very sensitive to light touch, and prolonged direct stimulation of my glans is overstimulating and unpleasant. Instead of direct contact with my glans, I glide my foreskin up and down over it during masturbation, which provides pleasure without being “too much”. My frenulum and inner foreskin are sensitive, although less so than the glans, to a variety of stimulation and most applied stimulus is pleasurable — including light touches, rubbing circles with a finger, rubbing against fabric, and firm pressure. The least sensitive parts of my penis are the outer foreskin — specifically the external part that overhangs when flaccid — and the shaft. Both require firmer pressure to stimulate. Different parts of my penis can tolerate different textures. My glans is too sensitive to directly deal with anything other than light pressure and smooth texture, but my foreskin (both inner and outer), frenulum, and shaft can handle firmer pressure and coarser textures (like the denim of a pair of jeans).</t>
  </si>
  <si>
    <t xml:space="preserve">The build up to orgasm is quick for me. I go from about 50% of the way there to on the brink in roughly 10 seconds if I apply the right kind of stimulation. The release is pleasurable and satisfying. I’d describe it as a focused feeling in a few areas — a burst of pleasure concentrated in the glans of my penis, a throbbing sensation through my urethra, and the reflexive contraction of muscles in my scrotum and abdomen. Orgasm feels pleasurable for me, but only marginally more pleasurable than ordinary stimulation of my penis. As a result, I don’t always seek to achieve orgasm during masturbation. I often focus on the “journey” rather than the “destination”, so to speak. </t>
  </si>
  <si>
    <t>Lubrication can sometimes enhance my pleasure during masturbation by allowing for different sensations and different ways of stimulation my penis, such as providing a smoother, slicker sensation or allowing my hand to slide up and down my foreskin rather than my foreskin moving with my hand. Although the vast majority of the time, I don’t bother using lubrication and just use the natural gliding motion of my foreskin.</t>
  </si>
  <si>
    <t>The main advantages of having a foreskin for me are the ability to masturbate without external lubrication, the additional surface available for stimulation during masturbation, and the protection of my glans from being exposed to the fabric of my clothing.</t>
  </si>
  <si>
    <t>Yes, I have experienced several drawbacks to having foreskin. The main one is droplets of urine remaining in the foreskin after peeing, and an unpredictable stream direction when peeing if I don’t fully retract my foreskin beforehand. To prevent this, I have to retract before I pee and wipe the tip afterwards.</t>
  </si>
  <si>
    <t xml:space="preserve">During my late teens when I first started watching porn online, the prevalence and popularity of circumcised penises made me question if my penis would look better without the foreskin. Seeing claims that circumcised penises look more attractive and are more hygienic on social media, and TV also made me question if it would be better off circumcised. </t>
  </si>
  <si>
    <t>In my mid-teens I experienced some pain and irritation of my glans and foreskin and was assessed by a doctor. This involved the doctor manually retracting my foreskin. The issue stemmed from chafing/friction during exercise and was treated with a cream, and I was given advice on how to prevent further irritation.</t>
  </si>
  <si>
    <t>My foreskin is very valuable during masturbation due to the natural gliding motion it provides that allows me to indirectly stimulate the glans of my penis (which is too sensitive to stroke directly). My foreskin is also very pleasurable to stimulate on its own, by rubbing the inner or outer skin with a finger.</t>
  </si>
  <si>
    <t>My frenulum is sensitive and I derive a lot of pleasure from stimulating it while masturbating. It is noticeably more sensitive than the shaft of my penis and I often stimulate it directly with a fingertip, or adjust my grip while stroking to apply additional pressure/friction to it.</t>
  </si>
  <si>
    <t>I am curious about the sensitivity level of the glans of a circumcised penis. Mine is too sensitive to stimulate directly, and so I glide my foreskin over it, but circumcised men don’t have that option. I imagine the glans of a circumcised penis must be less sensitive to direct touch — likely due to head getting used to direct stimulation via rubbing against clothing unprotected. I would be curious to know what it feels like to have the glans exposed for a prolonged period of time.</t>
  </si>
  <si>
    <t>I don’t have a strong preference or thoughts on which terms are used to describe an intact penis. I usually use the word “uncut” to describe myself, likely because it’s a popular and widely-understood term.</t>
  </si>
  <si>
    <t>The foreskin is not redundant — it’s an important part of facilitating pleasurable masturbation for me. It’s also not difficult to keep clean, as narratives often suggest.</t>
  </si>
  <si>
    <t>Domestic media rarely brought up the topic of circumcision, as being intact was the norm outside of small religious communities. Although social media, porn, films, and TV from the USA often had stereotypes and assumptions that uncircumcised penises were dirty and unattractive.</t>
  </si>
  <si>
    <t>Despite intact being the norm, circumcised penises were often assumed to be cleaner — likely an influence of social media, porn, and films from the USA becoming popular here too.</t>
  </si>
  <si>
    <t>Reddit: u/Ok-Brief8317 (I have commented on one of your posts so I can be easily found)</t>
  </si>
  <si>
    <t>Potentially open to the above options.</t>
  </si>
  <si>
    <t>None of the above feel particularly accurate, Unsure</t>
  </si>
  <si>
    <t>The corona is sensitive, most other areas are painful to the touch.</t>
  </si>
  <si>
    <t>There is almost no sensation during buildup. Upon getting close to orgasm, the sensitivity increases and then quickly drops off. It feels like a release, like a sneeze.</t>
  </si>
  <si>
    <t>I prefer not to use it. It interrupts the intimacy.</t>
  </si>
  <si>
    <t>This mainly occurs when a partner asks me what I would like them to do to pleasure me. I have no answer since I lack the nerve endings to accommodate the pleasure. Another situation is during oral when my partner would lick the place where my frenulum should be. It feels like nothing to me.</t>
  </si>
  <si>
    <t>I can't think of any advantages.</t>
  </si>
  <si>
    <t>Being circumcised at age five for what I later learned was a misdiagnosed condition has had lifelong physical, emotional, and psychological consequences. Physically, I experience chronic chafing of the glans, tight and painful erections, nerve pain along the scar, dryness and cracking of the glans, and discomfort so intense that even clothing or movement can wake me at night. Exercise is painful, certain sexual positions are difficult, and reduced natural lubrication makes sexual activity uncomfortable. My sexual pleasure is significantly diminished, and I feel unable to experience normal sexual mechanisms, which affects both me and my partner. Emotionally, I feel a deep sense of loss, grief, and anger, as though something essential was taken from me without my understanding or consent. I struggle with intrusive thoughts, shame, and disgust toward my genitals, and I often feel disconnected from my body, less than whole, and isolated from others. This has severely damaged my self-esteem, my trust in medical professionals and authority, and even my relationship with my family, as I am the only circumcised person in my bloodline. Attempts to seek help have left me feeling dismissed and hopeless, especially after being told the procedure was unnecessary and irreversible. The cumulative impact has affected my mental health, relationships, life choices, and overall ability to function; I often feel like I have been living in survival mode for years.</t>
  </si>
  <si>
    <t>As a child, I had enough shaft skin left, but my penis grew a lot during puberty which left the glans constantly exposed. My erections became tight. My scar is very prominent and uneven. My frenulum has been severed and did not heal nicely, causing skin bridges which were never addressed.</t>
  </si>
  <si>
    <t>I wish I could know what it feels like to have all my nerve endings. I would love to know what it feels like to roll my foreskin tip between my index finger and thumb. I sometimes can almost imagine what it would feel like. The gliding motion is something I miss massively. Touching my frenulum remnant feels weird and uncomfortable, like white noise. I wish I could experience an intact frenulum, I have heard it feels amazing and is like the male G-spot. I would love to stick my finger in between the glans and the foreskin and rub it. I wonder what it feels like to glide in and out of a woman, or receive a handjob that is not painful due to tight skin.</t>
  </si>
  <si>
    <t>This started as a teenager, when I could not wear certain types of underwear. I experienced a lot of discomfort in my penis and went looking for information. The more I learned, the more upset I became. My anger increased a lot because I realized I have been in pain and discomfort my entire life for no good reason, and realizing that others don't have to deal with this. In addition to that my sexual experience has been bad since before I knew about the effects of circumcision. Knowing that I am supposed to enjoy sex but got that opportunity taken away from me makes me very upset.</t>
  </si>
  <si>
    <t>I experience several ongoing physical symptoms that I attribute directly to my circumcision. My erections feel overly tight and restricted, and the scar itself is painful and tense. The glans is chronically dry, cracked, and extremely sensitive to friction, which causes chafing against clothing and sometimes wakes me at night. I also experience nerve pain and sharp jolts along the scar line. Exercise and movement often cause significant discomfort, and certain sexual positions are painful. Reduced natural lubrication makes sexual activity difficult, and I frequently experience post‑ejaculatory pain in the glans. These symptoms have been persistent throughout my life and continue to affect my daily functioning.</t>
  </si>
  <si>
    <t>I wish you would have protected me and used common sense instead of blindly following what the doctor was saying. You wouldn't have gone along with this if they wanted to amputate any other body part. Why is my penis, arguably the most important part, different?</t>
  </si>
  <si>
    <t>It was simply deemed necessary for phimosis.</t>
  </si>
  <si>
    <t>I think the gliding mechanism. When I got sex education I could not relate to the intact penis shown, as mine looked and functioned differently.</t>
  </si>
  <si>
    <t>I think "cleaner".</t>
  </si>
  <si>
    <t>The single most important thing people are missing is that the foreskin is not “extra skin”. It is a complex, functional, highly innervated organ that plays a major role in protection, sensation, and sexual mechanics throughout life. Removing it permanently alters the anatomy, exposes tissue that was never meant to be external, and can lead to lifelong changes in sensitivity, comfort, and sexual function. Many people don’t realize that circumcision is not a minor cosmetic adjustment but an irreversible removal of specialized tissue with physical and emotional consequences that can last into adulthood.</t>
  </si>
  <si>
    <t>Because society has a blind spot to it. Even in countries where RIC is not part of the culture, circumcision is seen as benign.</t>
  </si>
  <si>
    <t>Reddit: PursueBlue</t>
  </si>
  <si>
    <t>Yes, anything to help.</t>
  </si>
  <si>
    <t>Gent</t>
  </si>
  <si>
    <t>Law/Government/Public Service/Civil Servant, Healthcare/Medicine (e.g., Doctor, Nurse, Therapist, Technician)</t>
  </si>
  <si>
    <t>Straight/Heterosexual, Gay</t>
  </si>
  <si>
    <t xml:space="preserve">Gliding motion give me great sensation along my shaft, firm pressure increase it. My inner foreskin, scar, frenulum, and glads are sensitive to light touch. My shaft skin is less sensitive to light touch. </t>
  </si>
  <si>
    <t xml:space="preserve">Orgasms intensity is sting, with my breathing and heart rate increasing untill orgasms. Build up can me modulated by speed and pressure. Full body build up. After release it hangs around for about 30 seconds before dissipating.  My penis is still very sensitive afterwards and reactive to touch. </t>
  </si>
  <si>
    <t xml:space="preserve">No need for lubrication for masterbation and hand jobs. Lubrication increase sensitivity. </t>
  </si>
  <si>
    <t xml:space="preserve">Everyone else is done. Many think it looks better. </t>
  </si>
  <si>
    <t xml:space="preserve">I didn't really ever see circumcision in a positive light growing up. My mother openly regrets having me done, my best friend growing up was upset he was done. The procedure at the time was super painful and without anesthesia, so that wasn't fun to experience (not that I remember it). The "it's just normal" part of it all is a wild thing to think about. </t>
  </si>
  <si>
    <t xml:space="preserve">I have a good amount of mobile skin left over, lots of inner foreskin, and a good portion of my frenulum left. Ni tightness when erect </t>
  </si>
  <si>
    <t>The sensation of having the extra skin</t>
  </si>
  <si>
    <t>When I was in the 4th grade, my mother told me she regretted having me done, and the it was painful and I cried allot. Later in 7th grade a friend of mine was annoyed he was circumcised, and show us a video of a circumcision. I was upset then, but now I don't mind it becomes you have to be happy with what you have.</t>
  </si>
  <si>
    <t xml:space="preserve">It's Ok, you were doing the best with the information you had. </t>
  </si>
  <si>
    <t xml:space="preserve">My mother regretted having me done, so my younger brother was left intact. My step brother was born with a different mother, and I believe he is circumcised </t>
  </si>
  <si>
    <t xml:space="preserve">Mainly cultural and medical. No one really questions if is should be done or not, they just get it done becomes it's so common. </t>
  </si>
  <si>
    <t xml:space="preserve">Their weird. No one ever really saw one growing up. </t>
  </si>
  <si>
    <t xml:space="preserve">It just normal </t>
  </si>
  <si>
    <t xml:space="preserve">Being intact is so rare here is almost weird to be </t>
  </si>
  <si>
    <t xml:space="preserve">There are almost no real benefits to circumcision </t>
  </si>
  <si>
    <t xml:space="preserve">That mostly my view on it too. </t>
  </si>
  <si>
    <t xml:space="preserve">It's wild to think of how normal it it, and how people just do it becomes it common. </t>
  </si>
  <si>
    <t xml:space="preserve">My parents didn't even know what is was, the doctor just told them that it was the SOM and was healthier </t>
  </si>
  <si>
    <t>I avoid the topic / The topic does not come up.</t>
  </si>
  <si>
    <t>Other (please specify)</t>
  </si>
  <si>
    <t>Lots of people including medical and childcare professionals have incorrect information about proper care for an intact infant or young child, so I assume many parents do as well.</t>
  </si>
  <si>
    <t>Before I was ever pregnant I heard many conversations about it among people who were parents.  They appeared to be aware of how painful it was, and would shudder or sound angry when talking about it, but there still seemed to be very little questioning of it.  As far as my interest, I was very interested in birth and babies from a very early age.  Also had a brother very close in age.  Grew up believing that's how they were born.  Eventually found my way to more alternative literature about birth where I first learned about it.  It was never talked about when I was growing up.  My mother wasn't aware that she had a choice when she had my brother.  As a health aide, in my experience, most men born in the 1920s were intact, 1930s around 50/50, most after 1940 were circumcised unless from a dif culture or born in another country.  I think it's mostly the default around here, but I've certainly met people who didn't or wouldn't.  Only comment I ever got about my sons was from a former midwife who was helping out by changing a diaper and complimented me on leaving them intact.  No one else ever said anything about it.</t>
  </si>
  <si>
    <t>It was never spoken about.  I never even knew it existed until I was in my teens, and that, only from reading an early publication about home and alternative birthing.  I believe it was pretty much automatic and most people never even thought about it.</t>
  </si>
  <si>
    <t xml:space="preserve">While I was growing up, in the '60s and '70s, it was never talked about, even in a sex ed class at a Quaker boarding school (where many had liberal or even radical ideas about many issues) and almost never depicted or discussed in media.  I do recall seeing a MASH episode where one was done and it was portrayed as being completely painless for the baby, and not disturbing at all to anyone witnessing it.  </t>
  </si>
  <si>
    <t>Again, I never heard anyone talking about it and wouldn't have even known about it if weren't for some books I read due to my interest in birth.</t>
  </si>
  <si>
    <t>They don't understand how radical the surgery actually is, or how much tissue is removed.  That it's not just "a little flap of skin".</t>
  </si>
  <si>
    <t xml:space="preserve">It's so normalized that it seems like it's practically invisible. </t>
  </si>
  <si>
    <t>I wish you had given space for a written answer about medical information and how it was treated at birth.  None of the answers provided really captured my experience.  I never asked for or was given any information at all.  I didn't ask because I'd already decided a long time ago.  My sons were in the NICU for 3 weeks.  At 1 week, consent forms appeared by each of their isolettes.  I didn't really look at them, but I don't think there was much information at all.    I was very adamantly negative about it with the nurses.  The nurse for one baby was very supportive and talked about how barbaric and horrible they were.  Wrote NO in big letters on the form.  Nurse for the other baby seemed cold and indifferent, but told me I'd have to sign some part of the form if I didn't want it, which I refused.  My mother wrote NO on it.  Was asked about it later by another nurse and told them to put it in their charts that it wasn't being done.  Same nurse told me, while helping me bathe one of my sons, that I'd have to pull it back and clean under it after I got them home.  Didn't say anything because it's an intimidating environment.  Later was told similar by a home visit nurse.  Was eventually able to give her educational materials and discuss it with her.  I'd say that there wasn't much of an informed consent process.</t>
  </si>
  <si>
    <t>I'd advise lots of research from a wide variety of sources, exploration of that in conjunction  with their own beliefs and values.  Would try to correct any misinformation.</t>
  </si>
  <si>
    <t>There was no single "tipping point"; it was a combination of factors., Various sources over a period of many years.  Own research.</t>
  </si>
  <si>
    <t>Twins.  Talked about it with them a bit when they were little.  Haven't talked about it since.</t>
  </si>
  <si>
    <t>Not currently but was a home health aide.  Helped many elerly/disabled men with personal care.</t>
  </si>
  <si>
    <t>Not applicable to my role.</t>
  </si>
  <si>
    <t>Minimal &amp; Rushed: It's often treated as a routine checklist item with little substantive discussion.</t>
  </si>
  <si>
    <t>Not applicable to my specialty.</t>
  </si>
  <si>
    <t>I think most people don't know much at all.  I've seen nurses who couldn't tell whether an elderly man was intact or circumcised while looking at his penis.</t>
  </si>
  <si>
    <t>Worked in people's homes.  Health aide.</t>
  </si>
  <si>
    <t>Lube always needed for masturbation, occasionally for sex</t>
  </si>
  <si>
    <t>Improved hygiene and aesthetics</t>
  </si>
  <si>
    <t>Feeling alienated from all my intact friends and family</t>
  </si>
  <si>
    <t>High and tight, frenulum removed</t>
  </si>
  <si>
    <t>The gliding motion and self-lubrication</t>
  </si>
  <si>
    <t>During teenage years, whenever my friends assumed we were all intact or I would see an intact penis</t>
  </si>
  <si>
    <t>Something barbaric and foreign</t>
  </si>
  <si>
    <t>Intact is the norm and better</t>
  </si>
  <si>
    <t>Only Americans and anglo Canadians circumcise</t>
  </si>
  <si>
    <t>Asexual, Questioning</t>
  </si>
  <si>
    <t xml:space="preserve">I can't feel a lot of sensations like light touches in my glans, there is just the right amount of gliding motion to please myself. I can't tell whether or not I'm more or less sensitive than other guys because I have never been in the body of someone else </t>
  </si>
  <si>
    <t>My orgasms are just like 5 to 30 second reflexes that will feel different varying on the level of arousal at the moment. It is a pleasurable penis sensation only.</t>
  </si>
  <si>
    <t>I don't think there is any</t>
  </si>
  <si>
    <t xml:space="preserve">I think that I have been psychologically impacted by this. I feel deeply uncomfortable when someone says "circumcision" or "foreskin". I am scared of every type of medical check, even going to the dentist has been a major anxiety trigger for me as they ask for surgical operations.  </t>
  </si>
  <si>
    <t>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t>
  </si>
  <si>
    <t>Prevailing Health &amp; Hygiene Beliefs: General societal "knowledge" at the time—gleaned from various sources—that presented circumcision as being fundamentally cleaner, healthier, or preventive of future diseases. (The power of a cultural 'truth')., Aesthetic Preference: A belief, possibly influenced by media or pornography, that the circumcised penis is visually "neater," "more attractive," or the "correct" look. (The power of aesthetics)., Direct Medical Authority: Specific advice from their obstetrician, pediatrician, or the hospital staff where you were born. (The voice of a trusted professional).</t>
  </si>
  <si>
    <t>There is enough shaft skin to cover all my glans when I'm flaccid but only if I extend the skin, If I don't touch anything it will just cover the corona if it is fully flaccid, on erection I have enough skin to pull it over half of my glans. It is not a tight circumcision. I think that my scar is normal, it is not that large but neither small</t>
  </si>
  <si>
    <t>All of them, but mostly the gliding motion</t>
  </si>
  <si>
    <t>Fuck you mom and your fucking sunk cost fallacy that made you tell everybody that I was cut even after expressing the pain it caused to me, without giving a shit about my feelings, fuck you for hiding me the pediatrician advise that said "Circumcision is not necessary as foreskin adherence is completely normal at this age" and then fucking gaslighting me into believing it was due phimosis while completely ignoring advice from two fucking urologists.</t>
  </si>
  <si>
    <t>That having foreskin adherence in the childhood is completely normal and that is not phimosis nor a disease</t>
  </si>
  <si>
    <t>Because most men are unable to talk about this, probably a lot of them have some sort of trauma related to it. You can't tell whether or not a man has been passing through hard moments relating to this and he won't tell you and he might even defend its condition due to sunk cost fallacy</t>
  </si>
  <si>
    <t>Pediatricians doing circumcisions to children when they go to get an orchiopexy because of parents asking the surgeon to do it along side (my case) or even doctors treating every kind of non-retractable foreskin as phimosis or paraphimosis taking advantage of retarded parents like the ones I have.</t>
  </si>
  <si>
    <t>Bogotà</t>
  </si>
  <si>
    <t>Bogotà, Colombia</t>
  </si>
  <si>
    <t>Only disadvantages</t>
  </si>
  <si>
    <t>Pain, almost no sensation, masturbation ans sex almsot impossible using genitals, complications in upcoming surgeries</t>
  </si>
  <si>
    <t>Don't know/Not told, Medical Advice (without stated necessity): Recommended by a doctor or healthcare provider without explaining a specific existing medical problem, perhaps framing it as routine or generally beneficial., Don't Know/Not Told: The reasons were never explained or learned later.</t>
  </si>
  <si>
    <t xml:space="preserve">Only 1mm of Preputial mucosa left, the skin is very short when flacid, and it's very taught and painful when erect. </t>
  </si>
  <si>
    <t xml:space="preserve">Being able to feel things with my genitalia, being able to have penetrative sex without pain. </t>
  </si>
  <si>
    <t xml:space="preserve">I was brought to a hospital to "fix" something, when I had waken up from the anesthesia my genital area hurt, and everything looked different. I learned 18 years later what genitalia should look like and what was done to me against my will and probably without my parents' consent. </t>
  </si>
  <si>
    <t xml:space="preserve">I learned that my genitals were mutilated when I was 20 years old, a few years before my first sexual encounter. I'm angry that the genitals hurt when slightly erect, and that the mutilation made it more complicated to get other surgeries like for example a vaginoplasty. </t>
  </si>
  <si>
    <t xml:space="preserve">Pain, wide scars, the holes from the stitches are almost impossible to clean. </t>
  </si>
  <si>
    <t xml:space="preserve">Amputation is never an option. There would have been multiple different options which don't include genital mutilation, but the doctors probably didn't tell that to my parents. Don't trust doctors, they want to hurt children. </t>
  </si>
  <si>
    <t xml:space="preserve">I think intact penises have feelings in the glans and in the foreskin, and usually not much pain when erect. </t>
  </si>
  <si>
    <t xml:space="preserve">Genital mutilation is unnecessary and irreversible. </t>
  </si>
  <si>
    <t>Google search, doctorsopposingcircumcision.org</t>
  </si>
  <si>
    <t>Healthcare/Medicine (e.g., Doctor, Nurse, Therapist, Technician), Factory / Manufacturing / General Labor</t>
  </si>
  <si>
    <t xml:space="preserve">I am not sensitive to a light touch which requires a little pressure, but not too much. Otherwise I will feel discomfort on the shaft or gland. Less sensitive on the right side. </t>
  </si>
  <si>
    <t xml:space="preserve">The quality of orgasm varies being somewhat  intense or mild. The build up is gradual. The final release is either somewhat intense or mild. </t>
  </si>
  <si>
    <t>Some drawbacks in being circumcised is that I believed it to have decreased pleasurable sensation, it is possible since the glands is expose, it often feels uncomfortable with some clothes rubbing against it, discomfort, not satisfied on how it looks, and that it was done when I could not consent and make the decision for myself.</t>
  </si>
  <si>
    <t>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Cultural Tradition/Family Norm: It was a strong family tradition, cultural expectation, or simply "what people in our community did.", Prophylactic Health Reasons (Specific Disease Prevention - e.g., Cancer, STIs, HIV, UTIs): Belief that it lowers the risk of specific diseases later in life (e.g., penile cancer, certain sexually transmitted infections like HIV or HPV, infant urinary tract infections - UTIs).</t>
  </si>
  <si>
    <t>Direct Medical Authority: Specific advice from their obstetrician, pediatrician, or the hospital staff where you were born. (The voice of a trusted professional)., Lack of Counter-Information: Crucially, the simple absence of any strong, readily available information presenting the benefits of intactness or the risks of circumcision, making it an easy default choice. (The power of silence)., Prevailing Health &amp; Hygiene Beliefs: General societal "knowledge" at the time—gleaned from various sources—that presented circumcision as being fundamentally cleaner, healthier, or preventive of future diseases. (The power of a cultural 'truth').</t>
  </si>
  <si>
    <t xml:space="preserve">I have shaft skin, but don’t consider it to be tight. The scar is noticeable flaccid but mostly when erect. The exposed glands has a dry and wrinkled appearance. </t>
  </si>
  <si>
    <t>I have been most curious about the sensation of having a foreskin and the protection it gives since it would not be exposed.</t>
  </si>
  <si>
    <t xml:space="preserve">These feelings started to emerge within the last couple of years of discovering what had happened But were mild. These feelings got stronger as I did more research. </t>
  </si>
  <si>
    <t xml:space="preserve">It is a shame to have a baby boy go through an unnecessary surgery to lose all the benefits and alter how the organ will work and feel. This decision should be made by the individual not the parents who don’t know what they are doing. </t>
  </si>
  <si>
    <t xml:space="preserve">I believe the idea of hygiene and cultural familiarity are what shaped this perceived preference. People tend to not give it a second thought or do research and believe what others believe. </t>
  </si>
  <si>
    <t>Clerical / Administrative Support (e.g., Secretary, Office Clerk), Arts/Humanities/Entertainment (e.g., Artist, Writer, Musician)</t>
  </si>
  <si>
    <t xml:space="preserve">Bavaria </t>
  </si>
  <si>
    <t>Bavaria Munich</t>
  </si>
  <si>
    <t>Non practicing. Not a non believer</t>
  </si>
  <si>
    <t>Responsive and eager to erect</t>
  </si>
  <si>
    <t xml:space="preserve">Depends on circumstances and environment </t>
  </si>
  <si>
    <t>Can be fun though seldom use it</t>
  </si>
  <si>
    <t xml:space="preserve">Useful for both masturbation &amp; intercourse </t>
  </si>
  <si>
    <t xml:space="preserve">As younger child I was puzzled by the difference </t>
  </si>
  <si>
    <t>Medical Information/Advice: They were informed by a doctor/medical literature that circumcision was medically unnecessary (e.g., citing AAP 1971/1975 statements or similar, or advice from a specific medical professional)., Lack of Perceived Benefit: They didn't see any compelling reason to circumcise., "Stroke of Luck"/Circumstance: e.g., Born at home, logistical issues at the hospital, doctor didn't push it, scheduled, but never performed, etc..</t>
  </si>
  <si>
    <t>My older brothers were circumcised and many if my friends, I was confused about it</t>
  </si>
  <si>
    <t>I was sexually active as a youngster, my foreskin wasn't an issue with boy and girl friends</t>
  </si>
  <si>
    <t>I enjoy the rolling back and forwards over the glans both solo and with my wife</t>
  </si>
  <si>
    <t>It's good to stimulate gently</t>
  </si>
  <si>
    <t>The need for lube with circumcised, scaring and skin bridges</t>
  </si>
  <si>
    <t>Don't really care</t>
  </si>
  <si>
    <t xml:space="preserve">Unnecessary medical intervention </t>
  </si>
  <si>
    <t>Attitudes were just beginning to change against circumcision and the familybdr was Scottish and was not supportive of circumcision</t>
  </si>
  <si>
    <t xml:space="preserve">Now days in my country circumcision is rare, only for religious purposes and not suppoted by the medical professionals </t>
  </si>
  <si>
    <t>Don't know</t>
  </si>
  <si>
    <t>Unnecessary medical intervention with risks</t>
  </si>
  <si>
    <t xml:space="preserve">New Zealand </t>
  </si>
  <si>
    <t>Research</t>
  </si>
  <si>
    <t xml:space="preserve">Consulting </t>
  </si>
  <si>
    <t>Enjoyable and varied</t>
  </si>
  <si>
    <t>Varied on stimulation, time etc</t>
  </si>
  <si>
    <t>It's optional</t>
  </si>
  <si>
    <t>Appearance, readiness, hygiene and belonging</t>
  </si>
  <si>
    <t>Glans is fully exposed with frenulum removed. There is a scar circumferencially and little to no loose skin remaining. It is tight when erect.</t>
  </si>
  <si>
    <t>It's really not that different</t>
  </si>
  <si>
    <t>Smegma and cleanliness issues</t>
  </si>
  <si>
    <t xml:space="preserve">American or religious connotations </t>
  </si>
  <si>
    <t xml:space="preserve">Individual differences and priorities </t>
  </si>
  <si>
    <t>It's not that big of a deal - parents make much bigger decisions for their children</t>
  </si>
  <si>
    <t>Felt that i should've always,been like this. It was initially uncomfortable but feels right.</t>
  </si>
  <si>
    <t xml:space="preserve">Consider your motivations but if you are sure it's what you want then do not hesitate. It is a minimal process and I feel significantly positive about having done it. </t>
  </si>
  <si>
    <t>There is so much negativity towards this nowadays and quite frankly it's mostly unfounded. I respect the right to autonomy but a lot of the anti-circ movement ought to reflect on how it encourages people to feel inadequate and unhappy in their bodies.</t>
  </si>
  <si>
    <t>no, it was more a cultural norm than religious I think</t>
  </si>
  <si>
    <t>glans and inner foreskin sensitive to touch, inner foreskin sensitive to stretch (pleasurably)</t>
  </si>
  <si>
    <t>build up is gradual but logarithmic, it builds fast in the final stages. Orgasm is intensely pleasureable but somewhat brief, maybe 20-30 seconds</t>
  </si>
  <si>
    <t>not necessary for masturbation, usually necessary for sex with my partner</t>
  </si>
  <si>
    <t>More nerve endings / touch receptors, ease of intercourse for some partners</t>
  </si>
  <si>
    <t>Just societal stigma, though I did need my frenulum surgically altered to facilitate full retraction as an adult</t>
  </si>
  <si>
    <t>I actually never wanted to be circumcised, but I was afraid of people finding out I wasn't</t>
  </si>
  <si>
    <t>Adult, needed a procedure on my frenulum to facilitate full retraction (full retraction was possible but difficult as a teen, and repeated tears formed scar tissue made it worse over time)</t>
  </si>
  <si>
    <t>It was heavily stigmatized, I didn't let people know I was intact, and didn't engage in partnered sex until college because of the stigma</t>
  </si>
  <si>
    <t xml:space="preserve">It's a really important part of my sensation, maybe the most. It definitely has more fine-touch sensation than my glans, and the sensation of the inner foreskin touching/interaction and stretching sensations are the most pleasurable sensations for me </t>
  </si>
  <si>
    <t xml:space="preserve">mine had issues and I had it surgically removed because of scar tissue. When I did have it, it was very sensitive but not in a pleasurable way. </t>
  </si>
  <si>
    <t>Mostly just wondered how different it would feel</t>
  </si>
  <si>
    <t>I don't really care much, but I would lean towards preferring 'intact'</t>
  </si>
  <si>
    <t>That it's normal.</t>
  </si>
  <si>
    <t>I'm not sure where the cultural practice originated in Canada, but it was the 'societal norm' at the time</t>
  </si>
  <si>
    <t>That it's gross, dirty, un-masculine</t>
  </si>
  <si>
    <t>That it's 'better', 'preferred', 'cleaner'</t>
  </si>
  <si>
    <t>Media, cultural norms, more familiarity with circumcised penises</t>
  </si>
  <si>
    <t>Familiarity. Parents should learn about foreskin, how to clean the penis, how it works, and what requires medical attention and what doesn't.</t>
  </si>
  <si>
    <t xml:space="preserve">as a marketing phrase, 'monster' works, but it's easy to disregard it too 'monsters don't exist etc' </t>
  </si>
  <si>
    <t>text question/answer is best for me</t>
  </si>
  <si>
    <t>no. I thought they were normal, and didn't have other intact people in my life to know they weren't</t>
  </si>
  <si>
    <t>I was to ill and premature to have the procedure at the time, and they never took me back to have it done</t>
  </si>
  <si>
    <t>in particular the frenulum, a light touch</t>
  </si>
  <si>
    <t>great sensations thanks to the inner foreskin and frenulum, no need to use lubricant</t>
  </si>
  <si>
    <t xml:space="preserve"> forced retraction in childhood</t>
  </si>
  <si>
    <t>It's crucial for my most intense pleasure</t>
  </si>
  <si>
    <t>different sensations, mechanics</t>
  </si>
  <si>
    <t>intact</t>
  </si>
  <si>
    <t>that they are Jews</t>
  </si>
  <si>
    <t>sexual pleasure</t>
  </si>
  <si>
    <t>I am no longer Christian, but the cultural and spiritual upbringing I had did not mention circumcision. It was more related to shame around sexual behavior</t>
  </si>
  <si>
    <t>When I am with a partner, it usually takes a very long time, even when I make no effort to last or am even trying to go quickly. I experienced anything from smaller local feelings to full body explosions, but only experience the best full body orgasms with a partner or specific toys. often the buildup is gradual and powerful, often in a good way, but sometimes it becomes almost impossible to go over the edge and actually orgasm. I have sometimes spent so long at that point that it becomes so frustrating I have to stop and I’m not able to finish. Overall, things are usually very Good infinite penetration with my partner, but there are a good number of very frustrating times as well. I am almost completely unable to orgasm from other types of simulation with partners, and even occasionally struggle on my own, particularly without toys, visual stimulation, or lube</t>
  </si>
  <si>
    <t>I rarely need lubrication with a partner, but almost always use it solo, as I have so Lil mobile skin that I cannot achieve high-quality pleasure without it</t>
  </si>
  <si>
    <t>It is very hard for partners too bring me to orgasm. I have almost never been able to orgasm from oral sex or other stimulation that is not penetration, and even then, I usually have to be in control of position and movement to make it happen. It can take a long time as well</t>
  </si>
  <si>
    <t>Nothing other than the fact that American women tend to expect it. I think it is awful and should be ended as a practice</t>
  </si>
  <si>
    <t>Yes. I often feel overly “tight”, as if I was cut too closely or something. I also require significantly vacation to enjoy masturbation at all, and also feel that I was violated in a way that I cannot remedy</t>
  </si>
  <si>
    <t>Just standard practice: Based on observing its prevalence, assumed it was the default medical procedure without a specific individual reason., Parent's General Preference: Parents simply preferred the circumcised appearance or state without specific medical, religious, or cultural reasons being primary.</t>
  </si>
  <si>
    <t>Aesthetic Preference: A belief, possibly influenced by media or pornography, that the circumcised penis is visually "neater," "more attractive," or the "correct" look. (The power of aesthetics)., Institutional Medical Norm: The general belief that "this is just the standard procedure" at hospitals, making it a routine, unquestioned part of postpartum care. (The power of the system)., Lack of Counter-Information: Crucially, the simple absence of any strong, readily available information presenting the benefits of intactness or the risks of circumcision, making it an easy default choice. (The power of silence).</t>
  </si>
  <si>
    <t>I have a little mobile skin, but not as much as I should have. The only mobile skin is on the shaft, none at the head. When erect, it is very tight and there’s little to no movement near the head at all.I think the overall “quality” of the work is probably good, no obvious scarring, but I often feel too tight, and think I lack significant sensation and pleasure because of the mutilation</t>
  </si>
  <si>
    <t>Gliding motion, full sensation, the psychological feeling of being natural and not mutilated against my will as a child</t>
  </si>
  <si>
    <t>In my early 20s. I first noticed because I felt too tight to when erect, and started encountering intact people for the first time. I feel that I was violated and mutilated as a child, that I carry that for the rest of my life, and that it has negatively impacted my sexual life</t>
  </si>
  <si>
    <t>Overly tight skin, muted sensation</t>
  </si>
  <si>
    <t>That they made a bad choice, but I forgive them given the circumstances. But that they should work to end the practice as well</t>
  </si>
  <si>
    <t>I think the fact that it is common place and the lack of opposing information is the main reason, with preferred aesthetics/look like your father as the second tier</t>
  </si>
  <si>
    <t>That they are unclean, smell bad, “weird“</t>
  </si>
  <si>
    <t>More attractive, “normal”, clean</t>
  </si>
  <si>
    <t>Cultural familiarity, pornography, and mass media. There are so many jokes about how intact penises are “weird” on mainstream television</t>
  </si>
  <si>
    <t>That an intact penis is healthy, normal, and in no way has negative ramifications in life</t>
  </si>
  <si>
    <t>I carry a low level but constant anger about the fact that this was done to me and to so many people. The fact that it is also a huge profit maker for doctors makes me even more sick. The fact that most people don’t even consider what they are doing or the long-term modifications of it is unbelievable, and if it remains legal, should at the very least become something demanded by a minority, never suggested for the majority. Female circumcision is named mutilation and outlawed, and it should be no different for males</t>
  </si>
  <si>
    <t>I am happy to contribute to something that will have an impact and help others. Just not sure what that would be</t>
  </si>
  <si>
    <t>Internet search for how to end circumcision</t>
  </si>
  <si>
    <t>Venezuela</t>
  </si>
  <si>
    <t>My orgasms have never been very potent. When I'm bored I reach down and play with my foreskin, not really with the intention to reach orgasm</t>
  </si>
  <si>
    <t>The build up feels reasonably good. The actual orgasm is kinda disappointing. The feeling is more focused on the penis. I never moan, sometimes breathe heavily at most</t>
  </si>
  <si>
    <t>Have never used lube for masturbation. No penetrative sex experience</t>
  </si>
  <si>
    <t>Sometimes blowjobs just feel like I'm just getting my dick wet if that makes sense. Might be a purely mental issue and not my dick's fault</t>
  </si>
  <si>
    <t>I like the gliding feeling of the foreskin and ease of masturbation</t>
  </si>
  <si>
    <t>Short frenulum. Hygiene is not an issue at all. Haven't seen a smegma buildup in years</t>
  </si>
  <si>
    <t>Lack of Perceived Benefit: They didn't see any compelling reason to circumcise., Born/Raised in a Culture Where Intactness is the Norm: The decision wasn't an active 'choice against circumcision,' but rather the standard cultural and medical practice in my country of birth/upbringing., As far as I know (naturally surging conversations, don't have complete information) all my family members are cut, or at least most of them are, including my father. One sibling was cut at birth andI don't know why I was left alone but I'm glad I was. "Not the norm" isn't a reason because circumcision is common in my family</t>
  </si>
  <si>
    <t>During puberty. I think about my penis a lot so consequently I will think about its foreskin too</t>
  </si>
  <si>
    <t>Routine forced retraction by my mother after showering until age 11</t>
  </si>
  <si>
    <t>Always wondered why my siblings were cut but I wasn't. I live in a country where being circumcised is an outlier</t>
  </si>
  <si>
    <t>Satisfies all the functions described above</t>
  </si>
  <si>
    <t>I try to leave it alone because it's short. Have never tried to achieve a frenulum orgasm</t>
  </si>
  <si>
    <t>Day to day feeling (rubbing against underwear) and the feeling of motion. I've always compared it in my imagination to jerking a forearm, I don't imagine it being nice</t>
  </si>
  <si>
    <t>Harder to jerk just as I expected for years. Has more friction and preferably needs some kind of lubrication</t>
  </si>
  <si>
    <t>I really don't care. I mostly just say "uncut" but don't mind what someone else could call it</t>
  </si>
  <si>
    <t>The hygiene "disadvantage" is greatly exaggerated. Feels good to have foreskin. I do admit some intact penises are ugly but not all of them</t>
  </si>
  <si>
    <t>Hygiene and cosmetic benefit</t>
  </si>
  <si>
    <t>Forced retraction is thought to be beneficial</t>
  </si>
  <si>
    <t>Supposed hygienic benefit</t>
  </si>
  <si>
    <t>Intact is the norm here</t>
  </si>
  <si>
    <t>It feels like strong wording but then I think about how normalized it is to the point where people in the US at least don't even consciously think about their own highly likely circumcised status or the one of their future children</t>
  </si>
  <si>
    <t>I have an "autistic" non-sexual type of interest about the anatomy of the penis</t>
  </si>
  <si>
    <t>Don't feel like my PERSONAL experience is important enough for documentaries or more formal interviews. The "big picture" experience is important though</t>
  </si>
  <si>
    <t>Never had complications and probably didn't see the urgency for it despite my siblings being circumcised</t>
  </si>
  <si>
    <t>no. my religion was not listed in this survey</t>
  </si>
  <si>
    <t>good</t>
  </si>
  <si>
    <t>slow build up good orgasm</t>
  </si>
  <si>
    <t>Looks, everyone else was</t>
  </si>
  <si>
    <t>would like more sensitivity</t>
  </si>
  <si>
    <t>Just standard practice: Based on observing its prevalence, assumed it was the default medical procedure without a specific individual reason., mothers considered oddballs if they didn't circumcise sons</t>
  </si>
  <si>
    <t>Peer &amp; Social Pressure (The "Fitting In" Factor): The widespread belief that "everyone else is doing it," and a desire for you to avoid being seen as different in locker rooms or later in life. (The power of broad social conformity)., Direct Medical Authority: Specific advice from their obstetrician, pediatrician, or the hospital staff where you were born. (The voice of a trusted professional)., Prevailing Health &amp; Hygiene Beliefs: General societal "knowledge" at the time—gleaned from various sources—that presented circumcision as being fundamentally cleaner, healthier, or preventive of future diseases. (The power of a cultural 'truth').</t>
  </si>
  <si>
    <t xml:space="preserve">I have a good amount of what I call remaining foreskin, like a small collar around glans .  little circumcision scar. </t>
  </si>
  <si>
    <t>sensation and if it produces better stronger orgasm</t>
  </si>
  <si>
    <t>you made the right decision of the time. it would have been difficult for me to be intact in my day and a psychological burden.</t>
  </si>
  <si>
    <t>not being circumcised was seen as something lower class</t>
  </si>
  <si>
    <t>they were better for sex but were ugly and a sign of being from the lower class</t>
  </si>
  <si>
    <t>its what everyone was,  looked much better</t>
  </si>
  <si>
    <t>Peers.  Social class culture</t>
  </si>
  <si>
    <t>circumcision decreases sexual pleasure</t>
  </si>
  <si>
    <t>statement is dramatic.  stick to facts not emotion</t>
  </si>
  <si>
    <t>can't think of anything</t>
  </si>
  <si>
    <t xml:space="preserve">meta_timestamp </t>
  </si>
  <si>
    <t>meta_consent</t>
  </si>
  <si>
    <t>demo_country_born</t>
  </si>
  <si>
    <t>In which country are you primarily located now?</t>
  </si>
  <si>
    <t>demo_country_current</t>
  </si>
  <si>
    <t>demo_us_state_born</t>
  </si>
  <si>
    <t>demo_us_state_current</t>
  </si>
  <si>
    <t>demo_ethnicity</t>
  </si>
  <si>
    <t>demo_age</t>
  </si>
  <si>
    <t>demo_generation</t>
  </si>
  <si>
    <t>demo_education_self</t>
  </si>
  <si>
    <t>family_upbringing_status</t>
  </si>
  <si>
    <t>family_mother_education</t>
  </si>
  <si>
    <t>family_mother_profession</t>
  </si>
  <si>
    <t>family_father_education</t>
  </si>
  <si>
    <t>family_father_profession</t>
  </si>
  <si>
    <t>family_ses</t>
  </si>
  <si>
    <t>family_politics</t>
  </si>
  <si>
    <t>demo_sexuality</t>
  </si>
  <si>
    <t>demo_gender_identity</t>
  </si>
  <si>
    <t>demo_sex_assigned_at_birth</t>
  </si>
  <si>
    <t>demo_can_province_born</t>
  </si>
  <si>
    <t>demo_can_province_current</t>
  </si>
  <si>
    <t>religion_is_significant</t>
  </si>
  <si>
    <t>religion_primary_tradition</t>
  </si>
  <si>
    <t>🟡  Christian Denominations/Traditions</t>
  </si>
  <si>
    <t>religion_christian_denomination</t>
  </si>
  <si>
    <t>🟡  Within your specific Christian tradition/upbringing, was infant circumcision generally viewed as:</t>
  </si>
  <si>
    <t>religion_christian_circ_view</t>
  </si>
  <si>
    <t>🟡  Were you taught or did you understand there to be any specific theological basis for or against penile circumcision within your Christian context</t>
  </si>
  <si>
    <t>religion_christian_theology_basis</t>
  </si>
  <si>
    <t>🟡  Anything else you'd like to share about your perspective as a Christian?</t>
  </si>
  <si>
    <t>religion_christian_comments</t>
  </si>
  <si>
    <t>⚪  Which Jewish denomination or movement do you (or your family during your upbringing) most closely identify with?</t>
  </si>
  <si>
    <t>religion_jewish_denomination</t>
  </si>
  <si>
    <t>⚪  In your upbringing or current understanding within your Jewish context, how was/is Brit Milah (ritual circumcision) generally viewed?</t>
  </si>
  <si>
    <t>religion_jewish_brit_milah_view</t>
  </si>
  <si>
    <t>⚪  Were you aware of or taught about specific theological or historical reasons for Brit Milah?</t>
  </si>
  <si>
    <t>religion_jewish_theology_awareness</t>
  </si>
  <si>
    <t>⚪  If yes or somewhat, what were the main reasons or interpretations you recall being emphasized?</t>
  </si>
  <si>
    <t>religion_jewish_theology_reasons</t>
  </si>
  <si>
    <t>⚪  From your perspective as a Jewish individual (or a parent who chose Brit Milah for a Jewish son):  
How important is the act of Brit Milah to your personal sense of Jewish identity or connection to the Jewish people?</t>
  </si>
  <si>
    <t>religion_jewish_identity_importance</t>
  </si>
  <si>
    <t>⚪  Have you ever encountered or explored interpretations within Judaism that question the necessity of physical circumcision or offer alternative ways to express covenant or Jewish identity?</t>
  </si>
  <si>
    <t>religion_jewish_alternatives_awareness</t>
  </si>
  <si>
    <t>⚪  Any thoughts on these alternative interpretations?</t>
  </si>
  <si>
    <t>religion_jewish_alternatives_thoughts</t>
  </si>
  <si>
    <t>⚪  From your perspective, how much room is there for diverse viewpoints or evolving practices regarding Brit Milah within contemporary Jewish life (either in your specific community or Judaism more broadly)?</t>
  </si>
  <si>
    <t>religion_jewish_diversity_view</t>
  </si>
  <si>
    <t>⚪  Have you/your family participated in or considered alternative welcoming ceremonies, like a Brit Shalom (Covenant of Peace) or similar non-cutting ritual?</t>
  </si>
  <si>
    <t>religion_jewish_brit_shalom_awareness</t>
  </si>
  <si>
    <t>⚫  Which school of Islamic thought (madhhab), theological branch, or cultural expression of Islam do you (or your family during your upbringing) most closely identify with, if any?</t>
  </si>
  <si>
    <t>religion_islamic_school</t>
  </si>
  <si>
    <t>⚫  In your upbringing or current understanding within your Islamic context, how was/is Khitan (penile circumcision, also sometimes known as Sunnet) generally viewed?</t>
  </si>
  <si>
    <t>religion_islamic_khitan_view</t>
  </si>
  <si>
    <t>⚫  Were you aware of or taught about specific religious reasons or justifications for Khitan?</t>
  </si>
  <si>
    <t>religion_islamic_theology_awareness</t>
  </si>
  <si>
    <t>⚫  If yes or somewhat, what were the main reasons or interpretations you recall being emphasized?</t>
  </si>
  <si>
    <t>religion_islamic_theology_reasons</t>
  </si>
  <si>
    <t>⚫  In your understanding, is Khitan considered a direct commandment (Fard) from the Quran, or more of an emphasized Sunnah (prophetic tradition) and cultural norm?</t>
  </si>
  <si>
    <t>religion_islamic_fard_vs_sunnah</t>
  </si>
  <si>
    <t>⚫  From your perspective as a Muslim (or a parent who chose Khitan for a Muslim son):
How important is the act of Khitan to your personal sense of Muslim identity, adherence to Sunnah, or feeling of ritual purity?</t>
  </si>
  <si>
    <t>religion_islamic_identity_importance</t>
  </si>
  <si>
    <t>⚫  Have you ever encountered or explored interpretations within Islam that question the absolute necessity of Khitan, discuss potential harms, or emphasize the Quran's silence on the matter?</t>
  </si>
  <si>
    <t>religion_islamic_alternatives_awareness</t>
  </si>
  <si>
    <t>⚫  Any thoughts on these alternative interpretations or perspectives?</t>
  </si>
  <si>
    <t>religion_islamic_alternatives_thoughts</t>
  </si>
  <si>
    <t>⚫  From your perspective, how much room is there for diverse viewpoints or evolving practices regarding Khitan within contemporary Islamic life (either in your specific community or Islam more broadly)?</t>
  </si>
  <si>
    <t>religion_islamic_diversity_view</t>
  </si>
  <si>
    <t>⚫  How do you/your family reconcile the choice of intactness with the common practice of Khitan in many Muslim cultures?</t>
  </si>
  <si>
    <t>religion_islamic_intact_reconciliation</t>
  </si>
  <si>
    <t>exp_appearance_feeling</t>
  </si>
  <si>
    <t>exp_sex_rating_orgasm_intensity</t>
  </si>
  <si>
    <t>exp_sex_rating_orgasm_duration</t>
  </si>
  <si>
    <t>exp_sex_rating_ease_of_orgasm</t>
  </si>
  <si>
    <t>exp_sex_rating_sensitivity_light_touch</t>
  </si>
  <si>
    <t>exp_sex_rating_pleasure_mobile_skin</t>
  </si>
  <si>
    <t>exp_sex_rating_variety_of_sensation</t>
  </si>
  <si>
    <t>exp_sensitivity_desc</t>
  </si>
  <si>
    <t>exp_orgasm_desc</t>
  </si>
  <si>
    <t>exp_orgasm_duration_desc</t>
  </si>
  <si>
    <t>exp_orgasm_confidence_rating</t>
  </si>
  <si>
    <t>exp_lubrication_need</t>
  </si>
  <si>
    <t>exp_lubrication_comments</t>
  </si>
  <si>
    <t>exp_pleasure_comm_difficulty</t>
  </si>
  <si>
    <t>exp_pleasure_comm_elaboration</t>
  </si>
  <si>
    <t>exp_pre_ejaculate_awareness</t>
  </si>
  <si>
    <t>exp_needs_comm_ability</t>
  </si>
  <si>
    <t>exp_pride_satisfaction_rating</t>
  </si>
  <si>
    <t>What is your circumcision status?</t>
  </si>
  <si>
    <t>meta_status</t>
  </si>
  <si>
    <t>intact_advantages_desc</t>
  </si>
  <si>
    <t>intact_drawbacks_desc</t>
  </si>
  <si>
    <t>intact_circ_awareness_age</t>
  </si>
  <si>
    <t>intact_parents_reason</t>
  </si>
  <si>
    <t>intact_parents_driver</t>
  </si>
  <si>
    <t>intact_parents_handling_of_topic</t>
  </si>
  <si>
    <t>intact_regret_feeling</t>
  </si>
  <si>
    <t>intact_regret_triggers</t>
  </si>
  <si>
    <t>intact_parents_convo</t>
  </si>
  <si>
    <t>🟢 If you haven't asked them, will you share why?</t>
  </si>
  <si>
    <t>intact_parents_convo_why_not</t>
  </si>
  <si>
    <t>intact_medical_intervention</t>
  </si>
  <si>
    <t>🟢 If yes, please briefly describe the intervention(s), your age at the time, who initiated it (e.g., parent, doctor, self), and any effects (physical or emotional) that you feel are significant.</t>
  </si>
  <si>
    <t>intact_medical_intervention_desc</t>
  </si>
  <si>
    <t>🟢 Would you like to share anything about what it was like for you growing up intact?</t>
  </si>
  <si>
    <t>intact_growing_up_experience</t>
  </si>
  <si>
    <t>intact_foreskin_role_sex</t>
  </si>
  <si>
    <t>intact_frenulum_role_sex</t>
  </si>
  <si>
    <t>intact_curiosity_about_circ</t>
  </si>
  <si>
    <t>intact_curiosity_about_circ_aspects</t>
  </si>
  <si>
    <t>intact_partner_comparison_observation</t>
  </si>
  <si>
    <t>🟢 If yes, can you briefly describe the types of differences you've noted?</t>
  </si>
  <si>
    <t>intact_partner_comparison_desc</t>
  </si>
  <si>
    <t>intact_pressure_to_circ</t>
  </si>
  <si>
    <t>intact_prior_thought_level</t>
  </si>
  <si>
    <t>intact_preferred_terminology</t>
  </si>
  <si>
    <t>🟢 What's one thing you wish individuals who are circumcised (or parents considering circumcision for their sons) truly understood about the intact penis and the holistic experience of being naturally whole?</t>
  </si>
  <si>
    <t>intact_message_to_others</t>
  </si>
  <si>
    <t>circ_age</t>
  </si>
  <si>
    <t>circ_awareness_age</t>
  </si>
  <si>
    <t>circ_advantages_desc</t>
  </si>
  <si>
    <t>circ_drawbacks_desc</t>
  </si>
  <si>
    <t>circ_parents_driver</t>
  </si>
  <si>
    <t>circ_parents_reason</t>
  </si>
  <si>
    <t>circ_presentation_by_medical</t>
  </si>
  <si>
    <t>circ_parents_influences</t>
  </si>
  <si>
    <t>circ_physical_characteristics_desc</t>
  </si>
  <si>
    <t>🔵  How do you personally perceive your circumcision scar?</t>
  </si>
  <si>
    <t>circ_scar_perception</t>
  </si>
  <si>
    <t>circ_curiosity_about_intact</t>
  </si>
  <si>
    <t>circ_curiosity_about_intact_aspects</t>
  </si>
  <si>
    <t>circ_medical_intervention</t>
  </si>
  <si>
    <t>🔵  If yes, please briefly describe the intervention(s), your age at the time, who initiated it (e.g., parent, doctor, self), and any effects (physical or emotional) that you feel are significant.</t>
  </si>
  <si>
    <t>circ_medical_intervention_desc</t>
  </si>
  <si>
    <t>circ_regret_feeling</t>
  </si>
  <si>
    <t>circ_regret_triggers</t>
  </si>
  <si>
    <t>🔵  Separate from any formal interventions, have you personally experienced any ongoing physical SYMPTOMS or challenges you attribute to your circumcision?</t>
  </si>
  <si>
    <t>circ_physical_symptoms</t>
  </si>
  <si>
    <t>circ_physical_symptoms_desc</t>
  </si>
  <si>
    <t>circ_parents_convo</t>
  </si>
  <si>
    <t>🔵  If you haven't asked them, could you share why?</t>
  </si>
  <si>
    <t>circ_parents_convo_why_not</t>
  </si>
  <si>
    <t>circ_message_to_parents</t>
  </si>
  <si>
    <t>circ_restoration_awareness</t>
  </si>
  <si>
    <t>circ_prior_thought_level</t>
  </si>
  <si>
    <t>What is your FATHER'S (or primary male guardian's) circumcision status, to the best of your knowledge?</t>
  </si>
  <si>
    <t>family_father_status</t>
  </si>
  <si>
    <t>family_sibling_count</t>
  </si>
  <si>
    <t>What is your siblings' circumcision status in relation to your own.</t>
  </si>
  <si>
    <t>family_sibling_status</t>
  </si>
  <si>
    <t>Since there is a mix of circumcision statuses among you and your brother(s), do you know anything about why the decision was different for different children?
Any insight you have into why the decision changed—whether due to new information, a different doctor, personal experience, or a change of heart—is incredibly valuable for understanding what motivates people to break from a previous decision 
(e.g. did one parent become more informed, did you move to a different area, was there a negative experience with an older brother's circumcision?)</t>
  </si>
  <si>
    <t>family_sibling_status_mixed_reason</t>
  </si>
  <si>
    <t>restore_feelings_before</t>
  </si>
  <si>
    <t>restore_motivations</t>
  </si>
  <si>
    <t>restore_age_started</t>
  </si>
  <si>
    <t>restore_methods</t>
  </si>
  <si>
    <t>restore_duration</t>
  </si>
  <si>
    <t>🟣  Have you been open with partners, friends, or family about your restoration journey?</t>
  </si>
  <si>
    <t>restore_openness</t>
  </si>
  <si>
    <t>restore_rci_start</t>
  </si>
  <si>
    <t>restore_rci_current</t>
  </si>
  <si>
    <t>restore_sensitivity_change_desc</t>
  </si>
  <si>
    <t>restore_orgasm_change_desc</t>
  </si>
  <si>
    <t>restore_lubrication_change</t>
  </si>
  <si>
    <t>restore_terminology_view</t>
  </si>
  <si>
    <t>restore_challenge_reward</t>
  </si>
  <si>
    <t>restore_advice_to_others</t>
  </si>
  <si>
    <t>restore_regen_tech_awareness</t>
  </si>
  <si>
    <t>🟣  Knowing this possibility exists:
How does it influence your feelings about your own circumcision status or restoration journey?</t>
  </si>
  <si>
    <t>restore_regen_tech_feelings</t>
  </si>
  <si>
    <t>restore_regen_tech_comments</t>
  </si>
  <si>
    <t>observe_motivation</t>
  </si>
  <si>
    <t>observe_partner_experience</t>
  </si>
  <si>
    <t>observe_partner_cultural_diff</t>
  </si>
  <si>
    <t>observe_parent_decision_factors</t>
  </si>
  <si>
    <t>observe_parent_info_quality</t>
  </si>
  <si>
    <t>observe_parent_emotional_state</t>
  </si>
  <si>
    <t>observe_parent_regret</t>
  </si>
  <si>
    <t>observe_professional_counseling_stance</t>
  </si>
  <si>
    <t>observe_professional_training_protocol</t>
  </si>
  <si>
    <t>observe_professional_parent_questions</t>
  </si>
  <si>
    <t>observe_professional_attitudes_change</t>
  </si>
  <si>
    <t>observe_barrier_to_recognition</t>
  </si>
  <si>
    <t>observe_effective_strategy</t>
  </si>
  <si>
    <t>observe_fgm_mgm_parallel</t>
  </si>
  <si>
    <t>observe_societal_blindspot</t>
  </si>
  <si>
    <t>observe_final_comments</t>
  </si>
  <si>
    <t>culture_body_intervention_view</t>
  </si>
  <si>
    <t>culture_community_expectation</t>
  </si>
  <si>
    <t>In your view, or based on what you understood from your upbringing/community, penile circumcision is primarily seen as:</t>
  </si>
  <si>
    <t>culture_primary_view_of_circ</t>
  </si>
  <si>
    <t>culture_additional_comments</t>
  </si>
  <si>
    <t>culture_stereotype_intact</t>
  </si>
  <si>
    <t>culture_stereotype_circ</t>
  </si>
  <si>
    <t>culture_assoc_medically_healthier</t>
  </si>
  <si>
    <t>culture_assoc_more_hygienic</t>
  </si>
  <si>
    <t>culture_assoc_more_natural</t>
  </si>
  <si>
    <t>culture_assoc_more_aesthetic</t>
  </si>
  <si>
    <t>culture_assoc_more_sensitive</t>
  </si>
  <si>
    <t>culture_assoc_easier_care</t>
  </si>
  <si>
    <t>culture_assoc_more_masculine</t>
  </si>
  <si>
    <t>culture_assoc_more_modern</t>
  </si>
  <si>
    <t>culture_assoc_more_traditional</t>
  </si>
  <si>
    <t>culture_assoc_more_socially_acceptable</t>
  </si>
  <si>
    <t>culture_assoc_partner_preference</t>
  </si>
  <si>
    <t>culture_assoc_higher_education</t>
  </si>
  <si>
    <t>culture_assoc_higher_ses</t>
  </si>
  <si>
    <t>culture_assoc_liberal_values</t>
  </si>
  <si>
    <t>culture_assoc_conservative_values</t>
  </si>
  <si>
    <t>final_healthier_hygienic_belief</t>
  </si>
  <si>
    <t>final_pleasure_potential_belief</t>
  </si>
  <si>
    <t>Based on your life experiences, conversations, and media consumption, what do you believe is the general preference of sexual partners (of any gender) regarding a partner's circumcision status (intact vs. circumcised) in your culture?</t>
  </si>
  <si>
    <t>final_partner_preference_belief</t>
  </si>
  <si>
    <t>final_partner_preference_reason</t>
  </si>
  <si>
    <t>final_aesthetic_preference</t>
  </si>
  <si>
    <t>final_avg_pleasure_belief</t>
  </si>
  <si>
    <t>final_social_norm_perception</t>
  </si>
  <si>
    <t>final_child_decision_reason</t>
  </si>
  <si>
    <t>final_core_principle_choice</t>
  </si>
  <si>
    <t>final_missing_info_opinion</t>
  </si>
  <si>
    <t>final_transparent_monster_resonance</t>
  </si>
  <si>
    <t>final_transparent_monster_reason</t>
  </si>
  <si>
    <t>final_anything_else</t>
  </si>
  <si>
    <t>contact_followup_consent</t>
  </si>
  <si>
    <t>contact_email</t>
  </si>
  <si>
    <t>contact_other_method</t>
  </si>
  <si>
    <t>contact_contrib_interest</t>
  </si>
  <si>
    <t>contact_contrib_format</t>
  </si>
  <si>
    <t>🔵  To what extent do you typically notice or pay attention to whether other men have the SAME circumcision status as you do?</t>
  </si>
  <si>
    <t>circ_notice_same_status</t>
  </si>
  <si>
    <t>🔵  And to what extent do you typically notice or pay attention to whether other men have a DIFFERENT circumcision status than you do?</t>
  </si>
  <si>
    <t>circ_notice_diff_status</t>
  </si>
  <si>
    <t>🔵  When you DO notice someone's circumcision status (whether same or different from yours), how significant or prominent is that observation for you compared to other physical characteristics you might notice about a person (e.g., height, build, hair color, tattoos, etc.)?</t>
  </si>
  <si>
    <t>circ_notice_significance</t>
  </si>
  <si>
    <t>intact_notice_same_status</t>
  </si>
  <si>
    <t>🟢 And to what extent do you typically notice or pay attention to whether other men have a DIFFERENT circumcision status than you do?</t>
  </si>
  <si>
    <t>intact_notice_diff_status</t>
  </si>
  <si>
    <t>🟢 When you DO notice someone's circumcision status (whether same or different from yours), how significant or prominent is that observation for you compared to other physical characteristics you might notice about a person (e.g., height, build, hair color, tattoos, etc.)?</t>
  </si>
  <si>
    <t>intact_notice_significance</t>
  </si>
  <si>
    <t>restore_thank_you</t>
  </si>
  <si>
    <t>demo_country_born_specify</t>
  </si>
  <si>
    <t>demo_country_current_specify</t>
  </si>
  <si>
    <t>family_cultural_background</t>
  </si>
  <si>
    <t>meta_survey_source</t>
  </si>
  <si>
    <t>intact_ppp_awareness</t>
  </si>
  <si>
    <t>intact_ppp_impact</t>
  </si>
  <si>
    <t>circ_ppp_awareness</t>
  </si>
  <si>
    <t>circ_ppp_impact</t>
  </si>
  <si>
    <t>demo_birth_location</t>
  </si>
  <si>
    <t>demo_birth_attendant</t>
  </si>
  <si>
    <t>intact_parents_social_norm</t>
  </si>
  <si>
    <t>intact_parents_info_sources</t>
  </si>
  <si>
    <t>intact_parents_neg_catalyst</t>
  </si>
  <si>
    <t>intact_parents_resistance_faced</t>
  </si>
  <si>
    <t>intact_parents_traits_values</t>
  </si>
  <si>
    <t>circ_parents_social_norm</t>
  </si>
  <si>
    <t>circ_parents_info_quality</t>
  </si>
  <si>
    <t>circ_parents_emotional_state</t>
  </si>
  <si>
    <t>circ_parents_regret</t>
  </si>
  <si>
    <t>restore_tipping_point</t>
  </si>
  <si>
    <t>restore_disclosure_reaction</t>
  </si>
  <si>
    <t>restore_body_image_shift</t>
  </si>
  <si>
    <t>restore_success_definition</t>
  </si>
  <si>
    <t>religion_hindu_tradition_view</t>
  </si>
  <si>
    <t>exp_sex_rating_overall_satisfaction</t>
  </si>
  <si>
    <t>intact_partner_preference_impact</t>
  </si>
  <si>
    <t>circ_restoration_outcomes_desc</t>
  </si>
  <si>
    <t>final_ethical_consideration_belief</t>
  </si>
  <si>
    <t>culture_social_pressure_role</t>
  </si>
  <si>
    <t>final_ethics_cosmetic_alteration_minor</t>
  </si>
  <si>
    <t>final_prediction_future_of_ric</t>
  </si>
  <si>
    <t>circ_adult_context</t>
  </si>
  <si>
    <t>circ_adult_consent_status</t>
  </si>
  <si>
    <t>circ_adult_info_quality</t>
  </si>
  <si>
    <t>circ_adult_decision_role</t>
  </si>
  <si>
    <t>circ_adult_motivation_details</t>
  </si>
  <si>
    <t>circ_adult_before_rating_appearance</t>
  </si>
  <si>
    <t>circ_adult_before_rating_function</t>
  </si>
  <si>
    <t>circ_adult_before_rating_orgasm_intensity</t>
  </si>
  <si>
    <t>circ_adult_before_rating_ease_of_orgasm</t>
  </si>
  <si>
    <t>circ_adult_before_rating_sensitivity</t>
  </si>
  <si>
    <t>circ_adult_before_rating_hygiene</t>
  </si>
  <si>
    <t>circ_adult_after_change_appearance</t>
  </si>
  <si>
    <t>circ_adult_after_change_function</t>
  </si>
  <si>
    <t>circ_adult_after_change_orgasm_intensity</t>
  </si>
  <si>
    <t>circ_adult_after_change_ease_of_orgasm</t>
  </si>
  <si>
    <t>circ_adult_after_change_sensitivity</t>
  </si>
  <si>
    <t>circ_adult_after_change_hygiene</t>
  </si>
  <si>
    <t>circ_adult_new_normal_desc</t>
  </si>
  <si>
    <t>circ_adult_retrospective_feeling</t>
  </si>
  <si>
    <t>circ_adult_advice_to_others</t>
  </si>
  <si>
    <t>circ_adult_final_thoughts</t>
  </si>
  <si>
    <t>restore_impact_rating_sensation</t>
  </si>
  <si>
    <t>restore_impact_rating_orgasm</t>
  </si>
  <si>
    <t>restore_impact_rating_function</t>
  </si>
  <si>
    <t>restore_impact_rating_comfort</t>
  </si>
  <si>
    <t>restore_impact_rating_aesthetics</t>
  </si>
  <si>
    <t>restore_impact_rating_psychology</t>
  </si>
  <si>
    <t>observe_parent_circ_regret_reasons</t>
  </si>
  <si>
    <t>observe_partner_observations</t>
  </si>
  <si>
    <t>🟠  If your PARTNER'S circumcision status is different from what is most common in your culture, have you noticed any specific ways this impacts your relationship, communication, or intimacy (positively or negatively)?</t>
  </si>
  <si>
    <t>observe_healthcare_counseling_stance</t>
  </si>
  <si>
    <t>observe_healthcare_training_protocol</t>
  </si>
  <si>
    <t>observe_healthcare_parent_questions</t>
  </si>
  <si>
    <t>observe_healthcare_attitudes_change</t>
  </si>
  <si>
    <t>observe_advocate_barrier_to_recognition</t>
  </si>
  <si>
    <t>observe_advocate_effective_strategy</t>
  </si>
  <si>
    <t>observe_advocate_fgm_mgm_parallel</t>
  </si>
  <si>
    <t>observe_all_social_climate_discussion</t>
  </si>
  <si>
    <t>observe_all_comfort_discussing</t>
  </si>
  <si>
    <t>observe_all_perceived_significance</t>
  </si>
  <si>
    <t>observe_woman_shaping_factors</t>
  </si>
  <si>
    <t>observe_woman_blind_spot</t>
  </si>
  <si>
    <t>observe_woman_final_thoughts</t>
  </si>
  <si>
    <t>observe_parent_multi_hat_selection</t>
  </si>
  <si>
    <t>observe_parent_circ_complications_exist</t>
  </si>
  <si>
    <t>observe_parent_circ_lawsuit_cta_openness</t>
  </si>
  <si>
    <t>observe_multi_hat_selection</t>
  </si>
  <si>
    <t>observe_parent_circ_complications_desc</t>
  </si>
  <si>
    <t>🟠 Thinking about the birth of your child or children, what was the primary type of location where they were/will be born?</t>
  </si>
  <si>
    <t>observe_parent_birth_location</t>
  </si>
  <si>
    <t>🟠 What is/was the circumcision status of your CO-PARENT or PRIMARY PARTNER during this decision-making process?</t>
  </si>
  <si>
    <t>observe_parent_coparent_status</t>
  </si>
  <si>
    <t>observe_parent_intact_exposure</t>
  </si>
  <si>
    <t>observe_parent_circ_social_norm</t>
  </si>
  <si>
    <t>🟠 What is the circumcision status of your primary PARTNER, or the partner whose experience is most relevant to your answers here?</t>
  </si>
  <si>
    <t>observe_partner_primary_status</t>
  </si>
  <si>
    <t>observe_parent_son_youngest_yob</t>
  </si>
  <si>
    <t>observe_parent_son_oldest_yob</t>
  </si>
  <si>
    <t>observe_parent_youngest_son_decision</t>
  </si>
  <si>
    <t>observe_parent_primary_role</t>
  </si>
  <si>
    <t>observe_parent_circ_decision_maker</t>
  </si>
  <si>
    <t>🟠 In what year was your YOUNGEST son/AMAB child born for whom a different decision was made born?</t>
  </si>
  <si>
    <t>observe_parent_mixed_son_yob</t>
  </si>
  <si>
    <t>observe_parent_mixed_shift_factors</t>
  </si>
  <si>
    <t>observe_parent_mixed_shift_story</t>
  </si>
  <si>
    <t>observe_parent_mixed_family_experience</t>
  </si>
  <si>
    <t>observe_parent_mixed_retrospective_feeling</t>
  </si>
  <si>
    <t>observe_parent_oldest_son_decision</t>
  </si>
  <si>
    <t>observe_parent_intact_factors</t>
  </si>
  <si>
    <t>observe_parent_intact_social_norm</t>
  </si>
  <si>
    <t>observe_parent_intact_resistance_faced</t>
  </si>
  <si>
    <t>observe_parent_intact_regret_reconsider</t>
  </si>
  <si>
    <t>observe_parent_intact_advice</t>
  </si>
  <si>
    <t>observe_parent_intact_lawsuit_cta_knowledge</t>
  </si>
  <si>
    <t>observe_parent_intact_tipping_point</t>
  </si>
  <si>
    <t>observe_parent_circ_factors</t>
  </si>
  <si>
    <t>observe_parent_intact_decision_timeline</t>
  </si>
  <si>
    <t>observe_parent_circ_decision_timeline</t>
  </si>
  <si>
    <t>observe_parent_circ_social_norm_v2</t>
  </si>
  <si>
    <t>observe_parent_circ_exposure_to_critique</t>
  </si>
  <si>
    <t>observe_parent_circ_son_feedback</t>
  </si>
  <si>
    <t>observe_parent_circ_son_feedback_emotion</t>
  </si>
  <si>
    <t>observe_parent_intact_exposure_to_pro</t>
  </si>
  <si>
    <t>observe_parent_intact_son_feedback</t>
  </si>
  <si>
    <t>observe_parent_intact_son_feedback_emotion</t>
  </si>
  <si>
    <t>observe_parent_circ_advice</t>
  </si>
  <si>
    <t>🟠 Has your partner's circumcision status ever been a direct topic of conversation between you?</t>
  </si>
  <si>
    <t>observe_partner_conversation_status</t>
  </si>
  <si>
    <t>🟠 From your perspective, which of the following statements best describes your partner's emotional relationship with his own genital anatomy and circumcision status?</t>
  </si>
  <si>
    <t>observe_partner_emotional_state</t>
  </si>
  <si>
    <t>🟠 What advice would you offer to other partners to foster a more empathetic and connected intimate relationship, considering the nuances of circumcision status?</t>
  </si>
  <si>
    <t>observe_partner_advice</t>
  </si>
  <si>
    <t>🟠 How has your partner's circumcision status impacted communication about sexual pleasure in your relationship?</t>
  </si>
  <si>
    <t>observe_partner_comm_challenges</t>
  </si>
  <si>
    <t>observe_partner_blind_spot_v2</t>
  </si>
  <si>
    <t>observe_healthcare_role_v2</t>
  </si>
  <si>
    <t>observe_healthcare_stance_colleagues</t>
  </si>
  <si>
    <t>observe_healthcare_stance_friends_family</t>
  </si>
  <si>
    <t>observe_healthcare_sensation_discussion_v2</t>
  </si>
  <si>
    <t>observe_healthcare_consent_quality_v2</t>
  </si>
  <si>
    <t>observe_healthcare_complications_seen_v2</t>
  </si>
  <si>
    <t>observe_healthcare_complications_desc</t>
  </si>
  <si>
    <t>observe_healthcare_blind_spot_v2</t>
  </si>
  <si>
    <t>observe_healthcare_facility_type</t>
  </si>
  <si>
    <t>🟠 If you are male/AMAB, what is your own circumcision status?</t>
  </si>
  <si>
    <t>observe_healthcare_self_status</t>
  </si>
  <si>
    <t>observe_healthcare_prediction_future_ric</t>
  </si>
  <si>
    <t>observe_advocate_primary_role</t>
  </si>
  <si>
    <t>observe_advocate_barrier_to_recognition_v2</t>
  </si>
  <si>
    <t>observe_advocate_effective_strategy_v2</t>
  </si>
  <si>
    <t>observe_advocate_future_focus</t>
  </si>
  <si>
    <t>observe_curious_initial_awareness</t>
  </si>
  <si>
    <t>observe_curious_partner_experience</t>
  </si>
  <si>
    <t>observe_curious_partner_experience_desc</t>
  </si>
  <si>
    <t>observe_curious_shaping_factors</t>
  </si>
  <si>
    <t>observe_curious_blind_spot</t>
  </si>
  <si>
    <t>observe_student_field_v2</t>
  </si>
  <si>
    <t>observe_student_status_v2</t>
  </si>
  <si>
    <t>observe_student_primary_interest_v2</t>
  </si>
  <si>
    <t>observe_student_dataset_utility_v2</t>
  </si>
  <si>
    <t>observe_student_method_challenge_v2</t>
  </si>
  <si>
    <t>observe_student_pro_circ_argument_v2</t>
  </si>
  <si>
    <t>observe_student_literature_gap_v2</t>
  </si>
  <si>
    <t>observe_undecided_info_sources_v2</t>
  </si>
  <si>
    <t>observe_undecided_pros_v2</t>
  </si>
  <si>
    <t>observe_undecided_cons_v2</t>
  </si>
  <si>
    <t>observe_undecided_emotional_state_v2</t>
  </si>
  <si>
    <t>observe_undecided_key_question_v2</t>
  </si>
  <si>
    <t>observe_undecided_fear_circ_v2</t>
  </si>
  <si>
    <t>observe_undecided_fear_intact_v2</t>
  </si>
  <si>
    <t>observe_skeptic_primary_reason_v2</t>
  </si>
  <si>
    <t>observe_skeptic_strongest_pro_arg_v2</t>
  </si>
  <si>
    <t>observe_skeptic_weakest_anti_arg_v2</t>
  </si>
  <si>
    <t>observe_skeptic_persuasion_factors_v2</t>
  </si>
  <si>
    <t>observe_skeptic_final_thoughts_v2</t>
  </si>
  <si>
    <t>[I actively recommend AGAINST the procedure, citing ethical/medical reasons.]</t>
  </si>
  <si>
    <t>observe_healthcare_stance_rec_against</t>
  </si>
  <si>
    <t>[I lean against it, but present it as the parents' choice.]</t>
  </si>
  <si>
    <t>observe_healthcare_stance_lean_against</t>
  </si>
  <si>
    <t>[I present it as a completely neutral choice with pros and cons.]</t>
  </si>
  <si>
    <t>observe_healthcare_stance_neutral</t>
  </si>
  <si>
    <t>[I lean towards it, but present it as the parents' choice.]</t>
  </si>
  <si>
    <t>observe_healthcare_stance_lean_for</t>
  </si>
  <si>
    <t>[I actively recommend IN FAVOR of the procedure.]</t>
  </si>
  <si>
    <t>observe_healthcare_stance_rec_for</t>
  </si>
  <si>
    <t>[I avoid the topic / The topic does not come up.]</t>
  </si>
  <si>
    <t>observe_healthcare_stance_avoid</t>
  </si>
  <si>
    <t>observe_parent_circ_decision_maker_v2</t>
  </si>
  <si>
    <t>circ_adult_after_change_v2</t>
  </si>
  <si>
    <t>meta_timestamp</t>
  </si>
  <si>
    <t>DEPRECATED_COLUMN_254</t>
  </si>
  <si>
    <t>observe_partner_cultural_diff_v2</t>
  </si>
  <si>
    <t>geo_country_born</t>
  </si>
  <si>
    <t>geo_location_born</t>
  </si>
  <si>
    <t>United States</t>
  </si>
  <si>
    <t>timestamp</t>
  </si>
  <si>
    <t>status</t>
  </si>
  <si>
    <t>metric_type</t>
  </si>
  <si>
    <t>score_text</t>
  </si>
  <si>
    <t>score_numeric</t>
  </si>
  <si>
    <t>Public ID</t>
  </si>
  <si>
    <t xml:space="preserve">🟡  Were you taught or did you understand there to be any specific theological basis for or against penile circumcision within your Christian context </t>
  </si>
  <si>
    <t xml:space="preserve">⚪  Were you aware of or taught about specific theological or historical reasons for Brit Milah? </t>
  </si>
  <si>
    <t xml:space="preserve">⚪  If yes or somewhat, what were the main reasons or interpretations you recall being emphasized? </t>
  </si>
  <si>
    <t xml:space="preserve">⚫  Were you aware of or taught about specific religious reasons or justifications for Khitan? </t>
  </si>
  <si>
    <t xml:space="preserve">⚫  If yes or somewhat, what were the main reasons or interpretations you recall being emphasized? </t>
  </si>
  <si>
    <t xml:space="preserve">⚫  How do you/your family reconcile the choice of intactness with the common practice of Khitan in many Muslim cultures? </t>
  </si>
  <si>
    <t>🔵  Have you ever experienced feelings that could be described as REGRET, loss, anger, or grief in relation to your circumcision?</t>
  </si>
  <si>
    <t>Since there is a mix of circumcision statuses among you and your brother(s), do you know anything about why the decision was different for different children?
Any insight you have into why the decision changed—whether due to new information, a different doctor, personal experience, or a change of heart—is incredibly valuable for understanding what motivates people to break from a previous decision</t>
  </si>
  <si>
    <t>🟣  Have you experienced noticeable changes in penile SENSITIVITY (general or specific, like in the frenar area) as a result of your restoration? Please describe.</t>
  </si>
  <si>
    <t>🟠  If you are the PARTNER of someone whose circumcision status is different from what is most common in your culture, have you noticed any specific ways this impacts your relationship, communication, or intimacy (positively or negatively)?</t>
  </si>
  <si>
    <t>🟠If you are a PARENT who has made (or is currently making) a decision about infant circumcision for your son:</t>
  </si>
  <si>
    <t>🟠  As a PARENT, how adequate or biased did you find the information available to you from medical professionals or other sources when making this decision?</t>
  </si>
  <si>
    <t>🟠  Reflecting on the decision-making process, which of these statements best captures the emotional or psychological state you or your partner were in?</t>
  </si>
  <si>
    <t>🟠  If you chose circumcision for your son(s), have you ever experienced feelings of regret or reconsidered that decision based on information learned later or changes in your perspective?</t>
  </si>
  <si>
    <t>Would you be willing to be contacted anonymously by the survey author and team (the 'Accidental Intactivist') for a potential follow-up interview to discuss your experiences in more detail for research purposes? Your identity would remain confidential. (This is entirely optional)</t>
  </si>
  <si>
    <t xml:space="preserve">🟣Thank you for sharing insights into your restoration journey!
</t>
  </si>
  <si>
    <t xml:space="preserve">I enjoy the feeling of blowjobs especially when I wife sucks me off the warmth the touch feels good on all areas of my penis. The skin being slid up and down my shaft definitely helps me reach orgasm </t>
  </si>
  <si>
    <t xml:space="preserve">When I reach orgasm it starts from the top of my foreskin and sends a wave of full body release that is incredibly intense that makes my back arch from the pleasure </t>
  </si>
  <si>
    <t xml:space="preserve">Felt awkward in highschool but never a concern </t>
  </si>
  <si>
    <t xml:space="preserve">5 or 6 had some kind of rash I believe it was Fordyce spots. Doctor layed my on a table ripped my foreskin back exposing my glans and gave my Dad some kind of cream.. I'm glad my foreskin was able to retract by then otherwise that might have been a worse experience </t>
  </si>
  <si>
    <t xml:space="preserve">It's a critical part of my orgasm. I focus on this area when I slelf pleasure </t>
  </si>
  <si>
    <t xml:space="preserve">Don't like the term intact/natural is better </t>
  </si>
  <si>
    <t xml:space="preserve">It's was seen as being dirty, anteater </t>
  </si>
  <si>
    <t xml:space="preserve">Normal looking </t>
  </si>
  <si>
    <t xml:space="preserve">Foreskin feels amazing for you and future sexual partners </t>
  </si>
  <si>
    <t xml:space="preserve">Every one has the right to a whole body. </t>
  </si>
  <si>
    <t>kyle.g.johnson@live.ca</t>
  </si>
  <si>
    <t xml:space="preserve">Though SRS destroyed my genitals, lubrication is thankfully still not necessary. </t>
  </si>
  <si>
    <t xml:space="preserve">Sensitivity, but more broadly, integrity. In hindsight, I was incredibly distressed over being the odd one out. But at home, there was a sense of superiority, something exotic and rare that I had the luck of having. </t>
  </si>
  <si>
    <t xml:space="preserve">Due to the shame and horror stories we all seem to hear, I never had the confidence to look for partners in my earlier years, even after I mistakenly transitioned (an irrational response to feeling dissatisfied with being male, having a lenis, having foreskin). To be transparent, I rationalised SRS (complete destruction) over circumcision when I was a preteen. I saw it as a way to get people to leave me alone about my foreskin. No more tightness to dwell on, no more questions by my mother, no more grief. </t>
  </si>
  <si>
    <t xml:space="preserve">Because my foreskin was tight during erections, it wasn't very mobile. It protected the glans and, for the minimal mobility, it was lubricated naturally. </t>
  </si>
  <si>
    <t xml:space="preserve">How horrible it must be. I have tried in my past to retract the glans in my underwear but I couldn't take a single step. Requiring third party tools for basic functions no longer available to you (Lubrication). The tight feeling of no skin must be uncomfortable. Like pulling tight all of the skin on your face and trying to live that way. </t>
  </si>
  <si>
    <t xml:space="preserve">There were no benefits to being intact. Whenever foreskin was mentioned, it was about phimosis or smegma. Very often people seemed to have a story about someone "needing" to have it done. </t>
  </si>
  <si>
    <t xml:space="preserve">That they were simply a sign of health or improvement. In my personal life, I believe it was an acceptable unremarkable difference to intact men. </t>
  </si>
  <si>
    <t xml:space="preserve">That circumcision is never medically necessary;
Physiological phimosis is natural. Pathological phimosis is treatable. Paraphimosis is preventable, by not forcibly retracting. Penile cancer is extremely rare and does not remove the penis. Balanitis is often a cause of underlying skin conditions (so often it is also due to overwashing). Circumcision is just never necessary.
There are a plethora of advanced and updated interventions for worst cases, that still maintain the integrity, mobility, and function of the penis. </t>
  </si>
  <si>
    <t xml:space="preserve">Nobody wants to talk about it. People who see it, are seen as crazy. They are seen as people looking to create problems where there are none.
</t>
  </si>
  <si>
    <t xml:space="preserve">I have had a very unique perspective as someone who chose to transition due to my body. I was also undiagnosed autistic. Around 20 was when I had these surgeries, but it wasn't until my mid twenties I had gotten lroper therapy. I became my own advocate, caught between two terrible worlds, and a final diagnosis was my rational decision to stop what I was doing and reconnect with my male self. 
I hated my body, my penis, and my sexuality. I thought SRS was my ticket out of being ashamed of my foreskin, but running away from pain only delays the grief. </t>
  </si>
  <si>
    <t>thorpe.kenzi@gmail.com</t>
  </si>
  <si>
    <t>I have a discord, the username is Felryk. I also have international text. My number can be provided on request for easy communication.</t>
  </si>
  <si>
    <t xml:space="preserve">I am totally fine with being public, as well. </t>
  </si>
  <si>
    <t xml:space="preserve">In childhood and through college I was self conscious about this because all of my friends were cut and I only knew one other kid who was uncut along with my brother. </t>
  </si>
  <si>
    <t xml:space="preserve">Media and friends </t>
  </si>
  <si>
    <t xml:space="preserve">No one thought about it back then. Today theres still no stereotypes, but there is awareness, back them it wasn't a thing at all. Maybe dirty or something... Idk </t>
  </si>
  <si>
    <t>rymerox@gmail.com</t>
  </si>
  <si>
    <t xml:space="preserve">Very sensitive. Very responsive. </t>
  </si>
  <si>
    <t xml:space="preserve">The buildup is gradual but when it arrives it’s inevitable and all over sensation. </t>
  </si>
  <si>
    <t>d1man2k@hotmail.com</t>
  </si>
  <si>
    <t xml:space="preserve">Prefer "Cut" and "Uncut" as that is what it is. </t>
  </si>
  <si>
    <t xml:space="preserve">You wouldn't cut the genitals of a female baby so why with males? Leave it as it naturally is. It's better that way. </t>
  </si>
  <si>
    <t xml:space="preserve">Unhygienic </t>
  </si>
  <si>
    <t xml:space="preserve">Gliding </t>
  </si>
  <si>
    <t xml:space="preserve">Slow build until release </t>
  </si>
  <si>
    <t xml:space="preserve">Use it for fun sometimes </t>
  </si>
  <si>
    <t xml:space="preserve">Sensation, looks, sexual functionality </t>
  </si>
  <si>
    <t xml:space="preserve">Being different than my friends </t>
  </si>
  <si>
    <t xml:space="preserve">I was embarrassed </t>
  </si>
  <si>
    <t xml:space="preserve">Intact or natural or uncut is fine </t>
  </si>
  <si>
    <t xml:space="preserve">It feels and looks great leave it alone </t>
  </si>
  <si>
    <t xml:space="preserve">Correct </t>
  </si>
  <si>
    <t>davidvolkland@gmail.com</t>
  </si>
  <si>
    <t xml:space="preserve">Sensitive, like moderate to rough tough, stretch, tug, fill. </t>
  </si>
  <si>
    <t xml:space="preserve">I dislike any unnatural lube. </t>
  </si>
  <si>
    <t xml:space="preserve">Natural, fully sensitive, glorious </t>
  </si>
  <si>
    <t xml:space="preserve">It was not easy in the 1970’s to be intact. Very rare among my peers </t>
  </si>
  <si>
    <t xml:space="preserve">I was alone in my peer group. </t>
  </si>
  <si>
    <t xml:space="preserve">Parent, taught me to retract over time </t>
  </si>
  <si>
    <t xml:space="preserve">It was a very significant negative factor in my self confidence, body image, and acceptance in my peer groups. </t>
  </si>
  <si>
    <t xml:space="preserve">Although tight in my youth, my foreskin became generous , easily retraced and incredibly sensitive in my teens. More so over the years. </t>
  </si>
  <si>
    <t xml:space="preserve">A Hot spot for me. Pierced at age 45. I enjoy the sensation of movement that jewelry provides through out the day. </t>
  </si>
  <si>
    <t xml:space="preserve">In my early teens I was very focused on being like the others. Circumcision was a frequent thought. </t>
  </si>
  <si>
    <t xml:space="preserve">Many are angry </t>
  </si>
  <si>
    <t xml:space="preserve">I prefer “ uncircumcised “ I have “earned “ that thru much distress from surviving abuse by circumcised peers. </t>
  </si>
  <si>
    <t xml:space="preserve">Leave the boy alone </t>
  </si>
  <si>
    <t xml:space="preserve">Cultural </t>
  </si>
  <si>
    <t xml:space="preserve">Many didn’t know about intact. </t>
  </si>
  <si>
    <t xml:space="preserve">Circumcision is prevalent. </t>
  </si>
  <si>
    <t xml:space="preserve">The penis belongs to the child. Leave it up to him. </t>
  </si>
  <si>
    <t xml:space="preserve">I was a victim of a society where circumcision was the norm. It affected me in a serious manner. Intact men can also have trauma. </t>
  </si>
  <si>
    <t>happenstance49@yahoo.com</t>
  </si>
  <si>
    <t xml:space="preserve">I think it is a very important topic, your study may benefit the cause in a significant way. </t>
  </si>
  <si>
    <t>trask9727@gmail.com</t>
  </si>
  <si>
    <t>hades24wick@gmail.com</t>
  </si>
  <si>
    <t>u/pussy_eater_010</t>
  </si>
  <si>
    <t>misternonconformist@gmail.com</t>
  </si>
  <si>
    <t xml:space="preserve">Very pleasurable </t>
  </si>
  <si>
    <t xml:space="preserve">Very valuable </t>
  </si>
  <si>
    <t xml:space="preserve">Somewhat valuable </t>
  </si>
  <si>
    <t xml:space="preserve">It is the most sensitive spot for me. It feels very good to touch, when licked, etc... However, it is only part of the equation and I need stimulation elsewhere to finish. </t>
  </si>
  <si>
    <t xml:space="preserve">Feedback from a couple of my female sexual partners suggests that them having sex with uncircumcised men feels better.
</t>
  </si>
  <si>
    <t xml:space="preserve">It's natural, I find intact penises more aesthetically pleasing in my own opinion. When retracted, the penis looks the same as one that is circumsized. There are no ugly scars on the shaft. A natural penis smells and tastes better. The foreskin retains flavour, scent and pheromones much like the labia on a vagina. I find this very arousing, a cut penis may have no scent or taste. I've seen the skin on many circumsized penis looking very dry and rough. I've been complemented by women saying my penis smells and tastes delicious. I've also been told by women that they enjoy playing with a foreskin.
</t>
  </si>
  <si>
    <t xml:space="preserve">It is very sensitive, but easily to break or damage </t>
  </si>
  <si>
    <t xml:space="preserve">Normal / natural </t>
  </si>
  <si>
    <t xml:space="preserve">Medical benefits </t>
  </si>
  <si>
    <t xml:space="preserve">A foreskin is natural and has a purpose </t>
  </si>
  <si>
    <t>zee.kay@outlook.com</t>
  </si>
  <si>
    <t xml:space="preserve">Yes </t>
  </si>
  <si>
    <t xml:space="preserve">Australia </t>
  </si>
  <si>
    <t xml:space="preserve">Erotic </t>
  </si>
  <si>
    <t xml:space="preserve">Quick </t>
  </si>
  <si>
    <t xml:space="preserve">Fun to play with </t>
  </si>
  <si>
    <t xml:space="preserve">Fife Scotland </t>
  </si>
  <si>
    <t xml:space="preserve">Fife </t>
  </si>
  <si>
    <t xml:space="preserve">Most sensitive around the glans </t>
  </si>
  <si>
    <t xml:space="preserve">The only time I use lube is to stimulate the glans directly </t>
  </si>
  <si>
    <t xml:space="preserve">Enhanced sensitivity </t>
  </si>
  <si>
    <t xml:space="preserve">I like it to be retracted and have the glans directly stimulated </t>
  </si>
  <si>
    <t xml:space="preserve">I don’t find it that sensitive </t>
  </si>
  <si>
    <t xml:space="preserve">Mechanics </t>
  </si>
  <si>
    <t xml:space="preserve">I don’t mind </t>
  </si>
  <si>
    <t xml:space="preserve">Sex feels better with a foreskin </t>
  </si>
  <si>
    <t xml:space="preserve">It was normal </t>
  </si>
  <si>
    <t xml:space="preserve">It was a religious intervention </t>
  </si>
  <si>
    <t>burke.tristan@gmail.com</t>
  </si>
  <si>
    <t>retrop92@telus.net</t>
  </si>
  <si>
    <t>reddit username EnormousPurpleGarden</t>
  </si>
  <si>
    <t xml:space="preserve">I definitely prefer the sensation of the gliding motion but I don't say no to a little frenulum play. </t>
  </si>
  <si>
    <t xml:space="preserve">Obviously it varies from event to event but on the whole, I find the build up to be very steady and the release to generally be a full body experience. </t>
  </si>
  <si>
    <t xml:space="preserve">Never saw a need for it. </t>
  </si>
  <si>
    <t xml:space="preserve">Usually it occurs during a handjob when a woman is accustomed to the methods required for a circumcised penis. </t>
  </si>
  <si>
    <t xml:space="preserve">I appreciate having my genitals as nature intended them to function. Knowing something wasn't removed from me without my permission gives me great comfort and confidence. </t>
  </si>
  <si>
    <t xml:space="preserve">I occasionally encounter some ignorant comments but for the most part, the interactions have been broadly positive, ranging from curious to excited. </t>
  </si>
  <si>
    <t xml:space="preserve">I did have to have a frenuloplasty due to a very short frenulum but it did not minimize sensations. </t>
  </si>
  <si>
    <t xml:space="preserve">I always knew I was different but it wasn't until I got older that I realized how special it was. I don't recall ever being teased for it...just got lots of odd looks and the occasional question. </t>
  </si>
  <si>
    <t xml:space="preserve">I would say it is crucial to the male sexual experience, the gliding motion in particular I find very enjoyable and can't imagine living without. </t>
  </si>
  <si>
    <t xml:space="preserve">I enjoy it but do find it can be overstimulating at times. </t>
  </si>
  <si>
    <t xml:space="preserve">Mostly the lack of the gliding motion and the constant glans exposure. I think the latter would drive me nuts. </t>
  </si>
  <si>
    <t xml:space="preserve">I use all the terms interchangeably. They don't bother me much. </t>
  </si>
  <si>
    <t xml:space="preserve">It is so much more than just a "useless flap of skin" and should be protected at all costs. </t>
  </si>
  <si>
    <t xml:space="preserve">In America, at least, circumcised penises have (for some time) been seen as "normal" which makes the argument for routine infant circumcision a cosmetic one based solely on appearance. The perceived "health benefits" are merely a bonus. </t>
  </si>
  <si>
    <t xml:space="preserve">That they're dirty, smelly, and unnecessary. </t>
  </si>
  <si>
    <t xml:space="preserve">That they are cleaner, better looking and generally just "better". </t>
  </si>
  <si>
    <t xml:space="preserve">Generations of routine circumcision have relegated the foreskin to being an oddity or curiosity, at least in America. When people have little to no experience with something and only know it one way, they tend to assume it's that way for a reason and that's because the other way is somehow flawed or bad. </t>
  </si>
  <si>
    <t xml:space="preserve">If he wants, he can always have it removed later but you can't put it back. </t>
  </si>
  <si>
    <t xml:space="preserve">There is nothing more dangerous than the phrase "we've always done it this way". Blind obedience to a cultural norm can make people do wild things. </t>
  </si>
  <si>
    <t xml:space="preserve">Just wanted to say thank you for doing this. </t>
  </si>
  <si>
    <t>rosecitywanderer@gmail.com</t>
  </si>
  <si>
    <t>Reddit username 97PG8NS</t>
  </si>
  <si>
    <t xml:space="preserve">I might be open to this, yes. </t>
  </si>
  <si>
    <t xml:space="preserve">The most pleasurable parts are the tip of the foreskin and the inner foreskin. The glans is sensitive too but less pleasant to touch </t>
  </si>
  <si>
    <t xml:space="preserve">The orgasm is a satisfying release after a gradual build-up process </t>
  </si>
  <si>
    <t xml:space="preserve">For me it feels better without lube. I like to have grip to the foreskin and use the foreskin for the movement </t>
  </si>
  <si>
    <t xml:space="preserve">I like how the foreskin feels especially I like the feeling while touching and especially playing with foreskin. Additionally I like that I have possibility to play with the foreskin, especially tugging on it, put something into the foreskin and so on. Furthermore I like how the foreskin looks. </t>
  </si>
  <si>
    <t xml:space="preserve">At an age of approximately 5 the doctor had the opinion that it should be possible at that age to retract the foreskin. That's why they did an incision to widen the foreskin. I've got bad memories about that (pain and I emotionaly never liked that an operation was done) but I'm glad that they haven't done more. It's not visible anymore that something was done. </t>
  </si>
  <si>
    <t xml:space="preserve">I've got an quite long foreskin (even hard it's completely covered with a little bit of overhang).
In my sexual experiences I prefer to let the glans covered. While wanking I move the skin only that amount back that the opening of the foreskin widen a little bit but it's still completely covered. I get the main please through the massage of the skin with an variing degree of pressure.
While blow Jobs I especially like when the partner plays with the foreskin using his tongue. </t>
  </si>
  <si>
    <t xml:space="preserve">All od the mentioned examples from the question and additionaly I wonder if it get boring to do something with an circumcised penis because I can't imagine many things to do with it (the only thing which comes in my mind one can do wit an circumcised one is rub the skin). </t>
  </si>
  <si>
    <t xml:space="preserve">I would like that they could comprehend the pleasures and feelings an intact can get through his foreskin </t>
  </si>
  <si>
    <t xml:space="preserve">On one hand it was seen as a necessity for Muslims and Jews. And quite many have the opinion that the foreskin should be able to be pulled back at an age between 6 and 12 and many doctors circumcise if that's not the case. </t>
  </si>
  <si>
    <t xml:space="preserve">That an intact penis is pleasurable and sometimes its seen to be dirty more likely </t>
  </si>
  <si>
    <t xml:space="preserve">I would modify the metaphor to fit it in my cultural context where it's not the routine infant circumcision but the circumcision of young boys with tight foreskin where it's not necessary. That's a monster that are these children afraid of because they don't know if they have luck, because either the foreskin widens by itself or they have luck with the doctors who don't circumcise because of that, or if they have bad luck they get circumcised. So all in all they live with hidden fear and some decide to actively hide it. This is also an hidden monster which follows them. </t>
  </si>
  <si>
    <t>passcoed@gmail.com</t>
  </si>
  <si>
    <t xml:space="preserve">I'm open for contribution but it should be anonymous </t>
  </si>
  <si>
    <t>I love the way my foreskin feels when gliding back and forth around the head of the penis. I love that I have a full frenulum which allows me to have intense orgasms. I love that my parents gave me a choice on  the matter if i want to get cut or not.</t>
  </si>
  <si>
    <t xml:space="preserve">You can always get cut later in life if you want/need to (like one of my brothers did). </t>
  </si>
  <si>
    <t xml:space="preserve">Various </t>
  </si>
  <si>
    <t xml:space="preserve">Intense </t>
  </si>
  <si>
    <t xml:space="preserve">Pleasure &amp; appearance </t>
  </si>
  <si>
    <t xml:space="preserve">Feels perfect </t>
  </si>
  <si>
    <t xml:space="preserve">Sensitive </t>
  </si>
  <si>
    <t xml:space="preserve">It should be done only if medically required </t>
  </si>
  <si>
    <t xml:space="preserve">Leave it as it was intended </t>
  </si>
  <si>
    <t xml:space="preserve">Only if performing anal sex I need to use lube on my dick, although it’s not 100% necessary. </t>
  </si>
  <si>
    <t xml:space="preserve">The best response is the high level of sensitivity I feel because my foreskin has protected my penis. Penetration has always been smooth and masturbation is always quick and easy. </t>
  </si>
  <si>
    <t xml:space="preserve">My frenulum used to be a little tight until I was completely able to push it back and it made penetration so much easier and smoother </t>
  </si>
  <si>
    <t xml:space="preserve">Indifferent </t>
  </si>
  <si>
    <t xml:space="preserve">That the overhang looked like an anteater and that it was more susceptible to bacteria </t>
  </si>
  <si>
    <t xml:space="preserve">That you are making a decision for your child that it could’ve made on his own at an older age </t>
  </si>
  <si>
    <t>jayduelist@yahoo.com</t>
  </si>
  <si>
    <t>This depends on what I am doing. If I am masturbating I usually keep my foreskin covering my glans and use my fingers to wrap around it and stimulate the glans by movign up and down. This build up is slow and not too intense until about a couple of seconds before I am about to cum and then it is very intese as I orgasm. Sometimes I will masturbate with the foreskin pulled all the way down and I will either stimulate my frenulum with m finger or a vibrator. The build up of those orgasms lasts much longer and is much more pleasurable and usually leads to intense, toe curling orgasms that last longer then usual. When I am having sex wether penetatative or oral, the build up, and orgasm intensity is  between the two situations above.</t>
  </si>
  <si>
    <t xml:space="preserve">I dont mind any of the terms but can see why intact may be preffered </t>
  </si>
  <si>
    <t>soberbandana@hotmail.com</t>
  </si>
  <si>
    <t xml:space="preserve">I dont mind a text based interview or contibuting to projects as long as I remain anonymous </t>
  </si>
  <si>
    <t xml:space="preserve">They are missing out a great deal of pleasure, not necessarily pleasure intensity but pleasure richness and complexity. </t>
  </si>
  <si>
    <t>whole_razzmatazz_826@hotmail.com</t>
  </si>
  <si>
    <t xml:space="preserve">Yes and it always bothered me. </t>
  </si>
  <si>
    <t xml:space="preserve">I had really bad phimosis and didn't know it was supposed to retract all the way until I saw online intact porn. 
I then looked up how to fix it and found some silicone phimosis rings. 
I used those along with the cream and it is perfectly fine now. 
No problems pulling it back at all. </t>
  </si>
  <si>
    <t xml:space="preserve">Anyone can get cut later in life. 
No one can be truly fully restored after. 
Would you make your kid permanently bald from birth? That would help prevent lice and it would be very easy to clean right? 
But you most likely wouldn't bc the thought of taking away the experience of hair seems barbaric. 
Now apply that to the most intimate part of a man's body. That is how important it is. </t>
  </si>
  <si>
    <t xml:space="preserve">The whole smegma thing. 
But no one ever talks about how a vagina produces MORE SMEGMA. Men get told to mutilate them self's while woman are told they are perfect. If you complained about vagina smell you would be called sexist, but you complain about dick smell and they immediately ask if he was cut and if not he should be. He just needs to clean it properly! It takes less than a minute! </t>
  </si>
  <si>
    <t xml:space="preserve">Most intact guys love their penis even when others might mock them. </t>
  </si>
  <si>
    <t>dalekdallin256@gmail.com</t>
  </si>
  <si>
    <t xml:space="preserve">Yes. </t>
  </si>
  <si>
    <t xml:space="preserve">Sometimes need to simply communicate what feels good - using the foreskin, not pulling back too far, etc. </t>
  </si>
  <si>
    <t xml:space="preserve">I just thought about it when I was younger due to porn and seeing lots of circumcised penises. </t>
  </si>
  <si>
    <t xml:space="preserve">Didn't really think about it until I saw an article explaining how "uncut" or "uncircumcised" is incorrect and now agree "intact" or "natural" is the most correct term. </t>
  </si>
  <si>
    <t xml:space="preserve">Basically no child cares if their penis is different than their dad's - just be open and talk to your kids. Foreskin is one of the, if not most, pleasurable parts of the penis. </t>
  </si>
  <si>
    <t>ohnaaaaaaa@yahoo.com</t>
  </si>
  <si>
    <t xml:space="preserve">I feel like like I’m going to reach orgasm about one minute before and then it was mildly good orgasm and it was not lingering. When I’m having sex, usually bottoming, the orgasm would be more intense. </t>
  </si>
  <si>
    <t xml:space="preserve">When I try topping it doesn’t feel pleasurable lie when I’m masturbating </t>
  </si>
  <si>
    <t xml:space="preserve">I could pull my skin back all the way down and this was point of contention with my ex boyfriend, I don’t feel as good when topping therefore I just stop topping, I didn’t know you could pull the foreskin down until I dated my ex and when to urologist, hygiene: raise by single mom, I didn’t know how to properly clean my foreskin until I went to urologist 1-2 years ago </t>
  </si>
  <si>
    <t xml:space="preserve">Cultural Background/Family Tradition (of intactness): They came from a family or cultural background where intactness was the norm., My mom was gonna circumcise me and her mother said don’t do it why would you and mom listened to her, that’s all I know. </t>
  </si>
  <si>
    <t xml:space="preserve">After my ex boyfriend criticize me for not being to pull my foreskin back when topping him and I realized I have hard time topping </t>
  </si>
  <si>
    <t xml:space="preserve">23, urologist recommend circumcision but also will prescribe me cream perhaps a steroid or something </t>
  </si>
  <si>
    <t xml:space="preserve">In elementary me and classmates have informal discussions talking about our penises and who have circumcision. That’s about it </t>
  </si>
  <si>
    <t xml:space="preserve">Make it harder for me to too and feel pleasure </t>
  </si>
  <si>
    <t xml:space="preserve">Enevee thought about it </t>
  </si>
  <si>
    <t xml:space="preserve">I feel like when they injeculate it seems more intense and pleasurable </t>
  </si>
  <si>
    <t xml:space="preserve">No uncut sounds good </t>
  </si>
  <si>
    <t xml:space="preserve">It’s harder to top </t>
  </si>
  <si>
    <t xml:space="preserve">In Thailand? No stereotype, not much talks about “cut” or “uncut,” don’t hear much about it and when discussed it doesn’t seems important unless there are the 1-2% of population that of religion that mandates such action such as Islam. </t>
  </si>
  <si>
    <t xml:space="preserve">Long term risks and benefits </t>
  </si>
  <si>
    <t xml:space="preserve">Text wise I understand it perfectly, the illustration doesn’t seems the covey that message though </t>
  </si>
  <si>
    <t xml:space="preserve">I wish they would acknowledge that the myths that are spread about intact penises in circumcising countries were false and offensive and body shaming is never ok. I wish people would learn about the importance of the foreskin and it's functions. </t>
  </si>
  <si>
    <t xml:space="preserve">Just difference cadence </t>
  </si>
  <si>
    <t xml:space="preserve">social issues with previous partners. friends making off-hand comments.  For the off-hand comments, I usually shy away.  For partners I attempted to educate them, but that is not always possible. </t>
  </si>
  <si>
    <t xml:space="preserve">First started in school, in middle school when changing around other kids.  I was already different by being an immigrant, so this was one more thing that stood out. </t>
  </si>
  <si>
    <t>It provides natural lubrication and protects the glans.  I don't really notice it much past that.</t>
  </si>
  <si>
    <t xml:space="preserve">It is the most sensitive spot, by far.  Former partners who picked up on that were able to get me to orgasim quicker. </t>
  </si>
  <si>
    <t>It was more cultural than anything.  Everybody just did it.</t>
  </si>
  <si>
    <t xml:space="preserve">It was the norm, so it was the expectation. </t>
  </si>
  <si>
    <t>While I was born in NY, I grew up deep in the midwest, and my peers were overwhelmingly circumcised (95%+). I was often the only intact classmate from K through college, and of all my partners, I was always their first.  Even in groups of friends where it came up, I was the first person with a foreskin that they ever saw live, so I had to dispel a lot of rumors and innuendos. I don't believe that to be as much of a problem these days with more and more folks across the US growing up intact, so just there being more around makes it more 'normal'</t>
  </si>
  <si>
    <t xml:space="preserve">No one thought about it till me and my brother started going to public school where people were constantly thinking about it. </t>
  </si>
  <si>
    <t xml:space="preserve">I'm not a Christian anymore. I left the church when I was like 14 and haven't looked back since to my parents chagrin. I was just raised Christian and with hardcore Mennonite traditions ingrained in my psyche since my parents spent 30 in the mennonite denomination before leaving. </t>
  </si>
  <si>
    <t xml:space="preserve">When I'm feeling my penis while my foreskin covers the tip, I don't feel much besides a pressure through firm pressure, when the foreskin is back, it's a nice small sensation, when I'm masturbating and my foreskin is going up and down and making a stimulation with my frenulum, I feel a tickle that feels really good. Frenulum contact is where I feel the most pleasure. Sometimes I just masturbate by tickling my frenulum or even just having a small vibrator to it to create a charge. I think this is something like a male equivalent to the six or so different orgasms that AFABs get. I think intact men experience three. Like masturbation through rubbing and retracting the foreskin over and over, frenulum organs, and then prostate orgasm. Something to think about, I guess. </t>
  </si>
  <si>
    <t xml:space="preserve">It matters how fast I'm going. I can reach orgasm in thirty seconds if I'm really motivated and horny, but if I'm really horny and want to take it slow, I edge for like an hour every morning. I usually cum up to two times a day, sometimes three if I'm feeling a lot and need a release, but each time, ab orgasm feels like a good workout. And I feel it all over. My stomach, my legs, my prostate. Porn is something I use, but mostly just to observe the feeling and try to connect it with others. I like the feeling of seeing someone else feel something and knowing that that is there body and what I'm doing is something that is my body's reaction. I also sometimes feel my orgasm in my throat. Like it's clogged until I'm cumming. I think it might be a reflex since I've always lived with my family, my siblings now, parents are out of the picture, and I don't want to make it known that I'm masturbating sting or having sex. </t>
  </si>
  <si>
    <t xml:space="preserve">Natural lube, extra sensitive, faster to get to orgasm, masturbation in a way that feels right without having to use lotion, lube, and a healthy habit of hygiene. </t>
  </si>
  <si>
    <t xml:space="preserve">Social misunderstandings. My parents come from Mennonite communes and we're taught that the penis can clean itself like how AFABs can, so they never gave me a proper education on how to clean myself with water. I eventually told my parents this was wrong when I was like 16 and started doing regular hygiene for my penis. I did have a habit of sexting at a young age when I shouldn't have, most people just fetishized my penis and even now, living in Ohio, most men that I have sex with think my penis is something to idolize. Calling my penis, "natural" or something else like they have to degrade their own dicks be able to blow me or have me fuck them. It's a weird thing. The manosphere is interesting when it comes to intact dicks! </t>
  </si>
  <si>
    <t xml:space="preserve">Both of my parents were raised Mennonite but do have some Jewish ancestry. When I was younger, I decided to look into it and decided I wanted to convert to Judaism but felt angry at my penis for being intact even tho my dad was not circumcised and neither were any of the men in my family for generations. </t>
  </si>
  <si>
    <t xml:space="preserve">My mother is Norwegian and her father converted to Anabaptism when he was young before having my mom and her siblings with my partially Jewish and mennonite grandmother who left it up to him on if he wanted to circumcise. My father is from a Mennonite commune in northern BC, Canada and tho it's practiced in that area, he was very isolated from doctors and the woman in my family for generations have served in midwifery so when he was born, circumcision was not something to think about. I grew up in rural Ohio and was so distanced from my parents upbringing since they left the Mennonite movement on their 7th child (I am the ninth and final child). I grew up in a closely knit small town with my cousins and my immediate family. All of us were intact so I always assumed it was the norm before going to public school in my teens and learning that me and one other were the only intact guys around for a bit, I thought about getting a circumcision as soon as I turned 18, but have decided against it after going to figure drawing classes, engaging in discourse with the intact community and learning that intact dicks are becoming more commune than I thought. </t>
  </si>
  <si>
    <t xml:space="preserve">I think it provided more pleasure for both parties especially if I'm having sex without protection (rare, but it happens when we are both tested and being responsible). It's like when you use a ribbed condom. The skin going back and forth inside feels good for both of us. </t>
  </si>
  <si>
    <t xml:space="preserve">I feel it during blowjobs since people are curious and lick it to see the reaction I give them. Which is always shocked and full of pleasure more than they expect so they keep on going till ik near orgasm. I've heard the frenulum described as the male clit. I might need to do more research into that tho. With masturbation, it's the same. Sometimes I use a vibrator to run against me and that results in a mind blowing orgasm, but with vaginal and anal sex, it's not as much since it'd only exposed for only brief moments. </t>
  </si>
  <si>
    <t xml:space="preserve">I wonder what it could feel like to jerk off with a dry tip that I have to keep applying lubricant to and chafing. I've wondered about the scar they have. Parts of it are remnants of the frenulum and I wonder if they feel any sort of pleasure there from the once was frenulum. </t>
  </si>
  <si>
    <t xml:space="preserve">I honestly don't mind them, but I do know that some people feel different so I try to be nice and accommodating to them. It's the same like how I don't really mind being called a boy or man but I'm still a demiboy because I also like being androgenous to other people more than masculine downtimes. </t>
  </si>
  <si>
    <t xml:space="preserve">Why the hell is it up to you what you get to do with a kids body? I'm currently taking care of my brothers kid and he chose not to his his kid circumcised which good for him, but it's got men wondering what people are thinking about when they think about circumcising their children who are AMAB. What's this accomplishing, what's this doing for you because its not doing anything for the kid. It's purely in what you want for the kid which is weird because kids don't owe you anything. </t>
  </si>
  <si>
    <t xml:space="preserve">It doesn't matter. That's what they viewed it as growing up. Mostly, people were more focused on the vulva to give complex thought on the penis. </t>
  </si>
  <si>
    <t xml:space="preserve">That's it's self cleaning. It not. I grew up being taught that it was so was never taught any hygiene towards my dick. Just use water! Make sure there's no smegma and if there is, it's not gonna hurt you. Just make sure to keep your dick clean in a good way of taking care of it without hurting you pH balance. </t>
  </si>
  <si>
    <t xml:space="preserve">When I got to school, people said it was healthy and good to have a circumcised dick. Which was weird. But I didn't let it get to me till I was 14 where I started hating it till I was like 17 and started liking my dick again. </t>
  </si>
  <si>
    <t xml:space="preserve">Hygiene, cultural norms. I think queer culture likes intact dicks more than straight people. At least, that's what people think on Grindr and what not. </t>
  </si>
  <si>
    <t xml:space="preserve">It's legit just a dick at the end of the day. It's not gonna harm you. The man with it might, but the dick is just a dick and the kid once grown can make their own decision on what they want done with it. </t>
  </si>
  <si>
    <t xml:space="preserve">I think circumcision will always been something that people argue about. I think if it's a cultural thing the culture can change around it to take care of the child the best they can. If the child decides they want to be circumcised then the child can choose to and they can go about their business afterward. It's not my choice, it's not your choice, it's the kids. I don't know how Abrahamic religions in general will take this since it's ingrained in those cultures that circumcision is needed. </t>
  </si>
  <si>
    <t>dusttunes@gmail.com</t>
  </si>
  <si>
    <t xml:space="preserve">Most likely! I'll have to give it some thought </t>
  </si>
  <si>
    <t xml:space="preserve">i think its weird when people put so much emphasis on the different words when we all understand what's being said-- it sounds forced </t>
  </si>
  <si>
    <t>handle2366@gmail.com</t>
  </si>
  <si>
    <t xml:space="preserve">Stay-at-Home Parent / Homemaker, </t>
  </si>
  <si>
    <t xml:space="preserve">My penis head has desensitized over the years, I do go crazy over my frenulum being stimulated </t>
  </si>
  <si>
    <t xml:space="preserve">The build up is gradual until I start shooting ropes and I feel the intensity through my body shorting out of my cock </t>
  </si>
  <si>
    <t xml:space="preserve">Usually when I’m having sex with my wife and she is “dry” my foreskin allows me to stay here entrance but still slide my glans in getting the wetness from inside making her whole wet for my entire dick to go in </t>
  </si>
  <si>
    <t xml:space="preserve">Wife and I are on different spectrums when it comes to our libido I would love my dick touched everyday if we could </t>
  </si>
  <si>
    <t xml:space="preserve">Natural lubricant, makes sex easier gliding in and out with foreskin </t>
  </si>
  <si>
    <t xml:space="preserve">When I was a teen I asked my mother about getting a circumcision </t>
  </si>
  <si>
    <t xml:space="preserve">Glides perfectly up and down, no tightness, I have a longer foreskin so it bunches up behind my head when retracted </t>
  </si>
  <si>
    <t xml:space="preserve">My favorite spot to be licked during oral sex </t>
  </si>
  <si>
    <t xml:space="preserve">See how different the organs feels, texture of the glans </t>
  </si>
  <si>
    <t xml:space="preserve">When I was playing with his dick he said sorry mines dry I don’t get naturally lubricated like yours </t>
  </si>
  <si>
    <t xml:space="preserve">Uncut, intact </t>
  </si>
  <si>
    <t xml:space="preserve">Girls used to say they were “smelly” but most of my guy friends were uncut </t>
  </si>
  <si>
    <t xml:space="preserve">Were born with it for a reason, no other animal in the world cuts off something it was born with </t>
  </si>
  <si>
    <t>cvm952500@gmail.com</t>
  </si>
  <si>
    <t xml:space="preserve">Mrforeskin95 on twitter or Reddit </t>
  </si>
  <si>
    <t xml:space="preserve">Of course </t>
  </si>
  <si>
    <t xml:space="preserve">Gradual build-up. Intense release. </t>
  </si>
  <si>
    <t xml:space="preserve">It's not something I've thought about. </t>
  </si>
  <si>
    <t xml:space="preserve">It's extra sensitive. </t>
  </si>
  <si>
    <t xml:space="preserve">Mainly the need for lubricant and stronger pressure to get them off. </t>
  </si>
  <si>
    <t xml:space="preserve">I don't have a preference. </t>
  </si>
  <si>
    <t xml:space="preserve">Circumcision is unnecessary. </t>
  </si>
  <si>
    <t xml:space="preserve">Your entire view as it comes across in these survey questions seems to assume that people come from a country/culture where infant circumcision is the norm. For those of us who don't come from such a place (eg, Europe in my case) the attitudes that come across in the questions and in this metaphor are quite bizarre. </t>
  </si>
  <si>
    <t>viktor09@orange.fr</t>
  </si>
  <si>
    <t xml:space="preserve">Sure. </t>
  </si>
  <si>
    <t>charlesvfee@gmail.com</t>
  </si>
  <si>
    <t xml:space="preserve">I can get from 0–10 relativly quickly. If I allow myself a quick release, the sensations are most focused on my penis. However longer sessions with pauses in stimulation can result in more full-body sensations. </t>
  </si>
  <si>
    <t xml:space="preserve">My head has stayed protected and sensitive. I am able to play with my foreskin and have it played with. </t>
  </si>
  <si>
    <t xml:space="preserve">There aren't many opportunities to discuss my status with friends as I am often the only one intact. </t>
  </si>
  <si>
    <t xml:space="preserve">The notion a foreskin is unclean and will get infections or cause problems is too uncommon to worry about. As a child I was not as attentive to my penis cleanliness as I should have been and suffered no adverse side effects. </t>
  </si>
  <si>
    <t>alrad153@gmail.com</t>
  </si>
  <si>
    <t xml:space="preserve">Intact penises smell bad and need constant maintenance.
</t>
  </si>
  <si>
    <t>smith.m.g@att.net</t>
  </si>
  <si>
    <t xml:space="preserve">When I was a kid in locker rooms, I was the only one who was intact - just a feeling of being different and misunderstood but not in a way that it's acceptable to talk about. </t>
  </si>
  <si>
    <t xml:space="preserve">Very convenient for blowjobs and handjobs. No effect on sex with a condom. </t>
  </si>
  <si>
    <t xml:space="preserve">Don't care
</t>
  </si>
  <si>
    <t xml:space="preserve">Hygiene issues arise from people with poor hygiene, not from the foreskin </t>
  </si>
  <si>
    <t xml:space="preserve">Weird-looking, unhygienic </t>
  </si>
  <si>
    <t xml:space="preserve">Women don't notice if an erect penis is circumcised or not. There is general ignorance/apathy toward it most of the time. Negative associations come from women's experiences with penises with phimosis that do not have all the normal functions of an intact penis. </t>
  </si>
  <si>
    <t xml:space="preserve">The foreskin is analogous in structure and function to the clitoral hood. There is no reason to damage either. </t>
  </si>
  <si>
    <t>a20040562@gmail.com</t>
  </si>
  <si>
    <t xml:space="preserve">Some odor at days end. But that could be a difficult reason </t>
  </si>
  <si>
    <t xml:space="preserve">Doctor forced back my skin </t>
  </si>
  <si>
    <t xml:space="preserve">All the above good for sex and self lubrication </t>
  </si>
  <si>
    <t xml:space="preserve">Can't complain </t>
  </si>
  <si>
    <t xml:space="preserve">I mean you can keep the foreskin pulled back but I find it difficult then wanting to be circumcised.  </t>
  </si>
  <si>
    <t xml:space="preserve">No feedback although I do use intact </t>
  </si>
  <si>
    <t xml:space="preserve">Not to say its cleaner. It's a form of body shaming </t>
  </si>
  <si>
    <t xml:space="preserve">People should be given a choice </t>
  </si>
  <si>
    <t>damn_good_beet@yahoo.com</t>
  </si>
  <si>
    <t xml:space="preserve">Maybe </t>
  </si>
  <si>
    <t xml:space="preserve">I think cutting up what God gave us is not good. </t>
  </si>
  <si>
    <t xml:space="preserve">Very sensitive. Just as sensitive as my lips. </t>
  </si>
  <si>
    <t xml:space="preserve">Long build up, relatively quick orgasm, but it depends. Long lovemaking session with a woman is way more intense. </t>
  </si>
  <si>
    <t xml:space="preserve">I like the feeling of being a whole man. I’ve been the first whole man for a bunch of women and I’ve been able to get most of them to come. Some women tell me they don’t usually come from PIV but they do with me. I think this is due to the natural function of my penis. </t>
  </si>
  <si>
    <t xml:space="preserve">I’ve only had one negative experience where a woman reached in my pants and suddenly lost interest. There was no discussion about it we were both drunk. 
One time in college I was about to get laid and realized I wasn’t as clean as I needed to be, just washed up in a sink and was good to go. </t>
  </si>
  <si>
    <t xml:space="preserve">It wasn’t really an issue. Some kids were and some weren’t. There was the typical negative comments people made about it but I kept a pristine wildly and didn’t worry about it. </t>
  </si>
  <si>
    <t xml:space="preserve">Definitely facilitates sex. Can go as long as I want and women tell me they are surprised they aren’t sore after due to my larger than average size. </t>
  </si>
  <si>
    <t xml:space="preserve">Pressure and tension on this part seems to trigger orgasm. Feels great, particularly when I bottom out and hit the cervix. </t>
  </si>
  <si>
    <t xml:space="preserve">Just curious about the other side. </t>
  </si>
  <si>
    <t xml:space="preserve">I think there are two sides battling for what to call it. I prefer to call myself whole.  Nothing but the whole dick for my ladies. </t>
  </si>
  <si>
    <t xml:space="preserve">If it’s not your dick, don’t touch it. </t>
  </si>
  <si>
    <t xml:space="preserve">There was plenty of it’s dirty comments. </t>
  </si>
  <si>
    <t xml:space="preserve">They trouble maintaining erections and needed viagra when they were older. </t>
  </si>
  <si>
    <t xml:space="preserve">It’s sexually functional and makes a more satisfying and experience for men and women. </t>
  </si>
  <si>
    <t xml:space="preserve">Don’t really need a strong metaphor for this issue. </t>
  </si>
  <si>
    <t xml:space="preserve">There was no section for women to describe how it feels inside them and the other opportunities available with a whole dick. </t>
  </si>
  <si>
    <t xml:space="preserve">Sometimes I need  firmer/ harder stimulations. </t>
  </si>
  <si>
    <t xml:space="preserve">Foreskin protect the head of the penis. I think that it tend to make masturbation more pleasurable. Help to lubricated the penis. </t>
  </si>
  <si>
    <t xml:space="preserve">Sometimes afraid of partner reaction but there's a great amount of intact persons on my region. </t>
  </si>
  <si>
    <t xml:space="preserve">Their uncleans because the smegma accumulation.  They look bad. </t>
  </si>
  <si>
    <t xml:space="preserve">They look good. Their cleaners, more sane. </t>
  </si>
  <si>
    <t xml:space="preserve">The pornography influence also religious influence. </t>
  </si>
  <si>
    <t xml:space="preserve">I feel the social norm is more powerfull. </t>
  </si>
  <si>
    <t>stcourriel@hotmail.com</t>
  </si>
  <si>
    <t>tetreault2020@gmail.com</t>
  </si>
  <si>
    <t xml:space="preserve">Don't use my full name or sensitivew informations. </t>
  </si>
  <si>
    <t xml:space="preserve">If I masturbate with my skin retracted Ibalwats use lube. </t>
  </si>
  <si>
    <t>sminty1000@yahoo.com</t>
  </si>
  <si>
    <t>Reddit: ChubbRock88</t>
  </si>
  <si>
    <t xml:space="preserve">The morals and ethics of unnecessary body alterations, especially when it belongs to someone else </t>
  </si>
  <si>
    <t xml:space="preserve">Ugly, dirty. Weird </t>
  </si>
  <si>
    <t xml:space="preserve">No problems </t>
  </si>
  <si>
    <t xml:space="preserve">Good </t>
  </si>
  <si>
    <t xml:space="preserve">No need for it here </t>
  </si>
  <si>
    <t xml:space="preserve">Not applicable </t>
  </si>
  <si>
    <t xml:space="preserve">Flexibility &amp; movement </t>
  </si>
  <si>
    <t xml:space="preserve">Curiosity </t>
  </si>
  <si>
    <t xml:space="preserve">Nothing to share </t>
  </si>
  <si>
    <t xml:space="preserve">Short </t>
  </si>
  <si>
    <t xml:space="preserve">How it would feel </t>
  </si>
  <si>
    <t xml:space="preserve">Had no experience of this </t>
  </si>
  <si>
    <t xml:space="preserve">Am indifferent </t>
  </si>
  <si>
    <t xml:space="preserve">Sensitivity loss </t>
  </si>
  <si>
    <t xml:space="preserve">No applicable </t>
  </si>
  <si>
    <t xml:space="preserve">No idea </t>
  </si>
  <si>
    <t xml:space="preserve">No ifea </t>
  </si>
  <si>
    <t>jmann6970@gmail.com</t>
  </si>
  <si>
    <t xml:space="preserve">My penis generally prefers smooth textures. It's designed for gliding motion so even lubricated silicone is not as smooth or pleasurable as a partner's orifice or my own foreskin. Over time, my frenulum became a secondary site of stimulation due to the way I hold my penis when I masturbate (both hands or left hand with thumb behind the glans (ventral) and fingers over the corona (dorsal). This occurred during my early 20s. I masturbate 3-6 times a day or more. Now, my primary erogenous zone is my coronal flare (dorsal) which I leave covered with foreskin. Pleasuring my penis this way on both sides of the corona is very pleasurable. I also like to use all my fingers to move my foreskin around on my glans without retracting it (think a claw). I notice that stimulating my glans corona triggers a deep warm pleasure sensation in my prostate and perineum and this causes my penis to release precum. I occasionally like to stimulate my ring / acroposthion with my finger by rubbing it through the precum but primarily like to "jerk off" my doing a wrist motion outwards, causing the tip of foreskin / ring / acroposthion to close and to touch/rub against itself with the precum. Switching between these three (jerk, claw, fingering precummy acroposthion) is my favored way and incredibly pleasurable. Light sensation is the best but I like firm pressure on the bottom of my glans / corona; I think this is the case because it mimics the natural sensation of penetrating an orifice. During sex, I like deep long hard strokes which stretch my foreskin back to expose the sensitive inner foreskin or small pumps once I'm balls deep, allowing the foreskin to slide over/squeeze the corona with light movements. But with toys this does not feel very good. If I could I would still prefer penetration and if I could I would control when my foreskin retracts during penetration, but this is not possible for my penis.  </t>
  </si>
  <si>
    <t xml:space="preserve">I have edged since I was a young boy since I started masturbating before puberty. The build-up is gradual and sustained unless I'm very horny and my penis is needy and hasn't cum in a couple of days.It is intensely pleasure, lingering, reminding me of glittery decoration and fireworks or a very fine perfume which I am lost in for about a minute. The emotional afterglow lasts much longer and I typically feel very relaxed and may fall asleep briefly. It is deep and satisfying to the point of being addicting. The ejaculation is centered on my penis and perineum/prostate, but the skin of my scrotum is quite erogenous as well as my anus so I may stimulate these in quick alternation as I reach climax. It is a full-body feeling, as if I am fulfilling my purpose and my penis is going to explode. For me, the best part is the build-up. As a teen and young adult, I would edge for up to 6-8 hours, staying up all night in my room looking at porn with an erection the entire time until I began to get blue balls and had to ejaculate around sunrise. I don't even deny myself orgasm or ejaculation in the end as it is enhanced by longer and longer edging and may be as good as the entire build-up itself in a single moment. I only wish it lasted longer and I'm jealous of those men who have orgasms lasting over a minute or pump out multiple ropes (I'm limited to 2-3). I recall my first ejaculation vividly and remember it almost burning as the semen shooting out actually felt better than dry ejaculations. </t>
  </si>
  <si>
    <t xml:space="preserve">If my partners are female, they usually don't know what to do with whole penis or with the foreskin and it has to be slowly negotiated or explained over several sessions. I usually put up with some pain during the beginning for affective/relational success. With males, I usually avoid circumcised males altogether as they do not know what they are doing and never quite understand the amount of sensitivity (incredibly pleasure if done correctly, pain if done carelessly). </t>
  </si>
  <si>
    <t xml:space="preserve">Being of a different race/ethnic background and having a different first language were only intensified by physical differences such as different facial features, darker skin, and whole/intact penis status. In grade school, I was alienated by my peers for my differences and had few friends. On occasion, I did make better friendships with males because of our shared intactness but many simply shunned me, having too much shame about their status. In order to avoid bullying during gym/locker room changes, I was quick or hid it but never felt inferior. I have always longed to be among peers where we could feel normal: other intact males. This made me an advocate of naturism. </t>
  </si>
  <si>
    <t xml:space="preserve">It's a sleeve that is unique on the human body. Protection functions are highly overemphasized since the glans only exists in its large size and unique morphology (compare to other animals) to support and stimulate the foreskin. The inner foreskin is much more sensitive but is best stimulated by movement over the smooth glans. I enjoy gliding motion and while I think easy and complete retraction are necessary for every male, I prefer to keep it largely covered during sexual activities. I produce precum and it lubricates the tip but may also cover the entire glans as a result of foreskin movement during activity. When that occurs, penetration feels better than continuing any other activity since it is now more lubricated / some sensations changed or reduced. </t>
  </si>
  <si>
    <t xml:space="preserve">Circumcised partners have suffered from PE and ED even in their teens or 20s, and don't enjoy basic light touch. They find little enjoyment from frotting etc. They almost always need lubrication especially for penetration. They frequently feel pain from their exposed urethra rubbing or touching cloth or from soap entering. It takes them an extended amount of time to orgasm and ejaculate. Orgasm is brief, perfunctory. They usually struggle to reach it and do not greatly enjoy the process to climax or they may alternately not enjoy climax and only enjoy the process. Usually, they develop unusual fetishes from the psychological displacement to other forms of sensation or pleasure which are similar to what they experience (such as feet or tickling fetishes due to the intense but not truly erogenous sensation of directly stimulating the stimulation). Circumcised men are alternately much less sexual (reduced sensation) or hypersexual (high libido but must increase activity to make up for reduced pleasure). They tend to be more callous or less aware of their own emotional states/wellbeing. I avoid circumcised men as partners for this and other reasons. </t>
  </si>
  <si>
    <t xml:space="preserve">I don't mind 'uncut' since to me it reminds that whole males are more raw and masculine. The foreskin is pure masculinity (darker, wrinkled, abundant, fragrant). In contrast, uncircumcised is too obviously oxymoronic and normalizes circumcision and its discourses by its regular acceptance/conventionalization and medicalized formality. 'Foreskinned' is a stupid term unless comparing humans as animals to other species.  I see the benefit in and use intact for discourse purposes, but it personally has too much proximity to the use of intact in animals  (unneutered dogs). I am a man. A whole, natural male. I have a whole and natural penis. Anything else is submission to circumcision dogma. I am not ashamed and refuse to be bowed. </t>
  </si>
  <si>
    <t xml:space="preserve">Nonsense or abusive. </t>
  </si>
  <si>
    <t xml:space="preserve">Logic has limited utility in swaying masses. Pathos is best. If I could, I would have every person experience the subjective personal sensation of having an intact versus circumcised penis. </t>
  </si>
  <si>
    <t xml:space="preserve">The 'monster' aspect displaces agency it when it is a choice volitionally made by adults humans on children. I see what you are getting at with invisible but this further displaces it. Like Aesop's fable of the fox and his tail, it is really about a turning away or blindness, a refusal to see and a refusal to stop (which would mean confronting the monstrous truth). It's normalization by spreading/sharing the harm. </t>
  </si>
  <si>
    <t xml:space="preserve">It's important that high-level planning is done privately among those interested in combating cutting discourses (e.g. whole penis = "dog dick"). Intactivists are usually mad, typically survivors of this procedure, and difficult to communicate or organise with. There are too many different contrasting stances and opinions for any unity that would be necessary. I have tried to organize to make subtle but profound changes on Reddit but have been largely unsuccessful in garnering long-term support. </t>
  </si>
  <si>
    <t xml:space="preserve">Light touches are very sensual, my frenulum and rigid band are the most sensitive. </t>
  </si>
  <si>
    <t xml:space="preserve">Relatively intense, last quite a while and can edge over an over. </t>
  </si>
  <si>
    <t xml:space="preserve">Sensitivity and sexual pleasure. Psychological wellness, knowing that I am intact and have not been cut. </t>
  </si>
  <si>
    <t xml:space="preserve">Hygiene, medical issues like balanitis. </t>
  </si>
  <si>
    <t xml:space="preserve">Preteens, wanted to fit in with the other boys around me. </t>
  </si>
  <si>
    <t xml:space="preserve">Always felt out of place in the locker rooms at school, very few other intact boys. </t>
  </si>
  <si>
    <t xml:space="preserve">Love foreskin attention both the outer and inner foreskin feel great to be touched. tugging and tight rectractions also feel very good. 
</t>
  </si>
  <si>
    <t xml:space="preserve">Very important to my sexual pleasure. Very sensitive and feels amazing to be touched or rubbed. </t>
  </si>
  <si>
    <t xml:space="preserve">How it would feel without my foreskin, what being bare all the time would feel like. </t>
  </si>
  <si>
    <t xml:space="preserve">Sensitivity is very different and different parts of the penis feel good to be touched. </t>
  </si>
  <si>
    <t xml:space="preserve">How much pleasure and joy a foreskin can bring, and how easy it is to keep hygienic. </t>
  </si>
  <si>
    <t xml:space="preserve">That they were dirty, unhygienic and ugly. </t>
  </si>
  <si>
    <t xml:space="preserve">Cleaner, seen as normal. </t>
  </si>
  <si>
    <t xml:space="preserve">Hygiene and aesthetics from porn and cultural norm. </t>
  </si>
  <si>
    <t xml:space="preserve">That a intact penis is just as healthy and normal as a uncut one. </t>
  </si>
  <si>
    <t>lots of foreskin moves easily, super sensitive.  Current GF loves it</t>
  </si>
  <si>
    <t>good with it.  prefer intact but uncut is fine</t>
  </si>
  <si>
    <t>explorerkyle@gmail.com</t>
  </si>
  <si>
    <t>sandysandson@gmail.com</t>
  </si>
  <si>
    <t xml:space="preserve">Very sensitive to light touch. Also depending on partner firm hold can feel nice and ease of moving skin makes it easier for stimulation of the head </t>
  </si>
  <si>
    <t xml:space="preserve">Intact is the proper term to me. Uncut and uncircumcised is in the vernacular as that’s what most in America call it when it’s intact when the term is technically wrong </t>
  </si>
  <si>
    <t xml:space="preserve">It’s America and most are familiar with circumcised </t>
  </si>
  <si>
    <t xml:space="preserve">It is normal healthy functional tissue that’ll give you more pleasure </t>
  </si>
  <si>
    <t xml:space="preserve">It can be done with and should only be practiced as a last resort medical necessity </t>
  </si>
  <si>
    <t>imnonomys@gmail.com</t>
  </si>
  <si>
    <t xml:space="preserve">Everything! The ease of masturbation, the ease of penetration, ease of producing natural lubrication, extreme sensation, it's more aesthestically pleasing, it's absolutely perfect! </t>
  </si>
  <si>
    <t xml:space="preserve">None whatsoever, I ignore the ignorant people because they don't know what they're missing out on and also feel bad for them because their health education system failed them. </t>
  </si>
  <si>
    <t xml:space="preserve">It's very sensitive and it adds a lot of pleasure to the overall experience </t>
  </si>
  <si>
    <t xml:space="preserve">It's stupid and makes no sense both by definition and by nature. "Normal" is what I usually use because if I just say "penis," people tend to just assume circumcised despite a normal penis being intact. </t>
  </si>
  <si>
    <t xml:space="preserve">Literally everything about it is better and I will never understand why people are so brainwashed into thinking otherwise. I feel sorry for all of those individuals </t>
  </si>
  <si>
    <t xml:space="preserve">The functions of the foreskin is the most important thing that everyone should know. </t>
  </si>
  <si>
    <t xml:space="preserve">RIC ruins a person's right to bodily autonomy, sensation and pleasure, and self-confidence </t>
  </si>
  <si>
    <t>jacob.teague71@gmail.com</t>
  </si>
  <si>
    <t xml:space="preserve">The gliding action is far and away the most pleasurable feeling </t>
  </si>
  <si>
    <t xml:space="preserve">Slow build, then a sustained plateau. I can generally cum when I decide to. </t>
  </si>
  <si>
    <t xml:space="preserve">I didn't undergo unnecessary cosmetic surgery, which might have impacted my thoughts on the importance of consent. </t>
  </si>
  <si>
    <t xml:space="preserve">I've had my frenulum nicked by a partners teeth. Extremely painful. That's the one instance where it's been a "bad" thing (if we can even call it that?) </t>
  </si>
  <si>
    <t xml:space="preserve">Ethical Concerns: They had ethical objections to non-consensual surgery on a healthy child/believed strongly in bodily autonomy or children's rights., Personal Experience: One or both parents had a negative personal experience with circumcision (their own, or someone they knew)., Per my father "it's a barbaric practice that needs to end" </t>
  </si>
  <si>
    <t xml:space="preserve">It was ONLY when I was a kid growing up in the deep south. I saw another kid in the 3rd grade get bullied in the showers. I changed in the stalls as a result. These days, it doesn't occur to me at all. I've had strangers (in a bit of a bathhouse situation?) respond with curiosity or jealousy. </t>
  </si>
  <si>
    <t xml:space="preserve">I've had balantitis/thrush before. </t>
  </si>
  <si>
    <t xml:space="preserve">Having had sex with some men who were circumcised, it's shocking how much grip and friction is needed. Totally unrelated to my experience of sex. Has only made for bad circumcised male partners. </t>
  </si>
  <si>
    <t xml:space="preserve">Cut partners need much more aggressive stimulation, and tend to POUND their partners to feel stimulation in my experience </t>
  </si>
  <si>
    <t xml:space="preserve">Don't do it. You don't "own" your child, and it's a huge violation of bodily autonomy. </t>
  </si>
  <si>
    <t xml:space="preserve">That if you haven't had it done, you're actively trying to get rid of it. It's seen as a "defect" rather than something that serves a purpose. </t>
  </si>
  <si>
    <t xml:space="preserve">They're "cleaner", whatever that means. </t>
  </si>
  <si>
    <t xml:space="preserve">Studies show it impacts brain development. Genital Trauma is a horrible introduction to the world. </t>
  </si>
  <si>
    <t xml:space="preserve">The orgasm is very intense when gliding the foreskin. It builds up as I glide it with my glans. It's getting more intense as the momentum builds up. </t>
  </si>
  <si>
    <t>9tjbgvsoo@mozmail.com</t>
  </si>
  <si>
    <t xml:space="preserve">Pre-seminal fluid is abundant enough for lubrication, and skin has more than enough give for lubricant to be necessary. </t>
  </si>
  <si>
    <t xml:space="preserve">Slight interest in showing off. Brief explanation on how to clean penis in bathtub. Mostly normal. </t>
  </si>
  <si>
    <t xml:space="preserve">Slightly more sensitive </t>
  </si>
  <si>
    <t xml:space="preserve">Differences in sensation (type and intensity) and mechanics </t>
  </si>
  <si>
    <t xml:space="preserve">“Uncircumcised” can be a mouthful to say, “uncut” or “intact” is easier to say, though perhaps less clear in meaning depending on circumstances </t>
  </si>
  <si>
    <t xml:space="preserve">That they looked “funny” flaccid, with the skin overhanging </t>
  </si>
  <si>
    <t xml:space="preserve">More hygienic </t>
  </si>
  <si>
    <t xml:space="preserve">It makes masturbation easier </t>
  </si>
  <si>
    <t xml:space="preserve">I was the only intact male in my family. While I liked having a foreskin, it was somewhat embarrassing growing up being one of the only intact males. I became more comfortable with my penis as I got older. </t>
  </si>
  <si>
    <t xml:space="preserve">It functions as a normal foreskin does and the gliding motion is important for achieving orgasm. </t>
  </si>
  <si>
    <t xml:space="preserve">I think it only really comes into play during oral sex otherwise stimulation of the frenulum isn’t terribly important to me </t>
  </si>
  <si>
    <t xml:space="preserve">How the orgasm feels </t>
  </si>
  <si>
    <t xml:space="preserve">I think uncircumcised is a stupid term. </t>
  </si>
  <si>
    <t xml:space="preserve">How pleasurable the foreskin is and how much they are missing out on. </t>
  </si>
  <si>
    <t xml:space="preserve">They were dirty and women didn’t like them. </t>
  </si>
  <si>
    <t xml:space="preserve">They were cleaner. </t>
  </si>
  <si>
    <t xml:space="preserve">I think you are right. Circumcision has negatively impacted the majority of males in this country and they have no idea what they are missing. Then they perform the unnecessary surgery on their male children ensuring the tradition continues. </t>
  </si>
  <si>
    <t xml:space="preserve">Growing up in a circumcising culture, where 95% of my local and national peers had been subjected to "Routine Infant Circumcision (RIC), it was very understandably confusing and weird to be different from most males I saw naked from as early as four years old. How could a boy with a very different looking penis from his peers, not wonder WHY his penis was different? Cleanliness was never a big deal. Yes, I did get smegma accumulations that were far easier to clean, and far less complicated to understand how to clean, than bruhing my teeth! Educating intimate partners was something I feared as the moment approached, but was easily communicated and my fears of rejection were never experienced. If someone is so culturally prejudiced about any and all of the pervasive,socially constructed nonsense about any and all of those uneducated, brainwashed beliefs, they are not intellectually qualified to be my partner! </t>
  </si>
  <si>
    <t xml:space="preserve">I first realized as i sat in the bathtub with my older brother, when I was four and he was eight years old, that our penises were not alike. I wondered why his head was always fully exposed, and mine had skin over half of it, all the timeit, all the time. I also realized at the time, that dad had a penis with a lot more skin than mine had. Dad had so much skin that I never saw any portion of his head, even when we all, quite frequently,, peed together, standing around the toilet bowl..Three very different looking penises in our immediate family. How could those differences not be something I wondered about then?
</t>
  </si>
  <si>
    <t xml:space="preserve">At four years old, my mother made an appointment with my pediatrician, specifically because her "Baby Care" book stated, "All uncircumcised boys foreskins should become retractable by age three." Clearly, mine was stil fused to my glans/head then, and was not typical, according to the misinformation in that particular child "care" book of mom's. (I read all this in the book. many years later.).My pediatrician forcibly retracted my foreskin, skinning ne alive, ripping the adhesions apart, between my inner foreskin and glans, There was no prior explanation, to informed consent, no anesthetic, and zero compassion expressed toward the screaming piece of raw meat between my doctor and my mother. It was one of my earliest and memories and one I can NEVER erase. It was nothing less than horibble child abuse and medical malpractice. It was obviously not that doctor's first rodeo, because the only advance indication he was about to do something b=very painful, was the grimace on his face, a second before he ripped my foreskin back.Obviously, his medical education about minor children's foreskins was lacking at the time.
</t>
  </si>
  <si>
    <t>My Humanely respected RIGHTand informed choice as an adult,  to a full and complete, male sexual experience. (is that concise enough?)</t>
  </si>
  <si>
    <t>(Do the math:).   " less &lt; MORE"     (Simple and to the point!)</t>
  </si>
  <si>
    <t xml:space="preserve">My experience growing up was somewhat unusual in that my dad was intact, my older brother was RIC'd (perhaps without either of my parents knowing it was part of the hospital's routine of the era), I was left intact, and my younger brother was RIC'd.My dad NEVER expressed any opinion on the differences and fathers were excluded from maternity matters back then. Being the only intact brother, and the inexplicably different, middle brother, was an enormous part of my feelings and desires to be like then=m and nearly all of my peers.I wanted to BE circumcisedmore than anything when I was younger, long before I knew and undertood whtat caused the differences in my own family. 
Religion of the Catholic pursuasion and belief were foisted upon all of us, from a very early age.That taught us if we so much as THOUGHT about a penis, our souls would burn for eternity in Catholic HELL! It was impossible for me to even ask WHY my penis was so obviously differnt from both of my brothers, or why dad looked like he had a worse birth defect than what I assumed we both had... until I knew better.
No baby EVER asked to have his adult sexual experiences and campabilities forever limitedand restricted. Nearly all circumcisions are DONE TO minors, before they are old enough to understand the consequences, and run awayast enough!
My mother was obviously all about having "all-American, clean, cut" sons, and it was obvious that she disapproved of my having MY foreskin.But she did not pursue getting me circumcised, after encountering two different doctors that were very rare their day, who said I did not need a circumcision. Mom abandoned her efforts to get me circumcised, after the second doctor, told her, "No" Mom always followed "doctor's Orders," no matter how much she obviously disagreed or disagreed in her beliefs about several medical practices.of the day.Nobody  should be allowed to cut off a male's most sensitive part of HIS penis.HIS body, unless it is the penis owner's choice, when he is old enough to make HIS informed choice. HIS choice (at 21 or older... no exceptions).
</t>
  </si>
  <si>
    <t xml:space="preserve">I have a preference for Intact but will use Uncut interchangeably. </t>
  </si>
  <si>
    <t xml:space="preserve">I think what stands out most to me is how normal and positive my experience of being intact has always been, and how little that narrative is represented. I didn’t grow up feeling weird or ashamed I didn’t even realize it was unusual in the U.S. until I was a teenager. My foreskin has never caused me pain or hygiene issues. It has only ever added to my pleasure, my confidence, and my sense of bodily integrity.
That’s not to say I was totally untouched by cultural messaging. As I got older, I started to hear more of the jokes, the assumptions, the misinformation. But I never internalized shame because by that point, I knew my body was normal. I had already felt how good it could feel, how well it worked, and how natural it was. The more I learned, the more grateful I became that no one had taken that from me.
What frustrates me is how invisible the intact experience still is. So many guys grow up thinking something’s wrong with them, or that they’re somehow less clean, less appealing, or less normal. And it’s just not true. Worse, a lot of them are pressured to "fix" things that were never broken. The voices of intact men, especially those who are confident healthy and happy, are still missing from most conversations. That silence matters.
</t>
  </si>
  <si>
    <t>amtonyco@gmail.com</t>
  </si>
  <si>
    <t xml:space="preserve">Discord: kazran_ Reddit: Iam4ever </t>
  </si>
  <si>
    <t xml:space="preserve">I prefer intact. </t>
  </si>
  <si>
    <t>not very  sensitive</t>
  </si>
  <si>
    <t xml:space="preserve">age 11. Forced retraction and dilation of preputial orifice </t>
  </si>
  <si>
    <t>dc56dc@hotmail.co.uk</t>
  </si>
  <si>
    <t xml:space="preserve">It’s how penises are meant to be. I think it looks and feels better than being circumcised </t>
  </si>
  <si>
    <t xml:space="preserve">When I was younger I was self conscious about it. Most penises I saw were in American porn, where foreskin was uncommon at the time. 
Now I feel more secure with my intact status. The main drawback I find now is that my dick gets smelly if I go more than a couple days without a shower, particularly if I’ve had sex or masturbated. </t>
  </si>
  <si>
    <t xml:space="preserve">I felt this way as a teenager, when I was afraid of being perceived as different or unattractive. I don’t feel this way at all now. </t>
  </si>
  <si>
    <t xml:space="preserve">I prefer to keep it pulled up/forward as much ch as possible, especially when getting blowjobs or handjobs. I enjoy the feeling of my skin gliding and don’t really like having my glans stimulated directly. </t>
  </si>
  <si>
    <t xml:space="preserve">I find this area too sensitive to enjoyably receive direct stimulation </t>
  </si>
  <si>
    <t xml:space="preserve">I mostly think of the word uncircumcised. Sometimes uncut </t>
  </si>
  <si>
    <t xml:space="preserve">I am incredibly grateful to be uncircumcised and I wish everyone had the same opportunity to decide for themself whether to get circumcised </t>
  </si>
  <si>
    <t>When I want a quick orgasm the build up, thanks to the sensitivity, is fast and pleasurable.  When I have more time and want to take more time the sensitivity is great for giving me mini orgasms before a final, more intense, release.</t>
  </si>
  <si>
    <t xml:space="preserve">Phimosis.  As a teenager I couldn't pull my foreskin over my rather large cock head.  I had seen straight porn and couldn't understand why my foreskin wouldn't slide over the end of my cock.  I was still able to masturbate and ejaculate but had to get creative with baby oil I recall.  The problem was the first time I managed to get the foreskin back I couldn't then cover my very sensitive cock head.  I had to take a lot of deep breaths and not panic to get my cock to go soft.  I would do this regularly to stretch the foreskin and eventually I was able to retract it and recover the head when both erect and flaccid.  </t>
  </si>
  <si>
    <t>Culturally every other boy whose cock I saw had a foreskin. I had never seen a circumcised cock until I saw porn, and it just looked odd to me.  No one pulled their foreskin back either and the first time a guy did I thought it looked very painful.</t>
  </si>
  <si>
    <t>A thing of beauty and very pleasurable.  As I produce a lot of precum it feels great and I love sharing it with a partner by rubbing it on their cockhead too.</t>
  </si>
  <si>
    <t>My frenulum is very sensitive and I enjoy it being licked and tongued.  It helps me produce more precum.</t>
  </si>
  <si>
    <t>Lubrication.  I'm used to having the foreskin to glide, in a slick fashion because of my copious precum, over my cock head; without the foreskin I'm thinking a lot of lube would be needed.</t>
  </si>
  <si>
    <t>I've no problem with any of the terminology but I do like 'intact' as it implies I've not been butchered for spurious religious reasons.  We are born with a foreskin as that is what nature/science intended.  Cutting a foreskin off is tantamount to child abuse in my opinion so 'intact' is definitely the 'mot juste' for me.</t>
  </si>
  <si>
    <t>As everything is discussed nowadays and nothing is off the table I think there has been a slow understanding that leaving a boy's foreskin intact is how it should be.  If he wants to get circumcised down the line then it's his decision such a barbaric act should not be performed on an infant who is too young to decide for him/herself.</t>
  </si>
  <si>
    <t>If you cut the foreskin off at birth it can't be 'regrown' or stuck back on; the choice has been removed.  Give the boy a choice but leaving him intact.</t>
  </si>
  <si>
    <t>I don't think it had much bearing  on my status</t>
  </si>
  <si>
    <t xml:space="preserve">Definitely social challenges, as cut seemed to be the norm in my childhood. I always retracted to pee and was shy to let any peers see it. Talked and pretended i was cut. 
I was always my partners first intact penis. I usually didn't have any sexual activity with anyone unless I trusted them to keep it personal.  </t>
  </si>
  <si>
    <t xml:space="preserve">It was embarrassing and very isolating. I was afraid to get too involved with a lot of girls I really liked due to the fear of humiliation and rejection. I always felt humiliation when exposing my penis, as I knew it wasn't what they were expecting, even if the reaction wasn't bad.
I had terrible self-esteem and associated with others with issues, somewhat toxic people. </t>
  </si>
  <si>
    <t xml:space="preserve">Dirty, gross, weird, deformed from peers and society. Family saw it as fine, normal but unique. </t>
  </si>
  <si>
    <t xml:space="preserve">Definitely porn. Cultural redundancy (father to son, ect). Misguided medical info or bias (Kellogg) </t>
  </si>
  <si>
    <t>lextech47@yahoo.com</t>
  </si>
  <si>
    <t>315-876-0468 text is easiest but can do calls</t>
  </si>
  <si>
    <t xml:space="preserve">I have tiny spots that may be ppp, and I may have been self conscious of them as a teen, but they're pretty nonexistent and no one has even commented. Once I saw real ones online I felt fine about myself in that regard. </t>
  </si>
  <si>
    <t xml:space="preserve">Sometimes it is extremely full bodied </t>
  </si>
  <si>
    <t xml:space="preserve">Many North American women are often not very attracted to intact penises. </t>
  </si>
  <si>
    <t xml:space="preserve">It was embarrassing as I moved from a country (Scotland) to Canada where most males my age were circumcised </t>
  </si>
  <si>
    <t xml:space="preserve">I’m have recently discovered this. Most intense orgasm I have ever experienced </t>
  </si>
  <si>
    <t xml:space="preserve">Different sensations </t>
  </si>
  <si>
    <t xml:space="preserve">They were not as clean </t>
  </si>
  <si>
    <t xml:space="preserve">Religion and hygiene </t>
  </si>
  <si>
    <t>johnggarland@gmail.com</t>
  </si>
  <si>
    <t xml:space="preserve">Almost painful if dry </t>
  </si>
  <si>
    <t xml:space="preserve">Picardie </t>
  </si>
  <si>
    <t xml:space="preserve">It was fine, even opened things up to others being curious </t>
  </si>
  <si>
    <t xml:space="preserve">Rarely are they very sensitive </t>
  </si>
  <si>
    <t xml:space="preserve">Gain of sexual pleasure </t>
  </si>
  <si>
    <t>Cmark79@yahoo.com</t>
  </si>
  <si>
    <t xml:space="preserve">I prefer Uncircumcised because it is very clear what the two states are and where I stand in that camp. Uncut or Intact feels disconnected from the circumcision conversation and doesn't confront others with the reality of the actual issue.  </t>
  </si>
  <si>
    <t xml:space="preserve">It's odd that society almost refuses to acknowledge the magnitude of this topic and yet they continue to adamantly perpetuate it. One would think FGM and feminism would pave the way to remove RIC from American culture </t>
  </si>
  <si>
    <t>austing11814@gmail.com</t>
  </si>
  <si>
    <t>907-750-1899</t>
  </si>
  <si>
    <t xml:space="preserve">Very sensitive, especially the foreskin covering the glans. The difference between the glan's and the foreskin's sensitivity is very noticeable when light touch is applied. </t>
  </si>
  <si>
    <t xml:space="preserve">The build-up is usually very gradual and long-lasting. The final release is intensely pleasurable, focused mainly on the foreskin opening and inner foreskin. </t>
  </si>
  <si>
    <t xml:space="preserve">With enough arousal and foreplay (kissing, gentle touches, etc...) the penis gets naturally lubricated and the foreskin glides effortlessly. Artificial lubrication is not necessary during masturbation but greatly improves the sensation and comfort during penetration. </t>
  </si>
  <si>
    <t xml:space="preserve">The foreskin is highly sensitive compared to the glans and the shaft; Having skin around the glans provides protection against abrasion and friction caused by clothes. There is a psychological well-being and the satisfaction of knowing my genitals/body is whole and complete. Having a foreskin allows for unique sexual play/stimulation. </t>
  </si>
  <si>
    <t xml:space="preserve">When I started watching porn as a teenager/young adult, most of the penises I saw were circumcised, which made me feel weird and embarassed. I thought there was something wrong with my penis because I looked so different from all the other men, but once I learned about circumcision and what it really meant, those feelings disappear and now I am simply glad/relieved to be intact. </t>
  </si>
  <si>
    <t xml:space="preserve">I don't find it dramatically different from other sensitive areas. It is sensitive, but I'm not particuarly focused on it during orgasm. </t>
  </si>
  <si>
    <t xml:space="preserve">As a gay man, I had a circumcised partner once. I noticed the tissue on his glans was very rough, hard and dry compared to mine. </t>
  </si>
  <si>
    <t xml:space="preserve">I think intact is the correct term. Uncircumcised makes it sound like there is something missing about me, when it's the other way around. </t>
  </si>
  <si>
    <t xml:space="preserve">More clean, easier to clean. </t>
  </si>
  <si>
    <t xml:space="preserve">Clean and never needed much hygienic upkeep. </t>
  </si>
  <si>
    <t xml:space="preserve">Decisions like infant circumcision will change the lives of boys from infancy into adulthood with detrimental consequences. </t>
  </si>
  <si>
    <t xml:space="preserve"> @republicofhood</t>
  </si>
  <si>
    <t xml:space="preserve">I put a lot of time and touch into my frenulum. It feels incredible, especially where it comes in contact with the ridged band. It is extremely sensitive, and I would describe it as the male clitoris. </t>
  </si>
  <si>
    <t xml:space="preserve">I would guess in my extended family, there was a 3 way tension between ethnic tradition, local custom, and medical recommendation, with the latter 2 generally winning. </t>
  </si>
  <si>
    <t>reztarkai@gmail.com</t>
  </si>
  <si>
    <t>4ed1f0da0d2929a41d3a73d71c8d91bdb8d137158c3d2b4486a03d3929916be0</t>
  </si>
  <si>
    <t>bangmrbang@gmail.com</t>
  </si>
  <si>
    <t>https://x.com/MrBang21</t>
  </si>
  <si>
    <t>c655dccff845884c462443a50ea17b6e0b85bdc37b0d3b19af47d0cd67b27622</t>
  </si>
  <si>
    <t>1047417d89450cd976740c8da68fb00f396569796e630909162690412f2a0c42</t>
  </si>
  <si>
    <t>9da691656462db830ad188666e0806a03849b66d99e1b7aec2289ea55f7eefc9</t>
  </si>
  <si>
    <t>cageorge710@gmail.com</t>
  </si>
  <si>
    <t>5fca8076905f38f9ae137c602b298b4403d0133d453e150cf69bb202eb4fc3d7</t>
  </si>
  <si>
    <t>20e0d17bbb0d2383985824694f04a0a3a3a16e4b7501e9529d4d4f152ed6bf64</t>
  </si>
  <si>
    <t>94342a0396fc4a1e66df03be707cd9cfaf3dd7d3d22f26739f7c9ca65d9a34bf</t>
  </si>
  <si>
    <t>hansclio@gmail.com</t>
  </si>
  <si>
    <t>Reddit username hansclio</t>
  </si>
  <si>
    <t>e7be9cc65ce9c8699dd311402f1bd469893ba39690e87920d629462166e6ca12</t>
  </si>
  <si>
    <t>fredde.foppa@gmail.com</t>
  </si>
  <si>
    <t>0e9963bcbdd38084fd22f7af4fa3ab979253df443ebc5383b77186d78951da82</t>
  </si>
  <si>
    <t>da1ce8eba97284c62ab4343bf43e226cc29636940cd658d9081ecf2aa7e63589</t>
  </si>
  <si>
    <t>2abde8f9d426f0fec41e79e8a6d0e84c8837c3334501098953645b51425ce8fe</t>
  </si>
  <si>
    <t>af02cde0d330fce2f05a982f76f830500cb8aa2c4b1f6c5c71dffc8f7c8aaa22</t>
  </si>
  <si>
    <t>sayanghosh10999@gmail.com</t>
  </si>
  <si>
    <t>88da6adab4e25f3304e28d7444907a57857f36ba6540b22ce2668861cd8c8552</t>
  </si>
  <si>
    <t>12b7396299f986a2db3dd3b1c6dcc48b2ccc6970cdb0acde534cd5bcc2884244</t>
  </si>
  <si>
    <t>206d0de58c9528b2c1e89c3b33e3851a18d013a22f88acece9ec1dfe83fc5dfd</t>
  </si>
  <si>
    <t>2cca8f3b460028fdf1b2153a6b8dbe7800323930296e9dafcdd9965a79f0bcce</t>
  </si>
  <si>
    <t>discodeerdiary@proton.me</t>
  </si>
  <si>
    <t>signal: CheerioTheDeer.10</t>
  </si>
  <si>
    <t>1a71a01ee4111062e171144d0295a7395979ef9901a2a199b8fe3c9c9e21b489</t>
  </si>
  <si>
    <t>8aff0e4a9518bfd042d06e94dcb12f72817052abdde1338fe66bcc42484292be</t>
  </si>
  <si>
    <t>bigpeteb@gmail.com</t>
  </si>
  <si>
    <t>4294a47f5914782634cf6ddac1ce162ca2c8e018a991fea66a5ae20eae9d945f</t>
  </si>
  <si>
    <t>thegoldenminecraft529@gmail.com</t>
  </si>
  <si>
    <t>5761b62514d14dfa33a10ba1e657c486374e032a3bb7a52c1db80529834912fb</t>
  </si>
  <si>
    <t>tbsla13@gmail.com</t>
  </si>
  <si>
    <t>dedadaced20635ef6dcbebefc35adb6136976fd9eea69a7168e12c5380bb2253</t>
  </si>
  <si>
    <t>nastyburn77@gmail.com</t>
  </si>
  <si>
    <t>2bc35ecb997b737866c672533beb243532305673dd4aa82e8db31c7b4014621d</t>
  </si>
  <si>
    <t>899b1e78be7e387ada98e31259a7a9433cd65a7188dae0ddd3ea45823305f8ce</t>
  </si>
  <si>
    <t>55d9a8ce9c93009c45af62a3e0645813630054696d95c60e6737e2188c0ba853</t>
  </si>
  <si>
    <t>roger.dickson@btinternet.com</t>
  </si>
  <si>
    <t>30183f756be5b991cf9e19a672cc00e8dfda27f317b569f3c7487675bb5c1a39</t>
  </si>
  <si>
    <t>be91e49d8348992d5be25fe1932ca89ae09b459c57babd440bcd17ad495dadac</t>
  </si>
  <si>
    <t>ron@roncorbin.net</t>
  </si>
  <si>
    <t>770-294-1317</t>
  </si>
  <si>
    <t>59fcaac153550003a9b84bd5a03425419926bd40e352d62c7e37cd261f7756a4</t>
  </si>
  <si>
    <t>a2a64143058fd06c3b6b60d4e93f29836d094089235e627178bb3155da215e13</t>
  </si>
  <si>
    <t>3dda9b7130c83b0532e2dd2a9ed19aa2fc4a9311e87541828f329e73c7f51d74</t>
  </si>
  <si>
    <t>8d181f62cbf6fba84dc7d402df629a14fb5adba757d13c1fc9dffcd9e632b53d</t>
  </si>
  <si>
    <t>d7d55e2f0054327f18b5cc8c821e572cee7249d63ea512395b39875f6476d7a3</t>
  </si>
  <si>
    <t>IANHOF@GMAIL.COM</t>
  </si>
  <si>
    <t>e6697af075db381d97a8079edb949d1f2e021367207dcc30bc79a255a841a991</t>
  </si>
  <si>
    <t>577fc96688e1162c6eba32c2d712c0f2b2f44a29f6f567defb23161c0dd0d065</t>
  </si>
  <si>
    <t>amradillohead2004@gmail.com</t>
  </si>
  <si>
    <t>634ab3713e770ef7aa48add2c5218a5e327d97d2b49f9e4bba62174460496867</t>
  </si>
  <si>
    <t>f48ae5329db8d6b094accf7dbbfda4f7282070f134f870d3b1ae5e9c35c33108</t>
  </si>
  <si>
    <t>6c4f5c59355b72dac192f9598bc7d1c9cd7ef2edc52bdc57658586c3cb5c35ae</t>
  </si>
  <si>
    <t>michaeldvin01@gmail.com</t>
  </si>
  <si>
    <t>https://t.me/RedFox0699</t>
  </si>
  <si>
    <t>49448e5985d6a3b722816b0a7a09082900a69dd3204274c1375aa4ba095327cd</t>
  </si>
  <si>
    <t>dabu99@tutanota.com</t>
  </si>
  <si>
    <t>dec5fc59eff9d51b556c34c6ff255decc37e26b5cead82054f9eab2fe70a1af5</t>
  </si>
  <si>
    <t>canyondust@gmail.com</t>
  </si>
  <si>
    <t>b1376b8569ca2bd580d297bbee0026f852f52d5f402071a09f3cb2a8cd4911b2</t>
  </si>
  <si>
    <t>abannerman18@gmail.com</t>
  </si>
  <si>
    <t>267-982-8069</t>
  </si>
  <si>
    <t>a0d158517c5f7b23eeebe04a1fcec04b53e6959e0166d4a74dae88cd3cedf760</t>
  </si>
  <si>
    <t>dc2a58040e76b0a8dc827cc29e9568b22b7d900cda242138932e2d40ff9a9468</t>
  </si>
  <si>
    <t>dcampina1@gmail.com</t>
  </si>
  <si>
    <t>f96ff4104f5f0937d35b095d0f37e499f2f524513f0ad7974081862508af85d8</t>
  </si>
  <si>
    <t>seanschofer22@gmail.com</t>
  </si>
  <si>
    <t>aebba739a39cbab3357b916bf2b8bfafe9cf6d1a6be84e6cac40ea2cb4c64278</t>
  </si>
  <si>
    <t>carl.augustsson@reagan.com</t>
  </si>
  <si>
    <t>6fbdc04d47bdf86fc2a92d974a60710a4962fc5232f6624058876f5767c2a0db</t>
  </si>
  <si>
    <t>4457d2077c593a24b9249facecd3a9389a2c395a1f844997e7b4fd54cdb3a57f</t>
  </si>
  <si>
    <t>6ee561222dc3ad23757048d1acc4d3eb142f2fa09cd85a2cba45e9cf90870b11</t>
  </si>
  <si>
    <t>aef79751e2ab81d00b3237d93091626d92a30b50e196186f6af8bd8ee3d34289</t>
  </si>
  <si>
    <t>lukeac417@gmail.com</t>
  </si>
  <si>
    <t>37a8ce0761b2204f705290f38b1666ee50c10e4bcc90aa023fec08319524411c</t>
  </si>
  <si>
    <t>652587882243f24ee8b030aeb24ca45466ea3a39f15d5b9e6e64018607edb34f</t>
  </si>
  <si>
    <t>d6a4433a3127897676cbcb3d2c2bedeed2da24f353057ad6008745e414baa2e0</t>
  </si>
  <si>
    <t>76d6d712e74f10a579495c07fb37d52f4d882065e67a379a2427d35581e04087</t>
  </si>
  <si>
    <t>9ff97fbebaef26bedea72f40d861bd3175c4f3eed2bd7eddadf0c7940a005c0b</t>
  </si>
  <si>
    <t>ben71090@gmail.com</t>
  </si>
  <si>
    <t>9ad83ba73d808afef91913e2f88c8e1af3bf953e28d4ae0c5e38af137444b84e</t>
  </si>
  <si>
    <t>152fca2ebc34175324fe68974cb16a21696640a773c1d5b3f979c0be9b22a578</t>
  </si>
  <si>
    <t>kennylukofnak@gmail.com</t>
  </si>
  <si>
    <t xml:space="preserve">Anonuncut540 on Reddit </t>
  </si>
  <si>
    <t>03d326aebdf9338ce617fd4ba022779856926ecb6d89ecf67441bf799a2478c9</t>
  </si>
  <si>
    <t>e227ba190831ab1d95c142d1c51a0174984b85c0f9379d6f9878d7d1240d7cac</t>
  </si>
  <si>
    <t>reb28@hotmail.com</t>
  </si>
  <si>
    <t>a2dcc8671a5d67e6ac797a49d6dbb1a1d324a6e880822c8880e269b409b97571</t>
  </si>
  <si>
    <t>abb0107a4b278c45666b62d1687c748c2efea5632382be6aaca0b37c90b067b7</t>
  </si>
  <si>
    <t>mati.uwe@wp.pl</t>
  </si>
  <si>
    <t>28e90f887afead0e764f336345f1ad4eb7908c0f9d5d0c455b529f3c8822b4ea</t>
  </si>
  <si>
    <t>xrnt78@protonmail.com</t>
  </si>
  <si>
    <t>Reddit: Xarnett7</t>
  </si>
  <si>
    <t xml:space="preserve">It’s a horrible religion </t>
  </si>
  <si>
    <t xml:space="preserve">I cannot feel anything pleasurable until about an inch below my circumcision scar. My penis is only about 5 inches and the scare line is half way. So that leaves me about an inch and a half of feeling pleasure by the base of my penis. </t>
  </si>
  <si>
    <t xml:space="preserve">I don’t think I have ever had an orgasm from my penis. I only ejaculate out of necessity and it doesn’t feel pleasurable at all. </t>
  </si>
  <si>
    <t xml:space="preserve">I hate lube, it is like nails on a chalkboard for my penis. It makes me want to cut my penis off when it gets wet let alone lube. </t>
  </si>
  <si>
    <t xml:space="preserve">I have a penis that doesn’t get hard, doesn’t feel pleasure and makes me hate myself. Every relationship I have had ended bc of it. </t>
  </si>
  <si>
    <t>Nothing. It completely altered my life in every way and stole my ability to love and  have any kind of relationship.</t>
  </si>
  <si>
    <t xml:space="preserve">I don’t get hard and cannot feel anything. I have never been able to use my penis for sex. </t>
  </si>
  <si>
    <t xml:space="preserve">My penis looks scared and deformed. I hate it. </t>
  </si>
  <si>
    <t xml:space="preserve">Everything ! I have never felt anything pleasurable. </t>
  </si>
  <si>
    <t xml:space="preserve">I think every parent was pressured to do it. I matter what </t>
  </si>
  <si>
    <t xml:space="preserve">Nobody new anything </t>
  </si>
  <si>
    <t xml:space="preserve">It was normal and lied about being born that way or it was mandatory at birth </t>
  </si>
  <si>
    <t xml:space="preserve">That it is how we are supposed to be </t>
  </si>
  <si>
    <t xml:space="preserve">I hate my body and have never been able to love. I hate my family and live in depression and anxiety all alone every day waiting to die </t>
  </si>
  <si>
    <t>mcesd@duck.com</t>
  </si>
  <si>
    <t xml:space="preserve">They don't even considered </t>
  </si>
  <si>
    <t xml:space="preserve">Maybe ease of washing and not dealing with pain from phimosis, as I had it all the way until I was cut </t>
  </si>
  <si>
    <t>kuzeykoru1299@gmail.com</t>
  </si>
  <si>
    <t xml:space="preserve">My beliefs are irrelevant in this country. My body is treated as the issue. </t>
  </si>
  <si>
    <t xml:space="preserve">Tight when erect except for the bottom half of the shaft is loose and saggy. The head gets painful when over stimulated. Really don’t feel much on my shaft at all. No frenulum remnant. </t>
  </si>
  <si>
    <t xml:space="preserve">I feel it coming but at orgasm the orgasm is almost like I’m pissing. I feel relieved but the head gets painful over stimulated and hurts. It’s weak and short. </t>
  </si>
  <si>
    <t xml:space="preserve">I’ve given up. Disconnect in general sums up how I feel about relationships. Relationships will just end up like my genitals sad and severed. I didn’t want to be a victim. It’s not fair I was made into one. I’m lost and forgotten and that’s good for me. I can’t wait to leave this hell that treats my body as an issue. </t>
  </si>
  <si>
    <t xml:space="preserve">A disconnect and dark manipulation of human psychology turning men into something that is crude and brutal. </t>
  </si>
  <si>
    <t xml:space="preserve">I suffer an extreme loss of will to live. I’ve been violated and abused. My freedoms and my beliefs have been completely disregarded. I have an extreme distrust in the “free country” I live in.(USA)  I’ve been controlled as if it’s a dictatorship. Sexually assaulted, laughed at, and mutilated. I’m full of a very negative emotion that someone else bred with trauma. PHYSICAL TRAUMA performed with forced that resulted in physical scars and mental agony. </t>
  </si>
  <si>
    <t>This one is disgusting. I have a divot under my urethra where my frenulum was removed. I was cut as far down as possible with lenoscrotsl webbing. Approaching the scar line I have thin, white, skin scar spots (2) that look like claw marks. (What made me research and discover my assault very early on” my scar is very uneven it’s a spiral like thread on a bolt. On the base there is a vertical cut to make the scar connect. This is a house of horrors I am so done with this HELL.  GET ME OUT OF HERE</t>
  </si>
  <si>
    <t xml:space="preserve">The moment I saw divots I was uneasy and then the moment I saw the truth I was in disbelief. Broken instantly. Turned into an anxiety attack as I keep digging and digging. I looked for help and found nothing. Turned apathetic from learnt hopelessness. Now I’ve just grown bitter. I don’t actually get to know anyone. I keep every interaction surface level suppress my emotions and very rarely bring up this topic. I fight for my rights often on the internet or when it comes up naturally. I moved away from family and friends. I got rid of them so I can leave this world without them being attatched </t>
  </si>
  <si>
    <t xml:space="preserve">Penoscrotal webbing. Body dismorphia, depression, suicidal thoughts, apathy/rage, the swing of emotion is almost bipolar. I believe I can’t do anything so my emotions bounce around to try to find a way out. Completely distrust everyone. </t>
  </si>
  <si>
    <t xml:space="preserve">A lie and falsely endorsed to gain or keep traction. Completely the opposite of what religion pushes. </t>
  </si>
  <si>
    <t xml:space="preserve">No one talked about penis’s if they saw intact they would be shocked though. Indiana was bad. </t>
  </si>
  <si>
    <t xml:space="preserve">We have the information. We don’t have the honestly and love. We don’t have the care to even research and question the norm. Complacency kills and I’m so tired of the laziness and cruelty of the amount of accountability  to the very US law/ constitution.  It’s already illegal. It’s no exception. I demand my body back or I demand death </t>
  </si>
  <si>
    <t xml:space="preserve">It’s manipulation and evil. It’s advertised as beneficial but it’s a lie. It’s controlling and harming. Severely harming </t>
  </si>
  <si>
    <t xml:space="preserve">This is only suffering that is present in hell </t>
  </si>
  <si>
    <t>cdreckerd@gmail.com</t>
  </si>
  <si>
    <t xml:space="preserve">I’m open to any and all ideas. I’d even be a martyr to show just how much this has fucked me up. </t>
  </si>
  <si>
    <t xml:space="preserve">I was assigned circumcision as the topic of my bioethics final and it was deeply traumatizing to research and dug up terrible feelings of fear from when I was a child and learned that part of my body could be taken away from AND that it had somehow already happened with my parents consent </t>
  </si>
  <si>
    <t>myfullnameiswilliam@gmail.com</t>
  </si>
  <si>
    <t>slaghty@hotmail.com</t>
  </si>
  <si>
    <t xml:space="preserve">I was not taught anything nor did I go church. When I did try reading the Bible on my own it was very evident that being circumcised was wrong and a rejection of Jesus and his sacrifice. </t>
  </si>
  <si>
    <t xml:space="preserve">I am an atheist. But if I was a Christian I would be going to hell because I was circumcised. </t>
  </si>
  <si>
    <t xml:space="preserve">My penis roughly the same degree of sensitivity as my forearm, with it being the most sensitive at it’s base and getting less sensitive towards the tip. </t>
  </si>
  <si>
    <t xml:space="preserve">The sensation is the same as the feeling of urinating, just less intense and not nearly as long.
The sensation can pass without notice with the expelled ejaculate as the indicator anything happened. </t>
  </si>
  <si>
    <t xml:space="preserve">Being unable to climax can be hurtful to my partner ability </t>
  </si>
  <si>
    <t xml:space="preserve">There are none. </t>
  </si>
  <si>
    <t xml:space="preserve">Several. Thinking I was deformed and the shame associated with that before I learned of circumcision. The intense pain of puberty. Feelings of not being “good enough” to have my body integrity respected. I was too ashamed of my disfigured penis to have sex as an adolescence. Difficulty in ejaculation. Feeling of being inadequate. Struggles with suicidal ideation.  Fear of other’s seeing my naked body, was unable to overcome my fear of the locker room to participate in sports.  The isolation, because society doesn’t let me share my experience; gaslighting, etc. </t>
  </si>
  <si>
    <t xml:space="preserve">My penis is grotesque. I have no mobility with the skin taught. The hideous scar divides my penis in half below the scar my public hair has been pulled up the shaft and above the scar the inverted remnants of foreskin is dried out unsmooth with a light red hue before you get to the glans that consent exposure have left dried out. The whole thing has an unnatural twist. </t>
  </si>
  <si>
    <t xml:space="preserve">Everything, all of it. </t>
  </si>
  <si>
    <t xml:space="preserve">I have had such feelings since my earliest childhood memories. Feeling inadequate is a trigger as is when the subject comes up. As a child I would disassociate when the topic came up. </t>
  </si>
  <si>
    <t xml:space="preserve">Erections can be painful. Puberty was exceptionally painful to the pain where I was unable to stand and had to lay in the fetal position on the floor until the erection passed. </t>
  </si>
  <si>
    <t xml:space="preserve">Why wasn’t I good enough to be loved the way I was born?  Why wasn’t I good enough for to respect my body integrity? Why wasn’t I good enough? </t>
  </si>
  <si>
    <t xml:space="preserve">That circumcision was an uncomfortable and taboo topic. Everyone did, but no one ever talked about it. </t>
  </si>
  <si>
    <t xml:space="preserve">It was a Jewish thing. There were antisemitic undertones, even though this did not make any sense as this abuse was universal and actual Jewish people were extremely rare. </t>
  </si>
  <si>
    <t xml:space="preserve">Honestly I think most people just don’t think at all, this abuse is normalized and as such do not give it any thought whatsoever.
There is a strong barrier for most people to ever consider that this abuse is harmful or wrong, because that would mean that they have been abused and harmed. Most would rather Scarface their own son instead of confronting that truth. </t>
  </si>
  <si>
    <t xml:space="preserve">This abuse is horrific but because it has been normalized most people are unable to see it for what it is. </t>
  </si>
  <si>
    <t xml:space="preserve">There is a secondary harm that come about from this abuse when culture/society refuses to acknowledge or validate the victims. </t>
  </si>
  <si>
    <t>78.extras_shale@icloud.com</t>
  </si>
  <si>
    <t xml:space="preserve">Email </t>
  </si>
  <si>
    <t xml:space="preserve">I am open to sharing my experience, I desperately want no one else to have to experience what I have. I do fear, being ostracized if I do not keep my identity anonymous.  </t>
  </si>
  <si>
    <t xml:space="preserve">People are really dismissive of the damage that is done and the impact on psychology it can have.
People I spoke to really did not differentiate this irreversible procedure to going to the dentist for treatment or any other light operation.
</t>
  </si>
  <si>
    <t xml:space="preserve">Cleaning an intact penis on a baby or child isn’t rocket science! It’s not this mystical or difficult thing. Wipe it like a finger and he’s good to go! </t>
  </si>
  <si>
    <t>dahardy9@gmail.com</t>
  </si>
  <si>
    <t>Google Voice text number (980) 272-7690</t>
  </si>
  <si>
    <t xml:space="preserve">Even before understanding the foreskin had sensitivity, for a long time I understood that my penis lacked sensitivity </t>
  </si>
  <si>
    <t xml:space="preserve">The most sensitive parts(inner skin and frenulum remnant) ends abruptly into the rest of the shaft skin. A dead give away that the rest of the most sensitive part was amputated. </t>
  </si>
  <si>
    <t xml:space="preserve">They don't understand that it doesn't work in the way nature intended. Whether it's the saliva thing or another example is when she was saying, "its the motion of the ocean". She doesn't get that I can't feel it like a normal uncut man and would need to go hard to feel anything at all. </t>
  </si>
  <si>
    <t xml:space="preserve">None. I wish I was a whole man. It's against my beliefs to be cut and also against my morals and values to cut another person. </t>
  </si>
  <si>
    <t xml:space="preserve">They already know how much I hate it and how much I resent it. I had to fight for my nephew to remain intact. 
It's child abuse. </t>
  </si>
  <si>
    <t xml:space="preserve">Can't recall ever hearing about it. I had to find out on my own, which was obvious to me because it would be like not noticing that you're missing ear lobes with giant scars on them. </t>
  </si>
  <si>
    <t xml:space="preserve">I think that circumcision kills a few hundred children each year so the hygiene becomes irrelevant, but people should be washing their genitals on a regular bases anyway, so it's the same situation. 
Also I think due to the lack of sensation and maybe perhaps not use condoms because of it and also due to the perpetuated myth that somehow a circumcised penis doesn't get STDs that people are more likely to pick up STDs if they are circumcised. And STDs are about as unhygienic as it comes. The USA has some of the highest rates of AIDS in the modern developed world and also some of the highest rates of circumcision. 
In Canada the rates are something like 60-70% intact so partners are more likely to experience people with whole penises and find that the form and function is more pleasurable. 
Only in cultures where the rates are higher could they be gaslighted to see that it is beneficial because the reality is screwed towards men who are not whole and natural, so everyone is more accustomed to being with handicapped people. 
</t>
  </si>
  <si>
    <t xml:space="preserve">That the foreskin is highly innervated and the most erogenous part of the male body and it has cells that are part of the immune system that actually prevent against STDs and viruses. 
Let the man who the child grows into decide what happens to their own private parts. 
</t>
  </si>
  <si>
    <t xml:space="preserve">The monsters facing the little girl. 
It would make more sense if it was facing the little boy in regards to male genital mutilation.
Plus if it was my I wouldn't be smiling along with everyone else. I would be sad/angry.
</t>
  </si>
  <si>
    <t xml:space="preserve">Everyone deserves the right to be whole and I think that religions shouldn't be able to have rights over what happens to the child either. 
If that kid grows up and doesn't even want to be apart of those beliefs they have had their own personal religious freedom stopped from them. 
It's not okay to carve religious beliefs into someone else's body. </t>
  </si>
  <si>
    <t>cosmicfertilizer@gmail.com</t>
  </si>
  <si>
    <t xml:space="preserve">There are no advantages only disadvantages </t>
  </si>
  <si>
    <t xml:space="preserve">People think men don’t complain about circumcision, but they do and no one listens </t>
  </si>
  <si>
    <t>rsgoodall@netc.eu</t>
  </si>
  <si>
    <t xml:space="preserve">I feel nothing without it </t>
  </si>
  <si>
    <t xml:space="preserve">Reduce in pleasure, needing lube, more visibility, less protection on it so it feels weird in clothes, keratinalizarion (I don’t know how to spell it) </t>
  </si>
  <si>
    <t xml:space="preserve">Everything was removed, scars are very visible </t>
  </si>
  <si>
    <t xml:space="preserve">They had more pleasure </t>
  </si>
  <si>
    <t xml:space="preserve">Circumcision was not seen as religiously necessary </t>
  </si>
  <si>
    <t xml:space="preserve">I really don’t feel I experience any advantages. </t>
  </si>
  <si>
    <t xml:space="preserve">My erections are painfully tight, I find it very difficult to achieve orgasm and rarely ever do with a partner. I feel uncomfortable knowing I’m not intact. I feel like something is wrong with me and my sexual dysfunction makes me more self conscious about intimacy </t>
  </si>
  <si>
    <t xml:space="preserve">I have a lot of scarring and very tight errections, very often painfully so. </t>
  </si>
  <si>
    <t xml:space="preserve">I’ve wondered what it would be like to live without sexual dysfunction </t>
  </si>
  <si>
    <t xml:space="preserve">I remember my mother saying something about the doctors mentioning there might be need for surgical revision </t>
  </si>
  <si>
    <t xml:space="preserve">When I first started masturbating and felt like I must be doing it wrong because it felt like something was missing. </t>
  </si>
  <si>
    <t xml:space="preserve">Tight and painful erections. </t>
  </si>
  <si>
    <t xml:space="preserve">That the foreskin was somehow vestigial and problematic </t>
  </si>
  <si>
    <t>dannyschmidtke@icloud.com</t>
  </si>
  <si>
    <t xml:space="preserve">Chemical Engineer </t>
  </si>
  <si>
    <t xml:space="preserve">Upset it was done without parental consent. 1970s, they just circumcised first because it was so common </t>
  </si>
  <si>
    <t xml:space="preserve">Just the feeling of being natural </t>
  </si>
  <si>
    <t xml:space="preserve">During puberty </t>
  </si>
  <si>
    <t xml:space="preserve">It was common and done without asking parents consent </t>
  </si>
  <si>
    <t xml:space="preserve">My parents did not decide to circumcise me. It was so common that the doctors did it with our asking. My father was intact, all males on mother's side of family was intact. </t>
  </si>
  <si>
    <t>rayburn.clipper@gmail.com</t>
  </si>
  <si>
    <t xml:space="preserve">It’s led to a near constant burning sensation in my genital area </t>
  </si>
  <si>
    <t xml:space="preserve">Painful scar tissue and difficulty urinating </t>
  </si>
  <si>
    <t xml:space="preserve">That they were dirty and vectors for disease </t>
  </si>
  <si>
    <t xml:space="preserve">That they were cleaner and more valuable </t>
  </si>
  <si>
    <t>blainelewis@icloud.com</t>
  </si>
  <si>
    <t xml:space="preserve">It’s annoying to use. </t>
  </si>
  <si>
    <t xml:space="preserve">Very tight circumcision. Scrotum pulled up onto shaft. </t>
  </si>
  <si>
    <t xml:space="preserve">Gliding sensation. </t>
  </si>
  <si>
    <t xml:space="preserve">Almost straight after the circumcision. </t>
  </si>
  <si>
    <t xml:space="preserve">Painful/tight erections. Discomfort from rubbing underwear. </t>
  </si>
  <si>
    <t xml:space="preserve">My older brother is a lot older and was left intact. </t>
  </si>
  <si>
    <t xml:space="preserve">It was just assumed you would be uncircumcised. </t>
  </si>
  <si>
    <t xml:space="preserve">That you were probably Jewish. </t>
  </si>
  <si>
    <t xml:space="preserve">The foreskin isn’t just a bit of skin. </t>
  </si>
  <si>
    <t xml:space="preserve">I find them genuinely very good and convincing arguments. I have recently pretty much questioned the whole Sunnah/Hadith corpus in its entirety. And since it's not a Quranic commandment, even in regards to the Sunnah, I think at least it should be thought about letting this religious tradition of Khitan fall as it certainly is not necessary anymore.
</t>
  </si>
  <si>
    <t xml:space="preserve">Well they don't...
It's not much thought done about it.
It's just what Muslim boys have to go through.
Not much to think of from their side or to reconcile.
</t>
  </si>
  <si>
    <t xml:space="preserve">I have a little mobile skin but it does not go over the glans when hard and has no feeling. The glans is very rough I would say and is always exposed. Flaccid and erect. I don't feel much tightness or at least I don't know since I'm not sure what "tight feeling really means in that context </t>
  </si>
  <si>
    <t>Sensations are definitely an exciting thought.
Like how it feels? Does it tickle? Does it feel like more when having sex? Can you actually feel the  vagina inside? How is the frenulum working in all of this? How is the gliding motion working?
Certainly it's almost everything tbh but sensation is definitely a major one</t>
  </si>
  <si>
    <t xml:space="preserve">Tbh i would send no message.
It's unfortunate that they did this to me but I don't see saying anything to them since I think they wouldn't understand </t>
  </si>
  <si>
    <t xml:space="preserve">Well they are seen as cleaner and better looking.
</t>
  </si>
  <si>
    <t xml:space="preserve">I would say since I'm living in a majority intact country, most people do not have really a preference. I think from a straight perspective tho there is surprisingly a slightly more preference for circumcised men from women.
From what I understand as the reason for it it's mostly because of Hygiene and aesthetics </t>
  </si>
  <si>
    <t>tornupto808@gmail.com</t>
  </si>
  <si>
    <t>Just u/H1AHXXX on Reddit.its my second account so I can't make sure that I get to see notifications but if you are interested I will keep more a watch</t>
  </si>
  <si>
    <t xml:space="preserve">Need external lubricants for masturbation every time </t>
  </si>
  <si>
    <t xml:space="preserve">Yes. A lot. Physical and emotional. </t>
  </si>
  <si>
    <t xml:space="preserve">One month after procedure. </t>
  </si>
  <si>
    <t xml:space="preserve">It is not a common topic among my ecosystem </t>
  </si>
  <si>
    <t xml:space="preserve">Being intact is better than anything </t>
  </si>
  <si>
    <t xml:space="preserve">People are not well informed and circumcision is a monster nobody can see or understand </t>
  </si>
  <si>
    <t>torreyhayashi1997@gmail.com</t>
  </si>
  <si>
    <t>u/Botched_Circ_Party</t>
  </si>
  <si>
    <t xml:space="preserve">Being part of a coin unity </t>
  </si>
  <si>
    <t xml:space="preserve">No. But I think that the ceremony could be replaced or modified </t>
  </si>
  <si>
    <t xml:space="preserve">I have a very limited orgasm. I feel it mostly with the contraction when I ejaculate. This has had a challenge on many of my relationships </t>
  </si>
  <si>
    <t xml:space="preserve">I live in an area where most men are not circumcised. It is difficult to explain how to manipulate my penis in a way that is pleasurable. They also have a hard time understanding that I do not feel a lot and they then feel like I am not interested. It is challenging. I often feel like I am broken or incomplete or that I cannot satisfy my partner. I also have profound feelings of jealousy and resentment, which is also combined with feelings of guilt </t>
  </si>
  <si>
    <t xml:space="preserve">None really.. maybe hygiene. Membership into a community (e.g.. Jewish) </t>
  </si>
  <si>
    <t xml:space="preserve">Yes. My first depressive episode was due to a realization that I was having difficulty reaching orgasm. I searched potential reasons and came to the conclusion that it was likely due to my circumcision. I had read nearly a hundred articles about circumcision, mostly research articles, and realized that the symptoms they described matched my experience. 
In addition to having difficulty with sexual satisfaction, I realized I was having pain in sex. This left me feeling undesirable (which was then worsened by reactions of men on the internet that expressed clear preferences for intact men and occasional hostility to circumcised individuals). 
This had an affect on my relationship with my parents and left me suicidal. This was worsened by a negative interaction with a urologist.  I was lucky to get psychosocial help and medication. However, although I am not suicidal I am still experiencing strong negative emotions towards my body. </t>
  </si>
  <si>
    <t xml:space="preserve">I have a visible scar and textural irregularity. I have some of my frenulum left. My head is dry and rough. Over the years, some of the skin has stretched likely due to masturbation but there is not much. </t>
  </si>
  <si>
    <t xml:space="preserve">I wonder about it all. I am often preoccupied by what would have happened. I wonder if I would have better relationships with lovers, if I would feel more intense sensations, etc. </t>
  </si>
  <si>
    <t xml:space="preserve">As a man who is attracted to other men, I am often faced with reminders. I am attracted to men and by that virtue, I see other penises often and am reminded of how I was circumcised. 
I wish I could finish. I wish I could feel more to enjoy sex. I wish I could forget about the  resentment I have for my circumcision when I am having sex. </t>
  </si>
  <si>
    <t xml:space="preserve">Don’t. </t>
  </si>
  <si>
    <t xml:space="preserve">I believe that in my community it was a way to brand a child and to Weldon him into the tribe. My mother was not given a choice and was coerced into participating. As a non-Jew, she did not consent and I was taken from here </t>
  </si>
  <si>
    <t xml:space="preserve">That they were dirtier but more sensitive and functional </t>
  </si>
  <si>
    <t xml:space="preserve">I am unsure </t>
  </si>
  <si>
    <t xml:space="preserve">Sliw build up and then very intense full body feeling </t>
  </si>
  <si>
    <t xml:space="preserve">The different more intense feelings </t>
  </si>
  <si>
    <t xml:space="preserve">Dirtier </t>
  </si>
  <si>
    <t>firemedic@bektel.com</t>
  </si>
  <si>
    <t>Email</t>
  </si>
  <si>
    <t xml:space="preserve">Farmer </t>
  </si>
  <si>
    <t xml:space="preserve">I feel light touch and pressure through most of the penis. Deeper and stronger sensations are more centered on coronal rim of the glans as well as the underside. Overall the surface of the glans is more sensitive the the rest of the penis </t>
  </si>
  <si>
    <t xml:space="preserve">The intensity of the orgasm fluctuates from each session. I have had a quick session with a very intense orgasm but also intense ones with a long protracted session. It may depend on length and strength of the arousal state. </t>
  </si>
  <si>
    <t xml:space="preserve">Sometime I lubricate enough but if I'm not then I will resort to saliva. </t>
  </si>
  <si>
    <t xml:space="preserve">Not needed any special attention. Enjoy seeing my glans. </t>
  </si>
  <si>
    <t xml:space="preserve">In my circumstance, circumcision done later, more inner foreskin was removed. I found the inner foreskin very sexually sensitive. </t>
  </si>
  <si>
    <t xml:space="preserve">My circumcision was done as an adult. Much of the inner fingers foreskin was removed. The circumcision scar is about about a 1/2" behind the coronal rim if the glans. </t>
  </si>
  <si>
    <t xml:space="preserve">My sensations were more intense but I've adapted. </t>
  </si>
  <si>
    <t xml:space="preserve">I lost sensitive areas of the foreskin I enjoyed but have had to adapt. </t>
  </si>
  <si>
    <t xml:space="preserve">Most of the factor above seemed to be at play as well as the family's economic situation. </t>
  </si>
  <si>
    <t xml:space="preserve">It's a sign of lower income. The foreskin was smelly and dirty. </t>
  </si>
  <si>
    <t xml:space="preserve">It was preferred and more aesthetically attractive. </t>
  </si>
  <si>
    <t xml:space="preserve">Social media consumption. </t>
  </si>
  <si>
    <t xml:space="preserve">Most new parents, males that are circumcised are unaware that they have been altered until they arrive at making the decision for their first born male. Education is lacking and no one questions or challenges a doctor. </t>
  </si>
  <si>
    <t xml:space="preserve">I agree it's a problem. How to combat the practice will be difficult due the medical industry in the US is for profit, other religious factors, like Jewish and Muslims will fight it and it has become so normalize in this society. It's a huge uphill battle due to the complexity of the root causes. </t>
  </si>
  <si>
    <t>807precsatx@gmail.com</t>
  </si>
  <si>
    <t xml:space="preserve">Straight/Heterosexual, Mostly straight, but bicurious </t>
  </si>
  <si>
    <t xml:space="preserve">Only the reminder of my frenulum has any sensation. I was overweight as a teen which meant my penis stayed in my fat pad unable to run against my pants and it was much more pleasurable then. When I lost weight I saw it slowly keratinize. Once my girlfriend had her head on my stomach and started sucking my dick, and commented on how I wasn’t getting hard, but I genuinely didn’t feel a thing, </t>
  </si>
  <si>
    <t xml:space="preserve">If I don’t use it during sex the skin behind the head of my dick will tear and scab up. </t>
  </si>
  <si>
    <t xml:space="preserve">I have to focus insanely hard on any blow job. Like I’ve mentioned before I have a hard time knowing if it’s actually in, unless I can see. Any swirling of the tongue on the inside is lost on me. I can feel gentle biting but it’s not pleasurable </t>
  </si>
  <si>
    <t xml:space="preserve">Honestly can’t think of any. </t>
  </si>
  <si>
    <t xml:space="preserve">No sensation, sexual disconnect with a partner, possible autism ocd adhd and other brain damages associated </t>
  </si>
  <si>
    <t xml:space="preserve">My dad is circumcised, so is his side of the family, my mother defends its and said it needs to be done, but nobody on her is  (like my cousins) my theory is my dad wanted it done and my mom was probably brainwashed by him and copes about it </t>
  </si>
  <si>
    <t xml:space="preserve">What sex is meant to feel like, and the nervous system relaxation of an orgasm </t>
  </si>
  <si>
    <t xml:space="preserve">I had no conscience revisions. I dont know if Anything was done after the initial surgery </t>
  </si>
  <si>
    <t xml:space="preserve">When I was about 17, after learning how much was missing from me, and that my parents had to take me to a paediatrician and pay out of pocket for them to remove it </t>
  </si>
  <si>
    <t xml:space="preserve">Tight skin, erectile dysfunction, anorgasmia, hard flaccid syndrome </t>
  </si>
  <si>
    <t xml:space="preserve">Kill yourself </t>
  </si>
  <si>
    <t xml:space="preserve">I think it was just something done in my family. Not in any of my extended. And growing up I only knew one other guy that was circumcised at 8 because of (phismosis). We all know that’s medically unnecessary and can’t even be diagnosed until after puberty though. </t>
  </si>
  <si>
    <t xml:space="preserve">This section of the survey makes it so biased, that people not tapped into this movement aren’t going to like it </t>
  </si>
  <si>
    <t>owenpayne777@gmail.com</t>
  </si>
  <si>
    <t xml:space="preserve">I’d have to think about it but possibly </t>
  </si>
  <si>
    <t>it's loose, i can roll the skin over the bottom 1/5 of the glans when masturbating if i cup the skin right,  but this makes my penis look TINY flaccid and leaves a really thick collar and the scar is uneven with more mobility on the left, also sometimes if it's soft it can actually roll back into itself but since this is normal penile skin it's kept there by tension and can actually be painful if i need to piss in that state</t>
  </si>
  <si>
    <t>coldcrown370@gmail.com</t>
  </si>
  <si>
    <t xml:space="preserve">For my peer group intact was the norm, so there wasn't really any narrative about it specifically. Most came from comparisons to cut, and the previous generation had higher circumcision rates so some stereotypes remained. Intact was harder to clean, it should be able to be pulled back from birth, and apparently getting it caught in a zipper was a major danger. </t>
  </si>
  <si>
    <t xml:space="preserve">I was often assumed to be Jewish by peers who found out. Apparently I don't need to clean my penis, I'm less likely to get STDs, and women prefer cut guys. </t>
  </si>
  <si>
    <t xml:space="preserve">Sensation without keratinization and the sensation of a frenulum </t>
  </si>
  <si>
    <t xml:space="preserve">gliding motion, </t>
  </si>
  <si>
    <t xml:space="preserve">During the Milennial era, circumcision was almost Universal amongst White Evangelical Christians. It was something that everyone was expected to do. </t>
  </si>
  <si>
    <t xml:space="preserve">Slight bunching of excess skin at base of glans due to not enough skin being circumcised off. </t>
  </si>
  <si>
    <t xml:space="preserve">Frenulum is sensitive </t>
  </si>
  <si>
    <t xml:space="preserve">My penis is very obviously circumcised. </t>
  </si>
  <si>
    <t xml:space="preserve">Do what you think is medically necessary. </t>
  </si>
  <si>
    <t>craig_handley@yahoo.com</t>
  </si>
  <si>
    <t xml:space="preserve">Mild, brief </t>
  </si>
  <si>
    <t xml:space="preserve">Lack of feeling </t>
  </si>
  <si>
    <t xml:space="preserve">Gliding motion </t>
  </si>
  <si>
    <t>loumckellar@charter.net</t>
  </si>
  <si>
    <t xml:space="preserve">So I have to backtrack a little here. I was raised with the Christian Bible, but not a part of a church going family. We do not associate with a denomination. There was no theological basis that I am aware of, other than maybe my mother’s side of the family being a bit Bible Belt. My dad’s sister however, married a Jewish man. They raised their sons Jewish. There is a seedling of worry in me that I may have been given a Jewish bris rather than in a hospital at the very least. I am not an antisemite, but I very strongly disagree with the body modification of children for religious practice regardless of race, creed or religion and my personal interpretation of the Christian New Testament denounced it as a whole practice as well. </t>
  </si>
  <si>
    <t xml:space="preserve">Not much else to say other than despite it having been over 2,000 years since Christ walked the earth and the apostle Paul stated that it was not necessary for salvation, many still participate in this barbaric, ancient practice. </t>
  </si>
  <si>
    <t xml:space="preserve">I am not diagnosed, but I suspect I have hyperspermia and ejaculate some large quantities and typically during intercourse I’ll reach my first orgasm within 5-10 strokes. Which is an improvement from 10 years ago. After the first however, I used to be able to keep it up for a few more (much longer) rounds. These days I’m lucky if I can keep it hard enough for reach a second finish. The first one is normally the most intense, the following used to equal intensity and are diminishing to half as intense to sometimes hardly worth it. I am unsure of the cause of my early ejaculation, but I have suspected it to be a combination of my quantities of ejaculate and the scar tissue that just focus the sensation to a small area. </t>
  </si>
  <si>
    <t xml:space="preserve">I don’t like the scar, lost sensation(and other side effects of keratinization, and the fact that even before I knew I was circumcised, I understood that some people modified their genitals. I did not want that for myself, only to learn in the coming couple of years that it had been done for me before I could even understand what was being done. </t>
  </si>
  <si>
    <t xml:space="preserve">My shaft is fairly mobile and the foreskin remnant behind the scar on the top can reach over the crest of the glans particular stroking techniques, but not enough to cause any noticeable feeling most of the time. I do have some remnants including the frenulum and very small quantities of foreskin remain behind the scar with the largest area of remnant being on the bottom below the frenulum. As far as the scar goes, It is mostly only prominent on the top and around the side but fades around the bottom. I hate it. I am a grower, so when it’s flaccid, unless it’s warm outside, you wouldn’t notice it. But erect? You can definitely notice it. My current partner swears she can’t but it’s got webbings that give me the impression that the procedure was either done improperly or healed incorrectly. </t>
  </si>
  <si>
    <t>I can’t recall precisely when it was, but they began when I learned that I was circumcised at approximately 13-15 years old. I do remember how it went though. I had some how heard of it and that it was a procedure that they do on baby boys. I’m a curious person and wanted to know if it had been done to me, so I looked up the definition and still didn’t fully understand so I went looking for medical diagrams. And I think the traumatizing part was going into it fully believing and specifically thinking that surely my parents would not  have chosen to remove something from me that I wouldn’t have wanted modified as I clicked on that diagram. I remember it as my first heartbreak. I was devastated, they never had never and to this day have never brought it up to me. My behavior towards my parents changed after that. I’m already introverted but I went recluse from them for a while as much as I could while living in the same house and not being able to drive. But the defensive walls went up and have only recently started to diminish and along the same time line. I’ve finally noticed the correlation. I hand my even noticed that is separated myself. 
This next experience happened earlier in my life, before I had even heard of circumcision and does add to my distress and confusion.
I was in fourth grade, I was reading the seventh Harry Potter book. The bulb had gone out in my room so I went to my parents room to read. My dad was using the shower in the master bathroom and didn’t hear me alert him that I was in there. He came out of the bathroom not expecting me to be there, not wearing his towel. There was only a glimpse as I was not too keen on eyeing up my dad’s weiner and focused on getting out of there, but it was enough to notice his looked different. And I was confused as to why. I hadn’t seen many by then, though had male cousins approximately my age and had seen theirs (circumcised) in the past and knew mine was the same as theirs, so why was my dad different? This hurt multiple times over as I learned what had been done to me, then later learning that one of the largest factors in babies being circumcised is so that they match their father. 
Anything anymore can trigger a rabbit hole in my brain. Anything from feeling the friction of my pants to actual stimulation can make me think about it and the confusion, distaste and anger associated. And almost more than anything else, it has warped my perception of the world. We are really still mutilating children this late in human history? And lawmakers are making it illegal to perform gender swap surgery on minors deeming it mutilation, but I could t stay intact? WE can’t stay intact?</t>
  </si>
  <si>
    <t xml:space="preserve">I never considered urinary spraying a symptom but if it is, it does happen to me from time to time. The most prominent symptom though, is the friction burn I get if I’ve masturbated in excess or during intercourse without enough lubrication. </t>
  </si>
  <si>
    <t xml:space="preserve">I would most likely preface by asking my dad (mom is out of the question. She’s volatile and stuff like that I’m worried would set her off) if I can ask him an awkward and maybe uncomfortable question. Knowing him, he would likely say yes, then I would ask him outright. “Why did you and mom have me circumcised?” I am prepared to accept most answers with dignity, though there are a few that could dramatically polarize the conversation. My family historically is pretty reserved and such conversations are rare outside of siblings and cousins. </t>
  </si>
  <si>
    <t xml:space="preserve">I remember everyone always said that it was just an extra flap of skin that makes smelly cheese under it. It only takes a google search to prove that wrong. A simple diagram can point out all of the structures and functions, but the “educated” people were the ones pushing the dirty/unhealthy narratives. </t>
  </si>
  <si>
    <t xml:space="preserve">They’re better, they look better, they last longer and they’re cleaner. Guess what?? A dick smells bad no matter if it’s intact or not if you don’t keep it clean. </t>
  </si>
  <si>
    <t xml:space="preserve">Hygiene and the area/demographic of right wing people in my area. I have specifically heard a few people close to me refer to our Hispanic population as dirty people. Very wrong In my opinion. </t>
  </si>
  <si>
    <t xml:space="preserve">That baby is going to grow up and have preferences of his own. One decision can be changed later in life. The other leaves scars on the body and can leave scars on the mind, will be with him forever and cannot be undone. </t>
  </si>
  <si>
    <t xml:space="preserve">I would say this is a fairly accurate metaphor. The topic is seen as a non issue because “well it still works right?” And it frequently gets swept under the rug. How many men do you know that are willing to admit that they think something is wrong with their penis? If you express your opinion that you think it’s mutilation, they’ll shut down the conversation. Nobody wants to talk about it. We’re just supposed to deal with it. </t>
  </si>
  <si>
    <t>colby.westerg@gmail.com</t>
  </si>
  <si>
    <t xml:space="preserve">Often I find that disappointing and rarely engage with that person again. </t>
  </si>
  <si>
    <t xml:space="preserve">I don’t know of any real advantage. </t>
  </si>
  <si>
    <t xml:space="preserve">I assume circumcision has dulled sensitivity and I much prefer the look of intact penises. </t>
  </si>
  <si>
    <t xml:space="preserve">I do have sufficient mobile shaft skin. Glans is always fully exposed. Scar is about 1/3 the length when flaccid, 1/4 when erect. Never felt tight or stretched. </t>
  </si>
  <si>
    <t xml:space="preserve">Feeling of skin gliding over glans. Wishing frenulum was more sensitive. </t>
  </si>
  <si>
    <t xml:space="preserve">At about 20 years old I thought it was a poor choice to circumcise. I discovered that I also much preferred the look of an intact penis. A foreskin looked to me like I’d enjoy having it. </t>
  </si>
  <si>
    <t xml:space="preserve">Well, that was a poor choice. </t>
  </si>
  <si>
    <t xml:space="preserve">Older half brother was a home birth, no doctor involved. The rest of us were born in a hospital with a doctor making decisions </t>
  </si>
  <si>
    <t xml:space="preserve">Low class, uninformed families didn’t bother with circumcision. </t>
  </si>
  <si>
    <t xml:space="preserve">Medical preference. Prophylactic to some medical risks. Hygiene.
</t>
  </si>
  <si>
    <t xml:space="preserve">Medical reasons being debunked. Awareness that infant pain is unnecessary. </t>
  </si>
  <si>
    <t xml:space="preserve">Unnecessary surgery can only be about monetizing it for medical providers or socially controlling a group’s autonomy. </t>
  </si>
  <si>
    <t>ateliervermeilstudios@gmail.com</t>
  </si>
  <si>
    <t>(715)252-2880</t>
  </si>
  <si>
    <t xml:space="preserve">No, I was not taught nor did I understand any specific theological basis for or against male circumcision within a catholic context. However, I believe my parents were pressured or were raised to believe that this was normal due to cultural pressures.  </t>
  </si>
  <si>
    <t xml:space="preserve">I just think my parents made the decision to circumcise because it was all they were told as young parents.  It was the thing to do in the 1970’s. </t>
  </si>
  <si>
    <t xml:space="preserve">The top of my penis probably doesn’t feel as much sensation as say the bottom of my penis.  The underside of my penis has more sensation and typically is the reason why I reach orgasm.  The tip of my penis (corona) typically needs to be stimulated more than the rest of my penis before i reach orgasm.  I typically rub the bottom head of my penis for a while before i use long strokes to reach orgasm. </t>
  </si>
  <si>
    <t xml:space="preserve">My typical orgasm experience in terms of intensity can be short.  The build-up can be short as well.  Majority of my time is trying to get to the point of build-up which can take me a while since my penis doesn’t feel much sensation after stroking for a while.  But like most things, If i can stroke myself for a while, obviously the build-up is greater as well as the orgasm.  However, If I stroke for a long time, my penis becomes numb and doesn’t feel pleasurable because it feels overly sensitive which is not pleasurable.  The release is brief and is typically focused in one spot.  However, when consuming cannabis edibles, my orgasms can be intensely pleasurable throughout my body (full-body) which is amazing.  </t>
  </si>
  <si>
    <t xml:space="preserve">I’ve almost always used some type of lubricant my entire life.  It hasn’t been until recently (past few years) that I’ve slowly been using my own saliva to stroke myself.  However, when with others or partner, we almost always use lubricants. </t>
  </si>
  <si>
    <t xml:space="preserve">Rubbing my penis up and down doesn’t bring me to orgasm.  It must be a variation of rubbing just the head and occasionally going up and down the shaft.  There must be more emphasis on the head (bottom) of my penis and light touch of the head to stimulate and help me reach orgasm. </t>
  </si>
  <si>
    <t xml:space="preserve">At this point of my life (51yo) I can’t think of any advantages of being circumcised other than looking similar to all of the other boys when I was in high school.  Knowing what I know now, I wish I didn’t because of all of the sensations we were all missing out on. </t>
  </si>
  <si>
    <t xml:space="preserve">In my opinion, I miss having the same sensations that uncircumcised men have when they orgasm along with the feeling of being exposed.  I have been trying to restore for the past year and have noticed that when the head of my penis is not covered, I feel very exposed.  As if I’m physically unclothed, as funny as that sounds.  When I were shorts and I’m not wearing a retainer, my penis is uncovered and I feel exposed.  I now know the feeling of how uncircumcised men feel when their foreskin is pulled back.  When this happens and my penis rubs against my boxers or jeans, it hurts or creates too much sensation/sensitivity.  </t>
  </si>
  <si>
    <t xml:space="preserve">I would say I have a tighter feel when erect.  I have little to no shaft skin left when erect.  So rubbing the skin up and down doesn’t allow any coverage over my gland which is why I need lubricant in order to glide up and down the shaft to my head to feel any sensation.  </t>
  </si>
  <si>
    <t xml:space="preserve">Yes, I wonder about it all!  I often wonder about the sensation, gliding motion, my frenulum, the smell, the taste, the motion I would have had.. it’s quite frustrating to think that it was all taken from me at birth.  </t>
  </si>
  <si>
    <t xml:space="preserve">I’ve had these feelings more as an adult, knowing and understanding what was done to me. With the power of the internet (knowledge), I’ve been able to see what I would have looked like and experienced if I didn’t get circumcised.  When I see and uncircumcised penis, I do feel a sense of sadness/anger/grief because I will never be able to get back what I now wish I had. </t>
  </si>
  <si>
    <t xml:space="preserve">I would say the tightness of my skin when I’m very much erect.  I remember, in my childhood, my erections were very tight and sometimes painful.  Which has probably become numb to me now in my 50’s.  This could also be one reason why I can’t hold my erection for very long because the tightness can become painful after a while.  However, I am trying to restore by using weights and using a retainer to encourage skin growth gland coverage.  However, it’s difficult when living an active lifestyle.  It’s very difficult and an inconvenience which leads to a lot of delay in any progress or relief.  </t>
  </si>
  <si>
    <t xml:space="preserve">I would try to convince them NOT to circumcise and keep to the traditions of their actual culture that NEVER convinced its people to circumcise.  I would fight fire with fire and use the fact that if they believe in God being all mighty and creating a child was part of him, then why would there be a need to “correct” or “remove” a part of the body that was natural.  I believe part of the reason i was circumcised was due to religious beliefs… and they were just following what others were telling them they should do.  </t>
  </si>
  <si>
    <t xml:space="preserve">I believe the decision for circumcision was most prominent in my area was for “health” reasons but also due to religious beliefs in the catholic community.  I also believe it was social pressure since doctors at that time and in California were more prominent to offer the service.  </t>
  </si>
  <si>
    <t xml:space="preserve">The common stereotype for intact boys/men was that they were somehow seen as unclean/dirty, or lower class.  I believe that view is slowly changing in today’s age especially with the internet being available to young parents and to everyone.  </t>
  </si>
  <si>
    <t xml:space="preserve">A common stereotype for circumcised men…. I can’t remember ever hearing of one growing up or one that stood out.  </t>
  </si>
  <si>
    <t xml:space="preserve">I think most men around the world are intact.  Given that information, I think the 1% wealthy take pride in being circumcised which then encourages many others to emulate them.  That mentality trickles down to aesthetics, pornography, and the lack of experience with intact men.  However, I think intact men are becoming more and more accepted with today’s generation.  Something that most men around the world already experience. </t>
  </si>
  <si>
    <t xml:space="preserve">If I could ensure everyone knew ONE THING, it would be that the human body should be left alone if nothing is wrong with it.  If there are NO medical issues or reasons for a circumcision, then every boy/man should be left intact. The overall decision should be left to each individual to make that decision. </t>
  </si>
  <si>
    <t>yes, this metaphor absolutely resonates with me.  I think often parents just look to doctors or professionals to make the decision or recommendation to have their child circumcised which ultimately puts more money in their pockets.  This practice should stop and education should be prioritized and left up to the parents with the emphasis that if it’s not broken, don’t fix it.  Leave it alone!</t>
  </si>
  <si>
    <t xml:space="preserve">Yes, I like to share that I didn’t really know about this movement until I was an adult.  When my younger sister was pregnant, she had a slight complication with her baby.  During that time I told her, “please don’t circumcise your son if you really care about him.  It causes so much pain and stress on him…. Would you want that done to you when you were a baby?” I believe that struck a chord with her especially since she was very concerned with her pregnancy and didn’t want any additional harm or stress on her new born.  She never told me whether she had him circumcised or not, but I honestly believe she left him intact.  She left him intact because she knew deep down inside that having him circumcised at birth was more painful to her new born that could potentially cause other complications to his overall well being.  Sadly after a year or so, we got into an unrelated argument and stopped talking so I never had the chance to confirm whether she had him circumcised or not.  But I believe in my heart she didn’t since I knew she loved him enough to not cause additional pain for him.   </t>
  </si>
  <si>
    <t>lthrguy35@gmail.com</t>
  </si>
  <si>
    <t xml:space="preserve">Yes, I would feel comfortable sharing my personal story in a potentially anonymous or pseudonymous way if the opportunities arose. </t>
  </si>
  <si>
    <t xml:space="preserve">uneven inner skin and outer skin, very scarred, skin bridge was present before removal, little skin left </t>
  </si>
  <si>
    <t xml:space="preserve">circumcision is a barbaric procedure purely aiming for aesthetics </t>
  </si>
  <si>
    <t xml:space="preserve">I don’t know </t>
  </si>
  <si>
    <t xml:space="preserve">Premature ejaculation </t>
  </si>
  <si>
    <t xml:space="preserve">The children rights </t>
  </si>
  <si>
    <t>liswi@yahoo.com</t>
  </si>
  <si>
    <t xml:space="preserve">Jordan </t>
  </si>
  <si>
    <t>Akuyda@live.com</t>
  </si>
  <si>
    <t xml:space="preserve">Takes like half an hour of edging to get close to orgasm, not notably pleasurable until I'm right at the threshold. </t>
  </si>
  <si>
    <t>keeganplieberman@gmail.com</t>
  </si>
  <si>
    <t>kplieber@mtu.edu</t>
  </si>
  <si>
    <t xml:space="preserve">Never mentioned </t>
  </si>
  <si>
    <t xml:space="preserve">I use it all the time </t>
  </si>
  <si>
    <t xml:space="preserve">Loss of function, worse appearance for  my dating market, loss of bodily autonomy and never going to be loved as they can just find uncut guys in UK </t>
  </si>
  <si>
    <t xml:space="preserve">There's a scar and it looks dry </t>
  </si>
  <si>
    <t xml:space="preserve">At 25 when my friend explained that circumcision is evil </t>
  </si>
  <si>
    <t xml:space="preserve">It's cosmetic </t>
  </si>
  <si>
    <t xml:space="preserve">Its evil and cant be reversed it is a sign your parents aren't intelligent </t>
  </si>
  <si>
    <t>robcars@duck.com</t>
  </si>
  <si>
    <t xml:space="preserve">no, glad being circumcised </t>
  </si>
  <si>
    <t xml:space="preserve">it is normal </t>
  </si>
  <si>
    <t xml:space="preserve">not the norm in germany </t>
  </si>
  <si>
    <t>haschoe.hsn@gmail.com</t>
  </si>
  <si>
    <t>admoore211@gmail.com</t>
  </si>
  <si>
    <t xml:space="preserve">Nope, except that it was required in the Jewish faith </t>
  </si>
  <si>
    <t xml:space="preserve">Appearance and ease of cleanliness </t>
  </si>
  <si>
    <t xml:space="preserve">The level of sensitivity </t>
  </si>
  <si>
    <t>Nothing that I am aware of. The topic  never really came up.</t>
  </si>
  <si>
    <t xml:space="preserve">Hygiene and pornography </t>
  </si>
  <si>
    <t>Chrios66@sbcglobal.net</t>
  </si>
  <si>
    <t xml:space="preserve">Architect </t>
  </si>
  <si>
    <t>Metal stenosis repair around age 5.  This was a complication for my, my brother, AND our father</t>
  </si>
  <si>
    <t xml:space="preserve">I felt feelings of depression, anger, grief, frustration, I feel very frustrated that I have very little sensation and that it’s very hard for me to achieve orgasm, I feel like half a man, as if a part of me has been stolen </t>
  </si>
  <si>
    <t xml:space="preserve">I hate what you’ve done to me, what in your right mind made you think it is ok to strap a baby down without anesthesia and forcefully rip apart their genitals just for the virtue of them being born male. Also why did you leave my older brother intact and I have to be mutilated? Why is he allowed to enjoy sex and I’m not? </t>
  </si>
  <si>
    <t xml:space="preserve">My bother was born with a different father, he was born in China. My father was a Jewish man, who believed in the medical superstitions attributed to circumcision </t>
  </si>
  <si>
    <t xml:space="preserve">They act like if you were intact you will automatically die of penile cancer, get constant UTIs and that it is disgusting, dirty, and ugly </t>
  </si>
  <si>
    <t>plutonium142@aol.com</t>
  </si>
  <si>
    <t>meatloafprime@gmail.com</t>
  </si>
  <si>
    <t xml:space="preserve">I made this decision for myself, when I was old enough to. </t>
  </si>
  <si>
    <t>lynxaustralia12@gmail.com</t>
  </si>
  <si>
    <t>u/Downtown-Tangelo817 on Reddit</t>
  </si>
  <si>
    <t xml:space="preserve">The most pleasure I get out of it is the orgasm itself, and afterwards I feel empty like something is missing.... Like a phantom sensation. </t>
  </si>
  <si>
    <t>Many. Physical discomfort, mental stress, and little to no pleasure when mastrabating. As well as a feeling of something being missing after orgasm.  :&lt;</t>
  </si>
  <si>
    <t xml:space="preserve"> Intense irritation around the scar line, especially when physically stimulated.</t>
  </si>
  <si>
    <t xml:space="preserve">Because unconsentual circumcision is harmful for a variety of reasons. But it will take people a very long time to become aware of this, and break free of the status quo. </t>
  </si>
  <si>
    <t xml:space="preserve">There is a slight bias in favor of it for hygiene reasons in the community, but also a growing amount of people who default to not doing it. Immigrants seem to be the least likely to do it, while Canadians who have lived here a long time are more likely. Women seem to believe generally that it is more hygienic and more attractive. </t>
  </si>
  <si>
    <t>mark1221@live.ca</t>
  </si>
  <si>
    <t>jtom7in@gmail.com</t>
  </si>
  <si>
    <t>HornedSonJ on dudesnude, if you want to look at my penis for research (or non-research!) purposes</t>
  </si>
  <si>
    <t xml:space="preserve">I believe I have reduced function and pleasure in my penis. I feel a sense of violation and that my bodily autonomy was ignored as an infant, for dubious cultural and traditional reasons I do not agree with as an adult. </t>
  </si>
  <si>
    <t>kp.mcgrath@gmail.com</t>
  </si>
  <si>
    <t xml:space="preserve">It is cleaner and looks better </t>
  </si>
  <si>
    <t xml:space="preserve">The glans is always exposed. It is not too tight when erect with some skin mobility
</t>
  </si>
  <si>
    <t xml:space="preserve">Masturbation was better uncircumcised </t>
  </si>
  <si>
    <t xml:space="preserve">They tend to be dirtier </t>
  </si>
  <si>
    <t xml:space="preserve">Circumcision decreases pleasure </t>
  </si>
  <si>
    <t>snuved@yahoo.com</t>
  </si>
  <si>
    <t xml:space="preserve">I later learned it not recommended or necessary </t>
  </si>
  <si>
    <t xml:space="preserve">The front of my penis, and the midpoint of the shaft are most sensitive. I loose sensitivity when there is too much wetness and fast motion. I don’t have much feeling in the head of the penis. </t>
  </si>
  <si>
    <t xml:space="preserve">For sex it occurs suddenly and without as much pleasure. When masturbating I can build it up more and it is more intense. </t>
  </si>
  <si>
    <t xml:space="preserve">In any partnered sex act.  I am unable to conduct penetrative sex in a way that improves sensation. I can give my partner instruction to improve sensation from oral or manual sex. </t>
  </si>
  <si>
    <t xml:space="preserve">  None that I can tell</t>
  </si>
  <si>
    <t xml:space="preserve">It’s a mindfuck to put it nicely. It’s hard to say exactly was is attributable to circumcision. I had extreme chaffing when I was young. I have never peed very smooth or straight. I feel like I have ruined my life from thinking about it so much. </t>
  </si>
  <si>
    <t xml:space="preserve">The age of 13. It seems kind of random. Sexual encounters make it think of it. </t>
  </si>
  <si>
    <t xml:space="preserve">Yes prominent scarring, spraying urination. Chaffing, raw skin on my inner mucosa </t>
  </si>
  <si>
    <t xml:space="preserve">Please don’t do it, your son will never get over the grief from it. He will never feel normal once he figures out the awful thing you did. </t>
  </si>
  <si>
    <t xml:space="preserve">My mom explained it to my like, the foreskin was helpful when lived in the wild but now doctors know it isn’t necessary </t>
  </si>
  <si>
    <t xml:space="preserve">I didn’t have much of one. I guess it could be surmised that it was seen as vestigial </t>
  </si>
  <si>
    <t xml:space="preserve">Because we are all the monster. </t>
  </si>
  <si>
    <t xml:space="preserve">Despite trying to restore and fix myself,  I feel like something was fundamentally broken when I realized what was done to me. </t>
  </si>
  <si>
    <t xml:space="preserve">The circumcision left an ugly scar. Erections can sometimes hurt. I'd say the circumcision was somewhere between loose and tight. </t>
  </si>
  <si>
    <t>brandon3mmerich@gmail.com</t>
  </si>
  <si>
    <t>(512) 557-8349</t>
  </si>
  <si>
    <t xml:space="preserve">Christians in the US believe they are doing it for religious reasons a lot of the time, but don’t realize it is just a veil to justify a cultural practice they want to participate in. We don’t see Christians in Europe mass circumcising for religious reasons, and they have the same texts and interpretations throughout their denominations. </t>
  </si>
  <si>
    <t>There are genuine health reasons to be circumcised in specific situations, however the health benefits purported by advocates of mass circumcision are from studies done in third world countries during the 80s. Of course if you have a population who doesn’t shower regularly then cutting will make them slightly cleaner. However last time I checked we are doing it in a country where the social norm is to shower daily and be clean and presentable. There is no medical upside unless you are born with a condition that requires it for normal function, and even then, the types done for medical reasons are much less extreme than neonatal removal, and most men having it done as a young adult for health reasons have much looser cuts and much better outcomes, you don’t have the same luck with neonatal as it’s more of a scorched earth tear it all off since  the foreskin is still fused to the head. All of my colleagues who had it done for medical or cultural reasons as teenagers/adults have loose mild cuts around a CI-3 or 4 and almost all neonatal I have asked are CI 1-2.</t>
  </si>
  <si>
    <t xml:space="preserve">Prophylactic Health Reasons (Specific Disease Prevention - e.g., Cancer, STIs, HIV, UTIs): Belief that it lowers the risk of specific diseases later in life (e.g., penile cancer, certain sexually transmitted infections like HIV or HPV, infant urinary tract infections - UTIs)., Cultural Tradition/Family Norm: It was a strong family tradition, cultural expectation, or simply "what people in our community did.", Medical Advice (without stated necessity): Recommended by a doctor or healthcare provider without explaining a specific existing medical problem, perhaps framing it as routine or generally beneficial., Hygiene: Belief that circumcision makes the penis easier to keep clean or is inherently more hygienic., Just standard practice: Based on observing its prevalence, assumed it was the default medical procedure without a specific individual reason., Prophylactic Health Reasons (General Prevention): Belief that it prevents potential future health problems (e.g., infections, inflammation, later penile issues) that were not currently present., </t>
  </si>
  <si>
    <t xml:space="preserve">That all circumcisions are wildly different. There are men who still have lots of skin, a intact frenulum, and are much closer to an intact person than many of us who have no skin with movement left, and have no frenulum at all. Many of the men who get cut as adults will tell people there wasn’t a huge change in pleasure, but these men usually have functioning gliding action and a full frenulum. People believe that it is all the same outcome and the procedure has set outcomes. Nothing could be further from the truth as some men have a complete loss of sensitivity and function, while others experience only a slight change from being intact. </t>
  </si>
  <si>
    <t>nick.russell@gmail.com</t>
  </si>
  <si>
    <t xml:space="preserve">It has destroyed my life. Once I realized circumcised sex harms women I gave up. The only thing keeping me going now is pure rage. I ran a successful business without trying even though I wanted to die every day. I knew about bitcoin when it was at $10 for example. If I wasn't horribly mutilated (by a sick jewish blood ritual designed to destroy the bond between men and women) I'd have a beautiful family and not have to worry about money. Also the torture is even worse because I am good looking, in shape and over 6 feet tall, I have turned down so many opportunities to date beautiful women because I want to spare them the pain of circumcised sex. </t>
  </si>
  <si>
    <t xml:space="preserve">That they’re dirty </t>
  </si>
  <si>
    <t xml:space="preserve">It isn’t just a flap of skin, it is important and has many functions </t>
  </si>
  <si>
    <t xml:space="preserve">Sometimes I barely feel anything when any part of my penis is touched. </t>
  </si>
  <si>
    <t xml:space="preserve">I always require it to avoid damage </t>
  </si>
  <si>
    <t xml:space="preserve">Lack of sexual pleasure, hatred due to the ugly appearance and scar, it's always dry, underwear friction very uncomfortable, extreme psychological distress causing suicidal attempt and self removal of the penis was attempted as well. </t>
  </si>
  <si>
    <t xml:space="preserve">Scar is hideous, moderate amount of skin flexibility for a circumcised penis, complete gland exposure all the time, no frenulum remaining </t>
  </si>
  <si>
    <t xml:space="preserve">Every part of it </t>
  </si>
  <si>
    <t xml:space="preserve">Urinary incontinence, rubbing against my underwear constantly </t>
  </si>
  <si>
    <t xml:space="preserve">I hope you experience the same pain that I did </t>
  </si>
  <si>
    <t xml:space="preserve">That they were cleaner and girls preferred it </t>
  </si>
  <si>
    <t xml:space="preserve">Medical literature from Europe </t>
  </si>
  <si>
    <t>blackstar7480@gmail.com</t>
  </si>
  <si>
    <t xml:space="preserve">if they read then they would have known that the bible opposes circumcision </t>
  </si>
  <si>
    <t xml:space="preserve">nothing good to say </t>
  </si>
  <si>
    <t xml:space="preserve">no sensation at all. i don't even know it's in. </t>
  </si>
  <si>
    <t xml:space="preserve">designed to damage from the very beginning . the only "advantage" is to destroy the man he was to become and control him through fear </t>
  </si>
  <si>
    <t xml:space="preserve">i have been partially transtransitioned, i am less of man as part of my penis was amputated. my penis has never been comfortable and requires consent adjustment as no position is comfortable. a "normal" circ is about 50% remove of the skin of the penis. my amputation is about 80% - 90% of the skin as hair grow from the shaft of my penis almost all the way to the glands. erections are ALWAYS painful as there is not enough skin to grow into. growing up i had a buried penis from the extreme amount of skin removed. sex has always been painful. i wish i was never born. </t>
  </si>
  <si>
    <t xml:space="preserve">Religious Reasons: Performed as a religious ritual (e.g., Brit Milah in Judaism, Khitan/Sunnet in Islam) or based on religious belief., Hygiene: Belief that circumcision makes the penis easier to keep clean or is inherently more hygienic., Prophylactic Health Reasons (General Prevention): Belief that it prevents potential future health problems (e.g., infections, inflammation, later penile issues) that were not currently present., Medical Advice (without stated necessity): Recommended by a doctor or healthcare provider without explaining a specific existing medical problem, perhaps framing it as routine or generally beneficial., Prophylactic Health Reasons (Specific Disease Prevention - e.g., Cancer, STIs, HIV, UTIs): Belief that it lowers the risk of specific diseases later in life (e.g., penile cancer, certain sexually transmitted infections like HIV or HPV, infant urinary tract infections - UTIs)., Aesthetic Preference / To Look "Better" or "Neater": Belief that the circumcised penis looks more visually appealing, "prettier," or tidier than an intact one., Just standard practice: Based on observing its prevalence, assumed it was the default medical procedure without a specific individual reason., Controlling/Restricting Masturbation: A belief that circumcision would reduce the urge or ability to masturbate (a view common in certain historical eras)., Cultural Tradition/Family Norm: It was a strong family tradition, cultural expectation, or simply "what people in our community did.", punishment for being born a man </t>
  </si>
  <si>
    <t xml:space="preserve">the skin is so tight that i have given up on "restoration" i hate that term we are not lizards and what is amputated can never grow back. for me hasn't my penis been through enough torture and what's the point so the hair can grow all the way to the end. </t>
  </si>
  <si>
    <t xml:space="preserve">i had medial stenosis. they had to cut the opening </t>
  </si>
  <si>
    <t xml:space="preserve">i regret that my parents didn't protect me and stood idly by while i was being mutilated. i am angry at a society that has normalized infant body modifications. i did not consent to penis reduction surgery aka circumcision. when they took my foreskin they took my life, what do i mean by that. i will never know connection to another person as my subconscious believes that physical touch is dangerous.  </t>
  </si>
  <si>
    <t xml:space="preserve">overly tight skin. painful erections . loss of sensation leading to e.d. </t>
  </si>
  <si>
    <t xml:space="preserve">circ was normal for male children </t>
  </si>
  <si>
    <t xml:space="preserve">cleaner and more attractive </t>
  </si>
  <si>
    <t xml:space="preserve">lies by sexual fearful religion and doctors </t>
  </si>
  <si>
    <t xml:space="preserve">penis reduction surgery aka circumcision is a sexual handicap </t>
  </si>
  <si>
    <t xml:space="preserve">my belief is that i was being shown affection and caring during my amputation. this left me with a twisted view of intimacy and affection and leaving me with PTSD from the first few moments of my life </t>
  </si>
  <si>
    <t>dwaynevl@gmail.com</t>
  </si>
  <si>
    <t>904 540 0512</t>
  </si>
  <si>
    <t xml:space="preserve">i don't need anonymity. i'll stand on the roof top to tell my story. </t>
  </si>
  <si>
    <t xml:space="preserve">personal invitation by you </t>
  </si>
  <si>
    <t xml:space="preserve">Being fully covered and having all sensory inputs intact. </t>
  </si>
  <si>
    <t>wilfred@gaaa.org.za</t>
  </si>
  <si>
    <t xml:space="preserve">Yes. I have founded the Genital Autonomy Action Alliance in South Africa. My goal is to effect and win a Constitutional challenge against the current provisions regarding not only circumcision, but genital autonomy and integrity rights for all children. </t>
  </si>
  <si>
    <t xml:space="preserve">It's hard to generalize. It depends on the partner and the situation. I think I am pretty good at communicating my needs, but some partners aren't always good at listening or understanding. </t>
  </si>
  <si>
    <t xml:space="preserve">Consent matters </t>
  </si>
  <si>
    <t>dion.hansen949@gmail.com</t>
  </si>
  <si>
    <t xml:space="preserve">email </t>
  </si>
  <si>
    <t xml:space="preserve">Probably </t>
  </si>
  <si>
    <t xml:space="preserve">I have always been good with controlling when I finish. If I was with someone, I'd probably hold off on release until the other person finished, but I've focused more on quantity as a solo bator and I don't hold back. I could get off in a minute or an hour, but one of the advantages of not having a partner is not having to alter your experience to someone else's desires and my fantasy can be whatever I want. My orgasm itself is pretty intense, with my face feeling flush, and a rush of dopamine or whatever makes you want to do it again. </t>
  </si>
  <si>
    <t xml:space="preserve">I had prostate cancer and while I have intense organs that are maybe better than before when everything was working right, but I have dry orgasms now, and with that, I find rubbing my penis through the fabric of my underwear and/or pants works well, and I don't have to worry about messing up my clothing. For special occasions, I sometimes use a small bullet vibrator with multiple patterns of vibration through my pants. It works well, but if I do it too long without releasing, it becomes too intense and is not pleasurable anymore. </t>
  </si>
  <si>
    <t xml:space="preserve">It's been a few years, but some guys seem to think that stroking it tugging faster and harder is going to be what it takes to get one over the finish line, when nothing could be further from the truth. For me, it's the slow stroking from someone else that would get me off. If I'm masturbating, I can tug fast if need be, but it's an instant erection killer if someone else starts getting rough with my member. </t>
  </si>
  <si>
    <t xml:space="preserve">Aside the the advantages I listed, I have always wished I was intact. My intact friends didn't need lube and I was jealous. </t>
  </si>
  <si>
    <t xml:space="preserve">I think I got a pretty good circumstance, all things considered. My penis was of average size, if not a little thick. I don't have a very visible circumstance scar. Everything is relatively even, with enough skin that isn't too tight when erect. Glans is fully exposed when flaccid. </t>
  </si>
  <si>
    <t xml:space="preserve">Sensitivity and the gliding motion are definitely a wonder. </t>
  </si>
  <si>
    <t xml:space="preserve">I did hormone therapy and radiation for prostate cancer for 30 months during which time I wasn't able to have a sexual thought, drive, or function of any kind. Total impossibility during treatment. </t>
  </si>
  <si>
    <t xml:space="preserve">I've wished I was uncut/intact after being with someone that was uncut/intact. </t>
  </si>
  <si>
    <t xml:space="preserve">I think the majority of USA circumcisions are done so the child is "normal" or like the others. I specifically remember seeing my friend's uncut penis while in elementary school (he was Italian) and telling my parents his was "different" and being told it was because he was from somewhere else. </t>
  </si>
  <si>
    <t xml:space="preserve">Uncut people were from other countries or religions. </t>
  </si>
  <si>
    <t xml:space="preserve">Everyone in the USA was circumcised. "It's cleaner." Jewish guys are all circumcised as part of their religion. Filipinos too, but as a cultural right of passage. </t>
  </si>
  <si>
    <t>brianmd@brianmd.com</t>
  </si>
  <si>
    <t xml:space="preserve">I think it's fairly sensitive especially after ejaculation. Can't even stand to be touched or sucked on then. </t>
  </si>
  <si>
    <t xml:space="preserve">I'm older now so while the intensity and build-up is always as it has been. I can feel the spasms (especially while in my wife) as they propel my semen out. The quantity of semen however is far less than when I was younger. 
overall each release is deeply satisfying </t>
  </si>
  <si>
    <t xml:space="preserve">Lube is nice, but for the most part when I masturbate I don't use any. </t>
  </si>
  <si>
    <t xml:space="preserve">Easier to clean.  And to me, it just looks more complete than my uncircumcised friends flaps of foreskin. </t>
  </si>
  <si>
    <t xml:space="preserve">Nope none at all. </t>
  </si>
  <si>
    <t xml:space="preserve">The amount of shaft skin is more than adequate to masturbate without using lube. There is no tightness during  erection and visually  it does not look like there was any surgery involved.. no scars, no nothing. </t>
  </si>
  <si>
    <t>I've talked with most of my sexual partners and the answer I got was they preferred circumcised partners but it wasn't a deal breaker.   Maybe they said that because I'm circumcised (??)</t>
  </si>
  <si>
    <t xml:space="preserve">I don't believe it is a harm hiding in plain sight or otherwise. </t>
  </si>
  <si>
    <t xml:space="preserve">From my father to my grandsons, the males in my family have been in both states.  
My dad born in 1930s was left intact. 
I was born in the late 1950's and was circumcised because that's just the way it was done. My parents were not consulted. 
My son was born in the late 1980s  His mother and I opt'd to not have him circumcised. The pre-natal classes gave us a non-biased look at both options and we acted as we felt was best.  I assumed other parents were treated to teh same education however our son was the only one that had a "no-circ"  tag pinned to his bassinet in the hospital nursery. 
Both my son's sons were circumcised at birth. When I talked to my son about it, he didn't say much, but I believe what he was upset growing up intact and didn't want that for his sons. </t>
  </si>
  <si>
    <t>bobprkr@gmail.com</t>
  </si>
  <si>
    <t>My circumcision left me with no moveable skin so I feel discomfort during erection because of the tightness. My inner foreskin was completely removed and my scarring is directly below the head of my penis. My frenulum was completely removed. My scar is very visible.  The head of my penis is completely uncovered 100% of the time.</t>
  </si>
  <si>
    <t>Why did you do this to me? Why did you cause me pain and ongoing issues?  Why diid you think I needed this?</t>
  </si>
  <si>
    <t>simon_north@gmx.com</t>
  </si>
  <si>
    <t xml:space="preserve">Easier to clean but I am very sensitive than most circumcised men. </t>
  </si>
  <si>
    <t xml:space="preserve">I wonder about the sensation </t>
  </si>
  <si>
    <t xml:space="preserve">Skin bridge </t>
  </si>
  <si>
    <t xml:space="preserve">Some of it is cultural </t>
  </si>
  <si>
    <t xml:space="preserve">I believe parents need to consult with a doctor first and be more educated and not base their own opinions and assumptions on why it should be done. </t>
  </si>
  <si>
    <t>mcgovemj@gmail.com</t>
  </si>
  <si>
    <t>You can call me.</t>
  </si>
  <si>
    <t xml:space="preserve">ight caresses, touched with the tips of the fingers are enough to awaken the best sensations in me.The glans and the corona, but especially where the frenulum was, are the most sensitive,to vary the pleasures, I can avoid the glans and simply slide the skin over the body of the penis (small movement) but I prefer the sensations that the glans gives me.
</t>
  </si>
  <si>
    <t xml:space="preserve">Usually saliva or sometimes coconut oil
</t>
  </si>
  <si>
    <t xml:space="preserve">In this case, it means that we are not made for each other and that the dialogue did not work.
</t>
  </si>
  <si>
    <t xml:space="preserve">Always clean: no odor, not "sticky" at the end of the day, no cheese on the glans.
Much more beautiful: without this trunk hanging from the end.
Live easier: no need to pull back your foreskin to urinate or wash, penis always ready for action.
Sensitive gland sufficiently to respond to stimulation and enduring to give maximum pleasure.
What happiness to be circumcised and proud of it.
</t>
  </si>
  <si>
    <t xml:space="preserve">No, I'm circumcised and I'm proud of it: no problems in the locker room, on the beach, or in the naturist sauna.
</t>
  </si>
  <si>
    <t xml:space="preserve">When at rest, no skin touches the glans, which is always visible. When erect, the skin slides slightly.
The scar below the glans is slightly visible. When erect, it's as if I were born like that.
</t>
  </si>
  <si>
    <t xml:space="preserve">Circumcision prevents many problems and offers a simple solution to awkward situations. Circumcised equals an easier life!
</t>
  </si>
  <si>
    <t xml:space="preserve">Intact: it's natural, circumcised is for Jews or Muslims
</t>
  </si>
  <si>
    <t xml:space="preserve">circumcised is for Jews or Muslims
</t>
  </si>
  <si>
    <t>curiousuc22@gmail.com</t>
  </si>
  <si>
    <t>u/ DistinctWork3010</t>
  </si>
  <si>
    <t xml:space="preserve">I’m not really sure what an orgasm should be.. I know it “happens” when you cum but typically I don’t feel much of anything until right before I cum and lasting until shortly after. It doesn’t necessarily feel “good” .. it’s not bad just like a short time of relaxation.. </t>
  </si>
  <si>
    <t xml:space="preserve">Typically I don’t use any lube because I am lazy.. but sometimes if I am with a partner they use it/offer it for me since it’s either what they are used to or even one guy said he didn’t want to give me like a rug burn or something.. </t>
  </si>
  <si>
    <t xml:space="preserve">A lot.. for a while as a child I had though that my penis was attached to me after I was born since I noticed something that looked like a scar and wasn’t sure why it would be there.. then as I learned the penises are normal for men I never gave it a second thought until I was an adult and learned of circumcision.. however I have always been very insecure potentially due to my false beliefs as a child. I’ve been with a few uncircumcised guys and the way they seem to enjoy sexual experiences is foreign to me and feeling how their penis move even feels better than when I am masturabting </t>
  </si>
  <si>
    <t>Semi tight skin?  Prominent scaring, potentially meatal stenosis</t>
  </si>
  <si>
    <t xml:space="preserve">Just cultural and social norms </t>
  </si>
  <si>
    <t>ph3onixgaming@yahoo.com</t>
  </si>
  <si>
    <t xml:space="preserve">Like lava bubbling up from a volcano eventually erupting </t>
  </si>
  <si>
    <t>dglfong@gmail.com</t>
  </si>
  <si>
    <t xml:space="preserve">Kinda tight skin, minimal inner foreskin left. Scar almost invisible </t>
  </si>
  <si>
    <t xml:space="preserve">I have experienced </t>
  </si>
  <si>
    <t xml:space="preserve">N
</t>
  </si>
  <si>
    <t xml:space="preserve">Noone thought of that </t>
  </si>
  <si>
    <t xml:space="preserve">Many questions about my circumcision wrongly assumed I was cut by my parents in the answer choises. </t>
  </si>
  <si>
    <t>livetovan@gmail.com</t>
  </si>
  <si>
    <t xml:space="preserve">Nah </t>
  </si>
  <si>
    <t xml:space="preserve">Sweden </t>
  </si>
  <si>
    <t xml:space="preserve">Small negative </t>
  </si>
  <si>
    <t>ee37911bba1506ab25280966fc94d5852e3087b9ac77bb544b26a6cdd889ea4f</t>
  </si>
  <si>
    <t>ae5dcfea5188a7b5d1e1b8bef547034272391655b644c0e6690cdd950e859855</t>
  </si>
  <si>
    <t>3bf4c2cae1d2d925b048c1393c94b1cf7b2f361dcf9ddd7a66a1e38722c523ab</t>
  </si>
  <si>
    <t>lutheroto@gmail.com</t>
  </si>
  <si>
    <t>bb24f4993e079fc7094c3a1056d2ece5fbb0d8ae8c52a7f62896df5b52d4d6f6</t>
  </si>
  <si>
    <t>vcoletta@gmail.com</t>
  </si>
  <si>
    <t>4e80b7e47671bb59033518b2667464e041cd837e0696de8864382d0642d7da61</t>
  </si>
  <si>
    <t>02a0058a27628c727d57237510c690f147c3814dce86178949ba6cf0e031ccd5</t>
  </si>
  <si>
    <t>onanist.2018@gmail.com</t>
  </si>
  <si>
    <t>19810201b512554268f487635a8e6ed4311f11a8c76742596c0c10360b4b7760</t>
  </si>
  <si>
    <t>strangetrails@protonmail.com</t>
  </si>
  <si>
    <t>efd04dda3026116a6630a4d046e5fe7ea9ab0802f2a7375e5e3893baa7cf6983</t>
  </si>
  <si>
    <t>pattison@usa.com</t>
  </si>
  <si>
    <t>15077802038c8dcd6e3eb7258ff1aea757b0b9def36eadee6aae167c8d4da2ba</t>
  </si>
  <si>
    <t>4c980ef4744743de0996271020cf42748cbe9cdd7a104b79b93dcf3645720734</t>
  </si>
  <si>
    <t>e1c938b7d53333571dfd3db2984acc22d4267ad6aa513c548ec01589c6d34a72</t>
  </si>
  <si>
    <t>d9492dda3fb8e7694b0a96d1770fb504663b51c63ef98c6d4ab370ffbb61f021</t>
  </si>
  <si>
    <t>jven123@hotmail.com</t>
  </si>
  <si>
    <t>bb32c4bff4ab4968aa6057028ad485558a6b6306e1f6d395c1938c72c1c6a2ab</t>
  </si>
  <si>
    <t>64e293291672201b40a957791aa3fe7cab4322b37cf36ab0e2672fa1ee5c2994</t>
  </si>
  <si>
    <t>9ac100edff069b7526c36e413eb3559a125cb70988bb31199ceea7c1bb3b00fb</t>
  </si>
  <si>
    <t>3c12484cf7a9f0d890ca8ec73a74c8017d69afb4aadecb83d367bdb666cd0d50</t>
  </si>
  <si>
    <t>zulualphaza@gmail.com</t>
  </si>
  <si>
    <t>a62e6c31903dec3a1041f29319651ffeaed6ae7a63d905ec1080af77e66ea41c</t>
  </si>
  <si>
    <t>eaccd01f4c5fdf68f3d87d3c53c4501b37fbd864a3fa628fda0ba4bd93ab9d07</t>
  </si>
  <si>
    <t>0d77f9e5c098d8ccfd5d95d39f29adbebc6fdca81b83af3b3c116fac70b1448d</t>
  </si>
  <si>
    <t>3e196c137d6adc4219c12e3e331099d60b3c6758e1f4447df6fba2c93b87f24d</t>
  </si>
  <si>
    <t>anonymouspangolin2020@gmail.com</t>
  </si>
  <si>
    <t>ae134c69d5884e2230bde8cc882e3e026183a1d292f8acf31516b163e4f03f41</t>
  </si>
  <si>
    <t>f9a976622f766dce03b40e8bb88620ddc84db2b00d54ff5d11cdffc737993319</t>
  </si>
  <si>
    <t>adbb537e5297a6c92f383835c2a1e3ad9294bd5d227414e8a902aa88478bddce</t>
  </si>
  <si>
    <t>11304c030a515f130d960b9b9307d244807aa6a8f52a2542d266af8b80a76f7d</t>
  </si>
  <si>
    <t>6a43b61182ca71122951a41ad1168ef21591e5af358154b75c2857ab6dc74914</t>
  </si>
  <si>
    <t>f364602b0414aac37ffa14e6a849ce603d9a6a33c4970e9ac66f246b26ff2d11</t>
  </si>
  <si>
    <t>frozenfoxx@cultoffoxx.net</t>
  </si>
  <si>
    <t>359bfc62db6c3b9651fbb011dc54cb18432c77b07d5253a8371a0a7623d979ff</t>
  </si>
  <si>
    <t>borisyawnson@proton.me</t>
  </si>
  <si>
    <t>b3ce4614feaabbad2a1a1fc6cf2cf01664b570328e364afda5066c6fc8983062</t>
  </si>
  <si>
    <t>cooperf313@yahoo.com</t>
  </si>
  <si>
    <t>fe950fdd8a9e438219f49f6401cb480d419bd646a8fa1724e627b576f2e473a0</t>
  </si>
  <si>
    <t>1cdade9963807cdd91ef7ead1ab5eef66fb7c0c31e6fd67e6585b6aa613a9e7d</t>
  </si>
  <si>
    <t>9a9717ddbde715b7139181ae0a537c2bd6947093ff8bcee867bb68df4b20cb31</t>
  </si>
  <si>
    <t>col12100@netscape.net</t>
  </si>
  <si>
    <t>7af87d23cc6e83ac4f12473f1a9cc180db2d315bd0f9f9e4a0451848c8ebc3ee</t>
  </si>
  <si>
    <t>dbaz10@comcast.net</t>
  </si>
  <si>
    <t>4b77cc3b782f229a413e8854df43952d619f08273402d60781c1f992c51fafd9</t>
  </si>
  <si>
    <t>785d377c8f77d21bf5baaad149121c81a92ff6b49c99d951b667de5a49f327c2</t>
  </si>
  <si>
    <t>c0014f15721058fa708b35af5dec12f068f21d6581e0ae72e0ad1d4d5a05536b</t>
  </si>
  <si>
    <t>amin1384se@gmail.com</t>
  </si>
  <si>
    <t>Telegram ID: @Amin_se3</t>
  </si>
  <si>
    <t>f000e22704e8df6388c9d7f2e0a207c4975500e316235a6ee6aace919c0d3dc4</t>
  </si>
  <si>
    <t>oconnorspj6@gmail.com</t>
  </si>
  <si>
    <t>664db1dbe6f2d66a3c237e157142ebf66a6efa7c32b926f0a62adc75b790bbb1</t>
  </si>
  <si>
    <t>jahajayy@gmail.com</t>
  </si>
  <si>
    <t>Player142 on reddit, foxtrot_oscar_xray on Discord</t>
  </si>
  <si>
    <t>5cf24e811c36f92a35bd3cdf1f9c51b693919dd209233d4fd9c5b92fa89dc736</t>
  </si>
  <si>
    <t>54e09119635c253d0f701d007da25d85805a8b5e2ab529945196d4425d74fce7</t>
  </si>
  <si>
    <t>d9235094f67c8312a2585de2b77d9aea9ca7751409f84d183e7c8fb743a2bd4d</t>
  </si>
  <si>
    <t>74ccdb81fc386f204c2ae157cd4b2b5e41f46d1c378c6d9c13371466e3975726</t>
  </si>
  <si>
    <t>11a0f00059793c37f154d9118ea2056f92c7bc581365aa98c61e735c2a143779</t>
  </si>
  <si>
    <t>heyitsterraluna@gmail.com</t>
  </si>
  <si>
    <t>458-247-9540</t>
  </si>
  <si>
    <t>567aaba09a78d2d69256df46157a606219d5c402d9f6f5795352d03d3fdd1b96</t>
  </si>
  <si>
    <t>anthony-mollica@hotmail.com</t>
  </si>
  <si>
    <t>429dc408ee28e87c6459110dbba82b95debdc0f2a023ad175550989571300051</t>
  </si>
  <si>
    <t>d96c9960ed00b897ebdcd526ddb2151b6a808ca38553537d6588dede3b25dcf9</t>
  </si>
  <si>
    <t>7558e13ac548a0a1225869d327d91f2a2d818f9f433bd76733db33a2d40d3a2e</t>
  </si>
  <si>
    <t>willybc@outlook.com</t>
  </si>
  <si>
    <t>Discord happygecko_ or whatsapp +57 3504587577</t>
  </si>
  <si>
    <t>6bd03099f0a3bb791ea036d0e73f9905b1dca185d1d9d0eace6b180a27a3bc2e</t>
  </si>
  <si>
    <t>990278c358eeaa96626a76c3c2995824b2be23937b90ef1194cd182972df9d93</t>
  </si>
  <si>
    <t>916d67dd91ccd4d4dce0cca284982143656c9e7ccb0c84f13d36c7af9a4a10bc</t>
  </si>
  <si>
    <t>McCrackenw92@gmail.com</t>
  </si>
  <si>
    <t>593eed7ef65267a31e24e22d1d84469dddba22ad35679c594dd356e7b3bc3bb5</t>
  </si>
  <si>
    <t>denselyperfect@gmail.com</t>
  </si>
  <si>
    <t>255e7ca5b05c5e65df80c68d621167d11446e6b96e56d89a2eff757ccfa906ff</t>
  </si>
  <si>
    <t>brianjaustin@gmail.com</t>
  </si>
  <si>
    <t>e7121038bfcd77a685b52449212540ae0e7f6d95183017b183667c323679ae7e</t>
  </si>
  <si>
    <t>freddyng03@hotmail.com</t>
  </si>
  <si>
    <t>Alohafreddy</t>
  </si>
  <si>
    <t>7aa0cb1fb86fea32488e4acaaa2579ea49f74841878d2b0e51f8dbb04a23425d</t>
  </si>
  <si>
    <t>f8533a18eb93b32a1834e7cb60607b307f95647d7be667c348739459e96905c4</t>
  </si>
  <si>
    <t>20822b1f9010f4b060b443d401af2360b1e8c726e8881fbc198c73e7070d78ad</t>
  </si>
  <si>
    <t>mahomer@gmail.com</t>
  </si>
  <si>
    <t>12f520a8379c2c72eba3abe03f488c76339395ea0248b34716ab68d453470b48</t>
  </si>
  <si>
    <t>449331fb4d9982aea29634eb25e5b82f01ad3957e23d126ced8805d548ebfc2c</t>
  </si>
  <si>
    <t>2b6d216f03af60bfd9b2c344b793114ae89aadfd5a5c7f962fb1cae97dc2c6ac</t>
  </si>
  <si>
    <t>smb0486@gmail.com</t>
  </si>
  <si>
    <t>3b605aef036abfb45461a00ee0bde58b560836853a68367ed9d297b549d3da20</t>
  </si>
  <si>
    <t>694334718e800be3e758de4932050cb4caebfe12a647c98a68854b86540ca070</t>
  </si>
  <si>
    <t>7455c52a0209a1e5b261f2d82086dfb8bc165f6d80a72dc63840e60c79b75206</t>
  </si>
  <si>
    <t>fb7d5853293c0aca9132d484faf412c7badea6b9fcb4864f48a275a741a8ce68</t>
  </si>
  <si>
    <t>6b6ca2d4ff072d4495572edf8066a8e67576341c44a3a8117d8aa86df62b84fe</t>
  </si>
  <si>
    <t>26057b416b223798bf0496ad238a4c26a238a998e7fb3c79247a6526b6635bbd</t>
  </si>
  <si>
    <t>derzink.privat@gmail.com</t>
  </si>
  <si>
    <t>f6660ffbc311954763a499273953fa735d9c5a1fca9c89740b2886e32ac85ccf</t>
  </si>
  <si>
    <t>biggestsmalls67@gmail.com</t>
  </si>
  <si>
    <t>379e5be7a23a255a93e1a2ed0b83a7f3bfe04124f4668f62eaf90662c0cd9e31</t>
  </si>
  <si>
    <t>4e008be19ba7e1f89e14c0b09daedc2f2aac5f9964b4957cdf0b3376da4988a4</t>
  </si>
  <si>
    <t>a7093be4facb90e597ad997eff21b5a60351a2a24ec52666e0e6559b83b061ae</t>
  </si>
  <si>
    <t>colin.b.winter@me.com</t>
  </si>
  <si>
    <t>95a40a6f5ba7f8878e434acfbb5a30766a626cefa819291c95d8e58b57e9204d</t>
  </si>
  <si>
    <t>Hawkicompufix@gmail.com</t>
  </si>
  <si>
    <t>319-383-3028</t>
  </si>
  <si>
    <t>39ba97c523949817a66b3d3cfef4f9ef9f1afdce9d0fe80ff76cb8fad8141f5a</t>
  </si>
  <si>
    <t>1cc68be2b1b17b8c003a43de880b2bdefbf29bddb538e74b4d0c105f058ccf3d</t>
  </si>
  <si>
    <t>4ce6c229aac3528f43d47508d028916e015c534bce932cfa941aa7768e78291a</t>
  </si>
  <si>
    <t>88b474c5925c16484bd17e1233912ad407456412d9bb095b2d5ac4378934d752</t>
  </si>
  <si>
    <t>jasoncslee89@gmail.com</t>
  </si>
  <si>
    <t>0b5097281052233afcfacd1995bfa36f8b8ebc1dac0624a5183dc5d6b40ba3e7</t>
  </si>
  <si>
    <t>clprankl@gmail.com</t>
  </si>
  <si>
    <t>8ec93007fd8835612d0444e37f30a83d635df17fbb6976552e957639a150a507</t>
  </si>
  <si>
    <t>7dc1253d633640dd8d61b94f174ae77f73a22cca0af3feee7cb2961f11631baa</t>
  </si>
  <si>
    <t>bfdf4891ba42d299e313d840b1afaaa63f88bc586f9014c0d16f1895b64b8c1b</t>
  </si>
  <si>
    <t>62f9f84a354bd4e4d556fba0f98e8f710763f49de3379e2f22945e8e6a426d7f</t>
  </si>
  <si>
    <t>237a42d391aa6c6bb44c55247b9fe7c1224a5476bc69200cc7dcd54416f7d54f</t>
  </si>
  <si>
    <t>e647adb48f1bc1e7971595b2e9a69423a8504251e9940b2a5f5d28d4d3c1f213</t>
  </si>
  <si>
    <t>9d92f5ba45e1ce90d0fbc3a20ac87e99e7c832134c918158d36544a16e793716</t>
  </si>
  <si>
    <t>317024e2df05d62c0b4ba051a51b4c5a1a31c23bb387df28fa064f78568941a2</t>
  </si>
  <si>
    <t>86e7547bdcbaa9d280adda19fb1ffc1532f25db5613fb186aafff6e1a3cedce8</t>
  </si>
  <si>
    <t>36336d012b0b9000a362c5ca6ae7a129d739dd989e7d45f52e3c3538f1c69ad0</t>
  </si>
  <si>
    <t>812c65bcdffb9be0a54d6ac9b7875182439858faaa3bb26f81ca01e6d680741e</t>
  </si>
  <si>
    <t>playbyfire@gmail.com</t>
  </si>
  <si>
    <t>17371c32ebf0be3079ff954fe065de15f6e5c28d9a4414690ec41bd2ce2e340e</t>
  </si>
  <si>
    <t>ce5706fd67c5653ee109e233114f7d317b75befe9a869c3cd8857a842af3d89e</t>
  </si>
  <si>
    <t>me@davidmontane.com</t>
  </si>
  <si>
    <t>404-276-8701</t>
  </si>
  <si>
    <t>9b5daef36ff8670d2383dd3139676376e0aae93b3f67cc3b2b3c06a1d8d3a3ac</t>
  </si>
  <si>
    <t>701a023426513b2f6961f2ef0fef0d1725b72cc23d7f0d6ca43fb7b8279f589f</t>
  </si>
  <si>
    <t>headrat1@protonmail.com</t>
  </si>
  <si>
    <t>75821db4c6b7b6afc832a094dbd497b55bb530c28c47eca651c28cfe1e335ae6</t>
  </si>
  <si>
    <t>valor-crumbly-3g@icloud.com</t>
  </si>
  <si>
    <t>46bb5ab0ac7e57d50560b2e723fb7ec1971c59d35dd1367856fe292bb16cdfa8</t>
  </si>
  <si>
    <t>appalachiansurvival@gmail.com</t>
  </si>
  <si>
    <t>Text 828 470 0647</t>
  </si>
  <si>
    <t>6ca8ffa6e6bf1b04ec932513cbd2e0c4a395f5afab05cb2a805fc694531d8d8e</t>
  </si>
  <si>
    <t>98a04b0485956c0659e9f48a768e656f1268e30dcae88af78e8f1d44f1b751da</t>
  </si>
  <si>
    <t>mogouvai@gmail.com</t>
  </si>
  <si>
    <t>b1f3c9e12240dbc00ed1e5490540f885d60b35894a28d008f8ab9b03941a607f</t>
  </si>
  <si>
    <t>lionharrt@gmail.com</t>
  </si>
  <si>
    <t>6a21840e9f6d7f5e2e6413fa14c54cdc8de40d147ee1721985f66f45e1cf7ef5</t>
  </si>
  <si>
    <t>a49a883a3e11f58665c6114d8e4bbbd022f2d8d2812e863b2f7d8abcb3998826</t>
  </si>
  <si>
    <t>s.hearn11@gmail.com</t>
  </si>
  <si>
    <t>a12e7da937eaba3fe24e92b86b1768797421016b5002da8dd1f2090e979aed8b</t>
  </si>
  <si>
    <t>youngbeard@gmail.com</t>
  </si>
  <si>
    <t>fddf13f01a63c16015364d51e06935a3dfb54681d8f5cdd376090ef75548f245</t>
  </si>
  <si>
    <t>pmcarson41@gmail.com</t>
  </si>
  <si>
    <t>560fe9989bb743e1fa091cdd9cfbe06bb64215ae2087f3218693757943698e88</t>
  </si>
  <si>
    <t>jfrjr1971@gmail.com</t>
  </si>
  <si>
    <t>Email is fine</t>
  </si>
  <si>
    <t>c1087f63e4b3708a4d1b5f3f4104bcfb72db2c3c944365254fa567643f952f47</t>
  </si>
  <si>
    <t>jarede043@gmail.com</t>
  </si>
  <si>
    <t>7573325347 (Don't call before 3 PM EST)</t>
  </si>
  <si>
    <t>d9155a69b2cb666f141069f5f88e281a9d6b8d0f55b17efb4951700980592e89</t>
  </si>
  <si>
    <t>16c4d50f561ce243f255d03be75a2ab7c55cb0a96fc065438186998ce564dfb1</t>
  </si>
  <si>
    <t>b8e4d29ac946d73383810eb89ead45583d8a4318d597e6ba91044f60827897c2</t>
  </si>
  <si>
    <t>Flip75@outlook.com</t>
  </si>
  <si>
    <t>7b01e054b7dc8429b894cbd97fc3dd625f5b0db8467842bea86d9ae4424858a9</t>
  </si>
  <si>
    <t>6aa2c14657ddb13b9cdfecdb338856aa23749aa4f476c254000d36f4c199f222</t>
  </si>
  <si>
    <t>vivian_z@myswissmail.ch</t>
  </si>
  <si>
    <t>0785fd8690abcbbaffcdc23830c4048aabfd443d9e1d02296b7bfb6ab1c9842e</t>
  </si>
  <si>
    <t>d56edf35de63a8a068a5ce57d07ce7c93699e29fbdc95af5253cc83c453b56f3</t>
  </si>
  <si>
    <t>5c6c596f1f3ee7c844583cf9917db318c2c8326aca6959a142d9b64ccce4c080</t>
  </si>
  <si>
    <t>1b7a7e8735429bccd6f4dea0b6e2ed4b0089edf88a2bf8af08dc0f3618a4873f</t>
  </si>
  <si>
    <t>1f474d7e8da24756276f18e4a8cc21346634294ff2a32b9f1d6b721d0a3750ba</t>
  </si>
  <si>
    <t>sascha.kuhn2018@gmail.com</t>
  </si>
  <si>
    <t>a615c95f5f0b698b3d4588daa1e95a1d038f79af2368e01948098e345aaa6536</t>
  </si>
  <si>
    <t>howard.smith@shaw.ca</t>
  </si>
  <si>
    <t>237322480dd847bcf13a5b052cda8f53658b0f6537a4bfdb6533c9f72d33a43d</t>
  </si>
  <si>
    <t>therandomawesome1@gmail.com</t>
  </si>
  <si>
    <t>363b50b11c8f50fcaa14e36233407681ed9d6d279127bdd290f9f744ec338cde</t>
  </si>
  <si>
    <t>4c80fcaa07dda421c8fe4fc857a9ec20f33f7302bdfcd1b2b39d435ae0f79e0c</t>
  </si>
  <si>
    <t>b911dadf766bbfad8c559fbb72b7ff9fb81042ecd6ec86bf120d4e0f8e208b67</t>
  </si>
  <si>
    <t>alex@s522337306.online.de</t>
  </si>
  <si>
    <t>c5bcd4e5abd17dcc6e6a521c0b3ef1a092cf9b88118d22dc48e40b7c4d862c73</t>
  </si>
  <si>
    <t>c93a99481d000be6dbcaa7db1fc67e47777f757fced168216b97d0cee9483769</t>
  </si>
  <si>
    <t>jacobwilliams1@mail.com</t>
  </si>
  <si>
    <t>4d33e698c7a50ffdfe251573e76bc02aca14ea47d2ef5af2110c36e18cbc0839</t>
  </si>
  <si>
    <t>91596f508c4ebf9566667b69c498c0c2d2333f36d8040eaf2470b9240c855521</t>
  </si>
  <si>
    <t>ninjaxxxblake@gmail.com</t>
  </si>
  <si>
    <t>224691f29d72528a4d20b7b85170ed9ad0a4a27e55dca887e4fee64f5e64b368</t>
  </si>
  <si>
    <t>c5f03187017a70fda6f70b8e99f9f0624638f854477dad5ad0064a4bafb547a7</t>
  </si>
  <si>
    <t>itswhereits@yahoo.com</t>
  </si>
  <si>
    <t>388ee71a30e580e6177397a5137d2548823bd2f55f49b65196da3aee77e5fc9d</t>
  </si>
  <si>
    <t>joeheebs21@gmail.com</t>
  </si>
  <si>
    <t>a81519f1faea5d01c904aa9c28886470469106acea97d970a81c43536deaa28f</t>
  </si>
  <si>
    <t>da462c2c24e2fe17b8fff782f12b68224807707aa42b5b8145865a6366d23b12</t>
  </si>
  <si>
    <t>83ae7b9bd00a4c14f626b2711a4e47d7b0bc0ed11661e703eb4ac59afa1ac947</t>
  </si>
  <si>
    <t>5f7bd4e4b258e72b6d9f0d25b253ba5defda9f97b0d550959cf5e7f3568f38cb</t>
  </si>
  <si>
    <t>wetherbubble@gmail.com</t>
  </si>
  <si>
    <t xml:space="preserve">Reddit: GLIandBeer </t>
  </si>
  <si>
    <t>e211ade2f24960f1e032f897f86763a0b42b142e485c36a75c0b28cda558093d</t>
  </si>
  <si>
    <t>f169f360f3acae174bdb494f00f6532baaed617b8ba3f8fd1b973a19ddccf491</t>
  </si>
  <si>
    <t>0f18e4ea9394a3784a2ced1fa10717943c29dc38664ee5522f71c7f1235c1f64</t>
  </si>
  <si>
    <t>8994fb9d33ef5650224dd296f189ab325ce7e960f5141206ddc1931fba335b18</t>
  </si>
  <si>
    <t>275f0b2fd57e2a78244fe6685e7db222335e305ce1609a12705e0b999ecce3e0</t>
  </si>
  <si>
    <t>aba04d8d32bef47c0189be7d9c7d3675684ecb1b4f24047063c6c2d5eb99b338</t>
  </si>
  <si>
    <t>b3e0cc5d5ac79a160ead90f544096bd93bd62eb0ba03dfa920c0f9a285ceb521</t>
  </si>
  <si>
    <t>aedf53af7e3f105b7f69536fbba410d48ff4a2538747f9642db7a301e5f7ada4</t>
  </si>
  <si>
    <t>arturo.ziraldo@gmail.com</t>
  </si>
  <si>
    <t>dc9de03ad9d903048360a55e8f48fcd6f26b0487f42eadfc0b23de06c308af75</t>
  </si>
  <si>
    <t>eastern.limited@yahoo.com</t>
  </si>
  <si>
    <t xml:space="preserve">I, at 57 years old, have never had a normal intimate relationship...the mutilation is always there </t>
  </si>
  <si>
    <t xml:space="preserve"> I use restored and refer to my coverage as Neo-foreskin....it will never be OEM... original equipment</t>
  </si>
  <si>
    <t xml:space="preserve"> the fact that I must do it... my entire adult life saddled with an artificial, forced on me, violation of my body that I must address to gain what little I can</t>
  </si>
  <si>
    <t xml:space="preserve">I'm not a Christian now, I'm atheist </t>
  </si>
  <si>
    <t xml:space="preserve">Relatively quick build up then release is largely focused on genital areas but this is improving with restoration </t>
  </si>
  <si>
    <t xml:space="preserve">Manual, inflation, dual tension </t>
  </si>
  <si>
    <t xml:space="preserve">Yes, they are occasionally stronger during sex, </t>
  </si>
  <si>
    <t xml:space="preserve">It's normal in the UK, no stereotypes </t>
  </si>
  <si>
    <t xml:space="preserve">Cleaner or religious </t>
  </si>
  <si>
    <t xml:space="preserve">Hygiene and looks for heterosexual </t>
  </si>
  <si>
    <t xml:space="preserve">Usually the slower build up leads to a more intense orgasm. I almost exclusively stimulate myself by rolling the foreskin back and forth over my corona. </t>
  </si>
  <si>
    <t>jamurdock87@yahoo.com</t>
  </si>
  <si>
    <t>There was no theological basis for circumcision in my family.  It was regarded as a routine procedure for health and hygiene.</t>
  </si>
  <si>
    <t>The Catholic Church forbade circumcision.  Then it surrendered its opposition in the face of so-called medical expertise.  The Church should be on the forefront of opposing this evil.</t>
  </si>
  <si>
    <t>Build-up is faster than I would like.  Orgasm is intense but duration is brief and focus is in the genitals and not full-body.</t>
  </si>
  <si>
    <t>The need for lubrication was for my wife's comfort.  I do not masturbate.</t>
  </si>
  <si>
    <t>I would describe my circumcision as high and tight, and my glans is completely exposed when my penis is flaccid.  I have a significant amount of hair on my shaft.  Erections are not uncomfortable.  No sexual dysfunction.  Frenulum and ridged band are gone.  Skin removal was circumferentially even.</t>
  </si>
  <si>
    <t>Before I understood what circumcision does, I thought my penis and sexual experiences were normal.  My strong feelings arose after I educated myself about circumcision.</t>
  </si>
  <si>
    <t>I forgive you.  You did this out of ignorance.</t>
  </si>
  <si>
    <t>I am currently single and not sexually active.  I have told no one about my restoration because they would probably think it is very weird.</t>
  </si>
  <si>
    <t>I prefer "restored" because restoration will not change the fact that I was circumcised, which removed my frenulum and ridged band.  Restoration will not return me to an uncircumcised state.</t>
  </si>
  <si>
    <t>The most challenging has been determining the right device to use with a starting point of CI1.  The most rewarding has been rapid progress from CI1 to CI3.</t>
  </si>
  <si>
    <t>Consult with experienced restorers to find the right beginner device for the CI starting point.  Be very patient.  Do not try to rush the process and incur injuries.</t>
  </si>
  <si>
    <t>I never encountered intact men or thought about being intact.  I only saw intact penises on Greek and Roman statues in art museums, and I thought they looked odd.</t>
  </si>
  <si>
    <t>I deeply regret having my sons circumcised.  I apologized to both of them.</t>
  </si>
  <si>
    <t xml:space="preserve">I know that it’s against the Church’s teachings now, but growing up I heard, “if it’s good enough for Jesus, it’s good enough for you.” </t>
  </si>
  <si>
    <t xml:space="preserve">I wish more Christians understood the Bible’s New Testament condemns the practice for Christians. I which US Catholics were taught it’s against the Catechism as an amputation of vulnerable persons where other simple medical alternatives are available (i.e. antibiotics for UTIs, etc) </t>
  </si>
  <si>
    <t xml:space="preserve">I can feel pleasure, but I don’t feel a strong orgasm anymore; just ejaculate and a feel dissatisfied most of the time. </t>
  </si>
  <si>
    <t xml:space="preserve">I’ve used lube in the past when my partner said she needed it (i.e. the length of sex was drying her out). </t>
  </si>
  <si>
    <t xml:space="preserve">I don’t see any now, but as a child when I learned about it, I was told I should be grateful it was done as an infant so I didn’t have to go through it later o in life.  So as a child I was glad, but eventually I learned what was truly taken from me. </t>
  </si>
  <si>
    <t xml:space="preserve">Yes, anger/depressed feelings about having my genitals altered without my permission. Knowing I’ll never experience sex as I was intended to. As I’ve aged I’ve lost sensation and that’s deeply frustrating. I know I can’t talk to my family, as past hunting was
met with ridicule. I tried saving my nephews and was mocked, and I felt worse knowing they may feel like me some day. </t>
  </si>
  <si>
    <t xml:space="preserve">My scar line is no longer prominent, which I believe has been the result of restoration and stretching that area. </t>
  </si>
  <si>
    <t xml:space="preserve">In my late teens when I had access to the internet and learned what circumcision really was. It’s something a quietly resented my father for many years, because I felt he should’ve questioned the “medicine” of this pointless cosmetic procedure.  I’ve moved past resenting my parents, because I don’t think they believed they were doing what was best, and I realized my dad doesn’t question authority.  Now I get negative feelings when I’m restoring, hear about someone’s intact status, and when showering—so daily. </t>
  </si>
  <si>
    <t xml:space="preserve">I just wish someone would’ve convinced them not to have my foreskin removed, to leave the choice to me. </t>
  </si>
  <si>
    <t xml:space="preserve">No, I haven’t talked about it and I’ve had many breaks while in relationships </t>
  </si>
  <si>
    <t xml:space="preserve">Not really </t>
  </si>
  <si>
    <t xml:space="preserve">Frustrating with how long it takes, when my skin is irritated I get angry and frustrated that I’m even having to go through this. I constantly feel frustrated that I never had a choice to be left intact.  The best part is having some mobility now, where I was completely tight beforehand. </t>
  </si>
  <si>
    <t xml:space="preserve">I wish I had started younger and been consistent. I wish I had told my exes and didn’t let relationships stop me. </t>
  </si>
  <si>
    <t xml:space="preserve">I also fear it will be too cost prohibitive. Then after learning my foreskin was likely sold and medical or cosmetic companies made money off my body and feel like they should have to share profits take us whole again. </t>
  </si>
  <si>
    <t xml:space="preserve">Cleaner and less prone to infections </t>
  </si>
  <si>
    <t xml:space="preserve">I think it’s becoming less expected to be circumcised: liberals probably for bodily autonomy, conservatives due to a lack of trust in medical ethics </t>
  </si>
  <si>
    <t xml:space="preserve">How simple it is to care for an intact infant. </t>
  </si>
  <si>
    <t xml:space="preserve">It angers me that our legal system protects girls but not boys from routine genital surgeries. </t>
  </si>
  <si>
    <t>online.registrations@outlook.com</t>
  </si>
  <si>
    <t xml:space="preserve">My tip is dried out and feels like nothing. My shaft/upper shaft is the only part that feels much. My frenulum was removed, so that area isn’t special. </t>
  </si>
  <si>
    <t>thecrota5@gmail.com</t>
  </si>
  <si>
    <t xml:space="preserve">I think some intactivist organizations use wrong methods and tactics. I think they can be counterproductive for the cause, divisive and agressive </t>
  </si>
  <si>
    <t xml:space="preserve">It feels very sensitive to abrasive and rigorous stimulation. I still have a frenulum and a bit of inner skin which feel very sensitive to sliding. Sensation stops after scar and the rest feels like just pleasant but not like how it might be expected to feel if it could follow through like if it were intact. </t>
  </si>
  <si>
    <t xml:space="preserve">The only real advantage I can feel and like about not really the whole experience of being cut but something that isn't all bad is that I can always feel from my head... Not that it's helped by perpetually also not being able to be protected so. To be frank I don't see much advantage, it almost wholly seems reductive to any positivity that my natural anatomy would have provided. Even the good almost seemingly feels completely overshadowed or marred by the bad. I love my body and having my genitals damaged in this way has given me no positive perspective quality to give to what I already have. </t>
  </si>
  <si>
    <t>Psychologically it has been atrocious. I have psychological issues from my very own sensations over how they intertwine with good and bad sensations, I have felt extremely insufficient, altho my sexual experience with partners isn't necessarily negative. However my perception over my penis gives me anxiety to even show it to others and building a relationship with a hang up over any part of your body can really get in the way of things. Emotionally, I have a lot of anger and feelings of missing out on living, at least to a degree that should be accessible. Functionally I'm not a fan, I don't like how my masturbation feels reduced and tight and like I can only focus on getting errogenous and arousing sensation from the tip and what's remaining of my inner skin, frenulum, and frenular delta.  Every push in or anything pulling toward my body is distressing over this feeling that the push in should follow through with what I feel closer from the tip. And then it's just dull save for the saving grace of sensation that seemingly comes from pressure against the rest of the shaft. That feeling makes it feel like I need to feel more and it creates so much disturbance even after I've finished. It causes so much distress trying to cum actually peaking while cumming cuz I just want to feel the rest and then it dies down. Still lingering but continuously bothering. And my head has felt less and less over the years. Along with my remaining structures. I even have a hard time staying hard and I'm only 26. But it's not about staying hard overall, cuz I can get really hard but cumming, actually makes me go soft and then I can go again and I get hard again but when I masturbate I can give enough forceful stimulation to cum more than I ce while staying hard, altho I soften a bit but it's much easier to get what I need from my hand than a vagina. Having little skin to pull back, and my cut in particular is uneven which I can feel and discern smaller differences between each side of skin. Not being able to tell whether the curve or twist you have is natural or a product of being cut is very disturbing. And initially trying to masturbate was terrible as I was a child with no understanding of inner musical skin vs or people skin vs inner skin or general penile anatomy. So I would run the parts that would feel good, and very quickly caused years and causing on very delicate skin. It lasted for years till it was just tougher and stopped tearing. And doesn't feel as sensitive at all. My penis has made existing feel very alien and disconnected. However in my current state, I doesn't always feel bad beside some nerve pain that resurfaces here and there along the scar. Puberty was a major problem because I was always openly rubbing against things which made it hard to focus. I was always concerned about my penis because I actively feel it regardless of the shit I ignore over it. And I ignore whatever else but it gets to me and I'm so tired of it already. It's constant and I just want to feel at ease. So much distress over something that I should have never needed to pay attention to.</t>
  </si>
  <si>
    <t xml:space="preserve">I have an unvenly angled cut which leaves more inner skin and less outer skin on my right side that gradually twists and inverts in proportion to what other type of skin that was left, leaving my other side with more outer skin and less inner skin. It all meets at the middle under my frenulum. It's like I go from almost 2 inches of inner skin to only having about a little under an inch. And that side with less inner skin has so much more looseness. I think I have a twist and bend that could be attributes to how much remaining skin I have and how it keeps my penis restricted in a way that affects it. And it gets more pronounced as I pull my penis skin back down my shaft as far as I can. As in it twists and bends much more and almost look like my actual penis is trying to escape but is bound by the scar. Anyway one side is much looser and doesn't expose inner skin and the other side is very noticable tauter. Flaccid, same thing but there is enough skin to roll over corona but the other side is so short it inverts my remaining outer skin so that's always just reacting to things. I have the mobility to cover my head with skin but it feels better on one side and the outer skin feels amazing against my head, but only feeling up to my scar in that way feels incomplete. My scar is seemingly somewhat variable in prominence. Also I am Latino so my penis is a bit darker than the rest of my body which is a fair bit lighter. Then my inner skin is a very contrasting mucosal inner flesh like reddish pink that looks very dried and dull. Very calloused. I'm a 4'11 man with a 7 inch penis, so I feel like it's huge and the amount of skin on that alone would be a lot from how I've learned to estimate the extent and potential of what is lost. I have about 2 and a half inches of feeling from my head to the end of where my remaining inner and outer skin meet at the scar. It makes the tightness from pulling and pushing it, any stroke, to have different amounts of give and slack from both sides. One side has more mobility going forward while one side has more mobility going backward and it causes weird sensations to either direction. </t>
  </si>
  <si>
    <t xml:space="preserve">I had feelings of unease looking at my genitals throughout my early childhood till puberty. But sexually developing made it very prominent to me. And especially after having been exposed to it online through porn and seeing something that looked healthy and unlike mine. And being bi, I ended up fooling around with men and experiencing the difference has always been something that makes me question everything about myself and how I feel my pleasure and my penis's ability to hold it's sexual capacity. Growing up and looking at porn did not help in my already negative perception of having been altered in some way that I eventually learned the name to. I can't stand looking at porn. Just the visual image of another cut human being reminds me of mine and it's just horrid to me. But then I would just watch intact men in porn situations and it made me feel even more inadequate and like I am just not meant to love properly or like a human or that sex is more uneven and impaired and that I will be the reason for unfulfilling sex. Or that the issues I have with holding erections through orgasms will make partners dissatisfied. And that not only is there a disconnect with how much pleasure I am giving but with how much I am receiving and can enjoy in reciprocation. Sex itself can trigger it, masturbation can. Seeing men's intact genitals, seeing women's intact genitals, seeing other men with variably damaged genitals. </t>
  </si>
  <si>
    <t xml:space="preserve">Some nerve pain at different points along my scar, uneven skin, tight skin and unbalanced skin sensations, meatal stenosis. </t>
  </si>
  <si>
    <t xml:space="preserve">Burn in hell, I'm never doing it to my kids and you'll never be around them in their lifetime. Fuck this shit and fuck your want to control me in your gross twisted ways. I should have never been wanted to be like you, and I never wanted to ever be like you. </t>
  </si>
  <si>
    <t xml:space="preserve">Experienced feelings of loss, grief, or anger, Mildly dissatisfied with sensation or appearance, Curious about what might be different if intact, Motivated by research or learning about intact anatomy/function, Significantly dissatisfied with sensation, function, or appearance, Felt physically uncomfortable or experienced complications, </t>
  </si>
  <si>
    <t xml:space="preserve">Improve gliding mechanics/reduce need for lube, Achieve glans coverage and dekeratinization, Heal psychological trauma, Improve sexual pleasure/orgasms, Increased overall sensitivity, </t>
  </si>
  <si>
    <t>Not yet but  I notice more intensity after kind days without taking some devices off</t>
  </si>
  <si>
    <t xml:space="preserve">I personally don't have any issues </t>
  </si>
  <si>
    <t xml:space="preserve">It seems like a dream that's out of reach. Either by time or accessibility because of money. I'm already 26 so I'd rather restore than wait for something that is almost akin to false hope, altho its end goal is attainable and I will want a piece of that. </t>
  </si>
  <si>
    <t>shadowblitz401@gmail.com</t>
  </si>
  <si>
    <t xml:space="preserve">I wouldn't know I have a lot of anxiety over it but maybe ideas over writing something about it would be nice. It any ideas in a collaborative project would be nice too </t>
  </si>
  <si>
    <t xml:space="preserve">Mantor restorer device </t>
  </si>
  <si>
    <t xml:space="preserve">Yes, so many that it will take a while to answer unless I list them as is, so I will do so. Complete and utter lack of sensitivity and pleasure, shame, disgust, dysphoria, and self loathing. I can remember from an extremely young age desperately trying to push what little skin I had over my glans, and thinking "god is dumb, if I were god I would have designed some skin to cover my tip" without ever even having known what circumcision was, or that I had undergone it. I am now atheist, and identify as gay, which adds a further layer of complexity, especially when interacting intimately with other men even online, and feeling horribly inadequate. </t>
  </si>
  <si>
    <t xml:space="preserve">I would say that I was given a relatively low, but pretty tight cut with very little skin mobility, very tight erections, a highly visible dark scar, very uneven/jagged skin removal, frenulum nearly completely gone, my skin bunches up just behind my glans when completely soft, and my scar is 1/2-2/3rds up my shaft when erect, and I also have struggled with erectile dysfunction since my early years. </t>
  </si>
  <si>
    <t xml:space="preserve">I would love to feel the incredible sensitivity, the fine touch nerves, the feelings of the frenulum and ridged band, the gliding motion, the full body orgasms, and have been personally told by friends about being able to orgasm without any physical touch, just pure mind power. </t>
  </si>
  <si>
    <t>ltate0684@gmail.com</t>
  </si>
  <si>
    <t>Phone number: (509-683-3284)</t>
  </si>
  <si>
    <t>knightlightzero87@gmail.com</t>
  </si>
  <si>
    <t>u/Knight_Light87</t>
  </si>
  <si>
    <t xml:space="preserve">Journalist </t>
  </si>
  <si>
    <t xml:space="preserve">I generally feel more pain from friction/tightness rather than pleasure. </t>
  </si>
  <si>
    <t xml:space="preserve">Short, difficult to reach and not particularly pleasurable. </t>
  </si>
  <si>
    <t xml:space="preserve">I hate having to need lube to avoid friction pain. </t>
  </si>
  <si>
    <t xml:space="preserve">No matter how hard my partners try, it's difficult to manipulate my penis in a way that is not painful for me. Most of the time I just lose the erection from the pain. </t>
  </si>
  <si>
    <t xml:space="preserve">There are no advantages. </t>
  </si>
  <si>
    <t xml:space="preserve">Yes, both physical and emotional pain. </t>
  </si>
  <si>
    <t xml:space="preserve">Medical Advice (without stated necessity): Recommended by a doctor or healthcare provider without explaining a specific existing medical problem, perhaps framing it as routine or generally beneficial., Prophylactic Health Reasons (General Prevention): Belief that it prevents potential future health problems (e.g., infections, inflammation, later penile issues) that were not currently present., My parents are simply retarded and followed a Drs advice after my older brother with Down's syndrome had a UTI. </t>
  </si>
  <si>
    <t xml:space="preserve">Very little tissue left, aggressive free-hand cut. </t>
  </si>
  <si>
    <t xml:space="preserve">All aspects interest me. </t>
  </si>
  <si>
    <t xml:space="preserve">They emerged after learning about penile anatomy after my early gay experiences. I've been extremely unhappy since I became fully aware of what it was done to me. </t>
  </si>
  <si>
    <t xml:space="preserve">Tight and painful erections, dryness, lack of sensitivity. </t>
  </si>
  <si>
    <t xml:space="preserve">You will die without my forgiveness, they same way I will die suffering from the consequences of your actions. </t>
  </si>
  <si>
    <t xml:space="preserve">My parents didn't mutilate my brother because he had Down's Syndrome so they didn't care about his future sexuality. </t>
  </si>
  <si>
    <t xml:space="preserve">100% open </t>
  </si>
  <si>
    <t xml:space="preserve">Yes, slightly less pain. </t>
  </si>
  <si>
    <t xml:space="preserve">"Uncut" as a word should just disappear, trying to "reclaim" it is pointless since the general population is fully unaware of restoration/intactivism. It makes much more sense to push for the use of "intact" instead. </t>
  </si>
  <si>
    <t xml:space="preserve">The slowness can be maddening. But the results are worth it and I physically enjoy the sensation of wearing a T-tape all day. </t>
  </si>
  <si>
    <t xml:space="preserve">You have nothing to lose, time is going to pass regardless and you might as well try to enjoy your own body before you die. </t>
  </si>
  <si>
    <t xml:space="preserve">I hope it's eventually successful. </t>
  </si>
  <si>
    <t xml:space="preserve">Europeans are generally very ignorant, they just believe it's beneficial/necessary if done by medical Drs. </t>
  </si>
  <si>
    <t xml:space="preserve">There are no stereotypes like this in Spain. </t>
  </si>
  <si>
    <t xml:space="preserve">Same as above. </t>
  </si>
  <si>
    <t xml:space="preserve">Mostly cultural familiarity/media. </t>
  </si>
  <si>
    <t xml:space="preserve">Men suffer pain, sadness and anguish but sharing such feelings is frowned upon, specially when they relate to such a delicate topic. Just leave your child's genitals alone. </t>
  </si>
  <si>
    <t xml:space="preserve">More than a monster, circumcision causes extreme cognitive dissonance to the people it affects, no matter whether they are circumcised or not. It's just accepted because male suffering is ignored and normalized. </t>
  </si>
  <si>
    <t xml:space="preserve">I'm happy about any type of public debate about this topic. The gay experience surrounding it is also significantly different from the heterosexual one. Perhaps you could add questions in that sense in future surveys. </t>
  </si>
  <si>
    <t xml:space="preserve">I don't know, I'm very paranoid when it comes to this topic. </t>
  </si>
  <si>
    <t xml:space="preserve">The loss of tactile sensation in my penis after my circumcision at age nine was enormous. </t>
  </si>
  <si>
    <t xml:space="preserve">It was performed by our Jewish family physician after a hernia repair by another physician  at age nine. </t>
  </si>
  <si>
    <t xml:space="preserve">My father had me circumcised simple for the sake of conformity of genital appearance with my peers. I have written an essay about this that you can read at https://tinyurl.com/5n7mhwf9. </t>
  </si>
  <si>
    <t>Even though my relatives are aware that I, a retired family physician,  consider RIC to be disfiguring and damaging to male sexuality, they still insist on cutting their newborn males.</t>
  </si>
  <si>
    <t>pwgprime@aol.com</t>
  </si>
  <si>
    <t xml:space="preserve">I have included two Internet addresses for essays that I have written in earlier responses to questions. An additional essay that will interest you can be read at https://tinyurl.com/yntyppw8 </t>
  </si>
  <si>
    <t>leanhoelle@gmail.com</t>
  </si>
  <si>
    <t>Discord: slingr</t>
  </si>
  <si>
    <t xml:space="preserve">Prior to foreskin restoration lube was always a necessity </t>
  </si>
  <si>
    <t xml:space="preserve">sensation, gliding, lack of keratization, etc. </t>
  </si>
  <si>
    <t xml:space="preserve">Start early, start slow, just start. </t>
  </si>
  <si>
    <t>matthew.dubnicka@gmail.com</t>
  </si>
  <si>
    <t xml:space="preserve">Currently I’m a believer but don’t goto church, I feel like religion has gotten out of hand, and to political.. I prefer day to day teaching and how to be better, and treat people better with love. But I disagree with “religion” and practices. </t>
  </si>
  <si>
    <t xml:space="preserve">Yes, being overly sensitive, my underwear can rub my penis raw sometimes, way to easy to climax, not feeling like I’m natural. I feel different from other guys that are circumsised. </t>
  </si>
  <si>
    <t xml:space="preserve">The different sensations, the motion, the frenulum, the moistness, what it’s like hard verses soft. What it’s like to pee with foreskin over the glans. If it would produce more pre cum. </t>
  </si>
  <si>
    <t>amp304z@gmail.com</t>
  </si>
  <si>
    <t xml:space="preserve">It can take me a very long time to get hard but once I finally am I'll cum quickly </t>
  </si>
  <si>
    <t xml:space="preserve">I do think I have more frenulum sensitivity and also depending on the day and how long I've been covered the glans will be much more sensitive </t>
  </si>
  <si>
    <t xml:space="preserve">That they're hard to clean or dirty or likely to cause medical problems </t>
  </si>
  <si>
    <t xml:space="preserve">Frenulum, sulcus </t>
  </si>
  <si>
    <t xml:space="preserve">Less smelly </t>
  </si>
  <si>
    <t xml:space="preserve">Everything, including autonomy, sensitivity </t>
  </si>
  <si>
    <t xml:space="preserve">Don’t do it </t>
  </si>
  <si>
    <t xml:space="preserve">Manor, AirForce, manual </t>
  </si>
  <si>
    <t xml:space="preserve">Yes just partners - they’re supportive. </t>
  </si>
  <si>
    <t xml:space="preserve">A lot more intense, a lot longer </t>
  </si>
  <si>
    <t xml:space="preserve">Uncircumcised makes sense </t>
  </si>
  <si>
    <t xml:space="preserve">Do it </t>
  </si>
  <si>
    <t xml:space="preserve">It seems like a good idea but I’m concerned about it the Foregen cult. </t>
  </si>
  <si>
    <t xml:space="preserve">How violent it is </t>
  </si>
  <si>
    <t>max.g.chastain@gmail.com</t>
  </si>
  <si>
    <t>scs60junk@gmail.com</t>
  </si>
  <si>
    <t xml:space="preserve">Quick, mild, underwhelming. Very localized to genital area, but I've started noticing more reaction/sesnation as I've been restoring </t>
  </si>
  <si>
    <t xml:space="preserve">Always need it for sex despite my partner naturally producing alot of natural lubrication. </t>
  </si>
  <si>
    <t xml:space="preserve">My partner would ask what I like, or try two different levels of pressure/touch/rhythm and ask which I like better. All of it feels the same, like there's no difference. </t>
  </si>
  <si>
    <t xml:space="preserve">Minimal sensation. Tight skin. Low confidence. Feeling violated and lesser. I think it looks disgusting and unnatural (because it is). 
The mental side is very difficult. I remember being a little kid 4-5yo and having an overwhelming feeling that something was horribly wrong with me. This no doubt had ha negative effect on my upbringing and development. 
</t>
  </si>
  <si>
    <t xml:space="preserve">Had a large lump of excess skin on the scarline, looked like a wart. I initiated it. Dr  who did it at birth told my parents the skin lump would "even out" but they never did. Had the surgery at 17 to fix it. Angry that my dr never brought it up before. 
Took a tremendous mental toll. Avoided dating for my teen years. Thought I was born with an std resulting from an affair and that bringing it up would tear my family apart. 
</t>
  </si>
  <si>
    <t xml:space="preserve">Only my partner. Her reaction has been positive and supportive. I don't feel the need to discuss it with my parents given their old age. </t>
  </si>
  <si>
    <t xml:space="preserve">The physical gains have done little to impact the mental struggle. </t>
  </si>
  <si>
    <t xml:space="preserve">The importance of body autonomy </t>
  </si>
  <si>
    <t>apstiller67@gmail.com</t>
  </si>
  <si>
    <t xml:space="preserve">Gliding motion, overall sensitivity </t>
  </si>
  <si>
    <t xml:space="preserve">Manual methods, and weighted devices </t>
  </si>
  <si>
    <t xml:space="preserve">Having more free gliding skin has definitely made vaginal sex more pleasurable, with more sensation leading up to climax </t>
  </si>
  <si>
    <t xml:space="preserve">Staying consistent with restoration every day has been a challenge. Having intermittent roll over and coverage has been very rewarding </t>
  </si>
  <si>
    <t>owengberry@gmail.com</t>
  </si>
  <si>
    <t xml:space="preserve">i don't really </t>
  </si>
  <si>
    <t xml:space="preserve">I'm just glad I still have more skin to tug. The evenness of skin removal is uneven and it feels tight during an erection, while I do have rollover when I am soft. </t>
  </si>
  <si>
    <t xml:space="preserve">I do when I keep my tip covered, when I take the tape or device or retainer off </t>
  </si>
  <si>
    <t>tiktoktrash80@gmail.com</t>
  </si>
  <si>
    <t xml:space="preserve">I prefer other terms to describe being restored. I believe uncircumcised shouldn’t be commonly used to describe being intact, as it implies to me that being circumcised is the default. </t>
  </si>
  <si>
    <t xml:space="preserve">Circumcision is mutilation. Simple as that, it is mutilation, it is an egregious violation of bodily autonomy. In the same way removing the clitoral hood (AFAB structure analogous to the foreskin) is mutilation, removing the foreskin is mutilation. </t>
  </si>
  <si>
    <t xml:space="preserve">I did not like being a part of the church, and I have since left it for reasons unrelated to my circumcision. </t>
  </si>
  <si>
    <t xml:space="preserve">I guess some people find it more attractive. What people find attractive about a scarred, numb, dysfunctional stick I will never understand. </t>
  </si>
  <si>
    <t xml:space="preserve">During my entire childhood, I experienced recurring nightmares that someone in brown scrubs was coming to cut off my penis. My parents told me I was probably just remembering my circumcision, but I didn't really know what that was. When I became a teenager and learned the truth of what was done to me, and I started reliving the entire experience from start to finish in my nightmares every night, pain and all. That, along with feelings of rape, violation, loss of bodily autonomy, and mutillation genuinely almost led me to suicide. If foreskin restoration had not worked, I would most likely be dead right now. 
When I was a teenager, but before I learned what had been done to me, I found myself wishing that there was a better method to masturbate than using my rough hand and a copious amount of lube. I felt there was something I was missing. I wished that I had some kind of soft mouth or pussy or something to wrap around my glans rather than my hand. 
As I was going through puberty, my penis grew and grew until it didn't have enough skin to contain it during erections. My erections were often painful, tight to the body, and sometimes the skin would tear. My frenulum remnant tore several times, causing even more damage to an already damaged erogenous zone.
The fact that my glans was constantly rubbing on my underwear was also a sensory nightmare. I could never escape it. Never. I just had to constantly have what was supposed to be the most sensitive part of my body rubbing up against grating fabric constantly, with no release. 
One time when I was a young child at summer camp, we went swimming and then proceeded to walk around a lot after swimming before we were able to go get changed. My glans rubbed on the netting of my swim trunks until it bled. 
None of these things would have happened if I had been allowed to remain intact </t>
  </si>
  <si>
    <t xml:space="preserve">I want to know what an intact frenulum and ridged band feel like. Those are two of the structures that are severely damaged or removed completely during circumcision, and they are also the two most sensitive parts of the penis. Where the frenulum intersects the ridged band is often called "the male clitoris" for it's nerve density and it is removed entirely in circumcision. </t>
  </si>
  <si>
    <t xml:space="preserve">They first emerged in my early teens, but they got WAY worse after I took an anatomy and physiology class where the professor explained all of the form and function of the foreskin, and then proceeded to explain what circumcision was and how it destroys all the most sensitive parts of the penis for no real medical reason, and without their consent. I will never forget when one of my (intact) classmates said "Oh my God, that's horrible. They're missing the best part!" </t>
  </si>
  <si>
    <t xml:space="preserve">Please don't. Love, your son. </t>
  </si>
  <si>
    <t xml:space="preserve">They are cheesy, smelly, and the foreskin is just a "useless flap of skin" </t>
  </si>
  <si>
    <t xml:space="preserve">It's healthier, cleaner, etc. </t>
  </si>
  <si>
    <t xml:space="preserve">I have had men that preferred intact cock, I've had women that preferred intact cock. I've had men that preferred circumcised cock, and I've had women that preferred circumcised cock. Usually, my female partners that prefer circumcised have never been with an uncut man prior to me. Then, after getting to experience something really close to a intact foreskin, they change their minds. This has not at all been my experience with men. All the men that I've been with that have a preference for cut cock have kept that preference. I don't know if this just means that I'm much better at pleasuring women than I am men, but I digress. </t>
  </si>
  <si>
    <t xml:space="preserve">Circumcision is male genital mutillation. We have banned all forms of female genital mutillation, and are universally horrified by the practice, but male genital mutillation is treated as normal, routine, and necessary. It's insane. </t>
  </si>
  <si>
    <t xml:space="preserve">Restoring my foreskin wasn't enough to fix all of the mental and emotional damage that circumcision did to me. I have been working with a trauma therapist that specializes in EMDR, and that has helped me tremendously to recover the rest of the way emotionally. My physical restoration is almost done, my mental restoration still has a little ways to go, but I'm getting there. </t>
  </si>
  <si>
    <t>simbasboy6@gmail.com</t>
  </si>
  <si>
    <t xml:space="preserve">That I would be open to doing. </t>
  </si>
  <si>
    <t xml:space="preserve">I am now Atheist, but the religion of my parents didn't directly inform the reasons for my circumcision. </t>
  </si>
  <si>
    <t xml:space="preserve">Rubbing on clothes can be frustrating and sometimes painful.
I much prefer the look of an intact penis so it's harmed my self image.
Growing up my friends were all intact so I felt like the odd-one-out.
My country, and generally gay men in my country have a preference towards intactness which has impacted my dating and sex life. </t>
  </si>
  <si>
    <t xml:space="preserve">It's absolutely worth it. Do lots of research. </t>
  </si>
  <si>
    <t xml:space="preserve">Not done routinely but also not frowned upon if done. </t>
  </si>
  <si>
    <t>styling-artwork7k@icloud.com</t>
  </si>
  <si>
    <t xml:space="preserve">Ironically, I never heard any. </t>
  </si>
  <si>
    <t xml:space="preserve">Im not a Christian. </t>
  </si>
  <si>
    <t xml:space="preserve">Theres a tiny remnant of foreskin left and it has sensation. The rest is nothing. Even as restoring at ci 5 the skin itself is not affected. </t>
  </si>
  <si>
    <t xml:space="preserve">My orgasm intensity comes from pelvic floor health not glandular sensation. </t>
  </si>
  <si>
    <t xml:space="preserve">Some </t>
  </si>
  <si>
    <t xml:space="preserve">Yes. The improved gliding and when consistently dekeratinzed, they feel great. </t>
  </si>
  <si>
    <t xml:space="preserve">Consistency </t>
  </si>
  <si>
    <t xml:space="preserve">Have a plan. Stay consistent. </t>
  </si>
  <si>
    <t xml:space="preserve">That people are not using their brains. Stupid for even stepping foot into a hospital to give birth in the 1st place. </t>
  </si>
  <si>
    <t xml:space="preserve">Propaganda and lies. </t>
  </si>
  <si>
    <t xml:space="preserve">They obviously do not believe in male humanity. </t>
  </si>
  <si>
    <t xml:space="preserve">The medical industry is anything but Transparent. I worked as a courier and delivered a package to a pediatrician office and the window in front of clerks desk was opaque. They are hiding this. Its not transparent. </t>
  </si>
  <si>
    <t xml:space="preserve">I could say a lot but its late and tired. I write my hatred for this practice on my blog. </t>
  </si>
  <si>
    <t>philnoble97@proton.me</t>
  </si>
  <si>
    <t xml:space="preserve">Sensation, gliding motion and frenulum sensation </t>
  </si>
  <si>
    <t xml:space="preserve">Teen years </t>
  </si>
  <si>
    <t xml:space="preserve">Manator </t>
  </si>
  <si>
    <t xml:space="preserve">I use it sometimes other times I use the term restored </t>
  </si>
  <si>
    <t xml:space="preserve">Always finding the time or right device. The most rewarding part is the increased sensation </t>
  </si>
  <si>
    <t xml:space="preserve">Unknown, it was just assumed that everyone was circumcised. Not really discussed in the home, school or sexual education </t>
  </si>
  <si>
    <t xml:space="preserve">That everyone was circumcised </t>
  </si>
  <si>
    <t>devildog08@icloud.com</t>
  </si>
  <si>
    <t>Cell phone (602)-775-4643</t>
  </si>
  <si>
    <t xml:space="preserve">Asexual, queer </t>
  </si>
  <si>
    <t xml:space="preserve">my parents were religious for a short period before they fell off and became largely non religious </t>
  </si>
  <si>
    <t xml:space="preserve">i can only do light touch on my glans, otherwise it's uncomfortable/too intense/creates an involuntary contraction. my skin remnant/what I've restored feels good when I try to glide onto it, it mostly reaches the corona, so it feels very pleasurable there and where the frenulum used to be. I like light to medium pressure and very rarely like direct contact on my inner foreskin/glans unless it's very lubricated. nevertheless, this type of sensation feels less full but it's still technical pleasurable. the negative aspect of this stimulation is that it mostly triggers ejaculation/bad orgasms, so I highly disprefer this type of stimulation over using my foreskin </t>
  </si>
  <si>
    <t xml:space="preserve">I really dislike lubricant. it feels like it reduces my sensations and I can't glide my foreskin as well. I do produce a lot of precum and it can sometimes create this issue but a moderate amount does enhance my pleasure slightly. ideally, I just use whatever tackiness my foreskin has and that is sufficient lubrication without removing the necessary friction </t>
  </si>
  <si>
    <t xml:space="preserve">all of it, I want to be able to touch every part of my foreskin and feel the maximal potential sensations of every part. I want have the look as well, I want to have overhang and have it be completely unambiguous that I have foreskin </t>
  </si>
  <si>
    <t xml:space="preserve">I have one part of the right side below the corona that I believe has very faint scarring and very easily creates painful sensations if touched a certain way and interferes with stimulation </t>
  </si>
  <si>
    <t xml:space="preserve">manual, I believe Andre's method? I've tried T Taping, some devices, but they've been less satisfactory </t>
  </si>
  <si>
    <t xml:space="preserve">very few, mostly because I don't talk about sex often </t>
  </si>
  <si>
    <t xml:space="preserve">I haven't thought of that because I have been very intermittent with my restoration and have a long way to go. I don't know how I'll feel when I'm "done". I think I would likely not lie about being circumcised despite what it would look like but I would mention that I have restored. I think because I won't have all the original anatomy, I wouldn't necessarily feel inclined to fall myself uncut. I think the idea of reclamation is great though </t>
  </si>
  <si>
    <t xml:space="preserve">being able to be consistent. it is exceedingly difficult for me and if I had been consistent since I had begun, I'd likely have incredible coverage and could probably claim to be finished. this has been difficult to contend with but the rewarding aspects have kept me from feeling too disappointed. the most rewarding is looking intact while flaccid to some and the sensation. my orgasms aren't always consistently amazing, but the improvement I do have alone is sufficient to feel worthwhile </t>
  </si>
  <si>
    <t xml:space="preserve">never give up. even if you stop for months/years, it's never too late, and you will ALWAYS experience some sort of benefit. it's pointless to lament what could have been; instead, it's better to see how much you gain even from short periods of consistency and that those gains are permanent </t>
  </si>
  <si>
    <t xml:space="preserve">if it becomes viable, that's great! I still think it's worthwhile to restore traditionally </t>
  </si>
  <si>
    <t xml:space="preserve">something seldom done and usually associated with white Americans and upper class Mexicans </t>
  </si>
  <si>
    <t xml:space="preserve">it's actually easier to take care of, especially for a baby/child. people don't realize the extra work involved in caring for a circumcised penis and how zero maintenance is involved until puberty/first retraction </t>
  </si>
  <si>
    <t>feminazzy@gmail.com</t>
  </si>
  <si>
    <t>pennyclosething (on reddit)</t>
  </si>
  <si>
    <t>I was cut at birth.  My shaft skin isn’t very sensitive compared to what’s left of my foreskin.  I began restoring in my early 30s as a result of research I did when I realized I was experiencing sexual dysfunction (inability to climax) during sex as my sensitivity faded as I got “older” (I was 29 when I noticed the reduced sensation).  Research exposed me to the damage circumcision does, the frequency of adult sexual dysfunction as a result, especially as a man ages, and the possibilities and positive results from no surgical foreskin restoration.  I decided to try it, got great results rather quickly, and kept at it until my full sexual function returned.</t>
  </si>
  <si>
    <t xml:space="preserve">Great since I’ve restored my foreskin.  Before, not so much. </t>
  </si>
  <si>
    <t xml:space="preserve">I used to use lube all the time for masturbating. Since I’ve restored my foreskin, I almost never use it. </t>
  </si>
  <si>
    <t>For me, I had none.  I was very poorly cut, leaving extra skin on top and cutting the underside far too tight.  I had infections in the overlap of skin on top of my glans as I was growing up and extremely painful torn frenulum issues later in life.  I truly knew my penis had been purposely mutilated.</t>
  </si>
  <si>
    <t xml:space="preserve">Endless antibiotic creams to cure infections on the top due to the “excess” skin left and it being folded up against the base of my glans, creating the perfect place for infections to start.  Also, bandaging to let the frenulum heal after regular sexual activity tore it open due to my circumcision. </t>
  </si>
  <si>
    <t>When i was 29, having trouble reaching an orgasm and doing the research to discover what was wrong ad how to fix it.  Having had my penis needlessly mutilated for no reason is ALWAYS troublesome for any type of sex, partnered or alone.</t>
  </si>
  <si>
    <t>Do not do it. You’ll be dooming your son to a lifetime of pain, loss of sensation, grief, feelings of being militated, betrayed.  The only person deciding to surgically alter anyone’s genitals should be that person, no one else.</t>
  </si>
  <si>
    <t>T-tapes.  But I restored close to 30 years ago now and very few options were available then.</t>
  </si>
  <si>
    <t>HUGE change.  Even after only a few weeks of having my glands covered by the t-tapes and o-rings I was using.  The difference was noticeable in about two weeks.  Unfortunately, that realization of what was pointlessly take from me when I was cut at birth stirred up a lot of anger and grief over it, but that’s a different story.</t>
  </si>
  <si>
    <t>Big time.  I was nearly unable to orgasm before I started. Researching that problem was what lead me to restoring.</t>
  </si>
  <si>
    <t>Be patient.  Don’t try to go too fast or you could hurt yourself (guess how I know that!)</t>
  </si>
  <si>
    <t>I keep hoping to actually happens.  I’d give almost anything to be able to get back what was taken from me.  No surgical restoration has been great, but regrowing what was/is supposed to be there would be even better.</t>
  </si>
  <si>
    <t>My parents claim they never consented to my brother or me being cut.  In 1963 and 1964, doctors just did it post birth and handed a screaming newborn over to his mother afterward.</t>
  </si>
  <si>
    <t xml:space="preserve">Circumcision is needless, pointless genital mutilation that comes with great risk, both to your son’s genitals and his future mental and sexual health. </t>
  </si>
  <si>
    <t>ewolff1516@yahoo.com</t>
  </si>
  <si>
    <t>ewolff4272@gmail,com</t>
  </si>
  <si>
    <t>Personal essays or interviews would be fine.  Whatever works to promote preserving genital integrity and an end to both MGM and FGM.  The only thing I cannot do is debate the issues. They’re far too emotional and upsetting for me to be able to do that.</t>
  </si>
  <si>
    <t xml:space="preserve"> One</t>
  </si>
  <si>
    <t xml:space="preserve">Slow progress </t>
  </si>
  <si>
    <t>Due to my advanced age  (88), I no longer reach orgasm.</t>
  </si>
  <si>
    <t>No, I have not been open. I started restoring when foreskin restoring was new. I did not want to be labelled as "some kind of nut case", so I kept it to myself.  I can now pass for intact, so I leave it at that.</t>
  </si>
  <si>
    <t>Those terms are offensive. I recommend terms such as normal, natural, whole, complete, intact, and foreskinned.  I recommend using "foreskinned" regularly to introduce it into circulation.  https://en.intactiwiki.org/wiki/Foreskinned</t>
  </si>
  <si>
    <t xml:space="preserve">Patience and perseverance are required. </t>
  </si>
  <si>
    <t xml:space="preserve">Truck driver </t>
  </si>
  <si>
    <t xml:space="preserve">Love my penis gliding, sucking, texture of seaman rubbed all over my gland,shaft,and balls. Anal play, prostate message and my ass being felt. </t>
  </si>
  <si>
    <t xml:space="preserve">Gradual build up intensely pleasurable all over </t>
  </si>
  <si>
    <t xml:space="preserve">Only if partner needs lube </t>
  </si>
  <si>
    <t>Disappointed, oral, anal, and vanilla sex position.  No kinky sex.</t>
  </si>
  <si>
    <t xml:space="preserve">Appreciation of the exposed head and easy to keep clean.  </t>
  </si>
  <si>
    <t>My penis and testicles  were  burned  by acid in an industrial accident and  scarring my shaft and gland making me feel slightly embarrassed if people saw it.</t>
  </si>
  <si>
    <t xml:space="preserve"> Veins, soft skin and scarring on parts of my shaft and gland.  Tight skin when erect. </t>
  </si>
  <si>
    <t xml:space="preserve">After I was burned with acid in,an industrial accident and scarring my gland and shaft, which now have white and dark brown complexion </t>
  </si>
  <si>
    <t xml:space="preserve">Manual, silicon gripper, weights </t>
  </si>
  <si>
    <t xml:space="preserve">No, it's personal. Afraid of failure </t>
  </si>
  <si>
    <t xml:space="preserve">Definitely </t>
  </si>
  <si>
    <t xml:space="preserve">Somewhat </t>
  </si>
  <si>
    <t xml:space="preserve">Restored </t>
  </si>
  <si>
    <t xml:space="preserve">Time/results, sensation </t>
  </si>
  <si>
    <t xml:space="preserve">Do it, get all your sensations back </t>
  </si>
  <si>
    <t xml:space="preserve">I wish it to become avaliable, affordable, and bring back all that was taken, coverage and sensations. </t>
  </si>
  <si>
    <t xml:space="preserve">Your born intact stay intact </t>
  </si>
  <si>
    <t xml:space="preserve">I wish I stayed intact </t>
  </si>
  <si>
    <t xml:space="preserve">Circumcision is a choice for the individual not anyone else </t>
  </si>
  <si>
    <t>voter1477@gmail.com</t>
  </si>
  <si>
    <t xml:space="preserve">Text </t>
  </si>
  <si>
    <t xml:space="preserve">Not sure right now </t>
  </si>
  <si>
    <t>I recall learning about those biblical references.  The Catholic position was originally against circumcision.  The Catechism of the Catholic Church states that, "except when performed for strictly therapeutic medical reasons, directly intended amputations, mutilations, and sterilizations performed on innocent persons are against the moral law."  This should apply to circumcision, but sadly Catholic hospitals don't forbid this cosmetic procedure on infants.</t>
  </si>
  <si>
    <t>There are a number of types of sensation, pressure and touch intensity.  The inner foreskin and frenulum, along with the glans are quite sensitive.  The gliding motion is incredible and produces significant pleasure</t>
  </si>
  <si>
    <t>It is generally and best from gradual build-up and this results in very strong intensity and longer duration.  The final release is intensely pleasurable, full-body, and lingers for a while after orgasm.  A faster build-up can still be very pleasurable, but is not as intense.  Sex and gliding motion produces the most intense orgasms.</t>
  </si>
  <si>
    <t>Wish my body produced more pre-cum for lubrication, as that is the main thing that is lacking.  Despite this, the moisture and skin quantity allows for masturbation without lubricant.  My partner has ample lubrication, so sex is even better in that regard.</t>
  </si>
  <si>
    <t>Many - insecurity, disgust at the scars and unnatural appearance, as well as the loss of structures that are physiologically important and provide pleasure and function.  Dried out skin, discomfort, less sensation during sex to where orgasms seemed less intense than of partners, lack of natural lubrication, glide, and protection.  Emotionally insecure of my penis (despite it being large) and body as a whole.</t>
  </si>
  <si>
    <t>Looser, as is expected from the timeframe (80's) and method (Plastibell) used.  The skin was wrinkled behind the glans prior to restoring,  was mostly tight but not painful when erect considering major expansion in size from erection.  Scar isn't colored like from Gomco method, but was visible as a non-smooth line.  Some difference from side-to-side.  Glans fully exposed when flaccid (and erect).</t>
  </si>
  <si>
    <t>Frenulum fully intact, rigid band sensation, glans texture, gliding motion.  Also if the tip would have more sensitivity due to meatotomy performed as a child due to UTI's likely caused from meatal stenosis resulting from circumcision.</t>
  </si>
  <si>
    <t>Meatotomy at age 5, initiated by doctor as a result of frequent UTIs.  I hate that I had further mutilation as a result of circumcision, wonder if I'd have more sensation without the meatotomy on the opening, or if it somehow impacted production or stimulation of precum secretion.  It causes urine stream issues at times as well.</t>
  </si>
  <si>
    <t>When I discovered what had been taken from me and that there is no legitimate medical reason for what was done.  The scars, missing pieces, impact on my personal and sexual confidence.</t>
  </si>
  <si>
    <t>Metal stenosis, urinary spraying as a result of meatotomy, discomfort with sex/masturbation due to lack of skin and lubrication.  Lack of penile sensitivity and orgasm intensity</t>
  </si>
  <si>
    <t>Fuck you - why did you think it was acceptable to mutilate my healthy and normal body, ruin my sexuality.  What led to the idea that allowing me to be restrained, without anesthetic, and mutilated and raped as a helpless infant by some perverse pedophile doctor was a good idea?  All to fit into some kind of stupid cult-like belief that a mutilated penis is somehow healthier, safer, superior, or normal.  I have spent decades feeling insecure.  This may have affected my choice of a life partner because I was too insecure to interact with others.  It certainly played a role in my decision to not have children.  It destroyed my confidence.</t>
  </si>
  <si>
    <t>T-Tape method in the beginning, then switched to Tug-Ahoy.  Later purchased TLC-X for dual tension, which improved comfort and progress.  Currently using Foreskinned Air 2, which is even more comfortable, produces faster results, and easier to use.</t>
  </si>
  <si>
    <t>My female partner has always known and is very favorable to it.  She now experiences vaginal orgasms from sex and can see how much happier I am both with my body, and with the pleasure I get from sex being much closer or equal to hers as I have progressed further.</t>
  </si>
  <si>
    <t>Incredibly more sensation, types of sensation, intensity of sensation.  Frenulum, inner foreskin, glans all have increased sensitivity as well as quality/intensity of the pleasure.</t>
  </si>
  <si>
    <t>Absolutely 100% - Orgasms were rarely if ever a total full body phenomenon, and the intensity and resultant pleasure are magnitudes better.  I can't say that they were poor or not pleasurable before, but by comparison it is crazy.  The orgasms now last longer, my body shakes and shudders, and I am left awash in a full-body glow which lasts much longer.  I attribute at least some of this to being able to achieve glide.</t>
  </si>
  <si>
    <t>I agree with the author, about reclaiming the term uncut/uncircumcised.  I consider myself as such given that I have CI-9 level coverage, overhangs the glans into a tapered, closed snout.  Even in earlier stages without full flaccid coverage, I have seen where doctors notes listed me as uncircumcised, as have others who have seen my penis.</t>
  </si>
  <si>
    <t>Sticking to the process and believing that I was making progress.  After I was mostly covered flaccid, I had a gap because I stupidly thought I was done or had little to no more gains to make, which was totally wrong.  For one, I didn't really feel completely whole, and for two, the gains from glide are remarkable.  The change in orgasm and intensity has been breathtaking.  It has been insanely rewarding, and motivates me to keep wearing my device.  I still have some progress to make before I would consider myself finished, as I am a substantial "grower" and would like my erect state to have some coverage, as well as additional skin to ensure glide is 100% and maintain a more intact look.</t>
  </si>
  <si>
    <t>Do it, use an air device because it will make good progress and be easy to use. Your sex life will improve dramatically, your orgasms will be better, your intimacy will blossom.  It improved a good relationship, made me able to be happy with my body and penis, and more comfortable with nudity.  It has been one of the most important self-improvements I have made in my life.</t>
  </si>
  <si>
    <t>I totally believe it - our culture constantly sends messaging about intactness being bad, and something that should be considered rape and violation of bodily autonomy, in addition to being mutilation, is sane-washed into a healthy improvement.  I've always believed that anyone that looks at the actual facts cannot morally justify doing such a thing, and especially routinely and on individuals that cannot consent.</t>
  </si>
  <si>
    <t>This was a very intensely in-depth survey.  Thank you for doing this and I hope that the data it captures will help change minds.  I consider the doctor who did this to me a rapist and a despicable individual.  I personally don't know how someone with a soul could inflict such damage on a helpless infant.</t>
  </si>
  <si>
    <t>zap@columbus.rr.com</t>
  </si>
  <si>
    <t>Definitely open to contributing in some way, uncertain as to exactly what extent without further details of how and where it may be used.  If anonymous, I definitely would be eager to participate and maybe even if not.</t>
  </si>
  <si>
    <t xml:space="preserve">not directly...however, my mother preempted her brief and inaccurate lecture on what circumcision is, by explaining that the circumcision of Jesus was the "real" reason we celebrate New Years Day. </t>
  </si>
  <si>
    <t xml:space="preserve">I am baffled at the contradiction between St. Paul's lengthy condemnation of the Jewish practice of circumcision and the massive silence of the American Catholic Church. </t>
  </si>
  <si>
    <t xml:space="preserve">That totally depends upon my state of mind and what mental stimulation has preceeded the physical </t>
  </si>
  <si>
    <t xml:space="preserve">I do Not consider it an advantage... not at all. </t>
  </si>
  <si>
    <t xml:space="preserve">I was somewhat loosely circumcised and my frenulum and the area just below the frenulum was largely left intact. Even as a pre-teen, those physical structures provided me with pleasure. As a young adult, it became clear to me that I enjoyed "more" than what other circumcised men enjoyed. This led me to comprehend and wonder what intact men must enjoy, above and beyond those who have been circumcised. The pleasure from my frenulum and associated tissues was so vivid, that that it provided me with one of the strongest incentives to become active in the Genital Autonomy Movement. </t>
  </si>
  <si>
    <t xml:space="preserve">The exact, same circumcision technique will result in different healed appearances, depending upon the natural characteristics of the penises being circumcised. My penis is a "grower" and that alone strongly influenced the appearance of my penis. I was circumcised just before my 3rd birthday. The development of my penis beyond birth status , influence how the surgeon could carry out the procedure--allowing for more "accuracy" than a RIC. The method used, I believe, was free-hand with forceps guided. The surgeon did not go back, after amputating the foreskin, and remove either the frenulum ... nor do any further "trimming" of the mucosa (as is usually done today). As a young circumcised adult, when flaccid, both the shaft skin and remaining mucosa would bunch-up behind the corona. I could - even erect - pull the skin over the corona, but it wouldn't stay there. My scar was pale, continuous but a bit "wobbly." The area below my frenulum-- where my circumcision scar crosses over the frenular delta has a few skin tags that are remnants from foreskin folds. Otherwise, my penis was circumcised in a very tiddy and "competant" fashion. </t>
  </si>
  <si>
    <t xml:space="preserve">I grew up in the world of art --- having been led through the galleries of great art museums from the time I was in a stroller. By the age of 7, I was keenly aware of the difference between the beautiful men and boys of the classical Greek and Roman statues, and my own physical appearance. Renaissance paintings...especially Michelangelo's "Adam," in the Sistine Chapel further impressed upon me "their" beauty and the clumsy appearance of my genitals. I also had a French-born playmate who had no inhibitions to urinate in the open, when we were playing in wooded areas. I knew from early on that there were two types of penises-- also, which of the two I preferred-- but didn't know "why." Learning "why" occurred when I was 12 yo. </t>
  </si>
  <si>
    <t xml:space="preserve">only if asked do I explain in detail </t>
  </si>
  <si>
    <t xml:space="preserve">I believe restoration mainly serves the psyche and not sexual function. But, that does diminish its value. I tell others that the path to restoration is a long one and success depends largely upon they degree of circumcision you experienced. </t>
  </si>
  <si>
    <t xml:space="preserve">A man's perception of his penis colors everything in his life. To tell a young man that his penis, in its natural state, was /is unhealthy and needed surgical intervention, is to tell a young man that his gender is unhealthy . </t>
  </si>
  <si>
    <t xml:space="preserve">I have explained this in my previous answers </t>
  </si>
  <si>
    <t xml:space="preserve">"Intactivism" fails, to a large degree, because of the unwillingness to admit to the physical difficulties that many, many intact teens and young men experience-- inability to retract; painful tightness; premature ejaculation; and more. Until these problems are truthfully addressed in a non-invasive manner, the "Intactivist Movement" will continue to be seen by young men-- both circumcised and angry / as well as circumcised and satisfied...as false leadership . </t>
  </si>
  <si>
    <t>Rohow1@yahoo.com</t>
  </si>
  <si>
    <t>813 679 2945</t>
  </si>
  <si>
    <t xml:space="preserve">Yes, I am working on a print article at this time. </t>
  </si>
  <si>
    <t xml:space="preserve">I presume another so it's necessary to get in but after that I'm good.  </t>
  </si>
  <si>
    <t xml:space="preserve">None.  </t>
  </si>
  <si>
    <t xml:space="preserve">Being angry that it was done to me.  </t>
  </si>
  <si>
    <t>I have a lot of mobile skin even before starting to restore.  Also, when I was about 5 I got bit by a mosquito and the little amount of skin I had swelled up and now it's bunched up.  People ask me if I'm uncut</t>
  </si>
  <si>
    <t xml:space="preserve">I thought I was left intact and the mosquito bite caused the foreskin to bunch and I asked my mom and she said I had been circumcised </t>
  </si>
  <si>
    <t>Spray.  I have to sit down to pee</t>
  </si>
  <si>
    <t xml:space="preserve">No words.  I'd punch my dad in the face for doing it but he's dead.  </t>
  </si>
  <si>
    <t>P.U.D. with weights.  I'm going to get a DTR soon</t>
  </si>
  <si>
    <t xml:space="preserve">I haven't noticed any changes </t>
  </si>
  <si>
    <t>No.  The servers or structures of the foreskin will never come back.  I'll always be mutilated.</t>
  </si>
  <si>
    <t xml:space="preserve">Most challenging would be the time and fear of losing more skin.
Rewarding would be that it's an inside joke among friends when they know I'm wearing it.  </t>
  </si>
  <si>
    <t>"Cleaner"  is the answer people seem to use the most</t>
  </si>
  <si>
    <t xml:space="preserve">Hygiene and it's the norm for my generation </t>
  </si>
  <si>
    <t xml:space="preserve">Body autonomy.  The parents don't own the body.  The man should get to choose as an adult. </t>
  </si>
  <si>
    <t>It's not transparent.  It's solid, right in front of people.  It's the people who are monsters to inflict mutilation on a baby.</t>
  </si>
  <si>
    <t xml:space="preserve">It should be illegal and every doctor should be in jail.  The nurses in the room should be locked up and the parents should be in jail for child sexual abuse and put on the sex iffenders registery. Also, no religious exemptions. The child isn't born religious, they are born to religious parents.
  Hospitals should be fined for every one they performed in the past.  That money should go to research foreskin regeneration.  
</t>
  </si>
  <si>
    <t>shammahit@gmail.com</t>
  </si>
  <si>
    <t xml:space="preserve">Still having to wait to get an appointment to get rid of a skin Bridge </t>
  </si>
  <si>
    <t xml:space="preserve">Don't have any </t>
  </si>
  <si>
    <t xml:space="preserve">The movement of the foreskin over the glans feels really good, this is a huge improvement over before I had restored my foreskin </t>
  </si>
  <si>
    <t xml:space="preserve">I need lubricant for sex as my wife is menopausal but not for masturbation </t>
  </si>
  <si>
    <t xml:space="preserve">My wife does not really understand how to deal with my new foreskin </t>
  </si>
  <si>
    <t xml:space="preserve">Only my wife, I feel anyone else would understand and think I was weird </t>
  </si>
  <si>
    <t xml:space="preserve">It seemed that mostly only foreign boys weren't circumcised </t>
  </si>
  <si>
    <t xml:space="preserve">That they were cleaner </t>
  </si>
  <si>
    <t xml:space="preserve">Circumcision takes away tissue that is very important and there is no way to ever get it back. </t>
  </si>
  <si>
    <t>abirchall6307@gmail.com</t>
  </si>
  <si>
    <t xml:space="preserve">Victoria Australia </t>
  </si>
  <si>
    <t xml:space="preserve">The most sensitive area is my frenulum, especially with lighter, circular motions. My shaft is sensitive mostly to firmer touch and gliding motion by borrowing scrotal skin. My glans is sensitive in an uncomfortable way most of the time, but feels some pleasurable sensation just before and during orgasm. </t>
  </si>
  <si>
    <t xml:space="preserve">My orgasm builds much like an exponential curve. There’s barely any pleasure until I’m getting close to climax. The final release is mild and brief, about 5 seconds on average. I liken my orgasm to a biological function more so than a deep satisfying release. Despite that, I do enjoy masturbation. </t>
  </si>
  <si>
    <t xml:space="preserve">When masturbating, I do not use lubrication, as I cannot receive enough stimulation to reach orgasm most times without a firm grip. With a partner lubrication helps. </t>
  </si>
  <si>
    <t xml:space="preserve">I find it difficult to help a partner navigate toward my pleasure centers. What stimulates me during masturbation doesn’t necessarily stimulate me with a partner. I require fairly precise movement and pressure in order to climax, otherwise I take a very long time to get there.  </t>
  </si>
  <si>
    <t xml:space="preserve">I cannot see any advantages. </t>
  </si>
  <si>
    <t xml:space="preserve">Yes, my sensations are far from what I’ve seen and heard described by intact/restored individuals. I have come to realize many aspects of my life have been affected by my circumcision. Not having autonomy over one’s body, especially over something as personal and pleasurable as one’s foreskin, has taken a toll on me psychologically and emotionally. </t>
  </si>
  <si>
    <t xml:space="preserve">When erect, my shaft has to borrow some scrotal and pubic skin. My scar line is misaligned on the ventral side by about half an inch, and the color difference between the inner and outer skin is stark, highlighting the scar. I have very little inner skin, probably a third of what I’d expect to have if left intact. My glans is very dry and received very little pleasurable sensation. My shaft skin is immobile without the borrowed skin mentioned before. </t>
  </si>
  <si>
    <t xml:space="preserve">Definitely the gliding motion and the impact of intact mucosa. Different sensations go hand in hand with that. I also wonder how I might feel differently about my penis if it were intact. More positive, I would assume. </t>
  </si>
  <si>
    <t xml:space="preserve">They first emerged when I saw an intact penis at the age of six or so. They’ve increased in frequency and intensity since I’ve looked into restoration. My discomfort and lack of genuine pleasure contributes greatly. </t>
  </si>
  <si>
    <t xml:space="preserve">No one can change the past, but I hope with my testimony they would choose not to circumcise if given the chance again. </t>
  </si>
  <si>
    <t xml:space="preserve">I opened up to a friend about my disdain toward circumcision and educated them on the plethora of cons as I see them, and as I’ve read others have experienced them. They were dumbfounded and did a bunch of research on their own. They came back to me with what they found, and reiterated how disgusted they were that circumcision is so routine. </t>
  </si>
  <si>
    <t xml:space="preserve">I’ve only been restoring for a few weeks, but my glans has been much less dry and is actually the slightest bit sensitive in a positive way, as opposed to my experience before. </t>
  </si>
  <si>
    <t xml:space="preserve">Not yet. </t>
  </si>
  <si>
    <t xml:space="preserve">In the future I hope to mirror the sentiment that reclaiming those words will be empowering, however at this time I feel the need for validation of my loss and grief. If I were to be magically done with restoration right now, I’d choose “restored”, because it acknowledges the trauma caused by my circumcision. </t>
  </si>
  <si>
    <t xml:space="preserve">The most challenging has been accepting what was done to me. I didn’t think about it being a no -consensual amputation of tissue until recently. The most rewarding would be the small improvements in skin texture on my glans even in the short time I’ve been restoring. </t>
  </si>
  <si>
    <t xml:space="preserve">Join a group or forum. The r/foreskin_restoration subReddit is awesome. It helps validate my own feelings, and it opens my eyes to just how common complications from circumcision are. I also appreciate the courage of others to share images of their restoration on r/restoringdick, as men are typically quite reserved about what they consider ‘problems’ with their genitals. </t>
  </si>
  <si>
    <t xml:space="preserve">It saddens me that there is a need for this technology in the first place, but I’m glad someone is working toward that end. I hope one day circumcisions are only ever done with medical justification, and extremely conservative at that. </t>
  </si>
  <si>
    <t xml:space="preserve">Religion plays a major role, but circumcised penises are seen as the norm. </t>
  </si>
  <si>
    <t xml:space="preserve">They’re harder to clean, prone to infection, unsightly, odorous. </t>
  </si>
  <si>
    <t xml:space="preserve">They’re clean, preferred, attractive. </t>
  </si>
  <si>
    <t xml:space="preserve">All of the above, unfortunately. </t>
  </si>
  <si>
    <t xml:space="preserve">Most of the world is uncircumcised and do not encounter the issues we wrongly assume to be associated with intact foreskin. </t>
  </si>
  <si>
    <t xml:space="preserve">It does. The amputation of vital anatomy of the male genitalia is totally fine, but the same is not said regarding female genitalia in much of the world. </t>
  </si>
  <si>
    <t>gem_trekker@yahoo.com</t>
  </si>
  <si>
    <t>Kandryve (Reddit)</t>
  </si>
  <si>
    <t xml:space="preserve">Generally it is only skin movement on what is left of my inner skin and frenulm remnant that provides real pleasure feelings </t>
  </si>
  <si>
    <t xml:space="preserve">it feels like a reflex, usually builds a little in the groin but is breif and does not lead to full body sensations usually </t>
  </si>
  <si>
    <t xml:space="preserve">Its hard to explain to partners that i don't really like glans touching when my glans is always exposed and leads to a lot of uncomfortable sensations </t>
  </si>
  <si>
    <t xml:space="preserve">feeling like i'm not enough, that i had to be changed, that people didn't care about me, the lack of sensation and the stealing of my body form me </t>
  </si>
  <si>
    <t xml:space="preserve">short inner skin and frenulum fragment some mobile shaft skin, visable scar </t>
  </si>
  <si>
    <t xml:space="preserve">interacting with my penis generally can cause them as its a constant reminder that i was altered against my wishes,  they first started when i was 12 and got more frequent when i started to turn 30 </t>
  </si>
  <si>
    <t xml:space="preserve">How dare you teach me that bodily autonomy was key when you disreguard mine, if you truely have morals you won't do it. </t>
  </si>
  <si>
    <t xml:space="preserve">I have tried andres manual methods and the DTR </t>
  </si>
  <si>
    <t xml:space="preserve">yes, most responses are generally neutral </t>
  </si>
  <si>
    <t xml:space="preserve">My glans is more smooth and sensitive and the sensitivity of my frenar area has increses </t>
  </si>
  <si>
    <t xml:space="preserve">has lead to some increse in the intensity of orgasms as well as more tollerance of lubed contact with my glans </t>
  </si>
  <si>
    <t xml:space="preserve">The depression at the amount of time it takes as well as just issues with skin griping and fatigue </t>
  </si>
  <si>
    <t xml:space="preserve">Try it, espeically if your in the strong anger and greif, it does help feel like you're reclaiming your body </t>
  </si>
  <si>
    <t xml:space="preserve">Just something you did, either cultually or for medical reasons </t>
  </si>
  <si>
    <t xml:space="preserve">that they were less clean and some how wrong </t>
  </si>
  <si>
    <t xml:space="preserve">they were cleaner, people prefered them </t>
  </si>
  <si>
    <t xml:space="preserve">Generally people are open to it or curous about both, there is a very slight preffernce to circumcised due to porn and the lack of experence with intact </t>
  </si>
  <si>
    <t xml:space="preserve">That it is hypocritical to preach consent when we deny our son's the right to make choices about their own genitalia </t>
  </si>
  <si>
    <t>rhapsody032590@gmail.com</t>
  </si>
  <si>
    <t>tannjensen@gmail.com</t>
  </si>
  <si>
    <t xml:space="preserve">There is this weird desire amongst the Lutherans that I have grown up with to idolize specific Jewish law from the old testament, in this case circumcision, yet get violently opposed to others, such as not eating certain meats. I feel like when Kellogg and these other pro circumcision moralists in the 1950s pushed this as something for Christians to do, it somehow stuck and had been a blight in their thinking that hasn't gone away. Lastly, with the exception of that one pastor I have never heard another one in 38 years speak on the topic. </t>
  </si>
  <si>
    <t xml:space="preserve">Sensative to touch, but not light touch. Sensitivity is at its highest when I'm getting hard, then the head almost becomes numb to friction and I struggle to maintain a feeling of pleasure. </t>
  </si>
  <si>
    <t xml:space="preserve">Currently my orgasms are fairly quick and not as explosive as they were years ago. On a good day I will feel it radiate up my back, but most of the times it's very localized to the pelvic region with some light muscle spasms in the thighs. </t>
  </si>
  <si>
    <t xml:space="preserve">I get the most pleasure from the friction or force on my penis, so at least when it comes to masturbation, I find myself not using lube most times. However, since I'm cut this usually leads to tears or friction burns, depending on how long I go. Lube is necessary for actual sex. </t>
  </si>
  <si>
    <t xml:space="preserve">Because my sensitivity is at its highest leading to an erection, as sexual activity progresses, I become more numb on the glands. This has led to moments where I start getting soft, and she begins to wonder if there's something wrong she is doing. Saying it's not you, it's me, rarely works. And since I'm in the USA and most women have experience with other cut men, they compare my lack of sensitivity to other situations where they've had no issues, and they believe that I'm lying and it is their fault. </t>
  </si>
  <si>
    <t xml:space="preserve">I'm not sure what they would be. I guess the one time I was asked by a girl about it and I said I was cut, she said good and then blowed me. Beyond that, I'm sure what's good about it. </t>
  </si>
  <si>
    <t xml:space="preserve">I was cut too tight. Early erections as a child would tear shaft skin and likely contributed to peyronies disease, that I would later be recommended to fix via surgery. All sexual activity has required lube of some sort, even when young. Prolonged activity would usually lead to dryness and friction, which would cause tears or burns on my penis. </t>
  </si>
  <si>
    <t xml:space="preserve">Scar is very noticeable and almost halfway down the shaft when erect. Prior to restoration, the skin was super tight, like the insides were trying to break out. Glans was always visible. </t>
  </si>
  <si>
    <t xml:space="preserve">Gliding motion and the feeling of being flaccid with a protective layer over the head. And then wondering what that head would feel and look like after not rubbing against clothing. </t>
  </si>
  <si>
    <t xml:space="preserve">Peyronies disease. A surgery to fix curvature from internal damage was done when I was 20. I sought out treatment because erections had been painful as a young teen and got worse as I got older. 
Tried chemical injections first to fix it, but they didn't work. Stretching exercises and devices were not recommended by the "specialists".
they put the surgical scar on top of my circ scar, almost like they knew that would be the best way to hide one surgery with another. The first scar already bothered me, but to see it become more prominent following the surgery angered me. It also angered me to learn that my condition may have been caused by the circumcision to begin with, and that alternative options to to surgery were available but in typical American doctor fashion they went straight to surgery. </t>
  </si>
  <si>
    <t xml:space="preserve">When I was 14 in high school. I grew up, and still am, Christian and heard old testament stories about circumcision. All I knew was that it involved my penis. High school was when I first saw a foreskin and what was done to remove it. Knowing that it was unnecessary for religious reasons started the anger of went out was done to me. I then had access to the internet and began to read up on the medical necessity, or lack there of, of the surgery and sealed it for me. It was done to me without my consent and for no good reason. </t>
  </si>
  <si>
    <t xml:space="preserve">Overly tight skin, confirmed. Suspected it contributed to Peyronies disease curvature. </t>
  </si>
  <si>
    <t xml:space="preserve">I don't knew why you did this, if it was a deliberate choice or a passive don't care type of choice, but it wasn't right. There was and still is no reason to do this to me or any other boy. And while things can't be changed for me, they can be for others. And if I ever have a son, I will never do this to him. </t>
  </si>
  <si>
    <t xml:space="preserve">T tape to start, but I became impatient with it. I moved on to the DTR and used it for awhile, but the bell would cut off circulation so I could not wear it the recommended 8hrs a day. Weight tugging with ForeGestalt is the most comfortable method I have foind, along with their indirect air system, and I think it's working. I am still in the process. </t>
  </si>
  <si>
    <t xml:space="preserve">No. The majority of my friends come from a Conservative Christian background, and are conditioned to believe that it's somehow necessary for religious purposes, despite it Christianity opposing it in the new testament.
The closest I came was telling my younger brother I opposed circumcision, and I got the stereotypical American "it's no big deal" answer. I didn't try to explain that I was attaching devices to my penis to stretch the skin. </t>
  </si>
  <si>
    <t xml:space="preserve">I have no increased sensation, as I no longer have a frenulum. </t>
  </si>
  <si>
    <t xml:space="preserve">If I wait a week to have an orgasm following a full week of restoration, the corona of my gland feels great. This is when I get the rare orgasm where my legs shake and I can feel it up my back. </t>
  </si>
  <si>
    <t xml:space="preserve">I would never call myself either of those terms, since even if I achieved CI 10 coverage, I know that I will never be truly whole. Personally I hate both of those terms to begin with, as they seem to define a natural state in a negative sense (not being or Un being). Intact and natural are better terms to me. </t>
  </si>
  <si>
    <t xml:space="preserve">Time. I have been at this for 18 years and I'm still at CI4. As I get older it appears to be more difficult to make any gains. But the few times I see the skin roll over the glands or if I hold it over and it stays for a few minutes, that's when I get motivated. </t>
  </si>
  <si>
    <t xml:space="preserve">Be patient. Most people recommend starting with T Tape to get a base amount of skin, and they're right. I abandoned it too quickly and went straight to devices and I believe that set me back. And don't work through pain. Physical pain does not mean it's working harder or faster. </t>
  </si>
  <si>
    <t xml:space="preserve">I wish this technology success and that it would become widely available to all men worldwide (although knowing American Healthcare, they will probably try and jam it up or make it cost prohibitive.) </t>
  </si>
  <si>
    <t xml:space="preserve">American Medical Society pushes circumcision as a medical necessity, so it's usually not questioned since the "experts" recommend it. And in my experience among American Christians, there is this weird overlap where they feel this one facet of Jewish Old Testament law is still a necessary action and so they feel they have to do it ( some view it under the lens of "it couldn't hurt" which implies that it could help spiritually. This flies in the face of Christian teaching that faith not works leads to salvation). </t>
  </si>
  <si>
    <t xml:space="preserve">The common stereotype I heard in high school was they were weird or dirty. And only "foreigners" had them, not "Americans". 
I didn't even know what an intact penis was or looked line until I was 14. I felt like not acknowledging them was a way saying anyone natural was "different". </t>
  </si>
  <si>
    <t xml:space="preserve">They look better, are cleaner, and girls like them better were all the things I heard growing up. </t>
  </si>
  <si>
    <t xml:space="preserve">The fact that cut was the default state of most men for multiple Generations in America shaped it as the norm. In my experience, the vast majority of men and women have no idea what a foreskin is or does. Men don't want to admit something is wrong or done to them, and women have been conditioned to believe that cut is how it should look. </t>
  </si>
  <si>
    <t xml:space="preserve">What a foreskin is and does, and mostly what it doesn't do and the issues it doesn't cause. </t>
  </si>
  <si>
    <t>sarose0319@aol.com</t>
  </si>
  <si>
    <t xml:space="preserve">It has always feltls tight when Im erect. It it feels somewhat tight even when Im not erect. The only thing Id say that went well about my circumcision is that my penis wasnt cut in half like Dave Reimer's </t>
  </si>
  <si>
    <t>waitohyeahwaitaminutemrpostman@protonmail.com</t>
  </si>
  <si>
    <t xml:space="preserve">Frenulum remnant is very sensitive to touch and stimulation, the corona is close behind it. Beyond that it's pretty even across the board at a moderate level. </t>
  </si>
  <si>
    <t xml:space="preserve">It hurts more, has to be shorter, and is less pleasure by and order of magnitude without it. </t>
  </si>
  <si>
    <t xml:space="preserve">I am in neutral about the detriments, but I don't really see that many advantages. I disagree with most of the ones people talk about, but I am not overly discouraged because of that. I do like the way I look, and I am fairly happy with it all things considered. But I wouldn't necessarily call it a plus side. </t>
  </si>
  <si>
    <t xml:space="preserve">What was the largest factor in why you did have it done, and would you do it differently now? </t>
  </si>
  <si>
    <t xml:space="preserve">Primary Manual Methods 2 and 5, more recently DTR. </t>
  </si>
  <si>
    <t xml:space="preserve">Somewhat confused but supportive of pursuing restoration for my partner. Quite supportive for my sister. No one else known, just not relevant to bring up, and I don't have the world's best relationship with my parents. </t>
  </si>
  <si>
    <t xml:space="preserve">Minor improvements all around. </t>
  </si>
  <si>
    <t xml:space="preserve">It's going to be some time before major change occurs, but it might not be as long as you think for small improvements, and motivating steps forward. </t>
  </si>
  <si>
    <t>blazehunter922@gmail.com</t>
  </si>
  <si>
    <t>(530)551-3230</t>
  </si>
  <si>
    <t xml:space="preserve">None, there’s no advantages of being circumcised. </t>
  </si>
  <si>
    <t xml:space="preserve">So much emotional and physical trauma. It has even caused me to be disabled to the point of being unable to work due to its trauma. </t>
  </si>
  <si>
    <t xml:space="preserve">They first emerge around age 7. Being reminded of the fact that I’m a victim of mutilation. Even feeling my head rubbing against my pants. </t>
  </si>
  <si>
    <t xml:space="preserve">Manual method 2 and stealth retainer </t>
  </si>
  <si>
    <t xml:space="preserve">Partners, yes. Reactions are either confused or understanding and or wanting to restore themselves </t>
  </si>
  <si>
    <t xml:space="preserve">Intact are evil and unholy, ugly, impure, etc </t>
  </si>
  <si>
    <t xml:space="preserve">Bodily autonomy </t>
  </si>
  <si>
    <t>moonpanda2020@gmail.com</t>
  </si>
  <si>
    <t>radness0814 on discord</t>
  </si>
  <si>
    <t xml:space="preserve">I learned on my own that Christianity opposes the practice </t>
  </si>
  <si>
    <t xml:space="preserve">Frenulum area, waist/inner thigh, scrotum </t>
  </si>
  <si>
    <t xml:space="preserve">Full body now because of 10+ years of circumcision reversal methods (aka foreskin restoration) </t>
  </si>
  <si>
    <t xml:space="preserve">Only for bottoming </t>
  </si>
  <si>
    <t xml:space="preserve">Due to societal pressures in my past, I have not had many experiences that I could and should have had. Can be difficult to convey that. </t>
  </si>
  <si>
    <t xml:space="preserve">There are no advantages to routine genital modification to a nonconsenting person and their amputated body part is sold for profit </t>
  </si>
  <si>
    <t xml:space="preserve">It created hate. It left scars physical and mental that can never be fully healed from </t>
  </si>
  <si>
    <t xml:space="preserve">Uneven scar  </t>
  </si>
  <si>
    <t xml:space="preserve">Being a whole male human </t>
  </si>
  <si>
    <t xml:space="preserve">Primarily in late high school years and thinking more </t>
  </si>
  <si>
    <t xml:space="preserve">Tight skin affecting erections and sexual activity </t>
  </si>
  <si>
    <t xml:space="preserve">Too horrific a response to share - the hate this modification created within me could make me seem psychotic </t>
  </si>
  <si>
    <t xml:space="preserve">Combination approaches of various devices and manual methods </t>
  </si>
  <si>
    <t xml:space="preserve">Yes but I tend to not share it now - I have lost friends, made to feel belittled because of the process, and was told I was wrong to do it. For those who I have shared, most have been supportive. </t>
  </si>
  <si>
    <t xml:space="preserve">Changes all over; from centered physical sensations to emotional and mental </t>
  </si>
  <si>
    <t xml:space="preserve">I can now experience long lasting full body orgasms </t>
  </si>
  <si>
    <t xml:space="preserve">Those terms are technically incorrect - there is no such thing as uncut. The penis is designed to have everything there, anything else is modified. Untouched, unmodified, are more correct terms. Uncut or uncircumcised creates a way for people to willfully be ignorant of the natural male form. </t>
  </si>
  <si>
    <t xml:space="preserve">The commitment to actively healing when it’s something nobody should have to do. </t>
  </si>
  <si>
    <t xml:space="preserve">It is one of the best forms of self love we can do. </t>
  </si>
  <si>
    <t xml:space="preserve">The procedure is proof that humans are stupid and the fact that is continues make humans even stupider. </t>
  </si>
  <si>
    <t xml:space="preserve">It was the social norm </t>
  </si>
  <si>
    <t>jvasquez041589@gmail.com</t>
  </si>
  <si>
    <t>Text - 909-992-9660</t>
  </si>
  <si>
    <t xml:space="preserve">Documentary, article, research </t>
  </si>
  <si>
    <t xml:space="preserve">I have no feeling in my glans. I coul run it with sandpaper and not feel it.  </t>
  </si>
  <si>
    <t xml:space="preserve">It can be a marathon to reach ejaculation.  Often orgasm is brief and not great.  </t>
  </si>
  <si>
    <t xml:space="preserve">Before growing additional shaft skin through a process of foreskin restoring, sex or masturbation was painful without lube.  </t>
  </si>
  <si>
    <t xml:space="preserve">Desire is present but sex does not satisfy and often feels robotic.  Sex often seems more likel fucking rather than making love.  </t>
  </si>
  <si>
    <t xml:space="preserve">None.  None at all.  </t>
  </si>
  <si>
    <t xml:space="preserve">Don't Know/Not Told: The reasons were never explained or learned later., Parent's General Preference: Parents simply preferred the circumcised appearance or state without specific medical, religious, or cultural reasons being primary., My narcissistic  parents are fucked in the head.  They had to find a doctor to do this shit as most doctors refused to.  My parents actively found someone to cut me when the medical advice was to not cut.  </t>
  </si>
  <si>
    <t xml:space="preserve">Tight cut, no mobile skin. Very prominent Gomco scar. Frenulum almost entirely removed. </t>
  </si>
  <si>
    <t xml:space="preserve">Not having nerve rich skin ripped off.  Having a frenulum. Not having a keratinised head.  Having sensual tissue and a delicate foreskin. 
</t>
  </si>
  <si>
    <t xml:space="preserve">Since childhood. </t>
  </si>
  <si>
    <t xml:space="preserve">Lack of skin to accommodate erections.  Meatal stenosis. </t>
  </si>
  <si>
    <t xml:space="preserve">They need to understand how the hurt me. I have protected my kids from cutting and from them.  </t>
  </si>
  <si>
    <t xml:space="preserve">Manual method 2 until I had enough skin to use DTR and later CAR. </t>
  </si>
  <si>
    <t xml:space="preserve">Yes open.  Partner supportive. </t>
  </si>
  <si>
    <t xml:space="preserve">Not huge changes yet.  But glans is still fully exposed and Keratinised. Some improvement in the frenulum area.  </t>
  </si>
  <si>
    <t xml:space="preserve">Slightly improved to date but much further to go.  </t>
  </si>
  <si>
    <t xml:space="preserve">Intact genitals or cut genitals to describe status.  Restored to describe restored penises. The word circumcised or uncircumcised should be canceled. </t>
  </si>
  <si>
    <t xml:space="preserve">Most challenging is defently going from a tight cut  as there was nothing to work with manual was very slow.  Now can use devices. 
Most rewarding is no longer seeing a very pronounced Gomco scar every time I see my dick. Also the gliding function is so much better than being cut tight.  </t>
  </si>
  <si>
    <t xml:space="preserve">Patients and dedication is key. </t>
  </si>
  <si>
    <t xml:space="preserve">Unfortunately it is very easy to prey on the vulnerability of desperate or distraught people.  I hope I am proved wrong. </t>
  </si>
  <si>
    <t xml:space="preserve">Rare in my community but parents insisted. </t>
  </si>
  <si>
    <t xml:space="preserve">Intact was normal.  </t>
  </si>
  <si>
    <t xml:space="preserve">Viewed  as damaged and dry. </t>
  </si>
  <si>
    <t xml:space="preserve">Leave the child intact. Circumcision is cruel. </t>
  </si>
  <si>
    <t xml:space="preserve">Thank you. </t>
  </si>
  <si>
    <t>timothy.m.bullen@gmail.com</t>
  </si>
  <si>
    <t xml:space="preserve">Western Australia </t>
  </si>
  <si>
    <t>busyelectron548@protonmail.com</t>
  </si>
  <si>
    <t xml:space="preserve">I've only really told my mom (she noticed my tugger underneath my pants and asked about it). She was okay with it, but was worried about possible infections (I don't think she's that educated about foreskins). Haven't told anyone else, nor do I plan to. This is for me </t>
  </si>
  <si>
    <t xml:space="preserve">Well to be honest, most women seem to say they prefer it if asked. That's about the only advantage I can think of; physically it's only negative </t>
  </si>
  <si>
    <t xml:space="preserve">Probably mostly psychological. But I really really hated that this was done to me, and for a while I hated my parents. Physically I never had any trouble masturbating without lube, but orgasm was extremely underwhelming. </t>
  </si>
  <si>
    <t xml:space="preserve">When I first learned that I had been circumcised, at about 12, I felt extremely uncomfortable and humiliated. But I thrust those feelings aside, until at 16 I learned about the harm it does. I think even more than the harm itself, the thing that made me sad and crazy and obsessed was that this was done to me without my consent. </t>
  </si>
  <si>
    <t xml:space="preserve">Maybe just a little bit? As I recall they were still pretty short and not very intense </t>
  </si>
  <si>
    <t xml:space="preserve">As I said in an earlier answer, its taken a very long time for me to consider myself uncircumcised or uncut. I think I'm finally there though. But I also would not mind being more specific for a good reason or an interested partner </t>
  </si>
  <si>
    <t>homsarcoffee85@gmail.com</t>
  </si>
  <si>
    <t xml:space="preserve">lack of sensation, depression, suicidal thoughts, etc </t>
  </si>
  <si>
    <t xml:space="preserve">seeing foreskins in porn </t>
  </si>
  <si>
    <t xml:space="preserve">you won’t regret this, keep trying no matter what. you’ve got this </t>
  </si>
  <si>
    <t xml:space="preserve">that it was gross, dirty, unclean, unattractive </t>
  </si>
  <si>
    <t xml:space="preserve">they were cleaner, better, more attractive etc </t>
  </si>
  <si>
    <t xml:space="preserve">porn and culture, progression </t>
  </si>
  <si>
    <t>maleficform@gmail.com</t>
  </si>
  <si>
    <t xml:space="preserve">yes, under an alias and anonymous </t>
  </si>
  <si>
    <t xml:space="preserve">Start with a device, and as soon as you can. </t>
  </si>
  <si>
    <t>cbudge92@gmail.com</t>
  </si>
  <si>
    <t>Lubrication is most beneficial, and all but required for me during frottage with a male partner: grinding against one another while embracing, belly to belly or with thighs intertwined. Based on intact partners' experiences, I believe that with good foreskin coverage and gliding, it could still improve sensation, but would no longer be necessary for this type of intimacy, which could be nice for spontaneity.  We'll use it for anal sex too, but that's a good idea for anyone practicing that, circumcised or not.  It's not necessary for masturbation, nor manual attention from a partner, since I wasn't cut as tightly as some, and have enough motile skin left. For PIV with a woman, it's also not needed but can help for her comfort, maybe to a greater degree than if I were intact.</t>
  </si>
  <si>
    <t>My boyfriend is from Europe, had never been with a circumcised man before me, and was disappointed that most of his best fellatio techniques, so effective for his previous partners, just couldn't do much for me, as a result of my impaired sensitivity.  Also, we enjoy frottage for its inherent symmetry (no "top"/"bottom" polarity), but feel this is compromised by our difference in circumcision status - I need a lot more stimulation than he does, making it difficult for us both to linger on the brink of orgasm, as we enjoy.</t>
  </si>
  <si>
    <t>It probably does make cleanliness and hygiene slightly easier, saving perhaps a minute or two per day.  Some partners like the aesthetic.</t>
  </si>
  <si>
    <t>Having been born in mid-70s, near the height of this dumb pseudo-medical fad, although I wish they had somehow pushed back against ever-present doctor and hospital pressure, I can't reasonably blame them for having gone along. It was difficult to even find contrary opinions or arguments back then, though being intact himself, and never having had any problems as a result (to my knowledge) might have given my father pause.  We've discussed how I wish that hadn't happened, but never in an accusatory way.  My father's now deceased, and my mother will never have more children, so no good could come of stoking rancor or regret.  Parents who make such a decision today, though, are another story. I now feel quite distant from a once-close friend who insisted on cutting her son.</t>
  </si>
  <si>
    <t>That's an interesting notion, and I'm not far enough along for this to be personally relevant yet, but even if I manage to restore as fully as possible, I probably wouldn't be inclined to call myself "uncut" (except maybe on some medical form, if that's the closest applicable option).  For those few people who will ever know of my status other than accidentally, intimate partners but eventually friends too, I'd want to share with them the whole process, to emphasize that there really are people who feel dissatisfied enough with being circumcised that they're willing to go to all this trouble to (partially) "fix" it.  For some, this might help dispel the usual dismissive, no-big-deal attitudes on this topic.  And if I have a chance again to influence someone against circumcising their child, I'll likely share my story while trying to dissuade them.</t>
  </si>
  <si>
    <t>cleaner, more attractive, (paradoxically) more "natural".  Occasionally acknowledged as less sensitive, but that would be presented a good thing, helping a man's "stamina" and letting him have sex longer, or better please his partner.</t>
  </si>
  <si>
    <t>When I was growing up, I heard more negative comments about intact genitals, and for those few who stated a preference (especially girls &amp; women) it was invariably for circumcised. I think this general leaning has abated somewhat in later generations, though, and it's perhaps never been as prevalent among men attracted to other men, though of course people all have their own aesthetic ideals, some even a fetish for circumcision, which I would never want to be involved with. Cultural narratives,  along with pornography, probably both play a role.</t>
  </si>
  <si>
    <t>That claimed health/cleanliness benefits are dubious, often exaggerated, and have changed over time as new justifications seemed necessary; and that the tissue removed is not merely an inconsequential flap of skin: its absence will have lifelong impacts on one's sexuality. Some detrimental effects, like accelerated sensitivity loss, can take years to fully manifest, so even for men cut as adults, who can actually claim some before-vs-after experience, the immediate post-healing state isn't necessarily an indication of how you will end up, years down the line.  Of course, I support anyone's right to do as they wish with their own body, but please do your research first!</t>
  </si>
  <si>
    <t>The more I learn about circumcision and its rather sordid history in America, the more bizarre it all seems, particularly the fact that it's still routinely offered and done as a standard, non-therapeutic procedure in normal hospitals, with few people ever giving this much thought.  This reminds me of how FGM is still routinely done in Egyptian hospitals, acknowledging that the degree of harm done is usually greater from that.  I think your metaphor is apt.</t>
  </si>
  <si>
    <t>Your survey seemed quite thorough and well-done. One technical suggestion, though: consider updating the final page, which says "Survey Complete! Thank You for Your Candid Feedback!", to include a very prominent reminder that respondents need to scroll all the way down, past the various informative links, QR code, images, etc. to click Submit and actually register their results.  Otherwise, I can imagine quite a few seeing "Survey complete!" and just closing out that page, with their information being unwittingly lost.</t>
  </si>
  <si>
    <t>jnh@vt11.net</t>
  </si>
  <si>
    <t xml:space="preserve">I'm naturally a very habit-focused person, so developing a habit and being consistent were non-issues for me. The learning curve of some devices was occasionally challenging, as figuring out how to apply them or how to create tension was not always obvious, or I would have to ask questions in forums/discord communities to figure out what the intent was.
Understanding my emotions and feelings on the subject of restoration, especially when dealing with difficult devices or vague instructions was my biggest challenge overall. The frustration of having to go through a years (or decades) long process to partially reverse a decision I had no input in and would have never made myself is a mental quagmire. </t>
  </si>
  <si>
    <t xml:space="preserve">Cultural prevalence. </t>
  </si>
  <si>
    <t>krisxwilliams@gmail.com</t>
  </si>
  <si>
    <t>6b395b20c21c5b554391afb7aab7a5199c9a2f0d5953af6595b21ac21c05d8cd</t>
  </si>
  <si>
    <t>spw184@gmail.com</t>
  </si>
  <si>
    <t>8066c72b65c8718175d75f897acd7eca0e2c163df104dc4515324838604a3186</t>
  </si>
  <si>
    <t>c36fc06cfa58549d2a0294fc1f9a62c04e1bf52e548ca7c2757db97317952ffc</t>
  </si>
  <si>
    <t>danielfd1986@gmail.com</t>
  </si>
  <si>
    <t>27d4754bc8474e4c59af40381fd5b40b6bc1ccc75a0790b0b4c5a0a7f359b9f7</t>
  </si>
  <si>
    <t>d15b923090ddf1c7804157df563a0bb4ae75a320bf02c187e6a7524a975115f4</t>
  </si>
  <si>
    <t>circsurvey@jalapeno.party</t>
  </si>
  <si>
    <t>c53302ef87cad1768cf4293c25e89b8d965d06887524785d6a1924fa69a8edbb</t>
  </si>
  <si>
    <t>hardacroposthion@gmail.com</t>
  </si>
  <si>
    <t>cdeb4f34ff22faed89be59c8a1c74305f7fac2697baec9952fa1bc115473487f</t>
  </si>
  <si>
    <t>29a8e455c01f5cedf2bbca1f5511ae1144c9d3f6920c8a538c820339207deb2f</t>
  </si>
  <si>
    <t>fa3e7059b5a176449c1ebe9ddbb881fc841ca1a183500eb6d37511901c295286</t>
  </si>
  <si>
    <t>32bd202dd457d93383308755c8839df43a4fd5e15a9eb27ada89fbe2a2371ed8</t>
  </si>
  <si>
    <t>35966f612e3d49e2c1b1fe80333a570a19bbfa228834864d9ad824d214e6b63d</t>
  </si>
  <si>
    <t>I_Need_This_For_Reddit@protonmail.com</t>
  </si>
  <si>
    <t>89cb08961e118ae64f7571b86c6cb8482704197733447adb6cc0c3cf620a6e76</t>
  </si>
  <si>
    <t>arcticfoxjay@protonmail.com</t>
  </si>
  <si>
    <t>@arcticfoxjay on Bluesky</t>
  </si>
  <si>
    <t>2bed874e60d7f19e16f1f5d276436a45f7a61814eb680146d47d9a1df982c3af</t>
  </si>
  <si>
    <t>prepaidcustomer199@gmail.com</t>
  </si>
  <si>
    <t>d4fb7bf8bd9b192f5e55aad98f6b48f0acc7b2d4c7fc1cf2a1b01ac26ebbc80f</t>
  </si>
  <si>
    <t>sparecreativity@gmail.com</t>
  </si>
  <si>
    <t>37911a492396079342c3ecdfb60fe8ec3155a8f9ad327e54ed9a154617d5a798</t>
  </si>
  <si>
    <t>jefflo928@aol.com</t>
  </si>
  <si>
    <t>79e72b06f953d73fcb61fd2e559884e424933113a41bb3b0162f26bc3acbc4fe</t>
  </si>
  <si>
    <t>dvacher@gmail.com</t>
  </si>
  <si>
    <t>0f3518a6b9cba4d5b11a21ffcf5f9605622e3fd791b9f470b20247fac0b43587</t>
  </si>
  <si>
    <t>DaemonCypher@gmail.com</t>
  </si>
  <si>
    <t>ZhigZhog#4232 on discord</t>
  </si>
  <si>
    <t>7a3391d9e7f6e18faaa5fdc3f21ba34048238de4228908c5a8b6ba739ac76632</t>
  </si>
  <si>
    <t>minuet.robust_6a@icloud.com</t>
  </si>
  <si>
    <t>14b517d7c1ffc362d094fc0a8b333470482d2495c4653ad4279fdf1b98e35af5</t>
  </si>
  <si>
    <t>jsmith2147483647@gmail.com</t>
  </si>
  <si>
    <t>fa50efc25bf7274f02aa4064dc0938ecc1b70d4613891ff664a636ae1694c7a6</t>
  </si>
  <si>
    <t>juntar74@gmail.com</t>
  </si>
  <si>
    <t>Reddit username: juntar74</t>
  </si>
  <si>
    <t>31568f806a9f6f04d8a39cdb3d01f2e100300df83547a0c91c2bc47041e22a7f</t>
  </si>
  <si>
    <t>logson2272@gmail.com</t>
  </si>
  <si>
    <t>36aeb47e2b2de4c052ebf0ecd2b0919859130e04ad82fe62faf520da7bf94c87</t>
  </si>
  <si>
    <t>fencingfireferrets@gmail.com</t>
  </si>
  <si>
    <t xml:space="preserve">Discord: sparkledooks </t>
  </si>
  <si>
    <t>a5a2c1f65cfd3bf49be052946f85e9f1442bfa20a46cc25e975ac00a393d0edc</t>
  </si>
  <si>
    <t>mattblasch75@gmail.com</t>
  </si>
  <si>
    <t>f2d525306e6c6851f877d47f62b0a28611912ce07ff9065293e1351c035bf4e6</t>
  </si>
  <si>
    <t>agrushkin@gmail.com</t>
  </si>
  <si>
    <t>1f0563a40958cac8d2dd0755e00d4054c53dff2b1f6d78f992edffa1a1e500a1</t>
  </si>
  <si>
    <t>wallacem41@gmail.com</t>
  </si>
  <si>
    <t>1 (505) 340 -1221 [send text first, otherwise I won't answer.]</t>
  </si>
  <si>
    <t>f455eb85244f70171cf4291d2ea831ae257d5ee08ed1ce62f5ffe940613eede3</t>
  </si>
  <si>
    <t>mgawthrop1@gmail.com</t>
  </si>
  <si>
    <t>f16ad1906070a11ddf8cbb1e6373067b0f5bf30a8c3ad5564deafe1373a48f2d</t>
  </si>
  <si>
    <t>kamkuzich@gmail.com</t>
  </si>
  <si>
    <t>e55f219682d531ef254e93bd807e8338bab828ec6ea004fcd746ef8a681e294e</t>
  </si>
  <si>
    <t>b244501876c80ecbe7b83e292dfcad62492ec8c4ededd4830da99f44e32c408f</t>
  </si>
  <si>
    <t>It's "normal"</t>
  </si>
  <si>
    <t>It is a one way decision that destroys a vast amount of pleasure sensing nerves.</t>
  </si>
  <si>
    <t>0925ed199465bd38f16064e7a728acda8630644ede893a16064071abbf9456a3</t>
  </si>
  <si>
    <t>33969a1b716f44bd572332363992496685584b88fd6d5a89d17965e8967edeef</t>
  </si>
  <si>
    <t>williamkodiak2016@gmail.com</t>
  </si>
  <si>
    <t xml:space="preserve">615-362-5686 cell or on Facebook at https://www.facebook.com/share/1GHC2YrRnN/?mibextid=wwXIfr </t>
  </si>
  <si>
    <t>3a6850eaa9e2fdad85da3d51ccf8a200d41b377158e7699d3bc7a1c44ffb0f98</t>
  </si>
  <si>
    <t>2a11f1f1a3a41a92a193ecb45769594ab63a5113885f3e7a226d0a4730e25b7a</t>
  </si>
  <si>
    <t>RonJLow@gmail.com</t>
  </si>
  <si>
    <t>1989aaa043ac30547b16415f31718467047d1bd33cccf0434fb631a072cfa472</t>
  </si>
  <si>
    <t>0bdf575dd063705ab4fffc1b66750972f8844bc22686374cd32765489218b533</t>
  </si>
  <si>
    <t>0ed037c94ed0f4da3b99c5c5b0b6e39492e0f0d4f15b5e10cf04aceed25f44dd</t>
  </si>
  <si>
    <t>restoredmembers@gmail.com</t>
  </si>
  <si>
    <t>5b8ab16606f9d6792689144c36fa7db4eb31424397504435581c4130c0b8502f</t>
  </si>
  <si>
    <t>665a1f0853a2a67d2e4b07720897865eee33cd0287fccaad6a2966f6d135677d</t>
  </si>
  <si>
    <t>fe70cc17579ecd451c9d74e897c0f586ab0792b53dda2bbcfaf5b3b4348b541d</t>
  </si>
  <si>
    <t>fc3e9c649d4425369ccfeda28c99672950df2f6eed5edb0366d7e7980a04d5d2</t>
  </si>
  <si>
    <t>91c52188c6bb0245764bff52e928370a995e44d7de446524d7b7477df9561b56</t>
  </si>
  <si>
    <t>brandon@mybettermail.net</t>
  </si>
  <si>
    <t>bf50e685b68d0efcce55bb96f59aa715e8f5af88809f6480740e1496f1383d96</t>
  </si>
  <si>
    <t>a5d5b8a0f1e047849498086ecb695b50969399d96a54dc24ad55e7613a0ecd69</t>
  </si>
  <si>
    <t>3213420d1ac54033da6e6c149582ba46983186200eac2e746fc78184cc6f6d2f</t>
  </si>
  <si>
    <t>041b6cbcc68c041ef15ce9362fc5269755ac48473a82c27b571918de1f0c0350</t>
  </si>
  <si>
    <t>15b747d7545d481269c40c632228e20f18bd0ad9fc581fa5ab1d7001c92de868</t>
  </si>
  <si>
    <t>s_v_wet_dream@yahoo.com</t>
  </si>
  <si>
    <t xml:space="preserve">(252) 725-4216 </t>
  </si>
  <si>
    <t>0c1d4673c3356049ea9aa3754bc9b0d08b2e6cbfce3503c3508e07b44e7877b4</t>
  </si>
  <si>
    <t>6daef726b1bae7415cceedfcf1d5e245f41da0d6fc2c2a408f7efbc28aa80987</t>
  </si>
  <si>
    <t>neverlandinglostboi@gmail.com</t>
  </si>
  <si>
    <t>207-590-1668 (text)</t>
  </si>
  <si>
    <t>9273d3f2c6883aeaed0f380be20b2a9e2f453d18202c520e84d5addc67b457dc</t>
  </si>
  <si>
    <t>dw5junk@gmail.com</t>
  </si>
  <si>
    <t>e98e73ad832f93e65c1d49bb45f5f82e2b25c1345017ef78a1b1b2572a1149b3</t>
  </si>
  <si>
    <t>4107454040bcca5b92971d0057c8d4adb08628a52b604f2715bc6d4eb8b51cf4</t>
  </si>
  <si>
    <t>70e5a1fd9b34ff7a2badf79621a1589a3bc0ff57aa5d7c1072aa3a832111a12a</t>
  </si>
  <si>
    <t>jackandrewkagan@gmail.com</t>
  </si>
  <si>
    <t xml:space="preserve">N/A; it was a thing that we did and there was very little information shared about the history or thought behind it. There was also the medical, "this is better for boys" perspective as well. </t>
  </si>
  <si>
    <t xml:space="preserve">I have MANY thoughts on the matter and explored this deeply several years ago. The history of male circumcision dates back thousands of years and some history points to it being part of our time in the Greco-Roman area. At this time, circumcision was really more about getting a drop of blood so that is what Jewish parents did to their sons. A bit invasive and odd? Sure – but not anywhere near to the extent of what it is today. That evolved over time (for a multitude of reasons which I do not feel the need to go in but none of them sit particularly well as "justified reasons" for circumcision. 
The history of circumcision really did change over time and became increasingly (and negatively) impactful to Jewish men. Most people do not know the history and when you explore it, discuss it, or bring it up with people (even rabbis / theological scholars), there is a sense of joking about it, not wanting to engage further, or noting that questioning is fine but one should still do it. This truly frustrates me. Jews are known to discuss hard topics at length but this particular one really seems to be off-limits and I hope that changes. </t>
  </si>
  <si>
    <t xml:space="preserve">Traditionally? Not much – but I think that is changing. As more people question medical heterodoxy and look for more natural, integrative lifestyles, circumcision often comes to light as another point to dig deep on. I have had more conversations about it in recent years than prior to that. I think a major shift happened since 2020. </t>
  </si>
  <si>
    <t xml:space="preserve">He was circumcised at birth and feels that it has not impacted him – but how would he really know that? </t>
  </si>
  <si>
    <t xml:space="preserve">The level of misinformation out there about how normal this is in our society, how medically important it is to do a circumcision, and how critical it is for fathers and sons to match. Also, the lack of information about how negatively impactful circumcision is – when people learn this, they are more likely to make a different decision. </t>
  </si>
  <si>
    <t xml:space="preserve">Simply asking what people believe about circumcision and why; this opens the door to a real dialogue. </t>
  </si>
  <si>
    <t xml:space="preserve">Honestly, people are so irrational here. From what I can tell, FGM is seen as horrific and MGM is somehow not. I have yet to hear a true justification of the difference between the two. I view them as universally and equally awful in every way. </t>
  </si>
  <si>
    <t xml:space="preserve">I do not think they understand the deep medical and lifelong impact this has on men – as well as the mental health impact. </t>
  </si>
  <si>
    <t xml:space="preserve">I am Jewish and being a Jewish mom who said well in advance of having a baby boy that she would keep her son intact – and then doing so – genuinely sparked a LOT of anger in people. From what I can tell, people refuse to acknowledge that this is a "rite" and "commandment" of sorts that we could (should) question (or if we do question it, we should still perform it). The anger I received about it was not only upsetting for me and my husband but it was invasive, pervasive, and disturbing as we became parents (first to a baby girl and then, a few years later, to our son). The willingness to not question, to turn a blind eye, and to continue perpetrating this on baby boys – in the name of religion – is a reminder that beautiful, meaningful religions / cultures can still lose their way. As humans and parents, it is our job to do what is best for our children and not follow doctrine or dogma. </t>
  </si>
  <si>
    <t xml:space="preserve">A lot of this has to do with the emphasis on a bris for baby boys but also the medical association with it being the healthier and smarter choice. </t>
  </si>
  <si>
    <t xml:space="preserve">Circumcision steals a significant amount of your pleasure and has a strong potential of harming you – all without your express permission to do so. </t>
  </si>
  <si>
    <t xml:space="preserve">This is really good descriptor – it is well said and captures so much about how harmful (and pervasive) circumcision is but in a society that accepts it. </t>
  </si>
  <si>
    <t xml:space="preserve">My initial deepdive into this topic, especially as a Jew, has been life-changing. I do love being Jewish and do not question that, per se. Rather, learning to question what I have been told to believe (about religion, history, the healthcare industry, parenting, etc.) has its roots in what I came up against and learned about when researching circumcision. The impact on my life cannot be overstated and though standing up for my son created some rifts within my family (and my husband's) as well as within the Jewish community, I would do it a million times over. My son is now five and he knows we kept him intact. He was horrified to learn other boys are cut. Clearly, that was was confirmatory that we made the right decision!
I appreciate that there is an increasing focus on this topic and more people questioning it from a multitude of perspectives. It's about damn time! Thank you for what you are doing! </t>
  </si>
  <si>
    <t xml:space="preserve">Absolutely. Reach out and we can discuss.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</si>
</sst>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3">
    <font>
      <sz val="10.0"/>
      <color rgb="FF000000"/>
      <name val="Arial"/>
      <scheme val="minor"/>
    </font>
    <font>
      <color rgb="FF000000"/>
      <name val="Arial"/>
      <scheme val="minor"/>
    </font>
    <font>
      <color theme="1"/>
      <name val="Arial"/>
      <scheme val="minor"/>
    </font>
    <font>
      <u/>
      <color rgb="FF0000FF"/>
      <name val="Roboto"/>
    </font>
    <font>
      <b/>
      <sz val="11.0"/>
      <color rgb="FFFFFFFF"/>
      <name val="Arial"/>
    </font>
    <font>
      <sz val="11.0"/>
      <color rgb="FF000000"/>
      <name val="Aptos Narrow"/>
    </font>
    <font>
      <b/>
      <color rgb="FFFFFFFF"/>
      <name val="Verdana"/>
    </font>
    <font>
      <sz val="11.0"/>
      <color rgb="FF000000"/>
      <name val="Arial"/>
    </font>
    <font>
      <u/>
      <sz val="11.0"/>
      <color rgb="FF000000"/>
      <name val="Aptos Narrow"/>
    </font>
    <font>
      <u/>
      <color rgb="FF0000FF"/>
    </font>
    <font>
      <color rgb="FFFFFFFF"/>
      <name val="Arial"/>
      <scheme val="minor"/>
    </font>
    <font>
      <u/>
      <color rgb="FF0000FF"/>
    </font>
    <font>
      <color theme="0"/>
      <name val="Arial"/>
      <scheme val="minor"/>
    </font>
  </fonts>
  <fills count="9">
    <fill>
      <patternFill patternType="none"/>
    </fill>
    <fill>
      <patternFill patternType="lightGray"/>
    </fill>
    <fill>
      <patternFill patternType="solid">
        <fgColor rgb="FF38761D"/>
        <bgColor rgb="FF38761D"/>
      </patternFill>
    </fill>
    <fill>
      <patternFill patternType="solid">
        <fgColor rgb="FFFFFFFF"/>
        <bgColor rgb="FFFFFFFF"/>
      </patternFill>
    </fill>
    <fill>
      <patternFill patternType="solid">
        <fgColor rgb="FFF8F9FA"/>
        <bgColor rgb="FFF8F9FA"/>
      </patternFill>
    </fill>
    <fill>
      <patternFill patternType="solid">
        <fgColor rgb="FF93BA45"/>
        <bgColor rgb="FF93BA45"/>
      </patternFill>
    </fill>
    <fill>
      <patternFill patternType="solid">
        <fgColor rgb="FF95CBEC"/>
        <bgColor rgb="FF95CBEC"/>
      </patternFill>
    </fill>
    <fill>
      <patternFill patternType="solid">
        <fgColor rgb="FF5481A6"/>
        <bgColor rgb="FF5481A6"/>
      </patternFill>
    </fill>
    <fill>
      <patternFill patternType="solid">
        <fgColor rgb="FFFF9900"/>
        <bgColor rgb="FFFF9900"/>
      </patternFill>
    </fill>
  </fills>
  <borders count="6">
    <border/>
    <border>
      <left style="thin">
        <color rgb="FF442F65"/>
      </left>
      <right style="thin">
        <color rgb="FFFFFFFF"/>
      </right>
      <top style="thin">
        <color rgb="FFFFFFFF"/>
      </top>
      <bottom style="thin">
        <color rgb="FF442F65"/>
      </bottom>
    </border>
    <border>
      <left style="thin">
        <color rgb="FF442F65"/>
      </left>
      <right style="thin">
        <color rgb="FF442F65"/>
      </right>
      <bottom style="thin">
        <color rgb="FF442F65"/>
      </bottom>
    </border>
    <border>
      <right style="thin">
        <color rgb="FF442F65"/>
      </right>
      <bottom style="thin">
        <color rgb="FF442F65"/>
      </bottom>
    </border>
    <border>
      <right style="thin">
        <color rgb="FFFFFFFF"/>
      </right>
      <bottom style="thin">
        <color rgb="FF442F65"/>
      </bottom>
    </border>
    <border>
      <left style="thick">
        <color rgb="FF000000"/>
      </left>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shrinkToFit="0" vertical="top" wrapText="1"/>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0"/>
    </xf>
    <xf borderId="0" fillId="2" fontId="4" numFmtId="0" xfId="0" applyAlignment="1" applyFill="1" applyFont="1">
      <alignment readingOrder="0" shrinkToFit="0" vertical="top" wrapText="1"/>
    </xf>
    <xf borderId="1" fillId="2" fontId="4" numFmtId="0" xfId="0" applyAlignment="1" applyBorder="1" applyFont="1">
      <alignment readingOrder="0" vertical="top"/>
    </xf>
    <xf borderId="0" fillId="3" fontId="5" numFmtId="0" xfId="0" applyAlignment="1" applyFill="1" applyFont="1">
      <alignment vertical="bottom"/>
    </xf>
    <xf borderId="0" fillId="2" fontId="6" numFmtId="0" xfId="0" applyAlignment="1" applyFont="1">
      <alignment readingOrder="0" shrinkToFit="0" vertical="top" wrapText="1"/>
    </xf>
    <xf borderId="0" fillId="0" fontId="2" numFmtId="0" xfId="0" applyAlignment="1" applyFont="1">
      <alignment vertical="top"/>
    </xf>
    <xf borderId="2" fillId="2" fontId="4" numFmtId="0" xfId="0" applyAlignment="1" applyBorder="1" applyFont="1">
      <alignment horizontal="left" readingOrder="0" vertical="bottom"/>
    </xf>
    <xf borderId="3" fillId="2" fontId="4" numFmtId="0" xfId="0" applyAlignment="1" applyBorder="1" applyFont="1">
      <alignment horizontal="left" readingOrder="0" vertical="bottom"/>
    </xf>
    <xf borderId="4" fillId="2" fontId="4" numFmtId="0" xfId="0" applyAlignment="1" applyBorder="1" applyFont="1">
      <alignment horizontal="left" readingOrder="0" vertical="bottom"/>
    </xf>
    <xf borderId="0" fillId="2" fontId="4" numFmtId="0" xfId="0" applyAlignment="1" applyFont="1">
      <alignment horizontal="left" readingOrder="0" vertical="bottom"/>
    </xf>
    <xf borderId="0" fillId="4" fontId="5" numFmtId="164" xfId="0" applyAlignment="1" applyFill="1" applyFont="1" applyNumberFormat="1">
      <alignment vertical="bottom"/>
    </xf>
    <xf borderId="0" fillId="4" fontId="5" numFmtId="0" xfId="0" applyAlignment="1" applyFont="1">
      <alignment vertical="bottom"/>
    </xf>
    <xf borderId="5" fillId="3" fontId="5" numFmtId="0" xfId="0" applyAlignment="1" applyBorder="1" applyFont="1">
      <alignment vertical="bottom"/>
    </xf>
    <xf borderId="0" fillId="3" fontId="7" numFmtId="0" xfId="0" applyAlignment="1" applyFont="1">
      <alignment readingOrder="0" vertical="bottom"/>
    </xf>
    <xf borderId="0" fillId="3" fontId="5" numFmtId="164" xfId="0" applyAlignment="1" applyFont="1" applyNumberFormat="1">
      <alignment vertical="bottom"/>
    </xf>
    <xf borderId="0" fillId="3" fontId="5" numFmtId="0" xfId="0" applyAlignment="1" applyFont="1">
      <alignment vertical="bottom"/>
    </xf>
    <xf borderId="5" fillId="3" fontId="5" numFmtId="0" xfId="0" applyAlignment="1" applyBorder="1" applyFont="1">
      <alignment vertical="bottom"/>
    </xf>
    <xf borderId="0" fillId="0" fontId="2" numFmtId="0" xfId="0" applyFont="1"/>
    <xf borderId="0" fillId="3" fontId="5" numFmtId="164" xfId="0" applyAlignment="1" applyFont="1" applyNumberFormat="1">
      <alignment vertical="bottom"/>
    </xf>
    <xf borderId="5" fillId="0" fontId="2" numFmtId="0" xfId="0" applyBorder="1" applyFont="1"/>
    <xf borderId="0" fillId="3" fontId="8" numFmtId="0" xfId="0" applyAlignment="1" applyFont="1">
      <alignment vertical="bottom"/>
    </xf>
    <xf borderId="0" fillId="0" fontId="2" numFmtId="164" xfId="0" applyFont="1" applyNumberFormat="1"/>
    <xf borderId="0" fillId="0" fontId="9" numFmtId="0" xfId="0" applyFont="1"/>
    <xf borderId="0" fillId="0" fontId="2" numFmtId="0" xfId="0" applyAlignment="1" applyFont="1">
      <alignment readingOrder="0"/>
    </xf>
    <xf borderId="0" fillId="5" fontId="10" numFmtId="0" xfId="0" applyAlignment="1" applyFill="1" applyFont="1">
      <alignment readingOrder="0" shrinkToFit="0" vertical="top" wrapText="1"/>
    </xf>
    <xf borderId="0" fillId="5" fontId="10" numFmtId="0" xfId="0" applyAlignment="1" applyFont="1">
      <alignment readingOrder="0" shrinkToFit="0" vertical="top" wrapText="1"/>
    </xf>
    <xf borderId="0" fillId="0" fontId="2" numFmtId="0" xfId="0" applyAlignment="1" applyFont="1">
      <alignment readingOrder="0" shrinkToFit="0" vertical="top" wrapText="0"/>
    </xf>
    <xf borderId="0" fillId="0" fontId="2" numFmtId="0" xfId="0" applyAlignment="1" applyFont="1">
      <alignment shrinkToFit="0" vertical="top" wrapText="0"/>
    </xf>
    <xf borderId="0" fillId="0" fontId="2" numFmtId="164" xfId="0" applyAlignment="1" applyFont="1" applyNumberFormat="1">
      <alignment readingOrder="0"/>
    </xf>
    <xf borderId="0" fillId="0" fontId="2" numFmtId="0" xfId="0" applyAlignment="1" applyFont="1">
      <alignment readingOrder="0"/>
    </xf>
    <xf borderId="0" fillId="0" fontId="11" numFmtId="0" xfId="0" applyAlignment="1" applyFont="1">
      <alignment readingOrder="0"/>
    </xf>
    <xf borderId="0" fillId="6" fontId="2" numFmtId="0" xfId="0" applyAlignment="1" applyFill="1" applyFont="1">
      <alignment readingOrder="0" shrinkToFit="0" vertical="top" wrapText="1"/>
    </xf>
    <xf borderId="0" fillId="6" fontId="2" numFmtId="0" xfId="0" applyAlignment="1" applyFont="1">
      <alignment readingOrder="0" shrinkToFit="0" vertical="top" wrapText="1"/>
    </xf>
    <xf borderId="0" fillId="7" fontId="12" numFmtId="0" xfId="0" applyAlignment="1" applyFill="1" applyFont="1">
      <alignment readingOrder="0" shrinkToFit="0" vertical="top" wrapText="1"/>
    </xf>
    <xf borderId="0" fillId="7" fontId="12" numFmtId="0" xfId="0" applyAlignment="1" applyFont="1">
      <alignment readingOrder="0" shrinkToFit="0" vertical="top" wrapText="1"/>
    </xf>
    <xf borderId="0" fillId="7" fontId="12" numFmtId="0" xfId="0" applyAlignment="1" applyFont="1">
      <alignment shrinkToFit="0" vertical="top" wrapText="1"/>
    </xf>
    <xf borderId="0" fillId="8" fontId="12" numFmtId="0" xfId="0" applyAlignment="1" applyFill="1" applyFont="1">
      <alignment readingOrder="0" shrinkToFit="0" vertical="top" wrapText="1"/>
    </xf>
    <xf borderId="0" fillId="8" fontId="12" numFmtId="0" xfId="0" applyAlignment="1" applyFont="1">
      <alignment readingOrder="0" shrinkToFit="0" vertical="top" wrapText="1"/>
    </xf>
    <xf borderId="0" fillId="8" fontId="12" numFmtId="0" xfId="0" applyAlignment="1" applyFont="1">
      <alignment shrinkToFit="0" vertical="top" wrapText="1"/>
    </xf>
  </cellXfs>
  <cellStyles count="1">
    <cellStyle xfId="0" name="Normal" builtinId="0"/>
  </cellStyles>
  <dxfs count="6">
    <dxf>
      <font/>
      <fill>
        <patternFill patternType="none"/>
      </fill>
      <border/>
    </dxf>
    <dxf>
      <font/>
      <fill>
        <patternFill patternType="solid">
          <fgColor rgb="FF93BA45"/>
          <bgColor rgb="FF93BA45"/>
        </patternFill>
      </fill>
      <border/>
    </dxf>
    <dxf>
      <font/>
      <fill>
        <patternFill patternType="solid">
          <fgColor rgb="FFFFFFFF"/>
          <bgColor rgb="FFFFFFFF"/>
        </patternFill>
      </fill>
      <border/>
    </dxf>
    <dxf>
      <font/>
      <fill>
        <patternFill patternType="solid">
          <fgColor rgb="FFD9EAD3"/>
          <bgColor rgb="FFD9EAD3"/>
        </patternFill>
      </fill>
      <border/>
    </dxf>
    <dxf>
      <border>
        <left style="thin">
          <color rgb="FF93BA45"/>
        </left>
        <right style="thin">
          <color rgb="FF93BA45"/>
        </right>
        <top style="thin">
          <color rgb="FF93BA45"/>
        </top>
        <bottom style="thin">
          <color rgb="FF93BA45"/>
        </bottom>
      </border>
    </dxf>
    <dxf>
      <font/>
      <fill>
        <patternFill patternType="solid">
          <fgColor rgb="FFF8F9FA"/>
          <bgColor rgb="FFF8F9FA"/>
        </patternFill>
      </fill>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2" pivot="0" name="Meta Tag Mapping-style">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D517" displayName="Form_Responses1" name="Form_Responses1" id="1">
  <tableColumns count="368">
    <tableColumn name="Timestamp" id="1"/>
    <tableColumn name="Consent" id="2"/>
    <tableColumn name="In which COUNTRY were you BORN?" id="3"/>
    <tableColumn name="In which country are you primarily located now? " id="4"/>
    <tableColumn name="Please select the US State or Territory in which you were BORN" id="5"/>
    <tableColumn name="In which US STATE or TERRITORY do you live or primarily reside in NOW?" id="6"/>
    <tableColumn name="How would you describe your race or ethnicity? (Please select all that apply, or specify if your identity is not listed)" id="7"/>
    <tableColumn name="What is your approximate age?" id="8"/>
    <tableColumn name="Which generation do you most identify with?" id="9"/>
    <tableColumn name="What is the highest level of education you have completed?" id="10"/>
    <tableColumn name="Family Upbringing &amp; Adoption Status" id="11"/>
    <tableColumn name="Thinking about your MOTHER (or primary female/maternal guardian) during your upbringing, what was her highest level of education, to the best of your knowledge?" id="12"/>
    <tableColumn name="What was the primary profession or field of work for your MOTHER (or primary female/maternal guardian) during your upbringing?" id="13"/>
    <tableColumn name="Thinking about your FATHER (or primary male/paternal guardian) during your upbringing, what was his highest level of education, to the best of your knowledge?" id="14"/>
    <tableColumn name="What was the primary profession or field of work for your FATHER (or primary male/paternal guardian) during your upbringing?" id="15"/>
    <tableColumn name="How would you generally describe your family's socioeconomic status during your childhood?" id="16"/>
    <tableColumn name="Politically, how would you generally describe your views or your family's views during your upbringing?" id="17"/>
    <tableColumn name="How do you identify your SEXUALITY?" id="18"/>
    <tableColumn name="How do you currently describe your GENDER identity?" id="19"/>
    <tableColumn name="What sex were you assigned at birth?" id="20"/>
    <tableColumn name="In which CANADIAN PROVINCE were you BORN?" id="21"/>
    <tableColumn name="In which CANADIAN PROVINCE do you live NOW?" id="22"/>
    <tableColumn name="Was religion a significant part of your upbringing?" id="23"/>
    <tableColumn name="PRIMARY TRADITION(S):_x000a_Which religious or spiritual tradition(s) were most significant in your family's upbringing (or are most significant to you now)? " id="24"/>
    <tableColumn name="Christian Denominations/Traditions" id="25"/>
    <tableColumn name="Within your specific Christian tradition/upbringing, was infant circumcision generally viewed as:" id="26"/>
    <tableColumn name="Were you taught or did you understand there to be any specific theological basis for or against penile circumcision within your Christian context " id="27"/>
    <tableColumn name="Anything else you'd like to share about your perspective as a Christian?" id="28"/>
    <tableColumn name="Which Jewish denomination or movement do you (or your family during your upbringing) most closely identify with?" id="29"/>
    <tableColumn name="In your upbringing or current understanding within your Jewish context, how was/is Brit Milah (ritual circumcision) generally viewed?" id="30"/>
    <tableColumn name="Were you aware of or taught about specific theological or historical reasons for Brit Milah? " id="31"/>
    <tableColumn name=" If yes or somewhat, what were the main reasons or interpretations you recall being emphasized? " id="32"/>
    <tableColumn name="How important is the act of Brit Milah to your personal sense of Jewish identity or connection to the Jewish people? " id="33"/>
    <tableColumn name="Have you ever encountered or explored interpretations within Judaism that question the necessity of physical circumcision or offer alternative ways to express covenant or Jewish identity?" id="34"/>
    <tableColumn name="Any thoughts on these alternative interpretations?" id="35"/>
    <tableColumn name="From your perspective, how much room is there for diverse viewpoints or evolving practices regarding Brit Milah within contemporary Jewish life?" id="36"/>
    <tableColumn name="Have you/your family participated in or considered alternative welcoming ceremonies, like a Brit Shalom (Covenant of Peace) or similar non-cutting ritual?" id="37"/>
    <tableColumn name="Which school of Islamic thought (madhhab), theological branch, or cultural expression of Islam do you (or your family during your upbringing) most closely identify with, if any?" id="38"/>
    <tableColumn name="In your upbringing or current understanding within your Islamic context, how was/is Khitan (penile circumcision, also sometimes known as Sunnet) generally viewed?" id="39"/>
    <tableColumn name="Were you aware of or taught about specific religious reasons or justifications for Khitan? " id="40"/>
    <tableColumn name="If yes or somewhat, what were the main reasons or interpretations you recall being emphasized? " id="41"/>
    <tableColumn name="In your understanding, is Khitan considered a direct commandment (Fard) from the Quran, or more of an emphasized Sunnah (prophetic tradition) and cultural norm?" id="42"/>
    <tableColumn name="How important is the act of Khitan to your personal sense of Muslim identity, adherence to Sunnah, or feeling of ritual purity?" id="43"/>
    <tableColumn name="Have you ever encountered or explored interpretations within Islam that question the absolute necessity of Khitan, discuss potential harms, or emphasize the Quran's silence on the matter?" id="44"/>
    <tableColumn name="Any thoughts on these alternative interpretations or perspectives?" id="45"/>
    <tableColumn name="From your perspective, how much room is there for diverse viewpoints or evolving practices regarding Khitan within contemporary Islamic life?" id="46"/>
    <tableColumn name="How do you/your family reconcile the choice of intactness with the common practice of Khitan in many Muslim cultures? " id="47"/>
    <tableColumn name="Thinking about your penis today, how do you generally FEEL about its physical appearance?" id="48"/>
    <tableColumn name="Rating Sexual Experience Factors_x000a_Please rate the following aspects of your own sexual experience on a scale of 1 to 5 [Intensity of Orgasm]" id="49"/>
    <tableColumn name="Rating Sexual Experience Factors_x000a_Please rate the following aspects of your own sexual experience on a scale of 1 to 5 [Duration of Orgasm Sensation]" id="50"/>
    <tableColumn name="Rating Sexual Experience Factors_x000a_Please rate the following aspects of your own sexual experience on a scale of 1 to 5 [Overall Ease of Reaching Orgasm]" id="51"/>
    <tableColumn name="Rating Sexual Experience Factors_x000a_Please rate the following aspects of your own sexual experience on a scale of 1 to 5 [Sensitivity to Light Touch]" id="52"/>
    <tableColumn name="Rating Sexual Experience Factors_x000a_Please rate the following aspects of your own sexual experience on a scale of 1 to 5 [Pleasure from Mobile Skin]" id="53"/>
    <tableColumn name="Rating Sexual Experience Factors_x000a_Please rate the following aspects of your own sexual experience on a scale of 1 to 5 [Variety of Pleasurable Sensations]" id="54"/>
    <tableColumn name="How would you describe the general sensitivity of your penis to various types of touch and stimulation?" id="55"/>
    <tableColumn name="How would you describe your typical ORGASM experience in terms of its INTENSITY, BUILD-UP, and overall QUALITY of pleasure?" id="56"/>
    <tableColumn name="DURATION: How long do the primary pleasurable sensations of your typical orgasm last?" id="57"/>
    <tableColumn name="And, if you're comfortable sharing, how would you rate your general confidence that your orgasms are as intense or fulfilling as possible?" id="58"/>
    <tableColumn name="Do you generally need to use artificial LUBRICATION (e.g., store-bought lube, saliva, lotion) for comfortable and pleasurable masturbation or partnered sex?" id="59"/>
    <tableColumn name="Any additional comments on your experience with lubrication (or lack of need for it)?" id="60"/>
    <tableColumn name="When it comes to partnered sex and intimacy, have you ever felt it was difficult to communicate what types of touch provide you with genuine pleasure?" id="61"/>
    <tableColumn name="If you have experienced this disconnect, could you briefly elaborate on what that's like or in what situations it occurs?" id="62"/>
    <tableColumn name="Thinking about your typical sexual arousal, do you notice the presence of pre-ejaculate fluid (sometimes called 'pre-cum' or Cowper's gland fluid – a clear fluid released from the penis before orgasm/ejaculation)?" id="63"/>
    <tableColumn name="How would you describe your ability to communicate your sexual needs and what provides you pleasure to a partner?" id="64"/>
    <tableColumn name="Overall, how PROUD or satisfied are you with your penis, considering all aspects (appearance, how it functions, and the pleasure it provides)?" id="65"/>
    <tableColumn name="What is your circumcision state?" id="66"/>
    <tableColumn name="🟢 What do you consider the main ADVANTAGES of being intact/having a foreskin?" id="67"/>
    <tableColumn name="🟢   Have you experienced any DRAWBACKS or challenges related to being intact/having a foreskin?" id="68"/>
    <tableColumn name="🟢 Can you recall when you first understood what &quot;being circumcised&quot; actually meant—not just that some boys were different, but the specifics of it being a surgical alteration of genitals?" id="69"/>
    <tableColumn name="🟢  Based on what you know or believe (or assume), what were the PRIMARY REASONS your parents chose for you to remain intact?" id="70"/>
    <tableColumn name="🟢 Who do you believe was the PRIMARY DRIVER or key advocate for the decision to keep you intact within your family?" id="71"/>
    <tableColumn name="🟢 Based on what you know, how was the topic of circumcision likely handled around the time of your birth? (If applicable)" id="72"/>
    <tableColumn name="🟢 Have you ever experienced feelings such as REGRET, embarrassment, resentment, anger, or a wish that you had been circumcised?" id="73"/>
    <tableColumn name="🟢 If you have had such feelings (even if mild or infrequent), when did they first emerge, and what do you think primarily triggers them or what aspects of being intact contribute most to them?" id="74"/>
    <tableColumn name="🟢 Have you ever had a direct conversation with your parents (or guardians) about their decision to LEAVE YOU INTACT?" id="75"/>
    <tableColumn name="🟢 If you haven't asked them, will you share why? " id="76"/>
    <tableColumn name="🟢 Have you ever experienced or required any medical interventions, procedures, or forced actions related to your foreskin or intact anatomy?" id="77"/>
    <tableColumn name="🟢 If yes, please briefly describe the intervention(s), your age at the time, who initiated it (e.g., parent, doctor, self), and any effects (physical or emotional) that you feel are significant.  " id="78"/>
    <tableColumn name="🟢 Would you like to share anything about what it was like for you growing up intact? " id="79"/>
    <tableColumn name="🟢 How would you describe your complete FORESKIN (the moveable sheath of skin) play in your sexual experiences (masturbation or partnered sex)?" id="80"/>
    <tableColumn name="🟢 And what about the FRENULUM (the V-shaped band of tissue on the underside, connecting the foreskin to the glans)? How would you describe its contribution to your sexual pleasure, if you are specifically aware of it?" id="81"/>
    <tableColumn name="🟢 Have you ever wondered what it would be like to experience sex or masturbation with a CIRCUMCISED penis?" id="82"/>
    <tableColumn name="🟢 If you have wondered, what aspects are you most curious about (e.g., different sensations, the impact of constant glans exposure, different mechanics)?" id="83"/>
    <tableColumn name="🟢 If you have had sexual experiences with circumcised partners, have you discussed with them or observed any differences in their reported sensitivity, sexual function, orgasm quality, or need for lubrication compared to your own experience as an intact person?" id="84"/>
    <tableColumn name="🟢 If yes, can you briefly describe the types of differences you've noted? " id="85"/>
    <tableColumn name="🟢 As an intact individual, have you ever felt pressure (social, cultural, from partners, or medical professionals) to consider circumcision for yourself, or have you ever personally researched or seriously contemplated getting circumcised?" id="86"/>
    <tableColumn name="🟢 Before encountering discussions like this survey (or in intactivist/restoration communities, if applicable), how much thought had you given to the fact that you are intact, or to the specifics of why your penis wasn't surgically altered?" id="87"/>
    <tableColumn name="🟢 How do you feel about terms like &quot;uncircumcised&quot; or &quot;uncut&quot; to describe your natural state?" id="88"/>
    <tableColumn name="🟢 What's one thing you wish individuals who are circumcised (or parents considering circumcision for their sons) truly understood about being intact? " id="89"/>
    <tableColumn name="🔵  At what age were you circumcised, if you know?" id="90"/>
    <tableColumn name="🔵  Can you recall when you first understood what &quot;being circumcised&quot; actually meant in terms of a physical alteration to your body?" id="91"/>
    <tableColumn name="🔵  What do you consider the main ADVANTAGES of being circumcised?" id="92"/>
    <tableColumn name="🔵  Have you experienced any DRAWBACKS or challenges related to being circumcised?" id="93"/>
    <tableColumn name="🔵  If you had to speculate, who do you think was the PRIMARY DRIVER of the decision to have you circumcised in your family?" id="94"/>
    <tableColumn name="🔵  What was the reason(s) given for your circumcision, if you know/have learned?" id="95"/>
    <tableColumn name="🔵  Based on your understanding of healthcare at the time, how do you believe the topic of circumcision was likely PRESENTED to your parents by the hospital or doctor?" id="96"/>
    <tableColumn name="🔵Thinking about the era in which you were born and what you know of your parents and their community, which of the following sources of information or influence do you believe were the MOST CRITICAL in their decision to circumcise you?" id="97"/>
    <tableColumn name="🔵  When you look at your penis, how would you describe the specific characteristics of your circumcision? (e.g., amount of shaft skin remaining, tightness during erection, scar visibility/texture, evenness of skin removal, glans exposure when flaccid/erect)." id="98"/>
    <tableColumn name="🔵  How do you personally perceive your circumcision scar? " id="99"/>
    <tableColumn name="🔵  Have you ever wondered what it would be like to experience sex or masturbation with an intact penis (i.e., with a complete foreskin)?" id="100"/>
    <tableColumn name="🔵 If you have wondered, what aspects are you most curious about?" id="101"/>
    <tableColumn name="🔵After your initial circumcision, have you ever required or undergone any further medical interventions, treatments, or surgeries related to your penis or circumcision site?" id="102"/>
    <tableColumn name="🔵  If yes, please briefly describe the intervention(s), your age at the time, who initiated it (e.g., parent, doctor, self), and any effects (physical or emotional) that you feel are significant.  " id="103"/>
    <tableColumn name="🔵  Have you ever experienced feelings that could be described as RESENTMENT, loss, anger, grief or regret in relation to your circumcision?" id="104"/>
    <tableColumn name="🔵  If you have had such feelings (even if mild or infrequent), when did they first emerge, and what do you think primarily triggers them or what aspects of being circumcised contribute most to them?" id="105"/>
    <tableColumn name="🔵  Separate from any formal interventions, have you personally experienced any ongoing physical SYMPTOMS or challenges you attribute to your circumcision? " id="106"/>
    <tableColumn name="🔵  If yes, please briefly describe the issue(s)" id="107"/>
    <tableColumn name="🔵  Have you ever had a direct conversation with your parents (or guardians) about their decision to have you circumcised?" id="108"/>
    <tableColumn name="🔵  If you haven't asked them, could you share why? " id="109"/>
    <tableColumn name="🔵  If you could send a message to the parents who made the decision for you to be circumcised, what would it be?" id="110"/>
    <tableColumn name="🔵  Have you ever considered or researched options like foreskin RESTORATION (using methods to gradually regrow skin for glans coverage) or foreskin REGENERATION (biomedical approaches to grow new foreskin tissue, like Foregen's research)?" id="111"/>
    <tableColumn name="🔵 Before encountering discussions like this survey (or in intactivist/restoration communities, if applicable), how much thought had you given to the fact that you are circumcised, or to the specifics of how/why your penis was surgically altered?" id="112"/>
    <tableColumn name="What is your FATHER'S (or primary male guardian's) circumcision state, to the best of your knowledge?" id="113"/>
    <tableColumn name="Do you have any male (AMAB) SIBLINGS (brothers, including half-brothers or step-brothers raised with you) and if so, how many" id="114"/>
    <tableColumn name="What is your siblings' circumcision state?" id="115"/>
    <tableColumn name="Since there is a mix of circumcision states among you and your siblings(s), do you know anything about why the decision was different for different children?" id="116"/>
    <tableColumn name="🟣  Before you began (or seriously considered) foreskin restoration, how would you have described your feelings about being circumcised?" id="117"/>
    <tableColumn name="🟣  What were/are your PRIMARY motivations for pursuing foreskin restoration?" id="118"/>
    <tableColumn name="🟣  What was your approximate age when you began actively restoring or seriously researching restoration methods?" id="119"/>
    <tableColumn name="🟣  What methods of restoration have you primarily used or found most effective for you?" id="120"/>
    <tableColumn name="🟣  How long have you been actively restoring?" id="121"/>
    <tableColumn name="🟣  Have you been open with partners, friends, or family about your restoration journey? " id="122"/>
    <tableColumn name="🟣  When you began your restoration journey, what was your approximate starting Real Coverage Index (RCI) score, if you know or can estimate?" id="123"/>
    <tableColumn name="🟣  What is your approximate CURRENT Real Coverage Index (RCI) score, if you are still restoring? Or what was your final RCI score if you consider yourself 'done' or have achieved your primary coverage goals?" id="124"/>
    <tableColumn name="🟣  Have you experienced noticeable changes in penile SENSITIVITY (general or specific, like in the frenular area) as a result of your restoration? Please describe." id="125"/>
    <tableColumn name="🟣  Has restoration impacted the quality, intensity, or nature of your ORGASMS? If so, how?" id="126"/>
    <tableColumn name="🟣  How has restoration affected your need for LUBRICATION during masturbation or partnered sex?" id="127"/>
    <tableColumn name="🟣  From your perspective, what does the term &quot;uncircumcised&quot; or &quot;uncut&quot; mean to you as someone who has restored?" id="128"/>
    <tableColumn name="🟣 What has been the most challenging aspect of your restoration journey? What has been the most rewarding?" id="129"/>
    <tableColumn name="🟣  What advice would you offer to someone considering starting foreskin restoration?" id="130"/>
    <tableColumn name="🟣  Are you aware of any scientific research focused on biologically regenerating or regrowing human foreskin tissue (e.g., using stem cells or tissue engineering)?" id="131"/>
    <tableColumn name="🟣  Knowing this possibility exists:_x000a__x000a_How does it influence your feelings about your own circumcision state or restoration journey?" id="132"/>
    <tableColumn name="🟣  Anything else you'd like to say about biological Regenerative Technologies" id="133"/>
    <tableColumn name="🟠  What primarily motivated you to take this survey and explore these topics?" id="134"/>
    <tableColumn name="🟠 As a PARTNER, what have you observed or experienced regarding your partner's genital anatomy (intact, circumcised, or restoring) and its impact on your shared intimacy, their sexual pleasure, or their feelings about their body?" id="135"/>
    <tableColumn name="🟠 If you are the PARTNER of someone whose circumcision status is different from what is most common in your culture, have you noticed any specific ways this impacts your relationship, communication, or intimacy (positively or negatively)?" id="136"/>
    <tableColumn name="🟠As a PARENT or GUARDIAN  What were/are the most significant factors influencing your decision (or your thought process if undecided) about circumcision for your child or children:" id="137"/>
    <tableColumn name="🟠  As a PARENT or GUARDIAN, how adequate or biased did you find the information available to you from medical professionals or other sources when making this decision?" id="138"/>
    <tableColumn name="🟠 As PARENTS/GUARDIANS which statement best captures the emotional state you (or your partner) are/were in regarding their whether to circumcise your child or children?" id="139"/>
    <tableColumn name="🟠 Have you ever experienced feelings of REGRET or reconsidered that decision based on information learned later or changes in your perspective?" id="140"/>
    <tableColumn name="🟠  What is your general stance or approach when counseling parents about routine infant circumcision? [With PARENTS in a clinical setting]" id="141"/>
    <tableColumn name="🟠 What training, guidelines, or protocols have most influenced how you present circumcision to parents?" id="142"/>
    <tableColumn name="🟠In your practice, what are the most common questions or concerns you hear from parents regarding this procedure?" id="143"/>
    <tableColumn name="🟠 What, if any, changes have you observed in medical consensus or parental attitudes towards routine infant circumcision (RIC) over the course of your career?" id="144"/>
    <tableColumn name="🟠 What was your personal &quot;tipping point&quot; that moved you from a passive observer to an active advocate?" id="145"/>
    <tableColumn name="🟠 Conversely, what strategy or argument have you found to be the least effective or most likely to backfire and shut down a conversation?" id="146"/>
    <tableColumn name="🟠  Do you see any parallels or significant divergences in how society discusses or treats non-therapeutic penile cutting versus clitoral/vulvar cutting (sometimes referred to as female circumcision or  FGM (female genital mutilation)?" id="147"/>
    <tableColumn name="🟠  From your unique standpoint, what is the most significant societal MISCONCEPTION or BLIND SPOT you observe regarding male circumcision, intactness, or their lifelong impacts?" id="148"/>
    <tableColumn name="🟠  Is there anything else you'd like to share based on your observations, experiences, or your reasons for being interested in this topic?" id="149"/>
    <tableColumn name="In general, how do you view the relationship between the human body's natural state and medical interventions?" id="150"/>
    <tableColumn name="In your family or the community you grew up in, what was the general EXPECTATION for newborn boys regarding circumcision?" id="151"/>
    <tableColumn name="In your view, or based on what you understood from your upbringing/community, penile circumcision is primarily seen as: " id="152"/>
    <tableColumn name="Additional comments" id="153"/>
    <tableColumn name="Thinking back to your upbringing or just general societal messages (from peers, media, family, health class), what was a common STEREOTYPE, assumption, or &quot;fact&quot; that 'everyone seemed to know' about INTACT (uncircumcised) penises?" id="154"/>
    <tableColumn name="Similarly, what was a common STEREOTYPE, assumption, or &quot;fact&quot; that 'everyone seemed to know' about CIRCUMCISED penises?" id="155"/>
    <tableColumn name="Please indicate which state (Intact or Circumcised) you believe is MORE LIKELY to be associated with the following attributes. _x000a__x000a_ [Medically Healthier]" id="156"/>
    <tableColumn name="Please indicate which state (Intact or Circumcised) you believe is MORE LIKELY to be associated with the following attributes. _x000a__x000a_ [More Hygienic / Cleaner]" id="157"/>
    <tableColumn name="Please indicate which state (Intact or Circumcised) you believe is MORE LIKELY to be associated with the following attributes. _x000a__x000a_ [More 'Natural' Looking]" id="158"/>
    <tableColumn name="Please indicate which state (Intact or Circumcised) you believe is MORE LIKELY to be associated with the following attributes. _x000a__x000a_ [More Aesthetically Pleasing / &quot;Better&quot; Looking]" id="159"/>
    <tableColumn name="Please indicate which state (Intact or Circumcised) you believe is MORE LIKELY to be associated with the following attributes. _x000a__x000a_ [More Sensitive / Greater Pleasure Potential]" id="160"/>
    <tableColumn name="Please indicate which state (Intact or Circumcised) you believe is MORE LIKELY to be associated with the following attributes. _x000a__x000a_ [Easier to Care For]" id="161"/>
    <tableColumn name="Please indicate which state (Intact or Circumcised) you believe is MORE LIKELY to be associated with the following attributes. _x000a__x000a_ [More 'Manly' or 'Masculine']" id="162"/>
    <tableColumn name="Please indicate which state (Intact or Circumcised) you believe is MORE LIKELY to be associated with the following attributes. _x000a__x000a_ [More Modern / Progressive]" id="163"/>
    <tableColumn name="Please indicate which state (Intact or Circumcised) you believe is MORE LIKELY to be associated with the following attributes. _x000a__x000a_ [More Traditional / Old-Fashioned]" id="164"/>
    <tableColumn name="Please indicate which state (Intact or Circumcised) you believe is MORE LIKELY to be associated with the following attributes. _x000a__x000a_ [More Socially Acceptable (in your primary culture)]" id="165"/>
    <tableColumn name="Please indicate which state (Intact or Circumcised) you believe is MORE LIKELY to be associated with the following attributes. _x000a__x000a_ [Preferred by Sexual Partners (in general)]" id="166"/>
    <tableColumn name="Please indicate which state (Intact or Circumcised) you believe is MORE LIKELY to be associated with the following attributes. _x000a__x000a_ [Associated with Higher Intelligence/Education (of parents who choose it)]" id="167"/>
    <tableColumn name="Please indicate which state (Intact or Circumcised) you believe is MORE LIKELY to be associated with the following attributes. _x000a__x000a_ [Associated with Higher Socioeconomic Status (of parents who choose it)]" id="168"/>
    <tableColumn name="Please indicate which state (Intact or Circumcised) you believe is MORE LIKELY to be associated with the following attributes. _x000a__x000a_ [Associated with Liberal/Progressive Values (of parents who choose it)]" id="169"/>
    <tableColumn name="Please indicate which state (Intact or Circumcised) you believe is MORE LIKELY to be associated with the following attributes. _x000a__x000a_ [Associated with Conservative/Traditional Values (of parents who choose it)]" id="170"/>
    <tableColumn name="Putting aside your personal satisfaction or feelings, which state do you generally believe to be MEDICALLY HEALTHIER or more HYGIENIC overall?" id="171"/>
    <tableColumn name="Again, putting aside your own personal level of satisfaction, which state do you generally BELIEVE offers a greater POTENTIAL for physical sexual pleasure and sensation?" id="172"/>
    <tableColumn name="Based on your life experiences, conversations, and media consumption, what do you believe is the general preference of sexual partners (of any gender) regarding a partner's circumcision state (intact vs. circumcised) in your culture?" id="173"/>
    <tableColumn name="What do you believe has most shaped this perceived preference?" id="174"/>
    <tableColumn name="Purely in terms of AESTHETICS (visual appearance), which look do you personally find more appealing?" id="175"/>
    <tableColumn name="Based on your own experiences, observations, and everything you've heard or read, which group of men do you believe, on average, experiences more intense or fulfilling SEXUAL PLEASURE AND ORGASM?" id="176"/>
    <tableColumn name="In your specific cultural context (e.g., in the US, in Europe, in your community), which state do you believe is perceived as more SOCIALLY NORMAL and ACCEPTABLE?" id="177"/>
    <tableColumn name="Based on everything you know and have experienced, if you were to have a child assigned male at birth today, what would your decision regarding circumcision be, and what is the single most important reason for that choice?" id="178"/>
    <tableColumn name="When considering a NON-THERAPEUTIC, irreversible surgical procedure on a healthy infant (meaning there is no existing disease to treat), which principle do you believe should be given more weight?" id="179"/>
    <tableColumn name="What do you think is the single most important piece of information that people (especially expectant parents or young men) are MISSING when it comes to understanding male genital anatomy, intactness, and the lifelong impacts of circumcision?" id="180"/>
    <tableColumn name="The &quot;Accidental Intactivist&quot; (that's me, the survey author!) argues that routine infant circumcision is a &quot;transparent monster&quot; – a significant harm hiding in plain sight, normalized by culture. _x000a__x000a_Does this metaphor resonate with your own observations or feelings? Why or why not?" id="181"/>
    <tableColumn name="Please feel free to briefly explain your answer. Why does (or doesn't) this metaphor feel accurate to you?" id="182"/>
    <tableColumn name="Is there anything else you'd like to share about your experiences, observations, feelings about this topic, or anything this survey didn't cover that you feel is important?" id="183"/>
    <tableColumn name="Would you be willing to be contacted anonymously by the survey author and team (the 'Accidental Intactivist') for a potential follow-up interview to discuss your experiences in more detail for research purposes? Your identity would remain confidential." id="184"/>
    <tableColumn name="Preferred email address" id="185"/>
    <tableColumn name="Other Contact Method" id="186"/>
    <tableColumn name="Beyond this anonymous survey, would you be open to potentially contributing your perspective in other ways to help further understanding of this topic?" id="187"/>
    <tableColumn name="Are there ways you might feel comfortable sharing your personal story or perspective beyond this survey, perhaps in a more direct (though still potentially anonymous or pseudonymous) format if opportunities arose?" id="188"/>
    <tableColumn name="🔵  To what extent do you typically notice or pay attention to whether other men have the SAME circumcision state as you do?" id="189"/>
    <tableColumn name="🔵  And to what extent do you typically notice or pay attention to whether other men have a DIFFERENT circumcision state than you do?" id="190"/>
    <tableColumn name="🔵  When you DO notice someone's circumcision state (whether same or different from yours), how significant or prominent is that observation for you compared to other physical characteristics you might notice about a person (e.g., height, build, hair color, tattoos, etc.)?" id="191"/>
    <tableColumn name="🟢 To what extent do you typically notice or pay attention to whether other men have the SAME intact status as you do?" id="192"/>
    <tableColumn name="🟢 And to what extent do you typically notice or pay attention to whether other men have a DIFFERENT circumcision state than you do?" id="193"/>
    <tableColumn name="🟢 When you DO notice someone's circumcision state (whether same or different from yours), how significant or prominent is that observation for you compared to other physical characteristics you might notice about a person (e.g., height, build, hair color, tattoos, etc.)?" id="194"/>
    <tableColumn name="🟣Thank you for sharing insights into your restoration journey!" id="195"/>
    <tableColumn name="Please specify the country or territory in which you were born" id="196"/>
    <tableColumn name="Please specify the COUNTRY/REGION/TERRITORY where you primarily live now." id="197"/>
    <tableColumn name="CULTURAL BACKGROUND:_x000a_Which religious or spiritual tradition(s), if any, best describes the CULTURAL or ANCESTRAL background of your family?" id="198"/>
    <tableColumn name="One last question to help us improve our outreach: Where did you first hear about this survey?" id="199"/>
    <tableColumn name="🟢 Do you have Pearly Penile Papules (PPP) – the small, harmless, dome-shaped bumps often found in rows around the corona (the ridge of the glans)" id="200"/>
    <tableColumn name="🟢 If you have (or had) PPP, has their presence ever impacted your self-consciousness, body image, or interactions with partners? Please share any relevant experiences" id="201"/>
    <tableColumn name="🔵  Are you aware of having Pearly Penile Papules (PPP) – the small, harmless bumps that can sometimes appear around the corona (the ridge of the glans)" id="202"/>
    <tableColumn name="🔵  If you have (or had) PPP, how has their presence factored into your overall feelings about your penis or its appearance?" id="203"/>
    <tableColumn name="In what type of location were you born?" id="204"/>
    <tableColumn name="Who was the primary medical attendant at your birth, to the best of your knowledge?" id="205"/>
    <tableColumn name="🟢 To the best of your knowledge, what was the circumcision norm within your parents' immediate social circle (close friends, family) at the time of your birth?" id="206"/>
    <tableColumn name="🟢 Beyond general knowledge, do you know if your parents encountered any specific sources of information that influenced their decision to keep you intact?" id="207"/>
    <tableColumn name="🟢 Do you have any reason to believe your parents' decision was influenced by a negative personal or observed experience with circumcision?" id="208"/>
    <tableColumn name="🟢 Based on what you've been told, did your parents encounter any pushback or questioning from medical staff, family, or friends when they made their decision to keep you intact?" id="209"/>
    <tableColumn name="🟢 Based on your lifelong understanding of your parents, which of the following traits or values would you say strongly characterized them?" id="210"/>
    <tableColumn name="🔵 To the best of your knowledge, what was the circumcision norm within your parents' immediate social circle (close friends, family) at the time of your birth?" id="211"/>
    <tableColumn name="🔵 Reflecting on the information likely available to your parents at the time, how would you characterize the quality and balance of that information regarding circumcision?" id="212"/>
    <tableColumn name="🔵 When you think about your parents making this decision, which of these statements best captures the emotional or psychological state you believe they were in?" id="213"/>
    <tableColumn name="🔵 Have you ever sensed or discussed whether your parents, in retrospect, had any second thoughts or regrets about their decision, especially as more information has become available over the years?" id="214"/>
    <tableColumn name="🟣 Was there a single piece of information, a specific experience, or a particular realization that acted as the &quot;final straw&quot; or tipping point, moving you from passive feelings about being circumcised to the active decision to begin restoring?" id="215"/>
    <tableColumn name="🟣 When you have chosen to disclose your restoration journey to others (partners, friends, family, medical professionals), what has the general reaction been?" id="216"/>
    <tableColumn name="🟣 How has the act of restoring changed your relationship with your own genitals and your overall body image?" id="217"/>
    <tableColumn name="🟣 What does &quot;success&quot; or &quot;completion&quot; look like for you in your restoration journey?" id="218"/>
    <tableColumn name="🟠 What has most shaped your current understanding or opinion about penile circumcision?" id="219"/>
    <tableColumn name="🟠 In your personal experience and social circles, how is the topic of infant circumcision generally treated or discussed?" id="220"/>
    <tableColumn name="🟠 When you think about the decision to circumcise a newborn, how significant or impactful do you perceive that choice to be in the grand scheme of a person's life?" id="221"/>
    <tableColumn name="🟠 Imagine a close friend or family member was expecting a boy and asked for your thoughts on circumcision. How comfortable and prepared would you feel to discuss the pros and cons from different perspectives?" id="222"/>
    <tableColumn name="Reflecting on media you've consumed throughout your life (e.g., movies, TV, pornography, health education), how do you believe it has shaped the cultural &quot;default&quot; or &quot;ideal&quot; for what a penis should look like?" id="223"/>
    <tableColumn name="How significant a role do you believe social pressures—like the fear of a child &quot;looking different&quot; in a locker room or to future partners—play in the continuation of routine infant circumcision in cultures where it's common?" id="224"/>
    <tableColumn name="Broadening the lens for a moment: What is your general stance on performing medically unnecessary, permanent cosmetic alterations on a minor who cannot consent?" id="225"/>
    <tableColumn name="Looking forward 20-30 years, where do you predict the practice of routine infant circumcision will be in your primary country/culture?" id="226"/>
    <tableColumn name="🔵 What was the primary nature of your circumcision?" id="227"/>
    <tableColumn name="🔵 Was this procedure something you actively consented to and chose for yourself?" id="228"/>
    <tableColumn name="🔵 Reflecting on the information you received before the procedure, how well-informed did you feel about the potential changes to sensation, the full range of risks, and non-surgical alternatives (if applicable)?" id="229"/>
    <tableColumn name="🔵 How would you describe your role in the decision-making process?" id="230"/>
    <tableColumn name="🔵 What were the specific reasons or motivations that led to your circumcision?" id="231"/>
    <tableColumn name="🔵 Thinking about your experience as an intact person BEFORE you were circumcised, please rate the following:  [Overall satisfaction with the APPEARANCE of your penis]" id="232"/>
    <tableColumn name="🔵 Thinking about your experience as an intact person BEFORE you were circumcised, please rate the following:  [Overall satisfaction with the FUNCTION of your penis (e.g., gliding, natural lubrication)]" id="233"/>
    <tableColumn name="🔵 Thinking about your experience as an intact person BEFORE you were circumcised, please rate the following:  [INTENSITY of your orgasms]" id="234"/>
    <tableColumn name="🔵 Thinking about your experience as an intact person BEFORE you were circumcised, please rate the following:  [EASE of reaching orgasm]" id="235"/>
    <tableColumn name="🔵 Thinking about your experience as an intact person BEFORE you were circumcised, please rate the following:  [General SENSITIVITY to light touch]" id="236"/>
    <tableColumn name="🔵 Thinking about your experience as an intact person BEFORE you were circumcised, please rate the following:  [Your sense of HYGIENE and ease of care]" id="237"/>
    <tableColumn name="🔵 Now, thinking about your experience AFTER you were fully healed from your circumcision, please rate the change you've experienced in those same areas. [Overall satisfaction with the APPEARANCE of your penis]" id="238"/>
    <tableColumn name="🔵 Now, thinking about your experience AFTER you were fully healed from your circumcision, please rate the change you've experienced in those same areas. [Overall satisfaction with the FUNCTION of your penis (e.g., gliding, natural lubrication)]" id="239"/>
    <tableColumn name="🔵 Now, thinking about your experience AFTER you were fully healed from your circumcision, please rate the change you've experienced in those same areas. [INTENSITY of your orgasms]" id="240"/>
    <tableColumn name="🔵 Now, thinking about your experience AFTER you were fully healed from your circumcision, please rate the change you've experienced in those same areas. [EASE of reaching orgasm]" id="241"/>
    <tableColumn name="🔵 Now, thinking about your experience AFTER you were fully healed from your circumcision, please rate the change you've experienced in those same areas. [General SENSITIVITY to light touch]" id="242"/>
    <tableColumn name="🔵 Now, thinking about your experience AFTER you were fully healed from your circumcision, please rate the change you've experienced in those same areas. [Your sense of HYGIENE and ease of care]" id="243"/>
    <tableColumn name="🔵 In your own words, what has the transition to your &quot;new normal&quot; been like?" id="244"/>
    <tableColumn name="🔵 Overall, looking back, how do you feel about your choice to be circumcised (or the decision that was made for you)?" id="245"/>
    <tableColumn name="🔵 What advice would you give to another intact adult who is considering circumcision today?" id="246"/>
    <tableColumn name="🔵 Is there anything else you'd like to share about your experience being circumcised as a teen or adult?" id="247"/>
    <tableColumn name="🟣 Overall, how would you rate the impact of your restoration journey on the following aspects of your experience? [Overall Sensation &amp; Pleasure]" id="248"/>
    <tableColumn name="🟣 Overall, how would you rate the impact of your restoration journey on the following aspects of your experience? [Orgasm Quality &amp; Intensity]" id="249"/>
    <tableColumn name="🟣 Overall, how would you rate the impact of your restoration journey on the following aspects of your experience? [Mechanical Function (e.g., gliding, natural lubrication)]" id="250"/>
    <tableColumn name="🟣 Overall, how would you rate the impact of your restoration journey on the following aspects of your experience? [Physical Comfort (e.g., reduced tightness, chafing)]" id="251"/>
    <tableColumn name="🟣 Overall, how would you rate the impact of your restoration journey on the following aspects of your experience? [Aesthetic Appearance &amp; Body Image]" id="252"/>
    <tableColumn name="🟣 Overall, how would you rate the impact of your restoration journey on the following aspects of your experience? [Psychological Well-being &amp; Sense of Wholeness]" id="253"/>
    <tableColumn name="🟠 What are the primary reasons you now feel regret or have second thoughts about your decision?" id="254"/>
    <tableColumn name="🟠  As a PARTNER, what have you observed or experienced regarding his genital anatomy (intact, circumcised, or restoring) and its impact on your shared intimacy, his sexual pleasure, or his feelings about his body?" id="255"/>
    <tableColumn name="🟠  If your PARTNER'S circumcision state is different from what is most common in your culture, have you noticed any specific ways this impacts your relationship, communication, or intimacy (positively or negatively)?" id="256"/>
    <tableColumn name="🟠  What is your general stance or approach when counseling parents about routine infant circumcision?" id="257"/>
    <tableColumn name="🟠 What training or protocols influenced how you present circumcision to parents? Have you noticed changes over your career?" id="258"/>
    <tableColumn name="🟠In your practice, what are the most common questions or concerns you hear from parents regarding this procedure?_x000a_" id="259"/>
    <tableColumn name="🟠  What, if any, changes have you observed in medical consensus or parental attitudes towards RIC over your career?" id="260"/>
    <tableColumn name="🟠  What do you believe is the most critical barrier to widespread recognition of non-therapeutic infant circumcision as an ethical or human rights concern?" id="261"/>
    <tableColumn name="🟠  What strategy or piece of information do you find most effective in engaging people in thoughtful conversation about this topic?" id="262"/>
    <tableColumn name="🟠  As a WOMAN, do you see any parallels or significant divergences in how society discusses or treats non-therapeutic penile cutting versus clitoral/vulvar cutting (sometimes referred to as female circumcision or  FGM (female genital mutilation)?" id="263"/>
    <tableColumn name="🟠 Which of the following best describes your family's situation regarding the circumcision of your son(s) or AMAB children?" id="264"/>
    <tableColumn name="🟠 Did your child require any follow-up medical interventions due to complications from being circumcised?" id="265"/>
    <tableColumn name="🟠 Knowing this, would you be open to confidentially learning more about what becoming a plaintiff in such a case might entail for your family?" id="266"/>
    <tableColumn name="🟠 Are You Wearing Any Other Hat(s) Today?" id="267"/>
    <tableColumn name="🟠 If yes, is there anything you're willing to share about any complications or medical treatments your child required following their circumcision?" id="268"/>
    <tableColumn name=" 🟠 Thinking about the birth of your child or children, what was the primary type of location where they were/will be born?" id="269"/>
    <tableColumn name="🟠 What is/was the circumcision state of your CO-PARENT or PRIMARY PARTNER during this decision-making process?" id="270"/>
    <tableColumn name="🟠 Before you gave birth to your child, had you ever had any direct, personal experience with an intact (uncircumcised) penis?" id="271"/>
    <tableColumn name="🟠 In your immediate social circle (close friends, peers, family) at the time, what was the general expectation or norm for newborn boys?" id="272"/>
    <tableColumn name="🟠 What is the circumcision state of your primary PARTNER, or the partner whose experience is most relevant to your answers here?" id="273"/>
    <tableColumn name="🟠 To help us understand the time frame of you as a parent in what year was your youngest son/AMAB child born?" id="274"/>
    <tableColumn name="🟠 In what year was your OLDEST son/AMAB child born?" id="275"/>
    <tableColumn name="🟠 Thinking about your YOUNGEST son/AMAB child, what was the decision you made regarding his circumcision?" id="276"/>
    <tableColumn name="🟠 To begin, which of the following best describes your primary parenting or guardianship role for the AMAB (Assigned Male at Birth) child(ren) relevant to your answers?" id="277"/>
    <tableColumn name="🟠 Were you (and your spouse/partner if applicable,) the primary decision-maker for your child's circumcision, or had the procedure already been performed before they came into your care (e.g., through family blending or adoption)?" id="278"/>
    <tableColumn name="🟠 In what year was your YOUNGEST son/AMAB child for whom a different decision was made born?" id="279"/>
    <tableColumn name="🟠 Between these children, something shifted in your decision-making process. What were the key factors that led you to make a DIFFERENT choice?" id="280"/>
    <tableColumn name="🟠 If you're willing to share, could you tell us the story of that evolution in your own words?" id="281"/>
    <tableColumn name="🟠 What was the experience of making a different choice like for your family?" id="282"/>
    <tableColumn name="🟠 Looking back now, how do you feel about having children with different statuses?" id="283"/>
    <tableColumn name="🟠 Thinking about your OLDEST son/AMAB child, what was the decision you made regarding his circumcision?" id="284"/>
    <tableColumn name="🟠  As a PARENT or GUARDIAN, what were the most significant factors influencing your decision to keep your child or children intact?" id="285"/>
    <tableColumn name="🟠 To the best of your knowledge, what was the circumcision norm within your immediate social circle (close friends, family) at the time you made this choice?" id="286"/>
    <tableColumn name="🟠 Did you encounter any pushback, questioning, or pressure from medical staff, family, or friends regarding your decision to keep your child or children intact?" id="287"/>
    <tableColumn name="🟠 Looking back, have you ever experienced feelings of REGRET or reconsidered that decision to keep your child or children intact?" id="288"/>
    <tableColumn name="🟠   What advice would you give to a new parent who is undecided about circumcising their child?" id="289"/>
    <tableColumn name="🟠  Do you personally know of a parent who might fit this specific profile?" id="290"/>
    <tableColumn name="🟠 Beyond the general factors you just selected, can you pinpoint any specific resources, events, or key pieces of information that acted as a &quot;tipping point&quot; for your decision?" id="291"/>
    <tableColumn name="🟠 What were the most significant factors influencing your decision to have your child or children circumcised?" id="292"/>
    <tableColumn name="🟠 Thinking about the timeline, when did you finalize your decision to keep your son intact?" id="293"/>
    <tableColumn name="🟠 Thinking about the timeline, when did you finalize your decision to have your (first) son circumcised?" id="294"/>
    <tableColumn name="🟠 To the best of your knowledge, what was the circumcision norm within your immediate social circle (close friends, family) at the time you made this choice? 2" id="295"/>
    <tableColumn name="🟠 Before making your decision, were you ever exposed to information or perspectives that were critical of or advised against routine infant circumcision?" id="296"/>
    <tableColumn name="🟠 Has your son ever given you any feedback or expressed feelings (positive, negative, or neutral) about his circumcision?" id="297"/>
    <tableColumn name="🟠 If your son did express feelings about it, what was your emotional experience as a parent during that conversation?" id="298"/>
    <tableColumn name="🟠 Before making your decision, were you ever exposed to information or perspectives that were strongly in favor of routine infant circumcision?" id="299"/>
    <tableColumn name="🟠 Have any of your son(s)/AMAB children ever given you any feedback or expressed feelings (positive, negative, or neutral) about their intact status?" id="300"/>
    <tableColumn name="🟠 If your son did express feelings about it, what was your emotional experience as a parent during that conversation? 2" id="301"/>
    <tableColumn name="🟠 What advice would you give to a new parent who is undecided about circumcising their child?" id="302"/>
    <tableColumn name="🟠 Has your partner's circumcision state ever been a direct topic of conversation between you?" id="303"/>
    <tableColumn name="🟠 From your perspective, which of the following statements best describes your partner's emotional relationship with his own genital anatomy and circumcision state?" id="304"/>
    <tableColumn name="🟠 What advice would you offer to other partners to foster a more empathetic and connected intimate relationship, considering the nuances of circumcision state?" id="305"/>
    <tableColumn name="🟠 How has your partner's circumcision state impacted communication about sexual pleasure in your relationship?" id="306"/>
    <tableColumn name="🟠 From your perspective, what is the most significant misconception the general public has about your partner's anatomical state (intact, circumcised, or restoring)?" id="307"/>
    <tableColumn name="🟠 What is your PRIMARY MEDICAL ROLE or specialty?" id="308"/>
    <tableColumn name="🟠  What is your general stance or approach when counseling parents about routine infant circumcision? [With medical COLLEAGUES]" id="309"/>
    <tableColumn name="🟠  What is your general stance or approach when counseling parents about routine infant circumcision? [With FRIENDS or FAMILY in a personal setting]" id="310"/>
    <tableColumn name="🟠 How often, in your experience, does the topic of foreskin function, gliding mechanics, or specific sensory structures come up during the informed consent process with parents?" id="311"/>
    <tableColumn name="🟠 From your professional viewpoint, how adequate do you believe the typical informed consent process is for routine infant circumcision in your region?" id="312"/>
    <tableColumn name="🟠 Have you personally seen or treated complications resulting from infant circumcision in your practice?" id="313"/>
    <tableColumn name="🟠  If you're willing to share, what types of complications have you seen?" id="314"/>
    <tableColumn name="🟠 From your unique standpoint within the healthcare system, what do you believe is the most significant societal MISCONCEPTION or BLIND SPOT regarding male circumcision?" id="315"/>
    <tableColumn name="🟠 In what type of facility or practice setting do you primarily work?" id="316"/>
    <tableColumn name="🟠 If you are male/AMAB, what is your own circumcision state?" id="317"/>
    <tableColumn name="🟠 Looking ahead 10-20 years, where do you predict the practice of routine infant circumcision will be in your country?" id="318"/>
    <tableColumn name="🟠 How would you best describe your primary role or focus within the genital autonomy movement?" id="319"/>
    <tableColumn name="🟠 In your experience, what do you believe is the most critical barrier to widespread recognition of non-therapeutic infant circumcision as an ethical or human rights concern?" id="320"/>
    <tableColumn name="🟠 What strategy, argument, or piece of information do you find most effective in engaging people in a thoughtful, productive conversation about this topic?" id="321"/>
    <tableColumn name="🟠 Looking forward, where do you believe the genital autonomy movement should be focusing its energy and resources for the greatest impact over the next 5 years?" id="322"/>
    <tableColumn name="🟠 Before encountering this survey or similar discussions, what was your general understanding or awareness of the differences between an intact and a circumcised penis?" id="323"/>
    <tableColumn name="🟠 Have you had direct, personal experience (e.g., through intimate partners) with both intact and circumcised male partners?" id="324"/>
    <tableColumn name="🟠 If you have experience with both, have you observed any noticeable differences in terms of intimacy, function, or your partner's experience?" id="325"/>
    <tableColumn name="🟠  What has most shaped your current understanding or opinion about penile circumcision?" id="326"/>
    <tableColumn name="🟠 From your unique standpoint, what do you believe is the most significant societal MISCONCEPTION or BLIND SPOT you observe regarding this entire issue?" id="327"/>
    <tableColumn name="🟠 What is your primary field of study or research discipline?" id="328"/>
    <tableColumn name="🟠 What is your current academic or professional status?" id="329"/>
    <tableColumn name="🟠 What is your primary interest in the topic of genital cutting / circumcision?" id="330"/>
    <tableColumn name="🟠 From your perspective as a researcher or student, how might a large, qualitative/quantitative dataset like the one we are building be useful for your own work or field of study?" id="331"/>
    <tableColumn name="🟠 What do you see as the biggest methodological challenge or limitation in conducting research on this topic?" id="332"/>
    <tableColumn name="🟠 If you hold a pro-circumcision or skeptical viewpoint regarding intactivist messaging, what is the strongest piece of evidence or a key logical argument that underpins your perspective?" id="333"/>
    <tableColumn name="🟠 From your unique standpoint, what do you believe is the most significant gap in the current academic literature regarding genital cutting /circumcision?" id="334"/>
    <tableColumn name="🟠 As you navigate this decision, what are the primary sources of information you are relying on or have consulted so far?" id="335"/>
    <tableColumn name="🟠 What are the main arguments or reasons IN FAVOR of circumcision that you are currently weighing?" id="336"/>
    <tableColumn name="🟠 And what are the main arguments or reasons AGAINST circumcision (i.e., for leaving your son intact) that you are weighing?" id="337"/>
    <tableColumn name="🟠 How would you describe the emotional state you and your partner (if applicable) are in regarding this decision?" id="338"/>
    <tableColumn name="🟠 What is the single most important question you have that, if answered, would help you make your final decision with more confidence?" id="339"/>
    <tableColumn name="🟠 Thinking about the possibility of choosing circumcision, what is your biggest FEAR or ANXIETY about that potential outcome?" id="340"/>
    <tableColumn name="🟠 Now, thinking about the possibility of leaving your son intact, what is your biggest FEAR or ANXIETY about that potential outcome?" id="341"/>
    <tableColumn name="🟠 In general, what is your primary reason for SKEPTICISM regarding the anti-circumcision or intactivist movement?" id="342"/>
    <tableColumn name="🟠 Which pro-circumcision argument do you find to be the most logically sound or compelling?" id="343"/>
    <tableColumn name="🟠 Conversely, which anti-circumcision (intactivist) argument do you find to be the weakest, least convincing, or most flawed?" id="344"/>
    <tableColumn name="🟠 What would it take for you to find the intactivist perspective more credible or persuasive?" id="345"/>
    <tableColumn name="🟠 Is there anything else you'd like to share about your perspective or the reasons for your skepticism?" id="346"/>
    <tableColumn name="🔴Before your gender-affirming surgery, what was the circumcision state of your penis?" id="347"/>
    <tableColumn name="Which part of the survey is most relevant to you?" id="348"/>
    <tableColumn name="🔴Did your pre-surgery circumcision state have any notable impact on your gender-affirming surgery?" id="349"/>
    <tableColumn name="🔴Looking back now, how do you feel about your pre-surgery circumcision state?" id="350"/>
    <tableColumn name="🔴Would you be willing to reflect on your experience before your GRS?" id="351"/>
    <tableColumn name="🔴Which type of masculinizing gender-affirming bottom surgery have you undergone?" id="352"/>
    <tableColumn name="🔴During your surgical process, was a &quot;circumcised&quot; or &quot;intact&quot; (with a constructed foreskin) appearance a choice you considered or discussed with your surgical team?" id="353"/>
    <tableColumn name="🔴How satisfied are you with the final outcome, specifically in relation to this aspect of its appearance and function? [Aesthetic Appearance]" id="354"/>
    <tableColumn name="🔴How satisfied are you with the final outcome, specifically in relation to this aspect of its appearance and function? [Sensation (if applicable)]" id="355"/>
    <tableColumn name="🔴How satisfied are you with the final outcome, specifically in relation to this aspect of its appearance and function? [Overall sense of bodily congruence / feeling &quot;right&quot;]" id="356"/>
    <tableColumn name="🔴From your unique perspective of having actively constructed an affirming body, what are your thoughts on performing non-consensual, non-therapeutic genital surgery on infants?" id="357"/>
    <tableColumn name="⚪  How has the topic of non-consensual or &quot;normalizing&quot; genital surgery intersected with your own life and body?" id="358"/>
    <tableColumn name="⚪From your unique perspective, how do you see the common practice of routine infant circumcision in relation to the broader issue of Intersex Genital Mutilation (IGM)?" id="359"/>
    <tableColumn name="⚪ In addition to your experience as an intersex person, do you also have experiences that align with the Intact or Circumcised pathways?" id="360"/>
    <tableColumn name=" [I actively recommend AGAINST the procedure, citing ethical/medical reasons.]" id="361"/>
    <tableColumn name=" [I lean against it, but present it as the parents' choice.]" id="362"/>
    <tableColumn name=" [I present it as a completely neutral choice with pros and cons.]" id="363"/>
    <tableColumn name=" [I lean towards it, but present it as the parents' choice.]" id="364"/>
    <tableColumn name=" [I actively recommend IN FAVOR of the procedure.]" id="365"/>
    <tableColumn name=" [I avoid the topic / The topic does not come up.]" id="366"/>
    <tableColumn name="🟠 Were you the primary decision-maker for your child's circumcision, or had the procedure already been performed before they came into your care (e.g., through adoption)?" id="367"/>
    <tableColumn name="🔵 Now, thinking about your experience *after* you were fully healed from your circumcision, please rate the change you've experienced in those same areas." id="368"/>
  </tableColumns>
  <tableStyleInfo name="Form Responses 1-style" showColumnStripes="0" showFirstColumn="1" showLastColumn="1" showRowStripes="1"/>
</table>
</file>

<file path=xl/tables/table2.xml><?xml version="1.0" encoding="utf-8"?>
<table xmlns="http://schemas.openxmlformats.org/spreadsheetml/2006/main" headerRowCount="0" ref="A1:MW360" displayName="Table_1" name="Table_1" id="2">
  <tableColumns count="3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s>
  <tableStyleInfo name="Meta Tag Mapp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traight-foreskin.com/d/11708-intactcircumcision-survey" TargetMode="External"/><Relationship Id="rId3" Type="http://schemas.openxmlformats.org/officeDocument/2006/relationships/hyperlink" Target="http://dudesnude.com" TargetMode="External"/><Relationship Id="rId4" Type="http://schemas.openxmlformats.org/officeDocument/2006/relationships/hyperlink" Target="https://bsky.app/profile/kazran.bsky.social/post/3lsncutiajk2b" TargetMode="External"/><Relationship Id="rId9" Type="http://schemas.openxmlformats.org/officeDocument/2006/relationships/table" Target="../tables/table1.xml"/><Relationship Id="rId5" Type="http://schemas.openxmlformats.org/officeDocument/2006/relationships/hyperlink" Target="https://www.facebook.com/scott.white.7906"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raight-foreskin.com/d/11708-intactcircumcision-survey" TargetMode="External"/><Relationship Id="rId2" Type="http://schemas.openxmlformats.org/officeDocument/2006/relationships/hyperlink" Target="http://dudesnude.com" TargetMode="External"/><Relationship Id="rId3" Type="http://schemas.openxmlformats.org/officeDocument/2006/relationships/hyperlink" Target="https://bsky.app/profile/kazran.bsky.social/post/3lsncutiajk2b" TargetMode="External"/><Relationship Id="rId4" Type="http://schemas.openxmlformats.org/officeDocument/2006/relationships/hyperlink" Target="https://www.facebook.com/scott.white.7906"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raight-foreskin.com/d/11708-intactcircumcision-survey" TargetMode="External"/><Relationship Id="rId2" Type="http://schemas.openxmlformats.org/officeDocument/2006/relationships/hyperlink" Target="https://straight-foreskin.com/d/11708-intactcircumcision-survey" TargetMode="External"/><Relationship Id="rId3" Type="http://schemas.openxmlformats.org/officeDocument/2006/relationships/hyperlink" Target="https://x.com/MrBang21" TargetMode="External"/><Relationship Id="rId4" Type="http://schemas.openxmlformats.org/officeDocument/2006/relationships/hyperlink" Target="https://bsky.app/profile/kazran.bsky.social/post/3lsncutiajk2b" TargetMode="External"/><Relationship Id="rId5" Type="http://schemas.openxmlformats.org/officeDocument/2006/relationships/hyperlink" Target="https://t.me/RedFox0699"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cebook.com/scott.white.7906"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dudesnude.com" TargetMode="External"/><Relationship Id="rId2" Type="http://schemas.openxmlformats.org/officeDocument/2006/relationships/hyperlink" Target="http://dudesnude.co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3439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1.38"/>
    <col customWidth="1" min="4" max="4" width="37.63"/>
    <col customWidth="1" min="5" max="6" width="18.88"/>
    <col customWidth="1" min="7" max="7" width="37.63"/>
    <col customWidth="1" min="8" max="8" width="27.63"/>
    <col customWidth="1" min="9" max="9" width="37.25"/>
    <col customWidth="1" min="10" max="17" width="37.63"/>
    <col customWidth="1" min="18" max="18" width="32.63"/>
    <col customWidth="1" min="19" max="19" width="37.63"/>
    <col customWidth="1" min="20" max="20" width="32.25"/>
    <col customWidth="1" min="21" max="22" width="18.88"/>
    <col customWidth="1" min="23" max="24" width="37.63"/>
    <col customWidth="1" min="25" max="25" width="31.13"/>
    <col customWidth="1" min="26" max="65" width="37.63"/>
    <col customWidth="1" min="66" max="66" width="29.75"/>
    <col customWidth="1" min="67" max="106" width="37.63"/>
    <col customWidth="1" min="107" max="107" width="35.13"/>
    <col customWidth="1" min="108" max="120" width="37.63"/>
    <col customWidth="1" min="121" max="121" width="36.5"/>
    <col customWidth="1" min="122" max="152" width="37.63"/>
    <col customWidth="1" min="153" max="153" width="20.88"/>
    <col customWidth="1" min="154" max="184" width="37.63"/>
    <col customWidth="1" min="185" max="185" width="22.63"/>
    <col customWidth="1" min="186" max="186" width="21.38"/>
    <col customWidth="1" min="187" max="198" width="18.88"/>
    <col customWidth="1" min="199" max="199" width="29.13"/>
    <col customWidth="1" min="200" max="373" width="18.88"/>
  </cols>
  <sheetData>
    <row r="1" ht="102.0" customHeight="1">
      <c r="A1" s="1" t="s">
        <v>0</v>
      </c>
      <c r="B1" s="1" t="s">
        <v>1</v>
      </c>
      <c r="C1" s="1" t="s">
        <v>2</v>
      </c>
      <c r="D1" s="2" t="s">
        <v>3</v>
      </c>
      <c r="E1" s="2" t="s">
        <v>4</v>
      </c>
      <c r="F1" s="2" t="s">
        <v>5</v>
      </c>
      <c r="G1" s="1" t="s">
        <v>6</v>
      </c>
      <c r="H1" s="1" t="s">
        <v>7</v>
      </c>
      <c r="I1" s="1" t="s">
        <v>8</v>
      </c>
      <c r="J1" s="1" t="s">
        <v>9</v>
      </c>
      <c r="K1" s="2" t="s">
        <v>10</v>
      </c>
      <c r="L1" s="1" t="s">
        <v>11</v>
      </c>
      <c r="M1" s="1" t="s">
        <v>12</v>
      </c>
      <c r="N1" s="1" t="s">
        <v>13</v>
      </c>
      <c r="O1" s="1" t="s">
        <v>14</v>
      </c>
      <c r="P1" s="1" t="s">
        <v>15</v>
      </c>
      <c r="Q1" s="1" t="s">
        <v>16</v>
      </c>
      <c r="R1" s="1" t="s">
        <v>17</v>
      </c>
      <c r="S1" s="1" t="s">
        <v>18</v>
      </c>
      <c r="T1" s="1" t="s">
        <v>19</v>
      </c>
      <c r="U1" s="2" t="s">
        <v>20</v>
      </c>
      <c r="V1" s="2" t="s">
        <v>21</v>
      </c>
      <c r="W1" s="1"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1" t="s">
        <v>47</v>
      </c>
      <c r="AW1" s="1" t="s">
        <v>48</v>
      </c>
      <c r="AX1" s="1" t="s">
        <v>49</v>
      </c>
      <c r="AY1" s="1" t="s">
        <v>50</v>
      </c>
      <c r="AZ1" s="1" t="s">
        <v>51</v>
      </c>
      <c r="BA1" s="1" t="s">
        <v>52</v>
      </c>
      <c r="BB1" s="1" t="s">
        <v>53</v>
      </c>
      <c r="BC1" s="1" t="s">
        <v>54</v>
      </c>
      <c r="BD1" s="1" t="s">
        <v>55</v>
      </c>
      <c r="BE1" s="1" t="s">
        <v>56</v>
      </c>
      <c r="BF1" s="1" t="s">
        <v>57</v>
      </c>
      <c r="BG1" s="1" t="s">
        <v>58</v>
      </c>
      <c r="BH1" s="1" t="s">
        <v>59</v>
      </c>
      <c r="BI1" s="2" t="s">
        <v>60</v>
      </c>
      <c r="BJ1" s="1" t="s">
        <v>61</v>
      </c>
      <c r="BK1" s="1" t="s">
        <v>62</v>
      </c>
      <c r="BL1" s="1" t="s">
        <v>63</v>
      </c>
      <c r="BM1" s="1"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1"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1" t="s">
        <v>149</v>
      </c>
      <c r="EU1" s="1" t="s">
        <v>150</v>
      </c>
      <c r="EV1" s="2" t="s">
        <v>151</v>
      </c>
      <c r="EW1" s="1" t="s">
        <v>152</v>
      </c>
      <c r="EX1" s="1" t="s">
        <v>153</v>
      </c>
      <c r="EY1" s="1"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1" t="s">
        <v>170</v>
      </c>
      <c r="FP1" s="1" t="s">
        <v>171</v>
      </c>
      <c r="FQ1" s="2" t="s">
        <v>172</v>
      </c>
      <c r="FR1" s="1" t="s">
        <v>173</v>
      </c>
      <c r="FS1" s="1" t="s">
        <v>174</v>
      </c>
      <c r="FT1" s="1" t="s">
        <v>175</v>
      </c>
      <c r="FU1" s="1" t="s">
        <v>176</v>
      </c>
      <c r="FV1" s="1" t="s">
        <v>177</v>
      </c>
      <c r="FW1" s="1" t="s">
        <v>178</v>
      </c>
      <c r="FX1" s="1" t="s">
        <v>179</v>
      </c>
      <c r="FY1" s="1" t="s">
        <v>180</v>
      </c>
      <c r="FZ1" s="1" t="s">
        <v>181</v>
      </c>
      <c r="GA1" s="1" t="s">
        <v>182</v>
      </c>
      <c r="GB1" s="2" t="s">
        <v>183</v>
      </c>
      <c r="GC1" s="1" t="s">
        <v>184</v>
      </c>
      <c r="GD1" s="1"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4"/>
      <c r="NF1" s="4"/>
      <c r="NG1" s="4"/>
      <c r="NH1" s="4"/>
      <c r="NI1" s="4"/>
    </row>
    <row r="2" ht="24.75" customHeight="1">
      <c r="A2" s="5">
        <v>45824.9229365625</v>
      </c>
      <c r="B2" s="6" t="s">
        <v>368</v>
      </c>
      <c r="C2" s="6" t="s">
        <v>369</v>
      </c>
      <c r="D2" s="6" t="s">
        <v>370</v>
      </c>
      <c r="E2" s="7"/>
      <c r="F2" s="6" t="s">
        <v>371</v>
      </c>
      <c r="G2" s="6" t="s">
        <v>372</v>
      </c>
      <c r="H2" s="6" t="s">
        <v>373</v>
      </c>
      <c r="I2" s="6" t="s">
        <v>374</v>
      </c>
      <c r="J2" s="6" t="s">
        <v>375</v>
      </c>
      <c r="K2" s="6" t="s">
        <v>376</v>
      </c>
      <c r="L2" s="6" t="s">
        <v>377</v>
      </c>
      <c r="M2" s="6" t="s">
        <v>378</v>
      </c>
      <c r="N2" s="6" t="s">
        <v>379</v>
      </c>
      <c r="O2" s="6" t="s">
        <v>380</v>
      </c>
      <c r="P2" s="6" t="s">
        <v>381</v>
      </c>
      <c r="Q2" s="6" t="s">
        <v>382</v>
      </c>
      <c r="R2" s="6" t="s">
        <v>383</v>
      </c>
      <c r="S2" s="6" t="s">
        <v>384</v>
      </c>
      <c r="T2" s="6" t="s">
        <v>385</v>
      </c>
      <c r="U2" s="7"/>
      <c r="V2" s="7"/>
      <c r="W2" s="6" t="s">
        <v>386</v>
      </c>
      <c r="X2" s="6" t="s">
        <v>387</v>
      </c>
      <c r="Y2" s="6" t="s">
        <v>388</v>
      </c>
      <c r="Z2" s="6" t="s">
        <v>389</v>
      </c>
      <c r="AA2" s="7"/>
      <c r="AB2" s="7"/>
      <c r="AC2" s="7"/>
      <c r="AD2" s="7"/>
      <c r="AE2" s="7"/>
      <c r="AF2" s="7"/>
      <c r="AG2" s="7"/>
      <c r="AH2" s="7"/>
      <c r="AI2" s="7"/>
      <c r="AJ2" s="7"/>
      <c r="AK2" s="7"/>
      <c r="AL2" s="7"/>
      <c r="AM2" s="7"/>
      <c r="AN2" s="7"/>
      <c r="AO2" s="7"/>
      <c r="AP2" s="7"/>
      <c r="AQ2" s="7"/>
      <c r="AR2" s="7"/>
      <c r="AS2" s="7"/>
      <c r="AT2" s="7"/>
      <c r="AU2" s="7"/>
      <c r="AV2" s="6" t="s">
        <v>390</v>
      </c>
      <c r="AW2" s="6" t="s">
        <v>391</v>
      </c>
      <c r="AX2" s="6" t="s">
        <v>391</v>
      </c>
      <c r="AY2" s="6" t="s">
        <v>391</v>
      </c>
      <c r="AZ2" s="6" t="s">
        <v>391</v>
      </c>
      <c r="BA2" s="6" t="s">
        <v>391</v>
      </c>
      <c r="BB2" s="6" t="s">
        <v>391</v>
      </c>
      <c r="BC2" s="7"/>
      <c r="BD2" s="7"/>
      <c r="BE2" s="6" t="s">
        <v>392</v>
      </c>
      <c r="BF2" s="6" t="s">
        <v>393</v>
      </c>
      <c r="BG2" s="6" t="s">
        <v>394</v>
      </c>
      <c r="BH2" s="7"/>
      <c r="BI2" s="7"/>
      <c r="BJ2" s="7"/>
      <c r="BK2" s="6" t="s">
        <v>395</v>
      </c>
      <c r="BL2" s="6" t="s">
        <v>396</v>
      </c>
      <c r="BM2" s="6" t="s">
        <v>397</v>
      </c>
      <c r="BN2" s="6" t="s">
        <v>398</v>
      </c>
      <c r="BO2" s="6" t="s">
        <v>399</v>
      </c>
      <c r="BP2" s="6" t="s">
        <v>400</v>
      </c>
      <c r="BQ2" s="6" t="s">
        <v>401</v>
      </c>
      <c r="BR2" s="6" t="s">
        <v>402</v>
      </c>
      <c r="BS2" s="6" t="s">
        <v>403</v>
      </c>
      <c r="BT2" s="6" t="s">
        <v>404</v>
      </c>
      <c r="BU2" s="6" t="s">
        <v>405</v>
      </c>
      <c r="BV2" s="7"/>
      <c r="BW2" s="6" t="s">
        <v>406</v>
      </c>
      <c r="BX2" s="6" t="s">
        <v>407</v>
      </c>
      <c r="BY2" s="6" t="s">
        <v>408</v>
      </c>
      <c r="BZ2" s="7"/>
      <c r="CA2" s="7"/>
      <c r="CB2" s="7"/>
      <c r="CC2" s="7"/>
      <c r="CD2" s="6" t="s">
        <v>409</v>
      </c>
      <c r="CE2" s="7"/>
      <c r="CF2" s="7"/>
      <c r="CG2" s="7"/>
      <c r="CH2" s="7"/>
      <c r="CI2" s="6" t="s">
        <v>410</v>
      </c>
      <c r="CJ2" s="6" t="s">
        <v>411</v>
      </c>
      <c r="CK2" s="6" t="s">
        <v>412</v>
      </c>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6" t="s">
        <v>413</v>
      </c>
      <c r="FA2" s="6" t="s">
        <v>414</v>
      </c>
      <c r="FB2" s="6" t="s">
        <v>413</v>
      </c>
      <c r="FC2" s="6" t="s">
        <v>413</v>
      </c>
      <c r="FD2" s="6" t="s">
        <v>413</v>
      </c>
      <c r="FE2" s="6" t="s">
        <v>415</v>
      </c>
      <c r="FF2" s="6" t="s">
        <v>413</v>
      </c>
      <c r="FG2" s="6" t="s">
        <v>413</v>
      </c>
      <c r="FH2" s="6" t="s">
        <v>416</v>
      </c>
      <c r="FI2" s="6" t="s">
        <v>414</v>
      </c>
      <c r="FJ2" s="6" t="s">
        <v>415</v>
      </c>
      <c r="FK2" s="6" t="s">
        <v>415</v>
      </c>
      <c r="FL2" s="6" t="s">
        <v>415</v>
      </c>
      <c r="FM2" s="6" t="s">
        <v>413</v>
      </c>
      <c r="FN2" s="6" t="s">
        <v>415</v>
      </c>
      <c r="FO2" s="6" t="s">
        <v>417</v>
      </c>
      <c r="FP2" s="6" t="s">
        <v>418</v>
      </c>
      <c r="FQ2" s="6" t="s">
        <v>419</v>
      </c>
      <c r="FR2" s="7"/>
      <c r="FS2" s="6" t="s">
        <v>420</v>
      </c>
      <c r="FT2" s="6" t="s">
        <v>421</v>
      </c>
      <c r="FU2" s="7"/>
      <c r="FV2" s="7"/>
      <c r="FW2" s="7"/>
      <c r="FX2" s="7"/>
      <c r="FY2" s="7"/>
      <c r="FZ2" s="7"/>
      <c r="GA2" s="7"/>
      <c r="GB2" s="6" t="s">
        <v>408</v>
      </c>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c r="LI2" s="7"/>
      <c r="LJ2" s="7"/>
      <c r="LK2" s="7"/>
      <c r="LL2" s="7"/>
      <c r="LM2" s="7"/>
      <c r="LN2" s="7"/>
      <c r="LO2" s="7"/>
      <c r="LP2" s="7"/>
      <c r="LQ2" s="7"/>
      <c r="LR2" s="7"/>
      <c r="LS2" s="7"/>
      <c r="LT2" s="7"/>
      <c r="LU2" s="7"/>
      <c r="LV2" s="7"/>
      <c r="LW2" s="7"/>
      <c r="LX2" s="7"/>
      <c r="LY2" s="7"/>
      <c r="LZ2" s="7"/>
      <c r="MA2" s="7"/>
      <c r="MB2" s="7"/>
      <c r="MC2" s="7"/>
      <c r="MD2" s="7"/>
      <c r="ME2" s="7"/>
      <c r="MF2" s="7"/>
      <c r="MG2" s="7"/>
      <c r="MH2" s="7"/>
      <c r="MI2" s="7"/>
      <c r="MJ2" s="7"/>
      <c r="MK2" s="7"/>
      <c r="ML2" s="7"/>
      <c r="MM2" s="7"/>
      <c r="MN2" s="7"/>
      <c r="MO2" s="7"/>
      <c r="MP2" s="7"/>
      <c r="MQ2" s="7"/>
      <c r="MR2" s="7"/>
      <c r="MS2" s="7"/>
      <c r="MT2" s="7"/>
      <c r="MU2" s="7"/>
      <c r="MV2" s="7"/>
      <c r="MW2" s="7"/>
      <c r="MX2" s="7"/>
      <c r="MY2" s="7"/>
      <c r="MZ2" s="7"/>
      <c r="NA2" s="7"/>
      <c r="NB2" s="7"/>
      <c r="NC2" s="7"/>
      <c r="ND2" s="7"/>
    </row>
    <row r="3" ht="24.75" customHeight="1">
      <c r="A3" s="8">
        <v>45825.04676695602</v>
      </c>
      <c r="B3" s="9" t="s">
        <v>368</v>
      </c>
      <c r="C3" s="9" t="s">
        <v>370</v>
      </c>
      <c r="E3" s="9" t="s">
        <v>371</v>
      </c>
      <c r="G3" s="9" t="s">
        <v>422</v>
      </c>
      <c r="H3" s="9" t="s">
        <v>423</v>
      </c>
      <c r="I3" s="9" t="s">
        <v>424</v>
      </c>
      <c r="J3" s="9" t="s">
        <v>425</v>
      </c>
      <c r="K3" s="9" t="s">
        <v>376</v>
      </c>
      <c r="L3" s="9" t="s">
        <v>426</v>
      </c>
      <c r="M3" s="9" t="s">
        <v>378</v>
      </c>
      <c r="N3" s="9" t="s">
        <v>377</v>
      </c>
      <c r="O3" s="9" t="s">
        <v>380</v>
      </c>
      <c r="P3" s="9" t="s">
        <v>381</v>
      </c>
      <c r="Q3" s="9" t="s">
        <v>382</v>
      </c>
      <c r="R3" s="9" t="s">
        <v>427</v>
      </c>
      <c r="S3" s="9" t="s">
        <v>384</v>
      </c>
      <c r="T3" s="9" t="s">
        <v>385</v>
      </c>
      <c r="W3" s="9" t="s">
        <v>428</v>
      </c>
      <c r="AV3" s="9" t="s">
        <v>390</v>
      </c>
      <c r="AW3" s="9">
        <v>2.0</v>
      </c>
      <c r="AX3" s="9">
        <v>2.0</v>
      </c>
      <c r="AY3" s="9" t="s">
        <v>429</v>
      </c>
      <c r="AZ3" s="9">
        <v>2.0</v>
      </c>
      <c r="BA3" s="9">
        <v>2.0</v>
      </c>
      <c r="BB3" s="9">
        <v>2.0</v>
      </c>
      <c r="BC3" s="9" t="s">
        <v>430</v>
      </c>
      <c r="BD3" s="9" t="s">
        <v>431</v>
      </c>
      <c r="BE3" s="9" t="s">
        <v>432</v>
      </c>
      <c r="BF3" s="9" t="s">
        <v>433</v>
      </c>
      <c r="BG3" s="9" t="s">
        <v>434</v>
      </c>
      <c r="BI3" s="9" t="s">
        <v>435</v>
      </c>
      <c r="BJ3" s="9" t="s">
        <v>436</v>
      </c>
      <c r="BK3" s="9" t="s">
        <v>437</v>
      </c>
      <c r="BL3" s="9" t="s">
        <v>438</v>
      </c>
      <c r="BM3" s="9" t="s">
        <v>439</v>
      </c>
      <c r="BN3" s="9" t="s">
        <v>440</v>
      </c>
      <c r="CL3" s="9" t="s">
        <v>441</v>
      </c>
      <c r="CM3" s="9" t="s">
        <v>442</v>
      </c>
      <c r="CN3" s="9" t="s">
        <v>443</v>
      </c>
      <c r="CO3" s="9" t="s">
        <v>444</v>
      </c>
      <c r="CP3" s="9" t="s">
        <v>445</v>
      </c>
      <c r="CQ3" s="9" t="s">
        <v>446</v>
      </c>
      <c r="CR3" s="9" t="s">
        <v>447</v>
      </c>
      <c r="CS3" s="9" t="s">
        <v>448</v>
      </c>
      <c r="CT3" s="9" t="s">
        <v>449</v>
      </c>
      <c r="CU3" s="9" t="s">
        <v>450</v>
      </c>
      <c r="CV3" s="9" t="s">
        <v>451</v>
      </c>
      <c r="CW3" s="9" t="s">
        <v>452</v>
      </c>
      <c r="CX3" s="9" t="s">
        <v>408</v>
      </c>
      <c r="CZ3" s="9" t="s">
        <v>453</v>
      </c>
      <c r="DA3" s="9" t="s">
        <v>454</v>
      </c>
      <c r="DB3" s="9" t="s">
        <v>455</v>
      </c>
      <c r="DC3" s="9" t="s">
        <v>456</v>
      </c>
      <c r="DD3" s="9" t="s">
        <v>457</v>
      </c>
      <c r="DF3" s="9" t="s">
        <v>458</v>
      </c>
      <c r="DH3" s="9" t="s">
        <v>410</v>
      </c>
      <c r="DI3" s="9" t="s">
        <v>459</v>
      </c>
      <c r="DJ3" s="9" t="s">
        <v>460</v>
      </c>
      <c r="DK3" s="9" t="s">
        <v>461</v>
      </c>
      <c r="DM3" s="9" t="s">
        <v>462</v>
      </c>
      <c r="DN3" s="9" t="s">
        <v>463</v>
      </c>
      <c r="DO3" s="9" t="s">
        <v>464</v>
      </c>
      <c r="DP3" s="9" t="s">
        <v>465</v>
      </c>
      <c r="DQ3" s="9" t="s">
        <v>466</v>
      </c>
      <c r="DR3" s="9" t="s">
        <v>467</v>
      </c>
      <c r="DS3" s="9" t="s">
        <v>468</v>
      </c>
      <c r="DT3" s="9" t="s">
        <v>469</v>
      </c>
      <c r="DU3" s="9" t="s">
        <v>470</v>
      </c>
      <c r="DV3" s="9" t="s">
        <v>471</v>
      </c>
      <c r="DW3" s="9" t="s">
        <v>396</v>
      </c>
      <c r="DX3" s="9" t="s">
        <v>472</v>
      </c>
      <c r="DY3" s="9" t="s">
        <v>473</v>
      </c>
      <c r="DZ3" s="9" t="s">
        <v>474</v>
      </c>
      <c r="EA3" s="9" t="s">
        <v>475</v>
      </c>
      <c r="EB3" s="9" t="s">
        <v>476</v>
      </c>
      <c r="EC3" s="9" t="s">
        <v>477</v>
      </c>
      <c r="ET3" s="9" t="s">
        <v>478</v>
      </c>
      <c r="EU3" s="9" t="s">
        <v>479</v>
      </c>
      <c r="EV3" s="9" t="s">
        <v>480</v>
      </c>
      <c r="EW3" s="9" t="s">
        <v>481</v>
      </c>
      <c r="EX3" s="9" t="s">
        <v>482</v>
      </c>
      <c r="EY3" s="9" t="s">
        <v>483</v>
      </c>
      <c r="EZ3" s="9" t="s">
        <v>414</v>
      </c>
      <c r="FA3" s="9" t="s">
        <v>414</v>
      </c>
      <c r="FB3" s="9" t="s">
        <v>414</v>
      </c>
      <c r="FC3" s="9" t="s">
        <v>414</v>
      </c>
      <c r="FD3" s="9" t="s">
        <v>414</v>
      </c>
      <c r="FE3" s="9" t="s">
        <v>414</v>
      </c>
      <c r="FF3" s="9" t="s">
        <v>414</v>
      </c>
      <c r="FG3" s="9" t="s">
        <v>414</v>
      </c>
      <c r="FH3" s="9" t="s">
        <v>484</v>
      </c>
      <c r="FI3" s="9" t="s">
        <v>414</v>
      </c>
      <c r="FJ3" s="9" t="s">
        <v>414</v>
      </c>
      <c r="FK3" s="9" t="s">
        <v>484</v>
      </c>
      <c r="FL3" s="9" t="s">
        <v>414</v>
      </c>
      <c r="FM3" s="9" t="s">
        <v>484</v>
      </c>
      <c r="FN3" s="9" t="s">
        <v>484</v>
      </c>
      <c r="FO3" s="9" t="s">
        <v>485</v>
      </c>
      <c r="FP3" s="9" t="s">
        <v>486</v>
      </c>
      <c r="FQ3" s="9" t="s">
        <v>419</v>
      </c>
      <c r="FR3" s="9" t="s">
        <v>487</v>
      </c>
      <c r="FS3" s="9" t="s">
        <v>420</v>
      </c>
      <c r="FT3" s="9" t="s">
        <v>488</v>
      </c>
      <c r="FU3" s="9" t="s">
        <v>489</v>
      </c>
      <c r="FV3" s="9" t="s">
        <v>490</v>
      </c>
      <c r="FW3" s="9" t="s">
        <v>491</v>
      </c>
      <c r="FX3" s="9" t="s">
        <v>492</v>
      </c>
      <c r="FY3" s="9" t="s">
        <v>493</v>
      </c>
      <c r="FZ3" s="9" t="s">
        <v>494</v>
      </c>
      <c r="GB3" s="9" t="s">
        <v>408</v>
      </c>
    </row>
    <row r="4" ht="24.75" customHeight="1">
      <c r="A4" s="8">
        <v>45825.05825144676</v>
      </c>
      <c r="B4" s="9" t="s">
        <v>368</v>
      </c>
      <c r="C4" s="9" t="s">
        <v>370</v>
      </c>
      <c r="E4" s="9" t="s">
        <v>495</v>
      </c>
      <c r="G4" s="9" t="s">
        <v>422</v>
      </c>
      <c r="H4" s="9" t="s">
        <v>496</v>
      </c>
      <c r="I4" s="9" t="s">
        <v>374</v>
      </c>
      <c r="J4" s="9" t="s">
        <v>425</v>
      </c>
      <c r="K4" s="9" t="s">
        <v>376</v>
      </c>
      <c r="L4" s="9" t="s">
        <v>379</v>
      </c>
      <c r="M4" s="9" t="s">
        <v>378</v>
      </c>
      <c r="N4" s="9" t="s">
        <v>379</v>
      </c>
      <c r="O4" s="9" t="s">
        <v>497</v>
      </c>
      <c r="P4" s="9" t="s">
        <v>498</v>
      </c>
      <c r="Q4" s="9" t="s">
        <v>499</v>
      </c>
      <c r="R4" s="9" t="s">
        <v>500</v>
      </c>
      <c r="S4" s="9" t="s">
        <v>501</v>
      </c>
      <c r="T4" s="9" t="s">
        <v>385</v>
      </c>
      <c r="W4" s="9" t="s">
        <v>386</v>
      </c>
      <c r="X4" s="9" t="s">
        <v>387</v>
      </c>
      <c r="Y4" s="9" t="s">
        <v>388</v>
      </c>
      <c r="Z4" s="9" t="s">
        <v>502</v>
      </c>
      <c r="AA4" s="9" t="s">
        <v>408</v>
      </c>
      <c r="AB4" s="9" t="s">
        <v>503</v>
      </c>
      <c r="AV4" s="9" t="s">
        <v>504</v>
      </c>
      <c r="AW4" s="9" t="s">
        <v>429</v>
      </c>
      <c r="AX4" s="9" t="s">
        <v>429</v>
      </c>
      <c r="AY4" s="9" t="s">
        <v>429</v>
      </c>
      <c r="AZ4" s="9" t="s">
        <v>429</v>
      </c>
      <c r="BA4" s="9" t="s">
        <v>429</v>
      </c>
      <c r="BB4" s="9" t="s">
        <v>429</v>
      </c>
      <c r="BC4" s="9" t="s">
        <v>505</v>
      </c>
      <c r="BD4" s="9" t="s">
        <v>506</v>
      </c>
      <c r="BE4" s="9" t="s">
        <v>392</v>
      </c>
      <c r="BF4" s="9" t="s">
        <v>433</v>
      </c>
      <c r="BG4" s="9" t="s">
        <v>507</v>
      </c>
      <c r="BH4" s="9" t="s">
        <v>508</v>
      </c>
      <c r="BI4" s="9" t="s">
        <v>509</v>
      </c>
      <c r="BJ4" s="9" t="s">
        <v>510</v>
      </c>
      <c r="BK4" s="9" t="s">
        <v>511</v>
      </c>
      <c r="BL4" s="9" t="s">
        <v>512</v>
      </c>
      <c r="BM4" s="9" t="s">
        <v>439</v>
      </c>
      <c r="BN4" s="9" t="s">
        <v>513</v>
      </c>
      <c r="CL4" s="9" t="s">
        <v>441</v>
      </c>
      <c r="CM4" s="9" t="s">
        <v>442</v>
      </c>
      <c r="CN4" s="9" t="s">
        <v>514</v>
      </c>
      <c r="CO4" s="9" t="s">
        <v>515</v>
      </c>
      <c r="CP4" s="9" t="s">
        <v>445</v>
      </c>
      <c r="CQ4" s="9" t="s">
        <v>516</v>
      </c>
      <c r="CR4" s="9" t="s">
        <v>447</v>
      </c>
      <c r="CS4" s="9" t="s">
        <v>517</v>
      </c>
      <c r="CT4" s="9" t="s">
        <v>518</v>
      </c>
      <c r="CU4" s="9" t="s">
        <v>519</v>
      </c>
      <c r="CV4" s="9" t="s">
        <v>451</v>
      </c>
      <c r="CW4" s="9" t="s">
        <v>520</v>
      </c>
      <c r="CX4" s="9" t="s">
        <v>408</v>
      </c>
      <c r="CZ4" s="9" t="s">
        <v>453</v>
      </c>
      <c r="DA4" s="9" t="s">
        <v>521</v>
      </c>
      <c r="DB4" s="9" t="s">
        <v>455</v>
      </c>
      <c r="DC4" s="9" t="s">
        <v>522</v>
      </c>
      <c r="DD4" s="9" t="s">
        <v>457</v>
      </c>
      <c r="DF4" s="9" t="s">
        <v>523</v>
      </c>
      <c r="DG4" s="9" t="s">
        <v>524</v>
      </c>
      <c r="DH4" s="9" t="s">
        <v>410</v>
      </c>
      <c r="DI4" s="9" t="s">
        <v>459</v>
      </c>
      <c r="DJ4" s="9" t="s">
        <v>460</v>
      </c>
      <c r="DK4" s="9" t="s">
        <v>525</v>
      </c>
      <c r="ET4" s="9" t="s">
        <v>526</v>
      </c>
      <c r="EU4" s="9" t="s">
        <v>479</v>
      </c>
      <c r="EV4" s="9" t="s">
        <v>527</v>
      </c>
      <c r="EW4" s="9" t="s">
        <v>528</v>
      </c>
      <c r="EX4" s="9" t="s">
        <v>529</v>
      </c>
      <c r="EY4" s="9" t="s">
        <v>530</v>
      </c>
      <c r="EZ4" s="9" t="s">
        <v>413</v>
      </c>
      <c r="FA4" s="9" t="s">
        <v>413</v>
      </c>
      <c r="FB4" s="9" t="s">
        <v>413</v>
      </c>
      <c r="FC4" s="9" t="s">
        <v>413</v>
      </c>
      <c r="FD4" s="9" t="s">
        <v>413</v>
      </c>
      <c r="FE4" s="9" t="s">
        <v>413</v>
      </c>
      <c r="FF4" s="9" t="s">
        <v>413</v>
      </c>
      <c r="FG4" s="9" t="s">
        <v>413</v>
      </c>
      <c r="FH4" s="9" t="s">
        <v>413</v>
      </c>
      <c r="FI4" s="9" t="s">
        <v>413</v>
      </c>
      <c r="FJ4" s="9" t="s">
        <v>413</v>
      </c>
      <c r="FK4" s="9" t="s">
        <v>413</v>
      </c>
      <c r="FL4" s="9" t="s">
        <v>413</v>
      </c>
      <c r="FM4" s="9" t="s">
        <v>413</v>
      </c>
      <c r="FN4" s="9" t="s">
        <v>413</v>
      </c>
      <c r="FO4" s="9" t="s">
        <v>417</v>
      </c>
      <c r="FP4" s="9" t="s">
        <v>418</v>
      </c>
      <c r="FQ4" s="9" t="s">
        <v>531</v>
      </c>
      <c r="FR4" s="9" t="s">
        <v>532</v>
      </c>
      <c r="FS4" s="9" t="s">
        <v>420</v>
      </c>
      <c r="FT4" s="9" t="s">
        <v>488</v>
      </c>
      <c r="FU4" s="9" t="s">
        <v>533</v>
      </c>
      <c r="FV4" s="9" t="s">
        <v>490</v>
      </c>
      <c r="FW4" s="9" t="s">
        <v>491</v>
      </c>
      <c r="FX4" s="9" t="s">
        <v>534</v>
      </c>
      <c r="FY4" s="9" t="s">
        <v>535</v>
      </c>
      <c r="FZ4" s="9" t="s">
        <v>536</v>
      </c>
      <c r="GA4" s="9" t="s">
        <v>537</v>
      </c>
      <c r="GB4" s="9" t="s">
        <v>455</v>
      </c>
      <c r="GC4" s="9"/>
    </row>
    <row r="5" ht="24.75" customHeight="1">
      <c r="A5" s="8">
        <v>45825.103313796295</v>
      </c>
      <c r="B5" s="9" t="s">
        <v>368</v>
      </c>
      <c r="C5" s="9" t="s">
        <v>538</v>
      </c>
      <c r="D5" s="9" t="s">
        <v>538</v>
      </c>
      <c r="G5" s="9" t="s">
        <v>422</v>
      </c>
      <c r="H5" s="9" t="s">
        <v>539</v>
      </c>
      <c r="I5" s="9" t="s">
        <v>424</v>
      </c>
      <c r="J5" s="9" t="s">
        <v>540</v>
      </c>
      <c r="K5" s="9" t="s">
        <v>376</v>
      </c>
      <c r="L5" s="9" t="s">
        <v>379</v>
      </c>
      <c r="M5" s="9" t="s">
        <v>541</v>
      </c>
      <c r="N5" s="9" t="s">
        <v>377</v>
      </c>
      <c r="O5" s="9" t="s">
        <v>497</v>
      </c>
      <c r="P5" s="9" t="s">
        <v>381</v>
      </c>
      <c r="Q5" s="9" t="s">
        <v>499</v>
      </c>
      <c r="R5" s="9" t="s">
        <v>427</v>
      </c>
      <c r="S5" s="9" t="s">
        <v>384</v>
      </c>
      <c r="T5" s="9" t="s">
        <v>385</v>
      </c>
      <c r="W5" s="9" t="s">
        <v>386</v>
      </c>
      <c r="X5" s="9" t="s">
        <v>387</v>
      </c>
      <c r="Y5" s="9" t="s">
        <v>542</v>
      </c>
      <c r="Z5" s="9" t="s">
        <v>543</v>
      </c>
      <c r="AA5" s="9" t="s">
        <v>408</v>
      </c>
      <c r="AB5" s="9" t="s">
        <v>544</v>
      </c>
      <c r="AV5" s="9" t="s">
        <v>390</v>
      </c>
      <c r="AW5" s="9" t="s">
        <v>391</v>
      </c>
      <c r="AX5" s="9">
        <v>2.0</v>
      </c>
      <c r="AY5" s="9" t="s">
        <v>391</v>
      </c>
      <c r="AZ5" s="9" t="s">
        <v>429</v>
      </c>
      <c r="BA5" s="9" t="s">
        <v>391</v>
      </c>
      <c r="BB5" s="9" t="s">
        <v>429</v>
      </c>
      <c r="BC5" s="9" t="s">
        <v>545</v>
      </c>
      <c r="BD5" s="9" t="s">
        <v>546</v>
      </c>
      <c r="BE5" s="9" t="s">
        <v>392</v>
      </c>
      <c r="BF5" s="9" t="s">
        <v>433</v>
      </c>
      <c r="BG5" s="9" t="s">
        <v>434</v>
      </c>
      <c r="BH5" s="9" t="s">
        <v>547</v>
      </c>
      <c r="BI5" s="9" t="s">
        <v>509</v>
      </c>
      <c r="BJ5" s="9" t="s">
        <v>548</v>
      </c>
      <c r="BK5" s="9" t="s">
        <v>437</v>
      </c>
      <c r="BL5" s="9" t="s">
        <v>438</v>
      </c>
      <c r="BM5" s="9" t="s">
        <v>549</v>
      </c>
      <c r="BN5" s="9" t="s">
        <v>440</v>
      </c>
      <c r="CL5" s="9" t="s">
        <v>550</v>
      </c>
      <c r="CM5" s="9" t="s">
        <v>551</v>
      </c>
      <c r="CN5" s="9" t="s">
        <v>552</v>
      </c>
      <c r="CO5" s="9" t="s">
        <v>553</v>
      </c>
      <c r="CQ5" s="9" t="s">
        <v>554</v>
      </c>
      <c r="CR5" s="9" t="s">
        <v>555</v>
      </c>
      <c r="CS5" s="9" t="s">
        <v>556</v>
      </c>
      <c r="CT5" s="9" t="s">
        <v>557</v>
      </c>
      <c r="CU5" s="9" t="s">
        <v>450</v>
      </c>
      <c r="CV5" s="9" t="s">
        <v>451</v>
      </c>
      <c r="CW5" s="9" t="s">
        <v>558</v>
      </c>
      <c r="CX5" s="9" t="s">
        <v>408</v>
      </c>
      <c r="CZ5" s="9" t="s">
        <v>453</v>
      </c>
      <c r="DA5" s="9" t="s">
        <v>559</v>
      </c>
      <c r="DB5" s="9" t="s">
        <v>455</v>
      </c>
      <c r="DD5" s="9" t="s">
        <v>457</v>
      </c>
      <c r="DF5" s="9" t="s">
        <v>560</v>
      </c>
      <c r="DG5" s="9" t="s">
        <v>561</v>
      </c>
      <c r="DH5" s="9" t="s">
        <v>410</v>
      </c>
      <c r="DI5" s="9" t="s">
        <v>459</v>
      </c>
      <c r="DJ5" s="9" t="s">
        <v>562</v>
      </c>
      <c r="DK5" s="9" t="s">
        <v>563</v>
      </c>
      <c r="DL5" s="9" t="s">
        <v>564</v>
      </c>
      <c r="DM5" s="9" t="s">
        <v>565</v>
      </c>
      <c r="DN5" s="9" t="s">
        <v>566</v>
      </c>
      <c r="DO5" s="9" t="s">
        <v>567</v>
      </c>
      <c r="DP5" s="9" t="s">
        <v>568</v>
      </c>
      <c r="DQ5" s="9" t="s">
        <v>466</v>
      </c>
      <c r="DR5" s="9" t="s">
        <v>569</v>
      </c>
      <c r="DS5" s="9" t="s">
        <v>468</v>
      </c>
      <c r="DT5" s="9" t="s">
        <v>570</v>
      </c>
      <c r="DU5" s="9" t="s">
        <v>571</v>
      </c>
      <c r="DV5" s="9" t="s">
        <v>572</v>
      </c>
      <c r="DW5" s="9" t="s">
        <v>573</v>
      </c>
      <c r="DX5" s="9" t="s">
        <v>574</v>
      </c>
      <c r="DY5" s="9" t="s">
        <v>575</v>
      </c>
      <c r="DZ5" s="9" t="s">
        <v>576</v>
      </c>
      <c r="EA5" s="9" t="s">
        <v>475</v>
      </c>
      <c r="EB5" s="9" t="s">
        <v>476</v>
      </c>
      <c r="EC5" s="9" t="s">
        <v>577</v>
      </c>
      <c r="ET5" s="9" t="s">
        <v>578</v>
      </c>
      <c r="EU5" s="9" t="s">
        <v>579</v>
      </c>
      <c r="EV5" s="9" t="s">
        <v>580</v>
      </c>
      <c r="EX5" s="9" t="s">
        <v>581</v>
      </c>
      <c r="EY5" s="9" t="s">
        <v>582</v>
      </c>
      <c r="EZ5" s="9" t="s">
        <v>415</v>
      </c>
      <c r="FA5" s="9" t="s">
        <v>583</v>
      </c>
      <c r="FB5" s="9" t="s">
        <v>413</v>
      </c>
      <c r="FC5" s="9" t="s">
        <v>415</v>
      </c>
      <c r="FD5" s="9" t="s">
        <v>416</v>
      </c>
      <c r="FE5" s="9" t="s">
        <v>583</v>
      </c>
      <c r="FF5" s="9" t="s">
        <v>415</v>
      </c>
      <c r="FG5" s="9" t="s">
        <v>413</v>
      </c>
      <c r="FH5" s="9" t="s">
        <v>414</v>
      </c>
      <c r="FI5" s="9" t="s">
        <v>413</v>
      </c>
      <c r="FJ5" s="9" t="s">
        <v>416</v>
      </c>
      <c r="FK5" s="9" t="s">
        <v>413</v>
      </c>
      <c r="FL5" s="9" t="s">
        <v>415</v>
      </c>
      <c r="FM5" s="9" t="s">
        <v>413</v>
      </c>
      <c r="FN5" s="9" t="s">
        <v>414</v>
      </c>
      <c r="FO5" s="9" t="s">
        <v>485</v>
      </c>
      <c r="FP5" s="9" t="s">
        <v>418</v>
      </c>
      <c r="FQ5" s="9" t="s">
        <v>419</v>
      </c>
      <c r="FR5" s="9" t="s">
        <v>584</v>
      </c>
      <c r="FS5" s="9" t="s">
        <v>420</v>
      </c>
      <c r="FU5" s="9" t="s">
        <v>585</v>
      </c>
      <c r="FV5" s="9" t="s">
        <v>490</v>
      </c>
      <c r="FW5" s="9" t="s">
        <v>491</v>
      </c>
      <c r="FX5" s="9" t="s">
        <v>586</v>
      </c>
      <c r="FY5" s="9" t="s">
        <v>535</v>
      </c>
      <c r="GA5" s="9" t="s">
        <v>587</v>
      </c>
      <c r="GB5" s="9" t="s">
        <v>455</v>
      </c>
      <c r="GD5" s="9" t="s">
        <v>588</v>
      </c>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c r="IW5" s="10"/>
      <c r="IX5" s="10"/>
      <c r="IY5" s="10"/>
      <c r="IZ5" s="10"/>
      <c r="JA5" s="10"/>
      <c r="JB5" s="10"/>
      <c r="JC5" s="10"/>
      <c r="JD5" s="10"/>
      <c r="JE5" s="10"/>
      <c r="JF5" s="10"/>
      <c r="JG5" s="10"/>
      <c r="JH5" s="10"/>
      <c r="JI5" s="10"/>
      <c r="JJ5" s="10"/>
      <c r="JK5" s="10"/>
      <c r="JL5" s="10"/>
      <c r="JM5" s="10"/>
      <c r="JN5" s="10"/>
      <c r="JO5" s="10"/>
      <c r="JP5" s="10"/>
      <c r="JQ5" s="10"/>
      <c r="JR5" s="10"/>
      <c r="JS5" s="10"/>
      <c r="JT5" s="10"/>
      <c r="JU5" s="10"/>
      <c r="JV5" s="10"/>
      <c r="JW5" s="10"/>
      <c r="JX5" s="10"/>
      <c r="JY5" s="10"/>
      <c r="JZ5" s="10"/>
      <c r="KA5" s="10"/>
      <c r="KB5" s="10"/>
      <c r="KC5" s="10"/>
      <c r="KD5" s="10"/>
      <c r="KE5" s="10"/>
      <c r="KF5" s="10"/>
      <c r="KG5" s="10"/>
      <c r="KH5" s="10"/>
      <c r="KI5" s="10"/>
      <c r="KJ5" s="10"/>
      <c r="KK5" s="10"/>
      <c r="KL5" s="10"/>
      <c r="KM5" s="10"/>
      <c r="KN5" s="10"/>
      <c r="KO5" s="10"/>
      <c r="KP5" s="10"/>
      <c r="KQ5" s="10"/>
      <c r="KR5" s="10"/>
      <c r="KS5" s="10"/>
      <c r="KT5" s="10"/>
      <c r="KU5" s="10"/>
      <c r="KV5" s="10"/>
      <c r="KW5" s="10"/>
      <c r="KX5" s="10"/>
      <c r="KY5" s="10"/>
      <c r="KZ5" s="10"/>
      <c r="LA5" s="10"/>
      <c r="LB5" s="10"/>
      <c r="LC5" s="10"/>
      <c r="LD5" s="10"/>
      <c r="LE5" s="10"/>
      <c r="LF5" s="10"/>
      <c r="LG5" s="10"/>
      <c r="LH5" s="10"/>
      <c r="LI5" s="10"/>
      <c r="LJ5" s="10"/>
      <c r="LK5" s="10"/>
      <c r="LL5" s="10"/>
      <c r="LM5" s="10"/>
      <c r="LN5" s="10"/>
      <c r="LO5" s="10"/>
      <c r="LP5" s="10"/>
      <c r="LQ5" s="10"/>
      <c r="LR5" s="10"/>
      <c r="LS5" s="10"/>
      <c r="LT5" s="10"/>
      <c r="LU5" s="10"/>
      <c r="LV5" s="10"/>
      <c r="LW5" s="10"/>
      <c r="LX5" s="10"/>
      <c r="LY5" s="10"/>
      <c r="LZ5" s="10"/>
      <c r="MA5" s="10"/>
      <c r="MB5" s="10"/>
      <c r="MC5" s="10"/>
      <c r="MD5" s="10"/>
      <c r="ME5" s="10"/>
      <c r="MF5" s="10"/>
      <c r="MG5" s="10"/>
      <c r="MH5" s="10"/>
      <c r="MI5" s="10"/>
      <c r="MJ5" s="10"/>
      <c r="MK5" s="10"/>
      <c r="ML5" s="10"/>
      <c r="MM5" s="10"/>
      <c r="MN5" s="10"/>
      <c r="MO5" s="10"/>
      <c r="MP5" s="10"/>
      <c r="MQ5" s="10"/>
      <c r="MR5" s="10"/>
      <c r="MS5" s="10"/>
      <c r="MT5" s="10"/>
      <c r="MU5" s="10"/>
      <c r="MV5" s="10"/>
      <c r="MW5" s="10"/>
      <c r="MX5" s="10"/>
      <c r="MY5" s="10"/>
      <c r="MZ5" s="10"/>
      <c r="NA5" s="10"/>
      <c r="NB5" s="10"/>
      <c r="NC5" s="10"/>
      <c r="ND5" s="10"/>
    </row>
    <row r="6" ht="24.75" customHeight="1">
      <c r="A6" s="8">
        <v>45825.22351165509</v>
      </c>
      <c r="B6" s="9" t="s">
        <v>368</v>
      </c>
      <c r="C6" s="9" t="s">
        <v>370</v>
      </c>
      <c r="E6" s="9" t="s">
        <v>589</v>
      </c>
      <c r="G6" s="9" t="s">
        <v>422</v>
      </c>
      <c r="H6" s="9" t="s">
        <v>373</v>
      </c>
      <c r="I6" s="9" t="s">
        <v>374</v>
      </c>
      <c r="J6" s="9" t="s">
        <v>590</v>
      </c>
      <c r="K6" s="9" t="s">
        <v>376</v>
      </c>
      <c r="L6" s="9" t="s">
        <v>426</v>
      </c>
      <c r="M6" s="9" t="s">
        <v>378</v>
      </c>
      <c r="N6" s="9" t="s">
        <v>591</v>
      </c>
      <c r="O6" s="9" t="s">
        <v>497</v>
      </c>
      <c r="P6" s="9" t="s">
        <v>592</v>
      </c>
      <c r="Q6" s="9" t="s">
        <v>499</v>
      </c>
      <c r="R6" s="9" t="s">
        <v>427</v>
      </c>
      <c r="S6" s="9" t="s">
        <v>384</v>
      </c>
      <c r="T6" s="9" t="s">
        <v>385</v>
      </c>
      <c r="W6" s="9" t="s">
        <v>593</v>
      </c>
      <c r="X6" s="9" t="s">
        <v>387</v>
      </c>
      <c r="Y6" s="9" t="s">
        <v>594</v>
      </c>
      <c r="Z6" s="9" t="s">
        <v>502</v>
      </c>
      <c r="AA6" s="9" t="s">
        <v>595</v>
      </c>
      <c r="AB6" s="9" t="s">
        <v>596</v>
      </c>
      <c r="AV6" s="9" t="s">
        <v>597</v>
      </c>
      <c r="AW6" s="9">
        <v>4.0</v>
      </c>
      <c r="AX6" s="9" t="s">
        <v>391</v>
      </c>
      <c r="AY6" s="9">
        <v>2.0</v>
      </c>
      <c r="AZ6" s="9" t="s">
        <v>391</v>
      </c>
      <c r="BA6" s="9">
        <v>4.0</v>
      </c>
      <c r="BB6" s="9" t="s">
        <v>391</v>
      </c>
      <c r="BC6" s="9" t="s">
        <v>598</v>
      </c>
      <c r="BD6" s="9" t="s">
        <v>599</v>
      </c>
      <c r="BE6" s="9" t="s">
        <v>392</v>
      </c>
      <c r="BF6" s="9" t="s">
        <v>393</v>
      </c>
      <c r="BG6" s="9" t="s">
        <v>394</v>
      </c>
      <c r="BH6" s="9" t="s">
        <v>600</v>
      </c>
      <c r="BI6" s="9" t="s">
        <v>435</v>
      </c>
      <c r="BJ6" s="9" t="s">
        <v>601</v>
      </c>
      <c r="BK6" s="9" t="s">
        <v>602</v>
      </c>
      <c r="BL6" s="9" t="s">
        <v>603</v>
      </c>
      <c r="BM6" s="9" t="s">
        <v>549</v>
      </c>
      <c r="BN6" s="9" t="s">
        <v>440</v>
      </c>
      <c r="CL6" s="9" t="s">
        <v>441</v>
      </c>
      <c r="CM6" s="9" t="s">
        <v>604</v>
      </c>
      <c r="CN6" s="9" t="s">
        <v>605</v>
      </c>
      <c r="CO6" s="9" t="s">
        <v>606</v>
      </c>
      <c r="CP6" s="9" t="s">
        <v>445</v>
      </c>
      <c r="CQ6" s="9" t="s">
        <v>607</v>
      </c>
      <c r="CR6" s="9" t="s">
        <v>447</v>
      </c>
      <c r="CS6" s="9" t="s">
        <v>608</v>
      </c>
      <c r="CT6" s="9" t="s">
        <v>609</v>
      </c>
      <c r="CU6" s="9" t="s">
        <v>519</v>
      </c>
      <c r="CV6" s="9" t="s">
        <v>451</v>
      </c>
      <c r="CW6" s="9" t="s">
        <v>610</v>
      </c>
      <c r="CX6" s="9" t="s">
        <v>408</v>
      </c>
      <c r="CZ6" s="9" t="s">
        <v>453</v>
      </c>
      <c r="DA6" s="9" t="s">
        <v>611</v>
      </c>
      <c r="DB6" s="9" t="s">
        <v>408</v>
      </c>
      <c r="DD6" s="9" t="s">
        <v>457</v>
      </c>
      <c r="DF6" s="9" t="s">
        <v>612</v>
      </c>
      <c r="DG6" s="9" t="s">
        <v>524</v>
      </c>
      <c r="DH6" s="9" t="s">
        <v>410</v>
      </c>
      <c r="DI6" s="9" t="s">
        <v>459</v>
      </c>
      <c r="DJ6" s="9" t="s">
        <v>613</v>
      </c>
      <c r="DM6" s="9" t="s">
        <v>614</v>
      </c>
      <c r="DN6" s="9" t="s">
        <v>615</v>
      </c>
      <c r="DO6" s="9" t="s">
        <v>464</v>
      </c>
      <c r="DP6" s="9" t="s">
        <v>616</v>
      </c>
      <c r="DQ6" s="9" t="s">
        <v>466</v>
      </c>
      <c r="DR6" s="9" t="s">
        <v>617</v>
      </c>
      <c r="DS6" s="9" t="s">
        <v>618</v>
      </c>
      <c r="DT6" s="9" t="s">
        <v>619</v>
      </c>
      <c r="DU6" s="9" t="s">
        <v>620</v>
      </c>
      <c r="DV6" s="9" t="s">
        <v>621</v>
      </c>
      <c r="DW6" s="9" t="s">
        <v>622</v>
      </c>
      <c r="DX6" s="9" t="s">
        <v>623</v>
      </c>
      <c r="DY6" s="9" t="s">
        <v>624</v>
      </c>
      <c r="DZ6" s="9" t="s">
        <v>625</v>
      </c>
      <c r="EA6" s="9" t="s">
        <v>475</v>
      </c>
      <c r="EB6" s="9" t="s">
        <v>626</v>
      </c>
      <c r="ET6" s="9" t="s">
        <v>526</v>
      </c>
      <c r="EU6" s="9" t="s">
        <v>479</v>
      </c>
      <c r="EV6" s="9" t="s">
        <v>527</v>
      </c>
      <c r="EW6" s="9" t="s">
        <v>627</v>
      </c>
      <c r="EX6" s="9" t="s">
        <v>628</v>
      </c>
      <c r="EY6" s="9" t="s">
        <v>629</v>
      </c>
      <c r="EZ6" s="9" t="s">
        <v>414</v>
      </c>
      <c r="FA6" s="9" t="s">
        <v>414</v>
      </c>
      <c r="FB6" s="9" t="s">
        <v>416</v>
      </c>
      <c r="FC6" s="9" t="s">
        <v>414</v>
      </c>
      <c r="FD6" s="9" t="s">
        <v>414</v>
      </c>
      <c r="FE6" s="9" t="s">
        <v>414</v>
      </c>
      <c r="FF6" s="9" t="s">
        <v>414</v>
      </c>
      <c r="FG6" s="9" t="s">
        <v>416</v>
      </c>
      <c r="FH6" s="9" t="s">
        <v>414</v>
      </c>
      <c r="FI6" s="9" t="s">
        <v>583</v>
      </c>
      <c r="FJ6" s="9" t="s">
        <v>583</v>
      </c>
      <c r="FK6" s="9" t="s">
        <v>583</v>
      </c>
      <c r="FL6" s="9" t="s">
        <v>583</v>
      </c>
      <c r="FM6" s="9" t="s">
        <v>416</v>
      </c>
      <c r="FN6" s="9" t="s">
        <v>583</v>
      </c>
      <c r="FO6" s="9" t="s">
        <v>485</v>
      </c>
      <c r="FP6" s="9" t="s">
        <v>418</v>
      </c>
      <c r="FQ6" s="9" t="s">
        <v>630</v>
      </c>
      <c r="FR6" s="9" t="s">
        <v>631</v>
      </c>
      <c r="FS6" s="9" t="s">
        <v>420</v>
      </c>
      <c r="FT6" s="9" t="s">
        <v>488</v>
      </c>
      <c r="FU6" s="9" t="s">
        <v>533</v>
      </c>
      <c r="FV6" s="9" t="s">
        <v>490</v>
      </c>
      <c r="FW6" s="9" t="s">
        <v>491</v>
      </c>
      <c r="FX6" s="9" t="s">
        <v>632</v>
      </c>
      <c r="FY6" s="9" t="s">
        <v>535</v>
      </c>
      <c r="FZ6" s="9" t="s">
        <v>633</v>
      </c>
      <c r="GB6" s="9" t="s">
        <v>455</v>
      </c>
      <c r="GC6" s="9"/>
    </row>
    <row r="7" ht="24.75" customHeight="1">
      <c r="A7" s="8">
        <v>45825.25907047454</v>
      </c>
      <c r="B7" s="9" t="s">
        <v>368</v>
      </c>
      <c r="C7" s="9" t="s">
        <v>634</v>
      </c>
      <c r="D7" s="9" t="s">
        <v>635</v>
      </c>
      <c r="G7" s="9" t="s">
        <v>636</v>
      </c>
      <c r="H7" s="9" t="s">
        <v>637</v>
      </c>
      <c r="I7" s="9" t="s">
        <v>638</v>
      </c>
      <c r="J7" s="9" t="s">
        <v>590</v>
      </c>
      <c r="K7" s="9" t="s">
        <v>376</v>
      </c>
      <c r="L7" s="9" t="s">
        <v>591</v>
      </c>
      <c r="M7" s="9" t="s">
        <v>639</v>
      </c>
      <c r="N7" s="9" t="s">
        <v>591</v>
      </c>
      <c r="O7" s="9" t="s">
        <v>640</v>
      </c>
      <c r="P7" s="9" t="s">
        <v>498</v>
      </c>
      <c r="Q7" s="9" t="s">
        <v>382</v>
      </c>
      <c r="R7" s="9" t="s">
        <v>641</v>
      </c>
      <c r="S7" s="9" t="s">
        <v>384</v>
      </c>
      <c r="T7" s="9" t="s">
        <v>385</v>
      </c>
      <c r="W7" s="9" t="s">
        <v>593</v>
      </c>
      <c r="X7" s="9" t="s">
        <v>642</v>
      </c>
      <c r="AL7" s="9" t="s">
        <v>643</v>
      </c>
      <c r="AM7" s="9" t="s">
        <v>644</v>
      </c>
      <c r="AN7" s="9" t="s">
        <v>455</v>
      </c>
      <c r="AO7" s="9" t="s">
        <v>645</v>
      </c>
      <c r="AP7" s="9" t="s">
        <v>646</v>
      </c>
      <c r="AQ7" s="9">
        <v>5.0</v>
      </c>
      <c r="AR7" s="9" t="s">
        <v>647</v>
      </c>
      <c r="AU7" s="9" t="s">
        <v>648</v>
      </c>
      <c r="AV7" s="9" t="s">
        <v>504</v>
      </c>
      <c r="AW7" s="9">
        <v>2.0</v>
      </c>
      <c r="AX7" s="9">
        <v>2.0</v>
      </c>
      <c r="AY7" s="9" t="s">
        <v>429</v>
      </c>
      <c r="AZ7" s="9" t="s">
        <v>429</v>
      </c>
      <c r="BA7" s="9">
        <v>2.0</v>
      </c>
      <c r="BB7" s="9">
        <v>2.0</v>
      </c>
      <c r="BC7" s="9" t="s">
        <v>649</v>
      </c>
      <c r="BD7" s="9" t="s">
        <v>650</v>
      </c>
      <c r="BE7" s="9" t="s">
        <v>432</v>
      </c>
      <c r="BF7" s="9" t="s">
        <v>433</v>
      </c>
      <c r="BG7" s="9" t="s">
        <v>434</v>
      </c>
      <c r="BH7" s="9" t="s">
        <v>651</v>
      </c>
      <c r="BI7" s="9" t="s">
        <v>509</v>
      </c>
      <c r="BJ7" s="9" t="s">
        <v>652</v>
      </c>
      <c r="BK7" s="9" t="s">
        <v>395</v>
      </c>
      <c r="BL7" s="9" t="s">
        <v>438</v>
      </c>
      <c r="BM7" s="9" t="s">
        <v>439</v>
      </c>
      <c r="BN7" s="9" t="s">
        <v>513</v>
      </c>
      <c r="CL7" s="9" t="s">
        <v>550</v>
      </c>
      <c r="CM7" s="9" t="s">
        <v>442</v>
      </c>
      <c r="CN7" s="9" t="s">
        <v>653</v>
      </c>
      <c r="CO7" s="9" t="s">
        <v>654</v>
      </c>
      <c r="CP7" s="9" t="s">
        <v>445</v>
      </c>
      <c r="CQ7" s="9" t="s">
        <v>655</v>
      </c>
      <c r="CR7" s="9" t="s">
        <v>447</v>
      </c>
      <c r="CS7" s="9" t="s">
        <v>656</v>
      </c>
      <c r="CT7" s="9" t="s">
        <v>657</v>
      </c>
      <c r="CU7" s="9" t="s">
        <v>450</v>
      </c>
      <c r="CV7" s="9" t="s">
        <v>451</v>
      </c>
      <c r="CW7" s="9" t="s">
        <v>658</v>
      </c>
      <c r="CX7" s="9" t="s">
        <v>408</v>
      </c>
      <c r="CY7" s="9" t="s">
        <v>659</v>
      </c>
      <c r="CZ7" s="9" t="s">
        <v>453</v>
      </c>
      <c r="DA7" s="9" t="s">
        <v>660</v>
      </c>
      <c r="DB7" s="9" t="s">
        <v>455</v>
      </c>
      <c r="DC7" s="9" t="s">
        <v>661</v>
      </c>
      <c r="DD7" s="9" t="s">
        <v>662</v>
      </c>
      <c r="DE7" s="9" t="s">
        <v>407</v>
      </c>
      <c r="DG7" s="9" t="s">
        <v>524</v>
      </c>
      <c r="DH7" s="9" t="s">
        <v>410</v>
      </c>
      <c r="DI7" s="9" t="s">
        <v>459</v>
      </c>
      <c r="DJ7" s="9" t="s">
        <v>613</v>
      </c>
      <c r="ET7" s="9" t="s">
        <v>526</v>
      </c>
      <c r="EU7" s="9" t="s">
        <v>479</v>
      </c>
      <c r="EV7" s="9" t="s">
        <v>663</v>
      </c>
      <c r="EX7" s="9" t="s">
        <v>664</v>
      </c>
      <c r="EY7" s="9" t="s">
        <v>665</v>
      </c>
      <c r="EZ7" s="9" t="s">
        <v>414</v>
      </c>
      <c r="FA7" s="9" t="s">
        <v>583</v>
      </c>
      <c r="FB7" s="9" t="s">
        <v>413</v>
      </c>
      <c r="FC7" s="9" t="s">
        <v>414</v>
      </c>
      <c r="FD7" s="9" t="s">
        <v>413</v>
      </c>
      <c r="FE7" s="9" t="s">
        <v>414</v>
      </c>
      <c r="FF7" s="9" t="s">
        <v>414</v>
      </c>
      <c r="FG7" s="9" t="s">
        <v>413</v>
      </c>
      <c r="FH7" s="9" t="s">
        <v>583</v>
      </c>
      <c r="FI7" s="9" t="s">
        <v>583</v>
      </c>
      <c r="FJ7" s="9" t="s">
        <v>414</v>
      </c>
      <c r="FK7" s="9" t="s">
        <v>413</v>
      </c>
      <c r="FL7" s="9" t="s">
        <v>413</v>
      </c>
      <c r="FM7" s="9" t="s">
        <v>413</v>
      </c>
      <c r="FN7" s="9" t="s">
        <v>583</v>
      </c>
      <c r="FO7" s="9" t="s">
        <v>417</v>
      </c>
      <c r="FP7" s="9" t="s">
        <v>418</v>
      </c>
      <c r="FQ7" s="9" t="s">
        <v>419</v>
      </c>
      <c r="FS7" s="9" t="s">
        <v>420</v>
      </c>
      <c r="FT7" s="9" t="s">
        <v>488</v>
      </c>
      <c r="FU7" s="9" t="s">
        <v>533</v>
      </c>
      <c r="FV7" s="9" t="s">
        <v>490</v>
      </c>
      <c r="FW7" s="9" t="s">
        <v>491</v>
      </c>
      <c r="FX7" s="9" t="s">
        <v>666</v>
      </c>
      <c r="FY7" s="9" t="s">
        <v>493</v>
      </c>
      <c r="GB7" s="9" t="s">
        <v>455</v>
      </c>
      <c r="GC7" s="9"/>
    </row>
    <row r="8" ht="24.75" customHeight="1">
      <c r="A8" s="8">
        <v>45825.4346852662</v>
      </c>
      <c r="B8" s="9" t="s">
        <v>368</v>
      </c>
      <c r="C8" s="9" t="s">
        <v>370</v>
      </c>
      <c r="E8" s="9" t="s">
        <v>667</v>
      </c>
      <c r="G8" s="9" t="s">
        <v>422</v>
      </c>
      <c r="H8" s="9" t="s">
        <v>423</v>
      </c>
      <c r="I8" s="9" t="s">
        <v>668</v>
      </c>
      <c r="J8" s="9" t="s">
        <v>669</v>
      </c>
      <c r="K8" s="9" t="s">
        <v>376</v>
      </c>
      <c r="L8" s="9" t="s">
        <v>426</v>
      </c>
      <c r="M8" s="9" t="s">
        <v>378</v>
      </c>
      <c r="N8" s="9" t="s">
        <v>670</v>
      </c>
      <c r="O8" s="9" t="s">
        <v>671</v>
      </c>
      <c r="P8" s="9" t="s">
        <v>498</v>
      </c>
      <c r="Q8" s="9" t="s">
        <v>499</v>
      </c>
      <c r="R8" s="9" t="s">
        <v>427</v>
      </c>
      <c r="S8" s="9" t="s">
        <v>384</v>
      </c>
      <c r="T8" s="9" t="s">
        <v>385</v>
      </c>
      <c r="W8" s="9" t="s">
        <v>386</v>
      </c>
      <c r="X8" s="9" t="s">
        <v>387</v>
      </c>
      <c r="Y8" s="9" t="s">
        <v>388</v>
      </c>
      <c r="Z8" s="9" t="s">
        <v>672</v>
      </c>
      <c r="AA8" s="9" t="s">
        <v>673</v>
      </c>
      <c r="AB8" s="9" t="s">
        <v>674</v>
      </c>
      <c r="AV8" s="9" t="s">
        <v>390</v>
      </c>
      <c r="AW8" s="9" t="s">
        <v>391</v>
      </c>
      <c r="AX8" s="9" t="s">
        <v>391</v>
      </c>
      <c r="AY8" s="9" t="s">
        <v>675</v>
      </c>
      <c r="AZ8" s="9">
        <v>4.0</v>
      </c>
      <c r="BA8" s="9" t="s">
        <v>429</v>
      </c>
      <c r="BB8" s="9">
        <v>4.0</v>
      </c>
      <c r="BC8" s="9" t="s">
        <v>676</v>
      </c>
      <c r="BD8" s="9" t="s">
        <v>677</v>
      </c>
      <c r="BE8" s="9" t="s">
        <v>432</v>
      </c>
      <c r="BF8" s="9" t="s">
        <v>393</v>
      </c>
      <c r="BG8" s="9" t="s">
        <v>678</v>
      </c>
      <c r="BH8" s="9" t="s">
        <v>679</v>
      </c>
      <c r="BI8" s="9" t="s">
        <v>509</v>
      </c>
      <c r="BJ8" s="9" t="s">
        <v>680</v>
      </c>
      <c r="BK8" s="9" t="s">
        <v>681</v>
      </c>
      <c r="BL8" s="9" t="s">
        <v>512</v>
      </c>
      <c r="BM8" s="9" t="s">
        <v>549</v>
      </c>
      <c r="BN8" s="9" t="s">
        <v>440</v>
      </c>
      <c r="CL8" s="9" t="s">
        <v>441</v>
      </c>
      <c r="CM8" s="9" t="s">
        <v>682</v>
      </c>
      <c r="CN8" s="9" t="s">
        <v>683</v>
      </c>
      <c r="CO8" s="9" t="s">
        <v>684</v>
      </c>
      <c r="CP8" s="9" t="s">
        <v>685</v>
      </c>
      <c r="CQ8" s="9" t="s">
        <v>686</v>
      </c>
      <c r="CR8" s="9" t="s">
        <v>447</v>
      </c>
      <c r="CS8" s="9" t="s">
        <v>687</v>
      </c>
      <c r="CT8" s="9" t="s">
        <v>688</v>
      </c>
      <c r="CU8" s="9" t="s">
        <v>519</v>
      </c>
      <c r="CV8" s="9" t="s">
        <v>451</v>
      </c>
      <c r="CW8" s="9" t="s">
        <v>689</v>
      </c>
      <c r="CX8" s="9" t="s">
        <v>408</v>
      </c>
      <c r="CZ8" s="9" t="s">
        <v>453</v>
      </c>
      <c r="DA8" s="9" t="s">
        <v>690</v>
      </c>
      <c r="DB8" s="9" t="s">
        <v>408</v>
      </c>
      <c r="DD8" s="9" t="s">
        <v>406</v>
      </c>
      <c r="DE8" s="9" t="s">
        <v>691</v>
      </c>
      <c r="DF8" s="9" t="s">
        <v>692</v>
      </c>
      <c r="DG8" s="9" t="s">
        <v>693</v>
      </c>
      <c r="DH8" s="9" t="s">
        <v>694</v>
      </c>
      <c r="DI8" s="9" t="s">
        <v>459</v>
      </c>
      <c r="DJ8" s="9" t="s">
        <v>695</v>
      </c>
      <c r="DK8" s="9" t="s">
        <v>461</v>
      </c>
      <c r="DM8" s="9" t="s">
        <v>696</v>
      </c>
      <c r="DN8" s="9" t="s">
        <v>697</v>
      </c>
      <c r="DO8" s="9" t="s">
        <v>698</v>
      </c>
      <c r="DP8" s="9" t="s">
        <v>699</v>
      </c>
      <c r="DQ8" s="9" t="s">
        <v>700</v>
      </c>
      <c r="DR8" s="9" t="s">
        <v>701</v>
      </c>
      <c r="DS8" s="9" t="s">
        <v>702</v>
      </c>
      <c r="DT8" s="9" t="s">
        <v>703</v>
      </c>
      <c r="DU8" s="9" t="s">
        <v>704</v>
      </c>
      <c r="DV8" s="9" t="s">
        <v>704</v>
      </c>
      <c r="DW8" s="9" t="s">
        <v>396</v>
      </c>
      <c r="DX8" s="9" t="s">
        <v>705</v>
      </c>
      <c r="DY8" s="9" t="s">
        <v>706</v>
      </c>
      <c r="DZ8" s="9" t="s">
        <v>707</v>
      </c>
      <c r="EA8" s="9" t="s">
        <v>475</v>
      </c>
      <c r="EB8" s="9" t="s">
        <v>476</v>
      </c>
      <c r="EC8" s="9" t="s">
        <v>708</v>
      </c>
      <c r="ET8" s="9" t="s">
        <v>526</v>
      </c>
      <c r="EU8" s="9" t="s">
        <v>479</v>
      </c>
      <c r="EV8" s="9" t="s">
        <v>480</v>
      </c>
      <c r="EW8" s="9" t="s">
        <v>709</v>
      </c>
      <c r="EX8" s="9" t="s">
        <v>710</v>
      </c>
      <c r="EY8" s="9" t="s">
        <v>711</v>
      </c>
      <c r="EZ8" s="9" t="s">
        <v>583</v>
      </c>
      <c r="FA8" s="9" t="s">
        <v>583</v>
      </c>
      <c r="FB8" s="9" t="s">
        <v>583</v>
      </c>
      <c r="FC8" s="9" t="s">
        <v>583</v>
      </c>
      <c r="FD8" s="9" t="s">
        <v>415</v>
      </c>
      <c r="FE8" s="9" t="s">
        <v>583</v>
      </c>
      <c r="FF8" s="9" t="s">
        <v>583</v>
      </c>
      <c r="FG8" s="9" t="s">
        <v>583</v>
      </c>
      <c r="FH8" s="9" t="s">
        <v>413</v>
      </c>
      <c r="FI8" s="9" t="s">
        <v>583</v>
      </c>
      <c r="FJ8" s="9" t="s">
        <v>583</v>
      </c>
      <c r="FK8" s="9" t="s">
        <v>583</v>
      </c>
      <c r="FL8" s="9" t="s">
        <v>583</v>
      </c>
      <c r="FM8" s="9" t="s">
        <v>583</v>
      </c>
      <c r="FN8" s="9" t="s">
        <v>413</v>
      </c>
      <c r="FO8" s="9" t="s">
        <v>417</v>
      </c>
      <c r="FP8" s="9" t="s">
        <v>418</v>
      </c>
      <c r="FQ8" s="9" t="s">
        <v>712</v>
      </c>
      <c r="FR8" s="9" t="s">
        <v>713</v>
      </c>
      <c r="FS8" s="9" t="s">
        <v>420</v>
      </c>
      <c r="FT8" s="9" t="s">
        <v>488</v>
      </c>
      <c r="FU8" s="9" t="s">
        <v>533</v>
      </c>
      <c r="FV8" s="9" t="s">
        <v>490</v>
      </c>
      <c r="FW8" s="9" t="s">
        <v>491</v>
      </c>
      <c r="FX8" s="9" t="s">
        <v>714</v>
      </c>
      <c r="FY8" s="9" t="s">
        <v>535</v>
      </c>
      <c r="FZ8" s="9" t="s">
        <v>715</v>
      </c>
      <c r="GA8" s="9" t="s">
        <v>716</v>
      </c>
      <c r="GB8" s="9" t="s">
        <v>455</v>
      </c>
      <c r="GD8" s="9" t="s">
        <v>717</v>
      </c>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c r="JU8" s="10"/>
      <c r="JV8" s="10"/>
      <c r="JW8" s="10"/>
      <c r="JX8" s="10"/>
      <c r="JY8" s="10"/>
      <c r="JZ8" s="10"/>
      <c r="KA8" s="10"/>
      <c r="KB8" s="10"/>
      <c r="KC8" s="10"/>
      <c r="KD8" s="10"/>
      <c r="KE8" s="10"/>
      <c r="KF8" s="10"/>
      <c r="KG8" s="10"/>
      <c r="KH8" s="10"/>
      <c r="KI8" s="10"/>
      <c r="KJ8" s="10"/>
      <c r="KK8" s="10"/>
      <c r="KL8" s="10"/>
      <c r="KM8" s="10"/>
      <c r="KN8" s="10"/>
      <c r="KO8" s="10"/>
      <c r="KP8" s="10"/>
      <c r="KQ8" s="10"/>
      <c r="KR8" s="10"/>
      <c r="KS8" s="10"/>
      <c r="KT8" s="10"/>
      <c r="KU8" s="10"/>
      <c r="KV8" s="10"/>
      <c r="KW8" s="10"/>
      <c r="KX8" s="10"/>
      <c r="KY8" s="10"/>
      <c r="KZ8" s="10"/>
      <c r="LA8" s="10"/>
      <c r="LB8" s="10"/>
      <c r="LC8" s="10"/>
      <c r="LD8" s="10"/>
      <c r="LE8" s="10"/>
      <c r="LF8" s="10"/>
      <c r="LG8" s="10"/>
      <c r="LH8" s="10"/>
      <c r="LI8" s="10"/>
      <c r="LJ8" s="10"/>
      <c r="LK8" s="10"/>
      <c r="LL8" s="10"/>
      <c r="LM8" s="10"/>
      <c r="LN8" s="10"/>
      <c r="LO8" s="10"/>
      <c r="LP8" s="10"/>
      <c r="LQ8" s="10"/>
      <c r="LR8" s="10"/>
      <c r="LS8" s="10"/>
      <c r="LT8" s="10"/>
      <c r="LU8" s="10"/>
      <c r="LV8" s="10"/>
      <c r="LW8" s="10"/>
      <c r="LX8" s="10"/>
      <c r="LY8" s="10"/>
      <c r="LZ8" s="10"/>
      <c r="MA8" s="10"/>
      <c r="MB8" s="10"/>
      <c r="MC8" s="10"/>
      <c r="MD8" s="10"/>
      <c r="ME8" s="10"/>
      <c r="MF8" s="10"/>
      <c r="MG8" s="10"/>
      <c r="MH8" s="10"/>
      <c r="MI8" s="10"/>
      <c r="MJ8" s="10"/>
      <c r="MK8" s="10"/>
      <c r="ML8" s="10"/>
      <c r="MM8" s="10"/>
      <c r="MN8" s="10"/>
      <c r="MO8" s="10"/>
      <c r="MP8" s="10"/>
      <c r="MQ8" s="10"/>
      <c r="MR8" s="10"/>
      <c r="MS8" s="10"/>
      <c r="MT8" s="10"/>
      <c r="MU8" s="10"/>
      <c r="MV8" s="10"/>
      <c r="MW8" s="10"/>
      <c r="MX8" s="10"/>
      <c r="MY8" s="10"/>
      <c r="MZ8" s="10"/>
      <c r="NA8" s="10"/>
      <c r="NB8" s="10"/>
      <c r="NC8" s="10"/>
      <c r="ND8" s="10"/>
    </row>
    <row r="9" ht="24.75" customHeight="1">
      <c r="A9" s="8">
        <v>45826.77728232639</v>
      </c>
      <c r="B9" s="9" t="s">
        <v>368</v>
      </c>
      <c r="C9" s="9" t="s">
        <v>370</v>
      </c>
      <c r="E9" s="9" t="s">
        <v>589</v>
      </c>
      <c r="G9" s="9" t="s">
        <v>422</v>
      </c>
      <c r="H9" s="9" t="s">
        <v>496</v>
      </c>
      <c r="I9" s="9" t="s">
        <v>424</v>
      </c>
      <c r="J9" s="9" t="s">
        <v>718</v>
      </c>
      <c r="K9" s="9" t="s">
        <v>376</v>
      </c>
      <c r="L9" s="9" t="s">
        <v>591</v>
      </c>
      <c r="M9" s="9" t="s">
        <v>719</v>
      </c>
      <c r="N9" s="9" t="s">
        <v>670</v>
      </c>
      <c r="O9" s="9" t="s">
        <v>720</v>
      </c>
      <c r="P9" s="9" t="s">
        <v>592</v>
      </c>
      <c r="Q9" s="9" t="s">
        <v>499</v>
      </c>
      <c r="R9" s="9" t="s">
        <v>427</v>
      </c>
      <c r="S9" s="9" t="s">
        <v>384</v>
      </c>
      <c r="T9" s="9" t="s">
        <v>385</v>
      </c>
      <c r="W9" s="9" t="s">
        <v>593</v>
      </c>
      <c r="X9" s="9" t="s">
        <v>387</v>
      </c>
      <c r="Y9" s="9" t="s">
        <v>388</v>
      </c>
      <c r="Z9" s="9" t="s">
        <v>502</v>
      </c>
      <c r="AA9" s="9" t="s">
        <v>721</v>
      </c>
      <c r="AB9" s="9" t="s">
        <v>722</v>
      </c>
      <c r="AV9" s="9" t="s">
        <v>597</v>
      </c>
      <c r="AW9" s="9">
        <v>2.0</v>
      </c>
      <c r="AX9" s="9">
        <v>2.0</v>
      </c>
      <c r="AY9" s="9">
        <v>4.0</v>
      </c>
      <c r="AZ9" s="9">
        <v>2.0</v>
      </c>
      <c r="BA9" s="9" t="s">
        <v>391</v>
      </c>
      <c r="BB9" s="9">
        <v>2.0</v>
      </c>
      <c r="BC9" s="9" t="s">
        <v>723</v>
      </c>
      <c r="BD9" s="9" t="s">
        <v>724</v>
      </c>
      <c r="BE9" s="9" t="s">
        <v>392</v>
      </c>
      <c r="BF9" s="9" t="s">
        <v>433</v>
      </c>
      <c r="BG9" s="9" t="s">
        <v>725</v>
      </c>
      <c r="BH9" s="9" t="s">
        <v>726</v>
      </c>
      <c r="BI9" s="9" t="s">
        <v>727</v>
      </c>
      <c r="BK9" s="9" t="s">
        <v>395</v>
      </c>
      <c r="BL9" s="9" t="s">
        <v>512</v>
      </c>
      <c r="BM9" s="9" t="s">
        <v>397</v>
      </c>
      <c r="BN9" s="9" t="s">
        <v>440</v>
      </c>
      <c r="CL9" s="9" t="s">
        <v>441</v>
      </c>
      <c r="CM9" s="9" t="s">
        <v>442</v>
      </c>
      <c r="CN9" s="9" t="s">
        <v>728</v>
      </c>
      <c r="CO9" s="9" t="s">
        <v>729</v>
      </c>
      <c r="CP9" s="9" t="s">
        <v>445</v>
      </c>
      <c r="CQ9" s="9" t="s">
        <v>730</v>
      </c>
      <c r="CR9" s="9" t="s">
        <v>447</v>
      </c>
      <c r="CS9" s="9" t="s">
        <v>448</v>
      </c>
      <c r="CT9" s="9" t="s">
        <v>731</v>
      </c>
      <c r="CU9" s="9" t="s">
        <v>519</v>
      </c>
      <c r="CV9" s="9" t="s">
        <v>451</v>
      </c>
      <c r="CW9" s="9" t="s">
        <v>732</v>
      </c>
      <c r="CX9" s="9" t="s">
        <v>733</v>
      </c>
      <c r="CZ9" s="9" t="s">
        <v>453</v>
      </c>
      <c r="DA9" s="9" t="s">
        <v>734</v>
      </c>
      <c r="DB9" s="9" t="s">
        <v>408</v>
      </c>
      <c r="DD9" s="9" t="s">
        <v>406</v>
      </c>
      <c r="DE9" s="9" t="s">
        <v>691</v>
      </c>
      <c r="DF9" s="9" t="s">
        <v>735</v>
      </c>
      <c r="DG9" s="9" t="s">
        <v>524</v>
      </c>
      <c r="DH9" s="9" t="s">
        <v>410</v>
      </c>
      <c r="DI9" s="9" t="s">
        <v>459</v>
      </c>
      <c r="DJ9" s="9" t="s">
        <v>613</v>
      </c>
      <c r="DM9" s="9" t="s">
        <v>736</v>
      </c>
      <c r="DN9" s="9" t="s">
        <v>737</v>
      </c>
      <c r="DO9" s="9" t="s">
        <v>567</v>
      </c>
      <c r="DP9" s="9" t="s">
        <v>738</v>
      </c>
      <c r="DQ9" s="9" t="s">
        <v>466</v>
      </c>
      <c r="DR9" s="9" t="s">
        <v>739</v>
      </c>
      <c r="DS9" s="9" t="s">
        <v>468</v>
      </c>
      <c r="DT9" s="9" t="s">
        <v>740</v>
      </c>
      <c r="DU9" s="9" t="s">
        <v>741</v>
      </c>
      <c r="DV9" s="9" t="s">
        <v>742</v>
      </c>
      <c r="DW9" s="9" t="s">
        <v>396</v>
      </c>
      <c r="DX9" s="9" t="s">
        <v>743</v>
      </c>
      <c r="DY9" s="9" t="s">
        <v>744</v>
      </c>
      <c r="DZ9" s="9" t="s">
        <v>745</v>
      </c>
      <c r="EA9" s="9" t="s">
        <v>475</v>
      </c>
      <c r="EB9" s="9" t="s">
        <v>626</v>
      </c>
      <c r="EC9" s="9" t="s">
        <v>746</v>
      </c>
      <c r="ET9" s="9" t="s">
        <v>526</v>
      </c>
      <c r="EU9" s="9" t="s">
        <v>479</v>
      </c>
      <c r="EV9" s="9" t="s">
        <v>480</v>
      </c>
      <c r="EX9" s="9" t="s">
        <v>747</v>
      </c>
      <c r="EY9" s="9" t="s">
        <v>748</v>
      </c>
      <c r="EZ9" s="9" t="s">
        <v>414</v>
      </c>
      <c r="FA9" s="9" t="s">
        <v>583</v>
      </c>
      <c r="FB9" s="9" t="s">
        <v>583</v>
      </c>
      <c r="FC9" s="9" t="s">
        <v>583</v>
      </c>
      <c r="FD9" s="9" t="s">
        <v>415</v>
      </c>
      <c r="FE9" s="9" t="s">
        <v>583</v>
      </c>
      <c r="FF9" s="9" t="s">
        <v>414</v>
      </c>
      <c r="FG9" s="9" t="s">
        <v>484</v>
      </c>
      <c r="FH9" s="9" t="s">
        <v>484</v>
      </c>
      <c r="FI9" s="9" t="s">
        <v>583</v>
      </c>
      <c r="FJ9" s="9" t="s">
        <v>583</v>
      </c>
      <c r="FK9" s="9" t="s">
        <v>484</v>
      </c>
      <c r="FL9" s="9" t="s">
        <v>484</v>
      </c>
      <c r="FM9" s="9" t="s">
        <v>484</v>
      </c>
      <c r="FN9" s="9" t="s">
        <v>484</v>
      </c>
      <c r="FO9" s="9" t="s">
        <v>417</v>
      </c>
      <c r="FP9" s="9" t="s">
        <v>418</v>
      </c>
      <c r="FQ9" s="9" t="s">
        <v>749</v>
      </c>
      <c r="FR9" s="9" t="s">
        <v>750</v>
      </c>
      <c r="FS9" s="9" t="s">
        <v>420</v>
      </c>
      <c r="FT9" s="9" t="s">
        <v>488</v>
      </c>
      <c r="FU9" s="9" t="s">
        <v>489</v>
      </c>
      <c r="FV9" s="9" t="s">
        <v>490</v>
      </c>
      <c r="FW9" s="9" t="s">
        <v>491</v>
      </c>
      <c r="FX9" s="9" t="s">
        <v>751</v>
      </c>
      <c r="FY9" s="9" t="s">
        <v>535</v>
      </c>
      <c r="GA9" s="9" t="s">
        <v>752</v>
      </c>
      <c r="GB9" s="9" t="s">
        <v>455</v>
      </c>
      <c r="GC9" s="9"/>
      <c r="GE9" s="9" t="s">
        <v>753</v>
      </c>
      <c r="GF9" s="9" t="s">
        <v>754</v>
      </c>
      <c r="GG9" s="9" t="s">
        <v>755</v>
      </c>
      <c r="GH9" s="9" t="s">
        <v>755</v>
      </c>
      <c r="GI9" s="9" t="s">
        <v>756</v>
      </c>
    </row>
    <row r="10" ht="24.75" customHeight="1">
      <c r="A10" s="8">
        <v>45826.85345576389</v>
      </c>
      <c r="B10" s="9" t="s">
        <v>368</v>
      </c>
      <c r="C10" s="9" t="s">
        <v>370</v>
      </c>
      <c r="E10" s="9" t="s">
        <v>757</v>
      </c>
      <c r="G10" s="9" t="s">
        <v>422</v>
      </c>
      <c r="H10" s="9" t="s">
        <v>637</v>
      </c>
      <c r="I10" s="9" t="s">
        <v>638</v>
      </c>
      <c r="J10" s="9" t="s">
        <v>758</v>
      </c>
      <c r="K10" s="9" t="s">
        <v>376</v>
      </c>
      <c r="L10" s="9" t="s">
        <v>591</v>
      </c>
      <c r="M10" s="9" t="s">
        <v>720</v>
      </c>
      <c r="N10" s="9" t="s">
        <v>379</v>
      </c>
      <c r="O10" s="9" t="s">
        <v>497</v>
      </c>
      <c r="P10" s="9" t="s">
        <v>498</v>
      </c>
      <c r="Q10" s="9" t="s">
        <v>759</v>
      </c>
      <c r="R10" s="9" t="s">
        <v>427</v>
      </c>
      <c r="S10" s="9" t="s">
        <v>384</v>
      </c>
      <c r="T10" s="9" t="s">
        <v>385</v>
      </c>
      <c r="W10" s="9" t="s">
        <v>760</v>
      </c>
      <c r="X10" s="9" t="s">
        <v>387</v>
      </c>
      <c r="Y10" s="9" t="s">
        <v>761</v>
      </c>
      <c r="Z10" s="9" t="s">
        <v>502</v>
      </c>
      <c r="AB10" s="9" t="s">
        <v>762</v>
      </c>
      <c r="AV10" s="9" t="s">
        <v>504</v>
      </c>
      <c r="AW10" s="9" t="s">
        <v>429</v>
      </c>
      <c r="AX10" s="9" t="s">
        <v>429</v>
      </c>
      <c r="AY10" s="9" t="s">
        <v>429</v>
      </c>
      <c r="AZ10" s="9" t="s">
        <v>429</v>
      </c>
      <c r="BA10" s="9" t="s">
        <v>429</v>
      </c>
      <c r="BB10" s="9" t="s">
        <v>429</v>
      </c>
      <c r="BC10" s="9" t="s">
        <v>763</v>
      </c>
      <c r="BD10" s="9" t="s">
        <v>764</v>
      </c>
      <c r="BE10" s="9" t="s">
        <v>392</v>
      </c>
      <c r="BF10" s="9" t="s">
        <v>433</v>
      </c>
      <c r="BG10" s="9" t="s">
        <v>765</v>
      </c>
      <c r="BI10" s="9" t="s">
        <v>509</v>
      </c>
      <c r="BJ10" s="9" t="s">
        <v>766</v>
      </c>
      <c r="BK10" s="9" t="s">
        <v>395</v>
      </c>
      <c r="BL10" s="9" t="s">
        <v>512</v>
      </c>
      <c r="BM10" s="9" t="s">
        <v>439</v>
      </c>
      <c r="BN10" s="9" t="s">
        <v>513</v>
      </c>
      <c r="CL10" s="9" t="s">
        <v>441</v>
      </c>
      <c r="CM10" s="9" t="s">
        <v>442</v>
      </c>
      <c r="CN10" s="9" t="s">
        <v>767</v>
      </c>
      <c r="CO10" s="9" t="s">
        <v>768</v>
      </c>
      <c r="CP10" s="9" t="s">
        <v>403</v>
      </c>
      <c r="CQ10" s="9" t="s">
        <v>769</v>
      </c>
      <c r="CR10" s="9" t="s">
        <v>447</v>
      </c>
      <c r="CS10" s="9" t="s">
        <v>770</v>
      </c>
      <c r="CT10" s="9" t="s">
        <v>771</v>
      </c>
      <c r="CU10" s="9" t="s">
        <v>519</v>
      </c>
      <c r="CV10" s="9" t="s">
        <v>451</v>
      </c>
      <c r="CW10" s="9" t="s">
        <v>772</v>
      </c>
      <c r="CX10" s="9" t="s">
        <v>408</v>
      </c>
      <c r="CZ10" s="9" t="s">
        <v>453</v>
      </c>
      <c r="DA10" s="9" t="s">
        <v>773</v>
      </c>
      <c r="DB10" s="9" t="s">
        <v>455</v>
      </c>
      <c r="DC10" s="9" t="s">
        <v>774</v>
      </c>
      <c r="DD10" s="9" t="s">
        <v>457</v>
      </c>
      <c r="DF10" s="9" t="s">
        <v>775</v>
      </c>
      <c r="DG10" s="9" t="s">
        <v>776</v>
      </c>
      <c r="DH10" s="9" t="s">
        <v>410</v>
      </c>
      <c r="DI10" s="9" t="s">
        <v>777</v>
      </c>
      <c r="DJ10" s="9" t="s">
        <v>460</v>
      </c>
      <c r="DK10" s="9" t="s">
        <v>461</v>
      </c>
      <c r="ET10" s="9" t="s">
        <v>526</v>
      </c>
      <c r="EU10" s="9" t="s">
        <v>479</v>
      </c>
      <c r="EV10" s="9" t="s">
        <v>778</v>
      </c>
      <c r="EW10" s="9" t="s">
        <v>779</v>
      </c>
      <c r="EX10" s="9" t="s">
        <v>780</v>
      </c>
      <c r="EY10" s="9" t="s">
        <v>781</v>
      </c>
      <c r="EZ10" s="9" t="s">
        <v>413</v>
      </c>
      <c r="FA10" s="9" t="s">
        <v>413</v>
      </c>
      <c r="FB10" s="9" t="s">
        <v>413</v>
      </c>
      <c r="FC10" s="9" t="s">
        <v>413</v>
      </c>
      <c r="FD10" s="9" t="s">
        <v>413</v>
      </c>
      <c r="FE10" s="9" t="s">
        <v>413</v>
      </c>
      <c r="FF10" s="9" t="s">
        <v>413</v>
      </c>
      <c r="FG10" s="9" t="s">
        <v>413</v>
      </c>
      <c r="FH10" s="9" t="s">
        <v>413</v>
      </c>
      <c r="FI10" s="9" t="s">
        <v>413</v>
      </c>
      <c r="FJ10" s="9" t="s">
        <v>413</v>
      </c>
      <c r="FK10" s="9" t="s">
        <v>413</v>
      </c>
      <c r="FL10" s="9" t="s">
        <v>413</v>
      </c>
      <c r="FM10" s="9" t="s">
        <v>484</v>
      </c>
      <c r="FN10" s="9" t="s">
        <v>484</v>
      </c>
      <c r="FO10" s="9" t="s">
        <v>417</v>
      </c>
      <c r="FP10" s="9" t="s">
        <v>418</v>
      </c>
      <c r="FQ10" s="9" t="s">
        <v>749</v>
      </c>
      <c r="FR10" s="9" t="s">
        <v>782</v>
      </c>
      <c r="FS10" s="9" t="s">
        <v>420</v>
      </c>
      <c r="FT10" s="9" t="s">
        <v>488</v>
      </c>
      <c r="FU10" s="9" t="s">
        <v>533</v>
      </c>
      <c r="FV10" s="9" t="s">
        <v>490</v>
      </c>
      <c r="FW10" s="9" t="s">
        <v>491</v>
      </c>
      <c r="FX10" s="9" t="s">
        <v>783</v>
      </c>
      <c r="FY10" s="9" t="s">
        <v>535</v>
      </c>
      <c r="FZ10" s="9" t="s">
        <v>784</v>
      </c>
      <c r="GA10" s="9" t="s">
        <v>785</v>
      </c>
      <c r="GB10" s="9" t="s">
        <v>455</v>
      </c>
      <c r="GC10" s="9"/>
      <c r="GD10" s="9"/>
      <c r="GE10" s="9" t="s">
        <v>786</v>
      </c>
      <c r="GF10" s="9" t="s">
        <v>787</v>
      </c>
      <c r="GG10" s="9" t="s">
        <v>788</v>
      </c>
      <c r="GH10" s="9" t="s">
        <v>789</v>
      </c>
      <c r="GI10" s="9" t="s">
        <v>790</v>
      </c>
    </row>
    <row r="11" ht="24.75" customHeight="1">
      <c r="A11" s="8">
        <v>45826.85406060185</v>
      </c>
      <c r="B11" s="9" t="s">
        <v>368</v>
      </c>
      <c r="C11" s="9" t="s">
        <v>370</v>
      </c>
      <c r="E11" s="9" t="s">
        <v>791</v>
      </c>
      <c r="G11" s="9" t="s">
        <v>792</v>
      </c>
      <c r="H11" s="9" t="s">
        <v>637</v>
      </c>
      <c r="I11" s="9" t="s">
        <v>638</v>
      </c>
      <c r="J11" s="9" t="s">
        <v>375</v>
      </c>
      <c r="K11" s="9" t="s">
        <v>376</v>
      </c>
      <c r="L11" s="9" t="s">
        <v>793</v>
      </c>
      <c r="M11" s="9" t="s">
        <v>639</v>
      </c>
      <c r="N11" s="9" t="s">
        <v>591</v>
      </c>
      <c r="O11" s="9" t="s">
        <v>794</v>
      </c>
      <c r="P11" s="9" t="s">
        <v>381</v>
      </c>
      <c r="Q11" s="9" t="s">
        <v>382</v>
      </c>
      <c r="R11" s="9" t="s">
        <v>795</v>
      </c>
      <c r="S11" s="9" t="s">
        <v>384</v>
      </c>
      <c r="T11" s="9" t="s">
        <v>385</v>
      </c>
      <c r="W11" s="9" t="s">
        <v>593</v>
      </c>
      <c r="X11" s="9" t="s">
        <v>387</v>
      </c>
      <c r="Y11" s="9" t="s">
        <v>388</v>
      </c>
      <c r="Z11" s="9" t="s">
        <v>543</v>
      </c>
      <c r="AA11" s="9" t="s">
        <v>796</v>
      </c>
      <c r="AB11" s="9" t="s">
        <v>796</v>
      </c>
      <c r="AV11" s="9" t="s">
        <v>390</v>
      </c>
      <c r="AW11" s="9">
        <v>2.0</v>
      </c>
      <c r="AX11" s="9" t="s">
        <v>429</v>
      </c>
      <c r="AY11" s="9">
        <v>2.0</v>
      </c>
      <c r="AZ11" s="9" t="s">
        <v>429</v>
      </c>
      <c r="BA11" s="9" t="s">
        <v>429</v>
      </c>
      <c r="BB11" s="9">
        <v>2.0</v>
      </c>
      <c r="BC11" s="9" t="s">
        <v>797</v>
      </c>
      <c r="BD11" s="9" t="s">
        <v>798</v>
      </c>
      <c r="BE11" s="9" t="s">
        <v>392</v>
      </c>
      <c r="BF11" s="9" t="s">
        <v>433</v>
      </c>
      <c r="BG11" s="9" t="s">
        <v>678</v>
      </c>
      <c r="BH11" s="9" t="s">
        <v>799</v>
      </c>
      <c r="BI11" s="9" t="s">
        <v>509</v>
      </c>
      <c r="BJ11" s="9" t="s">
        <v>800</v>
      </c>
      <c r="BK11" s="9" t="s">
        <v>437</v>
      </c>
      <c r="BL11" s="9" t="s">
        <v>603</v>
      </c>
      <c r="BM11" s="9" t="s">
        <v>549</v>
      </c>
      <c r="BN11" s="9" t="s">
        <v>513</v>
      </c>
      <c r="CM11" s="9" t="s">
        <v>442</v>
      </c>
      <c r="CN11" s="9" t="s">
        <v>801</v>
      </c>
      <c r="CO11" s="9" t="s">
        <v>802</v>
      </c>
      <c r="CP11" s="9" t="s">
        <v>685</v>
      </c>
      <c r="CQ11" s="9" t="s">
        <v>803</v>
      </c>
      <c r="CR11" s="9" t="s">
        <v>804</v>
      </c>
      <c r="CS11" s="9" t="s">
        <v>805</v>
      </c>
      <c r="CT11" s="9" t="s">
        <v>806</v>
      </c>
      <c r="CU11" s="9" t="s">
        <v>450</v>
      </c>
      <c r="CV11" s="9" t="s">
        <v>451</v>
      </c>
      <c r="CW11" s="9" t="s">
        <v>807</v>
      </c>
      <c r="CX11" s="9" t="s">
        <v>408</v>
      </c>
      <c r="CZ11" s="9" t="s">
        <v>453</v>
      </c>
      <c r="DA11" s="9" t="s">
        <v>808</v>
      </c>
      <c r="DB11" s="9" t="s">
        <v>455</v>
      </c>
      <c r="DC11" s="9" t="s">
        <v>809</v>
      </c>
      <c r="DD11" s="9" t="s">
        <v>457</v>
      </c>
      <c r="DF11" s="9" t="s">
        <v>810</v>
      </c>
      <c r="DG11" s="9" t="s">
        <v>524</v>
      </c>
      <c r="DH11" s="9" t="s">
        <v>410</v>
      </c>
      <c r="DI11" s="9" t="s">
        <v>459</v>
      </c>
      <c r="DJ11" s="9" t="s">
        <v>613</v>
      </c>
      <c r="ET11" s="9" t="s">
        <v>478</v>
      </c>
      <c r="EU11" s="9" t="s">
        <v>479</v>
      </c>
      <c r="EV11" s="9" t="s">
        <v>480</v>
      </c>
      <c r="EW11" s="9" t="s">
        <v>811</v>
      </c>
      <c r="EX11" s="9" t="s">
        <v>812</v>
      </c>
      <c r="EY11" s="9" t="s">
        <v>813</v>
      </c>
      <c r="EZ11" s="9" t="s">
        <v>583</v>
      </c>
      <c r="FA11" s="9" t="s">
        <v>583</v>
      </c>
      <c r="FB11" s="9" t="s">
        <v>484</v>
      </c>
      <c r="FC11" s="9" t="s">
        <v>583</v>
      </c>
      <c r="FD11" s="9" t="s">
        <v>413</v>
      </c>
      <c r="FE11" s="9" t="s">
        <v>583</v>
      </c>
      <c r="FF11" s="9" t="s">
        <v>484</v>
      </c>
      <c r="FG11" s="9" t="s">
        <v>413</v>
      </c>
      <c r="FH11" s="9" t="s">
        <v>583</v>
      </c>
      <c r="FI11" s="9" t="s">
        <v>583</v>
      </c>
      <c r="FJ11" s="9" t="s">
        <v>583</v>
      </c>
      <c r="FK11" s="9" t="s">
        <v>413</v>
      </c>
      <c r="FL11" s="9" t="s">
        <v>583</v>
      </c>
      <c r="FM11" s="9" t="s">
        <v>413</v>
      </c>
      <c r="FN11" s="9" t="s">
        <v>583</v>
      </c>
      <c r="FO11" s="9" t="s">
        <v>417</v>
      </c>
      <c r="FP11" s="9" t="s">
        <v>486</v>
      </c>
      <c r="FQ11" s="9" t="s">
        <v>531</v>
      </c>
      <c r="FS11" s="9" t="s">
        <v>420</v>
      </c>
      <c r="FT11" s="9" t="s">
        <v>488</v>
      </c>
      <c r="FU11" s="9" t="s">
        <v>533</v>
      </c>
      <c r="FV11" s="9" t="s">
        <v>490</v>
      </c>
      <c r="FW11" s="9" t="s">
        <v>491</v>
      </c>
      <c r="FX11" s="9" t="s">
        <v>814</v>
      </c>
      <c r="FY11" s="9" t="s">
        <v>535</v>
      </c>
      <c r="GA11" s="9" t="s">
        <v>815</v>
      </c>
      <c r="GB11" s="9" t="s">
        <v>455</v>
      </c>
      <c r="GC11" s="9"/>
      <c r="GE11" s="9" t="s">
        <v>753</v>
      </c>
      <c r="GF11" s="9" t="s">
        <v>816</v>
      </c>
      <c r="GG11" s="9" t="s">
        <v>755</v>
      </c>
      <c r="GH11" s="9" t="s">
        <v>755</v>
      </c>
      <c r="GI11" s="9" t="s">
        <v>817</v>
      </c>
    </row>
    <row r="12" ht="24.75" customHeight="1">
      <c r="A12" s="8">
        <v>45826.879537835644</v>
      </c>
      <c r="B12" s="9" t="s">
        <v>368</v>
      </c>
      <c r="C12" s="9" t="s">
        <v>370</v>
      </c>
      <c r="E12" s="9" t="s">
        <v>791</v>
      </c>
      <c r="G12" s="9" t="s">
        <v>422</v>
      </c>
      <c r="H12" s="9" t="s">
        <v>637</v>
      </c>
      <c r="I12" s="9" t="s">
        <v>638</v>
      </c>
      <c r="J12" s="9" t="s">
        <v>375</v>
      </c>
      <c r="K12" s="9" t="s">
        <v>376</v>
      </c>
      <c r="L12" s="9" t="s">
        <v>426</v>
      </c>
      <c r="M12" s="9" t="s">
        <v>720</v>
      </c>
      <c r="N12" s="9" t="s">
        <v>426</v>
      </c>
      <c r="O12" s="9" t="s">
        <v>719</v>
      </c>
      <c r="P12" s="9" t="s">
        <v>498</v>
      </c>
      <c r="Q12" s="9" t="s">
        <v>818</v>
      </c>
      <c r="R12" s="9" t="s">
        <v>427</v>
      </c>
      <c r="S12" s="9" t="s">
        <v>384</v>
      </c>
      <c r="T12" s="9" t="s">
        <v>385</v>
      </c>
      <c r="W12" s="9" t="s">
        <v>386</v>
      </c>
      <c r="X12" s="9" t="s">
        <v>387</v>
      </c>
      <c r="Y12" s="9" t="s">
        <v>388</v>
      </c>
      <c r="Z12" s="9" t="s">
        <v>543</v>
      </c>
      <c r="AA12" s="9" t="s">
        <v>819</v>
      </c>
      <c r="AB12" s="9" t="s">
        <v>820</v>
      </c>
      <c r="AV12" s="9" t="s">
        <v>390</v>
      </c>
      <c r="AW12" s="9" t="s">
        <v>391</v>
      </c>
      <c r="AX12" s="9">
        <v>2.0</v>
      </c>
      <c r="AY12" s="9">
        <v>4.0</v>
      </c>
      <c r="AZ12" s="9">
        <v>2.0</v>
      </c>
      <c r="BA12" s="9" t="s">
        <v>429</v>
      </c>
      <c r="BB12" s="9">
        <v>2.0</v>
      </c>
      <c r="BC12" s="9" t="s">
        <v>821</v>
      </c>
      <c r="BD12" s="9" t="s">
        <v>822</v>
      </c>
      <c r="BE12" s="9" t="s">
        <v>392</v>
      </c>
      <c r="BF12" s="9" t="s">
        <v>433</v>
      </c>
      <c r="BG12" s="9" t="s">
        <v>678</v>
      </c>
      <c r="BH12" s="9" t="s">
        <v>823</v>
      </c>
      <c r="BI12" s="9" t="s">
        <v>824</v>
      </c>
      <c r="BK12" s="9" t="s">
        <v>437</v>
      </c>
      <c r="BL12" s="9" t="s">
        <v>396</v>
      </c>
      <c r="BM12" s="9" t="s">
        <v>549</v>
      </c>
      <c r="BN12" s="9" t="s">
        <v>440</v>
      </c>
      <c r="CL12" s="9" t="s">
        <v>441</v>
      </c>
      <c r="CM12" s="9" t="s">
        <v>682</v>
      </c>
      <c r="CN12" s="9" t="s">
        <v>825</v>
      </c>
      <c r="CO12" s="9" t="s">
        <v>826</v>
      </c>
      <c r="CP12" s="9" t="s">
        <v>445</v>
      </c>
      <c r="CQ12" s="9" t="s">
        <v>827</v>
      </c>
      <c r="CR12" s="9" t="s">
        <v>828</v>
      </c>
      <c r="CS12" s="9" t="s">
        <v>805</v>
      </c>
      <c r="CT12" s="9" t="s">
        <v>829</v>
      </c>
      <c r="CU12" s="9" t="s">
        <v>519</v>
      </c>
      <c r="CV12" s="9" t="s">
        <v>451</v>
      </c>
      <c r="CW12" s="9" t="s">
        <v>830</v>
      </c>
      <c r="CX12" s="9" t="s">
        <v>408</v>
      </c>
      <c r="CZ12" s="9" t="s">
        <v>453</v>
      </c>
      <c r="DA12" s="9" t="s">
        <v>831</v>
      </c>
      <c r="DB12" s="9" t="s">
        <v>408</v>
      </c>
      <c r="DD12" s="9" t="s">
        <v>457</v>
      </c>
      <c r="DF12" s="9" t="s">
        <v>832</v>
      </c>
      <c r="DG12" s="9" t="s">
        <v>524</v>
      </c>
      <c r="DH12" s="9" t="s">
        <v>833</v>
      </c>
      <c r="DI12" s="9" t="s">
        <v>459</v>
      </c>
      <c r="DJ12" s="9" t="s">
        <v>613</v>
      </c>
      <c r="DM12" s="9" t="s">
        <v>834</v>
      </c>
      <c r="DN12" s="9" t="s">
        <v>835</v>
      </c>
      <c r="DO12" s="9" t="s">
        <v>567</v>
      </c>
      <c r="DP12" s="9" t="s">
        <v>836</v>
      </c>
      <c r="DQ12" s="9" t="s">
        <v>837</v>
      </c>
      <c r="DR12" s="9" t="s">
        <v>838</v>
      </c>
      <c r="DS12" s="9" t="s">
        <v>839</v>
      </c>
      <c r="DT12" s="9" t="s">
        <v>570</v>
      </c>
      <c r="DU12" s="9" t="s">
        <v>840</v>
      </c>
      <c r="DV12" s="9" t="s">
        <v>841</v>
      </c>
      <c r="DW12" s="9" t="s">
        <v>573</v>
      </c>
      <c r="DX12" s="9" t="s">
        <v>842</v>
      </c>
      <c r="DY12" s="9" t="s">
        <v>843</v>
      </c>
      <c r="DZ12" s="9" t="s">
        <v>844</v>
      </c>
      <c r="EA12" s="9" t="s">
        <v>475</v>
      </c>
      <c r="EB12" s="9" t="s">
        <v>845</v>
      </c>
      <c r="EC12" s="9" t="s">
        <v>846</v>
      </c>
      <c r="ET12" s="9" t="s">
        <v>578</v>
      </c>
      <c r="EU12" s="9" t="s">
        <v>479</v>
      </c>
      <c r="EV12" s="9" t="s">
        <v>480</v>
      </c>
      <c r="EW12" s="9" t="s">
        <v>847</v>
      </c>
      <c r="EX12" s="9" t="s">
        <v>848</v>
      </c>
      <c r="EY12" s="9" t="s">
        <v>849</v>
      </c>
      <c r="EZ12" s="9" t="s">
        <v>583</v>
      </c>
      <c r="FA12" s="9" t="s">
        <v>583</v>
      </c>
      <c r="FB12" s="9" t="s">
        <v>484</v>
      </c>
      <c r="FC12" s="9" t="s">
        <v>414</v>
      </c>
      <c r="FD12" s="9" t="s">
        <v>415</v>
      </c>
      <c r="FE12" s="9" t="s">
        <v>583</v>
      </c>
      <c r="FF12" s="9" t="s">
        <v>414</v>
      </c>
      <c r="FG12" s="9" t="s">
        <v>583</v>
      </c>
      <c r="FH12" s="9" t="s">
        <v>416</v>
      </c>
      <c r="FI12" s="9" t="s">
        <v>414</v>
      </c>
      <c r="FJ12" s="9" t="s">
        <v>583</v>
      </c>
      <c r="FK12" s="9" t="s">
        <v>414</v>
      </c>
      <c r="FL12" s="9" t="s">
        <v>583</v>
      </c>
      <c r="FM12" s="9" t="s">
        <v>484</v>
      </c>
      <c r="FN12" s="9" t="s">
        <v>484</v>
      </c>
      <c r="FO12" s="9" t="s">
        <v>850</v>
      </c>
      <c r="FP12" s="9" t="s">
        <v>486</v>
      </c>
      <c r="FQ12" s="9" t="s">
        <v>749</v>
      </c>
      <c r="FR12" s="9" t="s">
        <v>851</v>
      </c>
      <c r="FS12" s="9" t="s">
        <v>420</v>
      </c>
      <c r="FT12" s="9" t="s">
        <v>488</v>
      </c>
      <c r="FU12" s="9" t="s">
        <v>489</v>
      </c>
      <c r="FV12" s="9" t="s">
        <v>490</v>
      </c>
      <c r="FW12" s="9" t="s">
        <v>491</v>
      </c>
      <c r="FX12" s="9" t="s">
        <v>852</v>
      </c>
      <c r="FY12" s="9" t="s">
        <v>535</v>
      </c>
      <c r="FZ12" s="9" t="s">
        <v>853</v>
      </c>
      <c r="GB12" s="9" t="s">
        <v>455</v>
      </c>
      <c r="GD12" s="9" t="s">
        <v>854</v>
      </c>
      <c r="GE12" s="9" t="s">
        <v>855</v>
      </c>
      <c r="GF12" s="9" t="s">
        <v>856</v>
      </c>
      <c r="GG12" s="9" t="s">
        <v>857</v>
      </c>
      <c r="GH12" s="9" t="s">
        <v>857</v>
      </c>
      <c r="GI12" s="9" t="s">
        <v>858</v>
      </c>
    </row>
    <row r="13" ht="24.75" customHeight="1">
      <c r="A13" s="8">
        <v>45826.879848993056</v>
      </c>
      <c r="B13" s="9" t="s">
        <v>368</v>
      </c>
      <c r="C13" s="9" t="s">
        <v>370</v>
      </c>
      <c r="E13" s="9" t="s">
        <v>859</v>
      </c>
      <c r="G13" s="9" t="s">
        <v>422</v>
      </c>
      <c r="H13" s="9" t="s">
        <v>637</v>
      </c>
      <c r="I13" s="9" t="s">
        <v>638</v>
      </c>
      <c r="J13" s="9" t="s">
        <v>425</v>
      </c>
      <c r="K13" s="9" t="s">
        <v>376</v>
      </c>
      <c r="L13" s="9" t="s">
        <v>793</v>
      </c>
      <c r="M13" s="9" t="s">
        <v>860</v>
      </c>
      <c r="N13" s="9" t="s">
        <v>426</v>
      </c>
      <c r="O13" s="9" t="s">
        <v>861</v>
      </c>
      <c r="P13" s="9" t="s">
        <v>592</v>
      </c>
      <c r="Q13" s="9" t="s">
        <v>862</v>
      </c>
      <c r="R13" s="9" t="s">
        <v>863</v>
      </c>
      <c r="S13" s="9" t="s">
        <v>384</v>
      </c>
      <c r="T13" s="9" t="s">
        <v>385</v>
      </c>
      <c r="W13" s="9" t="s">
        <v>428</v>
      </c>
      <c r="AV13" s="9" t="s">
        <v>390</v>
      </c>
      <c r="AW13" s="9" t="s">
        <v>429</v>
      </c>
      <c r="AX13" s="9">
        <v>2.0</v>
      </c>
      <c r="AY13" s="9">
        <v>2.0</v>
      </c>
      <c r="AZ13" s="9" t="s">
        <v>391</v>
      </c>
      <c r="BA13" s="9">
        <v>2.0</v>
      </c>
      <c r="BB13" s="9" t="s">
        <v>429</v>
      </c>
      <c r="BC13" s="9" t="s">
        <v>864</v>
      </c>
      <c r="BD13" s="9" t="s">
        <v>865</v>
      </c>
      <c r="BE13" s="9" t="s">
        <v>392</v>
      </c>
      <c r="BF13" s="9" t="s">
        <v>433</v>
      </c>
      <c r="BG13" s="9" t="s">
        <v>394</v>
      </c>
      <c r="BH13" s="9" t="s">
        <v>866</v>
      </c>
      <c r="BI13" s="9" t="s">
        <v>509</v>
      </c>
      <c r="BJ13" s="9" t="s">
        <v>867</v>
      </c>
      <c r="BK13" s="9" t="s">
        <v>602</v>
      </c>
      <c r="BL13" s="9" t="s">
        <v>603</v>
      </c>
      <c r="BM13" s="9" t="s">
        <v>549</v>
      </c>
      <c r="BN13" s="9" t="s">
        <v>440</v>
      </c>
      <c r="CL13" s="9" t="s">
        <v>441</v>
      </c>
      <c r="CM13" s="9" t="s">
        <v>401</v>
      </c>
      <c r="CN13" s="9" t="s">
        <v>868</v>
      </c>
      <c r="CO13" s="9" t="s">
        <v>869</v>
      </c>
      <c r="CP13" s="9" t="s">
        <v>445</v>
      </c>
      <c r="CQ13" s="9" t="s">
        <v>870</v>
      </c>
      <c r="CR13" s="9" t="s">
        <v>828</v>
      </c>
      <c r="CS13" s="9" t="s">
        <v>871</v>
      </c>
      <c r="CT13" s="9" t="s">
        <v>872</v>
      </c>
      <c r="CU13" s="9" t="s">
        <v>519</v>
      </c>
      <c r="CV13" s="9" t="s">
        <v>451</v>
      </c>
      <c r="CW13" s="9" t="s">
        <v>873</v>
      </c>
      <c r="CX13" s="9" t="s">
        <v>408</v>
      </c>
      <c r="CZ13" s="9" t="s">
        <v>453</v>
      </c>
      <c r="DA13" s="9" t="s">
        <v>874</v>
      </c>
      <c r="DB13" s="9" t="s">
        <v>455</v>
      </c>
      <c r="DC13" s="9" t="s">
        <v>875</v>
      </c>
      <c r="DD13" s="9" t="s">
        <v>457</v>
      </c>
      <c r="DF13" s="9" t="s">
        <v>876</v>
      </c>
      <c r="DG13" s="9" t="s">
        <v>524</v>
      </c>
      <c r="DH13" s="9" t="s">
        <v>410</v>
      </c>
      <c r="DI13" s="9" t="s">
        <v>459</v>
      </c>
      <c r="DJ13" s="9" t="s">
        <v>460</v>
      </c>
      <c r="DK13" s="9" t="s">
        <v>461</v>
      </c>
      <c r="DM13" s="9" t="s">
        <v>877</v>
      </c>
      <c r="DN13" s="9" t="s">
        <v>878</v>
      </c>
      <c r="DO13" s="9" t="s">
        <v>464</v>
      </c>
      <c r="DP13" s="9" t="s">
        <v>879</v>
      </c>
      <c r="DQ13" s="9" t="s">
        <v>837</v>
      </c>
      <c r="DR13" s="9" t="s">
        <v>880</v>
      </c>
      <c r="DS13" s="9" t="s">
        <v>839</v>
      </c>
      <c r="DT13" s="9" t="s">
        <v>703</v>
      </c>
      <c r="DU13" s="9" t="s">
        <v>881</v>
      </c>
      <c r="DV13" s="9" t="s">
        <v>882</v>
      </c>
      <c r="DW13" s="9" t="s">
        <v>396</v>
      </c>
      <c r="DX13" s="9" t="s">
        <v>883</v>
      </c>
      <c r="DY13" s="9" t="s">
        <v>884</v>
      </c>
      <c r="DZ13" s="9" t="s">
        <v>885</v>
      </c>
      <c r="EA13" s="9" t="s">
        <v>475</v>
      </c>
      <c r="EB13" s="9" t="s">
        <v>845</v>
      </c>
      <c r="EC13" s="9" t="s">
        <v>886</v>
      </c>
      <c r="ET13" s="9" t="s">
        <v>526</v>
      </c>
      <c r="EU13" s="9" t="s">
        <v>887</v>
      </c>
      <c r="EV13" s="9" t="s">
        <v>480</v>
      </c>
      <c r="EW13" s="9" t="s">
        <v>888</v>
      </c>
      <c r="EX13" s="9" t="s">
        <v>889</v>
      </c>
      <c r="EY13" s="9" t="s">
        <v>890</v>
      </c>
      <c r="EZ13" s="9" t="s">
        <v>583</v>
      </c>
      <c r="FA13" s="9" t="s">
        <v>583</v>
      </c>
      <c r="FB13" s="9" t="s">
        <v>583</v>
      </c>
      <c r="FC13" s="9" t="s">
        <v>583</v>
      </c>
      <c r="FD13" s="9" t="s">
        <v>415</v>
      </c>
      <c r="FE13" s="9" t="s">
        <v>583</v>
      </c>
      <c r="FF13" s="9" t="s">
        <v>415</v>
      </c>
      <c r="FG13" s="9" t="s">
        <v>583</v>
      </c>
      <c r="FH13" s="9" t="s">
        <v>415</v>
      </c>
      <c r="FI13" s="9" t="s">
        <v>583</v>
      </c>
      <c r="FJ13" s="9" t="s">
        <v>583</v>
      </c>
      <c r="FK13" s="9" t="s">
        <v>415</v>
      </c>
      <c r="FL13" s="9" t="s">
        <v>415</v>
      </c>
      <c r="FM13" s="9" t="s">
        <v>415</v>
      </c>
      <c r="FN13" s="9" t="s">
        <v>415</v>
      </c>
      <c r="FO13" s="9" t="s">
        <v>417</v>
      </c>
      <c r="FP13" s="9" t="s">
        <v>418</v>
      </c>
      <c r="FQ13" s="9" t="s">
        <v>712</v>
      </c>
      <c r="FR13" s="9" t="s">
        <v>891</v>
      </c>
      <c r="FS13" s="9" t="s">
        <v>420</v>
      </c>
      <c r="FT13" s="9" t="s">
        <v>488</v>
      </c>
      <c r="FU13" s="9" t="s">
        <v>533</v>
      </c>
      <c r="FV13" s="9" t="s">
        <v>490</v>
      </c>
      <c r="FW13" s="9" t="s">
        <v>491</v>
      </c>
      <c r="FX13" s="9" t="s">
        <v>892</v>
      </c>
      <c r="FY13" s="9" t="s">
        <v>535</v>
      </c>
      <c r="FZ13" s="9" t="s">
        <v>893</v>
      </c>
      <c r="GB13" s="9" t="s">
        <v>455</v>
      </c>
      <c r="GC13" s="9"/>
      <c r="GE13" s="9" t="s">
        <v>753</v>
      </c>
      <c r="GF13" s="9" t="s">
        <v>754</v>
      </c>
      <c r="GG13" s="9" t="s">
        <v>857</v>
      </c>
      <c r="GH13" s="9" t="s">
        <v>857</v>
      </c>
      <c r="GI13" s="9" t="s">
        <v>790</v>
      </c>
    </row>
    <row r="14" ht="24.75" customHeight="1">
      <c r="A14" s="8">
        <v>45826.90960921296</v>
      </c>
      <c r="B14" s="9" t="s">
        <v>368</v>
      </c>
      <c r="C14" s="9" t="s">
        <v>894</v>
      </c>
      <c r="D14" s="9" t="s">
        <v>894</v>
      </c>
      <c r="G14" s="9" t="s">
        <v>422</v>
      </c>
      <c r="H14" s="9" t="s">
        <v>373</v>
      </c>
      <c r="I14" s="9" t="s">
        <v>374</v>
      </c>
      <c r="J14" s="9" t="s">
        <v>375</v>
      </c>
      <c r="K14" s="9" t="s">
        <v>376</v>
      </c>
      <c r="L14" s="9" t="s">
        <v>379</v>
      </c>
      <c r="M14" s="9" t="s">
        <v>378</v>
      </c>
      <c r="N14" s="9" t="s">
        <v>591</v>
      </c>
      <c r="O14" s="9" t="s">
        <v>895</v>
      </c>
      <c r="P14" s="9" t="s">
        <v>498</v>
      </c>
      <c r="Q14" s="9" t="s">
        <v>862</v>
      </c>
      <c r="R14" s="9" t="s">
        <v>427</v>
      </c>
      <c r="S14" s="9" t="s">
        <v>384</v>
      </c>
      <c r="T14" s="9" t="s">
        <v>385</v>
      </c>
      <c r="U14" s="9" t="s">
        <v>896</v>
      </c>
      <c r="V14" s="9" t="s">
        <v>896</v>
      </c>
      <c r="W14" s="9" t="s">
        <v>386</v>
      </c>
      <c r="X14" s="9" t="s">
        <v>387</v>
      </c>
      <c r="Y14" s="9" t="s">
        <v>897</v>
      </c>
      <c r="Z14" s="9" t="s">
        <v>389</v>
      </c>
      <c r="AA14" s="9" t="s">
        <v>898</v>
      </c>
      <c r="AB14" s="9" t="s">
        <v>899</v>
      </c>
      <c r="AV14" s="9" t="s">
        <v>390</v>
      </c>
      <c r="AW14" s="9" t="s">
        <v>391</v>
      </c>
      <c r="AX14" s="9" t="s">
        <v>391</v>
      </c>
      <c r="AY14" s="9" t="s">
        <v>675</v>
      </c>
      <c r="AZ14" s="9" t="s">
        <v>675</v>
      </c>
      <c r="BA14" s="9" t="s">
        <v>675</v>
      </c>
      <c r="BB14" s="9" t="s">
        <v>675</v>
      </c>
      <c r="BC14" s="9" t="s">
        <v>900</v>
      </c>
      <c r="BD14" s="9" t="s">
        <v>901</v>
      </c>
      <c r="BE14" s="9" t="s">
        <v>902</v>
      </c>
      <c r="BF14" s="9" t="s">
        <v>433</v>
      </c>
      <c r="BG14" s="9" t="s">
        <v>725</v>
      </c>
      <c r="BH14" s="9" t="s">
        <v>903</v>
      </c>
      <c r="BI14" s="9" t="s">
        <v>435</v>
      </c>
      <c r="BK14" s="9" t="s">
        <v>602</v>
      </c>
      <c r="BL14" s="9" t="s">
        <v>904</v>
      </c>
      <c r="BM14" s="9" t="s">
        <v>549</v>
      </c>
      <c r="BN14" s="9" t="s">
        <v>513</v>
      </c>
      <c r="CL14" s="9" t="s">
        <v>441</v>
      </c>
      <c r="CM14" s="9" t="s">
        <v>905</v>
      </c>
      <c r="CN14" s="9" t="s">
        <v>906</v>
      </c>
      <c r="CO14" s="9" t="s">
        <v>907</v>
      </c>
      <c r="CP14" s="9" t="s">
        <v>685</v>
      </c>
      <c r="CQ14" s="9" t="s">
        <v>908</v>
      </c>
      <c r="CR14" s="9" t="s">
        <v>555</v>
      </c>
      <c r="CS14" s="9" t="s">
        <v>909</v>
      </c>
      <c r="CT14" s="9" t="s">
        <v>910</v>
      </c>
      <c r="CU14" s="9" t="s">
        <v>450</v>
      </c>
      <c r="CV14" s="9" t="s">
        <v>451</v>
      </c>
      <c r="CW14" s="9" t="s">
        <v>911</v>
      </c>
      <c r="CX14" s="9" t="s">
        <v>733</v>
      </c>
      <c r="CZ14" s="9" t="s">
        <v>453</v>
      </c>
      <c r="DA14" s="9" t="s">
        <v>912</v>
      </c>
      <c r="DB14" s="9" t="s">
        <v>913</v>
      </c>
      <c r="DD14" s="9" t="s">
        <v>457</v>
      </c>
      <c r="DF14" s="9" t="s">
        <v>914</v>
      </c>
      <c r="DG14" s="9" t="s">
        <v>524</v>
      </c>
      <c r="DH14" s="9" t="s">
        <v>410</v>
      </c>
      <c r="DI14" s="9" t="s">
        <v>459</v>
      </c>
      <c r="DJ14" s="9" t="s">
        <v>460</v>
      </c>
      <c r="DK14" s="9" t="s">
        <v>461</v>
      </c>
      <c r="ET14" s="9" t="s">
        <v>526</v>
      </c>
      <c r="EU14" s="9" t="s">
        <v>579</v>
      </c>
      <c r="EV14" s="9" t="s">
        <v>527</v>
      </c>
      <c r="EW14" s="9" t="s">
        <v>915</v>
      </c>
      <c r="EX14" s="9" t="s">
        <v>916</v>
      </c>
      <c r="EY14" s="9" t="s">
        <v>917</v>
      </c>
      <c r="EZ14" s="9" t="s">
        <v>415</v>
      </c>
      <c r="FA14" s="9" t="s">
        <v>415</v>
      </c>
      <c r="FB14" s="9" t="s">
        <v>413</v>
      </c>
      <c r="FC14" s="9" t="s">
        <v>416</v>
      </c>
      <c r="FD14" s="9" t="s">
        <v>413</v>
      </c>
      <c r="FE14" s="9" t="s">
        <v>414</v>
      </c>
      <c r="FF14" s="9" t="s">
        <v>413</v>
      </c>
      <c r="FG14" s="9" t="s">
        <v>413</v>
      </c>
      <c r="FH14" s="9" t="s">
        <v>414</v>
      </c>
      <c r="FI14" s="9" t="s">
        <v>413</v>
      </c>
      <c r="FJ14" s="9" t="s">
        <v>415</v>
      </c>
      <c r="FK14" s="9" t="s">
        <v>415</v>
      </c>
      <c r="FL14" s="9" t="s">
        <v>413</v>
      </c>
      <c r="FM14" s="9" t="s">
        <v>413</v>
      </c>
      <c r="FN14" s="9" t="s">
        <v>583</v>
      </c>
      <c r="FO14" s="9" t="s">
        <v>417</v>
      </c>
      <c r="FP14" s="9" t="s">
        <v>418</v>
      </c>
      <c r="FQ14" s="9" t="s">
        <v>712</v>
      </c>
      <c r="FS14" s="9" t="s">
        <v>420</v>
      </c>
      <c r="FT14" s="9" t="s">
        <v>488</v>
      </c>
      <c r="FU14" s="9" t="s">
        <v>918</v>
      </c>
      <c r="FV14" s="9" t="s">
        <v>490</v>
      </c>
      <c r="FW14" s="9" t="s">
        <v>491</v>
      </c>
      <c r="FX14" s="9" t="s">
        <v>919</v>
      </c>
      <c r="FY14" s="9" t="s">
        <v>535</v>
      </c>
      <c r="GB14" s="9" t="s">
        <v>455</v>
      </c>
      <c r="GC14" s="9"/>
      <c r="GE14" s="9" t="s">
        <v>855</v>
      </c>
      <c r="GG14" s="9" t="s">
        <v>920</v>
      </c>
      <c r="GH14" s="9" t="s">
        <v>920</v>
      </c>
      <c r="GI14" s="9" t="s">
        <v>921</v>
      </c>
    </row>
    <row r="15" ht="24.75" customHeight="1">
      <c r="A15" s="8">
        <v>45826.92376010417</v>
      </c>
      <c r="B15" s="9" t="s">
        <v>368</v>
      </c>
      <c r="C15" s="9" t="s">
        <v>370</v>
      </c>
      <c r="E15" s="9" t="s">
        <v>922</v>
      </c>
      <c r="G15" s="9" t="s">
        <v>422</v>
      </c>
      <c r="H15" s="9" t="s">
        <v>496</v>
      </c>
      <c r="I15" s="9" t="s">
        <v>374</v>
      </c>
      <c r="J15" s="9" t="s">
        <v>375</v>
      </c>
      <c r="K15" s="9" t="s">
        <v>376</v>
      </c>
      <c r="L15" s="9" t="s">
        <v>379</v>
      </c>
      <c r="M15" s="9" t="s">
        <v>378</v>
      </c>
      <c r="N15" s="9" t="s">
        <v>379</v>
      </c>
      <c r="O15" s="9" t="s">
        <v>497</v>
      </c>
      <c r="P15" s="9" t="s">
        <v>498</v>
      </c>
      <c r="Q15" s="9" t="s">
        <v>499</v>
      </c>
      <c r="R15" s="9" t="s">
        <v>427</v>
      </c>
      <c r="S15" s="9" t="s">
        <v>384</v>
      </c>
      <c r="T15" s="9" t="s">
        <v>385</v>
      </c>
      <c r="W15" s="9" t="s">
        <v>760</v>
      </c>
      <c r="X15" s="9" t="s">
        <v>387</v>
      </c>
      <c r="Y15" s="9" t="s">
        <v>594</v>
      </c>
      <c r="Z15" s="9" t="s">
        <v>502</v>
      </c>
      <c r="AA15" s="9" t="s">
        <v>923</v>
      </c>
      <c r="AB15" s="9" t="s">
        <v>924</v>
      </c>
      <c r="AV15" s="9" t="s">
        <v>504</v>
      </c>
      <c r="AW15" s="9" t="s">
        <v>429</v>
      </c>
      <c r="AX15" s="9" t="s">
        <v>429</v>
      </c>
      <c r="AY15" s="9" t="s">
        <v>429</v>
      </c>
      <c r="AZ15" s="9" t="s">
        <v>429</v>
      </c>
      <c r="BA15" s="9" t="s">
        <v>429</v>
      </c>
      <c r="BB15" s="9" t="s">
        <v>429</v>
      </c>
      <c r="BC15" s="9" t="s">
        <v>925</v>
      </c>
      <c r="BD15" s="9" t="s">
        <v>926</v>
      </c>
      <c r="BE15" s="9" t="s">
        <v>392</v>
      </c>
      <c r="BF15" s="9" t="s">
        <v>433</v>
      </c>
      <c r="BG15" s="9" t="s">
        <v>434</v>
      </c>
      <c r="BH15" s="9" t="s">
        <v>927</v>
      </c>
      <c r="BI15" s="9" t="s">
        <v>509</v>
      </c>
      <c r="BJ15" s="9" t="s">
        <v>928</v>
      </c>
      <c r="BK15" s="9" t="s">
        <v>437</v>
      </c>
      <c r="BL15" s="9" t="s">
        <v>904</v>
      </c>
      <c r="BM15" s="9" t="s">
        <v>439</v>
      </c>
      <c r="BN15" s="9" t="s">
        <v>513</v>
      </c>
      <c r="CL15" s="9" t="s">
        <v>441</v>
      </c>
      <c r="CM15" s="9" t="s">
        <v>401</v>
      </c>
      <c r="CN15" s="9" t="s">
        <v>929</v>
      </c>
      <c r="CO15" s="9" t="s">
        <v>930</v>
      </c>
      <c r="CP15" s="9" t="s">
        <v>445</v>
      </c>
      <c r="CQ15" s="9" t="s">
        <v>931</v>
      </c>
      <c r="CR15" s="9" t="s">
        <v>447</v>
      </c>
      <c r="CS15" s="9" t="s">
        <v>448</v>
      </c>
      <c r="CT15" s="9" t="s">
        <v>932</v>
      </c>
      <c r="CU15" s="9" t="s">
        <v>450</v>
      </c>
      <c r="CV15" s="9" t="s">
        <v>451</v>
      </c>
      <c r="CW15" s="9" t="s">
        <v>933</v>
      </c>
      <c r="CX15" s="9" t="s">
        <v>408</v>
      </c>
      <c r="CZ15" s="9" t="s">
        <v>453</v>
      </c>
      <c r="DA15" s="9" t="s">
        <v>934</v>
      </c>
      <c r="DB15" s="9" t="s">
        <v>455</v>
      </c>
      <c r="DC15" s="9" t="s">
        <v>935</v>
      </c>
      <c r="DD15" s="9" t="s">
        <v>406</v>
      </c>
      <c r="DE15" s="9" t="s">
        <v>407</v>
      </c>
      <c r="DF15" s="9" t="s">
        <v>936</v>
      </c>
      <c r="DG15" s="9" t="s">
        <v>524</v>
      </c>
      <c r="DH15" s="9" t="s">
        <v>410</v>
      </c>
      <c r="DI15" s="9" t="s">
        <v>459</v>
      </c>
      <c r="DJ15" s="9" t="s">
        <v>613</v>
      </c>
      <c r="ET15" s="9" t="s">
        <v>478</v>
      </c>
      <c r="EU15" s="9" t="s">
        <v>479</v>
      </c>
      <c r="EV15" s="9" t="s">
        <v>527</v>
      </c>
      <c r="EW15" s="9" t="s">
        <v>937</v>
      </c>
      <c r="EX15" s="9" t="s">
        <v>938</v>
      </c>
      <c r="EY15" s="9" t="s">
        <v>939</v>
      </c>
      <c r="EZ15" s="9" t="s">
        <v>413</v>
      </c>
      <c r="FA15" s="9" t="s">
        <v>413</v>
      </c>
      <c r="FB15" s="9" t="s">
        <v>413</v>
      </c>
      <c r="FC15" s="9" t="s">
        <v>413</v>
      </c>
      <c r="FD15" s="9" t="s">
        <v>413</v>
      </c>
      <c r="FE15" s="9" t="s">
        <v>413</v>
      </c>
      <c r="FF15" s="9" t="s">
        <v>413</v>
      </c>
      <c r="FG15" s="9" t="s">
        <v>413</v>
      </c>
      <c r="FH15" s="9" t="s">
        <v>413</v>
      </c>
      <c r="FI15" s="9" t="s">
        <v>484</v>
      </c>
      <c r="FJ15" s="9" t="s">
        <v>413</v>
      </c>
      <c r="FK15" s="9" t="s">
        <v>413</v>
      </c>
      <c r="FL15" s="9" t="s">
        <v>413</v>
      </c>
      <c r="FM15" s="9" t="s">
        <v>413</v>
      </c>
      <c r="FN15" s="9" t="s">
        <v>484</v>
      </c>
      <c r="FO15" s="9" t="s">
        <v>485</v>
      </c>
      <c r="FP15" s="9" t="s">
        <v>418</v>
      </c>
      <c r="FQ15" s="9" t="s">
        <v>419</v>
      </c>
      <c r="FR15" s="9" t="s">
        <v>940</v>
      </c>
      <c r="FS15" s="9" t="s">
        <v>420</v>
      </c>
      <c r="FT15" s="9" t="s">
        <v>488</v>
      </c>
      <c r="FU15" s="9" t="s">
        <v>489</v>
      </c>
      <c r="FV15" s="9" t="s">
        <v>490</v>
      </c>
      <c r="FW15" s="9" t="s">
        <v>491</v>
      </c>
      <c r="FX15" s="9" t="s">
        <v>941</v>
      </c>
      <c r="FY15" s="9" t="s">
        <v>535</v>
      </c>
      <c r="FZ15" s="9" t="s">
        <v>942</v>
      </c>
      <c r="GA15" s="9" t="s">
        <v>943</v>
      </c>
      <c r="GB15" s="9" t="s">
        <v>455</v>
      </c>
      <c r="GC15" s="9"/>
      <c r="GD15" s="9"/>
      <c r="GE15" s="9" t="s">
        <v>944</v>
      </c>
      <c r="GF15" s="9" t="s">
        <v>945</v>
      </c>
      <c r="GG15" s="9" t="s">
        <v>857</v>
      </c>
      <c r="GH15" s="9" t="s">
        <v>857</v>
      </c>
      <c r="GI15" s="9" t="s">
        <v>946</v>
      </c>
    </row>
    <row r="16" ht="24.75" customHeight="1">
      <c r="A16" s="8">
        <v>45826.92420601852</v>
      </c>
      <c r="B16" s="9" t="s">
        <v>368</v>
      </c>
      <c r="C16" s="9" t="s">
        <v>947</v>
      </c>
      <c r="D16" s="9" t="s">
        <v>947</v>
      </c>
      <c r="G16" s="9" t="s">
        <v>422</v>
      </c>
      <c r="H16" s="9" t="s">
        <v>373</v>
      </c>
      <c r="I16" s="9" t="s">
        <v>374</v>
      </c>
      <c r="J16" s="9" t="s">
        <v>718</v>
      </c>
      <c r="K16" s="9" t="s">
        <v>376</v>
      </c>
      <c r="L16" s="9" t="s">
        <v>426</v>
      </c>
      <c r="M16" s="9" t="s">
        <v>948</v>
      </c>
      <c r="N16" s="9" t="s">
        <v>379</v>
      </c>
      <c r="O16" s="9" t="s">
        <v>719</v>
      </c>
      <c r="P16" s="9" t="s">
        <v>498</v>
      </c>
      <c r="Q16" s="9" t="s">
        <v>499</v>
      </c>
      <c r="R16" s="9" t="s">
        <v>949</v>
      </c>
      <c r="S16" s="9" t="s">
        <v>384</v>
      </c>
      <c r="T16" s="9" t="s">
        <v>385</v>
      </c>
      <c r="W16" s="9" t="s">
        <v>428</v>
      </c>
      <c r="AV16" s="9" t="s">
        <v>504</v>
      </c>
      <c r="AW16" s="9">
        <v>2.0</v>
      </c>
      <c r="AX16" s="9">
        <v>2.0</v>
      </c>
      <c r="AY16" s="9">
        <v>2.0</v>
      </c>
      <c r="AZ16" s="9">
        <v>2.0</v>
      </c>
      <c r="BA16" s="9">
        <v>2.0</v>
      </c>
      <c r="BB16" s="9">
        <v>2.0</v>
      </c>
      <c r="BC16" s="9" t="s">
        <v>950</v>
      </c>
      <c r="BD16" s="9" t="s">
        <v>951</v>
      </c>
      <c r="BE16" s="9" t="s">
        <v>432</v>
      </c>
      <c r="BF16" s="9" t="s">
        <v>433</v>
      </c>
      <c r="BG16" s="9" t="s">
        <v>678</v>
      </c>
      <c r="BH16" s="9" t="s">
        <v>952</v>
      </c>
      <c r="BI16" s="9" t="s">
        <v>435</v>
      </c>
      <c r="BL16" s="9" t="s">
        <v>512</v>
      </c>
      <c r="BM16" s="9" t="s">
        <v>439</v>
      </c>
      <c r="BN16" s="9" t="s">
        <v>513</v>
      </c>
      <c r="CL16" s="9" t="s">
        <v>953</v>
      </c>
      <c r="CM16" s="9" t="s">
        <v>401</v>
      </c>
      <c r="CN16" s="9" t="s">
        <v>954</v>
      </c>
      <c r="CO16" s="9" t="s">
        <v>955</v>
      </c>
      <c r="CP16" s="9" t="s">
        <v>685</v>
      </c>
      <c r="CQ16" s="9" t="s">
        <v>956</v>
      </c>
      <c r="CR16" s="9" t="s">
        <v>447</v>
      </c>
      <c r="CS16" s="9" t="s">
        <v>957</v>
      </c>
      <c r="CT16" s="9" t="s">
        <v>958</v>
      </c>
      <c r="CU16" s="9" t="s">
        <v>450</v>
      </c>
      <c r="CV16" s="9" t="s">
        <v>959</v>
      </c>
      <c r="CX16" s="9" t="s">
        <v>408</v>
      </c>
      <c r="CZ16" s="9" t="s">
        <v>453</v>
      </c>
      <c r="DA16" s="9" t="s">
        <v>960</v>
      </c>
      <c r="DB16" s="9" t="s">
        <v>455</v>
      </c>
      <c r="DC16" s="9" t="s">
        <v>961</v>
      </c>
      <c r="DD16" s="9" t="s">
        <v>457</v>
      </c>
      <c r="DF16" s="9" t="s">
        <v>962</v>
      </c>
      <c r="DG16" s="9" t="s">
        <v>776</v>
      </c>
      <c r="DH16" s="9" t="s">
        <v>410</v>
      </c>
      <c r="DI16" s="9" t="s">
        <v>963</v>
      </c>
      <c r="DJ16" s="9" t="s">
        <v>460</v>
      </c>
      <c r="DK16" s="9" t="s">
        <v>563</v>
      </c>
      <c r="DL16" s="9" t="s">
        <v>964</v>
      </c>
      <c r="ET16" s="9" t="s">
        <v>526</v>
      </c>
      <c r="EU16" s="9" t="s">
        <v>579</v>
      </c>
      <c r="EV16" s="9" t="s">
        <v>580</v>
      </c>
      <c r="EX16" s="9" t="s">
        <v>965</v>
      </c>
      <c r="EY16" s="9" t="s">
        <v>966</v>
      </c>
      <c r="EZ16" s="9" t="s">
        <v>414</v>
      </c>
      <c r="FA16" s="9" t="s">
        <v>414</v>
      </c>
      <c r="FB16" s="9" t="s">
        <v>413</v>
      </c>
      <c r="FC16" s="9" t="s">
        <v>413</v>
      </c>
      <c r="FD16" s="9" t="s">
        <v>413</v>
      </c>
      <c r="FE16" s="9" t="s">
        <v>413</v>
      </c>
      <c r="FF16" s="9" t="s">
        <v>413</v>
      </c>
      <c r="FG16" s="9" t="s">
        <v>413</v>
      </c>
      <c r="FH16" s="9" t="s">
        <v>413</v>
      </c>
      <c r="FI16" s="9" t="s">
        <v>413</v>
      </c>
      <c r="FJ16" s="9" t="s">
        <v>413</v>
      </c>
      <c r="FK16" s="9" t="s">
        <v>413</v>
      </c>
      <c r="FL16" s="9" t="s">
        <v>413</v>
      </c>
      <c r="FM16" s="9" t="s">
        <v>413</v>
      </c>
      <c r="FN16" s="9" t="s">
        <v>413</v>
      </c>
      <c r="FO16" s="9" t="s">
        <v>485</v>
      </c>
      <c r="FP16" s="9" t="s">
        <v>486</v>
      </c>
      <c r="FQ16" s="9" t="s">
        <v>531</v>
      </c>
      <c r="FR16" s="9" t="s">
        <v>967</v>
      </c>
      <c r="FS16" s="9" t="s">
        <v>420</v>
      </c>
      <c r="FT16" s="9" t="s">
        <v>488</v>
      </c>
      <c r="FU16" s="9" t="s">
        <v>585</v>
      </c>
      <c r="FV16" s="9" t="s">
        <v>490</v>
      </c>
      <c r="FW16" s="9" t="s">
        <v>491</v>
      </c>
      <c r="FX16" s="9" t="s">
        <v>968</v>
      </c>
      <c r="FY16" s="9" t="s">
        <v>535</v>
      </c>
      <c r="FZ16" s="9" t="s">
        <v>969</v>
      </c>
      <c r="GA16" s="9" t="s">
        <v>970</v>
      </c>
      <c r="GB16" s="9" t="s">
        <v>408</v>
      </c>
      <c r="GG16" s="9" t="s">
        <v>920</v>
      </c>
      <c r="GH16" s="9" t="s">
        <v>755</v>
      </c>
      <c r="GI16" s="9" t="s">
        <v>756</v>
      </c>
    </row>
    <row r="17" ht="24.75" customHeight="1">
      <c r="A17" s="8">
        <v>45826.946519756944</v>
      </c>
      <c r="B17" s="9" t="s">
        <v>368</v>
      </c>
      <c r="C17" s="9" t="s">
        <v>370</v>
      </c>
      <c r="E17" s="9" t="s">
        <v>667</v>
      </c>
      <c r="G17" s="9" t="s">
        <v>422</v>
      </c>
      <c r="H17" s="9" t="s">
        <v>496</v>
      </c>
      <c r="I17" s="9" t="s">
        <v>374</v>
      </c>
      <c r="J17" s="9" t="s">
        <v>718</v>
      </c>
      <c r="K17" s="9" t="s">
        <v>376</v>
      </c>
      <c r="L17" s="9" t="s">
        <v>379</v>
      </c>
      <c r="M17" s="9" t="s">
        <v>378</v>
      </c>
      <c r="N17" s="9" t="s">
        <v>379</v>
      </c>
      <c r="O17" s="9" t="s">
        <v>497</v>
      </c>
      <c r="P17" s="9" t="s">
        <v>381</v>
      </c>
      <c r="Q17" s="9" t="s">
        <v>382</v>
      </c>
      <c r="R17" s="9" t="s">
        <v>427</v>
      </c>
      <c r="S17" s="9" t="s">
        <v>384</v>
      </c>
      <c r="T17" s="9" t="s">
        <v>385</v>
      </c>
      <c r="W17" s="9" t="s">
        <v>593</v>
      </c>
      <c r="X17" s="9" t="s">
        <v>387</v>
      </c>
      <c r="Y17" s="9" t="s">
        <v>388</v>
      </c>
      <c r="Z17" s="9" t="s">
        <v>543</v>
      </c>
      <c r="AA17" s="9" t="s">
        <v>971</v>
      </c>
      <c r="AB17" s="9" t="s">
        <v>972</v>
      </c>
      <c r="AV17" s="9" t="s">
        <v>597</v>
      </c>
      <c r="AW17" s="9">
        <v>4.0</v>
      </c>
      <c r="AX17" s="9" t="s">
        <v>391</v>
      </c>
      <c r="AY17" s="9" t="s">
        <v>675</v>
      </c>
      <c r="AZ17" s="9">
        <v>4.0</v>
      </c>
      <c r="BA17" s="9">
        <v>2.0</v>
      </c>
      <c r="BB17" s="9">
        <v>2.0</v>
      </c>
      <c r="BC17" s="9" t="s">
        <v>973</v>
      </c>
      <c r="BD17" s="9" t="s">
        <v>974</v>
      </c>
      <c r="BE17" s="9" t="s">
        <v>432</v>
      </c>
      <c r="BF17" s="9" t="s">
        <v>393</v>
      </c>
      <c r="BG17" s="9" t="s">
        <v>434</v>
      </c>
      <c r="BH17" s="9" t="s">
        <v>975</v>
      </c>
      <c r="BI17" s="9" t="s">
        <v>976</v>
      </c>
      <c r="BK17" s="9" t="s">
        <v>681</v>
      </c>
      <c r="BL17" s="9" t="s">
        <v>904</v>
      </c>
      <c r="BM17" s="9" t="s">
        <v>397</v>
      </c>
      <c r="BN17" s="9" t="s">
        <v>513</v>
      </c>
      <c r="CL17" s="9" t="s">
        <v>441</v>
      </c>
      <c r="CM17" s="9" t="s">
        <v>604</v>
      </c>
      <c r="CN17" s="9" t="s">
        <v>977</v>
      </c>
      <c r="CO17" s="9" t="s">
        <v>978</v>
      </c>
      <c r="CP17" s="9" t="s">
        <v>979</v>
      </c>
      <c r="CQ17" s="9" t="s">
        <v>516</v>
      </c>
      <c r="CR17" s="9" t="s">
        <v>447</v>
      </c>
      <c r="CS17" s="9" t="s">
        <v>980</v>
      </c>
      <c r="CT17" s="9" t="s">
        <v>981</v>
      </c>
      <c r="CU17" s="9" t="s">
        <v>982</v>
      </c>
      <c r="CV17" s="9" t="s">
        <v>451</v>
      </c>
      <c r="CW17" s="9" t="s">
        <v>983</v>
      </c>
      <c r="CX17" s="9" t="s">
        <v>455</v>
      </c>
      <c r="CY17" s="9" t="s">
        <v>984</v>
      </c>
      <c r="CZ17" s="9" t="s">
        <v>985</v>
      </c>
      <c r="DA17" s="9" t="s">
        <v>986</v>
      </c>
      <c r="DB17" s="9" t="s">
        <v>455</v>
      </c>
      <c r="DC17" s="9" t="s">
        <v>987</v>
      </c>
      <c r="DD17" s="9" t="s">
        <v>988</v>
      </c>
      <c r="DF17" s="9" t="s">
        <v>989</v>
      </c>
      <c r="DG17" s="9" t="s">
        <v>990</v>
      </c>
      <c r="DH17" s="9" t="s">
        <v>410</v>
      </c>
      <c r="DI17" s="9" t="s">
        <v>459</v>
      </c>
      <c r="DJ17" s="9" t="s">
        <v>460</v>
      </c>
      <c r="DK17" s="9" t="s">
        <v>461</v>
      </c>
      <c r="ET17" s="9" t="s">
        <v>478</v>
      </c>
      <c r="EU17" s="9" t="s">
        <v>887</v>
      </c>
      <c r="EV17" s="9" t="s">
        <v>527</v>
      </c>
      <c r="EW17" s="9" t="s">
        <v>991</v>
      </c>
      <c r="EX17" s="9" t="s">
        <v>992</v>
      </c>
      <c r="EY17" s="9" t="s">
        <v>993</v>
      </c>
      <c r="EZ17" s="9" t="s">
        <v>415</v>
      </c>
      <c r="FA17" s="9" t="s">
        <v>414</v>
      </c>
      <c r="FB17" s="9" t="s">
        <v>415</v>
      </c>
      <c r="FC17" s="9" t="s">
        <v>484</v>
      </c>
      <c r="FD17" s="9" t="s">
        <v>415</v>
      </c>
      <c r="FE17" s="9" t="s">
        <v>583</v>
      </c>
      <c r="FF17" s="9" t="s">
        <v>484</v>
      </c>
      <c r="FG17" s="9" t="s">
        <v>413</v>
      </c>
      <c r="FH17" s="9" t="s">
        <v>583</v>
      </c>
      <c r="FI17" s="9" t="s">
        <v>415</v>
      </c>
      <c r="FJ17" s="9" t="s">
        <v>414</v>
      </c>
      <c r="FK17" s="9" t="s">
        <v>416</v>
      </c>
      <c r="FL17" s="9" t="s">
        <v>415</v>
      </c>
      <c r="FM17" s="9" t="s">
        <v>413</v>
      </c>
      <c r="FN17" s="9" t="s">
        <v>583</v>
      </c>
      <c r="FO17" s="9" t="s">
        <v>485</v>
      </c>
      <c r="FP17" s="9" t="s">
        <v>486</v>
      </c>
      <c r="FQ17" s="9" t="s">
        <v>419</v>
      </c>
      <c r="FR17" s="9" t="s">
        <v>994</v>
      </c>
      <c r="FS17" s="9" t="s">
        <v>995</v>
      </c>
      <c r="FT17" s="9" t="s">
        <v>488</v>
      </c>
      <c r="FU17" s="9" t="s">
        <v>489</v>
      </c>
      <c r="FV17" s="9" t="s">
        <v>490</v>
      </c>
      <c r="FW17" s="9" t="s">
        <v>491</v>
      </c>
      <c r="FX17" s="9" t="s">
        <v>996</v>
      </c>
      <c r="FY17" s="9" t="s">
        <v>535</v>
      </c>
      <c r="FZ17" s="9" t="s">
        <v>997</v>
      </c>
      <c r="GA17" s="9" t="s">
        <v>998</v>
      </c>
      <c r="GB17" s="9" t="s">
        <v>455</v>
      </c>
      <c r="GC17" s="9"/>
      <c r="GD17" s="9"/>
      <c r="GE17" s="9" t="s">
        <v>753</v>
      </c>
      <c r="GF17" s="9" t="s">
        <v>999</v>
      </c>
      <c r="GG17" s="9" t="s">
        <v>1000</v>
      </c>
      <c r="GH17" s="9" t="s">
        <v>755</v>
      </c>
      <c r="GI17" s="9" t="s">
        <v>817</v>
      </c>
    </row>
    <row r="18" ht="24.75" customHeight="1">
      <c r="A18" s="8">
        <v>45826.96069337963</v>
      </c>
      <c r="B18" s="9" t="s">
        <v>368</v>
      </c>
      <c r="C18" s="9" t="s">
        <v>370</v>
      </c>
      <c r="E18" s="9" t="s">
        <v>1001</v>
      </c>
      <c r="G18" s="9" t="s">
        <v>1002</v>
      </c>
      <c r="H18" s="9" t="s">
        <v>637</v>
      </c>
      <c r="I18" s="9" t="s">
        <v>638</v>
      </c>
      <c r="J18" s="9" t="s">
        <v>425</v>
      </c>
      <c r="K18" s="9" t="s">
        <v>376</v>
      </c>
      <c r="L18" s="9" t="s">
        <v>591</v>
      </c>
      <c r="M18" s="9" t="s">
        <v>720</v>
      </c>
      <c r="N18" s="9" t="s">
        <v>591</v>
      </c>
      <c r="O18" s="9" t="s">
        <v>1003</v>
      </c>
      <c r="P18" s="9" t="s">
        <v>498</v>
      </c>
      <c r="Q18" s="9" t="s">
        <v>1004</v>
      </c>
      <c r="R18" s="9" t="s">
        <v>427</v>
      </c>
      <c r="S18" s="9" t="s">
        <v>384</v>
      </c>
      <c r="T18" s="9" t="s">
        <v>385</v>
      </c>
      <c r="W18" s="9" t="s">
        <v>428</v>
      </c>
      <c r="AV18" s="9" t="s">
        <v>390</v>
      </c>
      <c r="AW18" s="9" t="s">
        <v>391</v>
      </c>
      <c r="AX18" s="9" t="s">
        <v>391</v>
      </c>
      <c r="AY18" s="9" t="s">
        <v>391</v>
      </c>
      <c r="AZ18" s="9" t="s">
        <v>429</v>
      </c>
      <c r="BA18" s="9" t="s">
        <v>429</v>
      </c>
      <c r="BB18" s="9" t="s">
        <v>429</v>
      </c>
      <c r="BC18" s="9" t="s">
        <v>1005</v>
      </c>
      <c r="BD18" s="9" t="s">
        <v>1006</v>
      </c>
      <c r="BE18" s="9" t="s">
        <v>392</v>
      </c>
      <c r="BF18" s="9" t="s">
        <v>433</v>
      </c>
      <c r="BG18" s="9" t="s">
        <v>507</v>
      </c>
      <c r="BI18" s="9" t="s">
        <v>824</v>
      </c>
      <c r="BK18" s="9" t="s">
        <v>602</v>
      </c>
      <c r="BL18" s="9" t="s">
        <v>396</v>
      </c>
      <c r="BM18" s="9" t="s">
        <v>549</v>
      </c>
      <c r="BN18" s="9" t="s">
        <v>513</v>
      </c>
      <c r="CL18" s="9" t="s">
        <v>441</v>
      </c>
      <c r="CM18" s="9" t="s">
        <v>442</v>
      </c>
      <c r="CN18" s="9" t="s">
        <v>552</v>
      </c>
      <c r="CO18" s="9" t="s">
        <v>1007</v>
      </c>
      <c r="CP18" s="9" t="s">
        <v>1008</v>
      </c>
      <c r="CQ18" s="9" t="s">
        <v>1009</v>
      </c>
      <c r="CR18" s="9" t="s">
        <v>447</v>
      </c>
      <c r="CS18" s="9" t="s">
        <v>1010</v>
      </c>
      <c r="CT18" s="9" t="s">
        <v>1011</v>
      </c>
      <c r="CU18" s="9" t="s">
        <v>450</v>
      </c>
      <c r="CV18" s="9" t="s">
        <v>451</v>
      </c>
      <c r="CW18" s="9" t="s">
        <v>1012</v>
      </c>
      <c r="CX18" s="9" t="s">
        <v>408</v>
      </c>
      <c r="CZ18" s="9" t="s">
        <v>453</v>
      </c>
      <c r="DA18" s="9" t="s">
        <v>1013</v>
      </c>
      <c r="DB18" s="9" t="s">
        <v>408</v>
      </c>
      <c r="DD18" s="9" t="s">
        <v>988</v>
      </c>
      <c r="DF18" s="9" t="s">
        <v>1014</v>
      </c>
      <c r="DG18" s="9" t="s">
        <v>524</v>
      </c>
      <c r="DH18" s="9" t="s">
        <v>410</v>
      </c>
      <c r="DI18" s="9" t="s">
        <v>459</v>
      </c>
      <c r="DJ18" s="9" t="s">
        <v>460</v>
      </c>
      <c r="DK18" s="9" t="s">
        <v>461</v>
      </c>
      <c r="ET18" s="9" t="s">
        <v>478</v>
      </c>
      <c r="EU18" s="9" t="s">
        <v>479</v>
      </c>
      <c r="EV18" s="9" t="s">
        <v>480</v>
      </c>
      <c r="EW18" s="9" t="s">
        <v>1015</v>
      </c>
      <c r="EX18" s="9" t="s">
        <v>1016</v>
      </c>
      <c r="EY18" s="9" t="s">
        <v>1017</v>
      </c>
      <c r="EZ18" s="9" t="s">
        <v>413</v>
      </c>
      <c r="FA18" s="9" t="s">
        <v>413</v>
      </c>
      <c r="FB18" s="9" t="s">
        <v>413</v>
      </c>
      <c r="FC18" s="9" t="s">
        <v>413</v>
      </c>
      <c r="FD18" s="9" t="s">
        <v>415</v>
      </c>
      <c r="FE18" s="9" t="s">
        <v>413</v>
      </c>
      <c r="FF18" s="9" t="s">
        <v>413</v>
      </c>
      <c r="FG18" s="9" t="s">
        <v>413</v>
      </c>
      <c r="FH18" s="9" t="s">
        <v>413</v>
      </c>
      <c r="FI18" s="9" t="s">
        <v>413</v>
      </c>
      <c r="FJ18" s="9" t="s">
        <v>413</v>
      </c>
      <c r="FK18" s="9" t="s">
        <v>413</v>
      </c>
      <c r="FL18" s="9" t="s">
        <v>413</v>
      </c>
      <c r="FM18" s="9" t="s">
        <v>413</v>
      </c>
      <c r="FN18" s="9" t="s">
        <v>413</v>
      </c>
      <c r="FO18" s="9" t="s">
        <v>417</v>
      </c>
      <c r="FP18" s="9" t="s">
        <v>486</v>
      </c>
      <c r="FQ18" s="9" t="s">
        <v>712</v>
      </c>
      <c r="FR18" s="9" t="s">
        <v>1018</v>
      </c>
      <c r="FS18" s="9" t="s">
        <v>420</v>
      </c>
      <c r="FT18" s="9" t="s">
        <v>488</v>
      </c>
      <c r="FU18" s="9" t="s">
        <v>489</v>
      </c>
      <c r="FV18" s="9" t="s">
        <v>490</v>
      </c>
      <c r="FW18" s="9" t="s">
        <v>491</v>
      </c>
      <c r="FX18" s="9" t="s">
        <v>1019</v>
      </c>
      <c r="FY18" s="9" t="s">
        <v>1020</v>
      </c>
      <c r="FZ18" s="9" t="s">
        <v>1021</v>
      </c>
      <c r="GB18" s="9" t="s">
        <v>408</v>
      </c>
      <c r="GG18" s="9" t="s">
        <v>789</v>
      </c>
      <c r="GH18" s="9" t="s">
        <v>1000</v>
      </c>
      <c r="GI18" s="9" t="s">
        <v>817</v>
      </c>
    </row>
    <row r="19" ht="24.75" customHeight="1">
      <c r="A19" s="8">
        <v>45826.9650065625</v>
      </c>
      <c r="B19" s="9" t="s">
        <v>368</v>
      </c>
      <c r="C19" s="9" t="s">
        <v>894</v>
      </c>
      <c r="D19" s="9" t="s">
        <v>894</v>
      </c>
      <c r="G19" s="9" t="s">
        <v>422</v>
      </c>
      <c r="H19" s="9" t="s">
        <v>373</v>
      </c>
      <c r="I19" s="9" t="s">
        <v>1022</v>
      </c>
      <c r="J19" s="9" t="s">
        <v>1023</v>
      </c>
      <c r="K19" s="9" t="s">
        <v>376</v>
      </c>
      <c r="L19" s="9" t="s">
        <v>379</v>
      </c>
      <c r="M19" s="9" t="s">
        <v>860</v>
      </c>
      <c r="N19" s="9" t="s">
        <v>426</v>
      </c>
      <c r="O19" s="9" t="s">
        <v>1024</v>
      </c>
      <c r="P19" s="9" t="s">
        <v>498</v>
      </c>
      <c r="Q19" s="9" t="s">
        <v>759</v>
      </c>
      <c r="R19" s="9" t="s">
        <v>427</v>
      </c>
      <c r="S19" s="9" t="s">
        <v>384</v>
      </c>
      <c r="T19" s="9" t="s">
        <v>385</v>
      </c>
      <c r="U19" s="9" t="s">
        <v>1025</v>
      </c>
      <c r="V19" s="9" t="s">
        <v>1025</v>
      </c>
      <c r="W19" s="9" t="s">
        <v>428</v>
      </c>
      <c r="AV19" s="9" t="s">
        <v>504</v>
      </c>
      <c r="AW19" s="9" t="s">
        <v>391</v>
      </c>
      <c r="AX19" s="9" t="s">
        <v>391</v>
      </c>
      <c r="AY19" s="9" t="s">
        <v>391</v>
      </c>
      <c r="AZ19" s="9">
        <v>2.0</v>
      </c>
      <c r="BA19" s="9" t="s">
        <v>429</v>
      </c>
      <c r="BB19" s="9">
        <v>2.0</v>
      </c>
      <c r="BC19" s="9" t="s">
        <v>1026</v>
      </c>
      <c r="BD19" s="9" t="s">
        <v>1027</v>
      </c>
      <c r="BE19" s="9" t="s">
        <v>432</v>
      </c>
      <c r="BF19" s="9" t="s">
        <v>433</v>
      </c>
      <c r="BG19" s="9" t="s">
        <v>678</v>
      </c>
      <c r="BH19" s="9" t="s">
        <v>1028</v>
      </c>
      <c r="BI19" s="9" t="s">
        <v>509</v>
      </c>
      <c r="BJ19" s="9" t="s">
        <v>1029</v>
      </c>
      <c r="BK19" s="9" t="s">
        <v>602</v>
      </c>
      <c r="BL19" s="9" t="s">
        <v>512</v>
      </c>
      <c r="BM19" s="9" t="s">
        <v>439</v>
      </c>
      <c r="BN19" s="9" t="s">
        <v>513</v>
      </c>
      <c r="CL19" s="9" t="s">
        <v>441</v>
      </c>
      <c r="CM19" s="9" t="s">
        <v>604</v>
      </c>
      <c r="CN19" s="9" t="s">
        <v>1030</v>
      </c>
      <c r="CO19" s="9" t="s">
        <v>1031</v>
      </c>
      <c r="CP19" s="9" t="s">
        <v>979</v>
      </c>
      <c r="CQ19" s="9" t="s">
        <v>516</v>
      </c>
      <c r="CR19" s="9" t="s">
        <v>404</v>
      </c>
      <c r="CS19" s="9" t="s">
        <v>1032</v>
      </c>
      <c r="CT19" s="9" t="s">
        <v>1033</v>
      </c>
      <c r="CU19" s="9" t="s">
        <v>450</v>
      </c>
      <c r="CV19" s="9" t="s">
        <v>451</v>
      </c>
      <c r="CW19" s="9" t="s">
        <v>1034</v>
      </c>
      <c r="CX19" s="9" t="s">
        <v>408</v>
      </c>
      <c r="CZ19" s="9" t="s">
        <v>453</v>
      </c>
      <c r="DA19" s="9" t="s">
        <v>1035</v>
      </c>
      <c r="DB19" s="9" t="s">
        <v>913</v>
      </c>
      <c r="DD19" s="9" t="s">
        <v>457</v>
      </c>
      <c r="DF19" s="9" t="s">
        <v>1036</v>
      </c>
      <c r="DG19" s="9" t="s">
        <v>524</v>
      </c>
      <c r="DH19" s="9" t="s">
        <v>410</v>
      </c>
      <c r="DI19" s="9" t="s">
        <v>459</v>
      </c>
      <c r="DJ19" s="9" t="s">
        <v>613</v>
      </c>
      <c r="ET19" s="9" t="s">
        <v>578</v>
      </c>
      <c r="EU19" s="9" t="s">
        <v>1037</v>
      </c>
      <c r="EV19" s="9" t="s">
        <v>580</v>
      </c>
      <c r="EX19" s="9" t="s">
        <v>1038</v>
      </c>
      <c r="EZ19" s="9" t="s">
        <v>415</v>
      </c>
      <c r="FA19" s="9" t="s">
        <v>415</v>
      </c>
      <c r="FB19" s="9" t="s">
        <v>413</v>
      </c>
      <c r="FC19" s="9" t="s">
        <v>413</v>
      </c>
      <c r="FD19" s="9" t="s">
        <v>413</v>
      </c>
      <c r="FE19" s="9" t="s">
        <v>415</v>
      </c>
      <c r="FF19" s="9" t="s">
        <v>413</v>
      </c>
      <c r="FG19" s="9" t="s">
        <v>415</v>
      </c>
      <c r="FH19" s="9" t="s">
        <v>413</v>
      </c>
      <c r="FI19" s="9" t="s">
        <v>416</v>
      </c>
      <c r="FJ19" s="9" t="s">
        <v>416</v>
      </c>
      <c r="FK19" s="9" t="s">
        <v>416</v>
      </c>
      <c r="FL19" s="9" t="s">
        <v>416</v>
      </c>
      <c r="FM19" s="9" t="s">
        <v>413</v>
      </c>
      <c r="FN19" s="9" t="s">
        <v>415</v>
      </c>
      <c r="FO19" s="9" t="s">
        <v>417</v>
      </c>
      <c r="FP19" s="9" t="s">
        <v>418</v>
      </c>
      <c r="FQ19" s="9" t="s">
        <v>1039</v>
      </c>
      <c r="FR19" s="9" t="s">
        <v>1040</v>
      </c>
      <c r="FS19" s="9" t="s">
        <v>420</v>
      </c>
      <c r="FT19" s="9" t="s">
        <v>488</v>
      </c>
      <c r="FU19" s="9" t="s">
        <v>585</v>
      </c>
      <c r="FV19" s="9" t="s">
        <v>490</v>
      </c>
      <c r="FW19" s="9" t="s">
        <v>491</v>
      </c>
      <c r="FX19" s="9" t="s">
        <v>1041</v>
      </c>
      <c r="FY19" s="9" t="s">
        <v>1020</v>
      </c>
      <c r="FZ19" s="9" t="s">
        <v>1042</v>
      </c>
      <c r="GA19" s="9" t="s">
        <v>1043</v>
      </c>
      <c r="GB19" s="9" t="s">
        <v>455</v>
      </c>
      <c r="GC19" s="9"/>
      <c r="GE19" s="9" t="s">
        <v>855</v>
      </c>
      <c r="GF19" s="9" t="s">
        <v>1044</v>
      </c>
      <c r="GG19" s="9" t="s">
        <v>755</v>
      </c>
      <c r="GH19" s="9" t="s">
        <v>755</v>
      </c>
      <c r="GI19" s="9" t="s">
        <v>817</v>
      </c>
    </row>
    <row r="20" ht="24.75" customHeight="1">
      <c r="A20" s="8">
        <v>45826.981307662034</v>
      </c>
      <c r="C20" s="9" t="s">
        <v>369</v>
      </c>
      <c r="D20" s="9" t="s">
        <v>894</v>
      </c>
      <c r="G20" s="9" t="s">
        <v>422</v>
      </c>
      <c r="H20" s="9" t="s">
        <v>496</v>
      </c>
      <c r="I20" s="9" t="s">
        <v>374</v>
      </c>
      <c r="J20" s="9" t="s">
        <v>375</v>
      </c>
      <c r="K20" s="9" t="s">
        <v>376</v>
      </c>
      <c r="L20" s="9" t="s">
        <v>591</v>
      </c>
      <c r="M20" s="9" t="s">
        <v>639</v>
      </c>
      <c r="N20" s="9" t="s">
        <v>591</v>
      </c>
      <c r="O20" s="9" t="s">
        <v>719</v>
      </c>
      <c r="P20" s="9" t="s">
        <v>592</v>
      </c>
      <c r="Q20" s="9" t="s">
        <v>499</v>
      </c>
      <c r="R20" s="9" t="s">
        <v>427</v>
      </c>
      <c r="S20" s="9" t="s">
        <v>384</v>
      </c>
      <c r="T20" s="9" t="s">
        <v>385</v>
      </c>
      <c r="V20" s="9" t="s">
        <v>1045</v>
      </c>
      <c r="W20" s="9" t="s">
        <v>428</v>
      </c>
      <c r="AV20" s="9" t="s">
        <v>597</v>
      </c>
      <c r="AW20" s="9">
        <v>4.0</v>
      </c>
      <c r="AX20" s="9" t="s">
        <v>391</v>
      </c>
      <c r="AY20" s="9" t="s">
        <v>391</v>
      </c>
      <c r="AZ20" s="9" t="s">
        <v>391</v>
      </c>
      <c r="BA20" s="9" t="s">
        <v>391</v>
      </c>
      <c r="BB20" s="9" t="s">
        <v>391</v>
      </c>
      <c r="BC20" s="9" t="s">
        <v>1046</v>
      </c>
      <c r="BE20" s="9" t="s">
        <v>432</v>
      </c>
      <c r="BF20" s="9" t="s">
        <v>1047</v>
      </c>
      <c r="BG20" s="9" t="s">
        <v>434</v>
      </c>
      <c r="BH20" s="9" t="s">
        <v>1048</v>
      </c>
      <c r="BI20" s="9" t="s">
        <v>435</v>
      </c>
      <c r="BK20" s="9" t="s">
        <v>437</v>
      </c>
      <c r="BL20" s="9" t="s">
        <v>904</v>
      </c>
      <c r="BM20" s="9" t="s">
        <v>549</v>
      </c>
      <c r="BN20" s="9" t="s">
        <v>440</v>
      </c>
      <c r="CL20" s="9" t="s">
        <v>441</v>
      </c>
      <c r="CM20" s="9" t="s">
        <v>442</v>
      </c>
      <c r="CN20" s="9" t="s">
        <v>1049</v>
      </c>
      <c r="CO20" s="9" t="s">
        <v>1050</v>
      </c>
      <c r="CP20" s="9" t="s">
        <v>1008</v>
      </c>
      <c r="CQ20" s="9" t="s">
        <v>1051</v>
      </c>
      <c r="CR20" s="9" t="s">
        <v>804</v>
      </c>
      <c r="CS20" s="9" t="s">
        <v>1052</v>
      </c>
      <c r="CT20" s="9" t="s">
        <v>1053</v>
      </c>
      <c r="CU20" s="9" t="s">
        <v>450</v>
      </c>
      <c r="CV20" s="9" t="s">
        <v>451</v>
      </c>
      <c r="CW20" s="9" t="s">
        <v>1054</v>
      </c>
      <c r="CX20" s="9" t="s">
        <v>455</v>
      </c>
      <c r="CY20" s="9" t="s">
        <v>1055</v>
      </c>
      <c r="CZ20" s="9" t="s">
        <v>985</v>
      </c>
      <c r="DA20" s="9" t="s">
        <v>1056</v>
      </c>
      <c r="DB20" s="9" t="s">
        <v>455</v>
      </c>
      <c r="DC20" s="9" t="s">
        <v>1057</v>
      </c>
      <c r="DD20" s="9" t="s">
        <v>406</v>
      </c>
      <c r="DE20" s="9" t="s">
        <v>1058</v>
      </c>
      <c r="DF20" s="9" t="s">
        <v>1059</v>
      </c>
      <c r="DG20" s="9" t="s">
        <v>524</v>
      </c>
      <c r="DH20" s="9" t="s">
        <v>410</v>
      </c>
      <c r="DI20" s="9" t="s">
        <v>459</v>
      </c>
      <c r="DJ20" s="9" t="s">
        <v>460</v>
      </c>
      <c r="DK20" s="9" t="s">
        <v>563</v>
      </c>
      <c r="DL20" s="9" t="s">
        <v>1060</v>
      </c>
      <c r="DM20" s="9" t="s">
        <v>1061</v>
      </c>
      <c r="DN20" s="9" t="s">
        <v>1062</v>
      </c>
      <c r="DO20" s="9" t="s">
        <v>1063</v>
      </c>
      <c r="DP20" s="9" t="s">
        <v>1064</v>
      </c>
      <c r="DQ20" s="9" t="s">
        <v>700</v>
      </c>
      <c r="DR20" s="9" t="s">
        <v>1065</v>
      </c>
      <c r="DS20" s="9" t="s">
        <v>702</v>
      </c>
      <c r="DT20" s="9" t="s">
        <v>570</v>
      </c>
      <c r="DU20" s="9" t="s">
        <v>1066</v>
      </c>
      <c r="DV20" s="9" t="s">
        <v>1067</v>
      </c>
      <c r="DW20" s="9" t="s">
        <v>622</v>
      </c>
      <c r="DX20" s="9" t="s">
        <v>1068</v>
      </c>
      <c r="DY20" s="9" t="s">
        <v>1069</v>
      </c>
      <c r="DZ20" s="9" t="s">
        <v>1070</v>
      </c>
      <c r="EA20" s="9" t="s">
        <v>475</v>
      </c>
      <c r="EB20" s="9" t="s">
        <v>626</v>
      </c>
      <c r="ET20" s="9" t="s">
        <v>578</v>
      </c>
      <c r="EU20" s="9" t="s">
        <v>887</v>
      </c>
      <c r="EV20" s="9" t="s">
        <v>480</v>
      </c>
      <c r="EW20" s="9" t="s">
        <v>1071</v>
      </c>
      <c r="EX20" s="9" t="s">
        <v>1072</v>
      </c>
      <c r="EY20" s="9" t="s">
        <v>1073</v>
      </c>
      <c r="EZ20" s="9" t="s">
        <v>583</v>
      </c>
      <c r="FA20" s="9" t="s">
        <v>583</v>
      </c>
      <c r="FB20" s="9" t="s">
        <v>416</v>
      </c>
      <c r="FC20" s="9" t="s">
        <v>583</v>
      </c>
      <c r="FD20" s="9" t="s">
        <v>413</v>
      </c>
      <c r="FE20" s="9" t="s">
        <v>583</v>
      </c>
      <c r="FF20" s="9" t="s">
        <v>583</v>
      </c>
      <c r="FG20" s="9" t="s">
        <v>583</v>
      </c>
      <c r="FH20" s="9" t="s">
        <v>415</v>
      </c>
      <c r="FI20" s="9" t="s">
        <v>414</v>
      </c>
      <c r="FJ20" s="9" t="s">
        <v>583</v>
      </c>
      <c r="FK20" s="9" t="s">
        <v>414</v>
      </c>
      <c r="FL20" s="9" t="s">
        <v>583</v>
      </c>
      <c r="FM20" s="9" t="s">
        <v>416</v>
      </c>
      <c r="FN20" s="9" t="s">
        <v>583</v>
      </c>
      <c r="FO20" s="9" t="s">
        <v>1074</v>
      </c>
      <c r="FP20" s="9" t="s">
        <v>418</v>
      </c>
      <c r="FQ20" s="9" t="s">
        <v>419</v>
      </c>
      <c r="FR20" s="9" t="s">
        <v>1075</v>
      </c>
      <c r="FS20" s="9" t="s">
        <v>1076</v>
      </c>
      <c r="FT20" s="9" t="s">
        <v>488</v>
      </c>
      <c r="FU20" s="9" t="s">
        <v>918</v>
      </c>
      <c r="FV20" s="9" t="s">
        <v>490</v>
      </c>
      <c r="FW20" s="9" t="s">
        <v>491</v>
      </c>
      <c r="FX20" s="9" t="s">
        <v>1077</v>
      </c>
      <c r="FY20" s="9" t="s">
        <v>493</v>
      </c>
      <c r="GA20" s="9" t="s">
        <v>1078</v>
      </c>
      <c r="GB20" s="9" t="s">
        <v>408</v>
      </c>
      <c r="GG20" s="9" t="s">
        <v>755</v>
      </c>
      <c r="GH20" s="9" t="s">
        <v>755</v>
      </c>
      <c r="GI20" s="9" t="s">
        <v>946</v>
      </c>
      <c r="GM20" s="9" t="s">
        <v>1079</v>
      </c>
      <c r="GN20" s="10"/>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10"/>
      <c r="HO20" s="10"/>
      <c r="HP20" s="10"/>
      <c r="HQ20" s="10"/>
      <c r="HR20" s="10"/>
      <c r="HS20" s="10"/>
      <c r="HT20" s="10"/>
      <c r="HU20" s="10"/>
      <c r="HV20" s="10"/>
      <c r="HW20" s="10"/>
      <c r="HX20" s="10"/>
      <c r="HY20" s="10"/>
      <c r="HZ20" s="10"/>
      <c r="IA20" s="10"/>
      <c r="IB20" s="10"/>
      <c r="IC20" s="10"/>
      <c r="ID20" s="10"/>
      <c r="IE20" s="10"/>
      <c r="IF20" s="10"/>
      <c r="IG20" s="10"/>
      <c r="IH20" s="10"/>
      <c r="II20" s="10"/>
      <c r="IJ20" s="10"/>
      <c r="IK20" s="10"/>
      <c r="IL20" s="10"/>
      <c r="IM20" s="10"/>
      <c r="IN20" s="10"/>
      <c r="IO20" s="10"/>
      <c r="IP20" s="10"/>
      <c r="IQ20" s="10"/>
      <c r="IR20" s="10"/>
      <c r="IS20" s="10"/>
      <c r="IT20" s="10"/>
      <c r="IU20" s="10"/>
      <c r="IV20" s="10"/>
      <c r="IW20" s="10"/>
      <c r="IX20" s="10"/>
      <c r="IY20" s="10"/>
      <c r="IZ20" s="10"/>
      <c r="JA20" s="10"/>
      <c r="JB20" s="10"/>
      <c r="JC20" s="10"/>
      <c r="JD20" s="10"/>
      <c r="JE20" s="10"/>
      <c r="JF20" s="10"/>
      <c r="JG20" s="10"/>
      <c r="JH20" s="10"/>
      <c r="JI20" s="10"/>
      <c r="JJ20" s="10"/>
      <c r="JK20" s="10"/>
      <c r="JL20" s="10"/>
      <c r="JM20" s="10"/>
      <c r="JN20" s="10"/>
      <c r="JO20" s="10"/>
      <c r="JP20" s="10"/>
      <c r="JQ20" s="10"/>
      <c r="JR20" s="10"/>
      <c r="JS20" s="10"/>
      <c r="JT20" s="10"/>
      <c r="JU20" s="10"/>
      <c r="JV20" s="10"/>
      <c r="JW20" s="10"/>
      <c r="JX20" s="10"/>
      <c r="JY20" s="10"/>
      <c r="JZ20" s="10"/>
      <c r="KA20" s="10"/>
      <c r="KB20" s="10"/>
      <c r="KC20" s="10"/>
      <c r="KD20" s="10"/>
      <c r="KE20" s="10"/>
      <c r="KF20" s="10"/>
      <c r="KG20" s="10"/>
      <c r="KH20" s="10"/>
      <c r="KI20" s="10"/>
      <c r="KJ20" s="10"/>
      <c r="KK20" s="10"/>
      <c r="KL20" s="10"/>
      <c r="KM20" s="10"/>
      <c r="KN20" s="10"/>
      <c r="KO20" s="10"/>
      <c r="KP20" s="10"/>
      <c r="KQ20" s="10"/>
      <c r="KR20" s="10"/>
      <c r="KS20" s="10"/>
      <c r="KT20" s="10"/>
      <c r="KU20" s="10"/>
      <c r="KV20" s="10"/>
      <c r="KW20" s="10"/>
      <c r="KX20" s="10"/>
      <c r="KY20" s="10"/>
      <c r="KZ20" s="10"/>
      <c r="LA20" s="10"/>
      <c r="LB20" s="10"/>
      <c r="LC20" s="10"/>
      <c r="LD20" s="10"/>
      <c r="LE20" s="10"/>
      <c r="LF20" s="10"/>
      <c r="LG20" s="10"/>
      <c r="LH20" s="10"/>
      <c r="LI20" s="10"/>
      <c r="LJ20" s="10"/>
      <c r="LK20" s="10"/>
      <c r="LL20" s="10"/>
      <c r="LM20" s="10"/>
      <c r="LN20" s="10"/>
      <c r="LO20" s="10"/>
      <c r="LP20" s="10"/>
      <c r="LQ20" s="10"/>
      <c r="LR20" s="10"/>
      <c r="LS20" s="10"/>
      <c r="LT20" s="10"/>
      <c r="LU20" s="10"/>
      <c r="LV20" s="10"/>
      <c r="LW20" s="10"/>
      <c r="LX20" s="10"/>
      <c r="LY20" s="10"/>
      <c r="LZ20" s="10"/>
      <c r="MA20" s="10"/>
      <c r="MB20" s="10"/>
      <c r="MC20" s="10"/>
      <c r="MD20" s="10"/>
      <c r="ME20" s="10"/>
      <c r="MF20" s="10"/>
      <c r="MG20" s="10"/>
      <c r="MH20" s="10"/>
      <c r="MI20" s="10"/>
      <c r="MJ20" s="10"/>
      <c r="MK20" s="10"/>
      <c r="ML20" s="10"/>
      <c r="MM20" s="10"/>
      <c r="MN20" s="10"/>
      <c r="MO20" s="10"/>
      <c r="MP20" s="10"/>
      <c r="MQ20" s="10"/>
      <c r="MR20" s="10"/>
      <c r="MS20" s="10"/>
      <c r="MT20" s="10"/>
      <c r="MU20" s="10"/>
      <c r="MV20" s="10"/>
      <c r="MW20" s="10"/>
      <c r="MX20" s="10"/>
      <c r="MY20" s="10"/>
      <c r="MZ20" s="10"/>
      <c r="NA20" s="10"/>
      <c r="NB20" s="10"/>
      <c r="NC20" s="10"/>
      <c r="ND20" s="10"/>
    </row>
    <row r="21" ht="24.75" customHeight="1">
      <c r="A21" s="8">
        <v>45826.999987523144</v>
      </c>
      <c r="B21" s="9" t="s">
        <v>368</v>
      </c>
      <c r="C21" s="9" t="s">
        <v>538</v>
      </c>
      <c r="D21" s="9" t="s">
        <v>538</v>
      </c>
      <c r="E21" s="9" t="s">
        <v>1023</v>
      </c>
      <c r="G21" s="9" t="s">
        <v>422</v>
      </c>
      <c r="H21" s="9" t="s">
        <v>539</v>
      </c>
      <c r="I21" s="9" t="s">
        <v>374</v>
      </c>
      <c r="J21" s="9" t="s">
        <v>375</v>
      </c>
      <c r="K21" s="9" t="s">
        <v>376</v>
      </c>
      <c r="L21" s="9" t="s">
        <v>379</v>
      </c>
      <c r="M21" s="9" t="s">
        <v>378</v>
      </c>
      <c r="N21" s="9" t="s">
        <v>379</v>
      </c>
      <c r="O21" s="9" t="s">
        <v>380</v>
      </c>
      <c r="P21" s="9" t="s">
        <v>498</v>
      </c>
      <c r="Q21" s="9" t="s">
        <v>499</v>
      </c>
      <c r="R21" s="9" t="s">
        <v>500</v>
      </c>
      <c r="S21" s="9" t="s">
        <v>384</v>
      </c>
      <c r="T21" s="9" t="s">
        <v>385</v>
      </c>
      <c r="W21" s="9" t="s">
        <v>386</v>
      </c>
      <c r="X21" s="9" t="s">
        <v>387</v>
      </c>
      <c r="Y21" s="9" t="s">
        <v>594</v>
      </c>
      <c r="AV21" s="9" t="s">
        <v>504</v>
      </c>
      <c r="AW21" s="9" t="s">
        <v>429</v>
      </c>
      <c r="AX21" s="9" t="s">
        <v>429</v>
      </c>
      <c r="AY21" s="9" t="s">
        <v>429</v>
      </c>
      <c r="AZ21" s="9">
        <v>2.0</v>
      </c>
      <c r="BA21" s="9">
        <v>2.0</v>
      </c>
      <c r="BB21" s="9">
        <v>2.0</v>
      </c>
      <c r="BC21" s="9" t="s">
        <v>1080</v>
      </c>
      <c r="BD21" s="9" t="s">
        <v>1081</v>
      </c>
      <c r="BE21" s="9" t="s">
        <v>392</v>
      </c>
      <c r="BF21" s="9" t="s">
        <v>433</v>
      </c>
      <c r="BG21" s="9" t="s">
        <v>765</v>
      </c>
      <c r="BI21" s="9" t="s">
        <v>509</v>
      </c>
      <c r="BJ21" s="9" t="s">
        <v>1082</v>
      </c>
      <c r="BK21" s="9" t="s">
        <v>681</v>
      </c>
      <c r="BM21" s="9" t="s">
        <v>439</v>
      </c>
      <c r="BN21" s="9" t="s">
        <v>513</v>
      </c>
      <c r="CL21" s="9" t="s">
        <v>682</v>
      </c>
      <c r="CM21" s="9" t="s">
        <v>401</v>
      </c>
      <c r="CN21" s="9" t="s">
        <v>1083</v>
      </c>
      <c r="CO21" s="9" t="s">
        <v>1084</v>
      </c>
      <c r="CP21" s="9" t="s">
        <v>685</v>
      </c>
      <c r="CQ21" s="9" t="s">
        <v>1085</v>
      </c>
      <c r="CR21" s="9" t="s">
        <v>404</v>
      </c>
      <c r="CT21" s="9" t="s">
        <v>1086</v>
      </c>
      <c r="CU21" s="9" t="s">
        <v>450</v>
      </c>
      <c r="CV21" s="9" t="s">
        <v>959</v>
      </c>
      <c r="CX21" s="9" t="s">
        <v>408</v>
      </c>
      <c r="CZ21" s="9" t="s">
        <v>453</v>
      </c>
      <c r="DA21" s="9" t="s">
        <v>1087</v>
      </c>
      <c r="DB21" s="9" t="s">
        <v>408</v>
      </c>
      <c r="DD21" s="9" t="s">
        <v>406</v>
      </c>
      <c r="DE21" s="9" t="s">
        <v>1058</v>
      </c>
      <c r="DF21" s="9" t="s">
        <v>1088</v>
      </c>
      <c r="DG21" s="9" t="s">
        <v>776</v>
      </c>
      <c r="DH21" s="9" t="s">
        <v>410</v>
      </c>
      <c r="DI21" s="9" t="s">
        <v>963</v>
      </c>
      <c r="DJ21" s="9" t="s">
        <v>460</v>
      </c>
      <c r="DK21" s="9" t="s">
        <v>461</v>
      </c>
      <c r="ET21" s="9" t="s">
        <v>526</v>
      </c>
      <c r="EU21" s="9" t="s">
        <v>1037</v>
      </c>
      <c r="EV21" s="9" t="s">
        <v>580</v>
      </c>
      <c r="FB21" s="11"/>
      <c r="FO21" s="9" t="s">
        <v>417</v>
      </c>
      <c r="FP21" s="9" t="s">
        <v>418</v>
      </c>
      <c r="FQ21" s="9" t="s">
        <v>712</v>
      </c>
      <c r="FR21" s="9" t="s">
        <v>1089</v>
      </c>
      <c r="FS21" s="9" t="s">
        <v>420</v>
      </c>
      <c r="FT21" s="9" t="s">
        <v>488</v>
      </c>
      <c r="FU21" s="9" t="s">
        <v>585</v>
      </c>
      <c r="FV21" s="9" t="s">
        <v>490</v>
      </c>
      <c r="FW21" s="9" t="s">
        <v>491</v>
      </c>
      <c r="FX21" s="9" t="s">
        <v>1090</v>
      </c>
      <c r="FY21" s="9" t="s">
        <v>535</v>
      </c>
      <c r="GB21" s="9" t="s">
        <v>455</v>
      </c>
      <c r="GC21" s="9"/>
      <c r="GE21" s="9" t="s">
        <v>753</v>
      </c>
      <c r="GF21" s="9" t="s">
        <v>1091</v>
      </c>
      <c r="GG21" s="9" t="s">
        <v>755</v>
      </c>
      <c r="GH21" s="9" t="s">
        <v>755</v>
      </c>
      <c r="GI21" s="9" t="s">
        <v>946</v>
      </c>
    </row>
    <row r="22" ht="24.75" customHeight="1">
      <c r="A22" s="8">
        <v>45827.03329590277</v>
      </c>
      <c r="B22" s="9" t="s">
        <v>368</v>
      </c>
      <c r="C22" s="9" t="s">
        <v>1092</v>
      </c>
      <c r="D22" s="9" t="s">
        <v>1092</v>
      </c>
      <c r="G22" s="9" t="s">
        <v>1093</v>
      </c>
      <c r="H22" s="9" t="s">
        <v>373</v>
      </c>
      <c r="I22" s="9" t="s">
        <v>374</v>
      </c>
      <c r="J22" s="9" t="s">
        <v>718</v>
      </c>
      <c r="K22" s="9" t="s">
        <v>376</v>
      </c>
      <c r="L22" s="9" t="s">
        <v>591</v>
      </c>
      <c r="M22" s="9" t="s">
        <v>378</v>
      </c>
      <c r="N22" s="9" t="s">
        <v>591</v>
      </c>
      <c r="O22" s="9" t="s">
        <v>639</v>
      </c>
      <c r="P22" s="9" t="s">
        <v>498</v>
      </c>
      <c r="Q22" s="9" t="s">
        <v>382</v>
      </c>
      <c r="R22" s="9" t="s">
        <v>500</v>
      </c>
      <c r="S22" s="9" t="s">
        <v>384</v>
      </c>
      <c r="T22" s="9" t="s">
        <v>385</v>
      </c>
      <c r="W22" s="9" t="s">
        <v>428</v>
      </c>
      <c r="AV22" s="9" t="s">
        <v>390</v>
      </c>
      <c r="AW22" s="9" t="s">
        <v>391</v>
      </c>
      <c r="AX22" s="9" t="s">
        <v>391</v>
      </c>
      <c r="AY22" s="9">
        <v>2.0</v>
      </c>
      <c r="AZ22" s="9">
        <v>2.0</v>
      </c>
      <c r="BA22" s="9">
        <v>2.0</v>
      </c>
      <c r="BB22" s="9">
        <v>2.0</v>
      </c>
      <c r="BE22" s="9" t="s">
        <v>1094</v>
      </c>
      <c r="BF22" s="9" t="s">
        <v>1095</v>
      </c>
      <c r="BG22" s="9" t="s">
        <v>725</v>
      </c>
      <c r="BK22" s="9" t="s">
        <v>437</v>
      </c>
      <c r="BM22" s="9" t="s">
        <v>549</v>
      </c>
      <c r="BN22" s="9" t="s">
        <v>440</v>
      </c>
      <c r="CL22" s="9" t="s">
        <v>550</v>
      </c>
      <c r="CM22" s="9" t="s">
        <v>551</v>
      </c>
      <c r="CP22" s="9" t="s">
        <v>445</v>
      </c>
      <c r="CQ22" s="9" t="s">
        <v>1096</v>
      </c>
      <c r="CR22" s="9" t="s">
        <v>555</v>
      </c>
      <c r="CS22" s="9" t="s">
        <v>1097</v>
      </c>
      <c r="CU22" s="9" t="s">
        <v>450</v>
      </c>
      <c r="CV22" s="9" t="s">
        <v>959</v>
      </c>
      <c r="CX22" s="9" t="s">
        <v>408</v>
      </c>
      <c r="CZ22" s="9" t="s">
        <v>453</v>
      </c>
      <c r="DB22" s="9" t="s">
        <v>455</v>
      </c>
      <c r="DD22" s="9" t="s">
        <v>406</v>
      </c>
      <c r="DE22" s="9" t="s">
        <v>407</v>
      </c>
      <c r="DG22" s="9" t="s">
        <v>524</v>
      </c>
      <c r="DH22" s="9" t="s">
        <v>410</v>
      </c>
      <c r="DI22" s="9" t="s">
        <v>459</v>
      </c>
      <c r="DJ22" s="9" t="s">
        <v>613</v>
      </c>
      <c r="DM22" s="9" t="s">
        <v>1098</v>
      </c>
      <c r="DN22" s="9" t="s">
        <v>1099</v>
      </c>
      <c r="DO22" s="9" t="s">
        <v>567</v>
      </c>
      <c r="DP22" s="9" t="s">
        <v>1100</v>
      </c>
      <c r="DQ22" s="9" t="s">
        <v>837</v>
      </c>
      <c r="DS22" s="9" t="s">
        <v>618</v>
      </c>
      <c r="DT22" s="9" t="s">
        <v>740</v>
      </c>
      <c r="DW22" s="9" t="s">
        <v>573</v>
      </c>
      <c r="EA22" s="9" t="s">
        <v>475</v>
      </c>
      <c r="EB22" s="9" t="s">
        <v>626</v>
      </c>
      <c r="ET22" s="9" t="s">
        <v>526</v>
      </c>
      <c r="EU22" s="9" t="s">
        <v>579</v>
      </c>
      <c r="EV22" s="9" t="s">
        <v>527</v>
      </c>
      <c r="EZ22" s="9" t="s">
        <v>413</v>
      </c>
      <c r="FA22" s="9" t="s">
        <v>414</v>
      </c>
      <c r="FB22" s="9" t="s">
        <v>413</v>
      </c>
      <c r="FC22" s="9" t="s">
        <v>413</v>
      </c>
      <c r="FD22" s="9" t="s">
        <v>413</v>
      </c>
      <c r="FE22" s="9" t="s">
        <v>415</v>
      </c>
      <c r="FF22" s="9" t="s">
        <v>583</v>
      </c>
      <c r="FG22" s="9" t="s">
        <v>413</v>
      </c>
      <c r="FH22" s="9" t="s">
        <v>583</v>
      </c>
      <c r="FI22" s="9" t="s">
        <v>416</v>
      </c>
      <c r="FJ22" s="9" t="s">
        <v>415</v>
      </c>
      <c r="FK22" s="9" t="s">
        <v>413</v>
      </c>
      <c r="FL22" s="9" t="s">
        <v>413</v>
      </c>
      <c r="FM22" s="9" t="s">
        <v>413</v>
      </c>
      <c r="FN22" s="9" t="s">
        <v>583</v>
      </c>
      <c r="FO22" s="9" t="s">
        <v>485</v>
      </c>
      <c r="FP22" s="9" t="s">
        <v>486</v>
      </c>
      <c r="FQ22" s="9" t="s">
        <v>712</v>
      </c>
      <c r="FS22" s="9" t="s">
        <v>420</v>
      </c>
      <c r="FT22" s="9" t="s">
        <v>488</v>
      </c>
      <c r="FU22" s="9" t="s">
        <v>918</v>
      </c>
      <c r="FV22" s="9" t="s">
        <v>1101</v>
      </c>
      <c r="FW22" s="9" t="s">
        <v>491</v>
      </c>
      <c r="FY22" s="9" t="s">
        <v>493</v>
      </c>
      <c r="GB22" s="9" t="s">
        <v>408</v>
      </c>
      <c r="GG22" s="9" t="s">
        <v>755</v>
      </c>
      <c r="GH22" s="9" t="s">
        <v>755</v>
      </c>
      <c r="GI22" s="9" t="s">
        <v>946</v>
      </c>
      <c r="GM22" s="9" t="s">
        <v>1079</v>
      </c>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c r="MD22" s="10"/>
      <c r="ME22" s="10"/>
      <c r="MF22" s="10"/>
      <c r="MG22" s="10"/>
      <c r="MH22" s="10"/>
      <c r="MI22" s="10"/>
      <c r="MJ22" s="10"/>
      <c r="MK22" s="10"/>
      <c r="ML22" s="10"/>
      <c r="MM22" s="10"/>
      <c r="MN22" s="10"/>
      <c r="MO22" s="10"/>
      <c r="MP22" s="10"/>
      <c r="MQ22" s="10"/>
      <c r="MR22" s="10"/>
      <c r="MS22" s="10"/>
      <c r="MT22" s="10"/>
      <c r="MU22" s="10"/>
      <c r="MV22" s="10"/>
      <c r="MW22" s="10"/>
      <c r="MX22" s="10"/>
      <c r="MY22" s="10"/>
      <c r="MZ22" s="10"/>
      <c r="NA22" s="10"/>
      <c r="NB22" s="10"/>
      <c r="NC22" s="10"/>
      <c r="ND22" s="10"/>
    </row>
    <row r="23" ht="24.75" customHeight="1">
      <c r="A23" s="8">
        <v>45827.04287230324</v>
      </c>
      <c r="B23" s="9" t="s">
        <v>368</v>
      </c>
      <c r="C23" s="9" t="s">
        <v>370</v>
      </c>
      <c r="E23" s="9" t="s">
        <v>371</v>
      </c>
      <c r="G23" s="9" t="s">
        <v>1102</v>
      </c>
      <c r="H23" s="9" t="s">
        <v>373</v>
      </c>
      <c r="I23" s="9" t="s">
        <v>638</v>
      </c>
      <c r="J23" s="9" t="s">
        <v>425</v>
      </c>
      <c r="K23" s="9" t="s">
        <v>376</v>
      </c>
      <c r="L23" s="9" t="s">
        <v>426</v>
      </c>
      <c r="M23" s="9" t="s">
        <v>1103</v>
      </c>
      <c r="N23" s="9" t="s">
        <v>426</v>
      </c>
      <c r="O23" s="9" t="s">
        <v>1104</v>
      </c>
      <c r="P23" s="9" t="s">
        <v>498</v>
      </c>
      <c r="Q23" s="9" t="s">
        <v>862</v>
      </c>
      <c r="R23" s="9" t="s">
        <v>949</v>
      </c>
      <c r="S23" s="9" t="s">
        <v>384</v>
      </c>
      <c r="T23" s="9" t="s">
        <v>385</v>
      </c>
      <c r="W23" s="9" t="s">
        <v>760</v>
      </c>
      <c r="X23" s="9" t="s">
        <v>387</v>
      </c>
      <c r="Y23" s="9" t="s">
        <v>388</v>
      </c>
      <c r="Z23" s="9" t="s">
        <v>543</v>
      </c>
      <c r="AA23" s="9" t="s">
        <v>408</v>
      </c>
      <c r="AB23" s="9" t="s">
        <v>1105</v>
      </c>
      <c r="AV23" s="9" t="s">
        <v>597</v>
      </c>
      <c r="AW23" s="9" t="s">
        <v>391</v>
      </c>
      <c r="AX23" s="9" t="s">
        <v>391</v>
      </c>
      <c r="AY23" s="9">
        <v>2.0</v>
      </c>
      <c r="AZ23" s="9" t="s">
        <v>429</v>
      </c>
      <c r="BA23" s="9">
        <v>4.0</v>
      </c>
      <c r="BB23" s="9">
        <v>2.0</v>
      </c>
      <c r="BC23" s="9" t="s">
        <v>1106</v>
      </c>
      <c r="BD23" s="9" t="s">
        <v>1107</v>
      </c>
      <c r="BE23" s="9" t="s">
        <v>902</v>
      </c>
      <c r="BF23" s="9" t="s">
        <v>393</v>
      </c>
      <c r="BG23" s="9" t="s">
        <v>725</v>
      </c>
      <c r="BH23" s="9" t="s">
        <v>1108</v>
      </c>
      <c r="BI23" s="9" t="s">
        <v>509</v>
      </c>
      <c r="BJ23" s="9" t="s">
        <v>1109</v>
      </c>
      <c r="BK23" s="9" t="s">
        <v>602</v>
      </c>
      <c r="BL23" s="9" t="s">
        <v>438</v>
      </c>
      <c r="BM23" s="9" t="s">
        <v>549</v>
      </c>
      <c r="BN23" s="9" t="s">
        <v>440</v>
      </c>
      <c r="CL23" s="9" t="s">
        <v>441</v>
      </c>
      <c r="CM23" s="9" t="s">
        <v>604</v>
      </c>
      <c r="CN23" s="9" t="s">
        <v>1110</v>
      </c>
      <c r="CO23" s="9" t="s">
        <v>1111</v>
      </c>
      <c r="CP23" s="9" t="s">
        <v>979</v>
      </c>
      <c r="CQ23" s="9" t="s">
        <v>1112</v>
      </c>
      <c r="CR23" s="9" t="s">
        <v>804</v>
      </c>
      <c r="CS23" s="9" t="s">
        <v>1113</v>
      </c>
      <c r="CT23" s="9" t="s">
        <v>1114</v>
      </c>
      <c r="CU23" s="9" t="s">
        <v>519</v>
      </c>
      <c r="CV23" s="9" t="s">
        <v>451</v>
      </c>
      <c r="CW23" s="9" t="s">
        <v>1115</v>
      </c>
      <c r="CX23" s="9" t="s">
        <v>408</v>
      </c>
      <c r="CZ23" s="9" t="s">
        <v>453</v>
      </c>
      <c r="DA23" s="9" t="s">
        <v>1116</v>
      </c>
      <c r="DB23" s="9" t="s">
        <v>455</v>
      </c>
      <c r="DC23" s="9" t="s">
        <v>1117</v>
      </c>
      <c r="DD23" s="9" t="s">
        <v>662</v>
      </c>
      <c r="DF23" s="9" t="s">
        <v>1118</v>
      </c>
      <c r="DG23" s="9" t="s">
        <v>561</v>
      </c>
      <c r="DH23" s="9" t="s">
        <v>410</v>
      </c>
      <c r="DI23" s="9" t="s">
        <v>459</v>
      </c>
      <c r="DJ23" s="9" t="s">
        <v>460</v>
      </c>
      <c r="DK23" s="9" t="s">
        <v>461</v>
      </c>
      <c r="DM23" s="9" t="s">
        <v>1119</v>
      </c>
      <c r="DN23" s="9" t="s">
        <v>1120</v>
      </c>
      <c r="DO23" s="9" t="s">
        <v>567</v>
      </c>
      <c r="DQ23" s="9" t="s">
        <v>700</v>
      </c>
      <c r="DR23" s="9" t="s">
        <v>1121</v>
      </c>
      <c r="DS23" s="9" t="s">
        <v>618</v>
      </c>
      <c r="DU23" s="9" t="s">
        <v>742</v>
      </c>
      <c r="DV23" s="9" t="s">
        <v>1122</v>
      </c>
      <c r="DW23" s="9" t="s">
        <v>573</v>
      </c>
      <c r="DX23" s="9" t="s">
        <v>1123</v>
      </c>
      <c r="DY23" s="9" t="s">
        <v>1124</v>
      </c>
      <c r="DZ23" s="9" t="s">
        <v>1125</v>
      </c>
      <c r="EA23" s="9" t="s">
        <v>475</v>
      </c>
      <c r="EB23" s="9" t="s">
        <v>845</v>
      </c>
      <c r="EC23" s="9" t="s">
        <v>1126</v>
      </c>
      <c r="ET23" s="9" t="s">
        <v>526</v>
      </c>
      <c r="EU23" s="9" t="s">
        <v>1127</v>
      </c>
      <c r="EV23" s="9" t="s">
        <v>527</v>
      </c>
      <c r="EW23" s="9" t="s">
        <v>1128</v>
      </c>
      <c r="EX23" s="9" t="s">
        <v>1129</v>
      </c>
      <c r="EY23" s="9" t="s">
        <v>1130</v>
      </c>
      <c r="EZ23" s="9" t="s">
        <v>413</v>
      </c>
      <c r="FA23" s="9" t="s">
        <v>416</v>
      </c>
      <c r="FB23" s="9" t="s">
        <v>413</v>
      </c>
      <c r="FC23" s="9" t="s">
        <v>413</v>
      </c>
      <c r="FD23" s="9" t="s">
        <v>413</v>
      </c>
      <c r="FE23" s="9" t="s">
        <v>415</v>
      </c>
      <c r="FF23" s="9" t="s">
        <v>413</v>
      </c>
      <c r="FG23" s="9" t="s">
        <v>416</v>
      </c>
      <c r="FH23" s="9" t="s">
        <v>583</v>
      </c>
      <c r="FI23" s="9" t="s">
        <v>416</v>
      </c>
      <c r="FJ23" s="9" t="s">
        <v>416</v>
      </c>
      <c r="FK23" s="9" t="s">
        <v>416</v>
      </c>
      <c r="FL23" s="9" t="s">
        <v>415</v>
      </c>
      <c r="FM23" s="9" t="s">
        <v>415</v>
      </c>
      <c r="FN23" s="9" t="s">
        <v>583</v>
      </c>
      <c r="FO23" s="9" t="s">
        <v>485</v>
      </c>
      <c r="FP23" s="9" t="s">
        <v>418</v>
      </c>
      <c r="FQ23" s="9" t="s">
        <v>531</v>
      </c>
      <c r="FR23" s="9" t="s">
        <v>1131</v>
      </c>
      <c r="FS23" s="9" t="s">
        <v>420</v>
      </c>
      <c r="FT23" s="9" t="s">
        <v>488</v>
      </c>
      <c r="FU23" s="9" t="s">
        <v>489</v>
      </c>
      <c r="FV23" s="9" t="s">
        <v>490</v>
      </c>
      <c r="FW23" s="9" t="s">
        <v>491</v>
      </c>
      <c r="FX23" s="9" t="s">
        <v>1132</v>
      </c>
      <c r="FY23" s="9" t="s">
        <v>493</v>
      </c>
      <c r="FZ23" s="9" t="s">
        <v>1133</v>
      </c>
      <c r="GB23" s="9" t="s">
        <v>455</v>
      </c>
      <c r="GC23" s="9"/>
      <c r="GE23" s="9" t="s">
        <v>753</v>
      </c>
      <c r="GF23" s="9" t="s">
        <v>1134</v>
      </c>
      <c r="GG23" s="9" t="s">
        <v>755</v>
      </c>
      <c r="GH23" s="9" t="s">
        <v>755</v>
      </c>
      <c r="GI23" s="9" t="s">
        <v>817</v>
      </c>
      <c r="GM23" s="9" t="s">
        <v>1079</v>
      </c>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c r="KY23" s="10"/>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c r="LX23" s="10"/>
      <c r="LY23" s="10"/>
      <c r="LZ23" s="10"/>
      <c r="MA23" s="10"/>
      <c r="MB23" s="10"/>
      <c r="MC23" s="10"/>
      <c r="MD23" s="10"/>
      <c r="ME23" s="10"/>
      <c r="MF23" s="10"/>
      <c r="MG23" s="10"/>
      <c r="MH23" s="10"/>
      <c r="MI23" s="10"/>
      <c r="MJ23" s="10"/>
      <c r="MK23" s="10"/>
      <c r="ML23" s="10"/>
      <c r="MM23" s="10"/>
      <c r="MN23" s="10"/>
      <c r="MO23" s="10"/>
      <c r="MP23" s="10"/>
      <c r="MQ23" s="10"/>
      <c r="MR23" s="10"/>
      <c r="MS23" s="10"/>
      <c r="MT23" s="10"/>
      <c r="MU23" s="10"/>
      <c r="MV23" s="10"/>
      <c r="MW23" s="10"/>
      <c r="MX23" s="10"/>
      <c r="MY23" s="10"/>
      <c r="MZ23" s="10"/>
      <c r="NA23" s="10"/>
      <c r="NB23" s="10"/>
      <c r="NC23" s="10"/>
      <c r="ND23" s="10"/>
    </row>
    <row r="24" ht="24.75" customHeight="1">
      <c r="A24" s="8">
        <v>45827.10090055555</v>
      </c>
      <c r="B24" s="9" t="s">
        <v>368</v>
      </c>
      <c r="C24" s="9" t="s">
        <v>370</v>
      </c>
      <c r="E24" s="9" t="s">
        <v>589</v>
      </c>
      <c r="G24" s="9" t="s">
        <v>422</v>
      </c>
      <c r="H24" s="9" t="s">
        <v>373</v>
      </c>
      <c r="I24" s="9" t="s">
        <v>374</v>
      </c>
      <c r="J24" s="9" t="s">
        <v>425</v>
      </c>
      <c r="K24" s="9" t="s">
        <v>376</v>
      </c>
      <c r="L24" s="9" t="s">
        <v>379</v>
      </c>
      <c r="M24" s="9" t="s">
        <v>378</v>
      </c>
      <c r="N24" s="9" t="s">
        <v>379</v>
      </c>
      <c r="O24" s="9" t="s">
        <v>497</v>
      </c>
      <c r="P24" s="9" t="s">
        <v>498</v>
      </c>
      <c r="Q24" s="9" t="s">
        <v>759</v>
      </c>
      <c r="R24" s="9" t="s">
        <v>1135</v>
      </c>
      <c r="S24" s="9" t="s">
        <v>384</v>
      </c>
      <c r="T24" s="9" t="s">
        <v>385</v>
      </c>
      <c r="W24" s="9" t="s">
        <v>760</v>
      </c>
      <c r="X24" s="9" t="s">
        <v>387</v>
      </c>
      <c r="Y24" s="9" t="s">
        <v>897</v>
      </c>
      <c r="Z24" s="9" t="s">
        <v>502</v>
      </c>
      <c r="AV24" s="9" t="s">
        <v>390</v>
      </c>
      <c r="AW24" s="9" t="s">
        <v>391</v>
      </c>
      <c r="AX24" s="9">
        <v>2.0</v>
      </c>
      <c r="AY24" s="9" t="s">
        <v>429</v>
      </c>
      <c r="AZ24" s="9" t="s">
        <v>391</v>
      </c>
      <c r="BA24" s="9">
        <v>4.0</v>
      </c>
      <c r="BB24" s="9">
        <v>2.0</v>
      </c>
      <c r="BE24" s="9" t="s">
        <v>432</v>
      </c>
      <c r="BF24" s="9" t="s">
        <v>433</v>
      </c>
      <c r="BG24" s="9" t="s">
        <v>434</v>
      </c>
      <c r="BI24" s="9" t="s">
        <v>727</v>
      </c>
      <c r="BK24" s="9" t="s">
        <v>511</v>
      </c>
      <c r="BL24" s="9" t="s">
        <v>438</v>
      </c>
      <c r="BM24" s="9" t="s">
        <v>549</v>
      </c>
      <c r="BN24" s="9" t="s">
        <v>513</v>
      </c>
      <c r="CL24" s="9" t="s">
        <v>441</v>
      </c>
      <c r="CM24" s="9" t="s">
        <v>401</v>
      </c>
      <c r="CP24" s="9" t="s">
        <v>403</v>
      </c>
      <c r="CQ24" s="9" t="s">
        <v>1136</v>
      </c>
      <c r="CR24" s="9" t="s">
        <v>404</v>
      </c>
      <c r="CS24" s="9" t="s">
        <v>1137</v>
      </c>
      <c r="CU24" s="9" t="s">
        <v>450</v>
      </c>
      <c r="CV24" s="9" t="s">
        <v>451</v>
      </c>
      <c r="CX24" s="9" t="s">
        <v>733</v>
      </c>
      <c r="CZ24" s="9" t="s">
        <v>453</v>
      </c>
      <c r="DB24" s="9" t="s">
        <v>455</v>
      </c>
      <c r="DC24" s="9" t="s">
        <v>1138</v>
      </c>
      <c r="DD24" s="9" t="s">
        <v>406</v>
      </c>
      <c r="DE24" s="9" t="s">
        <v>407</v>
      </c>
      <c r="DG24" s="9" t="s">
        <v>524</v>
      </c>
      <c r="DH24" s="9" t="s">
        <v>833</v>
      </c>
      <c r="DI24" s="9" t="s">
        <v>459</v>
      </c>
      <c r="DJ24" s="9" t="s">
        <v>613</v>
      </c>
      <c r="ET24" s="9" t="s">
        <v>526</v>
      </c>
      <c r="EU24" s="9" t="s">
        <v>1037</v>
      </c>
      <c r="EV24" s="9" t="s">
        <v>580</v>
      </c>
      <c r="EZ24" s="9" t="s">
        <v>415</v>
      </c>
      <c r="FA24" s="9" t="s">
        <v>415</v>
      </c>
      <c r="FB24" s="9" t="s">
        <v>413</v>
      </c>
      <c r="FC24" s="9" t="s">
        <v>415</v>
      </c>
      <c r="FD24" s="9" t="s">
        <v>413</v>
      </c>
      <c r="FE24" s="9" t="s">
        <v>415</v>
      </c>
      <c r="FF24" s="9" t="s">
        <v>415</v>
      </c>
      <c r="FG24" s="9" t="s">
        <v>415</v>
      </c>
      <c r="FH24" s="9" t="s">
        <v>415</v>
      </c>
      <c r="FI24" s="9" t="s">
        <v>415</v>
      </c>
      <c r="FJ24" s="9" t="s">
        <v>415</v>
      </c>
      <c r="FK24" s="9" t="s">
        <v>415</v>
      </c>
      <c r="FL24" s="9" t="s">
        <v>415</v>
      </c>
      <c r="FM24" s="9" t="s">
        <v>415</v>
      </c>
      <c r="FN24" s="9" t="s">
        <v>415</v>
      </c>
      <c r="FO24" s="9" t="s">
        <v>417</v>
      </c>
      <c r="FP24" s="9" t="s">
        <v>418</v>
      </c>
      <c r="FQ24" s="9" t="s">
        <v>712</v>
      </c>
      <c r="FS24" s="9" t="s">
        <v>420</v>
      </c>
      <c r="FT24" s="9" t="s">
        <v>488</v>
      </c>
      <c r="FU24" s="9" t="s">
        <v>489</v>
      </c>
      <c r="FV24" s="9" t="s">
        <v>490</v>
      </c>
      <c r="FW24" s="9" t="s">
        <v>491</v>
      </c>
      <c r="FY24" s="9" t="s">
        <v>493</v>
      </c>
      <c r="GB24" s="9" t="s">
        <v>408</v>
      </c>
      <c r="GG24" s="9" t="s">
        <v>1000</v>
      </c>
      <c r="GH24" s="9" t="s">
        <v>1000</v>
      </c>
      <c r="GI24" s="9" t="s">
        <v>756</v>
      </c>
    </row>
    <row r="25" ht="24.75" customHeight="1">
      <c r="A25" s="8">
        <v>45827.10245875</v>
      </c>
      <c r="B25" s="9" t="s">
        <v>368</v>
      </c>
      <c r="C25" s="9" t="s">
        <v>1139</v>
      </c>
      <c r="D25" s="9" t="s">
        <v>1139</v>
      </c>
      <c r="G25" s="9" t="s">
        <v>1140</v>
      </c>
      <c r="H25" s="9" t="s">
        <v>637</v>
      </c>
      <c r="I25" s="9" t="s">
        <v>638</v>
      </c>
      <c r="J25" s="9" t="s">
        <v>590</v>
      </c>
      <c r="K25" s="9" t="s">
        <v>376</v>
      </c>
      <c r="L25" s="9" t="s">
        <v>591</v>
      </c>
      <c r="M25" s="9" t="s">
        <v>639</v>
      </c>
      <c r="N25" s="9" t="s">
        <v>591</v>
      </c>
      <c r="O25" s="9" t="s">
        <v>671</v>
      </c>
      <c r="P25" s="9" t="s">
        <v>592</v>
      </c>
      <c r="Q25" s="9" t="s">
        <v>862</v>
      </c>
      <c r="R25" s="9" t="s">
        <v>500</v>
      </c>
      <c r="S25" s="9" t="s">
        <v>384</v>
      </c>
      <c r="T25" s="9" t="s">
        <v>385</v>
      </c>
      <c r="W25" s="9" t="s">
        <v>593</v>
      </c>
      <c r="X25" s="9" t="s">
        <v>642</v>
      </c>
      <c r="AL25" s="9" t="s">
        <v>1141</v>
      </c>
      <c r="AM25" s="9" t="s">
        <v>1142</v>
      </c>
      <c r="AN25" s="9" t="s">
        <v>1143</v>
      </c>
      <c r="AP25" s="9" t="s">
        <v>1144</v>
      </c>
      <c r="AQ25" s="9">
        <v>5.0</v>
      </c>
      <c r="AR25" s="9" t="s">
        <v>1145</v>
      </c>
      <c r="AV25" s="9" t="s">
        <v>390</v>
      </c>
      <c r="AW25" s="9" t="s">
        <v>391</v>
      </c>
      <c r="AX25" s="9" t="s">
        <v>391</v>
      </c>
      <c r="AY25" s="9">
        <v>2.0</v>
      </c>
      <c r="AZ25" s="9" t="s">
        <v>391</v>
      </c>
      <c r="BA25" s="9">
        <v>4.0</v>
      </c>
      <c r="BB25" s="9" t="s">
        <v>391</v>
      </c>
      <c r="BE25" s="9" t="s">
        <v>432</v>
      </c>
      <c r="BF25" s="9" t="s">
        <v>433</v>
      </c>
      <c r="BG25" s="9" t="s">
        <v>765</v>
      </c>
      <c r="BI25" s="9" t="s">
        <v>824</v>
      </c>
      <c r="BK25" s="9" t="s">
        <v>437</v>
      </c>
      <c r="BL25" s="9" t="s">
        <v>396</v>
      </c>
      <c r="BM25" s="9" t="s">
        <v>549</v>
      </c>
      <c r="BN25" s="9" t="s">
        <v>440</v>
      </c>
      <c r="CL25" s="9" t="s">
        <v>441</v>
      </c>
      <c r="CM25" s="9" t="s">
        <v>401</v>
      </c>
      <c r="CP25" s="9" t="s">
        <v>403</v>
      </c>
      <c r="CQ25" s="9" t="s">
        <v>1146</v>
      </c>
      <c r="CR25" s="9" t="s">
        <v>447</v>
      </c>
      <c r="CS25" s="9" t="s">
        <v>1147</v>
      </c>
      <c r="CU25" s="9" t="s">
        <v>519</v>
      </c>
      <c r="CV25" s="9" t="s">
        <v>451</v>
      </c>
      <c r="CX25" s="9" t="s">
        <v>408</v>
      </c>
      <c r="CZ25" s="9" t="s">
        <v>453</v>
      </c>
      <c r="DB25" s="9" t="s">
        <v>408</v>
      </c>
      <c r="DD25" s="9" t="s">
        <v>406</v>
      </c>
      <c r="DE25" s="9" t="s">
        <v>407</v>
      </c>
      <c r="DG25" s="9" t="s">
        <v>524</v>
      </c>
      <c r="DH25" s="9" t="s">
        <v>410</v>
      </c>
      <c r="DI25" s="9" t="s">
        <v>459</v>
      </c>
      <c r="DJ25" s="9" t="s">
        <v>1148</v>
      </c>
      <c r="DK25" s="9" t="s">
        <v>461</v>
      </c>
      <c r="DM25" s="9" t="s">
        <v>1149</v>
      </c>
      <c r="DN25" s="9" t="s">
        <v>1150</v>
      </c>
      <c r="DO25" s="9" t="s">
        <v>464</v>
      </c>
      <c r="DP25" s="9" t="s">
        <v>1151</v>
      </c>
      <c r="DQ25" s="9" t="s">
        <v>1152</v>
      </c>
      <c r="DS25" s="9" t="s">
        <v>839</v>
      </c>
      <c r="DT25" s="9" t="s">
        <v>570</v>
      </c>
      <c r="DW25" s="9" t="s">
        <v>622</v>
      </c>
      <c r="EA25" s="9" t="s">
        <v>475</v>
      </c>
      <c r="EB25" s="9" t="s">
        <v>845</v>
      </c>
      <c r="ET25" s="9" t="s">
        <v>526</v>
      </c>
      <c r="EU25" s="9" t="s">
        <v>479</v>
      </c>
      <c r="EV25" s="9" t="s">
        <v>663</v>
      </c>
      <c r="EZ25" s="9" t="s">
        <v>414</v>
      </c>
      <c r="FA25" s="9" t="s">
        <v>414</v>
      </c>
      <c r="FB25" s="9" t="s">
        <v>413</v>
      </c>
      <c r="FC25" s="9" t="s">
        <v>413</v>
      </c>
      <c r="FD25" s="9" t="s">
        <v>413</v>
      </c>
      <c r="FE25" s="9" t="s">
        <v>414</v>
      </c>
      <c r="FF25" s="9" t="s">
        <v>415</v>
      </c>
      <c r="FG25" s="9" t="s">
        <v>416</v>
      </c>
      <c r="FH25" s="9" t="s">
        <v>414</v>
      </c>
      <c r="FI25" s="9" t="s">
        <v>583</v>
      </c>
      <c r="FJ25" s="9" t="s">
        <v>413</v>
      </c>
      <c r="FK25" s="9" t="s">
        <v>415</v>
      </c>
      <c r="FL25" s="9" t="s">
        <v>415</v>
      </c>
      <c r="FM25" s="9" t="s">
        <v>416</v>
      </c>
      <c r="FN25" s="9" t="s">
        <v>415</v>
      </c>
      <c r="FO25" s="9" t="s">
        <v>1074</v>
      </c>
      <c r="FP25" s="9" t="s">
        <v>418</v>
      </c>
      <c r="FQ25" s="9" t="s">
        <v>419</v>
      </c>
      <c r="FS25" s="9" t="s">
        <v>420</v>
      </c>
      <c r="FT25" s="9" t="s">
        <v>488</v>
      </c>
      <c r="FU25" s="9" t="s">
        <v>489</v>
      </c>
      <c r="FV25" s="9" t="s">
        <v>490</v>
      </c>
      <c r="FW25" s="9" t="s">
        <v>491</v>
      </c>
      <c r="FY25" s="9" t="s">
        <v>535</v>
      </c>
      <c r="GB25" s="9" t="s">
        <v>408</v>
      </c>
      <c r="GG25" s="9" t="s">
        <v>755</v>
      </c>
      <c r="GH25" s="9" t="s">
        <v>755</v>
      </c>
      <c r="GI25" s="9" t="s">
        <v>946</v>
      </c>
      <c r="GM25" s="9" t="s">
        <v>1079</v>
      </c>
      <c r="GN25" s="10"/>
      <c r="GO25" s="10"/>
      <c r="GP25" s="10"/>
      <c r="GQ25" s="10"/>
      <c r="GR25" s="10"/>
      <c r="GS25" s="10"/>
      <c r="GT25" s="10"/>
      <c r="GU25" s="10"/>
      <c r="GV25" s="10"/>
      <c r="GW25" s="10"/>
      <c r="GX25" s="10"/>
      <c r="GY25" s="10"/>
      <c r="GZ25" s="10"/>
      <c r="HA25" s="10"/>
      <c r="HB25" s="10"/>
      <c r="HC25" s="10"/>
      <c r="HD25" s="10"/>
      <c r="HE25" s="10"/>
      <c r="HF25" s="10"/>
      <c r="HG25" s="10"/>
      <c r="HH25" s="10"/>
      <c r="HI25" s="10"/>
      <c r="HJ25" s="10"/>
      <c r="HK25" s="10"/>
      <c r="HL25" s="10"/>
      <c r="HM25" s="10"/>
      <c r="HN25" s="10"/>
      <c r="HO25" s="10"/>
      <c r="HP25" s="10"/>
      <c r="HQ25" s="10"/>
      <c r="HR25" s="10"/>
      <c r="HS25" s="10"/>
      <c r="HT25" s="10"/>
      <c r="HU25" s="10"/>
      <c r="HV25" s="10"/>
      <c r="HW25" s="10"/>
      <c r="HX25" s="10"/>
      <c r="HY25" s="10"/>
      <c r="HZ25" s="10"/>
      <c r="IA25" s="10"/>
      <c r="IB25" s="10"/>
      <c r="IC25" s="10"/>
      <c r="ID25" s="10"/>
      <c r="IE25" s="10"/>
      <c r="IF25" s="10"/>
      <c r="IG25" s="10"/>
      <c r="IH25" s="10"/>
      <c r="II25" s="10"/>
      <c r="IJ25" s="10"/>
      <c r="IK25" s="10"/>
      <c r="IL25" s="10"/>
      <c r="IM25" s="10"/>
      <c r="IN25" s="10"/>
      <c r="IO25" s="10"/>
      <c r="IP25" s="10"/>
      <c r="IQ25" s="10"/>
      <c r="IR25" s="10"/>
      <c r="IS25" s="10"/>
      <c r="IT25" s="10"/>
      <c r="IU25" s="10"/>
      <c r="IV25" s="10"/>
      <c r="IW25" s="10"/>
      <c r="IX25" s="10"/>
      <c r="IY25" s="10"/>
      <c r="IZ25" s="10"/>
      <c r="JA25" s="10"/>
      <c r="JB25" s="10"/>
      <c r="JC25" s="10"/>
      <c r="JD25" s="10"/>
      <c r="JE25" s="10"/>
      <c r="JF25" s="10"/>
      <c r="JG25" s="10"/>
      <c r="JH25" s="10"/>
      <c r="JI25" s="10"/>
      <c r="JJ25" s="10"/>
      <c r="JK25" s="10"/>
      <c r="JL25" s="10"/>
      <c r="JM25" s="10"/>
      <c r="JN25" s="10"/>
      <c r="JO25" s="10"/>
      <c r="JP25" s="10"/>
      <c r="JQ25" s="10"/>
      <c r="JR25" s="10"/>
      <c r="JS25" s="10"/>
      <c r="JT25" s="10"/>
      <c r="JU25" s="10"/>
      <c r="JV25" s="10"/>
      <c r="JW25" s="10"/>
      <c r="JX25" s="10"/>
      <c r="JY25" s="10"/>
      <c r="JZ25" s="10"/>
      <c r="KA25" s="10"/>
      <c r="KB25" s="10"/>
      <c r="KC25" s="10"/>
      <c r="KD25" s="10"/>
      <c r="KE25" s="10"/>
      <c r="KF25" s="10"/>
      <c r="KG25" s="10"/>
      <c r="KH25" s="10"/>
      <c r="KI25" s="10"/>
      <c r="KJ25" s="10"/>
      <c r="KK25" s="10"/>
      <c r="KL25" s="10"/>
      <c r="KM25" s="10"/>
      <c r="KN25" s="10"/>
      <c r="KO25" s="10"/>
      <c r="KP25" s="10"/>
      <c r="KQ25" s="10"/>
      <c r="KR25" s="10"/>
      <c r="KS25" s="10"/>
      <c r="KT25" s="10"/>
      <c r="KU25" s="10"/>
      <c r="KV25" s="10"/>
      <c r="KW25" s="10"/>
      <c r="KX25" s="10"/>
      <c r="KY25" s="10"/>
      <c r="KZ25" s="10"/>
      <c r="LA25" s="10"/>
      <c r="LB25" s="10"/>
      <c r="LC25" s="10"/>
      <c r="LD25" s="10"/>
      <c r="LE25" s="10"/>
      <c r="LF25" s="10"/>
      <c r="LG25" s="10"/>
      <c r="LH25" s="10"/>
      <c r="LI25" s="10"/>
      <c r="LJ25" s="10"/>
      <c r="LK25" s="10"/>
      <c r="LL25" s="10"/>
      <c r="LM25" s="10"/>
      <c r="LN25" s="10"/>
      <c r="LO25" s="10"/>
      <c r="LP25" s="10"/>
      <c r="LQ25" s="10"/>
      <c r="LR25" s="10"/>
      <c r="LS25" s="10"/>
      <c r="LT25" s="10"/>
      <c r="LU25" s="10"/>
      <c r="LV25" s="10"/>
      <c r="LW25" s="10"/>
      <c r="LX25" s="10"/>
      <c r="LY25" s="10"/>
      <c r="LZ25" s="10"/>
      <c r="MA25" s="10"/>
      <c r="MB25" s="10"/>
      <c r="MC25" s="10"/>
      <c r="MD25" s="10"/>
      <c r="ME25" s="10"/>
      <c r="MF25" s="10"/>
      <c r="MG25" s="10"/>
      <c r="MH25" s="10"/>
      <c r="MI25" s="10"/>
      <c r="MJ25" s="10"/>
      <c r="MK25" s="10"/>
      <c r="ML25" s="10"/>
      <c r="MM25" s="10"/>
      <c r="MN25" s="10"/>
      <c r="MO25" s="10"/>
      <c r="MP25" s="10"/>
      <c r="MQ25" s="10"/>
      <c r="MR25" s="10"/>
      <c r="MS25" s="10"/>
      <c r="MT25" s="10"/>
      <c r="MU25" s="10"/>
      <c r="MV25" s="10"/>
      <c r="MW25" s="10"/>
      <c r="MX25" s="10"/>
      <c r="MY25" s="10"/>
      <c r="MZ25" s="10"/>
      <c r="NA25" s="10"/>
      <c r="NB25" s="10"/>
      <c r="NC25" s="10"/>
      <c r="ND25" s="10"/>
    </row>
    <row r="26" ht="24.75" customHeight="1">
      <c r="A26" s="8">
        <v>45827.1310891551</v>
      </c>
      <c r="B26" s="9" t="s">
        <v>368</v>
      </c>
      <c r="C26" s="9" t="s">
        <v>370</v>
      </c>
      <c r="E26" s="9" t="s">
        <v>922</v>
      </c>
      <c r="G26" s="9" t="s">
        <v>1153</v>
      </c>
      <c r="H26" s="9" t="s">
        <v>637</v>
      </c>
      <c r="I26" s="9" t="s">
        <v>638</v>
      </c>
      <c r="J26" s="9" t="s">
        <v>425</v>
      </c>
      <c r="K26" s="9" t="s">
        <v>376</v>
      </c>
      <c r="L26" s="9" t="s">
        <v>591</v>
      </c>
      <c r="M26" s="9" t="s">
        <v>1154</v>
      </c>
      <c r="N26" s="9" t="s">
        <v>379</v>
      </c>
      <c r="O26" s="9" t="s">
        <v>1155</v>
      </c>
      <c r="P26" s="9" t="s">
        <v>381</v>
      </c>
      <c r="Q26" s="9" t="s">
        <v>1156</v>
      </c>
      <c r="R26" s="9" t="s">
        <v>500</v>
      </c>
      <c r="S26" s="9" t="s">
        <v>384</v>
      </c>
      <c r="T26" s="9" t="s">
        <v>385</v>
      </c>
      <c r="W26" s="9" t="s">
        <v>593</v>
      </c>
      <c r="X26" s="9" t="s">
        <v>387</v>
      </c>
      <c r="Y26" s="9" t="s">
        <v>1157</v>
      </c>
      <c r="Z26" s="9" t="s">
        <v>502</v>
      </c>
      <c r="AA26" s="9" t="s">
        <v>1158</v>
      </c>
      <c r="AB26" s="9" t="s">
        <v>1159</v>
      </c>
      <c r="AV26" s="9" t="s">
        <v>504</v>
      </c>
      <c r="AW26" s="9" t="s">
        <v>429</v>
      </c>
      <c r="AX26" s="9" t="s">
        <v>429</v>
      </c>
      <c r="AY26" s="9" t="s">
        <v>429</v>
      </c>
      <c r="AZ26" s="9" t="s">
        <v>429</v>
      </c>
      <c r="BA26" s="9">
        <v>2.0</v>
      </c>
      <c r="BB26" s="9" t="s">
        <v>429</v>
      </c>
      <c r="BC26" s="9" t="s">
        <v>1160</v>
      </c>
      <c r="BD26" s="9" t="s">
        <v>1161</v>
      </c>
      <c r="BE26" s="9" t="s">
        <v>392</v>
      </c>
      <c r="BF26" s="9" t="s">
        <v>433</v>
      </c>
      <c r="BG26" s="9" t="s">
        <v>765</v>
      </c>
      <c r="BH26" s="9" t="s">
        <v>1162</v>
      </c>
      <c r="BI26" s="9" t="s">
        <v>824</v>
      </c>
      <c r="BK26" s="9" t="s">
        <v>511</v>
      </c>
      <c r="BL26" s="9" t="s">
        <v>512</v>
      </c>
      <c r="BM26" s="9" t="s">
        <v>439</v>
      </c>
      <c r="BN26" s="9" t="s">
        <v>440</v>
      </c>
      <c r="CL26" s="9" t="s">
        <v>441</v>
      </c>
      <c r="CM26" s="9" t="s">
        <v>401</v>
      </c>
      <c r="CN26" s="9" t="s">
        <v>1163</v>
      </c>
      <c r="CO26" s="9" t="s">
        <v>1164</v>
      </c>
      <c r="CP26" s="9" t="s">
        <v>685</v>
      </c>
      <c r="CQ26" s="9" t="s">
        <v>1165</v>
      </c>
      <c r="CR26" s="9" t="s">
        <v>447</v>
      </c>
      <c r="CS26" s="9" t="s">
        <v>1166</v>
      </c>
      <c r="CT26" s="9" t="s">
        <v>1167</v>
      </c>
      <c r="CU26" s="9" t="s">
        <v>450</v>
      </c>
      <c r="CV26" s="9" t="s">
        <v>451</v>
      </c>
      <c r="CW26" s="9" t="s">
        <v>1168</v>
      </c>
      <c r="CX26" s="9" t="s">
        <v>733</v>
      </c>
      <c r="CY26" s="9" t="s">
        <v>1169</v>
      </c>
      <c r="CZ26" s="9" t="s">
        <v>453</v>
      </c>
      <c r="DA26" s="9" t="s">
        <v>1170</v>
      </c>
      <c r="DB26" s="9" t="s">
        <v>455</v>
      </c>
      <c r="DC26" s="9" t="s">
        <v>1171</v>
      </c>
      <c r="DD26" s="9" t="s">
        <v>662</v>
      </c>
      <c r="DF26" s="9" t="s">
        <v>1172</v>
      </c>
      <c r="DG26" s="9" t="s">
        <v>524</v>
      </c>
      <c r="DH26" s="9" t="s">
        <v>410</v>
      </c>
      <c r="DI26" s="9" t="s">
        <v>459</v>
      </c>
      <c r="DJ26" s="9" t="s">
        <v>460</v>
      </c>
      <c r="DK26" s="9" t="s">
        <v>461</v>
      </c>
      <c r="DM26" s="9" t="s">
        <v>1173</v>
      </c>
      <c r="DN26" s="9" t="s">
        <v>1174</v>
      </c>
      <c r="DO26" s="9" t="s">
        <v>464</v>
      </c>
      <c r="DP26" s="9" t="s">
        <v>1175</v>
      </c>
      <c r="DQ26" s="9" t="s">
        <v>1176</v>
      </c>
      <c r="DR26" s="9" t="s">
        <v>1177</v>
      </c>
      <c r="DS26" s="9" t="s">
        <v>839</v>
      </c>
      <c r="DT26" s="9" t="s">
        <v>703</v>
      </c>
      <c r="DU26" s="9" t="s">
        <v>1178</v>
      </c>
      <c r="DV26" s="9" t="s">
        <v>1179</v>
      </c>
      <c r="DW26" s="9" t="s">
        <v>622</v>
      </c>
      <c r="DX26" s="9" t="s">
        <v>1180</v>
      </c>
      <c r="DY26" s="9" t="s">
        <v>1181</v>
      </c>
      <c r="DZ26" s="9" t="s">
        <v>1182</v>
      </c>
      <c r="EA26" s="9" t="s">
        <v>475</v>
      </c>
      <c r="EB26" s="9" t="s">
        <v>1183</v>
      </c>
      <c r="EC26" s="9" t="s">
        <v>1184</v>
      </c>
      <c r="ET26" s="9" t="s">
        <v>526</v>
      </c>
      <c r="EU26" s="9" t="s">
        <v>887</v>
      </c>
      <c r="EV26" s="9" t="s">
        <v>527</v>
      </c>
      <c r="EW26" s="9" t="s">
        <v>1185</v>
      </c>
      <c r="EX26" s="9" t="s">
        <v>1186</v>
      </c>
      <c r="EY26" s="9" t="s">
        <v>1187</v>
      </c>
      <c r="EZ26" s="9" t="s">
        <v>414</v>
      </c>
      <c r="FA26" s="9" t="s">
        <v>414</v>
      </c>
      <c r="FB26" s="9" t="s">
        <v>413</v>
      </c>
      <c r="FC26" s="9" t="s">
        <v>414</v>
      </c>
      <c r="FD26" s="9" t="s">
        <v>413</v>
      </c>
      <c r="FE26" s="9" t="s">
        <v>583</v>
      </c>
      <c r="FF26" s="9" t="s">
        <v>414</v>
      </c>
      <c r="FG26" s="9" t="s">
        <v>413</v>
      </c>
      <c r="FH26" s="9" t="s">
        <v>583</v>
      </c>
      <c r="FI26" s="9" t="s">
        <v>414</v>
      </c>
      <c r="FJ26" s="9" t="s">
        <v>416</v>
      </c>
      <c r="FK26" s="9" t="s">
        <v>583</v>
      </c>
      <c r="FL26" s="9" t="s">
        <v>583</v>
      </c>
      <c r="FM26" s="9" t="s">
        <v>413</v>
      </c>
      <c r="FN26" s="9" t="s">
        <v>583</v>
      </c>
      <c r="FO26" s="9" t="s">
        <v>485</v>
      </c>
      <c r="FP26" s="9" t="s">
        <v>418</v>
      </c>
      <c r="FQ26" s="9" t="s">
        <v>419</v>
      </c>
      <c r="FR26" s="9" t="s">
        <v>1188</v>
      </c>
      <c r="FS26" s="9" t="s">
        <v>1189</v>
      </c>
      <c r="FT26" s="9" t="s">
        <v>488</v>
      </c>
      <c r="FU26" s="9" t="s">
        <v>489</v>
      </c>
      <c r="FV26" s="9" t="s">
        <v>1101</v>
      </c>
      <c r="FW26" s="9" t="s">
        <v>491</v>
      </c>
      <c r="FX26" s="9" t="s">
        <v>1190</v>
      </c>
      <c r="FY26" s="9" t="s">
        <v>535</v>
      </c>
      <c r="FZ26" s="9" t="s">
        <v>1191</v>
      </c>
      <c r="GA26" s="9" t="s">
        <v>1192</v>
      </c>
      <c r="GB26" s="9" t="s">
        <v>455</v>
      </c>
      <c r="GC26" s="9"/>
      <c r="GD26" s="9"/>
      <c r="GE26" s="9" t="s">
        <v>753</v>
      </c>
      <c r="GF26" s="9" t="s">
        <v>1193</v>
      </c>
      <c r="GG26" s="9" t="s">
        <v>755</v>
      </c>
      <c r="GH26" s="9" t="s">
        <v>755</v>
      </c>
      <c r="GI26" s="9" t="s">
        <v>946</v>
      </c>
      <c r="GM26" s="9" t="s">
        <v>1079</v>
      </c>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0"/>
      <c r="IG26" s="10"/>
      <c r="IH26" s="10"/>
      <c r="II26" s="10"/>
      <c r="IJ26" s="10"/>
      <c r="IK26" s="10"/>
      <c r="IL26" s="10"/>
      <c r="IM26" s="10"/>
      <c r="IN26" s="10"/>
      <c r="IO26" s="10"/>
      <c r="IP26" s="10"/>
      <c r="IQ26" s="10"/>
      <c r="IR26" s="10"/>
      <c r="IS26" s="10"/>
      <c r="IT26" s="10"/>
      <c r="IU26" s="10"/>
      <c r="IV26" s="10"/>
      <c r="IW26" s="10"/>
      <c r="IX26" s="10"/>
      <c r="IY26" s="10"/>
      <c r="IZ26" s="10"/>
      <c r="JA26" s="10"/>
      <c r="JB26" s="10"/>
      <c r="JC26" s="10"/>
      <c r="JD26" s="10"/>
      <c r="JE26" s="10"/>
      <c r="JF26" s="10"/>
      <c r="JG26" s="10"/>
      <c r="JH26" s="10"/>
      <c r="JI26" s="10"/>
      <c r="JJ26" s="10"/>
      <c r="JK26" s="10"/>
      <c r="JL26" s="10"/>
      <c r="JM26" s="10"/>
      <c r="JN26" s="10"/>
      <c r="JO26" s="10"/>
      <c r="JP26" s="10"/>
      <c r="JQ26" s="10"/>
      <c r="JR26" s="10"/>
      <c r="JS26" s="10"/>
      <c r="JT26" s="10"/>
      <c r="JU26" s="10"/>
      <c r="JV26" s="10"/>
      <c r="JW26" s="10"/>
      <c r="JX26" s="10"/>
      <c r="JY26" s="10"/>
      <c r="JZ26" s="10"/>
      <c r="KA26" s="10"/>
      <c r="KB26" s="10"/>
      <c r="KC26" s="10"/>
      <c r="KD26" s="10"/>
      <c r="KE26" s="10"/>
      <c r="KF26" s="10"/>
      <c r="KG26" s="10"/>
      <c r="KH26" s="10"/>
      <c r="KI26" s="10"/>
      <c r="KJ26" s="10"/>
      <c r="KK26" s="10"/>
      <c r="KL26" s="10"/>
      <c r="KM26" s="10"/>
      <c r="KN26" s="10"/>
      <c r="KO26" s="10"/>
      <c r="KP26" s="10"/>
      <c r="KQ26" s="10"/>
      <c r="KR26" s="10"/>
      <c r="KS26" s="10"/>
      <c r="KT26" s="10"/>
      <c r="KU26" s="10"/>
      <c r="KV26" s="10"/>
      <c r="KW26" s="10"/>
      <c r="KX26" s="10"/>
      <c r="KY26" s="10"/>
      <c r="KZ26" s="10"/>
      <c r="LA26" s="10"/>
      <c r="LB26" s="10"/>
      <c r="LC26" s="10"/>
      <c r="LD26" s="10"/>
      <c r="LE26" s="10"/>
      <c r="LF26" s="10"/>
      <c r="LG26" s="10"/>
      <c r="LH26" s="10"/>
      <c r="LI26" s="10"/>
      <c r="LJ26" s="10"/>
      <c r="LK26" s="10"/>
      <c r="LL26" s="10"/>
      <c r="LM26" s="10"/>
      <c r="LN26" s="10"/>
      <c r="LO26" s="10"/>
      <c r="LP26" s="10"/>
      <c r="LQ26" s="10"/>
      <c r="LR26" s="10"/>
      <c r="LS26" s="10"/>
      <c r="LT26" s="10"/>
      <c r="LU26" s="10"/>
      <c r="LV26" s="10"/>
      <c r="LW26" s="10"/>
      <c r="LX26" s="10"/>
      <c r="LY26" s="10"/>
      <c r="LZ26" s="10"/>
      <c r="MA26" s="10"/>
      <c r="MB26" s="10"/>
      <c r="MC26" s="10"/>
      <c r="MD26" s="10"/>
      <c r="ME26" s="10"/>
      <c r="MF26" s="10"/>
      <c r="MG26" s="10"/>
      <c r="MH26" s="10"/>
      <c r="MI26" s="10"/>
      <c r="MJ26" s="10"/>
      <c r="MK26" s="10"/>
      <c r="ML26" s="10"/>
      <c r="MM26" s="10"/>
      <c r="MN26" s="10"/>
      <c r="MO26" s="10"/>
      <c r="MP26" s="10"/>
      <c r="MQ26" s="10"/>
      <c r="MR26" s="10"/>
      <c r="MS26" s="10"/>
      <c r="MT26" s="10"/>
      <c r="MU26" s="10"/>
      <c r="MV26" s="10"/>
      <c r="MW26" s="10"/>
      <c r="MX26" s="10"/>
      <c r="MY26" s="10"/>
      <c r="MZ26" s="10"/>
      <c r="NA26" s="10"/>
      <c r="NB26" s="10"/>
      <c r="NC26" s="10"/>
      <c r="ND26" s="10"/>
    </row>
    <row r="27" ht="24.75" customHeight="1">
      <c r="A27" s="8">
        <v>45827.143764328706</v>
      </c>
      <c r="B27" s="9" t="s">
        <v>368</v>
      </c>
      <c r="C27" s="9" t="s">
        <v>1194</v>
      </c>
      <c r="D27" s="9" t="s">
        <v>1194</v>
      </c>
      <c r="G27" s="9" t="s">
        <v>1195</v>
      </c>
      <c r="H27" s="9" t="s">
        <v>637</v>
      </c>
      <c r="I27" s="9" t="s">
        <v>638</v>
      </c>
      <c r="J27" s="9" t="s">
        <v>718</v>
      </c>
      <c r="K27" s="9" t="s">
        <v>376</v>
      </c>
      <c r="L27" s="9" t="s">
        <v>793</v>
      </c>
      <c r="M27" s="9" t="s">
        <v>720</v>
      </c>
      <c r="N27" s="9" t="s">
        <v>591</v>
      </c>
      <c r="O27" s="9" t="s">
        <v>1196</v>
      </c>
      <c r="P27" s="9" t="s">
        <v>498</v>
      </c>
      <c r="Q27" s="9" t="s">
        <v>382</v>
      </c>
      <c r="R27" s="9" t="s">
        <v>1197</v>
      </c>
      <c r="S27" s="9" t="s">
        <v>384</v>
      </c>
      <c r="T27" s="9" t="s">
        <v>385</v>
      </c>
      <c r="W27" s="9" t="s">
        <v>428</v>
      </c>
      <c r="AV27" s="9" t="s">
        <v>504</v>
      </c>
      <c r="AW27" s="9" t="s">
        <v>391</v>
      </c>
      <c r="AX27" s="9" t="s">
        <v>391</v>
      </c>
      <c r="AY27" s="9">
        <v>2.0</v>
      </c>
      <c r="AZ27" s="9">
        <v>2.0</v>
      </c>
      <c r="BA27" s="9">
        <v>2.0</v>
      </c>
      <c r="BB27" s="9">
        <v>2.0</v>
      </c>
      <c r="BE27" s="9" t="s">
        <v>392</v>
      </c>
      <c r="BF27" s="9" t="s">
        <v>393</v>
      </c>
      <c r="BG27" s="9" t="s">
        <v>725</v>
      </c>
      <c r="BI27" s="9" t="s">
        <v>824</v>
      </c>
      <c r="BK27" s="9" t="s">
        <v>681</v>
      </c>
      <c r="BL27" s="9" t="s">
        <v>904</v>
      </c>
      <c r="BM27" s="9" t="s">
        <v>549</v>
      </c>
      <c r="BN27" s="9" t="s">
        <v>513</v>
      </c>
      <c r="CL27" s="9" t="s">
        <v>550</v>
      </c>
      <c r="CM27" s="9" t="s">
        <v>401</v>
      </c>
      <c r="CP27" s="9" t="s">
        <v>1008</v>
      </c>
      <c r="CQ27" s="9" t="s">
        <v>1198</v>
      </c>
      <c r="CR27" s="9" t="s">
        <v>404</v>
      </c>
      <c r="CS27" s="9" t="s">
        <v>1032</v>
      </c>
      <c r="CT27" s="9" t="s">
        <v>1199</v>
      </c>
      <c r="CU27" s="9" t="s">
        <v>450</v>
      </c>
      <c r="CV27" s="9" t="s">
        <v>959</v>
      </c>
      <c r="CX27" s="9" t="s">
        <v>408</v>
      </c>
      <c r="CZ27" s="9" t="s">
        <v>453</v>
      </c>
      <c r="DB27" s="9" t="s">
        <v>408</v>
      </c>
      <c r="DD27" s="9" t="s">
        <v>406</v>
      </c>
      <c r="DE27" s="9" t="s">
        <v>407</v>
      </c>
      <c r="DG27" s="9" t="s">
        <v>561</v>
      </c>
      <c r="DH27" s="9" t="s">
        <v>410</v>
      </c>
      <c r="DI27" s="9" t="s">
        <v>459</v>
      </c>
      <c r="DJ27" s="9" t="s">
        <v>613</v>
      </c>
      <c r="ET27" s="9" t="s">
        <v>526</v>
      </c>
      <c r="EU27" s="9" t="s">
        <v>479</v>
      </c>
      <c r="EV27" s="9" t="s">
        <v>663</v>
      </c>
      <c r="EZ27" s="9" t="s">
        <v>414</v>
      </c>
      <c r="FA27" s="9" t="s">
        <v>583</v>
      </c>
      <c r="FB27" s="9" t="s">
        <v>415</v>
      </c>
      <c r="FC27" s="9" t="s">
        <v>583</v>
      </c>
      <c r="FD27" s="9" t="s">
        <v>415</v>
      </c>
      <c r="FE27" s="9" t="s">
        <v>415</v>
      </c>
      <c r="FF27" s="9" t="s">
        <v>583</v>
      </c>
      <c r="FG27" s="9" t="s">
        <v>413</v>
      </c>
      <c r="FH27" s="9" t="s">
        <v>583</v>
      </c>
      <c r="FI27" s="9" t="s">
        <v>583</v>
      </c>
      <c r="FJ27" s="9" t="s">
        <v>414</v>
      </c>
      <c r="FK27" s="9" t="s">
        <v>415</v>
      </c>
      <c r="FL27" s="9" t="s">
        <v>415</v>
      </c>
      <c r="FM27" s="9" t="s">
        <v>416</v>
      </c>
      <c r="FN27" s="9" t="s">
        <v>414</v>
      </c>
      <c r="FO27" s="9" t="s">
        <v>417</v>
      </c>
      <c r="FP27" s="9" t="s">
        <v>1200</v>
      </c>
      <c r="FQ27" s="9" t="s">
        <v>630</v>
      </c>
      <c r="FS27" s="9" t="s">
        <v>995</v>
      </c>
      <c r="FT27" s="9" t="s">
        <v>488</v>
      </c>
      <c r="FU27" s="9" t="s">
        <v>533</v>
      </c>
      <c r="FV27" s="9" t="s">
        <v>490</v>
      </c>
      <c r="FW27" s="9" t="s">
        <v>491</v>
      </c>
      <c r="FY27" s="9" t="s">
        <v>535</v>
      </c>
      <c r="GB27" s="9" t="s">
        <v>408</v>
      </c>
      <c r="GG27" s="9" t="s">
        <v>788</v>
      </c>
      <c r="GH27" s="9" t="s">
        <v>789</v>
      </c>
      <c r="GI27" s="9" t="s">
        <v>946</v>
      </c>
    </row>
    <row r="28" ht="24.75" customHeight="1">
      <c r="A28" s="8">
        <v>45827.154774386574</v>
      </c>
      <c r="B28" s="9" t="s">
        <v>368</v>
      </c>
      <c r="C28" s="9" t="s">
        <v>1201</v>
      </c>
      <c r="D28" s="9" t="s">
        <v>1201</v>
      </c>
      <c r="E28" s="9" t="s">
        <v>1202</v>
      </c>
      <c r="G28" s="9" t="s">
        <v>422</v>
      </c>
      <c r="H28" s="9" t="s">
        <v>1203</v>
      </c>
      <c r="I28" s="9" t="s">
        <v>638</v>
      </c>
      <c r="J28" s="9" t="s">
        <v>1204</v>
      </c>
      <c r="K28" s="9" t="s">
        <v>376</v>
      </c>
      <c r="L28" s="9" t="s">
        <v>379</v>
      </c>
      <c r="M28" s="9" t="s">
        <v>1205</v>
      </c>
      <c r="N28" s="9" t="s">
        <v>379</v>
      </c>
      <c r="O28" s="9" t="s">
        <v>497</v>
      </c>
      <c r="P28" s="9" t="s">
        <v>592</v>
      </c>
      <c r="Q28" s="9" t="s">
        <v>382</v>
      </c>
      <c r="R28" s="9" t="s">
        <v>949</v>
      </c>
      <c r="S28" s="9" t="s">
        <v>384</v>
      </c>
      <c r="T28" s="9" t="s">
        <v>385</v>
      </c>
      <c r="W28" s="9" t="s">
        <v>386</v>
      </c>
      <c r="X28" s="9" t="s">
        <v>387</v>
      </c>
      <c r="Y28" s="9" t="s">
        <v>542</v>
      </c>
      <c r="Z28" s="9" t="s">
        <v>543</v>
      </c>
      <c r="AA28" s="9" t="s">
        <v>1206</v>
      </c>
      <c r="AB28" s="9" t="s">
        <v>1207</v>
      </c>
      <c r="AV28" s="9" t="s">
        <v>390</v>
      </c>
      <c r="AW28" s="9" t="s">
        <v>391</v>
      </c>
      <c r="AX28" s="9" t="s">
        <v>391</v>
      </c>
      <c r="AY28" s="9" t="s">
        <v>391</v>
      </c>
      <c r="AZ28" s="9" t="s">
        <v>391</v>
      </c>
      <c r="BA28" s="9" t="s">
        <v>391</v>
      </c>
      <c r="BB28" s="9" t="s">
        <v>391</v>
      </c>
      <c r="BC28" s="9" t="s">
        <v>1208</v>
      </c>
      <c r="BD28" s="9" t="s">
        <v>1209</v>
      </c>
      <c r="BE28" s="9" t="s">
        <v>392</v>
      </c>
      <c r="BF28" s="9" t="s">
        <v>1047</v>
      </c>
      <c r="BG28" s="9" t="s">
        <v>725</v>
      </c>
      <c r="BH28" s="9" t="s">
        <v>1210</v>
      </c>
      <c r="BI28" s="9" t="s">
        <v>824</v>
      </c>
      <c r="BJ28" s="9" t="s">
        <v>1211</v>
      </c>
      <c r="BK28" s="9" t="s">
        <v>437</v>
      </c>
      <c r="BL28" s="9" t="s">
        <v>396</v>
      </c>
      <c r="BM28" s="9" t="s">
        <v>549</v>
      </c>
      <c r="BN28" s="9" t="s">
        <v>440</v>
      </c>
      <c r="CL28" s="9" t="s">
        <v>441</v>
      </c>
      <c r="CM28" s="9" t="s">
        <v>604</v>
      </c>
      <c r="CN28" s="9" t="s">
        <v>1212</v>
      </c>
      <c r="CO28" s="9" t="s">
        <v>1213</v>
      </c>
      <c r="CP28" s="9" t="s">
        <v>445</v>
      </c>
      <c r="CQ28" s="9" t="s">
        <v>1214</v>
      </c>
      <c r="CR28" s="9" t="s">
        <v>404</v>
      </c>
      <c r="CS28" s="9" t="s">
        <v>1215</v>
      </c>
      <c r="CT28" s="9" t="s">
        <v>1216</v>
      </c>
      <c r="CU28" s="9" t="s">
        <v>450</v>
      </c>
      <c r="CV28" s="9" t="s">
        <v>451</v>
      </c>
      <c r="CW28" s="9" t="s">
        <v>1217</v>
      </c>
      <c r="CX28" s="9" t="s">
        <v>408</v>
      </c>
      <c r="CY28" s="9" t="s">
        <v>1211</v>
      </c>
      <c r="CZ28" s="9" t="s">
        <v>453</v>
      </c>
      <c r="DA28" s="9" t="s">
        <v>1218</v>
      </c>
      <c r="DB28" s="9" t="s">
        <v>408</v>
      </c>
      <c r="DC28" s="9" t="s">
        <v>1211</v>
      </c>
      <c r="DD28" s="9" t="s">
        <v>988</v>
      </c>
      <c r="DE28" s="9" t="s">
        <v>407</v>
      </c>
      <c r="DF28" s="9" t="s">
        <v>1219</v>
      </c>
      <c r="DG28" s="9" t="s">
        <v>524</v>
      </c>
      <c r="DH28" s="9" t="s">
        <v>1220</v>
      </c>
      <c r="DI28" s="9" t="s">
        <v>459</v>
      </c>
      <c r="DJ28" s="9" t="s">
        <v>460</v>
      </c>
      <c r="DK28" s="9" t="s">
        <v>461</v>
      </c>
      <c r="DM28" s="9" t="s">
        <v>1221</v>
      </c>
      <c r="DN28" s="9" t="s">
        <v>1222</v>
      </c>
      <c r="DO28" s="9" t="s">
        <v>464</v>
      </c>
      <c r="DP28" s="9" t="s">
        <v>1223</v>
      </c>
      <c r="DQ28" s="9" t="s">
        <v>1176</v>
      </c>
      <c r="DR28" s="9" t="s">
        <v>1224</v>
      </c>
      <c r="DS28" s="9" t="s">
        <v>618</v>
      </c>
      <c r="DT28" s="9" t="s">
        <v>703</v>
      </c>
      <c r="DU28" s="9" t="s">
        <v>1225</v>
      </c>
      <c r="DV28" s="9" t="s">
        <v>1226</v>
      </c>
      <c r="DW28" s="9" t="s">
        <v>573</v>
      </c>
      <c r="DX28" s="9" t="s">
        <v>1227</v>
      </c>
      <c r="DY28" s="9" t="s">
        <v>1228</v>
      </c>
      <c r="DZ28" s="9" t="s">
        <v>1229</v>
      </c>
      <c r="EA28" s="9" t="s">
        <v>475</v>
      </c>
      <c r="EB28" s="9" t="s">
        <v>845</v>
      </c>
      <c r="EC28" s="9" t="s">
        <v>1230</v>
      </c>
      <c r="ET28" s="9" t="s">
        <v>578</v>
      </c>
      <c r="EU28" s="9" t="s">
        <v>1037</v>
      </c>
      <c r="EV28" s="9" t="s">
        <v>480</v>
      </c>
      <c r="EW28" s="9" t="s">
        <v>1231</v>
      </c>
      <c r="EX28" s="9" t="s">
        <v>1232</v>
      </c>
      <c r="EY28" s="9" t="s">
        <v>1233</v>
      </c>
      <c r="EZ28" s="9" t="s">
        <v>414</v>
      </c>
      <c r="FA28" s="9" t="s">
        <v>414</v>
      </c>
      <c r="FB28" s="9" t="s">
        <v>413</v>
      </c>
      <c r="FC28" s="9" t="s">
        <v>413</v>
      </c>
      <c r="FD28" s="9" t="s">
        <v>413</v>
      </c>
      <c r="FE28" s="9" t="s">
        <v>414</v>
      </c>
      <c r="FF28" s="9" t="s">
        <v>416</v>
      </c>
      <c r="FG28" s="9" t="s">
        <v>413</v>
      </c>
      <c r="FH28" s="9" t="s">
        <v>413</v>
      </c>
      <c r="FI28" s="9" t="s">
        <v>416</v>
      </c>
      <c r="FJ28" s="9" t="s">
        <v>416</v>
      </c>
      <c r="FK28" s="9" t="s">
        <v>415</v>
      </c>
      <c r="FL28" s="9" t="s">
        <v>415</v>
      </c>
      <c r="FM28" s="9" t="s">
        <v>416</v>
      </c>
      <c r="FN28" s="9" t="s">
        <v>414</v>
      </c>
      <c r="FO28" s="9" t="s">
        <v>1074</v>
      </c>
      <c r="FP28" s="9" t="s">
        <v>418</v>
      </c>
      <c r="FQ28" s="9" t="s">
        <v>712</v>
      </c>
      <c r="FR28" s="9" t="s">
        <v>1234</v>
      </c>
      <c r="FS28" s="9" t="s">
        <v>420</v>
      </c>
      <c r="FT28" s="9" t="s">
        <v>488</v>
      </c>
      <c r="FU28" s="9" t="s">
        <v>1235</v>
      </c>
      <c r="FV28" s="9" t="s">
        <v>490</v>
      </c>
      <c r="FW28" s="9" t="s">
        <v>491</v>
      </c>
      <c r="FX28" s="9" t="s">
        <v>1236</v>
      </c>
      <c r="FY28" s="9" t="s">
        <v>535</v>
      </c>
      <c r="FZ28" s="9" t="s">
        <v>1237</v>
      </c>
      <c r="GA28" s="9" t="s">
        <v>1238</v>
      </c>
      <c r="GB28" s="9" t="s">
        <v>455</v>
      </c>
      <c r="GC28" s="9"/>
      <c r="GD28" s="9"/>
      <c r="GE28" s="9" t="s">
        <v>753</v>
      </c>
      <c r="GF28" s="9" t="s">
        <v>1239</v>
      </c>
      <c r="GG28" s="9" t="s">
        <v>857</v>
      </c>
      <c r="GH28" s="9" t="s">
        <v>857</v>
      </c>
      <c r="GI28" s="9" t="s">
        <v>946</v>
      </c>
      <c r="GM28" s="9" t="s">
        <v>1079</v>
      </c>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c r="IG28" s="10"/>
      <c r="IH28" s="10"/>
      <c r="II28" s="10"/>
      <c r="IJ28" s="10"/>
      <c r="IK28" s="10"/>
      <c r="IL28" s="10"/>
      <c r="IM28" s="10"/>
      <c r="IN28" s="10"/>
      <c r="IO28" s="10"/>
      <c r="IP28" s="10"/>
      <c r="IQ28" s="10"/>
      <c r="IR28" s="10"/>
      <c r="IS28" s="10"/>
      <c r="IT28" s="10"/>
      <c r="IU28" s="10"/>
      <c r="IV28" s="10"/>
      <c r="IW28" s="10"/>
      <c r="IX28" s="10"/>
      <c r="IY28" s="10"/>
      <c r="IZ28" s="10"/>
      <c r="JA28" s="10"/>
      <c r="JB28" s="10"/>
      <c r="JC28" s="10"/>
      <c r="JD28" s="10"/>
      <c r="JE28" s="10"/>
      <c r="JF28" s="10"/>
      <c r="JG28" s="10"/>
      <c r="JH28" s="10"/>
      <c r="JI28" s="10"/>
      <c r="JJ28" s="10"/>
      <c r="JK28" s="10"/>
      <c r="JL28" s="10"/>
      <c r="JM28" s="10"/>
      <c r="JN28" s="10"/>
      <c r="JO28" s="10"/>
      <c r="JP28" s="10"/>
      <c r="JQ28" s="10"/>
      <c r="JR28" s="10"/>
      <c r="JS28" s="10"/>
      <c r="JT28" s="10"/>
      <c r="JU28" s="10"/>
      <c r="JV28" s="10"/>
      <c r="JW28" s="10"/>
      <c r="JX28" s="10"/>
      <c r="JY28" s="10"/>
      <c r="JZ28" s="10"/>
      <c r="KA28" s="10"/>
      <c r="KB28" s="10"/>
      <c r="KC28" s="10"/>
      <c r="KD28" s="10"/>
      <c r="KE28" s="10"/>
      <c r="KF28" s="10"/>
      <c r="KG28" s="10"/>
      <c r="KH28" s="10"/>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S28" s="10"/>
      <c r="LT28" s="10"/>
      <c r="LU28" s="10"/>
      <c r="LV28" s="10"/>
      <c r="LW28" s="10"/>
      <c r="LX28" s="10"/>
      <c r="LY28" s="10"/>
      <c r="LZ28" s="10"/>
      <c r="MA28" s="10"/>
      <c r="MB28" s="10"/>
      <c r="MC28" s="10"/>
      <c r="MD28" s="10"/>
      <c r="ME28" s="10"/>
      <c r="MF28" s="10"/>
      <c r="MG28" s="10"/>
      <c r="MH28" s="10"/>
      <c r="MI28" s="10"/>
      <c r="MJ28" s="10"/>
      <c r="MK28" s="10"/>
      <c r="ML28" s="10"/>
      <c r="MM28" s="10"/>
      <c r="MN28" s="10"/>
      <c r="MO28" s="10"/>
      <c r="MP28" s="10"/>
      <c r="MQ28" s="10"/>
      <c r="MR28" s="10"/>
      <c r="MS28" s="10"/>
      <c r="MT28" s="10"/>
      <c r="MU28" s="10"/>
      <c r="MV28" s="10"/>
      <c r="MW28" s="10"/>
      <c r="MX28" s="10"/>
      <c r="MY28" s="10"/>
      <c r="MZ28" s="10"/>
      <c r="NA28" s="10"/>
      <c r="NB28" s="10"/>
      <c r="NC28" s="10"/>
      <c r="ND28" s="10"/>
    </row>
    <row r="29" ht="24.75" customHeight="1">
      <c r="A29" s="8">
        <v>45827.16678185185</v>
      </c>
      <c r="B29" s="9" t="s">
        <v>368</v>
      </c>
      <c r="C29" s="9" t="s">
        <v>894</v>
      </c>
      <c r="D29" s="9" t="s">
        <v>894</v>
      </c>
      <c r="G29" s="9" t="s">
        <v>422</v>
      </c>
      <c r="H29" s="9" t="s">
        <v>496</v>
      </c>
      <c r="I29" s="9" t="s">
        <v>374</v>
      </c>
      <c r="J29" s="9" t="s">
        <v>1240</v>
      </c>
      <c r="K29" s="9" t="s">
        <v>376</v>
      </c>
      <c r="L29" s="9" t="s">
        <v>426</v>
      </c>
      <c r="M29" s="9" t="s">
        <v>860</v>
      </c>
      <c r="N29" s="9" t="s">
        <v>379</v>
      </c>
      <c r="O29" s="9" t="s">
        <v>719</v>
      </c>
      <c r="P29" s="9" t="s">
        <v>498</v>
      </c>
      <c r="Q29" s="9" t="s">
        <v>499</v>
      </c>
      <c r="R29" s="9" t="s">
        <v>427</v>
      </c>
      <c r="S29" s="9" t="s">
        <v>384</v>
      </c>
      <c r="T29" s="9" t="s">
        <v>385</v>
      </c>
      <c r="U29" s="9" t="s">
        <v>1241</v>
      </c>
      <c r="V29" s="9" t="s">
        <v>1241</v>
      </c>
      <c r="W29" s="9" t="s">
        <v>428</v>
      </c>
      <c r="AV29" s="9" t="s">
        <v>1242</v>
      </c>
      <c r="AW29" s="9" t="s">
        <v>675</v>
      </c>
      <c r="AX29" s="9" t="s">
        <v>675</v>
      </c>
      <c r="AY29" s="9" t="s">
        <v>675</v>
      </c>
      <c r="AZ29" s="9" t="s">
        <v>675</v>
      </c>
      <c r="BA29" s="9" t="s">
        <v>675</v>
      </c>
      <c r="BB29" s="9" t="s">
        <v>675</v>
      </c>
      <c r="BC29" s="9" t="s">
        <v>1243</v>
      </c>
      <c r="BD29" s="9" t="s">
        <v>1244</v>
      </c>
      <c r="BE29" s="9" t="s">
        <v>432</v>
      </c>
      <c r="BF29" s="9" t="s">
        <v>1245</v>
      </c>
      <c r="BG29" s="9" t="s">
        <v>394</v>
      </c>
      <c r="BH29" s="9" t="s">
        <v>1246</v>
      </c>
      <c r="BI29" s="9" t="s">
        <v>976</v>
      </c>
      <c r="BJ29" s="9" t="s">
        <v>1211</v>
      </c>
      <c r="BK29" s="9" t="s">
        <v>681</v>
      </c>
      <c r="BL29" s="9" t="s">
        <v>603</v>
      </c>
      <c r="BM29" s="9" t="s">
        <v>1247</v>
      </c>
      <c r="BN29" s="9" t="s">
        <v>398</v>
      </c>
      <c r="BO29" s="9" t="s">
        <v>1248</v>
      </c>
      <c r="BP29" s="9" t="s">
        <v>1249</v>
      </c>
      <c r="BQ29" s="9" t="s">
        <v>442</v>
      </c>
      <c r="BR29" s="9" t="s">
        <v>1250</v>
      </c>
      <c r="BS29" s="9" t="s">
        <v>1251</v>
      </c>
      <c r="BT29" s="9" t="s">
        <v>404</v>
      </c>
      <c r="BU29" s="9" t="s">
        <v>405</v>
      </c>
      <c r="BV29" s="9" t="s">
        <v>1252</v>
      </c>
      <c r="BW29" s="9" t="s">
        <v>988</v>
      </c>
      <c r="BY29" s="9" t="s">
        <v>455</v>
      </c>
      <c r="BZ29" s="9" t="s">
        <v>1253</v>
      </c>
      <c r="CA29" s="9" t="s">
        <v>1254</v>
      </c>
      <c r="CB29" s="9" t="s">
        <v>1255</v>
      </c>
      <c r="CC29" s="9" t="s">
        <v>1256</v>
      </c>
      <c r="CD29" s="9" t="s">
        <v>1257</v>
      </c>
      <c r="CE29" s="9" t="s">
        <v>1252</v>
      </c>
      <c r="CF29" s="9" t="s">
        <v>1258</v>
      </c>
      <c r="CH29" s="9" t="s">
        <v>1259</v>
      </c>
      <c r="CI29" s="9" t="s">
        <v>410</v>
      </c>
      <c r="CJ29" s="9" t="s">
        <v>1260</v>
      </c>
      <c r="CK29" s="9" t="s">
        <v>1261</v>
      </c>
      <c r="ET29" s="9" t="s">
        <v>526</v>
      </c>
      <c r="EU29" s="9" t="s">
        <v>1127</v>
      </c>
      <c r="EV29" s="9" t="s">
        <v>1262</v>
      </c>
      <c r="EX29" s="9" t="s">
        <v>1263</v>
      </c>
      <c r="EY29" s="9" t="s">
        <v>1264</v>
      </c>
      <c r="EZ29" s="9" t="s">
        <v>415</v>
      </c>
      <c r="FA29" s="9" t="s">
        <v>414</v>
      </c>
      <c r="FB29" s="9" t="s">
        <v>413</v>
      </c>
      <c r="FC29" s="9" t="s">
        <v>414</v>
      </c>
      <c r="FD29" s="9" t="s">
        <v>413</v>
      </c>
      <c r="FE29" s="9" t="s">
        <v>414</v>
      </c>
      <c r="FF29" s="9" t="s">
        <v>414</v>
      </c>
      <c r="FG29" s="9" t="s">
        <v>413</v>
      </c>
      <c r="FH29" s="9" t="s">
        <v>583</v>
      </c>
      <c r="FI29" s="9" t="s">
        <v>415</v>
      </c>
      <c r="FJ29" s="9" t="s">
        <v>415</v>
      </c>
      <c r="FK29" s="9" t="s">
        <v>415</v>
      </c>
      <c r="FL29" s="9" t="s">
        <v>414</v>
      </c>
      <c r="FM29" s="9" t="s">
        <v>413</v>
      </c>
      <c r="FN29" s="9" t="s">
        <v>414</v>
      </c>
      <c r="FO29" s="9" t="s">
        <v>417</v>
      </c>
      <c r="FP29" s="9" t="s">
        <v>486</v>
      </c>
      <c r="FQ29" s="9" t="s">
        <v>749</v>
      </c>
      <c r="FS29" s="9" t="s">
        <v>420</v>
      </c>
      <c r="FT29" s="9" t="s">
        <v>488</v>
      </c>
      <c r="FU29" s="9" t="s">
        <v>918</v>
      </c>
      <c r="FV29" s="9" t="s">
        <v>490</v>
      </c>
      <c r="FW29" s="9" t="s">
        <v>491</v>
      </c>
      <c r="FX29" s="9" t="s">
        <v>1265</v>
      </c>
      <c r="FY29" s="9" t="s">
        <v>535</v>
      </c>
      <c r="FZ29" s="9" t="s">
        <v>1266</v>
      </c>
      <c r="GB29" s="9" t="s">
        <v>455</v>
      </c>
      <c r="GC29" s="9"/>
      <c r="GE29" s="9" t="s">
        <v>753</v>
      </c>
      <c r="GJ29" s="9" t="s">
        <v>1000</v>
      </c>
      <c r="GK29" s="9" t="s">
        <v>1000</v>
      </c>
      <c r="GL29" s="9" t="s">
        <v>858</v>
      </c>
    </row>
    <row r="30" ht="24.75" customHeight="1">
      <c r="A30" s="8">
        <v>45827.22959027778</v>
      </c>
      <c r="B30" s="9" t="s">
        <v>368</v>
      </c>
      <c r="C30" s="9" t="s">
        <v>1267</v>
      </c>
      <c r="D30" s="9" t="s">
        <v>1268</v>
      </c>
      <c r="G30" s="9" t="s">
        <v>1269</v>
      </c>
      <c r="H30" s="9" t="s">
        <v>373</v>
      </c>
      <c r="I30" s="9" t="s">
        <v>374</v>
      </c>
      <c r="J30" s="9" t="s">
        <v>669</v>
      </c>
      <c r="K30" s="9" t="s">
        <v>376</v>
      </c>
      <c r="L30" s="9" t="s">
        <v>670</v>
      </c>
      <c r="M30" s="9" t="s">
        <v>1270</v>
      </c>
      <c r="N30" s="9" t="s">
        <v>591</v>
      </c>
      <c r="O30" s="9" t="s">
        <v>1271</v>
      </c>
      <c r="P30" s="9" t="s">
        <v>498</v>
      </c>
      <c r="Q30" s="9" t="s">
        <v>862</v>
      </c>
      <c r="R30" s="9" t="s">
        <v>500</v>
      </c>
      <c r="S30" s="9" t="s">
        <v>384</v>
      </c>
      <c r="T30" s="9" t="s">
        <v>385</v>
      </c>
      <c r="W30" s="9" t="s">
        <v>428</v>
      </c>
      <c r="AV30" s="9" t="s">
        <v>504</v>
      </c>
      <c r="AW30" s="9" t="s">
        <v>429</v>
      </c>
      <c r="AX30" s="9" t="s">
        <v>429</v>
      </c>
      <c r="AY30" s="9" t="s">
        <v>429</v>
      </c>
      <c r="AZ30" s="9" t="s">
        <v>429</v>
      </c>
      <c r="BA30" s="9" t="s">
        <v>429</v>
      </c>
      <c r="BB30" s="9" t="s">
        <v>429</v>
      </c>
      <c r="BC30" s="9" t="s">
        <v>1272</v>
      </c>
      <c r="BD30" s="9" t="s">
        <v>1273</v>
      </c>
      <c r="BE30" s="9" t="s">
        <v>392</v>
      </c>
      <c r="BF30" s="9" t="s">
        <v>433</v>
      </c>
      <c r="BG30" s="9" t="s">
        <v>678</v>
      </c>
      <c r="BH30" s="9" t="s">
        <v>1274</v>
      </c>
      <c r="BI30" s="9" t="s">
        <v>509</v>
      </c>
      <c r="BJ30" s="9" t="s">
        <v>1275</v>
      </c>
      <c r="BK30" s="9" t="s">
        <v>511</v>
      </c>
      <c r="BL30" s="9" t="s">
        <v>904</v>
      </c>
      <c r="BM30" s="9" t="s">
        <v>1276</v>
      </c>
      <c r="BN30" s="9" t="s">
        <v>440</v>
      </c>
      <c r="CL30" s="9" t="s">
        <v>550</v>
      </c>
      <c r="CM30" s="9" t="s">
        <v>442</v>
      </c>
      <c r="CN30" s="9" t="s">
        <v>1277</v>
      </c>
      <c r="CO30" s="9" t="s">
        <v>1278</v>
      </c>
      <c r="CP30" s="9" t="s">
        <v>445</v>
      </c>
      <c r="CQ30" s="9" t="s">
        <v>1279</v>
      </c>
      <c r="CR30" s="9" t="s">
        <v>804</v>
      </c>
      <c r="CS30" s="9" t="s">
        <v>1280</v>
      </c>
      <c r="CT30" s="9" t="s">
        <v>1281</v>
      </c>
      <c r="CU30" s="9" t="s">
        <v>450</v>
      </c>
      <c r="CV30" s="9" t="s">
        <v>451</v>
      </c>
      <c r="CW30" s="9" t="s">
        <v>1282</v>
      </c>
      <c r="CX30" s="9" t="s">
        <v>455</v>
      </c>
      <c r="CY30" s="9" t="s">
        <v>1283</v>
      </c>
      <c r="CZ30" s="9" t="s">
        <v>453</v>
      </c>
      <c r="DA30" s="9" t="s">
        <v>1284</v>
      </c>
      <c r="DB30" s="9" t="s">
        <v>455</v>
      </c>
      <c r="DC30" s="9" t="s">
        <v>1285</v>
      </c>
      <c r="DD30" s="9" t="s">
        <v>457</v>
      </c>
      <c r="DF30" s="9" t="s">
        <v>1286</v>
      </c>
      <c r="DG30" s="9" t="s">
        <v>561</v>
      </c>
      <c r="DH30" s="9" t="s">
        <v>410</v>
      </c>
      <c r="DI30" s="9" t="s">
        <v>963</v>
      </c>
      <c r="DJ30" s="9" t="s">
        <v>460</v>
      </c>
      <c r="DK30" s="9" t="s">
        <v>563</v>
      </c>
      <c r="DL30" s="9" t="s">
        <v>1287</v>
      </c>
      <c r="DM30" s="9" t="s">
        <v>1288</v>
      </c>
      <c r="DN30" s="9" t="s">
        <v>1289</v>
      </c>
      <c r="DO30" s="9" t="s">
        <v>567</v>
      </c>
      <c r="DP30" s="9" t="s">
        <v>1290</v>
      </c>
      <c r="DQ30" s="9" t="s">
        <v>1291</v>
      </c>
      <c r="DR30" s="9" t="s">
        <v>1292</v>
      </c>
      <c r="DS30" s="9" t="s">
        <v>468</v>
      </c>
      <c r="DT30" s="9" t="s">
        <v>703</v>
      </c>
      <c r="DU30" s="9" t="s">
        <v>1293</v>
      </c>
      <c r="DV30" s="9" t="s">
        <v>408</v>
      </c>
      <c r="DW30" s="9" t="s">
        <v>573</v>
      </c>
      <c r="DX30" s="9" t="s">
        <v>1294</v>
      </c>
      <c r="DY30" s="9" t="s">
        <v>1295</v>
      </c>
      <c r="DZ30" s="9" t="s">
        <v>1296</v>
      </c>
      <c r="EA30" s="9" t="s">
        <v>475</v>
      </c>
      <c r="EB30" s="9" t="s">
        <v>845</v>
      </c>
      <c r="EC30" s="9" t="s">
        <v>1297</v>
      </c>
      <c r="ET30" s="9" t="s">
        <v>526</v>
      </c>
      <c r="EU30" s="9" t="s">
        <v>579</v>
      </c>
      <c r="EV30" s="9" t="s">
        <v>527</v>
      </c>
      <c r="EW30" s="9" t="s">
        <v>1298</v>
      </c>
      <c r="EX30" s="9" t="s">
        <v>1299</v>
      </c>
      <c r="EY30" s="9" t="s">
        <v>1300</v>
      </c>
      <c r="EZ30" s="9" t="s">
        <v>415</v>
      </c>
      <c r="FA30" s="9" t="s">
        <v>415</v>
      </c>
      <c r="FB30" s="9" t="s">
        <v>415</v>
      </c>
      <c r="FC30" s="9" t="s">
        <v>415</v>
      </c>
      <c r="FD30" s="9" t="s">
        <v>415</v>
      </c>
      <c r="FE30" s="9" t="s">
        <v>415</v>
      </c>
      <c r="FF30" s="9" t="s">
        <v>415</v>
      </c>
      <c r="FG30" s="9" t="s">
        <v>415</v>
      </c>
      <c r="FH30" s="9" t="s">
        <v>415</v>
      </c>
      <c r="FI30" s="9" t="s">
        <v>415</v>
      </c>
      <c r="FJ30" s="9" t="s">
        <v>415</v>
      </c>
      <c r="FK30" s="9" t="s">
        <v>415</v>
      </c>
      <c r="FL30" s="9" t="s">
        <v>415</v>
      </c>
      <c r="FM30" s="9" t="s">
        <v>415</v>
      </c>
      <c r="FN30" s="9" t="s">
        <v>415</v>
      </c>
      <c r="FO30" s="9" t="s">
        <v>417</v>
      </c>
      <c r="FP30" s="9" t="s">
        <v>418</v>
      </c>
      <c r="FQ30" s="9" t="s">
        <v>749</v>
      </c>
      <c r="FR30" s="9" t="s">
        <v>1301</v>
      </c>
      <c r="FS30" s="9" t="s">
        <v>420</v>
      </c>
      <c r="FT30" s="9" t="s">
        <v>488</v>
      </c>
      <c r="FU30" s="9" t="s">
        <v>585</v>
      </c>
      <c r="FV30" s="9" t="s">
        <v>490</v>
      </c>
      <c r="FW30" s="9" t="s">
        <v>491</v>
      </c>
      <c r="FX30" s="9" t="s">
        <v>1302</v>
      </c>
      <c r="FY30" s="9" t="s">
        <v>535</v>
      </c>
      <c r="FZ30" s="9" t="s">
        <v>1303</v>
      </c>
      <c r="GA30" s="9" t="s">
        <v>1304</v>
      </c>
      <c r="GB30" s="9" t="s">
        <v>455</v>
      </c>
      <c r="GD30" s="9" t="s">
        <v>1305</v>
      </c>
      <c r="GE30" s="9" t="s">
        <v>944</v>
      </c>
      <c r="GF30" s="9" t="s">
        <v>1306</v>
      </c>
      <c r="GG30" s="9" t="s">
        <v>755</v>
      </c>
      <c r="GH30" s="9" t="s">
        <v>755</v>
      </c>
      <c r="GI30" s="9" t="s">
        <v>946</v>
      </c>
      <c r="GM30" s="9" t="s">
        <v>1079</v>
      </c>
      <c r="GN30" s="10"/>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10"/>
      <c r="HO30" s="10"/>
      <c r="HP30" s="10"/>
      <c r="HQ30" s="10"/>
      <c r="HR30" s="10"/>
      <c r="HS30" s="10"/>
      <c r="HT30" s="10"/>
      <c r="HU30" s="10"/>
      <c r="HV30" s="10"/>
      <c r="HW30" s="10"/>
      <c r="HX30" s="10"/>
      <c r="HY30" s="10"/>
      <c r="HZ30" s="10"/>
      <c r="IA30" s="10"/>
      <c r="IB30" s="10"/>
      <c r="IC30" s="10"/>
      <c r="ID30" s="10"/>
      <c r="IE30" s="10"/>
      <c r="IF30" s="10"/>
      <c r="IG30" s="10"/>
      <c r="IH30" s="10"/>
      <c r="II30" s="10"/>
      <c r="IJ30" s="10"/>
      <c r="IK30" s="10"/>
      <c r="IL30" s="10"/>
      <c r="IM30" s="10"/>
      <c r="IN30" s="10"/>
      <c r="IO30" s="10"/>
      <c r="IP30" s="10"/>
      <c r="IQ30" s="10"/>
      <c r="IR30" s="10"/>
      <c r="IS30" s="10"/>
      <c r="IT30" s="10"/>
      <c r="IU30" s="10"/>
      <c r="IV30" s="10"/>
      <c r="IW30" s="10"/>
      <c r="IX30" s="10"/>
      <c r="IY30" s="10"/>
      <c r="IZ30" s="10"/>
      <c r="JA30" s="10"/>
      <c r="JB30" s="10"/>
      <c r="JC30" s="10"/>
      <c r="JD30" s="10"/>
      <c r="JE30" s="10"/>
      <c r="JF30" s="10"/>
      <c r="JG30" s="10"/>
      <c r="JH30" s="10"/>
      <c r="JI30" s="10"/>
      <c r="JJ30" s="10"/>
      <c r="JK30" s="10"/>
      <c r="JL30" s="10"/>
      <c r="JM30" s="10"/>
      <c r="JN30" s="10"/>
      <c r="JO30" s="10"/>
      <c r="JP30" s="10"/>
      <c r="JQ30" s="10"/>
      <c r="JR30" s="10"/>
      <c r="JS30" s="10"/>
      <c r="JT30" s="10"/>
      <c r="JU30" s="10"/>
      <c r="JV30" s="10"/>
      <c r="JW30" s="10"/>
      <c r="JX30" s="10"/>
      <c r="JY30" s="10"/>
      <c r="JZ30" s="10"/>
      <c r="KA30" s="10"/>
      <c r="KB30" s="10"/>
      <c r="KC30" s="10"/>
      <c r="KD30" s="10"/>
      <c r="KE30" s="10"/>
      <c r="KF30" s="10"/>
      <c r="KG30" s="10"/>
      <c r="KH30" s="10"/>
      <c r="KI30" s="10"/>
      <c r="KJ30" s="10"/>
      <c r="KK30" s="10"/>
      <c r="KL30" s="10"/>
      <c r="KM30" s="10"/>
      <c r="KN30" s="10"/>
      <c r="KO30" s="10"/>
      <c r="KP30" s="10"/>
      <c r="KQ30" s="10"/>
      <c r="KR30" s="10"/>
      <c r="KS30" s="10"/>
      <c r="KT30" s="10"/>
      <c r="KU30" s="10"/>
      <c r="KV30" s="10"/>
      <c r="KW30" s="10"/>
      <c r="KX30" s="10"/>
      <c r="KY30" s="10"/>
      <c r="KZ30" s="10"/>
      <c r="LA30" s="10"/>
      <c r="LB30" s="10"/>
      <c r="LC30" s="10"/>
      <c r="LD30" s="10"/>
      <c r="LE30" s="10"/>
      <c r="LF30" s="10"/>
      <c r="LG30" s="10"/>
      <c r="LH30" s="10"/>
      <c r="LI30" s="10"/>
      <c r="LJ30" s="10"/>
      <c r="LK30" s="10"/>
      <c r="LL30" s="10"/>
      <c r="LM30" s="10"/>
      <c r="LN30" s="10"/>
      <c r="LO30" s="10"/>
      <c r="LP30" s="10"/>
      <c r="LQ30" s="10"/>
      <c r="LR30" s="10"/>
      <c r="LS30" s="10"/>
      <c r="LT30" s="10"/>
      <c r="LU30" s="10"/>
      <c r="LV30" s="10"/>
      <c r="LW30" s="10"/>
      <c r="LX30" s="10"/>
      <c r="LY30" s="10"/>
      <c r="LZ30" s="10"/>
      <c r="MA30" s="10"/>
      <c r="MB30" s="10"/>
      <c r="MC30" s="10"/>
      <c r="MD30" s="10"/>
      <c r="ME30" s="10"/>
      <c r="MF30" s="10"/>
      <c r="MG30" s="10"/>
      <c r="MH30" s="10"/>
      <c r="MI30" s="10"/>
      <c r="MJ30" s="10"/>
      <c r="MK30" s="10"/>
      <c r="ML30" s="10"/>
      <c r="MM30" s="10"/>
      <c r="MN30" s="10"/>
      <c r="MO30" s="10"/>
      <c r="MP30" s="10"/>
      <c r="MQ30" s="10"/>
      <c r="MR30" s="10"/>
      <c r="MS30" s="10"/>
      <c r="MT30" s="10"/>
      <c r="MU30" s="10"/>
      <c r="MV30" s="10"/>
      <c r="MW30" s="10"/>
      <c r="MX30" s="10"/>
      <c r="MY30" s="10"/>
      <c r="MZ30" s="10"/>
      <c r="NA30" s="10"/>
      <c r="NB30" s="10"/>
      <c r="NC30" s="10"/>
      <c r="ND30" s="10"/>
    </row>
    <row r="31" ht="24.75" customHeight="1">
      <c r="A31" s="8">
        <v>45827.23603613426</v>
      </c>
      <c r="B31" s="9" t="s">
        <v>368</v>
      </c>
      <c r="C31" s="9" t="s">
        <v>370</v>
      </c>
      <c r="E31" s="9" t="s">
        <v>757</v>
      </c>
      <c r="G31" s="9" t="s">
        <v>422</v>
      </c>
      <c r="H31" s="9" t="s">
        <v>1307</v>
      </c>
      <c r="I31" s="9" t="s">
        <v>668</v>
      </c>
      <c r="J31" s="9" t="s">
        <v>540</v>
      </c>
      <c r="K31" s="9" t="s">
        <v>376</v>
      </c>
      <c r="L31" s="9" t="s">
        <v>379</v>
      </c>
      <c r="M31" s="9" t="s">
        <v>720</v>
      </c>
      <c r="N31" s="9" t="s">
        <v>377</v>
      </c>
      <c r="O31" s="9" t="s">
        <v>497</v>
      </c>
      <c r="P31" s="9" t="s">
        <v>498</v>
      </c>
      <c r="Q31" s="9" t="s">
        <v>382</v>
      </c>
      <c r="R31" s="9" t="s">
        <v>427</v>
      </c>
      <c r="S31" s="9" t="s">
        <v>384</v>
      </c>
      <c r="T31" s="9" t="s">
        <v>385</v>
      </c>
      <c r="W31" s="9" t="s">
        <v>593</v>
      </c>
      <c r="X31" s="9" t="s">
        <v>387</v>
      </c>
      <c r="Y31" s="9" t="s">
        <v>761</v>
      </c>
      <c r="Z31" s="9" t="s">
        <v>543</v>
      </c>
      <c r="AA31" s="9" t="s">
        <v>1308</v>
      </c>
      <c r="AB31" s="9" t="s">
        <v>1309</v>
      </c>
      <c r="AV31" s="9" t="s">
        <v>1310</v>
      </c>
      <c r="AW31" s="9" t="s">
        <v>675</v>
      </c>
      <c r="AX31" s="9">
        <v>4.0</v>
      </c>
      <c r="AY31" s="9">
        <v>4.0</v>
      </c>
      <c r="AZ31" s="9">
        <v>4.0</v>
      </c>
      <c r="BA31" s="9" t="s">
        <v>675</v>
      </c>
      <c r="BB31" s="9" t="s">
        <v>675</v>
      </c>
      <c r="BC31" s="9" t="s">
        <v>1311</v>
      </c>
      <c r="BD31" s="9" t="s">
        <v>1312</v>
      </c>
      <c r="BE31" s="9" t="s">
        <v>902</v>
      </c>
      <c r="BF31" s="9" t="s">
        <v>1245</v>
      </c>
      <c r="BG31" s="9" t="s">
        <v>394</v>
      </c>
      <c r="BH31" s="9" t="s">
        <v>1313</v>
      </c>
      <c r="BI31" s="9" t="s">
        <v>976</v>
      </c>
      <c r="BK31" s="9" t="s">
        <v>511</v>
      </c>
      <c r="BL31" s="9" t="s">
        <v>603</v>
      </c>
      <c r="BM31" s="9" t="s">
        <v>1314</v>
      </c>
      <c r="BN31" s="9" t="s">
        <v>440</v>
      </c>
      <c r="CL31" s="9" t="s">
        <v>550</v>
      </c>
      <c r="CM31" s="9" t="s">
        <v>682</v>
      </c>
      <c r="CN31" s="9" t="s">
        <v>1315</v>
      </c>
      <c r="CO31" s="9" t="s">
        <v>1316</v>
      </c>
      <c r="CP31" s="9" t="s">
        <v>685</v>
      </c>
      <c r="CQ31" s="9" t="s">
        <v>516</v>
      </c>
      <c r="CR31" s="9" t="s">
        <v>404</v>
      </c>
      <c r="CS31" s="9" t="s">
        <v>871</v>
      </c>
      <c r="CT31" s="9" t="s">
        <v>1317</v>
      </c>
      <c r="CU31" s="9" t="s">
        <v>450</v>
      </c>
      <c r="CV31" s="9" t="s">
        <v>451</v>
      </c>
      <c r="CW31" s="9" t="s">
        <v>1318</v>
      </c>
      <c r="CX31" s="9" t="s">
        <v>455</v>
      </c>
      <c r="CY31" s="9" t="s">
        <v>1319</v>
      </c>
      <c r="CZ31" s="9" t="s">
        <v>453</v>
      </c>
      <c r="DA31" s="9" t="s">
        <v>1320</v>
      </c>
      <c r="DB31" s="9" t="s">
        <v>408</v>
      </c>
      <c r="DD31" s="9" t="s">
        <v>662</v>
      </c>
      <c r="DF31" s="9" t="s">
        <v>1321</v>
      </c>
      <c r="DG31" s="9" t="s">
        <v>990</v>
      </c>
      <c r="DH31" s="9" t="s">
        <v>410</v>
      </c>
      <c r="DI31" s="9" t="s">
        <v>963</v>
      </c>
      <c r="DJ31" s="9" t="s">
        <v>613</v>
      </c>
      <c r="DM31" s="9" t="s">
        <v>462</v>
      </c>
      <c r="DN31" s="9" t="s">
        <v>1322</v>
      </c>
      <c r="DO31" s="9" t="s">
        <v>1063</v>
      </c>
      <c r="DP31" s="9" t="s">
        <v>1323</v>
      </c>
      <c r="DQ31" s="9" t="s">
        <v>1324</v>
      </c>
      <c r="DR31" s="9" t="s">
        <v>1325</v>
      </c>
      <c r="DS31" s="9" t="s">
        <v>839</v>
      </c>
      <c r="DT31" s="9" t="s">
        <v>619</v>
      </c>
      <c r="DU31" s="9" t="s">
        <v>1326</v>
      </c>
      <c r="DV31" s="9" t="s">
        <v>1327</v>
      </c>
      <c r="DW31" s="9" t="s">
        <v>1328</v>
      </c>
      <c r="DX31" s="9" t="s">
        <v>1329</v>
      </c>
      <c r="DY31" s="9" t="s">
        <v>1330</v>
      </c>
      <c r="DZ31" s="9" t="s">
        <v>1331</v>
      </c>
      <c r="EA31" s="9" t="s">
        <v>475</v>
      </c>
      <c r="EB31" s="9" t="s">
        <v>845</v>
      </c>
      <c r="EC31" s="9" t="s">
        <v>408</v>
      </c>
      <c r="ET31" s="9" t="s">
        <v>526</v>
      </c>
      <c r="EU31" s="9" t="s">
        <v>479</v>
      </c>
      <c r="EV31" s="9" t="s">
        <v>480</v>
      </c>
      <c r="EW31" s="9" t="s">
        <v>1332</v>
      </c>
      <c r="EX31" s="9" t="s">
        <v>1333</v>
      </c>
      <c r="EY31" s="9" t="s">
        <v>1334</v>
      </c>
      <c r="EZ31" s="9" t="s">
        <v>583</v>
      </c>
      <c r="FA31" s="9" t="s">
        <v>583</v>
      </c>
      <c r="FB31" s="9" t="s">
        <v>484</v>
      </c>
      <c r="FC31" s="9" t="s">
        <v>414</v>
      </c>
      <c r="FD31" s="9" t="s">
        <v>413</v>
      </c>
      <c r="FE31" s="9" t="s">
        <v>583</v>
      </c>
      <c r="FF31" s="9" t="s">
        <v>484</v>
      </c>
      <c r="FG31" s="9" t="s">
        <v>583</v>
      </c>
      <c r="FH31" s="9" t="s">
        <v>413</v>
      </c>
      <c r="FI31" s="9" t="s">
        <v>583</v>
      </c>
      <c r="FJ31" s="9" t="s">
        <v>415</v>
      </c>
      <c r="FK31" s="9" t="s">
        <v>583</v>
      </c>
      <c r="FL31" s="9" t="s">
        <v>583</v>
      </c>
      <c r="FM31" s="9" t="s">
        <v>583</v>
      </c>
      <c r="FN31" s="9" t="s">
        <v>484</v>
      </c>
      <c r="FO31" s="9" t="s">
        <v>850</v>
      </c>
      <c r="FP31" s="9" t="s">
        <v>418</v>
      </c>
      <c r="FQ31" s="9" t="s">
        <v>712</v>
      </c>
      <c r="FR31" s="9" t="s">
        <v>1335</v>
      </c>
      <c r="FS31" s="9" t="s">
        <v>420</v>
      </c>
      <c r="FT31" s="9" t="s">
        <v>488</v>
      </c>
      <c r="FU31" s="9" t="s">
        <v>489</v>
      </c>
      <c r="FV31" s="9" t="s">
        <v>490</v>
      </c>
      <c r="FW31" s="9" t="s">
        <v>491</v>
      </c>
      <c r="FX31" s="9" t="s">
        <v>1336</v>
      </c>
      <c r="FY31" s="9" t="s">
        <v>1337</v>
      </c>
      <c r="GA31" s="9" t="s">
        <v>1338</v>
      </c>
      <c r="GB31" s="9" t="s">
        <v>455</v>
      </c>
      <c r="GC31" s="9"/>
      <c r="GE31" s="9" t="s">
        <v>1339</v>
      </c>
      <c r="GF31" s="9" t="s">
        <v>1340</v>
      </c>
      <c r="GG31" s="9" t="s">
        <v>1000</v>
      </c>
      <c r="GH31" s="9" t="s">
        <v>1000</v>
      </c>
      <c r="GI31" s="9" t="s">
        <v>756</v>
      </c>
      <c r="GM31" s="9" t="s">
        <v>1079</v>
      </c>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c r="JX31" s="10"/>
      <c r="JY31" s="10"/>
      <c r="JZ31" s="10"/>
      <c r="KA31" s="10"/>
      <c r="KB31" s="10"/>
      <c r="KC31" s="10"/>
      <c r="KD31" s="10"/>
      <c r="KE31" s="10"/>
      <c r="KF31" s="10"/>
      <c r="KG31" s="10"/>
      <c r="KH31" s="10"/>
      <c r="KI31" s="10"/>
      <c r="KJ31" s="10"/>
      <c r="KK31" s="10"/>
      <c r="KL31" s="10"/>
      <c r="KM31" s="10"/>
      <c r="KN31" s="10"/>
      <c r="KO31" s="10"/>
      <c r="KP31" s="10"/>
      <c r="KQ31" s="10"/>
      <c r="KR31" s="10"/>
      <c r="KS31" s="10"/>
      <c r="KT31" s="10"/>
      <c r="KU31" s="10"/>
      <c r="KV31" s="10"/>
      <c r="KW31" s="10"/>
      <c r="KX31" s="10"/>
      <c r="KY31" s="10"/>
      <c r="KZ31" s="10"/>
      <c r="LA31" s="10"/>
      <c r="LB31" s="10"/>
      <c r="LC31" s="10"/>
      <c r="LD31" s="10"/>
      <c r="LE31" s="10"/>
      <c r="LF31" s="10"/>
      <c r="LG31" s="10"/>
      <c r="LH31" s="10"/>
      <c r="LI31" s="10"/>
      <c r="LJ31" s="10"/>
      <c r="LK31" s="10"/>
      <c r="LL31" s="10"/>
      <c r="LM31" s="10"/>
      <c r="LN31" s="10"/>
      <c r="LO31" s="10"/>
      <c r="LP31" s="10"/>
      <c r="LQ31" s="10"/>
      <c r="LR31" s="10"/>
      <c r="LS31" s="10"/>
      <c r="LT31" s="10"/>
      <c r="LU31" s="10"/>
      <c r="LV31" s="10"/>
      <c r="LW31" s="10"/>
      <c r="LX31" s="10"/>
      <c r="LY31" s="10"/>
      <c r="LZ31" s="10"/>
      <c r="MA31" s="10"/>
      <c r="MB31" s="10"/>
      <c r="MC31" s="10"/>
      <c r="MD31" s="10"/>
      <c r="ME31" s="10"/>
      <c r="MF31" s="10"/>
      <c r="MG31" s="10"/>
      <c r="MH31" s="10"/>
      <c r="MI31" s="10"/>
      <c r="MJ31" s="10"/>
      <c r="MK31" s="10"/>
      <c r="ML31" s="10"/>
      <c r="MM31" s="10"/>
      <c r="MN31" s="10"/>
      <c r="MO31" s="10"/>
      <c r="MP31" s="10"/>
      <c r="MQ31" s="10"/>
      <c r="MR31" s="10"/>
      <c r="MS31" s="10"/>
      <c r="MT31" s="10"/>
      <c r="MU31" s="10"/>
      <c r="MV31" s="10"/>
      <c r="MW31" s="10"/>
      <c r="MX31" s="10"/>
      <c r="MY31" s="10"/>
      <c r="MZ31" s="10"/>
      <c r="NA31" s="10"/>
      <c r="NB31" s="10"/>
      <c r="NC31" s="10"/>
      <c r="ND31" s="10"/>
    </row>
    <row r="32" ht="24.75" customHeight="1">
      <c r="A32" s="8">
        <v>45827.238532777774</v>
      </c>
      <c r="B32" s="9" t="s">
        <v>368</v>
      </c>
      <c r="C32" s="9" t="s">
        <v>1341</v>
      </c>
      <c r="D32" s="9" t="s">
        <v>1341</v>
      </c>
      <c r="G32" s="9" t="s">
        <v>422</v>
      </c>
      <c r="H32" s="9" t="s">
        <v>637</v>
      </c>
      <c r="I32" s="9" t="s">
        <v>638</v>
      </c>
      <c r="J32" s="9" t="s">
        <v>590</v>
      </c>
      <c r="K32" s="9" t="s">
        <v>376</v>
      </c>
      <c r="L32" s="9" t="s">
        <v>396</v>
      </c>
      <c r="N32" s="9" t="s">
        <v>396</v>
      </c>
      <c r="P32" s="9" t="s">
        <v>592</v>
      </c>
      <c r="Q32" s="9" t="s">
        <v>1342</v>
      </c>
      <c r="R32" s="9" t="s">
        <v>427</v>
      </c>
      <c r="S32" s="9" t="s">
        <v>384</v>
      </c>
      <c r="T32" s="9" t="s">
        <v>385</v>
      </c>
      <c r="W32" s="9" t="s">
        <v>428</v>
      </c>
      <c r="AV32" s="9" t="s">
        <v>390</v>
      </c>
      <c r="AW32" s="9">
        <v>4.0</v>
      </c>
      <c r="AX32" s="9">
        <v>2.0</v>
      </c>
      <c r="AY32" s="9" t="s">
        <v>675</v>
      </c>
      <c r="BA32" s="9" t="s">
        <v>675</v>
      </c>
      <c r="BB32" s="9" t="s">
        <v>391</v>
      </c>
      <c r="BE32" s="9" t="s">
        <v>432</v>
      </c>
      <c r="BF32" s="9" t="s">
        <v>433</v>
      </c>
      <c r="BG32" s="9" t="s">
        <v>394</v>
      </c>
      <c r="BH32" s="9" t="s">
        <v>1343</v>
      </c>
      <c r="BI32" s="9" t="s">
        <v>824</v>
      </c>
      <c r="BK32" s="9" t="s">
        <v>395</v>
      </c>
      <c r="BL32" s="9" t="s">
        <v>396</v>
      </c>
      <c r="BM32" s="9" t="s">
        <v>397</v>
      </c>
      <c r="BN32" s="9" t="s">
        <v>440</v>
      </c>
      <c r="CL32" s="9" t="s">
        <v>441</v>
      </c>
      <c r="CM32" s="9" t="s">
        <v>442</v>
      </c>
      <c r="CN32" s="9" t="s">
        <v>1344</v>
      </c>
      <c r="CO32" s="9" t="s">
        <v>1345</v>
      </c>
      <c r="CP32" s="9" t="s">
        <v>445</v>
      </c>
      <c r="CQ32" s="9" t="s">
        <v>956</v>
      </c>
      <c r="CR32" s="9" t="s">
        <v>828</v>
      </c>
      <c r="CS32" s="9" t="s">
        <v>1346</v>
      </c>
      <c r="CT32" s="9" t="s">
        <v>1347</v>
      </c>
      <c r="CU32" s="9" t="s">
        <v>450</v>
      </c>
      <c r="CV32" s="9" t="s">
        <v>451</v>
      </c>
      <c r="CW32" s="9" t="s">
        <v>1348</v>
      </c>
      <c r="CX32" s="9" t="s">
        <v>455</v>
      </c>
      <c r="CY32" s="9" t="s">
        <v>1349</v>
      </c>
      <c r="CZ32" s="9" t="s">
        <v>453</v>
      </c>
      <c r="DB32" s="9" t="s">
        <v>408</v>
      </c>
      <c r="DD32" s="9" t="s">
        <v>457</v>
      </c>
      <c r="DH32" s="9" t="s">
        <v>833</v>
      </c>
      <c r="DI32" s="9" t="s">
        <v>963</v>
      </c>
      <c r="DJ32" s="9" t="s">
        <v>613</v>
      </c>
      <c r="DM32" s="9" t="s">
        <v>1350</v>
      </c>
      <c r="DN32" s="9" t="s">
        <v>1351</v>
      </c>
      <c r="DO32" s="9" t="s">
        <v>464</v>
      </c>
      <c r="DP32" s="9" t="s">
        <v>1352</v>
      </c>
      <c r="DQ32" s="9" t="s">
        <v>700</v>
      </c>
      <c r="DR32" s="9" t="s">
        <v>1353</v>
      </c>
      <c r="DS32" s="9" t="s">
        <v>839</v>
      </c>
      <c r="DT32" s="9" t="s">
        <v>570</v>
      </c>
      <c r="DV32" s="9" t="s">
        <v>1354</v>
      </c>
      <c r="DW32" s="9" t="s">
        <v>1328</v>
      </c>
      <c r="DX32" s="9" t="s">
        <v>1355</v>
      </c>
      <c r="DZ32" s="9" t="s">
        <v>1356</v>
      </c>
      <c r="EA32" s="9" t="s">
        <v>475</v>
      </c>
      <c r="EB32" s="9" t="s">
        <v>626</v>
      </c>
      <c r="EC32" s="9" t="s">
        <v>1357</v>
      </c>
      <c r="ET32" s="9" t="s">
        <v>526</v>
      </c>
      <c r="EU32" s="9" t="s">
        <v>579</v>
      </c>
      <c r="EV32" s="9" t="s">
        <v>778</v>
      </c>
      <c r="EZ32" s="9" t="s">
        <v>415</v>
      </c>
      <c r="FA32" s="9" t="s">
        <v>414</v>
      </c>
      <c r="FB32" s="9" t="s">
        <v>413</v>
      </c>
      <c r="FC32" s="9" t="s">
        <v>416</v>
      </c>
      <c r="FD32" s="9" t="s">
        <v>413</v>
      </c>
      <c r="FE32" s="9" t="s">
        <v>583</v>
      </c>
      <c r="FF32" s="9" t="s">
        <v>415</v>
      </c>
      <c r="FG32" s="9" t="s">
        <v>413</v>
      </c>
      <c r="FH32" s="9" t="s">
        <v>415</v>
      </c>
      <c r="FI32" s="9" t="s">
        <v>413</v>
      </c>
      <c r="FJ32" s="9" t="s">
        <v>415</v>
      </c>
      <c r="FK32" s="9" t="s">
        <v>415</v>
      </c>
      <c r="FL32" s="9" t="s">
        <v>415</v>
      </c>
      <c r="FM32" s="9" t="s">
        <v>413</v>
      </c>
      <c r="FN32" s="9" t="s">
        <v>414</v>
      </c>
      <c r="FO32" s="9" t="s">
        <v>850</v>
      </c>
      <c r="FP32" s="9" t="s">
        <v>418</v>
      </c>
      <c r="FQ32" s="9" t="s">
        <v>1039</v>
      </c>
      <c r="FS32" s="9" t="s">
        <v>420</v>
      </c>
      <c r="FT32" s="9" t="s">
        <v>488</v>
      </c>
      <c r="FU32" s="9" t="s">
        <v>1235</v>
      </c>
      <c r="FV32" s="9" t="s">
        <v>490</v>
      </c>
      <c r="FW32" s="9" t="s">
        <v>491</v>
      </c>
      <c r="FX32" s="9" t="s">
        <v>1358</v>
      </c>
      <c r="FY32" s="9" t="s">
        <v>535</v>
      </c>
      <c r="FZ32" s="9" t="s">
        <v>1359</v>
      </c>
      <c r="GB32" s="9" t="s">
        <v>455</v>
      </c>
      <c r="GC32" s="9"/>
      <c r="GD32" s="9"/>
      <c r="GE32" s="9" t="s">
        <v>1339</v>
      </c>
      <c r="GF32" s="9" t="s">
        <v>467</v>
      </c>
      <c r="GG32" s="9" t="s">
        <v>857</v>
      </c>
      <c r="GH32" s="9" t="s">
        <v>857</v>
      </c>
      <c r="GI32" s="9" t="s">
        <v>817</v>
      </c>
      <c r="GM32" s="9" t="s">
        <v>1079</v>
      </c>
      <c r="GN32" s="10"/>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10"/>
      <c r="HO32" s="10"/>
      <c r="HP32" s="10"/>
      <c r="HQ32" s="10"/>
      <c r="HR32" s="10"/>
      <c r="HS32" s="10"/>
      <c r="HT32" s="10"/>
      <c r="HU32" s="10"/>
      <c r="HV32" s="10"/>
      <c r="HW32" s="10"/>
      <c r="HX32" s="10"/>
      <c r="HY32" s="10"/>
      <c r="HZ32" s="10"/>
      <c r="IA32" s="10"/>
      <c r="IB32" s="10"/>
      <c r="IC32" s="10"/>
      <c r="ID32" s="10"/>
      <c r="IE32" s="10"/>
      <c r="IF32" s="10"/>
      <c r="IG32" s="10"/>
      <c r="IH32" s="10"/>
      <c r="II32" s="10"/>
      <c r="IJ32" s="10"/>
      <c r="IK32" s="10"/>
      <c r="IL32" s="10"/>
      <c r="IM32" s="10"/>
      <c r="IN32" s="10"/>
      <c r="IO32" s="10"/>
      <c r="IP32" s="10"/>
      <c r="IQ32" s="10"/>
      <c r="IR32" s="10"/>
      <c r="IS32" s="10"/>
      <c r="IT32" s="10"/>
      <c r="IU32" s="10"/>
      <c r="IV32" s="10"/>
      <c r="IW32" s="10"/>
      <c r="IX32" s="10"/>
      <c r="IY32" s="10"/>
      <c r="IZ32" s="10"/>
      <c r="JA32" s="10"/>
      <c r="JB32" s="10"/>
      <c r="JC32" s="10"/>
      <c r="JD32" s="10"/>
      <c r="JE32" s="10"/>
      <c r="JF32" s="10"/>
      <c r="JG32" s="10"/>
      <c r="JH32" s="10"/>
      <c r="JI32" s="10"/>
      <c r="JJ32" s="10"/>
      <c r="JK32" s="10"/>
      <c r="JL32" s="10"/>
      <c r="JM32" s="10"/>
      <c r="JN32" s="10"/>
      <c r="JO32" s="10"/>
      <c r="JP32" s="10"/>
      <c r="JQ32" s="10"/>
      <c r="JR32" s="10"/>
      <c r="JS32" s="10"/>
      <c r="JT32" s="10"/>
      <c r="JU32" s="10"/>
      <c r="JV32" s="10"/>
      <c r="JW32" s="10"/>
      <c r="JX32" s="10"/>
      <c r="JY32" s="10"/>
      <c r="JZ32" s="10"/>
      <c r="KA32" s="10"/>
      <c r="KB32" s="10"/>
      <c r="KC32" s="10"/>
      <c r="KD32" s="10"/>
      <c r="KE32" s="10"/>
      <c r="KF32" s="10"/>
      <c r="KG32" s="10"/>
      <c r="KH32" s="10"/>
      <c r="KI32" s="10"/>
      <c r="KJ32" s="10"/>
      <c r="KK32" s="10"/>
      <c r="KL32" s="10"/>
      <c r="KM32" s="10"/>
      <c r="KN32" s="10"/>
      <c r="KO32" s="10"/>
      <c r="KP32" s="10"/>
      <c r="KQ32" s="10"/>
      <c r="KR32" s="10"/>
      <c r="KS32" s="10"/>
      <c r="KT32" s="10"/>
      <c r="KU32" s="10"/>
      <c r="KV32" s="10"/>
      <c r="KW32" s="10"/>
      <c r="KX32" s="10"/>
      <c r="KY32" s="10"/>
      <c r="KZ32" s="10"/>
      <c r="LA32" s="10"/>
      <c r="LB32" s="10"/>
      <c r="LC32" s="10"/>
      <c r="LD32" s="10"/>
      <c r="LE32" s="10"/>
      <c r="LF32" s="10"/>
      <c r="LG32" s="10"/>
      <c r="LH32" s="10"/>
      <c r="LI32" s="10"/>
      <c r="LJ32" s="10"/>
      <c r="LK32" s="10"/>
      <c r="LL32" s="10"/>
      <c r="LM32" s="10"/>
      <c r="LN32" s="10"/>
      <c r="LO32" s="10"/>
      <c r="LP32" s="10"/>
      <c r="LQ32" s="10"/>
      <c r="LR32" s="10"/>
      <c r="LS32" s="10"/>
      <c r="LT32" s="10"/>
      <c r="LU32" s="10"/>
      <c r="LV32" s="10"/>
      <c r="LW32" s="10"/>
      <c r="LX32" s="10"/>
      <c r="LY32" s="10"/>
      <c r="LZ32" s="10"/>
      <c r="MA32" s="10"/>
      <c r="MB32" s="10"/>
      <c r="MC32" s="10"/>
      <c r="MD32" s="10"/>
      <c r="ME32" s="10"/>
      <c r="MF32" s="10"/>
      <c r="MG32" s="10"/>
      <c r="MH32" s="10"/>
      <c r="MI32" s="10"/>
      <c r="MJ32" s="10"/>
      <c r="MK32" s="10"/>
      <c r="ML32" s="10"/>
      <c r="MM32" s="10"/>
      <c r="MN32" s="10"/>
      <c r="MO32" s="10"/>
      <c r="MP32" s="10"/>
      <c r="MQ32" s="10"/>
      <c r="MR32" s="10"/>
      <c r="MS32" s="10"/>
      <c r="MT32" s="10"/>
      <c r="MU32" s="10"/>
      <c r="MV32" s="10"/>
      <c r="MW32" s="10"/>
      <c r="MX32" s="10"/>
      <c r="MY32" s="10"/>
      <c r="MZ32" s="10"/>
      <c r="NA32" s="10"/>
      <c r="NB32" s="10"/>
      <c r="NC32" s="10"/>
      <c r="ND32" s="10"/>
    </row>
    <row r="33" ht="24.75" customHeight="1">
      <c r="A33" s="8">
        <v>45827.245649062505</v>
      </c>
      <c r="B33" s="9" t="s">
        <v>368</v>
      </c>
      <c r="C33" s="9" t="s">
        <v>370</v>
      </c>
      <c r="E33" s="9" t="s">
        <v>371</v>
      </c>
      <c r="G33" s="9" t="s">
        <v>422</v>
      </c>
      <c r="H33" s="9" t="s">
        <v>373</v>
      </c>
      <c r="I33" s="9" t="s">
        <v>374</v>
      </c>
      <c r="J33" s="9" t="s">
        <v>718</v>
      </c>
      <c r="K33" s="9" t="s">
        <v>376</v>
      </c>
      <c r="L33" s="9" t="s">
        <v>793</v>
      </c>
      <c r="M33" s="9" t="s">
        <v>1360</v>
      </c>
      <c r="N33" s="9" t="s">
        <v>426</v>
      </c>
      <c r="O33" s="9" t="s">
        <v>720</v>
      </c>
      <c r="P33" s="9" t="s">
        <v>498</v>
      </c>
      <c r="Q33" s="9" t="s">
        <v>499</v>
      </c>
      <c r="R33" s="9" t="s">
        <v>427</v>
      </c>
      <c r="S33" s="9" t="s">
        <v>384</v>
      </c>
      <c r="T33" s="9" t="s">
        <v>385</v>
      </c>
      <c r="W33" s="9" t="s">
        <v>593</v>
      </c>
      <c r="X33" s="9" t="s">
        <v>387</v>
      </c>
      <c r="Y33" s="9" t="s">
        <v>388</v>
      </c>
      <c r="Z33" s="9" t="s">
        <v>389</v>
      </c>
      <c r="AA33" s="9" t="s">
        <v>1361</v>
      </c>
      <c r="AV33" s="9" t="s">
        <v>504</v>
      </c>
      <c r="AW33" s="9">
        <v>2.0</v>
      </c>
      <c r="AX33" s="9">
        <v>2.0</v>
      </c>
      <c r="AY33" s="9">
        <v>2.0</v>
      </c>
      <c r="AZ33" s="9">
        <v>2.0</v>
      </c>
      <c r="BA33" s="9">
        <v>2.0</v>
      </c>
      <c r="BB33" s="9">
        <v>2.0</v>
      </c>
      <c r="BE33" s="9" t="s">
        <v>392</v>
      </c>
      <c r="BF33" s="9" t="s">
        <v>433</v>
      </c>
      <c r="BG33" s="9" t="s">
        <v>434</v>
      </c>
      <c r="BH33" s="9" t="s">
        <v>1362</v>
      </c>
      <c r="BI33" s="9" t="s">
        <v>509</v>
      </c>
      <c r="BK33" s="9" t="s">
        <v>511</v>
      </c>
      <c r="BL33" s="9" t="s">
        <v>512</v>
      </c>
      <c r="BM33" s="9" t="s">
        <v>439</v>
      </c>
      <c r="BN33" s="9" t="s">
        <v>440</v>
      </c>
      <c r="CL33" s="9" t="s">
        <v>441</v>
      </c>
      <c r="CM33" s="9" t="s">
        <v>604</v>
      </c>
      <c r="CN33" s="9" t="s">
        <v>552</v>
      </c>
      <c r="CO33" s="9" t="s">
        <v>1363</v>
      </c>
      <c r="CP33" s="9" t="s">
        <v>445</v>
      </c>
      <c r="CQ33" s="9" t="s">
        <v>1364</v>
      </c>
      <c r="CR33" s="9" t="s">
        <v>447</v>
      </c>
      <c r="CS33" s="9" t="s">
        <v>1137</v>
      </c>
      <c r="CT33" s="9" t="s">
        <v>1365</v>
      </c>
      <c r="CU33" s="9" t="s">
        <v>519</v>
      </c>
      <c r="CV33" s="9" t="s">
        <v>451</v>
      </c>
      <c r="CW33" s="9" t="s">
        <v>1366</v>
      </c>
      <c r="CX33" s="9" t="s">
        <v>408</v>
      </c>
      <c r="CZ33" s="9" t="s">
        <v>453</v>
      </c>
      <c r="DA33" s="9" t="s">
        <v>1367</v>
      </c>
      <c r="DB33" s="9" t="s">
        <v>455</v>
      </c>
      <c r="DD33" s="9" t="s">
        <v>406</v>
      </c>
      <c r="DE33" s="9" t="s">
        <v>1368</v>
      </c>
      <c r="DF33" s="9" t="s">
        <v>1369</v>
      </c>
      <c r="DG33" s="9" t="s">
        <v>561</v>
      </c>
      <c r="DH33" s="9" t="s">
        <v>410</v>
      </c>
      <c r="DI33" s="9" t="s">
        <v>459</v>
      </c>
      <c r="DJ33" s="9" t="s">
        <v>613</v>
      </c>
      <c r="DM33" s="9" t="s">
        <v>1370</v>
      </c>
      <c r="DN33" s="9" t="s">
        <v>1371</v>
      </c>
      <c r="DO33" s="9" t="s">
        <v>1063</v>
      </c>
      <c r="DP33" s="9" t="s">
        <v>1372</v>
      </c>
      <c r="DQ33" s="9" t="s">
        <v>700</v>
      </c>
      <c r="DR33" s="9" t="s">
        <v>1373</v>
      </c>
      <c r="DS33" s="9" t="s">
        <v>702</v>
      </c>
      <c r="DT33" s="9" t="s">
        <v>703</v>
      </c>
      <c r="DU33" s="9" t="s">
        <v>1374</v>
      </c>
      <c r="DV33" s="9" t="s">
        <v>1375</v>
      </c>
      <c r="DW33" s="9" t="s">
        <v>1328</v>
      </c>
      <c r="DX33" s="9" t="s">
        <v>1376</v>
      </c>
      <c r="DY33" s="9" t="s">
        <v>1377</v>
      </c>
      <c r="DZ33" s="9" t="s">
        <v>1378</v>
      </c>
      <c r="EA33" s="9" t="s">
        <v>475</v>
      </c>
      <c r="EB33" s="9" t="s">
        <v>845</v>
      </c>
      <c r="ET33" s="9" t="s">
        <v>526</v>
      </c>
      <c r="EU33" s="9" t="s">
        <v>579</v>
      </c>
      <c r="EV33" s="9" t="s">
        <v>1262</v>
      </c>
      <c r="EX33" s="9" t="s">
        <v>1379</v>
      </c>
      <c r="EY33" s="9" t="s">
        <v>1380</v>
      </c>
      <c r="EZ33" s="9" t="s">
        <v>416</v>
      </c>
      <c r="FA33" s="9" t="s">
        <v>416</v>
      </c>
      <c r="FB33" s="9" t="s">
        <v>583</v>
      </c>
      <c r="FC33" s="9" t="s">
        <v>416</v>
      </c>
      <c r="FD33" s="9" t="s">
        <v>415</v>
      </c>
      <c r="FE33" s="9" t="s">
        <v>416</v>
      </c>
      <c r="FF33" s="9" t="s">
        <v>415</v>
      </c>
      <c r="FG33" s="9" t="s">
        <v>414</v>
      </c>
      <c r="FH33" s="9" t="s">
        <v>416</v>
      </c>
      <c r="FI33" s="9" t="s">
        <v>415</v>
      </c>
      <c r="FJ33" s="9" t="s">
        <v>415</v>
      </c>
      <c r="FK33" s="9" t="s">
        <v>415</v>
      </c>
      <c r="FL33" s="9" t="s">
        <v>415</v>
      </c>
      <c r="FM33" s="9" t="s">
        <v>414</v>
      </c>
      <c r="FN33" s="9" t="s">
        <v>416</v>
      </c>
      <c r="FO33" s="9" t="s">
        <v>417</v>
      </c>
      <c r="FP33" s="9" t="s">
        <v>418</v>
      </c>
      <c r="FQ33" s="9" t="s">
        <v>419</v>
      </c>
      <c r="FS33" s="9" t="s">
        <v>420</v>
      </c>
      <c r="FT33" s="9" t="s">
        <v>488</v>
      </c>
      <c r="FU33" s="9" t="s">
        <v>918</v>
      </c>
      <c r="FV33" s="9" t="s">
        <v>490</v>
      </c>
      <c r="FW33" s="9" t="s">
        <v>491</v>
      </c>
      <c r="FX33" s="9" t="s">
        <v>1381</v>
      </c>
      <c r="FY33" s="9" t="s">
        <v>535</v>
      </c>
      <c r="GB33" s="9" t="s">
        <v>455</v>
      </c>
      <c r="GC33" s="9"/>
      <c r="GE33" s="9" t="s">
        <v>753</v>
      </c>
      <c r="GG33" s="9" t="s">
        <v>755</v>
      </c>
      <c r="GH33" s="9" t="s">
        <v>755</v>
      </c>
      <c r="GI33" s="9" t="s">
        <v>817</v>
      </c>
      <c r="GM33" s="9" t="s">
        <v>1079</v>
      </c>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c r="IG33" s="10"/>
      <c r="IH33" s="10"/>
      <c r="II33" s="10"/>
      <c r="IJ33" s="10"/>
      <c r="IK33" s="10"/>
      <c r="IL33" s="10"/>
      <c r="IM33" s="10"/>
      <c r="IN33" s="10"/>
      <c r="IO33" s="10"/>
      <c r="IP33" s="10"/>
      <c r="IQ33" s="10"/>
      <c r="IR33" s="10"/>
      <c r="IS33" s="10"/>
      <c r="IT33" s="10"/>
      <c r="IU33" s="10"/>
      <c r="IV33" s="10"/>
      <c r="IW33" s="10"/>
      <c r="IX33" s="10"/>
      <c r="IY33" s="10"/>
      <c r="IZ33" s="10"/>
      <c r="JA33" s="10"/>
      <c r="JB33" s="10"/>
      <c r="JC33" s="10"/>
      <c r="JD33" s="10"/>
      <c r="JE33" s="10"/>
      <c r="JF33" s="10"/>
      <c r="JG33" s="10"/>
      <c r="JH33" s="10"/>
      <c r="JI33" s="10"/>
      <c r="JJ33" s="10"/>
      <c r="JK33" s="10"/>
      <c r="JL33" s="10"/>
      <c r="JM33" s="10"/>
      <c r="JN33" s="10"/>
      <c r="JO33" s="10"/>
      <c r="JP33" s="10"/>
      <c r="JQ33" s="10"/>
      <c r="JR33" s="10"/>
      <c r="JS33" s="10"/>
      <c r="JT33" s="10"/>
      <c r="JU33" s="10"/>
      <c r="JV33" s="10"/>
      <c r="JW33" s="10"/>
      <c r="JX33" s="10"/>
      <c r="JY33" s="10"/>
      <c r="JZ33" s="10"/>
      <c r="KA33" s="10"/>
      <c r="KB33" s="10"/>
      <c r="KC33" s="10"/>
      <c r="KD33" s="10"/>
      <c r="KE33" s="10"/>
      <c r="KF33" s="10"/>
      <c r="KG33" s="10"/>
      <c r="KH33" s="10"/>
      <c r="KI33" s="10"/>
      <c r="KJ33" s="10"/>
      <c r="KK33" s="10"/>
      <c r="KL33" s="10"/>
      <c r="KM33" s="10"/>
      <c r="KN33" s="10"/>
      <c r="KO33" s="10"/>
      <c r="KP33" s="10"/>
      <c r="KQ33" s="10"/>
      <c r="KR33" s="10"/>
      <c r="KS33" s="10"/>
      <c r="KT33" s="10"/>
      <c r="KU33" s="10"/>
      <c r="KV33" s="10"/>
      <c r="KW33" s="10"/>
      <c r="KX33" s="10"/>
      <c r="KY33" s="10"/>
      <c r="KZ33" s="10"/>
      <c r="LA33" s="10"/>
      <c r="LB33" s="10"/>
      <c r="LC33" s="10"/>
      <c r="LD33" s="10"/>
      <c r="LE33" s="10"/>
      <c r="LF33" s="10"/>
      <c r="LG33" s="10"/>
      <c r="LH33" s="10"/>
      <c r="LI33" s="10"/>
      <c r="LJ33" s="10"/>
      <c r="LK33" s="10"/>
      <c r="LL33" s="10"/>
      <c r="LM33" s="10"/>
      <c r="LN33" s="10"/>
      <c r="LO33" s="10"/>
      <c r="LP33" s="10"/>
      <c r="LQ33" s="10"/>
      <c r="LR33" s="10"/>
      <c r="LS33" s="10"/>
      <c r="LT33" s="10"/>
      <c r="LU33" s="10"/>
      <c r="LV33" s="10"/>
      <c r="LW33" s="10"/>
      <c r="LX33" s="10"/>
      <c r="LY33" s="10"/>
      <c r="LZ33" s="10"/>
      <c r="MA33" s="10"/>
      <c r="MB33" s="10"/>
      <c r="MC33" s="10"/>
      <c r="MD33" s="10"/>
      <c r="ME33" s="10"/>
      <c r="MF33" s="10"/>
      <c r="MG33" s="10"/>
      <c r="MH33" s="10"/>
      <c r="MI33" s="10"/>
      <c r="MJ33" s="10"/>
      <c r="MK33" s="10"/>
      <c r="ML33" s="10"/>
      <c r="MM33" s="10"/>
      <c r="MN33" s="10"/>
      <c r="MO33" s="10"/>
      <c r="MP33" s="10"/>
      <c r="MQ33" s="10"/>
      <c r="MR33" s="10"/>
      <c r="MS33" s="10"/>
      <c r="MT33" s="10"/>
      <c r="MU33" s="10"/>
      <c r="MV33" s="10"/>
      <c r="MW33" s="10"/>
      <c r="MX33" s="10"/>
      <c r="MY33" s="10"/>
      <c r="MZ33" s="10"/>
      <c r="NA33" s="10"/>
      <c r="NB33" s="10"/>
      <c r="NC33" s="10"/>
      <c r="ND33" s="10"/>
    </row>
    <row r="34" ht="24.75" customHeight="1">
      <c r="A34" s="8">
        <v>45827.372200185186</v>
      </c>
      <c r="B34" s="9" t="s">
        <v>368</v>
      </c>
      <c r="C34" s="9" t="s">
        <v>370</v>
      </c>
      <c r="E34" s="9" t="s">
        <v>1382</v>
      </c>
      <c r="G34" s="9" t="s">
        <v>422</v>
      </c>
      <c r="H34" s="9" t="s">
        <v>373</v>
      </c>
      <c r="I34" s="9" t="s">
        <v>374</v>
      </c>
      <c r="J34" s="9" t="s">
        <v>425</v>
      </c>
      <c r="K34" s="9" t="s">
        <v>1383</v>
      </c>
      <c r="L34" s="9" t="s">
        <v>379</v>
      </c>
      <c r="M34" s="9" t="s">
        <v>1384</v>
      </c>
      <c r="N34" s="9" t="s">
        <v>426</v>
      </c>
      <c r="O34" s="9" t="s">
        <v>1385</v>
      </c>
      <c r="P34" s="9" t="s">
        <v>381</v>
      </c>
      <c r="Q34" s="9" t="s">
        <v>1156</v>
      </c>
      <c r="R34" s="9" t="s">
        <v>795</v>
      </c>
      <c r="S34" s="9" t="s">
        <v>384</v>
      </c>
      <c r="T34" s="9" t="s">
        <v>385</v>
      </c>
      <c r="W34" s="9" t="s">
        <v>593</v>
      </c>
      <c r="X34" s="9" t="s">
        <v>387</v>
      </c>
      <c r="Y34" s="9" t="s">
        <v>594</v>
      </c>
      <c r="Z34" s="9" t="s">
        <v>502</v>
      </c>
      <c r="AA34" s="9" t="s">
        <v>1386</v>
      </c>
      <c r="AB34" s="9" t="s">
        <v>1387</v>
      </c>
      <c r="AV34" s="9" t="s">
        <v>1310</v>
      </c>
      <c r="AW34" s="9">
        <v>4.0</v>
      </c>
      <c r="AX34" s="9" t="s">
        <v>391</v>
      </c>
      <c r="AY34" s="9" t="s">
        <v>675</v>
      </c>
      <c r="AZ34" s="9">
        <v>4.0</v>
      </c>
      <c r="BA34" s="9" t="s">
        <v>391</v>
      </c>
      <c r="BB34" s="9">
        <v>4.0</v>
      </c>
      <c r="BC34" s="9" t="s">
        <v>1388</v>
      </c>
      <c r="BD34" s="9" t="s">
        <v>1389</v>
      </c>
      <c r="BE34" s="9" t="s">
        <v>392</v>
      </c>
      <c r="BF34" s="9" t="s">
        <v>393</v>
      </c>
      <c r="BG34" s="9" t="s">
        <v>725</v>
      </c>
      <c r="BH34" s="9" t="s">
        <v>1390</v>
      </c>
      <c r="BI34" s="9" t="s">
        <v>509</v>
      </c>
      <c r="BJ34" s="9" t="s">
        <v>1391</v>
      </c>
      <c r="BK34" s="9" t="s">
        <v>437</v>
      </c>
      <c r="BL34" s="9" t="s">
        <v>904</v>
      </c>
      <c r="BM34" s="9" t="s">
        <v>397</v>
      </c>
      <c r="BN34" s="9" t="s">
        <v>440</v>
      </c>
      <c r="CL34" s="9" t="s">
        <v>441</v>
      </c>
      <c r="CM34" s="9" t="s">
        <v>442</v>
      </c>
      <c r="CN34" s="9" t="s">
        <v>1392</v>
      </c>
      <c r="CO34" s="9" t="s">
        <v>1393</v>
      </c>
      <c r="CP34" s="9" t="s">
        <v>403</v>
      </c>
      <c r="CQ34" s="9" t="s">
        <v>1394</v>
      </c>
      <c r="CR34" s="9" t="s">
        <v>404</v>
      </c>
      <c r="CS34" s="9" t="s">
        <v>1395</v>
      </c>
      <c r="CT34" s="9" t="s">
        <v>1396</v>
      </c>
      <c r="CU34" s="9" t="s">
        <v>519</v>
      </c>
      <c r="CV34" s="9" t="s">
        <v>451</v>
      </c>
      <c r="CW34" s="9" t="s">
        <v>1397</v>
      </c>
      <c r="CX34" s="9" t="s">
        <v>408</v>
      </c>
      <c r="CZ34" s="9" t="s">
        <v>1398</v>
      </c>
      <c r="DA34" s="9" t="s">
        <v>1399</v>
      </c>
      <c r="DB34" s="9" t="s">
        <v>913</v>
      </c>
      <c r="DD34" s="9" t="s">
        <v>1400</v>
      </c>
      <c r="DF34" s="9" t="s">
        <v>1401</v>
      </c>
      <c r="DG34" s="9" t="s">
        <v>524</v>
      </c>
      <c r="DH34" s="9" t="s">
        <v>410</v>
      </c>
      <c r="DI34" s="9" t="s">
        <v>1402</v>
      </c>
      <c r="DJ34" s="9" t="s">
        <v>1403</v>
      </c>
      <c r="DK34" s="9" t="s">
        <v>461</v>
      </c>
      <c r="DM34" s="9" t="s">
        <v>1404</v>
      </c>
      <c r="DN34" s="9" t="s">
        <v>1405</v>
      </c>
      <c r="DO34" s="9" t="s">
        <v>567</v>
      </c>
      <c r="DP34" s="9" t="s">
        <v>1406</v>
      </c>
      <c r="DQ34" s="9" t="s">
        <v>700</v>
      </c>
      <c r="DR34" s="9" t="s">
        <v>1407</v>
      </c>
      <c r="DS34" s="9" t="s">
        <v>839</v>
      </c>
      <c r="DT34" s="9" t="s">
        <v>703</v>
      </c>
      <c r="DU34" s="9" t="s">
        <v>1408</v>
      </c>
      <c r="DV34" s="9" t="s">
        <v>1409</v>
      </c>
      <c r="DW34" s="9" t="s">
        <v>622</v>
      </c>
      <c r="DX34" s="9" t="s">
        <v>1410</v>
      </c>
      <c r="DY34" s="9" t="s">
        <v>1411</v>
      </c>
      <c r="DZ34" s="9" t="s">
        <v>1412</v>
      </c>
      <c r="EA34" s="9" t="s">
        <v>1413</v>
      </c>
      <c r="EB34" s="9" t="s">
        <v>845</v>
      </c>
      <c r="ET34" s="9" t="s">
        <v>578</v>
      </c>
      <c r="EU34" s="9" t="s">
        <v>887</v>
      </c>
      <c r="EV34" s="9" t="s">
        <v>527</v>
      </c>
      <c r="EW34" s="9" t="s">
        <v>1414</v>
      </c>
      <c r="EX34" s="9" t="s">
        <v>1415</v>
      </c>
      <c r="EY34" s="9" t="s">
        <v>1416</v>
      </c>
      <c r="EZ34" s="9" t="s">
        <v>415</v>
      </c>
      <c r="FA34" s="9" t="s">
        <v>415</v>
      </c>
      <c r="FB34" s="9" t="s">
        <v>414</v>
      </c>
      <c r="FC34" s="9" t="s">
        <v>583</v>
      </c>
      <c r="FD34" s="9" t="s">
        <v>414</v>
      </c>
      <c r="FE34" s="9" t="s">
        <v>583</v>
      </c>
      <c r="FF34" s="9" t="s">
        <v>583</v>
      </c>
      <c r="FG34" s="9" t="s">
        <v>413</v>
      </c>
      <c r="FH34" s="9" t="s">
        <v>583</v>
      </c>
      <c r="FI34" s="9" t="s">
        <v>583</v>
      </c>
      <c r="FJ34" s="9" t="s">
        <v>583</v>
      </c>
      <c r="FK34" s="9" t="s">
        <v>415</v>
      </c>
      <c r="FL34" s="9" t="s">
        <v>415</v>
      </c>
      <c r="FM34" s="9" t="s">
        <v>415</v>
      </c>
      <c r="FN34" s="9" t="s">
        <v>415</v>
      </c>
      <c r="FO34" s="9" t="s">
        <v>850</v>
      </c>
      <c r="FP34" s="9" t="s">
        <v>486</v>
      </c>
      <c r="FQ34" s="9" t="s">
        <v>419</v>
      </c>
      <c r="FR34" s="9" t="s">
        <v>1417</v>
      </c>
      <c r="FS34" s="9" t="s">
        <v>420</v>
      </c>
      <c r="FT34" s="9" t="s">
        <v>488</v>
      </c>
      <c r="FU34" s="9" t="s">
        <v>533</v>
      </c>
      <c r="FV34" s="9" t="s">
        <v>490</v>
      </c>
      <c r="FW34" s="9" t="s">
        <v>491</v>
      </c>
      <c r="FX34" s="9" t="s">
        <v>1418</v>
      </c>
      <c r="FY34" s="9" t="s">
        <v>493</v>
      </c>
      <c r="FZ34" s="9" t="s">
        <v>1419</v>
      </c>
      <c r="GB34" s="9" t="s">
        <v>455</v>
      </c>
      <c r="GC34" s="9"/>
      <c r="GE34" s="9" t="s">
        <v>1420</v>
      </c>
      <c r="GG34" s="9" t="s">
        <v>1000</v>
      </c>
      <c r="GH34" s="9" t="s">
        <v>1000</v>
      </c>
      <c r="GI34" s="9" t="s">
        <v>817</v>
      </c>
      <c r="GM34" s="9" t="s">
        <v>1079</v>
      </c>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10"/>
      <c r="KW34" s="10"/>
      <c r="KX34" s="10"/>
      <c r="KY34" s="10"/>
      <c r="KZ34" s="10"/>
      <c r="LA34" s="10"/>
      <c r="LB34" s="10"/>
      <c r="LC34" s="10"/>
      <c r="LD34" s="10"/>
      <c r="LE34" s="10"/>
      <c r="LF34" s="10"/>
      <c r="LG34" s="10"/>
      <c r="LH34" s="10"/>
      <c r="LI34" s="10"/>
      <c r="LJ34" s="10"/>
      <c r="LK34" s="10"/>
      <c r="LL34" s="10"/>
      <c r="LM34" s="10"/>
      <c r="LN34" s="10"/>
      <c r="LO34" s="10"/>
      <c r="LP34" s="10"/>
      <c r="LQ34" s="10"/>
      <c r="LR34" s="10"/>
      <c r="LS34" s="10"/>
      <c r="LT34" s="10"/>
      <c r="LU34" s="10"/>
      <c r="LV34" s="10"/>
      <c r="LW34" s="10"/>
      <c r="LX34" s="10"/>
      <c r="LY34" s="10"/>
      <c r="LZ34" s="10"/>
      <c r="MA34" s="10"/>
      <c r="MB34" s="10"/>
      <c r="MC34" s="10"/>
      <c r="MD34" s="10"/>
      <c r="ME34" s="10"/>
      <c r="MF34" s="10"/>
      <c r="MG34" s="10"/>
      <c r="MH34" s="10"/>
      <c r="MI34" s="10"/>
      <c r="MJ34" s="10"/>
      <c r="MK34" s="10"/>
      <c r="ML34" s="10"/>
      <c r="MM34" s="10"/>
      <c r="MN34" s="10"/>
      <c r="MO34" s="10"/>
      <c r="MP34" s="10"/>
      <c r="MQ34" s="10"/>
      <c r="MR34" s="10"/>
      <c r="MS34" s="10"/>
      <c r="MT34" s="10"/>
      <c r="MU34" s="10"/>
      <c r="MV34" s="10"/>
      <c r="MW34" s="10"/>
      <c r="MX34" s="10"/>
      <c r="MY34" s="10"/>
      <c r="MZ34" s="10"/>
      <c r="NA34" s="10"/>
      <c r="NB34" s="10"/>
      <c r="NC34" s="10"/>
      <c r="ND34" s="10"/>
    </row>
    <row r="35" ht="24.75" customHeight="1">
      <c r="A35" s="8">
        <v>45827.37673142361</v>
      </c>
      <c r="B35" s="9" t="s">
        <v>368</v>
      </c>
      <c r="C35" s="9" t="s">
        <v>370</v>
      </c>
      <c r="E35" s="9" t="s">
        <v>1421</v>
      </c>
      <c r="G35" s="9" t="s">
        <v>422</v>
      </c>
      <c r="H35" s="9" t="s">
        <v>1203</v>
      </c>
      <c r="I35" s="9" t="s">
        <v>638</v>
      </c>
      <c r="J35" s="9" t="s">
        <v>1204</v>
      </c>
      <c r="K35" s="9" t="s">
        <v>376</v>
      </c>
      <c r="L35" s="9" t="s">
        <v>793</v>
      </c>
      <c r="M35" s="9" t="s">
        <v>720</v>
      </c>
      <c r="N35" s="9" t="s">
        <v>793</v>
      </c>
      <c r="O35" s="9" t="s">
        <v>720</v>
      </c>
      <c r="P35" s="9" t="s">
        <v>592</v>
      </c>
      <c r="Q35" s="9" t="s">
        <v>1156</v>
      </c>
      <c r="R35" s="9" t="s">
        <v>427</v>
      </c>
      <c r="S35" s="9" t="s">
        <v>384</v>
      </c>
      <c r="T35" s="9" t="s">
        <v>385</v>
      </c>
      <c r="W35" s="9" t="s">
        <v>428</v>
      </c>
      <c r="AV35" s="9" t="s">
        <v>597</v>
      </c>
      <c r="AW35" s="9">
        <v>2.0</v>
      </c>
      <c r="AX35" s="9">
        <v>2.0</v>
      </c>
      <c r="AY35" s="9">
        <v>2.0</v>
      </c>
      <c r="AZ35" s="9" t="s">
        <v>429</v>
      </c>
      <c r="BA35" s="9" t="s">
        <v>429</v>
      </c>
      <c r="BB35" s="9" t="s">
        <v>429</v>
      </c>
      <c r="BC35" s="9" t="s">
        <v>1422</v>
      </c>
      <c r="BD35" s="9" t="s">
        <v>1423</v>
      </c>
      <c r="BE35" s="9" t="s">
        <v>392</v>
      </c>
      <c r="BF35" s="9" t="s">
        <v>433</v>
      </c>
      <c r="BG35" s="9" t="s">
        <v>678</v>
      </c>
      <c r="BH35" s="9" t="s">
        <v>1424</v>
      </c>
      <c r="BI35" s="9" t="s">
        <v>824</v>
      </c>
      <c r="BK35" s="9" t="s">
        <v>511</v>
      </c>
      <c r="BL35" s="9" t="s">
        <v>396</v>
      </c>
      <c r="BM35" s="9" t="s">
        <v>549</v>
      </c>
      <c r="BN35" s="9" t="s">
        <v>513</v>
      </c>
      <c r="CL35" s="9" t="s">
        <v>441</v>
      </c>
      <c r="CM35" s="9" t="s">
        <v>604</v>
      </c>
      <c r="CN35" s="9" t="s">
        <v>1425</v>
      </c>
      <c r="CO35" s="9" t="s">
        <v>1426</v>
      </c>
      <c r="CP35" s="9" t="s">
        <v>979</v>
      </c>
      <c r="CQ35" s="9" t="s">
        <v>1427</v>
      </c>
      <c r="CR35" s="9" t="s">
        <v>404</v>
      </c>
      <c r="CS35" s="9" t="s">
        <v>1428</v>
      </c>
      <c r="CT35" s="9" t="s">
        <v>1429</v>
      </c>
      <c r="CU35" s="9" t="s">
        <v>450</v>
      </c>
      <c r="CV35" s="9" t="s">
        <v>451</v>
      </c>
      <c r="CW35" s="9" t="s">
        <v>1430</v>
      </c>
      <c r="CX35" s="9" t="s">
        <v>408</v>
      </c>
      <c r="CZ35" s="9" t="s">
        <v>453</v>
      </c>
      <c r="DA35" s="9" t="s">
        <v>1431</v>
      </c>
      <c r="DB35" s="9" t="s">
        <v>455</v>
      </c>
      <c r="DC35" s="9" t="s">
        <v>1432</v>
      </c>
      <c r="DD35" s="9" t="s">
        <v>406</v>
      </c>
      <c r="DE35" s="9" t="s">
        <v>1058</v>
      </c>
      <c r="DF35" s="9" t="s">
        <v>1433</v>
      </c>
      <c r="DG35" s="9" t="s">
        <v>524</v>
      </c>
      <c r="DH35" s="9" t="s">
        <v>410</v>
      </c>
      <c r="DI35" s="9" t="s">
        <v>459</v>
      </c>
      <c r="DJ35" s="9" t="s">
        <v>460</v>
      </c>
      <c r="DK35" s="9" t="s">
        <v>1434</v>
      </c>
      <c r="ET35" s="9" t="s">
        <v>526</v>
      </c>
      <c r="EU35" s="9" t="s">
        <v>579</v>
      </c>
      <c r="EV35" s="9" t="s">
        <v>778</v>
      </c>
      <c r="EW35" s="9" t="s">
        <v>1435</v>
      </c>
      <c r="EX35" s="9" t="s">
        <v>1436</v>
      </c>
      <c r="EY35" s="9" t="s">
        <v>1437</v>
      </c>
      <c r="EZ35" s="9" t="s">
        <v>415</v>
      </c>
      <c r="FA35" s="9" t="s">
        <v>415</v>
      </c>
      <c r="FB35" s="9" t="s">
        <v>413</v>
      </c>
      <c r="FC35" s="9" t="s">
        <v>413</v>
      </c>
      <c r="FD35" s="9" t="s">
        <v>413</v>
      </c>
      <c r="FE35" s="9" t="s">
        <v>413</v>
      </c>
      <c r="FF35" s="9" t="s">
        <v>413</v>
      </c>
      <c r="FG35" s="9" t="s">
        <v>413</v>
      </c>
      <c r="FH35" s="9" t="s">
        <v>415</v>
      </c>
      <c r="FI35" s="9" t="s">
        <v>413</v>
      </c>
      <c r="FJ35" s="9" t="s">
        <v>413</v>
      </c>
      <c r="FK35" s="9" t="s">
        <v>413</v>
      </c>
      <c r="FL35" s="9" t="s">
        <v>413</v>
      </c>
      <c r="FM35" s="9" t="s">
        <v>413</v>
      </c>
      <c r="FN35" s="9" t="s">
        <v>413</v>
      </c>
      <c r="FO35" s="9" t="s">
        <v>485</v>
      </c>
      <c r="FP35" s="9" t="s">
        <v>418</v>
      </c>
      <c r="FQ35" s="9" t="s">
        <v>531</v>
      </c>
      <c r="FR35" s="9" t="s">
        <v>1438</v>
      </c>
      <c r="FS35" s="9" t="s">
        <v>420</v>
      </c>
      <c r="FT35" s="9" t="s">
        <v>488</v>
      </c>
      <c r="FU35" s="9" t="s">
        <v>1235</v>
      </c>
      <c r="FV35" s="9" t="s">
        <v>490</v>
      </c>
      <c r="FW35" s="9" t="s">
        <v>491</v>
      </c>
      <c r="FX35" s="9" t="s">
        <v>1439</v>
      </c>
      <c r="FY35" s="9" t="s">
        <v>535</v>
      </c>
      <c r="FZ35" s="9" t="s">
        <v>1440</v>
      </c>
      <c r="GB35" s="9" t="s">
        <v>408</v>
      </c>
      <c r="GG35" s="9" t="s">
        <v>920</v>
      </c>
      <c r="GH35" s="9" t="s">
        <v>1000</v>
      </c>
      <c r="GI35" s="9" t="s">
        <v>946</v>
      </c>
    </row>
    <row r="36" ht="24.75" customHeight="1">
      <c r="A36" s="8">
        <v>45827.39404474537</v>
      </c>
      <c r="B36" s="9" t="s">
        <v>368</v>
      </c>
      <c r="C36" s="9" t="s">
        <v>370</v>
      </c>
      <c r="E36" s="9" t="s">
        <v>1441</v>
      </c>
      <c r="G36" s="9" t="s">
        <v>422</v>
      </c>
      <c r="H36" s="9" t="s">
        <v>637</v>
      </c>
      <c r="I36" s="9" t="s">
        <v>638</v>
      </c>
      <c r="J36" s="9" t="s">
        <v>425</v>
      </c>
      <c r="K36" s="9" t="s">
        <v>376</v>
      </c>
      <c r="L36" s="9" t="s">
        <v>591</v>
      </c>
      <c r="M36" s="9" t="s">
        <v>541</v>
      </c>
      <c r="N36" s="9" t="s">
        <v>591</v>
      </c>
      <c r="O36" s="9" t="s">
        <v>1442</v>
      </c>
      <c r="P36" s="9" t="s">
        <v>498</v>
      </c>
      <c r="Q36" s="9" t="s">
        <v>1156</v>
      </c>
      <c r="R36" s="9" t="s">
        <v>795</v>
      </c>
      <c r="S36" s="9" t="s">
        <v>1443</v>
      </c>
      <c r="T36" s="9" t="s">
        <v>385</v>
      </c>
      <c r="W36" s="9" t="s">
        <v>593</v>
      </c>
      <c r="X36" s="9" t="s">
        <v>387</v>
      </c>
      <c r="Y36" s="9" t="s">
        <v>1444</v>
      </c>
      <c r="Z36" s="9" t="s">
        <v>672</v>
      </c>
      <c r="AA36" s="9" t="s">
        <v>1445</v>
      </c>
      <c r="AB36" s="9" t="s">
        <v>1446</v>
      </c>
      <c r="AV36" s="9" t="s">
        <v>390</v>
      </c>
      <c r="AW36" s="9" t="s">
        <v>429</v>
      </c>
      <c r="AX36" s="9" t="s">
        <v>429</v>
      </c>
      <c r="AY36" s="9" t="s">
        <v>429</v>
      </c>
      <c r="AZ36" s="9" t="s">
        <v>429</v>
      </c>
      <c r="BA36" s="9" t="s">
        <v>429</v>
      </c>
      <c r="BB36" s="9" t="s">
        <v>429</v>
      </c>
      <c r="BC36" s="9" t="s">
        <v>1447</v>
      </c>
      <c r="BD36" s="9" t="s">
        <v>1448</v>
      </c>
      <c r="BE36" s="9" t="s">
        <v>392</v>
      </c>
      <c r="BF36" s="9" t="s">
        <v>433</v>
      </c>
      <c r="BG36" s="9" t="s">
        <v>678</v>
      </c>
      <c r="BH36" s="9" t="s">
        <v>1449</v>
      </c>
      <c r="BI36" s="9" t="s">
        <v>509</v>
      </c>
      <c r="BJ36" s="9" t="s">
        <v>1450</v>
      </c>
      <c r="BK36" s="9" t="s">
        <v>681</v>
      </c>
      <c r="BL36" s="9" t="s">
        <v>603</v>
      </c>
      <c r="BM36" s="9" t="s">
        <v>549</v>
      </c>
      <c r="BN36" s="9" t="s">
        <v>513</v>
      </c>
      <c r="CL36" s="9" t="s">
        <v>441</v>
      </c>
      <c r="CM36" s="9" t="s">
        <v>604</v>
      </c>
      <c r="CN36" s="9" t="s">
        <v>1451</v>
      </c>
      <c r="CO36" s="9" t="s">
        <v>1452</v>
      </c>
      <c r="CP36" s="9" t="s">
        <v>445</v>
      </c>
      <c r="CQ36" s="9" t="s">
        <v>1453</v>
      </c>
      <c r="CR36" s="9" t="s">
        <v>447</v>
      </c>
      <c r="CS36" s="9" t="s">
        <v>1454</v>
      </c>
      <c r="CT36" s="9" t="s">
        <v>1455</v>
      </c>
      <c r="CU36" s="9" t="s">
        <v>519</v>
      </c>
      <c r="CV36" s="9" t="s">
        <v>451</v>
      </c>
      <c r="CW36" s="9" t="s">
        <v>1456</v>
      </c>
      <c r="CX36" s="9" t="s">
        <v>733</v>
      </c>
      <c r="CY36" s="9" t="s">
        <v>1457</v>
      </c>
      <c r="CZ36" s="9" t="s">
        <v>453</v>
      </c>
      <c r="DA36" s="9" t="s">
        <v>1458</v>
      </c>
      <c r="DB36" s="9" t="s">
        <v>455</v>
      </c>
      <c r="DC36" s="9" t="s">
        <v>1459</v>
      </c>
      <c r="DD36" s="9" t="s">
        <v>457</v>
      </c>
      <c r="DE36" s="9" t="s">
        <v>691</v>
      </c>
      <c r="DF36" s="9" t="s">
        <v>1460</v>
      </c>
      <c r="DG36" s="9" t="s">
        <v>561</v>
      </c>
      <c r="DH36" s="9" t="s">
        <v>833</v>
      </c>
      <c r="DI36" s="9" t="s">
        <v>459</v>
      </c>
      <c r="DJ36" s="9" t="s">
        <v>613</v>
      </c>
      <c r="ET36" s="9" t="s">
        <v>526</v>
      </c>
      <c r="EU36" s="9" t="s">
        <v>479</v>
      </c>
      <c r="EV36" s="9" t="s">
        <v>480</v>
      </c>
      <c r="EX36" s="9" t="s">
        <v>1461</v>
      </c>
      <c r="EZ36" s="9" t="s">
        <v>413</v>
      </c>
      <c r="FA36" s="9" t="s">
        <v>415</v>
      </c>
      <c r="FB36" s="9" t="s">
        <v>413</v>
      </c>
      <c r="FC36" s="9" t="s">
        <v>413</v>
      </c>
      <c r="FD36" s="9" t="s">
        <v>413</v>
      </c>
      <c r="FE36" s="9" t="s">
        <v>413</v>
      </c>
      <c r="FF36" s="9" t="s">
        <v>415</v>
      </c>
      <c r="FG36" s="9" t="s">
        <v>415</v>
      </c>
      <c r="FH36" s="9" t="s">
        <v>415</v>
      </c>
      <c r="FI36" s="9" t="s">
        <v>414</v>
      </c>
      <c r="FJ36" s="9" t="s">
        <v>414</v>
      </c>
      <c r="FK36" s="9" t="s">
        <v>415</v>
      </c>
      <c r="FL36" s="9" t="s">
        <v>415</v>
      </c>
      <c r="FM36" s="9" t="s">
        <v>415</v>
      </c>
      <c r="FN36" s="9" t="s">
        <v>414</v>
      </c>
      <c r="FO36" s="9" t="s">
        <v>485</v>
      </c>
      <c r="FP36" s="9" t="s">
        <v>486</v>
      </c>
      <c r="FQ36" s="9" t="s">
        <v>712</v>
      </c>
      <c r="FS36" s="9" t="s">
        <v>1189</v>
      </c>
      <c r="FT36" s="9" t="s">
        <v>1462</v>
      </c>
      <c r="FU36" s="9" t="s">
        <v>533</v>
      </c>
      <c r="FV36" s="9" t="s">
        <v>490</v>
      </c>
      <c r="FW36" s="9" t="s">
        <v>491</v>
      </c>
      <c r="FX36" s="9" t="s">
        <v>1463</v>
      </c>
      <c r="FY36" s="9" t="s">
        <v>1020</v>
      </c>
      <c r="GB36" s="9" t="s">
        <v>455</v>
      </c>
      <c r="GC36" s="9"/>
      <c r="GE36" s="9" t="s">
        <v>786</v>
      </c>
      <c r="GG36" s="9" t="s">
        <v>857</v>
      </c>
      <c r="GH36" s="9" t="s">
        <v>857</v>
      </c>
      <c r="GI36" s="9" t="s">
        <v>790</v>
      </c>
    </row>
    <row r="37" ht="24.75" customHeight="1">
      <c r="A37" s="8">
        <v>45827.396721377314</v>
      </c>
      <c r="B37" s="9" t="s">
        <v>368</v>
      </c>
      <c r="C37" s="9" t="s">
        <v>370</v>
      </c>
      <c r="E37" s="9" t="s">
        <v>1464</v>
      </c>
      <c r="G37" s="9" t="s">
        <v>422</v>
      </c>
      <c r="H37" s="9" t="s">
        <v>539</v>
      </c>
      <c r="I37" s="9" t="s">
        <v>424</v>
      </c>
      <c r="J37" s="9" t="s">
        <v>718</v>
      </c>
      <c r="K37" s="9" t="s">
        <v>376</v>
      </c>
      <c r="L37" s="9" t="s">
        <v>426</v>
      </c>
      <c r="M37" s="9" t="s">
        <v>378</v>
      </c>
      <c r="N37" s="9" t="s">
        <v>591</v>
      </c>
      <c r="O37" s="9" t="s">
        <v>1465</v>
      </c>
      <c r="P37" s="9" t="s">
        <v>498</v>
      </c>
      <c r="Q37" s="9" t="s">
        <v>1342</v>
      </c>
      <c r="R37" s="9" t="s">
        <v>427</v>
      </c>
      <c r="S37" s="9" t="s">
        <v>384</v>
      </c>
      <c r="T37" s="9" t="s">
        <v>385</v>
      </c>
      <c r="W37" s="9" t="s">
        <v>428</v>
      </c>
      <c r="AV37" s="9" t="s">
        <v>1310</v>
      </c>
      <c r="AW37" s="9">
        <v>4.0</v>
      </c>
      <c r="AX37" s="9" t="s">
        <v>391</v>
      </c>
      <c r="AY37" s="9">
        <v>4.0</v>
      </c>
      <c r="AZ37" s="9" t="s">
        <v>429</v>
      </c>
      <c r="BA37" s="9">
        <v>2.0</v>
      </c>
      <c r="BB37" s="9" t="s">
        <v>391</v>
      </c>
      <c r="BE37" s="9" t="s">
        <v>432</v>
      </c>
      <c r="BF37" s="9" t="s">
        <v>393</v>
      </c>
      <c r="BG37" s="9" t="s">
        <v>678</v>
      </c>
      <c r="BI37" s="9" t="s">
        <v>727</v>
      </c>
      <c r="BK37" s="9" t="s">
        <v>681</v>
      </c>
      <c r="BL37" s="9" t="s">
        <v>904</v>
      </c>
      <c r="BM37" s="9" t="s">
        <v>1247</v>
      </c>
      <c r="BN37" s="9" t="s">
        <v>513</v>
      </c>
      <c r="CL37" s="9" t="s">
        <v>441</v>
      </c>
      <c r="CM37" s="9" t="s">
        <v>401</v>
      </c>
      <c r="CN37" s="9" t="s">
        <v>552</v>
      </c>
      <c r="CO37" s="9" t="s">
        <v>1466</v>
      </c>
      <c r="CP37" s="9" t="s">
        <v>685</v>
      </c>
      <c r="CQ37" s="9" t="s">
        <v>1467</v>
      </c>
      <c r="CR37" s="9" t="s">
        <v>555</v>
      </c>
      <c r="CS37" s="9" t="s">
        <v>1346</v>
      </c>
      <c r="CT37" s="9" t="s">
        <v>1468</v>
      </c>
      <c r="CU37" s="9" t="s">
        <v>982</v>
      </c>
      <c r="CV37" s="9" t="s">
        <v>451</v>
      </c>
      <c r="CW37" s="9" t="s">
        <v>1469</v>
      </c>
      <c r="CX37" s="9" t="s">
        <v>408</v>
      </c>
      <c r="CZ37" s="9" t="s">
        <v>985</v>
      </c>
      <c r="DA37" s="9" t="s">
        <v>1470</v>
      </c>
      <c r="DB37" s="9" t="s">
        <v>408</v>
      </c>
      <c r="DD37" s="9" t="s">
        <v>988</v>
      </c>
      <c r="DF37" s="9" t="s">
        <v>1471</v>
      </c>
      <c r="DG37" s="9" t="s">
        <v>561</v>
      </c>
      <c r="DH37" s="9" t="s">
        <v>1220</v>
      </c>
      <c r="DI37" s="9" t="s">
        <v>963</v>
      </c>
      <c r="DJ37" s="9" t="s">
        <v>460</v>
      </c>
      <c r="DK37" s="9" t="s">
        <v>525</v>
      </c>
      <c r="ET37" s="9" t="s">
        <v>526</v>
      </c>
      <c r="EU37" s="9" t="s">
        <v>479</v>
      </c>
      <c r="EV37" s="9" t="s">
        <v>480</v>
      </c>
      <c r="EW37" s="9" t="s">
        <v>1472</v>
      </c>
      <c r="EX37" s="9" t="s">
        <v>1473</v>
      </c>
      <c r="EY37" s="9" t="s">
        <v>1474</v>
      </c>
      <c r="EZ37" s="9" t="s">
        <v>415</v>
      </c>
      <c r="FA37" s="9" t="s">
        <v>415</v>
      </c>
      <c r="FB37" s="9" t="s">
        <v>413</v>
      </c>
      <c r="FC37" s="9" t="s">
        <v>413</v>
      </c>
      <c r="FD37" s="9" t="s">
        <v>413</v>
      </c>
      <c r="FE37" s="9" t="s">
        <v>415</v>
      </c>
      <c r="FF37" s="9" t="s">
        <v>413</v>
      </c>
      <c r="FG37" s="9" t="s">
        <v>415</v>
      </c>
      <c r="FH37" s="9" t="s">
        <v>415</v>
      </c>
      <c r="FI37" s="9" t="s">
        <v>415</v>
      </c>
      <c r="FJ37" s="9" t="s">
        <v>415</v>
      </c>
      <c r="FK37" s="9" t="s">
        <v>415</v>
      </c>
      <c r="FL37" s="9" t="s">
        <v>415</v>
      </c>
      <c r="FM37" s="9" t="s">
        <v>415</v>
      </c>
      <c r="FN37" s="9" t="s">
        <v>415</v>
      </c>
      <c r="FO37" s="9" t="s">
        <v>850</v>
      </c>
      <c r="FP37" s="9" t="s">
        <v>418</v>
      </c>
      <c r="FQ37" s="9" t="s">
        <v>712</v>
      </c>
      <c r="FR37" s="9" t="s">
        <v>1475</v>
      </c>
      <c r="FS37" s="9" t="s">
        <v>420</v>
      </c>
      <c r="FT37" s="9" t="s">
        <v>1476</v>
      </c>
      <c r="FU37" s="9" t="s">
        <v>918</v>
      </c>
      <c r="FV37" s="9" t="s">
        <v>490</v>
      </c>
      <c r="FW37" s="9" t="s">
        <v>491</v>
      </c>
      <c r="FX37" s="9" t="s">
        <v>1477</v>
      </c>
      <c r="FY37" s="9" t="s">
        <v>535</v>
      </c>
      <c r="GA37" s="9" t="s">
        <v>1478</v>
      </c>
      <c r="GB37" s="9" t="s">
        <v>455</v>
      </c>
      <c r="GC37" s="9"/>
      <c r="GE37" s="9" t="s">
        <v>753</v>
      </c>
      <c r="GF37" s="9" t="s">
        <v>1479</v>
      </c>
      <c r="GG37" s="9" t="s">
        <v>788</v>
      </c>
      <c r="GH37" s="9" t="s">
        <v>788</v>
      </c>
      <c r="GI37" s="9" t="s">
        <v>756</v>
      </c>
    </row>
    <row r="38" ht="24.75" customHeight="1">
      <c r="A38" s="8">
        <v>45827.40643686343</v>
      </c>
      <c r="B38" s="9" t="s">
        <v>368</v>
      </c>
      <c r="C38" s="9" t="s">
        <v>370</v>
      </c>
      <c r="E38" s="9" t="s">
        <v>1480</v>
      </c>
      <c r="G38" s="9" t="s">
        <v>422</v>
      </c>
      <c r="H38" s="9" t="s">
        <v>373</v>
      </c>
      <c r="I38" s="9" t="s">
        <v>374</v>
      </c>
      <c r="J38" s="9" t="s">
        <v>718</v>
      </c>
      <c r="K38" s="9" t="s">
        <v>376</v>
      </c>
      <c r="L38" s="9" t="s">
        <v>793</v>
      </c>
      <c r="M38" s="9" t="s">
        <v>639</v>
      </c>
      <c r="N38" s="9" t="s">
        <v>426</v>
      </c>
      <c r="O38" s="9" t="s">
        <v>719</v>
      </c>
      <c r="P38" s="9" t="s">
        <v>592</v>
      </c>
      <c r="Q38" s="9" t="s">
        <v>499</v>
      </c>
      <c r="R38" s="9" t="s">
        <v>500</v>
      </c>
      <c r="S38" s="9" t="s">
        <v>384</v>
      </c>
      <c r="T38" s="9" t="s">
        <v>385</v>
      </c>
      <c r="W38" s="9" t="s">
        <v>593</v>
      </c>
      <c r="X38" s="9" t="s">
        <v>387</v>
      </c>
      <c r="Y38" s="9" t="s">
        <v>388</v>
      </c>
      <c r="Z38" s="9" t="s">
        <v>502</v>
      </c>
      <c r="AA38" s="9" t="s">
        <v>1481</v>
      </c>
      <c r="AV38" s="9" t="s">
        <v>597</v>
      </c>
      <c r="AW38" s="9" t="s">
        <v>391</v>
      </c>
      <c r="AX38" s="9" t="s">
        <v>391</v>
      </c>
      <c r="AY38" s="9">
        <v>2.0</v>
      </c>
      <c r="AZ38" s="9">
        <v>2.0</v>
      </c>
      <c r="BA38" s="9" t="s">
        <v>391</v>
      </c>
      <c r="BB38" s="9" t="s">
        <v>391</v>
      </c>
      <c r="BC38" s="9" t="s">
        <v>1482</v>
      </c>
      <c r="BD38" s="9" t="s">
        <v>1483</v>
      </c>
      <c r="BE38" s="9" t="s">
        <v>432</v>
      </c>
      <c r="BF38" s="9" t="s">
        <v>433</v>
      </c>
      <c r="BG38" s="9" t="s">
        <v>765</v>
      </c>
      <c r="BH38" s="9" t="s">
        <v>1484</v>
      </c>
      <c r="BI38" s="9" t="s">
        <v>435</v>
      </c>
      <c r="BK38" s="9" t="s">
        <v>437</v>
      </c>
      <c r="BL38" s="9" t="s">
        <v>438</v>
      </c>
      <c r="BM38" s="9" t="s">
        <v>549</v>
      </c>
      <c r="BN38" s="9" t="s">
        <v>440</v>
      </c>
      <c r="CL38" s="9" t="s">
        <v>441</v>
      </c>
      <c r="CM38" s="9" t="s">
        <v>604</v>
      </c>
      <c r="CN38" s="9" t="s">
        <v>1485</v>
      </c>
      <c r="CO38" s="9" t="s">
        <v>1486</v>
      </c>
      <c r="CP38" s="9" t="s">
        <v>445</v>
      </c>
      <c r="CQ38" s="9" t="s">
        <v>1487</v>
      </c>
      <c r="CR38" s="9" t="s">
        <v>447</v>
      </c>
      <c r="CS38" s="9" t="s">
        <v>909</v>
      </c>
      <c r="CT38" s="9" t="s">
        <v>1488</v>
      </c>
      <c r="CU38" s="9" t="s">
        <v>450</v>
      </c>
      <c r="CV38" s="9" t="s">
        <v>451</v>
      </c>
      <c r="CW38" s="9" t="s">
        <v>1489</v>
      </c>
      <c r="CX38" s="9" t="s">
        <v>408</v>
      </c>
      <c r="CZ38" s="9" t="s">
        <v>453</v>
      </c>
      <c r="DA38" s="9" t="s">
        <v>1490</v>
      </c>
      <c r="DB38" s="9" t="s">
        <v>455</v>
      </c>
      <c r="DC38" s="9" t="s">
        <v>1491</v>
      </c>
      <c r="DD38" s="9" t="s">
        <v>406</v>
      </c>
      <c r="DE38" s="9" t="s">
        <v>691</v>
      </c>
      <c r="DG38" s="9" t="s">
        <v>524</v>
      </c>
      <c r="DH38" s="9" t="s">
        <v>410</v>
      </c>
      <c r="DI38" s="9" t="s">
        <v>459</v>
      </c>
      <c r="DJ38" s="9" t="s">
        <v>460</v>
      </c>
      <c r="DK38" s="9" t="s">
        <v>461</v>
      </c>
      <c r="DM38" s="9" t="s">
        <v>1492</v>
      </c>
      <c r="DN38" s="9" t="s">
        <v>1493</v>
      </c>
      <c r="DO38" s="9" t="s">
        <v>567</v>
      </c>
      <c r="DP38" s="9" t="s">
        <v>1494</v>
      </c>
      <c r="DQ38" s="9" t="s">
        <v>1152</v>
      </c>
      <c r="DR38" s="9" t="s">
        <v>1495</v>
      </c>
      <c r="DS38" s="9" t="s">
        <v>468</v>
      </c>
      <c r="DT38" s="9" t="s">
        <v>703</v>
      </c>
      <c r="DU38" s="9" t="s">
        <v>1496</v>
      </c>
      <c r="DV38" s="9" t="s">
        <v>742</v>
      </c>
      <c r="DW38" s="9" t="s">
        <v>1328</v>
      </c>
      <c r="DX38" s="9" t="s">
        <v>1497</v>
      </c>
      <c r="DY38" s="9" t="s">
        <v>1498</v>
      </c>
      <c r="DZ38" s="9" t="s">
        <v>1499</v>
      </c>
      <c r="EA38" s="9" t="s">
        <v>475</v>
      </c>
      <c r="EB38" s="9" t="s">
        <v>626</v>
      </c>
      <c r="ET38" s="9" t="s">
        <v>526</v>
      </c>
      <c r="EU38" s="9" t="s">
        <v>479</v>
      </c>
      <c r="EV38" s="9" t="s">
        <v>480</v>
      </c>
      <c r="EX38" s="9" t="s">
        <v>1500</v>
      </c>
      <c r="EY38" s="9" t="s">
        <v>1501</v>
      </c>
      <c r="EZ38" s="9" t="s">
        <v>583</v>
      </c>
      <c r="FA38" s="9" t="s">
        <v>583</v>
      </c>
      <c r="FB38" s="9" t="s">
        <v>414</v>
      </c>
      <c r="FC38" s="9" t="s">
        <v>583</v>
      </c>
      <c r="FD38" s="9" t="s">
        <v>416</v>
      </c>
      <c r="FE38" s="9" t="s">
        <v>583</v>
      </c>
      <c r="FF38" s="9" t="s">
        <v>583</v>
      </c>
      <c r="FG38" s="9" t="s">
        <v>413</v>
      </c>
      <c r="FH38" s="9" t="s">
        <v>484</v>
      </c>
      <c r="FI38" s="9" t="s">
        <v>484</v>
      </c>
      <c r="FJ38" s="9" t="s">
        <v>484</v>
      </c>
      <c r="FK38" s="9" t="s">
        <v>415</v>
      </c>
      <c r="FL38" s="9" t="s">
        <v>415</v>
      </c>
      <c r="FM38" s="9" t="s">
        <v>413</v>
      </c>
      <c r="FN38" s="9" t="s">
        <v>484</v>
      </c>
      <c r="FO38" s="9" t="s">
        <v>1074</v>
      </c>
      <c r="FP38" s="9" t="s">
        <v>418</v>
      </c>
      <c r="FQ38" s="9" t="s">
        <v>419</v>
      </c>
      <c r="FS38" s="9" t="s">
        <v>420</v>
      </c>
      <c r="FT38" s="9" t="s">
        <v>488</v>
      </c>
      <c r="FU38" s="9" t="s">
        <v>533</v>
      </c>
      <c r="FV38" s="9" t="s">
        <v>490</v>
      </c>
      <c r="FW38" s="9" t="s">
        <v>491</v>
      </c>
      <c r="FX38" s="9" t="s">
        <v>1502</v>
      </c>
      <c r="FY38" s="9" t="s">
        <v>535</v>
      </c>
      <c r="GB38" s="9" t="s">
        <v>408</v>
      </c>
      <c r="GG38" s="9" t="s">
        <v>755</v>
      </c>
      <c r="GH38" s="9" t="s">
        <v>755</v>
      </c>
      <c r="GI38" s="9" t="s">
        <v>946</v>
      </c>
      <c r="GM38" s="9" t="s">
        <v>1079</v>
      </c>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row>
    <row r="39" ht="24.75" customHeight="1">
      <c r="A39" s="8">
        <v>45827.41032530092</v>
      </c>
      <c r="B39" s="9" t="s">
        <v>368</v>
      </c>
      <c r="C39" s="9" t="s">
        <v>634</v>
      </c>
      <c r="D39" s="9" t="s">
        <v>634</v>
      </c>
      <c r="G39" s="9" t="s">
        <v>1503</v>
      </c>
      <c r="H39" s="9" t="s">
        <v>1203</v>
      </c>
      <c r="I39" s="9" t="s">
        <v>638</v>
      </c>
      <c r="J39" s="9" t="s">
        <v>1204</v>
      </c>
      <c r="K39" s="9" t="s">
        <v>376</v>
      </c>
      <c r="L39" s="9" t="s">
        <v>379</v>
      </c>
      <c r="M39" s="9" t="s">
        <v>378</v>
      </c>
      <c r="N39" s="9" t="s">
        <v>379</v>
      </c>
      <c r="O39" s="9" t="s">
        <v>380</v>
      </c>
      <c r="P39" s="9" t="s">
        <v>1504</v>
      </c>
      <c r="Q39" s="9" t="s">
        <v>1156</v>
      </c>
      <c r="R39" s="9" t="s">
        <v>427</v>
      </c>
      <c r="S39" s="9" t="s">
        <v>384</v>
      </c>
      <c r="T39" s="9" t="s">
        <v>385</v>
      </c>
      <c r="W39" s="9" t="s">
        <v>593</v>
      </c>
      <c r="X39" s="9" t="s">
        <v>642</v>
      </c>
      <c r="AL39" s="9" t="s">
        <v>1505</v>
      </c>
      <c r="AM39" s="9" t="s">
        <v>644</v>
      </c>
      <c r="AN39" s="9" t="s">
        <v>408</v>
      </c>
      <c r="AP39" s="9" t="s">
        <v>1506</v>
      </c>
      <c r="AQ39" s="9">
        <v>5.0</v>
      </c>
      <c r="AR39" s="9" t="s">
        <v>1507</v>
      </c>
      <c r="AV39" s="9" t="s">
        <v>1310</v>
      </c>
      <c r="AW39" s="9">
        <v>4.0</v>
      </c>
      <c r="AX39" s="9">
        <v>4.0</v>
      </c>
      <c r="AY39" s="9">
        <v>4.0</v>
      </c>
      <c r="AZ39" s="9">
        <v>4.0</v>
      </c>
      <c r="BA39" s="9">
        <v>4.0</v>
      </c>
      <c r="BB39" s="9">
        <v>4.0</v>
      </c>
      <c r="BE39" s="9" t="s">
        <v>902</v>
      </c>
      <c r="BF39" s="9" t="s">
        <v>1095</v>
      </c>
      <c r="BG39" s="9" t="s">
        <v>678</v>
      </c>
      <c r="BI39" s="9" t="s">
        <v>727</v>
      </c>
      <c r="BK39" s="9" t="s">
        <v>437</v>
      </c>
      <c r="BL39" s="9" t="s">
        <v>904</v>
      </c>
      <c r="BM39" s="9" t="s">
        <v>1247</v>
      </c>
      <c r="BN39" s="9" t="s">
        <v>513</v>
      </c>
      <c r="CL39" s="9" t="s">
        <v>550</v>
      </c>
      <c r="CM39" s="9" t="s">
        <v>401</v>
      </c>
      <c r="CP39" s="9" t="s">
        <v>979</v>
      </c>
      <c r="CQ39" s="9" t="s">
        <v>1508</v>
      </c>
      <c r="CR39" s="9" t="s">
        <v>804</v>
      </c>
      <c r="CS39" s="9" t="s">
        <v>1509</v>
      </c>
      <c r="CU39" s="9" t="s">
        <v>450</v>
      </c>
      <c r="CV39" s="9" t="s">
        <v>451</v>
      </c>
      <c r="CX39" s="9" t="s">
        <v>408</v>
      </c>
      <c r="CZ39" s="9" t="s">
        <v>453</v>
      </c>
      <c r="DD39" s="9" t="s">
        <v>988</v>
      </c>
      <c r="DG39" s="9" t="s">
        <v>524</v>
      </c>
      <c r="DH39" s="9" t="s">
        <v>410</v>
      </c>
      <c r="DI39" s="9" t="s">
        <v>459</v>
      </c>
      <c r="DJ39" s="9" t="s">
        <v>460</v>
      </c>
      <c r="DK39" s="9" t="s">
        <v>461</v>
      </c>
      <c r="ET39" s="9" t="s">
        <v>526</v>
      </c>
      <c r="EU39" s="9" t="s">
        <v>479</v>
      </c>
      <c r="EV39" s="9" t="s">
        <v>527</v>
      </c>
      <c r="EZ39" s="9" t="s">
        <v>413</v>
      </c>
      <c r="FA39" s="9" t="s">
        <v>414</v>
      </c>
      <c r="FB39" s="9" t="s">
        <v>413</v>
      </c>
      <c r="FC39" s="9" t="s">
        <v>413</v>
      </c>
      <c r="FD39" s="9" t="s">
        <v>413</v>
      </c>
      <c r="FE39" s="9" t="s">
        <v>414</v>
      </c>
      <c r="FF39" s="9" t="s">
        <v>415</v>
      </c>
      <c r="FG39" s="9" t="s">
        <v>413</v>
      </c>
      <c r="FH39" s="9" t="s">
        <v>583</v>
      </c>
      <c r="FI39" s="9" t="s">
        <v>413</v>
      </c>
      <c r="FJ39" s="9" t="s">
        <v>415</v>
      </c>
      <c r="FK39" s="9" t="s">
        <v>413</v>
      </c>
      <c r="FL39" s="9" t="s">
        <v>413</v>
      </c>
      <c r="FM39" s="9" t="s">
        <v>413</v>
      </c>
      <c r="FN39" s="9" t="s">
        <v>583</v>
      </c>
      <c r="FO39" s="9" t="s">
        <v>485</v>
      </c>
      <c r="FP39" s="9" t="s">
        <v>486</v>
      </c>
      <c r="FQ39" s="9" t="s">
        <v>419</v>
      </c>
      <c r="FS39" s="9" t="s">
        <v>420</v>
      </c>
      <c r="FT39" s="9" t="s">
        <v>1462</v>
      </c>
      <c r="FU39" s="9" t="s">
        <v>533</v>
      </c>
      <c r="FV39" s="9" t="s">
        <v>490</v>
      </c>
      <c r="FW39" s="9" t="s">
        <v>491</v>
      </c>
      <c r="FY39" s="9" t="s">
        <v>535</v>
      </c>
      <c r="GB39" s="9" t="s">
        <v>408</v>
      </c>
      <c r="GG39" s="9" t="s">
        <v>1000</v>
      </c>
      <c r="GH39" s="9" t="s">
        <v>755</v>
      </c>
      <c r="GI39" s="9" t="s">
        <v>858</v>
      </c>
    </row>
    <row r="40" ht="24.75" customHeight="1">
      <c r="A40" s="8">
        <v>45827.43042048611</v>
      </c>
      <c r="B40" s="9" t="s">
        <v>368</v>
      </c>
      <c r="C40" s="9" t="s">
        <v>370</v>
      </c>
      <c r="E40" s="9" t="s">
        <v>1510</v>
      </c>
      <c r="G40" s="9" t="s">
        <v>422</v>
      </c>
      <c r="H40" s="9" t="s">
        <v>637</v>
      </c>
      <c r="I40" s="9" t="s">
        <v>638</v>
      </c>
      <c r="J40" s="9" t="s">
        <v>590</v>
      </c>
      <c r="K40" s="9" t="s">
        <v>376</v>
      </c>
      <c r="L40" s="9" t="s">
        <v>591</v>
      </c>
      <c r="M40" s="9" t="s">
        <v>1024</v>
      </c>
      <c r="N40" s="9" t="s">
        <v>379</v>
      </c>
      <c r="O40" s="9" t="s">
        <v>1511</v>
      </c>
      <c r="P40" s="9" t="s">
        <v>381</v>
      </c>
      <c r="Q40" s="9" t="s">
        <v>759</v>
      </c>
      <c r="R40" s="9" t="s">
        <v>949</v>
      </c>
      <c r="S40" s="9" t="s">
        <v>1512</v>
      </c>
      <c r="T40" s="9" t="s">
        <v>385</v>
      </c>
      <c r="W40" s="9" t="s">
        <v>386</v>
      </c>
      <c r="X40" s="9" t="s">
        <v>387</v>
      </c>
      <c r="Y40" s="9" t="s">
        <v>388</v>
      </c>
      <c r="Z40" s="9" t="s">
        <v>502</v>
      </c>
      <c r="AA40" s="9" t="s">
        <v>1513</v>
      </c>
      <c r="AV40" s="9" t="s">
        <v>504</v>
      </c>
      <c r="AW40" s="9" t="s">
        <v>429</v>
      </c>
      <c r="AX40" s="9" t="s">
        <v>429</v>
      </c>
      <c r="AY40" s="9" t="s">
        <v>429</v>
      </c>
      <c r="AZ40" s="9" t="s">
        <v>429</v>
      </c>
      <c r="BA40" s="9" t="s">
        <v>429</v>
      </c>
      <c r="BB40" s="9">
        <v>2.0</v>
      </c>
      <c r="BC40" s="9" t="s">
        <v>1514</v>
      </c>
      <c r="BD40" s="9" t="s">
        <v>1515</v>
      </c>
      <c r="BE40" s="9" t="s">
        <v>392</v>
      </c>
      <c r="BF40" s="9" t="s">
        <v>433</v>
      </c>
      <c r="BG40" s="9" t="s">
        <v>678</v>
      </c>
      <c r="BI40" s="9" t="s">
        <v>824</v>
      </c>
      <c r="BK40" s="9" t="s">
        <v>511</v>
      </c>
      <c r="BL40" s="9" t="s">
        <v>512</v>
      </c>
      <c r="BM40" s="9" t="s">
        <v>439</v>
      </c>
      <c r="BN40" s="9" t="s">
        <v>513</v>
      </c>
      <c r="CL40" s="9" t="s">
        <v>441</v>
      </c>
      <c r="CM40" s="9" t="s">
        <v>604</v>
      </c>
      <c r="CO40" s="9" t="s">
        <v>1516</v>
      </c>
      <c r="CP40" s="9" t="s">
        <v>403</v>
      </c>
      <c r="CQ40" s="9" t="s">
        <v>1517</v>
      </c>
      <c r="CR40" s="9" t="s">
        <v>404</v>
      </c>
      <c r="CS40" s="9" t="s">
        <v>1518</v>
      </c>
      <c r="CU40" s="9" t="s">
        <v>519</v>
      </c>
      <c r="CV40" s="9" t="s">
        <v>451</v>
      </c>
      <c r="CW40" s="9" t="s">
        <v>1519</v>
      </c>
      <c r="CX40" s="9" t="s">
        <v>455</v>
      </c>
      <c r="CZ40" s="9" t="s">
        <v>453</v>
      </c>
      <c r="DA40" s="9" t="s">
        <v>1520</v>
      </c>
      <c r="DB40" s="9" t="s">
        <v>455</v>
      </c>
      <c r="DC40" s="9" t="s">
        <v>1521</v>
      </c>
      <c r="DD40" s="9" t="s">
        <v>457</v>
      </c>
      <c r="DG40" s="9" t="s">
        <v>776</v>
      </c>
      <c r="DH40" s="9" t="s">
        <v>410</v>
      </c>
      <c r="DI40" s="9" t="s">
        <v>777</v>
      </c>
      <c r="DJ40" s="9" t="s">
        <v>562</v>
      </c>
      <c r="DK40" s="9" t="s">
        <v>1434</v>
      </c>
      <c r="ET40" s="9" t="s">
        <v>478</v>
      </c>
      <c r="EU40" s="9" t="s">
        <v>479</v>
      </c>
      <c r="EV40" s="9" t="s">
        <v>1262</v>
      </c>
      <c r="EX40" s="9" t="s">
        <v>1522</v>
      </c>
      <c r="EY40" s="9" t="s">
        <v>1523</v>
      </c>
      <c r="EZ40" s="9" t="s">
        <v>414</v>
      </c>
      <c r="FA40" s="9" t="s">
        <v>414</v>
      </c>
      <c r="FB40" s="9" t="s">
        <v>415</v>
      </c>
      <c r="FC40" s="9" t="s">
        <v>414</v>
      </c>
      <c r="FD40" s="9" t="s">
        <v>416</v>
      </c>
      <c r="FE40" s="9" t="s">
        <v>414</v>
      </c>
      <c r="FF40" s="9" t="s">
        <v>415</v>
      </c>
      <c r="FG40" s="9" t="s">
        <v>416</v>
      </c>
      <c r="FH40" s="9" t="s">
        <v>583</v>
      </c>
      <c r="FI40" s="9" t="s">
        <v>583</v>
      </c>
      <c r="FJ40" s="9" t="s">
        <v>414</v>
      </c>
      <c r="FK40" s="9" t="s">
        <v>415</v>
      </c>
      <c r="FL40" s="9" t="s">
        <v>415</v>
      </c>
      <c r="FM40" s="9" t="s">
        <v>414</v>
      </c>
      <c r="FN40" s="9" t="s">
        <v>583</v>
      </c>
      <c r="FO40" s="9" t="s">
        <v>417</v>
      </c>
      <c r="FP40" s="9" t="s">
        <v>486</v>
      </c>
      <c r="FQ40" s="9" t="s">
        <v>630</v>
      </c>
      <c r="FR40" s="9" t="s">
        <v>1524</v>
      </c>
      <c r="FS40" s="9" t="s">
        <v>420</v>
      </c>
      <c r="FT40" s="9" t="s">
        <v>1462</v>
      </c>
      <c r="FU40" s="9" t="s">
        <v>1235</v>
      </c>
      <c r="FV40" s="9" t="s">
        <v>490</v>
      </c>
      <c r="FW40" s="9" t="s">
        <v>491</v>
      </c>
      <c r="FX40" s="9" t="s">
        <v>1525</v>
      </c>
      <c r="FY40" s="9" t="s">
        <v>493</v>
      </c>
      <c r="GB40" s="9" t="s">
        <v>455</v>
      </c>
      <c r="GC40" s="9"/>
      <c r="GE40" s="9" t="s">
        <v>855</v>
      </c>
      <c r="GG40" s="9" t="s">
        <v>755</v>
      </c>
      <c r="GH40" s="9" t="s">
        <v>755</v>
      </c>
      <c r="GI40" s="9" t="s">
        <v>946</v>
      </c>
    </row>
    <row r="41" ht="24.75" customHeight="1">
      <c r="A41" s="8">
        <v>45827.43160585648</v>
      </c>
      <c r="B41" s="9" t="s">
        <v>368</v>
      </c>
      <c r="C41" s="9" t="s">
        <v>538</v>
      </c>
      <c r="D41" s="9" t="s">
        <v>538</v>
      </c>
      <c r="G41" s="9" t="s">
        <v>422</v>
      </c>
      <c r="H41" s="9" t="s">
        <v>539</v>
      </c>
      <c r="I41" s="9" t="s">
        <v>424</v>
      </c>
      <c r="J41" s="9" t="s">
        <v>375</v>
      </c>
      <c r="K41" s="9" t="s">
        <v>376</v>
      </c>
      <c r="L41" s="9" t="s">
        <v>1526</v>
      </c>
      <c r="M41" s="9" t="s">
        <v>378</v>
      </c>
      <c r="N41" s="9" t="s">
        <v>1526</v>
      </c>
      <c r="O41" s="9" t="s">
        <v>497</v>
      </c>
      <c r="P41" s="9" t="s">
        <v>381</v>
      </c>
      <c r="Q41" s="9" t="s">
        <v>759</v>
      </c>
      <c r="R41" s="9" t="s">
        <v>500</v>
      </c>
      <c r="S41" s="9" t="s">
        <v>384</v>
      </c>
      <c r="T41" s="9" t="s">
        <v>385</v>
      </c>
      <c r="W41" s="9" t="s">
        <v>760</v>
      </c>
      <c r="X41" s="9" t="s">
        <v>387</v>
      </c>
      <c r="Z41" s="9" t="s">
        <v>389</v>
      </c>
      <c r="AV41" s="9" t="s">
        <v>504</v>
      </c>
      <c r="AW41" s="9">
        <v>2.0</v>
      </c>
      <c r="AX41" s="9">
        <v>2.0</v>
      </c>
      <c r="AY41" s="9">
        <v>2.0</v>
      </c>
      <c r="AZ41" s="9" t="s">
        <v>429</v>
      </c>
      <c r="BA41" s="9">
        <v>2.0</v>
      </c>
      <c r="BB41" s="9" t="s">
        <v>391</v>
      </c>
      <c r="BE41" s="9" t="s">
        <v>902</v>
      </c>
      <c r="BF41" s="9" t="s">
        <v>433</v>
      </c>
      <c r="BG41" s="9" t="s">
        <v>765</v>
      </c>
      <c r="BH41" s="9" t="s">
        <v>1527</v>
      </c>
      <c r="BI41" s="9" t="s">
        <v>509</v>
      </c>
      <c r="BK41" s="9" t="s">
        <v>681</v>
      </c>
      <c r="BL41" s="9" t="s">
        <v>512</v>
      </c>
      <c r="BM41" s="9" t="s">
        <v>439</v>
      </c>
      <c r="BN41" s="9" t="s">
        <v>513</v>
      </c>
      <c r="CL41" s="9" t="s">
        <v>550</v>
      </c>
      <c r="CM41" s="9" t="s">
        <v>401</v>
      </c>
      <c r="CN41" s="9" t="s">
        <v>552</v>
      </c>
      <c r="CP41" s="9" t="s">
        <v>403</v>
      </c>
      <c r="CQ41" s="9" t="s">
        <v>931</v>
      </c>
      <c r="CR41" s="9" t="s">
        <v>804</v>
      </c>
      <c r="CS41" s="9" t="s">
        <v>1528</v>
      </c>
      <c r="CT41" s="9" t="s">
        <v>1529</v>
      </c>
      <c r="CU41" s="9" t="s">
        <v>450</v>
      </c>
      <c r="CV41" s="9" t="s">
        <v>451</v>
      </c>
      <c r="CW41" s="9" t="s">
        <v>1530</v>
      </c>
      <c r="CX41" s="9" t="s">
        <v>408</v>
      </c>
      <c r="CZ41" s="9" t="s">
        <v>453</v>
      </c>
      <c r="DA41" s="9" t="s">
        <v>1531</v>
      </c>
      <c r="DB41" s="9" t="s">
        <v>455</v>
      </c>
      <c r="DC41" s="9" t="s">
        <v>1532</v>
      </c>
      <c r="DD41" s="9" t="s">
        <v>406</v>
      </c>
      <c r="DE41" s="9" t="s">
        <v>691</v>
      </c>
      <c r="DG41" s="9" t="s">
        <v>561</v>
      </c>
      <c r="DH41" s="9" t="s">
        <v>410</v>
      </c>
      <c r="DI41" s="9" t="s">
        <v>963</v>
      </c>
      <c r="DJ41" s="9" t="s">
        <v>562</v>
      </c>
      <c r="DK41" s="9" t="s">
        <v>563</v>
      </c>
      <c r="DL41" s="9" t="s">
        <v>1533</v>
      </c>
      <c r="ET41" s="9" t="s">
        <v>526</v>
      </c>
      <c r="EU41" s="9" t="s">
        <v>579</v>
      </c>
      <c r="EV41" s="9" t="s">
        <v>1534</v>
      </c>
      <c r="EX41" s="9" t="s">
        <v>1535</v>
      </c>
      <c r="EY41" s="9" t="s">
        <v>1536</v>
      </c>
      <c r="EZ41" s="9" t="s">
        <v>414</v>
      </c>
      <c r="FA41" s="9" t="s">
        <v>583</v>
      </c>
      <c r="FB41" s="9" t="s">
        <v>413</v>
      </c>
      <c r="FC41" s="9" t="s">
        <v>415</v>
      </c>
      <c r="FD41" s="9" t="s">
        <v>416</v>
      </c>
      <c r="FE41" s="9" t="s">
        <v>583</v>
      </c>
      <c r="FF41" s="9" t="s">
        <v>415</v>
      </c>
      <c r="FG41" s="9" t="s">
        <v>415</v>
      </c>
      <c r="FH41" s="9" t="s">
        <v>415</v>
      </c>
      <c r="FI41" s="9" t="s">
        <v>416</v>
      </c>
      <c r="FJ41" s="9" t="s">
        <v>416</v>
      </c>
      <c r="FK41" s="9" t="s">
        <v>415</v>
      </c>
      <c r="FL41" s="9" t="s">
        <v>414</v>
      </c>
      <c r="FM41" s="9" t="s">
        <v>415</v>
      </c>
      <c r="FN41" s="9" t="s">
        <v>415</v>
      </c>
      <c r="FO41" s="9" t="s">
        <v>1537</v>
      </c>
      <c r="FP41" s="9" t="s">
        <v>486</v>
      </c>
      <c r="FQ41" s="9" t="s">
        <v>1039</v>
      </c>
      <c r="FS41" s="9" t="s">
        <v>420</v>
      </c>
      <c r="FT41" s="9" t="s">
        <v>1462</v>
      </c>
      <c r="FU41" s="9" t="s">
        <v>1235</v>
      </c>
      <c r="FV41" s="9" t="s">
        <v>490</v>
      </c>
      <c r="FW41" s="9" t="s">
        <v>491</v>
      </c>
      <c r="FX41" s="9" t="s">
        <v>1538</v>
      </c>
      <c r="FY41" s="9" t="s">
        <v>535</v>
      </c>
      <c r="GB41" s="9" t="s">
        <v>408</v>
      </c>
      <c r="GG41" s="9" t="s">
        <v>920</v>
      </c>
      <c r="GH41" s="9" t="s">
        <v>1000</v>
      </c>
      <c r="GI41" s="9" t="s">
        <v>858</v>
      </c>
    </row>
    <row r="42" ht="24.75" customHeight="1">
      <c r="A42" s="8">
        <v>45827.434389699076</v>
      </c>
      <c r="B42" s="9" t="s">
        <v>368</v>
      </c>
      <c r="C42" s="9" t="s">
        <v>370</v>
      </c>
      <c r="E42" s="9" t="s">
        <v>1421</v>
      </c>
      <c r="G42" s="9" t="s">
        <v>422</v>
      </c>
      <c r="H42" s="9" t="s">
        <v>637</v>
      </c>
      <c r="I42" s="9" t="s">
        <v>638</v>
      </c>
      <c r="J42" s="9" t="s">
        <v>375</v>
      </c>
      <c r="K42" s="9" t="s">
        <v>376</v>
      </c>
      <c r="L42" s="9" t="s">
        <v>793</v>
      </c>
      <c r="M42" s="9" t="s">
        <v>639</v>
      </c>
      <c r="N42" s="9" t="s">
        <v>426</v>
      </c>
      <c r="O42" s="9" t="s">
        <v>719</v>
      </c>
      <c r="P42" s="9" t="s">
        <v>592</v>
      </c>
      <c r="Q42" s="9" t="s">
        <v>862</v>
      </c>
      <c r="R42" s="9" t="s">
        <v>1197</v>
      </c>
      <c r="S42" s="9" t="s">
        <v>384</v>
      </c>
      <c r="T42" s="9" t="s">
        <v>385</v>
      </c>
      <c r="W42" s="9" t="s">
        <v>760</v>
      </c>
      <c r="X42" s="9" t="s">
        <v>387</v>
      </c>
      <c r="Y42" s="9" t="s">
        <v>388</v>
      </c>
      <c r="Z42" s="9" t="s">
        <v>502</v>
      </c>
      <c r="AV42" s="9" t="s">
        <v>390</v>
      </c>
      <c r="AW42" s="9" t="s">
        <v>675</v>
      </c>
      <c r="AX42" s="9">
        <v>4.0</v>
      </c>
      <c r="AY42" s="9">
        <v>4.0</v>
      </c>
      <c r="AZ42" s="9" t="s">
        <v>675</v>
      </c>
      <c r="BA42" s="9" t="s">
        <v>675</v>
      </c>
      <c r="BB42" s="9">
        <v>4.0</v>
      </c>
      <c r="BC42" s="9" t="s">
        <v>1539</v>
      </c>
      <c r="BD42" s="9" t="s">
        <v>1540</v>
      </c>
      <c r="BE42" s="9" t="s">
        <v>432</v>
      </c>
      <c r="BF42" s="9" t="s">
        <v>1095</v>
      </c>
      <c r="BG42" s="9" t="s">
        <v>434</v>
      </c>
      <c r="BH42" s="9" t="s">
        <v>1541</v>
      </c>
      <c r="BI42" s="9" t="s">
        <v>976</v>
      </c>
      <c r="BK42" s="9" t="s">
        <v>602</v>
      </c>
      <c r="BL42" s="9" t="s">
        <v>438</v>
      </c>
      <c r="BM42" s="9" t="s">
        <v>397</v>
      </c>
      <c r="BN42" s="9" t="s">
        <v>440</v>
      </c>
      <c r="CL42" s="9" t="s">
        <v>441</v>
      </c>
      <c r="CM42" s="9" t="s">
        <v>604</v>
      </c>
      <c r="CN42" s="9" t="s">
        <v>1542</v>
      </c>
      <c r="CO42" s="9" t="s">
        <v>1543</v>
      </c>
      <c r="CP42" s="9" t="s">
        <v>403</v>
      </c>
      <c r="CQ42" s="9" t="s">
        <v>1544</v>
      </c>
      <c r="CR42" s="9" t="s">
        <v>804</v>
      </c>
      <c r="CS42" s="9" t="s">
        <v>1545</v>
      </c>
      <c r="CT42" s="9" t="s">
        <v>1546</v>
      </c>
      <c r="CU42" s="9" t="s">
        <v>519</v>
      </c>
      <c r="CV42" s="9" t="s">
        <v>451</v>
      </c>
      <c r="CW42" s="9" t="s">
        <v>1547</v>
      </c>
      <c r="CX42" s="9" t="s">
        <v>408</v>
      </c>
      <c r="CZ42" s="9" t="s">
        <v>453</v>
      </c>
      <c r="DA42" s="9">
        <v>12.0</v>
      </c>
      <c r="DB42" s="9" t="s">
        <v>455</v>
      </c>
      <c r="DC42" s="9" t="s">
        <v>1548</v>
      </c>
      <c r="DD42" s="9" t="s">
        <v>406</v>
      </c>
      <c r="DE42" s="9" t="s">
        <v>407</v>
      </c>
      <c r="DF42" s="9" t="s">
        <v>1549</v>
      </c>
      <c r="DG42" s="9" t="s">
        <v>524</v>
      </c>
      <c r="DH42" s="9" t="s">
        <v>410</v>
      </c>
      <c r="DI42" s="9" t="s">
        <v>459</v>
      </c>
      <c r="DJ42" s="9" t="s">
        <v>613</v>
      </c>
      <c r="DM42" s="9" t="s">
        <v>1550</v>
      </c>
      <c r="DN42" s="9" t="s">
        <v>1551</v>
      </c>
      <c r="DO42" s="9" t="s">
        <v>464</v>
      </c>
      <c r="DP42" s="9" t="s">
        <v>1552</v>
      </c>
      <c r="DQ42" s="9" t="s">
        <v>1553</v>
      </c>
      <c r="DR42" s="9" t="s">
        <v>1554</v>
      </c>
      <c r="DS42" s="9" t="s">
        <v>702</v>
      </c>
      <c r="DT42" s="9" t="s">
        <v>619</v>
      </c>
      <c r="DU42" s="9" t="s">
        <v>1555</v>
      </c>
      <c r="DV42" s="9" t="s">
        <v>1556</v>
      </c>
      <c r="DW42" s="9" t="s">
        <v>1328</v>
      </c>
      <c r="DX42" s="9" t="s">
        <v>1557</v>
      </c>
      <c r="DY42" s="9" t="s">
        <v>1558</v>
      </c>
      <c r="DZ42" s="9" t="s">
        <v>1559</v>
      </c>
      <c r="EA42" s="9" t="s">
        <v>475</v>
      </c>
      <c r="EB42" s="9" t="s">
        <v>626</v>
      </c>
      <c r="EC42" s="9" t="s">
        <v>1560</v>
      </c>
      <c r="ET42" s="9" t="s">
        <v>526</v>
      </c>
      <c r="EU42" s="9" t="s">
        <v>479</v>
      </c>
      <c r="EV42" s="9" t="s">
        <v>527</v>
      </c>
      <c r="EZ42" s="9" t="s">
        <v>415</v>
      </c>
      <c r="FA42" s="9" t="s">
        <v>415</v>
      </c>
      <c r="FB42" s="9" t="s">
        <v>413</v>
      </c>
      <c r="FC42" s="9" t="s">
        <v>413</v>
      </c>
      <c r="FD42" s="9" t="s">
        <v>413</v>
      </c>
      <c r="FE42" s="9" t="s">
        <v>415</v>
      </c>
      <c r="FF42" s="9" t="s">
        <v>415</v>
      </c>
      <c r="FG42" s="9" t="s">
        <v>413</v>
      </c>
      <c r="FH42" s="9" t="s">
        <v>583</v>
      </c>
      <c r="FI42" s="9" t="s">
        <v>414</v>
      </c>
      <c r="FJ42" s="9" t="s">
        <v>416</v>
      </c>
      <c r="FK42" s="9" t="s">
        <v>413</v>
      </c>
      <c r="FL42" s="9" t="s">
        <v>413</v>
      </c>
      <c r="FM42" s="9" t="s">
        <v>413</v>
      </c>
      <c r="FN42" s="9" t="s">
        <v>416</v>
      </c>
      <c r="FO42" s="9" t="s">
        <v>417</v>
      </c>
      <c r="FP42" s="9" t="s">
        <v>418</v>
      </c>
      <c r="FQ42" s="9" t="s">
        <v>1039</v>
      </c>
      <c r="FS42" s="9" t="s">
        <v>420</v>
      </c>
      <c r="FT42" s="9" t="s">
        <v>488</v>
      </c>
      <c r="FU42" s="9" t="s">
        <v>918</v>
      </c>
      <c r="FV42" s="9" t="s">
        <v>490</v>
      </c>
      <c r="FW42" s="9" t="s">
        <v>491</v>
      </c>
      <c r="FX42" s="9" t="s">
        <v>1561</v>
      </c>
      <c r="FY42" s="9" t="s">
        <v>493</v>
      </c>
      <c r="GB42" s="9" t="s">
        <v>455</v>
      </c>
      <c r="GC42" s="9"/>
      <c r="GE42" s="9" t="s">
        <v>753</v>
      </c>
      <c r="GG42" s="9" t="s">
        <v>755</v>
      </c>
      <c r="GH42" s="9" t="s">
        <v>755</v>
      </c>
      <c r="GI42" s="9" t="s">
        <v>946</v>
      </c>
      <c r="GM42" s="9" t="s">
        <v>1079</v>
      </c>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row>
    <row r="43" ht="24.75" customHeight="1">
      <c r="A43" s="8">
        <v>45827.45617319444</v>
      </c>
      <c r="B43" s="9" t="s">
        <v>368</v>
      </c>
      <c r="C43" s="9" t="s">
        <v>370</v>
      </c>
      <c r="E43" s="9" t="s">
        <v>1562</v>
      </c>
      <c r="G43" s="9" t="s">
        <v>422</v>
      </c>
      <c r="H43" s="9" t="s">
        <v>496</v>
      </c>
      <c r="I43" s="9" t="s">
        <v>374</v>
      </c>
      <c r="J43" s="9" t="s">
        <v>718</v>
      </c>
      <c r="K43" s="9" t="s">
        <v>376</v>
      </c>
      <c r="L43" s="9" t="s">
        <v>591</v>
      </c>
      <c r="M43" s="9" t="s">
        <v>719</v>
      </c>
      <c r="N43" s="9" t="s">
        <v>793</v>
      </c>
      <c r="O43" s="9" t="s">
        <v>719</v>
      </c>
      <c r="P43" s="9" t="s">
        <v>592</v>
      </c>
      <c r="Q43" s="9" t="s">
        <v>759</v>
      </c>
      <c r="R43" s="9" t="s">
        <v>427</v>
      </c>
      <c r="S43" s="9" t="s">
        <v>384</v>
      </c>
      <c r="T43" s="9" t="s">
        <v>385</v>
      </c>
      <c r="W43" s="9" t="s">
        <v>428</v>
      </c>
      <c r="AV43" s="9" t="s">
        <v>1310</v>
      </c>
      <c r="AW43" s="9">
        <v>4.0</v>
      </c>
      <c r="AX43" s="9" t="s">
        <v>391</v>
      </c>
      <c r="AY43" s="9" t="s">
        <v>391</v>
      </c>
      <c r="AZ43" s="9">
        <v>4.0</v>
      </c>
      <c r="BA43" s="9" t="s">
        <v>675</v>
      </c>
      <c r="BB43" s="9">
        <v>4.0</v>
      </c>
      <c r="BC43" s="9" t="s">
        <v>1563</v>
      </c>
      <c r="BD43" s="9" t="s">
        <v>1564</v>
      </c>
      <c r="BE43" s="9" t="s">
        <v>432</v>
      </c>
      <c r="BF43" s="9" t="s">
        <v>1095</v>
      </c>
      <c r="BG43" s="9" t="s">
        <v>394</v>
      </c>
      <c r="BH43" s="9" t="s">
        <v>1565</v>
      </c>
      <c r="BI43" s="9" t="s">
        <v>727</v>
      </c>
      <c r="BK43" s="9" t="s">
        <v>681</v>
      </c>
      <c r="BL43" s="9" t="s">
        <v>438</v>
      </c>
      <c r="BM43" s="9" t="s">
        <v>1247</v>
      </c>
      <c r="BN43" s="9" t="s">
        <v>440</v>
      </c>
      <c r="CL43" s="9" t="s">
        <v>441</v>
      </c>
      <c r="CM43" s="9" t="s">
        <v>442</v>
      </c>
      <c r="CN43" s="9" t="s">
        <v>1566</v>
      </c>
      <c r="CO43" s="9" t="s">
        <v>1567</v>
      </c>
      <c r="CP43" s="9" t="s">
        <v>445</v>
      </c>
      <c r="CQ43" s="9" t="s">
        <v>1568</v>
      </c>
      <c r="CR43" s="9" t="s">
        <v>447</v>
      </c>
      <c r="CS43" s="9" t="s">
        <v>1569</v>
      </c>
      <c r="CT43" s="9" t="s">
        <v>1570</v>
      </c>
      <c r="CU43" s="9" t="s">
        <v>450</v>
      </c>
      <c r="CV43" s="9" t="s">
        <v>451</v>
      </c>
      <c r="CW43" s="9" t="s">
        <v>1571</v>
      </c>
      <c r="CX43" s="9" t="s">
        <v>408</v>
      </c>
      <c r="CZ43" s="9" t="s">
        <v>453</v>
      </c>
      <c r="DA43" s="9" t="s">
        <v>1572</v>
      </c>
      <c r="DB43" s="9" t="s">
        <v>455</v>
      </c>
      <c r="DC43" s="9" t="s">
        <v>1573</v>
      </c>
      <c r="DD43" s="9" t="s">
        <v>662</v>
      </c>
      <c r="DF43" s="9" t="s">
        <v>1574</v>
      </c>
      <c r="DG43" s="9" t="s">
        <v>561</v>
      </c>
      <c r="DH43" s="9" t="s">
        <v>410</v>
      </c>
      <c r="DI43" s="9" t="s">
        <v>459</v>
      </c>
      <c r="DJ43" s="9" t="s">
        <v>460</v>
      </c>
      <c r="DK43" s="9" t="s">
        <v>461</v>
      </c>
      <c r="DM43" s="9" t="s">
        <v>1575</v>
      </c>
      <c r="DN43" s="9" t="s">
        <v>1576</v>
      </c>
      <c r="DO43" s="9" t="s">
        <v>567</v>
      </c>
      <c r="DP43" s="9" t="s">
        <v>1577</v>
      </c>
      <c r="DQ43" s="9" t="s">
        <v>1578</v>
      </c>
      <c r="DR43" s="9" t="s">
        <v>1579</v>
      </c>
      <c r="DS43" s="9" t="s">
        <v>618</v>
      </c>
      <c r="DT43" s="9" t="s">
        <v>1580</v>
      </c>
      <c r="DU43" s="9" t="s">
        <v>1581</v>
      </c>
      <c r="DV43" s="9" t="s">
        <v>1582</v>
      </c>
      <c r="DW43" s="9" t="s">
        <v>1328</v>
      </c>
      <c r="DX43" s="9" t="s">
        <v>1583</v>
      </c>
      <c r="DY43" s="9" t="s">
        <v>1584</v>
      </c>
      <c r="DZ43" s="9" t="s">
        <v>1585</v>
      </c>
      <c r="EA43" s="9" t="s">
        <v>475</v>
      </c>
      <c r="EB43" s="9" t="s">
        <v>845</v>
      </c>
      <c r="ET43" s="9" t="s">
        <v>526</v>
      </c>
      <c r="EU43" s="9" t="s">
        <v>887</v>
      </c>
      <c r="EV43" s="9" t="s">
        <v>480</v>
      </c>
      <c r="EW43" s="9" t="s">
        <v>1586</v>
      </c>
      <c r="EX43" s="9" t="s">
        <v>1587</v>
      </c>
      <c r="EY43" s="9" t="s">
        <v>1588</v>
      </c>
      <c r="EZ43" s="9" t="s">
        <v>484</v>
      </c>
      <c r="FA43" s="9" t="s">
        <v>414</v>
      </c>
      <c r="FB43" s="9" t="s">
        <v>484</v>
      </c>
      <c r="FC43" s="9" t="s">
        <v>484</v>
      </c>
      <c r="FD43" s="9" t="s">
        <v>484</v>
      </c>
      <c r="FE43" s="9" t="s">
        <v>414</v>
      </c>
      <c r="FF43" s="9" t="s">
        <v>484</v>
      </c>
      <c r="FG43" s="9" t="s">
        <v>484</v>
      </c>
      <c r="FH43" s="9" t="s">
        <v>484</v>
      </c>
      <c r="FI43" s="9" t="s">
        <v>484</v>
      </c>
      <c r="FJ43" s="9" t="s">
        <v>484</v>
      </c>
      <c r="FK43" s="9" t="s">
        <v>484</v>
      </c>
      <c r="FL43" s="9" t="s">
        <v>484</v>
      </c>
      <c r="FM43" s="9" t="s">
        <v>416</v>
      </c>
      <c r="FN43" s="9" t="s">
        <v>583</v>
      </c>
      <c r="FO43" s="9" t="s">
        <v>417</v>
      </c>
      <c r="FP43" s="9" t="s">
        <v>418</v>
      </c>
      <c r="FQ43" s="9" t="s">
        <v>712</v>
      </c>
      <c r="FR43" s="9" t="s">
        <v>1589</v>
      </c>
      <c r="FS43" s="9" t="s">
        <v>420</v>
      </c>
      <c r="FT43" s="9" t="s">
        <v>488</v>
      </c>
      <c r="FU43" s="9" t="s">
        <v>489</v>
      </c>
      <c r="FV43" s="9" t="s">
        <v>490</v>
      </c>
      <c r="FW43" s="9" t="s">
        <v>491</v>
      </c>
      <c r="FX43" s="9" t="s">
        <v>1590</v>
      </c>
      <c r="FY43" s="9" t="s">
        <v>493</v>
      </c>
      <c r="GA43" s="9" t="s">
        <v>1591</v>
      </c>
      <c r="GB43" s="9" t="s">
        <v>455</v>
      </c>
      <c r="GC43" s="9"/>
      <c r="GE43" s="9" t="s">
        <v>855</v>
      </c>
      <c r="GG43" s="9" t="s">
        <v>857</v>
      </c>
      <c r="GH43" s="9" t="s">
        <v>1000</v>
      </c>
      <c r="GI43" s="9" t="s">
        <v>817</v>
      </c>
      <c r="GM43" s="9" t="s">
        <v>1079</v>
      </c>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row>
    <row r="44" ht="24.75" customHeight="1">
      <c r="A44" s="8">
        <v>45827.47113355324</v>
      </c>
      <c r="B44" s="9" t="s">
        <v>368</v>
      </c>
      <c r="C44" s="9" t="s">
        <v>370</v>
      </c>
      <c r="E44" s="9" t="s">
        <v>1592</v>
      </c>
      <c r="G44" s="9" t="s">
        <v>422</v>
      </c>
      <c r="H44" s="9" t="s">
        <v>373</v>
      </c>
      <c r="I44" s="9" t="s">
        <v>374</v>
      </c>
      <c r="J44" s="9" t="s">
        <v>375</v>
      </c>
      <c r="K44" s="9" t="s">
        <v>376</v>
      </c>
      <c r="L44" s="9" t="s">
        <v>426</v>
      </c>
      <c r="M44" s="9" t="s">
        <v>1593</v>
      </c>
      <c r="N44" s="9" t="s">
        <v>426</v>
      </c>
      <c r="O44" s="9" t="s">
        <v>719</v>
      </c>
      <c r="P44" s="9" t="s">
        <v>498</v>
      </c>
      <c r="Q44" s="9" t="s">
        <v>862</v>
      </c>
      <c r="R44" s="9" t="s">
        <v>1594</v>
      </c>
      <c r="S44" s="9" t="s">
        <v>384</v>
      </c>
      <c r="T44" s="9" t="s">
        <v>385</v>
      </c>
      <c r="W44" s="9" t="s">
        <v>386</v>
      </c>
      <c r="X44" s="9" t="s">
        <v>387</v>
      </c>
      <c r="Y44" s="9" t="s">
        <v>1595</v>
      </c>
      <c r="Z44" s="9" t="s">
        <v>543</v>
      </c>
      <c r="AA44" s="9" t="s">
        <v>408</v>
      </c>
      <c r="AV44" s="9" t="s">
        <v>504</v>
      </c>
      <c r="AW44" s="9">
        <v>2.0</v>
      </c>
      <c r="AX44" s="9" t="s">
        <v>429</v>
      </c>
      <c r="AY44" s="9" t="s">
        <v>391</v>
      </c>
      <c r="AZ44" s="9">
        <v>2.0</v>
      </c>
      <c r="BA44" s="9" t="s">
        <v>429</v>
      </c>
      <c r="BB44" s="9" t="s">
        <v>429</v>
      </c>
      <c r="BC44" s="9" t="s">
        <v>1596</v>
      </c>
      <c r="BD44" s="9" t="s">
        <v>1597</v>
      </c>
      <c r="BE44" s="9" t="s">
        <v>392</v>
      </c>
      <c r="BF44" s="9" t="s">
        <v>433</v>
      </c>
      <c r="BG44" s="9" t="s">
        <v>678</v>
      </c>
      <c r="BH44" s="9" t="s">
        <v>1598</v>
      </c>
      <c r="BI44" s="9" t="s">
        <v>509</v>
      </c>
      <c r="BJ44" s="9" t="s">
        <v>1599</v>
      </c>
      <c r="BK44" s="9" t="s">
        <v>437</v>
      </c>
      <c r="BL44" s="9" t="s">
        <v>512</v>
      </c>
      <c r="BM44" s="9" t="s">
        <v>439</v>
      </c>
      <c r="BN44" s="9" t="s">
        <v>440</v>
      </c>
      <c r="CL44" s="9" t="s">
        <v>441</v>
      </c>
      <c r="CM44" s="9" t="s">
        <v>442</v>
      </c>
      <c r="CN44" s="9" t="s">
        <v>1600</v>
      </c>
      <c r="CO44" s="9" t="s">
        <v>1601</v>
      </c>
      <c r="CP44" s="9" t="s">
        <v>685</v>
      </c>
      <c r="CQ44" s="9" t="s">
        <v>1602</v>
      </c>
      <c r="CR44" s="9" t="s">
        <v>447</v>
      </c>
      <c r="CS44" s="9" t="s">
        <v>448</v>
      </c>
      <c r="CT44" s="9" t="s">
        <v>1603</v>
      </c>
      <c r="CU44" s="9" t="s">
        <v>450</v>
      </c>
      <c r="CV44" s="9" t="s">
        <v>451</v>
      </c>
      <c r="CW44" s="9" t="s">
        <v>1604</v>
      </c>
      <c r="CX44" s="9" t="s">
        <v>455</v>
      </c>
      <c r="CY44" s="9" t="s">
        <v>1605</v>
      </c>
      <c r="CZ44" s="9" t="s">
        <v>453</v>
      </c>
      <c r="DA44" s="9" t="s">
        <v>1606</v>
      </c>
      <c r="DB44" s="9" t="s">
        <v>455</v>
      </c>
      <c r="DC44" s="9" t="s">
        <v>1607</v>
      </c>
      <c r="DD44" s="9" t="s">
        <v>406</v>
      </c>
      <c r="DE44" s="9" t="s">
        <v>407</v>
      </c>
      <c r="DF44" s="9" t="s">
        <v>1608</v>
      </c>
      <c r="DG44" s="9" t="s">
        <v>524</v>
      </c>
      <c r="DH44" s="9" t="s">
        <v>410</v>
      </c>
      <c r="DI44" s="9" t="s">
        <v>459</v>
      </c>
      <c r="DJ44" s="9" t="s">
        <v>613</v>
      </c>
      <c r="DM44" s="9" t="s">
        <v>1609</v>
      </c>
      <c r="DN44" s="9" t="s">
        <v>1610</v>
      </c>
      <c r="DO44" s="9" t="s">
        <v>1063</v>
      </c>
      <c r="DP44" s="9" t="s">
        <v>1611</v>
      </c>
      <c r="DQ44" s="9" t="s">
        <v>1578</v>
      </c>
      <c r="DR44" s="9" t="s">
        <v>1612</v>
      </c>
      <c r="DS44" s="9" t="s">
        <v>468</v>
      </c>
      <c r="DT44" s="9" t="s">
        <v>703</v>
      </c>
      <c r="DU44" s="9" t="s">
        <v>1613</v>
      </c>
      <c r="DV44" s="9" t="s">
        <v>1614</v>
      </c>
      <c r="DW44" s="9" t="s">
        <v>573</v>
      </c>
      <c r="DX44" s="9" t="s">
        <v>1615</v>
      </c>
      <c r="DY44" s="9" t="s">
        <v>1616</v>
      </c>
      <c r="DZ44" s="9" t="s">
        <v>1617</v>
      </c>
      <c r="EA44" s="9" t="s">
        <v>475</v>
      </c>
      <c r="EB44" s="9" t="s">
        <v>845</v>
      </c>
      <c r="EC44" s="9" t="s">
        <v>1618</v>
      </c>
      <c r="ET44" s="9" t="s">
        <v>526</v>
      </c>
      <c r="EU44" s="9" t="s">
        <v>479</v>
      </c>
      <c r="EV44" s="9" t="s">
        <v>480</v>
      </c>
      <c r="EX44" s="9" t="s">
        <v>1619</v>
      </c>
      <c r="EY44" s="9" t="s">
        <v>1620</v>
      </c>
      <c r="EZ44" s="9" t="s">
        <v>414</v>
      </c>
      <c r="FA44" s="9" t="s">
        <v>414</v>
      </c>
      <c r="FB44" s="9" t="s">
        <v>414</v>
      </c>
      <c r="FC44" s="9" t="s">
        <v>414</v>
      </c>
      <c r="FD44" s="9" t="s">
        <v>414</v>
      </c>
      <c r="FE44" s="9" t="s">
        <v>414</v>
      </c>
      <c r="FF44" s="9" t="s">
        <v>414</v>
      </c>
      <c r="FG44" s="9" t="s">
        <v>416</v>
      </c>
      <c r="FH44" s="9" t="s">
        <v>414</v>
      </c>
      <c r="FI44" s="9" t="s">
        <v>414</v>
      </c>
      <c r="FJ44" s="9" t="s">
        <v>415</v>
      </c>
      <c r="FK44" s="9" t="s">
        <v>415</v>
      </c>
      <c r="FL44" s="9" t="s">
        <v>415</v>
      </c>
      <c r="FM44" s="9" t="s">
        <v>415</v>
      </c>
      <c r="FN44" s="9" t="s">
        <v>415</v>
      </c>
      <c r="FO44" s="9" t="s">
        <v>417</v>
      </c>
      <c r="FP44" s="9" t="s">
        <v>418</v>
      </c>
      <c r="FQ44" s="9" t="s">
        <v>712</v>
      </c>
      <c r="FR44" s="9" t="s">
        <v>1621</v>
      </c>
      <c r="FS44" s="9" t="s">
        <v>420</v>
      </c>
      <c r="FT44" s="9" t="s">
        <v>1462</v>
      </c>
      <c r="FU44" s="9" t="s">
        <v>489</v>
      </c>
      <c r="FV44" s="9" t="s">
        <v>490</v>
      </c>
      <c r="FW44" s="9" t="s">
        <v>491</v>
      </c>
      <c r="FX44" s="9" t="s">
        <v>1622</v>
      </c>
      <c r="FY44" s="9" t="s">
        <v>493</v>
      </c>
      <c r="GB44" s="9" t="s">
        <v>455</v>
      </c>
      <c r="GC44" s="9"/>
      <c r="GE44" s="9" t="s">
        <v>753</v>
      </c>
      <c r="GG44" s="9" t="s">
        <v>857</v>
      </c>
      <c r="GH44" s="9" t="s">
        <v>857</v>
      </c>
      <c r="GI44" s="9" t="s">
        <v>790</v>
      </c>
      <c r="GM44" s="9" t="s">
        <v>1079</v>
      </c>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row>
    <row r="45" ht="24.75" customHeight="1">
      <c r="A45" s="8">
        <v>45827.504890868055</v>
      </c>
      <c r="B45" s="9" t="s">
        <v>368</v>
      </c>
      <c r="C45" s="9" t="s">
        <v>894</v>
      </c>
      <c r="D45" s="9" t="s">
        <v>894</v>
      </c>
      <c r="G45" s="9" t="s">
        <v>422</v>
      </c>
      <c r="H45" s="9" t="s">
        <v>637</v>
      </c>
      <c r="I45" s="9" t="s">
        <v>638</v>
      </c>
      <c r="J45" s="9" t="s">
        <v>1623</v>
      </c>
      <c r="K45" s="9" t="s">
        <v>376</v>
      </c>
      <c r="L45" s="9" t="s">
        <v>670</v>
      </c>
      <c r="M45" s="9" t="s">
        <v>720</v>
      </c>
      <c r="N45" s="9" t="s">
        <v>379</v>
      </c>
      <c r="O45" s="9" t="s">
        <v>1624</v>
      </c>
      <c r="P45" s="9" t="s">
        <v>592</v>
      </c>
      <c r="Q45" s="9" t="s">
        <v>382</v>
      </c>
      <c r="R45" s="9" t="s">
        <v>427</v>
      </c>
      <c r="S45" s="9" t="s">
        <v>384</v>
      </c>
      <c r="T45" s="9" t="s">
        <v>385</v>
      </c>
      <c r="U45" s="9" t="s">
        <v>1025</v>
      </c>
      <c r="V45" s="9" t="s">
        <v>1025</v>
      </c>
      <c r="W45" s="9" t="s">
        <v>428</v>
      </c>
      <c r="AV45" s="9" t="s">
        <v>1310</v>
      </c>
      <c r="AW45" s="9" t="s">
        <v>391</v>
      </c>
      <c r="AX45" s="9" t="s">
        <v>391</v>
      </c>
      <c r="AY45" s="9" t="s">
        <v>391</v>
      </c>
      <c r="AZ45" s="9">
        <v>2.0</v>
      </c>
      <c r="BA45" s="9">
        <v>4.0</v>
      </c>
      <c r="BB45" s="9">
        <v>4.0</v>
      </c>
      <c r="BE45" s="9" t="s">
        <v>392</v>
      </c>
      <c r="BF45" s="9" t="s">
        <v>393</v>
      </c>
      <c r="BG45" s="9" t="s">
        <v>434</v>
      </c>
      <c r="BI45" s="9" t="s">
        <v>435</v>
      </c>
      <c r="BK45" s="9" t="s">
        <v>681</v>
      </c>
      <c r="BL45" s="9" t="s">
        <v>603</v>
      </c>
      <c r="BM45" s="9" t="s">
        <v>1247</v>
      </c>
      <c r="BN45" s="9" t="s">
        <v>440</v>
      </c>
      <c r="CL45" s="9" t="s">
        <v>441</v>
      </c>
      <c r="CM45" s="9" t="s">
        <v>401</v>
      </c>
      <c r="CN45" s="9" t="s">
        <v>552</v>
      </c>
      <c r="CO45" s="9" t="s">
        <v>1625</v>
      </c>
      <c r="CP45" s="9" t="s">
        <v>685</v>
      </c>
      <c r="CQ45" s="9" t="s">
        <v>956</v>
      </c>
      <c r="CR45" s="9" t="s">
        <v>404</v>
      </c>
      <c r="CS45" s="9" t="s">
        <v>1626</v>
      </c>
      <c r="CT45" s="9" t="s">
        <v>1627</v>
      </c>
      <c r="CU45" s="9" t="s">
        <v>519</v>
      </c>
      <c r="CV45" s="9" t="s">
        <v>451</v>
      </c>
      <c r="CW45" s="9" t="s">
        <v>1628</v>
      </c>
      <c r="CX45" s="9" t="s">
        <v>408</v>
      </c>
      <c r="CZ45" s="9" t="s">
        <v>985</v>
      </c>
      <c r="DB45" s="9" t="s">
        <v>455</v>
      </c>
      <c r="DC45" s="9" t="s">
        <v>1629</v>
      </c>
      <c r="DD45" s="9" t="s">
        <v>406</v>
      </c>
      <c r="DE45" s="9" t="s">
        <v>407</v>
      </c>
      <c r="DG45" s="9" t="s">
        <v>524</v>
      </c>
      <c r="DI45" s="9" t="s">
        <v>459</v>
      </c>
      <c r="DJ45" s="9" t="s">
        <v>613</v>
      </c>
      <c r="DM45" s="9" t="s">
        <v>1630</v>
      </c>
      <c r="DN45" s="9" t="s">
        <v>1631</v>
      </c>
      <c r="DO45" s="9" t="s">
        <v>567</v>
      </c>
      <c r="DP45" s="9" t="s">
        <v>1632</v>
      </c>
      <c r="DQ45" s="9" t="s">
        <v>700</v>
      </c>
      <c r="DR45" s="9" t="s">
        <v>1633</v>
      </c>
      <c r="DS45" s="9" t="s">
        <v>618</v>
      </c>
      <c r="DT45" s="9" t="s">
        <v>570</v>
      </c>
      <c r="DU45" s="9" t="s">
        <v>1634</v>
      </c>
      <c r="DV45" s="9" t="s">
        <v>1635</v>
      </c>
      <c r="DW45" s="9" t="s">
        <v>622</v>
      </c>
      <c r="DX45" s="9" t="s">
        <v>1636</v>
      </c>
      <c r="DY45" s="9" t="s">
        <v>1637</v>
      </c>
      <c r="EA45" s="9" t="s">
        <v>475</v>
      </c>
      <c r="EB45" s="9" t="s">
        <v>845</v>
      </c>
      <c r="ET45" s="9" t="s">
        <v>578</v>
      </c>
      <c r="EU45" s="9" t="s">
        <v>1037</v>
      </c>
      <c r="EV45" s="9" t="s">
        <v>480</v>
      </c>
      <c r="EZ45" s="9" t="s">
        <v>413</v>
      </c>
      <c r="FA45" s="9" t="s">
        <v>415</v>
      </c>
      <c r="FB45" s="9" t="s">
        <v>413</v>
      </c>
      <c r="FC45" s="9" t="s">
        <v>413</v>
      </c>
      <c r="FD45" s="9" t="s">
        <v>413</v>
      </c>
      <c r="FE45" s="9" t="s">
        <v>415</v>
      </c>
      <c r="FF45" s="9" t="s">
        <v>413</v>
      </c>
      <c r="FG45" s="9" t="s">
        <v>413</v>
      </c>
      <c r="FH45" s="9" t="s">
        <v>583</v>
      </c>
      <c r="FI45" s="9" t="s">
        <v>415</v>
      </c>
      <c r="FJ45" s="9" t="s">
        <v>415</v>
      </c>
      <c r="FK45" s="9" t="s">
        <v>416</v>
      </c>
      <c r="FL45" s="9" t="s">
        <v>415</v>
      </c>
      <c r="FM45" s="9" t="s">
        <v>416</v>
      </c>
      <c r="FN45" s="9" t="s">
        <v>415</v>
      </c>
      <c r="FO45" s="9" t="s">
        <v>485</v>
      </c>
      <c r="FP45" s="9" t="s">
        <v>418</v>
      </c>
      <c r="FQ45" s="9" t="s">
        <v>749</v>
      </c>
      <c r="FS45" s="9" t="s">
        <v>420</v>
      </c>
      <c r="FT45" s="9" t="s">
        <v>488</v>
      </c>
      <c r="FU45" s="9" t="s">
        <v>918</v>
      </c>
      <c r="FV45" s="9" t="s">
        <v>490</v>
      </c>
      <c r="FW45" s="9" t="s">
        <v>491</v>
      </c>
      <c r="FY45" s="9" t="s">
        <v>493</v>
      </c>
      <c r="GB45" s="9" t="s">
        <v>455</v>
      </c>
      <c r="GC45" s="9"/>
      <c r="GE45" s="9" t="s">
        <v>753</v>
      </c>
      <c r="GG45" s="9" t="s">
        <v>1000</v>
      </c>
      <c r="GH45" s="9" t="s">
        <v>1000</v>
      </c>
      <c r="GI45" s="9" t="s">
        <v>756</v>
      </c>
      <c r="GM45" s="9" t="s">
        <v>1079</v>
      </c>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row>
    <row r="46" ht="24.75" customHeight="1">
      <c r="A46" s="8">
        <v>45827.56687807871</v>
      </c>
      <c r="B46" s="9" t="s">
        <v>368</v>
      </c>
      <c r="C46" s="9" t="s">
        <v>1341</v>
      </c>
      <c r="D46" s="9" t="s">
        <v>1341</v>
      </c>
      <c r="E46" s="9" t="s">
        <v>1023</v>
      </c>
      <c r="G46" s="9" t="s">
        <v>1140</v>
      </c>
      <c r="H46" s="9" t="s">
        <v>637</v>
      </c>
      <c r="I46" s="9" t="s">
        <v>638</v>
      </c>
      <c r="J46" s="9" t="s">
        <v>590</v>
      </c>
      <c r="K46" s="9" t="s">
        <v>376</v>
      </c>
      <c r="L46" s="9" t="s">
        <v>377</v>
      </c>
      <c r="M46" s="9" t="s">
        <v>378</v>
      </c>
      <c r="N46" s="9" t="s">
        <v>379</v>
      </c>
      <c r="O46" s="9" t="s">
        <v>497</v>
      </c>
      <c r="P46" s="9" t="s">
        <v>381</v>
      </c>
      <c r="Q46" s="9" t="s">
        <v>818</v>
      </c>
      <c r="R46" s="9" t="s">
        <v>427</v>
      </c>
      <c r="S46" s="9" t="s">
        <v>384</v>
      </c>
      <c r="T46" s="9" t="s">
        <v>385</v>
      </c>
      <c r="W46" s="9" t="s">
        <v>386</v>
      </c>
      <c r="X46" s="9" t="s">
        <v>642</v>
      </c>
      <c r="AL46" s="9" t="s">
        <v>1141</v>
      </c>
      <c r="AM46" s="9" t="s">
        <v>644</v>
      </c>
      <c r="AN46" s="9" t="s">
        <v>455</v>
      </c>
      <c r="AO46" s="9" t="s">
        <v>1638</v>
      </c>
      <c r="AP46" s="9" t="s">
        <v>1144</v>
      </c>
      <c r="AQ46" s="9">
        <v>4.0</v>
      </c>
      <c r="AR46" s="9" t="s">
        <v>1639</v>
      </c>
      <c r="AS46" s="9" t="s">
        <v>1640</v>
      </c>
      <c r="AT46" s="9" t="s">
        <v>1641</v>
      </c>
      <c r="AU46" s="9" t="s">
        <v>1642</v>
      </c>
      <c r="AV46" s="9" t="s">
        <v>390</v>
      </c>
      <c r="AW46" s="9" t="s">
        <v>429</v>
      </c>
      <c r="AX46" s="9" t="s">
        <v>429</v>
      </c>
      <c r="AY46" s="9">
        <v>2.0</v>
      </c>
      <c r="AZ46" s="9">
        <v>2.0</v>
      </c>
      <c r="BA46" s="9" t="s">
        <v>429</v>
      </c>
      <c r="BB46" s="9" t="s">
        <v>429</v>
      </c>
      <c r="BC46" s="9" t="s">
        <v>1643</v>
      </c>
      <c r="BD46" s="9" t="s">
        <v>1644</v>
      </c>
      <c r="BE46" s="9" t="s">
        <v>392</v>
      </c>
      <c r="BF46" s="9" t="s">
        <v>433</v>
      </c>
      <c r="BG46" s="9" t="s">
        <v>725</v>
      </c>
      <c r="BH46" s="9" t="s">
        <v>1645</v>
      </c>
      <c r="BI46" s="9" t="s">
        <v>509</v>
      </c>
      <c r="BJ46" s="9" t="s">
        <v>1646</v>
      </c>
      <c r="BK46" s="9" t="s">
        <v>681</v>
      </c>
      <c r="BL46" s="9" t="s">
        <v>438</v>
      </c>
      <c r="BM46" s="9" t="s">
        <v>439</v>
      </c>
      <c r="BN46" s="9" t="s">
        <v>513</v>
      </c>
      <c r="CL46" s="9" t="s">
        <v>550</v>
      </c>
      <c r="CM46" s="9" t="s">
        <v>401</v>
      </c>
      <c r="CN46" s="9" t="s">
        <v>1647</v>
      </c>
      <c r="CO46" s="9" t="s">
        <v>1648</v>
      </c>
      <c r="CP46" s="9" t="s">
        <v>445</v>
      </c>
      <c r="CQ46" s="9" t="s">
        <v>1649</v>
      </c>
      <c r="CR46" s="9" t="s">
        <v>447</v>
      </c>
      <c r="CS46" s="9" t="s">
        <v>1650</v>
      </c>
      <c r="CT46" s="9" t="s">
        <v>1651</v>
      </c>
      <c r="CU46" s="9" t="s">
        <v>519</v>
      </c>
      <c r="CV46" s="9" t="s">
        <v>451</v>
      </c>
      <c r="CW46" s="9" t="s">
        <v>1652</v>
      </c>
      <c r="CX46" s="9" t="s">
        <v>408</v>
      </c>
      <c r="CZ46" s="9" t="s">
        <v>985</v>
      </c>
      <c r="DA46" s="9" t="s">
        <v>1653</v>
      </c>
      <c r="DB46" s="9" t="s">
        <v>408</v>
      </c>
      <c r="DD46" s="9" t="s">
        <v>406</v>
      </c>
      <c r="DE46" s="9" t="s">
        <v>407</v>
      </c>
      <c r="DF46" s="9" t="s">
        <v>1654</v>
      </c>
      <c r="DG46" s="9" t="s">
        <v>524</v>
      </c>
      <c r="DH46" s="9" t="s">
        <v>410</v>
      </c>
      <c r="DI46" s="9" t="s">
        <v>459</v>
      </c>
      <c r="DJ46" s="9" t="s">
        <v>613</v>
      </c>
      <c r="ET46" s="9" t="s">
        <v>578</v>
      </c>
      <c r="EU46" s="9" t="s">
        <v>887</v>
      </c>
      <c r="EV46" s="9" t="s">
        <v>1534</v>
      </c>
      <c r="EW46" s="9" t="s">
        <v>1655</v>
      </c>
      <c r="EX46" s="9" t="s">
        <v>1656</v>
      </c>
      <c r="EY46" s="9" t="s">
        <v>1657</v>
      </c>
      <c r="EZ46" s="9" t="s">
        <v>414</v>
      </c>
      <c r="FA46" s="9" t="s">
        <v>414</v>
      </c>
      <c r="FB46" s="9" t="s">
        <v>413</v>
      </c>
      <c r="FC46" s="9" t="s">
        <v>415</v>
      </c>
      <c r="FD46" s="9" t="s">
        <v>413</v>
      </c>
      <c r="FE46" s="9" t="s">
        <v>583</v>
      </c>
      <c r="FF46" s="9" t="s">
        <v>415</v>
      </c>
      <c r="FG46" s="9" t="s">
        <v>416</v>
      </c>
      <c r="FH46" s="9" t="s">
        <v>414</v>
      </c>
      <c r="FI46" s="9" t="s">
        <v>583</v>
      </c>
      <c r="FJ46" s="9" t="s">
        <v>415</v>
      </c>
      <c r="FK46" s="9" t="s">
        <v>416</v>
      </c>
      <c r="FL46" s="9" t="s">
        <v>416</v>
      </c>
      <c r="FM46" s="9" t="s">
        <v>413</v>
      </c>
      <c r="FN46" s="9" t="s">
        <v>583</v>
      </c>
      <c r="FO46" s="9" t="s">
        <v>850</v>
      </c>
      <c r="FP46" s="9" t="s">
        <v>418</v>
      </c>
      <c r="FQ46" s="9" t="s">
        <v>749</v>
      </c>
      <c r="FR46" s="9" t="s">
        <v>1658</v>
      </c>
      <c r="FS46" s="9" t="s">
        <v>420</v>
      </c>
      <c r="FT46" s="9" t="s">
        <v>488</v>
      </c>
      <c r="FU46" s="9" t="s">
        <v>918</v>
      </c>
      <c r="FV46" s="9" t="s">
        <v>490</v>
      </c>
      <c r="FW46" s="9" t="s">
        <v>491</v>
      </c>
      <c r="FX46" s="9" t="s">
        <v>1659</v>
      </c>
      <c r="FY46" s="9" t="s">
        <v>493</v>
      </c>
      <c r="FZ46" s="9" t="s">
        <v>1660</v>
      </c>
      <c r="GA46" s="9" t="s">
        <v>1661</v>
      </c>
      <c r="GB46" s="9" t="s">
        <v>455</v>
      </c>
      <c r="GC46" s="9"/>
      <c r="GD46" s="9"/>
      <c r="GE46" s="9" t="s">
        <v>753</v>
      </c>
      <c r="GF46" s="9" t="s">
        <v>1662</v>
      </c>
      <c r="GG46" s="9" t="s">
        <v>788</v>
      </c>
      <c r="GI46" s="9" t="s">
        <v>921</v>
      </c>
    </row>
    <row r="47" ht="24.75" customHeight="1">
      <c r="A47" s="8">
        <v>45827.582390254625</v>
      </c>
      <c r="B47" s="9" t="s">
        <v>368</v>
      </c>
      <c r="C47" s="9" t="s">
        <v>894</v>
      </c>
      <c r="D47" s="9" t="s">
        <v>894</v>
      </c>
      <c r="G47" s="9" t="s">
        <v>422</v>
      </c>
      <c r="H47" s="9" t="s">
        <v>373</v>
      </c>
      <c r="I47" s="9" t="s">
        <v>638</v>
      </c>
      <c r="J47" s="9" t="s">
        <v>425</v>
      </c>
      <c r="K47" s="9" t="s">
        <v>376</v>
      </c>
      <c r="L47" s="9" t="s">
        <v>379</v>
      </c>
      <c r="M47" s="9" t="s">
        <v>1663</v>
      </c>
      <c r="N47" s="9" t="s">
        <v>379</v>
      </c>
      <c r="O47" s="9" t="s">
        <v>671</v>
      </c>
      <c r="P47" s="9" t="s">
        <v>498</v>
      </c>
      <c r="Q47" s="9" t="s">
        <v>862</v>
      </c>
      <c r="R47" s="9" t="s">
        <v>500</v>
      </c>
      <c r="S47" s="9" t="s">
        <v>1664</v>
      </c>
      <c r="T47" s="9" t="s">
        <v>385</v>
      </c>
      <c r="U47" s="9" t="s">
        <v>896</v>
      </c>
      <c r="V47" s="9" t="s">
        <v>896</v>
      </c>
      <c r="W47" s="9" t="s">
        <v>428</v>
      </c>
      <c r="AV47" s="9" t="s">
        <v>597</v>
      </c>
      <c r="AW47" s="9">
        <v>4.0</v>
      </c>
      <c r="AX47" s="9" t="s">
        <v>391</v>
      </c>
      <c r="AY47" s="9" t="s">
        <v>675</v>
      </c>
      <c r="AZ47" s="9" t="s">
        <v>675</v>
      </c>
      <c r="BA47" s="9" t="s">
        <v>675</v>
      </c>
      <c r="BB47" s="9" t="s">
        <v>391</v>
      </c>
      <c r="BC47" s="9" t="s">
        <v>1665</v>
      </c>
      <c r="BD47" s="9" t="s">
        <v>1666</v>
      </c>
      <c r="BE47" s="9" t="s">
        <v>392</v>
      </c>
      <c r="BF47" s="9" t="s">
        <v>393</v>
      </c>
      <c r="BG47" s="9" t="s">
        <v>394</v>
      </c>
      <c r="BH47" s="9" t="s">
        <v>1667</v>
      </c>
      <c r="BI47" s="9" t="s">
        <v>824</v>
      </c>
      <c r="BK47" s="9" t="s">
        <v>681</v>
      </c>
      <c r="BL47" s="9" t="s">
        <v>396</v>
      </c>
      <c r="BM47" s="9" t="s">
        <v>549</v>
      </c>
      <c r="BN47" s="9" t="s">
        <v>398</v>
      </c>
      <c r="BO47" s="9" t="s">
        <v>1668</v>
      </c>
      <c r="BP47" s="9" t="s">
        <v>1669</v>
      </c>
      <c r="BQ47" s="9" t="s">
        <v>442</v>
      </c>
      <c r="BR47" s="9" t="s">
        <v>1670</v>
      </c>
      <c r="BS47" s="9" t="s">
        <v>1671</v>
      </c>
      <c r="BT47" s="9" t="s">
        <v>1672</v>
      </c>
      <c r="BU47" s="9" t="s">
        <v>405</v>
      </c>
      <c r="BV47" s="9" t="s">
        <v>1673</v>
      </c>
      <c r="BW47" s="9" t="s">
        <v>988</v>
      </c>
      <c r="BY47" s="9" t="s">
        <v>455</v>
      </c>
      <c r="BZ47" s="9" t="s">
        <v>1674</v>
      </c>
      <c r="CA47" s="9" t="s">
        <v>1675</v>
      </c>
      <c r="CB47" s="9" t="s">
        <v>1676</v>
      </c>
      <c r="CC47" s="9" t="s">
        <v>1677</v>
      </c>
      <c r="CD47" s="9" t="s">
        <v>451</v>
      </c>
      <c r="CE47" s="9" t="s">
        <v>1678</v>
      </c>
      <c r="CF47" s="9" t="s">
        <v>1258</v>
      </c>
      <c r="CH47" s="9" t="s">
        <v>1679</v>
      </c>
      <c r="CI47" s="9" t="s">
        <v>410</v>
      </c>
      <c r="CJ47" s="9" t="s">
        <v>1680</v>
      </c>
      <c r="CK47" s="9" t="s">
        <v>1681</v>
      </c>
      <c r="ET47" s="9" t="s">
        <v>526</v>
      </c>
      <c r="EU47" s="9" t="s">
        <v>887</v>
      </c>
      <c r="EV47" s="9" t="s">
        <v>480</v>
      </c>
      <c r="EW47" s="9" t="s">
        <v>1682</v>
      </c>
      <c r="EX47" s="9" t="s">
        <v>1683</v>
      </c>
      <c r="EY47" s="9" t="s">
        <v>1684</v>
      </c>
      <c r="EZ47" s="9" t="s">
        <v>583</v>
      </c>
      <c r="FA47" s="9" t="s">
        <v>583</v>
      </c>
      <c r="FB47" s="9" t="s">
        <v>415</v>
      </c>
      <c r="FC47" s="9" t="s">
        <v>583</v>
      </c>
      <c r="FD47" s="9" t="s">
        <v>416</v>
      </c>
      <c r="FE47" s="9" t="s">
        <v>583</v>
      </c>
      <c r="FF47" s="9" t="s">
        <v>583</v>
      </c>
      <c r="FG47" s="9" t="s">
        <v>414</v>
      </c>
      <c r="FH47" s="9" t="s">
        <v>414</v>
      </c>
      <c r="FI47" s="9" t="s">
        <v>414</v>
      </c>
      <c r="FJ47" s="9" t="s">
        <v>414</v>
      </c>
      <c r="FK47" s="9" t="s">
        <v>583</v>
      </c>
      <c r="FL47" s="9" t="s">
        <v>583</v>
      </c>
      <c r="FM47" s="9" t="s">
        <v>414</v>
      </c>
      <c r="FN47" s="9" t="s">
        <v>583</v>
      </c>
      <c r="FO47" s="9" t="s">
        <v>485</v>
      </c>
      <c r="FP47" s="9" t="s">
        <v>418</v>
      </c>
      <c r="FQ47" s="9" t="s">
        <v>419</v>
      </c>
      <c r="FR47" s="9" t="s">
        <v>1685</v>
      </c>
      <c r="FS47" s="9" t="s">
        <v>420</v>
      </c>
      <c r="FT47" s="9" t="s">
        <v>488</v>
      </c>
      <c r="FU47" s="9" t="s">
        <v>489</v>
      </c>
      <c r="FV47" s="9" t="s">
        <v>490</v>
      </c>
      <c r="FW47" s="9" t="s">
        <v>491</v>
      </c>
      <c r="FX47" s="9" t="s">
        <v>1686</v>
      </c>
      <c r="FY47" s="9" t="s">
        <v>535</v>
      </c>
      <c r="FZ47" s="9" t="s">
        <v>1687</v>
      </c>
      <c r="GA47" s="9" t="s">
        <v>1688</v>
      </c>
      <c r="GB47" s="9" t="s">
        <v>455</v>
      </c>
      <c r="GC47" s="9"/>
      <c r="GD47" s="9"/>
      <c r="GE47" s="9" t="s">
        <v>753</v>
      </c>
      <c r="GF47" s="9" t="s">
        <v>1689</v>
      </c>
      <c r="GJ47" s="9" t="s">
        <v>755</v>
      </c>
      <c r="GK47" s="9" t="s">
        <v>755</v>
      </c>
      <c r="GL47" s="9" t="s">
        <v>817</v>
      </c>
    </row>
    <row r="48" ht="24.75" customHeight="1">
      <c r="A48" s="8">
        <v>45827.59833847222</v>
      </c>
      <c r="B48" s="9" t="s">
        <v>368</v>
      </c>
      <c r="C48" s="9" t="s">
        <v>370</v>
      </c>
      <c r="E48" s="9" t="s">
        <v>371</v>
      </c>
      <c r="G48" s="9" t="s">
        <v>422</v>
      </c>
      <c r="H48" s="9" t="s">
        <v>373</v>
      </c>
      <c r="I48" s="9" t="s">
        <v>374</v>
      </c>
      <c r="J48" s="9" t="s">
        <v>718</v>
      </c>
      <c r="K48" s="9" t="s">
        <v>376</v>
      </c>
      <c r="L48" s="9" t="s">
        <v>591</v>
      </c>
      <c r="M48" s="9" t="s">
        <v>1690</v>
      </c>
      <c r="N48" s="9" t="s">
        <v>591</v>
      </c>
      <c r="P48" s="9" t="s">
        <v>381</v>
      </c>
      <c r="Q48" s="9" t="s">
        <v>1156</v>
      </c>
      <c r="R48" s="9" t="s">
        <v>500</v>
      </c>
      <c r="S48" s="9" t="s">
        <v>384</v>
      </c>
      <c r="T48" s="9" t="s">
        <v>385</v>
      </c>
      <c r="W48" s="9" t="s">
        <v>428</v>
      </c>
      <c r="AV48" s="9" t="s">
        <v>1242</v>
      </c>
      <c r="AW48" s="9" t="s">
        <v>675</v>
      </c>
      <c r="AX48" s="9" t="s">
        <v>675</v>
      </c>
      <c r="AY48" s="9" t="s">
        <v>675</v>
      </c>
      <c r="AZ48" s="9">
        <v>4.0</v>
      </c>
      <c r="BA48" s="9" t="s">
        <v>675</v>
      </c>
      <c r="BB48" s="9" t="s">
        <v>675</v>
      </c>
      <c r="BE48" s="9" t="s">
        <v>902</v>
      </c>
      <c r="BF48" s="9" t="s">
        <v>1245</v>
      </c>
      <c r="BG48" s="9" t="s">
        <v>394</v>
      </c>
      <c r="BI48" s="9" t="s">
        <v>976</v>
      </c>
      <c r="BK48" s="9" t="s">
        <v>602</v>
      </c>
      <c r="BL48" s="9" t="s">
        <v>603</v>
      </c>
      <c r="BM48" s="9" t="s">
        <v>1314</v>
      </c>
      <c r="BN48" s="9" t="s">
        <v>398</v>
      </c>
      <c r="BQ48" s="9" t="s">
        <v>442</v>
      </c>
      <c r="BR48" s="9" t="s">
        <v>1691</v>
      </c>
      <c r="BS48" s="9" t="s">
        <v>1692</v>
      </c>
      <c r="BT48" s="9" t="s">
        <v>1672</v>
      </c>
      <c r="BU48" s="9" t="s">
        <v>1693</v>
      </c>
      <c r="BV48" s="9" t="s">
        <v>1694</v>
      </c>
      <c r="BW48" s="9" t="s">
        <v>988</v>
      </c>
      <c r="BY48" s="9" t="s">
        <v>408</v>
      </c>
      <c r="CC48" s="9" t="s">
        <v>1695</v>
      </c>
      <c r="CD48" s="9" t="s">
        <v>451</v>
      </c>
      <c r="CE48" s="9" t="s">
        <v>1696</v>
      </c>
      <c r="CF48" s="9" t="s">
        <v>1697</v>
      </c>
      <c r="CH48" s="9" t="s">
        <v>1698</v>
      </c>
      <c r="CI48" s="9" t="s">
        <v>410</v>
      </c>
      <c r="CJ48" s="9" t="s">
        <v>1699</v>
      </c>
      <c r="CK48" s="9" t="s">
        <v>1700</v>
      </c>
      <c r="ET48" s="9" t="s">
        <v>526</v>
      </c>
      <c r="EU48" s="9" t="s">
        <v>479</v>
      </c>
      <c r="EV48" s="9" t="s">
        <v>1262</v>
      </c>
      <c r="EY48" s="9" t="s">
        <v>1701</v>
      </c>
      <c r="EZ48" s="9" t="s">
        <v>414</v>
      </c>
      <c r="FA48" s="9" t="s">
        <v>414</v>
      </c>
      <c r="FB48" s="9" t="s">
        <v>415</v>
      </c>
      <c r="FC48" s="9" t="s">
        <v>583</v>
      </c>
      <c r="FD48" s="9" t="s">
        <v>413</v>
      </c>
      <c r="FE48" s="9" t="s">
        <v>583</v>
      </c>
      <c r="FF48" s="9" t="s">
        <v>583</v>
      </c>
      <c r="FG48" s="9" t="s">
        <v>583</v>
      </c>
      <c r="FH48" s="9" t="s">
        <v>583</v>
      </c>
      <c r="FI48" s="9" t="s">
        <v>583</v>
      </c>
      <c r="FJ48" s="9" t="s">
        <v>414</v>
      </c>
      <c r="FK48" s="9" t="s">
        <v>583</v>
      </c>
      <c r="FL48" s="9" t="s">
        <v>583</v>
      </c>
      <c r="FM48" s="9" t="s">
        <v>413</v>
      </c>
      <c r="FN48" s="9" t="s">
        <v>583</v>
      </c>
      <c r="FO48" s="9" t="s">
        <v>850</v>
      </c>
      <c r="FP48" s="9" t="s">
        <v>418</v>
      </c>
      <c r="FQ48" s="9" t="s">
        <v>419</v>
      </c>
      <c r="FR48" s="9" t="s">
        <v>1702</v>
      </c>
      <c r="FS48" s="9" t="s">
        <v>1076</v>
      </c>
      <c r="FT48" s="9" t="s">
        <v>488</v>
      </c>
      <c r="FU48" s="9" t="s">
        <v>533</v>
      </c>
      <c r="FV48" s="9" t="s">
        <v>490</v>
      </c>
      <c r="FW48" s="9" t="s">
        <v>491</v>
      </c>
      <c r="FY48" s="9" t="s">
        <v>493</v>
      </c>
      <c r="GB48" s="9" t="s">
        <v>408</v>
      </c>
      <c r="GJ48" s="9" t="s">
        <v>755</v>
      </c>
      <c r="GK48" s="9" t="s">
        <v>755</v>
      </c>
      <c r="GL48" s="9" t="s">
        <v>946</v>
      </c>
    </row>
    <row r="49" ht="24.75" customHeight="1">
      <c r="A49" s="8">
        <v>45827.666499756946</v>
      </c>
      <c r="B49" s="9" t="s">
        <v>368</v>
      </c>
      <c r="C49" s="9" t="s">
        <v>1703</v>
      </c>
      <c r="D49" s="9" t="s">
        <v>1703</v>
      </c>
      <c r="E49" s="9" t="s">
        <v>1202</v>
      </c>
      <c r="G49" s="9" t="s">
        <v>422</v>
      </c>
      <c r="H49" s="9" t="s">
        <v>637</v>
      </c>
      <c r="I49" s="9" t="s">
        <v>638</v>
      </c>
      <c r="J49" s="9" t="s">
        <v>590</v>
      </c>
      <c r="K49" s="9" t="s">
        <v>376</v>
      </c>
      <c r="L49" s="9" t="s">
        <v>670</v>
      </c>
      <c r="M49" s="9" t="s">
        <v>720</v>
      </c>
      <c r="N49" s="9" t="s">
        <v>793</v>
      </c>
      <c r="O49" s="9" t="s">
        <v>719</v>
      </c>
      <c r="P49" s="9" t="s">
        <v>592</v>
      </c>
      <c r="Q49" s="9" t="s">
        <v>382</v>
      </c>
      <c r="R49" s="9" t="s">
        <v>1704</v>
      </c>
      <c r="S49" s="9" t="s">
        <v>1705</v>
      </c>
      <c r="T49" s="9" t="s">
        <v>385</v>
      </c>
      <c r="W49" s="9" t="s">
        <v>760</v>
      </c>
      <c r="X49" s="9" t="s">
        <v>1706</v>
      </c>
      <c r="AC49" s="9" t="s">
        <v>1707</v>
      </c>
      <c r="AD49" s="9" t="s">
        <v>1708</v>
      </c>
      <c r="AE49" s="9" t="s">
        <v>455</v>
      </c>
      <c r="AF49" s="9" t="s">
        <v>1709</v>
      </c>
      <c r="AG49" s="9">
        <v>5.0</v>
      </c>
      <c r="AH49" s="9" t="s">
        <v>1639</v>
      </c>
      <c r="AI49" s="9" t="s">
        <v>1710</v>
      </c>
      <c r="AJ49" s="9" t="s">
        <v>1711</v>
      </c>
      <c r="AK49" s="9" t="s">
        <v>1712</v>
      </c>
      <c r="AV49" s="9" t="s">
        <v>1242</v>
      </c>
      <c r="AW49" s="9" t="s">
        <v>675</v>
      </c>
      <c r="AX49" s="9" t="s">
        <v>675</v>
      </c>
      <c r="AY49" s="9" t="s">
        <v>675</v>
      </c>
      <c r="AZ49" s="9" t="s">
        <v>675</v>
      </c>
      <c r="BA49" s="9" t="s">
        <v>675</v>
      </c>
      <c r="BB49" s="9" t="s">
        <v>675</v>
      </c>
      <c r="BC49" s="9" t="s">
        <v>1713</v>
      </c>
      <c r="BD49" s="9" t="s">
        <v>1714</v>
      </c>
      <c r="BE49" s="9" t="s">
        <v>902</v>
      </c>
      <c r="BF49" s="9" t="s">
        <v>1245</v>
      </c>
      <c r="BG49" s="9" t="s">
        <v>394</v>
      </c>
      <c r="BH49" s="9" t="s">
        <v>1715</v>
      </c>
      <c r="BI49" s="9" t="s">
        <v>976</v>
      </c>
      <c r="BK49" s="9" t="s">
        <v>681</v>
      </c>
      <c r="BL49" s="9" t="s">
        <v>904</v>
      </c>
      <c r="BM49" s="9" t="s">
        <v>1314</v>
      </c>
      <c r="BN49" s="9" t="s">
        <v>398</v>
      </c>
      <c r="BO49" s="9" t="s">
        <v>1716</v>
      </c>
      <c r="BP49" s="9" t="s">
        <v>1717</v>
      </c>
      <c r="BQ49" s="9" t="s">
        <v>442</v>
      </c>
      <c r="BR49" s="9" t="s">
        <v>1718</v>
      </c>
      <c r="BS49" s="9" t="s">
        <v>1671</v>
      </c>
      <c r="BU49" s="9" t="s">
        <v>405</v>
      </c>
      <c r="BW49" s="9" t="s">
        <v>457</v>
      </c>
      <c r="BY49" s="9" t="s">
        <v>408</v>
      </c>
      <c r="CA49" s="9" t="s">
        <v>1719</v>
      </c>
      <c r="CB49" s="9" t="s">
        <v>1720</v>
      </c>
      <c r="CC49" s="9" t="s">
        <v>1721</v>
      </c>
      <c r="CD49" s="9" t="s">
        <v>1257</v>
      </c>
      <c r="CF49" s="9" t="s">
        <v>1722</v>
      </c>
      <c r="CG49" s="9" t="s">
        <v>1723</v>
      </c>
      <c r="CH49" s="9" t="s">
        <v>1259</v>
      </c>
      <c r="CI49" s="9" t="s">
        <v>833</v>
      </c>
      <c r="CJ49" s="9" t="s">
        <v>1724</v>
      </c>
      <c r="CK49" s="9" t="s">
        <v>1725</v>
      </c>
      <c r="ET49" s="9" t="s">
        <v>578</v>
      </c>
      <c r="EU49" s="9" t="s">
        <v>479</v>
      </c>
      <c r="EV49" s="9" t="s">
        <v>663</v>
      </c>
      <c r="EW49" s="9" t="s">
        <v>1726</v>
      </c>
      <c r="EX49" s="9" t="s">
        <v>1727</v>
      </c>
      <c r="EY49" s="9" t="s">
        <v>1728</v>
      </c>
      <c r="EZ49" s="9" t="s">
        <v>414</v>
      </c>
      <c r="FA49" s="9" t="s">
        <v>414</v>
      </c>
      <c r="FB49" s="9" t="s">
        <v>416</v>
      </c>
      <c r="FC49" s="9" t="s">
        <v>414</v>
      </c>
      <c r="FD49" s="9" t="s">
        <v>415</v>
      </c>
      <c r="FE49" s="9" t="s">
        <v>414</v>
      </c>
      <c r="FF49" s="9" t="s">
        <v>415</v>
      </c>
      <c r="FG49" s="9" t="s">
        <v>415</v>
      </c>
      <c r="FH49" s="9" t="s">
        <v>415</v>
      </c>
      <c r="FI49" s="9" t="s">
        <v>414</v>
      </c>
      <c r="FJ49" s="9" t="s">
        <v>414</v>
      </c>
      <c r="FK49" s="9" t="s">
        <v>416</v>
      </c>
      <c r="FL49" s="9" t="s">
        <v>416</v>
      </c>
      <c r="FM49" s="9" t="s">
        <v>416</v>
      </c>
      <c r="FN49" s="9" t="s">
        <v>414</v>
      </c>
      <c r="FO49" s="9" t="s">
        <v>417</v>
      </c>
      <c r="FP49" s="9" t="s">
        <v>418</v>
      </c>
      <c r="FQ49" s="9" t="s">
        <v>712</v>
      </c>
      <c r="FR49" s="9" t="s">
        <v>1729</v>
      </c>
      <c r="FS49" s="9" t="s">
        <v>420</v>
      </c>
      <c r="FT49" s="9" t="s">
        <v>488</v>
      </c>
      <c r="FU49" s="9" t="s">
        <v>489</v>
      </c>
      <c r="FV49" s="9" t="s">
        <v>490</v>
      </c>
      <c r="FW49" s="9" t="s">
        <v>491</v>
      </c>
      <c r="FX49" s="9" t="s">
        <v>1730</v>
      </c>
      <c r="FY49" s="9" t="s">
        <v>535</v>
      </c>
      <c r="FZ49" s="9" t="s">
        <v>1731</v>
      </c>
      <c r="GA49" s="9" t="s">
        <v>1732</v>
      </c>
      <c r="GB49" s="9" t="s">
        <v>455</v>
      </c>
      <c r="GC49" s="9"/>
      <c r="GE49" s="9" t="s">
        <v>1339</v>
      </c>
      <c r="GF49" s="9" t="s">
        <v>1733</v>
      </c>
      <c r="GJ49" s="9" t="s">
        <v>920</v>
      </c>
      <c r="GK49" s="9" t="s">
        <v>788</v>
      </c>
      <c r="GL49" s="9" t="s">
        <v>858</v>
      </c>
    </row>
    <row r="50" ht="24.75" customHeight="1">
      <c r="A50" s="8">
        <v>45827.70323135417</v>
      </c>
      <c r="B50" s="9" t="s">
        <v>368</v>
      </c>
      <c r="C50" s="9" t="s">
        <v>370</v>
      </c>
      <c r="E50" s="9" t="s">
        <v>371</v>
      </c>
      <c r="G50" s="9" t="s">
        <v>1269</v>
      </c>
      <c r="H50" s="9" t="s">
        <v>423</v>
      </c>
      <c r="I50" s="9" t="s">
        <v>424</v>
      </c>
      <c r="J50" s="9" t="s">
        <v>375</v>
      </c>
      <c r="K50" s="9" t="s">
        <v>376</v>
      </c>
      <c r="L50" s="9" t="s">
        <v>379</v>
      </c>
      <c r="M50" s="9" t="s">
        <v>380</v>
      </c>
      <c r="N50" s="9" t="s">
        <v>379</v>
      </c>
      <c r="O50" s="9" t="s">
        <v>497</v>
      </c>
      <c r="P50" s="9" t="s">
        <v>498</v>
      </c>
      <c r="Q50" s="9" t="s">
        <v>382</v>
      </c>
      <c r="R50" s="9" t="s">
        <v>949</v>
      </c>
      <c r="S50" s="9" t="s">
        <v>384</v>
      </c>
      <c r="T50" s="9" t="s">
        <v>385</v>
      </c>
      <c r="W50" s="9" t="s">
        <v>386</v>
      </c>
      <c r="X50" s="9" t="s">
        <v>387</v>
      </c>
      <c r="Y50" s="9" t="s">
        <v>388</v>
      </c>
      <c r="Z50" s="9" t="s">
        <v>389</v>
      </c>
      <c r="AA50" s="9" t="s">
        <v>408</v>
      </c>
      <c r="AB50" s="9" t="s">
        <v>408</v>
      </c>
      <c r="AV50" s="9" t="s">
        <v>1242</v>
      </c>
      <c r="AW50" s="9" t="s">
        <v>675</v>
      </c>
      <c r="AX50" s="9" t="s">
        <v>675</v>
      </c>
      <c r="AY50" s="9" t="s">
        <v>675</v>
      </c>
      <c r="AZ50" s="9" t="s">
        <v>675</v>
      </c>
      <c r="BA50" s="9" t="s">
        <v>675</v>
      </c>
      <c r="BB50" s="9" t="s">
        <v>675</v>
      </c>
      <c r="BC50" s="9" t="s">
        <v>1734</v>
      </c>
      <c r="BD50" s="9" t="s">
        <v>1735</v>
      </c>
      <c r="BE50" s="9" t="s">
        <v>902</v>
      </c>
      <c r="BF50" s="9" t="s">
        <v>1095</v>
      </c>
      <c r="BG50" s="9" t="s">
        <v>394</v>
      </c>
      <c r="BH50" s="9" t="s">
        <v>1736</v>
      </c>
      <c r="BI50" s="9" t="s">
        <v>435</v>
      </c>
      <c r="BJ50" s="9" t="s">
        <v>1737</v>
      </c>
      <c r="BK50" s="9" t="s">
        <v>602</v>
      </c>
      <c r="BL50" s="9" t="s">
        <v>603</v>
      </c>
      <c r="BM50" s="9" t="s">
        <v>1247</v>
      </c>
      <c r="BN50" s="9" t="s">
        <v>398</v>
      </c>
      <c r="BO50" s="9" t="s">
        <v>1738</v>
      </c>
      <c r="BP50" s="9" t="s">
        <v>1739</v>
      </c>
      <c r="BQ50" s="9" t="s">
        <v>401</v>
      </c>
      <c r="BR50" s="9" t="s">
        <v>1740</v>
      </c>
      <c r="BS50" s="9" t="s">
        <v>1741</v>
      </c>
      <c r="BT50" s="9" t="s">
        <v>1742</v>
      </c>
      <c r="BU50" s="9" t="s">
        <v>1693</v>
      </c>
      <c r="BV50" s="9" t="s">
        <v>1743</v>
      </c>
      <c r="BW50" s="9" t="s">
        <v>988</v>
      </c>
      <c r="BY50" s="9" t="s">
        <v>455</v>
      </c>
      <c r="BZ50" s="9" t="s">
        <v>1744</v>
      </c>
      <c r="CA50" s="9" t="s">
        <v>1745</v>
      </c>
      <c r="CB50" s="9" t="s">
        <v>1746</v>
      </c>
      <c r="CC50" s="9" t="s">
        <v>1747</v>
      </c>
      <c r="CD50" s="9" t="s">
        <v>409</v>
      </c>
      <c r="CE50" s="9" t="s">
        <v>1748</v>
      </c>
      <c r="CF50" s="9" t="s">
        <v>1749</v>
      </c>
      <c r="CG50" s="9" t="s">
        <v>1750</v>
      </c>
      <c r="CH50" s="9" t="s">
        <v>1751</v>
      </c>
      <c r="CI50" s="9" t="s">
        <v>410</v>
      </c>
      <c r="CJ50" s="9" t="s">
        <v>1752</v>
      </c>
      <c r="CK50" s="9" t="s">
        <v>1753</v>
      </c>
      <c r="ET50" s="9" t="s">
        <v>526</v>
      </c>
      <c r="EU50" s="9" t="s">
        <v>579</v>
      </c>
      <c r="EV50" s="9" t="s">
        <v>1262</v>
      </c>
      <c r="EW50" s="9" t="s">
        <v>1754</v>
      </c>
      <c r="EX50" s="9" t="s">
        <v>1755</v>
      </c>
      <c r="EY50" s="9" t="s">
        <v>1756</v>
      </c>
      <c r="EZ50" s="9" t="s">
        <v>413</v>
      </c>
      <c r="FA50" s="9" t="s">
        <v>415</v>
      </c>
      <c r="FB50" s="9" t="s">
        <v>413</v>
      </c>
      <c r="FC50" s="9" t="s">
        <v>413</v>
      </c>
      <c r="FD50" s="9" t="s">
        <v>413</v>
      </c>
      <c r="FE50" s="9" t="s">
        <v>415</v>
      </c>
      <c r="FF50" s="9" t="s">
        <v>413</v>
      </c>
      <c r="FG50" s="9" t="s">
        <v>413</v>
      </c>
      <c r="FH50" s="9" t="s">
        <v>414</v>
      </c>
      <c r="FI50" s="9" t="s">
        <v>414</v>
      </c>
      <c r="FJ50" s="9" t="s">
        <v>415</v>
      </c>
      <c r="FK50" s="9" t="s">
        <v>413</v>
      </c>
      <c r="FL50" s="9" t="s">
        <v>413</v>
      </c>
      <c r="FM50" s="9" t="s">
        <v>413</v>
      </c>
      <c r="FN50" s="9" t="s">
        <v>583</v>
      </c>
      <c r="FO50" s="9" t="s">
        <v>417</v>
      </c>
      <c r="FP50" s="9" t="s">
        <v>486</v>
      </c>
      <c r="FQ50" s="9" t="s">
        <v>749</v>
      </c>
      <c r="FR50" s="9" t="s">
        <v>1757</v>
      </c>
      <c r="FS50" s="9" t="s">
        <v>420</v>
      </c>
      <c r="FT50" s="9" t="s">
        <v>1462</v>
      </c>
      <c r="FU50" s="9" t="s">
        <v>489</v>
      </c>
      <c r="FV50" s="9" t="s">
        <v>490</v>
      </c>
      <c r="FW50" s="9" t="s">
        <v>491</v>
      </c>
      <c r="FX50" s="9" t="s">
        <v>1758</v>
      </c>
      <c r="FY50" s="9" t="s">
        <v>493</v>
      </c>
      <c r="GA50" s="9" t="s">
        <v>1759</v>
      </c>
      <c r="GB50" s="9" t="s">
        <v>455</v>
      </c>
      <c r="GC50" s="9"/>
      <c r="GE50" s="9" t="s">
        <v>753</v>
      </c>
      <c r="GF50" s="9" t="s">
        <v>408</v>
      </c>
      <c r="GJ50" s="9" t="s">
        <v>920</v>
      </c>
      <c r="GK50" s="9" t="s">
        <v>920</v>
      </c>
      <c r="GL50" s="9" t="s">
        <v>817</v>
      </c>
    </row>
    <row r="51" ht="24.75" customHeight="1">
      <c r="A51" s="8">
        <v>45827.705325347226</v>
      </c>
      <c r="B51" s="9" t="s">
        <v>368</v>
      </c>
      <c r="C51" s="9" t="s">
        <v>370</v>
      </c>
      <c r="E51" s="9" t="s">
        <v>1001</v>
      </c>
      <c r="G51" s="9" t="s">
        <v>422</v>
      </c>
      <c r="H51" s="9" t="s">
        <v>637</v>
      </c>
      <c r="I51" s="9" t="s">
        <v>638</v>
      </c>
      <c r="J51" s="9" t="s">
        <v>1240</v>
      </c>
      <c r="K51" s="9" t="s">
        <v>376</v>
      </c>
      <c r="L51" s="9" t="s">
        <v>591</v>
      </c>
      <c r="M51" s="9" t="s">
        <v>639</v>
      </c>
      <c r="N51" s="9" t="s">
        <v>379</v>
      </c>
      <c r="O51" s="9" t="s">
        <v>497</v>
      </c>
      <c r="P51" s="9" t="s">
        <v>1760</v>
      </c>
      <c r="Q51" s="9" t="s">
        <v>818</v>
      </c>
      <c r="R51" s="9" t="s">
        <v>427</v>
      </c>
      <c r="S51" s="9" t="s">
        <v>384</v>
      </c>
      <c r="T51" s="9" t="s">
        <v>385</v>
      </c>
      <c r="W51" s="9" t="s">
        <v>428</v>
      </c>
      <c r="AV51" s="9" t="s">
        <v>1242</v>
      </c>
      <c r="AW51" s="9" t="s">
        <v>675</v>
      </c>
      <c r="AX51" s="9" t="s">
        <v>675</v>
      </c>
      <c r="AY51" s="9" t="s">
        <v>675</v>
      </c>
      <c r="AZ51" s="9" t="s">
        <v>675</v>
      </c>
      <c r="BA51" s="9" t="s">
        <v>675</v>
      </c>
      <c r="BB51" s="9" t="s">
        <v>675</v>
      </c>
      <c r="BE51" s="9" t="s">
        <v>902</v>
      </c>
      <c r="BF51" s="9" t="s">
        <v>1047</v>
      </c>
      <c r="BG51" s="9" t="s">
        <v>394</v>
      </c>
      <c r="BI51" s="9" t="s">
        <v>976</v>
      </c>
      <c r="BK51" s="9" t="s">
        <v>602</v>
      </c>
      <c r="BL51" s="9" t="s">
        <v>603</v>
      </c>
      <c r="BM51" s="9" t="s">
        <v>1314</v>
      </c>
      <c r="BN51" s="9" t="s">
        <v>398</v>
      </c>
      <c r="BQ51" s="9" t="s">
        <v>604</v>
      </c>
      <c r="BR51" s="9" t="s">
        <v>1761</v>
      </c>
      <c r="BS51" s="9" t="s">
        <v>1741</v>
      </c>
      <c r="BT51" s="9" t="s">
        <v>1672</v>
      </c>
      <c r="BU51" s="9" t="s">
        <v>405</v>
      </c>
      <c r="BW51" s="9" t="s">
        <v>457</v>
      </c>
      <c r="BY51" s="9" t="s">
        <v>733</v>
      </c>
      <c r="CD51" s="9" t="s">
        <v>409</v>
      </c>
      <c r="CF51" s="9" t="s">
        <v>1258</v>
      </c>
      <c r="CH51" s="9" t="s">
        <v>1698</v>
      </c>
      <c r="CI51" s="9" t="s">
        <v>833</v>
      </c>
      <c r="CJ51" s="9" t="s">
        <v>1762</v>
      </c>
      <c r="CK51" s="9" t="s">
        <v>1763</v>
      </c>
      <c r="ET51" s="9" t="s">
        <v>526</v>
      </c>
      <c r="EU51" s="9" t="s">
        <v>887</v>
      </c>
      <c r="EV51" s="9" t="s">
        <v>1262</v>
      </c>
      <c r="EX51" s="9" t="s">
        <v>1764</v>
      </c>
      <c r="EY51" s="9" t="s">
        <v>1765</v>
      </c>
      <c r="FB51" s="11"/>
      <c r="FO51" s="9" t="s">
        <v>485</v>
      </c>
      <c r="FP51" s="9" t="s">
        <v>486</v>
      </c>
      <c r="FQ51" s="9" t="s">
        <v>419</v>
      </c>
      <c r="FS51" s="9" t="s">
        <v>420</v>
      </c>
      <c r="FT51" s="9" t="s">
        <v>488</v>
      </c>
      <c r="FV51" s="9" t="s">
        <v>490</v>
      </c>
      <c r="FW51" s="9" t="s">
        <v>491</v>
      </c>
      <c r="FY51" s="9" t="s">
        <v>535</v>
      </c>
      <c r="GB51" s="9" t="s">
        <v>408</v>
      </c>
      <c r="GJ51" s="9" t="s">
        <v>920</v>
      </c>
      <c r="GK51" s="9" t="s">
        <v>920</v>
      </c>
      <c r="GL51" s="9" t="s">
        <v>756</v>
      </c>
    </row>
    <row r="52" ht="24.75" customHeight="1">
      <c r="A52" s="8">
        <v>45827.709368090276</v>
      </c>
      <c r="B52" s="9" t="s">
        <v>368</v>
      </c>
      <c r="C52" s="9" t="s">
        <v>370</v>
      </c>
      <c r="E52" s="9" t="s">
        <v>371</v>
      </c>
      <c r="G52" s="9" t="s">
        <v>422</v>
      </c>
      <c r="H52" s="9" t="s">
        <v>496</v>
      </c>
      <c r="I52" s="9" t="s">
        <v>374</v>
      </c>
      <c r="J52" s="9" t="s">
        <v>425</v>
      </c>
      <c r="K52" s="9" t="s">
        <v>376</v>
      </c>
      <c r="L52" s="9" t="s">
        <v>379</v>
      </c>
      <c r="M52" s="9" t="s">
        <v>1442</v>
      </c>
      <c r="N52" s="9" t="s">
        <v>379</v>
      </c>
      <c r="O52" s="9" t="s">
        <v>671</v>
      </c>
      <c r="P52" s="9" t="s">
        <v>498</v>
      </c>
      <c r="Q52" s="9" t="s">
        <v>382</v>
      </c>
      <c r="R52" s="9" t="s">
        <v>427</v>
      </c>
      <c r="S52" s="9" t="s">
        <v>384</v>
      </c>
      <c r="T52" s="9" t="s">
        <v>385</v>
      </c>
      <c r="W52" s="9" t="s">
        <v>428</v>
      </c>
      <c r="AV52" s="9" t="s">
        <v>1242</v>
      </c>
      <c r="AW52" s="9" t="s">
        <v>675</v>
      </c>
      <c r="AX52" s="9" t="s">
        <v>675</v>
      </c>
      <c r="AY52" s="9" t="s">
        <v>675</v>
      </c>
      <c r="AZ52" s="9" t="s">
        <v>675</v>
      </c>
      <c r="BA52" s="9" t="s">
        <v>675</v>
      </c>
      <c r="BB52" s="9" t="s">
        <v>675</v>
      </c>
      <c r="BC52" s="9" t="s">
        <v>1766</v>
      </c>
      <c r="BD52" s="9" t="s">
        <v>1767</v>
      </c>
      <c r="BE52" s="9" t="s">
        <v>432</v>
      </c>
      <c r="BF52" s="9" t="s">
        <v>1245</v>
      </c>
      <c r="BG52" s="9" t="s">
        <v>434</v>
      </c>
      <c r="BH52" s="9" t="s">
        <v>1768</v>
      </c>
      <c r="BI52" s="9" t="s">
        <v>976</v>
      </c>
      <c r="BK52" s="9" t="s">
        <v>437</v>
      </c>
      <c r="BL52" s="9" t="s">
        <v>603</v>
      </c>
      <c r="BM52" s="9" t="s">
        <v>1314</v>
      </c>
      <c r="BN52" s="9" t="s">
        <v>398</v>
      </c>
      <c r="BO52" s="9" t="s">
        <v>1769</v>
      </c>
      <c r="BP52" s="9" t="s">
        <v>1379</v>
      </c>
      <c r="BQ52" s="9" t="s">
        <v>401</v>
      </c>
      <c r="BR52" s="9" t="s">
        <v>1770</v>
      </c>
      <c r="BS52" s="9" t="s">
        <v>1671</v>
      </c>
      <c r="BT52" s="9" t="s">
        <v>1771</v>
      </c>
      <c r="BU52" s="9" t="s">
        <v>1772</v>
      </c>
      <c r="BV52" s="9" t="s">
        <v>1773</v>
      </c>
      <c r="BW52" s="9" t="s">
        <v>988</v>
      </c>
      <c r="BY52" s="9" t="s">
        <v>408</v>
      </c>
      <c r="CA52" s="9" t="s">
        <v>1774</v>
      </c>
      <c r="CB52" s="9" t="s">
        <v>1775</v>
      </c>
      <c r="CC52" s="9" t="s">
        <v>1776</v>
      </c>
      <c r="CD52" s="9" t="s">
        <v>409</v>
      </c>
      <c r="CF52" s="9" t="s">
        <v>1258</v>
      </c>
      <c r="CH52" s="9" t="s">
        <v>1259</v>
      </c>
      <c r="CI52" s="9" t="s">
        <v>410</v>
      </c>
      <c r="CJ52" s="9" t="s">
        <v>1777</v>
      </c>
      <c r="CK52" s="9" t="s">
        <v>1778</v>
      </c>
      <c r="ET52" s="9" t="s">
        <v>478</v>
      </c>
      <c r="EU52" s="9" t="s">
        <v>887</v>
      </c>
      <c r="EV52" s="9" t="s">
        <v>480</v>
      </c>
      <c r="EX52" s="9" t="s">
        <v>1779</v>
      </c>
      <c r="EY52" s="9" t="s">
        <v>1780</v>
      </c>
      <c r="EZ52" s="9" t="s">
        <v>583</v>
      </c>
      <c r="FA52" s="9" t="s">
        <v>583</v>
      </c>
      <c r="FB52" s="9" t="s">
        <v>583</v>
      </c>
      <c r="FC52" s="9" t="s">
        <v>583</v>
      </c>
      <c r="FD52" s="9" t="s">
        <v>415</v>
      </c>
      <c r="FE52" s="9" t="s">
        <v>583</v>
      </c>
      <c r="FF52" s="9" t="s">
        <v>583</v>
      </c>
      <c r="FG52" s="9" t="s">
        <v>583</v>
      </c>
      <c r="FH52" s="9" t="s">
        <v>583</v>
      </c>
      <c r="FI52" s="9" t="s">
        <v>583</v>
      </c>
      <c r="FJ52" s="9" t="s">
        <v>583</v>
      </c>
      <c r="FK52" s="9" t="s">
        <v>583</v>
      </c>
      <c r="FL52" s="9" t="s">
        <v>583</v>
      </c>
      <c r="FM52" s="9" t="s">
        <v>583</v>
      </c>
      <c r="FN52" s="9" t="s">
        <v>484</v>
      </c>
      <c r="FO52" s="9" t="s">
        <v>485</v>
      </c>
      <c r="FP52" s="9" t="s">
        <v>418</v>
      </c>
      <c r="FQ52" s="9" t="s">
        <v>419</v>
      </c>
      <c r="FR52" s="9" t="s">
        <v>1781</v>
      </c>
      <c r="FS52" s="9" t="s">
        <v>420</v>
      </c>
      <c r="FT52" s="9" t="s">
        <v>1462</v>
      </c>
      <c r="FU52" s="9" t="s">
        <v>918</v>
      </c>
      <c r="FV52" s="9" t="s">
        <v>490</v>
      </c>
      <c r="FW52" s="9" t="s">
        <v>491</v>
      </c>
      <c r="FX52" s="9" t="s">
        <v>1782</v>
      </c>
      <c r="FY52" s="9" t="s">
        <v>535</v>
      </c>
      <c r="GB52" s="9" t="s">
        <v>455</v>
      </c>
      <c r="GC52" s="9"/>
      <c r="GE52" s="9" t="s">
        <v>753</v>
      </c>
      <c r="GJ52" s="9" t="s">
        <v>755</v>
      </c>
      <c r="GK52" s="9" t="s">
        <v>920</v>
      </c>
      <c r="GL52" s="9" t="s">
        <v>921</v>
      </c>
    </row>
    <row r="53" ht="24.75" customHeight="1">
      <c r="A53" s="8">
        <v>45827.73279351852</v>
      </c>
      <c r="B53" s="9" t="s">
        <v>368</v>
      </c>
      <c r="C53" s="9" t="s">
        <v>370</v>
      </c>
      <c r="E53" s="9" t="s">
        <v>589</v>
      </c>
      <c r="G53" s="9" t="s">
        <v>1783</v>
      </c>
      <c r="H53" s="9" t="s">
        <v>496</v>
      </c>
      <c r="I53" s="9" t="s">
        <v>374</v>
      </c>
      <c r="J53" s="9" t="s">
        <v>425</v>
      </c>
      <c r="K53" s="9" t="s">
        <v>1784</v>
      </c>
      <c r="L53" s="9" t="s">
        <v>426</v>
      </c>
      <c r="M53" s="9" t="s">
        <v>541</v>
      </c>
      <c r="N53" s="9" t="s">
        <v>426</v>
      </c>
      <c r="O53" s="9" t="s">
        <v>1024</v>
      </c>
      <c r="P53" s="9" t="s">
        <v>498</v>
      </c>
      <c r="Q53" s="9" t="s">
        <v>499</v>
      </c>
      <c r="R53" s="9" t="s">
        <v>949</v>
      </c>
      <c r="S53" s="9" t="s">
        <v>1785</v>
      </c>
      <c r="T53" s="9" t="s">
        <v>1786</v>
      </c>
      <c r="W53" s="9" t="s">
        <v>760</v>
      </c>
      <c r="X53" s="9" t="s">
        <v>387</v>
      </c>
      <c r="Y53" s="9" t="s">
        <v>1444</v>
      </c>
      <c r="Z53" s="9" t="s">
        <v>502</v>
      </c>
      <c r="AA53" s="9" t="s">
        <v>1787</v>
      </c>
      <c r="ED53" s="9" t="s">
        <v>1788</v>
      </c>
      <c r="EE53" s="9" t="s">
        <v>1789</v>
      </c>
      <c r="EF53" s="9" t="s">
        <v>1790</v>
      </c>
      <c r="ER53" s="9" t="s">
        <v>1791</v>
      </c>
      <c r="ES53" s="9" t="s">
        <v>1792</v>
      </c>
      <c r="ET53" s="9" t="s">
        <v>478</v>
      </c>
      <c r="EU53" s="9" t="s">
        <v>479</v>
      </c>
      <c r="EV53" s="9" t="s">
        <v>480</v>
      </c>
      <c r="EX53" s="9" t="s">
        <v>1793</v>
      </c>
      <c r="EY53" s="9" t="s">
        <v>1794</v>
      </c>
      <c r="EZ53" s="9" t="s">
        <v>415</v>
      </c>
      <c r="FA53" s="9" t="s">
        <v>415</v>
      </c>
      <c r="FB53" s="9" t="s">
        <v>416</v>
      </c>
      <c r="FC53" s="9" t="s">
        <v>583</v>
      </c>
      <c r="FD53" s="9" t="s">
        <v>414</v>
      </c>
      <c r="FE53" s="9" t="s">
        <v>583</v>
      </c>
      <c r="FF53" s="9" t="s">
        <v>484</v>
      </c>
      <c r="FG53" s="9" t="s">
        <v>484</v>
      </c>
      <c r="FH53" s="9" t="s">
        <v>583</v>
      </c>
      <c r="FI53" s="9" t="s">
        <v>583</v>
      </c>
      <c r="FJ53" s="9" t="s">
        <v>414</v>
      </c>
      <c r="FK53" s="9" t="s">
        <v>484</v>
      </c>
      <c r="FL53" s="9" t="s">
        <v>484</v>
      </c>
      <c r="FM53" s="9" t="s">
        <v>416</v>
      </c>
      <c r="FN53" s="9" t="s">
        <v>583</v>
      </c>
      <c r="FO53" s="9" t="s">
        <v>417</v>
      </c>
      <c r="FP53" s="9" t="s">
        <v>486</v>
      </c>
      <c r="FQ53" s="9" t="s">
        <v>630</v>
      </c>
      <c r="FR53" s="9" t="s">
        <v>1795</v>
      </c>
      <c r="FS53" s="9" t="s">
        <v>420</v>
      </c>
      <c r="FT53" s="9" t="s">
        <v>488</v>
      </c>
      <c r="FU53" s="9" t="s">
        <v>533</v>
      </c>
      <c r="FV53" s="9" t="s">
        <v>490</v>
      </c>
      <c r="FW53" s="9" t="s">
        <v>491</v>
      </c>
      <c r="FX53" s="9" t="s">
        <v>1796</v>
      </c>
      <c r="FY53" s="9" t="s">
        <v>535</v>
      </c>
      <c r="GA53" s="9" t="s">
        <v>1797</v>
      </c>
      <c r="GB53" s="9" t="s">
        <v>408</v>
      </c>
    </row>
    <row r="54" ht="24.75" customHeight="1">
      <c r="A54" s="8">
        <v>45827.75078829861</v>
      </c>
      <c r="B54" s="9" t="s">
        <v>368</v>
      </c>
      <c r="C54" s="9" t="s">
        <v>370</v>
      </c>
      <c r="E54" s="9" t="s">
        <v>1798</v>
      </c>
      <c r="G54" s="9" t="s">
        <v>422</v>
      </c>
      <c r="H54" s="9" t="s">
        <v>637</v>
      </c>
      <c r="I54" s="9" t="s">
        <v>638</v>
      </c>
      <c r="J54" s="9" t="s">
        <v>375</v>
      </c>
      <c r="K54" s="9" t="s">
        <v>376</v>
      </c>
      <c r="L54" s="9" t="s">
        <v>377</v>
      </c>
      <c r="M54" s="9" t="s">
        <v>1690</v>
      </c>
      <c r="N54" s="9" t="s">
        <v>426</v>
      </c>
      <c r="O54" s="9" t="s">
        <v>1799</v>
      </c>
      <c r="P54" s="9" t="s">
        <v>381</v>
      </c>
      <c r="Q54" s="9" t="s">
        <v>1156</v>
      </c>
      <c r="R54" s="9" t="s">
        <v>1800</v>
      </c>
      <c r="S54" s="9" t="s">
        <v>384</v>
      </c>
      <c r="T54" s="9" t="s">
        <v>385</v>
      </c>
      <c r="W54" s="9" t="s">
        <v>593</v>
      </c>
      <c r="X54" s="9" t="s">
        <v>387</v>
      </c>
      <c r="Y54" s="9" t="s">
        <v>388</v>
      </c>
      <c r="Z54" s="9" t="s">
        <v>543</v>
      </c>
      <c r="AV54" s="9" t="s">
        <v>390</v>
      </c>
      <c r="AW54" s="9" t="s">
        <v>429</v>
      </c>
      <c r="AX54" s="9" t="s">
        <v>429</v>
      </c>
      <c r="AY54" s="9" t="s">
        <v>429</v>
      </c>
      <c r="AZ54" s="9">
        <v>2.0</v>
      </c>
      <c r="BA54" s="9" t="s">
        <v>429</v>
      </c>
      <c r="BB54" s="9" t="s">
        <v>429</v>
      </c>
      <c r="BC54" s="9" t="s">
        <v>1801</v>
      </c>
      <c r="BD54" s="9" t="s">
        <v>1802</v>
      </c>
      <c r="BE54" s="9" t="s">
        <v>432</v>
      </c>
      <c r="BF54" s="9" t="s">
        <v>433</v>
      </c>
      <c r="BG54" s="9" t="s">
        <v>678</v>
      </c>
      <c r="BH54" s="9" t="s">
        <v>1803</v>
      </c>
      <c r="BI54" s="9" t="s">
        <v>824</v>
      </c>
      <c r="BK54" s="9" t="s">
        <v>437</v>
      </c>
      <c r="BL54" s="9" t="s">
        <v>396</v>
      </c>
      <c r="BM54" s="9" t="s">
        <v>549</v>
      </c>
      <c r="BN54" s="9" t="s">
        <v>440</v>
      </c>
      <c r="CL54" s="9" t="s">
        <v>441</v>
      </c>
      <c r="CM54" s="9" t="s">
        <v>604</v>
      </c>
      <c r="CN54" s="9" t="s">
        <v>1804</v>
      </c>
      <c r="CO54" s="9" t="s">
        <v>1805</v>
      </c>
      <c r="CP54" s="9" t="s">
        <v>979</v>
      </c>
      <c r="CQ54" s="9" t="s">
        <v>1806</v>
      </c>
      <c r="CR54" s="9" t="s">
        <v>447</v>
      </c>
      <c r="CS54" s="9" t="s">
        <v>1807</v>
      </c>
      <c r="CT54" s="9" t="s">
        <v>1808</v>
      </c>
      <c r="CU54" s="9" t="s">
        <v>450</v>
      </c>
      <c r="CV54" s="9" t="s">
        <v>451</v>
      </c>
      <c r="CW54" s="9" t="s">
        <v>1809</v>
      </c>
      <c r="CX54" s="9" t="s">
        <v>408</v>
      </c>
      <c r="CZ54" s="9" t="s">
        <v>453</v>
      </c>
      <c r="DB54" s="9" t="s">
        <v>913</v>
      </c>
      <c r="DD54" s="9" t="s">
        <v>406</v>
      </c>
      <c r="DE54" s="9" t="s">
        <v>407</v>
      </c>
      <c r="DF54" s="9" t="s">
        <v>1810</v>
      </c>
      <c r="DG54" s="9" t="s">
        <v>561</v>
      </c>
      <c r="DH54" s="9" t="s">
        <v>410</v>
      </c>
      <c r="DI54" s="9" t="s">
        <v>459</v>
      </c>
      <c r="DJ54" s="9" t="s">
        <v>460</v>
      </c>
      <c r="DK54" s="9" t="s">
        <v>461</v>
      </c>
      <c r="DM54" s="9" t="s">
        <v>1811</v>
      </c>
      <c r="DN54" s="9" t="s">
        <v>1812</v>
      </c>
      <c r="DO54" s="9" t="s">
        <v>464</v>
      </c>
      <c r="DP54" s="9" t="s">
        <v>1813</v>
      </c>
      <c r="DQ54" s="9" t="s">
        <v>700</v>
      </c>
      <c r="DR54" s="9" t="s">
        <v>1814</v>
      </c>
      <c r="DS54" s="9" t="s">
        <v>618</v>
      </c>
      <c r="DT54" s="9" t="s">
        <v>570</v>
      </c>
      <c r="DU54" s="9" t="s">
        <v>1815</v>
      </c>
      <c r="DV54" s="9" t="s">
        <v>1816</v>
      </c>
      <c r="DW54" s="9" t="s">
        <v>622</v>
      </c>
      <c r="DX54" s="9" t="s">
        <v>1817</v>
      </c>
      <c r="DY54" s="9" t="s">
        <v>1818</v>
      </c>
      <c r="EA54" s="9" t="s">
        <v>475</v>
      </c>
      <c r="EB54" s="9" t="s">
        <v>626</v>
      </c>
      <c r="ET54" s="9" t="s">
        <v>526</v>
      </c>
      <c r="EU54" s="9" t="s">
        <v>579</v>
      </c>
      <c r="EZ54" s="9" t="s">
        <v>413</v>
      </c>
      <c r="FA54" s="9" t="s">
        <v>415</v>
      </c>
      <c r="FB54" s="9" t="s">
        <v>413</v>
      </c>
      <c r="FC54" s="9" t="s">
        <v>413</v>
      </c>
      <c r="FD54" s="9" t="s">
        <v>413</v>
      </c>
      <c r="FE54" s="9" t="s">
        <v>415</v>
      </c>
      <c r="FF54" s="9" t="s">
        <v>413</v>
      </c>
      <c r="FG54" s="9" t="s">
        <v>413</v>
      </c>
      <c r="FH54" s="9" t="s">
        <v>413</v>
      </c>
      <c r="FI54" s="9" t="s">
        <v>413</v>
      </c>
      <c r="FJ54" s="9" t="s">
        <v>413</v>
      </c>
      <c r="FK54" s="9" t="s">
        <v>413</v>
      </c>
      <c r="FL54" s="9" t="s">
        <v>583</v>
      </c>
      <c r="FM54" s="9" t="s">
        <v>413</v>
      </c>
      <c r="FN54" s="9" t="s">
        <v>583</v>
      </c>
      <c r="FO54" s="9" t="s">
        <v>417</v>
      </c>
      <c r="FP54" s="9" t="s">
        <v>418</v>
      </c>
      <c r="FQ54" s="9" t="s">
        <v>531</v>
      </c>
      <c r="FR54" s="9" t="s">
        <v>1819</v>
      </c>
      <c r="FS54" s="9" t="s">
        <v>420</v>
      </c>
      <c r="FT54" s="9" t="s">
        <v>488</v>
      </c>
      <c r="FU54" s="9" t="s">
        <v>918</v>
      </c>
      <c r="FV54" s="9" t="s">
        <v>490</v>
      </c>
      <c r="FW54" s="9" t="s">
        <v>491</v>
      </c>
      <c r="FX54" s="9" t="s">
        <v>1820</v>
      </c>
      <c r="FY54" s="9" t="s">
        <v>535</v>
      </c>
      <c r="FZ54" s="9" t="s">
        <v>1821</v>
      </c>
      <c r="GB54" s="9" t="s">
        <v>455</v>
      </c>
      <c r="GC54" s="9"/>
      <c r="GE54" s="9" t="s">
        <v>753</v>
      </c>
      <c r="GG54" s="9" t="s">
        <v>788</v>
      </c>
      <c r="GH54" s="9" t="s">
        <v>755</v>
      </c>
      <c r="GI54" s="9" t="s">
        <v>817</v>
      </c>
      <c r="GM54" s="9" t="s">
        <v>1079</v>
      </c>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10"/>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10"/>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c r="MD54" s="10"/>
      <c r="ME54" s="10"/>
      <c r="MF54" s="10"/>
      <c r="MG54" s="10"/>
      <c r="MH54" s="10"/>
      <c r="MI54" s="10"/>
      <c r="MJ54" s="10"/>
      <c r="MK54" s="10"/>
      <c r="ML54" s="10"/>
      <c r="MM54" s="10"/>
      <c r="MN54" s="10"/>
      <c r="MO54" s="10"/>
      <c r="MP54" s="10"/>
      <c r="MQ54" s="10"/>
      <c r="MR54" s="10"/>
      <c r="MS54" s="10"/>
      <c r="MT54" s="10"/>
      <c r="MU54" s="10"/>
      <c r="MV54" s="10"/>
      <c r="MW54" s="10"/>
      <c r="MX54" s="10"/>
      <c r="MY54" s="10"/>
      <c r="MZ54" s="10"/>
      <c r="NA54" s="10"/>
      <c r="NB54" s="10"/>
      <c r="NC54" s="10"/>
      <c r="ND54" s="10"/>
    </row>
    <row r="55" ht="24.75" customHeight="1">
      <c r="A55" s="8">
        <v>45827.75108425926</v>
      </c>
      <c r="B55" s="9" t="s">
        <v>368</v>
      </c>
      <c r="C55" s="9" t="s">
        <v>894</v>
      </c>
      <c r="D55" s="9" t="s">
        <v>894</v>
      </c>
      <c r="G55" s="9" t="s">
        <v>422</v>
      </c>
      <c r="H55" s="9" t="s">
        <v>423</v>
      </c>
      <c r="I55" s="9" t="s">
        <v>668</v>
      </c>
      <c r="J55" s="9" t="s">
        <v>540</v>
      </c>
      <c r="K55" s="9" t="s">
        <v>376</v>
      </c>
      <c r="L55" s="9" t="s">
        <v>426</v>
      </c>
      <c r="M55" s="9" t="s">
        <v>541</v>
      </c>
      <c r="N55" s="9" t="s">
        <v>379</v>
      </c>
      <c r="O55" s="9" t="s">
        <v>497</v>
      </c>
      <c r="P55" s="9" t="s">
        <v>498</v>
      </c>
      <c r="Q55" s="9" t="s">
        <v>862</v>
      </c>
      <c r="R55" s="9" t="s">
        <v>949</v>
      </c>
      <c r="S55" s="9" t="s">
        <v>384</v>
      </c>
      <c r="T55" s="9" t="s">
        <v>385</v>
      </c>
      <c r="U55" s="9" t="s">
        <v>1822</v>
      </c>
      <c r="V55" s="9" t="s">
        <v>1823</v>
      </c>
      <c r="W55" s="9" t="s">
        <v>386</v>
      </c>
      <c r="X55" s="9" t="s">
        <v>387</v>
      </c>
      <c r="Y55" s="9" t="s">
        <v>1824</v>
      </c>
      <c r="Z55" s="9" t="s">
        <v>543</v>
      </c>
      <c r="AA55" s="9" t="s">
        <v>552</v>
      </c>
      <c r="AB55" s="9" t="s">
        <v>408</v>
      </c>
      <c r="AV55" s="9" t="s">
        <v>1310</v>
      </c>
      <c r="AW55" s="9" t="s">
        <v>675</v>
      </c>
      <c r="AX55" s="9" t="s">
        <v>675</v>
      </c>
      <c r="AY55" s="9" t="s">
        <v>675</v>
      </c>
      <c r="AZ55" s="9" t="s">
        <v>675</v>
      </c>
      <c r="BA55" s="9" t="s">
        <v>675</v>
      </c>
      <c r="BB55" s="9" t="s">
        <v>675</v>
      </c>
      <c r="BC55" s="9" t="s">
        <v>1825</v>
      </c>
      <c r="BD55" s="9" t="s">
        <v>1826</v>
      </c>
      <c r="BE55" s="9" t="s">
        <v>432</v>
      </c>
      <c r="BF55" s="9" t="s">
        <v>1095</v>
      </c>
      <c r="BG55" s="9" t="s">
        <v>394</v>
      </c>
      <c r="BH55" s="9" t="s">
        <v>1827</v>
      </c>
      <c r="BI55" s="9" t="s">
        <v>976</v>
      </c>
      <c r="BK55" s="9" t="s">
        <v>602</v>
      </c>
      <c r="BL55" s="9" t="s">
        <v>904</v>
      </c>
      <c r="BM55" s="9" t="s">
        <v>1314</v>
      </c>
      <c r="BN55" s="9" t="s">
        <v>398</v>
      </c>
      <c r="BO55" s="9" t="s">
        <v>1828</v>
      </c>
      <c r="BP55" s="9" t="s">
        <v>1829</v>
      </c>
      <c r="BQ55" s="9" t="s">
        <v>604</v>
      </c>
      <c r="BR55" s="9" t="s">
        <v>1830</v>
      </c>
      <c r="BS55" s="9" t="s">
        <v>1671</v>
      </c>
      <c r="BT55" s="9" t="s">
        <v>1672</v>
      </c>
      <c r="BU55" s="9" t="s">
        <v>1831</v>
      </c>
      <c r="BV55" s="9" t="s">
        <v>1832</v>
      </c>
      <c r="BW55" s="9" t="s">
        <v>988</v>
      </c>
      <c r="BY55" s="9" t="s">
        <v>455</v>
      </c>
      <c r="BZ55" s="9" t="s">
        <v>1833</v>
      </c>
      <c r="CA55" s="9" t="s">
        <v>1834</v>
      </c>
      <c r="CB55" s="9" t="s">
        <v>1835</v>
      </c>
      <c r="CC55" s="9" t="s">
        <v>1836</v>
      </c>
      <c r="CD55" s="9" t="s">
        <v>451</v>
      </c>
      <c r="CE55" s="9" t="s">
        <v>1837</v>
      </c>
      <c r="CF55" s="9" t="s">
        <v>1722</v>
      </c>
      <c r="CG55" s="9" t="s">
        <v>1838</v>
      </c>
      <c r="CH55" s="9" t="s">
        <v>1679</v>
      </c>
      <c r="CI55" s="9" t="s">
        <v>410</v>
      </c>
      <c r="CJ55" s="9" t="s">
        <v>1839</v>
      </c>
      <c r="CK55" s="9" t="s">
        <v>1840</v>
      </c>
      <c r="ET55" s="9" t="s">
        <v>526</v>
      </c>
      <c r="EU55" s="9" t="s">
        <v>479</v>
      </c>
      <c r="EV55" s="9" t="s">
        <v>527</v>
      </c>
      <c r="EW55" s="9" t="s">
        <v>1841</v>
      </c>
      <c r="EX55" s="9" t="s">
        <v>1842</v>
      </c>
      <c r="EY55" s="9" t="s">
        <v>1843</v>
      </c>
      <c r="EZ55" s="9" t="s">
        <v>583</v>
      </c>
      <c r="FA55" s="9" t="s">
        <v>583</v>
      </c>
      <c r="FB55" s="9" t="s">
        <v>583</v>
      </c>
      <c r="FC55" s="9" t="s">
        <v>583</v>
      </c>
      <c r="FD55" s="9" t="s">
        <v>415</v>
      </c>
      <c r="FE55" s="9" t="s">
        <v>583</v>
      </c>
      <c r="FF55" s="9" t="s">
        <v>583</v>
      </c>
      <c r="FG55" s="9" t="s">
        <v>583</v>
      </c>
      <c r="FH55" s="9" t="s">
        <v>415</v>
      </c>
      <c r="FI55" s="9" t="s">
        <v>583</v>
      </c>
      <c r="FJ55" s="9" t="s">
        <v>583</v>
      </c>
      <c r="FK55" s="9" t="s">
        <v>583</v>
      </c>
      <c r="FL55" s="9" t="s">
        <v>583</v>
      </c>
      <c r="FM55" s="9" t="s">
        <v>415</v>
      </c>
      <c r="FN55" s="9" t="s">
        <v>583</v>
      </c>
      <c r="FO55" s="9" t="s">
        <v>485</v>
      </c>
      <c r="FP55" s="9" t="s">
        <v>418</v>
      </c>
      <c r="FQ55" s="9" t="s">
        <v>419</v>
      </c>
      <c r="FR55" s="9" t="s">
        <v>1844</v>
      </c>
      <c r="FS55" s="9" t="s">
        <v>420</v>
      </c>
      <c r="FT55" s="9" t="s">
        <v>488</v>
      </c>
      <c r="FU55" s="9" t="s">
        <v>585</v>
      </c>
      <c r="FV55" s="9" t="s">
        <v>490</v>
      </c>
      <c r="FW55" s="9" t="s">
        <v>491</v>
      </c>
      <c r="FX55" s="9" t="s">
        <v>1845</v>
      </c>
      <c r="FY55" s="9" t="s">
        <v>535</v>
      </c>
      <c r="FZ55" s="9" t="s">
        <v>1846</v>
      </c>
      <c r="GA55" s="9" t="s">
        <v>1847</v>
      </c>
      <c r="GB55" s="9" t="s">
        <v>455</v>
      </c>
      <c r="GC55" s="9"/>
      <c r="GE55" s="9" t="s">
        <v>786</v>
      </c>
      <c r="GF55" s="9" t="s">
        <v>1848</v>
      </c>
      <c r="GJ55" s="9" t="s">
        <v>755</v>
      </c>
      <c r="GK55" s="9" t="s">
        <v>755</v>
      </c>
      <c r="GL55" s="9" t="s">
        <v>946</v>
      </c>
    </row>
    <row r="56" ht="24.75" customHeight="1">
      <c r="A56" s="8">
        <v>45827.75616498843</v>
      </c>
      <c r="B56" s="9" t="s">
        <v>368</v>
      </c>
      <c r="C56" s="9" t="s">
        <v>370</v>
      </c>
      <c r="E56" s="9" t="s">
        <v>1849</v>
      </c>
      <c r="G56" s="9" t="s">
        <v>422</v>
      </c>
      <c r="H56" s="9" t="s">
        <v>637</v>
      </c>
      <c r="I56" s="9" t="s">
        <v>638</v>
      </c>
      <c r="J56" s="9" t="s">
        <v>375</v>
      </c>
      <c r="K56" s="9" t="s">
        <v>376</v>
      </c>
      <c r="L56" s="9" t="s">
        <v>379</v>
      </c>
      <c r="M56" s="9" t="s">
        <v>378</v>
      </c>
      <c r="N56" s="9" t="s">
        <v>377</v>
      </c>
      <c r="O56" s="9" t="s">
        <v>497</v>
      </c>
      <c r="P56" s="9" t="s">
        <v>1760</v>
      </c>
      <c r="Q56" s="9" t="s">
        <v>499</v>
      </c>
      <c r="R56" s="9" t="s">
        <v>500</v>
      </c>
      <c r="S56" s="9" t="s">
        <v>384</v>
      </c>
      <c r="T56" s="9" t="s">
        <v>385</v>
      </c>
      <c r="W56" s="9" t="s">
        <v>428</v>
      </c>
      <c r="AV56" s="9" t="s">
        <v>1310</v>
      </c>
      <c r="AW56" s="9">
        <v>4.0</v>
      </c>
      <c r="AX56" s="9" t="s">
        <v>391</v>
      </c>
      <c r="AY56" s="9">
        <v>4.0</v>
      </c>
      <c r="AZ56" s="9">
        <v>2.0</v>
      </c>
      <c r="BA56" s="9">
        <v>4.0</v>
      </c>
      <c r="BB56" s="9">
        <v>4.0</v>
      </c>
      <c r="BE56" s="9" t="s">
        <v>902</v>
      </c>
      <c r="BF56" s="9" t="s">
        <v>1095</v>
      </c>
      <c r="BG56" s="9" t="s">
        <v>765</v>
      </c>
      <c r="BI56" s="9" t="s">
        <v>824</v>
      </c>
      <c r="BK56" s="9" t="s">
        <v>681</v>
      </c>
      <c r="BL56" s="9" t="s">
        <v>396</v>
      </c>
      <c r="BM56" s="9" t="s">
        <v>397</v>
      </c>
      <c r="BN56" s="9" t="s">
        <v>513</v>
      </c>
      <c r="CL56" s="9" t="s">
        <v>441</v>
      </c>
      <c r="CM56" s="9" t="s">
        <v>604</v>
      </c>
      <c r="CP56" s="9" t="s">
        <v>1008</v>
      </c>
      <c r="CQ56" s="9" t="s">
        <v>1850</v>
      </c>
      <c r="CR56" s="9" t="s">
        <v>447</v>
      </c>
      <c r="CS56" s="9" t="s">
        <v>1851</v>
      </c>
      <c r="CU56" s="9" t="s">
        <v>1852</v>
      </c>
      <c r="CV56" s="9" t="s">
        <v>451</v>
      </c>
      <c r="CX56" s="9" t="s">
        <v>408</v>
      </c>
      <c r="CZ56" s="9" t="s">
        <v>1398</v>
      </c>
      <c r="DB56" s="9" t="s">
        <v>408</v>
      </c>
      <c r="DD56" s="9" t="s">
        <v>988</v>
      </c>
      <c r="DE56" s="9" t="s">
        <v>1058</v>
      </c>
      <c r="DG56" s="9" t="s">
        <v>561</v>
      </c>
      <c r="DH56" s="9" t="s">
        <v>410</v>
      </c>
      <c r="DI56" s="9" t="s">
        <v>963</v>
      </c>
      <c r="DJ56" s="9" t="s">
        <v>562</v>
      </c>
      <c r="DK56" s="9" t="s">
        <v>461</v>
      </c>
      <c r="ET56" s="9" t="s">
        <v>578</v>
      </c>
      <c r="EU56" s="9" t="s">
        <v>479</v>
      </c>
      <c r="EV56" s="9" t="s">
        <v>663</v>
      </c>
      <c r="EZ56" s="9" t="s">
        <v>414</v>
      </c>
      <c r="FA56" s="9" t="s">
        <v>414</v>
      </c>
      <c r="FB56" s="9" t="s">
        <v>415</v>
      </c>
      <c r="FC56" s="9" t="s">
        <v>414</v>
      </c>
      <c r="FD56" s="9" t="s">
        <v>416</v>
      </c>
      <c r="FE56" s="9" t="s">
        <v>583</v>
      </c>
      <c r="FF56" s="9" t="s">
        <v>484</v>
      </c>
      <c r="FG56" s="9" t="s">
        <v>413</v>
      </c>
      <c r="FH56" s="9" t="s">
        <v>583</v>
      </c>
      <c r="FI56" s="9" t="s">
        <v>583</v>
      </c>
      <c r="FJ56" s="9" t="s">
        <v>415</v>
      </c>
      <c r="FK56" s="9" t="s">
        <v>414</v>
      </c>
      <c r="FL56" s="9" t="s">
        <v>414</v>
      </c>
      <c r="FM56" s="9" t="s">
        <v>415</v>
      </c>
      <c r="FN56" s="9" t="s">
        <v>414</v>
      </c>
      <c r="FO56" s="9" t="s">
        <v>850</v>
      </c>
      <c r="FP56" s="9" t="s">
        <v>486</v>
      </c>
      <c r="FQ56" s="9" t="s">
        <v>419</v>
      </c>
      <c r="FS56" s="9" t="s">
        <v>420</v>
      </c>
      <c r="FT56" s="9" t="s">
        <v>421</v>
      </c>
      <c r="FU56" s="9" t="s">
        <v>489</v>
      </c>
      <c r="FV56" s="9" t="s">
        <v>490</v>
      </c>
      <c r="FW56" s="9" t="s">
        <v>1853</v>
      </c>
      <c r="FY56" s="9" t="s">
        <v>1854</v>
      </c>
      <c r="GB56" s="9" t="s">
        <v>408</v>
      </c>
      <c r="GG56" s="9" t="s">
        <v>788</v>
      </c>
      <c r="GH56" s="9" t="s">
        <v>789</v>
      </c>
      <c r="GI56" s="9" t="s">
        <v>790</v>
      </c>
    </row>
    <row r="57" ht="24.75" customHeight="1">
      <c r="A57" s="8">
        <v>45827.761791192126</v>
      </c>
      <c r="B57" s="9" t="s">
        <v>368</v>
      </c>
      <c r="C57" s="9" t="s">
        <v>369</v>
      </c>
      <c r="D57" s="9" t="s">
        <v>369</v>
      </c>
      <c r="G57" s="9" t="s">
        <v>372</v>
      </c>
      <c r="H57" s="9" t="s">
        <v>539</v>
      </c>
      <c r="I57" s="9" t="s">
        <v>424</v>
      </c>
      <c r="J57" s="9" t="s">
        <v>540</v>
      </c>
      <c r="K57" s="9" t="s">
        <v>376</v>
      </c>
      <c r="L57" s="9" t="s">
        <v>591</v>
      </c>
      <c r="M57" s="9" t="s">
        <v>378</v>
      </c>
      <c r="N57" s="9" t="s">
        <v>591</v>
      </c>
      <c r="O57" s="9" t="s">
        <v>719</v>
      </c>
      <c r="P57" s="9" t="s">
        <v>498</v>
      </c>
      <c r="Q57" s="9" t="s">
        <v>818</v>
      </c>
      <c r="R57" s="9" t="s">
        <v>427</v>
      </c>
      <c r="S57" s="9" t="s">
        <v>384</v>
      </c>
      <c r="T57" s="9" t="s">
        <v>385</v>
      </c>
      <c r="W57" s="9" t="s">
        <v>428</v>
      </c>
      <c r="AV57" s="9" t="s">
        <v>597</v>
      </c>
      <c r="AW57" s="9" t="s">
        <v>675</v>
      </c>
      <c r="AX57" s="9" t="s">
        <v>675</v>
      </c>
      <c r="AY57" s="9" t="s">
        <v>675</v>
      </c>
      <c r="AZ57" s="9" t="s">
        <v>675</v>
      </c>
      <c r="BA57" s="9" t="s">
        <v>675</v>
      </c>
      <c r="BB57" s="9" t="s">
        <v>675</v>
      </c>
      <c r="BC57" s="9" t="s">
        <v>1855</v>
      </c>
      <c r="BD57" s="9" t="s">
        <v>1856</v>
      </c>
      <c r="BE57" s="9" t="s">
        <v>392</v>
      </c>
      <c r="BF57" s="9" t="s">
        <v>1095</v>
      </c>
      <c r="BG57" s="9" t="s">
        <v>678</v>
      </c>
      <c r="BH57" s="9" t="s">
        <v>1857</v>
      </c>
      <c r="BI57" s="9" t="s">
        <v>976</v>
      </c>
      <c r="BK57" s="9" t="s">
        <v>511</v>
      </c>
      <c r="BL57" s="9" t="s">
        <v>904</v>
      </c>
      <c r="BM57" s="9" t="s">
        <v>549</v>
      </c>
      <c r="BN57" s="9" t="s">
        <v>513</v>
      </c>
      <c r="CL57" s="9" t="s">
        <v>682</v>
      </c>
      <c r="CM57" s="9" t="s">
        <v>682</v>
      </c>
      <c r="CN57" s="9" t="s">
        <v>1858</v>
      </c>
      <c r="CO57" s="9" t="s">
        <v>1859</v>
      </c>
      <c r="CP57" s="9" t="s">
        <v>685</v>
      </c>
      <c r="CQ57" s="9" t="s">
        <v>1860</v>
      </c>
      <c r="CR57" s="9" t="s">
        <v>804</v>
      </c>
      <c r="CS57" s="9" t="s">
        <v>1861</v>
      </c>
      <c r="CT57" s="9" t="s">
        <v>1862</v>
      </c>
      <c r="CU57" s="9" t="s">
        <v>1863</v>
      </c>
      <c r="CV57" s="9" t="s">
        <v>959</v>
      </c>
      <c r="CW57" s="9" t="s">
        <v>1864</v>
      </c>
      <c r="CX57" s="9" t="s">
        <v>408</v>
      </c>
      <c r="CZ57" s="9" t="s">
        <v>453</v>
      </c>
      <c r="DA57" s="9" t="s">
        <v>1865</v>
      </c>
      <c r="DB57" s="9" t="s">
        <v>455</v>
      </c>
      <c r="DC57" s="9" t="s">
        <v>1866</v>
      </c>
      <c r="DD57" s="9" t="s">
        <v>406</v>
      </c>
      <c r="DE57" s="9" t="s">
        <v>1867</v>
      </c>
      <c r="DF57" s="9" t="s">
        <v>1868</v>
      </c>
      <c r="DG57" s="9" t="s">
        <v>524</v>
      </c>
      <c r="DH57" s="9" t="s">
        <v>410</v>
      </c>
      <c r="DI57" s="9" t="s">
        <v>963</v>
      </c>
      <c r="DJ57" s="9" t="s">
        <v>613</v>
      </c>
      <c r="ET57" s="9" t="s">
        <v>526</v>
      </c>
      <c r="EU57" s="9" t="s">
        <v>579</v>
      </c>
      <c r="EV57" s="9" t="s">
        <v>480</v>
      </c>
      <c r="EX57" s="9" t="s">
        <v>1869</v>
      </c>
      <c r="EY57" s="9" t="s">
        <v>1870</v>
      </c>
      <c r="EZ57" s="9" t="s">
        <v>415</v>
      </c>
      <c r="FA57" s="9" t="s">
        <v>415</v>
      </c>
      <c r="FB57" s="9" t="s">
        <v>413</v>
      </c>
      <c r="FC57" s="9" t="s">
        <v>414</v>
      </c>
      <c r="FD57" s="9" t="s">
        <v>413</v>
      </c>
      <c r="FE57" s="9" t="s">
        <v>415</v>
      </c>
      <c r="FF57" s="9" t="s">
        <v>414</v>
      </c>
      <c r="FG57" s="9" t="s">
        <v>414</v>
      </c>
      <c r="FH57" s="9" t="s">
        <v>413</v>
      </c>
      <c r="FI57" s="9" t="s">
        <v>415</v>
      </c>
      <c r="FJ57" s="9" t="s">
        <v>415</v>
      </c>
      <c r="FK57" s="9" t="s">
        <v>413</v>
      </c>
      <c r="FL57" s="9" t="s">
        <v>415</v>
      </c>
      <c r="FM57" s="9" t="s">
        <v>415</v>
      </c>
      <c r="FN57" s="9" t="s">
        <v>413</v>
      </c>
      <c r="FO57" s="9" t="s">
        <v>850</v>
      </c>
      <c r="FP57" s="9" t="s">
        <v>418</v>
      </c>
      <c r="FQ57" s="9" t="s">
        <v>749</v>
      </c>
      <c r="FS57" s="9" t="s">
        <v>1871</v>
      </c>
      <c r="FT57" s="9" t="s">
        <v>488</v>
      </c>
      <c r="FU57" s="9" t="s">
        <v>918</v>
      </c>
      <c r="FV57" s="9" t="s">
        <v>490</v>
      </c>
      <c r="FW57" s="9" t="s">
        <v>491</v>
      </c>
      <c r="FX57" s="9" t="s">
        <v>1872</v>
      </c>
      <c r="FY57" s="9" t="s">
        <v>535</v>
      </c>
      <c r="FZ57" s="9" t="s">
        <v>1873</v>
      </c>
      <c r="GA57" s="9" t="s">
        <v>1874</v>
      </c>
      <c r="GB57" s="9" t="s">
        <v>455</v>
      </c>
      <c r="GE57" s="9" t="s">
        <v>855</v>
      </c>
      <c r="GG57" s="9" t="s">
        <v>920</v>
      </c>
      <c r="GH57" s="9" t="s">
        <v>920</v>
      </c>
      <c r="GI57" s="9" t="s">
        <v>858</v>
      </c>
    </row>
    <row r="58" ht="24.75" customHeight="1">
      <c r="A58" s="8">
        <v>45827.77508074074</v>
      </c>
      <c r="B58" s="9" t="s">
        <v>368</v>
      </c>
      <c r="C58" s="9" t="s">
        <v>370</v>
      </c>
      <c r="E58" s="9" t="s">
        <v>1875</v>
      </c>
      <c r="G58" s="9" t="s">
        <v>422</v>
      </c>
      <c r="H58" s="9" t="s">
        <v>1203</v>
      </c>
      <c r="I58" s="9" t="s">
        <v>638</v>
      </c>
      <c r="J58" s="9" t="s">
        <v>1204</v>
      </c>
      <c r="K58" s="9" t="s">
        <v>376</v>
      </c>
      <c r="L58" s="9" t="s">
        <v>426</v>
      </c>
      <c r="M58" s="9" t="s">
        <v>378</v>
      </c>
      <c r="N58" s="9" t="s">
        <v>379</v>
      </c>
      <c r="O58" s="9" t="s">
        <v>719</v>
      </c>
      <c r="P58" s="9" t="s">
        <v>381</v>
      </c>
      <c r="Q58" s="9" t="s">
        <v>1156</v>
      </c>
      <c r="R58" s="9" t="s">
        <v>949</v>
      </c>
      <c r="S58" s="9" t="s">
        <v>1512</v>
      </c>
      <c r="T58" s="9" t="s">
        <v>385</v>
      </c>
      <c r="W58" s="9" t="s">
        <v>428</v>
      </c>
      <c r="AV58" s="9" t="s">
        <v>390</v>
      </c>
      <c r="AW58" s="9" t="s">
        <v>391</v>
      </c>
      <c r="AX58" s="9">
        <v>2.0</v>
      </c>
      <c r="AY58" s="9" t="s">
        <v>391</v>
      </c>
      <c r="AZ58" s="9" t="s">
        <v>429</v>
      </c>
      <c r="BA58" s="9" t="s">
        <v>391</v>
      </c>
      <c r="BB58" s="9" t="s">
        <v>391</v>
      </c>
      <c r="BC58" s="9" t="s">
        <v>1876</v>
      </c>
      <c r="BD58" s="9" t="s">
        <v>1877</v>
      </c>
      <c r="BE58" s="9" t="s">
        <v>432</v>
      </c>
      <c r="BF58" s="9" t="s">
        <v>433</v>
      </c>
      <c r="BG58" s="9" t="s">
        <v>394</v>
      </c>
      <c r="BH58" s="9" t="s">
        <v>1878</v>
      </c>
      <c r="BI58" s="9" t="s">
        <v>824</v>
      </c>
      <c r="BK58" s="9" t="s">
        <v>681</v>
      </c>
      <c r="BL58" s="9" t="s">
        <v>396</v>
      </c>
      <c r="BM58" s="9" t="s">
        <v>549</v>
      </c>
      <c r="BN58" s="9" t="s">
        <v>440</v>
      </c>
      <c r="CL58" s="9" t="s">
        <v>441</v>
      </c>
      <c r="CM58" s="9" t="s">
        <v>604</v>
      </c>
      <c r="CN58" s="9" t="s">
        <v>1879</v>
      </c>
      <c r="CO58" s="9" t="s">
        <v>1880</v>
      </c>
      <c r="CP58" s="9" t="s">
        <v>1008</v>
      </c>
      <c r="CQ58" s="9" t="s">
        <v>956</v>
      </c>
      <c r="CR58" s="9" t="s">
        <v>804</v>
      </c>
      <c r="CS58" s="9" t="s">
        <v>1881</v>
      </c>
      <c r="CT58" s="9" t="s">
        <v>1882</v>
      </c>
      <c r="CU58" s="9" t="s">
        <v>450</v>
      </c>
      <c r="CV58" s="9" t="s">
        <v>451</v>
      </c>
      <c r="CW58" s="9" t="s">
        <v>1883</v>
      </c>
      <c r="CX58" s="9" t="s">
        <v>408</v>
      </c>
      <c r="CZ58" s="9" t="s">
        <v>453</v>
      </c>
      <c r="DA58" s="9" t="s">
        <v>1884</v>
      </c>
      <c r="DB58" s="9" t="s">
        <v>408</v>
      </c>
      <c r="DD58" s="9" t="s">
        <v>457</v>
      </c>
      <c r="DF58" s="9" t="s">
        <v>1885</v>
      </c>
      <c r="DG58" s="9" t="s">
        <v>524</v>
      </c>
      <c r="DH58" s="9" t="s">
        <v>410</v>
      </c>
      <c r="DI58" s="9" t="s">
        <v>459</v>
      </c>
      <c r="DJ58" s="9" t="s">
        <v>613</v>
      </c>
      <c r="DM58" s="9" t="s">
        <v>1492</v>
      </c>
      <c r="DN58" s="9" t="s">
        <v>1886</v>
      </c>
      <c r="DO58" s="9" t="s">
        <v>464</v>
      </c>
      <c r="DP58" s="9" t="s">
        <v>1887</v>
      </c>
      <c r="DQ58" s="9" t="s">
        <v>700</v>
      </c>
      <c r="DR58" s="9" t="s">
        <v>1888</v>
      </c>
      <c r="DS58" s="9" t="s">
        <v>839</v>
      </c>
      <c r="DT58" s="9" t="s">
        <v>703</v>
      </c>
      <c r="DU58" s="9" t="s">
        <v>1889</v>
      </c>
      <c r="DV58" s="9" t="s">
        <v>1890</v>
      </c>
      <c r="DW58" s="9" t="s">
        <v>573</v>
      </c>
      <c r="DX58" s="9" t="s">
        <v>1891</v>
      </c>
      <c r="DY58" s="9" t="s">
        <v>1892</v>
      </c>
      <c r="DZ58" s="9" t="s">
        <v>1893</v>
      </c>
      <c r="EA58" s="9" t="s">
        <v>1413</v>
      </c>
      <c r="EB58" s="9" t="s">
        <v>626</v>
      </c>
      <c r="ET58" s="9" t="s">
        <v>526</v>
      </c>
      <c r="EU58" s="9" t="s">
        <v>887</v>
      </c>
      <c r="EV58" s="9" t="s">
        <v>527</v>
      </c>
      <c r="EX58" s="9" t="s">
        <v>1894</v>
      </c>
      <c r="EY58" s="9" t="s">
        <v>1895</v>
      </c>
      <c r="EZ58" s="9" t="s">
        <v>583</v>
      </c>
      <c r="FA58" s="9" t="s">
        <v>583</v>
      </c>
      <c r="FB58" s="9" t="s">
        <v>415</v>
      </c>
      <c r="FC58" s="9" t="s">
        <v>583</v>
      </c>
      <c r="FD58" s="9" t="s">
        <v>583</v>
      </c>
      <c r="FE58" s="9" t="s">
        <v>583</v>
      </c>
      <c r="FF58" s="9" t="s">
        <v>414</v>
      </c>
      <c r="FG58" s="9" t="s">
        <v>415</v>
      </c>
      <c r="FH58" s="9" t="s">
        <v>415</v>
      </c>
      <c r="FI58" s="9" t="s">
        <v>414</v>
      </c>
      <c r="FJ58" s="9" t="s">
        <v>414</v>
      </c>
      <c r="FK58" s="9" t="s">
        <v>414</v>
      </c>
      <c r="FL58" s="9" t="s">
        <v>414</v>
      </c>
      <c r="FM58" s="9" t="s">
        <v>414</v>
      </c>
      <c r="FN58" s="9" t="s">
        <v>583</v>
      </c>
      <c r="FO58" s="9" t="s">
        <v>417</v>
      </c>
      <c r="FP58" s="9" t="s">
        <v>418</v>
      </c>
      <c r="FQ58" s="9" t="s">
        <v>419</v>
      </c>
      <c r="FR58" s="9" t="s">
        <v>1896</v>
      </c>
      <c r="FS58" s="9" t="s">
        <v>420</v>
      </c>
      <c r="FT58" s="9" t="s">
        <v>488</v>
      </c>
      <c r="FU58" s="9" t="s">
        <v>489</v>
      </c>
      <c r="FV58" s="9" t="s">
        <v>490</v>
      </c>
      <c r="FW58" s="9" t="s">
        <v>491</v>
      </c>
      <c r="FX58" s="9" t="s">
        <v>1897</v>
      </c>
      <c r="FY58" s="9" t="s">
        <v>1020</v>
      </c>
      <c r="FZ58" s="9" t="s">
        <v>1898</v>
      </c>
      <c r="GB58" s="9" t="s">
        <v>408</v>
      </c>
      <c r="GG58" s="9" t="s">
        <v>857</v>
      </c>
      <c r="GH58" s="9" t="s">
        <v>857</v>
      </c>
      <c r="GI58" s="9" t="s">
        <v>790</v>
      </c>
      <c r="GM58" s="9" t="s">
        <v>1079</v>
      </c>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c r="IG58" s="10"/>
      <c r="IH58" s="10"/>
      <c r="II58" s="10"/>
      <c r="IJ58" s="10"/>
      <c r="IK58" s="10"/>
      <c r="IL58" s="10"/>
      <c r="IM58" s="10"/>
      <c r="IN58" s="10"/>
      <c r="IO58" s="10"/>
      <c r="IP58" s="10"/>
      <c r="IQ58" s="10"/>
      <c r="IR58" s="10"/>
      <c r="IS58" s="10"/>
      <c r="IT58" s="10"/>
      <c r="IU58" s="10"/>
      <c r="IV58" s="10"/>
      <c r="IW58" s="10"/>
      <c r="IX58" s="10"/>
      <c r="IY58" s="10"/>
      <c r="IZ58" s="10"/>
      <c r="JA58" s="10"/>
      <c r="JB58" s="10"/>
      <c r="JC58" s="10"/>
      <c r="JD58" s="10"/>
      <c r="JE58" s="10"/>
      <c r="JF58" s="10"/>
      <c r="JG58" s="10"/>
      <c r="JH58" s="10"/>
      <c r="JI58" s="10"/>
      <c r="JJ58" s="10"/>
      <c r="JK58" s="10"/>
      <c r="JL58" s="10"/>
      <c r="JM58" s="10"/>
      <c r="JN58" s="10"/>
      <c r="JO58" s="10"/>
      <c r="JP58" s="10"/>
      <c r="JQ58" s="10"/>
      <c r="JR58" s="10"/>
      <c r="JS58" s="10"/>
      <c r="JT58" s="10"/>
      <c r="JU58" s="10"/>
      <c r="JV58" s="10"/>
      <c r="JW58" s="10"/>
      <c r="JX58" s="10"/>
      <c r="JY58" s="10"/>
      <c r="JZ58" s="10"/>
      <c r="KA58" s="10"/>
      <c r="KB58" s="10"/>
      <c r="KC58" s="10"/>
      <c r="KD58" s="10"/>
      <c r="KE58" s="10"/>
      <c r="KF58" s="10"/>
      <c r="KG58" s="10"/>
      <c r="KH58" s="10"/>
      <c r="KI58" s="10"/>
      <c r="KJ58" s="10"/>
      <c r="KK58" s="10"/>
      <c r="KL58" s="10"/>
      <c r="KM58" s="10"/>
      <c r="KN58" s="10"/>
      <c r="KO58" s="10"/>
      <c r="KP58" s="10"/>
      <c r="KQ58" s="10"/>
      <c r="KR58" s="10"/>
      <c r="KS58" s="10"/>
      <c r="KT58" s="10"/>
      <c r="KU58" s="10"/>
      <c r="KV58" s="10"/>
      <c r="KW58" s="10"/>
      <c r="KX58" s="10"/>
      <c r="KY58" s="10"/>
      <c r="KZ58" s="10"/>
      <c r="LA58" s="10"/>
      <c r="LB58" s="10"/>
      <c r="LC58" s="10"/>
      <c r="LD58" s="10"/>
      <c r="LE58" s="10"/>
      <c r="LF58" s="10"/>
      <c r="LG58" s="10"/>
      <c r="LH58" s="10"/>
      <c r="LI58" s="10"/>
      <c r="LJ58" s="10"/>
      <c r="LK58" s="10"/>
      <c r="LL58" s="10"/>
      <c r="LM58" s="10"/>
      <c r="LN58" s="10"/>
      <c r="LO58" s="10"/>
      <c r="LP58" s="10"/>
      <c r="LQ58" s="10"/>
      <c r="LR58" s="10"/>
      <c r="LS58" s="10"/>
      <c r="LT58" s="10"/>
      <c r="LU58" s="10"/>
      <c r="LV58" s="10"/>
      <c r="LW58" s="10"/>
      <c r="LX58" s="10"/>
      <c r="LY58" s="10"/>
      <c r="LZ58" s="10"/>
      <c r="MA58" s="10"/>
      <c r="MB58" s="10"/>
      <c r="MC58" s="10"/>
      <c r="MD58" s="10"/>
      <c r="ME58" s="10"/>
      <c r="MF58" s="10"/>
      <c r="MG58" s="10"/>
      <c r="MH58" s="10"/>
      <c r="MI58" s="10"/>
      <c r="MJ58" s="10"/>
      <c r="MK58" s="10"/>
      <c r="ML58" s="10"/>
      <c r="MM58" s="10"/>
      <c r="MN58" s="10"/>
      <c r="MO58" s="10"/>
      <c r="MP58" s="10"/>
      <c r="MQ58" s="10"/>
      <c r="MR58" s="10"/>
      <c r="MS58" s="10"/>
      <c r="MT58" s="10"/>
      <c r="MU58" s="10"/>
      <c r="MV58" s="10"/>
      <c r="MW58" s="10"/>
      <c r="MX58" s="10"/>
      <c r="MY58" s="10"/>
      <c r="MZ58" s="10"/>
      <c r="NA58" s="10"/>
      <c r="NB58" s="10"/>
      <c r="NC58" s="10"/>
      <c r="ND58" s="10"/>
    </row>
    <row r="59" ht="24.75" customHeight="1">
      <c r="A59" s="8">
        <v>45827.77905215278</v>
      </c>
      <c r="B59" s="9" t="s">
        <v>368</v>
      </c>
      <c r="C59" s="9" t="s">
        <v>370</v>
      </c>
      <c r="E59" s="9" t="s">
        <v>1899</v>
      </c>
      <c r="G59" s="9" t="s">
        <v>1900</v>
      </c>
      <c r="H59" s="9" t="s">
        <v>373</v>
      </c>
      <c r="I59" s="9" t="s">
        <v>638</v>
      </c>
      <c r="J59" s="9" t="s">
        <v>590</v>
      </c>
      <c r="K59" s="9" t="s">
        <v>376</v>
      </c>
      <c r="L59" s="9" t="s">
        <v>591</v>
      </c>
      <c r="M59" s="9" t="s">
        <v>378</v>
      </c>
      <c r="N59" s="9" t="s">
        <v>591</v>
      </c>
      <c r="O59" s="9" t="s">
        <v>541</v>
      </c>
      <c r="P59" s="9" t="s">
        <v>498</v>
      </c>
      <c r="Q59" s="9" t="s">
        <v>862</v>
      </c>
      <c r="R59" s="9" t="s">
        <v>1901</v>
      </c>
      <c r="S59" s="9" t="s">
        <v>1902</v>
      </c>
      <c r="T59" s="9" t="s">
        <v>385</v>
      </c>
      <c r="W59" s="9" t="s">
        <v>760</v>
      </c>
      <c r="X59" s="9" t="s">
        <v>387</v>
      </c>
      <c r="Y59" s="9" t="s">
        <v>1444</v>
      </c>
      <c r="Z59" s="9" t="s">
        <v>543</v>
      </c>
      <c r="AA59" s="9" t="s">
        <v>1903</v>
      </c>
      <c r="AB59" s="9" t="s">
        <v>1904</v>
      </c>
      <c r="AV59" s="9" t="s">
        <v>1905</v>
      </c>
      <c r="AX59" s="9">
        <v>4.0</v>
      </c>
      <c r="AY59" s="9" t="s">
        <v>429</v>
      </c>
      <c r="BA59" s="9" t="s">
        <v>429</v>
      </c>
      <c r="BE59" s="9" t="s">
        <v>902</v>
      </c>
      <c r="BF59" s="9" t="s">
        <v>433</v>
      </c>
      <c r="BG59" s="9" t="s">
        <v>678</v>
      </c>
      <c r="BI59" s="9" t="s">
        <v>727</v>
      </c>
      <c r="BK59" s="9" t="s">
        <v>511</v>
      </c>
      <c r="BL59" s="9" t="s">
        <v>904</v>
      </c>
      <c r="BM59" s="9" t="s">
        <v>439</v>
      </c>
      <c r="BN59" s="9" t="s">
        <v>513</v>
      </c>
      <c r="CL59" s="9" t="s">
        <v>441</v>
      </c>
      <c r="CM59" s="9" t="s">
        <v>401</v>
      </c>
      <c r="CN59" s="9" t="s">
        <v>1906</v>
      </c>
      <c r="CO59" s="9" t="s">
        <v>1907</v>
      </c>
      <c r="CP59" s="9" t="s">
        <v>445</v>
      </c>
      <c r="CQ59" s="9" t="s">
        <v>1908</v>
      </c>
      <c r="CR59" s="9" t="s">
        <v>804</v>
      </c>
      <c r="CS59" s="9" t="s">
        <v>1909</v>
      </c>
      <c r="CT59" s="9" t="s">
        <v>1910</v>
      </c>
      <c r="CU59" s="9" t="s">
        <v>450</v>
      </c>
      <c r="CV59" s="9" t="s">
        <v>451</v>
      </c>
      <c r="CW59" s="9" t="s">
        <v>1911</v>
      </c>
      <c r="CX59" s="9" t="s">
        <v>408</v>
      </c>
      <c r="CZ59" s="9" t="s">
        <v>453</v>
      </c>
      <c r="DA59" s="9" t="s">
        <v>1912</v>
      </c>
      <c r="DB59" s="9" t="s">
        <v>455</v>
      </c>
      <c r="DC59" s="9" t="s">
        <v>1913</v>
      </c>
      <c r="DD59" s="9" t="s">
        <v>457</v>
      </c>
      <c r="DG59" s="9" t="s">
        <v>776</v>
      </c>
      <c r="DH59" s="9" t="s">
        <v>410</v>
      </c>
      <c r="DI59" s="9" t="s">
        <v>459</v>
      </c>
      <c r="DJ59" s="9" t="s">
        <v>613</v>
      </c>
      <c r="ET59" s="9" t="s">
        <v>478</v>
      </c>
      <c r="EU59" s="9" t="s">
        <v>479</v>
      </c>
      <c r="EV59" s="9" t="s">
        <v>778</v>
      </c>
      <c r="EW59" s="9" t="s">
        <v>1914</v>
      </c>
      <c r="EX59" s="9" t="s">
        <v>1915</v>
      </c>
      <c r="EY59" s="9" t="s">
        <v>1916</v>
      </c>
      <c r="FB59" s="11"/>
      <c r="FO59" s="9" t="s">
        <v>485</v>
      </c>
      <c r="FP59" s="9" t="s">
        <v>418</v>
      </c>
      <c r="FQ59" s="9" t="s">
        <v>712</v>
      </c>
      <c r="FS59" s="9" t="s">
        <v>420</v>
      </c>
      <c r="FT59" s="9" t="s">
        <v>488</v>
      </c>
      <c r="FU59" s="9" t="s">
        <v>918</v>
      </c>
      <c r="FV59" s="9" t="s">
        <v>490</v>
      </c>
      <c r="FW59" s="9" t="s">
        <v>491</v>
      </c>
      <c r="FX59" s="9" t="s">
        <v>1917</v>
      </c>
      <c r="FY59" s="9" t="s">
        <v>535</v>
      </c>
      <c r="FZ59" s="9" t="s">
        <v>1918</v>
      </c>
      <c r="GA59" s="9" t="s">
        <v>1919</v>
      </c>
      <c r="GB59" s="9" t="s">
        <v>455</v>
      </c>
      <c r="GC59" s="9"/>
      <c r="GD59" s="9"/>
      <c r="GE59" s="9" t="s">
        <v>753</v>
      </c>
      <c r="GF59" s="9" t="s">
        <v>1920</v>
      </c>
      <c r="GG59" s="9" t="s">
        <v>755</v>
      </c>
      <c r="GH59" s="9" t="s">
        <v>755</v>
      </c>
      <c r="GI59" s="9" t="s">
        <v>946</v>
      </c>
    </row>
    <row r="60" ht="24.75" customHeight="1">
      <c r="A60" s="8">
        <v>45827.80988215278</v>
      </c>
      <c r="B60" s="9" t="s">
        <v>368</v>
      </c>
      <c r="C60" s="9" t="s">
        <v>370</v>
      </c>
      <c r="E60" s="9" t="s">
        <v>495</v>
      </c>
      <c r="G60" s="9" t="s">
        <v>422</v>
      </c>
      <c r="H60" s="9" t="s">
        <v>1921</v>
      </c>
      <c r="I60" s="9" t="s">
        <v>668</v>
      </c>
      <c r="J60" s="9" t="s">
        <v>375</v>
      </c>
      <c r="K60" s="9" t="s">
        <v>376</v>
      </c>
      <c r="L60" s="9" t="s">
        <v>379</v>
      </c>
      <c r="M60" s="9" t="s">
        <v>860</v>
      </c>
      <c r="N60" s="9" t="s">
        <v>377</v>
      </c>
      <c r="O60" s="9" t="s">
        <v>380</v>
      </c>
      <c r="P60" s="9" t="s">
        <v>381</v>
      </c>
      <c r="Q60" s="9" t="s">
        <v>382</v>
      </c>
      <c r="R60" s="9" t="s">
        <v>427</v>
      </c>
      <c r="S60" s="9" t="s">
        <v>384</v>
      </c>
      <c r="T60" s="9" t="s">
        <v>385</v>
      </c>
      <c r="W60" s="9" t="s">
        <v>760</v>
      </c>
      <c r="X60" s="9" t="s">
        <v>387</v>
      </c>
      <c r="Y60" s="9" t="s">
        <v>1922</v>
      </c>
      <c r="Z60" s="9" t="s">
        <v>543</v>
      </c>
      <c r="AA60" s="9" t="s">
        <v>1923</v>
      </c>
      <c r="AV60" s="9" t="s">
        <v>1242</v>
      </c>
      <c r="AW60" s="9">
        <v>4.0</v>
      </c>
      <c r="AX60" s="9" t="s">
        <v>391</v>
      </c>
      <c r="AY60" s="9" t="s">
        <v>391</v>
      </c>
      <c r="AZ60" s="9">
        <v>4.0</v>
      </c>
      <c r="BA60" s="9" t="s">
        <v>675</v>
      </c>
      <c r="BB60" s="9" t="s">
        <v>675</v>
      </c>
      <c r="BC60" s="9" t="s">
        <v>1924</v>
      </c>
      <c r="BD60" s="9" t="s">
        <v>1925</v>
      </c>
      <c r="BE60" s="9" t="s">
        <v>432</v>
      </c>
      <c r="BF60" s="9" t="s">
        <v>393</v>
      </c>
      <c r="BG60" s="9" t="s">
        <v>434</v>
      </c>
      <c r="BI60" s="9" t="s">
        <v>976</v>
      </c>
      <c r="BK60" s="9" t="s">
        <v>681</v>
      </c>
      <c r="BL60" s="9" t="s">
        <v>438</v>
      </c>
      <c r="BM60" s="9" t="s">
        <v>1314</v>
      </c>
      <c r="BN60" s="9" t="s">
        <v>398</v>
      </c>
      <c r="BO60" s="9" t="s">
        <v>1926</v>
      </c>
      <c r="BP60" s="9" t="s">
        <v>1927</v>
      </c>
      <c r="BQ60" s="9" t="s">
        <v>401</v>
      </c>
      <c r="BR60" s="9" t="s">
        <v>1928</v>
      </c>
      <c r="BS60" s="9" t="s">
        <v>403</v>
      </c>
      <c r="BT60" s="9" t="s">
        <v>404</v>
      </c>
      <c r="BU60" s="9" t="s">
        <v>405</v>
      </c>
      <c r="BW60" s="9" t="s">
        <v>406</v>
      </c>
      <c r="BX60" s="9" t="s">
        <v>407</v>
      </c>
      <c r="BY60" s="9" t="s">
        <v>408</v>
      </c>
      <c r="CB60" s="9" t="s">
        <v>1929</v>
      </c>
      <c r="CC60" s="9" t="s">
        <v>1930</v>
      </c>
      <c r="CD60" s="9" t="s">
        <v>1931</v>
      </c>
      <c r="CF60" s="9" t="s">
        <v>1258</v>
      </c>
      <c r="CH60" s="9" t="s">
        <v>1259</v>
      </c>
      <c r="CI60" s="9" t="s">
        <v>1220</v>
      </c>
      <c r="CJ60" s="9" t="s">
        <v>1932</v>
      </c>
      <c r="CK60" s="9" t="s">
        <v>1933</v>
      </c>
      <c r="ET60" s="9" t="s">
        <v>526</v>
      </c>
      <c r="EU60" s="9" t="s">
        <v>1037</v>
      </c>
      <c r="EV60" s="9" t="s">
        <v>527</v>
      </c>
      <c r="EW60" s="9" t="s">
        <v>1934</v>
      </c>
      <c r="EX60" s="9" t="s">
        <v>1935</v>
      </c>
      <c r="EY60" s="9" t="s">
        <v>1380</v>
      </c>
      <c r="EZ60" s="9" t="s">
        <v>413</v>
      </c>
      <c r="FA60" s="9" t="s">
        <v>414</v>
      </c>
      <c r="FB60" s="9" t="s">
        <v>414</v>
      </c>
      <c r="FC60" s="9" t="s">
        <v>414</v>
      </c>
      <c r="FD60" s="9" t="s">
        <v>413</v>
      </c>
      <c r="FE60" s="9" t="s">
        <v>414</v>
      </c>
      <c r="FF60" s="9" t="s">
        <v>415</v>
      </c>
      <c r="FG60" s="9" t="s">
        <v>413</v>
      </c>
      <c r="FH60" s="9" t="s">
        <v>414</v>
      </c>
      <c r="FI60" s="9" t="s">
        <v>415</v>
      </c>
      <c r="FJ60" s="9" t="s">
        <v>415</v>
      </c>
      <c r="FK60" s="9" t="s">
        <v>415</v>
      </c>
      <c r="FL60" s="9" t="s">
        <v>415</v>
      </c>
      <c r="FM60" s="9" t="s">
        <v>416</v>
      </c>
      <c r="FN60" s="9" t="s">
        <v>414</v>
      </c>
      <c r="FO60" s="9" t="s">
        <v>1074</v>
      </c>
      <c r="FP60" s="9" t="s">
        <v>418</v>
      </c>
      <c r="FQ60" s="9" t="s">
        <v>749</v>
      </c>
      <c r="FS60" s="9" t="s">
        <v>420</v>
      </c>
      <c r="FT60" s="9" t="s">
        <v>488</v>
      </c>
      <c r="FU60" s="9" t="s">
        <v>918</v>
      </c>
      <c r="FV60" s="9" t="s">
        <v>490</v>
      </c>
      <c r="FW60" s="9" t="s">
        <v>491</v>
      </c>
      <c r="FX60" s="9" t="s">
        <v>1936</v>
      </c>
      <c r="FY60" s="9" t="s">
        <v>535</v>
      </c>
      <c r="FZ60" s="9" t="s">
        <v>1937</v>
      </c>
      <c r="GB60" s="9" t="s">
        <v>455</v>
      </c>
      <c r="GC60" s="9"/>
      <c r="GE60" s="9" t="s">
        <v>855</v>
      </c>
      <c r="GJ60" s="9" t="s">
        <v>788</v>
      </c>
      <c r="GK60" s="9" t="s">
        <v>788</v>
      </c>
      <c r="GL60" s="9" t="s">
        <v>921</v>
      </c>
    </row>
    <row r="61" ht="24.75" customHeight="1">
      <c r="A61" s="8">
        <v>45827.82377087963</v>
      </c>
      <c r="B61" s="9" t="s">
        <v>368</v>
      </c>
      <c r="C61" s="9" t="s">
        <v>894</v>
      </c>
      <c r="G61" s="9" t="s">
        <v>422</v>
      </c>
      <c r="H61" s="9" t="s">
        <v>373</v>
      </c>
      <c r="I61" s="9" t="s">
        <v>374</v>
      </c>
      <c r="J61" s="9" t="s">
        <v>718</v>
      </c>
      <c r="K61" s="9" t="s">
        <v>376</v>
      </c>
      <c r="L61" s="9" t="s">
        <v>591</v>
      </c>
      <c r="M61" s="9" t="s">
        <v>719</v>
      </c>
      <c r="N61" s="9" t="s">
        <v>591</v>
      </c>
      <c r="O61" s="9" t="s">
        <v>719</v>
      </c>
      <c r="P61" s="9" t="s">
        <v>498</v>
      </c>
      <c r="Q61" s="9" t="s">
        <v>382</v>
      </c>
      <c r="R61" s="9" t="s">
        <v>500</v>
      </c>
      <c r="S61" s="9" t="s">
        <v>384</v>
      </c>
      <c r="T61" s="9" t="s">
        <v>385</v>
      </c>
      <c r="U61" s="9" t="s">
        <v>1045</v>
      </c>
      <c r="V61" s="9" t="s">
        <v>1045</v>
      </c>
      <c r="W61" s="9" t="s">
        <v>386</v>
      </c>
      <c r="X61" s="9" t="s">
        <v>1706</v>
      </c>
      <c r="AC61" s="9" t="s">
        <v>1707</v>
      </c>
      <c r="AD61" s="9" t="s">
        <v>1938</v>
      </c>
      <c r="AE61" s="9" t="s">
        <v>455</v>
      </c>
      <c r="AF61" s="9" t="s">
        <v>1939</v>
      </c>
      <c r="AG61" s="9">
        <v>3.0</v>
      </c>
      <c r="AH61" s="9" t="s">
        <v>647</v>
      </c>
      <c r="AI61" s="9" t="s">
        <v>1940</v>
      </c>
      <c r="AJ61" s="9" t="s">
        <v>1941</v>
      </c>
      <c r="AK61" s="9" t="s">
        <v>1942</v>
      </c>
      <c r="AV61" s="9" t="s">
        <v>390</v>
      </c>
      <c r="AW61" s="9" t="s">
        <v>429</v>
      </c>
      <c r="AX61" s="9">
        <v>2.0</v>
      </c>
      <c r="AY61" s="9" t="s">
        <v>429</v>
      </c>
      <c r="AZ61" s="9" t="s">
        <v>429</v>
      </c>
      <c r="BA61" s="9">
        <v>2.0</v>
      </c>
      <c r="BB61" s="9" t="s">
        <v>429</v>
      </c>
      <c r="BC61" s="9" t="s">
        <v>1943</v>
      </c>
      <c r="BD61" s="9" t="s">
        <v>1944</v>
      </c>
      <c r="BE61" s="9" t="s">
        <v>432</v>
      </c>
      <c r="BF61" s="9" t="s">
        <v>433</v>
      </c>
      <c r="BG61" s="9" t="s">
        <v>765</v>
      </c>
      <c r="BI61" s="9" t="s">
        <v>435</v>
      </c>
      <c r="BJ61" s="9" t="s">
        <v>1945</v>
      </c>
      <c r="BK61" s="9" t="s">
        <v>437</v>
      </c>
      <c r="BL61" s="9" t="s">
        <v>603</v>
      </c>
      <c r="BM61" s="9" t="s">
        <v>397</v>
      </c>
      <c r="BN61" s="9" t="s">
        <v>513</v>
      </c>
      <c r="CL61" s="9" t="s">
        <v>441</v>
      </c>
      <c r="CM61" s="9" t="s">
        <v>442</v>
      </c>
      <c r="CN61" s="9" t="s">
        <v>1946</v>
      </c>
      <c r="CO61" s="9" t="s">
        <v>1947</v>
      </c>
      <c r="CP61" s="9" t="s">
        <v>1948</v>
      </c>
      <c r="CQ61" s="9" t="s">
        <v>1949</v>
      </c>
      <c r="CR61" s="9" t="s">
        <v>404</v>
      </c>
      <c r="CS61" s="9" t="s">
        <v>1950</v>
      </c>
      <c r="CT61" s="9" t="s">
        <v>1951</v>
      </c>
      <c r="CU61" s="9" t="s">
        <v>450</v>
      </c>
      <c r="CV61" s="9" t="s">
        <v>451</v>
      </c>
      <c r="CW61" s="9" t="s">
        <v>1952</v>
      </c>
      <c r="CX61" s="9" t="s">
        <v>408</v>
      </c>
      <c r="CZ61" s="9" t="s">
        <v>453</v>
      </c>
      <c r="DA61" s="9" t="s">
        <v>1953</v>
      </c>
      <c r="DB61" s="9" t="s">
        <v>408</v>
      </c>
      <c r="DD61" s="9" t="s">
        <v>457</v>
      </c>
      <c r="DF61" s="9" t="s">
        <v>1954</v>
      </c>
      <c r="DG61" s="9" t="s">
        <v>524</v>
      </c>
      <c r="DH61" s="9" t="s">
        <v>410</v>
      </c>
      <c r="DI61" s="9" t="s">
        <v>459</v>
      </c>
      <c r="DJ61" s="9" t="s">
        <v>460</v>
      </c>
      <c r="DK61" s="9" t="s">
        <v>461</v>
      </c>
      <c r="ET61" s="9" t="s">
        <v>578</v>
      </c>
      <c r="EU61" s="9" t="s">
        <v>479</v>
      </c>
      <c r="EV61" s="9" t="s">
        <v>527</v>
      </c>
      <c r="EW61" s="9" t="s">
        <v>1955</v>
      </c>
      <c r="EX61" s="9" t="s">
        <v>1956</v>
      </c>
      <c r="EY61" s="9" t="s">
        <v>1380</v>
      </c>
      <c r="EZ61" s="9" t="s">
        <v>414</v>
      </c>
      <c r="FA61" s="9" t="s">
        <v>414</v>
      </c>
      <c r="FB61" s="9" t="s">
        <v>413</v>
      </c>
      <c r="FC61" s="9" t="s">
        <v>414</v>
      </c>
      <c r="FD61" s="9" t="s">
        <v>413</v>
      </c>
      <c r="FE61" s="9" t="s">
        <v>414</v>
      </c>
      <c r="FF61" s="9" t="s">
        <v>415</v>
      </c>
      <c r="FG61" s="9" t="s">
        <v>415</v>
      </c>
      <c r="FH61" s="9" t="s">
        <v>416</v>
      </c>
      <c r="FI61" s="9" t="s">
        <v>415</v>
      </c>
      <c r="FJ61" s="9" t="s">
        <v>415</v>
      </c>
      <c r="FK61" s="9" t="s">
        <v>415</v>
      </c>
      <c r="FL61" s="9" t="s">
        <v>484</v>
      </c>
      <c r="FM61" s="9" t="s">
        <v>413</v>
      </c>
      <c r="FN61" s="9" t="s">
        <v>484</v>
      </c>
      <c r="FO61" s="9" t="s">
        <v>850</v>
      </c>
      <c r="FP61" s="9" t="s">
        <v>418</v>
      </c>
      <c r="FQ61" s="9" t="s">
        <v>1039</v>
      </c>
      <c r="FR61" s="9" t="s">
        <v>1957</v>
      </c>
      <c r="FS61" s="9" t="s">
        <v>1189</v>
      </c>
      <c r="FT61" s="9" t="s">
        <v>488</v>
      </c>
      <c r="FU61" s="9" t="s">
        <v>585</v>
      </c>
      <c r="FV61" s="9" t="s">
        <v>490</v>
      </c>
      <c r="FW61" s="9" t="s">
        <v>491</v>
      </c>
      <c r="FX61" s="9" t="s">
        <v>1958</v>
      </c>
      <c r="FY61" s="9" t="s">
        <v>1020</v>
      </c>
      <c r="GB61" s="9" t="s">
        <v>408</v>
      </c>
      <c r="GG61" s="9" t="s">
        <v>920</v>
      </c>
      <c r="GH61" s="9" t="s">
        <v>920</v>
      </c>
      <c r="GI61" s="9" t="s">
        <v>817</v>
      </c>
    </row>
    <row r="62" ht="24.75" customHeight="1">
      <c r="A62" s="8">
        <v>45827.82513037037</v>
      </c>
      <c r="B62" s="9" t="s">
        <v>368</v>
      </c>
      <c r="D62" s="9" t="s">
        <v>1201</v>
      </c>
      <c r="W62" s="9" t="s">
        <v>760</v>
      </c>
      <c r="X62" s="9" t="s">
        <v>387</v>
      </c>
      <c r="Z62" s="9" t="s">
        <v>543</v>
      </c>
      <c r="AV62" s="9" t="s">
        <v>1310</v>
      </c>
      <c r="BE62" s="9" t="s">
        <v>432</v>
      </c>
      <c r="BF62" s="9" t="s">
        <v>1095</v>
      </c>
      <c r="BG62" s="9" t="s">
        <v>434</v>
      </c>
      <c r="BI62" s="9" t="s">
        <v>824</v>
      </c>
      <c r="BK62" s="9" t="s">
        <v>437</v>
      </c>
      <c r="BM62" s="9" t="s">
        <v>1247</v>
      </c>
      <c r="BN62" s="9" t="s">
        <v>513</v>
      </c>
      <c r="CL62" s="9" t="s">
        <v>953</v>
      </c>
      <c r="CM62" s="9" t="s">
        <v>551</v>
      </c>
      <c r="CP62" s="9" t="s">
        <v>445</v>
      </c>
      <c r="CQ62" s="9" t="s">
        <v>1959</v>
      </c>
      <c r="CR62" s="9" t="s">
        <v>828</v>
      </c>
      <c r="CS62" s="9" t="s">
        <v>1960</v>
      </c>
      <c r="CU62" s="9" t="s">
        <v>1961</v>
      </c>
      <c r="CV62" s="9" t="s">
        <v>959</v>
      </c>
      <c r="CX62" s="9" t="s">
        <v>408</v>
      </c>
      <c r="CZ62" s="9" t="s">
        <v>1962</v>
      </c>
      <c r="DB62" s="9" t="s">
        <v>408</v>
      </c>
      <c r="DD62" s="9" t="s">
        <v>406</v>
      </c>
      <c r="DE62" s="9" t="s">
        <v>1058</v>
      </c>
      <c r="DF62" s="9" t="s">
        <v>1963</v>
      </c>
      <c r="DG62" s="9" t="s">
        <v>990</v>
      </c>
      <c r="DH62" s="9" t="s">
        <v>1964</v>
      </c>
      <c r="DI62" s="9" t="s">
        <v>963</v>
      </c>
      <c r="DJ62" s="9" t="s">
        <v>613</v>
      </c>
      <c r="ET62" s="9" t="s">
        <v>478</v>
      </c>
      <c r="EU62" s="9" t="s">
        <v>579</v>
      </c>
      <c r="EV62" s="9" t="s">
        <v>580</v>
      </c>
      <c r="EZ62" s="9" t="s">
        <v>414</v>
      </c>
      <c r="FA62" s="9" t="s">
        <v>414</v>
      </c>
      <c r="FB62" s="9" t="s">
        <v>415</v>
      </c>
      <c r="FC62" s="9" t="s">
        <v>415</v>
      </c>
      <c r="FD62" s="9" t="s">
        <v>415</v>
      </c>
      <c r="FE62" s="9" t="s">
        <v>414</v>
      </c>
      <c r="FF62" s="9" t="s">
        <v>415</v>
      </c>
      <c r="FG62" s="9" t="s">
        <v>415</v>
      </c>
      <c r="FH62" s="9" t="s">
        <v>415</v>
      </c>
      <c r="FI62" s="9" t="s">
        <v>416</v>
      </c>
      <c r="FJ62" s="9" t="s">
        <v>415</v>
      </c>
      <c r="FK62" s="9" t="s">
        <v>414</v>
      </c>
      <c r="FL62" s="9" t="s">
        <v>414</v>
      </c>
      <c r="FM62" s="9" t="s">
        <v>484</v>
      </c>
      <c r="FN62" s="9" t="s">
        <v>484</v>
      </c>
      <c r="FO62" s="9" t="s">
        <v>1074</v>
      </c>
      <c r="FP62" s="9" t="s">
        <v>1200</v>
      </c>
      <c r="FQ62" s="9" t="s">
        <v>712</v>
      </c>
      <c r="FS62" s="9" t="s">
        <v>1076</v>
      </c>
      <c r="FT62" s="9" t="s">
        <v>1476</v>
      </c>
      <c r="FU62" s="9" t="s">
        <v>585</v>
      </c>
      <c r="FV62" s="9" t="s">
        <v>1101</v>
      </c>
      <c r="FW62" s="9" t="s">
        <v>1853</v>
      </c>
      <c r="FX62" s="9" t="s">
        <v>1965</v>
      </c>
      <c r="FY62" s="9" t="s">
        <v>1854</v>
      </c>
      <c r="GB62" s="9" t="s">
        <v>408</v>
      </c>
      <c r="GG62" s="9" t="s">
        <v>788</v>
      </c>
      <c r="GH62" s="9" t="s">
        <v>788</v>
      </c>
      <c r="GI62" s="9" t="s">
        <v>858</v>
      </c>
    </row>
    <row r="63" ht="24.75" customHeight="1">
      <c r="A63" s="8">
        <v>45827.834250127315</v>
      </c>
      <c r="B63" s="9" t="s">
        <v>368</v>
      </c>
      <c r="C63" s="9" t="s">
        <v>370</v>
      </c>
      <c r="E63" s="9" t="s">
        <v>1480</v>
      </c>
      <c r="W63" s="9" t="s">
        <v>386</v>
      </c>
      <c r="X63" s="9" t="s">
        <v>387</v>
      </c>
      <c r="Y63" s="9" t="s">
        <v>1966</v>
      </c>
      <c r="Z63" s="9" t="s">
        <v>543</v>
      </c>
      <c r="AA63" s="9" t="s">
        <v>408</v>
      </c>
      <c r="AB63" s="9" t="s">
        <v>1967</v>
      </c>
      <c r="BN63" s="9" t="s">
        <v>440</v>
      </c>
      <c r="CL63" s="9" t="s">
        <v>441</v>
      </c>
      <c r="CM63" s="9" t="s">
        <v>401</v>
      </c>
      <c r="CN63" s="9" t="s">
        <v>1968</v>
      </c>
      <c r="CO63" s="9" t="s">
        <v>1969</v>
      </c>
      <c r="CP63" s="9" t="s">
        <v>685</v>
      </c>
      <c r="CQ63" s="9" t="s">
        <v>1970</v>
      </c>
      <c r="CR63" s="9" t="s">
        <v>447</v>
      </c>
      <c r="CS63" s="9" t="s">
        <v>1971</v>
      </c>
      <c r="CT63" s="9" t="s">
        <v>1972</v>
      </c>
      <c r="CU63" s="9" t="s">
        <v>450</v>
      </c>
      <c r="CV63" s="9" t="s">
        <v>451</v>
      </c>
      <c r="CW63" s="9" t="s">
        <v>1973</v>
      </c>
      <c r="CX63" s="9" t="s">
        <v>408</v>
      </c>
      <c r="CY63" s="9" t="s">
        <v>1211</v>
      </c>
      <c r="CZ63" s="9" t="s">
        <v>453</v>
      </c>
      <c r="DA63" s="9" t="s">
        <v>1974</v>
      </c>
      <c r="DB63" s="9" t="s">
        <v>455</v>
      </c>
      <c r="DC63" s="9" t="s">
        <v>1975</v>
      </c>
      <c r="DD63" s="9" t="s">
        <v>457</v>
      </c>
      <c r="DF63" s="9" t="s">
        <v>1976</v>
      </c>
      <c r="DG63" s="9" t="s">
        <v>561</v>
      </c>
      <c r="DH63" s="9" t="s">
        <v>410</v>
      </c>
      <c r="DI63" s="9" t="s">
        <v>1402</v>
      </c>
      <c r="DJ63" s="9" t="s">
        <v>562</v>
      </c>
      <c r="DK63" s="9" t="s">
        <v>563</v>
      </c>
      <c r="ET63" s="9" t="s">
        <v>526</v>
      </c>
      <c r="EU63" s="9" t="s">
        <v>1037</v>
      </c>
      <c r="EV63" s="9" t="s">
        <v>480</v>
      </c>
      <c r="EX63" s="9" t="s">
        <v>1977</v>
      </c>
      <c r="EY63" s="9" t="s">
        <v>1978</v>
      </c>
      <c r="EZ63" s="9" t="s">
        <v>415</v>
      </c>
      <c r="FA63" s="9" t="s">
        <v>414</v>
      </c>
      <c r="FB63" s="9" t="s">
        <v>416</v>
      </c>
      <c r="FC63" s="9" t="s">
        <v>583</v>
      </c>
      <c r="FD63" s="9" t="s">
        <v>415</v>
      </c>
      <c r="FE63" s="9" t="s">
        <v>583</v>
      </c>
      <c r="FF63" s="9" t="s">
        <v>414</v>
      </c>
      <c r="FG63" s="9" t="s">
        <v>413</v>
      </c>
      <c r="FH63" s="9" t="s">
        <v>583</v>
      </c>
      <c r="FI63" s="9" t="s">
        <v>414</v>
      </c>
      <c r="FJ63" s="9" t="s">
        <v>414</v>
      </c>
      <c r="FK63" s="9" t="s">
        <v>413</v>
      </c>
      <c r="FL63" s="9" t="s">
        <v>414</v>
      </c>
      <c r="FM63" s="9" t="s">
        <v>413</v>
      </c>
      <c r="FN63" s="9" t="s">
        <v>484</v>
      </c>
      <c r="FO63" s="9" t="s">
        <v>417</v>
      </c>
      <c r="FP63" s="9" t="s">
        <v>418</v>
      </c>
      <c r="FQ63" s="9" t="s">
        <v>712</v>
      </c>
      <c r="FR63" s="9" t="s">
        <v>1979</v>
      </c>
      <c r="FS63" s="9" t="s">
        <v>420</v>
      </c>
      <c r="FT63" s="9" t="s">
        <v>488</v>
      </c>
      <c r="FU63" s="9" t="s">
        <v>489</v>
      </c>
      <c r="FV63" s="9" t="s">
        <v>490</v>
      </c>
      <c r="FW63" s="9" t="s">
        <v>491</v>
      </c>
      <c r="FX63" s="9" t="s">
        <v>1980</v>
      </c>
      <c r="FY63" s="9" t="s">
        <v>535</v>
      </c>
      <c r="FZ63" s="9" t="s">
        <v>1981</v>
      </c>
      <c r="GA63" s="9" t="s">
        <v>1982</v>
      </c>
      <c r="GB63" s="9" t="s">
        <v>455</v>
      </c>
      <c r="GC63" s="9"/>
      <c r="GE63" s="9" t="s">
        <v>944</v>
      </c>
      <c r="GF63" s="9" t="s">
        <v>1983</v>
      </c>
      <c r="GG63" s="9" t="s">
        <v>1000</v>
      </c>
      <c r="GH63" s="9" t="s">
        <v>755</v>
      </c>
      <c r="GI63" s="9" t="s">
        <v>946</v>
      </c>
    </row>
    <row r="64" ht="24.75" customHeight="1">
      <c r="A64" s="8">
        <v>45827.84110394676</v>
      </c>
      <c r="B64" s="9" t="s">
        <v>368</v>
      </c>
      <c r="C64" s="9" t="s">
        <v>1984</v>
      </c>
      <c r="D64" s="9" t="s">
        <v>1984</v>
      </c>
      <c r="W64" s="9" t="s">
        <v>386</v>
      </c>
      <c r="X64" s="9" t="s">
        <v>387</v>
      </c>
      <c r="Y64" s="9" t="s">
        <v>388</v>
      </c>
      <c r="Z64" s="9" t="s">
        <v>543</v>
      </c>
      <c r="AA64" s="9" t="s">
        <v>1985</v>
      </c>
      <c r="AB64" s="9" t="s">
        <v>1986</v>
      </c>
      <c r="AV64" s="9" t="s">
        <v>1242</v>
      </c>
      <c r="AW64" s="9" t="s">
        <v>675</v>
      </c>
      <c r="AX64" s="9" t="s">
        <v>391</v>
      </c>
      <c r="AY64" s="9">
        <v>4.0</v>
      </c>
      <c r="AZ64" s="9">
        <v>2.0</v>
      </c>
      <c r="BA64" s="9" t="s">
        <v>675</v>
      </c>
      <c r="BB64" s="9" t="s">
        <v>675</v>
      </c>
      <c r="BC64" s="9" t="s">
        <v>1987</v>
      </c>
      <c r="BD64" s="9" t="s">
        <v>1988</v>
      </c>
      <c r="BE64" s="9" t="s">
        <v>902</v>
      </c>
      <c r="BF64" s="9" t="s">
        <v>1095</v>
      </c>
      <c r="BG64" s="9" t="s">
        <v>434</v>
      </c>
      <c r="BH64" s="9" t="s">
        <v>1989</v>
      </c>
      <c r="BI64" s="9" t="s">
        <v>727</v>
      </c>
      <c r="BJ64" s="9" t="s">
        <v>1990</v>
      </c>
      <c r="BK64" s="9" t="s">
        <v>437</v>
      </c>
      <c r="BL64" s="9" t="s">
        <v>904</v>
      </c>
      <c r="BM64" s="9" t="s">
        <v>397</v>
      </c>
      <c r="BN64" s="9" t="s">
        <v>398</v>
      </c>
      <c r="BO64" s="9" t="s">
        <v>1991</v>
      </c>
      <c r="BP64" s="9" t="s">
        <v>1992</v>
      </c>
      <c r="BQ64" s="9" t="s">
        <v>604</v>
      </c>
      <c r="BR64" s="9" t="s">
        <v>1993</v>
      </c>
      <c r="BS64" s="9" t="s">
        <v>1741</v>
      </c>
      <c r="BT64" s="9" t="s">
        <v>1994</v>
      </c>
      <c r="BU64" s="9" t="s">
        <v>405</v>
      </c>
      <c r="BV64" s="9" t="s">
        <v>1995</v>
      </c>
      <c r="BW64" s="9" t="s">
        <v>457</v>
      </c>
      <c r="BY64" s="9" t="s">
        <v>455</v>
      </c>
      <c r="BZ64" s="9" t="s">
        <v>1996</v>
      </c>
      <c r="CA64" s="9" t="s">
        <v>1997</v>
      </c>
      <c r="CB64" s="9" t="s">
        <v>1998</v>
      </c>
      <c r="CC64" s="9" t="s">
        <v>1999</v>
      </c>
      <c r="CD64" s="9" t="s">
        <v>409</v>
      </c>
      <c r="CE64" s="9" t="s">
        <v>2000</v>
      </c>
      <c r="CF64" s="9" t="s">
        <v>1749</v>
      </c>
      <c r="CG64" s="9" t="s">
        <v>2001</v>
      </c>
      <c r="CH64" s="9" t="s">
        <v>1259</v>
      </c>
      <c r="CI64" s="9" t="s">
        <v>833</v>
      </c>
      <c r="CJ64" s="9" t="s">
        <v>2002</v>
      </c>
      <c r="CK64" s="9" t="s">
        <v>2003</v>
      </c>
      <c r="ET64" s="9" t="s">
        <v>578</v>
      </c>
      <c r="EU64" s="9" t="s">
        <v>579</v>
      </c>
      <c r="EV64" s="9" t="s">
        <v>778</v>
      </c>
      <c r="EW64" s="9" t="s">
        <v>2004</v>
      </c>
      <c r="EX64" s="9" t="s">
        <v>2005</v>
      </c>
      <c r="EY64" s="9" t="s">
        <v>2006</v>
      </c>
      <c r="EZ64" s="9" t="s">
        <v>416</v>
      </c>
      <c r="FA64" s="9" t="s">
        <v>414</v>
      </c>
      <c r="FB64" s="9" t="s">
        <v>413</v>
      </c>
      <c r="FC64" s="9" t="s">
        <v>413</v>
      </c>
      <c r="FD64" s="9" t="s">
        <v>413</v>
      </c>
      <c r="FE64" s="9" t="s">
        <v>414</v>
      </c>
      <c r="FF64" s="9" t="s">
        <v>413</v>
      </c>
      <c r="FG64" s="9" t="s">
        <v>413</v>
      </c>
      <c r="FH64" s="9" t="s">
        <v>416</v>
      </c>
      <c r="FI64" s="9" t="s">
        <v>413</v>
      </c>
      <c r="FJ64" s="9" t="s">
        <v>413</v>
      </c>
      <c r="FK64" s="9" t="s">
        <v>413</v>
      </c>
      <c r="FL64" s="9" t="s">
        <v>413</v>
      </c>
      <c r="FM64" s="9" t="s">
        <v>413</v>
      </c>
      <c r="FN64" s="9" t="s">
        <v>413</v>
      </c>
      <c r="FO64" s="9" t="s">
        <v>417</v>
      </c>
      <c r="FP64" s="9" t="s">
        <v>486</v>
      </c>
      <c r="FQ64" s="9" t="s">
        <v>749</v>
      </c>
      <c r="FR64" s="9" t="s">
        <v>2007</v>
      </c>
      <c r="FS64" s="9" t="s">
        <v>420</v>
      </c>
      <c r="FT64" s="9" t="s">
        <v>1462</v>
      </c>
      <c r="FU64" s="9" t="s">
        <v>918</v>
      </c>
      <c r="FV64" s="9" t="s">
        <v>1101</v>
      </c>
      <c r="FW64" s="9" t="s">
        <v>491</v>
      </c>
      <c r="FX64" s="9" t="s">
        <v>2008</v>
      </c>
      <c r="FY64" s="9" t="s">
        <v>535</v>
      </c>
      <c r="FZ64" s="9" t="s">
        <v>2009</v>
      </c>
      <c r="GA64" s="9" t="s">
        <v>2010</v>
      </c>
      <c r="GB64" s="9" t="s">
        <v>455</v>
      </c>
      <c r="GC64" s="9"/>
      <c r="GD64" s="9"/>
      <c r="GE64" s="9" t="s">
        <v>753</v>
      </c>
      <c r="GF64" s="9" t="s">
        <v>2011</v>
      </c>
      <c r="GJ64" s="9" t="s">
        <v>857</v>
      </c>
      <c r="GK64" s="9" t="s">
        <v>857</v>
      </c>
      <c r="GL64" s="9" t="s">
        <v>817</v>
      </c>
      <c r="GN64" s="9" t="s">
        <v>1984</v>
      </c>
    </row>
    <row r="65" ht="24.75" customHeight="1">
      <c r="A65" s="8">
        <v>45827.86569578704</v>
      </c>
      <c r="B65" s="9" t="s">
        <v>368</v>
      </c>
      <c r="C65" s="9" t="s">
        <v>370</v>
      </c>
      <c r="E65" s="9" t="s">
        <v>2012</v>
      </c>
      <c r="G65" s="9" t="s">
        <v>422</v>
      </c>
      <c r="H65" s="9" t="s">
        <v>539</v>
      </c>
      <c r="I65" s="9" t="s">
        <v>424</v>
      </c>
      <c r="J65" s="9" t="s">
        <v>425</v>
      </c>
      <c r="K65" s="9" t="s">
        <v>376</v>
      </c>
      <c r="L65" s="9" t="s">
        <v>379</v>
      </c>
      <c r="M65" s="9" t="s">
        <v>378</v>
      </c>
      <c r="N65" s="9" t="s">
        <v>379</v>
      </c>
      <c r="O65" s="9" t="s">
        <v>380</v>
      </c>
      <c r="P65" s="9" t="s">
        <v>498</v>
      </c>
      <c r="Q65" s="9" t="s">
        <v>499</v>
      </c>
      <c r="R65" s="9" t="s">
        <v>1197</v>
      </c>
      <c r="S65" s="9" t="s">
        <v>384</v>
      </c>
      <c r="T65" s="9" t="s">
        <v>385</v>
      </c>
      <c r="W65" s="9" t="s">
        <v>386</v>
      </c>
      <c r="X65" s="9" t="s">
        <v>387</v>
      </c>
      <c r="Y65" s="9" t="s">
        <v>1444</v>
      </c>
      <c r="Z65" s="9" t="s">
        <v>543</v>
      </c>
      <c r="AA65" s="9" t="s">
        <v>408</v>
      </c>
      <c r="AV65" s="9" t="s">
        <v>597</v>
      </c>
      <c r="AW65" s="9">
        <v>2.0</v>
      </c>
      <c r="AX65" s="9">
        <v>2.0</v>
      </c>
      <c r="AY65" s="9">
        <v>2.0</v>
      </c>
      <c r="AZ65" s="9">
        <v>2.0</v>
      </c>
      <c r="BA65" s="9">
        <v>2.0</v>
      </c>
      <c r="BB65" s="9">
        <v>2.0</v>
      </c>
      <c r="BC65" s="9" t="s">
        <v>2013</v>
      </c>
      <c r="BD65" s="9" t="s">
        <v>2014</v>
      </c>
      <c r="BE65" s="9" t="s">
        <v>902</v>
      </c>
      <c r="BF65" s="9" t="s">
        <v>393</v>
      </c>
      <c r="BG65" s="9" t="s">
        <v>434</v>
      </c>
      <c r="BH65" s="9" t="s">
        <v>2015</v>
      </c>
      <c r="BI65" s="9" t="s">
        <v>976</v>
      </c>
      <c r="BK65" s="9" t="s">
        <v>681</v>
      </c>
      <c r="BL65" s="9" t="s">
        <v>603</v>
      </c>
      <c r="BM65" s="9" t="s">
        <v>549</v>
      </c>
      <c r="BN65" s="9" t="s">
        <v>513</v>
      </c>
      <c r="CL65" s="9" t="s">
        <v>441</v>
      </c>
      <c r="CM65" s="9" t="s">
        <v>604</v>
      </c>
      <c r="CN65" s="9" t="s">
        <v>2016</v>
      </c>
      <c r="CO65" s="9" t="s">
        <v>552</v>
      </c>
      <c r="CP65" s="9" t="s">
        <v>685</v>
      </c>
      <c r="CQ65" s="9" t="s">
        <v>956</v>
      </c>
      <c r="CR65" s="9" t="s">
        <v>555</v>
      </c>
      <c r="CS65" s="9" t="s">
        <v>1346</v>
      </c>
      <c r="CT65" s="9" t="s">
        <v>2017</v>
      </c>
      <c r="CU65" s="9" t="s">
        <v>1852</v>
      </c>
      <c r="CV65" s="9" t="s">
        <v>451</v>
      </c>
      <c r="CW65" s="9" t="s">
        <v>2018</v>
      </c>
      <c r="CX65" s="9" t="s">
        <v>408</v>
      </c>
      <c r="CZ65" s="9" t="s">
        <v>985</v>
      </c>
      <c r="DA65" s="9" t="s">
        <v>2019</v>
      </c>
      <c r="DB65" s="9" t="s">
        <v>408</v>
      </c>
      <c r="DD65" s="9" t="s">
        <v>406</v>
      </c>
      <c r="DE65" s="9" t="s">
        <v>1058</v>
      </c>
      <c r="DF65" s="9" t="s">
        <v>2020</v>
      </c>
      <c r="DG65" s="9" t="s">
        <v>776</v>
      </c>
      <c r="DH65" s="9" t="s">
        <v>833</v>
      </c>
      <c r="DI65" s="9" t="s">
        <v>459</v>
      </c>
      <c r="DJ65" s="9" t="s">
        <v>613</v>
      </c>
      <c r="ET65" s="9" t="s">
        <v>578</v>
      </c>
      <c r="EU65" s="9" t="s">
        <v>887</v>
      </c>
      <c r="EV65" s="9" t="s">
        <v>480</v>
      </c>
      <c r="EX65" s="9" t="s">
        <v>2021</v>
      </c>
      <c r="EY65" s="9" t="s">
        <v>1380</v>
      </c>
      <c r="EZ65" s="9" t="s">
        <v>413</v>
      </c>
      <c r="FA65" s="9" t="s">
        <v>416</v>
      </c>
      <c r="FB65" s="9" t="s">
        <v>413</v>
      </c>
      <c r="FC65" s="9" t="s">
        <v>416</v>
      </c>
      <c r="FD65" s="9" t="s">
        <v>413</v>
      </c>
      <c r="FE65" s="9" t="s">
        <v>416</v>
      </c>
      <c r="FF65" s="9" t="s">
        <v>416</v>
      </c>
      <c r="FG65" s="9" t="s">
        <v>416</v>
      </c>
      <c r="FH65" s="9" t="s">
        <v>413</v>
      </c>
      <c r="FI65" s="9" t="s">
        <v>416</v>
      </c>
      <c r="FJ65" s="9" t="s">
        <v>416</v>
      </c>
      <c r="FK65" s="9" t="s">
        <v>416</v>
      </c>
      <c r="FL65" s="9" t="s">
        <v>416</v>
      </c>
      <c r="FM65" s="9" t="s">
        <v>416</v>
      </c>
      <c r="FN65" s="9" t="s">
        <v>416</v>
      </c>
      <c r="FO65" s="9" t="s">
        <v>850</v>
      </c>
      <c r="FP65" s="9" t="s">
        <v>418</v>
      </c>
      <c r="FQ65" s="9" t="s">
        <v>630</v>
      </c>
      <c r="FR65" s="9" t="s">
        <v>2022</v>
      </c>
      <c r="FS65" s="9" t="s">
        <v>1189</v>
      </c>
      <c r="FT65" s="9" t="s">
        <v>488</v>
      </c>
      <c r="FU65" s="9" t="s">
        <v>489</v>
      </c>
      <c r="FV65" s="9" t="s">
        <v>490</v>
      </c>
      <c r="FW65" s="9" t="s">
        <v>491</v>
      </c>
      <c r="FX65" s="9" t="s">
        <v>2023</v>
      </c>
      <c r="FY65" s="9" t="s">
        <v>535</v>
      </c>
      <c r="GB65" s="9" t="s">
        <v>455</v>
      </c>
      <c r="GC65" s="9"/>
      <c r="GD65" s="9"/>
      <c r="GE65" s="9" t="s">
        <v>786</v>
      </c>
      <c r="GF65" s="9" t="s">
        <v>2024</v>
      </c>
      <c r="GG65" s="9" t="s">
        <v>1000</v>
      </c>
      <c r="GH65" s="9" t="s">
        <v>1000</v>
      </c>
      <c r="GI65" s="9" t="s">
        <v>946</v>
      </c>
    </row>
    <row r="66" ht="24.75" customHeight="1">
      <c r="A66" s="8">
        <v>45827.86713875</v>
      </c>
      <c r="B66" s="9" t="s">
        <v>368</v>
      </c>
      <c r="C66" s="9" t="s">
        <v>2025</v>
      </c>
      <c r="D66" s="9" t="s">
        <v>1201</v>
      </c>
      <c r="W66" s="9" t="s">
        <v>593</v>
      </c>
      <c r="X66" s="9" t="s">
        <v>387</v>
      </c>
      <c r="Y66" s="9" t="s">
        <v>2026</v>
      </c>
      <c r="Z66" s="9" t="s">
        <v>543</v>
      </c>
      <c r="AA66" s="9" t="s">
        <v>2027</v>
      </c>
      <c r="AB66" s="9" t="s">
        <v>2028</v>
      </c>
      <c r="BN66" s="9" t="s">
        <v>440</v>
      </c>
      <c r="CL66" s="9" t="s">
        <v>441</v>
      </c>
      <c r="CM66" s="9" t="s">
        <v>442</v>
      </c>
      <c r="CN66" s="9" t="s">
        <v>2029</v>
      </c>
      <c r="CO66" s="9" t="s">
        <v>2030</v>
      </c>
      <c r="CP66" s="9" t="s">
        <v>979</v>
      </c>
      <c r="CQ66" s="9" t="s">
        <v>2031</v>
      </c>
      <c r="CR66" s="9" t="s">
        <v>404</v>
      </c>
      <c r="CS66" s="9" t="s">
        <v>1137</v>
      </c>
      <c r="CT66" s="9" t="s">
        <v>2032</v>
      </c>
      <c r="CU66" s="9" t="s">
        <v>450</v>
      </c>
      <c r="CV66" s="9" t="s">
        <v>451</v>
      </c>
      <c r="CW66" s="9" t="s">
        <v>2033</v>
      </c>
      <c r="CX66" s="9" t="s">
        <v>408</v>
      </c>
      <c r="CZ66" s="9" t="s">
        <v>985</v>
      </c>
      <c r="DA66" s="9" t="s">
        <v>2034</v>
      </c>
      <c r="DB66" s="9" t="s">
        <v>455</v>
      </c>
      <c r="DC66" s="9" t="s">
        <v>2035</v>
      </c>
      <c r="DD66" s="9" t="s">
        <v>988</v>
      </c>
      <c r="DG66" s="9" t="s">
        <v>524</v>
      </c>
      <c r="DH66" s="9" t="s">
        <v>410</v>
      </c>
      <c r="DI66" s="9" t="s">
        <v>963</v>
      </c>
      <c r="DJ66" s="9" t="s">
        <v>613</v>
      </c>
      <c r="DM66" s="9" t="s">
        <v>2036</v>
      </c>
      <c r="DN66" s="9" t="s">
        <v>2037</v>
      </c>
      <c r="DO66" s="9" t="s">
        <v>567</v>
      </c>
      <c r="DP66" s="9" t="s">
        <v>2038</v>
      </c>
      <c r="DQ66" s="9" t="s">
        <v>1291</v>
      </c>
      <c r="DR66" s="9" t="s">
        <v>2039</v>
      </c>
      <c r="DS66" s="9" t="s">
        <v>839</v>
      </c>
      <c r="DT66" s="9" t="s">
        <v>619</v>
      </c>
      <c r="DU66" s="9" t="s">
        <v>2040</v>
      </c>
      <c r="DV66" s="9" t="s">
        <v>2041</v>
      </c>
      <c r="DW66" s="9" t="s">
        <v>573</v>
      </c>
      <c r="DX66" s="9" t="s">
        <v>2042</v>
      </c>
      <c r="DY66" s="9" t="s">
        <v>2043</v>
      </c>
      <c r="DZ66" s="9" t="s">
        <v>2044</v>
      </c>
      <c r="EA66" s="9" t="s">
        <v>475</v>
      </c>
      <c r="EB66" s="9" t="s">
        <v>626</v>
      </c>
      <c r="EC66" s="9" t="s">
        <v>2045</v>
      </c>
      <c r="ET66" s="9" t="s">
        <v>578</v>
      </c>
      <c r="EU66" s="9" t="s">
        <v>579</v>
      </c>
      <c r="EV66" s="9" t="s">
        <v>778</v>
      </c>
      <c r="EW66" s="9" t="s">
        <v>2046</v>
      </c>
      <c r="EX66" s="9" t="s">
        <v>2047</v>
      </c>
      <c r="EY66" s="9" t="s">
        <v>2048</v>
      </c>
      <c r="EZ66" s="9" t="s">
        <v>415</v>
      </c>
      <c r="FA66" s="9" t="s">
        <v>414</v>
      </c>
      <c r="FB66" s="9" t="s">
        <v>413</v>
      </c>
      <c r="FC66" s="9" t="s">
        <v>416</v>
      </c>
      <c r="FD66" s="9" t="s">
        <v>413</v>
      </c>
      <c r="FE66" s="9" t="s">
        <v>414</v>
      </c>
      <c r="FF66" s="9" t="s">
        <v>415</v>
      </c>
      <c r="FG66" s="9" t="s">
        <v>413</v>
      </c>
      <c r="FH66" s="9" t="s">
        <v>415</v>
      </c>
      <c r="FI66" s="9" t="s">
        <v>416</v>
      </c>
      <c r="FJ66" s="9" t="s">
        <v>415</v>
      </c>
      <c r="FK66" s="9" t="s">
        <v>416</v>
      </c>
      <c r="FL66" s="9" t="s">
        <v>416</v>
      </c>
      <c r="FM66" s="9" t="s">
        <v>416</v>
      </c>
      <c r="FN66" s="9" t="s">
        <v>416</v>
      </c>
      <c r="FO66" s="9" t="s">
        <v>485</v>
      </c>
      <c r="FP66" s="9" t="s">
        <v>418</v>
      </c>
      <c r="FQ66" s="9" t="s">
        <v>1039</v>
      </c>
      <c r="FR66" s="9" t="s">
        <v>2049</v>
      </c>
      <c r="FS66" s="9" t="s">
        <v>420</v>
      </c>
      <c r="FT66" s="9" t="s">
        <v>488</v>
      </c>
      <c r="FU66" s="9" t="s">
        <v>585</v>
      </c>
      <c r="FV66" s="9" t="s">
        <v>490</v>
      </c>
      <c r="FW66" s="9" t="s">
        <v>491</v>
      </c>
      <c r="FX66" s="9" t="s">
        <v>2050</v>
      </c>
      <c r="FY66" s="9" t="s">
        <v>493</v>
      </c>
      <c r="FZ66" s="9" t="s">
        <v>2051</v>
      </c>
      <c r="GB66" s="9" t="s">
        <v>455</v>
      </c>
      <c r="GC66" s="9"/>
      <c r="GE66" s="9" t="s">
        <v>855</v>
      </c>
      <c r="GF66" s="9" t="s">
        <v>2052</v>
      </c>
      <c r="GG66" s="9" t="s">
        <v>755</v>
      </c>
      <c r="GH66" s="9" t="s">
        <v>755</v>
      </c>
      <c r="GI66" s="9" t="s">
        <v>946</v>
      </c>
      <c r="GM66" s="9" t="s">
        <v>1079</v>
      </c>
    </row>
    <row r="67" ht="24.75" customHeight="1">
      <c r="A67" s="8">
        <v>45827.86729285879</v>
      </c>
      <c r="B67" s="9" t="s">
        <v>368</v>
      </c>
      <c r="C67" s="9" t="s">
        <v>370</v>
      </c>
      <c r="E67" s="9" t="s">
        <v>1001</v>
      </c>
      <c r="G67" s="9" t="s">
        <v>422</v>
      </c>
      <c r="H67" s="9" t="s">
        <v>373</v>
      </c>
      <c r="I67" s="9" t="s">
        <v>374</v>
      </c>
      <c r="J67" s="9" t="s">
        <v>375</v>
      </c>
      <c r="K67" s="9" t="s">
        <v>376</v>
      </c>
      <c r="L67" s="9" t="s">
        <v>591</v>
      </c>
      <c r="M67" s="9" t="s">
        <v>860</v>
      </c>
      <c r="N67" s="9" t="s">
        <v>591</v>
      </c>
      <c r="O67" s="9" t="s">
        <v>2053</v>
      </c>
      <c r="P67" s="9" t="s">
        <v>498</v>
      </c>
      <c r="Q67" s="9" t="s">
        <v>1004</v>
      </c>
      <c r="R67" s="9" t="s">
        <v>2054</v>
      </c>
      <c r="S67" s="9" t="s">
        <v>384</v>
      </c>
      <c r="T67" s="9" t="s">
        <v>385</v>
      </c>
      <c r="W67" s="9" t="s">
        <v>386</v>
      </c>
      <c r="X67" s="9" t="s">
        <v>1706</v>
      </c>
      <c r="AC67" s="9" t="s">
        <v>2055</v>
      </c>
      <c r="AD67" s="9" t="s">
        <v>1938</v>
      </c>
      <c r="AE67" s="9" t="s">
        <v>455</v>
      </c>
      <c r="AF67" s="9" t="s">
        <v>2056</v>
      </c>
      <c r="AG67" s="9">
        <v>1.0</v>
      </c>
      <c r="AH67" s="9" t="s">
        <v>1639</v>
      </c>
      <c r="AI67" s="9" t="s">
        <v>2057</v>
      </c>
      <c r="AJ67" s="9" t="s">
        <v>2058</v>
      </c>
      <c r="AK67" s="9" t="s">
        <v>396</v>
      </c>
      <c r="AV67" s="9" t="s">
        <v>1310</v>
      </c>
      <c r="AW67" s="9">
        <v>4.0</v>
      </c>
      <c r="AX67" s="9" t="s">
        <v>391</v>
      </c>
      <c r="AY67" s="9" t="s">
        <v>675</v>
      </c>
      <c r="AZ67" s="9">
        <v>4.0</v>
      </c>
      <c r="BA67" s="9" t="s">
        <v>675</v>
      </c>
      <c r="BB67" s="9">
        <v>4.0</v>
      </c>
      <c r="BC67" s="9" t="s">
        <v>2059</v>
      </c>
      <c r="BD67" s="9" t="s">
        <v>2060</v>
      </c>
      <c r="BE67" s="9" t="s">
        <v>432</v>
      </c>
      <c r="BF67" s="9" t="s">
        <v>393</v>
      </c>
      <c r="BG67" s="9" t="s">
        <v>394</v>
      </c>
      <c r="BH67" s="9" t="s">
        <v>2061</v>
      </c>
      <c r="BI67" s="9" t="s">
        <v>824</v>
      </c>
      <c r="BJ67" s="9" t="s">
        <v>1211</v>
      </c>
      <c r="BK67" s="9" t="s">
        <v>395</v>
      </c>
      <c r="BL67" s="9" t="s">
        <v>904</v>
      </c>
      <c r="BM67" s="9" t="s">
        <v>1247</v>
      </c>
      <c r="BN67" s="9" t="s">
        <v>440</v>
      </c>
      <c r="CL67" s="9" t="s">
        <v>441</v>
      </c>
      <c r="CM67" s="9" t="s">
        <v>604</v>
      </c>
      <c r="CN67" s="9" t="s">
        <v>2062</v>
      </c>
      <c r="CO67" s="9" t="s">
        <v>2063</v>
      </c>
      <c r="CP67" s="9" t="s">
        <v>445</v>
      </c>
      <c r="CQ67" s="9" t="s">
        <v>2064</v>
      </c>
      <c r="CR67" s="9" t="s">
        <v>447</v>
      </c>
      <c r="CS67" s="9" t="s">
        <v>1147</v>
      </c>
      <c r="CT67" s="9" t="s">
        <v>2065</v>
      </c>
      <c r="CU67" s="9" t="s">
        <v>1863</v>
      </c>
      <c r="CV67" s="9" t="s">
        <v>451</v>
      </c>
      <c r="CW67" s="9" t="s">
        <v>2066</v>
      </c>
      <c r="CX67" s="9" t="s">
        <v>408</v>
      </c>
      <c r="CY67" s="9" t="s">
        <v>1211</v>
      </c>
      <c r="CZ67" s="9" t="s">
        <v>1398</v>
      </c>
      <c r="DA67" s="9" t="s">
        <v>2067</v>
      </c>
      <c r="DB67" s="9" t="s">
        <v>408</v>
      </c>
      <c r="DC67" s="9" t="s">
        <v>1211</v>
      </c>
      <c r="DD67" s="9" t="s">
        <v>988</v>
      </c>
      <c r="DE67" s="9" t="s">
        <v>407</v>
      </c>
      <c r="DF67" s="9" t="s">
        <v>2068</v>
      </c>
      <c r="DG67" s="9" t="s">
        <v>524</v>
      </c>
      <c r="DH67" s="9" t="s">
        <v>410</v>
      </c>
      <c r="DI67" s="9" t="s">
        <v>459</v>
      </c>
      <c r="DJ67" s="9" t="s">
        <v>613</v>
      </c>
      <c r="DM67" s="9" t="s">
        <v>2069</v>
      </c>
      <c r="DN67" s="9" t="s">
        <v>2070</v>
      </c>
      <c r="DO67" s="9" t="s">
        <v>464</v>
      </c>
      <c r="DP67" s="9" t="s">
        <v>2071</v>
      </c>
      <c r="DQ67" s="9" t="s">
        <v>1324</v>
      </c>
      <c r="DR67" s="9" t="s">
        <v>2072</v>
      </c>
      <c r="DT67" s="9" t="s">
        <v>1580</v>
      </c>
      <c r="DU67" s="9" t="s">
        <v>2073</v>
      </c>
      <c r="DV67" s="9" t="s">
        <v>2074</v>
      </c>
      <c r="DW67" s="9" t="s">
        <v>1328</v>
      </c>
      <c r="DX67" s="9" t="s">
        <v>2075</v>
      </c>
      <c r="DY67" s="9" t="s">
        <v>2076</v>
      </c>
      <c r="DZ67" s="9" t="s">
        <v>2077</v>
      </c>
      <c r="EA67" s="9" t="s">
        <v>1413</v>
      </c>
      <c r="EB67" s="9" t="s">
        <v>626</v>
      </c>
      <c r="EC67" s="9" t="s">
        <v>2078</v>
      </c>
      <c r="ET67" s="9" t="s">
        <v>478</v>
      </c>
      <c r="EU67" s="9" t="s">
        <v>479</v>
      </c>
      <c r="EV67" s="9" t="s">
        <v>1534</v>
      </c>
      <c r="EW67" s="9" t="s">
        <v>2079</v>
      </c>
      <c r="EX67" s="9" t="s">
        <v>2080</v>
      </c>
      <c r="EY67" s="9" t="s">
        <v>2081</v>
      </c>
      <c r="EZ67" s="9" t="s">
        <v>414</v>
      </c>
      <c r="FA67" s="9" t="s">
        <v>583</v>
      </c>
      <c r="FB67" s="9" t="s">
        <v>413</v>
      </c>
      <c r="FC67" s="9" t="s">
        <v>414</v>
      </c>
      <c r="FD67" s="9" t="s">
        <v>416</v>
      </c>
      <c r="FE67" s="9" t="s">
        <v>583</v>
      </c>
      <c r="FF67" s="9" t="s">
        <v>415</v>
      </c>
      <c r="FG67" s="9" t="s">
        <v>413</v>
      </c>
      <c r="FH67" s="9" t="s">
        <v>583</v>
      </c>
      <c r="FI67" s="9" t="s">
        <v>583</v>
      </c>
      <c r="FJ67" s="9" t="s">
        <v>414</v>
      </c>
      <c r="FK67" s="9" t="s">
        <v>415</v>
      </c>
      <c r="FL67" s="9" t="s">
        <v>415</v>
      </c>
      <c r="FM67" s="9" t="s">
        <v>416</v>
      </c>
      <c r="FN67" s="9" t="s">
        <v>414</v>
      </c>
      <c r="FO67" s="9" t="s">
        <v>485</v>
      </c>
      <c r="FP67" s="9" t="s">
        <v>418</v>
      </c>
      <c r="FQ67" s="9" t="s">
        <v>712</v>
      </c>
      <c r="FR67" s="9" t="s">
        <v>2082</v>
      </c>
      <c r="FS67" s="9" t="s">
        <v>420</v>
      </c>
      <c r="FT67" s="9" t="s">
        <v>1462</v>
      </c>
      <c r="FU67" s="9" t="s">
        <v>489</v>
      </c>
      <c r="FV67" s="9" t="s">
        <v>490</v>
      </c>
      <c r="FW67" s="9" t="s">
        <v>491</v>
      </c>
      <c r="FX67" s="9" t="s">
        <v>2083</v>
      </c>
      <c r="FY67" s="9" t="s">
        <v>535</v>
      </c>
      <c r="FZ67" s="9" t="s">
        <v>2084</v>
      </c>
      <c r="GA67" s="9" t="s">
        <v>2085</v>
      </c>
      <c r="GB67" s="9" t="s">
        <v>455</v>
      </c>
      <c r="GD67" s="9" t="s">
        <v>2086</v>
      </c>
      <c r="GE67" s="9" t="s">
        <v>1339</v>
      </c>
      <c r="GF67" s="9" t="s">
        <v>2087</v>
      </c>
      <c r="GG67" s="9" t="s">
        <v>1000</v>
      </c>
      <c r="GH67" s="9" t="s">
        <v>1000</v>
      </c>
      <c r="GI67" s="9" t="s">
        <v>946</v>
      </c>
      <c r="GM67" s="9" t="s">
        <v>1079</v>
      </c>
    </row>
    <row r="68" ht="24.75" customHeight="1">
      <c r="A68" s="8">
        <v>45827.868862233794</v>
      </c>
      <c r="B68" s="9" t="s">
        <v>368</v>
      </c>
      <c r="C68" s="9" t="s">
        <v>370</v>
      </c>
      <c r="E68" s="9" t="s">
        <v>791</v>
      </c>
      <c r="W68" s="9" t="s">
        <v>428</v>
      </c>
      <c r="DL68" s="9" t="s">
        <v>2088</v>
      </c>
      <c r="ET68" s="9" t="s">
        <v>526</v>
      </c>
      <c r="EU68" s="9" t="s">
        <v>887</v>
      </c>
      <c r="EV68" s="9" t="s">
        <v>527</v>
      </c>
      <c r="EW68" s="9" t="s">
        <v>2089</v>
      </c>
      <c r="EX68" s="9" t="s">
        <v>2090</v>
      </c>
      <c r="EY68" s="9" t="s">
        <v>2091</v>
      </c>
      <c r="EZ68" s="9" t="s">
        <v>414</v>
      </c>
      <c r="FA68" s="9" t="s">
        <v>414</v>
      </c>
      <c r="FB68" s="9" t="s">
        <v>414</v>
      </c>
      <c r="FC68" s="9" t="s">
        <v>414</v>
      </c>
      <c r="FD68" s="9" t="s">
        <v>583</v>
      </c>
      <c r="FE68" s="9" t="s">
        <v>583</v>
      </c>
      <c r="FF68" s="9" t="s">
        <v>415</v>
      </c>
      <c r="FG68" s="9" t="s">
        <v>484</v>
      </c>
      <c r="FH68" s="9" t="s">
        <v>416</v>
      </c>
      <c r="FI68" s="9" t="s">
        <v>414</v>
      </c>
      <c r="FJ68" s="9" t="s">
        <v>583</v>
      </c>
      <c r="FK68" s="9" t="s">
        <v>414</v>
      </c>
      <c r="FL68" s="9" t="s">
        <v>414</v>
      </c>
      <c r="FM68" s="9" t="s">
        <v>416</v>
      </c>
      <c r="FN68" s="9" t="s">
        <v>414</v>
      </c>
      <c r="FO68" s="9" t="s">
        <v>1074</v>
      </c>
      <c r="FP68" s="9" t="s">
        <v>486</v>
      </c>
      <c r="FQ68" s="9" t="s">
        <v>630</v>
      </c>
      <c r="FR68" s="9" t="s">
        <v>2092</v>
      </c>
      <c r="FS68" s="9" t="s">
        <v>1076</v>
      </c>
      <c r="FT68" s="9" t="s">
        <v>488</v>
      </c>
      <c r="FU68" s="9" t="s">
        <v>918</v>
      </c>
      <c r="FV68" s="9" t="s">
        <v>490</v>
      </c>
      <c r="FW68" s="9" t="s">
        <v>491</v>
      </c>
      <c r="FX68" s="9" t="s">
        <v>2093</v>
      </c>
      <c r="FY68" s="9" t="s">
        <v>493</v>
      </c>
      <c r="FZ68" s="9" t="s">
        <v>2094</v>
      </c>
      <c r="GA68" s="9" t="s">
        <v>2095</v>
      </c>
      <c r="GB68" s="9" t="s">
        <v>455</v>
      </c>
      <c r="GC68" s="9"/>
      <c r="GE68" s="9" t="s">
        <v>786</v>
      </c>
      <c r="GF68" s="9" t="s">
        <v>2096</v>
      </c>
    </row>
    <row r="69" ht="24.75" customHeight="1">
      <c r="A69" s="8">
        <v>45827.871949594904</v>
      </c>
      <c r="B69" s="9" t="s">
        <v>368</v>
      </c>
      <c r="C69" s="9" t="s">
        <v>370</v>
      </c>
      <c r="E69" s="9" t="s">
        <v>1510</v>
      </c>
      <c r="G69" s="9" t="s">
        <v>1269</v>
      </c>
      <c r="H69" s="9" t="s">
        <v>539</v>
      </c>
      <c r="I69" s="9" t="s">
        <v>424</v>
      </c>
      <c r="J69" s="9" t="s">
        <v>375</v>
      </c>
      <c r="K69" s="9" t="s">
        <v>376</v>
      </c>
      <c r="L69" s="9" t="s">
        <v>379</v>
      </c>
      <c r="M69" s="9" t="s">
        <v>378</v>
      </c>
      <c r="N69" s="9" t="s">
        <v>426</v>
      </c>
      <c r="O69" s="9" t="s">
        <v>2097</v>
      </c>
      <c r="P69" s="9" t="s">
        <v>498</v>
      </c>
      <c r="Q69" s="9" t="s">
        <v>382</v>
      </c>
      <c r="R69" s="9" t="s">
        <v>949</v>
      </c>
      <c r="S69" s="9" t="s">
        <v>384</v>
      </c>
      <c r="T69" s="9" t="s">
        <v>385</v>
      </c>
      <c r="W69" s="9" t="s">
        <v>428</v>
      </c>
      <c r="AV69" s="9" t="s">
        <v>1310</v>
      </c>
      <c r="AW69" s="9" t="s">
        <v>675</v>
      </c>
      <c r="AX69" s="9">
        <v>4.0</v>
      </c>
      <c r="AY69" s="9" t="s">
        <v>675</v>
      </c>
      <c r="AZ69" s="9">
        <v>4.0</v>
      </c>
      <c r="BA69" s="9">
        <v>4.0</v>
      </c>
      <c r="BB69" s="9">
        <v>4.0</v>
      </c>
      <c r="BC69" s="9" t="s">
        <v>2098</v>
      </c>
      <c r="BD69" s="9" t="s">
        <v>2099</v>
      </c>
      <c r="BE69" s="9" t="s">
        <v>902</v>
      </c>
      <c r="BF69" s="9" t="s">
        <v>1245</v>
      </c>
      <c r="BH69" s="9" t="s">
        <v>2100</v>
      </c>
      <c r="BI69" s="9" t="s">
        <v>435</v>
      </c>
      <c r="BK69" s="9" t="s">
        <v>395</v>
      </c>
      <c r="BL69" s="9" t="s">
        <v>438</v>
      </c>
      <c r="BM69" s="9" t="s">
        <v>1247</v>
      </c>
      <c r="BN69" s="9" t="s">
        <v>513</v>
      </c>
      <c r="CL69" s="9" t="s">
        <v>682</v>
      </c>
      <c r="CM69" s="9" t="s">
        <v>442</v>
      </c>
      <c r="CN69" s="9" t="s">
        <v>2101</v>
      </c>
      <c r="CO69" s="9" t="s">
        <v>2102</v>
      </c>
      <c r="CP69" s="9" t="s">
        <v>685</v>
      </c>
      <c r="CQ69" s="9" t="s">
        <v>2103</v>
      </c>
      <c r="CR69" s="9" t="s">
        <v>404</v>
      </c>
      <c r="CS69" s="9" t="s">
        <v>2104</v>
      </c>
      <c r="CT69" s="9" t="s">
        <v>2105</v>
      </c>
      <c r="CU69" s="9" t="s">
        <v>450</v>
      </c>
      <c r="CV69" s="9" t="s">
        <v>959</v>
      </c>
      <c r="CW69" s="9" t="s">
        <v>2106</v>
      </c>
      <c r="CX69" s="9" t="s">
        <v>408</v>
      </c>
      <c r="CZ69" s="9" t="s">
        <v>985</v>
      </c>
      <c r="DA69" s="9" t="s">
        <v>2107</v>
      </c>
      <c r="DB69" s="9" t="s">
        <v>408</v>
      </c>
      <c r="DD69" s="9" t="s">
        <v>1400</v>
      </c>
      <c r="DE69" s="9" t="s">
        <v>407</v>
      </c>
      <c r="DG69" s="9" t="s">
        <v>776</v>
      </c>
      <c r="DH69" s="9" t="s">
        <v>1220</v>
      </c>
      <c r="DI69" s="9" t="s">
        <v>963</v>
      </c>
      <c r="DJ69" s="9" t="s">
        <v>613</v>
      </c>
      <c r="ET69" s="9" t="s">
        <v>578</v>
      </c>
      <c r="EU69" s="9" t="s">
        <v>479</v>
      </c>
      <c r="EV69" s="9" t="s">
        <v>527</v>
      </c>
      <c r="EW69" s="9" t="s">
        <v>2108</v>
      </c>
      <c r="EX69" s="9" t="s">
        <v>2109</v>
      </c>
      <c r="EY69" s="9" t="s">
        <v>2110</v>
      </c>
      <c r="EZ69" s="9" t="s">
        <v>583</v>
      </c>
      <c r="FA69" s="9" t="s">
        <v>583</v>
      </c>
      <c r="FB69" s="9" t="s">
        <v>583</v>
      </c>
      <c r="FC69" s="9" t="s">
        <v>583</v>
      </c>
      <c r="FD69" s="9" t="s">
        <v>415</v>
      </c>
      <c r="FE69" s="9" t="s">
        <v>583</v>
      </c>
      <c r="FF69" s="9" t="s">
        <v>583</v>
      </c>
      <c r="FG69" s="9" t="s">
        <v>583</v>
      </c>
      <c r="FH69" s="9" t="s">
        <v>484</v>
      </c>
      <c r="FI69" s="9" t="s">
        <v>583</v>
      </c>
      <c r="FJ69" s="9" t="s">
        <v>583</v>
      </c>
      <c r="FK69" s="9" t="s">
        <v>583</v>
      </c>
      <c r="FL69" s="9" t="s">
        <v>583</v>
      </c>
      <c r="FM69" s="9" t="s">
        <v>484</v>
      </c>
      <c r="FN69" s="9" t="s">
        <v>583</v>
      </c>
      <c r="FO69" s="9" t="s">
        <v>417</v>
      </c>
      <c r="FP69" s="9" t="s">
        <v>486</v>
      </c>
      <c r="FQ69" s="9" t="s">
        <v>419</v>
      </c>
      <c r="FR69" s="9" t="s">
        <v>2111</v>
      </c>
      <c r="FS69" s="9" t="s">
        <v>995</v>
      </c>
      <c r="FT69" s="9" t="s">
        <v>1462</v>
      </c>
      <c r="FU69" s="9" t="s">
        <v>533</v>
      </c>
      <c r="FV69" s="9" t="s">
        <v>490</v>
      </c>
      <c r="FW69" s="9" t="s">
        <v>491</v>
      </c>
      <c r="FX69" s="9" t="s">
        <v>2112</v>
      </c>
      <c r="FY69" s="9" t="s">
        <v>493</v>
      </c>
      <c r="FZ69" s="9" t="s">
        <v>2113</v>
      </c>
      <c r="GB69" s="9" t="s">
        <v>455</v>
      </c>
      <c r="GC69" s="9"/>
      <c r="GE69" s="9" t="s">
        <v>855</v>
      </c>
      <c r="GG69" s="9" t="s">
        <v>1000</v>
      </c>
      <c r="GH69" s="9" t="s">
        <v>1000</v>
      </c>
      <c r="GI69" s="9" t="s">
        <v>946</v>
      </c>
    </row>
    <row r="70" ht="24.75" customHeight="1">
      <c r="A70" s="8">
        <v>45827.892397233794</v>
      </c>
      <c r="B70" s="9" t="s">
        <v>368</v>
      </c>
      <c r="C70" s="9" t="s">
        <v>370</v>
      </c>
      <c r="E70" s="9" t="s">
        <v>2114</v>
      </c>
      <c r="G70" s="9" t="s">
        <v>422</v>
      </c>
      <c r="H70" s="9" t="s">
        <v>637</v>
      </c>
      <c r="I70" s="9" t="s">
        <v>638</v>
      </c>
      <c r="J70" s="9" t="s">
        <v>425</v>
      </c>
      <c r="K70" s="9" t="s">
        <v>376</v>
      </c>
      <c r="L70" s="9" t="s">
        <v>379</v>
      </c>
      <c r="M70" s="9" t="s">
        <v>541</v>
      </c>
      <c r="N70" s="9" t="s">
        <v>379</v>
      </c>
      <c r="O70" s="9" t="s">
        <v>497</v>
      </c>
      <c r="P70" s="9" t="s">
        <v>381</v>
      </c>
      <c r="Q70" s="9" t="s">
        <v>1156</v>
      </c>
      <c r="R70" s="9" t="s">
        <v>427</v>
      </c>
      <c r="S70" s="9" t="s">
        <v>384</v>
      </c>
      <c r="T70" s="9" t="s">
        <v>385</v>
      </c>
      <c r="W70" s="9" t="s">
        <v>386</v>
      </c>
      <c r="X70" s="9" t="s">
        <v>387</v>
      </c>
      <c r="Y70" s="9" t="s">
        <v>2115</v>
      </c>
      <c r="Z70" s="9" t="s">
        <v>502</v>
      </c>
      <c r="AA70" s="9" t="s">
        <v>2116</v>
      </c>
      <c r="AB70" s="9" t="s">
        <v>408</v>
      </c>
      <c r="AV70" s="9" t="s">
        <v>597</v>
      </c>
      <c r="AW70" s="9">
        <v>4.0</v>
      </c>
      <c r="AX70" s="9">
        <v>4.0</v>
      </c>
      <c r="AY70" s="9" t="s">
        <v>675</v>
      </c>
      <c r="AZ70" s="9">
        <v>4.0</v>
      </c>
      <c r="BA70" s="9" t="s">
        <v>675</v>
      </c>
      <c r="BB70" s="9" t="s">
        <v>675</v>
      </c>
      <c r="BC70" s="9" t="s">
        <v>2117</v>
      </c>
      <c r="BD70" s="9" t="s">
        <v>2118</v>
      </c>
      <c r="BE70" s="9" t="s">
        <v>902</v>
      </c>
      <c r="BF70" s="9" t="s">
        <v>1245</v>
      </c>
      <c r="BG70" s="9" t="s">
        <v>765</v>
      </c>
      <c r="BH70" s="9" t="s">
        <v>2119</v>
      </c>
      <c r="BI70" s="9" t="s">
        <v>435</v>
      </c>
      <c r="BJ70" s="9" t="s">
        <v>2120</v>
      </c>
      <c r="BK70" s="9" t="s">
        <v>602</v>
      </c>
      <c r="BL70" s="9" t="s">
        <v>438</v>
      </c>
      <c r="BM70" s="9" t="s">
        <v>397</v>
      </c>
      <c r="BN70" s="9" t="s">
        <v>398</v>
      </c>
      <c r="BO70" s="9" t="s">
        <v>2121</v>
      </c>
      <c r="BP70" s="9" t="s">
        <v>2122</v>
      </c>
      <c r="BQ70" s="9" t="s">
        <v>401</v>
      </c>
      <c r="BR70" s="9" t="s">
        <v>2123</v>
      </c>
      <c r="BS70" s="9" t="s">
        <v>1671</v>
      </c>
      <c r="BT70" s="9" t="s">
        <v>1771</v>
      </c>
      <c r="BU70" s="9" t="s">
        <v>1693</v>
      </c>
      <c r="BV70" s="9" t="s">
        <v>2124</v>
      </c>
      <c r="BW70" s="9" t="s">
        <v>988</v>
      </c>
      <c r="BY70" s="9" t="s">
        <v>408</v>
      </c>
      <c r="CA70" s="9" t="s">
        <v>2125</v>
      </c>
      <c r="CB70" s="9" t="s">
        <v>2126</v>
      </c>
      <c r="CC70" s="9" t="s">
        <v>2127</v>
      </c>
      <c r="CD70" s="9" t="s">
        <v>451</v>
      </c>
      <c r="CE70" s="9" t="s">
        <v>2128</v>
      </c>
      <c r="CF70" s="9" t="s">
        <v>1258</v>
      </c>
      <c r="CG70" s="9" t="s">
        <v>2129</v>
      </c>
      <c r="CH70" s="9" t="s">
        <v>1679</v>
      </c>
      <c r="CI70" s="9" t="s">
        <v>833</v>
      </c>
      <c r="CJ70" s="9" t="s">
        <v>2130</v>
      </c>
      <c r="CK70" s="9" t="s">
        <v>2131</v>
      </c>
      <c r="ET70" s="9" t="s">
        <v>578</v>
      </c>
      <c r="EU70" s="9" t="s">
        <v>887</v>
      </c>
      <c r="EV70" s="9" t="s">
        <v>1262</v>
      </c>
      <c r="EW70" s="9" t="s">
        <v>2132</v>
      </c>
      <c r="EX70" s="9" t="s">
        <v>2133</v>
      </c>
      <c r="EY70" s="9" t="s">
        <v>2134</v>
      </c>
      <c r="EZ70" s="9" t="s">
        <v>583</v>
      </c>
      <c r="FA70" s="9" t="s">
        <v>583</v>
      </c>
      <c r="FB70" s="9" t="s">
        <v>416</v>
      </c>
      <c r="FC70" s="9" t="s">
        <v>583</v>
      </c>
      <c r="FD70" s="9" t="s">
        <v>415</v>
      </c>
      <c r="FE70" s="9" t="s">
        <v>583</v>
      </c>
      <c r="FF70" s="9" t="s">
        <v>583</v>
      </c>
      <c r="FG70" s="9" t="s">
        <v>415</v>
      </c>
      <c r="FH70" s="9" t="s">
        <v>415</v>
      </c>
      <c r="FI70" s="9" t="s">
        <v>583</v>
      </c>
      <c r="FJ70" s="9" t="s">
        <v>583</v>
      </c>
      <c r="FK70" s="9" t="s">
        <v>415</v>
      </c>
      <c r="FL70" s="9" t="s">
        <v>583</v>
      </c>
      <c r="FM70" s="9" t="s">
        <v>416</v>
      </c>
      <c r="FN70" s="9" t="s">
        <v>415</v>
      </c>
      <c r="FO70" s="9" t="s">
        <v>1074</v>
      </c>
      <c r="FP70" s="9" t="s">
        <v>486</v>
      </c>
      <c r="FQ70" s="9" t="s">
        <v>419</v>
      </c>
      <c r="FR70" s="9" t="s">
        <v>2135</v>
      </c>
      <c r="FS70" s="9" t="s">
        <v>1076</v>
      </c>
      <c r="FT70" s="9" t="s">
        <v>1462</v>
      </c>
      <c r="FU70" s="9" t="s">
        <v>533</v>
      </c>
      <c r="FV70" s="9" t="s">
        <v>2136</v>
      </c>
      <c r="FW70" s="9" t="s">
        <v>1853</v>
      </c>
      <c r="FX70" s="9" t="s">
        <v>2137</v>
      </c>
      <c r="FY70" s="9" t="s">
        <v>1020</v>
      </c>
      <c r="FZ70" s="9" t="s">
        <v>2138</v>
      </c>
      <c r="GA70" s="9" t="s">
        <v>2139</v>
      </c>
      <c r="GB70" s="9" t="s">
        <v>408</v>
      </c>
      <c r="GJ70" s="9" t="s">
        <v>1000</v>
      </c>
      <c r="GK70" s="9" t="s">
        <v>1000</v>
      </c>
      <c r="GL70" s="9" t="s">
        <v>817</v>
      </c>
    </row>
    <row r="71" ht="24.75" customHeight="1">
      <c r="A71" s="8">
        <v>45827.910598622686</v>
      </c>
      <c r="B71" s="9" t="s">
        <v>368</v>
      </c>
      <c r="C71" s="9" t="s">
        <v>894</v>
      </c>
      <c r="D71" s="9" t="s">
        <v>894</v>
      </c>
      <c r="G71" s="9" t="s">
        <v>422</v>
      </c>
      <c r="H71" s="9" t="s">
        <v>637</v>
      </c>
      <c r="I71" s="9" t="s">
        <v>638</v>
      </c>
      <c r="J71" s="9" t="s">
        <v>1240</v>
      </c>
      <c r="K71" s="9" t="s">
        <v>376</v>
      </c>
      <c r="L71" s="9" t="s">
        <v>591</v>
      </c>
      <c r="M71" s="9" t="s">
        <v>720</v>
      </c>
      <c r="N71" s="9" t="s">
        <v>1526</v>
      </c>
      <c r="O71" s="9" t="s">
        <v>671</v>
      </c>
      <c r="P71" s="9" t="s">
        <v>498</v>
      </c>
      <c r="Q71" s="9" t="s">
        <v>382</v>
      </c>
      <c r="R71" s="9" t="s">
        <v>2140</v>
      </c>
      <c r="S71" s="9" t="s">
        <v>384</v>
      </c>
      <c r="T71" s="9" t="s">
        <v>385</v>
      </c>
      <c r="U71" s="9" t="s">
        <v>1025</v>
      </c>
      <c r="V71" s="9" t="s">
        <v>1025</v>
      </c>
      <c r="W71" s="9" t="s">
        <v>428</v>
      </c>
      <c r="AV71" s="9" t="s">
        <v>390</v>
      </c>
      <c r="AW71" s="9" t="s">
        <v>429</v>
      </c>
      <c r="AX71" s="9" t="s">
        <v>429</v>
      </c>
      <c r="AY71" s="9">
        <v>4.0</v>
      </c>
      <c r="AZ71" s="9" t="s">
        <v>429</v>
      </c>
      <c r="BA71" s="9">
        <v>2.0</v>
      </c>
      <c r="BB71" s="9">
        <v>2.0</v>
      </c>
      <c r="BC71" s="9" t="s">
        <v>2141</v>
      </c>
      <c r="BD71" s="9" t="s">
        <v>2142</v>
      </c>
      <c r="BE71" s="9" t="s">
        <v>392</v>
      </c>
      <c r="BF71" s="9" t="s">
        <v>433</v>
      </c>
      <c r="BG71" s="9" t="s">
        <v>678</v>
      </c>
      <c r="BH71" s="9" t="s">
        <v>2143</v>
      </c>
      <c r="BI71" s="9" t="s">
        <v>509</v>
      </c>
      <c r="BJ71" s="9" t="s">
        <v>2144</v>
      </c>
      <c r="BK71" s="9" t="s">
        <v>602</v>
      </c>
      <c r="BL71" s="9" t="s">
        <v>512</v>
      </c>
      <c r="BM71" s="9" t="s">
        <v>549</v>
      </c>
      <c r="BN71" s="9" t="s">
        <v>513</v>
      </c>
      <c r="CL71" s="9" t="s">
        <v>441</v>
      </c>
      <c r="CM71" s="9" t="s">
        <v>604</v>
      </c>
      <c r="CN71" s="9" t="s">
        <v>2145</v>
      </c>
      <c r="CO71" s="9" t="s">
        <v>2146</v>
      </c>
      <c r="CP71" s="9" t="s">
        <v>445</v>
      </c>
      <c r="CQ71" s="9" t="s">
        <v>2147</v>
      </c>
      <c r="CR71" s="9" t="s">
        <v>404</v>
      </c>
      <c r="CS71" s="9" t="s">
        <v>2148</v>
      </c>
      <c r="CT71" s="9" t="s">
        <v>2149</v>
      </c>
      <c r="CU71" s="9" t="s">
        <v>519</v>
      </c>
      <c r="CV71" s="9" t="s">
        <v>451</v>
      </c>
      <c r="CW71" s="9" t="s">
        <v>2150</v>
      </c>
      <c r="CX71" s="9" t="s">
        <v>733</v>
      </c>
      <c r="CY71" s="9" t="s">
        <v>2151</v>
      </c>
      <c r="CZ71" s="9" t="s">
        <v>453</v>
      </c>
      <c r="DA71" s="9" t="s">
        <v>2152</v>
      </c>
      <c r="DB71" s="9" t="s">
        <v>455</v>
      </c>
      <c r="DC71" s="9" t="s">
        <v>2153</v>
      </c>
      <c r="DD71" s="9" t="s">
        <v>988</v>
      </c>
      <c r="DF71" s="9" t="s">
        <v>2154</v>
      </c>
      <c r="DG71" s="9" t="s">
        <v>524</v>
      </c>
      <c r="DH71" s="9" t="s">
        <v>410</v>
      </c>
      <c r="DI71" s="9" t="s">
        <v>459</v>
      </c>
      <c r="DJ71" s="9" t="s">
        <v>562</v>
      </c>
      <c r="DK71" s="9" t="s">
        <v>461</v>
      </c>
      <c r="ET71" s="9" t="s">
        <v>478</v>
      </c>
      <c r="EU71" s="9" t="s">
        <v>1037</v>
      </c>
      <c r="EV71" s="9" t="s">
        <v>580</v>
      </c>
      <c r="EW71" s="9" t="s">
        <v>2155</v>
      </c>
      <c r="EX71" s="9" t="s">
        <v>2156</v>
      </c>
      <c r="EY71" s="9" t="s">
        <v>733</v>
      </c>
      <c r="EZ71" s="9" t="s">
        <v>415</v>
      </c>
      <c r="FA71" s="9" t="s">
        <v>414</v>
      </c>
      <c r="FB71" s="9" t="s">
        <v>413</v>
      </c>
      <c r="FC71" s="9" t="s">
        <v>414</v>
      </c>
      <c r="FD71" s="9" t="s">
        <v>413</v>
      </c>
      <c r="FE71" s="9" t="s">
        <v>415</v>
      </c>
      <c r="FF71" s="9" t="s">
        <v>415</v>
      </c>
      <c r="FG71" s="9" t="s">
        <v>413</v>
      </c>
      <c r="FH71" s="9" t="s">
        <v>414</v>
      </c>
      <c r="FI71" s="9" t="s">
        <v>416</v>
      </c>
      <c r="FJ71" s="9" t="s">
        <v>416</v>
      </c>
      <c r="FK71" s="9" t="s">
        <v>484</v>
      </c>
      <c r="FL71" s="9" t="s">
        <v>484</v>
      </c>
      <c r="FM71" s="9" t="s">
        <v>413</v>
      </c>
      <c r="FN71" s="9" t="s">
        <v>583</v>
      </c>
      <c r="FO71" s="9" t="s">
        <v>1537</v>
      </c>
      <c r="FP71" s="9" t="s">
        <v>418</v>
      </c>
      <c r="FQ71" s="9" t="s">
        <v>749</v>
      </c>
      <c r="FR71" s="9" t="s">
        <v>2157</v>
      </c>
      <c r="FS71" s="9" t="s">
        <v>995</v>
      </c>
      <c r="FT71" s="9" t="s">
        <v>488</v>
      </c>
      <c r="FU71" s="9" t="s">
        <v>585</v>
      </c>
      <c r="FV71" s="9" t="s">
        <v>490</v>
      </c>
      <c r="FW71" s="9" t="s">
        <v>491</v>
      </c>
      <c r="FX71" s="9" t="s">
        <v>2158</v>
      </c>
      <c r="FY71" s="9" t="s">
        <v>535</v>
      </c>
      <c r="FZ71" s="9" t="s">
        <v>2159</v>
      </c>
      <c r="GB71" s="9" t="s">
        <v>455</v>
      </c>
      <c r="GC71" s="9"/>
      <c r="GE71" s="9" t="s">
        <v>786</v>
      </c>
      <c r="GF71" s="9" t="s">
        <v>2160</v>
      </c>
      <c r="GG71" s="9" t="s">
        <v>920</v>
      </c>
      <c r="GH71" s="9" t="s">
        <v>920</v>
      </c>
      <c r="GI71" s="9" t="s">
        <v>858</v>
      </c>
    </row>
    <row r="72" ht="24.75" customHeight="1">
      <c r="A72" s="8">
        <v>45827.91347165509</v>
      </c>
      <c r="B72" s="9" t="s">
        <v>368</v>
      </c>
      <c r="C72" s="9" t="s">
        <v>635</v>
      </c>
      <c r="D72" s="9" t="s">
        <v>894</v>
      </c>
      <c r="G72" s="9" t="s">
        <v>2161</v>
      </c>
      <c r="H72" s="9" t="s">
        <v>496</v>
      </c>
      <c r="I72" s="9" t="s">
        <v>374</v>
      </c>
      <c r="J72" s="9" t="s">
        <v>1204</v>
      </c>
      <c r="K72" s="9" t="s">
        <v>376</v>
      </c>
      <c r="L72" s="9" t="s">
        <v>426</v>
      </c>
      <c r="M72" s="9" t="s">
        <v>2162</v>
      </c>
      <c r="N72" s="9" t="s">
        <v>426</v>
      </c>
      <c r="O72" s="9" t="s">
        <v>497</v>
      </c>
      <c r="P72" s="9" t="s">
        <v>498</v>
      </c>
      <c r="Q72" s="9" t="s">
        <v>759</v>
      </c>
      <c r="R72" s="9" t="s">
        <v>427</v>
      </c>
      <c r="S72" s="9" t="s">
        <v>384</v>
      </c>
      <c r="T72" s="9" t="s">
        <v>385</v>
      </c>
      <c r="V72" s="9" t="s">
        <v>896</v>
      </c>
      <c r="W72" s="9" t="s">
        <v>760</v>
      </c>
      <c r="X72" s="9" t="s">
        <v>387</v>
      </c>
      <c r="Y72" s="9" t="s">
        <v>388</v>
      </c>
      <c r="Z72" s="9" t="s">
        <v>389</v>
      </c>
      <c r="AA72" s="9" t="s">
        <v>796</v>
      </c>
      <c r="AB72" s="9" t="s">
        <v>2163</v>
      </c>
      <c r="AV72" s="9" t="s">
        <v>1242</v>
      </c>
      <c r="AW72" s="9" t="s">
        <v>675</v>
      </c>
      <c r="AX72" s="9" t="s">
        <v>675</v>
      </c>
      <c r="AY72" s="9" t="s">
        <v>675</v>
      </c>
      <c r="AZ72" s="9" t="s">
        <v>675</v>
      </c>
      <c r="BA72" s="9" t="s">
        <v>675</v>
      </c>
      <c r="BB72" s="9" t="s">
        <v>675</v>
      </c>
      <c r="BC72" s="9" t="s">
        <v>2164</v>
      </c>
      <c r="BD72" s="9" t="s">
        <v>2165</v>
      </c>
      <c r="BE72" s="9" t="s">
        <v>902</v>
      </c>
      <c r="BF72" s="9" t="s">
        <v>1245</v>
      </c>
      <c r="BG72" s="9" t="s">
        <v>394</v>
      </c>
      <c r="BI72" s="9" t="s">
        <v>727</v>
      </c>
      <c r="BJ72" s="9" t="s">
        <v>2166</v>
      </c>
      <c r="BK72" s="9" t="s">
        <v>395</v>
      </c>
      <c r="BL72" s="9" t="s">
        <v>396</v>
      </c>
      <c r="BM72" s="9" t="s">
        <v>1314</v>
      </c>
      <c r="BN72" s="9" t="s">
        <v>398</v>
      </c>
      <c r="BO72" s="9" t="s">
        <v>2167</v>
      </c>
      <c r="BP72" s="9" t="s">
        <v>2168</v>
      </c>
      <c r="BQ72" s="9" t="s">
        <v>682</v>
      </c>
      <c r="BR72" s="9" t="s">
        <v>2169</v>
      </c>
      <c r="BS72" s="9" t="s">
        <v>403</v>
      </c>
      <c r="BU72" s="9" t="s">
        <v>405</v>
      </c>
      <c r="BW72" s="9" t="s">
        <v>406</v>
      </c>
      <c r="BX72" s="9" t="s">
        <v>1867</v>
      </c>
      <c r="BY72" s="9" t="s">
        <v>455</v>
      </c>
      <c r="BZ72" s="9" t="s">
        <v>2170</v>
      </c>
      <c r="CB72" s="9" t="s">
        <v>2171</v>
      </c>
      <c r="CC72" s="9" t="s">
        <v>2172</v>
      </c>
      <c r="CD72" s="9" t="s">
        <v>1257</v>
      </c>
      <c r="CE72" s="9" t="s">
        <v>2173</v>
      </c>
      <c r="CF72" s="9" t="s">
        <v>1258</v>
      </c>
      <c r="CH72" s="9" t="s">
        <v>1259</v>
      </c>
      <c r="CI72" s="9" t="s">
        <v>1220</v>
      </c>
      <c r="CJ72" s="9" t="s">
        <v>2174</v>
      </c>
      <c r="CK72" s="9" t="s">
        <v>2175</v>
      </c>
      <c r="ET72" s="9" t="s">
        <v>526</v>
      </c>
      <c r="EU72" s="9" t="s">
        <v>579</v>
      </c>
      <c r="EV72" s="9" t="s">
        <v>778</v>
      </c>
      <c r="EW72" s="9" t="s">
        <v>2176</v>
      </c>
      <c r="EX72" s="9" t="s">
        <v>1755</v>
      </c>
      <c r="EY72" s="9" t="s">
        <v>2177</v>
      </c>
      <c r="EZ72" s="9" t="s">
        <v>414</v>
      </c>
      <c r="FA72" s="9" t="s">
        <v>414</v>
      </c>
      <c r="FB72" s="9" t="s">
        <v>413</v>
      </c>
      <c r="FC72" s="9" t="s">
        <v>415</v>
      </c>
      <c r="FD72" s="9" t="s">
        <v>414</v>
      </c>
      <c r="FE72" s="9" t="s">
        <v>414</v>
      </c>
      <c r="FF72" s="9" t="s">
        <v>414</v>
      </c>
      <c r="FG72" s="9" t="s">
        <v>414</v>
      </c>
      <c r="FH72" s="9" t="s">
        <v>413</v>
      </c>
      <c r="FI72" s="9" t="s">
        <v>414</v>
      </c>
      <c r="FJ72" s="9" t="s">
        <v>415</v>
      </c>
      <c r="FK72" s="9" t="s">
        <v>415</v>
      </c>
      <c r="FL72" s="9" t="s">
        <v>415</v>
      </c>
      <c r="FM72" s="9" t="s">
        <v>415</v>
      </c>
      <c r="FN72" s="9" t="s">
        <v>415</v>
      </c>
      <c r="FO72" s="9" t="s">
        <v>417</v>
      </c>
      <c r="FP72" s="9" t="s">
        <v>486</v>
      </c>
      <c r="FQ72" s="9" t="s">
        <v>712</v>
      </c>
      <c r="FR72" s="9" t="s">
        <v>2178</v>
      </c>
      <c r="FS72" s="9" t="s">
        <v>420</v>
      </c>
      <c r="FT72" s="9" t="s">
        <v>488</v>
      </c>
      <c r="FU72" s="9" t="s">
        <v>1235</v>
      </c>
      <c r="FV72" s="9" t="s">
        <v>490</v>
      </c>
      <c r="FW72" s="9" t="s">
        <v>491</v>
      </c>
      <c r="FX72" s="9" t="s">
        <v>2179</v>
      </c>
      <c r="FY72" s="9" t="s">
        <v>1020</v>
      </c>
      <c r="FZ72" s="9" t="s">
        <v>2180</v>
      </c>
      <c r="GA72" s="9" t="s">
        <v>2181</v>
      </c>
      <c r="GB72" s="9" t="s">
        <v>455</v>
      </c>
      <c r="GC72" s="9"/>
      <c r="GE72" s="9" t="s">
        <v>753</v>
      </c>
      <c r="GF72" s="9" t="s">
        <v>455</v>
      </c>
      <c r="GJ72" s="9" t="s">
        <v>857</v>
      </c>
      <c r="GK72" s="9" t="s">
        <v>857</v>
      </c>
      <c r="GL72" s="9" t="s">
        <v>790</v>
      </c>
      <c r="GN72" s="9" t="s">
        <v>635</v>
      </c>
    </row>
    <row r="73" ht="24.75" customHeight="1">
      <c r="A73" s="8">
        <v>45827.91495508102</v>
      </c>
      <c r="B73" s="9" t="s">
        <v>368</v>
      </c>
      <c r="C73" s="9" t="s">
        <v>1201</v>
      </c>
      <c r="D73" s="9" t="s">
        <v>1201</v>
      </c>
      <c r="G73" s="9" t="s">
        <v>422</v>
      </c>
      <c r="H73" s="9" t="s">
        <v>496</v>
      </c>
      <c r="I73" s="9" t="s">
        <v>424</v>
      </c>
      <c r="J73" s="9" t="s">
        <v>425</v>
      </c>
      <c r="K73" s="9" t="s">
        <v>376</v>
      </c>
      <c r="L73" s="9" t="s">
        <v>591</v>
      </c>
      <c r="M73" s="9" t="s">
        <v>639</v>
      </c>
      <c r="N73" s="9" t="s">
        <v>793</v>
      </c>
      <c r="O73" s="9" t="s">
        <v>639</v>
      </c>
      <c r="P73" s="9" t="s">
        <v>498</v>
      </c>
      <c r="Q73" s="9" t="s">
        <v>862</v>
      </c>
      <c r="R73" s="9" t="s">
        <v>500</v>
      </c>
      <c r="S73" s="9" t="s">
        <v>384</v>
      </c>
      <c r="T73" s="9" t="s">
        <v>385</v>
      </c>
      <c r="W73" s="9" t="s">
        <v>428</v>
      </c>
      <c r="AV73" s="9" t="s">
        <v>1310</v>
      </c>
      <c r="AW73" s="9">
        <v>4.0</v>
      </c>
      <c r="AX73" s="9">
        <v>4.0</v>
      </c>
      <c r="AY73" s="9" t="s">
        <v>675</v>
      </c>
      <c r="AZ73" s="9" t="s">
        <v>675</v>
      </c>
      <c r="BA73" s="9" t="s">
        <v>675</v>
      </c>
      <c r="BB73" s="9" t="s">
        <v>675</v>
      </c>
      <c r="BC73" s="9" t="s">
        <v>2182</v>
      </c>
      <c r="BD73" s="9" t="s">
        <v>2182</v>
      </c>
      <c r="BE73" s="9" t="s">
        <v>902</v>
      </c>
      <c r="BF73" s="9" t="s">
        <v>1047</v>
      </c>
      <c r="BG73" s="9" t="s">
        <v>434</v>
      </c>
      <c r="BH73" s="9" t="s">
        <v>2183</v>
      </c>
      <c r="BI73" s="9" t="s">
        <v>976</v>
      </c>
      <c r="BJ73" s="9" t="s">
        <v>1211</v>
      </c>
      <c r="BK73" s="9" t="s">
        <v>681</v>
      </c>
      <c r="BL73" s="9" t="s">
        <v>603</v>
      </c>
      <c r="BM73" s="9" t="s">
        <v>1247</v>
      </c>
      <c r="BN73" s="9" t="s">
        <v>398</v>
      </c>
      <c r="BO73" s="9" t="s">
        <v>2184</v>
      </c>
      <c r="BP73" s="9" t="s">
        <v>2185</v>
      </c>
      <c r="BQ73" s="9" t="s">
        <v>604</v>
      </c>
      <c r="BR73" s="9" t="s">
        <v>2186</v>
      </c>
      <c r="BS73" s="9" t="s">
        <v>1671</v>
      </c>
      <c r="BT73" s="9" t="s">
        <v>1994</v>
      </c>
      <c r="BU73" s="9" t="s">
        <v>405</v>
      </c>
      <c r="BV73" s="9" t="s">
        <v>1211</v>
      </c>
      <c r="BW73" s="9" t="s">
        <v>988</v>
      </c>
      <c r="BX73" s="9" t="s">
        <v>407</v>
      </c>
      <c r="BY73" s="9" t="s">
        <v>408</v>
      </c>
      <c r="BZ73" s="9" t="s">
        <v>1211</v>
      </c>
      <c r="CA73" s="9" t="s">
        <v>1211</v>
      </c>
      <c r="CB73" s="9" t="s">
        <v>2187</v>
      </c>
      <c r="CC73" s="9" t="s">
        <v>2188</v>
      </c>
      <c r="CD73" s="9" t="s">
        <v>409</v>
      </c>
      <c r="CE73" s="9" t="s">
        <v>2189</v>
      </c>
      <c r="CF73" s="9" t="s">
        <v>1722</v>
      </c>
      <c r="CH73" s="9" t="s">
        <v>1751</v>
      </c>
      <c r="CI73" s="9" t="s">
        <v>833</v>
      </c>
      <c r="CJ73" s="9" t="s">
        <v>2190</v>
      </c>
      <c r="CK73" s="9" t="s">
        <v>2191</v>
      </c>
      <c r="ET73" s="9" t="s">
        <v>526</v>
      </c>
      <c r="EU73" s="9" t="s">
        <v>579</v>
      </c>
      <c r="EV73" s="9" t="s">
        <v>1262</v>
      </c>
      <c r="EX73" s="9" t="s">
        <v>733</v>
      </c>
      <c r="EY73" s="9" t="s">
        <v>733</v>
      </c>
      <c r="EZ73" s="9" t="s">
        <v>415</v>
      </c>
      <c r="FA73" s="9" t="s">
        <v>415</v>
      </c>
      <c r="FB73" s="9" t="s">
        <v>416</v>
      </c>
      <c r="FC73" s="9" t="s">
        <v>415</v>
      </c>
      <c r="FD73" s="9" t="s">
        <v>416</v>
      </c>
      <c r="FE73" s="9" t="s">
        <v>416</v>
      </c>
      <c r="FF73" s="9" t="s">
        <v>416</v>
      </c>
      <c r="FG73" s="9" t="s">
        <v>416</v>
      </c>
      <c r="FH73" s="9" t="s">
        <v>484</v>
      </c>
      <c r="FI73" s="9" t="s">
        <v>416</v>
      </c>
      <c r="FJ73" s="9" t="s">
        <v>415</v>
      </c>
      <c r="FK73" s="9" t="s">
        <v>416</v>
      </c>
      <c r="FL73" s="9" t="s">
        <v>416</v>
      </c>
      <c r="FM73" s="9" t="s">
        <v>416</v>
      </c>
      <c r="FN73" s="9" t="s">
        <v>415</v>
      </c>
      <c r="FO73" s="9" t="s">
        <v>485</v>
      </c>
      <c r="FP73" s="9" t="s">
        <v>486</v>
      </c>
      <c r="FQ73" s="9" t="s">
        <v>749</v>
      </c>
      <c r="FR73" s="9" t="s">
        <v>2192</v>
      </c>
      <c r="FS73" s="9" t="s">
        <v>1189</v>
      </c>
      <c r="FT73" s="9" t="s">
        <v>1462</v>
      </c>
      <c r="FU73" s="9" t="s">
        <v>585</v>
      </c>
      <c r="FV73" s="9" t="s">
        <v>490</v>
      </c>
      <c r="FW73" s="9" t="s">
        <v>491</v>
      </c>
      <c r="FX73" s="9" t="s">
        <v>2193</v>
      </c>
      <c r="FY73" s="9" t="s">
        <v>535</v>
      </c>
      <c r="GB73" s="9" t="s">
        <v>408</v>
      </c>
      <c r="GJ73" s="9" t="s">
        <v>755</v>
      </c>
      <c r="GK73" s="9" t="s">
        <v>755</v>
      </c>
      <c r="GL73" s="9" t="s">
        <v>946</v>
      </c>
      <c r="GN73" s="9" t="s">
        <v>2194</v>
      </c>
      <c r="GO73" s="9" t="s">
        <v>2194</v>
      </c>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c r="IG73" s="10"/>
      <c r="IH73" s="10"/>
      <c r="II73" s="10"/>
      <c r="IJ73" s="10"/>
      <c r="IK73" s="10"/>
      <c r="IL73" s="10"/>
      <c r="IM73" s="10"/>
      <c r="IN73" s="10"/>
      <c r="IO73" s="10"/>
      <c r="IP73" s="10"/>
      <c r="IQ73" s="10"/>
      <c r="IR73" s="10"/>
      <c r="IS73" s="10"/>
      <c r="IT73" s="10"/>
      <c r="IU73" s="10"/>
      <c r="IV73" s="10"/>
      <c r="IW73" s="10"/>
      <c r="IX73" s="10"/>
      <c r="IY73" s="10"/>
      <c r="IZ73" s="10"/>
      <c r="JA73" s="10"/>
      <c r="JB73" s="10"/>
      <c r="JC73" s="10"/>
      <c r="JD73" s="10"/>
      <c r="JE73" s="10"/>
      <c r="JF73" s="10"/>
      <c r="JG73" s="10"/>
      <c r="JH73" s="10"/>
      <c r="JI73" s="10"/>
      <c r="JJ73" s="10"/>
      <c r="JK73" s="10"/>
      <c r="JL73" s="10"/>
      <c r="JM73" s="10"/>
      <c r="JN73" s="10"/>
      <c r="JO73" s="10"/>
      <c r="JP73" s="10"/>
      <c r="JQ73" s="10"/>
      <c r="JR73" s="10"/>
      <c r="JS73" s="10"/>
      <c r="JT73" s="10"/>
      <c r="JU73" s="10"/>
      <c r="JV73" s="10"/>
      <c r="JW73" s="10"/>
      <c r="JX73" s="10"/>
      <c r="JY73" s="10"/>
      <c r="JZ73" s="10"/>
      <c r="KA73" s="10"/>
      <c r="KB73" s="10"/>
      <c r="KC73" s="10"/>
      <c r="KD73" s="10"/>
      <c r="KE73" s="10"/>
      <c r="KF73" s="10"/>
      <c r="KG73" s="10"/>
      <c r="KH73" s="10"/>
      <c r="KI73" s="10"/>
      <c r="KJ73" s="10"/>
      <c r="KK73" s="10"/>
      <c r="KL73" s="10"/>
      <c r="KM73" s="10"/>
      <c r="KN73" s="10"/>
      <c r="KO73" s="10"/>
      <c r="KP73" s="10"/>
      <c r="KQ73" s="10"/>
      <c r="KR73" s="10"/>
      <c r="KS73" s="10"/>
      <c r="KT73" s="10"/>
      <c r="KU73" s="10"/>
      <c r="KV73" s="10"/>
      <c r="KW73" s="10"/>
      <c r="KX73" s="10"/>
      <c r="KY73" s="10"/>
      <c r="KZ73" s="10"/>
      <c r="LA73" s="10"/>
      <c r="LB73" s="10"/>
      <c r="LC73" s="10"/>
      <c r="LD73" s="10"/>
      <c r="LE73" s="10"/>
      <c r="LF73" s="10"/>
      <c r="LG73" s="10"/>
      <c r="LH73" s="10"/>
      <c r="LI73" s="10"/>
      <c r="LJ73" s="10"/>
      <c r="LK73" s="10"/>
      <c r="LL73" s="10"/>
      <c r="LM73" s="10"/>
      <c r="LN73" s="10"/>
      <c r="LO73" s="10"/>
      <c r="LP73" s="10"/>
      <c r="LQ73" s="10"/>
      <c r="LR73" s="10"/>
      <c r="LS73" s="10"/>
      <c r="LT73" s="10"/>
      <c r="LU73" s="10"/>
      <c r="LV73" s="10"/>
      <c r="LW73" s="10"/>
      <c r="LX73" s="10"/>
      <c r="LY73" s="10"/>
      <c r="LZ73" s="10"/>
      <c r="MA73" s="10"/>
      <c r="MB73" s="10"/>
      <c r="MC73" s="10"/>
      <c r="MD73" s="10"/>
      <c r="ME73" s="10"/>
      <c r="MF73" s="10"/>
      <c r="MG73" s="10"/>
      <c r="MH73" s="10"/>
      <c r="MI73" s="10"/>
      <c r="MJ73" s="10"/>
      <c r="MK73" s="10"/>
      <c r="ML73" s="10"/>
      <c r="MM73" s="10"/>
      <c r="MN73" s="10"/>
      <c r="MO73" s="10"/>
      <c r="MP73" s="10"/>
      <c r="MQ73" s="10"/>
      <c r="MR73" s="10"/>
      <c r="MS73" s="10"/>
      <c r="MT73" s="10"/>
      <c r="MU73" s="10"/>
      <c r="MV73" s="10"/>
      <c r="MW73" s="10"/>
      <c r="MX73" s="10"/>
      <c r="MY73" s="10"/>
      <c r="MZ73" s="10"/>
      <c r="NA73" s="10"/>
      <c r="NB73" s="10"/>
      <c r="NC73" s="10"/>
      <c r="ND73" s="10"/>
    </row>
    <row r="74" ht="24.75" customHeight="1">
      <c r="A74" s="8">
        <v>45827.94294872685</v>
      </c>
      <c r="B74" s="9" t="s">
        <v>368</v>
      </c>
      <c r="C74" s="9" t="s">
        <v>370</v>
      </c>
      <c r="E74" s="9" t="s">
        <v>2195</v>
      </c>
      <c r="G74" s="9" t="s">
        <v>1093</v>
      </c>
      <c r="H74" s="9" t="s">
        <v>496</v>
      </c>
      <c r="I74" s="9" t="s">
        <v>374</v>
      </c>
      <c r="J74" s="9" t="s">
        <v>375</v>
      </c>
      <c r="K74" s="9" t="s">
        <v>376</v>
      </c>
      <c r="L74" s="9" t="s">
        <v>793</v>
      </c>
      <c r="M74" s="9" t="s">
        <v>2196</v>
      </c>
      <c r="N74" s="9" t="s">
        <v>793</v>
      </c>
      <c r="O74" s="9" t="s">
        <v>2197</v>
      </c>
      <c r="P74" s="9" t="s">
        <v>498</v>
      </c>
      <c r="Q74" s="9" t="s">
        <v>382</v>
      </c>
      <c r="R74" s="9" t="s">
        <v>427</v>
      </c>
      <c r="S74" s="9" t="s">
        <v>384</v>
      </c>
      <c r="T74" s="9" t="s">
        <v>385</v>
      </c>
      <c r="W74" s="9" t="s">
        <v>428</v>
      </c>
      <c r="AV74" s="9" t="s">
        <v>1310</v>
      </c>
      <c r="AW74" s="9">
        <v>4.0</v>
      </c>
      <c r="AX74" s="9">
        <v>4.0</v>
      </c>
      <c r="AY74" s="9">
        <v>4.0</v>
      </c>
      <c r="AZ74" s="9">
        <v>4.0</v>
      </c>
      <c r="BA74" s="9">
        <v>4.0</v>
      </c>
      <c r="BB74" s="9" t="s">
        <v>675</v>
      </c>
      <c r="BC74" s="9" t="s">
        <v>2198</v>
      </c>
      <c r="BD74" s="9" t="s">
        <v>2199</v>
      </c>
      <c r="BE74" s="9" t="s">
        <v>902</v>
      </c>
      <c r="BF74" s="9" t="s">
        <v>1095</v>
      </c>
      <c r="BG74" s="9" t="s">
        <v>725</v>
      </c>
      <c r="BH74" s="9" t="s">
        <v>2200</v>
      </c>
      <c r="BI74" s="9" t="s">
        <v>976</v>
      </c>
      <c r="BK74" s="9" t="s">
        <v>437</v>
      </c>
      <c r="BL74" s="9" t="s">
        <v>603</v>
      </c>
      <c r="BM74" s="9" t="s">
        <v>1247</v>
      </c>
      <c r="BN74" s="9" t="s">
        <v>398</v>
      </c>
      <c r="BO74" s="9" t="s">
        <v>2201</v>
      </c>
      <c r="BP74" s="9" t="s">
        <v>2202</v>
      </c>
      <c r="BQ74" s="9" t="s">
        <v>442</v>
      </c>
      <c r="BR74" s="9" t="s">
        <v>2203</v>
      </c>
      <c r="BS74" s="9" t="s">
        <v>1741</v>
      </c>
      <c r="BT74" s="9" t="s">
        <v>1742</v>
      </c>
      <c r="BU74" s="9" t="s">
        <v>1772</v>
      </c>
      <c r="BV74" s="9" t="s">
        <v>2204</v>
      </c>
      <c r="BW74" s="9" t="s">
        <v>988</v>
      </c>
      <c r="BY74" s="9" t="s">
        <v>455</v>
      </c>
      <c r="BZ74" s="9" t="s">
        <v>2205</v>
      </c>
      <c r="CA74" s="9" t="s">
        <v>2206</v>
      </c>
      <c r="CB74" s="9" t="s">
        <v>2207</v>
      </c>
      <c r="CC74" s="9" t="s">
        <v>2208</v>
      </c>
      <c r="CD74" s="9" t="s">
        <v>409</v>
      </c>
      <c r="CE74" s="9" t="s">
        <v>2209</v>
      </c>
      <c r="CF74" s="9" t="s">
        <v>1697</v>
      </c>
      <c r="CG74" s="9" t="s">
        <v>2210</v>
      </c>
      <c r="CH74" s="9" t="s">
        <v>1751</v>
      </c>
      <c r="CI74" s="9" t="s">
        <v>833</v>
      </c>
      <c r="CJ74" s="9" t="s">
        <v>2211</v>
      </c>
      <c r="CK74" s="9" t="s">
        <v>2212</v>
      </c>
      <c r="ET74" s="9" t="s">
        <v>578</v>
      </c>
      <c r="EU74" s="9" t="s">
        <v>887</v>
      </c>
      <c r="EV74" s="9" t="s">
        <v>480</v>
      </c>
      <c r="EW74" s="9" t="s">
        <v>2213</v>
      </c>
      <c r="EX74" s="9" t="s">
        <v>2214</v>
      </c>
      <c r="EY74" s="9" t="s">
        <v>2215</v>
      </c>
      <c r="EZ74" s="9" t="s">
        <v>414</v>
      </c>
      <c r="FA74" s="9" t="s">
        <v>583</v>
      </c>
      <c r="FB74" s="9" t="s">
        <v>414</v>
      </c>
      <c r="FC74" s="9" t="s">
        <v>414</v>
      </c>
      <c r="FD74" s="9" t="s">
        <v>413</v>
      </c>
      <c r="FE74" s="9" t="s">
        <v>583</v>
      </c>
      <c r="FF74" s="9" t="s">
        <v>415</v>
      </c>
      <c r="FG74" s="9" t="s">
        <v>416</v>
      </c>
      <c r="FH74" s="9" t="s">
        <v>414</v>
      </c>
      <c r="FI74" s="9" t="s">
        <v>583</v>
      </c>
      <c r="FJ74" s="9" t="s">
        <v>414</v>
      </c>
      <c r="FK74" s="9" t="s">
        <v>415</v>
      </c>
      <c r="FL74" s="9" t="s">
        <v>414</v>
      </c>
      <c r="FM74" s="9" t="s">
        <v>416</v>
      </c>
      <c r="FN74" s="9" t="s">
        <v>414</v>
      </c>
      <c r="FO74" s="9" t="s">
        <v>485</v>
      </c>
      <c r="FP74" s="9" t="s">
        <v>418</v>
      </c>
      <c r="FQ74" s="9" t="s">
        <v>749</v>
      </c>
      <c r="FR74" s="9" t="s">
        <v>2216</v>
      </c>
      <c r="FS74" s="9" t="s">
        <v>1189</v>
      </c>
      <c r="FT74" s="9" t="s">
        <v>1462</v>
      </c>
      <c r="FU74" s="9" t="s">
        <v>489</v>
      </c>
      <c r="FV74" s="9" t="s">
        <v>1101</v>
      </c>
      <c r="FW74" s="9" t="s">
        <v>491</v>
      </c>
      <c r="FX74" s="9" t="s">
        <v>2217</v>
      </c>
      <c r="FY74" s="9" t="s">
        <v>493</v>
      </c>
      <c r="FZ74" s="9" t="s">
        <v>2218</v>
      </c>
      <c r="GB74" s="9" t="s">
        <v>408</v>
      </c>
      <c r="GJ74" s="9" t="s">
        <v>755</v>
      </c>
      <c r="GK74" s="9" t="s">
        <v>755</v>
      </c>
      <c r="GL74" s="9" t="s">
        <v>817</v>
      </c>
    </row>
    <row r="75" ht="24.75" customHeight="1">
      <c r="A75" s="8">
        <v>45827.94687665509</v>
      </c>
      <c r="B75" s="9" t="s">
        <v>368</v>
      </c>
      <c r="C75" s="9" t="s">
        <v>1201</v>
      </c>
      <c r="D75" s="9" t="s">
        <v>1201</v>
      </c>
      <c r="G75" s="9" t="s">
        <v>1783</v>
      </c>
      <c r="H75" s="9" t="s">
        <v>496</v>
      </c>
      <c r="I75" s="9" t="s">
        <v>374</v>
      </c>
      <c r="J75" s="9" t="s">
        <v>590</v>
      </c>
      <c r="K75" s="9" t="s">
        <v>376</v>
      </c>
      <c r="L75" s="9" t="s">
        <v>379</v>
      </c>
      <c r="M75" s="9" t="s">
        <v>2219</v>
      </c>
      <c r="N75" s="9" t="s">
        <v>591</v>
      </c>
      <c r="O75" s="9" t="s">
        <v>639</v>
      </c>
      <c r="P75" s="9" t="s">
        <v>1504</v>
      </c>
      <c r="Q75" s="9" t="s">
        <v>759</v>
      </c>
      <c r="R75" s="9" t="s">
        <v>427</v>
      </c>
      <c r="S75" s="9" t="s">
        <v>384</v>
      </c>
      <c r="T75" s="9" t="s">
        <v>385</v>
      </c>
      <c r="W75" s="9" t="s">
        <v>386</v>
      </c>
      <c r="AV75" s="9" t="s">
        <v>1242</v>
      </c>
      <c r="AW75" s="9" t="s">
        <v>675</v>
      </c>
      <c r="AX75" s="9" t="s">
        <v>675</v>
      </c>
      <c r="AY75" s="9" t="s">
        <v>675</v>
      </c>
      <c r="AZ75" s="9" t="s">
        <v>675</v>
      </c>
      <c r="BA75" s="9" t="s">
        <v>675</v>
      </c>
      <c r="BB75" s="9" t="s">
        <v>675</v>
      </c>
      <c r="BC75" s="9" t="s">
        <v>2220</v>
      </c>
      <c r="BD75" s="9" t="s">
        <v>2221</v>
      </c>
      <c r="BE75" s="9" t="s">
        <v>902</v>
      </c>
      <c r="BF75" s="9" t="s">
        <v>1245</v>
      </c>
      <c r="BG75" s="9" t="s">
        <v>394</v>
      </c>
      <c r="BH75" s="9" t="s">
        <v>2222</v>
      </c>
      <c r="BI75" s="9" t="s">
        <v>435</v>
      </c>
      <c r="BJ75" s="9" t="s">
        <v>2223</v>
      </c>
      <c r="BK75" s="9" t="s">
        <v>395</v>
      </c>
      <c r="BL75" s="9" t="s">
        <v>904</v>
      </c>
      <c r="BM75" s="9" t="s">
        <v>1314</v>
      </c>
      <c r="BN75" s="9" t="s">
        <v>398</v>
      </c>
      <c r="BO75" s="9" t="s">
        <v>2224</v>
      </c>
      <c r="BP75" s="9" t="s">
        <v>2225</v>
      </c>
      <c r="BQ75" s="9" t="s">
        <v>2226</v>
      </c>
      <c r="BR75" s="9" t="s">
        <v>2227</v>
      </c>
      <c r="BS75" s="9" t="s">
        <v>1692</v>
      </c>
      <c r="BT75" s="9" t="s">
        <v>1742</v>
      </c>
      <c r="BU75" s="9" t="s">
        <v>405</v>
      </c>
      <c r="BV75" s="9" t="s">
        <v>1252</v>
      </c>
      <c r="BW75" s="9" t="s">
        <v>988</v>
      </c>
      <c r="BY75" s="9" t="s">
        <v>455</v>
      </c>
      <c r="BZ75" s="9" t="s">
        <v>2228</v>
      </c>
      <c r="CA75" s="9" t="s">
        <v>2229</v>
      </c>
      <c r="CB75" s="9" t="s">
        <v>2230</v>
      </c>
      <c r="CC75" s="9" t="s">
        <v>2231</v>
      </c>
      <c r="CD75" s="9" t="s">
        <v>451</v>
      </c>
      <c r="CE75" s="9" t="s">
        <v>2232</v>
      </c>
      <c r="CF75" s="9" t="s">
        <v>2233</v>
      </c>
      <c r="CG75" s="9" t="s">
        <v>2234</v>
      </c>
      <c r="CH75" s="9" t="s">
        <v>1259</v>
      </c>
      <c r="CI75" s="9" t="s">
        <v>1220</v>
      </c>
      <c r="CJ75" s="9" t="s">
        <v>2235</v>
      </c>
      <c r="CK75" s="9" t="s">
        <v>2236</v>
      </c>
      <c r="ET75" s="9" t="s">
        <v>526</v>
      </c>
      <c r="EU75" s="9" t="s">
        <v>887</v>
      </c>
      <c r="EV75" s="9" t="s">
        <v>480</v>
      </c>
      <c r="EW75" s="9" t="s">
        <v>2237</v>
      </c>
      <c r="EX75" s="9" t="s">
        <v>2238</v>
      </c>
      <c r="EY75" s="9" t="s">
        <v>2239</v>
      </c>
      <c r="EZ75" s="9" t="s">
        <v>415</v>
      </c>
      <c r="FA75" s="9" t="s">
        <v>415</v>
      </c>
      <c r="FB75" s="9" t="s">
        <v>413</v>
      </c>
      <c r="FC75" s="9" t="s">
        <v>413</v>
      </c>
      <c r="FD75" s="9" t="s">
        <v>413</v>
      </c>
      <c r="FE75" s="9" t="s">
        <v>415</v>
      </c>
      <c r="FF75" s="9" t="s">
        <v>413</v>
      </c>
      <c r="FG75" s="9" t="s">
        <v>415</v>
      </c>
      <c r="FH75" s="9" t="s">
        <v>413</v>
      </c>
      <c r="FI75" s="9" t="s">
        <v>415</v>
      </c>
      <c r="FJ75" s="9" t="s">
        <v>413</v>
      </c>
      <c r="FK75" s="9" t="s">
        <v>415</v>
      </c>
      <c r="FL75" s="9" t="s">
        <v>415</v>
      </c>
      <c r="FM75" s="9" t="s">
        <v>415</v>
      </c>
      <c r="FN75" s="9" t="s">
        <v>415</v>
      </c>
      <c r="FO75" s="9" t="s">
        <v>850</v>
      </c>
      <c r="FP75" s="9" t="s">
        <v>418</v>
      </c>
      <c r="FQ75" s="9" t="s">
        <v>749</v>
      </c>
      <c r="FS75" s="9" t="s">
        <v>420</v>
      </c>
      <c r="FT75" s="9" t="s">
        <v>488</v>
      </c>
      <c r="FU75" s="9" t="s">
        <v>585</v>
      </c>
      <c r="FV75" s="9" t="s">
        <v>490</v>
      </c>
      <c r="FW75" s="9" t="s">
        <v>491</v>
      </c>
      <c r="FX75" s="9" t="s">
        <v>2240</v>
      </c>
      <c r="FY75" s="9" t="s">
        <v>535</v>
      </c>
      <c r="FZ75" s="9" t="s">
        <v>2241</v>
      </c>
      <c r="GA75" s="9" t="s">
        <v>2242</v>
      </c>
      <c r="GB75" s="9" t="s">
        <v>455</v>
      </c>
      <c r="GC75" s="9"/>
      <c r="GE75" s="9" t="s">
        <v>753</v>
      </c>
      <c r="GF75" s="9" t="s">
        <v>455</v>
      </c>
      <c r="GJ75" s="9" t="s">
        <v>755</v>
      </c>
      <c r="GK75" s="9" t="s">
        <v>1000</v>
      </c>
      <c r="GL75" s="9" t="s">
        <v>756</v>
      </c>
      <c r="GN75" s="9" t="s">
        <v>1201</v>
      </c>
      <c r="GO75" s="9" t="s">
        <v>1201</v>
      </c>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10"/>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10"/>
      <c r="JP75" s="10"/>
      <c r="JQ75" s="10"/>
      <c r="JR75" s="10"/>
      <c r="JS75" s="10"/>
      <c r="JT75" s="10"/>
      <c r="JU75" s="10"/>
      <c r="JV75" s="10"/>
      <c r="JW75" s="10"/>
      <c r="JX75" s="10"/>
      <c r="JY75" s="10"/>
      <c r="JZ75" s="10"/>
      <c r="KA75" s="10"/>
      <c r="KB75" s="10"/>
      <c r="KC75" s="10"/>
      <c r="KD75" s="10"/>
      <c r="KE75" s="10"/>
      <c r="KF75" s="10"/>
      <c r="KG75" s="10"/>
      <c r="KH75" s="10"/>
      <c r="KI75" s="10"/>
      <c r="KJ75" s="10"/>
      <c r="KK75" s="10"/>
      <c r="KL75" s="10"/>
      <c r="KM75" s="10"/>
      <c r="KN75" s="10"/>
      <c r="KO75" s="10"/>
      <c r="KP75" s="10"/>
      <c r="KQ75" s="10"/>
      <c r="KR75" s="10"/>
      <c r="KS75" s="10"/>
      <c r="KT75" s="10"/>
      <c r="KU75" s="10"/>
      <c r="KV75" s="10"/>
      <c r="KW75" s="10"/>
      <c r="KX75" s="10"/>
      <c r="KY75" s="10"/>
      <c r="KZ75" s="10"/>
      <c r="LA75" s="10"/>
      <c r="LB75" s="10"/>
      <c r="LC75" s="10"/>
      <c r="LD75" s="10"/>
      <c r="LE75" s="10"/>
      <c r="LF75" s="10"/>
      <c r="LG75" s="10"/>
      <c r="LH75" s="10"/>
      <c r="LI75" s="10"/>
      <c r="LJ75" s="10"/>
      <c r="LK75" s="10"/>
      <c r="LL75" s="10"/>
      <c r="LM75" s="10"/>
      <c r="LN75" s="10"/>
      <c r="LO75" s="10"/>
      <c r="LP75" s="10"/>
      <c r="LQ75" s="10"/>
      <c r="LR75" s="10"/>
      <c r="LS75" s="10"/>
      <c r="LT75" s="10"/>
      <c r="LU75" s="10"/>
      <c r="LV75" s="10"/>
      <c r="LW75" s="10"/>
      <c r="LX75" s="10"/>
      <c r="LY75" s="10"/>
      <c r="LZ75" s="10"/>
      <c r="MA75" s="10"/>
      <c r="MB75" s="10"/>
      <c r="MC75" s="10"/>
      <c r="MD75" s="10"/>
      <c r="ME75" s="10"/>
      <c r="MF75" s="10"/>
      <c r="MG75" s="10"/>
      <c r="MH75" s="10"/>
      <c r="MI75" s="10"/>
      <c r="MJ75" s="10"/>
      <c r="MK75" s="10"/>
      <c r="ML75" s="10"/>
      <c r="MM75" s="10"/>
      <c r="MN75" s="10"/>
      <c r="MO75" s="10"/>
      <c r="MP75" s="10"/>
      <c r="MQ75" s="10"/>
      <c r="MR75" s="10"/>
      <c r="MS75" s="10"/>
      <c r="MT75" s="10"/>
      <c r="MU75" s="10"/>
      <c r="MV75" s="10"/>
      <c r="MW75" s="10"/>
      <c r="MX75" s="10"/>
      <c r="MY75" s="10"/>
      <c r="MZ75" s="10"/>
      <c r="NA75" s="10"/>
      <c r="NB75" s="10"/>
      <c r="NC75" s="10"/>
      <c r="ND75" s="10"/>
    </row>
    <row r="76" ht="24.75" customHeight="1">
      <c r="A76" s="8">
        <v>45827.950535625</v>
      </c>
      <c r="B76" s="9" t="s">
        <v>368</v>
      </c>
      <c r="C76" s="9" t="s">
        <v>538</v>
      </c>
      <c r="D76" s="9" t="s">
        <v>538</v>
      </c>
      <c r="G76" s="9" t="s">
        <v>422</v>
      </c>
      <c r="H76" s="9" t="s">
        <v>423</v>
      </c>
      <c r="I76" s="9" t="s">
        <v>424</v>
      </c>
      <c r="J76" s="9" t="s">
        <v>1204</v>
      </c>
      <c r="K76" s="9" t="s">
        <v>376</v>
      </c>
      <c r="L76" s="9" t="s">
        <v>377</v>
      </c>
      <c r="M76" s="9" t="s">
        <v>378</v>
      </c>
      <c r="N76" s="9" t="s">
        <v>377</v>
      </c>
      <c r="O76" s="9" t="s">
        <v>497</v>
      </c>
      <c r="P76" s="9" t="s">
        <v>381</v>
      </c>
      <c r="Q76" s="9" t="s">
        <v>818</v>
      </c>
      <c r="R76" s="9" t="s">
        <v>949</v>
      </c>
      <c r="S76" s="9" t="s">
        <v>384</v>
      </c>
      <c r="T76" s="9" t="s">
        <v>385</v>
      </c>
      <c r="AV76" s="9" t="s">
        <v>1242</v>
      </c>
      <c r="AW76" s="9" t="s">
        <v>391</v>
      </c>
      <c r="AX76" s="9">
        <v>2.0</v>
      </c>
      <c r="AY76" s="9" t="s">
        <v>391</v>
      </c>
      <c r="AZ76" s="9">
        <v>4.0</v>
      </c>
      <c r="BA76" s="9" t="s">
        <v>675</v>
      </c>
      <c r="BB76" s="9" t="s">
        <v>675</v>
      </c>
      <c r="BC76" s="9" t="s">
        <v>2243</v>
      </c>
      <c r="BD76" s="9" t="s">
        <v>2244</v>
      </c>
      <c r="BE76" s="9" t="s">
        <v>432</v>
      </c>
      <c r="BF76" s="9" t="s">
        <v>1095</v>
      </c>
      <c r="BG76" s="9" t="s">
        <v>434</v>
      </c>
      <c r="BH76" s="9" t="s">
        <v>2245</v>
      </c>
      <c r="BI76" s="9" t="s">
        <v>976</v>
      </c>
      <c r="BJ76" s="9">
        <v>9.0</v>
      </c>
      <c r="BK76" s="9" t="s">
        <v>437</v>
      </c>
      <c r="BL76" s="9" t="s">
        <v>603</v>
      </c>
      <c r="BM76" s="9" t="s">
        <v>1247</v>
      </c>
      <c r="BN76" s="9" t="s">
        <v>398</v>
      </c>
      <c r="BO76" s="9" t="s">
        <v>2246</v>
      </c>
      <c r="BP76" s="9" t="s">
        <v>552</v>
      </c>
      <c r="BQ76" s="9" t="s">
        <v>401</v>
      </c>
      <c r="BR76" s="9">
        <v>7.0</v>
      </c>
      <c r="BS76" s="9" t="s">
        <v>403</v>
      </c>
      <c r="BT76" s="9" t="s">
        <v>404</v>
      </c>
      <c r="BU76" s="9" t="s">
        <v>405</v>
      </c>
      <c r="CB76" s="9" t="s">
        <v>2247</v>
      </c>
      <c r="CC76" s="9" t="s">
        <v>455</v>
      </c>
      <c r="CD76" s="9" t="s">
        <v>2248</v>
      </c>
      <c r="CE76" s="9" t="s">
        <v>408</v>
      </c>
      <c r="FB76" s="11"/>
      <c r="GB76" s="11"/>
      <c r="GN76" s="9" t="s">
        <v>2249</v>
      </c>
      <c r="GO76" s="9" t="s">
        <v>2250</v>
      </c>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c r="IG76" s="10"/>
      <c r="IH76" s="10"/>
      <c r="II76" s="10"/>
      <c r="IJ76" s="10"/>
      <c r="IK76" s="10"/>
      <c r="IL76" s="10"/>
      <c r="IM76" s="10"/>
      <c r="IN76" s="10"/>
      <c r="IO76" s="10"/>
      <c r="IP76" s="10"/>
      <c r="IQ76" s="10"/>
      <c r="IR76" s="10"/>
      <c r="IS76" s="10"/>
      <c r="IT76" s="10"/>
      <c r="IU76" s="10"/>
      <c r="IV76" s="10"/>
      <c r="IW76" s="10"/>
      <c r="IX76" s="10"/>
      <c r="IY76" s="10"/>
      <c r="IZ76" s="10"/>
      <c r="JA76" s="10"/>
      <c r="JB76" s="10"/>
      <c r="JC76" s="10"/>
      <c r="JD76" s="10"/>
      <c r="JE76" s="10"/>
      <c r="JF76" s="10"/>
      <c r="JG76" s="10"/>
      <c r="JH76" s="10"/>
      <c r="JI76" s="10"/>
      <c r="JJ76" s="10"/>
      <c r="JK76" s="10"/>
      <c r="JL76" s="10"/>
      <c r="JM76" s="10"/>
      <c r="JN76" s="10"/>
      <c r="JO76" s="10"/>
      <c r="JP76" s="10"/>
      <c r="JQ76" s="10"/>
      <c r="JR76" s="10"/>
      <c r="JS76" s="10"/>
      <c r="JT76" s="10"/>
      <c r="JU76" s="10"/>
      <c r="JV76" s="10"/>
      <c r="JW76" s="10"/>
      <c r="JX76" s="10"/>
      <c r="JY76" s="10"/>
      <c r="JZ76" s="10"/>
      <c r="KA76" s="10"/>
      <c r="KB76" s="10"/>
      <c r="KC76" s="10"/>
      <c r="KD76" s="10"/>
      <c r="KE76" s="10"/>
      <c r="KF76" s="10"/>
      <c r="KG76" s="10"/>
      <c r="KH76" s="10"/>
      <c r="KI76" s="10"/>
      <c r="KJ76" s="10"/>
      <c r="KK76" s="10"/>
      <c r="KL76" s="10"/>
      <c r="KM76" s="10"/>
      <c r="KN76" s="10"/>
      <c r="KO76" s="10"/>
      <c r="KP76" s="10"/>
      <c r="KQ76" s="10"/>
      <c r="KR76" s="10"/>
      <c r="KS76" s="10"/>
      <c r="KT76" s="10"/>
      <c r="KU76" s="10"/>
      <c r="KV76" s="10"/>
      <c r="KW76" s="10"/>
      <c r="KX76" s="10"/>
      <c r="KY76" s="10"/>
      <c r="KZ76" s="10"/>
      <c r="LA76" s="10"/>
      <c r="LB76" s="10"/>
      <c r="LC76" s="10"/>
      <c r="LD76" s="10"/>
      <c r="LE76" s="10"/>
      <c r="LF76" s="10"/>
      <c r="LG76" s="10"/>
      <c r="LH76" s="10"/>
      <c r="LI76" s="10"/>
      <c r="LJ76" s="10"/>
      <c r="LK76" s="10"/>
      <c r="LL76" s="10"/>
      <c r="LM76" s="10"/>
      <c r="LN76" s="10"/>
      <c r="LO76" s="10"/>
      <c r="LP76" s="10"/>
      <c r="LQ76" s="10"/>
      <c r="LR76" s="10"/>
      <c r="LS76" s="10"/>
      <c r="LT76" s="10"/>
      <c r="LU76" s="10"/>
      <c r="LV76" s="10"/>
      <c r="LW76" s="10"/>
      <c r="LX76" s="10"/>
      <c r="LY76" s="10"/>
      <c r="LZ76" s="10"/>
      <c r="MA76" s="10"/>
      <c r="MB76" s="10"/>
      <c r="MC76" s="10"/>
      <c r="MD76" s="10"/>
      <c r="ME76" s="10"/>
      <c r="MF76" s="10"/>
      <c r="MG76" s="10"/>
      <c r="MH76" s="10"/>
      <c r="MI76" s="10"/>
      <c r="MJ76" s="10"/>
      <c r="MK76" s="10"/>
      <c r="ML76" s="10"/>
      <c r="MM76" s="10"/>
      <c r="MN76" s="10"/>
      <c r="MO76" s="10"/>
      <c r="MP76" s="10"/>
      <c r="MQ76" s="10"/>
      <c r="MR76" s="10"/>
      <c r="MS76" s="10"/>
      <c r="MT76" s="10"/>
      <c r="MU76" s="10"/>
      <c r="MV76" s="10"/>
      <c r="MW76" s="10"/>
      <c r="MX76" s="10"/>
      <c r="MY76" s="10"/>
      <c r="MZ76" s="10"/>
      <c r="NA76" s="10"/>
      <c r="NB76" s="10"/>
      <c r="NC76" s="10"/>
      <c r="ND76" s="10"/>
    </row>
    <row r="77" ht="24.75" customHeight="1">
      <c r="A77" s="8">
        <v>45827.95437741898</v>
      </c>
      <c r="B77" s="9" t="s">
        <v>368</v>
      </c>
      <c r="C77" s="9" t="s">
        <v>370</v>
      </c>
      <c r="E77" s="9" t="s">
        <v>1899</v>
      </c>
      <c r="G77" s="9" t="s">
        <v>636</v>
      </c>
      <c r="H77" s="9" t="s">
        <v>637</v>
      </c>
      <c r="I77" s="9" t="s">
        <v>638</v>
      </c>
      <c r="J77" s="9" t="s">
        <v>425</v>
      </c>
      <c r="K77" s="9" t="s">
        <v>376</v>
      </c>
      <c r="L77" s="9" t="s">
        <v>379</v>
      </c>
      <c r="M77" s="9" t="s">
        <v>2251</v>
      </c>
      <c r="N77" s="9" t="s">
        <v>670</v>
      </c>
      <c r="O77" s="9" t="s">
        <v>719</v>
      </c>
      <c r="P77" s="9" t="s">
        <v>381</v>
      </c>
      <c r="Q77" s="9" t="s">
        <v>818</v>
      </c>
      <c r="R77" s="9" t="s">
        <v>427</v>
      </c>
      <c r="S77" s="9" t="s">
        <v>384</v>
      </c>
      <c r="T77" s="9" t="s">
        <v>385</v>
      </c>
      <c r="W77" s="9" t="s">
        <v>760</v>
      </c>
      <c r="X77" s="9" t="s">
        <v>642</v>
      </c>
      <c r="AL77" s="9" t="s">
        <v>2252</v>
      </c>
      <c r="AM77" s="9" t="s">
        <v>2253</v>
      </c>
      <c r="AN77" s="9" t="s">
        <v>408</v>
      </c>
      <c r="AP77" s="9" t="s">
        <v>913</v>
      </c>
      <c r="AQ77" s="9">
        <v>5.0</v>
      </c>
      <c r="AR77" s="9" t="s">
        <v>1507</v>
      </c>
      <c r="AS77" s="9" t="s">
        <v>2254</v>
      </c>
      <c r="AT77" s="9" t="s">
        <v>2255</v>
      </c>
      <c r="AU77" s="9" t="s">
        <v>2256</v>
      </c>
      <c r="AV77" s="9" t="s">
        <v>504</v>
      </c>
      <c r="AW77" s="9" t="s">
        <v>391</v>
      </c>
      <c r="AX77" s="9" t="s">
        <v>429</v>
      </c>
      <c r="AY77" s="9" t="s">
        <v>391</v>
      </c>
      <c r="AZ77" s="9" t="s">
        <v>429</v>
      </c>
      <c r="BA77" s="9">
        <v>2.0</v>
      </c>
      <c r="BB77" s="9" t="s">
        <v>429</v>
      </c>
      <c r="BC77" s="9" t="s">
        <v>2257</v>
      </c>
      <c r="BD77" s="9" t="s">
        <v>2258</v>
      </c>
      <c r="BE77" s="9" t="s">
        <v>2259</v>
      </c>
      <c r="BG77" s="9" t="s">
        <v>765</v>
      </c>
      <c r="BH77" s="9" t="s">
        <v>2260</v>
      </c>
      <c r="BI77" s="9" t="s">
        <v>824</v>
      </c>
      <c r="BK77" s="9" t="s">
        <v>511</v>
      </c>
      <c r="BL77" s="9" t="s">
        <v>396</v>
      </c>
      <c r="BM77" s="9" t="s">
        <v>549</v>
      </c>
      <c r="BN77" s="9" t="s">
        <v>513</v>
      </c>
      <c r="CL77" s="9" t="s">
        <v>441</v>
      </c>
      <c r="CM77" s="9" t="s">
        <v>604</v>
      </c>
      <c r="CN77" s="9" t="s">
        <v>2261</v>
      </c>
      <c r="CO77" s="9" t="s">
        <v>2262</v>
      </c>
      <c r="CP77" s="9" t="s">
        <v>979</v>
      </c>
      <c r="CQ77" s="9" t="s">
        <v>2263</v>
      </c>
      <c r="CR77" s="9" t="s">
        <v>404</v>
      </c>
      <c r="CS77" s="9" t="s">
        <v>2264</v>
      </c>
      <c r="CT77" s="9" t="s">
        <v>2265</v>
      </c>
      <c r="CU77" s="9" t="s">
        <v>450</v>
      </c>
      <c r="CV77" s="9" t="s">
        <v>451</v>
      </c>
      <c r="CW77" s="9" t="s">
        <v>2266</v>
      </c>
      <c r="CX77" s="9" t="s">
        <v>408</v>
      </c>
      <c r="CZ77" s="9" t="s">
        <v>453</v>
      </c>
      <c r="DA77" s="9" t="s">
        <v>2267</v>
      </c>
      <c r="DB77" s="9" t="s">
        <v>408</v>
      </c>
      <c r="DD77" s="9" t="s">
        <v>662</v>
      </c>
      <c r="DF77" s="9" t="s">
        <v>2268</v>
      </c>
      <c r="DG77" s="9" t="s">
        <v>561</v>
      </c>
      <c r="DH77" s="9" t="s">
        <v>410</v>
      </c>
      <c r="DI77" s="9" t="s">
        <v>459</v>
      </c>
      <c r="DJ77" s="9" t="s">
        <v>562</v>
      </c>
      <c r="DK77" s="9" t="s">
        <v>461</v>
      </c>
      <c r="ET77" s="9" t="s">
        <v>526</v>
      </c>
      <c r="EU77" s="9" t="s">
        <v>1037</v>
      </c>
      <c r="EV77" s="9" t="s">
        <v>580</v>
      </c>
      <c r="EW77" s="9" t="s">
        <v>2269</v>
      </c>
      <c r="EX77" s="9" t="s">
        <v>2270</v>
      </c>
      <c r="EY77" s="9" t="s">
        <v>2271</v>
      </c>
      <c r="FB77" s="11"/>
      <c r="FO77" s="9" t="s">
        <v>485</v>
      </c>
      <c r="FP77" s="9" t="s">
        <v>418</v>
      </c>
      <c r="FQ77" s="9" t="s">
        <v>712</v>
      </c>
      <c r="FR77" s="9" t="s">
        <v>2272</v>
      </c>
      <c r="FS77" s="9" t="s">
        <v>1189</v>
      </c>
      <c r="FT77" s="9" t="s">
        <v>488</v>
      </c>
      <c r="FU77" s="9" t="s">
        <v>489</v>
      </c>
      <c r="FV77" s="9" t="s">
        <v>490</v>
      </c>
      <c r="FW77" s="9" t="s">
        <v>491</v>
      </c>
      <c r="FX77" s="9" t="s">
        <v>2273</v>
      </c>
      <c r="FY77" s="9" t="s">
        <v>535</v>
      </c>
      <c r="FZ77" s="9" t="s">
        <v>2274</v>
      </c>
      <c r="GA77" s="9" t="s">
        <v>2275</v>
      </c>
      <c r="GB77" s="9" t="s">
        <v>455</v>
      </c>
      <c r="GC77" s="9"/>
      <c r="GE77" s="9" t="s">
        <v>1339</v>
      </c>
      <c r="GF77" s="9" t="s">
        <v>2276</v>
      </c>
      <c r="GG77" s="9" t="s">
        <v>857</v>
      </c>
      <c r="GH77" s="9" t="s">
        <v>857</v>
      </c>
      <c r="GI77" s="9" t="s">
        <v>790</v>
      </c>
    </row>
    <row r="78" ht="24.75" customHeight="1">
      <c r="A78" s="8">
        <v>45828.00873828704</v>
      </c>
      <c r="B78" s="9" t="s">
        <v>368</v>
      </c>
      <c r="C78" s="9" t="s">
        <v>538</v>
      </c>
      <c r="D78" s="9" t="s">
        <v>538</v>
      </c>
      <c r="G78" s="9" t="s">
        <v>422</v>
      </c>
      <c r="H78" s="9" t="s">
        <v>496</v>
      </c>
      <c r="I78" s="9" t="s">
        <v>374</v>
      </c>
      <c r="J78" s="9" t="s">
        <v>669</v>
      </c>
      <c r="K78" s="9" t="s">
        <v>376</v>
      </c>
      <c r="L78" s="9" t="s">
        <v>591</v>
      </c>
      <c r="M78" s="9" t="s">
        <v>639</v>
      </c>
      <c r="N78" s="9" t="s">
        <v>793</v>
      </c>
      <c r="O78" s="9" t="s">
        <v>639</v>
      </c>
      <c r="P78" s="9" t="s">
        <v>498</v>
      </c>
      <c r="Q78" s="9" t="s">
        <v>1004</v>
      </c>
      <c r="R78" s="9" t="s">
        <v>2277</v>
      </c>
      <c r="S78" s="9" t="s">
        <v>384</v>
      </c>
      <c r="T78" s="9" t="s">
        <v>385</v>
      </c>
      <c r="W78" s="9" t="s">
        <v>428</v>
      </c>
      <c r="AV78" s="9" t="s">
        <v>1310</v>
      </c>
      <c r="AW78" s="9" t="s">
        <v>675</v>
      </c>
      <c r="AX78" s="9" t="s">
        <v>675</v>
      </c>
      <c r="AY78" s="9">
        <v>2.0</v>
      </c>
      <c r="AZ78" s="9" t="s">
        <v>391</v>
      </c>
      <c r="BA78" s="9">
        <v>4.0</v>
      </c>
      <c r="BB78" s="9">
        <v>4.0</v>
      </c>
      <c r="BC78" s="9" t="s">
        <v>2278</v>
      </c>
      <c r="BD78" s="9" t="s">
        <v>2279</v>
      </c>
      <c r="BE78" s="9" t="s">
        <v>902</v>
      </c>
      <c r="BF78" s="9" t="s">
        <v>1095</v>
      </c>
      <c r="BG78" s="9" t="s">
        <v>394</v>
      </c>
      <c r="BH78" s="9" t="s">
        <v>2280</v>
      </c>
      <c r="BI78" s="9" t="s">
        <v>976</v>
      </c>
      <c r="BK78" s="9" t="s">
        <v>602</v>
      </c>
      <c r="BL78" s="9" t="s">
        <v>603</v>
      </c>
      <c r="BM78" s="9" t="s">
        <v>1247</v>
      </c>
      <c r="BN78" s="9" t="s">
        <v>398</v>
      </c>
      <c r="BO78" s="9" t="s">
        <v>2281</v>
      </c>
      <c r="BP78" s="9" t="s">
        <v>2282</v>
      </c>
      <c r="BQ78" s="9" t="s">
        <v>401</v>
      </c>
      <c r="BR78" s="9" t="s">
        <v>2283</v>
      </c>
      <c r="BS78" s="9" t="s">
        <v>403</v>
      </c>
      <c r="BT78" s="9" t="s">
        <v>1994</v>
      </c>
      <c r="BU78" s="9" t="s">
        <v>405</v>
      </c>
      <c r="BW78" s="9" t="s">
        <v>406</v>
      </c>
      <c r="BX78" s="9" t="s">
        <v>1867</v>
      </c>
      <c r="BY78" s="9" t="s">
        <v>455</v>
      </c>
      <c r="BZ78" s="9" t="s">
        <v>2284</v>
      </c>
      <c r="CB78" s="9" t="s">
        <v>2285</v>
      </c>
      <c r="CC78" s="9" t="s">
        <v>2286</v>
      </c>
      <c r="CD78" s="9" t="s">
        <v>409</v>
      </c>
      <c r="CE78" s="9" t="s">
        <v>2287</v>
      </c>
      <c r="CF78" s="9" t="s">
        <v>1258</v>
      </c>
      <c r="CH78" s="9" t="s">
        <v>1259</v>
      </c>
      <c r="CI78" s="9" t="s">
        <v>1220</v>
      </c>
      <c r="CJ78" s="9" t="s">
        <v>2288</v>
      </c>
      <c r="CK78" s="9" t="s">
        <v>2289</v>
      </c>
      <c r="ET78" s="9" t="s">
        <v>526</v>
      </c>
      <c r="EU78" s="9" t="s">
        <v>579</v>
      </c>
      <c r="EV78" s="9" t="s">
        <v>1534</v>
      </c>
      <c r="EX78" s="9" t="s">
        <v>2290</v>
      </c>
      <c r="EY78" s="9" t="s">
        <v>2291</v>
      </c>
      <c r="EZ78" s="9" t="s">
        <v>415</v>
      </c>
      <c r="FA78" s="9" t="s">
        <v>415</v>
      </c>
      <c r="FB78" s="9" t="s">
        <v>413</v>
      </c>
      <c r="FC78" s="9" t="s">
        <v>413</v>
      </c>
      <c r="FD78" s="9" t="s">
        <v>413</v>
      </c>
      <c r="FE78" s="9" t="s">
        <v>415</v>
      </c>
      <c r="FF78" s="9" t="s">
        <v>415</v>
      </c>
      <c r="FG78" s="9" t="s">
        <v>416</v>
      </c>
      <c r="FH78" s="9" t="s">
        <v>414</v>
      </c>
      <c r="FI78" s="9" t="s">
        <v>413</v>
      </c>
      <c r="FJ78" s="9" t="s">
        <v>416</v>
      </c>
      <c r="FK78" s="9" t="s">
        <v>415</v>
      </c>
      <c r="FL78" s="9" t="s">
        <v>414</v>
      </c>
      <c r="FM78" s="9" t="s">
        <v>416</v>
      </c>
      <c r="FN78" s="9" t="s">
        <v>414</v>
      </c>
      <c r="FO78" s="9" t="s">
        <v>417</v>
      </c>
      <c r="FP78" s="9" t="s">
        <v>418</v>
      </c>
      <c r="FQ78" s="9" t="s">
        <v>749</v>
      </c>
      <c r="FS78" s="9" t="s">
        <v>1189</v>
      </c>
      <c r="FT78" s="9" t="s">
        <v>1462</v>
      </c>
      <c r="FU78" s="9" t="s">
        <v>1235</v>
      </c>
      <c r="FV78" s="9" t="s">
        <v>490</v>
      </c>
      <c r="FW78" s="9" t="s">
        <v>491</v>
      </c>
      <c r="FY78" s="9" t="s">
        <v>1854</v>
      </c>
      <c r="FZ78" s="9" t="s">
        <v>2292</v>
      </c>
      <c r="GB78" s="9" t="s">
        <v>455</v>
      </c>
      <c r="GC78" s="9"/>
      <c r="GE78" s="9" t="s">
        <v>753</v>
      </c>
      <c r="GJ78" s="9" t="s">
        <v>920</v>
      </c>
      <c r="GK78" s="9" t="s">
        <v>1000</v>
      </c>
      <c r="GL78" s="9" t="s">
        <v>817</v>
      </c>
      <c r="GN78" s="9" t="s">
        <v>2293</v>
      </c>
      <c r="GO78" s="9" t="s">
        <v>2293</v>
      </c>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c r="HX78" s="10"/>
      <c r="HY78" s="10"/>
      <c r="HZ78" s="10"/>
      <c r="IA78" s="10"/>
      <c r="IB78" s="10"/>
      <c r="IC78" s="10"/>
      <c r="ID78" s="10"/>
      <c r="IE78" s="10"/>
      <c r="IF78" s="10"/>
      <c r="IG78" s="10"/>
      <c r="IH78" s="10"/>
      <c r="II78" s="10"/>
      <c r="IJ78" s="10"/>
      <c r="IK78" s="10"/>
      <c r="IL78" s="10"/>
      <c r="IM78" s="10"/>
      <c r="IN78" s="10"/>
      <c r="IO78" s="10"/>
      <c r="IP78" s="10"/>
      <c r="IQ78" s="10"/>
      <c r="IR78" s="10"/>
      <c r="IS78" s="10"/>
      <c r="IT78" s="10"/>
      <c r="IU78" s="10"/>
      <c r="IV78" s="10"/>
      <c r="IW78" s="10"/>
      <c r="IX78" s="10"/>
      <c r="IY78" s="10"/>
      <c r="IZ78" s="10"/>
      <c r="JA78" s="10"/>
      <c r="JB78" s="10"/>
      <c r="JC78" s="10"/>
      <c r="JD78" s="10"/>
      <c r="JE78" s="10"/>
      <c r="JF78" s="10"/>
      <c r="JG78" s="10"/>
      <c r="JH78" s="10"/>
      <c r="JI78" s="10"/>
      <c r="JJ78" s="10"/>
      <c r="JK78" s="10"/>
      <c r="JL78" s="10"/>
      <c r="JM78" s="10"/>
      <c r="JN78" s="10"/>
      <c r="JO78" s="10"/>
      <c r="JP78" s="10"/>
      <c r="JQ78" s="10"/>
      <c r="JR78" s="10"/>
      <c r="JS78" s="10"/>
      <c r="JT78" s="10"/>
      <c r="JU78" s="10"/>
      <c r="JV78" s="10"/>
      <c r="JW78" s="10"/>
      <c r="JX78" s="10"/>
      <c r="JY78" s="10"/>
      <c r="JZ78" s="10"/>
      <c r="KA78" s="10"/>
      <c r="KB78" s="10"/>
      <c r="KC78" s="10"/>
      <c r="KD78" s="10"/>
      <c r="KE78" s="10"/>
      <c r="KF78" s="10"/>
      <c r="KG78" s="10"/>
      <c r="KH78" s="10"/>
      <c r="KI78" s="10"/>
      <c r="KJ78" s="10"/>
      <c r="KK78" s="10"/>
      <c r="KL78" s="10"/>
      <c r="KM78" s="10"/>
      <c r="KN78" s="10"/>
      <c r="KO78" s="10"/>
      <c r="KP78" s="10"/>
      <c r="KQ78" s="10"/>
      <c r="KR78" s="10"/>
      <c r="KS78" s="10"/>
      <c r="KT78" s="10"/>
      <c r="KU78" s="10"/>
      <c r="KV78" s="10"/>
      <c r="KW78" s="10"/>
      <c r="KX78" s="10"/>
      <c r="KY78" s="10"/>
      <c r="KZ78" s="10"/>
      <c r="LA78" s="10"/>
      <c r="LB78" s="10"/>
      <c r="LC78" s="10"/>
      <c r="LD78" s="10"/>
      <c r="LE78" s="10"/>
      <c r="LF78" s="10"/>
      <c r="LG78" s="10"/>
      <c r="LH78" s="10"/>
      <c r="LI78" s="10"/>
      <c r="LJ78" s="10"/>
      <c r="LK78" s="10"/>
      <c r="LL78" s="10"/>
      <c r="LM78" s="10"/>
      <c r="LN78" s="10"/>
      <c r="LO78" s="10"/>
      <c r="LP78" s="10"/>
      <c r="LQ78" s="10"/>
      <c r="LR78" s="10"/>
      <c r="LS78" s="10"/>
      <c r="LT78" s="10"/>
      <c r="LU78" s="10"/>
      <c r="LV78" s="10"/>
      <c r="LW78" s="10"/>
      <c r="LX78" s="10"/>
      <c r="LY78" s="10"/>
      <c r="LZ78" s="10"/>
      <c r="MA78" s="10"/>
      <c r="MB78" s="10"/>
      <c r="MC78" s="10"/>
      <c r="MD78" s="10"/>
      <c r="ME78" s="10"/>
      <c r="MF78" s="10"/>
      <c r="MG78" s="10"/>
      <c r="MH78" s="10"/>
      <c r="MI78" s="10"/>
      <c r="MJ78" s="10"/>
      <c r="MK78" s="10"/>
      <c r="ML78" s="10"/>
      <c r="MM78" s="10"/>
      <c r="MN78" s="10"/>
      <c r="MO78" s="10"/>
      <c r="MP78" s="10"/>
      <c r="MQ78" s="10"/>
      <c r="MR78" s="10"/>
      <c r="MS78" s="10"/>
      <c r="MT78" s="10"/>
      <c r="MU78" s="10"/>
      <c r="MV78" s="10"/>
      <c r="MW78" s="10"/>
      <c r="MX78" s="10"/>
      <c r="MY78" s="10"/>
      <c r="MZ78" s="10"/>
      <c r="NA78" s="10"/>
      <c r="NB78" s="10"/>
      <c r="NC78" s="10"/>
      <c r="ND78" s="10"/>
    </row>
    <row r="79" ht="24.75" customHeight="1">
      <c r="A79" s="8">
        <v>45828.01005491898</v>
      </c>
      <c r="B79" s="9" t="s">
        <v>368</v>
      </c>
      <c r="C79" s="9" t="s">
        <v>370</v>
      </c>
      <c r="E79" s="9" t="s">
        <v>2294</v>
      </c>
      <c r="G79" s="9" t="s">
        <v>2295</v>
      </c>
      <c r="H79" s="9" t="s">
        <v>373</v>
      </c>
      <c r="I79" s="9" t="s">
        <v>638</v>
      </c>
      <c r="J79" s="9" t="s">
        <v>425</v>
      </c>
      <c r="K79" s="9" t="s">
        <v>376</v>
      </c>
      <c r="L79" s="9" t="s">
        <v>591</v>
      </c>
      <c r="M79" s="9" t="s">
        <v>860</v>
      </c>
      <c r="N79" s="9" t="s">
        <v>426</v>
      </c>
      <c r="O79" s="9" t="s">
        <v>497</v>
      </c>
      <c r="P79" s="9" t="s">
        <v>498</v>
      </c>
      <c r="Q79" s="9" t="s">
        <v>499</v>
      </c>
      <c r="R79" s="9" t="s">
        <v>427</v>
      </c>
      <c r="S79" s="9" t="s">
        <v>384</v>
      </c>
      <c r="T79" s="9" t="s">
        <v>385</v>
      </c>
      <c r="W79" s="9" t="s">
        <v>386</v>
      </c>
      <c r="X79" s="9" t="s">
        <v>387</v>
      </c>
      <c r="Y79" s="9" t="s">
        <v>897</v>
      </c>
      <c r="Z79" s="9" t="s">
        <v>502</v>
      </c>
      <c r="AA79" s="9" t="s">
        <v>408</v>
      </c>
      <c r="AB79" s="9" t="s">
        <v>2296</v>
      </c>
      <c r="AV79" s="9" t="s">
        <v>390</v>
      </c>
      <c r="AW79" s="9" t="s">
        <v>391</v>
      </c>
      <c r="AX79" s="9" t="s">
        <v>391</v>
      </c>
      <c r="AY79" s="9" t="s">
        <v>391</v>
      </c>
      <c r="AZ79" s="9" t="s">
        <v>429</v>
      </c>
      <c r="BA79" s="9" t="s">
        <v>391</v>
      </c>
      <c r="BB79" s="9">
        <v>2.0</v>
      </c>
      <c r="BC79" s="9" t="s">
        <v>2297</v>
      </c>
      <c r="BD79" s="9" t="s">
        <v>2298</v>
      </c>
      <c r="BE79" s="9" t="s">
        <v>432</v>
      </c>
      <c r="BF79" s="9" t="s">
        <v>433</v>
      </c>
      <c r="BG79" s="9" t="s">
        <v>678</v>
      </c>
      <c r="BI79" s="9" t="s">
        <v>976</v>
      </c>
      <c r="BK79" s="9" t="s">
        <v>681</v>
      </c>
      <c r="BL79" s="9" t="s">
        <v>396</v>
      </c>
      <c r="BM79" s="9" t="s">
        <v>397</v>
      </c>
      <c r="BN79" s="9" t="s">
        <v>440</v>
      </c>
      <c r="DI79" s="9" t="s">
        <v>777</v>
      </c>
      <c r="DJ79" s="9" t="s">
        <v>613</v>
      </c>
      <c r="DM79" s="9" t="s">
        <v>2299</v>
      </c>
      <c r="DN79" s="9" t="s">
        <v>2300</v>
      </c>
      <c r="DO79" s="9" t="s">
        <v>567</v>
      </c>
      <c r="DP79" s="9" t="s">
        <v>2301</v>
      </c>
      <c r="DQ79" s="9" t="s">
        <v>1152</v>
      </c>
      <c r="DS79" s="9" t="s">
        <v>702</v>
      </c>
      <c r="DU79" s="9" t="s">
        <v>2302</v>
      </c>
      <c r="DV79" s="9" t="s">
        <v>2303</v>
      </c>
      <c r="DW79" s="9" t="s">
        <v>573</v>
      </c>
      <c r="DX79" s="9" t="s">
        <v>2304</v>
      </c>
      <c r="DY79" s="9" t="s">
        <v>2305</v>
      </c>
      <c r="DZ79" s="9" t="s">
        <v>2306</v>
      </c>
      <c r="EA79" s="9" t="s">
        <v>1413</v>
      </c>
      <c r="EB79" s="9" t="s">
        <v>845</v>
      </c>
      <c r="ET79" s="9" t="s">
        <v>526</v>
      </c>
      <c r="EU79" s="9" t="s">
        <v>887</v>
      </c>
      <c r="EV79" s="9" t="s">
        <v>580</v>
      </c>
      <c r="EW79" s="9" t="s">
        <v>2307</v>
      </c>
      <c r="EZ79" s="9" t="s">
        <v>413</v>
      </c>
      <c r="FA79" s="9" t="s">
        <v>413</v>
      </c>
      <c r="FB79" s="9" t="s">
        <v>413</v>
      </c>
      <c r="FC79" s="9" t="s">
        <v>413</v>
      </c>
      <c r="FD79" s="9" t="s">
        <v>413</v>
      </c>
      <c r="FE79" s="9" t="s">
        <v>413</v>
      </c>
      <c r="FF79" s="9" t="s">
        <v>413</v>
      </c>
      <c r="FG79" s="9" t="s">
        <v>413</v>
      </c>
      <c r="FH79" s="9" t="s">
        <v>413</v>
      </c>
      <c r="FI79" s="9" t="s">
        <v>583</v>
      </c>
      <c r="FJ79" s="9" t="s">
        <v>415</v>
      </c>
      <c r="FK79" s="9" t="s">
        <v>413</v>
      </c>
      <c r="FL79" s="9" t="s">
        <v>413</v>
      </c>
      <c r="FM79" s="9" t="s">
        <v>415</v>
      </c>
      <c r="FN79" s="9" t="s">
        <v>415</v>
      </c>
      <c r="FO79" s="9" t="s">
        <v>485</v>
      </c>
      <c r="FP79" s="9" t="s">
        <v>486</v>
      </c>
      <c r="FQ79" s="9" t="s">
        <v>712</v>
      </c>
      <c r="FR79" s="9" t="s">
        <v>2308</v>
      </c>
      <c r="FS79" s="9" t="s">
        <v>420</v>
      </c>
      <c r="FT79" s="9" t="s">
        <v>488</v>
      </c>
      <c r="FU79" s="9" t="s">
        <v>489</v>
      </c>
      <c r="FV79" s="9" t="s">
        <v>490</v>
      </c>
      <c r="FW79" s="9" t="s">
        <v>491</v>
      </c>
      <c r="FX79" s="9" t="s">
        <v>2309</v>
      </c>
      <c r="FY79" s="9" t="s">
        <v>493</v>
      </c>
      <c r="FZ79" s="9" t="s">
        <v>2310</v>
      </c>
      <c r="GA79" s="9" t="s">
        <v>2311</v>
      </c>
      <c r="GB79" s="9" t="s">
        <v>455</v>
      </c>
      <c r="GC79" s="9"/>
      <c r="GE79" s="9" t="s">
        <v>786</v>
      </c>
      <c r="GF79" s="9" t="s">
        <v>455</v>
      </c>
      <c r="GM79" s="9" t="s">
        <v>2312</v>
      </c>
    </row>
    <row r="80" ht="24.75" customHeight="1">
      <c r="A80" s="8">
        <v>45828.025735347226</v>
      </c>
      <c r="B80" s="9" t="s">
        <v>368</v>
      </c>
      <c r="C80" s="9" t="s">
        <v>1201</v>
      </c>
      <c r="D80" s="9" t="s">
        <v>1201</v>
      </c>
      <c r="E80" s="9" t="s">
        <v>1023</v>
      </c>
      <c r="W80" s="9" t="s">
        <v>760</v>
      </c>
      <c r="X80" s="9" t="s">
        <v>387</v>
      </c>
      <c r="Y80" s="9" t="s">
        <v>1595</v>
      </c>
      <c r="Z80" s="9" t="s">
        <v>543</v>
      </c>
      <c r="AA80" s="9" t="s">
        <v>2313</v>
      </c>
      <c r="AB80" s="9" t="s">
        <v>2314</v>
      </c>
      <c r="BN80" s="9" t="s">
        <v>513</v>
      </c>
      <c r="CL80" s="9" t="s">
        <v>550</v>
      </c>
      <c r="CM80" s="9" t="s">
        <v>604</v>
      </c>
      <c r="CN80" s="9" t="s">
        <v>2315</v>
      </c>
      <c r="CO80" s="9" t="s">
        <v>2316</v>
      </c>
      <c r="CP80" s="9" t="s">
        <v>685</v>
      </c>
      <c r="CQ80" s="9" t="s">
        <v>2317</v>
      </c>
      <c r="CR80" s="9" t="s">
        <v>804</v>
      </c>
      <c r="CS80" s="9" t="s">
        <v>2318</v>
      </c>
      <c r="CT80" s="9" t="s">
        <v>2319</v>
      </c>
      <c r="CU80" s="9" t="s">
        <v>450</v>
      </c>
      <c r="CV80" s="9" t="s">
        <v>451</v>
      </c>
      <c r="CW80" s="9" t="s">
        <v>2320</v>
      </c>
      <c r="CX80" s="9" t="s">
        <v>455</v>
      </c>
      <c r="CY80" s="9" t="s">
        <v>2321</v>
      </c>
      <c r="CZ80" s="9" t="s">
        <v>453</v>
      </c>
      <c r="DA80" s="9" t="s">
        <v>2322</v>
      </c>
      <c r="DB80" s="9" t="s">
        <v>455</v>
      </c>
      <c r="DC80" s="9" t="s">
        <v>2323</v>
      </c>
      <c r="DD80" s="9" t="s">
        <v>662</v>
      </c>
      <c r="DE80" s="9" t="s">
        <v>407</v>
      </c>
      <c r="DF80" s="9" t="s">
        <v>2324</v>
      </c>
      <c r="DG80" s="9" t="s">
        <v>561</v>
      </c>
      <c r="DH80" s="9" t="s">
        <v>410</v>
      </c>
      <c r="DI80" s="9" t="s">
        <v>459</v>
      </c>
      <c r="DJ80" s="9" t="s">
        <v>562</v>
      </c>
      <c r="DK80" s="9" t="s">
        <v>563</v>
      </c>
      <c r="DL80" s="9" t="s">
        <v>2325</v>
      </c>
      <c r="ET80" s="9" t="s">
        <v>478</v>
      </c>
      <c r="EU80" s="9" t="s">
        <v>579</v>
      </c>
      <c r="EV80" s="9" t="s">
        <v>527</v>
      </c>
      <c r="EW80" s="9" t="s">
        <v>2326</v>
      </c>
      <c r="EX80" s="9" t="s">
        <v>2327</v>
      </c>
      <c r="EY80" s="9" t="s">
        <v>2328</v>
      </c>
      <c r="EZ80" s="9" t="s">
        <v>415</v>
      </c>
      <c r="FA80" s="9" t="s">
        <v>414</v>
      </c>
      <c r="FB80" s="9" t="s">
        <v>414</v>
      </c>
      <c r="FC80" s="9" t="s">
        <v>414</v>
      </c>
      <c r="FD80" s="9" t="s">
        <v>413</v>
      </c>
      <c r="FE80" s="9" t="s">
        <v>414</v>
      </c>
      <c r="FF80" s="9" t="s">
        <v>414</v>
      </c>
      <c r="FG80" s="9" t="s">
        <v>413</v>
      </c>
      <c r="FH80" s="9" t="s">
        <v>583</v>
      </c>
      <c r="FI80" s="9" t="s">
        <v>416</v>
      </c>
      <c r="FJ80" s="9" t="s">
        <v>415</v>
      </c>
      <c r="FK80" s="9" t="s">
        <v>413</v>
      </c>
      <c r="FL80" s="9" t="s">
        <v>415</v>
      </c>
      <c r="FM80" s="9" t="s">
        <v>413</v>
      </c>
      <c r="FN80" s="9" t="s">
        <v>583</v>
      </c>
      <c r="FO80" s="9" t="s">
        <v>485</v>
      </c>
      <c r="FP80" s="9" t="s">
        <v>418</v>
      </c>
      <c r="FQ80" s="9" t="s">
        <v>749</v>
      </c>
      <c r="FR80" s="9" t="s">
        <v>2329</v>
      </c>
      <c r="FS80" s="9" t="s">
        <v>1076</v>
      </c>
      <c r="FT80" s="9" t="s">
        <v>488</v>
      </c>
      <c r="FU80" s="9" t="s">
        <v>585</v>
      </c>
      <c r="FV80" s="9" t="s">
        <v>490</v>
      </c>
      <c r="FW80" s="9" t="s">
        <v>491</v>
      </c>
      <c r="FX80" s="9" t="s">
        <v>2330</v>
      </c>
      <c r="FY80" s="9" t="s">
        <v>493</v>
      </c>
      <c r="FZ80" s="9" t="s">
        <v>2331</v>
      </c>
      <c r="GA80" s="9" t="s">
        <v>2332</v>
      </c>
      <c r="GB80" s="9" t="s">
        <v>455</v>
      </c>
      <c r="GD80" s="9" t="s">
        <v>2333</v>
      </c>
      <c r="GE80" s="9" t="s">
        <v>753</v>
      </c>
      <c r="GF80" s="9" t="s">
        <v>2334</v>
      </c>
      <c r="GG80" s="9" t="s">
        <v>1000</v>
      </c>
      <c r="GH80" s="9" t="s">
        <v>920</v>
      </c>
      <c r="GI80" s="9" t="s">
        <v>858</v>
      </c>
    </row>
    <row r="81" ht="24.75" customHeight="1">
      <c r="A81" s="8">
        <v>45828.05815188657</v>
      </c>
      <c r="B81" s="9" t="s">
        <v>368</v>
      </c>
      <c r="C81" s="9" t="s">
        <v>370</v>
      </c>
      <c r="E81" s="9" t="s">
        <v>2335</v>
      </c>
      <c r="G81" s="9" t="s">
        <v>422</v>
      </c>
      <c r="H81" s="9" t="s">
        <v>373</v>
      </c>
      <c r="I81" s="9" t="s">
        <v>374</v>
      </c>
      <c r="J81" s="9" t="s">
        <v>540</v>
      </c>
      <c r="K81" s="9" t="s">
        <v>376</v>
      </c>
      <c r="L81" s="9" t="s">
        <v>793</v>
      </c>
      <c r="M81" s="9" t="s">
        <v>2336</v>
      </c>
      <c r="N81" s="9" t="s">
        <v>793</v>
      </c>
      <c r="O81" s="9" t="s">
        <v>719</v>
      </c>
      <c r="P81" s="9" t="s">
        <v>498</v>
      </c>
      <c r="Q81" s="9" t="s">
        <v>862</v>
      </c>
      <c r="R81" s="9" t="s">
        <v>427</v>
      </c>
      <c r="S81" s="9" t="s">
        <v>384</v>
      </c>
      <c r="T81" s="9" t="s">
        <v>385</v>
      </c>
      <c r="W81" s="9" t="s">
        <v>386</v>
      </c>
      <c r="X81" s="9" t="s">
        <v>387</v>
      </c>
      <c r="Y81" s="9" t="s">
        <v>1444</v>
      </c>
      <c r="Z81" s="9" t="s">
        <v>389</v>
      </c>
      <c r="AA81" s="9" t="s">
        <v>2337</v>
      </c>
      <c r="AB81" s="9" t="s">
        <v>2338</v>
      </c>
      <c r="AV81" s="9" t="s">
        <v>597</v>
      </c>
      <c r="AW81" s="9" t="s">
        <v>391</v>
      </c>
      <c r="AX81" s="9">
        <v>4.0</v>
      </c>
      <c r="AY81" s="9" t="s">
        <v>391</v>
      </c>
      <c r="AZ81" s="9" t="s">
        <v>675</v>
      </c>
      <c r="BA81" s="9" t="s">
        <v>675</v>
      </c>
      <c r="BB81" s="9">
        <v>4.0</v>
      </c>
      <c r="BC81" s="9" t="s">
        <v>2339</v>
      </c>
      <c r="BD81" s="9" t="s">
        <v>2340</v>
      </c>
      <c r="BE81" s="9" t="s">
        <v>392</v>
      </c>
      <c r="BF81" s="9" t="s">
        <v>393</v>
      </c>
      <c r="BG81" s="9" t="s">
        <v>394</v>
      </c>
      <c r="BH81" s="9" t="s">
        <v>2341</v>
      </c>
      <c r="BI81" s="9" t="s">
        <v>824</v>
      </c>
      <c r="BK81" s="9" t="s">
        <v>395</v>
      </c>
      <c r="BL81" s="9" t="s">
        <v>396</v>
      </c>
      <c r="BM81" s="9" t="s">
        <v>397</v>
      </c>
      <c r="BN81" s="9" t="s">
        <v>398</v>
      </c>
      <c r="BO81" s="9" t="s">
        <v>2342</v>
      </c>
      <c r="BP81" s="9" t="s">
        <v>2343</v>
      </c>
      <c r="BQ81" s="9" t="s">
        <v>604</v>
      </c>
      <c r="BR81" s="9" t="s">
        <v>2344</v>
      </c>
      <c r="BS81" s="9" t="s">
        <v>1741</v>
      </c>
      <c r="BT81" s="9" t="s">
        <v>1672</v>
      </c>
      <c r="BU81" s="9" t="s">
        <v>405</v>
      </c>
      <c r="BW81" s="9" t="s">
        <v>988</v>
      </c>
      <c r="BY81" s="9" t="s">
        <v>408</v>
      </c>
      <c r="CA81" s="9" t="s">
        <v>2345</v>
      </c>
      <c r="CB81" s="9" t="s">
        <v>2346</v>
      </c>
      <c r="CC81" s="9" t="s">
        <v>2347</v>
      </c>
      <c r="CD81" s="9" t="s">
        <v>409</v>
      </c>
      <c r="CE81" s="9" t="s">
        <v>2348</v>
      </c>
      <c r="CF81" s="9" t="s">
        <v>1258</v>
      </c>
      <c r="CH81" s="9" t="s">
        <v>1259</v>
      </c>
      <c r="CI81" s="9" t="s">
        <v>410</v>
      </c>
      <c r="CJ81" s="9" t="s">
        <v>2349</v>
      </c>
      <c r="CK81" s="9" t="s">
        <v>2350</v>
      </c>
      <c r="ET81" s="9" t="s">
        <v>526</v>
      </c>
      <c r="EU81" s="9" t="s">
        <v>579</v>
      </c>
      <c r="EV81" s="9" t="s">
        <v>778</v>
      </c>
      <c r="EW81" s="9" t="s">
        <v>2351</v>
      </c>
      <c r="EX81" s="9" t="s">
        <v>2352</v>
      </c>
      <c r="EY81" s="9" t="s">
        <v>2353</v>
      </c>
      <c r="EZ81" s="9" t="s">
        <v>416</v>
      </c>
      <c r="FA81" s="9" t="s">
        <v>416</v>
      </c>
      <c r="FB81" s="9" t="s">
        <v>413</v>
      </c>
      <c r="FC81" s="9" t="s">
        <v>413</v>
      </c>
      <c r="FD81" s="9" t="s">
        <v>413</v>
      </c>
      <c r="FE81" s="9" t="s">
        <v>416</v>
      </c>
      <c r="FF81" s="9" t="s">
        <v>413</v>
      </c>
      <c r="FG81" s="9" t="s">
        <v>413</v>
      </c>
      <c r="FH81" s="9" t="s">
        <v>583</v>
      </c>
      <c r="FI81" s="9" t="s">
        <v>413</v>
      </c>
      <c r="FJ81" s="9" t="s">
        <v>413</v>
      </c>
      <c r="FK81" s="9" t="s">
        <v>413</v>
      </c>
      <c r="FL81" s="9" t="s">
        <v>413</v>
      </c>
      <c r="FM81" s="9" t="s">
        <v>413</v>
      </c>
      <c r="FN81" s="9" t="s">
        <v>583</v>
      </c>
      <c r="FO81" s="9" t="s">
        <v>417</v>
      </c>
      <c r="FP81" s="9" t="s">
        <v>418</v>
      </c>
      <c r="FQ81" s="9" t="s">
        <v>1039</v>
      </c>
      <c r="FR81" s="9" t="s">
        <v>2354</v>
      </c>
      <c r="FS81" s="9" t="s">
        <v>420</v>
      </c>
      <c r="FT81" s="9" t="s">
        <v>488</v>
      </c>
      <c r="FU81" s="9" t="s">
        <v>1235</v>
      </c>
      <c r="FV81" s="9" t="s">
        <v>490</v>
      </c>
      <c r="FW81" s="9" t="s">
        <v>491</v>
      </c>
      <c r="FX81" s="9" t="s">
        <v>2355</v>
      </c>
      <c r="FY81" s="9" t="s">
        <v>535</v>
      </c>
      <c r="FZ81" s="9" t="s">
        <v>2356</v>
      </c>
      <c r="GA81" s="9" t="s">
        <v>2357</v>
      </c>
      <c r="GB81" s="9" t="s">
        <v>455</v>
      </c>
      <c r="GC81" s="9"/>
      <c r="GD81" s="9"/>
      <c r="GE81" s="9" t="s">
        <v>1339</v>
      </c>
      <c r="GF81" s="9" t="s">
        <v>2358</v>
      </c>
      <c r="GJ81" s="9" t="s">
        <v>755</v>
      </c>
      <c r="GK81" s="9" t="s">
        <v>755</v>
      </c>
      <c r="GL81" s="9" t="s">
        <v>946</v>
      </c>
    </row>
    <row r="82" ht="24.75" customHeight="1">
      <c r="A82" s="8">
        <v>45828.06036765046</v>
      </c>
      <c r="B82" s="9" t="s">
        <v>368</v>
      </c>
      <c r="C82" s="9" t="s">
        <v>370</v>
      </c>
      <c r="E82" s="9" t="s">
        <v>2359</v>
      </c>
      <c r="G82" s="9" t="s">
        <v>422</v>
      </c>
      <c r="H82" s="9" t="s">
        <v>373</v>
      </c>
      <c r="I82" s="9" t="s">
        <v>638</v>
      </c>
      <c r="J82" s="9" t="s">
        <v>375</v>
      </c>
      <c r="K82" s="9" t="s">
        <v>376</v>
      </c>
      <c r="L82" s="9" t="s">
        <v>591</v>
      </c>
      <c r="M82" s="9" t="s">
        <v>378</v>
      </c>
      <c r="N82" s="9" t="s">
        <v>793</v>
      </c>
      <c r="O82" s="9" t="s">
        <v>719</v>
      </c>
      <c r="P82" s="9" t="s">
        <v>498</v>
      </c>
      <c r="Q82" s="9" t="s">
        <v>382</v>
      </c>
      <c r="R82" s="9" t="s">
        <v>2360</v>
      </c>
      <c r="S82" s="9" t="s">
        <v>2361</v>
      </c>
      <c r="T82" s="9" t="s">
        <v>385</v>
      </c>
      <c r="W82" s="9" t="s">
        <v>428</v>
      </c>
      <c r="AV82" s="9" t="s">
        <v>504</v>
      </c>
      <c r="AW82" s="9" t="s">
        <v>429</v>
      </c>
      <c r="AX82" s="9" t="s">
        <v>429</v>
      </c>
      <c r="AY82" s="9" t="s">
        <v>429</v>
      </c>
      <c r="AZ82" s="9">
        <v>2.0</v>
      </c>
      <c r="BA82" s="9" t="s">
        <v>429</v>
      </c>
      <c r="BB82" s="9">
        <v>2.0</v>
      </c>
      <c r="BC82" s="9" t="s">
        <v>2362</v>
      </c>
      <c r="BD82" s="9" t="s">
        <v>2363</v>
      </c>
      <c r="BE82" s="9" t="s">
        <v>432</v>
      </c>
      <c r="BF82" s="9" t="s">
        <v>433</v>
      </c>
      <c r="BG82" s="9" t="s">
        <v>434</v>
      </c>
      <c r="BH82" s="9" t="s">
        <v>2364</v>
      </c>
      <c r="BI82" s="9" t="s">
        <v>509</v>
      </c>
      <c r="BJ82" s="9" t="s">
        <v>2365</v>
      </c>
      <c r="BK82" s="9" t="s">
        <v>602</v>
      </c>
      <c r="BL82" s="9" t="s">
        <v>438</v>
      </c>
      <c r="BM82" s="9" t="s">
        <v>439</v>
      </c>
      <c r="BN82" s="9" t="s">
        <v>513</v>
      </c>
      <c r="CL82" s="9" t="s">
        <v>441</v>
      </c>
      <c r="CM82" s="9" t="s">
        <v>604</v>
      </c>
      <c r="CN82" s="9" t="s">
        <v>2366</v>
      </c>
      <c r="CO82" s="9" t="s">
        <v>2367</v>
      </c>
      <c r="CP82" s="9" t="s">
        <v>403</v>
      </c>
      <c r="CQ82" s="9" t="s">
        <v>956</v>
      </c>
      <c r="CR82" s="9" t="s">
        <v>804</v>
      </c>
      <c r="CS82" s="9" t="s">
        <v>2368</v>
      </c>
      <c r="CT82" s="9" t="s">
        <v>2369</v>
      </c>
      <c r="CU82" s="9" t="s">
        <v>450</v>
      </c>
      <c r="CV82" s="9" t="s">
        <v>451</v>
      </c>
      <c r="CW82" s="9" t="s">
        <v>2370</v>
      </c>
      <c r="CX82" s="9" t="s">
        <v>408</v>
      </c>
      <c r="CZ82" s="9" t="s">
        <v>453</v>
      </c>
      <c r="DA82" s="9" t="s">
        <v>2371</v>
      </c>
      <c r="DB82" s="9" t="s">
        <v>455</v>
      </c>
      <c r="DC82" s="9" t="s">
        <v>2372</v>
      </c>
      <c r="DD82" s="9" t="s">
        <v>988</v>
      </c>
      <c r="DF82" s="9" t="s">
        <v>2373</v>
      </c>
      <c r="DG82" s="9" t="s">
        <v>524</v>
      </c>
      <c r="DH82" s="9" t="s">
        <v>1220</v>
      </c>
      <c r="DI82" s="9" t="s">
        <v>459</v>
      </c>
      <c r="DJ82" s="9" t="s">
        <v>460</v>
      </c>
      <c r="DK82" s="9" t="s">
        <v>461</v>
      </c>
      <c r="ET82" s="9" t="s">
        <v>478</v>
      </c>
      <c r="EU82" s="9" t="s">
        <v>479</v>
      </c>
      <c r="EV82" s="9" t="s">
        <v>480</v>
      </c>
      <c r="EZ82" s="9" t="s">
        <v>414</v>
      </c>
      <c r="FA82" s="9" t="s">
        <v>414</v>
      </c>
      <c r="FB82" s="9" t="s">
        <v>414</v>
      </c>
      <c r="FC82" s="9" t="s">
        <v>414</v>
      </c>
      <c r="FD82" s="9" t="s">
        <v>484</v>
      </c>
      <c r="FE82" s="9" t="s">
        <v>414</v>
      </c>
      <c r="FF82" s="9" t="s">
        <v>484</v>
      </c>
      <c r="FG82" s="9" t="s">
        <v>484</v>
      </c>
      <c r="FH82" s="9" t="s">
        <v>414</v>
      </c>
      <c r="FI82" s="9" t="s">
        <v>414</v>
      </c>
      <c r="FJ82" s="9" t="s">
        <v>484</v>
      </c>
      <c r="FK82" s="9" t="s">
        <v>484</v>
      </c>
      <c r="FL82" s="9" t="s">
        <v>484</v>
      </c>
      <c r="FM82" s="9" t="s">
        <v>416</v>
      </c>
      <c r="FN82" s="9" t="s">
        <v>583</v>
      </c>
      <c r="FO82" s="9" t="s">
        <v>417</v>
      </c>
      <c r="FP82" s="9" t="s">
        <v>418</v>
      </c>
      <c r="FQ82" s="9" t="s">
        <v>712</v>
      </c>
      <c r="FS82" s="9" t="s">
        <v>420</v>
      </c>
      <c r="FT82" s="9" t="s">
        <v>488</v>
      </c>
      <c r="FU82" s="9" t="s">
        <v>489</v>
      </c>
      <c r="FV82" s="9" t="s">
        <v>490</v>
      </c>
      <c r="FW82" s="9" t="s">
        <v>491</v>
      </c>
      <c r="FY82" s="9" t="s">
        <v>535</v>
      </c>
      <c r="GB82" s="9" t="s">
        <v>455</v>
      </c>
      <c r="GD82" s="9" t="s">
        <v>2374</v>
      </c>
      <c r="GE82" s="9" t="s">
        <v>1339</v>
      </c>
      <c r="GF82" s="9" t="s">
        <v>2375</v>
      </c>
      <c r="GG82" s="9" t="s">
        <v>857</v>
      </c>
      <c r="GH82" s="9" t="s">
        <v>857</v>
      </c>
      <c r="GI82" s="9" t="s">
        <v>946</v>
      </c>
    </row>
    <row r="83" ht="24.75" customHeight="1">
      <c r="A83" s="8">
        <v>45828.06330849537</v>
      </c>
      <c r="B83" s="9" t="s">
        <v>368</v>
      </c>
      <c r="C83" s="9" t="s">
        <v>370</v>
      </c>
      <c r="E83" s="9" t="s">
        <v>2376</v>
      </c>
      <c r="G83" s="9" t="s">
        <v>422</v>
      </c>
      <c r="H83" s="9" t="s">
        <v>423</v>
      </c>
      <c r="I83" s="9" t="s">
        <v>424</v>
      </c>
      <c r="J83" s="9" t="s">
        <v>425</v>
      </c>
      <c r="K83" s="9" t="s">
        <v>376</v>
      </c>
      <c r="L83" s="9" t="s">
        <v>591</v>
      </c>
      <c r="M83" s="9" t="s">
        <v>719</v>
      </c>
      <c r="N83" s="9" t="s">
        <v>426</v>
      </c>
      <c r="O83" s="9" t="s">
        <v>497</v>
      </c>
      <c r="P83" s="9" t="s">
        <v>381</v>
      </c>
      <c r="Q83" s="9" t="s">
        <v>862</v>
      </c>
      <c r="R83" s="9" t="s">
        <v>949</v>
      </c>
      <c r="S83" s="9" t="s">
        <v>384</v>
      </c>
      <c r="T83" s="9" t="s">
        <v>385</v>
      </c>
      <c r="W83" s="9" t="s">
        <v>428</v>
      </c>
      <c r="AV83" s="9" t="s">
        <v>597</v>
      </c>
      <c r="AW83" s="9" t="s">
        <v>675</v>
      </c>
      <c r="AX83" s="9">
        <v>4.0</v>
      </c>
      <c r="AY83" s="9">
        <v>4.0</v>
      </c>
      <c r="AZ83" s="9" t="s">
        <v>391</v>
      </c>
      <c r="BA83" s="9">
        <v>4.0</v>
      </c>
      <c r="BB83" s="9" t="s">
        <v>391</v>
      </c>
      <c r="BC83" s="9" t="s">
        <v>2377</v>
      </c>
      <c r="BD83" s="9" t="s">
        <v>2378</v>
      </c>
      <c r="BE83" s="9" t="s">
        <v>2379</v>
      </c>
      <c r="BF83" s="9" t="s">
        <v>1095</v>
      </c>
      <c r="BG83" s="9" t="s">
        <v>725</v>
      </c>
      <c r="BH83" s="9" t="s">
        <v>2380</v>
      </c>
      <c r="BI83" s="9" t="s">
        <v>976</v>
      </c>
      <c r="BJ83" s="9" t="s">
        <v>1211</v>
      </c>
      <c r="BK83" s="9" t="s">
        <v>437</v>
      </c>
      <c r="BL83" s="9" t="s">
        <v>904</v>
      </c>
      <c r="BM83" s="9" t="s">
        <v>397</v>
      </c>
      <c r="BN83" s="9" t="s">
        <v>513</v>
      </c>
      <c r="CL83" s="9" t="s">
        <v>441</v>
      </c>
      <c r="CM83" s="9" t="s">
        <v>604</v>
      </c>
      <c r="CN83" s="9" t="s">
        <v>2381</v>
      </c>
      <c r="CO83" s="9" t="s">
        <v>2382</v>
      </c>
      <c r="CP83" s="9" t="s">
        <v>1008</v>
      </c>
      <c r="CQ83" s="9" t="s">
        <v>2383</v>
      </c>
      <c r="CR83" s="9" t="s">
        <v>404</v>
      </c>
      <c r="CS83" s="9" t="s">
        <v>1137</v>
      </c>
      <c r="CT83" s="9" t="s">
        <v>2384</v>
      </c>
      <c r="CU83" s="9" t="s">
        <v>982</v>
      </c>
      <c r="CV83" s="9" t="s">
        <v>409</v>
      </c>
      <c r="CW83" s="9" t="s">
        <v>2385</v>
      </c>
      <c r="CX83" s="9" t="s">
        <v>408</v>
      </c>
      <c r="CY83" s="9" t="s">
        <v>1211</v>
      </c>
      <c r="CZ83" s="9" t="s">
        <v>1962</v>
      </c>
      <c r="DA83" s="9" t="s">
        <v>1211</v>
      </c>
      <c r="DB83" s="9" t="s">
        <v>408</v>
      </c>
      <c r="DC83" s="9" t="s">
        <v>1211</v>
      </c>
      <c r="DD83" s="9" t="s">
        <v>988</v>
      </c>
      <c r="DE83" s="9" t="s">
        <v>1058</v>
      </c>
      <c r="DF83" s="9" t="s">
        <v>1211</v>
      </c>
      <c r="DG83" s="9" t="s">
        <v>524</v>
      </c>
      <c r="DH83" s="9" t="s">
        <v>833</v>
      </c>
      <c r="DI83" s="9" t="s">
        <v>459</v>
      </c>
      <c r="DJ83" s="9" t="s">
        <v>460</v>
      </c>
      <c r="DK83" s="9" t="s">
        <v>461</v>
      </c>
      <c r="ET83" s="9" t="s">
        <v>578</v>
      </c>
      <c r="EU83" s="9" t="s">
        <v>479</v>
      </c>
      <c r="EV83" s="9" t="s">
        <v>480</v>
      </c>
      <c r="EZ83" s="9" t="s">
        <v>414</v>
      </c>
      <c r="FA83" s="9" t="s">
        <v>414</v>
      </c>
      <c r="FB83" s="9" t="s">
        <v>413</v>
      </c>
      <c r="FC83" s="9" t="s">
        <v>413</v>
      </c>
      <c r="FD83" s="9" t="s">
        <v>413</v>
      </c>
      <c r="FE83" s="9" t="s">
        <v>583</v>
      </c>
      <c r="FF83" s="9" t="s">
        <v>413</v>
      </c>
      <c r="FG83" s="9" t="s">
        <v>413</v>
      </c>
      <c r="FH83" s="9" t="s">
        <v>413</v>
      </c>
      <c r="FI83" s="9" t="s">
        <v>414</v>
      </c>
      <c r="FJ83" s="9" t="s">
        <v>414</v>
      </c>
      <c r="FK83" s="9" t="s">
        <v>415</v>
      </c>
      <c r="FL83" s="9" t="s">
        <v>415</v>
      </c>
      <c r="FM83" s="9" t="s">
        <v>415</v>
      </c>
      <c r="FN83" s="9" t="s">
        <v>415</v>
      </c>
      <c r="FO83" s="9" t="s">
        <v>1074</v>
      </c>
      <c r="FP83" s="9" t="s">
        <v>486</v>
      </c>
      <c r="FQ83" s="9" t="s">
        <v>419</v>
      </c>
      <c r="FR83" s="9" t="s">
        <v>2386</v>
      </c>
      <c r="FS83" s="9" t="s">
        <v>420</v>
      </c>
      <c r="FT83" s="9" t="s">
        <v>1462</v>
      </c>
      <c r="FU83" s="9" t="s">
        <v>533</v>
      </c>
      <c r="FV83" s="9" t="s">
        <v>2387</v>
      </c>
      <c r="FW83" s="9" t="s">
        <v>1853</v>
      </c>
      <c r="FY83" s="9" t="s">
        <v>1020</v>
      </c>
      <c r="GB83" s="9" t="s">
        <v>408</v>
      </c>
      <c r="GG83" s="9" t="s">
        <v>755</v>
      </c>
      <c r="GH83" s="9" t="s">
        <v>755</v>
      </c>
      <c r="GI83" s="9" t="s">
        <v>817</v>
      </c>
    </row>
    <row r="84" ht="24.75" customHeight="1">
      <c r="A84" s="8">
        <v>45828.12018145833</v>
      </c>
      <c r="B84" s="9" t="s">
        <v>368</v>
      </c>
      <c r="C84" s="9" t="s">
        <v>370</v>
      </c>
      <c r="E84" s="9" t="s">
        <v>2388</v>
      </c>
      <c r="G84" s="9" t="s">
        <v>422</v>
      </c>
      <c r="H84" s="9" t="s">
        <v>637</v>
      </c>
      <c r="I84" s="9" t="s">
        <v>374</v>
      </c>
      <c r="J84" s="9" t="s">
        <v>718</v>
      </c>
      <c r="K84" s="9" t="s">
        <v>376</v>
      </c>
      <c r="L84" s="9" t="s">
        <v>591</v>
      </c>
      <c r="M84" s="9" t="s">
        <v>719</v>
      </c>
      <c r="N84" s="9" t="s">
        <v>793</v>
      </c>
      <c r="O84" s="9" t="s">
        <v>719</v>
      </c>
      <c r="P84" s="9" t="s">
        <v>592</v>
      </c>
      <c r="Q84" s="9" t="s">
        <v>1156</v>
      </c>
      <c r="R84" s="9" t="s">
        <v>427</v>
      </c>
      <c r="S84" s="9" t="s">
        <v>384</v>
      </c>
      <c r="T84" s="9" t="s">
        <v>385</v>
      </c>
      <c r="W84" s="9" t="s">
        <v>593</v>
      </c>
      <c r="X84" s="9" t="s">
        <v>387</v>
      </c>
      <c r="Y84" s="9" t="s">
        <v>897</v>
      </c>
      <c r="Z84" s="9" t="s">
        <v>672</v>
      </c>
      <c r="AB84" s="9" t="s">
        <v>2389</v>
      </c>
      <c r="AV84" s="9" t="s">
        <v>1310</v>
      </c>
      <c r="AW84" s="9">
        <v>4.0</v>
      </c>
      <c r="AX84" s="9">
        <v>4.0</v>
      </c>
      <c r="AY84" s="9" t="s">
        <v>675</v>
      </c>
      <c r="AZ84" s="9">
        <v>4.0</v>
      </c>
      <c r="BA84" s="9" t="s">
        <v>429</v>
      </c>
      <c r="BB84" s="9" t="s">
        <v>391</v>
      </c>
      <c r="BE84" s="9" t="s">
        <v>2379</v>
      </c>
      <c r="BF84" s="9" t="s">
        <v>393</v>
      </c>
      <c r="BG84" s="9" t="s">
        <v>434</v>
      </c>
      <c r="BK84" s="9" t="s">
        <v>681</v>
      </c>
      <c r="BM84" s="9" t="s">
        <v>1247</v>
      </c>
      <c r="BN84" s="9" t="s">
        <v>513</v>
      </c>
      <c r="CL84" s="9" t="s">
        <v>550</v>
      </c>
      <c r="CM84" s="9" t="s">
        <v>401</v>
      </c>
      <c r="CN84" s="9" t="s">
        <v>2390</v>
      </c>
      <c r="CO84" s="9" t="s">
        <v>408</v>
      </c>
      <c r="CP84" s="9" t="s">
        <v>685</v>
      </c>
      <c r="CQ84" s="9" t="s">
        <v>2391</v>
      </c>
      <c r="CR84" s="9" t="s">
        <v>804</v>
      </c>
      <c r="CS84" s="9" t="s">
        <v>2392</v>
      </c>
      <c r="CU84" s="9" t="s">
        <v>1961</v>
      </c>
      <c r="CV84" s="9" t="s">
        <v>2393</v>
      </c>
      <c r="CX84" s="9" t="s">
        <v>455</v>
      </c>
      <c r="CY84" s="9" t="s">
        <v>2394</v>
      </c>
      <c r="CZ84" s="9" t="s">
        <v>1962</v>
      </c>
      <c r="DB84" s="9" t="s">
        <v>455</v>
      </c>
      <c r="DC84" s="9" t="s">
        <v>2395</v>
      </c>
      <c r="DD84" s="9" t="s">
        <v>662</v>
      </c>
      <c r="DG84" s="9" t="s">
        <v>990</v>
      </c>
      <c r="DH84" s="9" t="s">
        <v>833</v>
      </c>
      <c r="DI84" s="9" t="s">
        <v>459</v>
      </c>
      <c r="DJ84" s="9" t="s">
        <v>613</v>
      </c>
      <c r="ET84" s="9" t="s">
        <v>578</v>
      </c>
      <c r="EU84" s="9" t="s">
        <v>479</v>
      </c>
      <c r="EV84" s="9" t="s">
        <v>480</v>
      </c>
      <c r="EX84" s="9" t="s">
        <v>2396</v>
      </c>
      <c r="EY84" s="9" t="s">
        <v>2397</v>
      </c>
      <c r="EZ84" s="9" t="s">
        <v>583</v>
      </c>
      <c r="FA84" s="9" t="s">
        <v>583</v>
      </c>
      <c r="FB84" s="9" t="s">
        <v>583</v>
      </c>
      <c r="FC84" s="9" t="s">
        <v>583</v>
      </c>
      <c r="FD84" s="9" t="s">
        <v>414</v>
      </c>
      <c r="FE84" s="9" t="s">
        <v>583</v>
      </c>
      <c r="FF84" s="9" t="s">
        <v>583</v>
      </c>
      <c r="FG84" s="9" t="s">
        <v>415</v>
      </c>
      <c r="FH84" s="9" t="s">
        <v>583</v>
      </c>
      <c r="FI84" s="9" t="s">
        <v>583</v>
      </c>
      <c r="FJ84" s="9" t="s">
        <v>583</v>
      </c>
      <c r="FK84" s="9" t="s">
        <v>583</v>
      </c>
      <c r="FL84" s="9" t="s">
        <v>583</v>
      </c>
      <c r="FM84" s="9" t="s">
        <v>413</v>
      </c>
      <c r="FN84" s="9" t="s">
        <v>583</v>
      </c>
      <c r="FO84" s="9" t="s">
        <v>1537</v>
      </c>
      <c r="FP84" s="9" t="s">
        <v>1200</v>
      </c>
      <c r="FQ84" s="9" t="s">
        <v>630</v>
      </c>
      <c r="FS84" s="9" t="s">
        <v>1871</v>
      </c>
      <c r="FT84" s="9" t="s">
        <v>2398</v>
      </c>
      <c r="FU84" s="9" t="s">
        <v>533</v>
      </c>
      <c r="FV84" s="9" t="s">
        <v>2399</v>
      </c>
      <c r="FW84" s="9" t="s">
        <v>1853</v>
      </c>
      <c r="FY84" s="9" t="s">
        <v>1020</v>
      </c>
      <c r="GB84" s="9" t="s">
        <v>408</v>
      </c>
      <c r="GG84" s="9" t="s">
        <v>755</v>
      </c>
      <c r="GH84" s="9" t="s">
        <v>755</v>
      </c>
      <c r="GI84" s="9" t="s">
        <v>756</v>
      </c>
    </row>
    <row r="85" ht="24.75" customHeight="1">
      <c r="A85" s="8">
        <v>45828.15012672453</v>
      </c>
      <c r="B85" s="9" t="s">
        <v>368</v>
      </c>
      <c r="C85" s="9" t="s">
        <v>370</v>
      </c>
      <c r="E85" s="9" t="s">
        <v>2400</v>
      </c>
      <c r="G85" s="9" t="s">
        <v>422</v>
      </c>
      <c r="H85" s="9" t="s">
        <v>496</v>
      </c>
      <c r="I85" s="9" t="s">
        <v>1022</v>
      </c>
      <c r="J85" s="9" t="s">
        <v>425</v>
      </c>
      <c r="K85" s="9" t="s">
        <v>376</v>
      </c>
      <c r="L85" s="9" t="s">
        <v>591</v>
      </c>
      <c r="M85" s="9" t="s">
        <v>720</v>
      </c>
      <c r="N85" s="9" t="s">
        <v>670</v>
      </c>
      <c r="O85" s="9" t="s">
        <v>720</v>
      </c>
      <c r="P85" s="9" t="s">
        <v>592</v>
      </c>
      <c r="Q85" s="9" t="s">
        <v>499</v>
      </c>
      <c r="R85" s="9" t="s">
        <v>427</v>
      </c>
      <c r="S85" s="9" t="s">
        <v>384</v>
      </c>
      <c r="T85" s="9" t="s">
        <v>385</v>
      </c>
      <c r="W85" s="9" t="s">
        <v>428</v>
      </c>
      <c r="AV85" s="9" t="s">
        <v>1242</v>
      </c>
      <c r="AW85" s="9">
        <v>4.0</v>
      </c>
      <c r="AX85" s="9" t="s">
        <v>391</v>
      </c>
      <c r="AY85" s="9">
        <v>4.0</v>
      </c>
      <c r="AZ85" s="9" t="s">
        <v>675</v>
      </c>
      <c r="BA85" s="9" t="s">
        <v>675</v>
      </c>
      <c r="BB85" s="9">
        <v>4.0</v>
      </c>
      <c r="BC85" s="9" t="s">
        <v>2401</v>
      </c>
      <c r="BD85" s="9" t="s">
        <v>2402</v>
      </c>
      <c r="BE85" s="9" t="s">
        <v>902</v>
      </c>
      <c r="BF85" s="9" t="s">
        <v>1095</v>
      </c>
      <c r="BG85" s="9" t="s">
        <v>394</v>
      </c>
      <c r="BH85" s="9" t="s">
        <v>2403</v>
      </c>
      <c r="BI85" s="9" t="s">
        <v>435</v>
      </c>
      <c r="BJ85" s="9" t="s">
        <v>2404</v>
      </c>
      <c r="BK85" s="9" t="s">
        <v>437</v>
      </c>
      <c r="BL85" s="9" t="s">
        <v>603</v>
      </c>
      <c r="BM85" s="9" t="s">
        <v>1314</v>
      </c>
      <c r="BN85" s="9" t="s">
        <v>398</v>
      </c>
      <c r="BO85" s="9" t="s">
        <v>2405</v>
      </c>
      <c r="BP85" s="9" t="s">
        <v>2406</v>
      </c>
      <c r="BR85" s="9" t="s">
        <v>2407</v>
      </c>
      <c r="BS85" s="9" t="s">
        <v>1692</v>
      </c>
      <c r="BT85" s="9" t="s">
        <v>1672</v>
      </c>
      <c r="BU85" s="9" t="s">
        <v>405</v>
      </c>
      <c r="BW85" s="9" t="s">
        <v>457</v>
      </c>
      <c r="BY85" s="9" t="s">
        <v>455</v>
      </c>
      <c r="BZ85" s="9" t="s">
        <v>2408</v>
      </c>
      <c r="CA85" s="9" t="s">
        <v>2409</v>
      </c>
      <c r="CB85" s="9" t="s">
        <v>2410</v>
      </c>
      <c r="CC85" s="9" t="s">
        <v>2411</v>
      </c>
      <c r="CD85" s="9" t="s">
        <v>409</v>
      </c>
      <c r="CE85" s="9" t="s">
        <v>2412</v>
      </c>
      <c r="CF85" s="9" t="s">
        <v>1258</v>
      </c>
      <c r="CH85" s="9" t="s">
        <v>1698</v>
      </c>
      <c r="CI85" s="9" t="s">
        <v>410</v>
      </c>
      <c r="CJ85" s="9" t="s">
        <v>2413</v>
      </c>
      <c r="CK85" s="9" t="s">
        <v>2414</v>
      </c>
      <c r="ET85" s="9" t="s">
        <v>578</v>
      </c>
      <c r="EU85" s="9" t="s">
        <v>479</v>
      </c>
      <c r="EV85" s="9" t="s">
        <v>1262</v>
      </c>
      <c r="EW85" s="9" t="s">
        <v>2415</v>
      </c>
      <c r="EX85" s="9" t="s">
        <v>2416</v>
      </c>
      <c r="EY85" s="9" t="s">
        <v>2417</v>
      </c>
      <c r="EZ85" s="9" t="s">
        <v>583</v>
      </c>
      <c r="FA85" s="9" t="s">
        <v>583</v>
      </c>
      <c r="FB85" s="9" t="s">
        <v>414</v>
      </c>
      <c r="FC85" s="9" t="s">
        <v>583</v>
      </c>
      <c r="FD85" s="9" t="s">
        <v>484</v>
      </c>
      <c r="FE85" s="9" t="s">
        <v>583</v>
      </c>
      <c r="FF85" s="9" t="s">
        <v>583</v>
      </c>
      <c r="FG85" s="9" t="s">
        <v>416</v>
      </c>
      <c r="FH85" s="9" t="s">
        <v>583</v>
      </c>
      <c r="FI85" s="9" t="s">
        <v>415</v>
      </c>
      <c r="FJ85" s="9" t="s">
        <v>415</v>
      </c>
      <c r="FK85" s="9" t="s">
        <v>416</v>
      </c>
      <c r="FL85" s="9" t="s">
        <v>414</v>
      </c>
      <c r="FM85" s="9" t="s">
        <v>413</v>
      </c>
      <c r="FN85" s="9" t="s">
        <v>583</v>
      </c>
      <c r="FO85" s="9" t="s">
        <v>417</v>
      </c>
      <c r="FP85" s="9" t="s">
        <v>418</v>
      </c>
      <c r="FQ85" s="9" t="s">
        <v>749</v>
      </c>
      <c r="FR85" s="9" t="s">
        <v>2418</v>
      </c>
      <c r="FS85" s="9" t="s">
        <v>420</v>
      </c>
      <c r="FT85" s="9" t="s">
        <v>488</v>
      </c>
      <c r="FU85" s="9" t="s">
        <v>489</v>
      </c>
      <c r="FV85" s="9" t="s">
        <v>490</v>
      </c>
      <c r="FW85" s="9" t="s">
        <v>491</v>
      </c>
      <c r="FX85" s="9" t="s">
        <v>2419</v>
      </c>
      <c r="FY85" s="9" t="s">
        <v>535</v>
      </c>
      <c r="FZ85" s="9" t="s">
        <v>2420</v>
      </c>
      <c r="GA85" s="9" t="s">
        <v>2421</v>
      </c>
      <c r="GB85" s="9" t="s">
        <v>455</v>
      </c>
      <c r="GC85" s="9"/>
      <c r="GD85" s="9"/>
      <c r="GE85" s="9" t="s">
        <v>753</v>
      </c>
      <c r="GF85" s="9" t="s">
        <v>2422</v>
      </c>
      <c r="GJ85" s="9" t="s">
        <v>1000</v>
      </c>
      <c r="GK85" s="9" t="s">
        <v>1000</v>
      </c>
      <c r="GL85" s="9" t="s">
        <v>858</v>
      </c>
    </row>
    <row r="86" ht="24.75" customHeight="1">
      <c r="A86" s="8">
        <v>45828.202019930555</v>
      </c>
      <c r="B86" s="9" t="s">
        <v>368</v>
      </c>
      <c r="C86" s="9" t="s">
        <v>1341</v>
      </c>
      <c r="D86" s="9" t="s">
        <v>1341</v>
      </c>
      <c r="G86" s="9" t="s">
        <v>422</v>
      </c>
      <c r="H86" s="9" t="s">
        <v>373</v>
      </c>
      <c r="I86" s="9" t="s">
        <v>638</v>
      </c>
      <c r="J86" s="9" t="s">
        <v>718</v>
      </c>
      <c r="K86" s="9" t="s">
        <v>376</v>
      </c>
      <c r="L86" s="9" t="s">
        <v>591</v>
      </c>
      <c r="M86" s="9" t="s">
        <v>639</v>
      </c>
      <c r="N86" s="9" t="s">
        <v>591</v>
      </c>
      <c r="O86" s="9" t="s">
        <v>380</v>
      </c>
      <c r="P86" s="9" t="s">
        <v>498</v>
      </c>
      <c r="Q86" s="9" t="s">
        <v>862</v>
      </c>
      <c r="R86" s="9" t="s">
        <v>500</v>
      </c>
      <c r="S86" s="9" t="s">
        <v>384</v>
      </c>
      <c r="T86" s="9" t="s">
        <v>385</v>
      </c>
      <c r="W86" s="9" t="s">
        <v>428</v>
      </c>
      <c r="X86" s="9" t="s">
        <v>2423</v>
      </c>
      <c r="AV86" s="9" t="s">
        <v>1242</v>
      </c>
      <c r="AW86" s="9">
        <v>4.0</v>
      </c>
      <c r="AX86" s="9">
        <v>4.0</v>
      </c>
      <c r="AY86" s="9" t="s">
        <v>675</v>
      </c>
      <c r="AZ86" s="9" t="s">
        <v>675</v>
      </c>
      <c r="BA86" s="9" t="s">
        <v>675</v>
      </c>
      <c r="BB86" s="9" t="s">
        <v>675</v>
      </c>
      <c r="BC86" s="9" t="s">
        <v>2424</v>
      </c>
      <c r="BD86" s="9" t="s">
        <v>2425</v>
      </c>
      <c r="BE86" s="9" t="s">
        <v>432</v>
      </c>
      <c r="BF86" s="9" t="s">
        <v>1095</v>
      </c>
      <c r="BG86" s="9" t="s">
        <v>394</v>
      </c>
      <c r="BH86" s="9" t="s">
        <v>2426</v>
      </c>
      <c r="BI86" s="9" t="s">
        <v>435</v>
      </c>
      <c r="BK86" s="9" t="s">
        <v>511</v>
      </c>
      <c r="BL86" s="9" t="s">
        <v>603</v>
      </c>
      <c r="BM86" s="9" t="s">
        <v>1314</v>
      </c>
      <c r="BN86" s="9" t="s">
        <v>398</v>
      </c>
      <c r="BO86" s="9" t="s">
        <v>2427</v>
      </c>
      <c r="BP86" s="9" t="s">
        <v>408</v>
      </c>
      <c r="BQ86" s="9" t="s">
        <v>401</v>
      </c>
      <c r="BR86" s="9" t="s">
        <v>2428</v>
      </c>
      <c r="BS86" s="9" t="s">
        <v>1741</v>
      </c>
      <c r="BT86" s="9" t="s">
        <v>1994</v>
      </c>
      <c r="BU86" s="9" t="s">
        <v>405</v>
      </c>
      <c r="BW86" s="9" t="s">
        <v>406</v>
      </c>
      <c r="BY86" s="9" t="s">
        <v>455</v>
      </c>
      <c r="BZ86" s="9" t="s">
        <v>2429</v>
      </c>
      <c r="CB86" s="9" t="s">
        <v>2430</v>
      </c>
      <c r="CC86" s="9" t="s">
        <v>2431</v>
      </c>
      <c r="CD86" s="9" t="s">
        <v>451</v>
      </c>
      <c r="CE86" s="9" t="s">
        <v>2432</v>
      </c>
      <c r="CF86" s="9" t="s">
        <v>1258</v>
      </c>
      <c r="CH86" s="9" t="s">
        <v>1259</v>
      </c>
      <c r="CI86" s="9" t="s">
        <v>410</v>
      </c>
      <c r="CJ86" s="9" t="s">
        <v>2433</v>
      </c>
      <c r="CK86" s="9" t="s">
        <v>2434</v>
      </c>
      <c r="ET86" s="9" t="s">
        <v>578</v>
      </c>
      <c r="EU86" s="9" t="s">
        <v>579</v>
      </c>
      <c r="EV86" s="9" t="s">
        <v>527</v>
      </c>
      <c r="EW86" s="9" t="s">
        <v>2435</v>
      </c>
      <c r="EX86" s="9" t="s">
        <v>2436</v>
      </c>
      <c r="EY86" s="9" t="s">
        <v>2437</v>
      </c>
      <c r="EZ86" s="9" t="s">
        <v>415</v>
      </c>
      <c r="FA86" s="9" t="s">
        <v>414</v>
      </c>
      <c r="FB86" s="9" t="s">
        <v>413</v>
      </c>
      <c r="FC86" s="9" t="s">
        <v>414</v>
      </c>
      <c r="FD86" s="9" t="s">
        <v>413</v>
      </c>
      <c r="FE86" s="9" t="s">
        <v>415</v>
      </c>
      <c r="FF86" s="9" t="s">
        <v>413</v>
      </c>
      <c r="FG86" s="9" t="s">
        <v>484</v>
      </c>
      <c r="FH86" s="9" t="s">
        <v>413</v>
      </c>
      <c r="FI86" s="9" t="s">
        <v>416</v>
      </c>
      <c r="FJ86" s="9" t="s">
        <v>415</v>
      </c>
      <c r="FK86" s="9" t="s">
        <v>416</v>
      </c>
      <c r="FL86" s="9" t="s">
        <v>415</v>
      </c>
      <c r="FM86" s="9" t="s">
        <v>415</v>
      </c>
      <c r="FN86" s="9" t="s">
        <v>413</v>
      </c>
      <c r="FO86" s="9" t="s">
        <v>417</v>
      </c>
      <c r="FP86" s="9" t="s">
        <v>486</v>
      </c>
      <c r="FQ86" s="9" t="s">
        <v>712</v>
      </c>
      <c r="FR86" s="9" t="s">
        <v>2438</v>
      </c>
      <c r="FS86" s="9" t="s">
        <v>420</v>
      </c>
      <c r="FT86" s="9" t="s">
        <v>1462</v>
      </c>
      <c r="FU86" s="9" t="s">
        <v>585</v>
      </c>
      <c r="FV86" s="9" t="s">
        <v>490</v>
      </c>
      <c r="FW86" s="9" t="s">
        <v>491</v>
      </c>
      <c r="FY86" s="9" t="s">
        <v>535</v>
      </c>
      <c r="FZ86" s="9" t="s">
        <v>2439</v>
      </c>
      <c r="GB86" s="9" t="s">
        <v>455</v>
      </c>
      <c r="GC86" s="9"/>
      <c r="GE86" s="9" t="s">
        <v>786</v>
      </c>
      <c r="GF86" s="9" t="s">
        <v>2440</v>
      </c>
      <c r="GJ86" s="9" t="s">
        <v>755</v>
      </c>
      <c r="GK86" s="9" t="s">
        <v>755</v>
      </c>
      <c r="GL86" s="9" t="s">
        <v>817</v>
      </c>
    </row>
    <row r="87" ht="24.75" customHeight="1">
      <c r="A87" s="8">
        <v>45828.21023520833</v>
      </c>
      <c r="B87" s="9" t="s">
        <v>368</v>
      </c>
      <c r="C87" s="9" t="s">
        <v>370</v>
      </c>
      <c r="E87" s="9" t="s">
        <v>371</v>
      </c>
      <c r="G87" s="9" t="s">
        <v>422</v>
      </c>
      <c r="H87" s="9" t="s">
        <v>637</v>
      </c>
      <c r="I87" s="9" t="s">
        <v>638</v>
      </c>
      <c r="J87" s="9" t="s">
        <v>590</v>
      </c>
      <c r="K87" s="9" t="s">
        <v>376</v>
      </c>
      <c r="L87" s="9" t="s">
        <v>670</v>
      </c>
      <c r="M87" s="9" t="s">
        <v>860</v>
      </c>
      <c r="N87" s="9" t="s">
        <v>793</v>
      </c>
      <c r="O87" s="9" t="s">
        <v>720</v>
      </c>
      <c r="P87" s="9" t="s">
        <v>592</v>
      </c>
      <c r="Q87" s="9" t="s">
        <v>862</v>
      </c>
      <c r="R87" s="9" t="s">
        <v>427</v>
      </c>
      <c r="S87" s="9" t="s">
        <v>384</v>
      </c>
      <c r="T87" s="9" t="s">
        <v>385</v>
      </c>
      <c r="W87" s="9" t="s">
        <v>760</v>
      </c>
      <c r="X87" s="9" t="s">
        <v>1706</v>
      </c>
      <c r="AC87" s="9" t="s">
        <v>1707</v>
      </c>
      <c r="AD87" s="9" t="s">
        <v>1708</v>
      </c>
      <c r="AE87" s="9" t="s">
        <v>455</v>
      </c>
      <c r="AF87" s="9" t="s">
        <v>2441</v>
      </c>
      <c r="AG87" s="9">
        <v>3.0</v>
      </c>
      <c r="AH87" s="9" t="s">
        <v>647</v>
      </c>
      <c r="AI87" s="9" t="s">
        <v>2442</v>
      </c>
      <c r="AJ87" s="9" t="s">
        <v>2443</v>
      </c>
      <c r="AK87" s="9" t="s">
        <v>1712</v>
      </c>
      <c r="AV87" s="9" t="s">
        <v>1242</v>
      </c>
      <c r="AW87" s="9" t="s">
        <v>675</v>
      </c>
      <c r="AX87" s="9">
        <v>4.0</v>
      </c>
      <c r="AY87" s="9" t="s">
        <v>675</v>
      </c>
      <c r="AZ87" s="9" t="s">
        <v>675</v>
      </c>
      <c r="BA87" s="9" t="s">
        <v>675</v>
      </c>
      <c r="BB87" s="9" t="s">
        <v>675</v>
      </c>
      <c r="BC87" s="9" t="s">
        <v>2444</v>
      </c>
      <c r="BD87" s="9" t="s">
        <v>2445</v>
      </c>
      <c r="BE87" s="9" t="s">
        <v>902</v>
      </c>
      <c r="BF87" s="9" t="s">
        <v>1245</v>
      </c>
      <c r="BG87" s="9" t="s">
        <v>765</v>
      </c>
      <c r="BH87" s="9" t="s">
        <v>2446</v>
      </c>
      <c r="BI87" s="9" t="s">
        <v>509</v>
      </c>
      <c r="BJ87" s="9" t="s">
        <v>2447</v>
      </c>
      <c r="BK87" s="9" t="s">
        <v>437</v>
      </c>
      <c r="BL87" s="9" t="s">
        <v>438</v>
      </c>
      <c r="BM87" s="9" t="s">
        <v>1247</v>
      </c>
      <c r="BN87" s="9" t="s">
        <v>398</v>
      </c>
      <c r="BO87" s="9" t="s">
        <v>2448</v>
      </c>
      <c r="BP87" s="9" t="s">
        <v>2449</v>
      </c>
      <c r="BQ87" s="9" t="s">
        <v>604</v>
      </c>
      <c r="BR87" s="9" t="s">
        <v>2450</v>
      </c>
      <c r="BS87" s="9" t="s">
        <v>1741</v>
      </c>
      <c r="BT87" s="9" t="s">
        <v>404</v>
      </c>
      <c r="BU87" s="9" t="s">
        <v>1772</v>
      </c>
      <c r="BV87" s="9" t="s">
        <v>2451</v>
      </c>
      <c r="BW87" s="9" t="s">
        <v>457</v>
      </c>
      <c r="BY87" s="9" t="s">
        <v>455</v>
      </c>
      <c r="BZ87" s="9" t="s">
        <v>2452</v>
      </c>
      <c r="CA87" s="9" t="s">
        <v>2453</v>
      </c>
      <c r="CB87" s="9" t="s">
        <v>2454</v>
      </c>
      <c r="CC87" s="9" t="s">
        <v>2455</v>
      </c>
      <c r="CD87" s="9" t="s">
        <v>1931</v>
      </c>
      <c r="CF87" s="9" t="s">
        <v>1258</v>
      </c>
      <c r="CH87" s="9" t="s">
        <v>1698</v>
      </c>
      <c r="CI87" s="9" t="s">
        <v>833</v>
      </c>
      <c r="CJ87" s="9" t="s">
        <v>2456</v>
      </c>
      <c r="CK87" s="9" t="s">
        <v>2457</v>
      </c>
      <c r="ET87" s="9" t="s">
        <v>578</v>
      </c>
      <c r="EU87" s="9" t="s">
        <v>1127</v>
      </c>
      <c r="EV87" s="9" t="s">
        <v>663</v>
      </c>
      <c r="EX87" s="9" t="s">
        <v>2458</v>
      </c>
      <c r="EY87" s="9" t="s">
        <v>2459</v>
      </c>
      <c r="EZ87" s="9" t="s">
        <v>583</v>
      </c>
      <c r="FA87" s="9" t="s">
        <v>583</v>
      </c>
      <c r="FB87" s="9" t="s">
        <v>415</v>
      </c>
      <c r="FC87" s="9" t="s">
        <v>414</v>
      </c>
      <c r="FD87" s="9" t="s">
        <v>413</v>
      </c>
      <c r="FE87" s="9" t="s">
        <v>414</v>
      </c>
      <c r="FF87" s="9" t="s">
        <v>414</v>
      </c>
      <c r="FG87" s="9" t="s">
        <v>415</v>
      </c>
      <c r="FH87" s="9" t="s">
        <v>583</v>
      </c>
      <c r="FI87" s="9" t="s">
        <v>414</v>
      </c>
      <c r="FJ87" s="9" t="s">
        <v>414</v>
      </c>
      <c r="FK87" s="9" t="s">
        <v>415</v>
      </c>
      <c r="FL87" s="9" t="s">
        <v>415</v>
      </c>
      <c r="FM87" s="9" t="s">
        <v>413</v>
      </c>
      <c r="FN87" s="9" t="s">
        <v>583</v>
      </c>
      <c r="FO87" s="9" t="s">
        <v>850</v>
      </c>
      <c r="FP87" s="9" t="s">
        <v>418</v>
      </c>
      <c r="FQ87" s="9" t="s">
        <v>419</v>
      </c>
      <c r="FR87" s="9" t="s">
        <v>2460</v>
      </c>
      <c r="FS87" s="9" t="s">
        <v>420</v>
      </c>
      <c r="FT87" s="9" t="s">
        <v>488</v>
      </c>
      <c r="FU87" s="9" t="s">
        <v>489</v>
      </c>
      <c r="FV87" s="9" t="s">
        <v>490</v>
      </c>
      <c r="FW87" s="9" t="s">
        <v>491</v>
      </c>
      <c r="FX87" s="9" t="s">
        <v>2461</v>
      </c>
      <c r="FY87" s="9" t="s">
        <v>493</v>
      </c>
      <c r="FZ87" s="9" t="s">
        <v>2462</v>
      </c>
      <c r="GA87" s="9" t="s">
        <v>2463</v>
      </c>
      <c r="GB87" s="9" t="s">
        <v>408</v>
      </c>
      <c r="GJ87" s="9" t="s">
        <v>1000</v>
      </c>
      <c r="GK87" s="9" t="s">
        <v>755</v>
      </c>
      <c r="GL87" s="9" t="s">
        <v>817</v>
      </c>
    </row>
    <row r="88" ht="24.75" customHeight="1">
      <c r="A88" s="8">
        <v>45828.22725708333</v>
      </c>
      <c r="B88" s="9" t="s">
        <v>368</v>
      </c>
      <c r="C88" s="9" t="s">
        <v>538</v>
      </c>
      <c r="D88" s="9" t="s">
        <v>538</v>
      </c>
      <c r="G88" s="9" t="s">
        <v>422</v>
      </c>
      <c r="H88" s="9" t="s">
        <v>539</v>
      </c>
      <c r="I88" s="9" t="s">
        <v>424</v>
      </c>
      <c r="J88" s="9" t="s">
        <v>540</v>
      </c>
      <c r="K88" s="9" t="s">
        <v>376</v>
      </c>
      <c r="L88" s="9" t="s">
        <v>426</v>
      </c>
      <c r="M88" s="9" t="s">
        <v>2464</v>
      </c>
      <c r="N88" s="9" t="s">
        <v>426</v>
      </c>
      <c r="O88" s="9" t="s">
        <v>2465</v>
      </c>
      <c r="P88" s="9" t="s">
        <v>592</v>
      </c>
      <c r="Q88" s="9" t="s">
        <v>1156</v>
      </c>
      <c r="R88" s="9" t="s">
        <v>427</v>
      </c>
      <c r="S88" s="9" t="s">
        <v>384</v>
      </c>
      <c r="T88" s="9" t="s">
        <v>385</v>
      </c>
      <c r="W88" s="9" t="s">
        <v>428</v>
      </c>
      <c r="AV88" s="9" t="s">
        <v>1310</v>
      </c>
      <c r="AW88" s="9" t="s">
        <v>391</v>
      </c>
      <c r="AX88" s="9" t="s">
        <v>391</v>
      </c>
      <c r="AY88" s="9" t="s">
        <v>429</v>
      </c>
      <c r="AZ88" s="9">
        <v>2.0</v>
      </c>
      <c r="BA88" s="9">
        <v>4.0</v>
      </c>
      <c r="BB88" s="9">
        <v>4.0</v>
      </c>
      <c r="BC88" s="9" t="s">
        <v>2466</v>
      </c>
      <c r="BD88" s="9" t="s">
        <v>2467</v>
      </c>
      <c r="BE88" s="9" t="s">
        <v>432</v>
      </c>
      <c r="BF88" s="9" t="s">
        <v>393</v>
      </c>
      <c r="BG88" s="9" t="s">
        <v>725</v>
      </c>
      <c r="BI88" s="9" t="s">
        <v>435</v>
      </c>
      <c r="BK88" s="9" t="s">
        <v>602</v>
      </c>
      <c r="BL88" s="9" t="s">
        <v>904</v>
      </c>
      <c r="BM88" s="9" t="s">
        <v>1247</v>
      </c>
      <c r="BN88" s="9" t="s">
        <v>513</v>
      </c>
      <c r="CL88" s="9" t="s">
        <v>550</v>
      </c>
      <c r="CM88" s="9" t="s">
        <v>604</v>
      </c>
      <c r="CN88" s="9" t="s">
        <v>2468</v>
      </c>
      <c r="CO88" s="9" t="s">
        <v>2469</v>
      </c>
      <c r="CP88" s="9" t="s">
        <v>685</v>
      </c>
      <c r="CQ88" s="9" t="s">
        <v>2470</v>
      </c>
      <c r="CR88" s="9" t="s">
        <v>804</v>
      </c>
      <c r="CS88" s="9" t="s">
        <v>2471</v>
      </c>
      <c r="CT88" s="9" t="s">
        <v>2472</v>
      </c>
      <c r="CU88" s="9" t="s">
        <v>450</v>
      </c>
      <c r="CV88" s="9" t="s">
        <v>409</v>
      </c>
      <c r="CW88" s="9" t="s">
        <v>2473</v>
      </c>
      <c r="CX88" s="9" t="s">
        <v>455</v>
      </c>
      <c r="CY88" s="9" t="s">
        <v>2474</v>
      </c>
      <c r="CZ88" s="9" t="s">
        <v>1398</v>
      </c>
      <c r="DA88" s="9" t="s">
        <v>2475</v>
      </c>
      <c r="DB88" s="9" t="s">
        <v>455</v>
      </c>
      <c r="DC88" s="9" t="s">
        <v>2476</v>
      </c>
      <c r="DD88" s="9" t="s">
        <v>457</v>
      </c>
      <c r="DF88" s="9" t="s">
        <v>2477</v>
      </c>
      <c r="DG88" s="9" t="s">
        <v>776</v>
      </c>
      <c r="DH88" s="9" t="s">
        <v>410</v>
      </c>
      <c r="DI88" s="9" t="s">
        <v>459</v>
      </c>
      <c r="DJ88" s="9" t="s">
        <v>460</v>
      </c>
      <c r="DK88" s="9" t="s">
        <v>563</v>
      </c>
      <c r="DL88" s="9" t="s">
        <v>2478</v>
      </c>
      <c r="ET88" s="9" t="s">
        <v>478</v>
      </c>
      <c r="EU88" s="9" t="s">
        <v>579</v>
      </c>
      <c r="EV88" s="9" t="s">
        <v>480</v>
      </c>
      <c r="EY88" s="9" t="s">
        <v>2479</v>
      </c>
      <c r="EZ88" s="9" t="s">
        <v>583</v>
      </c>
      <c r="FA88" s="9" t="s">
        <v>583</v>
      </c>
      <c r="FB88" s="9" t="s">
        <v>413</v>
      </c>
      <c r="FC88" s="9" t="s">
        <v>583</v>
      </c>
      <c r="FD88" s="9" t="s">
        <v>416</v>
      </c>
      <c r="FE88" s="9" t="s">
        <v>583</v>
      </c>
      <c r="FF88" s="9" t="s">
        <v>583</v>
      </c>
      <c r="FG88" s="9" t="s">
        <v>414</v>
      </c>
      <c r="FH88" s="9" t="s">
        <v>484</v>
      </c>
      <c r="FI88" s="9" t="s">
        <v>413</v>
      </c>
      <c r="FJ88" s="9" t="s">
        <v>583</v>
      </c>
      <c r="FK88" s="9" t="s">
        <v>416</v>
      </c>
      <c r="FL88" s="9" t="s">
        <v>416</v>
      </c>
      <c r="FM88" s="9" t="s">
        <v>413</v>
      </c>
      <c r="FN88" s="9" t="s">
        <v>583</v>
      </c>
      <c r="FO88" s="9" t="s">
        <v>1537</v>
      </c>
      <c r="FP88" s="9" t="s">
        <v>418</v>
      </c>
      <c r="FQ88" s="9" t="s">
        <v>630</v>
      </c>
      <c r="FR88" s="9" t="s">
        <v>2022</v>
      </c>
      <c r="FS88" s="9" t="s">
        <v>1871</v>
      </c>
      <c r="FT88" s="9" t="s">
        <v>1462</v>
      </c>
      <c r="FU88" s="9" t="s">
        <v>585</v>
      </c>
      <c r="FV88" s="9" t="s">
        <v>2136</v>
      </c>
      <c r="FW88" s="9" t="s">
        <v>1853</v>
      </c>
      <c r="FX88" s="9" t="s">
        <v>2480</v>
      </c>
      <c r="FY88" s="9" t="s">
        <v>1854</v>
      </c>
      <c r="FZ88" s="9" t="s">
        <v>2481</v>
      </c>
      <c r="GB88" s="9" t="s">
        <v>455</v>
      </c>
      <c r="GC88" s="9"/>
      <c r="GE88" s="9" t="s">
        <v>753</v>
      </c>
      <c r="GF88" s="9" t="s">
        <v>455</v>
      </c>
      <c r="GG88" s="9" t="s">
        <v>755</v>
      </c>
      <c r="GH88" s="9" t="s">
        <v>755</v>
      </c>
      <c r="GI88" s="9" t="s">
        <v>946</v>
      </c>
      <c r="GN88" s="9" t="s">
        <v>2293</v>
      </c>
      <c r="GO88" s="9" t="s">
        <v>2293</v>
      </c>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c r="HX88" s="10"/>
      <c r="HY88" s="10"/>
      <c r="HZ88" s="10"/>
      <c r="IA88" s="10"/>
      <c r="IB88" s="10"/>
      <c r="IC88" s="10"/>
      <c r="ID88" s="10"/>
      <c r="IE88" s="10"/>
      <c r="IF88" s="10"/>
      <c r="IG88" s="10"/>
      <c r="IH88" s="10"/>
      <c r="II88" s="10"/>
      <c r="IJ88" s="10"/>
      <c r="IK88" s="10"/>
      <c r="IL88" s="10"/>
      <c r="IM88" s="10"/>
      <c r="IN88" s="10"/>
      <c r="IO88" s="10"/>
      <c r="IP88" s="10"/>
      <c r="IQ88" s="10"/>
      <c r="IR88" s="10"/>
      <c r="IS88" s="10"/>
      <c r="IT88" s="10"/>
      <c r="IU88" s="10"/>
      <c r="IV88" s="10"/>
      <c r="IW88" s="10"/>
      <c r="IX88" s="10"/>
      <c r="IY88" s="10"/>
      <c r="IZ88" s="10"/>
      <c r="JA88" s="10"/>
      <c r="JB88" s="10"/>
      <c r="JC88" s="10"/>
      <c r="JD88" s="10"/>
      <c r="JE88" s="10"/>
      <c r="JF88" s="10"/>
      <c r="JG88" s="10"/>
      <c r="JH88" s="10"/>
      <c r="JI88" s="10"/>
      <c r="JJ88" s="10"/>
      <c r="JK88" s="10"/>
      <c r="JL88" s="10"/>
      <c r="JM88" s="10"/>
      <c r="JN88" s="10"/>
      <c r="JO88" s="10"/>
      <c r="JP88" s="10"/>
      <c r="JQ88" s="10"/>
      <c r="JR88" s="10"/>
      <c r="JS88" s="10"/>
      <c r="JT88" s="10"/>
      <c r="JU88" s="10"/>
      <c r="JV88" s="10"/>
      <c r="JW88" s="10"/>
      <c r="JX88" s="10"/>
      <c r="JY88" s="10"/>
      <c r="JZ88" s="10"/>
      <c r="KA88" s="10"/>
      <c r="KB88" s="10"/>
      <c r="KC88" s="10"/>
      <c r="KD88" s="10"/>
      <c r="KE88" s="10"/>
      <c r="KF88" s="10"/>
      <c r="KG88" s="10"/>
      <c r="KH88" s="10"/>
      <c r="KI88" s="10"/>
      <c r="KJ88" s="10"/>
      <c r="KK88" s="10"/>
      <c r="KL88" s="10"/>
      <c r="KM88" s="10"/>
      <c r="KN88" s="10"/>
      <c r="KO88" s="10"/>
      <c r="KP88" s="10"/>
      <c r="KQ88" s="10"/>
      <c r="KR88" s="10"/>
      <c r="KS88" s="10"/>
      <c r="KT88" s="10"/>
      <c r="KU88" s="10"/>
      <c r="KV88" s="10"/>
      <c r="KW88" s="10"/>
      <c r="KX88" s="10"/>
      <c r="KY88" s="10"/>
      <c r="KZ88" s="10"/>
      <c r="LA88" s="10"/>
      <c r="LB88" s="10"/>
      <c r="LC88" s="10"/>
      <c r="LD88" s="10"/>
      <c r="LE88" s="10"/>
      <c r="LF88" s="10"/>
      <c r="LG88" s="10"/>
      <c r="LH88" s="10"/>
      <c r="LI88" s="10"/>
      <c r="LJ88" s="10"/>
      <c r="LK88" s="10"/>
      <c r="LL88" s="10"/>
      <c r="LM88" s="10"/>
      <c r="LN88" s="10"/>
      <c r="LO88" s="10"/>
      <c r="LP88" s="10"/>
      <c r="LQ88" s="10"/>
      <c r="LR88" s="10"/>
      <c r="LS88" s="10"/>
      <c r="LT88" s="10"/>
      <c r="LU88" s="10"/>
      <c r="LV88" s="10"/>
      <c r="LW88" s="10"/>
      <c r="LX88" s="10"/>
      <c r="LY88" s="10"/>
      <c r="LZ88" s="10"/>
      <c r="MA88" s="10"/>
      <c r="MB88" s="10"/>
      <c r="MC88" s="10"/>
      <c r="MD88" s="10"/>
      <c r="ME88" s="10"/>
      <c r="MF88" s="10"/>
      <c r="MG88" s="10"/>
      <c r="MH88" s="10"/>
      <c r="MI88" s="10"/>
      <c r="MJ88" s="10"/>
      <c r="MK88" s="10"/>
      <c r="ML88" s="10"/>
      <c r="MM88" s="10"/>
      <c r="MN88" s="10"/>
      <c r="MO88" s="10"/>
      <c r="MP88" s="10"/>
      <c r="MQ88" s="10"/>
      <c r="MR88" s="10"/>
      <c r="MS88" s="10"/>
      <c r="MT88" s="10"/>
      <c r="MU88" s="10"/>
      <c r="MV88" s="10"/>
      <c r="MW88" s="10"/>
      <c r="MX88" s="10"/>
      <c r="MY88" s="10"/>
      <c r="MZ88" s="10"/>
      <c r="NA88" s="10"/>
      <c r="NB88" s="10"/>
      <c r="NC88" s="10"/>
      <c r="ND88" s="10"/>
    </row>
    <row r="89" ht="24.75" customHeight="1">
      <c r="A89" s="8">
        <v>45828.25383616898</v>
      </c>
      <c r="B89" s="9" t="s">
        <v>368</v>
      </c>
      <c r="C89" s="9" t="s">
        <v>635</v>
      </c>
      <c r="D89" s="9" t="s">
        <v>635</v>
      </c>
      <c r="G89" s="9" t="s">
        <v>422</v>
      </c>
      <c r="H89" s="9" t="s">
        <v>637</v>
      </c>
      <c r="I89" s="9" t="s">
        <v>638</v>
      </c>
      <c r="J89" s="9" t="s">
        <v>590</v>
      </c>
      <c r="K89" s="9" t="s">
        <v>376</v>
      </c>
      <c r="L89" s="9" t="s">
        <v>670</v>
      </c>
      <c r="M89" s="9" t="s">
        <v>2482</v>
      </c>
      <c r="N89" s="9" t="s">
        <v>793</v>
      </c>
      <c r="O89" s="9" t="s">
        <v>671</v>
      </c>
      <c r="P89" s="9" t="s">
        <v>498</v>
      </c>
      <c r="Q89" s="9" t="s">
        <v>862</v>
      </c>
      <c r="R89" s="9" t="s">
        <v>500</v>
      </c>
      <c r="S89" s="9" t="s">
        <v>384</v>
      </c>
      <c r="T89" s="9" t="s">
        <v>385</v>
      </c>
      <c r="W89" s="9" t="s">
        <v>428</v>
      </c>
      <c r="AV89" s="9" t="s">
        <v>1310</v>
      </c>
      <c r="AW89" s="9">
        <v>4.0</v>
      </c>
      <c r="AX89" s="9" t="s">
        <v>391</v>
      </c>
      <c r="AY89" s="9">
        <v>4.0</v>
      </c>
      <c r="AZ89" s="9" t="s">
        <v>675</v>
      </c>
      <c r="BA89" s="9" t="s">
        <v>675</v>
      </c>
      <c r="BB89" s="9">
        <v>4.0</v>
      </c>
      <c r="BC89" s="9" t="s">
        <v>2483</v>
      </c>
      <c r="BD89" s="9" t="s">
        <v>2484</v>
      </c>
      <c r="BE89" s="9" t="s">
        <v>432</v>
      </c>
      <c r="BF89" s="9" t="s">
        <v>393</v>
      </c>
      <c r="BG89" s="9" t="s">
        <v>394</v>
      </c>
      <c r="BH89" s="9" t="s">
        <v>2485</v>
      </c>
      <c r="BI89" s="9" t="s">
        <v>976</v>
      </c>
      <c r="BK89" s="9" t="s">
        <v>681</v>
      </c>
      <c r="BL89" s="9" t="s">
        <v>603</v>
      </c>
      <c r="BM89" s="9" t="s">
        <v>1247</v>
      </c>
      <c r="BN89" s="9" t="s">
        <v>398</v>
      </c>
      <c r="BO89" s="9" t="s">
        <v>2486</v>
      </c>
      <c r="BP89" s="9" t="s">
        <v>2487</v>
      </c>
      <c r="BQ89" s="9" t="s">
        <v>401</v>
      </c>
      <c r="BR89" s="9" t="s">
        <v>2488</v>
      </c>
      <c r="BT89" s="9" t="s">
        <v>1994</v>
      </c>
      <c r="BU89" s="9" t="s">
        <v>405</v>
      </c>
      <c r="BW89" s="9" t="s">
        <v>406</v>
      </c>
      <c r="BY89" s="9" t="s">
        <v>408</v>
      </c>
      <c r="CA89" s="9" t="s">
        <v>2489</v>
      </c>
      <c r="CB89" s="9" t="s">
        <v>2490</v>
      </c>
      <c r="CC89" s="9" t="s">
        <v>2491</v>
      </c>
      <c r="CD89" s="9" t="s">
        <v>1257</v>
      </c>
      <c r="CH89" s="9" t="s">
        <v>1259</v>
      </c>
      <c r="CI89" s="9" t="s">
        <v>833</v>
      </c>
      <c r="CJ89" s="9" t="s">
        <v>2492</v>
      </c>
      <c r="CK89" s="9" t="s">
        <v>2493</v>
      </c>
      <c r="ET89" s="9" t="s">
        <v>578</v>
      </c>
      <c r="EU89" s="9" t="s">
        <v>579</v>
      </c>
      <c r="EV89" s="9" t="s">
        <v>527</v>
      </c>
      <c r="EW89" s="9" t="s">
        <v>2494</v>
      </c>
      <c r="EX89" s="9" t="s">
        <v>2495</v>
      </c>
      <c r="EY89" s="9" t="s">
        <v>2496</v>
      </c>
      <c r="EZ89" s="9" t="s">
        <v>416</v>
      </c>
      <c r="FA89" s="9" t="s">
        <v>484</v>
      </c>
      <c r="FB89" s="9" t="s">
        <v>413</v>
      </c>
      <c r="FC89" s="9" t="s">
        <v>413</v>
      </c>
      <c r="FD89" s="9" t="s">
        <v>413</v>
      </c>
      <c r="FE89" s="9" t="s">
        <v>414</v>
      </c>
      <c r="FF89" s="9" t="s">
        <v>413</v>
      </c>
      <c r="FG89" s="9" t="s">
        <v>415</v>
      </c>
      <c r="FH89" s="9" t="s">
        <v>415</v>
      </c>
      <c r="FI89" s="9" t="s">
        <v>413</v>
      </c>
      <c r="FJ89" s="9" t="s">
        <v>416</v>
      </c>
      <c r="FK89" s="9" t="s">
        <v>484</v>
      </c>
      <c r="FL89" s="9" t="s">
        <v>484</v>
      </c>
      <c r="FM89" s="9" t="s">
        <v>484</v>
      </c>
      <c r="FN89" s="9" t="s">
        <v>484</v>
      </c>
      <c r="FO89" s="9" t="s">
        <v>850</v>
      </c>
      <c r="FP89" s="9" t="s">
        <v>418</v>
      </c>
      <c r="FQ89" s="9" t="s">
        <v>1039</v>
      </c>
      <c r="FR89" s="9" t="s">
        <v>631</v>
      </c>
      <c r="FS89" s="9" t="s">
        <v>420</v>
      </c>
      <c r="FT89" s="9" t="s">
        <v>488</v>
      </c>
      <c r="FU89" s="9" t="s">
        <v>1235</v>
      </c>
      <c r="FV89" s="9" t="s">
        <v>490</v>
      </c>
      <c r="FW89" s="9" t="s">
        <v>491</v>
      </c>
      <c r="FY89" s="9" t="s">
        <v>535</v>
      </c>
      <c r="GB89" s="9" t="s">
        <v>455</v>
      </c>
      <c r="GD89" s="9" t="s">
        <v>2497</v>
      </c>
      <c r="GE89" s="9" t="s">
        <v>753</v>
      </c>
      <c r="GJ89" s="9" t="s">
        <v>1000</v>
      </c>
      <c r="GK89" s="9" t="s">
        <v>1000</v>
      </c>
      <c r="GL89" s="9" t="s">
        <v>858</v>
      </c>
    </row>
    <row r="90" ht="24.75" customHeight="1">
      <c r="A90" s="8">
        <v>45828.2956471412</v>
      </c>
      <c r="B90" s="9" t="s">
        <v>368</v>
      </c>
      <c r="C90" s="9" t="s">
        <v>2498</v>
      </c>
      <c r="D90" s="9" t="s">
        <v>894</v>
      </c>
      <c r="G90" s="9" t="s">
        <v>422</v>
      </c>
      <c r="H90" s="9" t="s">
        <v>423</v>
      </c>
      <c r="I90" s="9" t="s">
        <v>424</v>
      </c>
      <c r="J90" s="9" t="s">
        <v>375</v>
      </c>
      <c r="K90" s="9" t="s">
        <v>376</v>
      </c>
      <c r="L90" s="9" t="s">
        <v>379</v>
      </c>
      <c r="M90" s="9" t="s">
        <v>378</v>
      </c>
      <c r="N90" s="9" t="s">
        <v>379</v>
      </c>
      <c r="O90" s="9" t="s">
        <v>497</v>
      </c>
      <c r="P90" s="9" t="s">
        <v>381</v>
      </c>
      <c r="Q90" s="9" t="s">
        <v>862</v>
      </c>
      <c r="R90" s="9" t="s">
        <v>949</v>
      </c>
      <c r="S90" s="9" t="s">
        <v>384</v>
      </c>
      <c r="T90" s="9" t="s">
        <v>385</v>
      </c>
      <c r="V90" s="9" t="s">
        <v>1045</v>
      </c>
      <c r="W90" s="9" t="s">
        <v>428</v>
      </c>
      <c r="AV90" s="9" t="s">
        <v>1310</v>
      </c>
      <c r="AW90" s="9">
        <v>4.0</v>
      </c>
      <c r="AX90" s="9">
        <v>4.0</v>
      </c>
      <c r="AY90" s="9">
        <v>4.0</v>
      </c>
      <c r="AZ90" s="9">
        <v>4.0</v>
      </c>
      <c r="BA90" s="9">
        <v>4.0</v>
      </c>
      <c r="BB90" s="9">
        <v>4.0</v>
      </c>
      <c r="BC90" s="9" t="s">
        <v>2499</v>
      </c>
      <c r="BD90" s="9" t="s">
        <v>2500</v>
      </c>
      <c r="BE90" s="9" t="s">
        <v>432</v>
      </c>
      <c r="BF90" s="9" t="s">
        <v>1095</v>
      </c>
      <c r="BG90" s="9" t="s">
        <v>394</v>
      </c>
      <c r="BH90" s="9" t="s">
        <v>2501</v>
      </c>
      <c r="BI90" s="9" t="s">
        <v>976</v>
      </c>
      <c r="BK90" s="9" t="s">
        <v>395</v>
      </c>
      <c r="BL90" s="9" t="s">
        <v>904</v>
      </c>
      <c r="BM90" s="9" t="s">
        <v>1314</v>
      </c>
      <c r="BN90" s="9" t="s">
        <v>398</v>
      </c>
      <c r="BO90" s="9" t="s">
        <v>2502</v>
      </c>
      <c r="BP90" s="9" t="s">
        <v>408</v>
      </c>
      <c r="BQ90" s="9" t="s">
        <v>442</v>
      </c>
      <c r="BR90" s="9" t="s">
        <v>2488</v>
      </c>
      <c r="BS90" s="9" t="s">
        <v>1741</v>
      </c>
      <c r="BT90" s="9" t="s">
        <v>1994</v>
      </c>
      <c r="BU90" s="9" t="s">
        <v>405</v>
      </c>
      <c r="BW90" s="9" t="s">
        <v>406</v>
      </c>
      <c r="BX90" s="9" t="s">
        <v>2503</v>
      </c>
      <c r="BY90" s="9" t="s">
        <v>408</v>
      </c>
      <c r="CB90" s="9" t="s">
        <v>2504</v>
      </c>
      <c r="CC90" s="9" t="s">
        <v>2505</v>
      </c>
      <c r="CD90" s="9" t="s">
        <v>1257</v>
      </c>
      <c r="CF90" s="9" t="s">
        <v>2233</v>
      </c>
      <c r="CH90" s="9" t="s">
        <v>1259</v>
      </c>
      <c r="CI90" s="9" t="s">
        <v>410</v>
      </c>
      <c r="CJ90" s="9" t="s">
        <v>2506</v>
      </c>
      <c r="CK90" s="9" t="s">
        <v>2507</v>
      </c>
      <c r="ET90" s="9" t="s">
        <v>526</v>
      </c>
      <c r="EU90" s="9" t="s">
        <v>1127</v>
      </c>
      <c r="EV90" s="9" t="s">
        <v>663</v>
      </c>
      <c r="EW90" s="9" t="s">
        <v>2508</v>
      </c>
      <c r="EY90" s="9" t="s">
        <v>2509</v>
      </c>
      <c r="EZ90" s="9" t="s">
        <v>413</v>
      </c>
      <c r="FA90" s="9" t="s">
        <v>416</v>
      </c>
      <c r="FB90" s="9" t="s">
        <v>413</v>
      </c>
      <c r="FC90" s="9" t="s">
        <v>413</v>
      </c>
      <c r="FD90" s="9" t="s">
        <v>413</v>
      </c>
      <c r="FE90" s="9" t="s">
        <v>414</v>
      </c>
      <c r="FF90" s="9" t="s">
        <v>413</v>
      </c>
      <c r="FG90" s="9" t="s">
        <v>413</v>
      </c>
      <c r="FH90" s="9" t="s">
        <v>413</v>
      </c>
      <c r="FI90" s="9" t="s">
        <v>416</v>
      </c>
      <c r="FJ90" s="9" t="s">
        <v>413</v>
      </c>
      <c r="FK90" s="9" t="s">
        <v>413</v>
      </c>
      <c r="FL90" s="9" t="s">
        <v>416</v>
      </c>
      <c r="FM90" s="9" t="s">
        <v>413</v>
      </c>
      <c r="FN90" s="9" t="s">
        <v>484</v>
      </c>
      <c r="FO90" s="9" t="s">
        <v>417</v>
      </c>
      <c r="FP90" s="9" t="s">
        <v>418</v>
      </c>
      <c r="FQ90" s="9" t="s">
        <v>712</v>
      </c>
      <c r="FR90" s="9" t="s">
        <v>2510</v>
      </c>
      <c r="FS90" s="9" t="s">
        <v>420</v>
      </c>
      <c r="FT90" s="9" t="s">
        <v>488</v>
      </c>
      <c r="FU90" s="9" t="s">
        <v>918</v>
      </c>
      <c r="FV90" s="9" t="s">
        <v>490</v>
      </c>
      <c r="FW90" s="9" t="s">
        <v>491</v>
      </c>
      <c r="FX90" s="9" t="s">
        <v>2511</v>
      </c>
      <c r="FY90" s="9" t="s">
        <v>535</v>
      </c>
      <c r="FZ90" s="9" t="s">
        <v>2512</v>
      </c>
      <c r="GB90" s="9" t="s">
        <v>408</v>
      </c>
      <c r="GJ90" s="9" t="s">
        <v>755</v>
      </c>
      <c r="GK90" s="9" t="s">
        <v>755</v>
      </c>
      <c r="GL90" s="9" t="s">
        <v>946</v>
      </c>
      <c r="GN90" s="9" t="s">
        <v>2513</v>
      </c>
    </row>
    <row r="91" ht="24.75" customHeight="1">
      <c r="A91" s="8">
        <v>45828.31245334491</v>
      </c>
      <c r="B91" s="9" t="s">
        <v>368</v>
      </c>
      <c r="C91" s="9" t="s">
        <v>370</v>
      </c>
      <c r="E91" s="9" t="s">
        <v>2376</v>
      </c>
      <c r="G91" s="9" t="s">
        <v>422</v>
      </c>
      <c r="H91" s="9" t="s">
        <v>637</v>
      </c>
      <c r="I91" s="9" t="s">
        <v>374</v>
      </c>
      <c r="J91" s="9" t="s">
        <v>718</v>
      </c>
      <c r="K91" s="9" t="s">
        <v>376</v>
      </c>
      <c r="L91" s="9" t="s">
        <v>793</v>
      </c>
      <c r="N91" s="9" t="s">
        <v>379</v>
      </c>
      <c r="P91" s="9" t="s">
        <v>381</v>
      </c>
      <c r="Q91" s="9" t="s">
        <v>1156</v>
      </c>
      <c r="R91" s="9" t="s">
        <v>1704</v>
      </c>
      <c r="S91" s="9" t="s">
        <v>1512</v>
      </c>
      <c r="T91" s="9" t="s">
        <v>385</v>
      </c>
      <c r="W91" s="9" t="s">
        <v>386</v>
      </c>
      <c r="X91" s="9" t="s">
        <v>387</v>
      </c>
      <c r="Z91" s="9" t="s">
        <v>672</v>
      </c>
      <c r="AV91" s="9" t="s">
        <v>504</v>
      </c>
      <c r="AW91" s="9" t="s">
        <v>429</v>
      </c>
      <c r="AX91" s="9" t="s">
        <v>429</v>
      </c>
      <c r="AY91" s="9" t="s">
        <v>429</v>
      </c>
      <c r="AZ91" s="9" t="s">
        <v>429</v>
      </c>
      <c r="BA91" s="9" t="s">
        <v>429</v>
      </c>
      <c r="BB91" s="9" t="s">
        <v>429</v>
      </c>
      <c r="BE91" s="9" t="s">
        <v>392</v>
      </c>
      <c r="BF91" s="9" t="s">
        <v>433</v>
      </c>
      <c r="BI91" s="9" t="s">
        <v>509</v>
      </c>
      <c r="BK91" s="9" t="s">
        <v>681</v>
      </c>
      <c r="BL91" s="9" t="s">
        <v>438</v>
      </c>
      <c r="BM91" s="9" t="s">
        <v>439</v>
      </c>
      <c r="BN91" s="9" t="s">
        <v>513</v>
      </c>
      <c r="CL91" s="9" t="s">
        <v>441</v>
      </c>
      <c r="CM91" s="9" t="s">
        <v>442</v>
      </c>
      <c r="CN91" s="9" t="s">
        <v>552</v>
      </c>
      <c r="CO91" s="9" t="s">
        <v>2514</v>
      </c>
      <c r="CP91" s="9" t="s">
        <v>1008</v>
      </c>
      <c r="CQ91" s="9" t="s">
        <v>2515</v>
      </c>
      <c r="CU91" s="9" t="s">
        <v>450</v>
      </c>
      <c r="CV91" s="9" t="s">
        <v>451</v>
      </c>
      <c r="CX91" s="9" t="s">
        <v>408</v>
      </c>
      <c r="CZ91" s="9" t="s">
        <v>453</v>
      </c>
      <c r="DB91" s="9" t="s">
        <v>455</v>
      </c>
      <c r="DD91" s="9" t="s">
        <v>662</v>
      </c>
      <c r="DG91" s="9" t="s">
        <v>524</v>
      </c>
      <c r="DH91" s="9" t="s">
        <v>410</v>
      </c>
      <c r="DI91" s="9" t="s">
        <v>459</v>
      </c>
      <c r="DJ91" s="9" t="s">
        <v>613</v>
      </c>
      <c r="ET91" s="9" t="s">
        <v>526</v>
      </c>
      <c r="EU91" s="9" t="s">
        <v>479</v>
      </c>
      <c r="FB91" s="11"/>
      <c r="FO91" s="9" t="s">
        <v>485</v>
      </c>
      <c r="FP91" s="9" t="s">
        <v>418</v>
      </c>
      <c r="FS91" s="9" t="s">
        <v>420</v>
      </c>
      <c r="FT91" s="9" t="s">
        <v>488</v>
      </c>
      <c r="FV91" s="9" t="s">
        <v>490</v>
      </c>
      <c r="FW91" s="9" t="s">
        <v>491</v>
      </c>
      <c r="FY91" s="9" t="s">
        <v>535</v>
      </c>
      <c r="GB91" s="9" t="s">
        <v>408</v>
      </c>
      <c r="GG91" s="9" t="s">
        <v>755</v>
      </c>
      <c r="GH91" s="9" t="s">
        <v>755</v>
      </c>
      <c r="GI91" s="9" t="s">
        <v>946</v>
      </c>
    </row>
    <row r="92" ht="24.75" customHeight="1">
      <c r="A92" s="8">
        <v>45828.31539207176</v>
      </c>
      <c r="B92" s="9" t="s">
        <v>368</v>
      </c>
      <c r="C92" s="9" t="s">
        <v>370</v>
      </c>
      <c r="E92" s="9" t="s">
        <v>371</v>
      </c>
      <c r="G92" s="9" t="s">
        <v>422</v>
      </c>
      <c r="H92" s="9" t="s">
        <v>1921</v>
      </c>
      <c r="I92" s="9" t="s">
        <v>668</v>
      </c>
      <c r="J92" s="9" t="s">
        <v>718</v>
      </c>
      <c r="K92" s="9" t="s">
        <v>376</v>
      </c>
      <c r="L92" s="9" t="s">
        <v>379</v>
      </c>
      <c r="M92" s="9" t="s">
        <v>2464</v>
      </c>
      <c r="N92" s="9" t="s">
        <v>426</v>
      </c>
      <c r="O92" s="9" t="s">
        <v>380</v>
      </c>
      <c r="P92" s="9" t="s">
        <v>381</v>
      </c>
      <c r="Q92" s="9" t="s">
        <v>499</v>
      </c>
      <c r="R92" s="9" t="s">
        <v>1594</v>
      </c>
      <c r="S92" s="9" t="s">
        <v>384</v>
      </c>
      <c r="T92" s="9" t="s">
        <v>385</v>
      </c>
      <c r="W92" s="9" t="s">
        <v>428</v>
      </c>
      <c r="AV92" s="9" t="s">
        <v>390</v>
      </c>
      <c r="AW92" s="9">
        <v>2.0</v>
      </c>
      <c r="AX92" s="9">
        <v>2.0</v>
      </c>
      <c r="AY92" s="9">
        <v>2.0</v>
      </c>
      <c r="AZ92" s="9" t="s">
        <v>429</v>
      </c>
      <c r="BA92" s="9" t="s">
        <v>429</v>
      </c>
      <c r="BB92" s="9">
        <v>2.0</v>
      </c>
      <c r="BC92" s="9" t="s">
        <v>2516</v>
      </c>
      <c r="BD92" s="9" t="s">
        <v>2517</v>
      </c>
      <c r="BE92" s="9" t="s">
        <v>392</v>
      </c>
      <c r="BF92" s="9" t="s">
        <v>433</v>
      </c>
      <c r="BG92" s="9" t="s">
        <v>678</v>
      </c>
      <c r="BI92" s="9" t="s">
        <v>509</v>
      </c>
      <c r="BK92" s="9" t="s">
        <v>511</v>
      </c>
      <c r="BL92" s="9" t="s">
        <v>512</v>
      </c>
      <c r="BM92" s="9" t="s">
        <v>549</v>
      </c>
      <c r="BN92" s="9" t="s">
        <v>513</v>
      </c>
      <c r="CL92" s="9" t="s">
        <v>441</v>
      </c>
      <c r="CM92" s="9" t="s">
        <v>401</v>
      </c>
      <c r="CN92" s="9" t="s">
        <v>552</v>
      </c>
      <c r="CO92" s="9" t="s">
        <v>2518</v>
      </c>
      <c r="CP92" s="9" t="s">
        <v>1008</v>
      </c>
      <c r="CQ92" s="9" t="s">
        <v>2519</v>
      </c>
      <c r="CR92" s="9" t="s">
        <v>404</v>
      </c>
      <c r="CS92" s="9" t="s">
        <v>2520</v>
      </c>
      <c r="CU92" s="9" t="s">
        <v>982</v>
      </c>
      <c r="CV92" s="9" t="s">
        <v>451</v>
      </c>
      <c r="CW92" s="9" t="s">
        <v>2521</v>
      </c>
      <c r="CX92" s="9" t="s">
        <v>408</v>
      </c>
      <c r="CZ92" s="9" t="s">
        <v>453</v>
      </c>
      <c r="DB92" s="9" t="s">
        <v>455</v>
      </c>
      <c r="DD92" s="9" t="s">
        <v>1400</v>
      </c>
      <c r="DE92" s="9" t="s">
        <v>1867</v>
      </c>
      <c r="DG92" s="9" t="s">
        <v>524</v>
      </c>
      <c r="DH92" s="9" t="s">
        <v>1220</v>
      </c>
      <c r="DI92" s="9" t="s">
        <v>963</v>
      </c>
      <c r="DJ92" s="9" t="s">
        <v>1403</v>
      </c>
      <c r="DK92" s="9" t="s">
        <v>525</v>
      </c>
      <c r="ET92" s="9" t="s">
        <v>526</v>
      </c>
      <c r="EU92" s="9" t="s">
        <v>479</v>
      </c>
      <c r="EV92" s="9" t="s">
        <v>1262</v>
      </c>
      <c r="EX92" s="9" t="s">
        <v>2522</v>
      </c>
      <c r="EY92" s="9" t="s">
        <v>2523</v>
      </c>
      <c r="EZ92" s="9" t="s">
        <v>583</v>
      </c>
      <c r="FA92" s="9" t="s">
        <v>583</v>
      </c>
      <c r="FB92" s="9" t="s">
        <v>414</v>
      </c>
      <c r="FC92" s="9" t="s">
        <v>414</v>
      </c>
      <c r="FD92" s="9" t="s">
        <v>414</v>
      </c>
      <c r="FE92" s="9" t="s">
        <v>583</v>
      </c>
      <c r="FF92" s="9" t="s">
        <v>583</v>
      </c>
      <c r="FG92" s="9" t="s">
        <v>414</v>
      </c>
      <c r="FH92" s="9" t="s">
        <v>414</v>
      </c>
      <c r="FI92" s="9" t="s">
        <v>414</v>
      </c>
      <c r="FJ92" s="9" t="s">
        <v>583</v>
      </c>
      <c r="FO92" s="9" t="s">
        <v>850</v>
      </c>
      <c r="FP92" s="9" t="s">
        <v>2524</v>
      </c>
      <c r="FQ92" s="9" t="s">
        <v>712</v>
      </c>
      <c r="FS92" s="9" t="s">
        <v>420</v>
      </c>
      <c r="FT92" s="9" t="s">
        <v>421</v>
      </c>
      <c r="FU92" s="9" t="s">
        <v>533</v>
      </c>
      <c r="FV92" s="9" t="s">
        <v>490</v>
      </c>
      <c r="FW92" s="9" t="s">
        <v>491</v>
      </c>
      <c r="FY92" s="9" t="s">
        <v>1337</v>
      </c>
      <c r="GB92" s="9" t="s">
        <v>455</v>
      </c>
      <c r="GC92" s="9"/>
      <c r="GE92" s="9" t="s">
        <v>753</v>
      </c>
      <c r="GG92" s="9" t="s">
        <v>755</v>
      </c>
      <c r="GH92" s="9" t="s">
        <v>755</v>
      </c>
      <c r="GI92" s="9" t="s">
        <v>946</v>
      </c>
    </row>
    <row r="93" ht="24.75" customHeight="1">
      <c r="A93" s="8">
        <v>45828.34100351852</v>
      </c>
      <c r="B93" s="9" t="s">
        <v>368</v>
      </c>
      <c r="C93" s="9" t="s">
        <v>370</v>
      </c>
      <c r="E93" s="9" t="s">
        <v>667</v>
      </c>
      <c r="G93" s="9" t="s">
        <v>372</v>
      </c>
      <c r="H93" s="9" t="s">
        <v>373</v>
      </c>
      <c r="I93" s="9" t="s">
        <v>374</v>
      </c>
      <c r="J93" s="9" t="s">
        <v>590</v>
      </c>
      <c r="K93" s="9" t="s">
        <v>376</v>
      </c>
      <c r="L93" s="9" t="s">
        <v>1526</v>
      </c>
      <c r="M93" s="9" t="s">
        <v>2464</v>
      </c>
      <c r="N93" s="9" t="s">
        <v>1526</v>
      </c>
      <c r="O93" s="9" t="s">
        <v>497</v>
      </c>
      <c r="P93" s="9" t="s">
        <v>381</v>
      </c>
      <c r="Q93" s="9" t="s">
        <v>382</v>
      </c>
      <c r="R93" s="9" t="s">
        <v>500</v>
      </c>
      <c r="S93" s="9" t="s">
        <v>384</v>
      </c>
      <c r="T93" s="9" t="s">
        <v>385</v>
      </c>
      <c r="W93" s="9" t="s">
        <v>760</v>
      </c>
      <c r="X93" s="9" t="s">
        <v>387</v>
      </c>
      <c r="Y93" s="9" t="s">
        <v>388</v>
      </c>
      <c r="Z93" s="9" t="s">
        <v>389</v>
      </c>
      <c r="AV93" s="9" t="s">
        <v>1242</v>
      </c>
      <c r="AW93" s="9" t="s">
        <v>675</v>
      </c>
      <c r="AX93" s="9">
        <v>4.0</v>
      </c>
      <c r="AY93" s="9" t="s">
        <v>675</v>
      </c>
      <c r="AZ93" s="9">
        <v>4.0</v>
      </c>
      <c r="BA93" s="9" t="s">
        <v>675</v>
      </c>
      <c r="BB93" s="9" t="s">
        <v>675</v>
      </c>
      <c r="BC93" s="9" t="s">
        <v>2525</v>
      </c>
      <c r="BD93" s="9" t="s">
        <v>2526</v>
      </c>
      <c r="BE93" s="9" t="s">
        <v>432</v>
      </c>
      <c r="BF93" s="9" t="s">
        <v>1245</v>
      </c>
      <c r="BG93" s="9" t="s">
        <v>394</v>
      </c>
      <c r="BH93" s="9" t="s">
        <v>2527</v>
      </c>
      <c r="BI93" s="9" t="s">
        <v>727</v>
      </c>
      <c r="BK93" s="9" t="s">
        <v>437</v>
      </c>
      <c r="BL93" s="9" t="s">
        <v>512</v>
      </c>
      <c r="BM93" s="9" t="s">
        <v>1314</v>
      </c>
      <c r="BN93" s="9" t="s">
        <v>398</v>
      </c>
      <c r="BO93" s="9" t="s">
        <v>2528</v>
      </c>
      <c r="BQ93" s="9" t="s">
        <v>604</v>
      </c>
      <c r="BR93" s="9" t="s">
        <v>2529</v>
      </c>
      <c r="BS93" s="9" t="s">
        <v>1741</v>
      </c>
      <c r="BT93" s="9" t="s">
        <v>1672</v>
      </c>
      <c r="BU93" s="9" t="s">
        <v>405</v>
      </c>
      <c r="BW93" s="9" t="s">
        <v>406</v>
      </c>
      <c r="BX93" s="9" t="s">
        <v>2503</v>
      </c>
      <c r="BY93" s="9" t="s">
        <v>408</v>
      </c>
      <c r="CB93" s="9" t="s">
        <v>2530</v>
      </c>
      <c r="CC93" s="9" t="s">
        <v>2531</v>
      </c>
      <c r="CD93" s="9" t="s">
        <v>2248</v>
      </c>
      <c r="CF93" s="9" t="s">
        <v>1722</v>
      </c>
      <c r="CG93" s="9" t="s">
        <v>2532</v>
      </c>
      <c r="CH93" s="9" t="s">
        <v>1259</v>
      </c>
      <c r="CI93" s="9" t="s">
        <v>410</v>
      </c>
      <c r="CJ93" s="9" t="s">
        <v>2533</v>
      </c>
      <c r="CK93" s="9" t="s">
        <v>2534</v>
      </c>
      <c r="ET93" s="9" t="s">
        <v>526</v>
      </c>
      <c r="EU93" s="9" t="s">
        <v>1127</v>
      </c>
      <c r="EV93" s="9" t="s">
        <v>1262</v>
      </c>
      <c r="EX93" s="9" t="s">
        <v>2535</v>
      </c>
      <c r="EY93" s="9" t="s">
        <v>2536</v>
      </c>
      <c r="EZ93" s="9" t="s">
        <v>414</v>
      </c>
      <c r="FA93" s="9" t="s">
        <v>414</v>
      </c>
      <c r="FB93" s="9" t="s">
        <v>413</v>
      </c>
      <c r="FC93" s="9" t="s">
        <v>415</v>
      </c>
      <c r="FD93" s="9" t="s">
        <v>413</v>
      </c>
      <c r="FE93" s="9" t="s">
        <v>415</v>
      </c>
      <c r="FF93" s="9" t="s">
        <v>413</v>
      </c>
      <c r="FG93" s="9" t="s">
        <v>413</v>
      </c>
      <c r="FH93" s="9" t="s">
        <v>413</v>
      </c>
      <c r="FI93" s="9" t="s">
        <v>415</v>
      </c>
      <c r="FJ93" s="9" t="s">
        <v>415</v>
      </c>
      <c r="FK93" s="9" t="s">
        <v>415</v>
      </c>
      <c r="FL93" s="9" t="s">
        <v>415</v>
      </c>
      <c r="FM93" s="9" t="s">
        <v>413</v>
      </c>
      <c r="FN93" s="9" t="s">
        <v>583</v>
      </c>
      <c r="FO93" s="9" t="s">
        <v>485</v>
      </c>
      <c r="FP93" s="9" t="s">
        <v>1200</v>
      </c>
      <c r="FQ93" s="9" t="s">
        <v>749</v>
      </c>
      <c r="FS93" s="9" t="s">
        <v>420</v>
      </c>
      <c r="FT93" s="9" t="s">
        <v>488</v>
      </c>
      <c r="FU93" s="9" t="s">
        <v>489</v>
      </c>
      <c r="FV93" s="9" t="s">
        <v>490</v>
      </c>
      <c r="FW93" s="9" t="s">
        <v>491</v>
      </c>
      <c r="FX93" s="9" t="s">
        <v>2537</v>
      </c>
      <c r="FY93" s="9" t="s">
        <v>493</v>
      </c>
      <c r="GB93" s="9" t="s">
        <v>455</v>
      </c>
      <c r="GC93" s="9"/>
      <c r="GE93" s="9" t="s">
        <v>753</v>
      </c>
      <c r="GJ93" s="9" t="s">
        <v>789</v>
      </c>
      <c r="GK93" s="9" t="s">
        <v>789</v>
      </c>
      <c r="GL93" s="9" t="s">
        <v>946</v>
      </c>
    </row>
    <row r="94" ht="24.75" customHeight="1">
      <c r="A94" s="8">
        <v>45828.351169953705</v>
      </c>
      <c r="B94" s="9" t="s">
        <v>368</v>
      </c>
      <c r="C94" s="9" t="s">
        <v>2538</v>
      </c>
      <c r="D94" s="9" t="s">
        <v>894</v>
      </c>
      <c r="G94" s="9" t="s">
        <v>422</v>
      </c>
      <c r="H94" s="9" t="s">
        <v>496</v>
      </c>
      <c r="I94" s="9" t="s">
        <v>374</v>
      </c>
      <c r="J94" s="9" t="s">
        <v>540</v>
      </c>
      <c r="K94" s="9" t="s">
        <v>376</v>
      </c>
      <c r="L94" s="9" t="s">
        <v>793</v>
      </c>
      <c r="M94" s="9" t="s">
        <v>2539</v>
      </c>
      <c r="N94" s="9" t="s">
        <v>670</v>
      </c>
      <c r="O94" s="9" t="s">
        <v>1270</v>
      </c>
      <c r="P94" s="9" t="s">
        <v>498</v>
      </c>
      <c r="Q94" s="9" t="s">
        <v>382</v>
      </c>
      <c r="R94" s="9" t="s">
        <v>427</v>
      </c>
      <c r="S94" s="9" t="s">
        <v>384</v>
      </c>
      <c r="T94" s="9" t="s">
        <v>385</v>
      </c>
      <c r="V94" s="9" t="s">
        <v>896</v>
      </c>
      <c r="W94" s="9" t="s">
        <v>428</v>
      </c>
      <c r="AV94" s="9" t="s">
        <v>1242</v>
      </c>
      <c r="AW94" s="9" t="s">
        <v>675</v>
      </c>
      <c r="AX94" s="9" t="s">
        <v>391</v>
      </c>
      <c r="AY94" s="9" t="s">
        <v>675</v>
      </c>
      <c r="AZ94" s="9" t="s">
        <v>675</v>
      </c>
      <c r="BA94" s="9" t="s">
        <v>675</v>
      </c>
      <c r="BB94" s="9" t="s">
        <v>675</v>
      </c>
      <c r="BC94" s="9" t="s">
        <v>2540</v>
      </c>
      <c r="BD94" s="9" t="s">
        <v>2541</v>
      </c>
      <c r="BE94" s="9" t="s">
        <v>432</v>
      </c>
      <c r="BF94" s="9" t="s">
        <v>1095</v>
      </c>
      <c r="BG94" s="9" t="s">
        <v>765</v>
      </c>
      <c r="BH94" s="9" t="s">
        <v>2542</v>
      </c>
      <c r="BI94" s="9" t="s">
        <v>435</v>
      </c>
      <c r="BJ94" s="9" t="s">
        <v>2543</v>
      </c>
      <c r="BK94" s="9" t="s">
        <v>681</v>
      </c>
      <c r="BL94" s="9" t="s">
        <v>438</v>
      </c>
      <c r="BM94" s="9" t="s">
        <v>1314</v>
      </c>
      <c r="BN94" s="9" t="s">
        <v>398</v>
      </c>
      <c r="BO94" s="9" t="s">
        <v>2544</v>
      </c>
      <c r="BP94" s="9" t="s">
        <v>2545</v>
      </c>
      <c r="BQ94" s="9" t="s">
        <v>401</v>
      </c>
      <c r="BR94" s="9" t="s">
        <v>2488</v>
      </c>
      <c r="BS94" s="9" t="s">
        <v>403</v>
      </c>
      <c r="BT94" s="9" t="s">
        <v>1994</v>
      </c>
      <c r="BU94" s="9" t="s">
        <v>405</v>
      </c>
      <c r="BW94" s="9" t="s">
        <v>406</v>
      </c>
      <c r="BX94" s="9" t="s">
        <v>2503</v>
      </c>
      <c r="BY94" s="9" t="s">
        <v>455</v>
      </c>
      <c r="BZ94" s="9" t="s">
        <v>2546</v>
      </c>
      <c r="CA94" s="9" t="s">
        <v>2547</v>
      </c>
      <c r="CB94" s="9" t="s">
        <v>2548</v>
      </c>
      <c r="CC94" s="9" t="s">
        <v>2549</v>
      </c>
      <c r="CD94" s="9" t="s">
        <v>2248</v>
      </c>
      <c r="CF94" s="9" t="s">
        <v>1749</v>
      </c>
      <c r="CG94" s="9" t="s">
        <v>2550</v>
      </c>
      <c r="CH94" s="9" t="s">
        <v>1698</v>
      </c>
      <c r="CI94" s="9" t="s">
        <v>833</v>
      </c>
      <c r="CJ94" s="9" t="s">
        <v>2551</v>
      </c>
      <c r="CK94" s="9" t="s">
        <v>2552</v>
      </c>
      <c r="ET94" s="9" t="s">
        <v>578</v>
      </c>
      <c r="EU94" s="9" t="s">
        <v>1127</v>
      </c>
      <c r="EV94" s="9" t="s">
        <v>480</v>
      </c>
      <c r="EW94" s="9" t="s">
        <v>2553</v>
      </c>
      <c r="EX94" s="9" t="s">
        <v>2554</v>
      </c>
      <c r="EZ94" s="9" t="s">
        <v>415</v>
      </c>
      <c r="FA94" s="9" t="s">
        <v>414</v>
      </c>
      <c r="FB94" s="9" t="s">
        <v>413</v>
      </c>
      <c r="FC94" s="9" t="s">
        <v>416</v>
      </c>
      <c r="FD94" s="9" t="s">
        <v>413</v>
      </c>
      <c r="FE94" s="9" t="s">
        <v>414</v>
      </c>
      <c r="FF94" s="9" t="s">
        <v>415</v>
      </c>
      <c r="FG94" s="9" t="s">
        <v>415</v>
      </c>
      <c r="FH94" s="9" t="s">
        <v>583</v>
      </c>
      <c r="FI94" s="9" t="s">
        <v>414</v>
      </c>
      <c r="FJ94" s="9" t="s">
        <v>414</v>
      </c>
      <c r="FK94" s="9" t="s">
        <v>415</v>
      </c>
      <c r="FL94" s="9" t="s">
        <v>416</v>
      </c>
      <c r="FM94" s="9" t="s">
        <v>416</v>
      </c>
      <c r="FN94" s="9" t="s">
        <v>583</v>
      </c>
      <c r="FO94" s="9" t="s">
        <v>1074</v>
      </c>
      <c r="FP94" s="9" t="s">
        <v>486</v>
      </c>
      <c r="FQ94" s="9" t="s">
        <v>419</v>
      </c>
      <c r="FR94" s="9" t="s">
        <v>2555</v>
      </c>
      <c r="FS94" s="9" t="s">
        <v>420</v>
      </c>
      <c r="FT94" s="9" t="s">
        <v>1462</v>
      </c>
      <c r="FU94" s="9" t="s">
        <v>489</v>
      </c>
      <c r="FV94" s="9" t="s">
        <v>490</v>
      </c>
      <c r="FW94" s="9" t="s">
        <v>1853</v>
      </c>
      <c r="FX94" s="9" t="s">
        <v>2556</v>
      </c>
      <c r="FY94" s="9" t="s">
        <v>535</v>
      </c>
      <c r="FZ94" s="9" t="s">
        <v>2557</v>
      </c>
      <c r="GB94" s="9" t="s">
        <v>455</v>
      </c>
      <c r="GC94" s="9"/>
      <c r="GE94" s="9" t="s">
        <v>786</v>
      </c>
      <c r="GF94" s="9" t="s">
        <v>2558</v>
      </c>
      <c r="GJ94" s="9" t="s">
        <v>755</v>
      </c>
      <c r="GK94" s="9" t="s">
        <v>755</v>
      </c>
      <c r="GL94" s="9" t="s">
        <v>817</v>
      </c>
    </row>
    <row r="95" ht="24.75" customHeight="1">
      <c r="A95" s="8">
        <v>45828.35833436342</v>
      </c>
      <c r="B95" s="9" t="s">
        <v>368</v>
      </c>
      <c r="C95" s="9" t="s">
        <v>370</v>
      </c>
      <c r="E95" s="9" t="s">
        <v>2559</v>
      </c>
      <c r="G95" s="9" t="s">
        <v>422</v>
      </c>
      <c r="H95" s="9" t="s">
        <v>496</v>
      </c>
      <c r="I95" s="9" t="s">
        <v>374</v>
      </c>
      <c r="J95" s="9" t="s">
        <v>425</v>
      </c>
      <c r="K95" s="9" t="s">
        <v>2560</v>
      </c>
      <c r="L95" s="9" t="s">
        <v>793</v>
      </c>
      <c r="M95" s="9" t="s">
        <v>860</v>
      </c>
      <c r="N95" s="9" t="s">
        <v>591</v>
      </c>
      <c r="O95" s="9" t="s">
        <v>541</v>
      </c>
      <c r="P95" s="9" t="s">
        <v>498</v>
      </c>
      <c r="Q95" s="9" t="s">
        <v>499</v>
      </c>
      <c r="R95" s="9" t="s">
        <v>949</v>
      </c>
      <c r="S95" s="9" t="s">
        <v>384</v>
      </c>
      <c r="T95" s="9" t="s">
        <v>385</v>
      </c>
      <c r="W95" s="9" t="s">
        <v>593</v>
      </c>
      <c r="X95" s="9" t="s">
        <v>387</v>
      </c>
      <c r="Y95" s="9" t="s">
        <v>388</v>
      </c>
      <c r="Z95" s="9" t="s">
        <v>502</v>
      </c>
      <c r="AA95" s="9" t="s">
        <v>408</v>
      </c>
      <c r="AV95" s="9" t="s">
        <v>597</v>
      </c>
      <c r="AW95" s="9" t="s">
        <v>391</v>
      </c>
      <c r="AX95" s="9">
        <v>2.0</v>
      </c>
      <c r="AY95" s="9" t="s">
        <v>391</v>
      </c>
      <c r="AZ95" s="9">
        <v>2.0</v>
      </c>
      <c r="BA95" s="9" t="s">
        <v>391</v>
      </c>
      <c r="BB95" s="9">
        <v>2.0</v>
      </c>
      <c r="BC95" s="9" t="s">
        <v>2561</v>
      </c>
      <c r="BD95" s="9" t="s">
        <v>2562</v>
      </c>
      <c r="BE95" s="9" t="s">
        <v>2259</v>
      </c>
      <c r="BF95" s="9" t="s">
        <v>1047</v>
      </c>
      <c r="BG95" s="9" t="s">
        <v>725</v>
      </c>
      <c r="BI95" s="9" t="s">
        <v>435</v>
      </c>
      <c r="BK95" s="9" t="s">
        <v>437</v>
      </c>
      <c r="BL95" s="9" t="s">
        <v>438</v>
      </c>
      <c r="BM95" s="9" t="s">
        <v>549</v>
      </c>
      <c r="BN95" s="9" t="s">
        <v>440</v>
      </c>
      <c r="CL95" s="9" t="s">
        <v>550</v>
      </c>
      <c r="CM95" s="9" t="s">
        <v>604</v>
      </c>
      <c r="CN95" s="9" t="s">
        <v>552</v>
      </c>
      <c r="CP95" s="9" t="s">
        <v>403</v>
      </c>
      <c r="CQ95" s="9" t="s">
        <v>2563</v>
      </c>
      <c r="CR95" s="9" t="s">
        <v>447</v>
      </c>
      <c r="CS95" s="9" t="s">
        <v>2564</v>
      </c>
      <c r="CT95" s="9" t="s">
        <v>2565</v>
      </c>
      <c r="CU95" s="9" t="s">
        <v>450</v>
      </c>
      <c r="CV95" s="9" t="s">
        <v>451</v>
      </c>
      <c r="CW95" s="9" t="s">
        <v>2566</v>
      </c>
      <c r="CX95" s="9" t="s">
        <v>408</v>
      </c>
      <c r="CZ95" s="9" t="s">
        <v>985</v>
      </c>
      <c r="DA95" s="9" t="s">
        <v>2567</v>
      </c>
      <c r="DB95" s="9" t="s">
        <v>408</v>
      </c>
      <c r="DD95" s="9" t="s">
        <v>406</v>
      </c>
      <c r="DE95" s="9" t="s">
        <v>407</v>
      </c>
      <c r="DG95" s="9" t="s">
        <v>524</v>
      </c>
      <c r="DH95" s="9" t="s">
        <v>833</v>
      </c>
      <c r="DI95" s="9" t="s">
        <v>777</v>
      </c>
      <c r="DJ95" s="9" t="s">
        <v>613</v>
      </c>
      <c r="DM95" s="9" t="s">
        <v>2568</v>
      </c>
      <c r="DN95" s="9" t="s">
        <v>2569</v>
      </c>
      <c r="DO95" s="9" t="s">
        <v>464</v>
      </c>
      <c r="DP95" s="9" t="s">
        <v>2570</v>
      </c>
      <c r="DQ95" s="9" t="s">
        <v>1553</v>
      </c>
      <c r="DR95" s="9" t="s">
        <v>408</v>
      </c>
      <c r="DS95" s="9" t="s">
        <v>839</v>
      </c>
      <c r="DT95" s="9" t="s">
        <v>740</v>
      </c>
      <c r="DU95" s="9" t="s">
        <v>2571</v>
      </c>
      <c r="DV95" s="9" t="s">
        <v>2572</v>
      </c>
      <c r="DW95" s="9" t="s">
        <v>396</v>
      </c>
      <c r="DX95" s="9" t="s">
        <v>2573</v>
      </c>
      <c r="DY95" s="9" t="s">
        <v>2574</v>
      </c>
      <c r="EA95" s="9" t="s">
        <v>1413</v>
      </c>
      <c r="EB95" s="9" t="s">
        <v>845</v>
      </c>
      <c r="ET95" s="9" t="s">
        <v>578</v>
      </c>
      <c r="EU95" s="9" t="s">
        <v>1127</v>
      </c>
      <c r="EV95" s="9" t="s">
        <v>1262</v>
      </c>
      <c r="EX95" s="9" t="s">
        <v>2575</v>
      </c>
      <c r="EY95" s="9" t="s">
        <v>2576</v>
      </c>
      <c r="EZ95" s="9" t="s">
        <v>416</v>
      </c>
      <c r="FA95" s="9" t="s">
        <v>415</v>
      </c>
      <c r="FB95" s="9" t="s">
        <v>413</v>
      </c>
      <c r="FC95" s="9" t="s">
        <v>414</v>
      </c>
      <c r="FD95" s="9" t="s">
        <v>415</v>
      </c>
      <c r="FE95" s="9" t="s">
        <v>583</v>
      </c>
      <c r="FF95" s="9" t="s">
        <v>583</v>
      </c>
      <c r="FG95" s="9" t="s">
        <v>413</v>
      </c>
      <c r="FH95" s="9" t="s">
        <v>415</v>
      </c>
      <c r="FI95" s="9" t="s">
        <v>583</v>
      </c>
      <c r="FJ95" s="9" t="s">
        <v>415</v>
      </c>
      <c r="FK95" s="9" t="s">
        <v>414</v>
      </c>
      <c r="FL95" s="9" t="s">
        <v>414</v>
      </c>
      <c r="FM95" s="9" t="s">
        <v>413</v>
      </c>
      <c r="FN95" s="9" t="s">
        <v>415</v>
      </c>
      <c r="FO95" s="9" t="s">
        <v>850</v>
      </c>
      <c r="FP95" s="9" t="s">
        <v>486</v>
      </c>
      <c r="FQ95" s="9" t="s">
        <v>419</v>
      </c>
      <c r="FR95" s="9" t="s">
        <v>2577</v>
      </c>
      <c r="FS95" s="9" t="s">
        <v>420</v>
      </c>
      <c r="FT95" s="9" t="s">
        <v>488</v>
      </c>
      <c r="FU95" s="9" t="s">
        <v>489</v>
      </c>
      <c r="FV95" s="9" t="s">
        <v>490</v>
      </c>
      <c r="FW95" s="9" t="s">
        <v>491</v>
      </c>
      <c r="FY95" s="9" t="s">
        <v>535</v>
      </c>
      <c r="GB95" s="9" t="s">
        <v>455</v>
      </c>
      <c r="GC95" s="9"/>
      <c r="GD95" s="9"/>
      <c r="GE95" s="9" t="s">
        <v>944</v>
      </c>
      <c r="GG95" s="9" t="s">
        <v>1000</v>
      </c>
      <c r="GH95" s="9" t="s">
        <v>1000</v>
      </c>
      <c r="GI95" s="9" t="s">
        <v>756</v>
      </c>
      <c r="GM95" s="9" t="s">
        <v>1079</v>
      </c>
    </row>
    <row r="96" ht="24.75" customHeight="1">
      <c r="A96" s="8">
        <v>45828.35893381944</v>
      </c>
      <c r="B96" s="9" t="s">
        <v>368</v>
      </c>
      <c r="C96" s="9" t="s">
        <v>894</v>
      </c>
      <c r="D96" s="9" t="s">
        <v>894</v>
      </c>
      <c r="G96" s="9" t="s">
        <v>422</v>
      </c>
      <c r="H96" s="9" t="s">
        <v>496</v>
      </c>
      <c r="I96" s="9" t="s">
        <v>2578</v>
      </c>
      <c r="J96" s="9" t="s">
        <v>758</v>
      </c>
      <c r="K96" s="9" t="s">
        <v>376</v>
      </c>
      <c r="L96" s="9" t="s">
        <v>793</v>
      </c>
      <c r="M96" s="9" t="s">
        <v>2539</v>
      </c>
      <c r="N96" s="9" t="s">
        <v>379</v>
      </c>
      <c r="O96" s="9" t="s">
        <v>2579</v>
      </c>
      <c r="P96" s="9" t="s">
        <v>381</v>
      </c>
      <c r="Q96" s="9" t="s">
        <v>1004</v>
      </c>
      <c r="R96" s="9" t="s">
        <v>427</v>
      </c>
      <c r="S96" s="9" t="s">
        <v>384</v>
      </c>
      <c r="T96" s="9" t="s">
        <v>385</v>
      </c>
      <c r="U96" s="9" t="s">
        <v>896</v>
      </c>
      <c r="V96" s="9" t="s">
        <v>896</v>
      </c>
      <c r="W96" s="9" t="s">
        <v>760</v>
      </c>
      <c r="X96" s="9" t="s">
        <v>387</v>
      </c>
      <c r="Y96" s="9" t="s">
        <v>388</v>
      </c>
      <c r="Z96" s="9" t="s">
        <v>389</v>
      </c>
      <c r="AA96" s="9" t="s">
        <v>2580</v>
      </c>
      <c r="AV96" s="9" t="s">
        <v>1310</v>
      </c>
      <c r="AW96" s="9" t="s">
        <v>675</v>
      </c>
      <c r="AX96" s="9">
        <v>4.0</v>
      </c>
      <c r="AY96" s="9">
        <v>4.0</v>
      </c>
      <c r="AZ96" s="9" t="s">
        <v>391</v>
      </c>
      <c r="BA96" s="9">
        <v>4.0</v>
      </c>
      <c r="BB96" s="9" t="s">
        <v>675</v>
      </c>
      <c r="BE96" s="9" t="s">
        <v>902</v>
      </c>
      <c r="BF96" s="9" t="s">
        <v>1095</v>
      </c>
      <c r="BG96" s="9" t="s">
        <v>394</v>
      </c>
      <c r="BI96" s="9" t="s">
        <v>435</v>
      </c>
      <c r="BK96" s="9" t="s">
        <v>395</v>
      </c>
      <c r="BL96" s="9" t="s">
        <v>438</v>
      </c>
      <c r="BM96" s="9" t="s">
        <v>1247</v>
      </c>
      <c r="BN96" s="9" t="s">
        <v>398</v>
      </c>
      <c r="BO96" s="9" t="s">
        <v>2581</v>
      </c>
      <c r="BP96" s="9" t="s">
        <v>2582</v>
      </c>
      <c r="BQ96" s="9" t="s">
        <v>442</v>
      </c>
      <c r="BR96" s="9" t="s">
        <v>2583</v>
      </c>
      <c r="BS96" s="9" t="s">
        <v>403</v>
      </c>
      <c r="BT96" s="9" t="s">
        <v>404</v>
      </c>
      <c r="BU96" s="9" t="s">
        <v>405</v>
      </c>
      <c r="BW96" s="9" t="s">
        <v>406</v>
      </c>
      <c r="BX96" s="9" t="s">
        <v>407</v>
      </c>
      <c r="BY96" s="9" t="s">
        <v>408</v>
      </c>
      <c r="CA96" s="9" t="s">
        <v>2584</v>
      </c>
      <c r="CB96" s="9" t="s">
        <v>2585</v>
      </c>
      <c r="CC96" s="9" t="s">
        <v>2586</v>
      </c>
      <c r="CD96" s="9" t="s">
        <v>409</v>
      </c>
      <c r="CE96" s="9" t="s">
        <v>2587</v>
      </c>
      <c r="CF96" s="9" t="s">
        <v>1258</v>
      </c>
      <c r="CH96" s="9" t="s">
        <v>1751</v>
      </c>
      <c r="CI96" s="9" t="s">
        <v>833</v>
      </c>
      <c r="CJ96" s="9" t="s">
        <v>2588</v>
      </c>
      <c r="CK96" s="9" t="s">
        <v>2589</v>
      </c>
      <c r="ET96" s="9" t="s">
        <v>526</v>
      </c>
      <c r="EU96" s="9" t="s">
        <v>1127</v>
      </c>
      <c r="EV96" s="9" t="s">
        <v>1262</v>
      </c>
      <c r="EX96" s="9" t="s">
        <v>2590</v>
      </c>
      <c r="EY96" s="9" t="s">
        <v>2591</v>
      </c>
      <c r="EZ96" s="9" t="s">
        <v>414</v>
      </c>
      <c r="FA96" s="9" t="s">
        <v>414</v>
      </c>
      <c r="FB96" s="9" t="s">
        <v>413</v>
      </c>
      <c r="FC96" s="9" t="s">
        <v>415</v>
      </c>
      <c r="FD96" s="9" t="s">
        <v>413</v>
      </c>
      <c r="FE96" s="9" t="s">
        <v>414</v>
      </c>
      <c r="FF96" s="9" t="s">
        <v>415</v>
      </c>
      <c r="FG96" s="9" t="s">
        <v>413</v>
      </c>
      <c r="FH96" s="9" t="s">
        <v>583</v>
      </c>
      <c r="FI96" s="9" t="s">
        <v>415</v>
      </c>
      <c r="FJ96" s="9" t="s">
        <v>415</v>
      </c>
      <c r="FK96" s="9" t="s">
        <v>415</v>
      </c>
      <c r="FL96" s="9" t="s">
        <v>415</v>
      </c>
      <c r="FM96" s="9" t="s">
        <v>413</v>
      </c>
      <c r="FN96" s="9" t="s">
        <v>583</v>
      </c>
      <c r="FO96" s="9" t="s">
        <v>850</v>
      </c>
      <c r="FP96" s="9" t="s">
        <v>418</v>
      </c>
      <c r="FQ96" s="9" t="s">
        <v>749</v>
      </c>
      <c r="FR96" s="9" t="s">
        <v>2592</v>
      </c>
      <c r="FS96" s="9" t="s">
        <v>1189</v>
      </c>
      <c r="FT96" s="9" t="s">
        <v>488</v>
      </c>
      <c r="FU96" s="9" t="s">
        <v>918</v>
      </c>
      <c r="FV96" s="9" t="s">
        <v>490</v>
      </c>
      <c r="FW96" s="9" t="s">
        <v>491</v>
      </c>
      <c r="FX96" s="9" t="s">
        <v>2593</v>
      </c>
      <c r="FY96" s="9" t="s">
        <v>535</v>
      </c>
      <c r="GB96" s="9" t="s">
        <v>455</v>
      </c>
      <c r="GC96" s="9"/>
      <c r="GE96" s="9" t="s">
        <v>1420</v>
      </c>
      <c r="GF96" s="9" t="s">
        <v>913</v>
      </c>
      <c r="GJ96" s="9" t="s">
        <v>857</v>
      </c>
      <c r="GK96" s="9" t="s">
        <v>857</v>
      </c>
      <c r="GL96" s="9" t="s">
        <v>790</v>
      </c>
    </row>
    <row r="97" ht="24.75" customHeight="1">
      <c r="A97" s="8">
        <v>45828.35894726852</v>
      </c>
      <c r="B97" s="9" t="s">
        <v>368</v>
      </c>
      <c r="C97" s="9" t="s">
        <v>370</v>
      </c>
      <c r="E97" s="9" t="s">
        <v>1382</v>
      </c>
      <c r="G97" s="9" t="s">
        <v>422</v>
      </c>
      <c r="H97" s="9" t="s">
        <v>373</v>
      </c>
      <c r="I97" s="9" t="s">
        <v>638</v>
      </c>
      <c r="J97" s="9" t="s">
        <v>590</v>
      </c>
      <c r="K97" s="9" t="s">
        <v>376</v>
      </c>
      <c r="L97" s="9" t="s">
        <v>426</v>
      </c>
      <c r="M97" s="9" t="s">
        <v>378</v>
      </c>
      <c r="N97" s="9" t="s">
        <v>793</v>
      </c>
      <c r="O97" s="9" t="s">
        <v>2594</v>
      </c>
      <c r="P97" s="9" t="s">
        <v>381</v>
      </c>
      <c r="Q97" s="9" t="s">
        <v>382</v>
      </c>
      <c r="R97" s="9" t="s">
        <v>500</v>
      </c>
      <c r="S97" s="9" t="s">
        <v>384</v>
      </c>
      <c r="T97" s="9" t="s">
        <v>385</v>
      </c>
      <c r="W97" s="9" t="s">
        <v>593</v>
      </c>
      <c r="X97" s="9" t="s">
        <v>387</v>
      </c>
      <c r="Y97" s="9" t="s">
        <v>2115</v>
      </c>
      <c r="Z97" s="9" t="s">
        <v>502</v>
      </c>
      <c r="AA97" s="9" t="s">
        <v>2595</v>
      </c>
      <c r="AB97" s="9" t="s">
        <v>2596</v>
      </c>
      <c r="AV97" s="9" t="s">
        <v>1242</v>
      </c>
      <c r="AW97" s="9">
        <v>4.0</v>
      </c>
      <c r="AX97" s="9">
        <v>4.0</v>
      </c>
      <c r="AY97" s="9">
        <v>2.0</v>
      </c>
      <c r="AZ97" s="9" t="s">
        <v>675</v>
      </c>
      <c r="BA97" s="9" t="s">
        <v>675</v>
      </c>
      <c r="BB97" s="9" t="s">
        <v>675</v>
      </c>
      <c r="BC97" s="9" t="s">
        <v>2597</v>
      </c>
      <c r="BD97" s="9" t="s">
        <v>2598</v>
      </c>
      <c r="BE97" s="9" t="s">
        <v>902</v>
      </c>
      <c r="BF97" s="9" t="s">
        <v>1047</v>
      </c>
      <c r="BG97" s="9" t="s">
        <v>394</v>
      </c>
      <c r="BH97" s="9" t="s">
        <v>2599</v>
      </c>
      <c r="BI97" s="9" t="s">
        <v>435</v>
      </c>
      <c r="BJ97" s="9" t="s">
        <v>2600</v>
      </c>
      <c r="BK97" s="9" t="s">
        <v>602</v>
      </c>
      <c r="BL97" s="9" t="s">
        <v>603</v>
      </c>
      <c r="BM97" s="9" t="s">
        <v>1314</v>
      </c>
      <c r="BN97" s="9" t="s">
        <v>398</v>
      </c>
      <c r="BO97" s="9" t="s">
        <v>2601</v>
      </c>
      <c r="BP97" s="9" t="s">
        <v>2602</v>
      </c>
      <c r="BQ97" s="9" t="s">
        <v>604</v>
      </c>
      <c r="BR97" s="9" t="s">
        <v>2603</v>
      </c>
      <c r="BS97" s="9" t="s">
        <v>1671</v>
      </c>
      <c r="BT97" s="9" t="s">
        <v>1771</v>
      </c>
      <c r="BU97" s="9" t="s">
        <v>405</v>
      </c>
      <c r="BW97" s="9" t="s">
        <v>457</v>
      </c>
      <c r="BY97" s="9" t="s">
        <v>455</v>
      </c>
      <c r="BZ97" s="9" t="s">
        <v>2604</v>
      </c>
      <c r="CA97" s="9" t="s">
        <v>2605</v>
      </c>
      <c r="CB97" s="9" t="s">
        <v>2606</v>
      </c>
      <c r="CC97" s="9" t="s">
        <v>2607</v>
      </c>
      <c r="CD97" s="9" t="s">
        <v>409</v>
      </c>
      <c r="CE97" s="9" t="s">
        <v>2608</v>
      </c>
      <c r="CF97" s="9" t="s">
        <v>1722</v>
      </c>
      <c r="CG97" s="9" t="s">
        <v>2609</v>
      </c>
      <c r="CH97" s="9" t="s">
        <v>1698</v>
      </c>
      <c r="CI97" s="9" t="s">
        <v>410</v>
      </c>
      <c r="CJ97" s="9" t="s">
        <v>2610</v>
      </c>
      <c r="CK97" s="9" t="s">
        <v>2611</v>
      </c>
      <c r="ET97" s="9" t="s">
        <v>526</v>
      </c>
      <c r="EU97" s="9" t="s">
        <v>479</v>
      </c>
      <c r="EV97" s="9" t="s">
        <v>527</v>
      </c>
      <c r="EW97" s="9" t="s">
        <v>2612</v>
      </c>
      <c r="EX97" s="9" t="s">
        <v>2613</v>
      </c>
      <c r="EY97" s="9" t="s">
        <v>2614</v>
      </c>
      <c r="EZ97" s="9" t="s">
        <v>583</v>
      </c>
      <c r="FA97" s="9" t="s">
        <v>583</v>
      </c>
      <c r="FB97" s="9" t="s">
        <v>414</v>
      </c>
      <c r="FC97" s="9" t="s">
        <v>583</v>
      </c>
      <c r="FD97" s="9" t="s">
        <v>413</v>
      </c>
      <c r="FE97" s="9" t="s">
        <v>583</v>
      </c>
      <c r="FF97" s="9" t="s">
        <v>414</v>
      </c>
      <c r="FG97" s="9" t="s">
        <v>416</v>
      </c>
      <c r="FH97" s="9" t="s">
        <v>583</v>
      </c>
      <c r="FI97" s="9" t="s">
        <v>583</v>
      </c>
      <c r="FJ97" s="9" t="s">
        <v>583</v>
      </c>
      <c r="FK97" s="9" t="s">
        <v>415</v>
      </c>
      <c r="FL97" s="9" t="s">
        <v>414</v>
      </c>
      <c r="FM97" s="9" t="s">
        <v>416</v>
      </c>
      <c r="FN97" s="9" t="s">
        <v>414</v>
      </c>
      <c r="FO97" s="9" t="s">
        <v>417</v>
      </c>
      <c r="FP97" s="9" t="s">
        <v>418</v>
      </c>
      <c r="FQ97" s="9" t="s">
        <v>749</v>
      </c>
      <c r="FR97" s="9" t="s">
        <v>2615</v>
      </c>
      <c r="FS97" s="9" t="s">
        <v>420</v>
      </c>
      <c r="FT97" s="9" t="s">
        <v>1462</v>
      </c>
      <c r="FU97" s="9" t="s">
        <v>489</v>
      </c>
      <c r="FV97" s="9" t="s">
        <v>490</v>
      </c>
      <c r="FW97" s="9" t="s">
        <v>491</v>
      </c>
      <c r="FX97" s="9" t="s">
        <v>2616</v>
      </c>
      <c r="FY97" s="9" t="s">
        <v>535</v>
      </c>
      <c r="FZ97" s="9" t="s">
        <v>2617</v>
      </c>
      <c r="GA97" s="9" t="s">
        <v>2618</v>
      </c>
      <c r="GB97" s="9" t="s">
        <v>455</v>
      </c>
      <c r="GC97" s="9"/>
      <c r="GD97" s="9"/>
      <c r="GE97" s="9" t="s">
        <v>753</v>
      </c>
      <c r="GF97" s="9" t="s">
        <v>2619</v>
      </c>
      <c r="GJ97" s="9" t="s">
        <v>755</v>
      </c>
      <c r="GK97" s="9" t="s">
        <v>755</v>
      </c>
      <c r="GL97" s="9" t="s">
        <v>817</v>
      </c>
    </row>
    <row r="98" ht="24.75" customHeight="1">
      <c r="A98" s="8">
        <v>45828.36039090277</v>
      </c>
      <c r="B98" s="9" t="s">
        <v>368</v>
      </c>
      <c r="C98" s="9" t="s">
        <v>370</v>
      </c>
      <c r="E98" s="9" t="s">
        <v>2620</v>
      </c>
      <c r="G98" s="9" t="s">
        <v>1093</v>
      </c>
      <c r="H98" s="9" t="s">
        <v>539</v>
      </c>
      <c r="I98" s="9" t="s">
        <v>424</v>
      </c>
      <c r="J98" s="9" t="s">
        <v>669</v>
      </c>
      <c r="K98" s="9" t="s">
        <v>376</v>
      </c>
      <c r="L98" s="9" t="s">
        <v>591</v>
      </c>
      <c r="M98" s="9" t="s">
        <v>378</v>
      </c>
      <c r="N98" s="9" t="s">
        <v>670</v>
      </c>
      <c r="O98" s="9" t="s">
        <v>671</v>
      </c>
      <c r="P98" s="9" t="s">
        <v>592</v>
      </c>
      <c r="Q98" s="9" t="s">
        <v>382</v>
      </c>
      <c r="R98" s="9" t="s">
        <v>500</v>
      </c>
      <c r="S98" s="9" t="s">
        <v>384</v>
      </c>
      <c r="T98" s="9" t="s">
        <v>385</v>
      </c>
      <c r="W98" s="9" t="s">
        <v>428</v>
      </c>
      <c r="AV98" s="9" t="s">
        <v>1310</v>
      </c>
      <c r="AW98" s="9" t="s">
        <v>391</v>
      </c>
      <c r="AX98" s="9" t="s">
        <v>391</v>
      </c>
      <c r="AY98" s="9" t="s">
        <v>429</v>
      </c>
      <c r="AZ98" s="9" t="s">
        <v>429</v>
      </c>
      <c r="BB98" s="9">
        <v>2.0</v>
      </c>
      <c r="BE98" s="9" t="s">
        <v>392</v>
      </c>
      <c r="BF98" s="9" t="s">
        <v>393</v>
      </c>
      <c r="BG98" s="9" t="s">
        <v>678</v>
      </c>
      <c r="BI98" s="9" t="s">
        <v>976</v>
      </c>
      <c r="BK98" s="9" t="s">
        <v>511</v>
      </c>
      <c r="BL98" s="9" t="s">
        <v>603</v>
      </c>
      <c r="BM98" s="9" t="s">
        <v>1247</v>
      </c>
      <c r="BN98" s="9" t="s">
        <v>513</v>
      </c>
      <c r="CL98" s="9" t="s">
        <v>441</v>
      </c>
      <c r="CM98" s="9" t="s">
        <v>401</v>
      </c>
      <c r="CP98" s="9" t="s">
        <v>403</v>
      </c>
      <c r="CQ98" s="9" t="s">
        <v>1427</v>
      </c>
      <c r="CR98" s="9" t="s">
        <v>404</v>
      </c>
      <c r="CS98" s="9" t="s">
        <v>1137</v>
      </c>
      <c r="CU98" s="9" t="s">
        <v>1852</v>
      </c>
      <c r="CV98" s="9" t="s">
        <v>1931</v>
      </c>
      <c r="CX98" s="9" t="s">
        <v>408</v>
      </c>
      <c r="CZ98" s="9" t="s">
        <v>1962</v>
      </c>
      <c r="DB98" s="9" t="s">
        <v>408</v>
      </c>
      <c r="DD98" s="9" t="s">
        <v>406</v>
      </c>
      <c r="DE98" s="9" t="s">
        <v>407</v>
      </c>
      <c r="DG98" s="9" t="s">
        <v>990</v>
      </c>
      <c r="DH98" s="9" t="s">
        <v>694</v>
      </c>
      <c r="DI98" s="9" t="s">
        <v>459</v>
      </c>
      <c r="DJ98" s="9" t="s">
        <v>613</v>
      </c>
      <c r="ET98" s="9" t="s">
        <v>478</v>
      </c>
      <c r="EU98" s="9" t="s">
        <v>479</v>
      </c>
      <c r="EV98" s="9" t="s">
        <v>480</v>
      </c>
      <c r="EZ98" s="9" t="s">
        <v>414</v>
      </c>
      <c r="FA98" s="9" t="s">
        <v>583</v>
      </c>
      <c r="FB98" s="9" t="s">
        <v>413</v>
      </c>
      <c r="FC98" s="9" t="s">
        <v>414</v>
      </c>
      <c r="FD98" s="9" t="s">
        <v>413</v>
      </c>
      <c r="FE98" s="9" t="s">
        <v>583</v>
      </c>
      <c r="FF98" s="9" t="s">
        <v>414</v>
      </c>
      <c r="FG98" s="9" t="s">
        <v>415</v>
      </c>
      <c r="FH98" s="9" t="s">
        <v>415</v>
      </c>
      <c r="FI98" s="9" t="s">
        <v>583</v>
      </c>
      <c r="FJ98" s="9" t="s">
        <v>415</v>
      </c>
      <c r="FK98" s="9" t="s">
        <v>415</v>
      </c>
      <c r="FL98" s="9" t="s">
        <v>415</v>
      </c>
      <c r="FM98" s="9" t="s">
        <v>415</v>
      </c>
      <c r="FN98" s="9" t="s">
        <v>415</v>
      </c>
      <c r="FO98" s="9" t="s">
        <v>485</v>
      </c>
      <c r="FP98" s="9" t="s">
        <v>418</v>
      </c>
      <c r="FQ98" s="9" t="s">
        <v>712</v>
      </c>
      <c r="FS98" s="9" t="s">
        <v>1076</v>
      </c>
      <c r="FT98" s="9" t="s">
        <v>1476</v>
      </c>
      <c r="FU98" s="9" t="s">
        <v>489</v>
      </c>
      <c r="FV98" s="9" t="s">
        <v>1101</v>
      </c>
      <c r="FW98" s="9" t="s">
        <v>1853</v>
      </c>
      <c r="FY98" s="9" t="s">
        <v>1854</v>
      </c>
      <c r="GB98" s="9" t="s">
        <v>408</v>
      </c>
      <c r="GG98" s="9" t="s">
        <v>789</v>
      </c>
      <c r="GH98" s="9" t="s">
        <v>789</v>
      </c>
      <c r="GI98" s="9" t="s">
        <v>756</v>
      </c>
    </row>
    <row r="99" ht="24.75" customHeight="1">
      <c r="A99" s="8">
        <v>45828.36711222222</v>
      </c>
      <c r="B99" s="9" t="s">
        <v>368</v>
      </c>
      <c r="C99" s="9" t="s">
        <v>370</v>
      </c>
      <c r="E99" s="9" t="s">
        <v>859</v>
      </c>
      <c r="W99" s="9" t="s">
        <v>760</v>
      </c>
      <c r="X99" s="9" t="s">
        <v>1706</v>
      </c>
      <c r="AC99" s="9" t="s">
        <v>1707</v>
      </c>
      <c r="AD99" s="9" t="s">
        <v>2621</v>
      </c>
      <c r="AE99" s="9" t="s">
        <v>408</v>
      </c>
      <c r="AG99" s="9">
        <v>5.0</v>
      </c>
      <c r="AH99" s="9" t="s">
        <v>647</v>
      </c>
      <c r="AI99" s="9" t="s">
        <v>2622</v>
      </c>
      <c r="AJ99" s="9" t="s">
        <v>2623</v>
      </c>
      <c r="AK99" s="9" t="s">
        <v>396</v>
      </c>
      <c r="AV99" s="9" t="s">
        <v>1242</v>
      </c>
      <c r="AW99" s="9" t="s">
        <v>675</v>
      </c>
      <c r="AX99" s="9" t="s">
        <v>675</v>
      </c>
      <c r="AY99" s="9" t="s">
        <v>675</v>
      </c>
      <c r="AZ99" s="9" t="s">
        <v>675</v>
      </c>
      <c r="BA99" s="9" t="s">
        <v>675</v>
      </c>
      <c r="BB99" s="9" t="s">
        <v>675</v>
      </c>
      <c r="BC99" s="9" t="s">
        <v>2624</v>
      </c>
      <c r="BD99" s="9" t="s">
        <v>2625</v>
      </c>
      <c r="BE99" s="9" t="s">
        <v>902</v>
      </c>
      <c r="BF99" s="9" t="s">
        <v>1245</v>
      </c>
      <c r="BG99" s="9" t="s">
        <v>394</v>
      </c>
      <c r="BI99" s="9" t="s">
        <v>435</v>
      </c>
      <c r="BJ99" s="9" t="s">
        <v>2626</v>
      </c>
      <c r="BK99" s="9" t="s">
        <v>602</v>
      </c>
      <c r="BL99" s="9" t="s">
        <v>904</v>
      </c>
      <c r="BM99" s="9" t="s">
        <v>1314</v>
      </c>
      <c r="ET99" s="9" t="s">
        <v>478</v>
      </c>
      <c r="EU99" s="9" t="s">
        <v>579</v>
      </c>
      <c r="EV99" s="9" t="s">
        <v>527</v>
      </c>
      <c r="EW99" s="9" t="s">
        <v>2627</v>
      </c>
      <c r="EX99" s="9" t="s">
        <v>2628</v>
      </c>
      <c r="EY99" s="9" t="s">
        <v>2629</v>
      </c>
      <c r="EZ99" s="9" t="s">
        <v>414</v>
      </c>
      <c r="FA99" s="9" t="s">
        <v>414</v>
      </c>
      <c r="FB99" s="9" t="s">
        <v>413</v>
      </c>
      <c r="FC99" s="9" t="s">
        <v>414</v>
      </c>
      <c r="FD99" s="9" t="s">
        <v>413</v>
      </c>
      <c r="FE99" s="9" t="s">
        <v>414</v>
      </c>
      <c r="FF99" s="9" t="s">
        <v>415</v>
      </c>
      <c r="FG99" s="9" t="s">
        <v>414</v>
      </c>
      <c r="FH99" s="9" t="s">
        <v>416</v>
      </c>
      <c r="FI99" s="9" t="s">
        <v>414</v>
      </c>
      <c r="FJ99" s="9" t="s">
        <v>414</v>
      </c>
      <c r="FK99" s="9" t="s">
        <v>414</v>
      </c>
      <c r="FL99" s="9" t="s">
        <v>414</v>
      </c>
      <c r="FM99" s="9" t="s">
        <v>416</v>
      </c>
      <c r="FN99" s="9" t="s">
        <v>414</v>
      </c>
      <c r="FO99" s="9" t="s">
        <v>850</v>
      </c>
      <c r="FP99" s="9" t="s">
        <v>418</v>
      </c>
      <c r="FQ99" s="9" t="s">
        <v>712</v>
      </c>
      <c r="FR99" s="9" t="s">
        <v>2630</v>
      </c>
      <c r="FS99" s="9" t="s">
        <v>420</v>
      </c>
      <c r="FT99" s="9" t="s">
        <v>488</v>
      </c>
      <c r="FU99" s="9" t="s">
        <v>489</v>
      </c>
      <c r="FV99" s="9" t="s">
        <v>490</v>
      </c>
      <c r="FW99" s="9" t="s">
        <v>491</v>
      </c>
      <c r="FX99" s="9" t="s">
        <v>2631</v>
      </c>
      <c r="FY99" s="9" t="s">
        <v>493</v>
      </c>
      <c r="FZ99" s="9" t="s">
        <v>2632</v>
      </c>
      <c r="GB99" s="9" t="s">
        <v>455</v>
      </c>
      <c r="GC99" s="9"/>
      <c r="GE99" s="9" t="s">
        <v>753</v>
      </c>
    </row>
    <row r="100" ht="24.75" customHeight="1">
      <c r="A100" s="8">
        <v>45828.39941795139</v>
      </c>
      <c r="B100" s="9" t="s">
        <v>368</v>
      </c>
      <c r="C100" s="9" t="s">
        <v>370</v>
      </c>
      <c r="E100" s="9" t="s">
        <v>1562</v>
      </c>
      <c r="G100" s="9" t="s">
        <v>422</v>
      </c>
      <c r="H100" s="9" t="s">
        <v>637</v>
      </c>
      <c r="I100" s="9" t="s">
        <v>638</v>
      </c>
      <c r="J100" s="9" t="s">
        <v>590</v>
      </c>
      <c r="K100" s="9" t="s">
        <v>376</v>
      </c>
      <c r="L100" s="9" t="s">
        <v>591</v>
      </c>
      <c r="M100" s="9" t="s">
        <v>719</v>
      </c>
      <c r="N100" s="9" t="s">
        <v>591</v>
      </c>
      <c r="O100" s="9" t="s">
        <v>2633</v>
      </c>
      <c r="P100" s="9" t="s">
        <v>498</v>
      </c>
      <c r="Q100" s="9" t="s">
        <v>1156</v>
      </c>
      <c r="R100" s="9" t="s">
        <v>427</v>
      </c>
      <c r="S100" s="9" t="s">
        <v>384</v>
      </c>
      <c r="T100" s="9" t="s">
        <v>385</v>
      </c>
      <c r="W100" s="9" t="s">
        <v>760</v>
      </c>
      <c r="X100" s="9" t="s">
        <v>387</v>
      </c>
      <c r="Y100" s="9" t="s">
        <v>2115</v>
      </c>
      <c r="AA100" s="9" t="s">
        <v>2634</v>
      </c>
      <c r="AB100" s="9" t="s">
        <v>2635</v>
      </c>
      <c r="AV100" s="9" t="s">
        <v>1310</v>
      </c>
      <c r="AW100" s="9" t="s">
        <v>391</v>
      </c>
      <c r="AX100" s="9" t="s">
        <v>391</v>
      </c>
      <c r="AY100" s="9" t="s">
        <v>391</v>
      </c>
      <c r="AZ100" s="9">
        <v>2.0</v>
      </c>
      <c r="BA100" s="9" t="s">
        <v>429</v>
      </c>
      <c r="BB100" s="9">
        <v>2.0</v>
      </c>
      <c r="BC100" s="9" t="s">
        <v>2636</v>
      </c>
      <c r="BD100" s="9" t="s">
        <v>2637</v>
      </c>
      <c r="BE100" s="9" t="s">
        <v>432</v>
      </c>
      <c r="BF100" s="9" t="s">
        <v>393</v>
      </c>
      <c r="BG100" s="9" t="s">
        <v>434</v>
      </c>
      <c r="BH100" s="9" t="s">
        <v>2638</v>
      </c>
      <c r="BI100" s="9" t="s">
        <v>727</v>
      </c>
      <c r="BJ100" s="9" t="s">
        <v>2639</v>
      </c>
      <c r="BK100" s="9" t="s">
        <v>511</v>
      </c>
      <c r="BL100" s="9" t="s">
        <v>438</v>
      </c>
      <c r="BM100" s="9" t="s">
        <v>549</v>
      </c>
      <c r="BN100" s="9" t="s">
        <v>513</v>
      </c>
      <c r="CL100" s="9" t="s">
        <v>441</v>
      </c>
      <c r="CM100" s="9" t="s">
        <v>401</v>
      </c>
      <c r="CN100" s="9" t="s">
        <v>2640</v>
      </c>
      <c r="CO100" s="9" t="s">
        <v>2641</v>
      </c>
      <c r="CP100" s="9" t="s">
        <v>403</v>
      </c>
      <c r="CQ100" s="9" t="s">
        <v>1427</v>
      </c>
      <c r="CR100" s="9" t="s">
        <v>404</v>
      </c>
      <c r="CS100" s="9" t="s">
        <v>2642</v>
      </c>
      <c r="CT100" s="9" t="s">
        <v>2643</v>
      </c>
      <c r="CU100" s="9" t="s">
        <v>450</v>
      </c>
      <c r="CV100" s="9" t="s">
        <v>451</v>
      </c>
      <c r="CW100" s="9" t="s">
        <v>2644</v>
      </c>
      <c r="CX100" s="9" t="s">
        <v>733</v>
      </c>
      <c r="CZ100" s="9" t="s">
        <v>453</v>
      </c>
      <c r="DA100" s="9" t="s">
        <v>2645</v>
      </c>
      <c r="DB100" s="9" t="s">
        <v>455</v>
      </c>
      <c r="DC100" s="9" t="s">
        <v>2646</v>
      </c>
      <c r="DD100" s="9" t="s">
        <v>406</v>
      </c>
      <c r="DE100" s="9" t="s">
        <v>407</v>
      </c>
      <c r="DF100" s="9" t="s">
        <v>2647</v>
      </c>
      <c r="DG100" s="9" t="s">
        <v>524</v>
      </c>
      <c r="DH100" s="9" t="s">
        <v>410</v>
      </c>
      <c r="DI100" s="9" t="s">
        <v>963</v>
      </c>
      <c r="DJ100" s="9" t="s">
        <v>613</v>
      </c>
      <c r="ET100" s="9" t="s">
        <v>526</v>
      </c>
      <c r="EU100" s="9" t="s">
        <v>479</v>
      </c>
      <c r="EV100" s="9" t="s">
        <v>527</v>
      </c>
      <c r="EW100" s="9" t="s">
        <v>2648</v>
      </c>
      <c r="EX100" s="9" t="s">
        <v>2649</v>
      </c>
      <c r="EY100" s="9" t="s">
        <v>2650</v>
      </c>
      <c r="EZ100" s="9" t="s">
        <v>414</v>
      </c>
      <c r="FA100" s="9" t="s">
        <v>414</v>
      </c>
      <c r="FB100" s="9" t="s">
        <v>414</v>
      </c>
      <c r="FC100" s="9" t="s">
        <v>414</v>
      </c>
      <c r="FD100" s="9" t="s">
        <v>413</v>
      </c>
      <c r="FE100" s="9" t="s">
        <v>583</v>
      </c>
      <c r="FF100" s="9" t="s">
        <v>413</v>
      </c>
      <c r="FG100" s="9" t="s">
        <v>413</v>
      </c>
      <c r="FH100" s="9" t="s">
        <v>414</v>
      </c>
      <c r="FI100" s="9" t="s">
        <v>583</v>
      </c>
      <c r="FJ100" s="9" t="s">
        <v>414</v>
      </c>
      <c r="FK100" s="9" t="s">
        <v>484</v>
      </c>
      <c r="FL100" s="9" t="s">
        <v>484</v>
      </c>
      <c r="FM100" s="9" t="s">
        <v>484</v>
      </c>
      <c r="FN100" s="9" t="s">
        <v>583</v>
      </c>
      <c r="FO100" s="9" t="s">
        <v>417</v>
      </c>
      <c r="FP100" s="9" t="s">
        <v>2651</v>
      </c>
      <c r="FQ100" s="9" t="s">
        <v>630</v>
      </c>
      <c r="FR100" s="9" t="s">
        <v>2652</v>
      </c>
      <c r="FS100" s="9" t="s">
        <v>420</v>
      </c>
      <c r="FT100" s="9" t="s">
        <v>488</v>
      </c>
      <c r="FU100" s="9" t="s">
        <v>533</v>
      </c>
      <c r="FV100" s="9" t="s">
        <v>490</v>
      </c>
      <c r="FW100" s="9" t="s">
        <v>491</v>
      </c>
      <c r="FX100" s="9" t="s">
        <v>2653</v>
      </c>
      <c r="FY100" s="9" t="s">
        <v>535</v>
      </c>
      <c r="FZ100" s="9" t="s">
        <v>2654</v>
      </c>
      <c r="GA100" s="9" t="s">
        <v>2655</v>
      </c>
      <c r="GB100" s="9" t="s">
        <v>455</v>
      </c>
      <c r="GC100" s="9"/>
      <c r="GE100" s="9" t="s">
        <v>753</v>
      </c>
      <c r="GF100" s="9" t="s">
        <v>2656</v>
      </c>
      <c r="GG100" s="9" t="s">
        <v>857</v>
      </c>
      <c r="GH100" s="9" t="s">
        <v>857</v>
      </c>
      <c r="GI100" s="9" t="s">
        <v>817</v>
      </c>
    </row>
    <row r="101" ht="24.75" customHeight="1">
      <c r="A101" s="8">
        <v>45828.46985780093</v>
      </c>
      <c r="B101" s="9" t="s">
        <v>368</v>
      </c>
      <c r="C101" s="9" t="s">
        <v>370</v>
      </c>
      <c r="E101" s="9" t="s">
        <v>371</v>
      </c>
      <c r="G101" s="9" t="s">
        <v>2657</v>
      </c>
      <c r="H101" s="9" t="s">
        <v>373</v>
      </c>
      <c r="I101" s="9" t="s">
        <v>374</v>
      </c>
      <c r="J101" s="9" t="s">
        <v>669</v>
      </c>
      <c r="K101" s="9" t="s">
        <v>376</v>
      </c>
      <c r="L101" s="9" t="s">
        <v>591</v>
      </c>
      <c r="M101" s="9" t="s">
        <v>2658</v>
      </c>
      <c r="N101" s="9" t="s">
        <v>793</v>
      </c>
      <c r="O101" s="9" t="s">
        <v>2579</v>
      </c>
      <c r="P101" s="9" t="s">
        <v>592</v>
      </c>
      <c r="Q101" s="9" t="s">
        <v>382</v>
      </c>
      <c r="R101" s="9" t="s">
        <v>427</v>
      </c>
      <c r="S101" s="9" t="s">
        <v>384</v>
      </c>
      <c r="T101" s="9" t="s">
        <v>385</v>
      </c>
      <c r="W101" s="9" t="s">
        <v>428</v>
      </c>
      <c r="AV101" s="9" t="s">
        <v>1242</v>
      </c>
      <c r="AW101" s="9" t="s">
        <v>675</v>
      </c>
      <c r="AX101" s="9">
        <v>4.0</v>
      </c>
      <c r="AY101" s="9">
        <v>4.0</v>
      </c>
      <c r="AZ101" s="9" t="s">
        <v>675</v>
      </c>
      <c r="BA101" s="9" t="s">
        <v>675</v>
      </c>
      <c r="BB101" s="9" t="s">
        <v>675</v>
      </c>
      <c r="BE101" s="9" t="s">
        <v>902</v>
      </c>
      <c r="BF101" s="9" t="s">
        <v>1245</v>
      </c>
      <c r="BG101" s="9" t="s">
        <v>725</v>
      </c>
      <c r="BI101" s="9" t="s">
        <v>435</v>
      </c>
      <c r="BJ101" s="9" t="s">
        <v>2659</v>
      </c>
      <c r="BK101" s="9" t="s">
        <v>681</v>
      </c>
      <c r="BL101" s="9" t="s">
        <v>603</v>
      </c>
      <c r="BM101" s="9" t="s">
        <v>1247</v>
      </c>
      <c r="BN101" s="9" t="s">
        <v>398</v>
      </c>
      <c r="BO101" s="9" t="s">
        <v>2660</v>
      </c>
      <c r="BP101" s="9" t="s">
        <v>2661</v>
      </c>
      <c r="BQ101" s="9" t="s">
        <v>604</v>
      </c>
      <c r="BR101" s="9" t="s">
        <v>2662</v>
      </c>
      <c r="BS101" s="9" t="s">
        <v>1741</v>
      </c>
      <c r="BT101" s="9" t="s">
        <v>1742</v>
      </c>
      <c r="BU101" s="9" t="s">
        <v>1772</v>
      </c>
      <c r="BV101" s="9" t="s">
        <v>2663</v>
      </c>
      <c r="BW101" s="9" t="s">
        <v>988</v>
      </c>
      <c r="BY101" s="9" t="s">
        <v>408</v>
      </c>
      <c r="CA101" s="9" t="s">
        <v>2664</v>
      </c>
      <c r="CB101" s="9" t="s">
        <v>2665</v>
      </c>
      <c r="CC101" s="9" t="s">
        <v>2666</v>
      </c>
      <c r="CD101" s="9" t="s">
        <v>409</v>
      </c>
      <c r="CE101" s="9" t="s">
        <v>2667</v>
      </c>
      <c r="CF101" s="9" t="s">
        <v>1258</v>
      </c>
      <c r="CH101" s="9" t="s">
        <v>1698</v>
      </c>
      <c r="CI101" s="9" t="s">
        <v>833</v>
      </c>
      <c r="CJ101" s="9" t="s">
        <v>2668</v>
      </c>
      <c r="CK101" s="9" t="s">
        <v>2669</v>
      </c>
      <c r="ET101" s="9" t="s">
        <v>526</v>
      </c>
      <c r="EU101" s="9" t="s">
        <v>479</v>
      </c>
      <c r="EV101" s="9" t="s">
        <v>480</v>
      </c>
      <c r="EX101" s="9" t="s">
        <v>2670</v>
      </c>
      <c r="EY101" s="9" t="s">
        <v>2671</v>
      </c>
      <c r="EZ101" s="9" t="s">
        <v>415</v>
      </c>
      <c r="FA101" s="9" t="s">
        <v>415</v>
      </c>
      <c r="FB101" s="9" t="s">
        <v>413</v>
      </c>
      <c r="FC101" s="9" t="s">
        <v>415</v>
      </c>
      <c r="FD101" s="9" t="s">
        <v>413</v>
      </c>
      <c r="FE101" s="9" t="s">
        <v>414</v>
      </c>
      <c r="FF101" s="9" t="s">
        <v>415</v>
      </c>
      <c r="FG101" s="9" t="s">
        <v>413</v>
      </c>
      <c r="FH101" s="9" t="s">
        <v>415</v>
      </c>
      <c r="FI101" s="9" t="s">
        <v>415</v>
      </c>
      <c r="FJ101" s="9" t="s">
        <v>415</v>
      </c>
      <c r="FK101" s="9" t="s">
        <v>415</v>
      </c>
      <c r="FL101" s="9" t="s">
        <v>415</v>
      </c>
      <c r="FM101" s="9" t="s">
        <v>416</v>
      </c>
      <c r="FN101" s="9" t="s">
        <v>414</v>
      </c>
      <c r="FO101" s="9" t="s">
        <v>485</v>
      </c>
      <c r="FP101" s="9" t="s">
        <v>418</v>
      </c>
      <c r="FQ101" s="9" t="s">
        <v>749</v>
      </c>
      <c r="FR101" s="9" t="s">
        <v>2672</v>
      </c>
      <c r="FS101" s="9" t="s">
        <v>420</v>
      </c>
      <c r="FT101" s="9" t="s">
        <v>1462</v>
      </c>
      <c r="FU101" s="9" t="s">
        <v>489</v>
      </c>
      <c r="FV101" s="9" t="s">
        <v>490</v>
      </c>
      <c r="FW101" s="9" t="s">
        <v>491</v>
      </c>
      <c r="FX101" s="9" t="s">
        <v>2673</v>
      </c>
      <c r="FY101" s="9" t="s">
        <v>493</v>
      </c>
      <c r="GB101" s="9" t="s">
        <v>455</v>
      </c>
      <c r="GC101" s="9"/>
      <c r="GE101" s="9" t="s">
        <v>1420</v>
      </c>
      <c r="GJ101" s="9" t="s">
        <v>788</v>
      </c>
      <c r="GK101" s="9" t="s">
        <v>920</v>
      </c>
      <c r="GL101" s="9" t="s">
        <v>858</v>
      </c>
    </row>
    <row r="102" ht="24.75" customHeight="1">
      <c r="A102" s="8">
        <v>45828.4853855324</v>
      </c>
      <c r="B102" s="9" t="s">
        <v>368</v>
      </c>
      <c r="C102" s="9" t="s">
        <v>370</v>
      </c>
      <c r="E102" s="9" t="s">
        <v>371</v>
      </c>
      <c r="G102" s="9" t="s">
        <v>372</v>
      </c>
      <c r="H102" s="9" t="s">
        <v>373</v>
      </c>
      <c r="I102" s="9" t="s">
        <v>374</v>
      </c>
      <c r="J102" s="9" t="s">
        <v>718</v>
      </c>
      <c r="K102" s="9" t="s">
        <v>376</v>
      </c>
      <c r="L102" s="9" t="s">
        <v>426</v>
      </c>
      <c r="M102" s="9" t="s">
        <v>639</v>
      </c>
      <c r="N102" s="9" t="s">
        <v>591</v>
      </c>
      <c r="O102" s="9" t="s">
        <v>639</v>
      </c>
      <c r="P102" s="9" t="s">
        <v>381</v>
      </c>
      <c r="Q102" s="9" t="s">
        <v>382</v>
      </c>
      <c r="R102" s="9" t="s">
        <v>2674</v>
      </c>
      <c r="S102" s="9" t="s">
        <v>1443</v>
      </c>
      <c r="T102" s="9" t="s">
        <v>385</v>
      </c>
      <c r="W102" s="9" t="s">
        <v>760</v>
      </c>
      <c r="X102" s="9" t="s">
        <v>387</v>
      </c>
      <c r="Y102" s="9" t="s">
        <v>594</v>
      </c>
      <c r="Z102" s="9" t="s">
        <v>543</v>
      </c>
      <c r="AA102" s="9" t="s">
        <v>2675</v>
      </c>
      <c r="AB102" s="9" t="s">
        <v>2676</v>
      </c>
      <c r="AV102" s="9" t="s">
        <v>597</v>
      </c>
      <c r="AW102" s="9" t="s">
        <v>391</v>
      </c>
      <c r="AX102" s="9" t="s">
        <v>391</v>
      </c>
      <c r="AY102" s="9" t="s">
        <v>391</v>
      </c>
      <c r="AZ102" s="9" t="s">
        <v>391</v>
      </c>
      <c r="BA102" s="9" t="s">
        <v>391</v>
      </c>
      <c r="BB102" s="9" t="s">
        <v>391</v>
      </c>
      <c r="BC102" s="9" t="s">
        <v>2677</v>
      </c>
      <c r="BD102" s="9" t="s">
        <v>2678</v>
      </c>
      <c r="BE102" s="9" t="s">
        <v>2259</v>
      </c>
      <c r="BF102" s="9" t="s">
        <v>433</v>
      </c>
      <c r="BG102" s="9" t="s">
        <v>394</v>
      </c>
      <c r="BH102" s="9" t="s">
        <v>2679</v>
      </c>
      <c r="BI102" s="9" t="s">
        <v>509</v>
      </c>
      <c r="BJ102" s="9" t="s">
        <v>2680</v>
      </c>
      <c r="BK102" s="9" t="s">
        <v>602</v>
      </c>
      <c r="BL102" s="9" t="s">
        <v>438</v>
      </c>
      <c r="BM102" s="9" t="s">
        <v>549</v>
      </c>
      <c r="BN102" s="9" t="s">
        <v>440</v>
      </c>
      <c r="CL102" s="9" t="s">
        <v>441</v>
      </c>
      <c r="CM102" s="9" t="s">
        <v>401</v>
      </c>
      <c r="CN102" s="9" t="s">
        <v>2681</v>
      </c>
      <c r="CO102" s="9" t="s">
        <v>2682</v>
      </c>
      <c r="CP102" s="9" t="s">
        <v>685</v>
      </c>
      <c r="CQ102" s="9" t="s">
        <v>2683</v>
      </c>
      <c r="CR102" s="9" t="s">
        <v>447</v>
      </c>
      <c r="CS102" s="9" t="s">
        <v>2684</v>
      </c>
      <c r="CT102" s="9" t="s">
        <v>2685</v>
      </c>
      <c r="CU102" s="9" t="s">
        <v>450</v>
      </c>
      <c r="CV102" s="9" t="s">
        <v>451</v>
      </c>
      <c r="CW102" s="9" t="s">
        <v>2686</v>
      </c>
      <c r="CX102" s="9" t="s">
        <v>408</v>
      </c>
      <c r="CZ102" s="9" t="s">
        <v>453</v>
      </c>
      <c r="DA102" s="9" t="s">
        <v>2687</v>
      </c>
      <c r="DB102" s="9" t="s">
        <v>455</v>
      </c>
      <c r="DC102" s="9" t="s">
        <v>2688</v>
      </c>
      <c r="DD102" s="9" t="s">
        <v>406</v>
      </c>
      <c r="DE102" s="9" t="s">
        <v>407</v>
      </c>
      <c r="DF102" s="9" t="s">
        <v>2689</v>
      </c>
      <c r="DG102" s="9" t="s">
        <v>524</v>
      </c>
      <c r="DH102" s="9" t="s">
        <v>410</v>
      </c>
      <c r="DI102" s="9" t="s">
        <v>963</v>
      </c>
      <c r="DJ102" s="9" t="s">
        <v>613</v>
      </c>
      <c r="DM102" s="9" t="s">
        <v>2690</v>
      </c>
      <c r="DN102" s="9" t="s">
        <v>2691</v>
      </c>
      <c r="DO102" s="9" t="s">
        <v>567</v>
      </c>
      <c r="DP102" s="9" t="s">
        <v>2692</v>
      </c>
      <c r="DQ102" s="9" t="s">
        <v>1553</v>
      </c>
      <c r="DR102" s="9" t="s">
        <v>2693</v>
      </c>
      <c r="DS102" s="9" t="s">
        <v>839</v>
      </c>
      <c r="DT102" s="9" t="s">
        <v>703</v>
      </c>
      <c r="DU102" s="9" t="s">
        <v>2694</v>
      </c>
      <c r="DV102" s="9" t="s">
        <v>2695</v>
      </c>
      <c r="DW102" s="9" t="s">
        <v>1328</v>
      </c>
      <c r="DX102" s="9" t="s">
        <v>2696</v>
      </c>
      <c r="DY102" s="9" t="s">
        <v>2697</v>
      </c>
      <c r="DZ102" s="9" t="s">
        <v>2698</v>
      </c>
      <c r="EA102" s="9" t="s">
        <v>475</v>
      </c>
      <c r="EB102" s="9" t="s">
        <v>626</v>
      </c>
      <c r="EC102" s="9" t="s">
        <v>2699</v>
      </c>
      <c r="ET102" s="9" t="s">
        <v>526</v>
      </c>
      <c r="EU102" s="9" t="s">
        <v>579</v>
      </c>
      <c r="EV102" s="9" t="s">
        <v>778</v>
      </c>
      <c r="EW102" s="9" t="s">
        <v>2700</v>
      </c>
      <c r="EX102" s="9" t="s">
        <v>2701</v>
      </c>
      <c r="EY102" s="9" t="s">
        <v>2702</v>
      </c>
      <c r="EZ102" s="9" t="s">
        <v>415</v>
      </c>
      <c r="FA102" s="9" t="s">
        <v>415</v>
      </c>
      <c r="FB102" s="9" t="s">
        <v>415</v>
      </c>
      <c r="FC102" s="9" t="s">
        <v>415</v>
      </c>
      <c r="FD102" s="9" t="s">
        <v>413</v>
      </c>
      <c r="FE102" s="9" t="s">
        <v>415</v>
      </c>
      <c r="FF102" s="9" t="s">
        <v>415</v>
      </c>
      <c r="FG102" s="9" t="s">
        <v>415</v>
      </c>
      <c r="FH102" s="9" t="s">
        <v>415</v>
      </c>
      <c r="FI102" s="9" t="s">
        <v>415</v>
      </c>
      <c r="FJ102" s="9" t="s">
        <v>414</v>
      </c>
      <c r="FK102" s="9" t="s">
        <v>415</v>
      </c>
      <c r="FL102" s="9" t="s">
        <v>414</v>
      </c>
      <c r="FM102" s="9" t="s">
        <v>415</v>
      </c>
      <c r="FN102" s="9" t="s">
        <v>415</v>
      </c>
      <c r="FO102" s="9" t="s">
        <v>417</v>
      </c>
      <c r="FP102" s="9" t="s">
        <v>418</v>
      </c>
      <c r="FQ102" s="9" t="s">
        <v>749</v>
      </c>
      <c r="FR102" s="9" t="s">
        <v>2703</v>
      </c>
      <c r="FS102" s="9" t="s">
        <v>420</v>
      </c>
      <c r="FT102" s="9" t="s">
        <v>488</v>
      </c>
      <c r="FU102" s="9" t="s">
        <v>918</v>
      </c>
      <c r="FV102" s="9" t="s">
        <v>490</v>
      </c>
      <c r="FW102" s="9" t="s">
        <v>491</v>
      </c>
      <c r="FX102" s="9" t="s">
        <v>2704</v>
      </c>
      <c r="FY102" s="9" t="s">
        <v>535</v>
      </c>
      <c r="FZ102" s="9" t="s">
        <v>2705</v>
      </c>
      <c r="GA102" s="9" t="s">
        <v>2706</v>
      </c>
      <c r="GB102" s="9" t="s">
        <v>455</v>
      </c>
      <c r="GC102" s="9"/>
      <c r="GD102" s="9"/>
      <c r="GE102" s="9" t="s">
        <v>753</v>
      </c>
      <c r="GF102" s="9" t="s">
        <v>2707</v>
      </c>
      <c r="GG102" s="9" t="s">
        <v>857</v>
      </c>
      <c r="GH102" s="9" t="s">
        <v>857</v>
      </c>
      <c r="GI102" s="9" t="s">
        <v>817</v>
      </c>
      <c r="GM102" s="9" t="s">
        <v>1079</v>
      </c>
    </row>
    <row r="103" ht="24.75" customHeight="1">
      <c r="A103" s="8">
        <v>45828.49643018519</v>
      </c>
      <c r="B103" s="9" t="s">
        <v>368</v>
      </c>
      <c r="C103" s="9" t="s">
        <v>370</v>
      </c>
      <c r="E103" s="9" t="s">
        <v>2708</v>
      </c>
      <c r="G103" s="9" t="s">
        <v>422</v>
      </c>
      <c r="H103" s="9" t="s">
        <v>1307</v>
      </c>
      <c r="I103" s="9" t="s">
        <v>668</v>
      </c>
      <c r="J103" s="9" t="s">
        <v>540</v>
      </c>
      <c r="K103" s="9" t="s">
        <v>376</v>
      </c>
      <c r="L103" s="9" t="s">
        <v>379</v>
      </c>
      <c r="M103" s="9" t="s">
        <v>378</v>
      </c>
      <c r="N103" s="9" t="s">
        <v>377</v>
      </c>
      <c r="O103" s="9" t="s">
        <v>497</v>
      </c>
      <c r="P103" s="9" t="s">
        <v>381</v>
      </c>
      <c r="Q103" s="9" t="s">
        <v>382</v>
      </c>
      <c r="R103" s="9" t="s">
        <v>949</v>
      </c>
      <c r="S103" s="9" t="s">
        <v>384</v>
      </c>
      <c r="T103" s="9" t="s">
        <v>385</v>
      </c>
      <c r="W103" s="9" t="s">
        <v>386</v>
      </c>
      <c r="X103" s="9" t="s">
        <v>387</v>
      </c>
      <c r="Y103" s="9" t="s">
        <v>388</v>
      </c>
      <c r="Z103" s="9" t="s">
        <v>543</v>
      </c>
      <c r="AA103" s="9" t="s">
        <v>408</v>
      </c>
      <c r="AB103" s="9" t="s">
        <v>408</v>
      </c>
      <c r="AV103" s="9" t="s">
        <v>597</v>
      </c>
      <c r="AW103" s="9" t="s">
        <v>675</v>
      </c>
      <c r="AX103" s="9">
        <v>4.0</v>
      </c>
      <c r="AY103" s="9" t="s">
        <v>675</v>
      </c>
      <c r="AZ103" s="9">
        <v>4.0</v>
      </c>
      <c r="BA103" s="9">
        <v>4.0</v>
      </c>
      <c r="BB103" s="9">
        <v>4.0</v>
      </c>
      <c r="BC103" s="9" t="s">
        <v>2709</v>
      </c>
      <c r="BD103" s="9" t="s">
        <v>2710</v>
      </c>
      <c r="BE103" s="9" t="s">
        <v>902</v>
      </c>
      <c r="BF103" s="9" t="s">
        <v>433</v>
      </c>
      <c r="BG103" s="9" t="s">
        <v>434</v>
      </c>
      <c r="BH103" s="9" t="s">
        <v>2711</v>
      </c>
      <c r="BI103" s="9" t="s">
        <v>435</v>
      </c>
      <c r="BJ103" s="9" t="s">
        <v>2712</v>
      </c>
      <c r="BK103" s="9" t="s">
        <v>437</v>
      </c>
      <c r="BL103" s="9" t="s">
        <v>603</v>
      </c>
      <c r="BM103" s="9" t="s">
        <v>397</v>
      </c>
      <c r="BN103" s="9" t="s">
        <v>513</v>
      </c>
      <c r="CL103" s="9" t="s">
        <v>441</v>
      </c>
      <c r="CM103" s="9" t="s">
        <v>682</v>
      </c>
      <c r="CN103" s="9" t="s">
        <v>2713</v>
      </c>
      <c r="CO103" s="9" t="s">
        <v>2714</v>
      </c>
      <c r="CP103" s="9" t="s">
        <v>685</v>
      </c>
      <c r="CQ103" s="9" t="s">
        <v>2715</v>
      </c>
      <c r="CR103" s="9" t="s">
        <v>447</v>
      </c>
      <c r="CS103" s="9" t="s">
        <v>1528</v>
      </c>
      <c r="CT103" s="9" t="s">
        <v>2716</v>
      </c>
      <c r="CU103" s="9" t="s">
        <v>1852</v>
      </c>
      <c r="CV103" s="9" t="s">
        <v>451</v>
      </c>
      <c r="CW103" s="9" t="s">
        <v>2717</v>
      </c>
      <c r="CX103" s="9" t="s">
        <v>408</v>
      </c>
      <c r="CZ103" s="9" t="s">
        <v>985</v>
      </c>
      <c r="DA103" s="9" t="s">
        <v>2718</v>
      </c>
      <c r="DB103" s="9" t="s">
        <v>408</v>
      </c>
      <c r="DD103" s="9" t="s">
        <v>406</v>
      </c>
      <c r="DE103" s="9" t="s">
        <v>407</v>
      </c>
      <c r="DF103" s="9" t="s">
        <v>2719</v>
      </c>
      <c r="DG103" s="9" t="s">
        <v>776</v>
      </c>
      <c r="DH103" s="9" t="s">
        <v>410</v>
      </c>
      <c r="DI103" s="9" t="s">
        <v>963</v>
      </c>
      <c r="DJ103" s="9" t="s">
        <v>695</v>
      </c>
      <c r="DK103" s="9" t="s">
        <v>563</v>
      </c>
      <c r="DL103" s="9" t="s">
        <v>2720</v>
      </c>
      <c r="ET103" s="9" t="s">
        <v>526</v>
      </c>
      <c r="EU103" s="9" t="s">
        <v>479</v>
      </c>
      <c r="EV103" s="9" t="s">
        <v>480</v>
      </c>
      <c r="EW103" s="9" t="s">
        <v>2721</v>
      </c>
      <c r="EX103" s="9" t="s">
        <v>2722</v>
      </c>
      <c r="EY103" s="9" t="s">
        <v>2723</v>
      </c>
      <c r="EZ103" s="9" t="s">
        <v>414</v>
      </c>
      <c r="FA103" s="9" t="s">
        <v>414</v>
      </c>
      <c r="FB103" s="9" t="s">
        <v>416</v>
      </c>
      <c r="FC103" s="9" t="s">
        <v>413</v>
      </c>
      <c r="FD103" s="9" t="s">
        <v>416</v>
      </c>
      <c r="FE103" s="9" t="s">
        <v>415</v>
      </c>
      <c r="FF103" s="9" t="s">
        <v>415</v>
      </c>
      <c r="FG103" s="9" t="s">
        <v>416</v>
      </c>
      <c r="FH103" s="9" t="s">
        <v>414</v>
      </c>
      <c r="FI103" s="9" t="s">
        <v>414</v>
      </c>
      <c r="FJ103" s="9" t="s">
        <v>416</v>
      </c>
      <c r="FK103" s="9" t="s">
        <v>415</v>
      </c>
      <c r="FL103" s="9" t="s">
        <v>414</v>
      </c>
      <c r="FM103" s="9" t="s">
        <v>413</v>
      </c>
      <c r="FN103" s="9" t="s">
        <v>583</v>
      </c>
      <c r="FO103" s="9" t="s">
        <v>850</v>
      </c>
      <c r="FP103" s="9" t="s">
        <v>418</v>
      </c>
      <c r="FQ103" s="9" t="s">
        <v>531</v>
      </c>
      <c r="FR103" s="9" t="s">
        <v>2724</v>
      </c>
      <c r="FS103" s="9" t="s">
        <v>1871</v>
      </c>
      <c r="FT103" s="9" t="s">
        <v>1462</v>
      </c>
      <c r="FU103" s="9" t="s">
        <v>585</v>
      </c>
      <c r="FV103" s="9" t="s">
        <v>490</v>
      </c>
      <c r="FW103" s="9" t="s">
        <v>491</v>
      </c>
      <c r="FX103" s="9" t="s">
        <v>2725</v>
      </c>
      <c r="FY103" s="9" t="s">
        <v>535</v>
      </c>
      <c r="FZ103" s="9" t="s">
        <v>2726</v>
      </c>
      <c r="GB103" s="9" t="s">
        <v>455</v>
      </c>
      <c r="GC103" s="9"/>
      <c r="GD103" s="9"/>
      <c r="GE103" s="9" t="s">
        <v>786</v>
      </c>
      <c r="GG103" s="9" t="s">
        <v>755</v>
      </c>
      <c r="GH103" s="9" t="s">
        <v>755</v>
      </c>
      <c r="GI103" s="9" t="s">
        <v>946</v>
      </c>
    </row>
    <row r="104" ht="24.75" customHeight="1">
      <c r="A104" s="8">
        <v>45828.52431340278</v>
      </c>
      <c r="B104" s="9" t="s">
        <v>368</v>
      </c>
      <c r="C104" s="9" t="s">
        <v>2727</v>
      </c>
      <c r="D104" s="9" t="s">
        <v>370</v>
      </c>
      <c r="F104" s="9" t="s">
        <v>1421</v>
      </c>
      <c r="G104" s="9" t="s">
        <v>2657</v>
      </c>
      <c r="H104" s="9" t="s">
        <v>637</v>
      </c>
      <c r="I104" s="9" t="s">
        <v>638</v>
      </c>
      <c r="J104" s="9" t="s">
        <v>425</v>
      </c>
      <c r="K104" s="9" t="s">
        <v>376</v>
      </c>
      <c r="L104" s="9" t="s">
        <v>591</v>
      </c>
      <c r="M104" s="9" t="s">
        <v>719</v>
      </c>
      <c r="N104" s="9" t="s">
        <v>396</v>
      </c>
      <c r="O104" s="9" t="s">
        <v>2728</v>
      </c>
      <c r="P104" s="9" t="s">
        <v>381</v>
      </c>
      <c r="Q104" s="9" t="s">
        <v>382</v>
      </c>
      <c r="R104" s="9" t="s">
        <v>500</v>
      </c>
      <c r="S104" s="9" t="s">
        <v>384</v>
      </c>
      <c r="T104" s="9" t="s">
        <v>385</v>
      </c>
      <c r="W104" s="9" t="s">
        <v>428</v>
      </c>
      <c r="X104" s="9" t="s">
        <v>2729</v>
      </c>
      <c r="AV104" s="9" t="s">
        <v>390</v>
      </c>
      <c r="AW104" s="9" t="s">
        <v>429</v>
      </c>
      <c r="AX104" s="9" t="s">
        <v>391</v>
      </c>
      <c r="AY104" s="9" t="s">
        <v>429</v>
      </c>
      <c r="AZ104" s="9" t="s">
        <v>391</v>
      </c>
      <c r="BA104" s="9" t="s">
        <v>391</v>
      </c>
      <c r="BB104" s="9">
        <v>2.0</v>
      </c>
      <c r="BC104" s="9" t="s">
        <v>2730</v>
      </c>
      <c r="BD104" s="9" t="s">
        <v>2731</v>
      </c>
      <c r="BE104" s="9" t="s">
        <v>432</v>
      </c>
      <c r="BF104" s="9" t="s">
        <v>393</v>
      </c>
      <c r="BG104" s="9" t="s">
        <v>725</v>
      </c>
      <c r="BH104" s="9" t="s">
        <v>2732</v>
      </c>
      <c r="BI104" s="9" t="s">
        <v>509</v>
      </c>
      <c r="BJ104" s="9" t="s">
        <v>2733</v>
      </c>
      <c r="BK104" s="9" t="s">
        <v>681</v>
      </c>
      <c r="BL104" s="9" t="s">
        <v>512</v>
      </c>
      <c r="BM104" s="9" t="s">
        <v>549</v>
      </c>
      <c r="BN104" s="9" t="s">
        <v>398</v>
      </c>
      <c r="BO104" s="9" t="s">
        <v>2734</v>
      </c>
      <c r="BP104" s="9" t="s">
        <v>2735</v>
      </c>
      <c r="BQ104" s="9" t="s">
        <v>604</v>
      </c>
      <c r="BR104" s="9" t="s">
        <v>2736</v>
      </c>
      <c r="BS104" s="9" t="s">
        <v>1671</v>
      </c>
      <c r="BU104" s="9" t="s">
        <v>1831</v>
      </c>
      <c r="BV104" s="9" t="s">
        <v>2737</v>
      </c>
      <c r="BW104" s="9" t="s">
        <v>988</v>
      </c>
      <c r="BY104" s="9" t="s">
        <v>455</v>
      </c>
      <c r="BZ104" s="9" t="s">
        <v>2738</v>
      </c>
      <c r="CA104" s="9" t="s">
        <v>2739</v>
      </c>
      <c r="CB104" s="9" t="s">
        <v>2740</v>
      </c>
      <c r="CC104" s="9" t="s">
        <v>2741</v>
      </c>
      <c r="CD104" s="9" t="s">
        <v>451</v>
      </c>
      <c r="CE104" s="9" t="s">
        <v>2742</v>
      </c>
      <c r="CF104" s="9" t="s">
        <v>1749</v>
      </c>
      <c r="CG104" s="9" t="s">
        <v>2743</v>
      </c>
      <c r="CH104" s="9" t="s">
        <v>2744</v>
      </c>
      <c r="CI104" s="9" t="s">
        <v>410</v>
      </c>
      <c r="CJ104" s="9" t="s">
        <v>2745</v>
      </c>
      <c r="CK104" s="9" t="s">
        <v>2746</v>
      </c>
      <c r="ET104" s="9" t="s">
        <v>2747</v>
      </c>
      <c r="EU104" s="9" t="s">
        <v>579</v>
      </c>
      <c r="EV104" s="9" t="s">
        <v>1262</v>
      </c>
      <c r="EX104" s="9" t="s">
        <v>2748</v>
      </c>
      <c r="EY104" s="9" t="s">
        <v>2749</v>
      </c>
      <c r="EZ104" s="9" t="s">
        <v>415</v>
      </c>
      <c r="FA104" s="9" t="s">
        <v>583</v>
      </c>
      <c r="FB104" s="9" t="s">
        <v>413</v>
      </c>
      <c r="FC104" s="9" t="s">
        <v>583</v>
      </c>
      <c r="FD104" s="9" t="s">
        <v>583</v>
      </c>
      <c r="FE104" s="9" t="s">
        <v>583</v>
      </c>
      <c r="FF104" s="9" t="s">
        <v>414</v>
      </c>
      <c r="FG104" s="9" t="s">
        <v>415</v>
      </c>
      <c r="FH104" s="9" t="s">
        <v>415</v>
      </c>
      <c r="FI104" s="9" t="s">
        <v>415</v>
      </c>
      <c r="FJ104" s="9" t="s">
        <v>415</v>
      </c>
      <c r="FK104" s="9" t="s">
        <v>415</v>
      </c>
      <c r="FL104" s="9" t="s">
        <v>415</v>
      </c>
      <c r="FM104" s="9" t="s">
        <v>415</v>
      </c>
      <c r="FN104" s="9" t="s">
        <v>415</v>
      </c>
      <c r="FO104" s="9" t="s">
        <v>1537</v>
      </c>
      <c r="FP104" s="9" t="s">
        <v>418</v>
      </c>
      <c r="FQ104" s="9" t="s">
        <v>712</v>
      </c>
      <c r="FR104" s="9" t="s">
        <v>733</v>
      </c>
      <c r="FS104" s="9" t="s">
        <v>1871</v>
      </c>
      <c r="FT104" s="9" t="s">
        <v>2750</v>
      </c>
      <c r="FU104" s="9" t="s">
        <v>918</v>
      </c>
      <c r="FV104" s="9" t="s">
        <v>2387</v>
      </c>
      <c r="FW104" s="9" t="s">
        <v>1853</v>
      </c>
      <c r="FX104" s="9" t="s">
        <v>2751</v>
      </c>
      <c r="FY104" s="9" t="s">
        <v>1337</v>
      </c>
      <c r="FZ104" s="9" t="s">
        <v>2752</v>
      </c>
      <c r="GB104" s="9" t="s">
        <v>408</v>
      </c>
      <c r="GJ104" s="9" t="s">
        <v>755</v>
      </c>
      <c r="GK104" s="9" t="s">
        <v>755</v>
      </c>
      <c r="GL104" s="9" t="s">
        <v>858</v>
      </c>
      <c r="GN104" s="9" t="s">
        <v>2753</v>
      </c>
    </row>
    <row r="105" ht="24.75" customHeight="1">
      <c r="A105" s="8">
        <v>45828.541225312496</v>
      </c>
      <c r="B105" s="9" t="s">
        <v>368</v>
      </c>
      <c r="C105" s="9" t="s">
        <v>370</v>
      </c>
      <c r="E105" s="9" t="s">
        <v>371</v>
      </c>
      <c r="G105" s="9" t="s">
        <v>2754</v>
      </c>
      <c r="H105" s="9" t="s">
        <v>539</v>
      </c>
      <c r="I105" s="9" t="s">
        <v>424</v>
      </c>
      <c r="J105" s="9" t="s">
        <v>425</v>
      </c>
      <c r="K105" s="9" t="s">
        <v>376</v>
      </c>
      <c r="L105" s="9" t="s">
        <v>377</v>
      </c>
      <c r="M105" s="9" t="s">
        <v>380</v>
      </c>
      <c r="N105" s="9" t="s">
        <v>377</v>
      </c>
      <c r="O105" s="9" t="s">
        <v>380</v>
      </c>
      <c r="P105" s="9" t="s">
        <v>498</v>
      </c>
      <c r="Q105" s="9" t="s">
        <v>382</v>
      </c>
      <c r="R105" s="9" t="s">
        <v>500</v>
      </c>
      <c r="S105" s="9" t="s">
        <v>384</v>
      </c>
      <c r="T105" s="9" t="s">
        <v>385</v>
      </c>
      <c r="W105" s="9" t="s">
        <v>386</v>
      </c>
      <c r="X105" s="9" t="s">
        <v>387</v>
      </c>
      <c r="Y105" s="9" t="s">
        <v>388</v>
      </c>
      <c r="Z105" s="9" t="s">
        <v>502</v>
      </c>
      <c r="AA105" s="9" t="s">
        <v>2755</v>
      </c>
      <c r="AB105" s="9" t="s">
        <v>2756</v>
      </c>
      <c r="AV105" s="9" t="s">
        <v>597</v>
      </c>
      <c r="AW105" s="9" t="s">
        <v>391</v>
      </c>
      <c r="AX105" s="9" t="s">
        <v>391</v>
      </c>
      <c r="AY105" s="9" t="s">
        <v>391</v>
      </c>
      <c r="AZ105" s="9">
        <v>2.0</v>
      </c>
      <c r="BA105" s="9" t="s">
        <v>429</v>
      </c>
      <c r="BB105" s="9" t="s">
        <v>429</v>
      </c>
      <c r="BC105" s="9" t="s">
        <v>2757</v>
      </c>
      <c r="BD105" s="9" t="s">
        <v>2758</v>
      </c>
      <c r="BE105" s="9" t="s">
        <v>432</v>
      </c>
      <c r="BF105" s="9" t="s">
        <v>393</v>
      </c>
      <c r="BG105" s="9" t="s">
        <v>678</v>
      </c>
      <c r="BH105" s="9" t="s">
        <v>2759</v>
      </c>
      <c r="BI105" s="9" t="s">
        <v>509</v>
      </c>
      <c r="BJ105" s="9" t="s">
        <v>2760</v>
      </c>
      <c r="BK105" s="9" t="s">
        <v>681</v>
      </c>
      <c r="BL105" s="9" t="s">
        <v>603</v>
      </c>
      <c r="BM105" s="9" t="s">
        <v>397</v>
      </c>
      <c r="BN105" s="9" t="s">
        <v>513</v>
      </c>
      <c r="CL105" s="9" t="s">
        <v>441</v>
      </c>
      <c r="CM105" s="9" t="s">
        <v>401</v>
      </c>
      <c r="CN105" s="9" t="s">
        <v>2761</v>
      </c>
      <c r="CO105" s="9" t="s">
        <v>2762</v>
      </c>
      <c r="CP105" s="9" t="s">
        <v>445</v>
      </c>
      <c r="CQ105" s="9" t="s">
        <v>2763</v>
      </c>
      <c r="CR105" s="9" t="s">
        <v>447</v>
      </c>
      <c r="CS105" s="9" t="s">
        <v>2764</v>
      </c>
      <c r="CT105" s="9" t="s">
        <v>2765</v>
      </c>
      <c r="CU105" s="9" t="s">
        <v>1852</v>
      </c>
      <c r="CV105" s="9" t="s">
        <v>451</v>
      </c>
      <c r="CW105" s="9" t="s">
        <v>2766</v>
      </c>
      <c r="CX105" s="9" t="s">
        <v>408</v>
      </c>
      <c r="CZ105" s="9" t="s">
        <v>453</v>
      </c>
      <c r="DA105" s="9" t="s">
        <v>2767</v>
      </c>
      <c r="DB105" s="9" t="s">
        <v>455</v>
      </c>
      <c r="DC105" s="9" t="s">
        <v>2768</v>
      </c>
      <c r="DD105" s="9" t="s">
        <v>988</v>
      </c>
      <c r="DE105" s="9" t="s">
        <v>407</v>
      </c>
      <c r="DF105" s="9" t="s">
        <v>2769</v>
      </c>
      <c r="DG105" s="9" t="s">
        <v>524</v>
      </c>
      <c r="DH105" s="9" t="s">
        <v>694</v>
      </c>
      <c r="DI105" s="9" t="s">
        <v>459</v>
      </c>
      <c r="DJ105" s="9" t="s">
        <v>460</v>
      </c>
      <c r="DK105" s="9" t="s">
        <v>461</v>
      </c>
      <c r="ET105" s="9" t="s">
        <v>526</v>
      </c>
      <c r="EU105" s="9" t="s">
        <v>479</v>
      </c>
      <c r="EV105" s="9" t="s">
        <v>527</v>
      </c>
      <c r="EW105" s="9" t="s">
        <v>2770</v>
      </c>
      <c r="EX105" s="9" t="s">
        <v>2771</v>
      </c>
      <c r="EY105" s="9" t="s">
        <v>2772</v>
      </c>
      <c r="EZ105" s="9" t="s">
        <v>415</v>
      </c>
      <c r="FA105" s="9" t="s">
        <v>415</v>
      </c>
      <c r="FB105" s="9" t="s">
        <v>413</v>
      </c>
      <c r="FC105" s="9" t="s">
        <v>413</v>
      </c>
      <c r="FD105" s="9" t="s">
        <v>413</v>
      </c>
      <c r="FE105" s="9" t="s">
        <v>415</v>
      </c>
      <c r="FF105" s="9" t="s">
        <v>415</v>
      </c>
      <c r="FG105" s="9" t="s">
        <v>416</v>
      </c>
      <c r="FH105" s="9" t="s">
        <v>414</v>
      </c>
      <c r="FI105" s="9" t="s">
        <v>583</v>
      </c>
      <c r="FJ105" s="9" t="s">
        <v>414</v>
      </c>
      <c r="FK105" s="9" t="s">
        <v>414</v>
      </c>
      <c r="FL105" s="9" t="s">
        <v>414</v>
      </c>
      <c r="FM105" s="9" t="s">
        <v>416</v>
      </c>
      <c r="FN105" s="9" t="s">
        <v>583</v>
      </c>
      <c r="FO105" s="9" t="s">
        <v>850</v>
      </c>
      <c r="FP105" s="9" t="s">
        <v>418</v>
      </c>
      <c r="FQ105" s="9" t="s">
        <v>712</v>
      </c>
      <c r="FR105" s="9" t="s">
        <v>2773</v>
      </c>
      <c r="FS105" s="9" t="s">
        <v>1189</v>
      </c>
      <c r="FT105" s="9" t="s">
        <v>488</v>
      </c>
      <c r="FU105" s="9" t="s">
        <v>489</v>
      </c>
      <c r="FV105" s="9" t="s">
        <v>490</v>
      </c>
      <c r="FW105" s="9" t="s">
        <v>491</v>
      </c>
      <c r="FX105" s="9" t="s">
        <v>2774</v>
      </c>
      <c r="FY105" s="9" t="s">
        <v>535</v>
      </c>
      <c r="FZ105" s="9" t="s">
        <v>2775</v>
      </c>
      <c r="GA105" s="9" t="s">
        <v>2776</v>
      </c>
      <c r="GB105" s="9" t="s">
        <v>455</v>
      </c>
      <c r="GC105" s="9"/>
      <c r="GD105" s="9"/>
      <c r="GE105" s="9" t="s">
        <v>753</v>
      </c>
      <c r="GF105" s="9" t="s">
        <v>2777</v>
      </c>
      <c r="GG105" s="9" t="s">
        <v>755</v>
      </c>
      <c r="GH105" s="9" t="s">
        <v>755</v>
      </c>
      <c r="GI105" s="9" t="s">
        <v>946</v>
      </c>
    </row>
    <row r="106" ht="24.75" customHeight="1">
      <c r="A106" s="8">
        <v>45828.55194200232</v>
      </c>
      <c r="B106" s="9" t="s">
        <v>368</v>
      </c>
      <c r="C106" s="9" t="s">
        <v>2498</v>
      </c>
      <c r="D106" s="9" t="s">
        <v>2498</v>
      </c>
      <c r="G106" s="9" t="s">
        <v>422</v>
      </c>
      <c r="H106" s="9" t="s">
        <v>637</v>
      </c>
      <c r="I106" s="9" t="s">
        <v>1022</v>
      </c>
      <c r="J106" s="9" t="s">
        <v>1023</v>
      </c>
      <c r="K106" s="9" t="s">
        <v>376</v>
      </c>
      <c r="L106" s="9" t="s">
        <v>1526</v>
      </c>
      <c r="M106" s="9" t="s">
        <v>1024</v>
      </c>
      <c r="N106" s="9" t="s">
        <v>1526</v>
      </c>
      <c r="O106" s="9" t="s">
        <v>497</v>
      </c>
      <c r="P106" s="9" t="s">
        <v>759</v>
      </c>
      <c r="Q106" s="9" t="s">
        <v>759</v>
      </c>
      <c r="R106" s="9" t="s">
        <v>427</v>
      </c>
      <c r="S106" s="9" t="s">
        <v>384</v>
      </c>
      <c r="T106" s="9" t="s">
        <v>385</v>
      </c>
      <c r="W106" s="9" t="s">
        <v>386</v>
      </c>
      <c r="X106" s="9" t="s">
        <v>387</v>
      </c>
      <c r="Z106" s="9" t="s">
        <v>389</v>
      </c>
      <c r="AB106" s="9" t="s">
        <v>2778</v>
      </c>
      <c r="AV106" s="9" t="s">
        <v>1242</v>
      </c>
      <c r="AW106" s="9">
        <v>4.0</v>
      </c>
      <c r="AX106" s="9">
        <v>4.0</v>
      </c>
      <c r="AY106" s="9" t="s">
        <v>675</v>
      </c>
      <c r="AZ106" s="9" t="s">
        <v>675</v>
      </c>
      <c r="BA106" s="9" t="s">
        <v>675</v>
      </c>
      <c r="BB106" s="9">
        <v>4.0</v>
      </c>
      <c r="BC106" s="9" t="s">
        <v>2779</v>
      </c>
      <c r="BD106" s="9" t="s">
        <v>2780</v>
      </c>
      <c r="BE106" s="9" t="s">
        <v>1094</v>
      </c>
      <c r="BF106" s="9" t="s">
        <v>1095</v>
      </c>
      <c r="BG106" s="9" t="s">
        <v>394</v>
      </c>
      <c r="BH106" s="9" t="s">
        <v>2781</v>
      </c>
      <c r="BI106" s="9" t="s">
        <v>824</v>
      </c>
      <c r="BK106" s="9" t="s">
        <v>437</v>
      </c>
      <c r="BL106" s="9" t="s">
        <v>396</v>
      </c>
      <c r="BM106" s="9" t="s">
        <v>1314</v>
      </c>
      <c r="BN106" s="9" t="s">
        <v>398</v>
      </c>
      <c r="BO106" s="9" t="s">
        <v>2782</v>
      </c>
      <c r="BP106" s="9" t="s">
        <v>2783</v>
      </c>
      <c r="BQ106" s="9" t="s">
        <v>604</v>
      </c>
      <c r="BR106" s="9" t="s">
        <v>2784</v>
      </c>
      <c r="BS106" s="9" t="s">
        <v>1741</v>
      </c>
      <c r="BT106" s="9" t="s">
        <v>1994</v>
      </c>
      <c r="BU106" s="9" t="s">
        <v>405</v>
      </c>
      <c r="BW106" s="9" t="s">
        <v>406</v>
      </c>
      <c r="BX106" s="9" t="s">
        <v>2503</v>
      </c>
      <c r="BY106" s="9" t="s">
        <v>455</v>
      </c>
      <c r="BZ106" s="9" t="s">
        <v>2785</v>
      </c>
      <c r="CB106" s="9" t="s">
        <v>2786</v>
      </c>
      <c r="CC106" s="9" t="s">
        <v>2787</v>
      </c>
      <c r="CD106" s="9" t="s">
        <v>1257</v>
      </c>
      <c r="CE106" s="9" t="s">
        <v>2788</v>
      </c>
      <c r="CF106" s="9" t="s">
        <v>1258</v>
      </c>
      <c r="CH106" s="9" t="s">
        <v>1259</v>
      </c>
      <c r="CI106" s="9" t="s">
        <v>1964</v>
      </c>
      <c r="CJ106" s="9" t="s">
        <v>2789</v>
      </c>
      <c r="CK106" s="9" t="s">
        <v>2790</v>
      </c>
      <c r="ET106" s="9" t="s">
        <v>526</v>
      </c>
      <c r="EU106" s="9" t="s">
        <v>579</v>
      </c>
      <c r="EV106" s="9" t="s">
        <v>1534</v>
      </c>
      <c r="EZ106" s="9" t="s">
        <v>413</v>
      </c>
      <c r="FA106" s="9" t="s">
        <v>414</v>
      </c>
      <c r="FB106" s="9" t="s">
        <v>413</v>
      </c>
      <c r="FC106" s="9" t="s">
        <v>415</v>
      </c>
      <c r="FD106" s="9" t="s">
        <v>413</v>
      </c>
      <c r="FE106" s="9" t="s">
        <v>415</v>
      </c>
      <c r="FF106" s="9" t="s">
        <v>413</v>
      </c>
      <c r="FG106" s="9" t="s">
        <v>413</v>
      </c>
      <c r="FI106" s="9" t="s">
        <v>413</v>
      </c>
      <c r="FJ106" s="9" t="s">
        <v>416</v>
      </c>
      <c r="FK106" s="9" t="s">
        <v>413</v>
      </c>
      <c r="FL106" s="9" t="s">
        <v>413</v>
      </c>
      <c r="FM106" s="9" t="s">
        <v>484</v>
      </c>
      <c r="FN106" s="9" t="s">
        <v>484</v>
      </c>
      <c r="FO106" s="9" t="s">
        <v>417</v>
      </c>
      <c r="FP106" s="9" t="s">
        <v>418</v>
      </c>
      <c r="FQ106" s="9" t="s">
        <v>1039</v>
      </c>
      <c r="FR106" s="9" t="s">
        <v>2791</v>
      </c>
      <c r="FS106" s="9" t="s">
        <v>420</v>
      </c>
      <c r="FT106" s="9" t="s">
        <v>488</v>
      </c>
      <c r="FU106" s="9" t="s">
        <v>1235</v>
      </c>
      <c r="FV106" s="9" t="s">
        <v>490</v>
      </c>
      <c r="FW106" s="9" t="s">
        <v>491</v>
      </c>
      <c r="FX106" s="9" t="s">
        <v>2792</v>
      </c>
      <c r="FY106" s="9" t="s">
        <v>535</v>
      </c>
      <c r="FZ106" s="9" t="s">
        <v>2793</v>
      </c>
      <c r="GB106" s="9" t="s">
        <v>455</v>
      </c>
      <c r="GE106" s="9" t="s">
        <v>1420</v>
      </c>
      <c r="GJ106" s="9" t="s">
        <v>755</v>
      </c>
      <c r="GK106" s="9" t="s">
        <v>755</v>
      </c>
      <c r="GL106" s="9" t="s">
        <v>756</v>
      </c>
      <c r="GN106" s="9" t="s">
        <v>2794</v>
      </c>
    </row>
    <row r="107" ht="24.75" customHeight="1">
      <c r="A107" s="8">
        <v>45828.57699451389</v>
      </c>
      <c r="B107" s="9" t="s">
        <v>368</v>
      </c>
      <c r="C107" s="9" t="s">
        <v>2795</v>
      </c>
      <c r="D107" s="9" t="s">
        <v>2796</v>
      </c>
      <c r="G107" s="9" t="s">
        <v>422</v>
      </c>
      <c r="H107" s="9" t="s">
        <v>637</v>
      </c>
      <c r="I107" s="9" t="s">
        <v>638</v>
      </c>
      <c r="J107" s="9" t="s">
        <v>1204</v>
      </c>
      <c r="K107" s="9" t="s">
        <v>376</v>
      </c>
      <c r="L107" s="9" t="s">
        <v>591</v>
      </c>
      <c r="M107" s="9" t="s">
        <v>541</v>
      </c>
      <c r="N107" s="9" t="s">
        <v>426</v>
      </c>
      <c r="O107" s="9" t="s">
        <v>2797</v>
      </c>
      <c r="P107" s="9" t="s">
        <v>498</v>
      </c>
      <c r="Q107" s="9" t="s">
        <v>862</v>
      </c>
      <c r="R107" s="9" t="s">
        <v>1594</v>
      </c>
      <c r="S107" s="9" t="s">
        <v>384</v>
      </c>
      <c r="T107" s="9" t="s">
        <v>385</v>
      </c>
      <c r="W107" s="9" t="s">
        <v>428</v>
      </c>
      <c r="AV107" s="9" t="s">
        <v>390</v>
      </c>
      <c r="AW107" s="9">
        <v>2.0</v>
      </c>
      <c r="AX107" s="9">
        <v>2.0</v>
      </c>
      <c r="AY107" s="9" t="s">
        <v>391</v>
      </c>
      <c r="AZ107" s="9">
        <v>2.0</v>
      </c>
      <c r="BA107" s="9" t="s">
        <v>429</v>
      </c>
      <c r="BB107" s="9" t="s">
        <v>429</v>
      </c>
      <c r="BC107" s="9" t="s">
        <v>2798</v>
      </c>
      <c r="BD107" s="9" t="s">
        <v>2799</v>
      </c>
      <c r="BE107" s="9" t="s">
        <v>432</v>
      </c>
      <c r="BF107" s="9" t="s">
        <v>433</v>
      </c>
      <c r="BG107" s="9" t="s">
        <v>678</v>
      </c>
      <c r="BI107" s="9" t="s">
        <v>824</v>
      </c>
      <c r="BK107" s="9" t="s">
        <v>511</v>
      </c>
      <c r="BL107" s="9" t="s">
        <v>396</v>
      </c>
      <c r="BM107" s="9" t="s">
        <v>439</v>
      </c>
      <c r="BN107" s="9" t="s">
        <v>513</v>
      </c>
      <c r="CL107" s="9" t="s">
        <v>550</v>
      </c>
      <c r="CM107" s="9" t="s">
        <v>401</v>
      </c>
      <c r="CN107" s="9" t="s">
        <v>1313</v>
      </c>
      <c r="CO107" s="9" t="s">
        <v>2800</v>
      </c>
      <c r="CP107" s="9" t="s">
        <v>685</v>
      </c>
      <c r="CQ107" s="9" t="s">
        <v>956</v>
      </c>
      <c r="CR107" s="9" t="s">
        <v>555</v>
      </c>
      <c r="CS107" s="9" t="s">
        <v>2801</v>
      </c>
      <c r="CT107" s="9" t="s">
        <v>2802</v>
      </c>
      <c r="CU107" s="9" t="s">
        <v>450</v>
      </c>
      <c r="CV107" s="9" t="s">
        <v>451</v>
      </c>
      <c r="CW107" s="9" t="s">
        <v>2803</v>
      </c>
      <c r="CX107" s="9" t="s">
        <v>455</v>
      </c>
      <c r="CY107" s="9" t="s">
        <v>2804</v>
      </c>
      <c r="CZ107" s="9" t="s">
        <v>453</v>
      </c>
      <c r="DA107" s="9" t="s">
        <v>2805</v>
      </c>
      <c r="DB107" s="9" t="s">
        <v>455</v>
      </c>
      <c r="DC107" s="9" t="s">
        <v>2806</v>
      </c>
      <c r="DD107" s="9" t="s">
        <v>988</v>
      </c>
      <c r="DF107" s="9" t="s">
        <v>2807</v>
      </c>
      <c r="DG107" s="9" t="s">
        <v>561</v>
      </c>
      <c r="DH107" s="9" t="s">
        <v>1220</v>
      </c>
      <c r="DI107" s="9" t="s">
        <v>963</v>
      </c>
      <c r="DJ107" s="9" t="s">
        <v>613</v>
      </c>
      <c r="ET107" s="9" t="s">
        <v>526</v>
      </c>
      <c r="EU107" s="9" t="s">
        <v>579</v>
      </c>
      <c r="EV107" s="9" t="s">
        <v>1534</v>
      </c>
      <c r="EZ107" s="9" t="s">
        <v>414</v>
      </c>
      <c r="FA107" s="9" t="s">
        <v>414</v>
      </c>
      <c r="FB107" s="9" t="s">
        <v>416</v>
      </c>
      <c r="FC107" s="9" t="s">
        <v>414</v>
      </c>
      <c r="FD107" s="9" t="s">
        <v>414</v>
      </c>
      <c r="FE107" s="9" t="s">
        <v>583</v>
      </c>
      <c r="FF107" s="9" t="s">
        <v>415</v>
      </c>
      <c r="FG107" s="9" t="s">
        <v>415</v>
      </c>
      <c r="FH107" s="9" t="s">
        <v>414</v>
      </c>
      <c r="FI107" s="9" t="s">
        <v>413</v>
      </c>
      <c r="FJ107" s="9" t="s">
        <v>413</v>
      </c>
      <c r="FK107" s="9" t="s">
        <v>415</v>
      </c>
      <c r="FL107" s="9" t="s">
        <v>415</v>
      </c>
      <c r="FM107" s="9" t="s">
        <v>413</v>
      </c>
      <c r="FN107" s="9" t="s">
        <v>583</v>
      </c>
      <c r="FO107" s="9" t="s">
        <v>417</v>
      </c>
      <c r="FP107" s="9" t="s">
        <v>418</v>
      </c>
      <c r="FQ107" s="9" t="s">
        <v>1039</v>
      </c>
      <c r="FS107" s="9" t="s">
        <v>420</v>
      </c>
      <c r="FT107" s="9" t="s">
        <v>488</v>
      </c>
      <c r="FU107" s="9" t="s">
        <v>1235</v>
      </c>
      <c r="FV107" s="9" t="s">
        <v>490</v>
      </c>
      <c r="FW107" s="9" t="s">
        <v>491</v>
      </c>
      <c r="FX107" s="9" t="s">
        <v>2808</v>
      </c>
      <c r="FY107" s="9" t="s">
        <v>535</v>
      </c>
      <c r="GB107" s="9" t="s">
        <v>408</v>
      </c>
      <c r="GG107" s="9" t="s">
        <v>857</v>
      </c>
      <c r="GH107" s="9" t="s">
        <v>857</v>
      </c>
      <c r="GI107" s="9" t="s">
        <v>790</v>
      </c>
    </row>
    <row r="108" ht="24.75" customHeight="1">
      <c r="A108" s="8">
        <v>45828.57987178241</v>
      </c>
      <c r="B108" s="9" t="s">
        <v>368</v>
      </c>
      <c r="C108" s="9" t="s">
        <v>370</v>
      </c>
      <c r="E108" s="9" t="s">
        <v>667</v>
      </c>
      <c r="G108" s="9" t="s">
        <v>1269</v>
      </c>
      <c r="H108" s="9" t="s">
        <v>496</v>
      </c>
      <c r="I108" s="9" t="s">
        <v>2578</v>
      </c>
      <c r="J108" s="9" t="s">
        <v>669</v>
      </c>
      <c r="K108" s="9" t="s">
        <v>376</v>
      </c>
      <c r="L108" s="9" t="s">
        <v>379</v>
      </c>
      <c r="M108" s="9" t="s">
        <v>2464</v>
      </c>
      <c r="N108" s="9" t="s">
        <v>379</v>
      </c>
      <c r="O108" s="9" t="s">
        <v>497</v>
      </c>
      <c r="P108" s="9" t="s">
        <v>381</v>
      </c>
      <c r="Q108" s="9" t="s">
        <v>862</v>
      </c>
      <c r="R108" s="9" t="s">
        <v>949</v>
      </c>
      <c r="S108" s="9" t="s">
        <v>384</v>
      </c>
      <c r="T108" s="9" t="s">
        <v>385</v>
      </c>
      <c r="W108" s="9" t="s">
        <v>428</v>
      </c>
      <c r="AV108" s="9" t="s">
        <v>597</v>
      </c>
      <c r="AW108" s="9" t="s">
        <v>391</v>
      </c>
      <c r="AX108" s="9" t="s">
        <v>391</v>
      </c>
      <c r="AY108" s="9" t="s">
        <v>391</v>
      </c>
      <c r="AZ108" s="9">
        <v>4.0</v>
      </c>
      <c r="BA108" s="9">
        <v>4.0</v>
      </c>
      <c r="BB108" s="9" t="s">
        <v>391</v>
      </c>
      <c r="BC108" s="9" t="s">
        <v>2809</v>
      </c>
      <c r="BD108" s="9" t="s">
        <v>2810</v>
      </c>
      <c r="BE108" s="9" t="s">
        <v>392</v>
      </c>
      <c r="BF108" s="9" t="s">
        <v>393</v>
      </c>
      <c r="BG108" s="9" t="s">
        <v>725</v>
      </c>
      <c r="BH108" s="9" t="s">
        <v>2811</v>
      </c>
      <c r="BI108" s="9" t="s">
        <v>435</v>
      </c>
      <c r="BJ108" s="9" t="s">
        <v>2812</v>
      </c>
      <c r="BK108" s="9" t="s">
        <v>681</v>
      </c>
      <c r="BL108" s="9" t="s">
        <v>438</v>
      </c>
      <c r="BM108" s="9" t="s">
        <v>397</v>
      </c>
      <c r="BN108" s="9" t="s">
        <v>398</v>
      </c>
      <c r="BO108" s="9" t="s">
        <v>2813</v>
      </c>
      <c r="BP108" s="9" t="s">
        <v>2814</v>
      </c>
      <c r="BQ108" s="9" t="s">
        <v>604</v>
      </c>
      <c r="BR108" s="9" t="s">
        <v>2815</v>
      </c>
      <c r="BS108" s="9" t="s">
        <v>403</v>
      </c>
      <c r="BT108" s="9" t="s">
        <v>1742</v>
      </c>
      <c r="BU108" s="9" t="s">
        <v>1693</v>
      </c>
      <c r="BV108" s="9" t="s">
        <v>2816</v>
      </c>
      <c r="BW108" s="9" t="s">
        <v>406</v>
      </c>
      <c r="BX108" s="9" t="s">
        <v>2503</v>
      </c>
      <c r="BY108" s="9" t="s">
        <v>408</v>
      </c>
      <c r="CA108" s="9" t="s">
        <v>2817</v>
      </c>
      <c r="CB108" s="9" t="s">
        <v>2818</v>
      </c>
      <c r="CC108" s="9" t="s">
        <v>2819</v>
      </c>
      <c r="CD108" s="9" t="s">
        <v>409</v>
      </c>
      <c r="CE108" s="9" t="s">
        <v>2820</v>
      </c>
      <c r="CF108" s="9" t="s">
        <v>1258</v>
      </c>
      <c r="CH108" s="9" t="s">
        <v>1698</v>
      </c>
      <c r="CI108" s="9" t="s">
        <v>833</v>
      </c>
      <c r="CJ108" s="9" t="s">
        <v>2821</v>
      </c>
      <c r="ET108" s="9" t="s">
        <v>578</v>
      </c>
      <c r="EU108" s="9" t="s">
        <v>479</v>
      </c>
      <c r="EV108" s="9" t="s">
        <v>527</v>
      </c>
      <c r="EW108" s="9" t="s">
        <v>2822</v>
      </c>
      <c r="EX108" s="9" t="s">
        <v>2823</v>
      </c>
      <c r="EY108" s="9" t="s">
        <v>2824</v>
      </c>
      <c r="EZ108" s="9" t="s">
        <v>414</v>
      </c>
      <c r="FA108" s="9" t="s">
        <v>414</v>
      </c>
      <c r="FB108" s="9" t="s">
        <v>415</v>
      </c>
      <c r="FC108" s="9" t="s">
        <v>583</v>
      </c>
      <c r="FD108" s="9" t="s">
        <v>416</v>
      </c>
      <c r="FE108" s="9" t="s">
        <v>583</v>
      </c>
      <c r="FF108" s="9" t="s">
        <v>414</v>
      </c>
      <c r="FG108" s="9" t="s">
        <v>416</v>
      </c>
      <c r="FH108" s="9" t="s">
        <v>414</v>
      </c>
      <c r="FI108" s="9" t="s">
        <v>583</v>
      </c>
      <c r="FJ108" s="9" t="s">
        <v>583</v>
      </c>
      <c r="FK108" s="9" t="s">
        <v>415</v>
      </c>
      <c r="FL108" s="9" t="s">
        <v>415</v>
      </c>
      <c r="FM108" s="9" t="s">
        <v>415</v>
      </c>
      <c r="FN108" s="9" t="s">
        <v>583</v>
      </c>
      <c r="FO108" s="9" t="s">
        <v>850</v>
      </c>
      <c r="FP108" s="9" t="s">
        <v>486</v>
      </c>
      <c r="FQ108" s="9" t="s">
        <v>630</v>
      </c>
      <c r="FR108" s="9" t="s">
        <v>2825</v>
      </c>
      <c r="FS108" s="9" t="s">
        <v>1189</v>
      </c>
      <c r="FT108" s="9" t="s">
        <v>1462</v>
      </c>
      <c r="FU108" s="9" t="s">
        <v>533</v>
      </c>
      <c r="FV108" s="9" t="s">
        <v>490</v>
      </c>
      <c r="FW108" s="9" t="s">
        <v>491</v>
      </c>
      <c r="FY108" s="9" t="s">
        <v>1020</v>
      </c>
      <c r="GA108" s="9" t="s">
        <v>2826</v>
      </c>
      <c r="GB108" s="9" t="s">
        <v>408</v>
      </c>
      <c r="GJ108" s="9" t="s">
        <v>920</v>
      </c>
      <c r="GK108" s="9" t="s">
        <v>920</v>
      </c>
      <c r="GL108" s="9" t="s">
        <v>817</v>
      </c>
    </row>
    <row r="109" ht="24.75" customHeight="1">
      <c r="A109" s="8">
        <v>45828.60358170139</v>
      </c>
      <c r="B109" s="9" t="s">
        <v>368</v>
      </c>
      <c r="C109" s="9" t="s">
        <v>2827</v>
      </c>
      <c r="D109" s="9" t="s">
        <v>2827</v>
      </c>
      <c r="G109" s="9" t="s">
        <v>1140</v>
      </c>
      <c r="H109" s="9" t="s">
        <v>496</v>
      </c>
      <c r="I109" s="9" t="s">
        <v>374</v>
      </c>
      <c r="J109" s="9" t="s">
        <v>718</v>
      </c>
      <c r="K109" s="9" t="s">
        <v>376</v>
      </c>
      <c r="L109" s="9" t="s">
        <v>379</v>
      </c>
      <c r="M109" s="9" t="s">
        <v>378</v>
      </c>
      <c r="N109" s="9" t="s">
        <v>591</v>
      </c>
      <c r="O109" s="9" t="s">
        <v>380</v>
      </c>
      <c r="P109" s="9" t="s">
        <v>498</v>
      </c>
      <c r="Q109" s="9" t="s">
        <v>1156</v>
      </c>
      <c r="R109" s="9" t="s">
        <v>500</v>
      </c>
      <c r="S109" s="9" t="s">
        <v>384</v>
      </c>
      <c r="T109" s="9" t="s">
        <v>385</v>
      </c>
      <c r="W109" s="9" t="s">
        <v>593</v>
      </c>
      <c r="X109" s="9" t="s">
        <v>642</v>
      </c>
      <c r="AL109" s="9" t="s">
        <v>1141</v>
      </c>
      <c r="AM109" s="9" t="s">
        <v>644</v>
      </c>
      <c r="AN109" s="9" t="s">
        <v>455</v>
      </c>
      <c r="AP109" s="9" t="s">
        <v>1144</v>
      </c>
      <c r="AQ109" s="9">
        <v>1.0</v>
      </c>
      <c r="AR109" s="9" t="s">
        <v>647</v>
      </c>
      <c r="AV109" s="9" t="s">
        <v>597</v>
      </c>
      <c r="AW109" s="9" t="s">
        <v>391</v>
      </c>
      <c r="AX109" s="9">
        <v>2.0</v>
      </c>
      <c r="AY109" s="9" t="s">
        <v>391</v>
      </c>
      <c r="AZ109" s="9">
        <v>4.0</v>
      </c>
      <c r="BA109" s="9">
        <v>2.0</v>
      </c>
      <c r="BB109" s="9">
        <v>2.0</v>
      </c>
      <c r="BC109" s="9" t="s">
        <v>2505</v>
      </c>
      <c r="BD109" s="9" t="s">
        <v>2828</v>
      </c>
      <c r="BE109" s="9" t="s">
        <v>392</v>
      </c>
      <c r="BF109" s="9" t="s">
        <v>393</v>
      </c>
      <c r="BG109" s="9" t="s">
        <v>765</v>
      </c>
      <c r="BI109" s="9" t="s">
        <v>435</v>
      </c>
      <c r="BK109" s="9" t="s">
        <v>602</v>
      </c>
      <c r="BL109" s="9" t="s">
        <v>438</v>
      </c>
      <c r="BM109" s="9" t="s">
        <v>397</v>
      </c>
      <c r="BN109" s="9" t="s">
        <v>513</v>
      </c>
      <c r="CL109" s="9" t="s">
        <v>441</v>
      </c>
      <c r="CM109" s="9" t="s">
        <v>401</v>
      </c>
      <c r="CN109" s="9" t="s">
        <v>2829</v>
      </c>
      <c r="CO109" s="9" t="s">
        <v>2830</v>
      </c>
      <c r="CP109" s="9" t="s">
        <v>979</v>
      </c>
      <c r="CQ109" s="9" t="s">
        <v>2831</v>
      </c>
      <c r="CR109" s="9" t="s">
        <v>447</v>
      </c>
      <c r="CS109" s="9" t="s">
        <v>2832</v>
      </c>
      <c r="CT109" s="9" t="s">
        <v>2833</v>
      </c>
      <c r="CU109" s="9" t="s">
        <v>519</v>
      </c>
      <c r="CV109" s="9" t="s">
        <v>451</v>
      </c>
      <c r="CW109" s="9" t="s">
        <v>2834</v>
      </c>
      <c r="CX109" s="9" t="s">
        <v>408</v>
      </c>
      <c r="CZ109" s="9" t="s">
        <v>453</v>
      </c>
      <c r="DB109" s="9" t="s">
        <v>455</v>
      </c>
      <c r="DC109" s="9" t="s">
        <v>2835</v>
      </c>
      <c r="DD109" s="9" t="s">
        <v>988</v>
      </c>
      <c r="DG109" s="9" t="s">
        <v>561</v>
      </c>
      <c r="DH109" s="9" t="s">
        <v>410</v>
      </c>
      <c r="DI109" s="9" t="s">
        <v>459</v>
      </c>
      <c r="DJ109" s="9" t="s">
        <v>460</v>
      </c>
      <c r="DK109" s="9" t="s">
        <v>461</v>
      </c>
      <c r="ET109" s="9" t="s">
        <v>526</v>
      </c>
      <c r="EU109" s="9" t="s">
        <v>479</v>
      </c>
      <c r="EV109" s="9" t="s">
        <v>1534</v>
      </c>
      <c r="EZ109" s="9" t="s">
        <v>413</v>
      </c>
      <c r="FA109" s="9" t="s">
        <v>415</v>
      </c>
      <c r="FB109" s="9" t="s">
        <v>413</v>
      </c>
      <c r="FC109" s="9" t="s">
        <v>416</v>
      </c>
      <c r="FD109" s="9" t="s">
        <v>413</v>
      </c>
      <c r="FE109" s="9" t="s">
        <v>416</v>
      </c>
      <c r="FF109" s="9" t="s">
        <v>413</v>
      </c>
      <c r="FG109" s="9" t="s">
        <v>413</v>
      </c>
      <c r="FH109" s="9" t="s">
        <v>583</v>
      </c>
      <c r="FI109" s="9" t="s">
        <v>583</v>
      </c>
      <c r="FJ109" s="9" t="s">
        <v>413</v>
      </c>
      <c r="FK109" s="9" t="s">
        <v>416</v>
      </c>
      <c r="FL109" s="9" t="s">
        <v>413</v>
      </c>
      <c r="FM109" s="9" t="s">
        <v>413</v>
      </c>
      <c r="FN109" s="9" t="s">
        <v>583</v>
      </c>
      <c r="FO109" s="9" t="s">
        <v>485</v>
      </c>
      <c r="FP109" s="9" t="s">
        <v>486</v>
      </c>
      <c r="FQ109" s="9" t="s">
        <v>531</v>
      </c>
      <c r="FS109" s="9" t="s">
        <v>420</v>
      </c>
      <c r="FT109" s="9" t="s">
        <v>488</v>
      </c>
      <c r="FU109" s="9" t="s">
        <v>533</v>
      </c>
      <c r="FV109" s="9" t="s">
        <v>490</v>
      </c>
      <c r="FW109" s="9" t="s">
        <v>491</v>
      </c>
      <c r="FX109" s="9" t="s">
        <v>2836</v>
      </c>
      <c r="FY109" s="9" t="s">
        <v>493</v>
      </c>
      <c r="GB109" s="9" t="s">
        <v>455</v>
      </c>
      <c r="GC109" s="9"/>
      <c r="GD109" s="9"/>
      <c r="GE109" s="9" t="s">
        <v>1339</v>
      </c>
      <c r="GG109" s="9" t="s">
        <v>755</v>
      </c>
      <c r="GH109" s="9" t="s">
        <v>755</v>
      </c>
      <c r="GI109" s="9" t="s">
        <v>946</v>
      </c>
      <c r="GN109" s="9" t="s">
        <v>2827</v>
      </c>
      <c r="GO109" s="9" t="s">
        <v>2827</v>
      </c>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c r="IG109" s="10"/>
      <c r="IH109" s="10"/>
      <c r="II109" s="10"/>
      <c r="IJ109" s="10"/>
      <c r="IK109" s="10"/>
      <c r="IL109" s="10"/>
      <c r="IM109" s="10"/>
      <c r="IN109" s="10"/>
      <c r="IO109" s="10"/>
      <c r="IP109" s="10"/>
      <c r="IQ109" s="10"/>
      <c r="IR109" s="10"/>
      <c r="IS109" s="10"/>
      <c r="IT109" s="10"/>
      <c r="IU109" s="10"/>
      <c r="IV109" s="10"/>
      <c r="IW109" s="10"/>
      <c r="IX109" s="10"/>
      <c r="IY109" s="10"/>
      <c r="IZ109" s="10"/>
      <c r="JA109" s="10"/>
      <c r="JB109" s="10"/>
      <c r="JC109" s="10"/>
      <c r="JD109" s="10"/>
      <c r="JE109" s="10"/>
      <c r="JF109" s="10"/>
      <c r="JG109" s="10"/>
      <c r="JH109" s="10"/>
      <c r="JI109" s="10"/>
      <c r="JJ109" s="10"/>
      <c r="JK109" s="10"/>
      <c r="JL109" s="10"/>
      <c r="JM109" s="10"/>
      <c r="JN109" s="10"/>
      <c r="JO109" s="10"/>
      <c r="JP109" s="10"/>
      <c r="JQ109" s="10"/>
      <c r="JR109" s="10"/>
      <c r="JS109" s="10"/>
      <c r="JT109" s="10"/>
      <c r="JU109" s="10"/>
      <c r="JV109" s="10"/>
      <c r="JW109" s="10"/>
      <c r="JX109" s="10"/>
      <c r="JY109" s="10"/>
      <c r="JZ109" s="10"/>
      <c r="KA109" s="10"/>
      <c r="KB109" s="10"/>
      <c r="KC109" s="10"/>
      <c r="KD109" s="10"/>
      <c r="KE109" s="10"/>
      <c r="KF109" s="10"/>
      <c r="KG109" s="10"/>
      <c r="KH109" s="10"/>
      <c r="KI109" s="10"/>
      <c r="KJ109" s="10"/>
      <c r="KK109" s="10"/>
      <c r="KL109" s="10"/>
      <c r="KM109" s="10"/>
      <c r="KN109" s="10"/>
      <c r="KO109" s="10"/>
      <c r="KP109" s="10"/>
      <c r="KQ109" s="10"/>
      <c r="KR109" s="10"/>
      <c r="KS109" s="10"/>
      <c r="KT109" s="10"/>
      <c r="KU109" s="10"/>
      <c r="KV109" s="10"/>
      <c r="KW109" s="10"/>
      <c r="KX109" s="10"/>
      <c r="KY109" s="10"/>
      <c r="KZ109" s="10"/>
      <c r="LA109" s="10"/>
      <c r="LB109" s="10"/>
      <c r="LC109" s="10"/>
      <c r="LD109" s="10"/>
      <c r="LE109" s="10"/>
      <c r="LF109" s="10"/>
      <c r="LG109" s="10"/>
      <c r="LH109" s="10"/>
      <c r="LI109" s="10"/>
      <c r="LJ109" s="10"/>
      <c r="LK109" s="10"/>
      <c r="LL109" s="10"/>
      <c r="LM109" s="10"/>
      <c r="LN109" s="10"/>
      <c r="LO109" s="10"/>
      <c r="LP109" s="10"/>
      <c r="LQ109" s="10"/>
      <c r="LR109" s="10"/>
      <c r="LS109" s="10"/>
      <c r="LT109" s="10"/>
      <c r="LU109" s="10"/>
      <c r="LV109" s="10"/>
      <c r="LW109" s="10"/>
      <c r="LX109" s="10"/>
      <c r="LY109" s="10"/>
      <c r="LZ109" s="10"/>
      <c r="MA109" s="10"/>
      <c r="MB109" s="10"/>
      <c r="MC109" s="10"/>
      <c r="MD109" s="10"/>
      <c r="ME109" s="10"/>
      <c r="MF109" s="10"/>
      <c r="MG109" s="10"/>
      <c r="MH109" s="10"/>
      <c r="MI109" s="10"/>
      <c r="MJ109" s="10"/>
      <c r="MK109" s="10"/>
      <c r="ML109" s="10"/>
      <c r="MM109" s="10"/>
      <c r="MN109" s="10"/>
      <c r="MO109" s="10"/>
      <c r="MP109" s="10"/>
      <c r="MQ109" s="10"/>
      <c r="MR109" s="10"/>
      <c r="MS109" s="10"/>
      <c r="MT109" s="10"/>
      <c r="MU109" s="10"/>
      <c r="MV109" s="10"/>
      <c r="MW109" s="10"/>
      <c r="MX109" s="10"/>
      <c r="MY109" s="10"/>
      <c r="MZ109" s="10"/>
      <c r="NA109" s="10"/>
      <c r="NB109" s="10"/>
      <c r="NC109" s="10"/>
      <c r="ND109" s="10"/>
    </row>
    <row r="110" ht="24.75" customHeight="1">
      <c r="A110" s="8">
        <v>45828.64029736111</v>
      </c>
      <c r="B110" s="9" t="s">
        <v>368</v>
      </c>
      <c r="C110" s="9" t="s">
        <v>370</v>
      </c>
      <c r="E110" s="9" t="s">
        <v>495</v>
      </c>
      <c r="G110" s="9" t="s">
        <v>422</v>
      </c>
      <c r="H110" s="9" t="s">
        <v>637</v>
      </c>
      <c r="I110" s="9" t="s">
        <v>638</v>
      </c>
      <c r="J110" s="9" t="s">
        <v>590</v>
      </c>
      <c r="K110" s="9" t="s">
        <v>376</v>
      </c>
      <c r="L110" s="9" t="s">
        <v>379</v>
      </c>
      <c r="M110" s="9" t="s">
        <v>2464</v>
      </c>
      <c r="N110" s="9" t="s">
        <v>377</v>
      </c>
      <c r="O110" s="9" t="s">
        <v>380</v>
      </c>
      <c r="P110" s="9" t="s">
        <v>1760</v>
      </c>
      <c r="Q110" s="9" t="s">
        <v>1156</v>
      </c>
      <c r="R110" s="9" t="s">
        <v>500</v>
      </c>
      <c r="S110" s="9" t="s">
        <v>2837</v>
      </c>
      <c r="T110" s="9" t="s">
        <v>385</v>
      </c>
      <c r="W110" s="9" t="s">
        <v>593</v>
      </c>
      <c r="X110" s="9" t="s">
        <v>387</v>
      </c>
      <c r="Y110" s="9" t="s">
        <v>1922</v>
      </c>
      <c r="Z110" s="9" t="s">
        <v>543</v>
      </c>
      <c r="AA110" s="9" t="s">
        <v>2838</v>
      </c>
      <c r="AB110" s="9" t="s">
        <v>2839</v>
      </c>
      <c r="AV110" s="9" t="s">
        <v>1310</v>
      </c>
      <c r="AW110" s="9" t="s">
        <v>675</v>
      </c>
      <c r="AX110" s="9" t="s">
        <v>675</v>
      </c>
      <c r="AY110" s="9" t="s">
        <v>675</v>
      </c>
      <c r="AZ110" s="9" t="s">
        <v>391</v>
      </c>
      <c r="BA110" s="9" t="s">
        <v>675</v>
      </c>
      <c r="BB110" s="9" t="s">
        <v>675</v>
      </c>
      <c r="BC110" s="9" t="s">
        <v>2840</v>
      </c>
      <c r="BD110" s="9" t="s">
        <v>2841</v>
      </c>
      <c r="BE110" s="9" t="s">
        <v>432</v>
      </c>
      <c r="BF110" s="9" t="s">
        <v>1245</v>
      </c>
      <c r="BG110" s="9" t="s">
        <v>434</v>
      </c>
      <c r="BH110" s="9" t="s">
        <v>2842</v>
      </c>
      <c r="BI110" s="9" t="s">
        <v>435</v>
      </c>
      <c r="BJ110" s="9" t="s">
        <v>2843</v>
      </c>
      <c r="BK110" s="9" t="s">
        <v>437</v>
      </c>
      <c r="BL110" s="9" t="s">
        <v>603</v>
      </c>
      <c r="BM110" s="9" t="s">
        <v>1314</v>
      </c>
      <c r="BN110" s="9" t="s">
        <v>398</v>
      </c>
      <c r="BO110" s="9" t="s">
        <v>2844</v>
      </c>
      <c r="BP110" s="9" t="s">
        <v>2845</v>
      </c>
      <c r="BQ110" s="9" t="s">
        <v>604</v>
      </c>
      <c r="BR110" s="9" t="s">
        <v>2488</v>
      </c>
      <c r="BS110" s="9" t="s">
        <v>1741</v>
      </c>
      <c r="BU110" s="9" t="s">
        <v>1831</v>
      </c>
      <c r="BV110" s="9" t="s">
        <v>2846</v>
      </c>
      <c r="BW110" s="9" t="s">
        <v>457</v>
      </c>
      <c r="BY110" s="9" t="s">
        <v>408</v>
      </c>
      <c r="CA110" s="9" t="s">
        <v>2847</v>
      </c>
      <c r="CB110" s="9" t="s">
        <v>2848</v>
      </c>
      <c r="CC110" s="9" t="s">
        <v>2849</v>
      </c>
      <c r="CD110" s="9" t="s">
        <v>409</v>
      </c>
      <c r="CE110" s="9" t="s">
        <v>2850</v>
      </c>
      <c r="CF110" s="9" t="s">
        <v>1722</v>
      </c>
      <c r="CG110" s="9" t="s">
        <v>2851</v>
      </c>
      <c r="CH110" s="9" t="s">
        <v>2852</v>
      </c>
      <c r="CI110" s="9" t="s">
        <v>410</v>
      </c>
      <c r="CJ110" s="9" t="s">
        <v>2853</v>
      </c>
      <c r="CK110" s="9" t="s">
        <v>2854</v>
      </c>
      <c r="ET110" s="9" t="s">
        <v>578</v>
      </c>
      <c r="EU110" s="9" t="s">
        <v>579</v>
      </c>
      <c r="EV110" s="9" t="s">
        <v>778</v>
      </c>
      <c r="EW110" s="9" t="s">
        <v>2855</v>
      </c>
      <c r="EX110" s="9" t="s">
        <v>2856</v>
      </c>
      <c r="EY110" s="9" t="s">
        <v>2857</v>
      </c>
      <c r="EZ110" s="9" t="s">
        <v>583</v>
      </c>
      <c r="FA110" s="9" t="s">
        <v>583</v>
      </c>
      <c r="FB110" s="9" t="s">
        <v>413</v>
      </c>
      <c r="FC110" s="9" t="s">
        <v>413</v>
      </c>
      <c r="FD110" s="9" t="s">
        <v>413</v>
      </c>
      <c r="FE110" s="9" t="s">
        <v>413</v>
      </c>
      <c r="FF110" s="9" t="s">
        <v>415</v>
      </c>
      <c r="FG110" s="9" t="s">
        <v>413</v>
      </c>
      <c r="FH110" s="9" t="s">
        <v>583</v>
      </c>
      <c r="FI110" s="9" t="s">
        <v>413</v>
      </c>
      <c r="FJ110" s="9" t="s">
        <v>583</v>
      </c>
      <c r="FK110" s="9" t="s">
        <v>583</v>
      </c>
      <c r="FL110" s="9" t="s">
        <v>583</v>
      </c>
      <c r="FM110" s="9" t="s">
        <v>413</v>
      </c>
      <c r="FN110" s="9" t="s">
        <v>583</v>
      </c>
      <c r="FO110" s="9" t="s">
        <v>485</v>
      </c>
      <c r="FP110" s="9" t="s">
        <v>418</v>
      </c>
      <c r="FQ110" s="9" t="s">
        <v>749</v>
      </c>
      <c r="FR110" s="9" t="s">
        <v>2858</v>
      </c>
      <c r="FS110" s="9" t="s">
        <v>420</v>
      </c>
      <c r="FT110" s="9" t="s">
        <v>488</v>
      </c>
      <c r="FU110" s="9" t="s">
        <v>489</v>
      </c>
      <c r="FV110" s="9" t="s">
        <v>490</v>
      </c>
      <c r="FW110" s="9" t="s">
        <v>491</v>
      </c>
      <c r="FX110" s="9" t="s">
        <v>2859</v>
      </c>
      <c r="FY110" s="9" t="s">
        <v>493</v>
      </c>
      <c r="FZ110" s="9" t="s">
        <v>2860</v>
      </c>
      <c r="GB110" s="9" t="s">
        <v>455</v>
      </c>
      <c r="GC110" s="9"/>
      <c r="GD110" s="9"/>
      <c r="GE110" s="9" t="s">
        <v>753</v>
      </c>
      <c r="GF110" s="9" t="s">
        <v>2861</v>
      </c>
      <c r="GJ110" s="9" t="s">
        <v>755</v>
      </c>
      <c r="GK110" s="9" t="s">
        <v>755</v>
      </c>
      <c r="GL110" s="9" t="s">
        <v>946</v>
      </c>
    </row>
    <row r="111" ht="24.75" customHeight="1">
      <c r="A111" s="8">
        <v>45828.643401828704</v>
      </c>
      <c r="B111" s="9" t="s">
        <v>368</v>
      </c>
      <c r="C111" s="9" t="s">
        <v>370</v>
      </c>
      <c r="E111" s="9" t="s">
        <v>1480</v>
      </c>
      <c r="G111" s="9" t="s">
        <v>422</v>
      </c>
      <c r="H111" s="9" t="s">
        <v>1203</v>
      </c>
      <c r="I111" s="9" t="s">
        <v>638</v>
      </c>
      <c r="J111" s="9" t="s">
        <v>1204</v>
      </c>
      <c r="K111" s="9" t="s">
        <v>376</v>
      </c>
      <c r="L111" s="9" t="s">
        <v>591</v>
      </c>
      <c r="M111" s="9" t="s">
        <v>720</v>
      </c>
      <c r="N111" s="9" t="s">
        <v>591</v>
      </c>
      <c r="O111" s="9" t="s">
        <v>719</v>
      </c>
      <c r="P111" s="9" t="s">
        <v>498</v>
      </c>
      <c r="Q111" s="9" t="s">
        <v>382</v>
      </c>
      <c r="R111" s="9" t="s">
        <v>949</v>
      </c>
      <c r="S111" s="9" t="s">
        <v>384</v>
      </c>
      <c r="T111" s="9" t="s">
        <v>385</v>
      </c>
      <c r="W111" s="9" t="s">
        <v>428</v>
      </c>
      <c r="AV111" s="9" t="s">
        <v>597</v>
      </c>
      <c r="AW111" s="9" t="s">
        <v>675</v>
      </c>
      <c r="AX111" s="9">
        <v>4.0</v>
      </c>
      <c r="AY111" s="9" t="s">
        <v>675</v>
      </c>
      <c r="AZ111" s="9" t="s">
        <v>675</v>
      </c>
      <c r="BA111" s="9" t="s">
        <v>675</v>
      </c>
      <c r="BB111" s="9" t="s">
        <v>675</v>
      </c>
      <c r="BC111" s="9" t="s">
        <v>2862</v>
      </c>
      <c r="BD111" s="9" t="s">
        <v>2863</v>
      </c>
      <c r="BE111" s="9" t="s">
        <v>432</v>
      </c>
      <c r="BF111" s="9" t="s">
        <v>1095</v>
      </c>
      <c r="BG111" s="9" t="s">
        <v>394</v>
      </c>
      <c r="BI111" s="9" t="s">
        <v>824</v>
      </c>
      <c r="BK111" s="9" t="s">
        <v>395</v>
      </c>
      <c r="BL111" s="9" t="s">
        <v>603</v>
      </c>
      <c r="BM111" s="9" t="s">
        <v>397</v>
      </c>
      <c r="BN111" s="9" t="s">
        <v>398</v>
      </c>
      <c r="BP111" s="9" t="s">
        <v>2864</v>
      </c>
      <c r="BQ111" s="9" t="s">
        <v>604</v>
      </c>
      <c r="BR111" s="9" t="s">
        <v>2865</v>
      </c>
      <c r="BS111" s="9" t="s">
        <v>1741</v>
      </c>
      <c r="BT111" s="9" t="s">
        <v>1742</v>
      </c>
      <c r="BU111" s="9" t="s">
        <v>1693</v>
      </c>
      <c r="BV111" s="9" t="s">
        <v>2866</v>
      </c>
      <c r="BW111" s="9" t="s">
        <v>406</v>
      </c>
      <c r="BX111" s="9" t="s">
        <v>407</v>
      </c>
      <c r="BY111" s="9" t="s">
        <v>408</v>
      </c>
      <c r="CC111" s="9" t="s">
        <v>2867</v>
      </c>
      <c r="CD111" s="9" t="s">
        <v>409</v>
      </c>
      <c r="CE111" s="9" t="s">
        <v>2868</v>
      </c>
      <c r="CF111" s="9" t="s">
        <v>1258</v>
      </c>
      <c r="CH111" s="9" t="s">
        <v>1698</v>
      </c>
      <c r="CI111" s="9" t="s">
        <v>833</v>
      </c>
      <c r="CJ111" s="9" t="s">
        <v>2869</v>
      </c>
      <c r="CK111" s="9" t="s">
        <v>2870</v>
      </c>
      <c r="ET111" s="9" t="s">
        <v>578</v>
      </c>
      <c r="EU111" s="9" t="s">
        <v>479</v>
      </c>
      <c r="EV111" s="9" t="s">
        <v>527</v>
      </c>
      <c r="EW111" s="9" t="s">
        <v>2871</v>
      </c>
      <c r="EX111" s="9" t="s">
        <v>2872</v>
      </c>
      <c r="EY111" s="9" t="s">
        <v>2873</v>
      </c>
      <c r="EZ111" s="9" t="s">
        <v>583</v>
      </c>
      <c r="FA111" s="9" t="s">
        <v>583</v>
      </c>
      <c r="FB111" s="9" t="s">
        <v>415</v>
      </c>
      <c r="FC111" s="9" t="s">
        <v>583</v>
      </c>
      <c r="FD111" s="9" t="s">
        <v>416</v>
      </c>
      <c r="FE111" s="9" t="s">
        <v>583</v>
      </c>
      <c r="FF111" s="9" t="s">
        <v>414</v>
      </c>
      <c r="FG111" s="9" t="s">
        <v>415</v>
      </c>
      <c r="FH111" s="9" t="s">
        <v>415</v>
      </c>
      <c r="FI111" s="9" t="s">
        <v>583</v>
      </c>
      <c r="FJ111" s="9" t="s">
        <v>583</v>
      </c>
      <c r="FK111" s="9" t="s">
        <v>415</v>
      </c>
      <c r="FL111" s="9" t="s">
        <v>415</v>
      </c>
      <c r="FM111" s="9" t="s">
        <v>415</v>
      </c>
      <c r="FN111" s="9" t="s">
        <v>415</v>
      </c>
      <c r="FO111" s="9" t="s">
        <v>485</v>
      </c>
      <c r="FP111" s="9" t="s">
        <v>418</v>
      </c>
      <c r="FQ111" s="9" t="s">
        <v>419</v>
      </c>
      <c r="FR111" s="9" t="s">
        <v>2874</v>
      </c>
      <c r="FS111" s="9" t="s">
        <v>995</v>
      </c>
      <c r="FT111" s="9" t="s">
        <v>1462</v>
      </c>
      <c r="FU111" s="9" t="s">
        <v>533</v>
      </c>
      <c r="FV111" s="9" t="s">
        <v>490</v>
      </c>
      <c r="FW111" s="9" t="s">
        <v>491</v>
      </c>
      <c r="FX111" s="9" t="s">
        <v>2875</v>
      </c>
      <c r="FY111" s="9" t="s">
        <v>493</v>
      </c>
      <c r="FZ111" s="9" t="s">
        <v>2876</v>
      </c>
      <c r="GB111" s="9" t="s">
        <v>455</v>
      </c>
      <c r="GD111" s="9" t="s">
        <v>2877</v>
      </c>
      <c r="GE111" s="9" t="s">
        <v>855</v>
      </c>
      <c r="GJ111" s="9" t="s">
        <v>755</v>
      </c>
      <c r="GK111" s="9" t="s">
        <v>755</v>
      </c>
      <c r="GL111" s="9" t="s">
        <v>817</v>
      </c>
    </row>
    <row r="112" ht="24.75" customHeight="1">
      <c r="A112" s="8">
        <v>45828.78532109954</v>
      </c>
      <c r="B112" s="9" t="s">
        <v>368</v>
      </c>
      <c r="C112" s="9" t="s">
        <v>370</v>
      </c>
      <c r="E112" s="9" t="s">
        <v>1480</v>
      </c>
      <c r="G112" s="9" t="s">
        <v>422</v>
      </c>
      <c r="H112" s="9" t="s">
        <v>423</v>
      </c>
      <c r="I112" s="9" t="s">
        <v>668</v>
      </c>
      <c r="J112" s="9" t="s">
        <v>375</v>
      </c>
      <c r="K112" s="9" t="s">
        <v>376</v>
      </c>
      <c r="L112" s="9" t="s">
        <v>426</v>
      </c>
      <c r="M112" s="9" t="s">
        <v>2464</v>
      </c>
      <c r="N112" s="9" t="s">
        <v>426</v>
      </c>
      <c r="O112" s="9" t="s">
        <v>2464</v>
      </c>
      <c r="P112" s="9" t="s">
        <v>381</v>
      </c>
      <c r="Q112" s="9" t="s">
        <v>1156</v>
      </c>
      <c r="R112" s="9" t="s">
        <v>500</v>
      </c>
      <c r="S112" s="9" t="s">
        <v>384</v>
      </c>
      <c r="T112" s="9" t="s">
        <v>385</v>
      </c>
      <c r="W112" s="9" t="s">
        <v>428</v>
      </c>
      <c r="AV112" s="9" t="s">
        <v>1310</v>
      </c>
      <c r="AW112" s="9" t="s">
        <v>675</v>
      </c>
      <c r="AX112" s="9" t="s">
        <v>675</v>
      </c>
      <c r="AY112" s="9" t="s">
        <v>675</v>
      </c>
      <c r="AZ112" s="9" t="s">
        <v>675</v>
      </c>
      <c r="BA112" s="9" t="s">
        <v>675</v>
      </c>
      <c r="BB112" s="9" t="s">
        <v>675</v>
      </c>
      <c r="BC112" s="9" t="s">
        <v>2878</v>
      </c>
      <c r="BD112" s="9" t="s">
        <v>2879</v>
      </c>
      <c r="BE112" s="9" t="s">
        <v>432</v>
      </c>
      <c r="BF112" s="9" t="s">
        <v>1095</v>
      </c>
      <c r="BG112" s="9" t="s">
        <v>765</v>
      </c>
      <c r="BH112" s="9" t="s">
        <v>2880</v>
      </c>
      <c r="BI112" s="9" t="s">
        <v>976</v>
      </c>
      <c r="BK112" s="9" t="s">
        <v>395</v>
      </c>
      <c r="BL112" s="9" t="s">
        <v>904</v>
      </c>
      <c r="BM112" s="9" t="s">
        <v>1247</v>
      </c>
      <c r="BN112" s="9" t="s">
        <v>440</v>
      </c>
      <c r="CL112" s="9" t="s">
        <v>441</v>
      </c>
      <c r="CM112" s="9" t="s">
        <v>604</v>
      </c>
      <c r="CN112" s="9" t="s">
        <v>2881</v>
      </c>
      <c r="CO112" s="9" t="s">
        <v>2882</v>
      </c>
      <c r="CP112" s="9" t="s">
        <v>685</v>
      </c>
      <c r="CQ112" s="9" t="s">
        <v>2883</v>
      </c>
      <c r="CR112" s="9" t="s">
        <v>447</v>
      </c>
      <c r="CS112" s="9" t="s">
        <v>687</v>
      </c>
      <c r="CT112" s="9" t="s">
        <v>2884</v>
      </c>
      <c r="CU112" s="9" t="s">
        <v>450</v>
      </c>
      <c r="CV112" s="9" t="s">
        <v>451</v>
      </c>
      <c r="CW112" s="9" t="s">
        <v>2885</v>
      </c>
      <c r="CX112" s="9" t="s">
        <v>455</v>
      </c>
      <c r="CY112" s="9" t="s">
        <v>2886</v>
      </c>
      <c r="CZ112" s="9" t="s">
        <v>453</v>
      </c>
      <c r="DA112" s="9" t="s">
        <v>2887</v>
      </c>
      <c r="DB112" s="9" t="s">
        <v>455</v>
      </c>
      <c r="DC112" s="9" t="s">
        <v>2888</v>
      </c>
      <c r="DD112" s="9" t="s">
        <v>988</v>
      </c>
      <c r="DF112" s="9" t="s">
        <v>2889</v>
      </c>
      <c r="DG112" s="9" t="s">
        <v>524</v>
      </c>
      <c r="DH112" s="9" t="s">
        <v>410</v>
      </c>
      <c r="DI112" s="9" t="s">
        <v>459</v>
      </c>
      <c r="DJ112" s="9" t="s">
        <v>460</v>
      </c>
      <c r="DK112" s="9" t="s">
        <v>461</v>
      </c>
      <c r="DM112" s="9" t="s">
        <v>2890</v>
      </c>
      <c r="DN112" s="9" t="s">
        <v>2891</v>
      </c>
      <c r="DO112" s="9" t="s">
        <v>1063</v>
      </c>
      <c r="DP112" s="9" t="s">
        <v>2892</v>
      </c>
      <c r="DQ112" s="9" t="s">
        <v>1578</v>
      </c>
      <c r="DR112" s="9" t="s">
        <v>2893</v>
      </c>
      <c r="DS112" s="9" t="s">
        <v>468</v>
      </c>
      <c r="DT112" s="9" t="s">
        <v>619</v>
      </c>
      <c r="DU112" s="9" t="s">
        <v>2894</v>
      </c>
      <c r="DV112" s="9" t="s">
        <v>2895</v>
      </c>
      <c r="DW112" s="9" t="s">
        <v>1328</v>
      </c>
      <c r="DX112" s="9" t="s">
        <v>2896</v>
      </c>
      <c r="DY112" s="9" t="s">
        <v>2897</v>
      </c>
      <c r="DZ112" s="9" t="s">
        <v>2898</v>
      </c>
      <c r="EA112" s="9" t="s">
        <v>475</v>
      </c>
      <c r="EB112" s="9" t="s">
        <v>845</v>
      </c>
      <c r="EC112" s="9" t="s">
        <v>2899</v>
      </c>
      <c r="ET112" s="9" t="s">
        <v>526</v>
      </c>
      <c r="EU112" s="9" t="s">
        <v>479</v>
      </c>
      <c r="EV112" s="9" t="s">
        <v>480</v>
      </c>
      <c r="EW112" s="9" t="s">
        <v>2900</v>
      </c>
      <c r="EX112" s="9" t="s">
        <v>2901</v>
      </c>
      <c r="EY112" s="9" t="s">
        <v>2902</v>
      </c>
      <c r="EZ112" s="9" t="s">
        <v>583</v>
      </c>
      <c r="FA112" s="9" t="s">
        <v>583</v>
      </c>
      <c r="FB112" s="9" t="s">
        <v>415</v>
      </c>
      <c r="FC112" s="9" t="s">
        <v>414</v>
      </c>
      <c r="FD112" s="9" t="s">
        <v>413</v>
      </c>
      <c r="FE112" s="9" t="s">
        <v>583</v>
      </c>
      <c r="FF112" s="9" t="s">
        <v>415</v>
      </c>
      <c r="FG112" s="9" t="s">
        <v>416</v>
      </c>
      <c r="FH112" s="9" t="s">
        <v>583</v>
      </c>
      <c r="FI112" s="9" t="s">
        <v>583</v>
      </c>
      <c r="FJ112" s="9" t="s">
        <v>583</v>
      </c>
      <c r="FK112" s="9" t="s">
        <v>484</v>
      </c>
      <c r="FL112" s="9" t="s">
        <v>484</v>
      </c>
      <c r="FM112" s="9" t="s">
        <v>484</v>
      </c>
      <c r="FN112" s="9" t="s">
        <v>484</v>
      </c>
      <c r="FO112" s="9" t="s">
        <v>417</v>
      </c>
      <c r="FP112" s="9" t="s">
        <v>418</v>
      </c>
      <c r="FQ112" s="9" t="s">
        <v>419</v>
      </c>
      <c r="FR112" s="9" t="s">
        <v>2903</v>
      </c>
      <c r="FS112" s="9" t="s">
        <v>420</v>
      </c>
      <c r="FT112" s="9" t="s">
        <v>488</v>
      </c>
      <c r="FU112" s="9" t="s">
        <v>585</v>
      </c>
      <c r="FV112" s="9" t="s">
        <v>490</v>
      </c>
      <c r="FW112" s="9" t="s">
        <v>491</v>
      </c>
      <c r="FX112" s="9" t="s">
        <v>2904</v>
      </c>
      <c r="FY112" s="9" t="s">
        <v>535</v>
      </c>
      <c r="FZ112" s="9" t="s">
        <v>2905</v>
      </c>
      <c r="GA112" s="9" t="s">
        <v>2906</v>
      </c>
      <c r="GB112" s="9" t="s">
        <v>455</v>
      </c>
      <c r="GC112" s="9"/>
      <c r="GD112" s="9"/>
      <c r="GE112" s="9" t="s">
        <v>1339</v>
      </c>
      <c r="GF112" s="9" t="s">
        <v>2907</v>
      </c>
      <c r="GG112" s="9" t="s">
        <v>755</v>
      </c>
      <c r="GH112" s="9" t="s">
        <v>755</v>
      </c>
      <c r="GI112" s="9" t="s">
        <v>946</v>
      </c>
      <c r="GM112" s="9" t="s">
        <v>1079</v>
      </c>
    </row>
    <row r="113" ht="24.75" customHeight="1">
      <c r="A113" s="8">
        <v>45828.791163622685</v>
      </c>
      <c r="B113" s="9" t="s">
        <v>368</v>
      </c>
      <c r="C113" s="9" t="s">
        <v>370</v>
      </c>
      <c r="E113" s="9" t="s">
        <v>1480</v>
      </c>
      <c r="G113" s="9" t="s">
        <v>422</v>
      </c>
      <c r="H113" s="9" t="s">
        <v>373</v>
      </c>
      <c r="I113" s="9" t="s">
        <v>374</v>
      </c>
      <c r="J113" s="9" t="s">
        <v>590</v>
      </c>
      <c r="K113" s="9" t="s">
        <v>376</v>
      </c>
      <c r="L113" s="9" t="s">
        <v>379</v>
      </c>
      <c r="M113" s="9" t="s">
        <v>378</v>
      </c>
      <c r="N113" s="9" t="s">
        <v>379</v>
      </c>
      <c r="O113" s="9" t="s">
        <v>380</v>
      </c>
      <c r="P113" s="9" t="s">
        <v>381</v>
      </c>
      <c r="Q113" s="9" t="s">
        <v>1156</v>
      </c>
      <c r="R113" s="9" t="s">
        <v>427</v>
      </c>
      <c r="S113" s="9" t="s">
        <v>384</v>
      </c>
      <c r="T113" s="9" t="s">
        <v>385</v>
      </c>
      <c r="W113" s="9" t="s">
        <v>593</v>
      </c>
      <c r="X113" s="9" t="s">
        <v>387</v>
      </c>
      <c r="Y113" s="9" t="s">
        <v>388</v>
      </c>
      <c r="Z113" s="9" t="s">
        <v>502</v>
      </c>
      <c r="AA113" s="9" t="s">
        <v>1962</v>
      </c>
      <c r="AB113" s="9" t="s">
        <v>2908</v>
      </c>
      <c r="AV113" s="9" t="s">
        <v>390</v>
      </c>
      <c r="AW113" s="9" t="s">
        <v>391</v>
      </c>
      <c r="AX113" s="9" t="s">
        <v>391</v>
      </c>
      <c r="AY113" s="9">
        <v>2.0</v>
      </c>
      <c r="AZ113" s="9">
        <v>2.0</v>
      </c>
      <c r="BA113" s="9">
        <v>2.0</v>
      </c>
      <c r="BB113" s="9">
        <v>2.0</v>
      </c>
      <c r="BC113" s="9" t="s">
        <v>2909</v>
      </c>
      <c r="BD113" s="9" t="s">
        <v>2910</v>
      </c>
      <c r="BE113" s="9" t="s">
        <v>392</v>
      </c>
      <c r="BF113" s="9" t="s">
        <v>393</v>
      </c>
      <c r="BG113" s="9" t="s">
        <v>434</v>
      </c>
      <c r="BH113" s="9" t="s">
        <v>2911</v>
      </c>
      <c r="BI113" s="9" t="s">
        <v>976</v>
      </c>
      <c r="BK113" s="9" t="s">
        <v>395</v>
      </c>
      <c r="BL113" s="9" t="s">
        <v>603</v>
      </c>
      <c r="BM113" s="9" t="s">
        <v>549</v>
      </c>
      <c r="BN113" s="9" t="s">
        <v>513</v>
      </c>
      <c r="CL113" s="9" t="s">
        <v>441</v>
      </c>
      <c r="CM113" s="9" t="s">
        <v>401</v>
      </c>
      <c r="CN113" s="9" t="s">
        <v>2912</v>
      </c>
      <c r="CO113" s="9" t="s">
        <v>2913</v>
      </c>
      <c r="CP113" s="9" t="s">
        <v>685</v>
      </c>
      <c r="CQ113" s="9" t="s">
        <v>2914</v>
      </c>
      <c r="CR113" s="9" t="s">
        <v>447</v>
      </c>
      <c r="CS113" s="9" t="s">
        <v>2915</v>
      </c>
      <c r="CT113" s="9" t="s">
        <v>2916</v>
      </c>
      <c r="CU113" s="9" t="s">
        <v>450</v>
      </c>
      <c r="CV113" s="9" t="s">
        <v>451</v>
      </c>
      <c r="CW113" s="9" t="s">
        <v>2917</v>
      </c>
      <c r="CX113" s="9" t="s">
        <v>408</v>
      </c>
      <c r="CZ113" s="9" t="s">
        <v>453</v>
      </c>
      <c r="DA113" s="9" t="s">
        <v>2918</v>
      </c>
      <c r="DB113" s="9" t="s">
        <v>408</v>
      </c>
      <c r="DD113" s="9" t="s">
        <v>662</v>
      </c>
      <c r="DE113" s="9" t="s">
        <v>407</v>
      </c>
      <c r="DF113" s="9" t="s">
        <v>2919</v>
      </c>
      <c r="DG113" s="9" t="s">
        <v>561</v>
      </c>
      <c r="DH113" s="9" t="s">
        <v>410</v>
      </c>
      <c r="DI113" s="9" t="s">
        <v>459</v>
      </c>
      <c r="DJ113" s="9" t="s">
        <v>460</v>
      </c>
      <c r="DK113" s="9" t="s">
        <v>461</v>
      </c>
      <c r="ET113" s="9" t="s">
        <v>526</v>
      </c>
      <c r="EU113" s="9" t="s">
        <v>479</v>
      </c>
      <c r="EV113" s="9" t="s">
        <v>480</v>
      </c>
      <c r="EX113" s="9" t="s">
        <v>2920</v>
      </c>
      <c r="EY113" s="9" t="s">
        <v>2921</v>
      </c>
      <c r="EZ113" s="9" t="s">
        <v>583</v>
      </c>
      <c r="FA113" s="9" t="s">
        <v>583</v>
      </c>
      <c r="FB113" s="9" t="s">
        <v>583</v>
      </c>
      <c r="FC113" s="9" t="s">
        <v>583</v>
      </c>
      <c r="FD113" s="9" t="s">
        <v>415</v>
      </c>
      <c r="FE113" s="9" t="s">
        <v>583</v>
      </c>
      <c r="FF113" s="9" t="s">
        <v>484</v>
      </c>
      <c r="FG113" s="9" t="s">
        <v>416</v>
      </c>
      <c r="FH113" s="9" t="s">
        <v>583</v>
      </c>
      <c r="FI113" s="9" t="s">
        <v>414</v>
      </c>
      <c r="FJ113" s="9" t="s">
        <v>415</v>
      </c>
      <c r="FK113" s="9" t="s">
        <v>415</v>
      </c>
      <c r="FL113" s="9" t="s">
        <v>415</v>
      </c>
      <c r="FM113" s="9" t="s">
        <v>416</v>
      </c>
      <c r="FN113" s="9" t="s">
        <v>583</v>
      </c>
      <c r="FO113" s="9" t="s">
        <v>417</v>
      </c>
      <c r="FP113" s="9" t="s">
        <v>418</v>
      </c>
      <c r="FQ113" s="9" t="s">
        <v>749</v>
      </c>
      <c r="FR113" s="9" t="s">
        <v>2922</v>
      </c>
      <c r="FS113" s="9" t="s">
        <v>420</v>
      </c>
      <c r="FT113" s="9" t="s">
        <v>488</v>
      </c>
      <c r="FU113" s="9" t="s">
        <v>489</v>
      </c>
      <c r="FV113" s="9" t="s">
        <v>490</v>
      </c>
      <c r="FW113" s="9" t="s">
        <v>491</v>
      </c>
      <c r="FX113" s="9" t="s">
        <v>2923</v>
      </c>
      <c r="FY113" s="9" t="s">
        <v>535</v>
      </c>
      <c r="FZ113" s="9" t="s">
        <v>2924</v>
      </c>
      <c r="GA113" s="9" t="s">
        <v>2925</v>
      </c>
      <c r="GB113" s="9" t="s">
        <v>455</v>
      </c>
      <c r="GC113" s="9"/>
      <c r="GE113" s="9" t="s">
        <v>1339</v>
      </c>
      <c r="GF113" s="9" t="s">
        <v>2926</v>
      </c>
      <c r="GG113" s="9" t="s">
        <v>755</v>
      </c>
      <c r="GH113" s="9" t="s">
        <v>755</v>
      </c>
      <c r="GI113" s="9" t="s">
        <v>946</v>
      </c>
    </row>
    <row r="114" ht="24.75" customHeight="1">
      <c r="A114" s="8">
        <v>45828.88566534722</v>
      </c>
      <c r="B114" s="9" t="s">
        <v>368</v>
      </c>
      <c r="C114" s="9" t="s">
        <v>370</v>
      </c>
      <c r="E114" s="9" t="s">
        <v>667</v>
      </c>
      <c r="G114" s="9" t="s">
        <v>422</v>
      </c>
      <c r="H114" s="9" t="s">
        <v>1921</v>
      </c>
      <c r="I114" s="9" t="s">
        <v>668</v>
      </c>
      <c r="J114" s="9" t="s">
        <v>375</v>
      </c>
      <c r="K114" s="9" t="s">
        <v>376</v>
      </c>
      <c r="L114" s="9" t="s">
        <v>379</v>
      </c>
      <c r="M114" s="9" t="s">
        <v>378</v>
      </c>
      <c r="N114" s="9" t="s">
        <v>426</v>
      </c>
      <c r="O114" s="9" t="s">
        <v>380</v>
      </c>
      <c r="P114" s="9" t="s">
        <v>498</v>
      </c>
      <c r="Q114" s="9" t="s">
        <v>862</v>
      </c>
      <c r="R114" s="9" t="s">
        <v>500</v>
      </c>
      <c r="S114" s="9" t="s">
        <v>384</v>
      </c>
      <c r="T114" s="9" t="s">
        <v>385</v>
      </c>
      <c r="W114" s="9" t="s">
        <v>386</v>
      </c>
      <c r="X114" s="9" t="s">
        <v>387</v>
      </c>
      <c r="Y114" s="9" t="s">
        <v>388</v>
      </c>
      <c r="Z114" s="9" t="s">
        <v>543</v>
      </c>
      <c r="AA114" s="9" t="s">
        <v>2927</v>
      </c>
      <c r="AV114" s="9" t="s">
        <v>1310</v>
      </c>
      <c r="AW114" s="9" t="s">
        <v>675</v>
      </c>
      <c r="AX114" s="9" t="s">
        <v>675</v>
      </c>
      <c r="AY114" s="9">
        <v>2.0</v>
      </c>
      <c r="AZ114" s="9">
        <v>4.0</v>
      </c>
      <c r="BA114" s="9">
        <v>4.0</v>
      </c>
      <c r="BB114" s="9">
        <v>4.0</v>
      </c>
      <c r="BC114" s="9" t="s">
        <v>2928</v>
      </c>
      <c r="BD114" s="9" t="s">
        <v>2929</v>
      </c>
      <c r="BE114" s="9" t="s">
        <v>902</v>
      </c>
      <c r="BF114" s="9" t="s">
        <v>1245</v>
      </c>
      <c r="BG114" s="9" t="s">
        <v>765</v>
      </c>
      <c r="BH114" s="9" t="s">
        <v>552</v>
      </c>
      <c r="BI114" s="9" t="s">
        <v>976</v>
      </c>
      <c r="BK114" s="9" t="s">
        <v>437</v>
      </c>
      <c r="BL114" s="9" t="s">
        <v>904</v>
      </c>
      <c r="BM114" s="9" t="s">
        <v>1247</v>
      </c>
      <c r="BN114" s="9" t="s">
        <v>513</v>
      </c>
      <c r="CL114" s="9" t="s">
        <v>441</v>
      </c>
      <c r="CM114" s="9" t="s">
        <v>401</v>
      </c>
      <c r="CN114" s="9" t="s">
        <v>2930</v>
      </c>
      <c r="CO114" s="9" t="s">
        <v>552</v>
      </c>
      <c r="CP114" s="9" t="s">
        <v>403</v>
      </c>
      <c r="CQ114" s="9" t="s">
        <v>931</v>
      </c>
      <c r="CR114" s="9" t="s">
        <v>447</v>
      </c>
      <c r="CS114" s="9" t="s">
        <v>1137</v>
      </c>
      <c r="CT114" s="9" t="s">
        <v>2931</v>
      </c>
      <c r="CU114" s="9" t="s">
        <v>1852</v>
      </c>
      <c r="CV114" s="9" t="s">
        <v>409</v>
      </c>
      <c r="CW114" s="9" t="s">
        <v>2932</v>
      </c>
      <c r="CX114" s="9" t="s">
        <v>408</v>
      </c>
      <c r="CZ114" s="9" t="s">
        <v>1962</v>
      </c>
      <c r="DB114" s="9" t="s">
        <v>408</v>
      </c>
      <c r="DD114" s="9" t="s">
        <v>406</v>
      </c>
      <c r="DE114" s="9" t="s">
        <v>1058</v>
      </c>
      <c r="DF114" s="9" t="s">
        <v>2933</v>
      </c>
      <c r="DG114" s="9" t="s">
        <v>990</v>
      </c>
      <c r="DH114" s="9" t="s">
        <v>694</v>
      </c>
      <c r="DI114" s="9" t="s">
        <v>459</v>
      </c>
      <c r="DJ114" s="9" t="s">
        <v>562</v>
      </c>
      <c r="DK114" s="9" t="s">
        <v>461</v>
      </c>
      <c r="ET114" s="9" t="s">
        <v>478</v>
      </c>
      <c r="EU114" s="9" t="s">
        <v>1037</v>
      </c>
      <c r="EV114" s="9" t="s">
        <v>527</v>
      </c>
      <c r="EX114" s="9" t="s">
        <v>2934</v>
      </c>
      <c r="EY114" s="9" t="s">
        <v>2935</v>
      </c>
      <c r="EZ114" s="9" t="s">
        <v>414</v>
      </c>
      <c r="FA114" s="9" t="s">
        <v>583</v>
      </c>
      <c r="FB114" s="9" t="s">
        <v>416</v>
      </c>
      <c r="FC114" s="9" t="s">
        <v>583</v>
      </c>
      <c r="FD114" s="9" t="s">
        <v>413</v>
      </c>
      <c r="FE114" s="9" t="s">
        <v>583</v>
      </c>
      <c r="FF114" s="9" t="s">
        <v>484</v>
      </c>
      <c r="FG114" s="9" t="s">
        <v>413</v>
      </c>
      <c r="FH114" s="9" t="s">
        <v>583</v>
      </c>
      <c r="FI114" s="9" t="s">
        <v>583</v>
      </c>
      <c r="FJ114" s="9" t="s">
        <v>583</v>
      </c>
      <c r="FK114" s="9" t="s">
        <v>583</v>
      </c>
      <c r="FL114" s="9" t="s">
        <v>583</v>
      </c>
      <c r="FM114" s="9" t="s">
        <v>413</v>
      </c>
      <c r="FN114" s="9" t="s">
        <v>583</v>
      </c>
      <c r="FO114" s="9" t="s">
        <v>485</v>
      </c>
      <c r="FP114" s="9" t="s">
        <v>418</v>
      </c>
      <c r="FQ114" s="9" t="s">
        <v>630</v>
      </c>
      <c r="FR114" s="9" t="s">
        <v>2936</v>
      </c>
      <c r="FS114" s="9" t="s">
        <v>1871</v>
      </c>
      <c r="FT114" s="9" t="s">
        <v>1476</v>
      </c>
      <c r="FU114" s="9" t="s">
        <v>533</v>
      </c>
      <c r="FV114" s="9" t="s">
        <v>1101</v>
      </c>
      <c r="FW114" s="9" t="s">
        <v>1853</v>
      </c>
      <c r="FY114" s="9" t="s">
        <v>1854</v>
      </c>
      <c r="GB114" s="9" t="s">
        <v>408</v>
      </c>
      <c r="GG114" s="9" t="s">
        <v>857</v>
      </c>
      <c r="GH114" s="9" t="s">
        <v>857</v>
      </c>
      <c r="GI114" s="9" t="s">
        <v>756</v>
      </c>
    </row>
    <row r="115" ht="24.75" customHeight="1">
      <c r="A115" s="8">
        <v>45828.891574270834</v>
      </c>
      <c r="B115" s="9" t="s">
        <v>368</v>
      </c>
      <c r="C115" s="9" t="s">
        <v>370</v>
      </c>
      <c r="E115" s="9" t="s">
        <v>1510</v>
      </c>
      <c r="G115" s="9" t="s">
        <v>422</v>
      </c>
      <c r="H115" s="9" t="s">
        <v>423</v>
      </c>
      <c r="I115" s="9" t="s">
        <v>668</v>
      </c>
      <c r="J115" s="9" t="s">
        <v>718</v>
      </c>
      <c r="K115" s="9" t="s">
        <v>376</v>
      </c>
      <c r="L115" s="9" t="s">
        <v>591</v>
      </c>
      <c r="M115" s="9" t="s">
        <v>2539</v>
      </c>
      <c r="N115" s="9" t="s">
        <v>591</v>
      </c>
      <c r="O115" s="9" t="s">
        <v>719</v>
      </c>
      <c r="P115" s="9" t="s">
        <v>498</v>
      </c>
      <c r="Q115" s="9" t="s">
        <v>499</v>
      </c>
      <c r="R115" s="9" t="s">
        <v>1197</v>
      </c>
      <c r="S115" s="9" t="s">
        <v>384</v>
      </c>
      <c r="T115" s="9" t="s">
        <v>385</v>
      </c>
      <c r="W115" s="9" t="s">
        <v>386</v>
      </c>
      <c r="X115" s="9" t="s">
        <v>387</v>
      </c>
      <c r="Y115" s="9" t="s">
        <v>1824</v>
      </c>
      <c r="Z115" s="9" t="s">
        <v>543</v>
      </c>
      <c r="AA115" s="9" t="s">
        <v>2937</v>
      </c>
      <c r="AV115" s="9" t="s">
        <v>597</v>
      </c>
      <c r="AW115" s="9">
        <v>2.0</v>
      </c>
      <c r="AX115" s="9">
        <v>2.0</v>
      </c>
      <c r="AY115" s="9" t="s">
        <v>391</v>
      </c>
      <c r="AZ115" s="9" t="s">
        <v>391</v>
      </c>
      <c r="BA115" s="9" t="s">
        <v>391</v>
      </c>
      <c r="BB115" s="9" t="s">
        <v>391</v>
      </c>
      <c r="BC115" s="9" t="s">
        <v>2938</v>
      </c>
      <c r="BD115" s="9" t="s">
        <v>2939</v>
      </c>
      <c r="BE115" s="9" t="s">
        <v>902</v>
      </c>
      <c r="BF115" s="9" t="s">
        <v>1095</v>
      </c>
      <c r="BG115" s="9" t="s">
        <v>434</v>
      </c>
      <c r="BI115" s="9" t="s">
        <v>435</v>
      </c>
      <c r="BJ115" s="9" t="s">
        <v>2940</v>
      </c>
      <c r="BK115" s="9" t="s">
        <v>602</v>
      </c>
      <c r="BL115" s="9" t="s">
        <v>438</v>
      </c>
      <c r="BM115" s="9" t="s">
        <v>1247</v>
      </c>
      <c r="BN115" s="9" t="s">
        <v>513</v>
      </c>
      <c r="CL115" s="9" t="s">
        <v>441</v>
      </c>
      <c r="CM115" s="9" t="s">
        <v>604</v>
      </c>
      <c r="CN115" s="9" t="s">
        <v>552</v>
      </c>
      <c r="CO115" s="9" t="s">
        <v>2941</v>
      </c>
      <c r="CP115" s="9" t="s">
        <v>685</v>
      </c>
      <c r="CQ115" s="9" t="s">
        <v>931</v>
      </c>
      <c r="CR115" s="9" t="s">
        <v>447</v>
      </c>
      <c r="CS115" s="9" t="s">
        <v>2942</v>
      </c>
      <c r="CT115" s="9" t="s">
        <v>2943</v>
      </c>
      <c r="CU115" s="9" t="s">
        <v>450</v>
      </c>
      <c r="CV115" s="9" t="s">
        <v>451</v>
      </c>
      <c r="CW115" s="9" t="s">
        <v>2944</v>
      </c>
      <c r="CX115" s="9" t="s">
        <v>408</v>
      </c>
      <c r="CZ115" s="9" t="s">
        <v>1398</v>
      </c>
      <c r="DA115" s="9" t="s">
        <v>2945</v>
      </c>
      <c r="DB115" s="9" t="s">
        <v>455</v>
      </c>
      <c r="DC115" s="9" t="s">
        <v>2946</v>
      </c>
      <c r="DD115" s="9" t="s">
        <v>406</v>
      </c>
      <c r="DE115" s="9" t="s">
        <v>1368</v>
      </c>
      <c r="DF115" s="9" t="s">
        <v>2947</v>
      </c>
      <c r="DG115" s="9" t="s">
        <v>693</v>
      </c>
      <c r="DH115" s="9" t="s">
        <v>833</v>
      </c>
      <c r="DI115" s="9" t="s">
        <v>459</v>
      </c>
      <c r="DJ115" s="9" t="s">
        <v>1403</v>
      </c>
      <c r="DK115" s="9" t="s">
        <v>461</v>
      </c>
      <c r="ET115" s="9" t="s">
        <v>578</v>
      </c>
      <c r="EU115" s="9" t="s">
        <v>479</v>
      </c>
      <c r="EV115" s="9" t="s">
        <v>480</v>
      </c>
      <c r="EX115" s="9" t="s">
        <v>2948</v>
      </c>
      <c r="EY115" s="9" t="s">
        <v>2949</v>
      </c>
      <c r="EZ115" s="9" t="s">
        <v>414</v>
      </c>
      <c r="FA115" s="9" t="s">
        <v>414</v>
      </c>
      <c r="FB115" s="9" t="s">
        <v>416</v>
      </c>
      <c r="FC115" s="9" t="s">
        <v>416</v>
      </c>
      <c r="FD115" s="9" t="s">
        <v>416</v>
      </c>
      <c r="FE115" s="9" t="s">
        <v>414</v>
      </c>
      <c r="FF115" s="9" t="s">
        <v>415</v>
      </c>
      <c r="FG115" s="9" t="s">
        <v>415</v>
      </c>
      <c r="FH115" s="9" t="s">
        <v>415</v>
      </c>
      <c r="FI115" s="9" t="s">
        <v>415</v>
      </c>
      <c r="FJ115" s="9" t="s">
        <v>416</v>
      </c>
      <c r="FK115" s="9" t="s">
        <v>414</v>
      </c>
      <c r="FL115" s="9" t="s">
        <v>414</v>
      </c>
      <c r="FM115" s="9" t="s">
        <v>415</v>
      </c>
      <c r="FN115" s="9" t="s">
        <v>583</v>
      </c>
      <c r="FO115" s="9" t="s">
        <v>850</v>
      </c>
      <c r="FP115" s="9" t="s">
        <v>418</v>
      </c>
      <c r="FQ115" s="9" t="s">
        <v>531</v>
      </c>
      <c r="FS115" s="9" t="s">
        <v>995</v>
      </c>
      <c r="FT115" s="9" t="s">
        <v>488</v>
      </c>
      <c r="FU115" s="9" t="s">
        <v>489</v>
      </c>
      <c r="FV115" s="9" t="s">
        <v>490</v>
      </c>
      <c r="FW115" s="9" t="s">
        <v>491</v>
      </c>
      <c r="FX115" s="9" t="s">
        <v>2950</v>
      </c>
      <c r="FY115" s="9" t="s">
        <v>493</v>
      </c>
      <c r="GA115" s="9" t="s">
        <v>408</v>
      </c>
      <c r="GB115" s="9" t="s">
        <v>408</v>
      </c>
      <c r="GG115" s="9" t="s">
        <v>755</v>
      </c>
      <c r="GH115" s="9" t="s">
        <v>755</v>
      </c>
      <c r="GI115" s="9" t="s">
        <v>817</v>
      </c>
    </row>
    <row r="116" ht="24.75" customHeight="1">
      <c r="A116" s="8">
        <v>45828.92868631944</v>
      </c>
      <c r="B116" s="9" t="s">
        <v>368</v>
      </c>
      <c r="C116" s="9" t="s">
        <v>370</v>
      </c>
      <c r="E116" s="9" t="s">
        <v>1562</v>
      </c>
      <c r="G116" s="9" t="s">
        <v>422</v>
      </c>
      <c r="H116" s="9" t="s">
        <v>423</v>
      </c>
      <c r="I116" s="9" t="s">
        <v>424</v>
      </c>
      <c r="J116" s="9" t="s">
        <v>540</v>
      </c>
      <c r="K116" s="9" t="s">
        <v>376</v>
      </c>
      <c r="L116" s="9" t="s">
        <v>426</v>
      </c>
      <c r="M116" s="9" t="s">
        <v>541</v>
      </c>
      <c r="N116" s="9" t="s">
        <v>591</v>
      </c>
      <c r="O116" s="9" t="s">
        <v>671</v>
      </c>
      <c r="P116" s="9" t="s">
        <v>498</v>
      </c>
      <c r="Q116" s="9" t="s">
        <v>499</v>
      </c>
      <c r="R116" s="9" t="s">
        <v>427</v>
      </c>
      <c r="S116" s="9" t="s">
        <v>384</v>
      </c>
      <c r="T116" s="9" t="s">
        <v>385</v>
      </c>
      <c r="W116" s="9" t="s">
        <v>593</v>
      </c>
      <c r="X116" s="9" t="s">
        <v>387</v>
      </c>
      <c r="Y116" s="9" t="s">
        <v>388</v>
      </c>
      <c r="Z116" s="9" t="s">
        <v>502</v>
      </c>
      <c r="AA116" s="9" t="s">
        <v>408</v>
      </c>
      <c r="AV116" s="9" t="s">
        <v>390</v>
      </c>
      <c r="AW116" s="9" t="s">
        <v>675</v>
      </c>
      <c r="AX116" s="9" t="s">
        <v>391</v>
      </c>
      <c r="AY116" s="9" t="s">
        <v>391</v>
      </c>
      <c r="AZ116" s="9" t="s">
        <v>391</v>
      </c>
      <c r="BA116" s="9" t="s">
        <v>391</v>
      </c>
      <c r="BB116" s="9" t="s">
        <v>391</v>
      </c>
      <c r="BG116" s="9" t="s">
        <v>678</v>
      </c>
      <c r="BI116" s="9" t="s">
        <v>976</v>
      </c>
      <c r="BK116" s="9" t="s">
        <v>681</v>
      </c>
      <c r="BL116" s="9" t="s">
        <v>512</v>
      </c>
      <c r="BM116" s="9" t="s">
        <v>549</v>
      </c>
      <c r="BN116" s="9" t="s">
        <v>440</v>
      </c>
      <c r="CL116" s="9" t="s">
        <v>441</v>
      </c>
      <c r="CM116" s="9" t="s">
        <v>682</v>
      </c>
      <c r="CN116" s="9" t="s">
        <v>2951</v>
      </c>
      <c r="CO116" s="9" t="s">
        <v>2952</v>
      </c>
      <c r="CP116" s="9" t="s">
        <v>685</v>
      </c>
      <c r="CQ116" s="9" t="s">
        <v>1136</v>
      </c>
      <c r="CR116" s="9" t="s">
        <v>447</v>
      </c>
      <c r="CS116" s="9" t="s">
        <v>2520</v>
      </c>
      <c r="CU116" s="9" t="s">
        <v>450</v>
      </c>
      <c r="CX116" s="9" t="s">
        <v>408</v>
      </c>
      <c r="CZ116" s="9" t="s">
        <v>453</v>
      </c>
      <c r="DB116" s="9" t="s">
        <v>455</v>
      </c>
      <c r="DC116" s="9" t="s">
        <v>2953</v>
      </c>
      <c r="DD116" s="9" t="s">
        <v>406</v>
      </c>
      <c r="DE116" s="9" t="s">
        <v>1368</v>
      </c>
      <c r="DF116" s="9" t="s">
        <v>2954</v>
      </c>
      <c r="DG116" s="9" t="s">
        <v>524</v>
      </c>
      <c r="DH116" s="9" t="s">
        <v>410</v>
      </c>
      <c r="DI116" s="9" t="s">
        <v>459</v>
      </c>
      <c r="DJ116" s="9" t="s">
        <v>460</v>
      </c>
      <c r="DK116" s="9" t="s">
        <v>461</v>
      </c>
      <c r="DM116" s="9" t="s">
        <v>2890</v>
      </c>
      <c r="DN116" s="9" t="s">
        <v>2955</v>
      </c>
      <c r="DO116" s="9" t="s">
        <v>2956</v>
      </c>
      <c r="DQ116" s="9" t="s">
        <v>1578</v>
      </c>
      <c r="DS116" s="9" t="s">
        <v>468</v>
      </c>
      <c r="DT116" s="9" t="s">
        <v>740</v>
      </c>
      <c r="DW116" s="9" t="s">
        <v>622</v>
      </c>
      <c r="DX116" s="9" t="s">
        <v>2957</v>
      </c>
      <c r="DY116" s="9" t="s">
        <v>2958</v>
      </c>
      <c r="DZ116" s="9" t="s">
        <v>2959</v>
      </c>
      <c r="EA116" s="9" t="s">
        <v>2960</v>
      </c>
      <c r="EB116" s="9" t="s">
        <v>626</v>
      </c>
      <c r="EC116" s="9" t="s">
        <v>2961</v>
      </c>
      <c r="ET116" s="9" t="s">
        <v>526</v>
      </c>
      <c r="EU116" s="9" t="s">
        <v>479</v>
      </c>
      <c r="EV116" s="9" t="s">
        <v>663</v>
      </c>
      <c r="EX116" s="9" t="s">
        <v>2962</v>
      </c>
      <c r="EY116" s="9" t="s">
        <v>2963</v>
      </c>
      <c r="EZ116" s="9" t="s">
        <v>583</v>
      </c>
      <c r="FA116" s="9" t="s">
        <v>583</v>
      </c>
      <c r="FB116" s="9" t="s">
        <v>583</v>
      </c>
      <c r="FC116" s="9" t="s">
        <v>583</v>
      </c>
      <c r="FD116" s="9" t="s">
        <v>484</v>
      </c>
      <c r="FE116" s="9" t="s">
        <v>583</v>
      </c>
      <c r="FF116" s="9" t="s">
        <v>583</v>
      </c>
      <c r="FG116" s="9" t="s">
        <v>413</v>
      </c>
      <c r="FH116" s="9" t="s">
        <v>413</v>
      </c>
      <c r="FI116" s="9" t="s">
        <v>583</v>
      </c>
      <c r="FJ116" s="9" t="s">
        <v>583</v>
      </c>
      <c r="FL116" s="9" t="s">
        <v>583</v>
      </c>
      <c r="FM116" s="9" t="s">
        <v>413</v>
      </c>
      <c r="FN116" s="9" t="s">
        <v>583</v>
      </c>
      <c r="FO116" s="9" t="s">
        <v>417</v>
      </c>
      <c r="FP116" s="9" t="s">
        <v>418</v>
      </c>
      <c r="FQ116" s="9" t="s">
        <v>419</v>
      </c>
      <c r="FR116" s="9" t="s">
        <v>2964</v>
      </c>
      <c r="FS116" s="9" t="s">
        <v>420</v>
      </c>
      <c r="FT116" s="9" t="s">
        <v>488</v>
      </c>
      <c r="FU116" s="9" t="s">
        <v>533</v>
      </c>
      <c r="FV116" s="9" t="s">
        <v>490</v>
      </c>
      <c r="FW116" s="9" t="s">
        <v>491</v>
      </c>
      <c r="FX116" s="9" t="s">
        <v>2965</v>
      </c>
      <c r="FY116" s="9" t="s">
        <v>535</v>
      </c>
      <c r="GB116" s="9" t="s">
        <v>408</v>
      </c>
      <c r="GG116" s="9" t="s">
        <v>755</v>
      </c>
      <c r="GH116" s="9" t="s">
        <v>755</v>
      </c>
      <c r="GI116" s="9" t="s">
        <v>946</v>
      </c>
      <c r="GM116" s="9" t="s">
        <v>1079</v>
      </c>
    </row>
    <row r="117" ht="24.75" customHeight="1">
      <c r="A117" s="8">
        <v>45829.0024090625</v>
      </c>
      <c r="B117" s="9" t="s">
        <v>368</v>
      </c>
      <c r="C117" s="9" t="s">
        <v>370</v>
      </c>
      <c r="E117" s="9" t="s">
        <v>1480</v>
      </c>
      <c r="G117" s="9" t="s">
        <v>422</v>
      </c>
      <c r="H117" s="9" t="s">
        <v>373</v>
      </c>
      <c r="I117" s="9" t="s">
        <v>638</v>
      </c>
      <c r="J117" s="9" t="s">
        <v>375</v>
      </c>
      <c r="K117" s="9" t="s">
        <v>376</v>
      </c>
      <c r="L117" s="9" t="s">
        <v>426</v>
      </c>
      <c r="M117" s="9" t="s">
        <v>2966</v>
      </c>
      <c r="N117" s="9" t="s">
        <v>426</v>
      </c>
      <c r="O117" s="9" t="s">
        <v>497</v>
      </c>
      <c r="P117" s="9" t="s">
        <v>1760</v>
      </c>
      <c r="Q117" s="9" t="s">
        <v>499</v>
      </c>
      <c r="R117" s="9" t="s">
        <v>500</v>
      </c>
      <c r="S117" s="9" t="s">
        <v>384</v>
      </c>
      <c r="T117" s="9" t="s">
        <v>385</v>
      </c>
      <c r="W117" s="9" t="s">
        <v>386</v>
      </c>
      <c r="X117" s="9" t="s">
        <v>1706</v>
      </c>
      <c r="AC117" s="9" t="s">
        <v>2967</v>
      </c>
      <c r="AD117" s="9" t="s">
        <v>2968</v>
      </c>
      <c r="AE117" s="9" t="s">
        <v>1143</v>
      </c>
      <c r="AF117" s="9" t="s">
        <v>2969</v>
      </c>
      <c r="AG117" s="9">
        <v>5.0</v>
      </c>
      <c r="AH117" s="9" t="s">
        <v>1639</v>
      </c>
      <c r="AI117" s="9" t="s">
        <v>2970</v>
      </c>
      <c r="AJ117" s="9" t="s">
        <v>2971</v>
      </c>
      <c r="AK117" s="9" t="s">
        <v>396</v>
      </c>
      <c r="AV117" s="9" t="s">
        <v>390</v>
      </c>
      <c r="AW117" s="9" t="s">
        <v>391</v>
      </c>
      <c r="AX117" s="9" t="s">
        <v>391</v>
      </c>
      <c r="AY117" s="9" t="s">
        <v>429</v>
      </c>
      <c r="AZ117" s="9" t="s">
        <v>429</v>
      </c>
      <c r="BA117" s="9">
        <v>2.0</v>
      </c>
      <c r="BB117" s="9" t="s">
        <v>429</v>
      </c>
      <c r="BC117" s="9" t="s">
        <v>2972</v>
      </c>
      <c r="BD117" s="9" t="s">
        <v>2973</v>
      </c>
      <c r="BE117" s="9" t="s">
        <v>392</v>
      </c>
      <c r="BF117" s="9" t="s">
        <v>433</v>
      </c>
      <c r="BG117" s="9" t="s">
        <v>678</v>
      </c>
      <c r="BH117" s="9" t="s">
        <v>2974</v>
      </c>
      <c r="BI117" s="9" t="s">
        <v>509</v>
      </c>
      <c r="BJ117" s="9" t="s">
        <v>2975</v>
      </c>
      <c r="BK117" s="9" t="s">
        <v>511</v>
      </c>
      <c r="BL117" s="9" t="s">
        <v>512</v>
      </c>
      <c r="BM117" s="9" t="s">
        <v>439</v>
      </c>
      <c r="BN117" s="9" t="s">
        <v>513</v>
      </c>
      <c r="CL117" s="9" t="s">
        <v>441</v>
      </c>
      <c r="CM117" s="9" t="s">
        <v>604</v>
      </c>
      <c r="CN117" s="9" t="s">
        <v>2976</v>
      </c>
      <c r="CO117" s="9" t="s">
        <v>2977</v>
      </c>
      <c r="CP117" s="9" t="s">
        <v>1008</v>
      </c>
      <c r="CQ117" s="9" t="s">
        <v>2978</v>
      </c>
      <c r="CR117" s="9" t="s">
        <v>804</v>
      </c>
      <c r="CS117" s="9" t="s">
        <v>2979</v>
      </c>
      <c r="CT117" s="9" t="s">
        <v>2980</v>
      </c>
      <c r="CU117" s="9" t="s">
        <v>519</v>
      </c>
      <c r="CV117" s="9" t="s">
        <v>451</v>
      </c>
      <c r="CW117" s="9" t="s">
        <v>2830</v>
      </c>
      <c r="CX117" s="9" t="s">
        <v>408</v>
      </c>
      <c r="CZ117" s="9" t="s">
        <v>453</v>
      </c>
      <c r="DA117" s="9" t="s">
        <v>2981</v>
      </c>
      <c r="DB117" s="9" t="s">
        <v>455</v>
      </c>
      <c r="DC117" s="9" t="s">
        <v>2982</v>
      </c>
      <c r="DD117" s="9" t="s">
        <v>662</v>
      </c>
      <c r="DF117" s="9" t="s">
        <v>2983</v>
      </c>
      <c r="DG117" s="9" t="s">
        <v>561</v>
      </c>
      <c r="DH117" s="9" t="s">
        <v>410</v>
      </c>
      <c r="DI117" s="9" t="s">
        <v>459</v>
      </c>
      <c r="DJ117" s="9" t="s">
        <v>613</v>
      </c>
      <c r="ET117" s="9" t="s">
        <v>526</v>
      </c>
      <c r="EU117" s="9" t="s">
        <v>479</v>
      </c>
      <c r="EV117" s="9" t="s">
        <v>480</v>
      </c>
      <c r="EW117" s="9" t="s">
        <v>2984</v>
      </c>
      <c r="EX117" s="9" t="s">
        <v>2985</v>
      </c>
      <c r="EY117" s="9" t="s">
        <v>2986</v>
      </c>
      <c r="EZ117" s="9" t="s">
        <v>583</v>
      </c>
      <c r="FA117" s="9" t="s">
        <v>583</v>
      </c>
      <c r="FB117" s="9" t="s">
        <v>583</v>
      </c>
      <c r="FC117" s="9" t="s">
        <v>583</v>
      </c>
      <c r="FD117" s="9" t="s">
        <v>414</v>
      </c>
      <c r="FE117" s="9" t="s">
        <v>583</v>
      </c>
      <c r="FF117" s="9" t="s">
        <v>583</v>
      </c>
      <c r="FG117" s="9" t="s">
        <v>414</v>
      </c>
      <c r="FH117" s="9" t="s">
        <v>583</v>
      </c>
      <c r="FI117" s="9" t="s">
        <v>583</v>
      </c>
      <c r="FJ117" s="9" t="s">
        <v>583</v>
      </c>
      <c r="FK117" s="9" t="s">
        <v>414</v>
      </c>
      <c r="FL117" s="9" t="s">
        <v>484</v>
      </c>
      <c r="FM117" s="9" t="s">
        <v>484</v>
      </c>
      <c r="FN117" s="9" t="s">
        <v>583</v>
      </c>
      <c r="FO117" s="9" t="s">
        <v>417</v>
      </c>
      <c r="FP117" s="9" t="s">
        <v>486</v>
      </c>
      <c r="FQ117" s="9" t="s">
        <v>712</v>
      </c>
      <c r="FR117" s="9" t="s">
        <v>2987</v>
      </c>
      <c r="FS117" s="9" t="s">
        <v>420</v>
      </c>
      <c r="FT117" s="9" t="s">
        <v>488</v>
      </c>
      <c r="FU117" s="9" t="s">
        <v>533</v>
      </c>
      <c r="FV117" s="9" t="s">
        <v>490</v>
      </c>
      <c r="FW117" s="9" t="s">
        <v>491</v>
      </c>
      <c r="FX117" s="9" t="s">
        <v>2988</v>
      </c>
      <c r="FY117" s="9" t="s">
        <v>535</v>
      </c>
      <c r="FZ117" s="9" t="s">
        <v>2989</v>
      </c>
      <c r="GB117" s="9" t="s">
        <v>455</v>
      </c>
      <c r="GC117" s="9"/>
      <c r="GD117" s="9"/>
      <c r="GE117" s="9" t="s">
        <v>944</v>
      </c>
      <c r="GF117" s="9" t="s">
        <v>733</v>
      </c>
      <c r="GG117" s="9" t="s">
        <v>1000</v>
      </c>
      <c r="GH117" s="9" t="s">
        <v>1000</v>
      </c>
      <c r="GI117" s="9" t="s">
        <v>817</v>
      </c>
    </row>
    <row r="118" ht="24.75" customHeight="1">
      <c r="A118" s="8">
        <v>45829.01592366898</v>
      </c>
      <c r="B118" s="9" t="s">
        <v>368</v>
      </c>
      <c r="C118" s="9" t="s">
        <v>370</v>
      </c>
      <c r="E118" s="9" t="s">
        <v>791</v>
      </c>
      <c r="G118" s="9" t="s">
        <v>1093</v>
      </c>
      <c r="H118" s="9" t="s">
        <v>1203</v>
      </c>
      <c r="I118" s="9" t="s">
        <v>638</v>
      </c>
      <c r="J118" s="9" t="s">
        <v>1023</v>
      </c>
      <c r="K118" s="9" t="s">
        <v>376</v>
      </c>
      <c r="L118" s="9" t="s">
        <v>1526</v>
      </c>
      <c r="M118" s="9" t="s">
        <v>1024</v>
      </c>
      <c r="N118" s="9" t="s">
        <v>396</v>
      </c>
      <c r="O118" s="9" t="s">
        <v>1024</v>
      </c>
      <c r="P118" s="9" t="s">
        <v>498</v>
      </c>
      <c r="Q118" s="9" t="s">
        <v>759</v>
      </c>
      <c r="R118" s="9" t="s">
        <v>427</v>
      </c>
      <c r="S118" s="9" t="s">
        <v>384</v>
      </c>
      <c r="T118" s="9" t="s">
        <v>385</v>
      </c>
      <c r="W118" s="9" t="s">
        <v>1023</v>
      </c>
      <c r="AV118" s="9" t="s">
        <v>597</v>
      </c>
      <c r="AW118" s="9" t="s">
        <v>391</v>
      </c>
      <c r="AX118" s="9" t="s">
        <v>391</v>
      </c>
      <c r="AY118" s="9" t="s">
        <v>391</v>
      </c>
      <c r="BA118" s="9">
        <v>2.0</v>
      </c>
      <c r="BB118" s="9">
        <v>2.0</v>
      </c>
      <c r="BC118" s="9" t="s">
        <v>2990</v>
      </c>
      <c r="BD118" s="9" t="s">
        <v>2991</v>
      </c>
      <c r="BE118" s="9" t="s">
        <v>1094</v>
      </c>
      <c r="BG118" s="9" t="s">
        <v>678</v>
      </c>
      <c r="BI118" s="9" t="s">
        <v>824</v>
      </c>
      <c r="BK118" s="9" t="s">
        <v>511</v>
      </c>
      <c r="BL118" s="9" t="s">
        <v>396</v>
      </c>
      <c r="BM118" s="9" t="s">
        <v>549</v>
      </c>
      <c r="BN118" s="9" t="s">
        <v>513</v>
      </c>
      <c r="CL118" s="9" t="s">
        <v>441</v>
      </c>
      <c r="CM118" s="9" t="s">
        <v>604</v>
      </c>
      <c r="CN118" s="9" t="s">
        <v>2992</v>
      </c>
      <c r="CO118" s="9" t="s">
        <v>2993</v>
      </c>
      <c r="CP118" s="9" t="s">
        <v>979</v>
      </c>
      <c r="CQ118" s="9" t="s">
        <v>2994</v>
      </c>
      <c r="CR118" s="9" t="s">
        <v>404</v>
      </c>
      <c r="CS118" s="9" t="s">
        <v>1032</v>
      </c>
      <c r="CT118" s="9" t="s">
        <v>2995</v>
      </c>
      <c r="CU118" s="9" t="s">
        <v>450</v>
      </c>
      <c r="CV118" s="9" t="s">
        <v>451</v>
      </c>
      <c r="CX118" s="9" t="s">
        <v>733</v>
      </c>
      <c r="CZ118" s="9" t="s">
        <v>453</v>
      </c>
      <c r="DA118" s="9" t="s">
        <v>2996</v>
      </c>
      <c r="DB118" s="9" t="s">
        <v>913</v>
      </c>
      <c r="DD118" s="9" t="s">
        <v>406</v>
      </c>
      <c r="DE118" s="9" t="s">
        <v>407</v>
      </c>
      <c r="DG118" s="9" t="s">
        <v>524</v>
      </c>
      <c r="DH118" s="9" t="s">
        <v>410</v>
      </c>
      <c r="DI118" s="9" t="s">
        <v>459</v>
      </c>
      <c r="DJ118" s="9" t="s">
        <v>613</v>
      </c>
      <c r="ET118" s="9" t="s">
        <v>526</v>
      </c>
      <c r="EU118" s="9" t="s">
        <v>1037</v>
      </c>
      <c r="EV118" s="9" t="s">
        <v>580</v>
      </c>
      <c r="EZ118" s="9" t="s">
        <v>415</v>
      </c>
      <c r="FA118" s="9" t="s">
        <v>415</v>
      </c>
      <c r="FB118" s="9" t="s">
        <v>416</v>
      </c>
      <c r="FC118" s="9" t="s">
        <v>583</v>
      </c>
      <c r="FD118" s="9" t="s">
        <v>413</v>
      </c>
      <c r="FE118" s="9" t="s">
        <v>414</v>
      </c>
      <c r="FF118" s="9" t="s">
        <v>416</v>
      </c>
      <c r="FG118" s="9" t="s">
        <v>414</v>
      </c>
      <c r="FH118" s="9" t="s">
        <v>583</v>
      </c>
      <c r="FI118" s="9" t="s">
        <v>583</v>
      </c>
      <c r="FJ118" s="9" t="s">
        <v>415</v>
      </c>
      <c r="FK118" s="9" t="s">
        <v>413</v>
      </c>
      <c r="FL118" s="9" t="s">
        <v>415</v>
      </c>
      <c r="FM118" s="9" t="s">
        <v>416</v>
      </c>
      <c r="FN118" s="9" t="s">
        <v>415</v>
      </c>
      <c r="FO118" s="9" t="s">
        <v>417</v>
      </c>
      <c r="FP118" s="9" t="s">
        <v>418</v>
      </c>
      <c r="FQ118" s="9" t="s">
        <v>419</v>
      </c>
      <c r="FS118" s="9" t="s">
        <v>1871</v>
      </c>
      <c r="FT118" s="9" t="s">
        <v>488</v>
      </c>
      <c r="FU118" s="9" t="s">
        <v>533</v>
      </c>
      <c r="FV118" s="9" t="s">
        <v>490</v>
      </c>
      <c r="GB118" s="9" t="s">
        <v>408</v>
      </c>
      <c r="GG118" s="9" t="s">
        <v>1000</v>
      </c>
      <c r="GH118" s="9" t="s">
        <v>1000</v>
      </c>
      <c r="GI118" s="9" t="s">
        <v>790</v>
      </c>
    </row>
    <row r="119" ht="24.75" customHeight="1">
      <c r="A119" s="8">
        <v>45829.15104336805</v>
      </c>
      <c r="B119" s="9" t="s">
        <v>368</v>
      </c>
      <c r="C119" s="9" t="s">
        <v>538</v>
      </c>
      <c r="D119" s="9" t="s">
        <v>538</v>
      </c>
      <c r="G119" s="9" t="s">
        <v>2295</v>
      </c>
      <c r="H119" s="9" t="s">
        <v>373</v>
      </c>
      <c r="I119" s="9" t="s">
        <v>374</v>
      </c>
      <c r="J119" s="9" t="s">
        <v>718</v>
      </c>
      <c r="K119" s="9" t="s">
        <v>376</v>
      </c>
      <c r="L119" s="9" t="s">
        <v>379</v>
      </c>
      <c r="M119" s="9" t="s">
        <v>2997</v>
      </c>
      <c r="N119" s="9" t="s">
        <v>426</v>
      </c>
      <c r="O119" s="9" t="s">
        <v>2998</v>
      </c>
      <c r="P119" s="9" t="s">
        <v>1760</v>
      </c>
      <c r="Q119" s="9" t="s">
        <v>862</v>
      </c>
      <c r="R119" s="9" t="s">
        <v>500</v>
      </c>
      <c r="S119" s="9" t="s">
        <v>384</v>
      </c>
      <c r="T119" s="9" t="s">
        <v>385</v>
      </c>
      <c r="W119" s="9" t="s">
        <v>386</v>
      </c>
      <c r="X119" s="9" t="s">
        <v>387</v>
      </c>
      <c r="Y119" s="9" t="s">
        <v>542</v>
      </c>
      <c r="Z119" s="9" t="s">
        <v>389</v>
      </c>
      <c r="AA119" s="9" t="s">
        <v>1915</v>
      </c>
      <c r="AV119" s="9" t="s">
        <v>390</v>
      </c>
      <c r="AW119" s="9">
        <v>2.0</v>
      </c>
      <c r="AX119" s="9">
        <v>2.0</v>
      </c>
      <c r="AY119" s="9" t="s">
        <v>675</v>
      </c>
      <c r="AZ119" s="9" t="s">
        <v>429</v>
      </c>
      <c r="BA119" s="9">
        <v>2.0</v>
      </c>
      <c r="BB119" s="9" t="s">
        <v>391</v>
      </c>
      <c r="BC119" s="9" t="s">
        <v>1080</v>
      </c>
      <c r="BD119" s="9" t="s">
        <v>2999</v>
      </c>
      <c r="BE119" s="9" t="s">
        <v>432</v>
      </c>
      <c r="BF119" s="9" t="s">
        <v>433</v>
      </c>
      <c r="BG119" s="9" t="s">
        <v>678</v>
      </c>
      <c r="BH119" s="9" t="s">
        <v>3000</v>
      </c>
      <c r="BI119" s="9" t="s">
        <v>509</v>
      </c>
      <c r="BJ119" s="9" t="s">
        <v>3001</v>
      </c>
      <c r="BK119" s="9" t="s">
        <v>602</v>
      </c>
      <c r="BL119" s="9" t="s">
        <v>512</v>
      </c>
      <c r="BM119" s="9" t="s">
        <v>549</v>
      </c>
      <c r="BN119" s="9" t="s">
        <v>513</v>
      </c>
      <c r="CL119" s="9" t="s">
        <v>441</v>
      </c>
      <c r="CM119" s="9" t="s">
        <v>401</v>
      </c>
      <c r="CN119" s="9" t="s">
        <v>552</v>
      </c>
      <c r="CO119" s="9" t="s">
        <v>3002</v>
      </c>
      <c r="CP119" s="9" t="s">
        <v>979</v>
      </c>
      <c r="CQ119" s="9" t="s">
        <v>1568</v>
      </c>
      <c r="CR119" s="9" t="s">
        <v>555</v>
      </c>
      <c r="CS119" s="9" t="s">
        <v>1032</v>
      </c>
      <c r="CT119" s="9" t="s">
        <v>3003</v>
      </c>
      <c r="CU119" s="9" t="s">
        <v>450</v>
      </c>
      <c r="CV119" s="9" t="s">
        <v>451</v>
      </c>
      <c r="CW119" s="9" t="s">
        <v>3004</v>
      </c>
      <c r="CX119" s="9" t="s">
        <v>408</v>
      </c>
      <c r="CY119" s="9" t="s">
        <v>3005</v>
      </c>
      <c r="CZ119" s="9" t="s">
        <v>453</v>
      </c>
      <c r="DA119" s="9" t="s">
        <v>3006</v>
      </c>
      <c r="DB119" s="9" t="s">
        <v>408</v>
      </c>
      <c r="DD119" s="9" t="s">
        <v>457</v>
      </c>
      <c r="DF119" s="9" t="s">
        <v>3007</v>
      </c>
      <c r="DG119" s="9" t="s">
        <v>776</v>
      </c>
      <c r="DH119" s="9" t="s">
        <v>410</v>
      </c>
      <c r="DI119" s="9" t="s">
        <v>459</v>
      </c>
      <c r="DJ119" s="9" t="s">
        <v>460</v>
      </c>
      <c r="DK119" s="9" t="s">
        <v>461</v>
      </c>
      <c r="ET119" s="9" t="s">
        <v>2747</v>
      </c>
      <c r="EU119" s="9" t="s">
        <v>479</v>
      </c>
      <c r="EV119" s="9" t="s">
        <v>663</v>
      </c>
      <c r="EX119" s="9" t="s">
        <v>3008</v>
      </c>
      <c r="EY119" s="9" t="s">
        <v>3009</v>
      </c>
      <c r="EZ119" s="9" t="s">
        <v>583</v>
      </c>
      <c r="FA119" s="9" t="s">
        <v>583</v>
      </c>
      <c r="FB119" s="9" t="s">
        <v>413</v>
      </c>
      <c r="FC119" s="9" t="s">
        <v>583</v>
      </c>
      <c r="FD119" s="9" t="s">
        <v>415</v>
      </c>
      <c r="FE119" s="9" t="s">
        <v>583</v>
      </c>
      <c r="FF119" s="9" t="s">
        <v>415</v>
      </c>
      <c r="FG119" s="9" t="s">
        <v>415</v>
      </c>
      <c r="FH119" s="9" t="s">
        <v>583</v>
      </c>
      <c r="FI119" s="9" t="s">
        <v>583</v>
      </c>
      <c r="FJ119" s="9" t="s">
        <v>583</v>
      </c>
      <c r="FK119" s="9" t="s">
        <v>415</v>
      </c>
      <c r="FL119" s="9" t="s">
        <v>415</v>
      </c>
      <c r="FM119" s="9" t="s">
        <v>415</v>
      </c>
      <c r="FN119" s="9" t="s">
        <v>415</v>
      </c>
      <c r="FO119" s="9" t="s">
        <v>417</v>
      </c>
      <c r="FP119" s="9" t="s">
        <v>418</v>
      </c>
      <c r="FQ119" s="9" t="s">
        <v>1039</v>
      </c>
      <c r="FS119" s="9" t="s">
        <v>420</v>
      </c>
      <c r="FT119" s="9" t="s">
        <v>1462</v>
      </c>
      <c r="FU119" s="9" t="s">
        <v>1235</v>
      </c>
      <c r="FV119" s="9" t="s">
        <v>490</v>
      </c>
      <c r="FW119" s="9" t="s">
        <v>491</v>
      </c>
      <c r="FX119" s="9" t="s">
        <v>3010</v>
      </c>
      <c r="FY119" s="9" t="s">
        <v>535</v>
      </c>
      <c r="FZ119" s="9" t="s">
        <v>3011</v>
      </c>
      <c r="GB119" s="9" t="s">
        <v>408</v>
      </c>
      <c r="GG119" s="9" t="s">
        <v>788</v>
      </c>
      <c r="GH119" s="9" t="s">
        <v>755</v>
      </c>
      <c r="GI119" s="9" t="s">
        <v>817</v>
      </c>
      <c r="GN119" s="9" t="s">
        <v>3012</v>
      </c>
      <c r="GO119" s="9" t="s">
        <v>3012</v>
      </c>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c r="IG119" s="10"/>
      <c r="IH119" s="10"/>
      <c r="II119" s="10"/>
      <c r="IJ119" s="10"/>
      <c r="IK119" s="10"/>
      <c r="IL119" s="10"/>
      <c r="IM119" s="10"/>
      <c r="IN119" s="10"/>
      <c r="IO119" s="10"/>
      <c r="IP119" s="10"/>
      <c r="IQ119" s="10"/>
      <c r="IR119" s="10"/>
      <c r="IS119" s="10"/>
      <c r="IT119" s="10"/>
      <c r="IU119" s="10"/>
      <c r="IV119" s="10"/>
      <c r="IW119" s="10"/>
      <c r="IX119" s="10"/>
      <c r="IY119" s="10"/>
      <c r="IZ119" s="10"/>
      <c r="JA119" s="10"/>
      <c r="JB119" s="10"/>
      <c r="JC119" s="10"/>
      <c r="JD119" s="10"/>
      <c r="JE119" s="10"/>
      <c r="JF119" s="10"/>
      <c r="JG119" s="10"/>
      <c r="JH119" s="10"/>
      <c r="JI119" s="10"/>
      <c r="JJ119" s="10"/>
      <c r="JK119" s="10"/>
      <c r="JL119" s="10"/>
      <c r="JM119" s="10"/>
      <c r="JN119" s="10"/>
      <c r="JO119" s="10"/>
      <c r="JP119" s="10"/>
      <c r="JQ119" s="10"/>
      <c r="JR119" s="10"/>
      <c r="JS119" s="10"/>
      <c r="JT119" s="10"/>
      <c r="JU119" s="10"/>
      <c r="JV119" s="10"/>
      <c r="JW119" s="10"/>
      <c r="JX119" s="10"/>
      <c r="JY119" s="10"/>
      <c r="JZ119" s="10"/>
      <c r="KA119" s="10"/>
      <c r="KB119" s="10"/>
      <c r="KC119" s="10"/>
      <c r="KD119" s="10"/>
      <c r="KE119" s="10"/>
      <c r="KF119" s="10"/>
      <c r="KG119" s="10"/>
      <c r="KH119" s="10"/>
      <c r="KI119" s="10"/>
      <c r="KJ119" s="10"/>
      <c r="KK119" s="10"/>
      <c r="KL119" s="10"/>
      <c r="KM119" s="10"/>
      <c r="KN119" s="10"/>
      <c r="KO119" s="10"/>
      <c r="KP119" s="10"/>
      <c r="KQ119" s="10"/>
      <c r="KR119" s="10"/>
      <c r="KS119" s="10"/>
      <c r="KT119" s="10"/>
      <c r="KU119" s="10"/>
      <c r="KV119" s="10"/>
      <c r="KW119" s="10"/>
      <c r="KX119" s="10"/>
      <c r="KY119" s="10"/>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c r="LX119" s="10"/>
      <c r="LY119" s="10"/>
      <c r="LZ119" s="10"/>
      <c r="MA119" s="10"/>
      <c r="MB119" s="10"/>
      <c r="MC119" s="10"/>
      <c r="MD119" s="10"/>
      <c r="ME119" s="10"/>
      <c r="MF119" s="10"/>
      <c r="MG119" s="10"/>
      <c r="MH119" s="10"/>
      <c r="MI119" s="10"/>
      <c r="MJ119" s="10"/>
      <c r="MK119" s="10"/>
      <c r="ML119" s="10"/>
      <c r="MM119" s="10"/>
      <c r="MN119" s="10"/>
      <c r="MO119" s="10"/>
      <c r="MP119" s="10"/>
      <c r="MQ119" s="10"/>
      <c r="MR119" s="10"/>
      <c r="MS119" s="10"/>
      <c r="MT119" s="10"/>
      <c r="MU119" s="10"/>
      <c r="MV119" s="10"/>
      <c r="MW119" s="10"/>
      <c r="MX119" s="10"/>
      <c r="MY119" s="10"/>
      <c r="MZ119" s="10"/>
      <c r="NA119" s="10"/>
      <c r="NB119" s="10"/>
      <c r="NC119" s="10"/>
      <c r="ND119" s="10"/>
    </row>
    <row r="120" ht="24.75" customHeight="1">
      <c r="A120" s="8">
        <v>45829.217301041666</v>
      </c>
      <c r="B120" s="9" t="s">
        <v>368</v>
      </c>
      <c r="C120" s="9" t="s">
        <v>3013</v>
      </c>
      <c r="D120" s="9" t="s">
        <v>894</v>
      </c>
      <c r="G120" s="9" t="s">
        <v>422</v>
      </c>
      <c r="H120" s="9" t="s">
        <v>373</v>
      </c>
      <c r="I120" s="9" t="s">
        <v>638</v>
      </c>
      <c r="J120" s="9" t="s">
        <v>375</v>
      </c>
      <c r="K120" s="9" t="s">
        <v>376</v>
      </c>
      <c r="L120" s="9" t="s">
        <v>591</v>
      </c>
      <c r="M120" s="9" t="s">
        <v>639</v>
      </c>
      <c r="N120" s="9" t="s">
        <v>379</v>
      </c>
      <c r="O120" s="9" t="s">
        <v>497</v>
      </c>
      <c r="P120" s="9" t="s">
        <v>498</v>
      </c>
      <c r="Q120" s="9" t="s">
        <v>382</v>
      </c>
      <c r="R120" s="9" t="s">
        <v>949</v>
      </c>
      <c r="S120" s="9" t="s">
        <v>384</v>
      </c>
      <c r="T120" s="9" t="s">
        <v>385</v>
      </c>
      <c r="V120" s="9" t="s">
        <v>896</v>
      </c>
      <c r="W120" s="9" t="s">
        <v>3014</v>
      </c>
      <c r="AV120" s="9" t="s">
        <v>390</v>
      </c>
      <c r="AW120" s="9">
        <v>4.0</v>
      </c>
      <c r="AX120" s="9" t="s">
        <v>391</v>
      </c>
      <c r="AY120" s="9">
        <v>4.0</v>
      </c>
      <c r="AZ120" s="9" t="s">
        <v>675</v>
      </c>
      <c r="BA120" s="9">
        <v>4.0</v>
      </c>
      <c r="BB120" s="9" t="s">
        <v>391</v>
      </c>
      <c r="BC120" s="9" t="s">
        <v>3015</v>
      </c>
      <c r="BD120" s="9" t="s">
        <v>3016</v>
      </c>
      <c r="BE120" s="9" t="s">
        <v>392</v>
      </c>
      <c r="BF120" s="9" t="s">
        <v>1095</v>
      </c>
      <c r="BG120" s="9" t="s">
        <v>394</v>
      </c>
      <c r="BI120" s="9" t="s">
        <v>435</v>
      </c>
      <c r="BJ120" s="9" t="s">
        <v>3017</v>
      </c>
      <c r="BK120" s="9" t="s">
        <v>602</v>
      </c>
      <c r="BL120" s="9" t="s">
        <v>438</v>
      </c>
      <c r="BM120" s="9" t="s">
        <v>549</v>
      </c>
      <c r="BN120" s="9" t="s">
        <v>398</v>
      </c>
      <c r="BO120" s="9" t="s">
        <v>3018</v>
      </c>
      <c r="BP120" s="9" t="s">
        <v>3019</v>
      </c>
      <c r="BQ120" s="9" t="s">
        <v>604</v>
      </c>
      <c r="BR120" s="9" t="s">
        <v>3020</v>
      </c>
      <c r="BS120" s="9" t="s">
        <v>1741</v>
      </c>
      <c r="BT120" s="9" t="s">
        <v>1672</v>
      </c>
      <c r="BU120" s="9" t="s">
        <v>1693</v>
      </c>
      <c r="BV120" s="9" t="s">
        <v>3021</v>
      </c>
      <c r="BW120" s="9" t="s">
        <v>988</v>
      </c>
      <c r="BY120" s="9" t="s">
        <v>408</v>
      </c>
      <c r="CA120" s="9" t="s">
        <v>3022</v>
      </c>
      <c r="CB120" s="9" t="s">
        <v>3023</v>
      </c>
      <c r="CC120" s="9" t="s">
        <v>3015</v>
      </c>
      <c r="CD120" s="9" t="s">
        <v>451</v>
      </c>
      <c r="CE120" s="9" t="s">
        <v>3024</v>
      </c>
      <c r="CF120" s="9" t="s">
        <v>1697</v>
      </c>
      <c r="CH120" s="9" t="s">
        <v>1679</v>
      </c>
      <c r="CI120" s="9" t="s">
        <v>1220</v>
      </c>
      <c r="CJ120" s="9" t="s">
        <v>3025</v>
      </c>
      <c r="ET120" s="9" t="s">
        <v>478</v>
      </c>
      <c r="EU120" s="9" t="s">
        <v>887</v>
      </c>
      <c r="EV120" s="9" t="s">
        <v>663</v>
      </c>
      <c r="EZ120" s="9" t="s">
        <v>413</v>
      </c>
      <c r="FA120" s="9" t="s">
        <v>415</v>
      </c>
      <c r="FB120" s="9" t="s">
        <v>413</v>
      </c>
      <c r="FC120" s="9" t="s">
        <v>415</v>
      </c>
      <c r="FD120" s="9" t="s">
        <v>413</v>
      </c>
      <c r="FE120" s="9" t="s">
        <v>415</v>
      </c>
      <c r="FF120" s="9" t="s">
        <v>415</v>
      </c>
      <c r="FG120" s="9" t="s">
        <v>415</v>
      </c>
      <c r="FH120" s="9" t="s">
        <v>583</v>
      </c>
      <c r="FI120" s="9" t="s">
        <v>414</v>
      </c>
      <c r="FJ120" s="9" t="s">
        <v>415</v>
      </c>
      <c r="FK120" s="9" t="s">
        <v>414</v>
      </c>
      <c r="FL120" s="9" t="s">
        <v>414</v>
      </c>
      <c r="FM120" s="9" t="s">
        <v>415</v>
      </c>
      <c r="FN120" s="9" t="s">
        <v>415</v>
      </c>
      <c r="FO120" s="9" t="s">
        <v>850</v>
      </c>
      <c r="FP120" s="9" t="s">
        <v>2651</v>
      </c>
      <c r="FQ120" s="9" t="s">
        <v>712</v>
      </c>
      <c r="FS120" s="9" t="s">
        <v>420</v>
      </c>
      <c r="FT120" s="9" t="s">
        <v>1476</v>
      </c>
      <c r="FU120" s="9" t="s">
        <v>918</v>
      </c>
      <c r="FV120" s="9" t="s">
        <v>490</v>
      </c>
      <c r="FW120" s="9" t="s">
        <v>491</v>
      </c>
      <c r="FY120" s="9" t="s">
        <v>1854</v>
      </c>
      <c r="FZ120" s="9" t="s">
        <v>3026</v>
      </c>
      <c r="GB120" s="9" t="s">
        <v>455</v>
      </c>
      <c r="GC120" s="9"/>
      <c r="GE120" s="9" t="s">
        <v>753</v>
      </c>
      <c r="GK120" s="9" t="s">
        <v>1000</v>
      </c>
      <c r="GL120" s="9" t="s">
        <v>817</v>
      </c>
      <c r="GN120" s="9" t="s">
        <v>894</v>
      </c>
    </row>
    <row r="121" ht="24.75" customHeight="1">
      <c r="A121" s="8">
        <v>45829.25204303241</v>
      </c>
      <c r="B121" s="9" t="s">
        <v>368</v>
      </c>
      <c r="C121" s="9" t="s">
        <v>370</v>
      </c>
      <c r="E121" s="9" t="s">
        <v>371</v>
      </c>
      <c r="G121" s="9" t="s">
        <v>372</v>
      </c>
      <c r="H121" s="9" t="s">
        <v>373</v>
      </c>
      <c r="I121" s="9" t="s">
        <v>374</v>
      </c>
      <c r="J121" s="9" t="s">
        <v>758</v>
      </c>
      <c r="K121" s="9" t="s">
        <v>376</v>
      </c>
      <c r="L121" s="9" t="s">
        <v>377</v>
      </c>
      <c r="M121" s="9" t="s">
        <v>3027</v>
      </c>
      <c r="N121" s="9" t="s">
        <v>377</v>
      </c>
      <c r="O121" s="9" t="s">
        <v>1196</v>
      </c>
      <c r="P121" s="9" t="s">
        <v>381</v>
      </c>
      <c r="Q121" s="9" t="s">
        <v>862</v>
      </c>
      <c r="R121" s="9" t="s">
        <v>949</v>
      </c>
      <c r="S121" s="9" t="s">
        <v>384</v>
      </c>
      <c r="T121" s="9" t="s">
        <v>385</v>
      </c>
      <c r="W121" s="9" t="s">
        <v>3014</v>
      </c>
      <c r="AV121" s="9" t="s">
        <v>1310</v>
      </c>
      <c r="AW121" s="9" t="s">
        <v>391</v>
      </c>
      <c r="AX121" s="9" t="s">
        <v>391</v>
      </c>
      <c r="AY121" s="9" t="s">
        <v>391</v>
      </c>
      <c r="AZ121" s="9" t="s">
        <v>391</v>
      </c>
      <c r="BA121" s="9" t="s">
        <v>391</v>
      </c>
      <c r="BB121" s="9" t="s">
        <v>391</v>
      </c>
      <c r="BC121" s="9" t="s">
        <v>3028</v>
      </c>
      <c r="BD121" s="9" t="s">
        <v>3029</v>
      </c>
      <c r="BE121" s="9" t="s">
        <v>432</v>
      </c>
      <c r="BF121" s="9" t="s">
        <v>1095</v>
      </c>
      <c r="BG121" s="9" t="s">
        <v>394</v>
      </c>
      <c r="BH121" s="9" t="s">
        <v>3030</v>
      </c>
      <c r="BI121" s="9" t="s">
        <v>435</v>
      </c>
      <c r="BJ121" s="9" t="s">
        <v>3031</v>
      </c>
      <c r="BK121" s="9" t="s">
        <v>681</v>
      </c>
      <c r="BL121" s="9" t="s">
        <v>603</v>
      </c>
      <c r="BM121" s="9" t="s">
        <v>1247</v>
      </c>
      <c r="BN121" s="9" t="s">
        <v>398</v>
      </c>
      <c r="BO121" s="9" t="s">
        <v>3032</v>
      </c>
      <c r="BQ121" s="9" t="s">
        <v>442</v>
      </c>
      <c r="BR121" s="9" t="s">
        <v>1740</v>
      </c>
      <c r="BS121" s="9" t="s">
        <v>1741</v>
      </c>
      <c r="BT121" s="9" t="s">
        <v>1672</v>
      </c>
      <c r="BU121" s="9" t="s">
        <v>1772</v>
      </c>
      <c r="BV121" s="9" t="s">
        <v>3033</v>
      </c>
      <c r="BW121" s="9" t="s">
        <v>988</v>
      </c>
      <c r="BX121" s="9" t="s">
        <v>407</v>
      </c>
      <c r="BY121" s="9" t="s">
        <v>408</v>
      </c>
      <c r="CB121" s="9" t="s">
        <v>3034</v>
      </c>
      <c r="CC121" s="9" t="s">
        <v>3035</v>
      </c>
      <c r="CD121" s="9" t="s">
        <v>451</v>
      </c>
      <c r="CE121" s="9" t="s">
        <v>3036</v>
      </c>
      <c r="CF121" s="9" t="s">
        <v>1749</v>
      </c>
      <c r="CG121" s="9" t="s">
        <v>3037</v>
      </c>
      <c r="CH121" s="9" t="s">
        <v>1751</v>
      </c>
      <c r="CI121" s="9" t="s">
        <v>410</v>
      </c>
      <c r="CJ121" s="9" t="s">
        <v>3038</v>
      </c>
      <c r="CK121" s="9" t="s">
        <v>3039</v>
      </c>
      <c r="ET121" s="9" t="s">
        <v>578</v>
      </c>
      <c r="EU121" s="9" t="s">
        <v>579</v>
      </c>
      <c r="EV121" s="9" t="s">
        <v>527</v>
      </c>
      <c r="EW121" s="9" t="s">
        <v>3040</v>
      </c>
      <c r="EX121" s="9" t="s">
        <v>3041</v>
      </c>
      <c r="EY121" s="9" t="s">
        <v>3042</v>
      </c>
      <c r="EZ121" s="9" t="s">
        <v>414</v>
      </c>
      <c r="FA121" s="9" t="s">
        <v>414</v>
      </c>
      <c r="FB121" s="9" t="s">
        <v>413</v>
      </c>
      <c r="FC121" s="9" t="s">
        <v>414</v>
      </c>
      <c r="FD121" s="9" t="s">
        <v>413</v>
      </c>
      <c r="FE121" s="9" t="s">
        <v>414</v>
      </c>
      <c r="FF121" s="9" t="s">
        <v>415</v>
      </c>
      <c r="FG121" s="9" t="s">
        <v>416</v>
      </c>
      <c r="FH121" s="9" t="s">
        <v>414</v>
      </c>
      <c r="FI121" s="9" t="s">
        <v>415</v>
      </c>
      <c r="FJ121" s="9" t="s">
        <v>415</v>
      </c>
      <c r="FK121" s="9" t="s">
        <v>415</v>
      </c>
      <c r="FL121" s="9" t="s">
        <v>415</v>
      </c>
      <c r="FM121" s="9" t="s">
        <v>416</v>
      </c>
      <c r="FN121" s="9" t="s">
        <v>414</v>
      </c>
      <c r="FO121" s="9" t="s">
        <v>850</v>
      </c>
      <c r="FP121" s="9" t="s">
        <v>418</v>
      </c>
      <c r="FQ121" s="9" t="s">
        <v>1039</v>
      </c>
      <c r="FS121" s="9" t="s">
        <v>420</v>
      </c>
      <c r="FT121" s="9" t="s">
        <v>488</v>
      </c>
      <c r="FU121" s="9" t="s">
        <v>585</v>
      </c>
      <c r="FV121" s="9" t="s">
        <v>490</v>
      </c>
      <c r="FW121" s="9" t="s">
        <v>491</v>
      </c>
      <c r="FX121" s="9" t="s">
        <v>3043</v>
      </c>
      <c r="FY121" s="9" t="s">
        <v>535</v>
      </c>
      <c r="GB121" s="9" t="s">
        <v>455</v>
      </c>
      <c r="GC121" s="9"/>
      <c r="GD121" s="9"/>
      <c r="GE121" s="9" t="s">
        <v>944</v>
      </c>
      <c r="GF121" s="9" t="s">
        <v>3044</v>
      </c>
      <c r="GJ121" s="9" t="s">
        <v>755</v>
      </c>
      <c r="GK121" s="9" t="s">
        <v>755</v>
      </c>
      <c r="GL121" s="9" t="s">
        <v>946</v>
      </c>
    </row>
    <row r="122" ht="24.75" customHeight="1">
      <c r="A122" s="8">
        <v>45829.310797962964</v>
      </c>
      <c r="B122" s="9" t="s">
        <v>368</v>
      </c>
      <c r="C122" s="9" t="s">
        <v>370</v>
      </c>
      <c r="E122" s="9" t="s">
        <v>1464</v>
      </c>
      <c r="G122" s="9" t="s">
        <v>422</v>
      </c>
      <c r="H122" s="9" t="s">
        <v>3045</v>
      </c>
      <c r="I122" s="9" t="s">
        <v>668</v>
      </c>
      <c r="J122" s="9" t="s">
        <v>425</v>
      </c>
      <c r="K122" s="9" t="s">
        <v>376</v>
      </c>
      <c r="L122" s="9" t="s">
        <v>591</v>
      </c>
      <c r="M122" s="9" t="s">
        <v>378</v>
      </c>
      <c r="N122" s="9" t="s">
        <v>591</v>
      </c>
      <c r="O122" s="9" t="s">
        <v>719</v>
      </c>
      <c r="P122" s="9" t="s">
        <v>592</v>
      </c>
      <c r="Q122" s="9" t="s">
        <v>1156</v>
      </c>
      <c r="R122" s="9" t="s">
        <v>427</v>
      </c>
      <c r="S122" s="9" t="s">
        <v>384</v>
      </c>
      <c r="T122" s="9" t="s">
        <v>385</v>
      </c>
      <c r="W122" s="9" t="s">
        <v>386</v>
      </c>
      <c r="X122" s="9" t="s">
        <v>387</v>
      </c>
      <c r="Y122" s="9" t="s">
        <v>1824</v>
      </c>
      <c r="Z122" s="9" t="s">
        <v>543</v>
      </c>
      <c r="AA122" s="9" t="s">
        <v>3046</v>
      </c>
      <c r="AB122" s="9" t="s">
        <v>3047</v>
      </c>
      <c r="AV122" s="9" t="s">
        <v>1310</v>
      </c>
      <c r="AW122" s="9" t="s">
        <v>429</v>
      </c>
      <c r="AX122" s="9" t="s">
        <v>429</v>
      </c>
      <c r="AY122" s="9" t="s">
        <v>429</v>
      </c>
      <c r="AZ122" s="9" t="s">
        <v>675</v>
      </c>
      <c r="BA122" s="9">
        <v>4.0</v>
      </c>
      <c r="BB122" s="9">
        <v>4.0</v>
      </c>
      <c r="BC122" s="9" t="s">
        <v>3048</v>
      </c>
      <c r="BD122" s="9" t="s">
        <v>3049</v>
      </c>
      <c r="BE122" s="9" t="s">
        <v>1094</v>
      </c>
      <c r="BF122" s="9" t="s">
        <v>433</v>
      </c>
      <c r="BG122" s="9" t="s">
        <v>394</v>
      </c>
      <c r="BH122" s="9" t="s">
        <v>3050</v>
      </c>
      <c r="BI122" s="9" t="s">
        <v>976</v>
      </c>
      <c r="BK122" s="9" t="s">
        <v>511</v>
      </c>
      <c r="BL122" s="9" t="s">
        <v>396</v>
      </c>
      <c r="BM122" s="9" t="s">
        <v>1247</v>
      </c>
      <c r="BN122" s="9" t="s">
        <v>440</v>
      </c>
      <c r="CL122" s="9" t="s">
        <v>441</v>
      </c>
      <c r="CM122" s="9" t="s">
        <v>604</v>
      </c>
      <c r="CN122" s="9" t="s">
        <v>3051</v>
      </c>
      <c r="CO122" s="9" t="s">
        <v>3052</v>
      </c>
      <c r="CP122" s="9" t="s">
        <v>979</v>
      </c>
      <c r="CQ122" s="9" t="s">
        <v>3053</v>
      </c>
      <c r="CR122" s="9" t="s">
        <v>404</v>
      </c>
      <c r="CS122" s="9" t="s">
        <v>3054</v>
      </c>
      <c r="CT122" s="9" t="s">
        <v>3055</v>
      </c>
      <c r="CU122" s="9" t="s">
        <v>519</v>
      </c>
      <c r="CV122" s="9" t="s">
        <v>451</v>
      </c>
      <c r="CW122" s="9" t="s">
        <v>3056</v>
      </c>
      <c r="CX122" s="9" t="s">
        <v>408</v>
      </c>
      <c r="CZ122" s="9" t="s">
        <v>453</v>
      </c>
      <c r="DA122" s="9" t="s">
        <v>3057</v>
      </c>
      <c r="DB122" s="9" t="s">
        <v>408</v>
      </c>
      <c r="DD122" s="9" t="s">
        <v>988</v>
      </c>
      <c r="DF122" s="9" t="s">
        <v>3058</v>
      </c>
      <c r="DG122" s="9" t="s">
        <v>561</v>
      </c>
      <c r="DH122" s="9" t="s">
        <v>410</v>
      </c>
      <c r="DI122" s="9" t="s">
        <v>459</v>
      </c>
      <c r="DJ122" s="9" t="s">
        <v>460</v>
      </c>
      <c r="DK122" s="9" t="s">
        <v>461</v>
      </c>
      <c r="DM122" s="9" t="s">
        <v>2890</v>
      </c>
      <c r="DN122" s="9" t="s">
        <v>3059</v>
      </c>
      <c r="DO122" s="9" t="s">
        <v>2956</v>
      </c>
      <c r="DP122" s="9" t="s">
        <v>3060</v>
      </c>
      <c r="DQ122" s="9" t="s">
        <v>466</v>
      </c>
      <c r="DR122" s="9" t="s">
        <v>3061</v>
      </c>
      <c r="DS122" s="9" t="s">
        <v>702</v>
      </c>
      <c r="DT122" s="9" t="s">
        <v>1580</v>
      </c>
      <c r="DU122" s="9" t="s">
        <v>3062</v>
      </c>
      <c r="DV122" s="9" t="s">
        <v>3063</v>
      </c>
      <c r="DW122" s="9" t="s">
        <v>1328</v>
      </c>
      <c r="DX122" s="9" t="s">
        <v>3064</v>
      </c>
      <c r="DY122" s="9" t="s">
        <v>3065</v>
      </c>
      <c r="DZ122" s="9" t="s">
        <v>3066</v>
      </c>
      <c r="EA122" s="9" t="s">
        <v>475</v>
      </c>
      <c r="EB122" s="9" t="s">
        <v>476</v>
      </c>
      <c r="EC122" s="9" t="s">
        <v>3067</v>
      </c>
      <c r="ET122" s="9" t="s">
        <v>526</v>
      </c>
      <c r="EU122" s="9" t="s">
        <v>1037</v>
      </c>
      <c r="EV122" s="9" t="s">
        <v>480</v>
      </c>
      <c r="EZ122" s="9" t="s">
        <v>413</v>
      </c>
      <c r="FA122" s="9" t="s">
        <v>413</v>
      </c>
      <c r="FB122" s="9" t="s">
        <v>413</v>
      </c>
      <c r="FC122" s="9" t="s">
        <v>413</v>
      </c>
      <c r="FD122" s="9" t="s">
        <v>413</v>
      </c>
      <c r="FE122" s="9" t="s">
        <v>413</v>
      </c>
      <c r="FF122" s="9" t="s">
        <v>413</v>
      </c>
      <c r="FG122" s="9" t="s">
        <v>413</v>
      </c>
      <c r="FH122" s="9" t="s">
        <v>413</v>
      </c>
      <c r="FI122" s="9" t="s">
        <v>583</v>
      </c>
      <c r="FJ122" s="9" t="s">
        <v>416</v>
      </c>
      <c r="FK122" s="9" t="s">
        <v>413</v>
      </c>
      <c r="FL122" s="9" t="s">
        <v>484</v>
      </c>
      <c r="FM122" s="9" t="s">
        <v>413</v>
      </c>
      <c r="FN122" s="9" t="s">
        <v>414</v>
      </c>
      <c r="FO122" s="9" t="s">
        <v>417</v>
      </c>
      <c r="FQ122" s="9" t="s">
        <v>712</v>
      </c>
      <c r="FS122" s="9" t="s">
        <v>420</v>
      </c>
      <c r="FT122" s="9" t="s">
        <v>488</v>
      </c>
      <c r="FU122" s="9" t="s">
        <v>489</v>
      </c>
      <c r="FV122" s="9" t="s">
        <v>490</v>
      </c>
      <c r="FY122" s="9" t="s">
        <v>535</v>
      </c>
      <c r="GA122" s="9" t="s">
        <v>3068</v>
      </c>
      <c r="GB122" s="9" t="s">
        <v>408</v>
      </c>
      <c r="GG122" s="9" t="s">
        <v>857</v>
      </c>
      <c r="GH122" s="9" t="s">
        <v>857</v>
      </c>
      <c r="GI122" s="9" t="s">
        <v>790</v>
      </c>
      <c r="GM122" s="9" t="s">
        <v>1079</v>
      </c>
    </row>
    <row r="123" ht="24.75" customHeight="1">
      <c r="A123" s="8">
        <v>45829.33800960648</v>
      </c>
      <c r="B123" s="9" t="s">
        <v>368</v>
      </c>
      <c r="C123" s="9" t="s">
        <v>538</v>
      </c>
      <c r="D123" s="9" t="s">
        <v>947</v>
      </c>
      <c r="G123" s="9" t="s">
        <v>422</v>
      </c>
      <c r="H123" s="9" t="s">
        <v>539</v>
      </c>
      <c r="I123" s="9" t="s">
        <v>424</v>
      </c>
      <c r="J123" s="9" t="s">
        <v>375</v>
      </c>
      <c r="K123" s="9" t="s">
        <v>376</v>
      </c>
      <c r="L123" s="9" t="s">
        <v>591</v>
      </c>
      <c r="M123" s="9" t="s">
        <v>639</v>
      </c>
      <c r="N123" s="9" t="s">
        <v>377</v>
      </c>
      <c r="O123" s="9" t="s">
        <v>380</v>
      </c>
      <c r="P123" s="9" t="s">
        <v>381</v>
      </c>
      <c r="R123" s="9" t="s">
        <v>500</v>
      </c>
      <c r="S123" s="9" t="s">
        <v>384</v>
      </c>
      <c r="T123" s="9" t="s">
        <v>385</v>
      </c>
      <c r="W123" s="9" t="s">
        <v>3014</v>
      </c>
      <c r="AV123" s="9" t="s">
        <v>1242</v>
      </c>
      <c r="AW123" s="9" t="s">
        <v>391</v>
      </c>
      <c r="AX123" s="9">
        <v>4.0</v>
      </c>
      <c r="AY123" s="9" t="s">
        <v>391</v>
      </c>
      <c r="AZ123" s="9">
        <v>4.0</v>
      </c>
      <c r="BA123" s="9">
        <v>4.0</v>
      </c>
      <c r="BB123" s="9">
        <v>4.0</v>
      </c>
      <c r="BC123" s="9" t="s">
        <v>3069</v>
      </c>
      <c r="BD123" s="9" t="s">
        <v>3070</v>
      </c>
      <c r="BE123" s="9" t="s">
        <v>432</v>
      </c>
      <c r="BF123" s="9" t="s">
        <v>393</v>
      </c>
      <c r="BG123" s="9" t="s">
        <v>394</v>
      </c>
      <c r="BI123" s="9" t="s">
        <v>435</v>
      </c>
      <c r="BK123" s="9" t="s">
        <v>437</v>
      </c>
      <c r="BL123" s="9" t="s">
        <v>603</v>
      </c>
      <c r="BM123" s="9" t="s">
        <v>1314</v>
      </c>
      <c r="BN123" s="9" t="s">
        <v>398</v>
      </c>
      <c r="BO123" s="9" t="s">
        <v>3071</v>
      </c>
      <c r="BP123" s="9" t="s">
        <v>3072</v>
      </c>
      <c r="BQ123" s="9" t="s">
        <v>401</v>
      </c>
      <c r="BR123" s="9" t="s">
        <v>402</v>
      </c>
      <c r="BT123" s="9" t="s">
        <v>1994</v>
      </c>
      <c r="BU123" s="9" t="s">
        <v>405</v>
      </c>
      <c r="BW123" s="9" t="s">
        <v>406</v>
      </c>
      <c r="BX123" s="9" t="s">
        <v>1867</v>
      </c>
      <c r="BY123" s="9" t="s">
        <v>408</v>
      </c>
      <c r="CC123" s="9" t="s">
        <v>3073</v>
      </c>
      <c r="CD123" s="9" t="s">
        <v>1257</v>
      </c>
      <c r="CF123" s="9" t="s">
        <v>1722</v>
      </c>
      <c r="CG123" s="9" t="s">
        <v>3074</v>
      </c>
      <c r="CH123" s="9" t="s">
        <v>1259</v>
      </c>
      <c r="CJ123" s="9" t="s">
        <v>3075</v>
      </c>
      <c r="ET123" s="9" t="s">
        <v>526</v>
      </c>
      <c r="EU123" s="9" t="s">
        <v>579</v>
      </c>
      <c r="EV123" s="9" t="s">
        <v>527</v>
      </c>
      <c r="EW123" s="9" t="s">
        <v>3076</v>
      </c>
      <c r="EX123" s="9" t="s">
        <v>3077</v>
      </c>
      <c r="EZ123" s="9" t="s">
        <v>415</v>
      </c>
      <c r="FA123" s="9" t="s">
        <v>415</v>
      </c>
      <c r="FB123" s="9" t="s">
        <v>413</v>
      </c>
      <c r="FC123" s="9" t="s">
        <v>416</v>
      </c>
      <c r="FD123" s="9" t="s">
        <v>413</v>
      </c>
      <c r="FE123" s="9" t="s">
        <v>415</v>
      </c>
      <c r="FF123" s="9" t="s">
        <v>415</v>
      </c>
      <c r="FG123" s="9" t="s">
        <v>484</v>
      </c>
      <c r="FH123" s="9" t="s">
        <v>484</v>
      </c>
      <c r="FI123" s="9" t="s">
        <v>484</v>
      </c>
      <c r="FJ123" s="9" t="s">
        <v>416</v>
      </c>
      <c r="FK123" s="9" t="s">
        <v>484</v>
      </c>
      <c r="FL123" s="9" t="s">
        <v>484</v>
      </c>
      <c r="FM123" s="9" t="s">
        <v>484</v>
      </c>
      <c r="FN123" s="9" t="s">
        <v>484</v>
      </c>
      <c r="FO123" s="9" t="s">
        <v>850</v>
      </c>
      <c r="FP123" s="9" t="s">
        <v>418</v>
      </c>
      <c r="FQ123" s="9" t="s">
        <v>1039</v>
      </c>
      <c r="FS123" s="9" t="s">
        <v>420</v>
      </c>
      <c r="FT123" s="9" t="s">
        <v>488</v>
      </c>
      <c r="FU123" s="9" t="s">
        <v>918</v>
      </c>
      <c r="FV123" s="9" t="s">
        <v>490</v>
      </c>
      <c r="FW123" s="9" t="s">
        <v>491</v>
      </c>
      <c r="FX123" s="9" t="s">
        <v>3078</v>
      </c>
      <c r="FY123" s="9" t="s">
        <v>1337</v>
      </c>
      <c r="FZ123" s="9" t="s">
        <v>3079</v>
      </c>
      <c r="GB123" s="9" t="s">
        <v>455</v>
      </c>
      <c r="GC123" s="9"/>
      <c r="GE123" s="9" t="s">
        <v>1339</v>
      </c>
      <c r="GF123" s="9" t="s">
        <v>3080</v>
      </c>
      <c r="GJ123" s="9" t="s">
        <v>920</v>
      </c>
      <c r="GK123" s="9" t="s">
        <v>920</v>
      </c>
      <c r="GL123" s="9" t="s">
        <v>756</v>
      </c>
      <c r="GN123" s="9" t="s">
        <v>3012</v>
      </c>
      <c r="GO123" s="9" t="s">
        <v>947</v>
      </c>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10"/>
      <c r="IK123" s="10"/>
      <c r="IL123" s="10"/>
      <c r="IM123" s="10"/>
      <c r="IN123" s="10"/>
      <c r="IO123" s="10"/>
      <c r="IP123" s="10"/>
      <c r="IQ123" s="10"/>
      <c r="IR123" s="10"/>
      <c r="IS123" s="10"/>
      <c r="IT123" s="10"/>
      <c r="IU123" s="10"/>
      <c r="IV123" s="10"/>
      <c r="IW123" s="10"/>
      <c r="IX123" s="10"/>
      <c r="IY123" s="10"/>
      <c r="IZ123" s="10"/>
      <c r="JA123" s="10"/>
      <c r="JB123" s="10"/>
      <c r="JC123" s="10"/>
      <c r="JD123" s="10"/>
      <c r="JE123" s="10"/>
      <c r="JF123" s="10"/>
      <c r="JG123" s="10"/>
      <c r="JH123" s="10"/>
      <c r="JI123" s="10"/>
      <c r="JJ123" s="10"/>
      <c r="JK123" s="10"/>
      <c r="JL123" s="10"/>
      <c r="JM123" s="10"/>
      <c r="JN123" s="10"/>
      <c r="JO123" s="10"/>
      <c r="JP123" s="10"/>
      <c r="JQ123" s="10"/>
      <c r="JR123" s="10"/>
      <c r="JS123" s="10"/>
      <c r="JT123" s="10"/>
      <c r="JU123" s="10"/>
      <c r="JV123" s="10"/>
      <c r="JW123" s="10"/>
      <c r="JX123" s="10"/>
      <c r="JY123" s="10"/>
      <c r="JZ123" s="10"/>
      <c r="KA123" s="10"/>
      <c r="KB123" s="10"/>
      <c r="KC123" s="10"/>
      <c r="KD123" s="10"/>
      <c r="KE123" s="10"/>
      <c r="KF123" s="10"/>
      <c r="KG123" s="10"/>
      <c r="KH123" s="10"/>
      <c r="KI123" s="10"/>
      <c r="KJ123" s="10"/>
      <c r="KK123" s="10"/>
      <c r="KL123" s="10"/>
      <c r="KM123" s="10"/>
      <c r="KN123" s="10"/>
      <c r="KO123" s="10"/>
      <c r="KP123" s="10"/>
      <c r="KQ123" s="10"/>
      <c r="KR123" s="10"/>
      <c r="KS123" s="10"/>
      <c r="KT123" s="10"/>
      <c r="KU123" s="10"/>
      <c r="KV123" s="10"/>
      <c r="KW123" s="10"/>
      <c r="KX123" s="10"/>
      <c r="KY123" s="10"/>
      <c r="KZ123" s="10"/>
      <c r="LA123" s="10"/>
      <c r="LB123" s="10"/>
      <c r="LC123" s="10"/>
      <c r="LD123" s="10"/>
      <c r="LE123" s="10"/>
      <c r="LF123" s="10"/>
      <c r="LG123" s="10"/>
      <c r="LH123" s="10"/>
      <c r="LI123" s="10"/>
      <c r="LJ123" s="10"/>
      <c r="LK123" s="10"/>
      <c r="LL123" s="10"/>
      <c r="LM123" s="10"/>
      <c r="LN123" s="10"/>
      <c r="LO123" s="10"/>
      <c r="LP123" s="10"/>
      <c r="LQ123" s="10"/>
      <c r="LR123" s="10"/>
      <c r="LS123" s="10"/>
      <c r="LT123" s="10"/>
      <c r="LU123" s="10"/>
      <c r="LV123" s="10"/>
      <c r="LW123" s="10"/>
      <c r="LX123" s="10"/>
      <c r="LY123" s="10"/>
      <c r="LZ123" s="10"/>
      <c r="MA123" s="10"/>
      <c r="MB123" s="10"/>
      <c r="MC123" s="10"/>
      <c r="MD123" s="10"/>
      <c r="ME123" s="10"/>
      <c r="MF123" s="10"/>
      <c r="MG123" s="10"/>
      <c r="MH123" s="10"/>
      <c r="MI123" s="10"/>
      <c r="MJ123" s="10"/>
      <c r="MK123" s="10"/>
      <c r="ML123" s="10"/>
      <c r="MM123" s="10"/>
      <c r="MN123" s="10"/>
      <c r="MO123" s="10"/>
      <c r="MP123" s="10"/>
      <c r="MQ123" s="10"/>
      <c r="MR123" s="10"/>
      <c r="MS123" s="10"/>
      <c r="MT123" s="10"/>
      <c r="MU123" s="10"/>
      <c r="MV123" s="10"/>
      <c r="MW123" s="10"/>
      <c r="MX123" s="10"/>
      <c r="MY123" s="10"/>
      <c r="MZ123" s="10"/>
      <c r="NA123" s="10"/>
      <c r="NB123" s="10"/>
      <c r="NC123" s="10"/>
      <c r="ND123" s="10"/>
    </row>
    <row r="124" ht="24.75" customHeight="1">
      <c r="A124" s="8">
        <v>45829.41961525463</v>
      </c>
      <c r="B124" s="9" t="s">
        <v>368</v>
      </c>
      <c r="C124" s="9" t="s">
        <v>3081</v>
      </c>
      <c r="D124" s="9" t="s">
        <v>3081</v>
      </c>
      <c r="G124" s="9" t="s">
        <v>422</v>
      </c>
      <c r="H124" s="9" t="s">
        <v>373</v>
      </c>
      <c r="I124" s="9" t="s">
        <v>374</v>
      </c>
      <c r="J124" s="9" t="s">
        <v>375</v>
      </c>
      <c r="K124" s="9" t="s">
        <v>376</v>
      </c>
      <c r="L124" s="9" t="s">
        <v>426</v>
      </c>
      <c r="M124" s="9" t="s">
        <v>378</v>
      </c>
      <c r="N124" s="9" t="s">
        <v>591</v>
      </c>
      <c r="O124" s="9" t="s">
        <v>1799</v>
      </c>
      <c r="P124" s="9" t="s">
        <v>498</v>
      </c>
      <c r="Q124" s="9" t="s">
        <v>499</v>
      </c>
      <c r="R124" s="9" t="s">
        <v>500</v>
      </c>
      <c r="S124" s="9" t="s">
        <v>384</v>
      </c>
      <c r="T124" s="9" t="s">
        <v>385</v>
      </c>
      <c r="W124" s="9" t="s">
        <v>386</v>
      </c>
      <c r="X124" s="9" t="s">
        <v>387</v>
      </c>
      <c r="Y124" s="9" t="s">
        <v>388</v>
      </c>
      <c r="Z124" s="9" t="s">
        <v>389</v>
      </c>
      <c r="AV124" s="9" t="s">
        <v>597</v>
      </c>
      <c r="AW124" s="9" t="s">
        <v>391</v>
      </c>
      <c r="AX124" s="9" t="s">
        <v>391</v>
      </c>
      <c r="AY124" s="9">
        <v>4.0</v>
      </c>
      <c r="AZ124" s="9" t="s">
        <v>391</v>
      </c>
      <c r="BA124" s="9" t="s">
        <v>391</v>
      </c>
      <c r="BB124" s="9" t="s">
        <v>391</v>
      </c>
      <c r="BE124" s="9" t="s">
        <v>432</v>
      </c>
      <c r="BF124" s="9" t="s">
        <v>393</v>
      </c>
      <c r="BG124" s="9" t="s">
        <v>725</v>
      </c>
      <c r="BI124" s="9" t="s">
        <v>824</v>
      </c>
      <c r="BK124" s="9" t="s">
        <v>681</v>
      </c>
      <c r="BL124" s="9" t="s">
        <v>396</v>
      </c>
      <c r="BM124" s="9" t="s">
        <v>397</v>
      </c>
      <c r="BN124" s="9" t="s">
        <v>398</v>
      </c>
      <c r="BQ124" s="9" t="s">
        <v>401</v>
      </c>
      <c r="BR124" s="9" t="s">
        <v>2488</v>
      </c>
      <c r="BS124" s="9" t="s">
        <v>403</v>
      </c>
      <c r="BT124" s="9" t="s">
        <v>1994</v>
      </c>
      <c r="BU124" s="9" t="s">
        <v>405</v>
      </c>
      <c r="BW124" s="9" t="s">
        <v>406</v>
      </c>
      <c r="BX124" s="9" t="s">
        <v>2503</v>
      </c>
      <c r="BY124" s="9" t="s">
        <v>408</v>
      </c>
      <c r="CD124" s="9" t="s">
        <v>1257</v>
      </c>
      <c r="CF124" s="9" t="s">
        <v>1258</v>
      </c>
      <c r="CH124" s="9" t="s">
        <v>1259</v>
      </c>
      <c r="CI124" s="9" t="s">
        <v>1964</v>
      </c>
      <c r="CJ124" s="9" t="s">
        <v>1699</v>
      </c>
      <c r="ET124" s="9" t="s">
        <v>578</v>
      </c>
      <c r="EU124" s="9" t="s">
        <v>579</v>
      </c>
      <c r="EV124" s="9" t="s">
        <v>580</v>
      </c>
      <c r="EZ124" s="9" t="s">
        <v>414</v>
      </c>
      <c r="FA124" s="9" t="s">
        <v>414</v>
      </c>
      <c r="FB124" s="9" t="s">
        <v>416</v>
      </c>
      <c r="FC124" s="9" t="s">
        <v>416</v>
      </c>
      <c r="FD124" s="9" t="s">
        <v>415</v>
      </c>
      <c r="FE124" s="9" t="s">
        <v>415</v>
      </c>
      <c r="FF124" s="9" t="s">
        <v>416</v>
      </c>
      <c r="FG124" s="9" t="s">
        <v>415</v>
      </c>
      <c r="FH124" s="9" t="s">
        <v>415</v>
      </c>
      <c r="FI124" s="9" t="s">
        <v>413</v>
      </c>
      <c r="FJ124" s="9" t="s">
        <v>415</v>
      </c>
      <c r="FK124" s="9" t="s">
        <v>415</v>
      </c>
      <c r="FL124" s="9" t="s">
        <v>414</v>
      </c>
      <c r="FM124" s="9" t="s">
        <v>415</v>
      </c>
      <c r="FN124" s="9" t="s">
        <v>415</v>
      </c>
      <c r="FO124" s="9" t="s">
        <v>417</v>
      </c>
      <c r="FP124" s="9" t="s">
        <v>486</v>
      </c>
      <c r="FQ124" s="9" t="s">
        <v>749</v>
      </c>
      <c r="FS124" s="9" t="s">
        <v>420</v>
      </c>
      <c r="FT124" s="9" t="s">
        <v>1462</v>
      </c>
      <c r="FV124" s="9" t="s">
        <v>490</v>
      </c>
      <c r="FW124" s="9" t="s">
        <v>491</v>
      </c>
      <c r="FY124" s="9" t="s">
        <v>493</v>
      </c>
      <c r="GB124" s="9" t="s">
        <v>455</v>
      </c>
      <c r="GJ124" s="9" t="s">
        <v>788</v>
      </c>
      <c r="GK124" s="9" t="s">
        <v>857</v>
      </c>
      <c r="GL124" s="9" t="s">
        <v>790</v>
      </c>
    </row>
    <row r="125" ht="24.75" customHeight="1">
      <c r="A125" s="8">
        <v>45829.42277583333</v>
      </c>
      <c r="B125" s="9" t="s">
        <v>368</v>
      </c>
      <c r="C125" s="9" t="s">
        <v>370</v>
      </c>
      <c r="E125" s="9" t="s">
        <v>3082</v>
      </c>
      <c r="G125" s="9" t="s">
        <v>422</v>
      </c>
      <c r="H125" s="9" t="s">
        <v>1921</v>
      </c>
      <c r="I125" s="9" t="s">
        <v>668</v>
      </c>
      <c r="J125" s="9" t="s">
        <v>590</v>
      </c>
      <c r="K125" s="9" t="s">
        <v>376</v>
      </c>
      <c r="L125" s="9" t="s">
        <v>379</v>
      </c>
      <c r="M125" s="9" t="s">
        <v>380</v>
      </c>
      <c r="N125" s="9" t="s">
        <v>379</v>
      </c>
      <c r="O125" s="9" t="s">
        <v>3083</v>
      </c>
      <c r="P125" s="9" t="s">
        <v>1760</v>
      </c>
      <c r="Q125" s="9" t="s">
        <v>818</v>
      </c>
      <c r="R125" s="9" t="s">
        <v>427</v>
      </c>
      <c r="S125" s="9" t="s">
        <v>384</v>
      </c>
      <c r="T125" s="9" t="s">
        <v>385</v>
      </c>
      <c r="W125" s="9" t="s">
        <v>3014</v>
      </c>
      <c r="AV125" s="9" t="s">
        <v>390</v>
      </c>
      <c r="AW125" s="9" t="s">
        <v>675</v>
      </c>
      <c r="AX125" s="9">
        <v>4.0</v>
      </c>
      <c r="AY125" s="9">
        <v>4.0</v>
      </c>
      <c r="AZ125" s="9">
        <v>4.0</v>
      </c>
      <c r="BA125" s="9" t="s">
        <v>675</v>
      </c>
      <c r="BB125" s="9" t="s">
        <v>675</v>
      </c>
      <c r="BC125" s="9" t="s">
        <v>3084</v>
      </c>
      <c r="BD125" s="9" t="s">
        <v>3085</v>
      </c>
      <c r="BE125" s="9" t="s">
        <v>432</v>
      </c>
      <c r="BF125" s="9" t="s">
        <v>1047</v>
      </c>
      <c r="BG125" s="9" t="s">
        <v>678</v>
      </c>
      <c r="BH125" s="9" t="s">
        <v>3086</v>
      </c>
      <c r="BI125" s="9" t="s">
        <v>509</v>
      </c>
      <c r="BJ125" s="9" t="s">
        <v>3087</v>
      </c>
      <c r="BK125" s="9" t="s">
        <v>437</v>
      </c>
      <c r="BL125" s="9" t="s">
        <v>438</v>
      </c>
      <c r="BM125" s="9" t="s">
        <v>1247</v>
      </c>
      <c r="BN125" s="9" t="s">
        <v>440</v>
      </c>
      <c r="CL125" s="9" t="s">
        <v>441</v>
      </c>
      <c r="CM125" s="9" t="s">
        <v>401</v>
      </c>
      <c r="CN125" s="9" t="s">
        <v>3088</v>
      </c>
      <c r="CO125" s="9" t="s">
        <v>3089</v>
      </c>
      <c r="CP125" s="9" t="s">
        <v>445</v>
      </c>
      <c r="CQ125" s="9" t="s">
        <v>3090</v>
      </c>
      <c r="CR125" s="9" t="s">
        <v>828</v>
      </c>
      <c r="CS125" s="9" t="s">
        <v>3091</v>
      </c>
      <c r="CT125" s="9" t="s">
        <v>3092</v>
      </c>
      <c r="CU125" s="9" t="s">
        <v>982</v>
      </c>
      <c r="CV125" s="9" t="s">
        <v>451</v>
      </c>
      <c r="CW125" s="9" t="s">
        <v>3093</v>
      </c>
      <c r="CX125" s="9" t="s">
        <v>408</v>
      </c>
      <c r="CZ125" s="9" t="s">
        <v>985</v>
      </c>
      <c r="DA125" s="9" t="s">
        <v>3094</v>
      </c>
      <c r="DB125" s="9" t="s">
        <v>408</v>
      </c>
      <c r="DD125" s="9" t="s">
        <v>406</v>
      </c>
      <c r="DE125" s="9" t="s">
        <v>1867</v>
      </c>
      <c r="DF125" s="9" t="s">
        <v>3095</v>
      </c>
      <c r="DG125" s="9" t="s">
        <v>524</v>
      </c>
      <c r="DH125" s="9" t="s">
        <v>833</v>
      </c>
      <c r="DI125" s="9" t="s">
        <v>459</v>
      </c>
      <c r="DJ125" s="9" t="s">
        <v>562</v>
      </c>
      <c r="DK125" s="9" t="s">
        <v>525</v>
      </c>
      <c r="DM125" s="9" t="s">
        <v>3096</v>
      </c>
      <c r="DN125" s="9" t="s">
        <v>3097</v>
      </c>
      <c r="DO125" s="9" t="s">
        <v>3098</v>
      </c>
      <c r="DP125" s="9" t="s">
        <v>3099</v>
      </c>
      <c r="DQ125" s="9" t="s">
        <v>1176</v>
      </c>
      <c r="DR125" s="9" t="s">
        <v>3100</v>
      </c>
      <c r="DS125" s="9" t="s">
        <v>618</v>
      </c>
      <c r="DT125" s="9" t="s">
        <v>570</v>
      </c>
      <c r="DU125" s="9" t="s">
        <v>3101</v>
      </c>
      <c r="DV125" s="9" t="s">
        <v>1143</v>
      </c>
      <c r="DW125" s="9" t="s">
        <v>573</v>
      </c>
      <c r="DX125" s="9" t="s">
        <v>1068</v>
      </c>
      <c r="DY125" s="9" t="s">
        <v>3102</v>
      </c>
      <c r="DZ125" s="9" t="s">
        <v>3103</v>
      </c>
      <c r="EA125" s="9" t="s">
        <v>1413</v>
      </c>
      <c r="EB125" s="9" t="s">
        <v>845</v>
      </c>
      <c r="EC125" s="9" t="s">
        <v>3104</v>
      </c>
      <c r="ET125" s="9" t="s">
        <v>478</v>
      </c>
      <c r="EU125" s="9" t="s">
        <v>479</v>
      </c>
      <c r="EV125" s="9" t="s">
        <v>480</v>
      </c>
      <c r="EX125" s="9" t="s">
        <v>733</v>
      </c>
      <c r="EY125" s="9" t="s">
        <v>733</v>
      </c>
      <c r="EZ125" s="9" t="s">
        <v>415</v>
      </c>
      <c r="FA125" s="9" t="s">
        <v>414</v>
      </c>
      <c r="FB125" s="9" t="s">
        <v>413</v>
      </c>
      <c r="FC125" s="9" t="s">
        <v>583</v>
      </c>
      <c r="FD125" s="9" t="s">
        <v>413</v>
      </c>
      <c r="FE125" s="9" t="s">
        <v>583</v>
      </c>
      <c r="FF125" s="9" t="s">
        <v>415</v>
      </c>
      <c r="FG125" s="9" t="s">
        <v>413</v>
      </c>
      <c r="FH125" s="9" t="s">
        <v>583</v>
      </c>
      <c r="FI125" s="9" t="s">
        <v>583</v>
      </c>
      <c r="FJ125" s="9" t="s">
        <v>414</v>
      </c>
      <c r="FK125" s="9" t="s">
        <v>415</v>
      </c>
      <c r="FL125" s="9" t="s">
        <v>415</v>
      </c>
      <c r="FM125" s="9" t="s">
        <v>415</v>
      </c>
      <c r="FN125" s="9" t="s">
        <v>415</v>
      </c>
      <c r="FO125" s="9" t="s">
        <v>850</v>
      </c>
      <c r="FP125" s="9" t="s">
        <v>418</v>
      </c>
      <c r="FQ125" s="9" t="s">
        <v>419</v>
      </c>
      <c r="FS125" s="9" t="s">
        <v>995</v>
      </c>
      <c r="FT125" s="9" t="s">
        <v>488</v>
      </c>
      <c r="FU125" s="9" t="s">
        <v>918</v>
      </c>
      <c r="FV125" s="9" t="s">
        <v>490</v>
      </c>
      <c r="FW125" s="9" t="s">
        <v>491</v>
      </c>
      <c r="FX125" s="9" t="s">
        <v>3105</v>
      </c>
      <c r="FY125" s="9" t="s">
        <v>535</v>
      </c>
      <c r="FZ125" s="9" t="s">
        <v>3106</v>
      </c>
      <c r="GA125" s="9" t="s">
        <v>3107</v>
      </c>
      <c r="GB125" s="9" t="s">
        <v>455</v>
      </c>
      <c r="GC125" s="9"/>
      <c r="GD125" s="9"/>
      <c r="GE125" s="9" t="s">
        <v>753</v>
      </c>
      <c r="GF125" s="9" t="s">
        <v>3108</v>
      </c>
      <c r="GG125" s="9" t="s">
        <v>1000</v>
      </c>
      <c r="GH125" s="9" t="s">
        <v>1000</v>
      </c>
      <c r="GI125" s="9" t="s">
        <v>817</v>
      </c>
      <c r="GM125" s="9" t="s">
        <v>1079</v>
      </c>
    </row>
    <row r="126" ht="24.75" customHeight="1">
      <c r="A126" s="8">
        <v>45829.49291922453</v>
      </c>
      <c r="B126" s="9" t="s">
        <v>368</v>
      </c>
      <c r="C126" s="9" t="s">
        <v>894</v>
      </c>
      <c r="D126" s="9" t="s">
        <v>894</v>
      </c>
      <c r="G126" s="9" t="s">
        <v>422</v>
      </c>
      <c r="I126" s="9" t="s">
        <v>638</v>
      </c>
      <c r="J126" s="9" t="s">
        <v>1204</v>
      </c>
      <c r="K126" s="9" t="s">
        <v>376</v>
      </c>
      <c r="L126" s="9" t="s">
        <v>1526</v>
      </c>
      <c r="N126" s="9" t="s">
        <v>1526</v>
      </c>
      <c r="P126" s="9" t="s">
        <v>592</v>
      </c>
      <c r="R126" s="9" t="s">
        <v>949</v>
      </c>
      <c r="S126" s="9" t="s">
        <v>384</v>
      </c>
      <c r="T126" s="9" t="s">
        <v>385</v>
      </c>
      <c r="U126" s="9" t="s">
        <v>1241</v>
      </c>
      <c r="V126" s="9" t="s">
        <v>1241</v>
      </c>
      <c r="W126" s="9" t="s">
        <v>3014</v>
      </c>
      <c r="AV126" s="9" t="s">
        <v>1242</v>
      </c>
      <c r="BG126" s="9" t="s">
        <v>394</v>
      </c>
      <c r="BI126" s="9" t="s">
        <v>824</v>
      </c>
      <c r="BK126" s="9" t="s">
        <v>511</v>
      </c>
      <c r="BM126" s="9" t="s">
        <v>1247</v>
      </c>
      <c r="BN126" s="9" t="s">
        <v>398</v>
      </c>
      <c r="BQ126" s="9" t="s">
        <v>442</v>
      </c>
      <c r="EU126" s="9" t="s">
        <v>579</v>
      </c>
      <c r="EV126" s="9" t="s">
        <v>527</v>
      </c>
      <c r="FB126" s="11"/>
      <c r="FW126" s="9" t="s">
        <v>491</v>
      </c>
      <c r="FY126" s="9" t="s">
        <v>535</v>
      </c>
      <c r="GB126" s="9" t="s">
        <v>408</v>
      </c>
      <c r="GK126" s="9" t="s">
        <v>755</v>
      </c>
      <c r="GL126" s="9" t="s">
        <v>946</v>
      </c>
    </row>
    <row r="127" ht="24.75" customHeight="1">
      <c r="A127" s="8">
        <v>45829.585866458336</v>
      </c>
      <c r="B127" s="9" t="s">
        <v>368</v>
      </c>
      <c r="C127" s="9" t="s">
        <v>370</v>
      </c>
      <c r="E127" s="9" t="s">
        <v>1441</v>
      </c>
      <c r="G127" s="9" t="s">
        <v>422</v>
      </c>
      <c r="H127" s="9" t="s">
        <v>496</v>
      </c>
      <c r="I127" s="9" t="s">
        <v>374</v>
      </c>
      <c r="J127" s="9" t="s">
        <v>375</v>
      </c>
      <c r="K127" s="9" t="s">
        <v>376</v>
      </c>
      <c r="L127" s="9" t="s">
        <v>793</v>
      </c>
      <c r="M127" s="9" t="s">
        <v>3109</v>
      </c>
      <c r="N127" s="9" t="s">
        <v>591</v>
      </c>
      <c r="O127" s="9" t="s">
        <v>380</v>
      </c>
      <c r="P127" s="9" t="s">
        <v>592</v>
      </c>
      <c r="Q127" s="9" t="s">
        <v>499</v>
      </c>
      <c r="R127" s="9" t="s">
        <v>949</v>
      </c>
      <c r="S127" s="9" t="s">
        <v>384</v>
      </c>
      <c r="T127" s="9" t="s">
        <v>385</v>
      </c>
      <c r="W127" s="9" t="s">
        <v>593</v>
      </c>
      <c r="X127" s="9" t="s">
        <v>387</v>
      </c>
      <c r="Y127" s="9" t="s">
        <v>388</v>
      </c>
      <c r="Z127" s="9" t="s">
        <v>543</v>
      </c>
      <c r="AA127" s="9" t="s">
        <v>3110</v>
      </c>
      <c r="AB127" s="9" t="s">
        <v>3111</v>
      </c>
      <c r="AV127" s="9" t="s">
        <v>1310</v>
      </c>
      <c r="AW127" s="9" t="s">
        <v>675</v>
      </c>
      <c r="AX127" s="9" t="s">
        <v>675</v>
      </c>
      <c r="AY127" s="9" t="s">
        <v>675</v>
      </c>
      <c r="AZ127" s="9" t="s">
        <v>675</v>
      </c>
      <c r="BA127" s="9" t="s">
        <v>675</v>
      </c>
      <c r="BB127" s="9" t="s">
        <v>675</v>
      </c>
      <c r="BC127" s="9" t="s">
        <v>3112</v>
      </c>
      <c r="BD127" s="9" t="s">
        <v>3113</v>
      </c>
      <c r="BE127" s="9" t="s">
        <v>3114</v>
      </c>
      <c r="BF127" s="9" t="s">
        <v>1095</v>
      </c>
      <c r="BG127" s="9" t="s">
        <v>725</v>
      </c>
      <c r="BH127" s="9" t="s">
        <v>3115</v>
      </c>
      <c r="BI127" s="9" t="s">
        <v>976</v>
      </c>
      <c r="BJ127" s="9" t="s">
        <v>3116</v>
      </c>
      <c r="BK127" s="9" t="s">
        <v>437</v>
      </c>
      <c r="BL127" s="9" t="s">
        <v>904</v>
      </c>
      <c r="BM127" s="9" t="s">
        <v>1314</v>
      </c>
      <c r="BN127" s="9" t="s">
        <v>440</v>
      </c>
      <c r="CL127" s="9" t="s">
        <v>441</v>
      </c>
      <c r="CM127" s="9" t="s">
        <v>604</v>
      </c>
      <c r="CN127" s="9" t="s">
        <v>3117</v>
      </c>
      <c r="CO127" s="9" t="s">
        <v>3118</v>
      </c>
      <c r="CP127" s="9" t="s">
        <v>445</v>
      </c>
      <c r="CQ127" s="9" t="s">
        <v>3119</v>
      </c>
      <c r="CR127" s="9" t="s">
        <v>447</v>
      </c>
      <c r="CS127" s="9" t="s">
        <v>3120</v>
      </c>
      <c r="CT127" s="9" t="s">
        <v>3121</v>
      </c>
      <c r="CU127" s="9" t="s">
        <v>450</v>
      </c>
      <c r="CV127" s="9" t="s">
        <v>451</v>
      </c>
      <c r="CW127" s="9" t="s">
        <v>3122</v>
      </c>
      <c r="CX127" s="9" t="s">
        <v>455</v>
      </c>
      <c r="CY127" s="9" t="s">
        <v>3123</v>
      </c>
      <c r="CZ127" s="9" t="s">
        <v>453</v>
      </c>
      <c r="DA127" s="9" t="s">
        <v>3124</v>
      </c>
      <c r="DB127" s="9" t="s">
        <v>455</v>
      </c>
      <c r="DC127" s="9" t="s">
        <v>3125</v>
      </c>
      <c r="DD127" s="9" t="s">
        <v>662</v>
      </c>
      <c r="DF127" s="9" t="s">
        <v>3126</v>
      </c>
      <c r="DG127" s="9" t="s">
        <v>524</v>
      </c>
      <c r="DH127" s="9" t="s">
        <v>410</v>
      </c>
      <c r="DI127" s="9" t="s">
        <v>459</v>
      </c>
      <c r="DJ127" s="9" t="s">
        <v>562</v>
      </c>
      <c r="DK127" s="9" t="s">
        <v>461</v>
      </c>
      <c r="DM127" s="9" t="s">
        <v>3127</v>
      </c>
      <c r="DN127" s="9" t="s">
        <v>3128</v>
      </c>
      <c r="DO127" s="9" t="s">
        <v>464</v>
      </c>
      <c r="DP127" s="9" t="s">
        <v>3129</v>
      </c>
      <c r="DQ127" s="9" t="s">
        <v>466</v>
      </c>
      <c r="DR127" s="9" t="s">
        <v>3130</v>
      </c>
      <c r="DS127" s="9" t="s">
        <v>839</v>
      </c>
      <c r="DT127" s="9" t="s">
        <v>1580</v>
      </c>
      <c r="DU127" s="9" t="s">
        <v>3131</v>
      </c>
      <c r="DV127" s="9" t="s">
        <v>3132</v>
      </c>
      <c r="DW127" s="9" t="s">
        <v>622</v>
      </c>
      <c r="DX127" s="9" t="s">
        <v>3133</v>
      </c>
      <c r="DY127" s="9" t="s">
        <v>3134</v>
      </c>
      <c r="DZ127" s="9" t="s">
        <v>3135</v>
      </c>
      <c r="EA127" s="9" t="s">
        <v>475</v>
      </c>
      <c r="EB127" s="9" t="s">
        <v>845</v>
      </c>
      <c r="EC127" s="9" t="s">
        <v>3136</v>
      </c>
      <c r="ET127" s="9" t="s">
        <v>526</v>
      </c>
      <c r="EU127" s="9" t="s">
        <v>479</v>
      </c>
      <c r="EV127" s="9" t="s">
        <v>527</v>
      </c>
      <c r="EW127" s="9" t="s">
        <v>3137</v>
      </c>
      <c r="EX127" s="9" t="s">
        <v>3138</v>
      </c>
      <c r="EY127" s="9" t="s">
        <v>3139</v>
      </c>
      <c r="EZ127" s="9" t="s">
        <v>583</v>
      </c>
      <c r="FA127" s="9" t="s">
        <v>583</v>
      </c>
      <c r="FB127" s="9" t="s">
        <v>583</v>
      </c>
      <c r="FC127" s="9" t="s">
        <v>583</v>
      </c>
      <c r="FD127" s="9" t="s">
        <v>415</v>
      </c>
      <c r="FE127" s="9" t="s">
        <v>583</v>
      </c>
      <c r="FF127" s="9" t="s">
        <v>583</v>
      </c>
      <c r="FG127" s="9" t="s">
        <v>413</v>
      </c>
      <c r="FH127" s="9" t="s">
        <v>583</v>
      </c>
      <c r="FI127" s="9" t="s">
        <v>583</v>
      </c>
      <c r="FJ127" s="9" t="s">
        <v>583</v>
      </c>
      <c r="FK127" s="9" t="s">
        <v>413</v>
      </c>
      <c r="FL127" s="9" t="s">
        <v>583</v>
      </c>
      <c r="FM127" s="9" t="s">
        <v>413</v>
      </c>
      <c r="FN127" s="9" t="s">
        <v>583</v>
      </c>
      <c r="FO127" s="9" t="s">
        <v>417</v>
      </c>
      <c r="FP127" s="9" t="s">
        <v>418</v>
      </c>
      <c r="FQ127" s="9" t="s">
        <v>630</v>
      </c>
      <c r="FR127" s="9" t="s">
        <v>3140</v>
      </c>
      <c r="FS127" s="9" t="s">
        <v>420</v>
      </c>
      <c r="FT127" s="9" t="s">
        <v>488</v>
      </c>
      <c r="FU127" s="9" t="s">
        <v>533</v>
      </c>
      <c r="FV127" s="9" t="s">
        <v>490</v>
      </c>
      <c r="FW127" s="9" t="s">
        <v>491</v>
      </c>
      <c r="FX127" s="9" t="s">
        <v>3141</v>
      </c>
      <c r="FY127" s="9" t="s">
        <v>535</v>
      </c>
      <c r="FZ127" s="9" t="s">
        <v>3142</v>
      </c>
      <c r="GA127" s="9" t="s">
        <v>3143</v>
      </c>
      <c r="GB127" s="9" t="s">
        <v>455</v>
      </c>
      <c r="GC127" s="9"/>
      <c r="GE127" s="9" t="s">
        <v>1339</v>
      </c>
      <c r="GF127" s="9" t="s">
        <v>3144</v>
      </c>
      <c r="GG127" s="9" t="s">
        <v>755</v>
      </c>
      <c r="GH127" s="9" t="s">
        <v>755</v>
      </c>
      <c r="GI127" s="9" t="s">
        <v>817</v>
      </c>
      <c r="GM127" s="9" t="s">
        <v>1079</v>
      </c>
    </row>
    <row r="128" ht="24.75" customHeight="1">
      <c r="A128" s="8">
        <v>45829.606147847226</v>
      </c>
      <c r="B128" s="9" t="s">
        <v>368</v>
      </c>
      <c r="C128" s="9" t="s">
        <v>370</v>
      </c>
      <c r="E128" s="9" t="s">
        <v>667</v>
      </c>
      <c r="G128" s="9" t="s">
        <v>3145</v>
      </c>
      <c r="H128" s="9" t="s">
        <v>373</v>
      </c>
      <c r="I128" s="9" t="s">
        <v>374</v>
      </c>
      <c r="J128" s="9" t="s">
        <v>375</v>
      </c>
      <c r="K128" s="9" t="s">
        <v>376</v>
      </c>
      <c r="L128" s="9" t="s">
        <v>377</v>
      </c>
      <c r="M128" s="9" t="s">
        <v>378</v>
      </c>
      <c r="N128" s="9" t="s">
        <v>379</v>
      </c>
      <c r="O128" s="9" t="s">
        <v>380</v>
      </c>
      <c r="P128" s="9" t="s">
        <v>381</v>
      </c>
      <c r="Q128" s="9" t="s">
        <v>862</v>
      </c>
      <c r="R128" s="9" t="s">
        <v>500</v>
      </c>
      <c r="S128" s="9" t="s">
        <v>384</v>
      </c>
      <c r="T128" s="9" t="s">
        <v>385</v>
      </c>
      <c r="W128" s="9" t="s">
        <v>386</v>
      </c>
      <c r="X128" s="9" t="s">
        <v>387</v>
      </c>
      <c r="Y128" s="9" t="s">
        <v>1966</v>
      </c>
      <c r="Z128" s="9" t="s">
        <v>543</v>
      </c>
      <c r="AA128" s="9" t="s">
        <v>3146</v>
      </c>
      <c r="AB128" s="9" t="s">
        <v>3147</v>
      </c>
      <c r="AV128" s="9" t="s">
        <v>1242</v>
      </c>
      <c r="AW128" s="9" t="s">
        <v>675</v>
      </c>
      <c r="AX128" s="9">
        <v>4.0</v>
      </c>
      <c r="AY128" s="9" t="s">
        <v>391</v>
      </c>
      <c r="AZ128" s="9">
        <v>4.0</v>
      </c>
      <c r="BA128" s="9" t="s">
        <v>675</v>
      </c>
      <c r="BB128" s="9" t="s">
        <v>675</v>
      </c>
      <c r="BC128" s="9" t="s">
        <v>3148</v>
      </c>
      <c r="BD128" s="9" t="s">
        <v>3149</v>
      </c>
      <c r="BE128" s="9" t="s">
        <v>432</v>
      </c>
      <c r="BF128" s="9" t="s">
        <v>1095</v>
      </c>
      <c r="BG128" s="9" t="s">
        <v>394</v>
      </c>
      <c r="BH128" s="9" t="s">
        <v>3150</v>
      </c>
      <c r="BI128" s="9" t="s">
        <v>824</v>
      </c>
      <c r="BK128" s="9" t="s">
        <v>395</v>
      </c>
      <c r="BL128" s="9" t="s">
        <v>396</v>
      </c>
      <c r="BM128" s="9" t="s">
        <v>1314</v>
      </c>
      <c r="BN128" s="9" t="s">
        <v>398</v>
      </c>
      <c r="BO128" s="9" t="s">
        <v>3151</v>
      </c>
      <c r="BP128" s="9" t="s">
        <v>3152</v>
      </c>
      <c r="BQ128" s="9" t="s">
        <v>604</v>
      </c>
      <c r="BR128" s="9" t="s">
        <v>3153</v>
      </c>
      <c r="BS128" s="9" t="s">
        <v>403</v>
      </c>
      <c r="BT128" s="9" t="s">
        <v>1672</v>
      </c>
      <c r="BU128" s="9" t="s">
        <v>405</v>
      </c>
      <c r="BW128" s="9" t="s">
        <v>406</v>
      </c>
      <c r="BX128" s="9" t="s">
        <v>407</v>
      </c>
      <c r="BY128" s="9" t="s">
        <v>408</v>
      </c>
      <c r="CA128" s="9" t="s">
        <v>3154</v>
      </c>
      <c r="CB128" s="9" t="s">
        <v>3155</v>
      </c>
      <c r="CC128" s="9" t="s">
        <v>3156</v>
      </c>
      <c r="CD128" s="9" t="s">
        <v>1257</v>
      </c>
      <c r="CF128" s="9" t="s">
        <v>1258</v>
      </c>
      <c r="CH128" s="9" t="s">
        <v>1698</v>
      </c>
      <c r="CI128" s="9" t="s">
        <v>410</v>
      </c>
      <c r="CJ128" s="9" t="s">
        <v>3157</v>
      </c>
      <c r="CK128" s="9" t="s">
        <v>3158</v>
      </c>
      <c r="ET128" s="9" t="s">
        <v>478</v>
      </c>
      <c r="EU128" s="9" t="s">
        <v>887</v>
      </c>
      <c r="EV128" s="9" t="s">
        <v>527</v>
      </c>
      <c r="EW128" s="9" t="s">
        <v>3159</v>
      </c>
      <c r="EX128" s="9" t="s">
        <v>3160</v>
      </c>
      <c r="EY128" s="9" t="s">
        <v>3161</v>
      </c>
      <c r="EZ128" s="9" t="s">
        <v>583</v>
      </c>
      <c r="FA128" s="9" t="s">
        <v>583</v>
      </c>
      <c r="FB128" s="9" t="s">
        <v>583</v>
      </c>
      <c r="FC128" s="9" t="s">
        <v>583</v>
      </c>
      <c r="FD128" s="9" t="s">
        <v>415</v>
      </c>
      <c r="FE128" s="9" t="s">
        <v>583</v>
      </c>
      <c r="FF128" s="9" t="s">
        <v>583</v>
      </c>
      <c r="FG128" s="9" t="s">
        <v>583</v>
      </c>
      <c r="FH128" s="9" t="s">
        <v>413</v>
      </c>
      <c r="FI128" s="9" t="s">
        <v>583</v>
      </c>
      <c r="FJ128" s="9" t="s">
        <v>583</v>
      </c>
      <c r="FK128" s="9" t="s">
        <v>583</v>
      </c>
      <c r="FL128" s="9" t="s">
        <v>583</v>
      </c>
      <c r="FM128" s="9" t="s">
        <v>484</v>
      </c>
      <c r="FN128" s="9" t="s">
        <v>484</v>
      </c>
      <c r="FO128" s="9" t="s">
        <v>417</v>
      </c>
      <c r="FP128" s="9" t="s">
        <v>418</v>
      </c>
      <c r="FQ128" s="9" t="s">
        <v>630</v>
      </c>
      <c r="FR128" s="9" t="s">
        <v>3162</v>
      </c>
      <c r="FS128" s="9" t="s">
        <v>420</v>
      </c>
      <c r="FT128" s="9" t="s">
        <v>488</v>
      </c>
      <c r="FU128" s="9" t="s">
        <v>533</v>
      </c>
      <c r="FV128" s="9" t="s">
        <v>490</v>
      </c>
      <c r="FW128" s="9" t="s">
        <v>491</v>
      </c>
      <c r="FX128" s="9" t="s">
        <v>3163</v>
      </c>
      <c r="FY128" s="9" t="s">
        <v>535</v>
      </c>
      <c r="FZ128" s="9" t="s">
        <v>3164</v>
      </c>
      <c r="GB128" s="9" t="s">
        <v>455</v>
      </c>
      <c r="GC128" s="9"/>
      <c r="GE128" s="9" t="s">
        <v>1339</v>
      </c>
      <c r="GF128" s="9" t="s">
        <v>3165</v>
      </c>
      <c r="GJ128" s="9" t="s">
        <v>857</v>
      </c>
      <c r="GK128" s="9" t="s">
        <v>857</v>
      </c>
      <c r="GL128" s="9" t="s">
        <v>790</v>
      </c>
    </row>
    <row r="129" ht="24.75" customHeight="1">
      <c r="A129" s="8">
        <v>45829.64056644676</v>
      </c>
      <c r="B129" s="9" t="s">
        <v>368</v>
      </c>
      <c r="C129" s="9" t="s">
        <v>370</v>
      </c>
      <c r="E129" s="9" t="s">
        <v>1510</v>
      </c>
      <c r="G129" s="9" t="s">
        <v>422</v>
      </c>
      <c r="H129" s="9" t="s">
        <v>539</v>
      </c>
      <c r="I129" s="9" t="s">
        <v>424</v>
      </c>
      <c r="J129" s="9" t="s">
        <v>718</v>
      </c>
      <c r="K129" s="9" t="s">
        <v>376</v>
      </c>
      <c r="L129" s="9" t="s">
        <v>793</v>
      </c>
      <c r="M129" s="9" t="s">
        <v>639</v>
      </c>
      <c r="N129" s="9" t="s">
        <v>670</v>
      </c>
      <c r="O129" s="9" t="s">
        <v>1024</v>
      </c>
      <c r="P129" s="9" t="s">
        <v>1760</v>
      </c>
      <c r="Q129" s="9" t="s">
        <v>1342</v>
      </c>
      <c r="R129" s="9" t="s">
        <v>427</v>
      </c>
      <c r="S129" s="9" t="s">
        <v>384</v>
      </c>
      <c r="T129" s="9" t="s">
        <v>385</v>
      </c>
      <c r="W129" s="9" t="s">
        <v>593</v>
      </c>
      <c r="X129" s="9" t="s">
        <v>1706</v>
      </c>
      <c r="AC129" s="9" t="s">
        <v>3166</v>
      </c>
      <c r="AD129" s="9" t="s">
        <v>1938</v>
      </c>
      <c r="AE129" s="9" t="s">
        <v>1143</v>
      </c>
      <c r="AG129" s="9">
        <v>1.0</v>
      </c>
      <c r="AH129" s="9" t="s">
        <v>1145</v>
      </c>
      <c r="AK129" s="9" t="s">
        <v>396</v>
      </c>
      <c r="AV129" s="9" t="s">
        <v>504</v>
      </c>
      <c r="AW129" s="9">
        <v>2.0</v>
      </c>
      <c r="AX129" s="9" t="s">
        <v>429</v>
      </c>
      <c r="AY129" s="9">
        <v>2.0</v>
      </c>
      <c r="AZ129" s="9" t="s">
        <v>429</v>
      </c>
      <c r="BA129" s="9">
        <v>2.0</v>
      </c>
      <c r="BB129" s="9">
        <v>2.0</v>
      </c>
      <c r="BE129" s="9" t="s">
        <v>392</v>
      </c>
      <c r="BF129" s="9" t="s">
        <v>393</v>
      </c>
      <c r="BG129" s="9" t="s">
        <v>678</v>
      </c>
      <c r="BI129" s="9" t="s">
        <v>727</v>
      </c>
      <c r="BK129" s="9" t="s">
        <v>395</v>
      </c>
      <c r="BM129" s="9" t="s">
        <v>439</v>
      </c>
      <c r="BN129" s="9" t="s">
        <v>440</v>
      </c>
      <c r="CL129" s="9" t="s">
        <v>953</v>
      </c>
      <c r="CM129" s="9" t="s">
        <v>604</v>
      </c>
      <c r="CP129" s="9" t="s">
        <v>445</v>
      </c>
      <c r="CQ129" s="9" t="s">
        <v>2064</v>
      </c>
      <c r="CR129" s="9" t="s">
        <v>404</v>
      </c>
      <c r="CS129" s="9" t="s">
        <v>1147</v>
      </c>
      <c r="CU129" s="9" t="s">
        <v>3167</v>
      </c>
      <c r="CV129" s="9" t="s">
        <v>451</v>
      </c>
      <c r="CX129" s="9" t="s">
        <v>455</v>
      </c>
      <c r="CZ129" s="9" t="s">
        <v>453</v>
      </c>
      <c r="DB129" s="9" t="s">
        <v>455</v>
      </c>
      <c r="DC129" s="9" t="s">
        <v>3168</v>
      </c>
      <c r="DD129" s="9" t="s">
        <v>988</v>
      </c>
      <c r="DG129" s="9" t="s">
        <v>524</v>
      </c>
      <c r="DH129" s="9" t="s">
        <v>410</v>
      </c>
      <c r="DI129" s="9" t="s">
        <v>459</v>
      </c>
      <c r="DJ129" s="9" t="s">
        <v>1148</v>
      </c>
      <c r="DK129" s="9" t="s">
        <v>461</v>
      </c>
      <c r="DM129" s="9" t="s">
        <v>3169</v>
      </c>
      <c r="DN129" s="9" t="s">
        <v>3170</v>
      </c>
      <c r="DO129" s="9" t="s">
        <v>2956</v>
      </c>
      <c r="DQ129" s="9" t="s">
        <v>700</v>
      </c>
      <c r="DS129" s="9" t="s">
        <v>468</v>
      </c>
      <c r="DT129" s="9" t="s">
        <v>3171</v>
      </c>
      <c r="DW129" s="9" t="s">
        <v>573</v>
      </c>
      <c r="EA129" s="9" t="s">
        <v>2960</v>
      </c>
      <c r="EB129" s="9" t="s">
        <v>626</v>
      </c>
      <c r="ET129" s="9" t="s">
        <v>478</v>
      </c>
      <c r="EU129" s="9" t="s">
        <v>1127</v>
      </c>
      <c r="EV129" s="9" t="s">
        <v>1534</v>
      </c>
      <c r="EZ129" s="9" t="s">
        <v>415</v>
      </c>
      <c r="FA129" s="9" t="s">
        <v>415</v>
      </c>
      <c r="FB129" s="9" t="s">
        <v>413</v>
      </c>
      <c r="FC129" s="9" t="s">
        <v>413</v>
      </c>
      <c r="FD129" s="9" t="s">
        <v>413</v>
      </c>
      <c r="FE129" s="9" t="s">
        <v>415</v>
      </c>
      <c r="FF129" s="9" t="s">
        <v>413</v>
      </c>
      <c r="FG129" s="9" t="s">
        <v>413</v>
      </c>
      <c r="FH129" s="9" t="s">
        <v>415</v>
      </c>
      <c r="FI129" s="9" t="s">
        <v>416</v>
      </c>
      <c r="FJ129" s="9" t="s">
        <v>413</v>
      </c>
      <c r="FK129" s="9" t="s">
        <v>415</v>
      </c>
      <c r="FL129" s="9" t="s">
        <v>415</v>
      </c>
      <c r="FM129" s="9" t="s">
        <v>415</v>
      </c>
      <c r="FN129" s="9" t="s">
        <v>415</v>
      </c>
      <c r="FO129" s="9" t="s">
        <v>850</v>
      </c>
      <c r="FP129" s="9" t="s">
        <v>418</v>
      </c>
      <c r="FQ129" s="9" t="s">
        <v>419</v>
      </c>
      <c r="FS129" s="9" t="s">
        <v>420</v>
      </c>
      <c r="FT129" s="9" t="s">
        <v>1462</v>
      </c>
      <c r="FU129" s="9" t="s">
        <v>533</v>
      </c>
      <c r="FV129" s="9" t="s">
        <v>490</v>
      </c>
      <c r="FW129" s="9" t="s">
        <v>491</v>
      </c>
      <c r="FY129" s="9" t="s">
        <v>535</v>
      </c>
      <c r="GB129" s="9" t="s">
        <v>408</v>
      </c>
      <c r="GG129" s="9" t="s">
        <v>755</v>
      </c>
      <c r="GH129" s="9" t="s">
        <v>755</v>
      </c>
      <c r="GI129" s="9" t="s">
        <v>817</v>
      </c>
      <c r="GM129" s="9" t="s">
        <v>1079</v>
      </c>
    </row>
    <row r="130" ht="24.75" customHeight="1">
      <c r="A130" s="8">
        <v>45829.679237766206</v>
      </c>
      <c r="B130" s="9" t="s">
        <v>368</v>
      </c>
      <c r="C130" s="9" t="s">
        <v>370</v>
      </c>
      <c r="E130" s="9" t="s">
        <v>3172</v>
      </c>
      <c r="G130" s="9" t="s">
        <v>422</v>
      </c>
      <c r="H130" s="9" t="s">
        <v>496</v>
      </c>
      <c r="I130" s="9" t="s">
        <v>374</v>
      </c>
      <c r="J130" s="9" t="s">
        <v>375</v>
      </c>
      <c r="K130" s="9" t="s">
        <v>376</v>
      </c>
      <c r="L130" s="9" t="s">
        <v>591</v>
      </c>
      <c r="M130" s="9" t="s">
        <v>639</v>
      </c>
      <c r="N130" s="9" t="s">
        <v>379</v>
      </c>
      <c r="O130" s="9" t="s">
        <v>2464</v>
      </c>
      <c r="P130" s="9" t="s">
        <v>381</v>
      </c>
      <c r="Q130" s="9" t="s">
        <v>862</v>
      </c>
      <c r="R130" s="9" t="s">
        <v>500</v>
      </c>
      <c r="S130" s="9" t="s">
        <v>384</v>
      </c>
      <c r="T130" s="9" t="s">
        <v>385</v>
      </c>
      <c r="W130" s="9" t="s">
        <v>3014</v>
      </c>
      <c r="AV130" s="9" t="s">
        <v>1310</v>
      </c>
      <c r="AW130" s="9">
        <v>4.0</v>
      </c>
      <c r="AX130" s="9">
        <v>4.0</v>
      </c>
      <c r="AY130" s="9" t="s">
        <v>675</v>
      </c>
      <c r="AZ130" s="9">
        <v>4.0</v>
      </c>
      <c r="BA130" s="9">
        <v>4.0</v>
      </c>
      <c r="BB130" s="9" t="s">
        <v>675</v>
      </c>
      <c r="BC130" s="9" t="s">
        <v>3173</v>
      </c>
      <c r="BD130" s="9" t="s">
        <v>3174</v>
      </c>
      <c r="BE130" s="9" t="s">
        <v>432</v>
      </c>
      <c r="BF130" s="9" t="s">
        <v>1095</v>
      </c>
      <c r="BG130" s="9" t="s">
        <v>434</v>
      </c>
      <c r="BH130" s="9" t="s">
        <v>3175</v>
      </c>
      <c r="BI130" s="9" t="s">
        <v>727</v>
      </c>
      <c r="BK130" s="9" t="s">
        <v>395</v>
      </c>
      <c r="BL130" s="9" t="s">
        <v>603</v>
      </c>
      <c r="BM130" s="9" t="s">
        <v>1247</v>
      </c>
      <c r="BN130" s="9" t="s">
        <v>398</v>
      </c>
      <c r="BO130" s="9" t="s">
        <v>3176</v>
      </c>
      <c r="BP130" s="9" t="s">
        <v>3177</v>
      </c>
      <c r="BQ130" s="9" t="s">
        <v>682</v>
      </c>
      <c r="BR130" s="9" t="s">
        <v>3020</v>
      </c>
      <c r="BS130" s="9" t="s">
        <v>403</v>
      </c>
      <c r="BT130" s="9" t="s">
        <v>404</v>
      </c>
      <c r="BU130" s="9" t="s">
        <v>1772</v>
      </c>
      <c r="BV130" s="9" t="s">
        <v>3178</v>
      </c>
      <c r="BW130" s="9" t="s">
        <v>406</v>
      </c>
      <c r="BX130" s="9" t="s">
        <v>407</v>
      </c>
      <c r="BY130" s="9" t="s">
        <v>408</v>
      </c>
      <c r="CB130" s="9" t="s">
        <v>3179</v>
      </c>
      <c r="CC130" s="9" t="s">
        <v>3180</v>
      </c>
      <c r="CD130" s="9" t="s">
        <v>451</v>
      </c>
      <c r="CE130" s="9" t="s">
        <v>3181</v>
      </c>
      <c r="CF130" s="9" t="s">
        <v>1749</v>
      </c>
      <c r="CG130" s="9" t="s">
        <v>3182</v>
      </c>
      <c r="CH130" s="9" t="s">
        <v>1751</v>
      </c>
      <c r="CI130" s="9" t="s">
        <v>410</v>
      </c>
      <c r="CJ130" s="9" t="s">
        <v>3183</v>
      </c>
      <c r="CK130" s="9" t="s">
        <v>3184</v>
      </c>
      <c r="ET130" s="9" t="s">
        <v>578</v>
      </c>
      <c r="EU130" s="9" t="s">
        <v>887</v>
      </c>
      <c r="EV130" s="9" t="s">
        <v>480</v>
      </c>
      <c r="EY130" s="9" t="s">
        <v>3185</v>
      </c>
      <c r="EZ130" s="9" t="s">
        <v>416</v>
      </c>
      <c r="FA130" s="9" t="s">
        <v>416</v>
      </c>
      <c r="FB130" s="9" t="s">
        <v>413</v>
      </c>
      <c r="FC130" s="9" t="s">
        <v>413</v>
      </c>
      <c r="FD130" s="9" t="s">
        <v>413</v>
      </c>
      <c r="FE130" s="9" t="s">
        <v>415</v>
      </c>
      <c r="FF130" s="9" t="s">
        <v>415</v>
      </c>
      <c r="FG130" s="9" t="s">
        <v>413</v>
      </c>
      <c r="FH130" s="9" t="s">
        <v>583</v>
      </c>
      <c r="FI130" s="9" t="s">
        <v>583</v>
      </c>
      <c r="FJ130" s="9" t="s">
        <v>416</v>
      </c>
      <c r="FK130" s="9" t="s">
        <v>415</v>
      </c>
      <c r="FL130" s="9" t="s">
        <v>415</v>
      </c>
      <c r="FM130" s="9" t="s">
        <v>416</v>
      </c>
      <c r="FN130" s="9" t="s">
        <v>414</v>
      </c>
      <c r="FO130" s="9" t="s">
        <v>1074</v>
      </c>
      <c r="FP130" s="9" t="s">
        <v>418</v>
      </c>
      <c r="FQ130" s="9" t="s">
        <v>749</v>
      </c>
      <c r="FR130" s="9" t="s">
        <v>3186</v>
      </c>
      <c r="FS130" s="9" t="s">
        <v>420</v>
      </c>
      <c r="FT130" s="9" t="s">
        <v>1462</v>
      </c>
      <c r="FU130" s="9" t="s">
        <v>533</v>
      </c>
      <c r="FV130" s="9" t="s">
        <v>490</v>
      </c>
      <c r="FW130" s="9" t="s">
        <v>491</v>
      </c>
      <c r="FY130" s="9" t="s">
        <v>493</v>
      </c>
      <c r="GB130" s="9" t="s">
        <v>455</v>
      </c>
      <c r="GC130" s="9"/>
      <c r="GE130" s="9" t="s">
        <v>753</v>
      </c>
      <c r="GJ130" s="9" t="s">
        <v>755</v>
      </c>
      <c r="GK130" s="9" t="s">
        <v>755</v>
      </c>
      <c r="GL130" s="9" t="s">
        <v>817</v>
      </c>
    </row>
    <row r="131" ht="24.75" customHeight="1">
      <c r="A131" s="8">
        <v>45829.99185576389</v>
      </c>
      <c r="B131" s="9" t="s">
        <v>368</v>
      </c>
      <c r="C131" s="9" t="s">
        <v>370</v>
      </c>
      <c r="E131" s="9" t="s">
        <v>667</v>
      </c>
      <c r="G131" s="9" t="s">
        <v>3187</v>
      </c>
      <c r="H131" s="9" t="s">
        <v>539</v>
      </c>
      <c r="I131" s="9" t="s">
        <v>424</v>
      </c>
      <c r="J131" s="9" t="s">
        <v>375</v>
      </c>
      <c r="K131" s="9" t="s">
        <v>376</v>
      </c>
      <c r="L131" s="9" t="s">
        <v>426</v>
      </c>
      <c r="M131" s="9" t="s">
        <v>2464</v>
      </c>
      <c r="N131" s="9" t="s">
        <v>426</v>
      </c>
      <c r="O131" s="9" t="s">
        <v>719</v>
      </c>
      <c r="P131" s="9" t="s">
        <v>592</v>
      </c>
      <c r="Q131" s="9" t="s">
        <v>862</v>
      </c>
      <c r="R131" s="9" t="s">
        <v>500</v>
      </c>
      <c r="S131" s="9" t="s">
        <v>384</v>
      </c>
      <c r="T131" s="9" t="s">
        <v>385</v>
      </c>
      <c r="W131" s="9" t="s">
        <v>3014</v>
      </c>
      <c r="AV131" s="9" t="s">
        <v>504</v>
      </c>
      <c r="AW131" s="9" t="s">
        <v>429</v>
      </c>
      <c r="AX131" s="9" t="s">
        <v>429</v>
      </c>
      <c r="AY131" s="9" t="s">
        <v>429</v>
      </c>
      <c r="AZ131" s="9" t="s">
        <v>429</v>
      </c>
      <c r="BA131" s="9" t="s">
        <v>429</v>
      </c>
      <c r="BB131" s="9" t="s">
        <v>429</v>
      </c>
      <c r="BC131" s="9" t="s">
        <v>3188</v>
      </c>
      <c r="BD131" s="9" t="s">
        <v>3189</v>
      </c>
      <c r="BE131" s="9" t="s">
        <v>392</v>
      </c>
      <c r="BF131" s="9" t="s">
        <v>433</v>
      </c>
      <c r="BG131" s="9" t="s">
        <v>678</v>
      </c>
      <c r="BH131" s="9" t="s">
        <v>3190</v>
      </c>
      <c r="BI131" s="9" t="s">
        <v>509</v>
      </c>
      <c r="BJ131" s="9" t="s">
        <v>3191</v>
      </c>
      <c r="BK131" s="9" t="s">
        <v>511</v>
      </c>
      <c r="BL131" s="9" t="s">
        <v>512</v>
      </c>
      <c r="BM131" s="9" t="s">
        <v>439</v>
      </c>
      <c r="BN131" s="9" t="s">
        <v>513</v>
      </c>
      <c r="CL131" s="9" t="s">
        <v>441</v>
      </c>
      <c r="CM131" s="9" t="s">
        <v>442</v>
      </c>
      <c r="CN131" s="9" t="s">
        <v>1277</v>
      </c>
      <c r="CO131" s="9" t="s">
        <v>3192</v>
      </c>
      <c r="CP131" s="9" t="s">
        <v>685</v>
      </c>
      <c r="CQ131" s="9" t="s">
        <v>3193</v>
      </c>
      <c r="CR131" s="9" t="s">
        <v>447</v>
      </c>
      <c r="CS131" s="9" t="s">
        <v>3194</v>
      </c>
      <c r="CT131" s="9" t="s">
        <v>3195</v>
      </c>
      <c r="CU131" s="9" t="s">
        <v>450</v>
      </c>
      <c r="CV131" s="9" t="s">
        <v>451</v>
      </c>
      <c r="CW131" s="9" t="s">
        <v>3196</v>
      </c>
      <c r="CX131" s="9" t="s">
        <v>408</v>
      </c>
      <c r="CZ131" s="9" t="s">
        <v>453</v>
      </c>
      <c r="DA131" s="9" t="s">
        <v>3197</v>
      </c>
      <c r="DB131" s="9" t="s">
        <v>455</v>
      </c>
      <c r="DC131" s="9" t="s">
        <v>3198</v>
      </c>
      <c r="DD131" s="9" t="s">
        <v>457</v>
      </c>
      <c r="DE131" s="9" t="s">
        <v>1368</v>
      </c>
      <c r="DF131" s="9" t="s">
        <v>3199</v>
      </c>
      <c r="DG131" s="9" t="s">
        <v>561</v>
      </c>
      <c r="DH131" s="9" t="s">
        <v>410</v>
      </c>
      <c r="DI131" s="9" t="s">
        <v>459</v>
      </c>
      <c r="DJ131" s="9" t="s">
        <v>613</v>
      </c>
      <c r="ET131" s="9" t="s">
        <v>526</v>
      </c>
      <c r="EU131" s="9" t="s">
        <v>887</v>
      </c>
      <c r="EV131" s="9" t="s">
        <v>480</v>
      </c>
      <c r="EW131" s="9" t="s">
        <v>3200</v>
      </c>
      <c r="EX131" s="9" t="s">
        <v>3201</v>
      </c>
      <c r="EY131" s="9" t="s">
        <v>3202</v>
      </c>
      <c r="EZ131" s="9" t="s">
        <v>413</v>
      </c>
      <c r="FA131" s="9" t="s">
        <v>413</v>
      </c>
      <c r="FB131" s="9" t="s">
        <v>413</v>
      </c>
      <c r="FC131" s="9" t="s">
        <v>413</v>
      </c>
      <c r="FD131" s="9" t="s">
        <v>413</v>
      </c>
      <c r="FE131" s="9" t="s">
        <v>413</v>
      </c>
      <c r="FF131" s="9" t="s">
        <v>413</v>
      </c>
      <c r="FG131" s="9" t="s">
        <v>413</v>
      </c>
      <c r="FH131" s="9" t="s">
        <v>413</v>
      </c>
      <c r="FJ131" s="9" t="s">
        <v>413</v>
      </c>
      <c r="FO131" s="9" t="s">
        <v>485</v>
      </c>
      <c r="FP131" s="9" t="s">
        <v>418</v>
      </c>
      <c r="FQ131" s="9" t="s">
        <v>531</v>
      </c>
      <c r="FR131" s="9" t="s">
        <v>3203</v>
      </c>
      <c r="FS131" s="9" t="s">
        <v>420</v>
      </c>
      <c r="FT131" s="9" t="s">
        <v>488</v>
      </c>
      <c r="FU131" s="9" t="s">
        <v>585</v>
      </c>
      <c r="FV131" s="9" t="s">
        <v>490</v>
      </c>
      <c r="FW131" s="9" t="s">
        <v>491</v>
      </c>
      <c r="FX131" s="9" t="s">
        <v>3204</v>
      </c>
      <c r="FY131" s="9" t="s">
        <v>535</v>
      </c>
      <c r="FZ131" s="9" t="s">
        <v>3205</v>
      </c>
      <c r="GA131" s="9" t="s">
        <v>3206</v>
      </c>
      <c r="GB131" s="9" t="s">
        <v>455</v>
      </c>
      <c r="GC131" s="9"/>
      <c r="GE131" s="9" t="s">
        <v>753</v>
      </c>
      <c r="GF131" s="9" t="s">
        <v>3207</v>
      </c>
      <c r="GG131" s="9" t="s">
        <v>755</v>
      </c>
      <c r="GH131" s="9" t="s">
        <v>755</v>
      </c>
      <c r="GI131" s="9" t="s">
        <v>946</v>
      </c>
      <c r="GQ131" s="9" t="s">
        <v>3208</v>
      </c>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c r="HX131" s="10"/>
      <c r="HY131" s="10"/>
      <c r="HZ131" s="10"/>
      <c r="IA131" s="10"/>
      <c r="IB131" s="10"/>
      <c r="IC131" s="10"/>
      <c r="ID131" s="10"/>
      <c r="IE131" s="10"/>
      <c r="IF131" s="10"/>
      <c r="IG131" s="10"/>
      <c r="IH131" s="10"/>
      <c r="II131" s="10"/>
      <c r="IJ131" s="10"/>
      <c r="IK131" s="10"/>
      <c r="IL131" s="10"/>
      <c r="IM131" s="10"/>
      <c r="IN131" s="10"/>
      <c r="IO131" s="10"/>
      <c r="IP131" s="10"/>
      <c r="IQ131" s="10"/>
      <c r="IR131" s="10"/>
      <c r="IS131" s="10"/>
      <c r="IT131" s="10"/>
      <c r="IU131" s="10"/>
      <c r="IV131" s="10"/>
      <c r="IW131" s="10"/>
      <c r="IX131" s="10"/>
      <c r="IY131" s="10"/>
      <c r="IZ131" s="10"/>
      <c r="JA131" s="10"/>
      <c r="JB131" s="10"/>
      <c r="JC131" s="10"/>
      <c r="JD131" s="10"/>
      <c r="JE131" s="10"/>
      <c r="JF131" s="10"/>
      <c r="JG131" s="10"/>
      <c r="JH131" s="10"/>
      <c r="JI131" s="10"/>
      <c r="JJ131" s="10"/>
      <c r="JK131" s="10"/>
      <c r="JL131" s="10"/>
      <c r="JM131" s="10"/>
      <c r="JN131" s="10"/>
      <c r="JO131" s="10"/>
      <c r="JP131" s="10"/>
      <c r="JQ131" s="10"/>
      <c r="JR131" s="10"/>
      <c r="JS131" s="10"/>
      <c r="JT131" s="10"/>
      <c r="JU131" s="10"/>
      <c r="JV131" s="10"/>
      <c r="JW131" s="10"/>
      <c r="JX131" s="10"/>
      <c r="JY131" s="10"/>
      <c r="JZ131" s="10"/>
      <c r="KA131" s="10"/>
      <c r="KB131" s="10"/>
      <c r="KC131" s="10"/>
      <c r="KD131" s="10"/>
      <c r="KE131" s="10"/>
      <c r="KF131" s="10"/>
      <c r="KG131" s="10"/>
      <c r="KH131" s="10"/>
      <c r="KI131" s="10"/>
      <c r="KJ131" s="10"/>
      <c r="KK131" s="10"/>
      <c r="KL131" s="10"/>
      <c r="KM131" s="10"/>
      <c r="KN131" s="10"/>
      <c r="KO131" s="10"/>
      <c r="KP131" s="10"/>
      <c r="KQ131" s="10"/>
      <c r="KR131" s="10"/>
      <c r="KS131" s="10"/>
      <c r="KT131" s="10"/>
      <c r="KU131" s="10"/>
      <c r="KV131" s="10"/>
      <c r="KW131" s="10"/>
      <c r="KX131" s="10"/>
      <c r="KY131" s="10"/>
      <c r="KZ131" s="10"/>
      <c r="LA131" s="10"/>
      <c r="LB131" s="10"/>
      <c r="LC131" s="10"/>
      <c r="LD131" s="10"/>
      <c r="LE131" s="10"/>
      <c r="LF131" s="10"/>
      <c r="LG131" s="10"/>
      <c r="LH131" s="10"/>
      <c r="LI131" s="10"/>
      <c r="LJ131" s="10"/>
      <c r="LK131" s="10"/>
      <c r="LL131" s="10"/>
      <c r="LM131" s="10"/>
      <c r="LN131" s="10"/>
      <c r="LO131" s="10"/>
      <c r="LP131" s="10"/>
      <c r="LQ131" s="10"/>
      <c r="LR131" s="10"/>
      <c r="LS131" s="10"/>
      <c r="LT131" s="10"/>
      <c r="LU131" s="10"/>
      <c r="LV131" s="10"/>
      <c r="LW131" s="10"/>
      <c r="LX131" s="10"/>
      <c r="LY131" s="10"/>
      <c r="LZ131" s="10"/>
      <c r="MA131" s="10"/>
      <c r="MB131" s="10"/>
      <c r="MC131" s="10"/>
      <c r="MD131" s="10"/>
      <c r="ME131" s="10"/>
      <c r="MF131" s="10"/>
      <c r="MG131" s="10"/>
      <c r="MH131" s="10"/>
      <c r="MI131" s="10"/>
      <c r="MJ131" s="10"/>
      <c r="MK131" s="10"/>
      <c r="ML131" s="10"/>
      <c r="MM131" s="10"/>
      <c r="MN131" s="10"/>
      <c r="MO131" s="10"/>
      <c r="MP131" s="10"/>
      <c r="MQ131" s="10"/>
      <c r="MR131" s="10"/>
      <c r="MS131" s="10"/>
      <c r="MT131" s="10"/>
      <c r="MU131" s="10"/>
      <c r="MV131" s="10"/>
      <c r="MW131" s="10"/>
      <c r="MX131" s="10"/>
      <c r="MY131" s="10"/>
      <c r="MZ131" s="10"/>
      <c r="NA131" s="10"/>
      <c r="NB131" s="10"/>
      <c r="NC131" s="10"/>
      <c r="ND131" s="10"/>
    </row>
    <row r="132" ht="24.75" customHeight="1">
      <c r="A132" s="8">
        <v>45829.99663518518</v>
      </c>
      <c r="B132" s="9" t="s">
        <v>368</v>
      </c>
      <c r="C132" s="9" t="s">
        <v>1341</v>
      </c>
      <c r="D132" s="9" t="s">
        <v>1341</v>
      </c>
      <c r="G132" s="9" t="s">
        <v>422</v>
      </c>
      <c r="H132" s="9" t="s">
        <v>1921</v>
      </c>
      <c r="I132" s="9" t="s">
        <v>668</v>
      </c>
      <c r="J132" s="9" t="s">
        <v>375</v>
      </c>
      <c r="K132" s="9" t="s">
        <v>376</v>
      </c>
      <c r="L132" s="9" t="s">
        <v>377</v>
      </c>
      <c r="M132" s="9" t="s">
        <v>497</v>
      </c>
      <c r="N132" s="9" t="s">
        <v>377</v>
      </c>
      <c r="O132" s="9" t="s">
        <v>497</v>
      </c>
      <c r="P132" s="9" t="s">
        <v>498</v>
      </c>
      <c r="Q132" s="9" t="s">
        <v>382</v>
      </c>
      <c r="R132" s="9" t="s">
        <v>427</v>
      </c>
      <c r="S132" s="9" t="s">
        <v>384</v>
      </c>
      <c r="T132" s="9" t="s">
        <v>385</v>
      </c>
      <c r="W132" s="9" t="s">
        <v>593</v>
      </c>
      <c r="X132" s="9" t="s">
        <v>387</v>
      </c>
      <c r="Y132" s="9" t="s">
        <v>388</v>
      </c>
      <c r="Z132" s="9" t="s">
        <v>389</v>
      </c>
      <c r="AV132" s="9" t="s">
        <v>1242</v>
      </c>
      <c r="AW132" s="9">
        <v>4.0</v>
      </c>
      <c r="AX132" s="9" t="s">
        <v>675</v>
      </c>
      <c r="AY132" s="9">
        <v>4.0</v>
      </c>
      <c r="AZ132" s="9">
        <v>4.0</v>
      </c>
      <c r="BA132" s="9" t="s">
        <v>391</v>
      </c>
      <c r="BB132" s="9" t="s">
        <v>675</v>
      </c>
      <c r="BC132" s="9" t="s">
        <v>3209</v>
      </c>
      <c r="BD132" s="9" t="s">
        <v>3210</v>
      </c>
      <c r="BE132" s="9" t="s">
        <v>2379</v>
      </c>
      <c r="BF132" s="9" t="s">
        <v>1047</v>
      </c>
      <c r="BG132" s="9" t="s">
        <v>434</v>
      </c>
      <c r="BH132" s="9" t="s">
        <v>3211</v>
      </c>
      <c r="BI132" s="9" t="s">
        <v>976</v>
      </c>
      <c r="BK132" s="9" t="s">
        <v>395</v>
      </c>
      <c r="BL132" s="9" t="s">
        <v>603</v>
      </c>
      <c r="BM132" s="9" t="s">
        <v>1314</v>
      </c>
      <c r="BN132" s="9" t="s">
        <v>513</v>
      </c>
      <c r="CL132" s="9" t="s">
        <v>682</v>
      </c>
      <c r="CM132" s="9" t="s">
        <v>604</v>
      </c>
      <c r="CN132" s="9" t="s">
        <v>3212</v>
      </c>
      <c r="CO132" s="9" t="s">
        <v>3213</v>
      </c>
      <c r="CP132" s="9" t="s">
        <v>445</v>
      </c>
      <c r="CQ132" s="9" t="s">
        <v>3214</v>
      </c>
      <c r="CR132" s="9" t="s">
        <v>404</v>
      </c>
      <c r="CT132" s="9" t="s">
        <v>3215</v>
      </c>
      <c r="CU132" s="9" t="s">
        <v>982</v>
      </c>
      <c r="CV132" s="9" t="s">
        <v>959</v>
      </c>
      <c r="CW132" s="9" t="s">
        <v>2675</v>
      </c>
      <c r="CX132" s="9" t="s">
        <v>408</v>
      </c>
      <c r="CZ132" s="9" t="s">
        <v>1962</v>
      </c>
      <c r="DB132" s="9" t="s">
        <v>408</v>
      </c>
      <c r="DD132" s="9" t="s">
        <v>406</v>
      </c>
      <c r="DE132" s="9" t="s">
        <v>1058</v>
      </c>
      <c r="DG132" s="9" t="s">
        <v>990</v>
      </c>
      <c r="DH132" s="9" t="s">
        <v>410</v>
      </c>
      <c r="DI132" s="9" t="s">
        <v>459</v>
      </c>
      <c r="DJ132" s="9" t="s">
        <v>613</v>
      </c>
      <c r="ET132" s="9" t="s">
        <v>578</v>
      </c>
      <c r="EU132" s="9" t="s">
        <v>579</v>
      </c>
      <c r="EV132" s="9" t="s">
        <v>480</v>
      </c>
      <c r="EX132" s="9" t="s">
        <v>3216</v>
      </c>
      <c r="EY132" s="9" t="s">
        <v>3217</v>
      </c>
      <c r="EZ132" s="9" t="s">
        <v>583</v>
      </c>
      <c r="FA132" s="9" t="s">
        <v>415</v>
      </c>
      <c r="FB132" s="9" t="s">
        <v>414</v>
      </c>
      <c r="FC132" s="9" t="s">
        <v>583</v>
      </c>
      <c r="FD132" s="9" t="s">
        <v>583</v>
      </c>
      <c r="FE132" s="9" t="s">
        <v>583</v>
      </c>
      <c r="FF132" s="9" t="s">
        <v>583</v>
      </c>
      <c r="FG132" s="9" t="s">
        <v>415</v>
      </c>
      <c r="FH132" s="9" t="s">
        <v>415</v>
      </c>
      <c r="FI132" s="9" t="s">
        <v>413</v>
      </c>
      <c r="FJ132" s="9" t="s">
        <v>415</v>
      </c>
      <c r="FK132" s="9" t="s">
        <v>414</v>
      </c>
      <c r="FL132" s="9" t="s">
        <v>414</v>
      </c>
      <c r="FM132" s="9" t="s">
        <v>414</v>
      </c>
      <c r="FN132" s="9" t="s">
        <v>415</v>
      </c>
      <c r="FO132" s="9" t="s">
        <v>1537</v>
      </c>
      <c r="FP132" s="9" t="s">
        <v>3218</v>
      </c>
      <c r="FQ132" s="9" t="s">
        <v>749</v>
      </c>
      <c r="FS132" s="9" t="s">
        <v>1871</v>
      </c>
      <c r="FT132" s="9" t="s">
        <v>2398</v>
      </c>
      <c r="FU132" s="9" t="s">
        <v>585</v>
      </c>
      <c r="FV132" s="9" t="s">
        <v>2399</v>
      </c>
      <c r="FW132" s="9" t="s">
        <v>1853</v>
      </c>
      <c r="FY132" s="9" t="s">
        <v>1854</v>
      </c>
      <c r="GB132" s="9" t="s">
        <v>455</v>
      </c>
      <c r="GC132" s="9"/>
      <c r="GE132" s="9" t="s">
        <v>855</v>
      </c>
      <c r="GF132" s="9" t="s">
        <v>3219</v>
      </c>
      <c r="GG132" s="9" t="s">
        <v>755</v>
      </c>
      <c r="GH132" s="9" t="s">
        <v>1000</v>
      </c>
      <c r="GI132" s="9" t="s">
        <v>946</v>
      </c>
      <c r="GN132" s="9" t="s">
        <v>3220</v>
      </c>
      <c r="GO132" s="9" t="s">
        <v>3220</v>
      </c>
      <c r="GQ132" s="9" t="s">
        <v>3208</v>
      </c>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c r="HX132" s="10"/>
      <c r="HY132" s="10"/>
      <c r="HZ132" s="10"/>
      <c r="IA132" s="10"/>
      <c r="IB132" s="10"/>
      <c r="IC132" s="10"/>
      <c r="ID132" s="10"/>
      <c r="IE132" s="10"/>
      <c r="IF132" s="10"/>
      <c r="IG132" s="10"/>
      <c r="IH132" s="10"/>
      <c r="II132" s="10"/>
      <c r="IJ132" s="10"/>
      <c r="IK132" s="10"/>
      <c r="IL132" s="10"/>
      <c r="IM132" s="10"/>
      <c r="IN132" s="10"/>
      <c r="IO132" s="10"/>
      <c r="IP132" s="10"/>
      <c r="IQ132" s="10"/>
      <c r="IR132" s="10"/>
      <c r="IS132" s="10"/>
      <c r="IT132" s="10"/>
      <c r="IU132" s="10"/>
      <c r="IV132" s="10"/>
      <c r="IW132" s="10"/>
      <c r="IX132" s="10"/>
      <c r="IY132" s="10"/>
      <c r="IZ132" s="10"/>
      <c r="JA132" s="10"/>
      <c r="JB132" s="10"/>
      <c r="JC132" s="10"/>
      <c r="JD132" s="10"/>
      <c r="JE132" s="10"/>
      <c r="JF132" s="10"/>
      <c r="JG132" s="10"/>
      <c r="JH132" s="10"/>
      <c r="JI132" s="10"/>
      <c r="JJ132" s="10"/>
      <c r="JK132" s="10"/>
      <c r="JL132" s="10"/>
      <c r="JM132" s="10"/>
      <c r="JN132" s="10"/>
      <c r="JO132" s="10"/>
      <c r="JP132" s="10"/>
      <c r="JQ132" s="10"/>
      <c r="JR132" s="10"/>
      <c r="JS132" s="10"/>
      <c r="JT132" s="10"/>
      <c r="JU132" s="10"/>
      <c r="JV132" s="10"/>
      <c r="JW132" s="10"/>
      <c r="JX132" s="10"/>
      <c r="JY132" s="10"/>
      <c r="JZ132" s="10"/>
      <c r="KA132" s="10"/>
      <c r="KB132" s="10"/>
      <c r="KC132" s="10"/>
      <c r="KD132" s="10"/>
      <c r="KE132" s="10"/>
      <c r="KF132" s="10"/>
      <c r="KG132" s="10"/>
      <c r="KH132" s="10"/>
      <c r="KI132" s="10"/>
      <c r="KJ132" s="10"/>
      <c r="KK132" s="10"/>
      <c r="KL132" s="10"/>
      <c r="KM132" s="10"/>
      <c r="KN132" s="10"/>
      <c r="KO132" s="10"/>
      <c r="KP132" s="10"/>
      <c r="KQ132" s="10"/>
      <c r="KR132" s="10"/>
      <c r="KS132" s="10"/>
      <c r="KT132" s="10"/>
      <c r="KU132" s="10"/>
      <c r="KV132" s="10"/>
      <c r="KW132" s="10"/>
      <c r="KX132" s="10"/>
      <c r="KY132" s="10"/>
      <c r="KZ132" s="10"/>
      <c r="LA132" s="10"/>
      <c r="LB132" s="10"/>
      <c r="LC132" s="10"/>
      <c r="LD132" s="10"/>
      <c r="LE132" s="10"/>
      <c r="LF132" s="10"/>
      <c r="LG132" s="10"/>
      <c r="LH132" s="10"/>
      <c r="LI132" s="10"/>
      <c r="LJ132" s="10"/>
      <c r="LK132" s="10"/>
      <c r="LL132" s="10"/>
      <c r="LM132" s="10"/>
      <c r="LN132" s="10"/>
      <c r="LO132" s="10"/>
      <c r="LP132" s="10"/>
      <c r="LQ132" s="10"/>
      <c r="LR132" s="10"/>
      <c r="LS132" s="10"/>
      <c r="LT132" s="10"/>
      <c r="LU132" s="10"/>
      <c r="LV132" s="10"/>
      <c r="LW132" s="10"/>
      <c r="LX132" s="10"/>
      <c r="LY132" s="10"/>
      <c r="LZ132" s="10"/>
      <c r="MA132" s="10"/>
      <c r="MB132" s="10"/>
      <c r="MC132" s="10"/>
      <c r="MD132" s="10"/>
      <c r="ME132" s="10"/>
      <c r="MF132" s="10"/>
      <c r="MG132" s="10"/>
      <c r="MH132" s="10"/>
      <c r="MI132" s="10"/>
      <c r="MJ132" s="10"/>
      <c r="MK132" s="10"/>
      <c r="ML132" s="10"/>
      <c r="MM132" s="10"/>
      <c r="MN132" s="10"/>
      <c r="MO132" s="10"/>
      <c r="MP132" s="10"/>
      <c r="MQ132" s="10"/>
      <c r="MR132" s="10"/>
      <c r="MS132" s="10"/>
      <c r="MT132" s="10"/>
      <c r="MU132" s="10"/>
      <c r="MV132" s="10"/>
      <c r="MW132" s="10"/>
      <c r="MX132" s="10"/>
      <c r="MY132" s="10"/>
      <c r="MZ132" s="10"/>
      <c r="NA132" s="10"/>
      <c r="NB132" s="10"/>
      <c r="NC132" s="10"/>
      <c r="ND132" s="10"/>
    </row>
    <row r="133" ht="24.75" customHeight="1">
      <c r="A133" s="8">
        <v>45830.26074947917</v>
      </c>
      <c r="B133" s="9" t="s">
        <v>368</v>
      </c>
      <c r="C133" s="9" t="s">
        <v>370</v>
      </c>
      <c r="E133" s="9" t="s">
        <v>791</v>
      </c>
      <c r="G133" s="9" t="s">
        <v>422</v>
      </c>
      <c r="H133" s="9" t="s">
        <v>637</v>
      </c>
      <c r="I133" s="9" t="s">
        <v>638</v>
      </c>
      <c r="J133" s="9" t="s">
        <v>590</v>
      </c>
      <c r="K133" s="9" t="s">
        <v>376</v>
      </c>
      <c r="L133" s="9" t="s">
        <v>591</v>
      </c>
      <c r="M133" s="9" t="s">
        <v>2464</v>
      </c>
      <c r="N133" s="9" t="s">
        <v>379</v>
      </c>
      <c r="O133" s="9" t="s">
        <v>2464</v>
      </c>
      <c r="P133" s="9" t="s">
        <v>592</v>
      </c>
      <c r="Q133" s="9" t="s">
        <v>382</v>
      </c>
      <c r="R133" s="9" t="s">
        <v>427</v>
      </c>
      <c r="S133" s="9" t="s">
        <v>384</v>
      </c>
      <c r="T133" s="9" t="s">
        <v>385</v>
      </c>
      <c r="AV133" s="9" t="s">
        <v>1310</v>
      </c>
      <c r="AW133" s="9" t="s">
        <v>391</v>
      </c>
      <c r="AX133" s="9" t="s">
        <v>391</v>
      </c>
      <c r="AY133" s="9" t="s">
        <v>391</v>
      </c>
      <c r="AZ133" s="9" t="s">
        <v>391</v>
      </c>
      <c r="BA133" s="9" t="s">
        <v>391</v>
      </c>
      <c r="BB133" s="9" t="s">
        <v>391</v>
      </c>
      <c r="BC133" s="9" t="s">
        <v>3221</v>
      </c>
      <c r="BD133" s="9" t="s">
        <v>3222</v>
      </c>
      <c r="BE133" s="9" t="s">
        <v>432</v>
      </c>
      <c r="BF133" s="9" t="s">
        <v>1095</v>
      </c>
      <c r="BG133" s="9" t="s">
        <v>434</v>
      </c>
      <c r="BI133" s="9" t="s">
        <v>824</v>
      </c>
      <c r="BK133" s="9" t="s">
        <v>511</v>
      </c>
      <c r="BL133" s="9" t="s">
        <v>396</v>
      </c>
      <c r="BM133" s="9" t="s">
        <v>1314</v>
      </c>
      <c r="BN133" s="9" t="s">
        <v>513</v>
      </c>
      <c r="CL133" s="9" t="s">
        <v>441</v>
      </c>
      <c r="CM133" s="9" t="s">
        <v>401</v>
      </c>
      <c r="CN133" s="9" t="s">
        <v>3223</v>
      </c>
      <c r="CO133" s="9" t="s">
        <v>3224</v>
      </c>
      <c r="CP133" s="9" t="s">
        <v>403</v>
      </c>
      <c r="CQ133" s="9" t="s">
        <v>3225</v>
      </c>
      <c r="CR133" s="9" t="s">
        <v>447</v>
      </c>
      <c r="CS133" s="9" t="s">
        <v>1626</v>
      </c>
      <c r="CT133" s="9" t="s">
        <v>3226</v>
      </c>
      <c r="CU133" s="9" t="s">
        <v>982</v>
      </c>
      <c r="CV133" s="9" t="s">
        <v>409</v>
      </c>
      <c r="CW133" s="9" t="s">
        <v>3227</v>
      </c>
      <c r="CX133" s="9" t="s">
        <v>408</v>
      </c>
      <c r="CZ133" s="9" t="s">
        <v>1962</v>
      </c>
      <c r="DB133" s="9" t="s">
        <v>455</v>
      </c>
      <c r="DC133" s="9" t="s">
        <v>3228</v>
      </c>
      <c r="DD133" s="9" t="s">
        <v>406</v>
      </c>
      <c r="DE133" s="9" t="s">
        <v>407</v>
      </c>
      <c r="DG133" s="9" t="s">
        <v>776</v>
      </c>
      <c r="DH133" s="9" t="s">
        <v>1220</v>
      </c>
      <c r="DI133" s="9" t="s">
        <v>459</v>
      </c>
      <c r="DJ133" s="9" t="s">
        <v>613</v>
      </c>
      <c r="ET133" s="9" t="s">
        <v>578</v>
      </c>
      <c r="EU133" s="9" t="s">
        <v>479</v>
      </c>
      <c r="EV133" s="9" t="s">
        <v>1262</v>
      </c>
      <c r="EZ133" s="9" t="s">
        <v>414</v>
      </c>
      <c r="FA133" s="9" t="s">
        <v>414</v>
      </c>
      <c r="FB133" s="9" t="s">
        <v>413</v>
      </c>
      <c r="FC133" s="9" t="s">
        <v>414</v>
      </c>
      <c r="FD133" s="9" t="s">
        <v>413</v>
      </c>
      <c r="FE133" s="9" t="s">
        <v>484</v>
      </c>
      <c r="FF133" s="9" t="s">
        <v>415</v>
      </c>
      <c r="FG133" s="9" t="s">
        <v>415</v>
      </c>
      <c r="FH133" s="9" t="s">
        <v>415</v>
      </c>
      <c r="FI133" s="9" t="s">
        <v>415</v>
      </c>
      <c r="FJ133" s="9" t="s">
        <v>415</v>
      </c>
      <c r="FK133" s="9" t="s">
        <v>415</v>
      </c>
      <c r="FL133" s="9" t="s">
        <v>415</v>
      </c>
      <c r="FM133" s="9" t="s">
        <v>415</v>
      </c>
      <c r="FN133" s="9" t="s">
        <v>415</v>
      </c>
      <c r="FO133" s="9" t="s">
        <v>1074</v>
      </c>
      <c r="FP133" s="9" t="s">
        <v>418</v>
      </c>
      <c r="FR133" s="9" t="s">
        <v>3229</v>
      </c>
      <c r="FS133" s="9" t="s">
        <v>1076</v>
      </c>
      <c r="FT133" s="9" t="s">
        <v>1462</v>
      </c>
      <c r="FU133" s="9" t="s">
        <v>533</v>
      </c>
      <c r="FV133" s="9" t="s">
        <v>2387</v>
      </c>
      <c r="FW133" s="9" t="s">
        <v>491</v>
      </c>
      <c r="FX133" s="9" t="s">
        <v>3230</v>
      </c>
      <c r="FY133" s="9" t="s">
        <v>493</v>
      </c>
      <c r="GB133" s="9" t="s">
        <v>455</v>
      </c>
      <c r="GC133" s="9"/>
      <c r="GE133" s="9" t="s">
        <v>753</v>
      </c>
      <c r="GG133" s="9" t="s">
        <v>789</v>
      </c>
      <c r="GH133" s="9" t="s">
        <v>789</v>
      </c>
      <c r="GI133" s="9" t="s">
        <v>921</v>
      </c>
      <c r="GQ133" s="9" t="s">
        <v>3208</v>
      </c>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c r="HX133" s="10"/>
      <c r="HY133" s="10"/>
      <c r="HZ133" s="10"/>
      <c r="IA133" s="10"/>
      <c r="IB133" s="10"/>
      <c r="IC133" s="10"/>
      <c r="ID133" s="10"/>
      <c r="IE133" s="10"/>
      <c r="IF133" s="10"/>
      <c r="IG133" s="10"/>
      <c r="IH133" s="10"/>
      <c r="II133" s="10"/>
      <c r="IJ133" s="10"/>
      <c r="IK133" s="10"/>
      <c r="IL133" s="10"/>
      <c r="IM133" s="10"/>
      <c r="IN133" s="10"/>
      <c r="IO133" s="10"/>
      <c r="IP133" s="10"/>
      <c r="IQ133" s="10"/>
      <c r="IR133" s="10"/>
      <c r="IS133" s="10"/>
      <c r="IT133" s="10"/>
      <c r="IU133" s="10"/>
      <c r="IV133" s="10"/>
      <c r="IW133" s="10"/>
      <c r="IX133" s="10"/>
      <c r="IY133" s="10"/>
      <c r="IZ133" s="10"/>
      <c r="JA133" s="10"/>
      <c r="JB133" s="10"/>
      <c r="JC133" s="10"/>
      <c r="JD133" s="10"/>
      <c r="JE133" s="10"/>
      <c r="JF133" s="10"/>
      <c r="JG133" s="10"/>
      <c r="JH133" s="10"/>
      <c r="JI133" s="10"/>
      <c r="JJ133" s="10"/>
      <c r="JK133" s="10"/>
      <c r="JL133" s="10"/>
      <c r="JM133" s="10"/>
      <c r="JN133" s="10"/>
      <c r="JO133" s="10"/>
      <c r="JP133" s="10"/>
      <c r="JQ133" s="10"/>
      <c r="JR133" s="10"/>
      <c r="JS133" s="10"/>
      <c r="JT133" s="10"/>
      <c r="JU133" s="10"/>
      <c r="JV133" s="10"/>
      <c r="JW133" s="10"/>
      <c r="JX133" s="10"/>
      <c r="JY133" s="10"/>
      <c r="JZ133" s="10"/>
      <c r="KA133" s="10"/>
      <c r="KB133" s="10"/>
      <c r="KC133" s="10"/>
      <c r="KD133" s="10"/>
      <c r="KE133" s="10"/>
      <c r="KF133" s="10"/>
      <c r="KG133" s="10"/>
      <c r="KH133" s="10"/>
      <c r="KI133" s="10"/>
      <c r="KJ133" s="10"/>
      <c r="KK133" s="10"/>
      <c r="KL133" s="10"/>
      <c r="KM133" s="10"/>
      <c r="KN133" s="10"/>
      <c r="KO133" s="10"/>
      <c r="KP133" s="10"/>
      <c r="KQ133" s="10"/>
      <c r="KR133" s="10"/>
      <c r="KS133" s="10"/>
      <c r="KT133" s="10"/>
      <c r="KU133" s="10"/>
      <c r="KV133" s="10"/>
      <c r="KW133" s="10"/>
      <c r="KX133" s="10"/>
      <c r="KY133" s="10"/>
      <c r="KZ133" s="10"/>
      <c r="LA133" s="10"/>
      <c r="LB133" s="10"/>
      <c r="LC133" s="10"/>
      <c r="LD133" s="10"/>
      <c r="LE133" s="10"/>
      <c r="LF133" s="10"/>
      <c r="LG133" s="10"/>
      <c r="LH133" s="10"/>
      <c r="LI133" s="10"/>
      <c r="LJ133" s="10"/>
      <c r="LK133" s="10"/>
      <c r="LL133" s="10"/>
      <c r="LM133" s="10"/>
      <c r="LN133" s="10"/>
      <c r="LO133" s="10"/>
      <c r="LP133" s="10"/>
      <c r="LQ133" s="10"/>
      <c r="LR133" s="10"/>
      <c r="LS133" s="10"/>
      <c r="LT133" s="10"/>
      <c r="LU133" s="10"/>
      <c r="LV133" s="10"/>
      <c r="LW133" s="10"/>
      <c r="LX133" s="10"/>
      <c r="LY133" s="10"/>
      <c r="LZ133" s="10"/>
      <c r="MA133" s="10"/>
      <c r="MB133" s="10"/>
      <c r="MC133" s="10"/>
      <c r="MD133" s="10"/>
      <c r="ME133" s="10"/>
      <c r="MF133" s="10"/>
      <c r="MG133" s="10"/>
      <c r="MH133" s="10"/>
      <c r="MI133" s="10"/>
      <c r="MJ133" s="10"/>
      <c r="MK133" s="10"/>
      <c r="ML133" s="10"/>
      <c r="MM133" s="10"/>
      <c r="MN133" s="10"/>
      <c r="MO133" s="10"/>
      <c r="MP133" s="10"/>
      <c r="MQ133" s="10"/>
      <c r="MR133" s="10"/>
      <c r="MS133" s="10"/>
      <c r="MT133" s="10"/>
      <c r="MU133" s="10"/>
      <c r="MV133" s="10"/>
      <c r="MW133" s="10"/>
      <c r="MX133" s="10"/>
      <c r="MY133" s="10"/>
      <c r="MZ133" s="10"/>
      <c r="NA133" s="10"/>
      <c r="NB133" s="10"/>
      <c r="NC133" s="10"/>
      <c r="ND133" s="10"/>
    </row>
    <row r="134" ht="24.75" customHeight="1">
      <c r="A134" s="8">
        <v>45830.275929791664</v>
      </c>
      <c r="B134" s="9" t="s">
        <v>368</v>
      </c>
      <c r="C134" s="9" t="s">
        <v>370</v>
      </c>
      <c r="E134" s="9" t="s">
        <v>1464</v>
      </c>
      <c r="G134" s="9" t="s">
        <v>422</v>
      </c>
      <c r="H134" s="9" t="s">
        <v>423</v>
      </c>
      <c r="I134" s="9" t="s">
        <v>424</v>
      </c>
      <c r="J134" s="9" t="s">
        <v>375</v>
      </c>
      <c r="K134" s="9" t="s">
        <v>376</v>
      </c>
      <c r="L134" s="9" t="s">
        <v>379</v>
      </c>
      <c r="M134" s="9" t="s">
        <v>378</v>
      </c>
      <c r="N134" s="9" t="s">
        <v>379</v>
      </c>
      <c r="O134" s="9" t="s">
        <v>719</v>
      </c>
      <c r="P134" s="9" t="s">
        <v>498</v>
      </c>
      <c r="Q134" s="9" t="s">
        <v>1156</v>
      </c>
      <c r="R134" s="9" t="s">
        <v>427</v>
      </c>
      <c r="S134" s="9" t="s">
        <v>384</v>
      </c>
      <c r="T134" s="9" t="s">
        <v>385</v>
      </c>
      <c r="W134" s="9" t="s">
        <v>3231</v>
      </c>
      <c r="AV134" s="9" t="s">
        <v>1242</v>
      </c>
      <c r="AW134" s="9" t="s">
        <v>391</v>
      </c>
      <c r="AX134" s="9" t="s">
        <v>391</v>
      </c>
      <c r="AY134" s="9" t="s">
        <v>429</v>
      </c>
      <c r="AZ134" s="9" t="s">
        <v>675</v>
      </c>
      <c r="BA134" s="9" t="s">
        <v>675</v>
      </c>
      <c r="BB134" s="9" t="s">
        <v>675</v>
      </c>
      <c r="BC134" s="9" t="s">
        <v>3232</v>
      </c>
      <c r="BD134" s="9" t="s">
        <v>3233</v>
      </c>
      <c r="BE134" s="9" t="s">
        <v>392</v>
      </c>
      <c r="BF134" s="9" t="s">
        <v>433</v>
      </c>
      <c r="BG134" s="9" t="s">
        <v>725</v>
      </c>
      <c r="BH134" s="9" t="s">
        <v>3234</v>
      </c>
      <c r="BI134" s="9" t="s">
        <v>435</v>
      </c>
      <c r="BJ134" s="9" t="s">
        <v>3235</v>
      </c>
      <c r="BK134" s="9" t="s">
        <v>602</v>
      </c>
      <c r="BL134" s="9" t="s">
        <v>512</v>
      </c>
      <c r="BM134" s="9" t="s">
        <v>1247</v>
      </c>
      <c r="BN134" s="9" t="s">
        <v>398</v>
      </c>
      <c r="BO134" s="9" t="s">
        <v>3236</v>
      </c>
      <c r="BP134" s="9" t="s">
        <v>3237</v>
      </c>
      <c r="BQ134" s="9" t="s">
        <v>442</v>
      </c>
      <c r="BR134" s="9" t="s">
        <v>3238</v>
      </c>
      <c r="BS134" s="9" t="s">
        <v>1251</v>
      </c>
      <c r="BT134" s="9" t="s">
        <v>1994</v>
      </c>
      <c r="BU134" s="9" t="s">
        <v>405</v>
      </c>
      <c r="BW134" s="9" t="s">
        <v>406</v>
      </c>
      <c r="BX134" s="9" t="s">
        <v>407</v>
      </c>
      <c r="BY134" s="9" t="s">
        <v>455</v>
      </c>
      <c r="BZ134" s="9" t="s">
        <v>3239</v>
      </c>
      <c r="CA134" s="9" t="s">
        <v>3240</v>
      </c>
      <c r="CB134" s="9" t="s">
        <v>3241</v>
      </c>
      <c r="CC134" s="9" t="s">
        <v>3242</v>
      </c>
      <c r="CD134" s="9" t="s">
        <v>409</v>
      </c>
      <c r="CE134" s="9" t="s">
        <v>3243</v>
      </c>
      <c r="CF134" s="9" t="s">
        <v>2233</v>
      </c>
      <c r="CG134" s="9" t="s">
        <v>3244</v>
      </c>
      <c r="CH134" s="9" t="s">
        <v>1259</v>
      </c>
      <c r="CI134" s="9" t="s">
        <v>410</v>
      </c>
      <c r="CJ134" s="9" t="s">
        <v>3245</v>
      </c>
      <c r="CK134" s="9" t="s">
        <v>3246</v>
      </c>
      <c r="ET134" s="9" t="s">
        <v>526</v>
      </c>
      <c r="EU134" s="9" t="s">
        <v>479</v>
      </c>
      <c r="EV134" s="9" t="s">
        <v>480</v>
      </c>
      <c r="EW134" s="9" t="s">
        <v>3247</v>
      </c>
      <c r="EX134" s="9" t="s">
        <v>3248</v>
      </c>
      <c r="EY134" s="9" t="s">
        <v>3249</v>
      </c>
      <c r="EZ134" s="9" t="s">
        <v>583</v>
      </c>
      <c r="FA134" s="9" t="s">
        <v>583</v>
      </c>
      <c r="FB134" s="9" t="s">
        <v>414</v>
      </c>
      <c r="FC134" s="9" t="s">
        <v>583</v>
      </c>
      <c r="FD134" s="9" t="s">
        <v>416</v>
      </c>
      <c r="FE134" s="9" t="s">
        <v>583</v>
      </c>
      <c r="FF134" s="9" t="s">
        <v>414</v>
      </c>
      <c r="FG134" s="9" t="s">
        <v>583</v>
      </c>
      <c r="FH134" s="9" t="s">
        <v>415</v>
      </c>
      <c r="FI134" s="9" t="s">
        <v>583</v>
      </c>
      <c r="FJ134" s="9" t="s">
        <v>583</v>
      </c>
      <c r="FK134" s="9" t="s">
        <v>414</v>
      </c>
      <c r="FL134" s="9" t="s">
        <v>414</v>
      </c>
      <c r="FM134" s="9" t="s">
        <v>413</v>
      </c>
      <c r="FN134" s="9" t="s">
        <v>583</v>
      </c>
      <c r="FO134" s="9" t="s">
        <v>417</v>
      </c>
      <c r="FP134" s="9" t="s">
        <v>418</v>
      </c>
      <c r="FQ134" s="9" t="s">
        <v>419</v>
      </c>
      <c r="FR134" s="9" t="s">
        <v>3250</v>
      </c>
      <c r="FS134" s="9" t="s">
        <v>420</v>
      </c>
      <c r="FT134" s="9" t="s">
        <v>488</v>
      </c>
      <c r="FU134" s="9" t="s">
        <v>533</v>
      </c>
      <c r="FV134" s="9" t="s">
        <v>490</v>
      </c>
      <c r="FW134" s="9" t="s">
        <v>491</v>
      </c>
      <c r="FX134" s="9" t="s">
        <v>3251</v>
      </c>
      <c r="FY134" s="9" t="s">
        <v>535</v>
      </c>
      <c r="FZ134" s="9" t="s">
        <v>3252</v>
      </c>
      <c r="GA134" s="9" t="s">
        <v>3253</v>
      </c>
      <c r="GB134" s="9" t="s">
        <v>455</v>
      </c>
      <c r="GC134" s="9"/>
      <c r="GE134" s="9" t="s">
        <v>753</v>
      </c>
      <c r="GF134" s="9" t="s">
        <v>3254</v>
      </c>
      <c r="GJ134" s="9" t="s">
        <v>755</v>
      </c>
      <c r="GK134" s="9" t="s">
        <v>1000</v>
      </c>
      <c r="GL134" s="9" t="s">
        <v>946</v>
      </c>
      <c r="GP134" s="9" t="s">
        <v>387</v>
      </c>
      <c r="GQ134" s="9" t="s">
        <v>3255</v>
      </c>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c r="HX134" s="10"/>
      <c r="HY134" s="10"/>
      <c r="HZ134" s="10"/>
      <c r="IA134" s="10"/>
      <c r="IB134" s="10"/>
      <c r="IC134" s="10"/>
      <c r="ID134" s="10"/>
      <c r="IE134" s="10"/>
      <c r="IF134" s="10"/>
      <c r="IG134" s="10"/>
      <c r="IH134" s="10"/>
      <c r="II134" s="10"/>
      <c r="IJ134" s="10"/>
      <c r="IK134" s="10"/>
      <c r="IL134" s="10"/>
      <c r="IM134" s="10"/>
      <c r="IN134" s="10"/>
      <c r="IO134" s="10"/>
      <c r="IP134" s="10"/>
      <c r="IQ134" s="10"/>
      <c r="IR134" s="10"/>
      <c r="IS134" s="10"/>
      <c r="IT134" s="10"/>
      <c r="IU134" s="10"/>
      <c r="IV134" s="10"/>
      <c r="IW134" s="10"/>
      <c r="IX134" s="10"/>
      <c r="IY134" s="10"/>
      <c r="IZ134" s="10"/>
      <c r="JA134" s="10"/>
      <c r="JB134" s="10"/>
      <c r="JC134" s="10"/>
      <c r="JD134" s="10"/>
      <c r="JE134" s="10"/>
      <c r="JF134" s="10"/>
      <c r="JG134" s="10"/>
      <c r="JH134" s="10"/>
      <c r="JI134" s="10"/>
      <c r="JJ134" s="10"/>
      <c r="JK134" s="10"/>
      <c r="JL134" s="10"/>
      <c r="JM134" s="10"/>
      <c r="JN134" s="10"/>
      <c r="JO134" s="10"/>
      <c r="JP134" s="10"/>
      <c r="JQ134" s="10"/>
      <c r="JR134" s="10"/>
      <c r="JS134" s="10"/>
      <c r="JT134" s="10"/>
      <c r="JU134" s="10"/>
      <c r="JV134" s="10"/>
      <c r="JW134" s="10"/>
      <c r="JX134" s="10"/>
      <c r="JY134" s="10"/>
      <c r="JZ134" s="10"/>
      <c r="KA134" s="10"/>
      <c r="KB134" s="10"/>
      <c r="KC134" s="10"/>
      <c r="KD134" s="10"/>
      <c r="KE134" s="10"/>
      <c r="KF134" s="10"/>
      <c r="KG134" s="10"/>
      <c r="KH134" s="10"/>
      <c r="KI134" s="10"/>
      <c r="KJ134" s="10"/>
      <c r="KK134" s="10"/>
      <c r="KL134" s="10"/>
      <c r="KM134" s="10"/>
      <c r="KN134" s="10"/>
      <c r="KO134" s="10"/>
      <c r="KP134" s="10"/>
      <c r="KQ134" s="10"/>
      <c r="KR134" s="10"/>
      <c r="KS134" s="10"/>
      <c r="KT134" s="10"/>
      <c r="KU134" s="10"/>
      <c r="KV134" s="10"/>
      <c r="KW134" s="10"/>
      <c r="KX134" s="10"/>
      <c r="KY134" s="10"/>
      <c r="KZ134" s="10"/>
      <c r="LA134" s="10"/>
      <c r="LB134" s="10"/>
      <c r="LC134" s="10"/>
      <c r="LD134" s="10"/>
      <c r="LE134" s="10"/>
      <c r="LF134" s="10"/>
      <c r="LG134" s="10"/>
      <c r="LH134" s="10"/>
      <c r="LI134" s="10"/>
      <c r="LJ134" s="10"/>
      <c r="LK134" s="10"/>
      <c r="LL134" s="10"/>
      <c r="LM134" s="10"/>
      <c r="LN134" s="10"/>
      <c r="LO134" s="10"/>
      <c r="LP134" s="10"/>
      <c r="LQ134" s="10"/>
      <c r="LR134" s="10"/>
      <c r="LS134" s="10"/>
      <c r="LT134" s="10"/>
      <c r="LU134" s="10"/>
      <c r="LV134" s="10"/>
      <c r="LW134" s="10"/>
      <c r="LX134" s="10"/>
      <c r="LY134" s="10"/>
      <c r="LZ134" s="10"/>
      <c r="MA134" s="10"/>
      <c r="MB134" s="10"/>
      <c r="MC134" s="10"/>
      <c r="MD134" s="10"/>
      <c r="ME134" s="10"/>
      <c r="MF134" s="10"/>
      <c r="MG134" s="10"/>
      <c r="MH134" s="10"/>
      <c r="MI134" s="10"/>
      <c r="MJ134" s="10"/>
      <c r="MK134" s="10"/>
      <c r="ML134" s="10"/>
      <c r="MM134" s="10"/>
      <c r="MN134" s="10"/>
      <c r="MO134" s="10"/>
      <c r="MP134" s="10"/>
      <c r="MQ134" s="10"/>
      <c r="MR134" s="10"/>
      <c r="MS134" s="10"/>
      <c r="MT134" s="10"/>
      <c r="MU134" s="10"/>
      <c r="MV134" s="10"/>
      <c r="MW134" s="10"/>
      <c r="MX134" s="10"/>
      <c r="MY134" s="10"/>
      <c r="MZ134" s="10"/>
      <c r="NA134" s="10"/>
      <c r="NB134" s="10"/>
      <c r="NC134" s="10"/>
      <c r="ND134" s="10"/>
    </row>
    <row r="135" ht="24.75" customHeight="1">
      <c r="A135" s="8">
        <v>45830.342906412036</v>
      </c>
      <c r="B135" s="9" t="s">
        <v>368</v>
      </c>
      <c r="C135" s="9" t="s">
        <v>370</v>
      </c>
      <c r="E135" s="9" t="s">
        <v>495</v>
      </c>
      <c r="G135" s="9" t="s">
        <v>422</v>
      </c>
      <c r="H135" s="9" t="s">
        <v>496</v>
      </c>
      <c r="I135" s="9" t="s">
        <v>374</v>
      </c>
      <c r="J135" s="9" t="s">
        <v>540</v>
      </c>
      <c r="K135" s="9" t="s">
        <v>376</v>
      </c>
      <c r="L135" s="9" t="s">
        <v>379</v>
      </c>
      <c r="M135" s="9" t="s">
        <v>719</v>
      </c>
      <c r="N135" s="9" t="s">
        <v>426</v>
      </c>
      <c r="O135" s="9" t="s">
        <v>671</v>
      </c>
      <c r="P135" s="9" t="s">
        <v>592</v>
      </c>
      <c r="Q135" s="9" t="s">
        <v>499</v>
      </c>
      <c r="R135" s="9" t="s">
        <v>427</v>
      </c>
      <c r="S135" s="9" t="s">
        <v>384</v>
      </c>
      <c r="T135" s="9" t="s">
        <v>385</v>
      </c>
      <c r="W135" s="9" t="s">
        <v>386</v>
      </c>
      <c r="X135" s="9" t="s">
        <v>387</v>
      </c>
      <c r="Y135" s="9" t="s">
        <v>388</v>
      </c>
      <c r="Z135" s="9" t="s">
        <v>543</v>
      </c>
      <c r="AA135" s="9" t="s">
        <v>3256</v>
      </c>
      <c r="AV135" s="9" t="s">
        <v>1242</v>
      </c>
      <c r="AW135" s="9" t="s">
        <v>675</v>
      </c>
      <c r="AX135" s="9" t="s">
        <v>675</v>
      </c>
      <c r="AY135" s="9" t="s">
        <v>675</v>
      </c>
      <c r="AZ135" s="9" t="s">
        <v>675</v>
      </c>
      <c r="BA135" s="9" t="s">
        <v>675</v>
      </c>
      <c r="BB135" s="9" t="s">
        <v>675</v>
      </c>
      <c r="BC135" s="9" t="s">
        <v>3257</v>
      </c>
      <c r="BD135" s="9" t="s">
        <v>3258</v>
      </c>
      <c r="BE135" s="9" t="s">
        <v>902</v>
      </c>
      <c r="BF135" s="9" t="s">
        <v>1245</v>
      </c>
      <c r="BG135" s="9" t="s">
        <v>394</v>
      </c>
      <c r="BH135" s="9" t="s">
        <v>3259</v>
      </c>
      <c r="BI135" s="9" t="s">
        <v>976</v>
      </c>
      <c r="BK135" s="9" t="s">
        <v>681</v>
      </c>
      <c r="BL135" s="9" t="s">
        <v>904</v>
      </c>
      <c r="BM135" s="9" t="s">
        <v>1314</v>
      </c>
      <c r="BN135" s="9" t="s">
        <v>398</v>
      </c>
      <c r="BO135" s="9" t="s">
        <v>3260</v>
      </c>
      <c r="BP135" s="9" t="s">
        <v>3261</v>
      </c>
      <c r="BQ135" s="9" t="s">
        <v>401</v>
      </c>
      <c r="BR135" s="9" t="s">
        <v>1761</v>
      </c>
      <c r="BS135" s="9" t="s">
        <v>1692</v>
      </c>
      <c r="BT135" s="9" t="s">
        <v>1742</v>
      </c>
      <c r="BU135" s="9" t="s">
        <v>405</v>
      </c>
      <c r="BV135" s="9" t="s">
        <v>3262</v>
      </c>
      <c r="BW135" s="9" t="s">
        <v>988</v>
      </c>
      <c r="BY135" s="9" t="s">
        <v>408</v>
      </c>
      <c r="CA135" s="9" t="s">
        <v>3263</v>
      </c>
      <c r="CB135" s="9" t="s">
        <v>3264</v>
      </c>
      <c r="CC135" s="9" t="s">
        <v>3265</v>
      </c>
      <c r="CD135" s="9" t="s">
        <v>409</v>
      </c>
      <c r="CE135" s="9" t="s">
        <v>3266</v>
      </c>
      <c r="CF135" s="9" t="s">
        <v>1258</v>
      </c>
      <c r="CH135" s="9" t="s">
        <v>1698</v>
      </c>
      <c r="CI135" s="9" t="s">
        <v>410</v>
      </c>
      <c r="CJ135" s="9" t="s">
        <v>3267</v>
      </c>
      <c r="CK135" s="9" t="s">
        <v>3268</v>
      </c>
      <c r="ET135" s="9" t="s">
        <v>578</v>
      </c>
      <c r="EU135" s="9" t="s">
        <v>887</v>
      </c>
      <c r="EV135" s="9" t="s">
        <v>480</v>
      </c>
      <c r="EX135" s="9" t="s">
        <v>3269</v>
      </c>
      <c r="EY135" s="9" t="s">
        <v>3270</v>
      </c>
      <c r="EZ135" s="9" t="s">
        <v>414</v>
      </c>
      <c r="FA135" s="9" t="s">
        <v>583</v>
      </c>
      <c r="FB135" s="9" t="s">
        <v>413</v>
      </c>
      <c r="FC135" s="9" t="s">
        <v>583</v>
      </c>
      <c r="FD135" s="9" t="s">
        <v>413</v>
      </c>
      <c r="FE135" s="9" t="s">
        <v>414</v>
      </c>
      <c r="FF135" s="9" t="s">
        <v>414</v>
      </c>
      <c r="FG135" s="9" t="s">
        <v>416</v>
      </c>
      <c r="FH135" s="9" t="s">
        <v>414</v>
      </c>
      <c r="FI135" s="9" t="s">
        <v>414</v>
      </c>
      <c r="FJ135" s="9" t="s">
        <v>414</v>
      </c>
      <c r="FK135" s="9" t="s">
        <v>414</v>
      </c>
      <c r="FL135" s="9" t="s">
        <v>414</v>
      </c>
      <c r="FM135" s="9" t="s">
        <v>416</v>
      </c>
      <c r="FN135" s="9" t="s">
        <v>583</v>
      </c>
      <c r="FO135" s="9" t="s">
        <v>850</v>
      </c>
      <c r="FP135" s="9" t="s">
        <v>418</v>
      </c>
      <c r="FQ135" s="9" t="s">
        <v>419</v>
      </c>
      <c r="FR135" s="9" t="s">
        <v>3271</v>
      </c>
      <c r="FS135" s="9" t="s">
        <v>420</v>
      </c>
      <c r="FT135" s="9" t="s">
        <v>488</v>
      </c>
      <c r="FU135" s="9" t="s">
        <v>489</v>
      </c>
      <c r="FV135" s="9" t="s">
        <v>490</v>
      </c>
      <c r="FW135" s="9" t="s">
        <v>491</v>
      </c>
      <c r="FX135" s="9" t="s">
        <v>3272</v>
      </c>
      <c r="FY135" s="9" t="s">
        <v>535</v>
      </c>
      <c r="GB135" s="9" t="s">
        <v>408</v>
      </c>
      <c r="GJ135" s="9" t="s">
        <v>755</v>
      </c>
      <c r="GK135" s="9" t="s">
        <v>755</v>
      </c>
      <c r="GL135" s="9" t="s">
        <v>817</v>
      </c>
      <c r="GQ135" s="9" t="s">
        <v>3273</v>
      </c>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c r="HX135" s="10"/>
      <c r="HY135" s="10"/>
      <c r="HZ135" s="10"/>
      <c r="IA135" s="10"/>
      <c r="IB135" s="10"/>
      <c r="IC135" s="10"/>
      <c r="ID135" s="10"/>
      <c r="IE135" s="10"/>
      <c r="IF135" s="10"/>
      <c r="IG135" s="10"/>
      <c r="IH135" s="10"/>
      <c r="II135" s="10"/>
      <c r="IJ135" s="10"/>
      <c r="IK135" s="10"/>
      <c r="IL135" s="10"/>
      <c r="IM135" s="10"/>
      <c r="IN135" s="10"/>
      <c r="IO135" s="10"/>
      <c r="IP135" s="10"/>
      <c r="IQ135" s="10"/>
      <c r="IR135" s="10"/>
      <c r="IS135" s="10"/>
      <c r="IT135" s="10"/>
      <c r="IU135" s="10"/>
      <c r="IV135" s="10"/>
      <c r="IW135" s="10"/>
      <c r="IX135" s="10"/>
      <c r="IY135" s="10"/>
      <c r="IZ135" s="10"/>
      <c r="JA135" s="10"/>
      <c r="JB135" s="10"/>
      <c r="JC135" s="10"/>
      <c r="JD135" s="10"/>
      <c r="JE135" s="10"/>
      <c r="JF135" s="10"/>
      <c r="JG135" s="10"/>
      <c r="JH135" s="10"/>
      <c r="JI135" s="10"/>
      <c r="JJ135" s="10"/>
      <c r="JK135" s="10"/>
      <c r="JL135" s="10"/>
      <c r="JM135" s="10"/>
      <c r="JN135" s="10"/>
      <c r="JO135" s="10"/>
      <c r="JP135" s="10"/>
      <c r="JQ135" s="10"/>
      <c r="JR135" s="10"/>
      <c r="JS135" s="10"/>
      <c r="JT135" s="10"/>
      <c r="JU135" s="10"/>
      <c r="JV135" s="10"/>
      <c r="JW135" s="10"/>
      <c r="JX135" s="10"/>
      <c r="JY135" s="10"/>
      <c r="JZ135" s="10"/>
      <c r="KA135" s="10"/>
      <c r="KB135" s="10"/>
      <c r="KC135" s="10"/>
      <c r="KD135" s="10"/>
      <c r="KE135" s="10"/>
      <c r="KF135" s="10"/>
      <c r="KG135" s="10"/>
      <c r="KH135" s="10"/>
      <c r="KI135" s="10"/>
      <c r="KJ135" s="10"/>
      <c r="KK135" s="10"/>
      <c r="KL135" s="10"/>
      <c r="KM135" s="10"/>
      <c r="KN135" s="10"/>
      <c r="KO135" s="10"/>
      <c r="KP135" s="10"/>
      <c r="KQ135" s="10"/>
      <c r="KR135" s="10"/>
      <c r="KS135" s="10"/>
      <c r="KT135" s="10"/>
      <c r="KU135" s="10"/>
      <c r="KV135" s="10"/>
      <c r="KW135" s="10"/>
      <c r="KX135" s="10"/>
      <c r="KY135" s="10"/>
      <c r="KZ135" s="10"/>
      <c r="LA135" s="10"/>
      <c r="LB135" s="10"/>
      <c r="LC135" s="10"/>
      <c r="LD135" s="10"/>
      <c r="LE135" s="10"/>
      <c r="LF135" s="10"/>
      <c r="LG135" s="10"/>
      <c r="LH135" s="10"/>
      <c r="LI135" s="10"/>
      <c r="LJ135" s="10"/>
      <c r="LK135" s="10"/>
      <c r="LL135" s="10"/>
      <c r="LM135" s="10"/>
      <c r="LN135" s="10"/>
      <c r="LO135" s="10"/>
      <c r="LP135" s="10"/>
      <c r="LQ135" s="10"/>
      <c r="LR135" s="10"/>
      <c r="LS135" s="10"/>
      <c r="LT135" s="10"/>
      <c r="LU135" s="10"/>
      <c r="LV135" s="10"/>
      <c r="LW135" s="10"/>
      <c r="LX135" s="10"/>
      <c r="LY135" s="10"/>
      <c r="LZ135" s="10"/>
      <c r="MA135" s="10"/>
      <c r="MB135" s="10"/>
      <c r="MC135" s="10"/>
      <c r="MD135" s="10"/>
      <c r="ME135" s="10"/>
      <c r="MF135" s="10"/>
      <c r="MG135" s="10"/>
      <c r="MH135" s="10"/>
      <c r="MI135" s="10"/>
      <c r="MJ135" s="10"/>
      <c r="MK135" s="10"/>
      <c r="ML135" s="10"/>
      <c r="MM135" s="10"/>
      <c r="MN135" s="10"/>
      <c r="MO135" s="10"/>
      <c r="MP135" s="10"/>
      <c r="MQ135" s="10"/>
      <c r="MR135" s="10"/>
      <c r="MS135" s="10"/>
      <c r="MT135" s="10"/>
      <c r="MU135" s="10"/>
      <c r="MV135" s="10"/>
      <c r="MW135" s="10"/>
      <c r="MX135" s="10"/>
      <c r="MY135" s="10"/>
      <c r="MZ135" s="10"/>
      <c r="NA135" s="10"/>
      <c r="NB135" s="10"/>
      <c r="NC135" s="10"/>
      <c r="ND135" s="10"/>
    </row>
    <row r="136" ht="24.75" customHeight="1">
      <c r="A136" s="8">
        <v>45830.397428067125</v>
      </c>
      <c r="B136" s="9" t="s">
        <v>368</v>
      </c>
      <c r="C136" s="9" t="s">
        <v>370</v>
      </c>
      <c r="E136" s="9" t="s">
        <v>667</v>
      </c>
      <c r="G136" s="9" t="s">
        <v>422</v>
      </c>
      <c r="H136" s="9" t="s">
        <v>1307</v>
      </c>
      <c r="I136" s="9" t="s">
        <v>668</v>
      </c>
      <c r="J136" s="9" t="s">
        <v>375</v>
      </c>
      <c r="K136" s="9" t="s">
        <v>376</v>
      </c>
      <c r="L136" s="9" t="s">
        <v>379</v>
      </c>
      <c r="M136" s="9" t="s">
        <v>541</v>
      </c>
      <c r="N136" s="9" t="s">
        <v>379</v>
      </c>
      <c r="O136" s="9" t="s">
        <v>497</v>
      </c>
      <c r="P136" s="9" t="s">
        <v>381</v>
      </c>
      <c r="Q136" s="9" t="s">
        <v>499</v>
      </c>
      <c r="R136" s="9" t="s">
        <v>949</v>
      </c>
      <c r="S136" s="9" t="s">
        <v>384</v>
      </c>
      <c r="T136" s="9" t="s">
        <v>385</v>
      </c>
      <c r="W136" s="9" t="s">
        <v>386</v>
      </c>
      <c r="X136" s="9" t="s">
        <v>387</v>
      </c>
      <c r="Y136" s="9" t="s">
        <v>388</v>
      </c>
      <c r="Z136" s="9" t="s">
        <v>543</v>
      </c>
      <c r="AA136" s="9" t="s">
        <v>3274</v>
      </c>
      <c r="AB136" s="9" t="s">
        <v>3275</v>
      </c>
      <c r="AV136" s="9" t="s">
        <v>597</v>
      </c>
      <c r="AW136" s="9">
        <v>2.0</v>
      </c>
      <c r="AX136" s="9">
        <v>2.0</v>
      </c>
      <c r="AY136" s="9">
        <v>2.0</v>
      </c>
      <c r="AZ136" s="9">
        <v>2.0</v>
      </c>
      <c r="BA136" s="9">
        <v>2.0</v>
      </c>
      <c r="BB136" s="9">
        <v>2.0</v>
      </c>
      <c r="BC136" s="9" t="s">
        <v>3276</v>
      </c>
      <c r="BD136" s="9" t="s">
        <v>3277</v>
      </c>
      <c r="BE136" s="9" t="s">
        <v>392</v>
      </c>
      <c r="BF136" s="9" t="s">
        <v>1047</v>
      </c>
      <c r="BG136" s="9" t="s">
        <v>678</v>
      </c>
      <c r="BH136" s="9" t="s">
        <v>3278</v>
      </c>
      <c r="BI136" s="9" t="s">
        <v>509</v>
      </c>
      <c r="BJ136" s="9" t="s">
        <v>3279</v>
      </c>
      <c r="BK136" s="9" t="s">
        <v>437</v>
      </c>
      <c r="BL136" s="9" t="s">
        <v>904</v>
      </c>
      <c r="BM136" s="9" t="s">
        <v>1247</v>
      </c>
      <c r="BN136" s="9" t="s">
        <v>440</v>
      </c>
      <c r="CL136" s="9" t="s">
        <v>550</v>
      </c>
      <c r="CM136" s="9" t="s">
        <v>604</v>
      </c>
      <c r="CN136" s="9" t="s">
        <v>3280</v>
      </c>
      <c r="CO136" s="9" t="s">
        <v>3281</v>
      </c>
      <c r="CP136" s="9" t="s">
        <v>445</v>
      </c>
      <c r="CQ136" s="9" t="s">
        <v>3282</v>
      </c>
      <c r="CR136" s="9" t="s">
        <v>804</v>
      </c>
      <c r="CS136" s="9" t="s">
        <v>3283</v>
      </c>
      <c r="CT136" s="9" t="s">
        <v>3284</v>
      </c>
      <c r="CU136" s="9" t="s">
        <v>519</v>
      </c>
      <c r="CV136" s="9" t="s">
        <v>451</v>
      </c>
      <c r="CW136" s="9" t="s">
        <v>3285</v>
      </c>
      <c r="CX136" s="9" t="s">
        <v>408</v>
      </c>
      <c r="CZ136" s="9" t="s">
        <v>453</v>
      </c>
      <c r="DA136" s="9" t="s">
        <v>3286</v>
      </c>
      <c r="DB136" s="9" t="s">
        <v>455</v>
      </c>
      <c r="DC136" s="9" t="s">
        <v>3287</v>
      </c>
      <c r="DD136" s="9" t="s">
        <v>988</v>
      </c>
      <c r="DF136" s="9" t="s">
        <v>3288</v>
      </c>
      <c r="DG136" s="9" t="s">
        <v>561</v>
      </c>
      <c r="DH136" s="9" t="s">
        <v>410</v>
      </c>
      <c r="DI136" s="9" t="s">
        <v>963</v>
      </c>
      <c r="DJ136" s="9" t="s">
        <v>460</v>
      </c>
      <c r="DK136" s="9" t="s">
        <v>461</v>
      </c>
      <c r="DM136" s="9" t="s">
        <v>2890</v>
      </c>
      <c r="DN136" s="9" t="s">
        <v>3289</v>
      </c>
      <c r="DO136" s="9" t="s">
        <v>1063</v>
      </c>
      <c r="DP136" s="9" t="s">
        <v>3290</v>
      </c>
      <c r="DQ136" s="9" t="s">
        <v>1578</v>
      </c>
      <c r="DR136" s="9" t="s">
        <v>3291</v>
      </c>
      <c r="DS136" s="9" t="s">
        <v>618</v>
      </c>
      <c r="DT136" s="9" t="s">
        <v>740</v>
      </c>
      <c r="DU136" s="9" t="s">
        <v>3292</v>
      </c>
      <c r="DV136" s="9" t="s">
        <v>3293</v>
      </c>
      <c r="DW136" s="9" t="s">
        <v>622</v>
      </c>
      <c r="DX136" s="9" t="s">
        <v>3294</v>
      </c>
      <c r="DY136" s="9" t="s">
        <v>3295</v>
      </c>
      <c r="DZ136" s="9" t="s">
        <v>3296</v>
      </c>
      <c r="EA136" s="9" t="s">
        <v>475</v>
      </c>
      <c r="EB136" s="9" t="s">
        <v>476</v>
      </c>
      <c r="EC136" s="9" t="s">
        <v>3297</v>
      </c>
      <c r="ET136" s="9" t="s">
        <v>526</v>
      </c>
      <c r="EU136" s="9" t="s">
        <v>1037</v>
      </c>
      <c r="EV136" s="9" t="s">
        <v>527</v>
      </c>
      <c r="EW136" s="9" t="s">
        <v>3298</v>
      </c>
      <c r="EX136" s="9" t="s">
        <v>3299</v>
      </c>
      <c r="EY136" s="9" t="s">
        <v>3300</v>
      </c>
      <c r="EZ136" s="9" t="s">
        <v>415</v>
      </c>
      <c r="FA136" s="9" t="s">
        <v>415</v>
      </c>
      <c r="FB136" s="9" t="s">
        <v>413</v>
      </c>
      <c r="FC136" s="9" t="s">
        <v>413</v>
      </c>
      <c r="FD136" s="9" t="s">
        <v>413</v>
      </c>
      <c r="FE136" s="9" t="s">
        <v>414</v>
      </c>
      <c r="FF136" s="9" t="s">
        <v>413</v>
      </c>
      <c r="FG136" s="9" t="s">
        <v>413</v>
      </c>
      <c r="FH136" s="9" t="s">
        <v>413</v>
      </c>
      <c r="FI136" s="9" t="s">
        <v>583</v>
      </c>
      <c r="FJ136" s="9" t="s">
        <v>413</v>
      </c>
      <c r="FK136" s="9" t="s">
        <v>415</v>
      </c>
      <c r="FL136" s="9" t="s">
        <v>415</v>
      </c>
      <c r="FM136" s="9" t="s">
        <v>416</v>
      </c>
      <c r="FN136" s="9" t="s">
        <v>583</v>
      </c>
      <c r="FO136" s="9" t="s">
        <v>850</v>
      </c>
      <c r="FP136" s="9" t="s">
        <v>418</v>
      </c>
      <c r="FQ136" s="9" t="s">
        <v>419</v>
      </c>
      <c r="FR136" s="9" t="s">
        <v>3301</v>
      </c>
      <c r="FS136" s="9" t="s">
        <v>420</v>
      </c>
      <c r="FT136" s="9" t="s">
        <v>488</v>
      </c>
      <c r="FU136" s="9" t="s">
        <v>533</v>
      </c>
      <c r="FV136" s="9" t="s">
        <v>490</v>
      </c>
      <c r="FW136" s="9" t="s">
        <v>491</v>
      </c>
      <c r="FX136" s="9" t="s">
        <v>3302</v>
      </c>
      <c r="FY136" s="9" t="s">
        <v>535</v>
      </c>
      <c r="FZ136" s="9" t="s">
        <v>3303</v>
      </c>
      <c r="GA136" s="9" t="s">
        <v>3304</v>
      </c>
      <c r="GB136" s="9" t="s">
        <v>455</v>
      </c>
      <c r="GC136" s="9"/>
      <c r="GD136" s="9"/>
      <c r="GE136" s="9" t="s">
        <v>855</v>
      </c>
      <c r="GF136" s="9" t="s">
        <v>3305</v>
      </c>
      <c r="GG136" s="9" t="s">
        <v>755</v>
      </c>
      <c r="GH136" s="9" t="s">
        <v>755</v>
      </c>
      <c r="GI136" s="9" t="s">
        <v>756</v>
      </c>
      <c r="GM136" s="9" t="s">
        <v>1079</v>
      </c>
      <c r="GQ136" s="9" t="s">
        <v>3306</v>
      </c>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c r="HX136" s="10"/>
      <c r="HY136" s="10"/>
      <c r="HZ136" s="10"/>
      <c r="IA136" s="10"/>
      <c r="IB136" s="10"/>
      <c r="IC136" s="10"/>
      <c r="ID136" s="10"/>
      <c r="IE136" s="10"/>
      <c r="IF136" s="10"/>
      <c r="IG136" s="10"/>
      <c r="IH136" s="10"/>
      <c r="II136" s="10"/>
      <c r="IJ136" s="10"/>
      <c r="IK136" s="10"/>
      <c r="IL136" s="10"/>
      <c r="IM136" s="10"/>
      <c r="IN136" s="10"/>
      <c r="IO136" s="10"/>
      <c r="IP136" s="10"/>
      <c r="IQ136" s="10"/>
      <c r="IR136" s="10"/>
      <c r="IS136" s="10"/>
      <c r="IT136" s="10"/>
      <c r="IU136" s="10"/>
      <c r="IV136" s="10"/>
      <c r="IW136" s="10"/>
      <c r="IX136" s="10"/>
      <c r="IY136" s="10"/>
      <c r="IZ136" s="10"/>
      <c r="JA136" s="10"/>
      <c r="JB136" s="10"/>
      <c r="JC136" s="10"/>
      <c r="JD136" s="10"/>
      <c r="JE136" s="10"/>
      <c r="JF136" s="10"/>
      <c r="JG136" s="10"/>
      <c r="JH136" s="10"/>
      <c r="JI136" s="10"/>
      <c r="JJ136" s="10"/>
      <c r="JK136" s="10"/>
      <c r="JL136" s="10"/>
      <c r="JM136" s="10"/>
      <c r="JN136" s="10"/>
      <c r="JO136" s="10"/>
      <c r="JP136" s="10"/>
      <c r="JQ136" s="10"/>
      <c r="JR136" s="10"/>
      <c r="JS136" s="10"/>
      <c r="JT136" s="10"/>
      <c r="JU136" s="10"/>
      <c r="JV136" s="10"/>
      <c r="JW136" s="10"/>
      <c r="JX136" s="10"/>
      <c r="JY136" s="10"/>
      <c r="JZ136" s="10"/>
      <c r="KA136" s="10"/>
      <c r="KB136" s="10"/>
      <c r="KC136" s="10"/>
      <c r="KD136" s="10"/>
      <c r="KE136" s="10"/>
      <c r="KF136" s="10"/>
      <c r="KG136" s="10"/>
      <c r="KH136" s="10"/>
      <c r="KI136" s="10"/>
      <c r="KJ136" s="10"/>
      <c r="KK136" s="10"/>
      <c r="KL136" s="10"/>
      <c r="KM136" s="10"/>
      <c r="KN136" s="10"/>
      <c r="KO136" s="10"/>
      <c r="KP136" s="10"/>
      <c r="KQ136" s="10"/>
      <c r="KR136" s="10"/>
      <c r="KS136" s="10"/>
      <c r="KT136" s="10"/>
      <c r="KU136" s="10"/>
      <c r="KV136" s="10"/>
      <c r="KW136" s="10"/>
      <c r="KX136" s="10"/>
      <c r="KY136" s="10"/>
      <c r="KZ136" s="10"/>
      <c r="LA136" s="10"/>
      <c r="LB136" s="10"/>
      <c r="LC136" s="10"/>
      <c r="LD136" s="10"/>
      <c r="LE136" s="10"/>
      <c r="LF136" s="10"/>
      <c r="LG136" s="10"/>
      <c r="LH136" s="10"/>
      <c r="LI136" s="10"/>
      <c r="LJ136" s="10"/>
      <c r="LK136" s="10"/>
      <c r="LL136" s="10"/>
      <c r="LM136" s="10"/>
      <c r="LN136" s="10"/>
      <c r="LO136" s="10"/>
      <c r="LP136" s="10"/>
      <c r="LQ136" s="10"/>
      <c r="LR136" s="10"/>
      <c r="LS136" s="10"/>
      <c r="LT136" s="10"/>
      <c r="LU136" s="10"/>
      <c r="LV136" s="10"/>
      <c r="LW136" s="10"/>
      <c r="LX136" s="10"/>
      <c r="LY136" s="10"/>
      <c r="LZ136" s="10"/>
      <c r="MA136" s="10"/>
      <c r="MB136" s="10"/>
      <c r="MC136" s="10"/>
      <c r="MD136" s="10"/>
      <c r="ME136" s="10"/>
      <c r="MF136" s="10"/>
      <c r="MG136" s="10"/>
      <c r="MH136" s="10"/>
      <c r="MI136" s="10"/>
      <c r="MJ136" s="10"/>
      <c r="MK136" s="10"/>
      <c r="ML136" s="10"/>
      <c r="MM136" s="10"/>
      <c r="MN136" s="10"/>
      <c r="MO136" s="10"/>
      <c r="MP136" s="10"/>
      <c r="MQ136" s="10"/>
      <c r="MR136" s="10"/>
      <c r="MS136" s="10"/>
      <c r="MT136" s="10"/>
      <c r="MU136" s="10"/>
      <c r="MV136" s="10"/>
      <c r="MW136" s="10"/>
      <c r="MX136" s="10"/>
      <c r="MY136" s="10"/>
      <c r="MZ136" s="10"/>
      <c r="NA136" s="10"/>
      <c r="NB136" s="10"/>
      <c r="NC136" s="10"/>
      <c r="ND136" s="10"/>
    </row>
    <row r="137" ht="24.75" customHeight="1">
      <c r="A137" s="8">
        <v>45830.414605439815</v>
      </c>
      <c r="B137" s="9" t="s">
        <v>368</v>
      </c>
      <c r="C137" s="9" t="s">
        <v>370</v>
      </c>
      <c r="E137" s="9" t="s">
        <v>1441</v>
      </c>
      <c r="G137" s="9" t="s">
        <v>422</v>
      </c>
      <c r="H137" s="9" t="s">
        <v>373</v>
      </c>
      <c r="I137" s="9" t="s">
        <v>638</v>
      </c>
      <c r="J137" s="9" t="s">
        <v>718</v>
      </c>
      <c r="K137" s="9" t="s">
        <v>376</v>
      </c>
      <c r="L137" s="9" t="s">
        <v>426</v>
      </c>
      <c r="M137" s="9" t="s">
        <v>378</v>
      </c>
      <c r="N137" s="9" t="s">
        <v>793</v>
      </c>
      <c r="O137" s="9" t="s">
        <v>1270</v>
      </c>
      <c r="P137" s="9" t="s">
        <v>592</v>
      </c>
      <c r="Q137" s="9" t="s">
        <v>499</v>
      </c>
      <c r="R137" s="9" t="s">
        <v>427</v>
      </c>
      <c r="S137" s="9" t="s">
        <v>384</v>
      </c>
      <c r="T137" s="9" t="s">
        <v>385</v>
      </c>
      <c r="W137" s="9" t="s">
        <v>386</v>
      </c>
      <c r="X137" s="9" t="s">
        <v>387</v>
      </c>
      <c r="Y137" s="9" t="s">
        <v>1824</v>
      </c>
      <c r="Z137" s="9" t="s">
        <v>543</v>
      </c>
      <c r="AA137" s="9" t="s">
        <v>3307</v>
      </c>
      <c r="AV137" s="9" t="s">
        <v>1242</v>
      </c>
      <c r="AW137" s="9" t="s">
        <v>675</v>
      </c>
      <c r="AX137" s="9" t="s">
        <v>675</v>
      </c>
      <c r="AY137" s="9" t="s">
        <v>675</v>
      </c>
      <c r="AZ137" s="9" t="s">
        <v>675</v>
      </c>
      <c r="BA137" s="9" t="s">
        <v>675</v>
      </c>
      <c r="BB137" s="9" t="s">
        <v>675</v>
      </c>
      <c r="BG137" s="9" t="s">
        <v>434</v>
      </c>
      <c r="BI137" s="9" t="s">
        <v>976</v>
      </c>
      <c r="BK137" s="9" t="s">
        <v>681</v>
      </c>
      <c r="BL137" s="9" t="s">
        <v>603</v>
      </c>
      <c r="BM137" s="9" t="s">
        <v>1247</v>
      </c>
      <c r="BN137" s="9" t="s">
        <v>398</v>
      </c>
      <c r="BO137" s="9" t="s">
        <v>3308</v>
      </c>
      <c r="BP137" s="9" t="s">
        <v>3309</v>
      </c>
      <c r="BQ137" s="9" t="s">
        <v>442</v>
      </c>
      <c r="BR137" s="9" t="s">
        <v>3310</v>
      </c>
      <c r="BS137" s="9" t="s">
        <v>403</v>
      </c>
      <c r="BT137" s="9" t="s">
        <v>404</v>
      </c>
      <c r="BU137" s="9" t="s">
        <v>1772</v>
      </c>
      <c r="BV137" s="9" t="s">
        <v>3311</v>
      </c>
      <c r="BW137" s="9" t="s">
        <v>406</v>
      </c>
      <c r="BX137" s="9" t="s">
        <v>407</v>
      </c>
      <c r="BY137" s="9" t="s">
        <v>408</v>
      </c>
      <c r="CB137" s="9" t="s">
        <v>3312</v>
      </c>
      <c r="CC137" s="9" t="s">
        <v>3313</v>
      </c>
      <c r="CD137" s="9" t="s">
        <v>1931</v>
      </c>
      <c r="CF137" s="9" t="s">
        <v>1258</v>
      </c>
      <c r="CH137" s="9" t="s">
        <v>1751</v>
      </c>
      <c r="CI137" s="9" t="s">
        <v>410</v>
      </c>
      <c r="CJ137" s="9" t="s">
        <v>3314</v>
      </c>
      <c r="CK137" s="9" t="s">
        <v>3315</v>
      </c>
      <c r="ET137" s="9" t="s">
        <v>578</v>
      </c>
      <c r="EU137" s="9" t="s">
        <v>479</v>
      </c>
      <c r="EV137" s="9" t="s">
        <v>480</v>
      </c>
      <c r="EX137" s="9" t="s">
        <v>3316</v>
      </c>
      <c r="EY137" s="9" t="s">
        <v>2963</v>
      </c>
      <c r="EZ137" s="9" t="s">
        <v>414</v>
      </c>
      <c r="FA137" s="9" t="s">
        <v>583</v>
      </c>
      <c r="FB137" s="9" t="s">
        <v>413</v>
      </c>
      <c r="FC137" s="9" t="s">
        <v>583</v>
      </c>
      <c r="FD137" s="9" t="s">
        <v>415</v>
      </c>
      <c r="FE137" s="9" t="s">
        <v>583</v>
      </c>
      <c r="FF137" s="9" t="s">
        <v>415</v>
      </c>
      <c r="FG137" s="9" t="s">
        <v>413</v>
      </c>
      <c r="FH137" s="9" t="s">
        <v>415</v>
      </c>
      <c r="FI137" s="9" t="s">
        <v>583</v>
      </c>
      <c r="FJ137" s="9" t="s">
        <v>415</v>
      </c>
      <c r="FK137" s="9" t="s">
        <v>415</v>
      </c>
      <c r="FL137" s="9" t="s">
        <v>415</v>
      </c>
      <c r="FM137" s="9" t="s">
        <v>413</v>
      </c>
      <c r="FN137" s="9" t="s">
        <v>583</v>
      </c>
      <c r="FO137" s="9" t="s">
        <v>850</v>
      </c>
      <c r="FP137" s="9" t="s">
        <v>486</v>
      </c>
      <c r="FQ137" s="9" t="s">
        <v>749</v>
      </c>
      <c r="FR137" s="9" t="s">
        <v>3317</v>
      </c>
      <c r="FS137" s="9" t="s">
        <v>420</v>
      </c>
      <c r="FT137" s="9" t="s">
        <v>1476</v>
      </c>
      <c r="FU137" s="9" t="s">
        <v>533</v>
      </c>
      <c r="FV137" s="9" t="s">
        <v>490</v>
      </c>
      <c r="FW137" s="9" t="s">
        <v>491</v>
      </c>
      <c r="FX137" s="9" t="s">
        <v>3318</v>
      </c>
      <c r="FY137" s="9" t="s">
        <v>493</v>
      </c>
      <c r="GB137" s="9" t="s">
        <v>455</v>
      </c>
      <c r="GC137" s="9"/>
      <c r="GE137" s="9" t="s">
        <v>753</v>
      </c>
      <c r="GJ137" s="9" t="s">
        <v>1000</v>
      </c>
      <c r="GK137" s="9" t="s">
        <v>1000</v>
      </c>
      <c r="GL137" s="9" t="s">
        <v>817</v>
      </c>
      <c r="GQ137" s="9" t="s">
        <v>3273</v>
      </c>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c r="HX137" s="10"/>
      <c r="HY137" s="10"/>
      <c r="HZ137" s="10"/>
      <c r="IA137" s="10"/>
      <c r="IB137" s="10"/>
      <c r="IC137" s="10"/>
      <c r="ID137" s="10"/>
      <c r="IE137" s="10"/>
      <c r="IF137" s="10"/>
      <c r="IG137" s="10"/>
      <c r="IH137" s="10"/>
      <c r="II137" s="10"/>
      <c r="IJ137" s="10"/>
      <c r="IK137" s="10"/>
      <c r="IL137" s="10"/>
      <c r="IM137" s="10"/>
      <c r="IN137" s="10"/>
      <c r="IO137" s="10"/>
      <c r="IP137" s="10"/>
      <c r="IQ137" s="10"/>
      <c r="IR137" s="10"/>
      <c r="IS137" s="10"/>
      <c r="IT137" s="10"/>
      <c r="IU137" s="10"/>
      <c r="IV137" s="10"/>
      <c r="IW137" s="10"/>
      <c r="IX137" s="10"/>
      <c r="IY137" s="10"/>
      <c r="IZ137" s="10"/>
      <c r="JA137" s="10"/>
      <c r="JB137" s="10"/>
      <c r="JC137" s="10"/>
      <c r="JD137" s="10"/>
      <c r="JE137" s="10"/>
      <c r="JF137" s="10"/>
      <c r="JG137" s="10"/>
      <c r="JH137" s="10"/>
      <c r="JI137" s="10"/>
      <c r="JJ137" s="10"/>
      <c r="JK137" s="10"/>
      <c r="JL137" s="10"/>
      <c r="JM137" s="10"/>
      <c r="JN137" s="10"/>
      <c r="JO137" s="10"/>
      <c r="JP137" s="10"/>
      <c r="JQ137" s="10"/>
      <c r="JR137" s="10"/>
      <c r="JS137" s="10"/>
      <c r="JT137" s="10"/>
      <c r="JU137" s="10"/>
      <c r="JV137" s="10"/>
      <c r="JW137" s="10"/>
      <c r="JX137" s="10"/>
      <c r="JY137" s="10"/>
      <c r="JZ137" s="10"/>
      <c r="KA137" s="10"/>
      <c r="KB137" s="10"/>
      <c r="KC137" s="10"/>
      <c r="KD137" s="10"/>
      <c r="KE137" s="10"/>
      <c r="KF137" s="10"/>
      <c r="KG137" s="10"/>
      <c r="KH137" s="10"/>
      <c r="KI137" s="10"/>
      <c r="KJ137" s="10"/>
      <c r="KK137" s="10"/>
      <c r="KL137" s="10"/>
      <c r="KM137" s="10"/>
      <c r="KN137" s="10"/>
      <c r="KO137" s="10"/>
      <c r="KP137" s="10"/>
      <c r="KQ137" s="10"/>
      <c r="KR137" s="10"/>
      <c r="KS137" s="10"/>
      <c r="KT137" s="10"/>
      <c r="KU137" s="10"/>
      <c r="KV137" s="10"/>
      <c r="KW137" s="10"/>
      <c r="KX137" s="10"/>
      <c r="KY137" s="10"/>
      <c r="KZ137" s="10"/>
      <c r="LA137" s="10"/>
      <c r="LB137" s="10"/>
      <c r="LC137" s="10"/>
      <c r="LD137" s="10"/>
      <c r="LE137" s="10"/>
      <c r="LF137" s="10"/>
      <c r="LG137" s="10"/>
      <c r="LH137" s="10"/>
      <c r="LI137" s="10"/>
      <c r="LJ137" s="10"/>
      <c r="LK137" s="10"/>
      <c r="LL137" s="10"/>
      <c r="LM137" s="10"/>
      <c r="LN137" s="10"/>
      <c r="LO137" s="10"/>
      <c r="LP137" s="10"/>
      <c r="LQ137" s="10"/>
      <c r="LR137" s="10"/>
      <c r="LS137" s="10"/>
      <c r="LT137" s="10"/>
      <c r="LU137" s="10"/>
      <c r="LV137" s="10"/>
      <c r="LW137" s="10"/>
      <c r="LX137" s="10"/>
      <c r="LY137" s="10"/>
      <c r="LZ137" s="10"/>
      <c r="MA137" s="10"/>
      <c r="MB137" s="10"/>
      <c r="MC137" s="10"/>
      <c r="MD137" s="10"/>
      <c r="ME137" s="10"/>
      <c r="MF137" s="10"/>
      <c r="MG137" s="10"/>
      <c r="MH137" s="10"/>
      <c r="MI137" s="10"/>
      <c r="MJ137" s="10"/>
      <c r="MK137" s="10"/>
      <c r="ML137" s="10"/>
      <c r="MM137" s="10"/>
      <c r="MN137" s="10"/>
      <c r="MO137" s="10"/>
      <c r="MP137" s="10"/>
      <c r="MQ137" s="10"/>
      <c r="MR137" s="10"/>
      <c r="MS137" s="10"/>
      <c r="MT137" s="10"/>
      <c r="MU137" s="10"/>
      <c r="MV137" s="10"/>
      <c r="MW137" s="10"/>
      <c r="MX137" s="10"/>
      <c r="MY137" s="10"/>
      <c r="MZ137" s="10"/>
      <c r="NA137" s="10"/>
      <c r="NB137" s="10"/>
      <c r="NC137" s="10"/>
      <c r="ND137" s="10"/>
    </row>
    <row r="138" ht="24.75" customHeight="1">
      <c r="A138" s="8">
        <v>45830.43470159722</v>
      </c>
      <c r="B138" s="9" t="s">
        <v>368</v>
      </c>
      <c r="C138" s="9" t="s">
        <v>894</v>
      </c>
      <c r="D138" s="9" t="s">
        <v>894</v>
      </c>
      <c r="G138" s="9" t="s">
        <v>1783</v>
      </c>
      <c r="H138" s="9" t="s">
        <v>496</v>
      </c>
      <c r="I138" s="9" t="s">
        <v>374</v>
      </c>
      <c r="J138" s="9" t="s">
        <v>375</v>
      </c>
      <c r="K138" s="9" t="s">
        <v>376</v>
      </c>
      <c r="L138" s="9" t="s">
        <v>591</v>
      </c>
      <c r="M138" s="9" t="s">
        <v>719</v>
      </c>
      <c r="N138" s="9" t="s">
        <v>591</v>
      </c>
      <c r="O138" s="9" t="s">
        <v>719</v>
      </c>
      <c r="P138" s="9" t="s">
        <v>592</v>
      </c>
      <c r="Q138" s="9" t="s">
        <v>862</v>
      </c>
      <c r="R138" s="9" t="s">
        <v>427</v>
      </c>
      <c r="S138" s="9" t="s">
        <v>384</v>
      </c>
      <c r="T138" s="9" t="s">
        <v>385</v>
      </c>
      <c r="U138" s="9" t="s">
        <v>896</v>
      </c>
      <c r="V138" s="9" t="s">
        <v>896</v>
      </c>
      <c r="W138" s="9" t="s">
        <v>3014</v>
      </c>
      <c r="AV138" s="9" t="s">
        <v>1310</v>
      </c>
      <c r="AW138" s="9">
        <v>2.0</v>
      </c>
      <c r="AX138" s="9">
        <v>2.0</v>
      </c>
      <c r="AY138" s="9">
        <v>2.0</v>
      </c>
      <c r="AZ138" s="9">
        <v>2.0</v>
      </c>
      <c r="BA138" s="9">
        <v>2.0</v>
      </c>
      <c r="BB138" s="9">
        <v>2.0</v>
      </c>
      <c r="BC138" s="9" t="s">
        <v>1766</v>
      </c>
      <c r="BD138" s="9" t="s">
        <v>3319</v>
      </c>
      <c r="BE138" s="9" t="s">
        <v>432</v>
      </c>
      <c r="BF138" s="9" t="s">
        <v>1095</v>
      </c>
      <c r="BG138" s="9" t="s">
        <v>725</v>
      </c>
      <c r="BH138" s="9" t="s">
        <v>1211</v>
      </c>
      <c r="BI138" s="9" t="s">
        <v>435</v>
      </c>
      <c r="BJ138" s="9" t="s">
        <v>3320</v>
      </c>
      <c r="BK138" s="9" t="s">
        <v>602</v>
      </c>
      <c r="BL138" s="9" t="s">
        <v>438</v>
      </c>
      <c r="BM138" s="9" t="s">
        <v>1247</v>
      </c>
      <c r="BN138" s="9" t="s">
        <v>398</v>
      </c>
      <c r="BO138" s="9" t="s">
        <v>3321</v>
      </c>
      <c r="BP138" s="9" t="s">
        <v>3322</v>
      </c>
      <c r="BQ138" s="9" t="s">
        <v>442</v>
      </c>
      <c r="BR138" s="9" t="s">
        <v>3323</v>
      </c>
      <c r="BS138" s="9" t="s">
        <v>1741</v>
      </c>
      <c r="BT138" s="9" t="s">
        <v>404</v>
      </c>
      <c r="BU138" s="9" t="s">
        <v>405</v>
      </c>
      <c r="BV138" s="9" t="s">
        <v>1252</v>
      </c>
      <c r="BW138" s="9" t="s">
        <v>988</v>
      </c>
      <c r="BY138" s="9" t="s">
        <v>455</v>
      </c>
      <c r="BZ138" s="9" t="s">
        <v>3324</v>
      </c>
      <c r="CA138" s="9" t="s">
        <v>3325</v>
      </c>
      <c r="CB138" s="9" t="s">
        <v>3326</v>
      </c>
      <c r="CC138" s="9" t="s">
        <v>3327</v>
      </c>
      <c r="CD138" s="9" t="s">
        <v>1257</v>
      </c>
      <c r="CE138" s="9" t="s">
        <v>3328</v>
      </c>
      <c r="CJ138" s="9" t="s">
        <v>3329</v>
      </c>
      <c r="CK138" s="9" t="s">
        <v>3330</v>
      </c>
      <c r="ET138" s="9" t="s">
        <v>578</v>
      </c>
      <c r="EU138" s="9" t="s">
        <v>1127</v>
      </c>
      <c r="EV138" s="9" t="s">
        <v>1262</v>
      </c>
      <c r="EW138" s="9" t="s">
        <v>3331</v>
      </c>
      <c r="EX138" s="9" t="s">
        <v>3332</v>
      </c>
      <c r="EY138" s="9" t="s">
        <v>3333</v>
      </c>
      <c r="EZ138" s="9" t="s">
        <v>415</v>
      </c>
      <c r="FA138" s="9" t="s">
        <v>415</v>
      </c>
      <c r="FB138" s="9" t="s">
        <v>413</v>
      </c>
      <c r="FC138" s="9" t="s">
        <v>415</v>
      </c>
      <c r="FD138" s="9" t="s">
        <v>413</v>
      </c>
      <c r="FE138" s="9" t="s">
        <v>415</v>
      </c>
      <c r="FF138" s="9" t="s">
        <v>416</v>
      </c>
      <c r="FG138" s="9" t="s">
        <v>413</v>
      </c>
      <c r="FH138" s="9" t="s">
        <v>583</v>
      </c>
      <c r="FI138" s="9" t="s">
        <v>416</v>
      </c>
      <c r="FJ138" s="9" t="s">
        <v>415</v>
      </c>
      <c r="FK138" s="9" t="s">
        <v>416</v>
      </c>
      <c r="FL138" s="9" t="s">
        <v>416</v>
      </c>
      <c r="FM138" s="9" t="s">
        <v>416</v>
      </c>
      <c r="FN138" s="9" t="s">
        <v>414</v>
      </c>
      <c r="FO138" s="9" t="s">
        <v>850</v>
      </c>
      <c r="FP138" s="9" t="s">
        <v>418</v>
      </c>
      <c r="FQ138" s="9" t="s">
        <v>749</v>
      </c>
      <c r="FR138" s="9" t="s">
        <v>3334</v>
      </c>
      <c r="FS138" s="9" t="s">
        <v>420</v>
      </c>
      <c r="FT138" s="9" t="s">
        <v>1462</v>
      </c>
      <c r="FU138" s="9" t="s">
        <v>585</v>
      </c>
      <c r="FV138" s="9" t="s">
        <v>490</v>
      </c>
      <c r="FW138" s="9" t="s">
        <v>491</v>
      </c>
      <c r="FX138" s="9" t="s">
        <v>3335</v>
      </c>
      <c r="FY138" s="9" t="s">
        <v>535</v>
      </c>
      <c r="FZ138" s="9" t="s">
        <v>3336</v>
      </c>
      <c r="GA138" s="9" t="s">
        <v>2927</v>
      </c>
      <c r="GB138" s="9" t="s">
        <v>455</v>
      </c>
      <c r="GC138" s="9"/>
      <c r="GE138" s="9" t="s">
        <v>786</v>
      </c>
      <c r="GF138" s="9" t="s">
        <v>3337</v>
      </c>
      <c r="GJ138" s="9" t="s">
        <v>920</v>
      </c>
      <c r="GK138" s="9" t="s">
        <v>789</v>
      </c>
      <c r="GL138" s="9" t="s">
        <v>756</v>
      </c>
      <c r="GQ138" s="9" t="s">
        <v>3273</v>
      </c>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c r="HX138" s="10"/>
      <c r="HY138" s="10"/>
      <c r="HZ138" s="10"/>
      <c r="IA138" s="10"/>
      <c r="IB138" s="10"/>
      <c r="IC138" s="10"/>
      <c r="ID138" s="10"/>
      <c r="IE138" s="10"/>
      <c r="IF138" s="10"/>
      <c r="IG138" s="10"/>
      <c r="IH138" s="10"/>
      <c r="II138" s="10"/>
      <c r="IJ138" s="10"/>
      <c r="IK138" s="10"/>
      <c r="IL138" s="10"/>
      <c r="IM138" s="10"/>
      <c r="IN138" s="10"/>
      <c r="IO138" s="10"/>
      <c r="IP138" s="10"/>
      <c r="IQ138" s="10"/>
      <c r="IR138" s="10"/>
      <c r="IS138" s="10"/>
      <c r="IT138" s="10"/>
      <c r="IU138" s="10"/>
      <c r="IV138" s="10"/>
      <c r="IW138" s="10"/>
      <c r="IX138" s="10"/>
      <c r="IY138" s="10"/>
      <c r="IZ138" s="10"/>
      <c r="JA138" s="10"/>
      <c r="JB138" s="10"/>
      <c r="JC138" s="10"/>
      <c r="JD138" s="10"/>
      <c r="JE138" s="10"/>
      <c r="JF138" s="10"/>
      <c r="JG138" s="10"/>
      <c r="JH138" s="10"/>
      <c r="JI138" s="10"/>
      <c r="JJ138" s="10"/>
      <c r="JK138" s="10"/>
      <c r="JL138" s="10"/>
      <c r="JM138" s="10"/>
      <c r="JN138" s="10"/>
      <c r="JO138" s="10"/>
      <c r="JP138" s="10"/>
      <c r="JQ138" s="10"/>
      <c r="JR138" s="10"/>
      <c r="JS138" s="10"/>
      <c r="JT138" s="10"/>
      <c r="JU138" s="10"/>
      <c r="JV138" s="10"/>
      <c r="JW138" s="10"/>
      <c r="JX138" s="10"/>
      <c r="JY138" s="10"/>
      <c r="JZ138" s="10"/>
      <c r="KA138" s="10"/>
      <c r="KB138" s="10"/>
      <c r="KC138" s="10"/>
      <c r="KD138" s="10"/>
      <c r="KE138" s="10"/>
      <c r="KF138" s="10"/>
      <c r="KG138" s="10"/>
      <c r="KH138" s="10"/>
      <c r="KI138" s="10"/>
      <c r="KJ138" s="10"/>
      <c r="KK138" s="10"/>
      <c r="KL138" s="10"/>
      <c r="KM138" s="10"/>
      <c r="KN138" s="10"/>
      <c r="KO138" s="10"/>
      <c r="KP138" s="10"/>
      <c r="KQ138" s="10"/>
      <c r="KR138" s="10"/>
      <c r="KS138" s="10"/>
      <c r="KT138" s="10"/>
      <c r="KU138" s="10"/>
      <c r="KV138" s="10"/>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S138" s="10"/>
      <c r="LT138" s="10"/>
      <c r="LU138" s="10"/>
      <c r="LV138" s="10"/>
      <c r="LW138" s="10"/>
      <c r="LX138" s="10"/>
      <c r="LY138" s="10"/>
      <c r="LZ138" s="10"/>
      <c r="MA138" s="10"/>
      <c r="MB138" s="10"/>
      <c r="MC138" s="10"/>
      <c r="MD138" s="10"/>
      <c r="ME138" s="10"/>
      <c r="MF138" s="10"/>
      <c r="MG138" s="10"/>
      <c r="MH138" s="10"/>
      <c r="MI138" s="10"/>
      <c r="MJ138" s="10"/>
      <c r="MK138" s="10"/>
      <c r="ML138" s="10"/>
      <c r="MM138" s="10"/>
      <c r="MN138" s="10"/>
      <c r="MO138" s="10"/>
      <c r="MP138" s="10"/>
      <c r="MQ138" s="10"/>
      <c r="MR138" s="10"/>
      <c r="MS138" s="10"/>
      <c r="MT138" s="10"/>
      <c r="MU138" s="10"/>
      <c r="MV138" s="10"/>
      <c r="MW138" s="10"/>
      <c r="MX138" s="10"/>
      <c r="MY138" s="10"/>
      <c r="MZ138" s="10"/>
      <c r="NA138" s="10"/>
      <c r="NB138" s="10"/>
      <c r="NC138" s="10"/>
      <c r="ND138" s="10"/>
    </row>
    <row r="139" ht="24.75" customHeight="1">
      <c r="A139" s="8">
        <v>45830.46624547454</v>
      </c>
      <c r="B139" s="9" t="s">
        <v>368</v>
      </c>
      <c r="C139" s="9" t="s">
        <v>370</v>
      </c>
      <c r="E139" s="9" t="s">
        <v>3338</v>
      </c>
      <c r="G139" s="9" t="s">
        <v>422</v>
      </c>
      <c r="H139" s="9" t="s">
        <v>423</v>
      </c>
      <c r="I139" s="9" t="s">
        <v>424</v>
      </c>
      <c r="J139" s="9" t="s">
        <v>375</v>
      </c>
      <c r="K139" s="9" t="s">
        <v>376</v>
      </c>
      <c r="L139" s="9" t="s">
        <v>377</v>
      </c>
      <c r="M139" s="9" t="s">
        <v>378</v>
      </c>
      <c r="N139" s="9" t="s">
        <v>591</v>
      </c>
      <c r="O139" s="9" t="s">
        <v>640</v>
      </c>
      <c r="P139" s="9" t="s">
        <v>498</v>
      </c>
      <c r="Q139" s="9" t="s">
        <v>1004</v>
      </c>
      <c r="R139" s="9" t="s">
        <v>949</v>
      </c>
      <c r="S139" s="9" t="s">
        <v>384</v>
      </c>
      <c r="T139" s="9" t="s">
        <v>385</v>
      </c>
      <c r="W139" s="9" t="s">
        <v>386</v>
      </c>
      <c r="X139" s="9" t="s">
        <v>387</v>
      </c>
      <c r="Y139" s="9" t="s">
        <v>388</v>
      </c>
      <c r="Z139" s="9" t="s">
        <v>543</v>
      </c>
      <c r="AA139" s="9" t="s">
        <v>3339</v>
      </c>
      <c r="AV139" s="9" t="s">
        <v>1310</v>
      </c>
      <c r="AW139" s="9" t="s">
        <v>675</v>
      </c>
      <c r="AX139" s="9">
        <v>4.0</v>
      </c>
      <c r="AY139" s="9">
        <v>2.0</v>
      </c>
      <c r="AZ139" s="9">
        <v>4.0</v>
      </c>
      <c r="BA139" s="9" t="s">
        <v>429</v>
      </c>
      <c r="BB139" s="9">
        <v>4.0</v>
      </c>
      <c r="BC139" s="9" t="s">
        <v>3340</v>
      </c>
      <c r="BD139" s="9" t="s">
        <v>3341</v>
      </c>
      <c r="BE139" s="9" t="s">
        <v>432</v>
      </c>
      <c r="BF139" s="9" t="s">
        <v>1095</v>
      </c>
      <c r="BG139" s="9" t="s">
        <v>725</v>
      </c>
      <c r="BI139" s="9" t="s">
        <v>976</v>
      </c>
      <c r="BK139" s="9" t="s">
        <v>602</v>
      </c>
      <c r="BL139" s="9" t="s">
        <v>904</v>
      </c>
      <c r="BM139" s="9" t="s">
        <v>1247</v>
      </c>
      <c r="BN139" s="9" t="s">
        <v>513</v>
      </c>
      <c r="CL139" s="9" t="s">
        <v>441</v>
      </c>
      <c r="CM139" s="9" t="s">
        <v>604</v>
      </c>
      <c r="CN139" s="9" t="s">
        <v>3342</v>
      </c>
      <c r="CO139" s="9" t="s">
        <v>3343</v>
      </c>
      <c r="CP139" s="9" t="s">
        <v>445</v>
      </c>
      <c r="CQ139" s="9" t="s">
        <v>1467</v>
      </c>
      <c r="CR139" s="9" t="s">
        <v>447</v>
      </c>
      <c r="CS139" s="9" t="s">
        <v>957</v>
      </c>
      <c r="CT139" s="9" t="s">
        <v>3344</v>
      </c>
      <c r="CU139" s="9" t="s">
        <v>1863</v>
      </c>
      <c r="CV139" s="9" t="s">
        <v>409</v>
      </c>
      <c r="CW139" s="9" t="s">
        <v>3345</v>
      </c>
      <c r="CX139" s="9" t="s">
        <v>408</v>
      </c>
      <c r="CZ139" s="9" t="s">
        <v>1962</v>
      </c>
      <c r="DB139" s="9" t="s">
        <v>408</v>
      </c>
      <c r="DD139" s="9" t="s">
        <v>406</v>
      </c>
      <c r="DE139" s="9" t="s">
        <v>1058</v>
      </c>
      <c r="DF139" s="9" t="s">
        <v>3346</v>
      </c>
      <c r="DG139" s="9" t="s">
        <v>693</v>
      </c>
      <c r="DH139" s="9" t="s">
        <v>1964</v>
      </c>
      <c r="DI139" s="9" t="s">
        <v>459</v>
      </c>
      <c r="DJ139" s="9" t="s">
        <v>1403</v>
      </c>
      <c r="DK139" s="9" t="s">
        <v>461</v>
      </c>
      <c r="ET139" s="9" t="s">
        <v>578</v>
      </c>
      <c r="EU139" s="9" t="s">
        <v>479</v>
      </c>
      <c r="EV139" s="9" t="s">
        <v>580</v>
      </c>
      <c r="EX139" s="9" t="s">
        <v>3347</v>
      </c>
      <c r="EY139" s="9" t="s">
        <v>3348</v>
      </c>
      <c r="FA139" s="9" t="s">
        <v>413</v>
      </c>
      <c r="FB139" s="9" t="s">
        <v>413</v>
      </c>
      <c r="FE139" s="9" t="s">
        <v>413</v>
      </c>
      <c r="FO139" s="9" t="s">
        <v>417</v>
      </c>
      <c r="FP139" s="9" t="s">
        <v>418</v>
      </c>
      <c r="FQ139" s="9" t="s">
        <v>630</v>
      </c>
      <c r="FR139" s="9" t="s">
        <v>2577</v>
      </c>
      <c r="FS139" s="9" t="s">
        <v>1871</v>
      </c>
      <c r="FT139" s="9" t="s">
        <v>1462</v>
      </c>
      <c r="FU139" s="9" t="s">
        <v>918</v>
      </c>
      <c r="FV139" s="9" t="s">
        <v>490</v>
      </c>
      <c r="FW139" s="9" t="s">
        <v>491</v>
      </c>
      <c r="FX139" s="9" t="s">
        <v>3349</v>
      </c>
      <c r="FY139" s="9" t="s">
        <v>493</v>
      </c>
      <c r="FZ139" s="9" t="s">
        <v>3350</v>
      </c>
      <c r="GB139" s="9" t="s">
        <v>455</v>
      </c>
      <c r="GC139" s="9"/>
      <c r="GE139" s="9" t="s">
        <v>786</v>
      </c>
      <c r="GG139" s="9" t="s">
        <v>755</v>
      </c>
      <c r="GH139" s="9" t="s">
        <v>755</v>
      </c>
      <c r="GI139" s="9" t="s">
        <v>817</v>
      </c>
      <c r="GQ139" s="9" t="s">
        <v>3351</v>
      </c>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c r="HX139" s="10"/>
      <c r="HY139" s="10"/>
      <c r="HZ139" s="10"/>
      <c r="IA139" s="10"/>
      <c r="IB139" s="10"/>
      <c r="IC139" s="10"/>
      <c r="ID139" s="10"/>
      <c r="IE139" s="10"/>
      <c r="IF139" s="10"/>
      <c r="IG139" s="10"/>
      <c r="IH139" s="10"/>
      <c r="II139" s="10"/>
      <c r="IJ139" s="10"/>
      <c r="IK139" s="10"/>
      <c r="IL139" s="10"/>
      <c r="IM139" s="10"/>
      <c r="IN139" s="10"/>
      <c r="IO139" s="10"/>
      <c r="IP139" s="10"/>
      <c r="IQ139" s="10"/>
      <c r="IR139" s="10"/>
      <c r="IS139" s="10"/>
      <c r="IT139" s="10"/>
      <c r="IU139" s="10"/>
      <c r="IV139" s="10"/>
      <c r="IW139" s="10"/>
      <c r="IX139" s="10"/>
      <c r="IY139" s="10"/>
      <c r="IZ139" s="10"/>
      <c r="JA139" s="10"/>
      <c r="JB139" s="10"/>
      <c r="JC139" s="10"/>
      <c r="JD139" s="10"/>
      <c r="JE139" s="10"/>
      <c r="JF139" s="10"/>
      <c r="JG139" s="10"/>
      <c r="JH139" s="10"/>
      <c r="JI139" s="10"/>
      <c r="JJ139" s="10"/>
      <c r="JK139" s="10"/>
      <c r="JL139" s="10"/>
      <c r="JM139" s="10"/>
      <c r="JN139" s="10"/>
      <c r="JO139" s="10"/>
      <c r="JP139" s="10"/>
      <c r="JQ139" s="10"/>
      <c r="JR139" s="10"/>
      <c r="JS139" s="10"/>
      <c r="JT139" s="10"/>
      <c r="JU139" s="10"/>
      <c r="JV139" s="10"/>
      <c r="JW139" s="10"/>
      <c r="JX139" s="10"/>
      <c r="JY139" s="10"/>
      <c r="JZ139" s="10"/>
      <c r="KA139" s="10"/>
      <c r="KB139" s="10"/>
      <c r="KC139" s="10"/>
      <c r="KD139" s="10"/>
      <c r="KE139" s="10"/>
      <c r="KF139" s="10"/>
      <c r="KG139" s="10"/>
      <c r="KH139" s="10"/>
      <c r="KI139" s="10"/>
      <c r="KJ139" s="10"/>
      <c r="KK139" s="10"/>
      <c r="KL139" s="10"/>
      <c r="KM139" s="10"/>
      <c r="KN139" s="10"/>
      <c r="KO139" s="10"/>
      <c r="KP139" s="10"/>
      <c r="KQ139" s="10"/>
      <c r="KR139" s="10"/>
      <c r="KS139" s="10"/>
      <c r="KT139" s="10"/>
      <c r="KU139" s="10"/>
      <c r="KV139" s="10"/>
      <c r="KW139" s="10"/>
      <c r="KX139" s="10"/>
      <c r="KY139" s="10"/>
      <c r="KZ139" s="10"/>
      <c r="LA139" s="10"/>
      <c r="LB139" s="10"/>
      <c r="LC139" s="10"/>
      <c r="LD139" s="10"/>
      <c r="LE139" s="10"/>
      <c r="LF139" s="10"/>
      <c r="LG139" s="10"/>
      <c r="LH139" s="10"/>
      <c r="LI139" s="10"/>
      <c r="LJ139" s="10"/>
      <c r="LK139" s="10"/>
      <c r="LL139" s="10"/>
      <c r="LM139" s="10"/>
      <c r="LN139" s="10"/>
      <c r="LO139" s="10"/>
      <c r="LP139" s="10"/>
      <c r="LQ139" s="10"/>
      <c r="LR139" s="10"/>
      <c r="LS139" s="10"/>
      <c r="LT139" s="10"/>
      <c r="LU139" s="10"/>
      <c r="LV139" s="10"/>
      <c r="LW139" s="10"/>
      <c r="LX139" s="10"/>
      <c r="LY139" s="10"/>
      <c r="LZ139" s="10"/>
      <c r="MA139" s="10"/>
      <c r="MB139" s="10"/>
      <c r="MC139" s="10"/>
      <c r="MD139" s="10"/>
      <c r="ME139" s="10"/>
      <c r="MF139" s="10"/>
      <c r="MG139" s="10"/>
      <c r="MH139" s="10"/>
      <c r="MI139" s="10"/>
      <c r="MJ139" s="10"/>
      <c r="MK139" s="10"/>
      <c r="ML139" s="10"/>
      <c r="MM139" s="10"/>
      <c r="MN139" s="10"/>
      <c r="MO139" s="10"/>
      <c r="MP139" s="10"/>
      <c r="MQ139" s="10"/>
      <c r="MR139" s="10"/>
      <c r="MS139" s="10"/>
      <c r="MT139" s="10"/>
      <c r="MU139" s="10"/>
      <c r="MV139" s="10"/>
      <c r="MW139" s="10"/>
      <c r="MX139" s="10"/>
      <c r="MY139" s="10"/>
      <c r="MZ139" s="10"/>
      <c r="NA139" s="10"/>
      <c r="NB139" s="10"/>
      <c r="NC139" s="10"/>
      <c r="ND139" s="10"/>
    </row>
    <row r="140" ht="24.75" customHeight="1">
      <c r="A140" s="8">
        <v>45830.47800052083</v>
      </c>
      <c r="B140" s="9" t="s">
        <v>368</v>
      </c>
      <c r="C140" s="9" t="s">
        <v>370</v>
      </c>
      <c r="E140" s="9" t="s">
        <v>667</v>
      </c>
      <c r="G140" s="9" t="s">
        <v>422</v>
      </c>
      <c r="H140" s="9" t="s">
        <v>496</v>
      </c>
      <c r="I140" s="9" t="s">
        <v>374</v>
      </c>
      <c r="J140" s="9" t="s">
        <v>718</v>
      </c>
      <c r="K140" s="9" t="s">
        <v>376</v>
      </c>
      <c r="L140" s="9" t="s">
        <v>793</v>
      </c>
      <c r="M140" s="9" t="s">
        <v>378</v>
      </c>
      <c r="N140" s="9" t="s">
        <v>793</v>
      </c>
      <c r="O140" s="9" t="s">
        <v>3352</v>
      </c>
      <c r="P140" s="9" t="s">
        <v>1504</v>
      </c>
      <c r="Q140" s="9" t="s">
        <v>1156</v>
      </c>
      <c r="R140" s="9" t="s">
        <v>427</v>
      </c>
      <c r="S140" s="9" t="s">
        <v>384</v>
      </c>
      <c r="T140" s="9" t="s">
        <v>385</v>
      </c>
      <c r="W140" s="9" t="s">
        <v>386</v>
      </c>
      <c r="X140" s="9" t="s">
        <v>387</v>
      </c>
      <c r="Y140" s="9" t="s">
        <v>3353</v>
      </c>
      <c r="Z140" s="9" t="s">
        <v>389</v>
      </c>
      <c r="AV140" s="9" t="s">
        <v>1310</v>
      </c>
      <c r="AW140" s="9">
        <v>4.0</v>
      </c>
      <c r="AX140" s="9">
        <v>4.0</v>
      </c>
      <c r="AY140" s="9">
        <v>4.0</v>
      </c>
      <c r="AZ140" s="9" t="s">
        <v>391</v>
      </c>
      <c r="BA140" s="9">
        <v>4.0</v>
      </c>
      <c r="BB140" s="9" t="s">
        <v>675</v>
      </c>
      <c r="BE140" s="9" t="s">
        <v>432</v>
      </c>
      <c r="BF140" s="9" t="s">
        <v>1245</v>
      </c>
      <c r="BG140" s="9" t="s">
        <v>394</v>
      </c>
      <c r="BI140" s="9" t="s">
        <v>976</v>
      </c>
      <c r="BK140" s="9" t="s">
        <v>395</v>
      </c>
      <c r="BL140" s="9" t="s">
        <v>904</v>
      </c>
      <c r="BM140" s="9" t="s">
        <v>1247</v>
      </c>
      <c r="BN140" s="9" t="s">
        <v>398</v>
      </c>
      <c r="BQ140" s="9" t="s">
        <v>401</v>
      </c>
      <c r="BR140" s="9" t="s">
        <v>2488</v>
      </c>
      <c r="BS140" s="9" t="s">
        <v>403</v>
      </c>
      <c r="BT140" s="9" t="s">
        <v>404</v>
      </c>
      <c r="BU140" s="9" t="s">
        <v>405</v>
      </c>
      <c r="BW140" s="9" t="s">
        <v>406</v>
      </c>
      <c r="BX140" s="9" t="s">
        <v>1867</v>
      </c>
      <c r="BY140" s="9" t="s">
        <v>408</v>
      </c>
      <c r="CD140" s="9" t="s">
        <v>451</v>
      </c>
      <c r="CF140" s="9" t="s">
        <v>1258</v>
      </c>
      <c r="CH140" s="9" t="s">
        <v>1751</v>
      </c>
      <c r="CI140" s="9" t="s">
        <v>410</v>
      </c>
      <c r="CJ140" s="9" t="s">
        <v>3354</v>
      </c>
      <c r="ET140" s="9" t="s">
        <v>526</v>
      </c>
      <c r="EU140" s="9" t="s">
        <v>1037</v>
      </c>
      <c r="EV140" s="9" t="s">
        <v>580</v>
      </c>
      <c r="EZ140" s="9" t="s">
        <v>416</v>
      </c>
      <c r="FA140" s="9" t="s">
        <v>414</v>
      </c>
      <c r="FB140" s="9" t="s">
        <v>413</v>
      </c>
      <c r="FC140" s="9" t="s">
        <v>414</v>
      </c>
      <c r="FD140" s="9" t="s">
        <v>416</v>
      </c>
      <c r="FE140" s="9" t="s">
        <v>414</v>
      </c>
      <c r="FF140" s="9" t="s">
        <v>415</v>
      </c>
      <c r="FG140" s="9" t="s">
        <v>415</v>
      </c>
      <c r="FH140" s="9" t="s">
        <v>414</v>
      </c>
      <c r="FI140" s="9" t="s">
        <v>414</v>
      </c>
      <c r="FJ140" s="9" t="s">
        <v>416</v>
      </c>
      <c r="FK140" s="9" t="s">
        <v>416</v>
      </c>
      <c r="FL140" s="9" t="s">
        <v>484</v>
      </c>
      <c r="FM140" s="9" t="s">
        <v>484</v>
      </c>
      <c r="FN140" s="9" t="s">
        <v>484</v>
      </c>
      <c r="FO140" s="9" t="s">
        <v>485</v>
      </c>
      <c r="FP140" s="9" t="s">
        <v>486</v>
      </c>
      <c r="FQ140" s="9" t="s">
        <v>712</v>
      </c>
      <c r="FS140" s="9" t="s">
        <v>1076</v>
      </c>
      <c r="FT140" s="9" t="s">
        <v>488</v>
      </c>
      <c r="FU140" s="9" t="s">
        <v>489</v>
      </c>
      <c r="FV140" s="9" t="s">
        <v>490</v>
      </c>
      <c r="FW140" s="9" t="s">
        <v>491</v>
      </c>
      <c r="FY140" s="9" t="s">
        <v>493</v>
      </c>
      <c r="GB140" s="9" t="s">
        <v>408</v>
      </c>
      <c r="GJ140" s="9" t="s">
        <v>857</v>
      </c>
      <c r="GK140" s="9" t="s">
        <v>857</v>
      </c>
      <c r="GL140" s="9" t="s">
        <v>790</v>
      </c>
      <c r="GQ140" s="12" t="s">
        <v>3355</v>
      </c>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c r="HX140" s="10"/>
      <c r="HY140" s="10"/>
      <c r="HZ140" s="10"/>
      <c r="IA140" s="10"/>
      <c r="IB140" s="10"/>
      <c r="IC140" s="10"/>
      <c r="ID140" s="10"/>
      <c r="IE140" s="10"/>
      <c r="IF140" s="10"/>
      <c r="IG140" s="10"/>
      <c r="IH140" s="10"/>
      <c r="II140" s="10"/>
      <c r="IJ140" s="10"/>
      <c r="IK140" s="10"/>
      <c r="IL140" s="10"/>
      <c r="IM140" s="10"/>
      <c r="IN140" s="10"/>
      <c r="IO140" s="10"/>
      <c r="IP140" s="10"/>
      <c r="IQ140" s="10"/>
      <c r="IR140" s="10"/>
      <c r="IS140" s="10"/>
      <c r="IT140" s="10"/>
      <c r="IU140" s="10"/>
      <c r="IV140" s="10"/>
      <c r="IW140" s="10"/>
      <c r="IX140" s="10"/>
      <c r="IY140" s="10"/>
      <c r="IZ140" s="10"/>
      <c r="JA140" s="10"/>
      <c r="JB140" s="10"/>
      <c r="JC140" s="10"/>
      <c r="JD140" s="10"/>
      <c r="JE140" s="10"/>
      <c r="JF140" s="10"/>
      <c r="JG140" s="10"/>
      <c r="JH140" s="10"/>
      <c r="JI140" s="10"/>
      <c r="JJ140" s="10"/>
      <c r="JK140" s="10"/>
      <c r="JL140" s="10"/>
      <c r="JM140" s="10"/>
      <c r="JN140" s="10"/>
      <c r="JO140" s="10"/>
      <c r="JP140" s="10"/>
      <c r="JQ140" s="10"/>
      <c r="JR140" s="10"/>
      <c r="JS140" s="10"/>
      <c r="JT140" s="10"/>
      <c r="JU140" s="10"/>
      <c r="JV140" s="10"/>
      <c r="JW140" s="10"/>
      <c r="JX140" s="10"/>
      <c r="JY140" s="10"/>
      <c r="JZ140" s="10"/>
      <c r="KA140" s="10"/>
      <c r="KB140" s="10"/>
      <c r="KC140" s="10"/>
      <c r="KD140" s="10"/>
      <c r="KE140" s="10"/>
      <c r="KF140" s="10"/>
      <c r="KG140" s="10"/>
      <c r="KH140" s="10"/>
      <c r="KI140" s="10"/>
      <c r="KJ140" s="10"/>
      <c r="KK140" s="10"/>
      <c r="KL140" s="10"/>
      <c r="KM140" s="10"/>
      <c r="KN140" s="10"/>
      <c r="KO140" s="10"/>
      <c r="KP140" s="10"/>
      <c r="KQ140" s="10"/>
      <c r="KR140" s="10"/>
      <c r="KS140" s="10"/>
      <c r="KT140" s="10"/>
      <c r="KU140" s="10"/>
      <c r="KV140" s="10"/>
      <c r="KW140" s="10"/>
      <c r="KX140" s="10"/>
      <c r="KY140" s="10"/>
      <c r="KZ140" s="10"/>
      <c r="LA140" s="10"/>
      <c r="LB140" s="10"/>
      <c r="LC140" s="10"/>
      <c r="LD140" s="10"/>
      <c r="LE140" s="10"/>
      <c r="LF140" s="10"/>
      <c r="LG140" s="10"/>
      <c r="LH140" s="10"/>
      <c r="LI140" s="10"/>
      <c r="LJ140" s="10"/>
      <c r="LK140" s="10"/>
      <c r="LL140" s="10"/>
      <c r="LM140" s="10"/>
      <c r="LN140" s="10"/>
      <c r="LO140" s="10"/>
      <c r="LP140" s="10"/>
      <c r="LQ140" s="10"/>
      <c r="LR140" s="10"/>
      <c r="LS140" s="10"/>
      <c r="LT140" s="10"/>
      <c r="LU140" s="10"/>
      <c r="LV140" s="10"/>
      <c r="LW140" s="10"/>
      <c r="LX140" s="10"/>
      <c r="LY140" s="10"/>
      <c r="LZ140" s="10"/>
      <c r="MA140" s="10"/>
      <c r="MB140" s="10"/>
      <c r="MC140" s="10"/>
      <c r="MD140" s="10"/>
      <c r="ME140" s="10"/>
      <c r="MF140" s="10"/>
      <c r="MG140" s="10"/>
      <c r="MH140" s="10"/>
      <c r="MI140" s="10"/>
      <c r="MJ140" s="10"/>
      <c r="MK140" s="10"/>
      <c r="ML140" s="10"/>
      <c r="MM140" s="10"/>
      <c r="MN140" s="10"/>
      <c r="MO140" s="10"/>
      <c r="MP140" s="10"/>
      <c r="MQ140" s="10"/>
      <c r="MR140" s="10"/>
      <c r="MS140" s="10"/>
      <c r="MT140" s="10"/>
      <c r="MU140" s="10"/>
      <c r="MV140" s="10"/>
      <c r="MW140" s="10"/>
      <c r="MX140" s="10"/>
      <c r="MY140" s="10"/>
      <c r="MZ140" s="10"/>
      <c r="NA140" s="10"/>
      <c r="NB140" s="10"/>
      <c r="NC140" s="10"/>
      <c r="ND140" s="10"/>
    </row>
    <row r="141" ht="24.75" customHeight="1">
      <c r="A141" s="8">
        <v>45830.5357296875</v>
      </c>
      <c r="B141" s="9" t="s">
        <v>368</v>
      </c>
      <c r="C141" s="9" t="s">
        <v>370</v>
      </c>
      <c r="E141" s="9" t="s">
        <v>1875</v>
      </c>
      <c r="G141" s="9" t="s">
        <v>422</v>
      </c>
      <c r="H141" s="9" t="s">
        <v>496</v>
      </c>
      <c r="I141" s="9" t="s">
        <v>374</v>
      </c>
      <c r="J141" s="9" t="s">
        <v>718</v>
      </c>
      <c r="K141" s="9" t="s">
        <v>376</v>
      </c>
      <c r="L141" s="9" t="s">
        <v>591</v>
      </c>
      <c r="M141" s="9" t="s">
        <v>719</v>
      </c>
      <c r="N141" s="9" t="s">
        <v>591</v>
      </c>
      <c r="O141" s="9" t="s">
        <v>719</v>
      </c>
      <c r="P141" s="9" t="s">
        <v>498</v>
      </c>
      <c r="Q141" s="9" t="s">
        <v>499</v>
      </c>
      <c r="R141" s="9" t="s">
        <v>427</v>
      </c>
      <c r="S141" s="9" t="s">
        <v>384</v>
      </c>
      <c r="T141" s="9" t="s">
        <v>385</v>
      </c>
      <c r="W141" s="9" t="s">
        <v>386</v>
      </c>
      <c r="X141" s="9" t="s">
        <v>387</v>
      </c>
      <c r="Y141" s="9" t="s">
        <v>388</v>
      </c>
      <c r="Z141" s="9" t="s">
        <v>543</v>
      </c>
      <c r="AA141" s="9" t="s">
        <v>408</v>
      </c>
      <c r="AB141" s="9" t="s">
        <v>3356</v>
      </c>
      <c r="AV141" s="9" t="s">
        <v>1310</v>
      </c>
      <c r="AW141" s="9" t="s">
        <v>675</v>
      </c>
      <c r="AX141" s="9">
        <v>4.0</v>
      </c>
      <c r="AY141" s="9" t="s">
        <v>675</v>
      </c>
      <c r="AZ141" s="9" t="s">
        <v>675</v>
      </c>
      <c r="BA141" s="9" t="s">
        <v>675</v>
      </c>
      <c r="BB141" s="9" t="s">
        <v>675</v>
      </c>
      <c r="BC141" s="9" t="s">
        <v>3357</v>
      </c>
      <c r="BD141" s="9" t="s">
        <v>3358</v>
      </c>
      <c r="BE141" s="9" t="s">
        <v>2379</v>
      </c>
      <c r="BF141" s="9" t="s">
        <v>1095</v>
      </c>
      <c r="BG141" s="9" t="s">
        <v>725</v>
      </c>
      <c r="BH141" s="9" t="s">
        <v>3359</v>
      </c>
      <c r="BI141" s="9" t="s">
        <v>727</v>
      </c>
      <c r="BK141" s="9" t="s">
        <v>395</v>
      </c>
      <c r="BL141" s="9" t="s">
        <v>603</v>
      </c>
      <c r="BM141" s="9" t="s">
        <v>1247</v>
      </c>
      <c r="BN141" s="9" t="s">
        <v>398</v>
      </c>
      <c r="BO141" s="9" t="s">
        <v>3360</v>
      </c>
      <c r="BP141" s="9" t="s">
        <v>3361</v>
      </c>
      <c r="BQ141" s="9" t="s">
        <v>604</v>
      </c>
      <c r="BR141" s="9" t="s">
        <v>3362</v>
      </c>
      <c r="BS141" s="9" t="s">
        <v>1251</v>
      </c>
      <c r="BT141" s="9" t="s">
        <v>1672</v>
      </c>
      <c r="BU141" s="9" t="s">
        <v>405</v>
      </c>
      <c r="BW141" s="9" t="s">
        <v>457</v>
      </c>
      <c r="BY141" s="9" t="s">
        <v>408</v>
      </c>
      <c r="CA141" s="9" t="s">
        <v>3363</v>
      </c>
      <c r="CB141" s="9" t="s">
        <v>3364</v>
      </c>
      <c r="CC141" s="9" t="s">
        <v>3365</v>
      </c>
      <c r="CD141" s="9" t="s">
        <v>409</v>
      </c>
      <c r="CE141" s="9" t="s">
        <v>3366</v>
      </c>
      <c r="CH141" s="9" t="s">
        <v>1698</v>
      </c>
      <c r="CI141" s="9" t="s">
        <v>1964</v>
      </c>
      <c r="CJ141" s="9" t="s">
        <v>3367</v>
      </c>
      <c r="CK141" s="9" t="s">
        <v>3368</v>
      </c>
      <c r="ET141" s="9" t="s">
        <v>578</v>
      </c>
      <c r="EU141" s="9" t="s">
        <v>887</v>
      </c>
      <c r="EV141" s="9" t="s">
        <v>663</v>
      </c>
      <c r="EX141" s="9" t="s">
        <v>3369</v>
      </c>
      <c r="EY141" s="9" t="s">
        <v>3370</v>
      </c>
      <c r="EZ141" s="9" t="s">
        <v>414</v>
      </c>
      <c r="FA141" s="9" t="s">
        <v>414</v>
      </c>
      <c r="FB141" s="9" t="s">
        <v>413</v>
      </c>
      <c r="FC141" s="9" t="s">
        <v>415</v>
      </c>
      <c r="FD141" s="9" t="s">
        <v>413</v>
      </c>
      <c r="FE141" s="9" t="s">
        <v>583</v>
      </c>
      <c r="FF141" s="9" t="s">
        <v>413</v>
      </c>
      <c r="FG141" s="9" t="s">
        <v>415</v>
      </c>
      <c r="FH141" s="9" t="s">
        <v>583</v>
      </c>
      <c r="FI141" s="9" t="s">
        <v>415</v>
      </c>
      <c r="FJ141" s="9" t="s">
        <v>415</v>
      </c>
      <c r="FK141" s="9" t="s">
        <v>413</v>
      </c>
      <c r="FL141" s="9" t="s">
        <v>583</v>
      </c>
      <c r="FM141" s="9" t="s">
        <v>583</v>
      </c>
      <c r="FN141" s="9" t="s">
        <v>413</v>
      </c>
      <c r="FO141" s="9" t="s">
        <v>417</v>
      </c>
      <c r="FP141" s="9" t="s">
        <v>418</v>
      </c>
      <c r="FQ141" s="9" t="s">
        <v>419</v>
      </c>
      <c r="FR141" s="9" t="s">
        <v>3371</v>
      </c>
      <c r="FS141" s="9" t="s">
        <v>1189</v>
      </c>
      <c r="FT141" s="9" t="s">
        <v>488</v>
      </c>
      <c r="FU141" s="9" t="s">
        <v>489</v>
      </c>
      <c r="FV141" s="9" t="s">
        <v>490</v>
      </c>
      <c r="FW141" s="9" t="s">
        <v>491</v>
      </c>
      <c r="FX141" s="9" t="s">
        <v>3372</v>
      </c>
      <c r="FY141" s="9" t="s">
        <v>493</v>
      </c>
      <c r="FZ141" s="9" t="s">
        <v>3373</v>
      </c>
      <c r="GA141" s="9" t="s">
        <v>3374</v>
      </c>
      <c r="GB141" s="9" t="s">
        <v>455</v>
      </c>
      <c r="GJ141" s="9" t="s">
        <v>789</v>
      </c>
      <c r="GK141" s="9" t="s">
        <v>788</v>
      </c>
      <c r="GL141" s="9" t="s">
        <v>921</v>
      </c>
      <c r="GQ141" s="9" t="s">
        <v>3273</v>
      </c>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c r="HX141" s="10"/>
      <c r="HY141" s="10"/>
      <c r="HZ141" s="10"/>
      <c r="IA141" s="10"/>
      <c r="IB141" s="10"/>
      <c r="IC141" s="10"/>
      <c r="ID141" s="10"/>
      <c r="IE141" s="10"/>
      <c r="IF141" s="10"/>
      <c r="IG141" s="10"/>
      <c r="IH141" s="10"/>
      <c r="II141" s="10"/>
      <c r="IJ141" s="10"/>
      <c r="IK141" s="10"/>
      <c r="IL141" s="10"/>
      <c r="IM141" s="10"/>
      <c r="IN141" s="10"/>
      <c r="IO141" s="10"/>
      <c r="IP141" s="10"/>
      <c r="IQ141" s="10"/>
      <c r="IR141" s="10"/>
      <c r="IS141" s="10"/>
      <c r="IT141" s="10"/>
      <c r="IU141" s="10"/>
      <c r="IV141" s="10"/>
      <c r="IW141" s="10"/>
      <c r="IX141" s="10"/>
      <c r="IY141" s="10"/>
      <c r="IZ141" s="10"/>
      <c r="JA141" s="10"/>
      <c r="JB141" s="10"/>
      <c r="JC141" s="10"/>
      <c r="JD141" s="10"/>
      <c r="JE141" s="10"/>
      <c r="JF141" s="10"/>
      <c r="JG141" s="10"/>
      <c r="JH141" s="10"/>
      <c r="JI141" s="10"/>
      <c r="JJ141" s="10"/>
      <c r="JK141" s="10"/>
      <c r="JL141" s="10"/>
      <c r="JM141" s="10"/>
      <c r="JN141" s="10"/>
      <c r="JO141" s="10"/>
      <c r="JP141" s="10"/>
      <c r="JQ141" s="10"/>
      <c r="JR141" s="10"/>
      <c r="JS141" s="10"/>
      <c r="JT141" s="10"/>
      <c r="JU141" s="10"/>
      <c r="JV141" s="10"/>
      <c r="JW141" s="10"/>
      <c r="JX141" s="10"/>
      <c r="JY141" s="10"/>
      <c r="JZ141" s="10"/>
      <c r="KA141" s="10"/>
      <c r="KB141" s="10"/>
      <c r="KC141" s="10"/>
      <c r="KD141" s="10"/>
      <c r="KE141" s="10"/>
      <c r="KF141" s="10"/>
      <c r="KG141" s="10"/>
      <c r="KH141" s="10"/>
      <c r="KI141" s="10"/>
      <c r="KJ141" s="10"/>
      <c r="KK141" s="10"/>
      <c r="KL141" s="10"/>
      <c r="KM141" s="10"/>
      <c r="KN141" s="10"/>
      <c r="KO141" s="10"/>
      <c r="KP141" s="10"/>
      <c r="KQ141" s="10"/>
      <c r="KR141" s="10"/>
      <c r="KS141" s="10"/>
      <c r="KT141" s="10"/>
      <c r="KU141" s="10"/>
      <c r="KV141" s="10"/>
      <c r="KW141" s="10"/>
      <c r="KX141" s="10"/>
      <c r="KY141" s="10"/>
      <c r="KZ141" s="10"/>
      <c r="LA141" s="10"/>
      <c r="LB141" s="10"/>
      <c r="LC141" s="10"/>
      <c r="LD141" s="10"/>
      <c r="LE141" s="10"/>
      <c r="LF141" s="10"/>
      <c r="LG141" s="10"/>
      <c r="LH141" s="10"/>
      <c r="LI141" s="10"/>
      <c r="LJ141" s="10"/>
      <c r="LK141" s="10"/>
      <c r="LL141" s="10"/>
      <c r="LM141" s="10"/>
      <c r="LN141" s="10"/>
      <c r="LO141" s="10"/>
      <c r="LP141" s="10"/>
      <c r="LQ141" s="10"/>
      <c r="LR141" s="10"/>
      <c r="LS141" s="10"/>
      <c r="LT141" s="10"/>
      <c r="LU141" s="10"/>
      <c r="LV141" s="10"/>
      <c r="LW141" s="10"/>
      <c r="LX141" s="10"/>
      <c r="LY141" s="10"/>
      <c r="LZ141" s="10"/>
      <c r="MA141" s="10"/>
      <c r="MB141" s="10"/>
      <c r="MC141" s="10"/>
      <c r="MD141" s="10"/>
      <c r="ME141" s="10"/>
      <c r="MF141" s="10"/>
      <c r="MG141" s="10"/>
      <c r="MH141" s="10"/>
      <c r="MI141" s="10"/>
      <c r="MJ141" s="10"/>
      <c r="MK141" s="10"/>
      <c r="ML141" s="10"/>
      <c r="MM141" s="10"/>
      <c r="MN141" s="10"/>
      <c r="MO141" s="10"/>
      <c r="MP141" s="10"/>
      <c r="MQ141" s="10"/>
      <c r="MR141" s="10"/>
      <c r="MS141" s="10"/>
      <c r="MT141" s="10"/>
      <c r="MU141" s="10"/>
      <c r="MV141" s="10"/>
      <c r="MW141" s="10"/>
      <c r="MX141" s="10"/>
      <c r="MY141" s="10"/>
      <c r="MZ141" s="10"/>
      <c r="NA141" s="10"/>
      <c r="NB141" s="10"/>
      <c r="NC141" s="10"/>
      <c r="ND141" s="10"/>
    </row>
    <row r="142" ht="24.75" customHeight="1">
      <c r="A142" s="8">
        <v>45830.61729040509</v>
      </c>
      <c r="B142" s="9" t="s">
        <v>368</v>
      </c>
      <c r="C142" s="9" t="s">
        <v>894</v>
      </c>
      <c r="D142" s="9" t="s">
        <v>894</v>
      </c>
      <c r="G142" s="9" t="s">
        <v>422</v>
      </c>
      <c r="H142" s="9" t="s">
        <v>539</v>
      </c>
      <c r="I142" s="9" t="s">
        <v>424</v>
      </c>
      <c r="J142" s="9" t="s">
        <v>718</v>
      </c>
      <c r="K142" s="9" t="s">
        <v>376</v>
      </c>
      <c r="L142" s="9" t="s">
        <v>379</v>
      </c>
      <c r="M142" s="9" t="s">
        <v>378</v>
      </c>
      <c r="N142" s="9" t="s">
        <v>379</v>
      </c>
      <c r="O142" s="9" t="s">
        <v>497</v>
      </c>
      <c r="P142" s="9" t="s">
        <v>592</v>
      </c>
      <c r="Q142" s="9" t="s">
        <v>499</v>
      </c>
      <c r="R142" s="9" t="s">
        <v>500</v>
      </c>
      <c r="S142" s="9" t="s">
        <v>384</v>
      </c>
      <c r="T142" s="9" t="s">
        <v>385</v>
      </c>
      <c r="U142" s="9" t="s">
        <v>896</v>
      </c>
      <c r="V142" s="9" t="s">
        <v>896</v>
      </c>
      <c r="W142" s="9" t="s">
        <v>3014</v>
      </c>
      <c r="AV142" s="9" t="s">
        <v>1242</v>
      </c>
      <c r="AW142" s="9">
        <v>4.0</v>
      </c>
      <c r="AX142" s="9">
        <v>4.0</v>
      </c>
      <c r="AY142" s="9">
        <v>4.0</v>
      </c>
      <c r="AZ142" s="9">
        <v>4.0</v>
      </c>
      <c r="BA142" s="9" t="s">
        <v>675</v>
      </c>
      <c r="BB142" s="9">
        <v>4.0</v>
      </c>
      <c r="BE142" s="9" t="s">
        <v>432</v>
      </c>
      <c r="BF142" s="9" t="s">
        <v>1095</v>
      </c>
      <c r="BG142" s="9" t="s">
        <v>394</v>
      </c>
      <c r="BI142" s="9" t="s">
        <v>435</v>
      </c>
      <c r="BK142" s="9" t="s">
        <v>395</v>
      </c>
      <c r="BL142" s="9" t="s">
        <v>512</v>
      </c>
      <c r="BM142" s="9" t="s">
        <v>1314</v>
      </c>
      <c r="BN142" s="9" t="s">
        <v>398</v>
      </c>
      <c r="BQ142" s="9" t="s">
        <v>442</v>
      </c>
      <c r="BR142" s="9" t="s">
        <v>3375</v>
      </c>
      <c r="BT142" s="9" t="s">
        <v>1672</v>
      </c>
      <c r="BU142" s="9" t="s">
        <v>1693</v>
      </c>
      <c r="BW142" s="9" t="s">
        <v>457</v>
      </c>
      <c r="BY142" s="9" t="s">
        <v>408</v>
      </c>
      <c r="CD142" s="9" t="s">
        <v>451</v>
      </c>
      <c r="CF142" s="9" t="s">
        <v>1722</v>
      </c>
      <c r="CH142" s="9" t="s">
        <v>1698</v>
      </c>
      <c r="CI142" s="9" t="s">
        <v>410</v>
      </c>
      <c r="ET142" s="9" t="s">
        <v>578</v>
      </c>
      <c r="EU142" s="9" t="s">
        <v>479</v>
      </c>
      <c r="EV142" s="9" t="s">
        <v>480</v>
      </c>
      <c r="EZ142" s="9" t="s">
        <v>583</v>
      </c>
      <c r="FA142" s="9" t="s">
        <v>583</v>
      </c>
      <c r="FB142" s="9" t="s">
        <v>583</v>
      </c>
      <c r="FC142" s="9" t="s">
        <v>583</v>
      </c>
      <c r="FD142" s="9" t="s">
        <v>415</v>
      </c>
      <c r="FE142" s="9" t="s">
        <v>583</v>
      </c>
      <c r="FF142" s="9" t="s">
        <v>583</v>
      </c>
      <c r="FG142" s="9" t="s">
        <v>416</v>
      </c>
      <c r="FH142" s="9" t="s">
        <v>583</v>
      </c>
      <c r="FI142" s="9" t="s">
        <v>583</v>
      </c>
      <c r="FJ142" s="9" t="s">
        <v>583</v>
      </c>
      <c r="FK142" s="9" t="s">
        <v>484</v>
      </c>
      <c r="FL142" s="9" t="s">
        <v>583</v>
      </c>
      <c r="FM142" s="9" t="s">
        <v>416</v>
      </c>
      <c r="FN142" s="9" t="s">
        <v>583</v>
      </c>
      <c r="FO142" s="9" t="s">
        <v>1074</v>
      </c>
      <c r="FP142" s="9" t="s">
        <v>418</v>
      </c>
      <c r="FQ142" s="9" t="s">
        <v>419</v>
      </c>
      <c r="FS142" s="9" t="s">
        <v>995</v>
      </c>
      <c r="FT142" s="9" t="s">
        <v>488</v>
      </c>
      <c r="FU142" s="9" t="s">
        <v>533</v>
      </c>
      <c r="FV142" s="9" t="s">
        <v>1101</v>
      </c>
      <c r="FW142" s="9" t="s">
        <v>491</v>
      </c>
      <c r="FY142" s="9" t="s">
        <v>1020</v>
      </c>
      <c r="GB142" s="9" t="s">
        <v>408</v>
      </c>
      <c r="GJ142" s="9" t="s">
        <v>755</v>
      </c>
      <c r="GK142" s="9" t="s">
        <v>755</v>
      </c>
      <c r="GL142" s="9" t="s">
        <v>946</v>
      </c>
      <c r="GQ142" s="9" t="s">
        <v>3273</v>
      </c>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c r="HX142" s="10"/>
      <c r="HY142" s="10"/>
      <c r="HZ142" s="10"/>
      <c r="IA142" s="10"/>
      <c r="IB142" s="10"/>
      <c r="IC142" s="10"/>
      <c r="ID142" s="10"/>
      <c r="IE142" s="10"/>
      <c r="IF142" s="10"/>
      <c r="IG142" s="10"/>
      <c r="IH142" s="10"/>
      <c r="II142" s="10"/>
      <c r="IJ142" s="10"/>
      <c r="IK142" s="10"/>
      <c r="IL142" s="10"/>
      <c r="IM142" s="10"/>
      <c r="IN142" s="10"/>
      <c r="IO142" s="10"/>
      <c r="IP142" s="10"/>
      <c r="IQ142" s="10"/>
      <c r="IR142" s="10"/>
      <c r="IS142" s="10"/>
      <c r="IT142" s="10"/>
      <c r="IU142" s="10"/>
      <c r="IV142" s="10"/>
      <c r="IW142" s="10"/>
      <c r="IX142" s="10"/>
      <c r="IY142" s="10"/>
      <c r="IZ142" s="10"/>
      <c r="JA142" s="10"/>
      <c r="JB142" s="10"/>
      <c r="JC142" s="10"/>
      <c r="JD142" s="10"/>
      <c r="JE142" s="10"/>
      <c r="JF142" s="10"/>
      <c r="JG142" s="10"/>
      <c r="JH142" s="10"/>
      <c r="JI142" s="10"/>
      <c r="JJ142" s="10"/>
      <c r="JK142" s="10"/>
      <c r="JL142" s="10"/>
      <c r="JM142" s="10"/>
      <c r="JN142" s="10"/>
      <c r="JO142" s="10"/>
      <c r="JP142" s="10"/>
      <c r="JQ142" s="10"/>
      <c r="JR142" s="10"/>
      <c r="JS142" s="10"/>
      <c r="JT142" s="10"/>
      <c r="JU142" s="10"/>
      <c r="JV142" s="10"/>
      <c r="JW142" s="10"/>
      <c r="JX142" s="10"/>
      <c r="JY142" s="10"/>
      <c r="JZ142" s="10"/>
      <c r="KA142" s="10"/>
      <c r="KB142" s="10"/>
      <c r="KC142" s="10"/>
      <c r="KD142" s="10"/>
      <c r="KE142" s="10"/>
      <c r="KF142" s="10"/>
      <c r="KG142" s="10"/>
      <c r="KH142" s="10"/>
      <c r="KI142" s="10"/>
      <c r="KJ142" s="10"/>
      <c r="KK142" s="10"/>
      <c r="KL142" s="10"/>
      <c r="KM142" s="10"/>
      <c r="KN142" s="10"/>
      <c r="KO142" s="10"/>
      <c r="KP142" s="10"/>
      <c r="KQ142" s="10"/>
      <c r="KR142" s="10"/>
      <c r="KS142" s="10"/>
      <c r="KT142" s="10"/>
      <c r="KU142" s="10"/>
      <c r="KV142" s="10"/>
      <c r="KW142" s="10"/>
      <c r="KX142" s="10"/>
      <c r="KY142" s="10"/>
      <c r="KZ142" s="10"/>
      <c r="LA142" s="10"/>
      <c r="LB142" s="10"/>
      <c r="LC142" s="10"/>
      <c r="LD142" s="10"/>
      <c r="LE142" s="10"/>
      <c r="LF142" s="10"/>
      <c r="LG142" s="10"/>
      <c r="LH142" s="10"/>
      <c r="LI142" s="10"/>
      <c r="LJ142" s="10"/>
      <c r="LK142" s="10"/>
      <c r="LL142" s="10"/>
      <c r="LM142" s="10"/>
      <c r="LN142" s="10"/>
      <c r="LO142" s="10"/>
      <c r="LP142" s="10"/>
      <c r="LQ142" s="10"/>
      <c r="LR142" s="10"/>
      <c r="LS142" s="10"/>
      <c r="LT142" s="10"/>
      <c r="LU142" s="10"/>
      <c r="LV142" s="10"/>
      <c r="LW142" s="10"/>
      <c r="LX142" s="10"/>
      <c r="LY142" s="10"/>
      <c r="LZ142" s="10"/>
      <c r="MA142" s="10"/>
      <c r="MB142" s="10"/>
      <c r="MC142" s="10"/>
      <c r="MD142" s="10"/>
      <c r="ME142" s="10"/>
      <c r="MF142" s="10"/>
      <c r="MG142" s="10"/>
      <c r="MH142" s="10"/>
      <c r="MI142" s="10"/>
      <c r="MJ142" s="10"/>
      <c r="MK142" s="10"/>
      <c r="ML142" s="10"/>
      <c r="MM142" s="10"/>
      <c r="MN142" s="10"/>
      <c r="MO142" s="10"/>
      <c r="MP142" s="10"/>
      <c r="MQ142" s="10"/>
      <c r="MR142" s="10"/>
      <c r="MS142" s="10"/>
      <c r="MT142" s="10"/>
      <c r="MU142" s="10"/>
      <c r="MV142" s="10"/>
      <c r="MW142" s="10"/>
      <c r="MX142" s="10"/>
      <c r="MY142" s="10"/>
      <c r="MZ142" s="10"/>
      <c r="NA142" s="10"/>
      <c r="NB142" s="10"/>
      <c r="NC142" s="10"/>
      <c r="ND142" s="10"/>
    </row>
    <row r="143" ht="24.75" customHeight="1">
      <c r="A143" s="8">
        <v>45830.622208518515</v>
      </c>
      <c r="B143" s="9" t="s">
        <v>368</v>
      </c>
      <c r="C143" s="9" t="s">
        <v>3376</v>
      </c>
      <c r="D143" s="9" t="s">
        <v>3376</v>
      </c>
      <c r="G143" s="9" t="s">
        <v>1093</v>
      </c>
      <c r="H143" s="9" t="s">
        <v>373</v>
      </c>
      <c r="I143" s="9" t="s">
        <v>374</v>
      </c>
      <c r="J143" s="9" t="s">
        <v>375</v>
      </c>
      <c r="K143" s="9" t="s">
        <v>376</v>
      </c>
      <c r="L143" s="9" t="s">
        <v>1526</v>
      </c>
      <c r="M143" s="9" t="s">
        <v>3377</v>
      </c>
      <c r="N143" s="9" t="s">
        <v>1526</v>
      </c>
      <c r="O143" s="9" t="s">
        <v>1799</v>
      </c>
      <c r="P143" s="9" t="s">
        <v>1760</v>
      </c>
      <c r="Q143" s="9" t="s">
        <v>759</v>
      </c>
      <c r="R143" s="9" t="s">
        <v>3378</v>
      </c>
      <c r="S143" s="9" t="s">
        <v>384</v>
      </c>
      <c r="T143" s="9" t="s">
        <v>385</v>
      </c>
      <c r="W143" s="9" t="s">
        <v>1023</v>
      </c>
      <c r="X143" s="9" t="s">
        <v>2729</v>
      </c>
      <c r="AV143" s="9" t="s">
        <v>1310</v>
      </c>
      <c r="AW143" s="9" t="s">
        <v>391</v>
      </c>
      <c r="AX143" s="9" t="s">
        <v>391</v>
      </c>
      <c r="AY143" s="9">
        <v>2.0</v>
      </c>
      <c r="AZ143" s="9">
        <v>2.0</v>
      </c>
      <c r="BA143" s="9" t="s">
        <v>391</v>
      </c>
      <c r="BB143" s="9" t="s">
        <v>391</v>
      </c>
      <c r="BC143" s="9" t="s">
        <v>3379</v>
      </c>
      <c r="BD143" s="9" t="s">
        <v>3380</v>
      </c>
      <c r="BE143" s="9" t="s">
        <v>432</v>
      </c>
      <c r="BF143" s="9" t="s">
        <v>1047</v>
      </c>
      <c r="BG143" s="9" t="s">
        <v>434</v>
      </c>
      <c r="BH143" s="9" t="s">
        <v>3381</v>
      </c>
      <c r="BI143" s="9" t="s">
        <v>435</v>
      </c>
      <c r="BJ143" s="9" t="s">
        <v>3382</v>
      </c>
      <c r="BK143" s="9" t="s">
        <v>511</v>
      </c>
      <c r="BL143" s="9" t="s">
        <v>438</v>
      </c>
      <c r="BM143" s="9" t="s">
        <v>397</v>
      </c>
      <c r="BN143" s="9" t="s">
        <v>398</v>
      </c>
      <c r="BO143" s="9" t="s">
        <v>3383</v>
      </c>
      <c r="BP143" s="9" t="s">
        <v>3384</v>
      </c>
      <c r="BQ143" s="9" t="s">
        <v>401</v>
      </c>
      <c r="BR143" s="9" t="s">
        <v>3385</v>
      </c>
      <c r="BS143" s="9" t="s">
        <v>403</v>
      </c>
      <c r="BT143" s="9" t="s">
        <v>1994</v>
      </c>
      <c r="BU143" s="9" t="s">
        <v>405</v>
      </c>
      <c r="BW143" s="9" t="s">
        <v>406</v>
      </c>
      <c r="BX143" s="9" t="s">
        <v>1867</v>
      </c>
      <c r="BY143" s="9" t="s">
        <v>455</v>
      </c>
      <c r="BZ143" s="9" t="s">
        <v>3386</v>
      </c>
      <c r="CA143" s="9" t="s">
        <v>3387</v>
      </c>
      <c r="CB143" s="9" t="s">
        <v>3388</v>
      </c>
      <c r="CC143" s="9" t="s">
        <v>3389</v>
      </c>
      <c r="CD143" s="9" t="s">
        <v>409</v>
      </c>
      <c r="CE143" s="9" t="s">
        <v>3390</v>
      </c>
      <c r="CF143" s="9" t="s">
        <v>1258</v>
      </c>
      <c r="CH143" s="9" t="s">
        <v>1698</v>
      </c>
      <c r="CI143" s="9" t="s">
        <v>1220</v>
      </c>
      <c r="CJ143" s="9" t="s">
        <v>3391</v>
      </c>
      <c r="CK143" s="9" t="s">
        <v>3392</v>
      </c>
      <c r="ET143" s="9" t="s">
        <v>478</v>
      </c>
      <c r="EU143" s="9" t="s">
        <v>579</v>
      </c>
      <c r="EV143" s="9" t="s">
        <v>527</v>
      </c>
      <c r="EW143" s="9" t="s">
        <v>3393</v>
      </c>
      <c r="EX143" s="9" t="s">
        <v>3394</v>
      </c>
      <c r="EY143" s="9" t="s">
        <v>3395</v>
      </c>
      <c r="EZ143" s="9" t="s">
        <v>415</v>
      </c>
      <c r="FA143" s="9" t="s">
        <v>414</v>
      </c>
      <c r="FB143" s="9" t="s">
        <v>415</v>
      </c>
      <c r="FC143" s="9" t="s">
        <v>415</v>
      </c>
      <c r="FD143" s="9" t="s">
        <v>415</v>
      </c>
      <c r="FE143" s="9" t="s">
        <v>415</v>
      </c>
      <c r="FF143" s="9" t="s">
        <v>415</v>
      </c>
      <c r="FG143" s="9" t="s">
        <v>415</v>
      </c>
      <c r="FH143" s="9" t="s">
        <v>415</v>
      </c>
      <c r="FI143" s="9" t="s">
        <v>415</v>
      </c>
      <c r="FJ143" s="9" t="s">
        <v>415</v>
      </c>
      <c r="FK143" s="9" t="s">
        <v>415</v>
      </c>
      <c r="FL143" s="9" t="s">
        <v>415</v>
      </c>
      <c r="FM143" s="9" t="s">
        <v>415</v>
      </c>
      <c r="FN143" s="9" t="s">
        <v>415</v>
      </c>
      <c r="FO143" s="9" t="s">
        <v>3396</v>
      </c>
      <c r="FP143" s="9" t="s">
        <v>486</v>
      </c>
      <c r="FQ143" s="9" t="s">
        <v>712</v>
      </c>
      <c r="FR143" s="9" t="s">
        <v>3397</v>
      </c>
      <c r="FS143" s="9" t="s">
        <v>420</v>
      </c>
      <c r="FT143" s="9" t="s">
        <v>1462</v>
      </c>
      <c r="FU143" s="9" t="s">
        <v>918</v>
      </c>
      <c r="FV143" s="9" t="s">
        <v>490</v>
      </c>
      <c r="FW143" s="9" t="s">
        <v>491</v>
      </c>
      <c r="FX143" s="9" t="s">
        <v>3398</v>
      </c>
      <c r="FY143" s="9" t="s">
        <v>493</v>
      </c>
      <c r="FZ143" s="9" t="s">
        <v>3399</v>
      </c>
      <c r="GA143" s="9" t="s">
        <v>3400</v>
      </c>
      <c r="GB143" s="9" t="s">
        <v>455</v>
      </c>
      <c r="GD143" s="9" t="s">
        <v>3401</v>
      </c>
      <c r="GE143" s="9" t="s">
        <v>855</v>
      </c>
      <c r="GF143" s="9" t="s">
        <v>3402</v>
      </c>
      <c r="GJ143" s="9" t="s">
        <v>857</v>
      </c>
      <c r="GK143" s="9" t="s">
        <v>857</v>
      </c>
      <c r="GL143" s="9" t="s">
        <v>817</v>
      </c>
      <c r="GN143" s="9" t="s">
        <v>3376</v>
      </c>
      <c r="GO143" s="9" t="s">
        <v>3376</v>
      </c>
      <c r="GQ143" s="9" t="s">
        <v>3208</v>
      </c>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c r="HX143" s="10"/>
      <c r="HY143" s="10"/>
      <c r="HZ143" s="10"/>
      <c r="IA143" s="10"/>
      <c r="IB143" s="10"/>
      <c r="IC143" s="10"/>
      <c r="ID143" s="10"/>
      <c r="IE143" s="10"/>
      <c r="IF143" s="10"/>
      <c r="IG143" s="10"/>
      <c r="IH143" s="10"/>
      <c r="II143" s="10"/>
      <c r="IJ143" s="10"/>
      <c r="IK143" s="10"/>
      <c r="IL143" s="10"/>
      <c r="IM143" s="10"/>
      <c r="IN143" s="10"/>
      <c r="IO143" s="10"/>
      <c r="IP143" s="10"/>
      <c r="IQ143" s="10"/>
      <c r="IR143" s="10"/>
      <c r="IS143" s="10"/>
      <c r="IT143" s="10"/>
      <c r="IU143" s="10"/>
      <c r="IV143" s="10"/>
      <c r="IW143" s="10"/>
      <c r="IX143" s="10"/>
      <c r="IY143" s="10"/>
      <c r="IZ143" s="10"/>
      <c r="JA143" s="10"/>
      <c r="JB143" s="10"/>
      <c r="JC143" s="10"/>
      <c r="JD143" s="10"/>
      <c r="JE143" s="10"/>
      <c r="JF143" s="10"/>
      <c r="JG143" s="10"/>
      <c r="JH143" s="10"/>
      <c r="JI143" s="10"/>
      <c r="JJ143" s="10"/>
      <c r="JK143" s="10"/>
      <c r="JL143" s="10"/>
      <c r="JM143" s="10"/>
      <c r="JN143" s="10"/>
      <c r="JO143" s="10"/>
      <c r="JP143" s="10"/>
      <c r="JQ143" s="10"/>
      <c r="JR143" s="10"/>
      <c r="JS143" s="10"/>
      <c r="JT143" s="10"/>
      <c r="JU143" s="10"/>
      <c r="JV143" s="10"/>
      <c r="JW143" s="10"/>
      <c r="JX143" s="10"/>
      <c r="JY143" s="10"/>
      <c r="JZ143" s="10"/>
      <c r="KA143" s="10"/>
      <c r="KB143" s="10"/>
      <c r="KC143" s="10"/>
      <c r="KD143" s="10"/>
      <c r="KE143" s="10"/>
      <c r="KF143" s="10"/>
      <c r="KG143" s="10"/>
      <c r="KH143" s="10"/>
      <c r="KI143" s="10"/>
      <c r="KJ143" s="10"/>
      <c r="KK143" s="10"/>
      <c r="KL143" s="10"/>
      <c r="KM143" s="10"/>
      <c r="KN143" s="10"/>
      <c r="KO143" s="10"/>
      <c r="KP143" s="10"/>
      <c r="KQ143" s="10"/>
      <c r="KR143" s="10"/>
      <c r="KS143" s="10"/>
      <c r="KT143" s="10"/>
      <c r="KU143" s="10"/>
      <c r="KV143" s="10"/>
      <c r="KW143" s="10"/>
      <c r="KX143" s="10"/>
      <c r="KY143" s="10"/>
      <c r="KZ143" s="10"/>
      <c r="LA143" s="10"/>
      <c r="LB143" s="10"/>
      <c r="LC143" s="10"/>
      <c r="LD143" s="10"/>
      <c r="LE143" s="10"/>
      <c r="LF143" s="10"/>
      <c r="LG143" s="10"/>
      <c r="LH143" s="10"/>
      <c r="LI143" s="10"/>
      <c r="LJ143" s="10"/>
      <c r="LK143" s="10"/>
      <c r="LL143" s="10"/>
      <c r="LM143" s="10"/>
      <c r="LN143" s="10"/>
      <c r="LO143" s="10"/>
      <c r="LP143" s="10"/>
      <c r="LQ143" s="10"/>
      <c r="LR143" s="10"/>
      <c r="LS143" s="10"/>
      <c r="LT143" s="10"/>
      <c r="LU143" s="10"/>
      <c r="LV143" s="10"/>
      <c r="LW143" s="10"/>
      <c r="LX143" s="10"/>
      <c r="LY143" s="10"/>
      <c r="LZ143" s="10"/>
      <c r="MA143" s="10"/>
      <c r="MB143" s="10"/>
      <c r="MC143" s="10"/>
      <c r="MD143" s="10"/>
      <c r="ME143" s="10"/>
      <c r="MF143" s="10"/>
      <c r="MG143" s="10"/>
      <c r="MH143" s="10"/>
      <c r="MI143" s="10"/>
      <c r="MJ143" s="10"/>
      <c r="MK143" s="10"/>
      <c r="ML143" s="10"/>
      <c r="MM143" s="10"/>
      <c r="MN143" s="10"/>
      <c r="MO143" s="10"/>
      <c r="MP143" s="10"/>
      <c r="MQ143" s="10"/>
      <c r="MR143" s="10"/>
      <c r="MS143" s="10"/>
      <c r="MT143" s="10"/>
      <c r="MU143" s="10"/>
      <c r="MV143" s="10"/>
      <c r="MW143" s="10"/>
      <c r="MX143" s="10"/>
      <c r="MY143" s="10"/>
      <c r="MZ143" s="10"/>
      <c r="NA143" s="10"/>
      <c r="NB143" s="10"/>
      <c r="NC143" s="10"/>
      <c r="ND143" s="10"/>
    </row>
    <row r="144" ht="24.75" customHeight="1">
      <c r="A144" s="8">
        <v>45830.63773170139</v>
      </c>
      <c r="B144" s="9" t="s">
        <v>368</v>
      </c>
      <c r="C144" s="9" t="s">
        <v>894</v>
      </c>
      <c r="D144" s="9" t="s">
        <v>894</v>
      </c>
      <c r="G144" s="9" t="s">
        <v>422</v>
      </c>
      <c r="H144" s="9" t="s">
        <v>539</v>
      </c>
      <c r="I144" s="9" t="s">
        <v>2578</v>
      </c>
      <c r="J144" s="9" t="s">
        <v>590</v>
      </c>
      <c r="K144" s="9" t="s">
        <v>376</v>
      </c>
      <c r="L144" s="9" t="s">
        <v>379</v>
      </c>
      <c r="M144" s="9" t="s">
        <v>948</v>
      </c>
      <c r="N144" s="9" t="s">
        <v>426</v>
      </c>
      <c r="O144" s="9" t="s">
        <v>639</v>
      </c>
      <c r="P144" s="9" t="s">
        <v>498</v>
      </c>
      <c r="Q144" s="9" t="s">
        <v>382</v>
      </c>
      <c r="R144" s="9" t="s">
        <v>427</v>
      </c>
      <c r="S144" s="9" t="s">
        <v>384</v>
      </c>
      <c r="T144" s="9" t="s">
        <v>385</v>
      </c>
      <c r="U144" s="9" t="s">
        <v>1045</v>
      </c>
      <c r="V144" s="9" t="s">
        <v>1045</v>
      </c>
      <c r="W144" s="9" t="s">
        <v>3014</v>
      </c>
      <c r="AV144" s="9" t="s">
        <v>597</v>
      </c>
      <c r="AW144" s="9" t="s">
        <v>391</v>
      </c>
      <c r="AX144" s="9" t="s">
        <v>391</v>
      </c>
      <c r="AY144" s="9" t="s">
        <v>391</v>
      </c>
      <c r="AZ144" s="9">
        <v>4.0</v>
      </c>
      <c r="BA144" s="9">
        <v>4.0</v>
      </c>
      <c r="BB144" s="9">
        <v>4.0</v>
      </c>
      <c r="BC144" s="9" t="s">
        <v>3403</v>
      </c>
      <c r="BD144" s="9" t="s">
        <v>3404</v>
      </c>
      <c r="BE144" s="9" t="s">
        <v>432</v>
      </c>
      <c r="BF144" s="9" t="s">
        <v>393</v>
      </c>
      <c r="BG144" s="9" t="s">
        <v>725</v>
      </c>
      <c r="BH144" s="9" t="s">
        <v>3405</v>
      </c>
      <c r="BI144" s="9" t="s">
        <v>435</v>
      </c>
      <c r="BJ144" s="9" t="s">
        <v>3406</v>
      </c>
      <c r="BK144" s="9" t="s">
        <v>681</v>
      </c>
      <c r="BL144" s="9" t="s">
        <v>438</v>
      </c>
      <c r="BM144" s="9" t="s">
        <v>397</v>
      </c>
      <c r="BN144" s="9" t="s">
        <v>398</v>
      </c>
      <c r="BO144" s="9" t="s">
        <v>3407</v>
      </c>
      <c r="BP144" s="9" t="s">
        <v>3408</v>
      </c>
      <c r="BQ144" s="9" t="s">
        <v>604</v>
      </c>
      <c r="BR144" s="9" t="s">
        <v>3409</v>
      </c>
      <c r="BS144" s="9" t="s">
        <v>1251</v>
      </c>
      <c r="BU144" s="9" t="s">
        <v>1772</v>
      </c>
      <c r="BV144" s="9" t="s">
        <v>3410</v>
      </c>
      <c r="BW144" s="9" t="s">
        <v>457</v>
      </c>
      <c r="BY144" s="9" t="s">
        <v>408</v>
      </c>
      <c r="CA144" s="9" t="s">
        <v>3411</v>
      </c>
      <c r="CB144" s="9" t="s">
        <v>3412</v>
      </c>
      <c r="CC144" s="9" t="s">
        <v>3413</v>
      </c>
      <c r="CD144" s="9" t="s">
        <v>409</v>
      </c>
      <c r="CE144" s="9" t="s">
        <v>3414</v>
      </c>
      <c r="CF144" s="9" t="s">
        <v>1258</v>
      </c>
      <c r="CH144" s="9" t="s">
        <v>1698</v>
      </c>
      <c r="CI144" s="9" t="s">
        <v>833</v>
      </c>
      <c r="CJ144" s="9" t="s">
        <v>3415</v>
      </c>
      <c r="CK144" s="9" t="s">
        <v>3416</v>
      </c>
      <c r="ET144" s="9" t="s">
        <v>526</v>
      </c>
      <c r="EU144" s="9" t="s">
        <v>1127</v>
      </c>
      <c r="EV144" s="9" t="s">
        <v>527</v>
      </c>
      <c r="EW144" s="9" t="s">
        <v>3417</v>
      </c>
      <c r="EX144" s="9" t="s">
        <v>3418</v>
      </c>
      <c r="EY144" s="9" t="s">
        <v>3419</v>
      </c>
      <c r="EZ144" s="9" t="s">
        <v>415</v>
      </c>
      <c r="FA144" s="9" t="s">
        <v>414</v>
      </c>
      <c r="FB144" s="9" t="s">
        <v>413</v>
      </c>
      <c r="FC144" s="9" t="s">
        <v>484</v>
      </c>
      <c r="FD144" s="9" t="s">
        <v>413</v>
      </c>
      <c r="FE144" s="9" t="s">
        <v>416</v>
      </c>
      <c r="FF144" s="9" t="s">
        <v>415</v>
      </c>
      <c r="FG144" s="9" t="s">
        <v>416</v>
      </c>
      <c r="FH144" s="9" t="s">
        <v>414</v>
      </c>
      <c r="FI144" s="9" t="s">
        <v>484</v>
      </c>
      <c r="FJ144" s="9" t="s">
        <v>583</v>
      </c>
      <c r="FK144" s="9" t="s">
        <v>484</v>
      </c>
      <c r="FL144" s="9" t="s">
        <v>414</v>
      </c>
      <c r="FM144" s="9" t="s">
        <v>413</v>
      </c>
      <c r="FN144" s="9" t="s">
        <v>414</v>
      </c>
      <c r="FO144" s="9" t="s">
        <v>1074</v>
      </c>
      <c r="FP144" s="9" t="s">
        <v>486</v>
      </c>
      <c r="FQ144" s="9" t="s">
        <v>630</v>
      </c>
      <c r="FR144" s="9" t="s">
        <v>3420</v>
      </c>
      <c r="FS144" s="9" t="s">
        <v>1189</v>
      </c>
      <c r="FT144" s="9" t="s">
        <v>1462</v>
      </c>
      <c r="FU144" s="9" t="s">
        <v>489</v>
      </c>
      <c r="FV144" s="9" t="s">
        <v>1101</v>
      </c>
      <c r="FW144" s="9" t="s">
        <v>491</v>
      </c>
      <c r="FX144" s="9" t="s">
        <v>3421</v>
      </c>
      <c r="FY144" s="9" t="s">
        <v>1020</v>
      </c>
      <c r="FZ144" s="9" t="s">
        <v>3422</v>
      </c>
      <c r="GA144" s="9" t="s">
        <v>3423</v>
      </c>
      <c r="GB144" s="9" t="s">
        <v>455</v>
      </c>
      <c r="GC144" s="9"/>
      <c r="GD144" s="9"/>
      <c r="GE144" s="9" t="s">
        <v>753</v>
      </c>
      <c r="GF144" s="9" t="s">
        <v>3424</v>
      </c>
      <c r="GJ144" s="9" t="s">
        <v>920</v>
      </c>
      <c r="GK144" s="9" t="s">
        <v>788</v>
      </c>
      <c r="GL144" s="9" t="s">
        <v>946</v>
      </c>
      <c r="GQ144" s="9" t="s">
        <v>3208</v>
      </c>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c r="HX144" s="10"/>
      <c r="HY144" s="10"/>
      <c r="HZ144" s="10"/>
      <c r="IA144" s="10"/>
      <c r="IB144" s="10"/>
      <c r="IC144" s="10"/>
      <c r="ID144" s="10"/>
      <c r="IE144" s="10"/>
      <c r="IF144" s="10"/>
      <c r="IG144" s="10"/>
      <c r="IH144" s="10"/>
      <c r="II144" s="10"/>
      <c r="IJ144" s="10"/>
      <c r="IK144" s="10"/>
      <c r="IL144" s="10"/>
      <c r="IM144" s="10"/>
      <c r="IN144" s="10"/>
      <c r="IO144" s="10"/>
      <c r="IP144" s="10"/>
      <c r="IQ144" s="10"/>
      <c r="IR144" s="10"/>
      <c r="IS144" s="10"/>
      <c r="IT144" s="10"/>
      <c r="IU144" s="10"/>
      <c r="IV144" s="10"/>
      <c r="IW144" s="10"/>
      <c r="IX144" s="10"/>
      <c r="IY144" s="10"/>
      <c r="IZ144" s="10"/>
      <c r="JA144" s="10"/>
      <c r="JB144" s="10"/>
      <c r="JC144" s="10"/>
      <c r="JD144" s="10"/>
      <c r="JE144" s="10"/>
      <c r="JF144" s="10"/>
      <c r="JG144" s="10"/>
      <c r="JH144" s="10"/>
      <c r="JI144" s="10"/>
      <c r="JJ144" s="10"/>
      <c r="JK144" s="10"/>
      <c r="JL144" s="10"/>
      <c r="JM144" s="10"/>
      <c r="JN144" s="10"/>
      <c r="JO144" s="10"/>
      <c r="JP144" s="10"/>
      <c r="JQ144" s="10"/>
      <c r="JR144" s="10"/>
      <c r="JS144" s="10"/>
      <c r="JT144" s="10"/>
      <c r="JU144" s="10"/>
      <c r="JV144" s="10"/>
      <c r="JW144" s="10"/>
      <c r="JX144" s="10"/>
      <c r="JY144" s="10"/>
      <c r="JZ144" s="10"/>
      <c r="KA144" s="10"/>
      <c r="KB144" s="10"/>
      <c r="KC144" s="10"/>
      <c r="KD144" s="10"/>
      <c r="KE144" s="10"/>
      <c r="KF144" s="10"/>
      <c r="KG144" s="10"/>
      <c r="KH144" s="10"/>
      <c r="KI144" s="10"/>
      <c r="KJ144" s="10"/>
      <c r="KK144" s="10"/>
      <c r="KL144" s="10"/>
      <c r="KM144" s="10"/>
      <c r="KN144" s="10"/>
      <c r="KO144" s="10"/>
      <c r="KP144" s="10"/>
      <c r="KQ144" s="10"/>
      <c r="KR144" s="10"/>
      <c r="KS144" s="10"/>
      <c r="KT144" s="10"/>
      <c r="KU144" s="10"/>
      <c r="KV144" s="10"/>
      <c r="KW144" s="10"/>
      <c r="KX144" s="10"/>
      <c r="KY144" s="10"/>
      <c r="KZ144" s="10"/>
      <c r="LA144" s="10"/>
      <c r="LB144" s="10"/>
      <c r="LC144" s="10"/>
      <c r="LD144" s="10"/>
      <c r="LE144" s="10"/>
      <c r="LF144" s="10"/>
      <c r="LG144" s="10"/>
      <c r="LH144" s="10"/>
      <c r="LI144" s="10"/>
      <c r="LJ144" s="10"/>
      <c r="LK144" s="10"/>
      <c r="LL144" s="10"/>
      <c r="LM144" s="10"/>
      <c r="LN144" s="10"/>
      <c r="LO144" s="10"/>
      <c r="LP144" s="10"/>
      <c r="LQ144" s="10"/>
      <c r="LR144" s="10"/>
      <c r="LS144" s="10"/>
      <c r="LT144" s="10"/>
      <c r="LU144" s="10"/>
      <c r="LV144" s="10"/>
      <c r="LW144" s="10"/>
      <c r="LX144" s="10"/>
      <c r="LY144" s="10"/>
      <c r="LZ144" s="10"/>
      <c r="MA144" s="10"/>
      <c r="MB144" s="10"/>
      <c r="MC144" s="10"/>
      <c r="MD144" s="10"/>
      <c r="ME144" s="10"/>
      <c r="MF144" s="10"/>
      <c r="MG144" s="10"/>
      <c r="MH144" s="10"/>
      <c r="MI144" s="10"/>
      <c r="MJ144" s="10"/>
      <c r="MK144" s="10"/>
      <c r="ML144" s="10"/>
      <c r="MM144" s="10"/>
      <c r="MN144" s="10"/>
      <c r="MO144" s="10"/>
      <c r="MP144" s="10"/>
      <c r="MQ144" s="10"/>
      <c r="MR144" s="10"/>
      <c r="MS144" s="10"/>
      <c r="MT144" s="10"/>
      <c r="MU144" s="10"/>
      <c r="MV144" s="10"/>
      <c r="MW144" s="10"/>
      <c r="MX144" s="10"/>
      <c r="MY144" s="10"/>
      <c r="MZ144" s="10"/>
      <c r="NA144" s="10"/>
      <c r="NB144" s="10"/>
      <c r="NC144" s="10"/>
      <c r="ND144" s="10"/>
    </row>
    <row r="145" ht="24.75" customHeight="1">
      <c r="A145" s="8">
        <v>45830.745157337966</v>
      </c>
      <c r="B145" s="9" t="s">
        <v>368</v>
      </c>
      <c r="C145" s="9" t="s">
        <v>370</v>
      </c>
      <c r="E145" s="9" t="s">
        <v>589</v>
      </c>
      <c r="G145" s="9" t="s">
        <v>422</v>
      </c>
      <c r="H145" s="9" t="s">
        <v>539</v>
      </c>
      <c r="I145" s="9" t="s">
        <v>1022</v>
      </c>
      <c r="J145" s="9" t="s">
        <v>375</v>
      </c>
      <c r="K145" s="9" t="s">
        <v>376</v>
      </c>
      <c r="L145" s="9" t="s">
        <v>426</v>
      </c>
      <c r="M145" s="9" t="s">
        <v>2464</v>
      </c>
      <c r="N145" s="9" t="s">
        <v>379</v>
      </c>
      <c r="O145" s="9" t="s">
        <v>380</v>
      </c>
      <c r="P145" s="9" t="s">
        <v>1760</v>
      </c>
      <c r="Q145" s="9" t="s">
        <v>499</v>
      </c>
      <c r="R145" s="9" t="s">
        <v>500</v>
      </c>
      <c r="S145" s="9" t="s">
        <v>384</v>
      </c>
      <c r="T145" s="9" t="s">
        <v>385</v>
      </c>
      <c r="W145" s="9" t="s">
        <v>386</v>
      </c>
      <c r="X145" s="9" t="s">
        <v>387</v>
      </c>
      <c r="Y145" s="9" t="s">
        <v>897</v>
      </c>
      <c r="Z145" s="9" t="s">
        <v>543</v>
      </c>
      <c r="AA145" s="9" t="s">
        <v>3425</v>
      </c>
      <c r="AV145" s="9" t="s">
        <v>597</v>
      </c>
      <c r="AW145" s="9">
        <v>4.0</v>
      </c>
      <c r="AX145" s="9">
        <v>4.0</v>
      </c>
      <c r="AY145" s="9">
        <v>4.0</v>
      </c>
      <c r="AZ145" s="9">
        <v>2.0</v>
      </c>
      <c r="BA145" s="9" t="s">
        <v>391</v>
      </c>
      <c r="BB145" s="9">
        <v>4.0</v>
      </c>
      <c r="BC145" s="9" t="s">
        <v>3426</v>
      </c>
      <c r="BD145" s="9" t="s">
        <v>3427</v>
      </c>
      <c r="BE145" s="9" t="s">
        <v>432</v>
      </c>
      <c r="BF145" s="9" t="s">
        <v>1095</v>
      </c>
      <c r="BG145" s="9" t="s">
        <v>434</v>
      </c>
      <c r="BH145" s="9" t="s">
        <v>3428</v>
      </c>
      <c r="BI145" s="9" t="s">
        <v>727</v>
      </c>
      <c r="BK145" s="9" t="s">
        <v>602</v>
      </c>
      <c r="BL145" s="9" t="s">
        <v>904</v>
      </c>
      <c r="BM145" s="9" t="s">
        <v>1276</v>
      </c>
      <c r="BN145" s="9" t="s">
        <v>440</v>
      </c>
      <c r="CL145" s="9" t="s">
        <v>441</v>
      </c>
      <c r="CM145" s="9" t="s">
        <v>682</v>
      </c>
      <c r="CN145" s="9" t="s">
        <v>1315</v>
      </c>
      <c r="CO145" s="9" t="s">
        <v>3429</v>
      </c>
      <c r="CP145" s="9" t="s">
        <v>403</v>
      </c>
      <c r="CQ145" s="9" t="s">
        <v>1136</v>
      </c>
      <c r="CR145" s="9" t="s">
        <v>447</v>
      </c>
      <c r="CS145" s="9" t="s">
        <v>3430</v>
      </c>
      <c r="CT145" s="9" t="s">
        <v>3431</v>
      </c>
      <c r="CU145" s="9" t="s">
        <v>450</v>
      </c>
      <c r="CV145" s="9" t="s">
        <v>451</v>
      </c>
      <c r="CW145" s="9" t="s">
        <v>3432</v>
      </c>
      <c r="CX145" s="9" t="s">
        <v>408</v>
      </c>
      <c r="CZ145" s="9" t="s">
        <v>453</v>
      </c>
      <c r="DA145" s="9" t="s">
        <v>3433</v>
      </c>
      <c r="DB145" s="9" t="s">
        <v>455</v>
      </c>
      <c r="DC145" s="9" t="s">
        <v>3434</v>
      </c>
      <c r="DD145" s="9" t="s">
        <v>406</v>
      </c>
      <c r="DE145" s="9" t="s">
        <v>407</v>
      </c>
      <c r="DF145" s="9" t="s">
        <v>3435</v>
      </c>
      <c r="DG145" s="9" t="s">
        <v>524</v>
      </c>
      <c r="DH145" s="9" t="s">
        <v>410</v>
      </c>
      <c r="DI145" s="9" t="s">
        <v>459</v>
      </c>
      <c r="DJ145" s="9" t="s">
        <v>613</v>
      </c>
      <c r="DM145" s="9" t="s">
        <v>3436</v>
      </c>
      <c r="DN145" s="9" t="s">
        <v>3437</v>
      </c>
      <c r="DO145" s="9" t="s">
        <v>2956</v>
      </c>
      <c r="DP145" s="9" t="s">
        <v>3438</v>
      </c>
      <c r="DQ145" s="9" t="s">
        <v>1176</v>
      </c>
      <c r="DR145" s="9" t="s">
        <v>3439</v>
      </c>
      <c r="DS145" s="9" t="s">
        <v>618</v>
      </c>
      <c r="DT145" s="9" t="s">
        <v>570</v>
      </c>
      <c r="DU145" s="9" t="s">
        <v>3440</v>
      </c>
      <c r="DV145" s="9" t="s">
        <v>733</v>
      </c>
      <c r="DW145" s="9" t="s">
        <v>396</v>
      </c>
      <c r="DX145" s="9" t="s">
        <v>3441</v>
      </c>
      <c r="DY145" s="9" t="s">
        <v>3442</v>
      </c>
      <c r="DZ145" s="9" t="s">
        <v>3443</v>
      </c>
      <c r="EA145" s="9" t="s">
        <v>475</v>
      </c>
      <c r="EB145" s="9" t="s">
        <v>845</v>
      </c>
      <c r="EC145" s="9" t="s">
        <v>3444</v>
      </c>
      <c r="ET145" s="9" t="s">
        <v>478</v>
      </c>
      <c r="EU145" s="9" t="s">
        <v>479</v>
      </c>
      <c r="EV145" s="9" t="s">
        <v>778</v>
      </c>
      <c r="EW145" s="9" t="s">
        <v>3445</v>
      </c>
      <c r="EX145" s="9" t="s">
        <v>3446</v>
      </c>
      <c r="EY145" s="9" t="s">
        <v>3447</v>
      </c>
      <c r="EZ145" s="9" t="s">
        <v>583</v>
      </c>
      <c r="FA145" s="9" t="s">
        <v>583</v>
      </c>
      <c r="FB145" s="9" t="s">
        <v>416</v>
      </c>
      <c r="FC145" s="9" t="s">
        <v>583</v>
      </c>
      <c r="FD145" s="9" t="s">
        <v>413</v>
      </c>
      <c r="FE145" s="9" t="s">
        <v>583</v>
      </c>
      <c r="FF145" s="9" t="s">
        <v>484</v>
      </c>
      <c r="FG145" s="9" t="s">
        <v>413</v>
      </c>
      <c r="FH145" s="9" t="s">
        <v>583</v>
      </c>
      <c r="FI145" s="9" t="s">
        <v>583</v>
      </c>
      <c r="FJ145" s="9" t="s">
        <v>416</v>
      </c>
      <c r="FK145" s="9" t="s">
        <v>484</v>
      </c>
      <c r="FL145" s="9" t="s">
        <v>484</v>
      </c>
      <c r="FM145" s="9" t="s">
        <v>413</v>
      </c>
      <c r="FN145" s="9" t="s">
        <v>583</v>
      </c>
      <c r="FO145" s="9" t="s">
        <v>3396</v>
      </c>
      <c r="FP145" s="9" t="s">
        <v>486</v>
      </c>
      <c r="FR145" s="9" t="s">
        <v>3448</v>
      </c>
      <c r="FS145" s="9" t="s">
        <v>420</v>
      </c>
      <c r="FU145" s="9" t="s">
        <v>533</v>
      </c>
      <c r="FV145" s="9" t="s">
        <v>490</v>
      </c>
      <c r="FW145" s="9" t="s">
        <v>491</v>
      </c>
      <c r="FX145" s="9" t="s">
        <v>3449</v>
      </c>
      <c r="FY145" s="9" t="s">
        <v>1337</v>
      </c>
      <c r="FZ145" s="9" t="s">
        <v>3450</v>
      </c>
      <c r="GA145" s="9" t="s">
        <v>3451</v>
      </c>
      <c r="GB145" s="9" t="s">
        <v>455</v>
      </c>
      <c r="GC145" s="9"/>
      <c r="GE145" s="9" t="s">
        <v>753</v>
      </c>
      <c r="GF145" s="9" t="s">
        <v>3337</v>
      </c>
      <c r="GG145" s="9" t="s">
        <v>1000</v>
      </c>
      <c r="GH145" s="9" t="s">
        <v>1000</v>
      </c>
      <c r="GI145" s="9" t="s">
        <v>756</v>
      </c>
      <c r="GM145" s="9" t="s">
        <v>1079</v>
      </c>
      <c r="GQ145" s="12" t="s">
        <v>3452</v>
      </c>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c r="HX145" s="10"/>
      <c r="HY145" s="10"/>
      <c r="HZ145" s="10"/>
      <c r="IA145" s="10"/>
      <c r="IB145" s="10"/>
      <c r="IC145" s="10"/>
      <c r="ID145" s="10"/>
      <c r="IE145" s="10"/>
      <c r="IF145" s="10"/>
      <c r="IG145" s="10"/>
      <c r="IH145" s="10"/>
      <c r="II145" s="10"/>
      <c r="IJ145" s="10"/>
      <c r="IK145" s="10"/>
      <c r="IL145" s="10"/>
      <c r="IM145" s="10"/>
      <c r="IN145" s="10"/>
      <c r="IO145" s="10"/>
      <c r="IP145" s="10"/>
      <c r="IQ145" s="10"/>
      <c r="IR145" s="10"/>
      <c r="IS145" s="10"/>
      <c r="IT145" s="10"/>
      <c r="IU145" s="10"/>
      <c r="IV145" s="10"/>
      <c r="IW145" s="10"/>
      <c r="IX145" s="10"/>
      <c r="IY145" s="10"/>
      <c r="IZ145" s="10"/>
      <c r="JA145" s="10"/>
      <c r="JB145" s="10"/>
      <c r="JC145" s="10"/>
      <c r="JD145" s="10"/>
      <c r="JE145" s="10"/>
      <c r="JF145" s="10"/>
      <c r="JG145" s="10"/>
      <c r="JH145" s="10"/>
      <c r="JI145" s="10"/>
      <c r="JJ145" s="10"/>
      <c r="JK145" s="10"/>
      <c r="JL145" s="10"/>
      <c r="JM145" s="10"/>
      <c r="JN145" s="10"/>
      <c r="JO145" s="10"/>
      <c r="JP145" s="10"/>
      <c r="JQ145" s="10"/>
      <c r="JR145" s="10"/>
      <c r="JS145" s="10"/>
      <c r="JT145" s="10"/>
      <c r="JU145" s="10"/>
      <c r="JV145" s="10"/>
      <c r="JW145" s="10"/>
      <c r="JX145" s="10"/>
      <c r="JY145" s="10"/>
      <c r="JZ145" s="10"/>
      <c r="KA145" s="10"/>
      <c r="KB145" s="10"/>
      <c r="KC145" s="10"/>
      <c r="KD145" s="10"/>
      <c r="KE145" s="10"/>
      <c r="KF145" s="10"/>
      <c r="KG145" s="10"/>
      <c r="KH145" s="10"/>
      <c r="KI145" s="10"/>
      <c r="KJ145" s="10"/>
      <c r="KK145" s="10"/>
      <c r="KL145" s="10"/>
      <c r="KM145" s="10"/>
      <c r="KN145" s="10"/>
      <c r="KO145" s="10"/>
      <c r="KP145" s="10"/>
      <c r="KQ145" s="10"/>
      <c r="KR145" s="10"/>
      <c r="KS145" s="10"/>
      <c r="KT145" s="10"/>
      <c r="KU145" s="10"/>
      <c r="KV145" s="10"/>
      <c r="KW145" s="10"/>
      <c r="KX145" s="10"/>
      <c r="KY145" s="10"/>
      <c r="KZ145" s="10"/>
      <c r="LA145" s="10"/>
      <c r="LB145" s="10"/>
      <c r="LC145" s="10"/>
      <c r="LD145" s="10"/>
      <c r="LE145" s="10"/>
      <c r="LF145" s="10"/>
      <c r="LG145" s="10"/>
      <c r="LH145" s="10"/>
      <c r="LI145" s="10"/>
      <c r="LJ145" s="10"/>
      <c r="LK145" s="10"/>
      <c r="LL145" s="10"/>
      <c r="LM145" s="10"/>
      <c r="LN145" s="10"/>
      <c r="LO145" s="10"/>
      <c r="LP145" s="10"/>
      <c r="LQ145" s="10"/>
      <c r="LR145" s="10"/>
      <c r="LS145" s="10"/>
      <c r="LT145" s="10"/>
      <c r="LU145" s="10"/>
      <c r="LV145" s="10"/>
      <c r="LW145" s="10"/>
      <c r="LX145" s="10"/>
      <c r="LY145" s="10"/>
      <c r="LZ145" s="10"/>
      <c r="MA145" s="10"/>
      <c r="MB145" s="10"/>
      <c r="MC145" s="10"/>
      <c r="MD145" s="10"/>
      <c r="ME145" s="10"/>
      <c r="MF145" s="10"/>
      <c r="MG145" s="10"/>
      <c r="MH145" s="10"/>
      <c r="MI145" s="10"/>
      <c r="MJ145" s="10"/>
      <c r="MK145" s="10"/>
      <c r="ML145" s="10"/>
      <c r="MM145" s="10"/>
      <c r="MN145" s="10"/>
      <c r="MO145" s="10"/>
      <c r="MP145" s="10"/>
      <c r="MQ145" s="10"/>
      <c r="MR145" s="10"/>
      <c r="MS145" s="10"/>
      <c r="MT145" s="10"/>
      <c r="MU145" s="10"/>
      <c r="MV145" s="10"/>
      <c r="MW145" s="10"/>
      <c r="MX145" s="10"/>
      <c r="MY145" s="10"/>
      <c r="MZ145" s="10"/>
      <c r="NA145" s="10"/>
      <c r="NB145" s="10"/>
      <c r="NC145" s="10"/>
      <c r="ND145" s="10"/>
    </row>
    <row r="146" ht="24.75" customHeight="1">
      <c r="A146" s="8">
        <v>45830.74782991898</v>
      </c>
      <c r="B146" s="9" t="s">
        <v>368</v>
      </c>
      <c r="C146" s="9" t="s">
        <v>370</v>
      </c>
      <c r="E146" s="9" t="s">
        <v>371</v>
      </c>
      <c r="G146" s="9" t="s">
        <v>422</v>
      </c>
      <c r="H146" s="9" t="s">
        <v>373</v>
      </c>
      <c r="I146" s="9" t="s">
        <v>374</v>
      </c>
      <c r="J146" s="9" t="s">
        <v>375</v>
      </c>
      <c r="K146" s="9" t="s">
        <v>376</v>
      </c>
      <c r="L146" s="9" t="s">
        <v>793</v>
      </c>
      <c r="M146" s="9" t="s">
        <v>1690</v>
      </c>
      <c r="N146" s="9" t="s">
        <v>793</v>
      </c>
      <c r="O146" s="9" t="s">
        <v>3453</v>
      </c>
      <c r="P146" s="9" t="s">
        <v>592</v>
      </c>
      <c r="Q146" s="9" t="s">
        <v>499</v>
      </c>
      <c r="R146" s="9" t="s">
        <v>949</v>
      </c>
      <c r="S146" s="9" t="s">
        <v>384</v>
      </c>
      <c r="T146" s="9" t="s">
        <v>385</v>
      </c>
      <c r="W146" s="9" t="s">
        <v>3014</v>
      </c>
      <c r="AV146" s="9" t="s">
        <v>597</v>
      </c>
      <c r="AW146" s="9">
        <v>4.0</v>
      </c>
      <c r="AX146" s="9">
        <v>4.0</v>
      </c>
      <c r="AY146" s="9">
        <v>4.0</v>
      </c>
      <c r="AZ146" s="9" t="s">
        <v>391</v>
      </c>
      <c r="BA146" s="9">
        <v>2.0</v>
      </c>
      <c r="BB146" s="9" t="s">
        <v>391</v>
      </c>
      <c r="BE146" s="9" t="s">
        <v>902</v>
      </c>
      <c r="BF146" s="9" t="s">
        <v>393</v>
      </c>
      <c r="BG146" s="9" t="s">
        <v>725</v>
      </c>
      <c r="BI146" s="9" t="s">
        <v>976</v>
      </c>
      <c r="BK146" s="9" t="s">
        <v>602</v>
      </c>
      <c r="BL146" s="9" t="s">
        <v>603</v>
      </c>
      <c r="BM146" s="9" t="s">
        <v>1247</v>
      </c>
      <c r="BN146" s="9" t="s">
        <v>513</v>
      </c>
      <c r="CL146" s="9" t="s">
        <v>441</v>
      </c>
      <c r="CM146" s="9" t="s">
        <v>401</v>
      </c>
      <c r="CP146" s="9" t="s">
        <v>403</v>
      </c>
      <c r="CQ146" s="9" t="s">
        <v>931</v>
      </c>
      <c r="CR146" s="9" t="s">
        <v>404</v>
      </c>
      <c r="CX146" s="9" t="s">
        <v>408</v>
      </c>
      <c r="CZ146" s="9" t="s">
        <v>1398</v>
      </c>
      <c r="DB146" s="9" t="s">
        <v>408</v>
      </c>
      <c r="DD146" s="9" t="s">
        <v>406</v>
      </c>
      <c r="DE146" s="9" t="s">
        <v>1058</v>
      </c>
      <c r="DG146" s="9" t="s">
        <v>776</v>
      </c>
      <c r="DH146" s="9" t="s">
        <v>1220</v>
      </c>
      <c r="DI146" s="9" t="s">
        <v>777</v>
      </c>
      <c r="DJ146" s="9" t="s">
        <v>460</v>
      </c>
      <c r="DK146" s="9" t="s">
        <v>1434</v>
      </c>
      <c r="ET146" s="9" t="s">
        <v>526</v>
      </c>
      <c r="EU146" s="9" t="s">
        <v>887</v>
      </c>
      <c r="EV146" s="9" t="s">
        <v>580</v>
      </c>
      <c r="EZ146" s="9" t="s">
        <v>416</v>
      </c>
      <c r="FA146" s="9" t="s">
        <v>415</v>
      </c>
      <c r="FB146" s="9" t="s">
        <v>413</v>
      </c>
      <c r="FC146" s="9" t="s">
        <v>413</v>
      </c>
      <c r="FD146" s="9" t="s">
        <v>413</v>
      </c>
      <c r="FE146" s="9" t="s">
        <v>415</v>
      </c>
      <c r="FF146" s="9" t="s">
        <v>413</v>
      </c>
      <c r="FG146" s="9" t="s">
        <v>415</v>
      </c>
      <c r="FH146" s="9" t="s">
        <v>415</v>
      </c>
      <c r="FI146" s="9" t="s">
        <v>414</v>
      </c>
      <c r="FJ146" s="9" t="s">
        <v>415</v>
      </c>
      <c r="FK146" s="9" t="s">
        <v>415</v>
      </c>
      <c r="FL146" s="9" t="s">
        <v>415</v>
      </c>
      <c r="FM146" s="9" t="s">
        <v>416</v>
      </c>
      <c r="FN146" s="9" t="s">
        <v>583</v>
      </c>
      <c r="FO146" s="9" t="s">
        <v>850</v>
      </c>
      <c r="FP146" s="9" t="s">
        <v>418</v>
      </c>
      <c r="FQ146" s="9" t="s">
        <v>749</v>
      </c>
      <c r="FS146" s="9" t="s">
        <v>420</v>
      </c>
      <c r="FT146" s="9" t="s">
        <v>488</v>
      </c>
      <c r="FU146" s="9" t="s">
        <v>489</v>
      </c>
      <c r="FV146" s="9" t="s">
        <v>490</v>
      </c>
      <c r="FW146" s="9" t="s">
        <v>1853</v>
      </c>
      <c r="FY146" s="9" t="s">
        <v>1020</v>
      </c>
      <c r="GB146" s="11"/>
      <c r="GG146" s="9" t="s">
        <v>755</v>
      </c>
      <c r="GH146" s="9" t="s">
        <v>755</v>
      </c>
      <c r="GI146" s="9" t="s">
        <v>946</v>
      </c>
      <c r="GQ146" s="9" t="s">
        <v>3208</v>
      </c>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c r="HX146" s="10"/>
      <c r="HY146" s="10"/>
      <c r="HZ146" s="10"/>
      <c r="IA146" s="10"/>
      <c r="IB146" s="10"/>
      <c r="IC146" s="10"/>
      <c r="ID146" s="10"/>
      <c r="IE146" s="10"/>
      <c r="IF146" s="10"/>
      <c r="IG146" s="10"/>
      <c r="IH146" s="10"/>
      <c r="II146" s="10"/>
      <c r="IJ146" s="10"/>
      <c r="IK146" s="10"/>
      <c r="IL146" s="10"/>
      <c r="IM146" s="10"/>
      <c r="IN146" s="10"/>
      <c r="IO146" s="10"/>
      <c r="IP146" s="10"/>
      <c r="IQ146" s="10"/>
      <c r="IR146" s="10"/>
      <c r="IS146" s="10"/>
      <c r="IT146" s="10"/>
      <c r="IU146" s="10"/>
      <c r="IV146" s="10"/>
      <c r="IW146" s="10"/>
      <c r="IX146" s="10"/>
      <c r="IY146" s="10"/>
      <c r="IZ146" s="10"/>
      <c r="JA146" s="10"/>
      <c r="JB146" s="10"/>
      <c r="JC146" s="10"/>
      <c r="JD146" s="10"/>
      <c r="JE146" s="10"/>
      <c r="JF146" s="10"/>
      <c r="JG146" s="10"/>
      <c r="JH146" s="10"/>
      <c r="JI146" s="10"/>
      <c r="JJ146" s="10"/>
      <c r="JK146" s="10"/>
      <c r="JL146" s="10"/>
      <c r="JM146" s="10"/>
      <c r="JN146" s="10"/>
      <c r="JO146" s="10"/>
      <c r="JP146" s="10"/>
      <c r="JQ146" s="10"/>
      <c r="JR146" s="10"/>
      <c r="JS146" s="10"/>
      <c r="JT146" s="10"/>
      <c r="JU146" s="10"/>
      <c r="JV146" s="10"/>
      <c r="JW146" s="10"/>
      <c r="JX146" s="10"/>
      <c r="JY146" s="10"/>
      <c r="JZ146" s="10"/>
      <c r="KA146" s="10"/>
      <c r="KB146" s="10"/>
      <c r="KC146" s="10"/>
      <c r="KD146" s="10"/>
      <c r="KE146" s="10"/>
      <c r="KF146" s="10"/>
      <c r="KG146" s="10"/>
      <c r="KH146" s="10"/>
      <c r="KI146" s="10"/>
      <c r="KJ146" s="10"/>
      <c r="KK146" s="10"/>
      <c r="KL146" s="10"/>
      <c r="KM146" s="10"/>
      <c r="KN146" s="10"/>
      <c r="KO146" s="10"/>
      <c r="KP146" s="10"/>
      <c r="KQ146" s="10"/>
      <c r="KR146" s="10"/>
      <c r="KS146" s="10"/>
      <c r="KT146" s="10"/>
      <c r="KU146" s="10"/>
      <c r="KV146" s="10"/>
      <c r="KW146" s="10"/>
      <c r="KX146" s="10"/>
      <c r="KY146" s="10"/>
      <c r="KZ146" s="10"/>
      <c r="LA146" s="10"/>
      <c r="LB146" s="10"/>
      <c r="LC146" s="10"/>
      <c r="LD146" s="10"/>
      <c r="LE146" s="10"/>
      <c r="LF146" s="10"/>
      <c r="LG146" s="10"/>
      <c r="LH146" s="10"/>
      <c r="LI146" s="10"/>
      <c r="LJ146" s="10"/>
      <c r="LK146" s="10"/>
      <c r="LL146" s="10"/>
      <c r="LM146" s="10"/>
      <c r="LN146" s="10"/>
      <c r="LO146" s="10"/>
      <c r="LP146" s="10"/>
      <c r="LQ146" s="10"/>
      <c r="LR146" s="10"/>
      <c r="LS146" s="10"/>
      <c r="LT146" s="10"/>
      <c r="LU146" s="10"/>
      <c r="LV146" s="10"/>
      <c r="LW146" s="10"/>
      <c r="LX146" s="10"/>
      <c r="LY146" s="10"/>
      <c r="LZ146" s="10"/>
      <c r="MA146" s="10"/>
      <c r="MB146" s="10"/>
      <c r="MC146" s="10"/>
      <c r="MD146" s="10"/>
      <c r="ME146" s="10"/>
      <c r="MF146" s="10"/>
      <c r="MG146" s="10"/>
      <c r="MH146" s="10"/>
      <c r="MI146" s="10"/>
      <c r="MJ146" s="10"/>
      <c r="MK146" s="10"/>
      <c r="ML146" s="10"/>
      <c r="MM146" s="10"/>
      <c r="MN146" s="10"/>
      <c r="MO146" s="10"/>
      <c r="MP146" s="10"/>
      <c r="MQ146" s="10"/>
      <c r="MR146" s="10"/>
      <c r="MS146" s="10"/>
      <c r="MT146" s="10"/>
      <c r="MU146" s="10"/>
      <c r="MV146" s="10"/>
      <c r="MW146" s="10"/>
      <c r="MX146" s="10"/>
      <c r="MY146" s="10"/>
      <c r="MZ146" s="10"/>
      <c r="NA146" s="10"/>
      <c r="NB146" s="10"/>
      <c r="NC146" s="10"/>
      <c r="ND146" s="10"/>
    </row>
    <row r="147" ht="24.75" customHeight="1">
      <c r="A147" s="8">
        <v>45830.76834444444</v>
      </c>
      <c r="B147" s="9" t="s">
        <v>368</v>
      </c>
      <c r="C147" s="9" t="s">
        <v>370</v>
      </c>
      <c r="E147" s="9" t="s">
        <v>495</v>
      </c>
      <c r="G147" s="9" t="s">
        <v>422</v>
      </c>
      <c r="H147" s="9" t="s">
        <v>637</v>
      </c>
      <c r="I147" s="9" t="s">
        <v>638</v>
      </c>
      <c r="J147" s="9" t="s">
        <v>375</v>
      </c>
      <c r="K147" s="9" t="s">
        <v>376</v>
      </c>
      <c r="L147" s="9" t="s">
        <v>379</v>
      </c>
      <c r="M147" s="9" t="s">
        <v>2464</v>
      </c>
      <c r="N147" s="9" t="s">
        <v>591</v>
      </c>
      <c r="O147" s="9" t="s">
        <v>380</v>
      </c>
      <c r="P147" s="9" t="s">
        <v>381</v>
      </c>
      <c r="Q147" s="9" t="s">
        <v>1156</v>
      </c>
      <c r="R147" s="9" t="s">
        <v>427</v>
      </c>
      <c r="S147" s="9" t="s">
        <v>384</v>
      </c>
      <c r="T147" s="9" t="s">
        <v>385</v>
      </c>
      <c r="W147" s="9" t="s">
        <v>593</v>
      </c>
      <c r="X147" s="9" t="s">
        <v>387</v>
      </c>
      <c r="Y147" s="9" t="s">
        <v>1444</v>
      </c>
      <c r="Z147" s="9" t="s">
        <v>672</v>
      </c>
      <c r="AA147" s="9" t="s">
        <v>408</v>
      </c>
      <c r="AV147" s="9" t="s">
        <v>504</v>
      </c>
      <c r="AW147" s="9">
        <v>2.0</v>
      </c>
      <c r="AX147" s="9" t="s">
        <v>429</v>
      </c>
      <c r="AY147" s="9" t="s">
        <v>391</v>
      </c>
      <c r="AZ147" s="9">
        <v>2.0</v>
      </c>
      <c r="BA147" s="9">
        <v>2.0</v>
      </c>
      <c r="BB147" s="9" t="s">
        <v>429</v>
      </c>
      <c r="BC147" s="9" t="s">
        <v>3454</v>
      </c>
      <c r="BD147" s="9" t="s">
        <v>3455</v>
      </c>
      <c r="BE147" s="9" t="s">
        <v>432</v>
      </c>
      <c r="BF147" s="9" t="s">
        <v>433</v>
      </c>
      <c r="BG147" s="9" t="s">
        <v>678</v>
      </c>
      <c r="BI147" s="9" t="s">
        <v>435</v>
      </c>
      <c r="BK147" s="9" t="s">
        <v>511</v>
      </c>
      <c r="BL147" s="9" t="s">
        <v>603</v>
      </c>
      <c r="BM147" s="9" t="s">
        <v>439</v>
      </c>
      <c r="BN147" s="9" t="s">
        <v>513</v>
      </c>
      <c r="CL147" s="9" t="s">
        <v>441</v>
      </c>
      <c r="CM147" s="9" t="s">
        <v>401</v>
      </c>
      <c r="CN147" s="9" t="s">
        <v>3456</v>
      </c>
      <c r="CO147" s="9" t="s">
        <v>3457</v>
      </c>
      <c r="CP147" s="9" t="s">
        <v>979</v>
      </c>
      <c r="CQ147" s="9" t="s">
        <v>3458</v>
      </c>
      <c r="CR147" s="9" t="s">
        <v>447</v>
      </c>
      <c r="CS147" s="9" t="s">
        <v>957</v>
      </c>
      <c r="CT147" s="9" t="s">
        <v>3459</v>
      </c>
      <c r="CU147" s="9" t="s">
        <v>450</v>
      </c>
      <c r="CV147" s="9" t="s">
        <v>451</v>
      </c>
      <c r="CW147" s="9" t="s">
        <v>3460</v>
      </c>
      <c r="CX147" s="9" t="s">
        <v>733</v>
      </c>
      <c r="CZ147" s="9" t="s">
        <v>453</v>
      </c>
      <c r="DA147" s="9" t="s">
        <v>3461</v>
      </c>
      <c r="DB147" s="9" t="s">
        <v>455</v>
      </c>
      <c r="DC147" s="9" t="s">
        <v>3462</v>
      </c>
      <c r="DD147" s="9" t="s">
        <v>662</v>
      </c>
      <c r="DF147" s="9" t="s">
        <v>3463</v>
      </c>
      <c r="DG147" s="9" t="s">
        <v>524</v>
      </c>
      <c r="DH147" s="9" t="s">
        <v>410</v>
      </c>
      <c r="DI147" s="9" t="s">
        <v>459</v>
      </c>
      <c r="DJ147" s="9" t="s">
        <v>613</v>
      </c>
      <c r="ET147" s="9" t="s">
        <v>526</v>
      </c>
      <c r="EU147" s="9" t="s">
        <v>479</v>
      </c>
      <c r="EV147" s="9" t="s">
        <v>480</v>
      </c>
      <c r="EX147" s="9" t="s">
        <v>3464</v>
      </c>
      <c r="EY147" s="9" t="s">
        <v>3465</v>
      </c>
      <c r="EZ147" s="9" t="s">
        <v>415</v>
      </c>
      <c r="FA147" s="9" t="s">
        <v>415</v>
      </c>
      <c r="FB147" s="9" t="s">
        <v>413</v>
      </c>
      <c r="FC147" s="9" t="s">
        <v>416</v>
      </c>
      <c r="FD147" s="9" t="s">
        <v>413</v>
      </c>
      <c r="FE147" s="9" t="s">
        <v>415</v>
      </c>
      <c r="FF147" s="9" t="s">
        <v>413</v>
      </c>
      <c r="FG147" s="9" t="s">
        <v>415</v>
      </c>
      <c r="FH147" s="9" t="s">
        <v>415</v>
      </c>
      <c r="FI147" s="9" t="s">
        <v>484</v>
      </c>
      <c r="FJ147" s="9" t="s">
        <v>414</v>
      </c>
      <c r="FK147" s="9" t="s">
        <v>415</v>
      </c>
      <c r="FL147" s="9" t="s">
        <v>415</v>
      </c>
      <c r="FM147" s="9" t="s">
        <v>415</v>
      </c>
      <c r="FN147" s="9" t="s">
        <v>415</v>
      </c>
      <c r="FO147" s="9" t="s">
        <v>485</v>
      </c>
      <c r="FP147" s="9" t="s">
        <v>418</v>
      </c>
      <c r="FQ147" s="9" t="s">
        <v>630</v>
      </c>
      <c r="FR147" s="9" t="s">
        <v>3466</v>
      </c>
      <c r="FS147" s="9" t="s">
        <v>420</v>
      </c>
      <c r="FT147" s="9" t="s">
        <v>488</v>
      </c>
      <c r="FU147" s="9" t="s">
        <v>533</v>
      </c>
      <c r="FV147" s="9" t="s">
        <v>490</v>
      </c>
      <c r="FW147" s="9" t="s">
        <v>491</v>
      </c>
      <c r="FX147" s="9" t="s">
        <v>3467</v>
      </c>
      <c r="FY147" s="9" t="s">
        <v>535</v>
      </c>
      <c r="FZ147" s="9" t="s">
        <v>3468</v>
      </c>
      <c r="GB147" s="9" t="s">
        <v>408</v>
      </c>
      <c r="GG147" s="9" t="s">
        <v>920</v>
      </c>
      <c r="GH147" s="9" t="s">
        <v>1000</v>
      </c>
      <c r="GI147" s="9" t="s">
        <v>756</v>
      </c>
      <c r="GQ147" s="9" t="s">
        <v>3208</v>
      </c>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c r="HX147" s="10"/>
      <c r="HY147" s="10"/>
      <c r="HZ147" s="10"/>
      <c r="IA147" s="10"/>
      <c r="IB147" s="10"/>
      <c r="IC147" s="10"/>
      <c r="ID147" s="10"/>
      <c r="IE147" s="10"/>
      <c r="IF147" s="10"/>
      <c r="IG147" s="10"/>
      <c r="IH147" s="10"/>
      <c r="II147" s="10"/>
      <c r="IJ147" s="10"/>
      <c r="IK147" s="10"/>
      <c r="IL147" s="10"/>
      <c r="IM147" s="10"/>
      <c r="IN147" s="10"/>
      <c r="IO147" s="10"/>
      <c r="IP147" s="10"/>
      <c r="IQ147" s="10"/>
      <c r="IR147" s="10"/>
      <c r="IS147" s="10"/>
      <c r="IT147" s="10"/>
      <c r="IU147" s="10"/>
      <c r="IV147" s="10"/>
      <c r="IW147" s="10"/>
      <c r="IX147" s="10"/>
      <c r="IY147" s="10"/>
      <c r="IZ147" s="10"/>
      <c r="JA147" s="10"/>
      <c r="JB147" s="10"/>
      <c r="JC147" s="10"/>
      <c r="JD147" s="10"/>
      <c r="JE147" s="10"/>
      <c r="JF147" s="10"/>
      <c r="JG147" s="10"/>
      <c r="JH147" s="10"/>
      <c r="JI147" s="10"/>
      <c r="JJ147" s="10"/>
      <c r="JK147" s="10"/>
      <c r="JL147" s="10"/>
      <c r="JM147" s="10"/>
      <c r="JN147" s="10"/>
      <c r="JO147" s="10"/>
      <c r="JP147" s="10"/>
      <c r="JQ147" s="10"/>
      <c r="JR147" s="10"/>
      <c r="JS147" s="10"/>
      <c r="JT147" s="10"/>
      <c r="JU147" s="10"/>
      <c r="JV147" s="10"/>
      <c r="JW147" s="10"/>
      <c r="JX147" s="10"/>
      <c r="JY147" s="10"/>
      <c r="JZ147" s="10"/>
      <c r="KA147" s="10"/>
      <c r="KB147" s="10"/>
      <c r="KC147" s="10"/>
      <c r="KD147" s="10"/>
      <c r="KE147" s="10"/>
      <c r="KF147" s="10"/>
      <c r="KG147" s="10"/>
      <c r="KH147" s="10"/>
      <c r="KI147" s="10"/>
      <c r="KJ147" s="10"/>
      <c r="KK147" s="10"/>
      <c r="KL147" s="10"/>
      <c r="KM147" s="10"/>
      <c r="KN147" s="10"/>
      <c r="KO147" s="10"/>
      <c r="KP147" s="10"/>
      <c r="KQ147" s="10"/>
      <c r="KR147" s="10"/>
      <c r="KS147" s="10"/>
      <c r="KT147" s="10"/>
      <c r="KU147" s="10"/>
      <c r="KV147" s="10"/>
      <c r="KW147" s="10"/>
      <c r="KX147" s="10"/>
      <c r="KY147" s="10"/>
      <c r="KZ147" s="10"/>
      <c r="LA147" s="10"/>
      <c r="LB147" s="10"/>
      <c r="LC147" s="10"/>
      <c r="LD147" s="10"/>
      <c r="LE147" s="10"/>
      <c r="LF147" s="10"/>
      <c r="LG147" s="10"/>
      <c r="LH147" s="10"/>
      <c r="LI147" s="10"/>
      <c r="LJ147" s="10"/>
      <c r="LK147" s="10"/>
      <c r="LL147" s="10"/>
      <c r="LM147" s="10"/>
      <c r="LN147" s="10"/>
      <c r="LO147" s="10"/>
      <c r="LP147" s="10"/>
      <c r="LQ147" s="10"/>
      <c r="LR147" s="10"/>
      <c r="LS147" s="10"/>
      <c r="LT147" s="10"/>
      <c r="LU147" s="10"/>
      <c r="LV147" s="10"/>
      <c r="LW147" s="10"/>
      <c r="LX147" s="10"/>
      <c r="LY147" s="10"/>
      <c r="LZ147" s="10"/>
      <c r="MA147" s="10"/>
      <c r="MB147" s="10"/>
      <c r="MC147" s="10"/>
      <c r="MD147" s="10"/>
      <c r="ME147" s="10"/>
      <c r="MF147" s="10"/>
      <c r="MG147" s="10"/>
      <c r="MH147" s="10"/>
      <c r="MI147" s="10"/>
      <c r="MJ147" s="10"/>
      <c r="MK147" s="10"/>
      <c r="ML147" s="10"/>
      <c r="MM147" s="10"/>
      <c r="MN147" s="10"/>
      <c r="MO147" s="10"/>
      <c r="MP147" s="10"/>
      <c r="MQ147" s="10"/>
      <c r="MR147" s="10"/>
      <c r="MS147" s="10"/>
      <c r="MT147" s="10"/>
      <c r="MU147" s="10"/>
      <c r="MV147" s="10"/>
      <c r="MW147" s="10"/>
      <c r="MX147" s="10"/>
      <c r="MY147" s="10"/>
      <c r="MZ147" s="10"/>
      <c r="NA147" s="10"/>
      <c r="NB147" s="10"/>
      <c r="NC147" s="10"/>
      <c r="ND147" s="10"/>
    </row>
    <row r="148" ht="24.75" customHeight="1">
      <c r="A148" s="8">
        <v>45830.77002224537</v>
      </c>
      <c r="B148" s="9" t="s">
        <v>368</v>
      </c>
      <c r="C148" s="9" t="s">
        <v>370</v>
      </c>
      <c r="E148" s="9" t="s">
        <v>1001</v>
      </c>
      <c r="G148" s="9" t="s">
        <v>422</v>
      </c>
      <c r="H148" s="9" t="s">
        <v>637</v>
      </c>
      <c r="I148" s="9" t="s">
        <v>638</v>
      </c>
      <c r="J148" s="9" t="s">
        <v>1204</v>
      </c>
      <c r="K148" s="9" t="s">
        <v>376</v>
      </c>
      <c r="L148" s="9" t="s">
        <v>379</v>
      </c>
      <c r="M148" s="9" t="s">
        <v>1690</v>
      </c>
      <c r="N148" s="9" t="s">
        <v>379</v>
      </c>
      <c r="O148" s="9" t="s">
        <v>497</v>
      </c>
      <c r="P148" s="9" t="s">
        <v>592</v>
      </c>
      <c r="Q148" s="9" t="s">
        <v>759</v>
      </c>
      <c r="R148" s="9" t="s">
        <v>1704</v>
      </c>
      <c r="S148" s="9" t="s">
        <v>384</v>
      </c>
      <c r="T148" s="9" t="s">
        <v>385</v>
      </c>
      <c r="AV148" s="9" t="s">
        <v>504</v>
      </c>
      <c r="AW148" s="9">
        <v>4.0</v>
      </c>
      <c r="AX148" s="9" t="s">
        <v>391</v>
      </c>
      <c r="AY148" s="9" t="s">
        <v>391</v>
      </c>
      <c r="AZ148" s="9">
        <v>2.0</v>
      </c>
      <c r="BA148" s="9" t="s">
        <v>391</v>
      </c>
      <c r="BB148" s="9" t="s">
        <v>391</v>
      </c>
      <c r="BE148" s="9" t="s">
        <v>432</v>
      </c>
      <c r="BG148" s="9" t="s">
        <v>394</v>
      </c>
      <c r="BI148" s="9" t="s">
        <v>824</v>
      </c>
      <c r="BK148" s="9" t="s">
        <v>681</v>
      </c>
      <c r="BL148" s="9" t="s">
        <v>396</v>
      </c>
      <c r="BM148" s="9" t="s">
        <v>549</v>
      </c>
      <c r="BN148" s="9" t="s">
        <v>440</v>
      </c>
      <c r="DI148" s="9" t="s">
        <v>459</v>
      </c>
      <c r="DJ148" s="9" t="s">
        <v>613</v>
      </c>
      <c r="DM148" s="9" t="s">
        <v>2890</v>
      </c>
      <c r="DN148" s="9" t="s">
        <v>3469</v>
      </c>
      <c r="DO148" s="9" t="s">
        <v>464</v>
      </c>
      <c r="DP148" s="9" t="s">
        <v>3470</v>
      </c>
      <c r="DQ148" s="9" t="s">
        <v>1176</v>
      </c>
      <c r="DR148" s="9" t="s">
        <v>408</v>
      </c>
      <c r="DS148" s="9" t="s">
        <v>839</v>
      </c>
      <c r="DT148" s="9" t="s">
        <v>570</v>
      </c>
      <c r="DU148" s="9" t="s">
        <v>3471</v>
      </c>
      <c r="DV148" s="9" t="s">
        <v>3471</v>
      </c>
      <c r="DW148" s="9" t="s">
        <v>573</v>
      </c>
      <c r="DY148" s="9" t="s">
        <v>3472</v>
      </c>
      <c r="DZ148" s="9" t="s">
        <v>3473</v>
      </c>
      <c r="EA148" s="9" t="s">
        <v>2960</v>
      </c>
      <c r="EB148" s="9" t="s">
        <v>3474</v>
      </c>
      <c r="ET148" s="9" t="s">
        <v>478</v>
      </c>
      <c r="EU148" s="9" t="s">
        <v>479</v>
      </c>
      <c r="EV148" s="9" t="s">
        <v>778</v>
      </c>
      <c r="EW148" s="9" t="s">
        <v>3475</v>
      </c>
      <c r="FB148" s="11"/>
      <c r="FO148" s="9" t="s">
        <v>485</v>
      </c>
      <c r="FP148" s="9" t="s">
        <v>486</v>
      </c>
      <c r="FQ148" s="9" t="s">
        <v>712</v>
      </c>
      <c r="FS148" s="9" t="s">
        <v>420</v>
      </c>
      <c r="FT148" s="9" t="s">
        <v>488</v>
      </c>
      <c r="FU148" s="9" t="s">
        <v>489</v>
      </c>
      <c r="FV148" s="9" t="s">
        <v>490</v>
      </c>
      <c r="FW148" s="9" t="s">
        <v>491</v>
      </c>
      <c r="FY148" s="9" t="s">
        <v>535</v>
      </c>
      <c r="GB148" s="9" t="s">
        <v>408</v>
      </c>
      <c r="GM148" s="9" t="s">
        <v>2312</v>
      </c>
      <c r="GQ148" s="9" t="s">
        <v>3208</v>
      </c>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c r="IG148" s="10"/>
      <c r="IH148" s="10"/>
      <c r="II148" s="10"/>
      <c r="IJ148" s="10"/>
      <c r="IK148" s="10"/>
      <c r="IL148" s="10"/>
      <c r="IM148" s="10"/>
      <c r="IN148" s="10"/>
      <c r="IO148" s="10"/>
      <c r="IP148" s="10"/>
      <c r="IQ148" s="10"/>
      <c r="IR148" s="10"/>
      <c r="IS148" s="10"/>
      <c r="IT148" s="10"/>
      <c r="IU148" s="10"/>
      <c r="IV148" s="10"/>
      <c r="IW148" s="10"/>
      <c r="IX148" s="10"/>
      <c r="IY148" s="10"/>
      <c r="IZ148" s="10"/>
      <c r="JA148" s="10"/>
      <c r="JB148" s="10"/>
      <c r="JC148" s="10"/>
      <c r="JD148" s="10"/>
      <c r="JE148" s="10"/>
      <c r="JF148" s="10"/>
      <c r="JG148" s="10"/>
      <c r="JH148" s="10"/>
      <c r="JI148" s="10"/>
      <c r="JJ148" s="10"/>
      <c r="JK148" s="10"/>
      <c r="JL148" s="10"/>
      <c r="JM148" s="10"/>
      <c r="JN148" s="10"/>
      <c r="JO148" s="10"/>
      <c r="JP148" s="10"/>
      <c r="JQ148" s="10"/>
      <c r="JR148" s="10"/>
      <c r="JS148" s="10"/>
      <c r="JT148" s="10"/>
      <c r="JU148" s="10"/>
      <c r="JV148" s="10"/>
      <c r="JW148" s="10"/>
      <c r="JX148" s="10"/>
      <c r="JY148" s="10"/>
      <c r="JZ148" s="10"/>
      <c r="KA148" s="10"/>
      <c r="KB148" s="10"/>
      <c r="KC148" s="10"/>
      <c r="KD148" s="10"/>
      <c r="KE148" s="10"/>
      <c r="KF148" s="10"/>
      <c r="KG148" s="10"/>
      <c r="KH148" s="10"/>
      <c r="KI148" s="10"/>
      <c r="KJ148" s="10"/>
      <c r="KK148" s="10"/>
      <c r="KL148" s="10"/>
      <c r="KM148" s="10"/>
      <c r="KN148" s="10"/>
      <c r="KO148" s="10"/>
      <c r="KP148" s="10"/>
      <c r="KQ148" s="10"/>
      <c r="KR148" s="10"/>
      <c r="KS148" s="10"/>
      <c r="KT148" s="10"/>
      <c r="KU148" s="10"/>
      <c r="KV148" s="10"/>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S148" s="10"/>
      <c r="LT148" s="10"/>
      <c r="LU148" s="10"/>
      <c r="LV148" s="10"/>
      <c r="LW148" s="10"/>
      <c r="LX148" s="10"/>
      <c r="LY148" s="10"/>
      <c r="LZ148" s="10"/>
      <c r="MA148" s="10"/>
      <c r="MB148" s="10"/>
      <c r="MC148" s="10"/>
      <c r="MD148" s="10"/>
      <c r="ME148" s="10"/>
      <c r="MF148" s="10"/>
      <c r="MG148" s="10"/>
      <c r="MH148" s="10"/>
      <c r="MI148" s="10"/>
      <c r="MJ148" s="10"/>
      <c r="MK148" s="10"/>
      <c r="ML148" s="10"/>
      <c r="MM148" s="10"/>
      <c r="MN148" s="10"/>
      <c r="MO148" s="10"/>
      <c r="MP148" s="10"/>
      <c r="MQ148" s="10"/>
      <c r="MR148" s="10"/>
      <c r="MS148" s="10"/>
      <c r="MT148" s="10"/>
      <c r="MU148" s="10"/>
      <c r="MV148" s="10"/>
      <c r="MW148" s="10"/>
      <c r="MX148" s="10"/>
      <c r="MY148" s="10"/>
      <c r="MZ148" s="10"/>
      <c r="NA148" s="10"/>
      <c r="NB148" s="10"/>
      <c r="NC148" s="10"/>
      <c r="ND148" s="10"/>
    </row>
    <row r="149" ht="24.75" customHeight="1">
      <c r="A149" s="8">
        <v>45830.85278008102</v>
      </c>
      <c r="B149" s="9" t="s">
        <v>368</v>
      </c>
      <c r="C149" s="9" t="s">
        <v>894</v>
      </c>
      <c r="D149" s="9" t="s">
        <v>894</v>
      </c>
      <c r="G149" s="9" t="s">
        <v>422</v>
      </c>
      <c r="H149" s="9" t="s">
        <v>496</v>
      </c>
      <c r="I149" s="9" t="s">
        <v>374</v>
      </c>
      <c r="J149" s="9" t="s">
        <v>375</v>
      </c>
      <c r="K149" s="9" t="s">
        <v>376</v>
      </c>
      <c r="L149" s="9" t="s">
        <v>426</v>
      </c>
      <c r="M149" s="9" t="s">
        <v>2464</v>
      </c>
      <c r="N149" s="9" t="s">
        <v>426</v>
      </c>
      <c r="O149" s="9" t="s">
        <v>719</v>
      </c>
      <c r="P149" s="9" t="s">
        <v>498</v>
      </c>
      <c r="Q149" s="9" t="s">
        <v>862</v>
      </c>
      <c r="R149" s="9" t="s">
        <v>427</v>
      </c>
      <c r="S149" s="9" t="s">
        <v>384</v>
      </c>
      <c r="T149" s="9" t="s">
        <v>385</v>
      </c>
      <c r="U149" s="9" t="s">
        <v>1241</v>
      </c>
      <c r="V149" s="9" t="s">
        <v>1025</v>
      </c>
      <c r="W149" s="9" t="s">
        <v>3014</v>
      </c>
      <c r="AV149" s="9" t="s">
        <v>1310</v>
      </c>
      <c r="AW149" s="9">
        <v>4.0</v>
      </c>
      <c r="AX149" s="9" t="s">
        <v>391</v>
      </c>
      <c r="AY149" s="9" t="s">
        <v>391</v>
      </c>
      <c r="AZ149" s="9" t="s">
        <v>391</v>
      </c>
      <c r="BA149" s="9">
        <v>4.0</v>
      </c>
      <c r="BB149" s="9">
        <v>4.0</v>
      </c>
      <c r="BE149" s="9" t="s">
        <v>432</v>
      </c>
      <c r="BG149" s="9" t="s">
        <v>434</v>
      </c>
      <c r="BI149" s="9" t="s">
        <v>976</v>
      </c>
      <c r="BK149" s="9" t="s">
        <v>681</v>
      </c>
      <c r="BL149" s="9" t="s">
        <v>438</v>
      </c>
      <c r="BM149" s="9" t="s">
        <v>1247</v>
      </c>
      <c r="BN149" s="9" t="s">
        <v>398</v>
      </c>
      <c r="BQ149" s="9" t="s">
        <v>442</v>
      </c>
      <c r="BR149" s="9" t="s">
        <v>3323</v>
      </c>
      <c r="BS149" s="9" t="s">
        <v>403</v>
      </c>
      <c r="BT149" s="9" t="s">
        <v>1771</v>
      </c>
      <c r="BU149" s="9" t="s">
        <v>1772</v>
      </c>
      <c r="BW149" s="9" t="s">
        <v>988</v>
      </c>
      <c r="BX149" s="9" t="s">
        <v>1867</v>
      </c>
      <c r="BY149" s="9" t="s">
        <v>408</v>
      </c>
      <c r="CD149" s="9" t="s">
        <v>409</v>
      </c>
      <c r="CF149" s="9" t="s">
        <v>1258</v>
      </c>
      <c r="CH149" s="9" t="s">
        <v>1751</v>
      </c>
      <c r="CI149" s="9" t="s">
        <v>1220</v>
      </c>
      <c r="ET149" s="9" t="s">
        <v>526</v>
      </c>
      <c r="EU149" s="9" t="s">
        <v>1127</v>
      </c>
      <c r="EV149" s="9" t="s">
        <v>1262</v>
      </c>
      <c r="EZ149" s="9" t="s">
        <v>415</v>
      </c>
      <c r="FA149" s="9" t="s">
        <v>415</v>
      </c>
      <c r="FB149" s="9" t="s">
        <v>416</v>
      </c>
      <c r="FC149" s="9" t="s">
        <v>414</v>
      </c>
      <c r="FD149" s="9" t="s">
        <v>413</v>
      </c>
      <c r="FE149" s="9" t="s">
        <v>415</v>
      </c>
      <c r="FF149" s="9" t="s">
        <v>415</v>
      </c>
      <c r="FG149" s="9" t="s">
        <v>416</v>
      </c>
      <c r="FH149" s="9" t="s">
        <v>416</v>
      </c>
      <c r="FI149" s="9" t="s">
        <v>415</v>
      </c>
      <c r="FJ149" s="9" t="s">
        <v>415</v>
      </c>
      <c r="FK149" s="9" t="s">
        <v>416</v>
      </c>
      <c r="FL149" s="9" t="s">
        <v>416</v>
      </c>
      <c r="FM149" s="9" t="s">
        <v>416</v>
      </c>
      <c r="FN149" s="9" t="s">
        <v>415</v>
      </c>
      <c r="FO149" s="9" t="s">
        <v>485</v>
      </c>
      <c r="FP149" s="9" t="s">
        <v>418</v>
      </c>
      <c r="FQ149" s="9" t="s">
        <v>712</v>
      </c>
      <c r="FS149" s="9" t="s">
        <v>1189</v>
      </c>
      <c r="FT149" s="9" t="s">
        <v>1462</v>
      </c>
      <c r="FU149" s="9" t="s">
        <v>585</v>
      </c>
      <c r="FV149" s="9" t="s">
        <v>490</v>
      </c>
      <c r="FW149" s="9" t="s">
        <v>491</v>
      </c>
      <c r="FY149" s="9" t="s">
        <v>1337</v>
      </c>
      <c r="GB149" s="9" t="s">
        <v>408</v>
      </c>
      <c r="GJ149" s="9" t="s">
        <v>920</v>
      </c>
      <c r="GK149" s="9" t="s">
        <v>920</v>
      </c>
      <c r="GL149" s="9" t="s">
        <v>858</v>
      </c>
      <c r="GQ149" s="9" t="s">
        <v>3351</v>
      </c>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c r="HX149" s="10"/>
      <c r="HY149" s="10"/>
      <c r="HZ149" s="10"/>
      <c r="IA149" s="10"/>
      <c r="IB149" s="10"/>
      <c r="IC149" s="10"/>
      <c r="ID149" s="10"/>
      <c r="IE149" s="10"/>
      <c r="IF149" s="10"/>
      <c r="IG149" s="10"/>
      <c r="IH149" s="10"/>
      <c r="II149" s="10"/>
      <c r="IJ149" s="10"/>
      <c r="IK149" s="10"/>
      <c r="IL149" s="10"/>
      <c r="IM149" s="10"/>
      <c r="IN149" s="10"/>
      <c r="IO149" s="10"/>
      <c r="IP149" s="10"/>
      <c r="IQ149" s="10"/>
      <c r="IR149" s="10"/>
      <c r="IS149" s="10"/>
      <c r="IT149" s="10"/>
      <c r="IU149" s="10"/>
      <c r="IV149" s="10"/>
      <c r="IW149" s="10"/>
      <c r="IX149" s="10"/>
      <c r="IY149" s="10"/>
      <c r="IZ149" s="10"/>
      <c r="JA149" s="10"/>
      <c r="JB149" s="10"/>
      <c r="JC149" s="10"/>
      <c r="JD149" s="10"/>
      <c r="JE149" s="10"/>
      <c r="JF149" s="10"/>
      <c r="JG149" s="10"/>
      <c r="JH149" s="10"/>
      <c r="JI149" s="10"/>
      <c r="JJ149" s="10"/>
      <c r="JK149" s="10"/>
      <c r="JL149" s="10"/>
      <c r="JM149" s="10"/>
      <c r="JN149" s="10"/>
      <c r="JO149" s="10"/>
      <c r="JP149" s="10"/>
      <c r="JQ149" s="10"/>
      <c r="JR149" s="10"/>
      <c r="JS149" s="10"/>
      <c r="JT149" s="10"/>
      <c r="JU149" s="10"/>
      <c r="JV149" s="10"/>
      <c r="JW149" s="10"/>
      <c r="JX149" s="10"/>
      <c r="JY149" s="10"/>
      <c r="JZ149" s="10"/>
      <c r="KA149" s="10"/>
      <c r="KB149" s="10"/>
      <c r="KC149" s="10"/>
      <c r="KD149" s="10"/>
      <c r="KE149" s="10"/>
      <c r="KF149" s="10"/>
      <c r="KG149" s="10"/>
      <c r="KH149" s="10"/>
      <c r="KI149" s="10"/>
      <c r="KJ149" s="10"/>
      <c r="KK149" s="10"/>
      <c r="KL149" s="10"/>
      <c r="KM149" s="10"/>
      <c r="KN149" s="10"/>
      <c r="KO149" s="10"/>
      <c r="KP149" s="10"/>
      <c r="KQ149" s="10"/>
      <c r="KR149" s="10"/>
      <c r="KS149" s="10"/>
      <c r="KT149" s="10"/>
      <c r="KU149" s="10"/>
      <c r="KV149" s="10"/>
      <c r="KW149" s="10"/>
      <c r="KX149" s="10"/>
      <c r="KY149" s="10"/>
      <c r="KZ149" s="10"/>
      <c r="LA149" s="10"/>
      <c r="LB149" s="10"/>
      <c r="LC149" s="10"/>
      <c r="LD149" s="10"/>
      <c r="LE149" s="10"/>
      <c r="LF149" s="10"/>
      <c r="LG149" s="10"/>
      <c r="LH149" s="10"/>
      <c r="LI149" s="10"/>
      <c r="LJ149" s="10"/>
      <c r="LK149" s="10"/>
      <c r="LL149" s="10"/>
      <c r="LM149" s="10"/>
      <c r="LN149" s="10"/>
      <c r="LO149" s="10"/>
      <c r="LP149" s="10"/>
      <c r="LQ149" s="10"/>
      <c r="LR149" s="10"/>
      <c r="LS149" s="10"/>
      <c r="LT149" s="10"/>
      <c r="LU149" s="10"/>
      <c r="LV149" s="10"/>
      <c r="LW149" s="10"/>
      <c r="LX149" s="10"/>
      <c r="LY149" s="10"/>
      <c r="LZ149" s="10"/>
      <c r="MA149" s="10"/>
      <c r="MB149" s="10"/>
      <c r="MC149" s="10"/>
      <c r="MD149" s="10"/>
      <c r="ME149" s="10"/>
      <c r="MF149" s="10"/>
      <c r="MG149" s="10"/>
      <c r="MH149" s="10"/>
      <c r="MI149" s="10"/>
      <c r="MJ149" s="10"/>
      <c r="MK149" s="10"/>
      <c r="ML149" s="10"/>
      <c r="MM149" s="10"/>
      <c r="MN149" s="10"/>
      <c r="MO149" s="10"/>
      <c r="MP149" s="10"/>
      <c r="MQ149" s="10"/>
      <c r="MR149" s="10"/>
      <c r="MS149" s="10"/>
      <c r="MT149" s="10"/>
      <c r="MU149" s="10"/>
      <c r="MV149" s="10"/>
      <c r="MW149" s="10"/>
      <c r="MX149" s="10"/>
      <c r="MY149" s="10"/>
      <c r="MZ149" s="10"/>
      <c r="NA149" s="10"/>
      <c r="NB149" s="10"/>
      <c r="NC149" s="10"/>
      <c r="ND149" s="10"/>
    </row>
    <row r="150" ht="24.75" customHeight="1">
      <c r="A150" s="8">
        <v>45830.87385914352</v>
      </c>
      <c r="B150" s="9" t="s">
        <v>368</v>
      </c>
      <c r="C150" s="9" t="s">
        <v>370</v>
      </c>
      <c r="E150" s="9" t="s">
        <v>1464</v>
      </c>
      <c r="G150" s="9" t="s">
        <v>422</v>
      </c>
      <c r="H150" s="9" t="s">
        <v>373</v>
      </c>
      <c r="I150" s="9" t="s">
        <v>374</v>
      </c>
      <c r="J150" s="9" t="s">
        <v>718</v>
      </c>
      <c r="K150" s="9" t="s">
        <v>376</v>
      </c>
      <c r="L150" s="9" t="s">
        <v>591</v>
      </c>
      <c r="M150" s="9" t="s">
        <v>3476</v>
      </c>
      <c r="N150" s="9" t="s">
        <v>591</v>
      </c>
      <c r="O150" s="9" t="s">
        <v>3477</v>
      </c>
      <c r="P150" s="9" t="s">
        <v>592</v>
      </c>
      <c r="Q150" s="9" t="s">
        <v>1156</v>
      </c>
      <c r="R150" s="9" t="s">
        <v>949</v>
      </c>
      <c r="S150" s="9" t="s">
        <v>384</v>
      </c>
      <c r="T150" s="9" t="s">
        <v>385</v>
      </c>
      <c r="W150" s="9" t="s">
        <v>3231</v>
      </c>
      <c r="AV150" s="9" t="s">
        <v>1310</v>
      </c>
      <c r="AW150" s="9">
        <v>2.0</v>
      </c>
      <c r="AX150" s="9" t="s">
        <v>391</v>
      </c>
      <c r="AY150" s="9" t="s">
        <v>429</v>
      </c>
      <c r="AZ150" s="9" t="s">
        <v>391</v>
      </c>
      <c r="BA150" s="9" t="s">
        <v>429</v>
      </c>
      <c r="BB150" s="9" t="s">
        <v>429</v>
      </c>
      <c r="BE150" s="9" t="s">
        <v>392</v>
      </c>
      <c r="BF150" s="9" t="s">
        <v>393</v>
      </c>
      <c r="BG150" s="9" t="s">
        <v>725</v>
      </c>
      <c r="BI150" s="9" t="s">
        <v>509</v>
      </c>
      <c r="BK150" s="9" t="s">
        <v>395</v>
      </c>
      <c r="BL150" s="9" t="s">
        <v>512</v>
      </c>
      <c r="BM150" s="9" t="s">
        <v>549</v>
      </c>
      <c r="BN150" s="9" t="s">
        <v>513</v>
      </c>
      <c r="CL150" s="9" t="s">
        <v>441</v>
      </c>
      <c r="CM150" s="9" t="s">
        <v>401</v>
      </c>
      <c r="CP150" s="9" t="s">
        <v>445</v>
      </c>
      <c r="CQ150" s="9" t="s">
        <v>3478</v>
      </c>
      <c r="CR150" s="9" t="s">
        <v>447</v>
      </c>
      <c r="CS150" s="9" t="s">
        <v>3479</v>
      </c>
      <c r="CU150" s="9" t="s">
        <v>519</v>
      </c>
      <c r="CV150" s="9" t="s">
        <v>451</v>
      </c>
      <c r="CX150" s="9" t="s">
        <v>455</v>
      </c>
      <c r="CY150" s="9" t="s">
        <v>3480</v>
      </c>
      <c r="CZ150" s="9" t="s">
        <v>453</v>
      </c>
      <c r="DB150" s="9" t="s">
        <v>408</v>
      </c>
      <c r="DD150" s="9" t="s">
        <v>457</v>
      </c>
      <c r="DG150" s="9" t="s">
        <v>561</v>
      </c>
      <c r="DH150" s="9" t="s">
        <v>410</v>
      </c>
      <c r="DI150" s="9" t="s">
        <v>459</v>
      </c>
      <c r="DJ150" s="9" t="s">
        <v>460</v>
      </c>
      <c r="DK150" s="9" t="s">
        <v>461</v>
      </c>
      <c r="ET150" s="9" t="s">
        <v>526</v>
      </c>
      <c r="EU150" s="9" t="s">
        <v>479</v>
      </c>
      <c r="EV150" s="9" t="s">
        <v>1262</v>
      </c>
      <c r="EZ150" s="9" t="s">
        <v>583</v>
      </c>
      <c r="FA150" s="9" t="s">
        <v>583</v>
      </c>
      <c r="FB150" s="9" t="s">
        <v>583</v>
      </c>
      <c r="FC150" s="9" t="s">
        <v>583</v>
      </c>
      <c r="FD150" s="9" t="s">
        <v>416</v>
      </c>
      <c r="FE150" s="9" t="s">
        <v>583</v>
      </c>
      <c r="FF150" s="9" t="s">
        <v>583</v>
      </c>
      <c r="FG150" s="9" t="s">
        <v>416</v>
      </c>
      <c r="FH150" s="9" t="s">
        <v>583</v>
      </c>
      <c r="FI150" s="9" t="s">
        <v>583</v>
      </c>
      <c r="FJ150" s="9" t="s">
        <v>583</v>
      </c>
      <c r="FK150" s="9" t="s">
        <v>413</v>
      </c>
      <c r="FL150" s="9" t="s">
        <v>583</v>
      </c>
      <c r="FM150" s="9" t="s">
        <v>413</v>
      </c>
      <c r="FN150" s="9" t="s">
        <v>583</v>
      </c>
      <c r="FO150" s="9" t="s">
        <v>485</v>
      </c>
      <c r="FP150" s="9" t="s">
        <v>418</v>
      </c>
      <c r="FQ150" s="9" t="s">
        <v>630</v>
      </c>
      <c r="FS150" s="9" t="s">
        <v>420</v>
      </c>
      <c r="FT150" s="9" t="s">
        <v>488</v>
      </c>
      <c r="FU150" s="9" t="s">
        <v>533</v>
      </c>
      <c r="FV150" s="9" t="s">
        <v>490</v>
      </c>
      <c r="FW150" s="9" t="s">
        <v>1853</v>
      </c>
      <c r="FY150" s="9" t="s">
        <v>535</v>
      </c>
      <c r="GB150" s="9" t="s">
        <v>408</v>
      </c>
      <c r="GG150" s="9" t="s">
        <v>755</v>
      </c>
      <c r="GH150" s="9" t="s">
        <v>755</v>
      </c>
      <c r="GI150" s="9" t="s">
        <v>946</v>
      </c>
      <c r="GP150" s="9" t="s">
        <v>387</v>
      </c>
      <c r="GQ150" s="9" t="s">
        <v>3208</v>
      </c>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c r="HX150" s="10"/>
      <c r="HY150" s="10"/>
      <c r="HZ150" s="10"/>
      <c r="IA150" s="10"/>
      <c r="IB150" s="10"/>
      <c r="IC150" s="10"/>
      <c r="ID150" s="10"/>
      <c r="IE150" s="10"/>
      <c r="IF150" s="10"/>
      <c r="IG150" s="10"/>
      <c r="IH150" s="10"/>
      <c r="II150" s="10"/>
      <c r="IJ150" s="10"/>
      <c r="IK150" s="10"/>
      <c r="IL150" s="10"/>
      <c r="IM150" s="10"/>
      <c r="IN150" s="10"/>
      <c r="IO150" s="10"/>
      <c r="IP150" s="10"/>
      <c r="IQ150" s="10"/>
      <c r="IR150" s="10"/>
      <c r="IS150" s="10"/>
      <c r="IT150" s="10"/>
      <c r="IU150" s="10"/>
      <c r="IV150" s="10"/>
      <c r="IW150" s="10"/>
      <c r="IX150" s="10"/>
      <c r="IY150" s="10"/>
      <c r="IZ150" s="10"/>
      <c r="JA150" s="10"/>
      <c r="JB150" s="10"/>
      <c r="JC150" s="10"/>
      <c r="JD150" s="10"/>
      <c r="JE150" s="10"/>
      <c r="JF150" s="10"/>
      <c r="JG150" s="10"/>
      <c r="JH150" s="10"/>
      <c r="JI150" s="10"/>
      <c r="JJ150" s="10"/>
      <c r="JK150" s="10"/>
      <c r="JL150" s="10"/>
      <c r="JM150" s="10"/>
      <c r="JN150" s="10"/>
      <c r="JO150" s="10"/>
      <c r="JP150" s="10"/>
      <c r="JQ150" s="10"/>
      <c r="JR150" s="10"/>
      <c r="JS150" s="10"/>
      <c r="JT150" s="10"/>
      <c r="JU150" s="10"/>
      <c r="JV150" s="10"/>
      <c r="JW150" s="10"/>
      <c r="JX150" s="10"/>
      <c r="JY150" s="10"/>
      <c r="JZ150" s="10"/>
      <c r="KA150" s="10"/>
      <c r="KB150" s="10"/>
      <c r="KC150" s="10"/>
      <c r="KD150" s="10"/>
      <c r="KE150" s="10"/>
      <c r="KF150" s="10"/>
      <c r="KG150" s="10"/>
      <c r="KH150" s="10"/>
      <c r="KI150" s="10"/>
      <c r="KJ150" s="10"/>
      <c r="KK150" s="10"/>
      <c r="KL150" s="10"/>
      <c r="KM150" s="10"/>
      <c r="KN150" s="10"/>
      <c r="KO150" s="10"/>
      <c r="KP150" s="10"/>
      <c r="KQ150" s="10"/>
      <c r="KR150" s="10"/>
      <c r="KS150" s="10"/>
      <c r="KT150" s="10"/>
      <c r="KU150" s="10"/>
      <c r="KV150" s="10"/>
      <c r="KW150" s="10"/>
      <c r="KX150" s="10"/>
      <c r="KY150" s="10"/>
      <c r="KZ150" s="10"/>
      <c r="LA150" s="10"/>
      <c r="LB150" s="10"/>
      <c r="LC150" s="10"/>
      <c r="LD150" s="10"/>
      <c r="LE150" s="10"/>
      <c r="LF150" s="10"/>
      <c r="LG150" s="10"/>
      <c r="LH150" s="10"/>
      <c r="LI150" s="10"/>
      <c r="LJ150" s="10"/>
      <c r="LK150" s="10"/>
      <c r="LL150" s="10"/>
      <c r="LM150" s="10"/>
      <c r="LN150" s="10"/>
      <c r="LO150" s="10"/>
      <c r="LP150" s="10"/>
      <c r="LQ150" s="10"/>
      <c r="LR150" s="10"/>
      <c r="LS150" s="10"/>
      <c r="LT150" s="10"/>
      <c r="LU150" s="10"/>
      <c r="LV150" s="10"/>
      <c r="LW150" s="10"/>
      <c r="LX150" s="10"/>
      <c r="LY150" s="10"/>
      <c r="LZ150" s="10"/>
      <c r="MA150" s="10"/>
      <c r="MB150" s="10"/>
      <c r="MC150" s="10"/>
      <c r="MD150" s="10"/>
      <c r="ME150" s="10"/>
      <c r="MF150" s="10"/>
      <c r="MG150" s="10"/>
      <c r="MH150" s="10"/>
      <c r="MI150" s="10"/>
      <c r="MJ150" s="10"/>
      <c r="MK150" s="10"/>
      <c r="ML150" s="10"/>
      <c r="MM150" s="10"/>
      <c r="MN150" s="10"/>
      <c r="MO150" s="10"/>
      <c r="MP150" s="10"/>
      <c r="MQ150" s="10"/>
      <c r="MR150" s="10"/>
      <c r="MS150" s="10"/>
      <c r="MT150" s="10"/>
      <c r="MU150" s="10"/>
      <c r="MV150" s="10"/>
      <c r="MW150" s="10"/>
      <c r="MX150" s="10"/>
      <c r="MY150" s="10"/>
      <c r="MZ150" s="10"/>
      <c r="NA150" s="10"/>
      <c r="NB150" s="10"/>
      <c r="NC150" s="10"/>
      <c r="ND150" s="10"/>
    </row>
    <row r="151" ht="24.75" customHeight="1">
      <c r="A151" s="8">
        <v>45830.97040641204</v>
      </c>
      <c r="B151" s="9" t="s">
        <v>368</v>
      </c>
      <c r="C151" s="9" t="s">
        <v>1201</v>
      </c>
      <c r="D151" s="9" t="s">
        <v>1201</v>
      </c>
      <c r="G151" s="9" t="s">
        <v>422</v>
      </c>
      <c r="H151" s="9" t="s">
        <v>423</v>
      </c>
      <c r="I151" s="9" t="s">
        <v>668</v>
      </c>
      <c r="J151" s="9" t="s">
        <v>1240</v>
      </c>
      <c r="K151" s="9" t="s">
        <v>376</v>
      </c>
      <c r="L151" s="9" t="s">
        <v>379</v>
      </c>
      <c r="M151" s="9" t="s">
        <v>720</v>
      </c>
      <c r="N151" s="9" t="s">
        <v>377</v>
      </c>
      <c r="O151" s="9" t="s">
        <v>497</v>
      </c>
      <c r="P151" s="9" t="s">
        <v>381</v>
      </c>
      <c r="Q151" s="9" t="s">
        <v>499</v>
      </c>
      <c r="R151" s="9" t="s">
        <v>427</v>
      </c>
      <c r="S151" s="9" t="s">
        <v>384</v>
      </c>
      <c r="T151" s="9" t="s">
        <v>385</v>
      </c>
      <c r="W151" s="9" t="s">
        <v>3014</v>
      </c>
      <c r="AV151" s="9" t="s">
        <v>1310</v>
      </c>
      <c r="AW151" s="9" t="s">
        <v>391</v>
      </c>
      <c r="AX151" s="9" t="s">
        <v>391</v>
      </c>
      <c r="AY151" s="9" t="s">
        <v>391</v>
      </c>
      <c r="AZ151" s="9" t="s">
        <v>391</v>
      </c>
      <c r="BA151" s="9">
        <v>4.0</v>
      </c>
      <c r="BB151" s="9" t="s">
        <v>391</v>
      </c>
      <c r="BC151" s="9" t="s">
        <v>3481</v>
      </c>
      <c r="BD151" s="9" t="s">
        <v>3482</v>
      </c>
      <c r="BE151" s="9" t="s">
        <v>392</v>
      </c>
      <c r="BF151" s="9" t="s">
        <v>393</v>
      </c>
      <c r="BG151" s="9" t="s">
        <v>678</v>
      </c>
      <c r="BH151" s="9" t="s">
        <v>3483</v>
      </c>
      <c r="BI151" s="9" t="s">
        <v>435</v>
      </c>
      <c r="BJ151" s="9" t="s">
        <v>3484</v>
      </c>
      <c r="BK151" s="9" t="s">
        <v>511</v>
      </c>
      <c r="BL151" s="9" t="s">
        <v>438</v>
      </c>
      <c r="BM151" s="9" t="s">
        <v>1247</v>
      </c>
      <c r="BN151" s="9" t="s">
        <v>440</v>
      </c>
      <c r="CL151" s="9" t="s">
        <v>550</v>
      </c>
      <c r="CM151" s="9" t="s">
        <v>442</v>
      </c>
      <c r="CN151" s="9" t="s">
        <v>3485</v>
      </c>
      <c r="CO151" s="9" t="s">
        <v>3486</v>
      </c>
      <c r="CP151" s="9" t="s">
        <v>685</v>
      </c>
      <c r="CQ151" s="9" t="s">
        <v>3487</v>
      </c>
      <c r="CR151" s="9" t="s">
        <v>447</v>
      </c>
      <c r="CS151" s="9" t="s">
        <v>3488</v>
      </c>
      <c r="CT151" s="9" t="s">
        <v>3489</v>
      </c>
      <c r="CU151" s="9" t="s">
        <v>519</v>
      </c>
      <c r="CV151" s="9" t="s">
        <v>451</v>
      </c>
      <c r="CW151" s="9" t="s">
        <v>3490</v>
      </c>
      <c r="CX151" s="9" t="s">
        <v>408</v>
      </c>
      <c r="CZ151" s="9" t="s">
        <v>453</v>
      </c>
      <c r="DA151" s="9" t="s">
        <v>3491</v>
      </c>
      <c r="DB151" s="9" t="s">
        <v>455</v>
      </c>
      <c r="DC151" s="9" t="s">
        <v>3492</v>
      </c>
      <c r="DD151" s="9" t="s">
        <v>406</v>
      </c>
      <c r="DE151" s="9" t="s">
        <v>407</v>
      </c>
      <c r="DF151" s="9" t="s">
        <v>3493</v>
      </c>
      <c r="DG151" s="9" t="s">
        <v>524</v>
      </c>
      <c r="DH151" s="9" t="s">
        <v>410</v>
      </c>
      <c r="DI151" s="9" t="s">
        <v>963</v>
      </c>
      <c r="DJ151" s="9" t="s">
        <v>562</v>
      </c>
      <c r="DK151" s="9" t="s">
        <v>461</v>
      </c>
      <c r="DM151" s="9" t="s">
        <v>3494</v>
      </c>
      <c r="DN151" s="9" t="s">
        <v>3495</v>
      </c>
      <c r="DO151" s="9" t="s">
        <v>3496</v>
      </c>
      <c r="DP151" s="9" t="s">
        <v>3497</v>
      </c>
      <c r="DQ151" s="9" t="s">
        <v>466</v>
      </c>
      <c r="DR151" s="9" t="s">
        <v>3498</v>
      </c>
      <c r="DS151" s="9" t="s">
        <v>839</v>
      </c>
      <c r="DT151" s="9" t="s">
        <v>1580</v>
      </c>
      <c r="DU151" s="9" t="s">
        <v>3499</v>
      </c>
      <c r="DV151" s="9" t="s">
        <v>3500</v>
      </c>
      <c r="DW151" s="9" t="s">
        <v>573</v>
      </c>
      <c r="DX151" s="9" t="s">
        <v>3501</v>
      </c>
      <c r="DY151" s="9" t="s">
        <v>3502</v>
      </c>
      <c r="DZ151" s="9" t="s">
        <v>3503</v>
      </c>
      <c r="EA151" s="9" t="s">
        <v>475</v>
      </c>
      <c r="EB151" s="9" t="s">
        <v>626</v>
      </c>
      <c r="ET151" s="9" t="s">
        <v>526</v>
      </c>
      <c r="EU151" s="9" t="s">
        <v>479</v>
      </c>
      <c r="EV151" s="9" t="s">
        <v>480</v>
      </c>
      <c r="EX151" s="9" t="s">
        <v>3504</v>
      </c>
      <c r="EY151" s="9" t="s">
        <v>3505</v>
      </c>
      <c r="EZ151" s="9" t="s">
        <v>415</v>
      </c>
      <c r="FA151" s="9" t="s">
        <v>415</v>
      </c>
      <c r="FB151" s="9" t="s">
        <v>413</v>
      </c>
      <c r="FC151" s="9" t="s">
        <v>413</v>
      </c>
      <c r="FD151" s="9" t="s">
        <v>413</v>
      </c>
      <c r="FE151" s="9" t="s">
        <v>415</v>
      </c>
      <c r="FF151" s="9" t="s">
        <v>413</v>
      </c>
      <c r="FG151" s="9" t="s">
        <v>413</v>
      </c>
      <c r="FH151" s="9" t="s">
        <v>414</v>
      </c>
      <c r="FI151" s="9" t="s">
        <v>415</v>
      </c>
      <c r="FJ151" s="9" t="s">
        <v>415</v>
      </c>
      <c r="FK151" s="9" t="s">
        <v>415</v>
      </c>
      <c r="FL151" s="9" t="s">
        <v>415</v>
      </c>
      <c r="FM151" s="9" t="s">
        <v>415</v>
      </c>
      <c r="FN151" s="9" t="s">
        <v>415</v>
      </c>
      <c r="FO151" s="9" t="s">
        <v>485</v>
      </c>
      <c r="FP151" s="9" t="s">
        <v>418</v>
      </c>
      <c r="FQ151" s="9" t="s">
        <v>749</v>
      </c>
      <c r="FS151" s="9" t="s">
        <v>420</v>
      </c>
      <c r="FT151" s="9" t="s">
        <v>488</v>
      </c>
      <c r="FU151" s="9" t="s">
        <v>918</v>
      </c>
      <c r="FV151" s="9" t="s">
        <v>490</v>
      </c>
      <c r="FW151" s="9" t="s">
        <v>491</v>
      </c>
      <c r="FX151" s="9" t="s">
        <v>3506</v>
      </c>
      <c r="FY151" s="9" t="s">
        <v>535</v>
      </c>
      <c r="FZ151" s="9" t="s">
        <v>3507</v>
      </c>
      <c r="GA151" s="9" t="s">
        <v>3508</v>
      </c>
      <c r="GB151" s="9" t="s">
        <v>455</v>
      </c>
      <c r="GC151" s="9"/>
      <c r="GE151" s="9" t="s">
        <v>753</v>
      </c>
      <c r="GG151" s="9" t="s">
        <v>755</v>
      </c>
      <c r="GH151" s="9" t="s">
        <v>755</v>
      </c>
      <c r="GI151" s="9" t="s">
        <v>946</v>
      </c>
      <c r="GM151" s="9" t="s">
        <v>1079</v>
      </c>
      <c r="GN151" s="9" t="s">
        <v>3509</v>
      </c>
      <c r="GO151" s="9" t="s">
        <v>3509</v>
      </c>
      <c r="GQ151" s="9" t="s">
        <v>3208</v>
      </c>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c r="IE151" s="10"/>
      <c r="IF151" s="10"/>
      <c r="IG151" s="10"/>
      <c r="IH151" s="10"/>
      <c r="II151" s="10"/>
      <c r="IJ151" s="10"/>
      <c r="IK151" s="10"/>
      <c r="IL151" s="10"/>
      <c r="IM151" s="10"/>
      <c r="IN151" s="10"/>
      <c r="IO151" s="10"/>
      <c r="IP151" s="10"/>
      <c r="IQ151" s="10"/>
      <c r="IR151" s="10"/>
      <c r="IS151" s="10"/>
      <c r="IT151" s="10"/>
      <c r="IU151" s="10"/>
      <c r="IV151" s="10"/>
      <c r="IW151" s="10"/>
      <c r="IX151" s="10"/>
      <c r="IY151" s="10"/>
      <c r="IZ151" s="10"/>
      <c r="JA151" s="10"/>
      <c r="JB151" s="10"/>
      <c r="JC151" s="10"/>
      <c r="JD151" s="10"/>
      <c r="JE151" s="10"/>
      <c r="JF151" s="10"/>
      <c r="JG151" s="10"/>
      <c r="JH151" s="10"/>
      <c r="JI151" s="10"/>
      <c r="JJ151" s="10"/>
      <c r="JK151" s="10"/>
      <c r="JL151" s="10"/>
      <c r="JM151" s="10"/>
      <c r="JN151" s="10"/>
      <c r="JO151" s="10"/>
      <c r="JP151" s="10"/>
      <c r="JQ151" s="10"/>
      <c r="JR151" s="10"/>
      <c r="JS151" s="10"/>
      <c r="JT151" s="10"/>
      <c r="JU151" s="10"/>
      <c r="JV151" s="10"/>
      <c r="JW151" s="10"/>
      <c r="JX151" s="10"/>
      <c r="JY151" s="10"/>
      <c r="JZ151" s="10"/>
      <c r="KA151" s="10"/>
      <c r="KB151" s="10"/>
      <c r="KC151" s="10"/>
      <c r="KD151" s="10"/>
      <c r="KE151" s="10"/>
      <c r="KF151" s="10"/>
      <c r="KG151" s="10"/>
      <c r="KH151" s="10"/>
      <c r="KI151" s="10"/>
      <c r="KJ151" s="10"/>
      <c r="KK151" s="10"/>
      <c r="KL151" s="10"/>
      <c r="KM151" s="10"/>
      <c r="KN151" s="10"/>
      <c r="KO151" s="10"/>
      <c r="KP151" s="10"/>
      <c r="KQ151" s="10"/>
      <c r="KR151" s="10"/>
      <c r="KS151" s="10"/>
      <c r="KT151" s="10"/>
      <c r="KU151" s="10"/>
      <c r="KV151" s="10"/>
      <c r="KW151" s="10"/>
      <c r="KX151" s="10"/>
      <c r="KY151" s="10"/>
      <c r="KZ151" s="10"/>
      <c r="LA151" s="10"/>
      <c r="LB151" s="10"/>
      <c r="LC151" s="10"/>
      <c r="LD151" s="10"/>
      <c r="LE151" s="10"/>
      <c r="LF151" s="10"/>
      <c r="LG151" s="10"/>
      <c r="LH151" s="10"/>
      <c r="LI151" s="10"/>
      <c r="LJ151" s="10"/>
      <c r="LK151" s="10"/>
      <c r="LL151" s="10"/>
      <c r="LM151" s="10"/>
      <c r="LN151" s="10"/>
      <c r="LO151" s="10"/>
      <c r="LP151" s="10"/>
      <c r="LQ151" s="10"/>
      <c r="LR151" s="10"/>
      <c r="LS151" s="10"/>
      <c r="LT151" s="10"/>
      <c r="LU151" s="10"/>
      <c r="LV151" s="10"/>
      <c r="LW151" s="10"/>
      <c r="LX151" s="10"/>
      <c r="LY151" s="10"/>
      <c r="LZ151" s="10"/>
      <c r="MA151" s="10"/>
      <c r="MB151" s="10"/>
      <c r="MC151" s="10"/>
      <c r="MD151" s="10"/>
      <c r="ME151" s="10"/>
      <c r="MF151" s="10"/>
      <c r="MG151" s="10"/>
      <c r="MH151" s="10"/>
      <c r="MI151" s="10"/>
      <c r="MJ151" s="10"/>
      <c r="MK151" s="10"/>
      <c r="ML151" s="10"/>
      <c r="MM151" s="10"/>
      <c r="MN151" s="10"/>
      <c r="MO151" s="10"/>
      <c r="MP151" s="10"/>
      <c r="MQ151" s="10"/>
      <c r="MR151" s="10"/>
      <c r="MS151" s="10"/>
      <c r="MT151" s="10"/>
      <c r="MU151" s="10"/>
      <c r="MV151" s="10"/>
      <c r="MW151" s="10"/>
      <c r="MX151" s="10"/>
      <c r="MY151" s="10"/>
      <c r="MZ151" s="10"/>
      <c r="NA151" s="10"/>
      <c r="NB151" s="10"/>
      <c r="NC151" s="10"/>
      <c r="ND151" s="10"/>
    </row>
    <row r="152" ht="24.75" customHeight="1">
      <c r="A152" s="8">
        <v>45831.06838657407</v>
      </c>
      <c r="B152" s="9" t="s">
        <v>368</v>
      </c>
      <c r="C152" s="9" t="s">
        <v>370</v>
      </c>
      <c r="E152" s="9" t="s">
        <v>791</v>
      </c>
      <c r="G152" s="9" t="s">
        <v>422</v>
      </c>
      <c r="H152" s="9" t="s">
        <v>637</v>
      </c>
      <c r="I152" s="9" t="s">
        <v>638</v>
      </c>
      <c r="J152" s="9" t="s">
        <v>375</v>
      </c>
      <c r="K152" s="9" t="s">
        <v>376</v>
      </c>
      <c r="L152" s="9" t="s">
        <v>591</v>
      </c>
      <c r="M152" s="9" t="s">
        <v>378</v>
      </c>
      <c r="N152" s="9" t="s">
        <v>591</v>
      </c>
      <c r="O152" s="9" t="s">
        <v>719</v>
      </c>
      <c r="P152" s="9" t="s">
        <v>381</v>
      </c>
      <c r="Q152" s="9" t="s">
        <v>862</v>
      </c>
      <c r="R152" s="9" t="s">
        <v>427</v>
      </c>
      <c r="S152" s="9" t="s">
        <v>384</v>
      </c>
      <c r="T152" s="9" t="s">
        <v>385</v>
      </c>
      <c r="W152" s="9" t="s">
        <v>3014</v>
      </c>
      <c r="AV152" s="9" t="s">
        <v>597</v>
      </c>
      <c r="AW152" s="9">
        <v>2.0</v>
      </c>
      <c r="AX152" s="9" t="s">
        <v>429</v>
      </c>
      <c r="AY152" s="9">
        <v>4.0</v>
      </c>
      <c r="AZ152" s="9">
        <v>2.0</v>
      </c>
      <c r="BA152" s="9" t="s">
        <v>429</v>
      </c>
      <c r="BB152" s="9" t="s">
        <v>429</v>
      </c>
      <c r="BC152" s="9" t="s">
        <v>3510</v>
      </c>
      <c r="BD152" s="9" t="s">
        <v>3511</v>
      </c>
      <c r="BE152" s="9" t="s">
        <v>392</v>
      </c>
      <c r="BF152" s="9" t="s">
        <v>433</v>
      </c>
      <c r="BG152" s="9" t="s">
        <v>678</v>
      </c>
      <c r="BH152" s="9" t="s">
        <v>3512</v>
      </c>
      <c r="BI152" s="9" t="s">
        <v>824</v>
      </c>
      <c r="BK152" s="9" t="s">
        <v>681</v>
      </c>
      <c r="BL152" s="9" t="s">
        <v>396</v>
      </c>
      <c r="BM152" s="9" t="s">
        <v>397</v>
      </c>
      <c r="BN152" s="9" t="s">
        <v>513</v>
      </c>
      <c r="CL152" s="9" t="s">
        <v>441</v>
      </c>
      <c r="CM152" s="9" t="s">
        <v>401</v>
      </c>
      <c r="CN152" s="9" t="s">
        <v>3513</v>
      </c>
      <c r="CO152" s="9" t="s">
        <v>3514</v>
      </c>
      <c r="CP152" s="9" t="s">
        <v>403</v>
      </c>
      <c r="CQ152" s="9" t="s">
        <v>1427</v>
      </c>
      <c r="CR152" s="9" t="s">
        <v>447</v>
      </c>
      <c r="CS152" s="9" t="s">
        <v>2684</v>
      </c>
      <c r="CT152" s="9" t="s">
        <v>3515</v>
      </c>
      <c r="CU152" s="9" t="s">
        <v>519</v>
      </c>
      <c r="CV152" s="9" t="s">
        <v>451</v>
      </c>
      <c r="CW152" s="9" t="s">
        <v>3516</v>
      </c>
      <c r="CX152" s="9" t="s">
        <v>733</v>
      </c>
      <c r="CZ152" s="9" t="s">
        <v>985</v>
      </c>
      <c r="DA152" s="9" t="s">
        <v>3517</v>
      </c>
      <c r="DB152" s="9" t="s">
        <v>408</v>
      </c>
      <c r="DD152" s="9" t="s">
        <v>406</v>
      </c>
      <c r="DE152" s="9" t="s">
        <v>407</v>
      </c>
      <c r="DF152" s="9" t="s">
        <v>3518</v>
      </c>
      <c r="DG152" s="9" t="s">
        <v>561</v>
      </c>
      <c r="DH152" s="9" t="s">
        <v>833</v>
      </c>
      <c r="DI152" s="9" t="s">
        <v>777</v>
      </c>
      <c r="DJ152" s="9" t="s">
        <v>613</v>
      </c>
      <c r="ET152" s="9" t="s">
        <v>526</v>
      </c>
      <c r="EU152" s="9" t="s">
        <v>479</v>
      </c>
      <c r="EV152" s="9" t="s">
        <v>580</v>
      </c>
      <c r="EW152" s="9" t="s">
        <v>3519</v>
      </c>
      <c r="EX152" s="9" t="s">
        <v>3520</v>
      </c>
      <c r="EY152" s="9" t="s">
        <v>3521</v>
      </c>
      <c r="EZ152" s="9" t="s">
        <v>583</v>
      </c>
      <c r="FA152" s="9" t="s">
        <v>583</v>
      </c>
      <c r="FB152" s="9" t="s">
        <v>583</v>
      </c>
      <c r="FC152" s="9" t="s">
        <v>583</v>
      </c>
      <c r="FD152" s="9" t="s">
        <v>413</v>
      </c>
      <c r="FE152" s="9" t="s">
        <v>414</v>
      </c>
      <c r="FF152" s="9" t="s">
        <v>414</v>
      </c>
      <c r="FG152" s="9" t="s">
        <v>414</v>
      </c>
      <c r="FH152" s="9" t="s">
        <v>416</v>
      </c>
      <c r="FI152" s="9" t="s">
        <v>414</v>
      </c>
      <c r="FJ152" s="9" t="s">
        <v>583</v>
      </c>
      <c r="FK152" s="9" t="s">
        <v>414</v>
      </c>
      <c r="FL152" s="9" t="s">
        <v>414</v>
      </c>
      <c r="FM152" s="9" t="s">
        <v>414</v>
      </c>
      <c r="FN152" s="9" t="s">
        <v>414</v>
      </c>
      <c r="FO152" s="9" t="s">
        <v>485</v>
      </c>
      <c r="FP152" s="9" t="s">
        <v>418</v>
      </c>
      <c r="FQ152" s="9" t="s">
        <v>419</v>
      </c>
      <c r="FR152" s="9" t="s">
        <v>3522</v>
      </c>
      <c r="FS152" s="9" t="s">
        <v>420</v>
      </c>
      <c r="FT152" s="9" t="s">
        <v>488</v>
      </c>
      <c r="FU152" s="9" t="s">
        <v>533</v>
      </c>
      <c r="FV152" s="9" t="s">
        <v>490</v>
      </c>
      <c r="FW152" s="9" t="s">
        <v>491</v>
      </c>
      <c r="FX152" s="9" t="s">
        <v>3523</v>
      </c>
      <c r="FY152" s="9" t="s">
        <v>535</v>
      </c>
      <c r="GB152" s="9" t="s">
        <v>408</v>
      </c>
      <c r="GG152" s="9" t="s">
        <v>857</v>
      </c>
      <c r="GH152" s="9" t="s">
        <v>857</v>
      </c>
      <c r="GI152" s="9" t="s">
        <v>790</v>
      </c>
      <c r="GQ152" s="9" t="s">
        <v>3273</v>
      </c>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c r="HX152" s="10"/>
      <c r="HY152" s="10"/>
      <c r="HZ152" s="10"/>
      <c r="IA152" s="10"/>
      <c r="IB152" s="10"/>
      <c r="IC152" s="10"/>
      <c r="ID152" s="10"/>
      <c r="IE152" s="10"/>
      <c r="IF152" s="10"/>
      <c r="IG152" s="10"/>
      <c r="IH152" s="10"/>
      <c r="II152" s="10"/>
      <c r="IJ152" s="10"/>
      <c r="IK152" s="10"/>
      <c r="IL152" s="10"/>
      <c r="IM152" s="10"/>
      <c r="IN152" s="10"/>
      <c r="IO152" s="10"/>
      <c r="IP152" s="10"/>
      <c r="IQ152" s="10"/>
      <c r="IR152" s="10"/>
      <c r="IS152" s="10"/>
      <c r="IT152" s="10"/>
      <c r="IU152" s="10"/>
      <c r="IV152" s="10"/>
      <c r="IW152" s="10"/>
      <c r="IX152" s="10"/>
      <c r="IY152" s="10"/>
      <c r="IZ152" s="10"/>
      <c r="JA152" s="10"/>
      <c r="JB152" s="10"/>
      <c r="JC152" s="10"/>
      <c r="JD152" s="10"/>
      <c r="JE152" s="10"/>
      <c r="JF152" s="10"/>
      <c r="JG152" s="10"/>
      <c r="JH152" s="10"/>
      <c r="JI152" s="10"/>
      <c r="JJ152" s="10"/>
      <c r="JK152" s="10"/>
      <c r="JL152" s="10"/>
      <c r="JM152" s="10"/>
      <c r="JN152" s="10"/>
      <c r="JO152" s="10"/>
      <c r="JP152" s="10"/>
      <c r="JQ152" s="10"/>
      <c r="JR152" s="10"/>
      <c r="JS152" s="10"/>
      <c r="JT152" s="10"/>
      <c r="JU152" s="10"/>
      <c r="JV152" s="10"/>
      <c r="JW152" s="10"/>
      <c r="JX152" s="10"/>
      <c r="JY152" s="10"/>
      <c r="JZ152" s="10"/>
      <c r="KA152" s="10"/>
      <c r="KB152" s="10"/>
      <c r="KC152" s="10"/>
      <c r="KD152" s="10"/>
      <c r="KE152" s="10"/>
      <c r="KF152" s="10"/>
      <c r="KG152" s="10"/>
      <c r="KH152" s="10"/>
      <c r="KI152" s="10"/>
      <c r="KJ152" s="10"/>
      <c r="KK152" s="10"/>
      <c r="KL152" s="10"/>
      <c r="KM152" s="10"/>
      <c r="KN152" s="10"/>
      <c r="KO152" s="10"/>
      <c r="KP152" s="10"/>
      <c r="KQ152" s="10"/>
      <c r="KR152" s="10"/>
      <c r="KS152" s="10"/>
      <c r="KT152" s="10"/>
      <c r="KU152" s="10"/>
      <c r="KV152" s="10"/>
      <c r="KW152" s="10"/>
      <c r="KX152" s="10"/>
      <c r="KY152" s="10"/>
      <c r="KZ152" s="10"/>
      <c r="LA152" s="10"/>
      <c r="LB152" s="10"/>
      <c r="LC152" s="10"/>
      <c r="LD152" s="10"/>
      <c r="LE152" s="10"/>
      <c r="LF152" s="10"/>
      <c r="LG152" s="10"/>
      <c r="LH152" s="10"/>
      <c r="LI152" s="10"/>
      <c r="LJ152" s="10"/>
      <c r="LK152" s="10"/>
      <c r="LL152" s="10"/>
      <c r="LM152" s="10"/>
      <c r="LN152" s="10"/>
      <c r="LO152" s="10"/>
      <c r="LP152" s="10"/>
      <c r="LQ152" s="10"/>
      <c r="LR152" s="10"/>
      <c r="LS152" s="10"/>
      <c r="LT152" s="10"/>
      <c r="LU152" s="10"/>
      <c r="LV152" s="10"/>
      <c r="LW152" s="10"/>
      <c r="LX152" s="10"/>
      <c r="LY152" s="10"/>
      <c r="LZ152" s="10"/>
      <c r="MA152" s="10"/>
      <c r="MB152" s="10"/>
      <c r="MC152" s="10"/>
      <c r="MD152" s="10"/>
      <c r="ME152" s="10"/>
      <c r="MF152" s="10"/>
      <c r="MG152" s="10"/>
      <c r="MH152" s="10"/>
      <c r="MI152" s="10"/>
      <c r="MJ152" s="10"/>
      <c r="MK152" s="10"/>
      <c r="ML152" s="10"/>
      <c r="MM152" s="10"/>
      <c r="MN152" s="10"/>
      <c r="MO152" s="10"/>
      <c r="MP152" s="10"/>
      <c r="MQ152" s="10"/>
      <c r="MR152" s="10"/>
      <c r="MS152" s="10"/>
      <c r="MT152" s="10"/>
      <c r="MU152" s="10"/>
      <c r="MV152" s="10"/>
      <c r="MW152" s="10"/>
      <c r="MX152" s="10"/>
      <c r="MY152" s="10"/>
      <c r="MZ152" s="10"/>
      <c r="NA152" s="10"/>
      <c r="NB152" s="10"/>
      <c r="NC152" s="10"/>
      <c r="ND152" s="10"/>
    </row>
    <row r="153" ht="24.75" customHeight="1">
      <c r="A153" s="8">
        <v>45831.087313819444</v>
      </c>
      <c r="B153" s="9" t="s">
        <v>368</v>
      </c>
      <c r="C153" s="9" t="s">
        <v>3524</v>
      </c>
      <c r="D153" s="9" t="s">
        <v>370</v>
      </c>
      <c r="F153" s="9" t="s">
        <v>2114</v>
      </c>
      <c r="G153" s="9" t="s">
        <v>372</v>
      </c>
      <c r="H153" s="9" t="s">
        <v>539</v>
      </c>
      <c r="I153" s="9" t="s">
        <v>374</v>
      </c>
      <c r="J153" s="9" t="s">
        <v>375</v>
      </c>
      <c r="K153" s="9" t="s">
        <v>376</v>
      </c>
      <c r="L153" s="9" t="s">
        <v>591</v>
      </c>
      <c r="M153" s="9" t="s">
        <v>2464</v>
      </c>
      <c r="N153" s="9" t="s">
        <v>793</v>
      </c>
      <c r="O153" s="9" t="s">
        <v>719</v>
      </c>
      <c r="P153" s="9" t="s">
        <v>498</v>
      </c>
      <c r="Q153" s="9" t="s">
        <v>818</v>
      </c>
      <c r="R153" s="9" t="s">
        <v>427</v>
      </c>
      <c r="S153" s="9" t="s">
        <v>384</v>
      </c>
      <c r="T153" s="9" t="s">
        <v>385</v>
      </c>
      <c r="W153" s="9" t="s">
        <v>386</v>
      </c>
      <c r="X153" s="9" t="s">
        <v>387</v>
      </c>
      <c r="Y153" s="9" t="s">
        <v>388</v>
      </c>
      <c r="Z153" s="9" t="s">
        <v>543</v>
      </c>
      <c r="AA153" s="9" t="s">
        <v>408</v>
      </c>
      <c r="AB153" s="9" t="s">
        <v>408</v>
      </c>
      <c r="AV153" s="9" t="s">
        <v>1242</v>
      </c>
      <c r="AW153" s="9" t="s">
        <v>675</v>
      </c>
      <c r="AX153" s="9" t="s">
        <v>675</v>
      </c>
      <c r="AY153" s="9" t="s">
        <v>391</v>
      </c>
      <c r="AZ153" s="9" t="s">
        <v>391</v>
      </c>
      <c r="BA153" s="9">
        <v>4.0</v>
      </c>
      <c r="BB153" s="9">
        <v>4.0</v>
      </c>
      <c r="BC153" s="9" t="s">
        <v>3525</v>
      </c>
      <c r="BD153" s="9" t="s">
        <v>3526</v>
      </c>
      <c r="BE153" s="9" t="s">
        <v>902</v>
      </c>
      <c r="BF153" s="9" t="s">
        <v>1095</v>
      </c>
      <c r="BG153" s="9" t="s">
        <v>434</v>
      </c>
      <c r="BH153" s="9" t="s">
        <v>3527</v>
      </c>
      <c r="BI153" s="9" t="s">
        <v>976</v>
      </c>
      <c r="BJ153" s="9" t="s">
        <v>3528</v>
      </c>
      <c r="BK153" s="9" t="s">
        <v>681</v>
      </c>
      <c r="BL153" s="9" t="s">
        <v>603</v>
      </c>
      <c r="BM153" s="9" t="s">
        <v>1247</v>
      </c>
      <c r="BN153" s="9" t="s">
        <v>398</v>
      </c>
      <c r="BO153" s="9" t="s">
        <v>3529</v>
      </c>
      <c r="BP153" s="9" t="s">
        <v>3530</v>
      </c>
      <c r="BQ153" s="9" t="s">
        <v>604</v>
      </c>
      <c r="BR153" s="9" t="s">
        <v>402</v>
      </c>
      <c r="BS153" s="9" t="s">
        <v>1741</v>
      </c>
      <c r="BT153" s="9" t="s">
        <v>1994</v>
      </c>
      <c r="BU153" s="9" t="s">
        <v>1772</v>
      </c>
      <c r="BV153" s="9" t="s">
        <v>3531</v>
      </c>
      <c r="BW153" s="9" t="s">
        <v>406</v>
      </c>
      <c r="BX153" s="9" t="s">
        <v>2503</v>
      </c>
      <c r="BY153" s="9" t="s">
        <v>455</v>
      </c>
      <c r="BZ153" s="9" t="s">
        <v>3532</v>
      </c>
      <c r="CA153" s="9" t="s">
        <v>3533</v>
      </c>
      <c r="CB153" s="9" t="s">
        <v>3534</v>
      </c>
      <c r="CC153" s="9" t="s">
        <v>3535</v>
      </c>
      <c r="CD153" s="9" t="s">
        <v>409</v>
      </c>
      <c r="CE153" s="9" t="s">
        <v>3536</v>
      </c>
      <c r="CF153" s="9" t="s">
        <v>1258</v>
      </c>
      <c r="CG153" s="9" t="s">
        <v>396</v>
      </c>
      <c r="CH153" s="9" t="s">
        <v>1698</v>
      </c>
      <c r="CI153" s="9" t="s">
        <v>410</v>
      </c>
      <c r="CJ153" s="9" t="s">
        <v>3537</v>
      </c>
      <c r="CK153" s="9" t="s">
        <v>3538</v>
      </c>
      <c r="ET153" s="9" t="s">
        <v>526</v>
      </c>
      <c r="EU153" s="9" t="s">
        <v>887</v>
      </c>
      <c r="EV153" s="9" t="s">
        <v>580</v>
      </c>
      <c r="EW153" s="9" t="s">
        <v>3539</v>
      </c>
      <c r="EX153" s="9" t="s">
        <v>3540</v>
      </c>
      <c r="EY153" s="9" t="s">
        <v>3541</v>
      </c>
      <c r="EZ153" s="9" t="s">
        <v>416</v>
      </c>
      <c r="FA153" s="9" t="s">
        <v>414</v>
      </c>
      <c r="FB153" s="9" t="s">
        <v>413</v>
      </c>
      <c r="FC153" s="9" t="s">
        <v>583</v>
      </c>
      <c r="FD153" s="9" t="s">
        <v>416</v>
      </c>
      <c r="FE153" s="9" t="s">
        <v>583</v>
      </c>
      <c r="FF153" s="9" t="s">
        <v>413</v>
      </c>
      <c r="FG153" s="9" t="s">
        <v>416</v>
      </c>
      <c r="FH153" s="9" t="s">
        <v>583</v>
      </c>
      <c r="FI153" s="9" t="s">
        <v>583</v>
      </c>
      <c r="FJ153" s="9" t="s">
        <v>414</v>
      </c>
      <c r="FK153" s="9" t="s">
        <v>414</v>
      </c>
      <c r="FL153" s="9" t="s">
        <v>414</v>
      </c>
      <c r="FM153" s="9" t="s">
        <v>415</v>
      </c>
      <c r="FN153" s="9" t="s">
        <v>583</v>
      </c>
      <c r="FO153" s="9" t="s">
        <v>485</v>
      </c>
      <c r="FP153" s="9" t="s">
        <v>418</v>
      </c>
      <c r="FQ153" s="9" t="s">
        <v>419</v>
      </c>
      <c r="FR153" s="9" t="s">
        <v>3542</v>
      </c>
      <c r="FS153" s="9" t="s">
        <v>420</v>
      </c>
      <c r="FT153" s="9" t="s">
        <v>1462</v>
      </c>
      <c r="FU153" s="9" t="s">
        <v>489</v>
      </c>
      <c r="FV153" s="9" t="s">
        <v>490</v>
      </c>
      <c r="FW153" s="9" t="s">
        <v>491</v>
      </c>
      <c r="FX153" s="9" t="s">
        <v>3543</v>
      </c>
      <c r="FY153" s="9" t="s">
        <v>535</v>
      </c>
      <c r="FZ153" s="9" t="s">
        <v>3544</v>
      </c>
      <c r="GA153" s="9" t="s">
        <v>3545</v>
      </c>
      <c r="GB153" s="9" t="s">
        <v>455</v>
      </c>
      <c r="GC153" s="9"/>
      <c r="GD153" s="9"/>
      <c r="GE153" s="9" t="s">
        <v>753</v>
      </c>
      <c r="GF153" s="9" t="s">
        <v>2619</v>
      </c>
      <c r="GJ153" s="9" t="s">
        <v>755</v>
      </c>
      <c r="GK153" s="9" t="s">
        <v>755</v>
      </c>
      <c r="GL153" s="9" t="s">
        <v>817</v>
      </c>
      <c r="GN153" s="9" t="s">
        <v>3524</v>
      </c>
      <c r="GQ153" s="9" t="s">
        <v>3208</v>
      </c>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c r="HX153" s="10"/>
      <c r="HY153" s="10"/>
      <c r="HZ153" s="10"/>
      <c r="IA153" s="10"/>
      <c r="IB153" s="10"/>
      <c r="IC153" s="10"/>
      <c r="ID153" s="10"/>
      <c r="IE153" s="10"/>
      <c r="IF153" s="10"/>
      <c r="IG153" s="10"/>
      <c r="IH153" s="10"/>
      <c r="II153" s="10"/>
      <c r="IJ153" s="10"/>
      <c r="IK153" s="10"/>
      <c r="IL153" s="10"/>
      <c r="IM153" s="10"/>
      <c r="IN153" s="10"/>
      <c r="IO153" s="10"/>
      <c r="IP153" s="10"/>
      <c r="IQ153" s="10"/>
      <c r="IR153" s="10"/>
      <c r="IS153" s="10"/>
      <c r="IT153" s="10"/>
      <c r="IU153" s="10"/>
      <c r="IV153" s="10"/>
      <c r="IW153" s="10"/>
      <c r="IX153" s="10"/>
      <c r="IY153" s="10"/>
      <c r="IZ153" s="10"/>
      <c r="JA153" s="10"/>
      <c r="JB153" s="10"/>
      <c r="JC153" s="10"/>
      <c r="JD153" s="10"/>
      <c r="JE153" s="10"/>
      <c r="JF153" s="10"/>
      <c r="JG153" s="10"/>
      <c r="JH153" s="10"/>
      <c r="JI153" s="10"/>
      <c r="JJ153" s="10"/>
      <c r="JK153" s="10"/>
      <c r="JL153" s="10"/>
      <c r="JM153" s="10"/>
      <c r="JN153" s="10"/>
      <c r="JO153" s="10"/>
      <c r="JP153" s="10"/>
      <c r="JQ153" s="10"/>
      <c r="JR153" s="10"/>
      <c r="JS153" s="10"/>
      <c r="JT153" s="10"/>
      <c r="JU153" s="10"/>
      <c r="JV153" s="10"/>
      <c r="JW153" s="10"/>
      <c r="JX153" s="10"/>
      <c r="JY153" s="10"/>
      <c r="JZ153" s="10"/>
      <c r="KA153" s="10"/>
      <c r="KB153" s="10"/>
      <c r="KC153" s="10"/>
      <c r="KD153" s="10"/>
      <c r="KE153" s="10"/>
      <c r="KF153" s="10"/>
      <c r="KG153" s="10"/>
      <c r="KH153" s="10"/>
      <c r="KI153" s="10"/>
      <c r="KJ153" s="10"/>
      <c r="KK153" s="10"/>
      <c r="KL153" s="10"/>
      <c r="KM153" s="10"/>
      <c r="KN153" s="10"/>
      <c r="KO153" s="10"/>
      <c r="KP153" s="10"/>
      <c r="KQ153" s="10"/>
      <c r="KR153" s="10"/>
      <c r="KS153" s="10"/>
      <c r="KT153" s="10"/>
      <c r="KU153" s="10"/>
      <c r="KV153" s="10"/>
      <c r="KW153" s="10"/>
      <c r="KX153" s="10"/>
      <c r="KY153" s="10"/>
      <c r="KZ153" s="10"/>
      <c r="LA153" s="10"/>
      <c r="LB153" s="10"/>
      <c r="LC153" s="10"/>
      <c r="LD153" s="10"/>
      <c r="LE153" s="10"/>
      <c r="LF153" s="10"/>
      <c r="LG153" s="10"/>
      <c r="LH153" s="10"/>
      <c r="LI153" s="10"/>
      <c r="LJ153" s="10"/>
      <c r="LK153" s="10"/>
      <c r="LL153" s="10"/>
      <c r="LM153" s="10"/>
      <c r="LN153" s="10"/>
      <c r="LO153" s="10"/>
      <c r="LP153" s="10"/>
      <c r="LQ153" s="10"/>
      <c r="LR153" s="10"/>
      <c r="LS153" s="10"/>
      <c r="LT153" s="10"/>
      <c r="LU153" s="10"/>
      <c r="LV153" s="10"/>
      <c r="LW153" s="10"/>
      <c r="LX153" s="10"/>
      <c r="LY153" s="10"/>
      <c r="LZ153" s="10"/>
      <c r="MA153" s="10"/>
      <c r="MB153" s="10"/>
      <c r="MC153" s="10"/>
      <c r="MD153" s="10"/>
      <c r="ME153" s="10"/>
      <c r="MF153" s="10"/>
      <c r="MG153" s="10"/>
      <c r="MH153" s="10"/>
      <c r="MI153" s="10"/>
      <c r="MJ153" s="10"/>
      <c r="MK153" s="10"/>
      <c r="ML153" s="10"/>
      <c r="MM153" s="10"/>
      <c r="MN153" s="10"/>
      <c r="MO153" s="10"/>
      <c r="MP153" s="10"/>
      <c r="MQ153" s="10"/>
      <c r="MR153" s="10"/>
      <c r="MS153" s="10"/>
      <c r="MT153" s="10"/>
      <c r="MU153" s="10"/>
      <c r="MV153" s="10"/>
      <c r="MW153" s="10"/>
      <c r="MX153" s="10"/>
      <c r="MY153" s="10"/>
      <c r="MZ153" s="10"/>
      <c r="NA153" s="10"/>
      <c r="NB153" s="10"/>
      <c r="NC153" s="10"/>
      <c r="ND153" s="10"/>
    </row>
    <row r="154" ht="24.75" customHeight="1">
      <c r="A154" s="8">
        <v>45831.14147674768</v>
      </c>
      <c r="B154" s="9" t="s">
        <v>368</v>
      </c>
      <c r="C154" s="9" t="s">
        <v>538</v>
      </c>
      <c r="D154" s="9" t="s">
        <v>1201</v>
      </c>
      <c r="G154" s="9" t="s">
        <v>422</v>
      </c>
      <c r="H154" s="9" t="s">
        <v>423</v>
      </c>
      <c r="I154" s="9" t="s">
        <v>424</v>
      </c>
      <c r="J154" s="9" t="s">
        <v>425</v>
      </c>
      <c r="K154" s="9" t="s">
        <v>376</v>
      </c>
      <c r="L154" s="9" t="s">
        <v>379</v>
      </c>
      <c r="M154" s="9" t="s">
        <v>541</v>
      </c>
      <c r="N154" s="9" t="s">
        <v>379</v>
      </c>
      <c r="O154" s="9" t="s">
        <v>3546</v>
      </c>
      <c r="P154" s="9" t="s">
        <v>498</v>
      </c>
      <c r="Q154" s="9" t="s">
        <v>382</v>
      </c>
      <c r="R154" s="9" t="s">
        <v>427</v>
      </c>
      <c r="S154" s="9" t="s">
        <v>384</v>
      </c>
      <c r="T154" s="9" t="s">
        <v>385</v>
      </c>
      <c r="W154" s="9" t="s">
        <v>3014</v>
      </c>
      <c r="AV154" s="9" t="s">
        <v>1310</v>
      </c>
      <c r="AW154" s="9">
        <v>4.0</v>
      </c>
      <c r="AX154" s="9">
        <v>4.0</v>
      </c>
      <c r="AY154" s="9" t="s">
        <v>391</v>
      </c>
      <c r="AZ154" s="9" t="s">
        <v>391</v>
      </c>
      <c r="BA154" s="9">
        <v>4.0</v>
      </c>
      <c r="BB154" s="9">
        <v>4.0</v>
      </c>
      <c r="BC154" s="9" t="s">
        <v>3547</v>
      </c>
      <c r="BD154" s="9" t="s">
        <v>3548</v>
      </c>
      <c r="BE154" s="9" t="s">
        <v>432</v>
      </c>
      <c r="BF154" s="9" t="s">
        <v>1095</v>
      </c>
      <c r="BG154" s="9" t="s">
        <v>725</v>
      </c>
      <c r="BH154" s="9" t="s">
        <v>3549</v>
      </c>
      <c r="BI154" s="9" t="s">
        <v>435</v>
      </c>
      <c r="BJ154" s="9" t="s">
        <v>3550</v>
      </c>
      <c r="BK154" s="9" t="s">
        <v>395</v>
      </c>
      <c r="BL154" s="9" t="s">
        <v>603</v>
      </c>
      <c r="BM154" s="9" t="s">
        <v>1247</v>
      </c>
      <c r="BN154" s="9" t="s">
        <v>398</v>
      </c>
      <c r="BO154" s="9" t="s">
        <v>3551</v>
      </c>
      <c r="BP154" s="9" t="s">
        <v>3552</v>
      </c>
      <c r="BQ154" s="9" t="s">
        <v>604</v>
      </c>
      <c r="BR154" s="9" t="s">
        <v>3553</v>
      </c>
      <c r="BS154" s="9" t="s">
        <v>403</v>
      </c>
      <c r="BT154" s="9" t="s">
        <v>1994</v>
      </c>
      <c r="BU154" s="9" t="s">
        <v>1772</v>
      </c>
      <c r="BV154" s="9" t="s">
        <v>3554</v>
      </c>
      <c r="BW154" s="9" t="s">
        <v>406</v>
      </c>
      <c r="BX154" s="9" t="s">
        <v>2503</v>
      </c>
      <c r="BY154" s="9" t="s">
        <v>408</v>
      </c>
      <c r="CA154" s="9" t="s">
        <v>3555</v>
      </c>
      <c r="CB154" s="9" t="s">
        <v>3556</v>
      </c>
      <c r="CC154" s="9" t="s">
        <v>3557</v>
      </c>
      <c r="CD154" s="9" t="s">
        <v>409</v>
      </c>
      <c r="CE154" s="9" t="s">
        <v>3558</v>
      </c>
      <c r="CF154" s="9" t="s">
        <v>1258</v>
      </c>
      <c r="CH154" s="9" t="s">
        <v>1259</v>
      </c>
      <c r="CI154" s="9" t="s">
        <v>833</v>
      </c>
      <c r="CJ154" s="9" t="s">
        <v>3559</v>
      </c>
      <c r="CK154" s="9" t="s">
        <v>3560</v>
      </c>
      <c r="ET154" s="9" t="s">
        <v>578</v>
      </c>
      <c r="EU154" s="9" t="s">
        <v>479</v>
      </c>
      <c r="EV154" s="9" t="s">
        <v>527</v>
      </c>
      <c r="EW154" s="9" t="s">
        <v>3561</v>
      </c>
      <c r="EX154" s="9" t="s">
        <v>3562</v>
      </c>
      <c r="EY154" s="9" t="s">
        <v>3563</v>
      </c>
      <c r="EZ154" s="9" t="s">
        <v>414</v>
      </c>
      <c r="FA154" s="9" t="s">
        <v>583</v>
      </c>
      <c r="FB154" s="9" t="s">
        <v>415</v>
      </c>
      <c r="FC154" s="9" t="s">
        <v>414</v>
      </c>
      <c r="FD154" s="9" t="s">
        <v>416</v>
      </c>
      <c r="FE154" s="9" t="s">
        <v>583</v>
      </c>
      <c r="FF154" s="9" t="s">
        <v>414</v>
      </c>
      <c r="FG154" s="9" t="s">
        <v>416</v>
      </c>
      <c r="FH154" s="9" t="s">
        <v>414</v>
      </c>
      <c r="FI154" s="9" t="s">
        <v>415</v>
      </c>
      <c r="FJ154" s="9" t="s">
        <v>414</v>
      </c>
      <c r="FK154" s="9" t="s">
        <v>415</v>
      </c>
      <c r="FL154" s="9" t="s">
        <v>415</v>
      </c>
      <c r="FM154" s="9" t="s">
        <v>416</v>
      </c>
      <c r="FN154" s="9" t="s">
        <v>414</v>
      </c>
      <c r="FO154" s="9" t="s">
        <v>850</v>
      </c>
      <c r="FP154" s="9" t="s">
        <v>418</v>
      </c>
      <c r="FQ154" s="9" t="s">
        <v>749</v>
      </c>
      <c r="FR154" s="9" t="s">
        <v>3564</v>
      </c>
      <c r="FS154" s="9" t="s">
        <v>1189</v>
      </c>
      <c r="FT154" s="9" t="s">
        <v>1462</v>
      </c>
      <c r="FU154" s="9" t="s">
        <v>918</v>
      </c>
      <c r="FV154" s="9" t="s">
        <v>490</v>
      </c>
      <c r="FW154" s="9" t="s">
        <v>491</v>
      </c>
      <c r="FX154" s="9" t="s">
        <v>3565</v>
      </c>
      <c r="FY154" s="9" t="s">
        <v>493</v>
      </c>
      <c r="FZ154" s="9" t="s">
        <v>3566</v>
      </c>
      <c r="GA154" s="9" t="s">
        <v>3567</v>
      </c>
      <c r="GB154" s="9" t="s">
        <v>408</v>
      </c>
      <c r="GJ154" s="9" t="s">
        <v>920</v>
      </c>
      <c r="GK154" s="9" t="s">
        <v>920</v>
      </c>
      <c r="GL154" s="9" t="s">
        <v>756</v>
      </c>
      <c r="GN154" s="9" t="s">
        <v>3012</v>
      </c>
      <c r="GO154" s="9" t="s">
        <v>3568</v>
      </c>
      <c r="GQ154" s="9" t="s">
        <v>3569</v>
      </c>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c r="HX154" s="10"/>
      <c r="HY154" s="10"/>
      <c r="HZ154" s="10"/>
      <c r="IA154" s="10"/>
      <c r="IB154" s="10"/>
      <c r="IC154" s="10"/>
      <c r="ID154" s="10"/>
      <c r="IE154" s="10"/>
      <c r="IF154" s="10"/>
      <c r="IG154" s="10"/>
      <c r="IH154" s="10"/>
      <c r="II154" s="10"/>
      <c r="IJ154" s="10"/>
      <c r="IK154" s="10"/>
      <c r="IL154" s="10"/>
      <c r="IM154" s="10"/>
      <c r="IN154" s="10"/>
      <c r="IO154" s="10"/>
      <c r="IP154" s="10"/>
      <c r="IQ154" s="10"/>
      <c r="IR154" s="10"/>
      <c r="IS154" s="10"/>
      <c r="IT154" s="10"/>
      <c r="IU154" s="10"/>
      <c r="IV154" s="10"/>
      <c r="IW154" s="10"/>
      <c r="IX154" s="10"/>
      <c r="IY154" s="10"/>
      <c r="IZ154" s="10"/>
      <c r="JA154" s="10"/>
      <c r="JB154" s="10"/>
      <c r="JC154" s="10"/>
      <c r="JD154" s="10"/>
      <c r="JE154" s="10"/>
      <c r="JF154" s="10"/>
      <c r="JG154" s="10"/>
      <c r="JH154" s="10"/>
      <c r="JI154" s="10"/>
      <c r="JJ154" s="10"/>
      <c r="JK154" s="10"/>
      <c r="JL154" s="10"/>
      <c r="JM154" s="10"/>
      <c r="JN154" s="10"/>
      <c r="JO154" s="10"/>
      <c r="JP154" s="10"/>
      <c r="JQ154" s="10"/>
      <c r="JR154" s="10"/>
      <c r="JS154" s="10"/>
      <c r="JT154" s="10"/>
      <c r="JU154" s="10"/>
      <c r="JV154" s="10"/>
      <c r="JW154" s="10"/>
      <c r="JX154" s="10"/>
      <c r="JY154" s="10"/>
      <c r="JZ154" s="10"/>
      <c r="KA154" s="10"/>
      <c r="KB154" s="10"/>
      <c r="KC154" s="10"/>
      <c r="KD154" s="10"/>
      <c r="KE154" s="10"/>
      <c r="KF154" s="10"/>
      <c r="KG154" s="10"/>
      <c r="KH154" s="10"/>
      <c r="KI154" s="10"/>
      <c r="KJ154" s="10"/>
      <c r="KK154" s="10"/>
      <c r="KL154" s="10"/>
      <c r="KM154" s="10"/>
      <c r="KN154" s="10"/>
      <c r="KO154" s="10"/>
      <c r="KP154" s="10"/>
      <c r="KQ154" s="10"/>
      <c r="KR154" s="10"/>
      <c r="KS154" s="10"/>
      <c r="KT154" s="10"/>
      <c r="KU154" s="10"/>
      <c r="KV154" s="10"/>
      <c r="KW154" s="10"/>
      <c r="KX154" s="10"/>
      <c r="KY154" s="10"/>
      <c r="KZ154" s="10"/>
      <c r="LA154" s="10"/>
      <c r="LB154" s="10"/>
      <c r="LC154" s="10"/>
      <c r="LD154" s="10"/>
      <c r="LE154" s="10"/>
      <c r="LF154" s="10"/>
      <c r="LG154" s="10"/>
      <c r="LH154" s="10"/>
      <c r="LI154" s="10"/>
      <c r="LJ154" s="10"/>
      <c r="LK154" s="10"/>
      <c r="LL154" s="10"/>
      <c r="LM154" s="10"/>
      <c r="LN154" s="10"/>
      <c r="LO154" s="10"/>
      <c r="LP154" s="10"/>
      <c r="LQ154" s="10"/>
      <c r="LR154" s="10"/>
      <c r="LS154" s="10"/>
      <c r="LT154" s="10"/>
      <c r="LU154" s="10"/>
      <c r="LV154" s="10"/>
      <c r="LW154" s="10"/>
      <c r="LX154" s="10"/>
      <c r="LY154" s="10"/>
      <c r="LZ154" s="10"/>
      <c r="MA154" s="10"/>
      <c r="MB154" s="10"/>
      <c r="MC154" s="10"/>
      <c r="MD154" s="10"/>
      <c r="ME154" s="10"/>
      <c r="MF154" s="10"/>
      <c r="MG154" s="10"/>
      <c r="MH154" s="10"/>
      <c r="MI154" s="10"/>
      <c r="MJ154" s="10"/>
      <c r="MK154" s="10"/>
      <c r="ML154" s="10"/>
      <c r="MM154" s="10"/>
      <c r="MN154" s="10"/>
      <c r="MO154" s="10"/>
      <c r="MP154" s="10"/>
      <c r="MQ154" s="10"/>
      <c r="MR154" s="10"/>
      <c r="MS154" s="10"/>
      <c r="MT154" s="10"/>
      <c r="MU154" s="10"/>
      <c r="MV154" s="10"/>
      <c r="MW154" s="10"/>
      <c r="MX154" s="10"/>
      <c r="MY154" s="10"/>
      <c r="MZ154" s="10"/>
      <c r="NA154" s="10"/>
      <c r="NB154" s="10"/>
      <c r="NC154" s="10"/>
      <c r="ND154" s="10"/>
    </row>
    <row r="155" ht="24.75" customHeight="1">
      <c r="A155" s="8">
        <v>45831.20082736111</v>
      </c>
      <c r="B155" s="9" t="s">
        <v>368</v>
      </c>
      <c r="C155" s="9" t="s">
        <v>3570</v>
      </c>
      <c r="D155" s="9" t="s">
        <v>370</v>
      </c>
      <c r="F155" s="9" t="s">
        <v>2114</v>
      </c>
      <c r="G155" s="9" t="s">
        <v>372</v>
      </c>
      <c r="H155" s="9" t="s">
        <v>373</v>
      </c>
      <c r="I155" s="9" t="s">
        <v>374</v>
      </c>
      <c r="J155" s="9" t="s">
        <v>375</v>
      </c>
      <c r="K155" s="9" t="s">
        <v>376</v>
      </c>
      <c r="L155" s="9" t="s">
        <v>379</v>
      </c>
      <c r="M155" s="9" t="s">
        <v>541</v>
      </c>
      <c r="N155" s="9" t="s">
        <v>379</v>
      </c>
      <c r="O155" s="9" t="s">
        <v>380</v>
      </c>
      <c r="P155" s="9" t="s">
        <v>381</v>
      </c>
      <c r="Q155" s="9" t="s">
        <v>818</v>
      </c>
      <c r="R155" s="9" t="s">
        <v>427</v>
      </c>
      <c r="S155" s="9" t="s">
        <v>384</v>
      </c>
      <c r="T155" s="9" t="s">
        <v>385</v>
      </c>
      <c r="W155" s="9" t="s">
        <v>593</v>
      </c>
      <c r="X155" s="9" t="s">
        <v>387</v>
      </c>
      <c r="AV155" s="9" t="s">
        <v>1310</v>
      </c>
      <c r="AW155" s="9">
        <v>4.0</v>
      </c>
      <c r="AX155" s="9">
        <v>4.0</v>
      </c>
      <c r="AY155" s="9">
        <v>4.0</v>
      </c>
      <c r="AZ155" s="9" t="s">
        <v>675</v>
      </c>
      <c r="BA155" s="9" t="s">
        <v>675</v>
      </c>
      <c r="BB155" s="9">
        <v>4.0</v>
      </c>
      <c r="BE155" s="9" t="s">
        <v>432</v>
      </c>
      <c r="BF155" s="9" t="s">
        <v>393</v>
      </c>
      <c r="BG155" s="9" t="s">
        <v>394</v>
      </c>
      <c r="BI155" s="9" t="s">
        <v>976</v>
      </c>
      <c r="BK155" s="9" t="s">
        <v>681</v>
      </c>
      <c r="BL155" s="9" t="s">
        <v>904</v>
      </c>
      <c r="BM155" s="9" t="s">
        <v>1276</v>
      </c>
      <c r="BN155" s="9" t="s">
        <v>398</v>
      </c>
      <c r="BQ155" s="9" t="s">
        <v>442</v>
      </c>
      <c r="BR155" s="9" t="s">
        <v>3571</v>
      </c>
      <c r="BT155" s="9" t="s">
        <v>404</v>
      </c>
      <c r="BU155" s="9" t="s">
        <v>405</v>
      </c>
      <c r="BW155" s="9" t="s">
        <v>406</v>
      </c>
      <c r="BX155" s="9" t="s">
        <v>2503</v>
      </c>
      <c r="BY155" s="9" t="s">
        <v>408</v>
      </c>
      <c r="CD155" s="9" t="s">
        <v>1257</v>
      </c>
      <c r="CH155" s="9" t="s">
        <v>1698</v>
      </c>
      <c r="CI155" s="9" t="s">
        <v>833</v>
      </c>
      <c r="CJ155" s="9" t="s">
        <v>3572</v>
      </c>
      <c r="CK155" s="9" t="s">
        <v>3573</v>
      </c>
      <c r="ET155" s="9" t="s">
        <v>478</v>
      </c>
      <c r="EU155" s="9" t="s">
        <v>1127</v>
      </c>
      <c r="EV155" s="9" t="s">
        <v>778</v>
      </c>
      <c r="EW155" s="9" t="s">
        <v>3574</v>
      </c>
      <c r="EX155" s="9" t="s">
        <v>3575</v>
      </c>
      <c r="FB155" s="11"/>
      <c r="FO155" s="9" t="s">
        <v>3396</v>
      </c>
      <c r="FP155" s="9" t="s">
        <v>418</v>
      </c>
      <c r="FQ155" s="9" t="s">
        <v>712</v>
      </c>
      <c r="FS155" s="9" t="s">
        <v>420</v>
      </c>
      <c r="FT155" s="9" t="s">
        <v>488</v>
      </c>
      <c r="FU155" s="9" t="s">
        <v>918</v>
      </c>
      <c r="FV155" s="9" t="s">
        <v>490</v>
      </c>
      <c r="FW155" s="9" t="s">
        <v>491</v>
      </c>
      <c r="FY155" s="9" t="s">
        <v>535</v>
      </c>
      <c r="GB155" s="9" t="s">
        <v>408</v>
      </c>
      <c r="GJ155" s="9" t="s">
        <v>788</v>
      </c>
      <c r="GK155" s="9" t="s">
        <v>788</v>
      </c>
    </row>
    <row r="156" ht="24.75" customHeight="1">
      <c r="A156" s="8">
        <v>45831.2807103125</v>
      </c>
      <c r="B156" s="9" t="s">
        <v>368</v>
      </c>
      <c r="C156" s="9" t="s">
        <v>3576</v>
      </c>
      <c r="D156" s="9" t="s">
        <v>3576</v>
      </c>
      <c r="G156" s="9" t="s">
        <v>422</v>
      </c>
      <c r="H156" s="9" t="s">
        <v>423</v>
      </c>
      <c r="I156" s="9" t="s">
        <v>668</v>
      </c>
      <c r="J156" s="9" t="s">
        <v>718</v>
      </c>
      <c r="K156" s="9" t="s">
        <v>376</v>
      </c>
      <c r="L156" s="9" t="s">
        <v>793</v>
      </c>
      <c r="M156" s="9" t="s">
        <v>639</v>
      </c>
      <c r="N156" s="9" t="s">
        <v>377</v>
      </c>
      <c r="O156" s="9" t="s">
        <v>2097</v>
      </c>
      <c r="P156" s="9" t="s">
        <v>498</v>
      </c>
      <c r="Q156" s="9" t="s">
        <v>382</v>
      </c>
      <c r="R156" s="9" t="s">
        <v>500</v>
      </c>
      <c r="S156" s="9" t="s">
        <v>384</v>
      </c>
      <c r="T156" s="9" t="s">
        <v>385</v>
      </c>
      <c r="W156" s="9" t="s">
        <v>3014</v>
      </c>
      <c r="AV156" s="9" t="s">
        <v>1242</v>
      </c>
      <c r="AW156" s="9">
        <v>4.0</v>
      </c>
      <c r="AX156" s="9">
        <v>4.0</v>
      </c>
      <c r="AY156" s="9">
        <v>4.0</v>
      </c>
      <c r="AZ156" s="9">
        <v>4.0</v>
      </c>
      <c r="BA156" s="9">
        <v>4.0</v>
      </c>
      <c r="BB156" s="9">
        <v>4.0</v>
      </c>
      <c r="BC156" s="9" t="s">
        <v>3577</v>
      </c>
      <c r="BD156" s="9" t="s">
        <v>1855</v>
      </c>
      <c r="BE156" s="9" t="s">
        <v>2379</v>
      </c>
      <c r="BF156" s="9" t="s">
        <v>1095</v>
      </c>
      <c r="BG156" s="9" t="s">
        <v>394</v>
      </c>
      <c r="BH156" s="9" t="s">
        <v>3578</v>
      </c>
      <c r="BI156" s="9" t="s">
        <v>976</v>
      </c>
      <c r="BJ156" s="9" t="s">
        <v>396</v>
      </c>
      <c r="BK156" s="9" t="s">
        <v>511</v>
      </c>
      <c r="BL156" s="9" t="s">
        <v>904</v>
      </c>
      <c r="BM156" s="9" t="s">
        <v>1314</v>
      </c>
      <c r="BN156" s="9" t="s">
        <v>398</v>
      </c>
      <c r="BO156" s="9" t="s">
        <v>3579</v>
      </c>
      <c r="BP156" s="9" t="s">
        <v>3580</v>
      </c>
      <c r="BQ156" s="9" t="s">
        <v>401</v>
      </c>
      <c r="BR156" s="9" t="s">
        <v>1740</v>
      </c>
      <c r="BS156" s="9" t="s">
        <v>403</v>
      </c>
      <c r="BT156" s="9" t="s">
        <v>1994</v>
      </c>
      <c r="BU156" s="9" t="s">
        <v>1772</v>
      </c>
      <c r="BV156" s="9" t="s">
        <v>3581</v>
      </c>
      <c r="BW156" s="9" t="s">
        <v>3582</v>
      </c>
      <c r="BX156" s="9" t="s">
        <v>1867</v>
      </c>
      <c r="BY156" s="9" t="s">
        <v>408</v>
      </c>
      <c r="BZ156" s="9" t="s">
        <v>396</v>
      </c>
      <c r="CA156" s="9" t="s">
        <v>3583</v>
      </c>
      <c r="CB156" s="9" t="s">
        <v>3584</v>
      </c>
      <c r="CC156" s="9" t="s">
        <v>3585</v>
      </c>
      <c r="CD156" s="9" t="s">
        <v>451</v>
      </c>
      <c r="CE156" s="9" t="s">
        <v>3586</v>
      </c>
      <c r="CF156" s="9" t="s">
        <v>2233</v>
      </c>
      <c r="CG156" s="9" t="s">
        <v>3587</v>
      </c>
      <c r="CH156" s="9" t="s">
        <v>2744</v>
      </c>
      <c r="CI156" s="9" t="s">
        <v>410</v>
      </c>
      <c r="CJ156" s="9" t="s">
        <v>3588</v>
      </c>
      <c r="CK156" s="9" t="s">
        <v>3589</v>
      </c>
      <c r="ET156" s="9" t="s">
        <v>526</v>
      </c>
      <c r="EU156" s="9" t="s">
        <v>579</v>
      </c>
      <c r="EV156" s="9" t="s">
        <v>580</v>
      </c>
      <c r="EX156" s="9" t="s">
        <v>3590</v>
      </c>
      <c r="EY156" s="9" t="s">
        <v>396</v>
      </c>
      <c r="EZ156" s="9" t="s">
        <v>415</v>
      </c>
      <c r="FA156" s="9" t="s">
        <v>413</v>
      </c>
      <c r="FB156" s="9" t="s">
        <v>416</v>
      </c>
      <c r="FC156" s="9" t="s">
        <v>416</v>
      </c>
      <c r="FD156" s="9" t="s">
        <v>416</v>
      </c>
      <c r="FE156" s="9" t="s">
        <v>414</v>
      </c>
      <c r="FF156" s="9" t="s">
        <v>415</v>
      </c>
      <c r="FG156" s="9" t="s">
        <v>415</v>
      </c>
      <c r="FH156" s="9" t="s">
        <v>416</v>
      </c>
      <c r="FI156" s="9" t="s">
        <v>415</v>
      </c>
      <c r="FJ156" s="9" t="s">
        <v>415</v>
      </c>
      <c r="FK156" s="9" t="s">
        <v>415</v>
      </c>
      <c r="FL156" s="9" t="s">
        <v>415</v>
      </c>
      <c r="FM156" s="9" t="s">
        <v>415</v>
      </c>
      <c r="FN156" s="9" t="s">
        <v>415</v>
      </c>
      <c r="FO156" s="9" t="s">
        <v>850</v>
      </c>
      <c r="FP156" s="9" t="s">
        <v>418</v>
      </c>
      <c r="FQ156" s="9" t="s">
        <v>531</v>
      </c>
      <c r="FR156" s="9" t="s">
        <v>3591</v>
      </c>
      <c r="FS156" s="9" t="s">
        <v>1189</v>
      </c>
      <c r="FT156" s="9" t="s">
        <v>421</v>
      </c>
      <c r="FU156" s="9" t="s">
        <v>918</v>
      </c>
      <c r="FV156" s="9" t="s">
        <v>490</v>
      </c>
      <c r="FW156" s="9" t="s">
        <v>491</v>
      </c>
      <c r="FX156" s="9" t="s">
        <v>3592</v>
      </c>
      <c r="FY156" s="9" t="s">
        <v>1854</v>
      </c>
      <c r="GB156" s="9" t="s">
        <v>455</v>
      </c>
      <c r="GC156" s="9"/>
      <c r="GE156" s="9" t="s">
        <v>753</v>
      </c>
      <c r="GF156" s="9" t="s">
        <v>455</v>
      </c>
      <c r="GJ156" s="9" t="s">
        <v>755</v>
      </c>
      <c r="GK156" s="9" t="s">
        <v>920</v>
      </c>
      <c r="GL156" s="9" t="s">
        <v>946</v>
      </c>
      <c r="GN156" s="9" t="s">
        <v>3593</v>
      </c>
      <c r="GO156" s="9" t="s">
        <v>3594</v>
      </c>
      <c r="GQ156" s="9" t="s">
        <v>3208</v>
      </c>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c r="HX156" s="10"/>
      <c r="HY156" s="10"/>
      <c r="HZ156" s="10"/>
      <c r="IA156" s="10"/>
      <c r="IB156" s="10"/>
      <c r="IC156" s="10"/>
      <c r="ID156" s="10"/>
      <c r="IE156" s="10"/>
      <c r="IF156" s="10"/>
      <c r="IG156" s="10"/>
      <c r="IH156" s="10"/>
      <c r="II156" s="10"/>
      <c r="IJ156" s="10"/>
      <c r="IK156" s="10"/>
      <c r="IL156" s="10"/>
      <c r="IM156" s="10"/>
      <c r="IN156" s="10"/>
      <c r="IO156" s="10"/>
      <c r="IP156" s="10"/>
      <c r="IQ156" s="10"/>
      <c r="IR156" s="10"/>
      <c r="IS156" s="10"/>
      <c r="IT156" s="10"/>
      <c r="IU156" s="10"/>
      <c r="IV156" s="10"/>
      <c r="IW156" s="10"/>
      <c r="IX156" s="10"/>
      <c r="IY156" s="10"/>
      <c r="IZ156" s="10"/>
      <c r="JA156" s="10"/>
      <c r="JB156" s="10"/>
      <c r="JC156" s="10"/>
      <c r="JD156" s="10"/>
      <c r="JE156" s="10"/>
      <c r="JF156" s="10"/>
      <c r="JG156" s="10"/>
      <c r="JH156" s="10"/>
      <c r="JI156" s="10"/>
      <c r="JJ156" s="10"/>
      <c r="JK156" s="10"/>
      <c r="JL156" s="10"/>
      <c r="JM156" s="10"/>
      <c r="JN156" s="10"/>
      <c r="JO156" s="10"/>
      <c r="JP156" s="10"/>
      <c r="JQ156" s="10"/>
      <c r="JR156" s="10"/>
      <c r="JS156" s="10"/>
      <c r="JT156" s="10"/>
      <c r="JU156" s="10"/>
      <c r="JV156" s="10"/>
      <c r="JW156" s="10"/>
      <c r="JX156" s="10"/>
      <c r="JY156" s="10"/>
      <c r="JZ156" s="10"/>
      <c r="KA156" s="10"/>
      <c r="KB156" s="10"/>
      <c r="KC156" s="10"/>
      <c r="KD156" s="10"/>
      <c r="KE156" s="10"/>
      <c r="KF156" s="10"/>
      <c r="KG156" s="10"/>
      <c r="KH156" s="10"/>
      <c r="KI156" s="10"/>
      <c r="KJ156" s="10"/>
      <c r="KK156" s="10"/>
      <c r="KL156" s="10"/>
      <c r="KM156" s="10"/>
      <c r="KN156" s="10"/>
      <c r="KO156" s="10"/>
      <c r="KP156" s="10"/>
      <c r="KQ156" s="10"/>
      <c r="KR156" s="10"/>
      <c r="KS156" s="10"/>
      <c r="KT156" s="10"/>
      <c r="KU156" s="10"/>
      <c r="KV156" s="10"/>
      <c r="KW156" s="10"/>
      <c r="KX156" s="10"/>
      <c r="KY156" s="10"/>
      <c r="KZ156" s="10"/>
      <c r="LA156" s="10"/>
      <c r="LB156" s="10"/>
      <c r="LC156" s="10"/>
      <c r="LD156" s="10"/>
      <c r="LE156" s="10"/>
      <c r="LF156" s="10"/>
      <c r="LG156" s="10"/>
      <c r="LH156" s="10"/>
      <c r="LI156" s="10"/>
      <c r="LJ156" s="10"/>
      <c r="LK156" s="10"/>
      <c r="LL156" s="10"/>
      <c r="LM156" s="10"/>
      <c r="LN156" s="10"/>
      <c r="LO156" s="10"/>
      <c r="LP156" s="10"/>
      <c r="LQ156" s="10"/>
      <c r="LR156" s="10"/>
      <c r="LS156" s="10"/>
      <c r="LT156" s="10"/>
      <c r="LU156" s="10"/>
      <c r="LV156" s="10"/>
      <c r="LW156" s="10"/>
      <c r="LX156" s="10"/>
      <c r="LY156" s="10"/>
      <c r="LZ156" s="10"/>
      <c r="MA156" s="10"/>
      <c r="MB156" s="10"/>
      <c r="MC156" s="10"/>
      <c r="MD156" s="10"/>
      <c r="ME156" s="10"/>
      <c r="MF156" s="10"/>
      <c r="MG156" s="10"/>
      <c r="MH156" s="10"/>
      <c r="MI156" s="10"/>
      <c r="MJ156" s="10"/>
      <c r="MK156" s="10"/>
      <c r="ML156" s="10"/>
      <c r="MM156" s="10"/>
      <c r="MN156" s="10"/>
      <c r="MO156" s="10"/>
      <c r="MP156" s="10"/>
      <c r="MQ156" s="10"/>
      <c r="MR156" s="10"/>
      <c r="MS156" s="10"/>
      <c r="MT156" s="10"/>
      <c r="MU156" s="10"/>
      <c r="MV156" s="10"/>
      <c r="MW156" s="10"/>
      <c r="MX156" s="10"/>
      <c r="MY156" s="10"/>
      <c r="MZ156" s="10"/>
      <c r="NA156" s="10"/>
      <c r="NB156" s="10"/>
      <c r="NC156" s="10"/>
      <c r="ND156" s="10"/>
    </row>
    <row r="157" ht="24.75" customHeight="1">
      <c r="A157" s="8">
        <v>45831.2901250463</v>
      </c>
      <c r="B157" s="9" t="s">
        <v>368</v>
      </c>
      <c r="C157" s="9" t="s">
        <v>370</v>
      </c>
      <c r="E157" s="9" t="s">
        <v>2359</v>
      </c>
      <c r="G157" s="9" t="s">
        <v>3595</v>
      </c>
      <c r="H157" s="9" t="s">
        <v>373</v>
      </c>
      <c r="I157" s="9" t="s">
        <v>374</v>
      </c>
      <c r="J157" s="9" t="s">
        <v>375</v>
      </c>
      <c r="K157" s="9" t="s">
        <v>376</v>
      </c>
      <c r="L157" s="9" t="s">
        <v>591</v>
      </c>
      <c r="M157" s="9" t="s">
        <v>2196</v>
      </c>
      <c r="N157" s="9" t="s">
        <v>377</v>
      </c>
      <c r="O157" s="9" t="s">
        <v>497</v>
      </c>
      <c r="P157" s="9" t="s">
        <v>381</v>
      </c>
      <c r="Q157" s="9" t="s">
        <v>499</v>
      </c>
      <c r="R157" s="9" t="s">
        <v>500</v>
      </c>
      <c r="S157" s="9" t="s">
        <v>384</v>
      </c>
      <c r="T157" s="9" t="s">
        <v>385</v>
      </c>
      <c r="W157" s="9" t="s">
        <v>3231</v>
      </c>
      <c r="AV157" s="9" t="s">
        <v>597</v>
      </c>
      <c r="AW157" s="9">
        <v>2.0</v>
      </c>
      <c r="AX157" s="9" t="s">
        <v>429</v>
      </c>
      <c r="AY157" s="9" t="s">
        <v>391</v>
      </c>
      <c r="AZ157" s="9">
        <v>2.0</v>
      </c>
      <c r="BA157" s="9">
        <v>2.0</v>
      </c>
      <c r="BB157" s="9">
        <v>2.0</v>
      </c>
      <c r="BC157" s="9" t="s">
        <v>3596</v>
      </c>
      <c r="BD157" s="9" t="s">
        <v>3597</v>
      </c>
      <c r="BE157" s="9" t="s">
        <v>392</v>
      </c>
      <c r="BF157" s="9" t="s">
        <v>433</v>
      </c>
      <c r="BG157" s="9" t="s">
        <v>434</v>
      </c>
      <c r="BH157" s="9" t="s">
        <v>3598</v>
      </c>
      <c r="BI157" s="9" t="s">
        <v>509</v>
      </c>
      <c r="BJ157" s="9" t="s">
        <v>3599</v>
      </c>
      <c r="BK157" s="9" t="s">
        <v>437</v>
      </c>
      <c r="BL157" s="9" t="s">
        <v>512</v>
      </c>
      <c r="BM157" s="9" t="s">
        <v>549</v>
      </c>
      <c r="BN157" s="9" t="s">
        <v>440</v>
      </c>
      <c r="CL157" s="9" t="s">
        <v>441</v>
      </c>
      <c r="CM157" s="9" t="s">
        <v>442</v>
      </c>
      <c r="CN157" s="9" t="s">
        <v>3600</v>
      </c>
      <c r="CO157" s="9" t="s">
        <v>3601</v>
      </c>
      <c r="CP157" s="9" t="s">
        <v>445</v>
      </c>
      <c r="CQ157" s="9" t="s">
        <v>3602</v>
      </c>
      <c r="CR157" s="9" t="s">
        <v>447</v>
      </c>
      <c r="CS157" s="9" t="s">
        <v>1147</v>
      </c>
      <c r="CT157" s="9" t="s">
        <v>3603</v>
      </c>
      <c r="CU157" s="9" t="s">
        <v>450</v>
      </c>
      <c r="CV157" s="9" t="s">
        <v>451</v>
      </c>
      <c r="CW157" s="9" t="s">
        <v>3604</v>
      </c>
      <c r="CX157" s="9" t="s">
        <v>408</v>
      </c>
      <c r="CZ157" s="9" t="s">
        <v>985</v>
      </c>
      <c r="DA157" s="9" t="s">
        <v>3605</v>
      </c>
      <c r="DB157" s="9" t="s">
        <v>408</v>
      </c>
      <c r="DD157" s="9" t="s">
        <v>988</v>
      </c>
      <c r="DF157" s="9" t="s">
        <v>3606</v>
      </c>
      <c r="DG157" s="9" t="s">
        <v>524</v>
      </c>
      <c r="DH157" s="9" t="s">
        <v>410</v>
      </c>
      <c r="DI157" s="9" t="s">
        <v>459</v>
      </c>
      <c r="DJ157" s="9" t="s">
        <v>460</v>
      </c>
      <c r="DK157" s="9" t="s">
        <v>461</v>
      </c>
      <c r="DM157" s="9" t="s">
        <v>3607</v>
      </c>
      <c r="DN157" s="9" t="s">
        <v>3608</v>
      </c>
      <c r="DO157" s="9" t="s">
        <v>1063</v>
      </c>
      <c r="DP157" s="9" t="s">
        <v>3609</v>
      </c>
      <c r="DQ157" s="9" t="s">
        <v>1176</v>
      </c>
      <c r="DR157" s="9" t="s">
        <v>3610</v>
      </c>
      <c r="DS157" s="9" t="s">
        <v>839</v>
      </c>
      <c r="DT157" s="9" t="s">
        <v>3611</v>
      </c>
      <c r="DU157" s="9" t="s">
        <v>3612</v>
      </c>
      <c r="DV157" s="9" t="s">
        <v>3613</v>
      </c>
      <c r="DW157" s="9" t="s">
        <v>573</v>
      </c>
      <c r="DX157" s="9" t="s">
        <v>3614</v>
      </c>
      <c r="DY157" s="9" t="s">
        <v>3615</v>
      </c>
      <c r="DZ157" s="9" t="s">
        <v>3616</v>
      </c>
      <c r="EA157" s="9" t="s">
        <v>475</v>
      </c>
      <c r="EB157" s="9" t="s">
        <v>845</v>
      </c>
      <c r="EC157" s="9" t="s">
        <v>3617</v>
      </c>
      <c r="ET157" s="9" t="s">
        <v>526</v>
      </c>
      <c r="EU157" s="9" t="s">
        <v>479</v>
      </c>
      <c r="EV157" s="9" t="s">
        <v>527</v>
      </c>
      <c r="EW157" s="9" t="s">
        <v>3618</v>
      </c>
      <c r="EX157" s="9" t="s">
        <v>3619</v>
      </c>
      <c r="EY157" s="9" t="s">
        <v>3620</v>
      </c>
      <c r="EZ157" s="9" t="s">
        <v>583</v>
      </c>
      <c r="FA157" s="9" t="s">
        <v>583</v>
      </c>
      <c r="FB157" s="9" t="s">
        <v>414</v>
      </c>
      <c r="FC157" s="9" t="s">
        <v>583</v>
      </c>
      <c r="FD157" s="9" t="s">
        <v>413</v>
      </c>
      <c r="FE157" s="9" t="s">
        <v>583</v>
      </c>
      <c r="FF157" s="9" t="s">
        <v>583</v>
      </c>
      <c r="FG157" s="9" t="s">
        <v>416</v>
      </c>
      <c r="FH157" s="9" t="s">
        <v>583</v>
      </c>
      <c r="FI157" s="9" t="s">
        <v>583</v>
      </c>
      <c r="FJ157" s="9" t="s">
        <v>583</v>
      </c>
      <c r="FK157" s="9" t="s">
        <v>583</v>
      </c>
      <c r="FL157" s="9" t="s">
        <v>583</v>
      </c>
      <c r="FM157" s="9" t="s">
        <v>416</v>
      </c>
      <c r="FN157" s="9" t="s">
        <v>583</v>
      </c>
      <c r="FO157" s="9" t="s">
        <v>417</v>
      </c>
      <c r="FP157" s="9" t="s">
        <v>486</v>
      </c>
      <c r="FQ157" s="9" t="s">
        <v>630</v>
      </c>
      <c r="FR157" s="9" t="s">
        <v>3621</v>
      </c>
      <c r="FS157" s="9" t="s">
        <v>420</v>
      </c>
      <c r="FT157" s="9" t="s">
        <v>488</v>
      </c>
      <c r="FU157" s="9" t="s">
        <v>533</v>
      </c>
      <c r="FV157" s="9" t="s">
        <v>490</v>
      </c>
      <c r="FW157" s="9" t="s">
        <v>491</v>
      </c>
      <c r="FX157" s="9" t="s">
        <v>3622</v>
      </c>
      <c r="FZ157" s="9" t="s">
        <v>3623</v>
      </c>
      <c r="GB157" s="9" t="s">
        <v>455</v>
      </c>
      <c r="GC157" s="9"/>
      <c r="GD157" s="9"/>
      <c r="GE157" s="9" t="s">
        <v>944</v>
      </c>
      <c r="GG157" s="9" t="s">
        <v>755</v>
      </c>
      <c r="GH157" s="9" t="s">
        <v>755</v>
      </c>
      <c r="GI157" s="9" t="s">
        <v>946</v>
      </c>
      <c r="GM157" s="9" t="s">
        <v>1079</v>
      </c>
      <c r="GP157" s="9" t="s">
        <v>1706</v>
      </c>
      <c r="GQ157" s="9" t="s">
        <v>3208</v>
      </c>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c r="HX157" s="10"/>
      <c r="HY157" s="10"/>
      <c r="HZ157" s="10"/>
      <c r="IA157" s="10"/>
      <c r="IB157" s="10"/>
      <c r="IC157" s="10"/>
      <c r="ID157" s="10"/>
      <c r="IE157" s="10"/>
      <c r="IF157" s="10"/>
      <c r="IG157" s="10"/>
      <c r="IH157" s="10"/>
      <c r="II157" s="10"/>
      <c r="IJ157" s="10"/>
      <c r="IK157" s="10"/>
      <c r="IL157" s="10"/>
      <c r="IM157" s="10"/>
      <c r="IN157" s="10"/>
      <c r="IO157" s="10"/>
      <c r="IP157" s="10"/>
      <c r="IQ157" s="10"/>
      <c r="IR157" s="10"/>
      <c r="IS157" s="10"/>
      <c r="IT157" s="10"/>
      <c r="IU157" s="10"/>
      <c r="IV157" s="10"/>
      <c r="IW157" s="10"/>
      <c r="IX157" s="10"/>
      <c r="IY157" s="10"/>
      <c r="IZ157" s="10"/>
      <c r="JA157" s="10"/>
      <c r="JB157" s="10"/>
      <c r="JC157" s="10"/>
      <c r="JD157" s="10"/>
      <c r="JE157" s="10"/>
      <c r="JF157" s="10"/>
      <c r="JG157" s="10"/>
      <c r="JH157" s="10"/>
      <c r="JI157" s="10"/>
      <c r="JJ157" s="10"/>
      <c r="JK157" s="10"/>
      <c r="JL157" s="10"/>
      <c r="JM157" s="10"/>
      <c r="JN157" s="10"/>
      <c r="JO157" s="10"/>
      <c r="JP157" s="10"/>
      <c r="JQ157" s="10"/>
      <c r="JR157" s="10"/>
      <c r="JS157" s="10"/>
      <c r="JT157" s="10"/>
      <c r="JU157" s="10"/>
      <c r="JV157" s="10"/>
      <c r="JW157" s="10"/>
      <c r="JX157" s="10"/>
      <c r="JY157" s="10"/>
      <c r="JZ157" s="10"/>
      <c r="KA157" s="10"/>
      <c r="KB157" s="10"/>
      <c r="KC157" s="10"/>
      <c r="KD157" s="10"/>
      <c r="KE157" s="10"/>
      <c r="KF157" s="10"/>
      <c r="KG157" s="10"/>
      <c r="KH157" s="10"/>
      <c r="KI157" s="10"/>
      <c r="KJ157" s="10"/>
      <c r="KK157" s="10"/>
      <c r="KL157" s="10"/>
      <c r="KM157" s="10"/>
      <c r="KN157" s="10"/>
      <c r="KO157" s="10"/>
      <c r="KP157" s="10"/>
      <c r="KQ157" s="10"/>
      <c r="KR157" s="10"/>
      <c r="KS157" s="10"/>
      <c r="KT157" s="10"/>
      <c r="KU157" s="10"/>
      <c r="KV157" s="10"/>
      <c r="KW157" s="10"/>
      <c r="KX157" s="10"/>
      <c r="KY157" s="10"/>
      <c r="KZ157" s="10"/>
      <c r="LA157" s="10"/>
      <c r="LB157" s="10"/>
      <c r="LC157" s="10"/>
      <c r="LD157" s="10"/>
      <c r="LE157" s="10"/>
      <c r="LF157" s="10"/>
      <c r="LG157" s="10"/>
      <c r="LH157" s="10"/>
      <c r="LI157" s="10"/>
      <c r="LJ157" s="10"/>
      <c r="LK157" s="10"/>
      <c r="LL157" s="10"/>
      <c r="LM157" s="10"/>
      <c r="LN157" s="10"/>
      <c r="LO157" s="10"/>
      <c r="LP157" s="10"/>
      <c r="LQ157" s="10"/>
      <c r="LR157" s="10"/>
      <c r="LS157" s="10"/>
      <c r="LT157" s="10"/>
      <c r="LU157" s="10"/>
      <c r="LV157" s="10"/>
      <c r="LW157" s="10"/>
      <c r="LX157" s="10"/>
      <c r="LY157" s="10"/>
      <c r="LZ157" s="10"/>
      <c r="MA157" s="10"/>
      <c r="MB157" s="10"/>
      <c r="MC157" s="10"/>
      <c r="MD157" s="10"/>
      <c r="ME157" s="10"/>
      <c r="MF157" s="10"/>
      <c r="MG157" s="10"/>
      <c r="MH157" s="10"/>
      <c r="MI157" s="10"/>
      <c r="MJ157" s="10"/>
      <c r="MK157" s="10"/>
      <c r="ML157" s="10"/>
      <c r="MM157" s="10"/>
      <c r="MN157" s="10"/>
      <c r="MO157" s="10"/>
      <c r="MP157" s="10"/>
      <c r="MQ157" s="10"/>
      <c r="MR157" s="10"/>
      <c r="MS157" s="10"/>
      <c r="MT157" s="10"/>
      <c r="MU157" s="10"/>
      <c r="MV157" s="10"/>
      <c r="MW157" s="10"/>
      <c r="MX157" s="10"/>
      <c r="MY157" s="10"/>
      <c r="MZ157" s="10"/>
      <c r="NA157" s="10"/>
      <c r="NB157" s="10"/>
      <c r="NC157" s="10"/>
      <c r="ND157" s="10"/>
    </row>
    <row r="158" ht="24.75" customHeight="1">
      <c r="A158" s="8">
        <v>45831.31184445602</v>
      </c>
      <c r="B158" s="9" t="s">
        <v>368</v>
      </c>
      <c r="C158" s="9" t="s">
        <v>370</v>
      </c>
      <c r="E158" s="9" t="s">
        <v>1480</v>
      </c>
      <c r="G158" s="9" t="s">
        <v>422</v>
      </c>
      <c r="H158" s="9" t="s">
        <v>373</v>
      </c>
      <c r="I158" s="9" t="s">
        <v>374</v>
      </c>
      <c r="J158" s="9" t="s">
        <v>590</v>
      </c>
      <c r="K158" s="9" t="s">
        <v>376</v>
      </c>
      <c r="L158" s="9" t="s">
        <v>379</v>
      </c>
      <c r="M158" s="9" t="s">
        <v>639</v>
      </c>
      <c r="N158" s="9" t="s">
        <v>426</v>
      </c>
      <c r="O158" s="9" t="s">
        <v>378</v>
      </c>
      <c r="P158" s="9" t="s">
        <v>381</v>
      </c>
      <c r="Q158" s="9" t="s">
        <v>862</v>
      </c>
      <c r="R158" s="9" t="s">
        <v>500</v>
      </c>
      <c r="S158" s="9" t="s">
        <v>3624</v>
      </c>
      <c r="T158" s="9" t="s">
        <v>385</v>
      </c>
      <c r="W158" s="9" t="s">
        <v>3014</v>
      </c>
      <c r="AV158" s="9" t="s">
        <v>504</v>
      </c>
      <c r="AW158" s="9" t="s">
        <v>391</v>
      </c>
      <c r="AX158" s="9">
        <v>2.0</v>
      </c>
      <c r="AY158" s="9">
        <v>2.0</v>
      </c>
      <c r="AZ158" s="9">
        <v>2.0</v>
      </c>
      <c r="BA158" s="9" t="s">
        <v>391</v>
      </c>
      <c r="BB158" s="9">
        <v>2.0</v>
      </c>
      <c r="BC158" s="9" t="s">
        <v>3625</v>
      </c>
      <c r="BD158" s="9" t="s">
        <v>3626</v>
      </c>
      <c r="BE158" s="9" t="s">
        <v>902</v>
      </c>
      <c r="BF158" s="9" t="s">
        <v>433</v>
      </c>
      <c r="BG158" s="9" t="s">
        <v>434</v>
      </c>
      <c r="BI158" s="9" t="s">
        <v>509</v>
      </c>
      <c r="BJ158" s="9" t="s">
        <v>3627</v>
      </c>
      <c r="BK158" s="9" t="s">
        <v>395</v>
      </c>
      <c r="BL158" s="9" t="s">
        <v>603</v>
      </c>
      <c r="BM158" s="9" t="s">
        <v>549</v>
      </c>
      <c r="BN158" s="9" t="s">
        <v>440</v>
      </c>
      <c r="CL158" s="9" t="s">
        <v>441</v>
      </c>
      <c r="CM158" s="9" t="s">
        <v>604</v>
      </c>
      <c r="CN158" s="9" t="s">
        <v>1600</v>
      </c>
      <c r="CO158" s="9" t="s">
        <v>3628</v>
      </c>
      <c r="CP158" s="9" t="s">
        <v>403</v>
      </c>
      <c r="CQ158" s="9" t="s">
        <v>3629</v>
      </c>
      <c r="CR158" s="9" t="s">
        <v>447</v>
      </c>
      <c r="CS158" s="9" t="s">
        <v>957</v>
      </c>
      <c r="CT158" s="9" t="s">
        <v>3630</v>
      </c>
      <c r="CU158" s="9" t="s">
        <v>450</v>
      </c>
      <c r="CV158" s="9" t="s">
        <v>451</v>
      </c>
      <c r="CW158" s="9" t="s">
        <v>3631</v>
      </c>
      <c r="CX158" s="9" t="s">
        <v>408</v>
      </c>
      <c r="CZ158" s="9" t="s">
        <v>453</v>
      </c>
      <c r="DA158" s="9" t="s">
        <v>3632</v>
      </c>
      <c r="DB158" s="9" t="s">
        <v>913</v>
      </c>
      <c r="DD158" s="9" t="s">
        <v>457</v>
      </c>
      <c r="DF158" s="9" t="s">
        <v>3633</v>
      </c>
      <c r="DG158" s="9" t="s">
        <v>524</v>
      </c>
      <c r="DH158" s="9" t="s">
        <v>410</v>
      </c>
      <c r="DI158" s="9" t="s">
        <v>459</v>
      </c>
      <c r="DJ158" s="9" t="s">
        <v>562</v>
      </c>
      <c r="DK158" s="9" t="s">
        <v>461</v>
      </c>
      <c r="DM158" s="9" t="s">
        <v>3634</v>
      </c>
      <c r="DN158" s="9" t="s">
        <v>3635</v>
      </c>
      <c r="DO158" s="9" t="s">
        <v>1063</v>
      </c>
      <c r="DP158" s="9" t="s">
        <v>3636</v>
      </c>
      <c r="DQ158" s="9" t="s">
        <v>837</v>
      </c>
      <c r="DR158" s="9" t="s">
        <v>3637</v>
      </c>
      <c r="DS158" s="9" t="s">
        <v>618</v>
      </c>
      <c r="DU158" s="9" t="s">
        <v>3638</v>
      </c>
      <c r="DV158" s="9" t="s">
        <v>3639</v>
      </c>
      <c r="DW158" s="9" t="s">
        <v>573</v>
      </c>
      <c r="DX158" s="9" t="s">
        <v>3640</v>
      </c>
      <c r="DY158" s="9" t="s">
        <v>3641</v>
      </c>
      <c r="DZ158" s="9" t="s">
        <v>3642</v>
      </c>
      <c r="EA158" s="9" t="s">
        <v>475</v>
      </c>
      <c r="EB158" s="9" t="s">
        <v>626</v>
      </c>
      <c r="ET158" s="9" t="s">
        <v>478</v>
      </c>
      <c r="EU158" s="9" t="s">
        <v>479</v>
      </c>
      <c r="EV158" s="9" t="s">
        <v>527</v>
      </c>
      <c r="EW158" s="9" t="s">
        <v>3643</v>
      </c>
      <c r="EX158" s="9" t="s">
        <v>3644</v>
      </c>
      <c r="EY158" s="9" t="s">
        <v>3645</v>
      </c>
      <c r="EZ158" s="9" t="s">
        <v>413</v>
      </c>
      <c r="FA158" s="9" t="s">
        <v>415</v>
      </c>
      <c r="FB158" s="9" t="s">
        <v>413</v>
      </c>
      <c r="FC158" s="9" t="s">
        <v>416</v>
      </c>
      <c r="FD158" s="9" t="s">
        <v>413</v>
      </c>
      <c r="FE158" s="9" t="s">
        <v>415</v>
      </c>
      <c r="FF158" s="9" t="s">
        <v>416</v>
      </c>
      <c r="FG158" s="9" t="s">
        <v>415</v>
      </c>
      <c r="FH158" s="9" t="s">
        <v>415</v>
      </c>
      <c r="FI158" s="9" t="s">
        <v>414</v>
      </c>
      <c r="FJ158" s="9" t="s">
        <v>415</v>
      </c>
      <c r="FK158" s="9" t="s">
        <v>416</v>
      </c>
      <c r="FL158" s="9" t="s">
        <v>415</v>
      </c>
      <c r="FM158" s="9" t="s">
        <v>416</v>
      </c>
      <c r="FN158" s="9" t="s">
        <v>414</v>
      </c>
      <c r="FO158" s="9" t="s">
        <v>417</v>
      </c>
      <c r="FP158" s="9" t="s">
        <v>418</v>
      </c>
      <c r="FQ158" s="9" t="s">
        <v>749</v>
      </c>
      <c r="FR158" s="9" t="s">
        <v>3646</v>
      </c>
      <c r="FS158" s="9" t="s">
        <v>420</v>
      </c>
      <c r="FT158" s="9" t="s">
        <v>488</v>
      </c>
      <c r="FU158" s="9" t="s">
        <v>489</v>
      </c>
      <c r="FV158" s="9" t="s">
        <v>490</v>
      </c>
      <c r="FW158" s="9" t="s">
        <v>491</v>
      </c>
      <c r="FX158" s="9" t="s">
        <v>3647</v>
      </c>
      <c r="FY158" s="9" t="s">
        <v>535</v>
      </c>
      <c r="GB158" s="9" t="s">
        <v>455</v>
      </c>
      <c r="GC158" s="9"/>
      <c r="GE158" s="9" t="s">
        <v>1339</v>
      </c>
      <c r="GF158" s="9" t="s">
        <v>3648</v>
      </c>
      <c r="GG158" s="9" t="s">
        <v>755</v>
      </c>
      <c r="GH158" s="9" t="s">
        <v>755</v>
      </c>
      <c r="GI158" s="9" t="s">
        <v>946</v>
      </c>
      <c r="GM158" s="9" t="s">
        <v>1079</v>
      </c>
      <c r="GQ158" s="9" t="s">
        <v>3273</v>
      </c>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c r="HX158" s="10"/>
      <c r="HY158" s="10"/>
      <c r="HZ158" s="10"/>
      <c r="IA158" s="10"/>
      <c r="IB158" s="10"/>
      <c r="IC158" s="10"/>
      <c r="ID158" s="10"/>
      <c r="IE158" s="10"/>
      <c r="IF158" s="10"/>
      <c r="IG158" s="10"/>
      <c r="IH158" s="10"/>
      <c r="II158" s="10"/>
      <c r="IJ158" s="10"/>
      <c r="IK158" s="10"/>
      <c r="IL158" s="10"/>
      <c r="IM158" s="10"/>
      <c r="IN158" s="10"/>
      <c r="IO158" s="10"/>
      <c r="IP158" s="10"/>
      <c r="IQ158" s="10"/>
      <c r="IR158" s="10"/>
      <c r="IS158" s="10"/>
      <c r="IT158" s="10"/>
      <c r="IU158" s="10"/>
      <c r="IV158" s="10"/>
      <c r="IW158" s="10"/>
      <c r="IX158" s="10"/>
      <c r="IY158" s="10"/>
      <c r="IZ158" s="10"/>
      <c r="JA158" s="10"/>
      <c r="JB158" s="10"/>
      <c r="JC158" s="10"/>
      <c r="JD158" s="10"/>
      <c r="JE158" s="10"/>
      <c r="JF158" s="10"/>
      <c r="JG158" s="10"/>
      <c r="JH158" s="10"/>
      <c r="JI158" s="10"/>
      <c r="JJ158" s="10"/>
      <c r="JK158" s="10"/>
      <c r="JL158" s="10"/>
      <c r="JM158" s="10"/>
      <c r="JN158" s="10"/>
      <c r="JO158" s="10"/>
      <c r="JP158" s="10"/>
      <c r="JQ158" s="10"/>
      <c r="JR158" s="10"/>
      <c r="JS158" s="10"/>
      <c r="JT158" s="10"/>
      <c r="JU158" s="10"/>
      <c r="JV158" s="10"/>
      <c r="JW158" s="10"/>
      <c r="JX158" s="10"/>
      <c r="JY158" s="10"/>
      <c r="JZ158" s="10"/>
      <c r="KA158" s="10"/>
      <c r="KB158" s="10"/>
      <c r="KC158" s="10"/>
      <c r="KD158" s="10"/>
      <c r="KE158" s="10"/>
      <c r="KF158" s="10"/>
      <c r="KG158" s="10"/>
      <c r="KH158" s="10"/>
      <c r="KI158" s="10"/>
      <c r="KJ158" s="10"/>
      <c r="KK158" s="10"/>
      <c r="KL158" s="10"/>
      <c r="KM158" s="10"/>
      <c r="KN158" s="10"/>
      <c r="KO158" s="10"/>
      <c r="KP158" s="10"/>
      <c r="KQ158" s="10"/>
      <c r="KR158" s="10"/>
      <c r="KS158" s="10"/>
      <c r="KT158" s="10"/>
      <c r="KU158" s="10"/>
      <c r="KV158" s="10"/>
      <c r="KW158" s="10"/>
      <c r="KX158" s="10"/>
      <c r="KY158" s="10"/>
      <c r="KZ158" s="10"/>
      <c r="LA158" s="10"/>
      <c r="LB158" s="10"/>
      <c r="LC158" s="10"/>
      <c r="LD158" s="10"/>
      <c r="LE158" s="10"/>
      <c r="LF158" s="10"/>
      <c r="LG158" s="10"/>
      <c r="LH158" s="10"/>
      <c r="LI158" s="10"/>
      <c r="LJ158" s="10"/>
      <c r="LK158" s="10"/>
      <c r="LL158" s="10"/>
      <c r="LM158" s="10"/>
      <c r="LN158" s="10"/>
      <c r="LO158" s="10"/>
      <c r="LP158" s="10"/>
      <c r="LQ158" s="10"/>
      <c r="LR158" s="10"/>
      <c r="LS158" s="10"/>
      <c r="LT158" s="10"/>
      <c r="LU158" s="10"/>
      <c r="LV158" s="10"/>
      <c r="LW158" s="10"/>
      <c r="LX158" s="10"/>
      <c r="LY158" s="10"/>
      <c r="LZ158" s="10"/>
      <c r="MA158" s="10"/>
      <c r="MB158" s="10"/>
      <c r="MC158" s="10"/>
      <c r="MD158" s="10"/>
      <c r="ME158" s="10"/>
      <c r="MF158" s="10"/>
      <c r="MG158" s="10"/>
      <c r="MH158" s="10"/>
      <c r="MI158" s="10"/>
      <c r="MJ158" s="10"/>
      <c r="MK158" s="10"/>
      <c r="ML158" s="10"/>
      <c r="MM158" s="10"/>
      <c r="MN158" s="10"/>
      <c r="MO158" s="10"/>
      <c r="MP158" s="10"/>
      <c r="MQ158" s="10"/>
      <c r="MR158" s="10"/>
      <c r="MS158" s="10"/>
      <c r="MT158" s="10"/>
      <c r="MU158" s="10"/>
      <c r="MV158" s="10"/>
      <c r="MW158" s="10"/>
      <c r="MX158" s="10"/>
      <c r="MY158" s="10"/>
      <c r="MZ158" s="10"/>
      <c r="NA158" s="10"/>
      <c r="NB158" s="10"/>
      <c r="NC158" s="10"/>
      <c r="ND158" s="10"/>
    </row>
    <row r="159" ht="24.75" customHeight="1">
      <c r="A159" s="8">
        <v>45831.337022465275</v>
      </c>
      <c r="B159" s="9" t="s">
        <v>368</v>
      </c>
      <c r="C159" s="9" t="s">
        <v>370</v>
      </c>
      <c r="E159" s="9" t="s">
        <v>922</v>
      </c>
      <c r="G159" s="9" t="s">
        <v>422</v>
      </c>
      <c r="H159" s="9" t="s">
        <v>1203</v>
      </c>
      <c r="I159" s="9" t="s">
        <v>638</v>
      </c>
      <c r="J159" s="9" t="s">
        <v>425</v>
      </c>
      <c r="K159" s="9" t="s">
        <v>376</v>
      </c>
      <c r="L159" s="9" t="s">
        <v>591</v>
      </c>
      <c r="M159" s="9" t="s">
        <v>3649</v>
      </c>
      <c r="N159" s="9" t="s">
        <v>670</v>
      </c>
      <c r="O159" s="9" t="s">
        <v>720</v>
      </c>
      <c r="P159" s="9" t="s">
        <v>592</v>
      </c>
      <c r="Q159" s="9" t="s">
        <v>499</v>
      </c>
      <c r="R159" s="9" t="s">
        <v>500</v>
      </c>
      <c r="S159" s="9" t="s">
        <v>384</v>
      </c>
      <c r="T159" s="9" t="s">
        <v>385</v>
      </c>
      <c r="W159" s="9" t="s">
        <v>593</v>
      </c>
      <c r="AV159" s="9" t="s">
        <v>390</v>
      </c>
      <c r="AW159" s="9">
        <v>2.0</v>
      </c>
      <c r="AX159" s="9" t="s">
        <v>429</v>
      </c>
      <c r="AY159" s="9" t="s">
        <v>391</v>
      </c>
      <c r="AZ159" s="9" t="s">
        <v>429</v>
      </c>
      <c r="BA159" s="9" t="s">
        <v>429</v>
      </c>
      <c r="BB159" s="9" t="s">
        <v>429</v>
      </c>
      <c r="BC159" s="9" t="s">
        <v>3650</v>
      </c>
      <c r="BD159" s="9" t="s">
        <v>3651</v>
      </c>
      <c r="BE159" s="9" t="s">
        <v>392</v>
      </c>
      <c r="BF159" s="9" t="s">
        <v>433</v>
      </c>
      <c r="BG159" s="9" t="s">
        <v>765</v>
      </c>
      <c r="BI159" s="9" t="s">
        <v>824</v>
      </c>
      <c r="BK159" s="9" t="s">
        <v>437</v>
      </c>
      <c r="BL159" s="9" t="s">
        <v>396</v>
      </c>
      <c r="BM159" s="9" t="s">
        <v>549</v>
      </c>
      <c r="BN159" s="9" t="s">
        <v>440</v>
      </c>
      <c r="CL159" s="9" t="s">
        <v>441</v>
      </c>
      <c r="CM159" s="9" t="s">
        <v>401</v>
      </c>
      <c r="CN159" s="9" t="s">
        <v>3652</v>
      </c>
      <c r="CO159" s="9" t="s">
        <v>3653</v>
      </c>
      <c r="CP159" s="9" t="s">
        <v>979</v>
      </c>
      <c r="CQ159" s="9" t="s">
        <v>2317</v>
      </c>
      <c r="CR159" s="9" t="s">
        <v>447</v>
      </c>
      <c r="CS159" s="9" t="s">
        <v>1454</v>
      </c>
      <c r="CT159" s="9" t="s">
        <v>3654</v>
      </c>
      <c r="CU159" s="9" t="s">
        <v>519</v>
      </c>
      <c r="CV159" s="9" t="s">
        <v>451</v>
      </c>
      <c r="CW159" s="9" t="s">
        <v>3655</v>
      </c>
      <c r="CX159" s="9" t="s">
        <v>408</v>
      </c>
      <c r="CZ159" s="9" t="s">
        <v>453</v>
      </c>
      <c r="DA159" s="9" t="s">
        <v>3656</v>
      </c>
      <c r="DB159" s="9" t="s">
        <v>455</v>
      </c>
      <c r="DC159" s="9" t="s">
        <v>3657</v>
      </c>
      <c r="DD159" s="9" t="s">
        <v>457</v>
      </c>
      <c r="DF159" s="9" t="s">
        <v>3658</v>
      </c>
      <c r="DG159" s="9" t="s">
        <v>524</v>
      </c>
      <c r="DH159" s="9" t="s">
        <v>694</v>
      </c>
      <c r="DI159" s="9" t="s">
        <v>459</v>
      </c>
      <c r="DJ159" s="9" t="s">
        <v>613</v>
      </c>
      <c r="DM159" s="9" t="s">
        <v>3659</v>
      </c>
      <c r="DN159" s="9" t="s">
        <v>3660</v>
      </c>
      <c r="DO159" s="9" t="s">
        <v>464</v>
      </c>
      <c r="DP159" s="9" t="s">
        <v>3661</v>
      </c>
      <c r="DQ159" s="9" t="s">
        <v>700</v>
      </c>
      <c r="DR159" s="9" t="s">
        <v>3662</v>
      </c>
      <c r="DS159" s="9" t="s">
        <v>618</v>
      </c>
      <c r="DT159" s="9" t="s">
        <v>570</v>
      </c>
      <c r="DU159" s="9" t="s">
        <v>3663</v>
      </c>
      <c r="DV159" s="9" t="s">
        <v>3664</v>
      </c>
      <c r="DW159" s="9" t="s">
        <v>573</v>
      </c>
      <c r="DX159" s="9" t="s">
        <v>3665</v>
      </c>
      <c r="DY159" s="9" t="s">
        <v>3666</v>
      </c>
      <c r="DZ159" s="9" t="s">
        <v>3667</v>
      </c>
      <c r="EA159" s="9" t="s">
        <v>475</v>
      </c>
      <c r="EB159" s="9" t="s">
        <v>845</v>
      </c>
      <c r="EC159" s="9" t="s">
        <v>3668</v>
      </c>
      <c r="ET159" s="9" t="s">
        <v>526</v>
      </c>
      <c r="EU159" s="9" t="s">
        <v>1037</v>
      </c>
      <c r="EV159" s="9" t="s">
        <v>480</v>
      </c>
      <c r="EZ159" s="9" t="s">
        <v>415</v>
      </c>
      <c r="FA159" s="9" t="s">
        <v>415</v>
      </c>
      <c r="FB159" s="9" t="s">
        <v>413</v>
      </c>
      <c r="FC159" s="9" t="s">
        <v>413</v>
      </c>
      <c r="FD159" s="9" t="s">
        <v>413</v>
      </c>
      <c r="FE159" s="9" t="s">
        <v>415</v>
      </c>
      <c r="FF159" s="9" t="s">
        <v>413</v>
      </c>
      <c r="FG159" s="9" t="s">
        <v>413</v>
      </c>
      <c r="FH159" s="9" t="s">
        <v>583</v>
      </c>
      <c r="FI159" s="9" t="s">
        <v>415</v>
      </c>
      <c r="FJ159" s="9" t="s">
        <v>416</v>
      </c>
      <c r="FK159" s="9" t="s">
        <v>415</v>
      </c>
      <c r="FL159" s="9" t="s">
        <v>415</v>
      </c>
      <c r="FM159" s="9" t="s">
        <v>413</v>
      </c>
      <c r="FN159" s="9" t="s">
        <v>583</v>
      </c>
      <c r="FO159" s="9" t="s">
        <v>485</v>
      </c>
      <c r="FP159" s="9" t="s">
        <v>418</v>
      </c>
      <c r="FQ159" s="9" t="s">
        <v>712</v>
      </c>
      <c r="FS159" s="9" t="s">
        <v>420</v>
      </c>
      <c r="FT159" s="9" t="s">
        <v>1462</v>
      </c>
      <c r="FU159" s="9" t="s">
        <v>489</v>
      </c>
      <c r="FV159" s="9" t="s">
        <v>490</v>
      </c>
      <c r="FW159" s="9" t="s">
        <v>491</v>
      </c>
      <c r="FX159" s="9" t="s">
        <v>3669</v>
      </c>
      <c r="FY159" s="9" t="s">
        <v>493</v>
      </c>
      <c r="GA159" s="9" t="s">
        <v>3670</v>
      </c>
      <c r="GB159" s="9" t="s">
        <v>455</v>
      </c>
      <c r="GC159" s="9"/>
      <c r="GE159" s="9" t="s">
        <v>753</v>
      </c>
      <c r="GF159" s="9" t="s">
        <v>3671</v>
      </c>
      <c r="GG159" s="9" t="s">
        <v>857</v>
      </c>
      <c r="GH159" s="9" t="s">
        <v>857</v>
      </c>
      <c r="GI159" s="9" t="s">
        <v>790</v>
      </c>
      <c r="GM159" s="9" t="s">
        <v>1079</v>
      </c>
      <c r="GQ159" s="9" t="s">
        <v>3351</v>
      </c>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c r="HX159" s="10"/>
      <c r="HY159" s="10"/>
      <c r="HZ159" s="10"/>
      <c r="IA159" s="10"/>
      <c r="IB159" s="10"/>
      <c r="IC159" s="10"/>
      <c r="ID159" s="10"/>
      <c r="IE159" s="10"/>
      <c r="IF159" s="10"/>
      <c r="IG159" s="10"/>
      <c r="IH159" s="10"/>
      <c r="II159" s="10"/>
      <c r="IJ159" s="10"/>
      <c r="IK159" s="10"/>
      <c r="IL159" s="10"/>
      <c r="IM159" s="10"/>
      <c r="IN159" s="10"/>
      <c r="IO159" s="10"/>
      <c r="IP159" s="10"/>
      <c r="IQ159" s="10"/>
      <c r="IR159" s="10"/>
      <c r="IS159" s="10"/>
      <c r="IT159" s="10"/>
      <c r="IU159" s="10"/>
      <c r="IV159" s="10"/>
      <c r="IW159" s="10"/>
      <c r="IX159" s="10"/>
      <c r="IY159" s="10"/>
      <c r="IZ159" s="10"/>
      <c r="JA159" s="10"/>
      <c r="JB159" s="10"/>
      <c r="JC159" s="10"/>
      <c r="JD159" s="10"/>
      <c r="JE159" s="10"/>
      <c r="JF159" s="10"/>
      <c r="JG159" s="10"/>
      <c r="JH159" s="10"/>
      <c r="JI159" s="10"/>
      <c r="JJ159" s="10"/>
      <c r="JK159" s="10"/>
      <c r="JL159" s="10"/>
      <c r="JM159" s="10"/>
      <c r="JN159" s="10"/>
      <c r="JO159" s="10"/>
      <c r="JP159" s="10"/>
      <c r="JQ159" s="10"/>
      <c r="JR159" s="10"/>
      <c r="JS159" s="10"/>
      <c r="JT159" s="10"/>
      <c r="JU159" s="10"/>
      <c r="JV159" s="10"/>
      <c r="JW159" s="10"/>
      <c r="JX159" s="10"/>
      <c r="JY159" s="10"/>
      <c r="JZ159" s="10"/>
      <c r="KA159" s="10"/>
      <c r="KB159" s="10"/>
      <c r="KC159" s="10"/>
      <c r="KD159" s="10"/>
      <c r="KE159" s="10"/>
      <c r="KF159" s="10"/>
      <c r="KG159" s="10"/>
      <c r="KH159" s="10"/>
      <c r="KI159" s="10"/>
      <c r="KJ159" s="10"/>
      <c r="KK159" s="10"/>
      <c r="KL159" s="10"/>
      <c r="KM159" s="10"/>
      <c r="KN159" s="10"/>
      <c r="KO159" s="10"/>
      <c r="KP159" s="10"/>
      <c r="KQ159" s="10"/>
      <c r="KR159" s="10"/>
      <c r="KS159" s="10"/>
      <c r="KT159" s="10"/>
      <c r="KU159" s="10"/>
      <c r="KV159" s="10"/>
      <c r="KW159" s="10"/>
      <c r="KX159" s="10"/>
      <c r="KY159" s="10"/>
      <c r="KZ159" s="10"/>
      <c r="LA159" s="10"/>
      <c r="LB159" s="10"/>
      <c r="LC159" s="10"/>
      <c r="LD159" s="10"/>
      <c r="LE159" s="10"/>
      <c r="LF159" s="10"/>
      <c r="LG159" s="10"/>
      <c r="LH159" s="10"/>
      <c r="LI159" s="10"/>
      <c r="LJ159" s="10"/>
      <c r="LK159" s="10"/>
      <c r="LL159" s="10"/>
      <c r="LM159" s="10"/>
      <c r="LN159" s="10"/>
      <c r="LO159" s="10"/>
      <c r="LP159" s="10"/>
      <c r="LQ159" s="10"/>
      <c r="LR159" s="10"/>
      <c r="LS159" s="10"/>
      <c r="LT159" s="10"/>
      <c r="LU159" s="10"/>
      <c r="LV159" s="10"/>
      <c r="LW159" s="10"/>
      <c r="LX159" s="10"/>
      <c r="LY159" s="10"/>
      <c r="LZ159" s="10"/>
      <c r="MA159" s="10"/>
      <c r="MB159" s="10"/>
      <c r="MC159" s="10"/>
      <c r="MD159" s="10"/>
      <c r="ME159" s="10"/>
      <c r="MF159" s="10"/>
      <c r="MG159" s="10"/>
      <c r="MH159" s="10"/>
      <c r="MI159" s="10"/>
      <c r="MJ159" s="10"/>
      <c r="MK159" s="10"/>
      <c r="ML159" s="10"/>
      <c r="MM159" s="10"/>
      <c r="MN159" s="10"/>
      <c r="MO159" s="10"/>
      <c r="MP159" s="10"/>
      <c r="MQ159" s="10"/>
      <c r="MR159" s="10"/>
      <c r="MS159" s="10"/>
      <c r="MT159" s="10"/>
      <c r="MU159" s="10"/>
      <c r="MV159" s="10"/>
      <c r="MW159" s="10"/>
      <c r="MX159" s="10"/>
      <c r="MY159" s="10"/>
      <c r="MZ159" s="10"/>
      <c r="NA159" s="10"/>
      <c r="NB159" s="10"/>
      <c r="NC159" s="10"/>
      <c r="ND159" s="10"/>
    </row>
    <row r="160" ht="24.75" customHeight="1">
      <c r="A160" s="8">
        <v>45831.37880005787</v>
      </c>
      <c r="B160" s="9" t="s">
        <v>368</v>
      </c>
      <c r="C160" s="9" t="s">
        <v>894</v>
      </c>
      <c r="D160" s="9" t="s">
        <v>894</v>
      </c>
      <c r="G160" s="9" t="s">
        <v>422</v>
      </c>
      <c r="H160" s="9" t="s">
        <v>637</v>
      </c>
      <c r="I160" s="9" t="s">
        <v>638</v>
      </c>
      <c r="J160" s="9" t="s">
        <v>375</v>
      </c>
      <c r="K160" s="9" t="s">
        <v>376</v>
      </c>
      <c r="L160" s="9" t="s">
        <v>379</v>
      </c>
      <c r="M160" s="9" t="s">
        <v>380</v>
      </c>
      <c r="N160" s="9" t="s">
        <v>379</v>
      </c>
      <c r="O160" s="9" t="s">
        <v>380</v>
      </c>
      <c r="P160" s="9" t="s">
        <v>498</v>
      </c>
      <c r="Q160" s="9" t="s">
        <v>382</v>
      </c>
      <c r="R160" s="9" t="s">
        <v>1594</v>
      </c>
      <c r="S160" s="9" t="s">
        <v>384</v>
      </c>
      <c r="T160" s="9" t="s">
        <v>385</v>
      </c>
      <c r="U160" s="9" t="s">
        <v>1045</v>
      </c>
      <c r="V160" s="9" t="s">
        <v>1045</v>
      </c>
      <c r="W160" s="9" t="s">
        <v>3231</v>
      </c>
      <c r="AV160" s="9" t="s">
        <v>1310</v>
      </c>
      <c r="AW160" s="9" t="s">
        <v>391</v>
      </c>
      <c r="AX160" s="9">
        <v>4.0</v>
      </c>
      <c r="AY160" s="9" t="s">
        <v>391</v>
      </c>
      <c r="AZ160" s="9">
        <v>2.0</v>
      </c>
      <c r="BA160" s="9" t="s">
        <v>391</v>
      </c>
      <c r="BB160" s="9" t="s">
        <v>391</v>
      </c>
      <c r="BE160" s="9" t="s">
        <v>432</v>
      </c>
      <c r="BF160" s="9" t="s">
        <v>1095</v>
      </c>
      <c r="BG160" s="9" t="s">
        <v>725</v>
      </c>
      <c r="BI160" s="9" t="s">
        <v>435</v>
      </c>
      <c r="BK160" s="9" t="s">
        <v>681</v>
      </c>
      <c r="BL160" s="9" t="s">
        <v>603</v>
      </c>
      <c r="BM160" s="9" t="s">
        <v>1247</v>
      </c>
      <c r="BN160" s="9" t="s">
        <v>513</v>
      </c>
      <c r="CL160" s="9" t="s">
        <v>682</v>
      </c>
      <c r="CM160" s="9" t="s">
        <v>442</v>
      </c>
      <c r="CP160" s="9" t="s">
        <v>445</v>
      </c>
      <c r="CQ160" s="9" t="s">
        <v>3672</v>
      </c>
      <c r="CR160" s="9" t="s">
        <v>555</v>
      </c>
      <c r="CU160" s="9" t="s">
        <v>982</v>
      </c>
      <c r="CV160" s="9" t="s">
        <v>959</v>
      </c>
      <c r="CX160" s="9" t="s">
        <v>408</v>
      </c>
      <c r="CZ160" s="9" t="s">
        <v>985</v>
      </c>
      <c r="DB160" s="9" t="s">
        <v>408</v>
      </c>
      <c r="DD160" s="9" t="s">
        <v>406</v>
      </c>
      <c r="DG160" s="9" t="s">
        <v>990</v>
      </c>
      <c r="DH160" s="9" t="s">
        <v>694</v>
      </c>
      <c r="DI160" s="9" t="s">
        <v>459</v>
      </c>
      <c r="DJ160" s="9" t="s">
        <v>613</v>
      </c>
      <c r="ET160" s="9" t="s">
        <v>478</v>
      </c>
      <c r="EU160" s="9" t="s">
        <v>579</v>
      </c>
      <c r="EV160" s="9" t="s">
        <v>480</v>
      </c>
      <c r="EZ160" s="9" t="s">
        <v>583</v>
      </c>
      <c r="FA160" s="9" t="s">
        <v>583</v>
      </c>
      <c r="FB160" s="9" t="s">
        <v>413</v>
      </c>
      <c r="FC160" s="9" t="s">
        <v>416</v>
      </c>
      <c r="FD160" s="9" t="s">
        <v>415</v>
      </c>
      <c r="FE160" s="9" t="s">
        <v>583</v>
      </c>
      <c r="FF160" s="9" t="s">
        <v>583</v>
      </c>
      <c r="FG160" s="9" t="s">
        <v>583</v>
      </c>
      <c r="FH160" s="9" t="s">
        <v>416</v>
      </c>
      <c r="FI160" s="9" t="s">
        <v>413</v>
      </c>
      <c r="FJ160" s="9" t="s">
        <v>583</v>
      </c>
      <c r="FK160" s="9" t="s">
        <v>415</v>
      </c>
      <c r="FL160" s="9" t="s">
        <v>415</v>
      </c>
      <c r="FM160" s="9" t="s">
        <v>583</v>
      </c>
      <c r="FN160" s="9" t="s">
        <v>413</v>
      </c>
      <c r="FO160" s="9" t="s">
        <v>1074</v>
      </c>
      <c r="FP160" s="9" t="s">
        <v>3218</v>
      </c>
      <c r="FQ160" s="9" t="s">
        <v>419</v>
      </c>
      <c r="FS160" s="9" t="s">
        <v>1871</v>
      </c>
      <c r="FT160" s="9" t="s">
        <v>2750</v>
      </c>
      <c r="FU160" s="9" t="s">
        <v>1235</v>
      </c>
      <c r="FV160" s="9" t="s">
        <v>2136</v>
      </c>
      <c r="FY160" s="9" t="s">
        <v>1337</v>
      </c>
      <c r="GB160" s="9" t="s">
        <v>408</v>
      </c>
      <c r="GG160" s="9" t="s">
        <v>755</v>
      </c>
      <c r="GH160" s="9" t="s">
        <v>755</v>
      </c>
      <c r="GI160" s="9" t="s">
        <v>817</v>
      </c>
      <c r="GP160" s="9" t="s">
        <v>387</v>
      </c>
      <c r="GQ160" s="9" t="s">
        <v>3208</v>
      </c>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c r="HX160" s="10"/>
      <c r="HY160" s="10"/>
      <c r="HZ160" s="10"/>
      <c r="IA160" s="10"/>
      <c r="IB160" s="10"/>
      <c r="IC160" s="10"/>
      <c r="ID160" s="10"/>
      <c r="IE160" s="10"/>
      <c r="IF160" s="10"/>
      <c r="IG160" s="10"/>
      <c r="IH160" s="10"/>
      <c r="II160" s="10"/>
      <c r="IJ160" s="10"/>
      <c r="IK160" s="10"/>
      <c r="IL160" s="10"/>
      <c r="IM160" s="10"/>
      <c r="IN160" s="10"/>
      <c r="IO160" s="10"/>
      <c r="IP160" s="10"/>
      <c r="IQ160" s="10"/>
      <c r="IR160" s="10"/>
      <c r="IS160" s="10"/>
      <c r="IT160" s="10"/>
      <c r="IU160" s="10"/>
      <c r="IV160" s="10"/>
      <c r="IW160" s="10"/>
      <c r="IX160" s="10"/>
      <c r="IY160" s="10"/>
      <c r="IZ160" s="10"/>
      <c r="JA160" s="10"/>
      <c r="JB160" s="10"/>
      <c r="JC160" s="10"/>
      <c r="JD160" s="10"/>
      <c r="JE160" s="10"/>
      <c r="JF160" s="10"/>
      <c r="JG160" s="10"/>
      <c r="JH160" s="10"/>
      <c r="JI160" s="10"/>
      <c r="JJ160" s="10"/>
      <c r="JK160" s="10"/>
      <c r="JL160" s="10"/>
      <c r="JM160" s="10"/>
      <c r="JN160" s="10"/>
      <c r="JO160" s="10"/>
      <c r="JP160" s="10"/>
      <c r="JQ160" s="10"/>
      <c r="JR160" s="10"/>
      <c r="JS160" s="10"/>
      <c r="JT160" s="10"/>
      <c r="JU160" s="10"/>
      <c r="JV160" s="10"/>
      <c r="JW160" s="10"/>
      <c r="JX160" s="10"/>
      <c r="JY160" s="10"/>
      <c r="JZ160" s="10"/>
      <c r="KA160" s="10"/>
      <c r="KB160" s="10"/>
      <c r="KC160" s="10"/>
      <c r="KD160" s="10"/>
      <c r="KE160" s="10"/>
      <c r="KF160" s="10"/>
      <c r="KG160" s="10"/>
      <c r="KH160" s="10"/>
      <c r="KI160" s="10"/>
      <c r="KJ160" s="10"/>
      <c r="KK160" s="10"/>
      <c r="KL160" s="10"/>
      <c r="KM160" s="10"/>
      <c r="KN160" s="10"/>
      <c r="KO160" s="10"/>
      <c r="KP160" s="10"/>
      <c r="KQ160" s="10"/>
      <c r="KR160" s="10"/>
      <c r="KS160" s="10"/>
      <c r="KT160" s="10"/>
      <c r="KU160" s="10"/>
      <c r="KV160" s="10"/>
      <c r="KW160" s="10"/>
      <c r="KX160" s="10"/>
      <c r="KY160" s="10"/>
      <c r="KZ160" s="10"/>
      <c r="LA160" s="10"/>
      <c r="LB160" s="10"/>
      <c r="LC160" s="10"/>
      <c r="LD160" s="10"/>
      <c r="LE160" s="10"/>
      <c r="LF160" s="10"/>
      <c r="LG160" s="10"/>
      <c r="LH160" s="10"/>
      <c r="LI160" s="10"/>
      <c r="LJ160" s="10"/>
      <c r="LK160" s="10"/>
      <c r="LL160" s="10"/>
      <c r="LM160" s="10"/>
      <c r="LN160" s="10"/>
      <c r="LO160" s="10"/>
      <c r="LP160" s="10"/>
      <c r="LQ160" s="10"/>
      <c r="LR160" s="10"/>
      <c r="LS160" s="10"/>
      <c r="LT160" s="10"/>
      <c r="LU160" s="10"/>
      <c r="LV160" s="10"/>
      <c r="LW160" s="10"/>
      <c r="LX160" s="10"/>
      <c r="LY160" s="10"/>
      <c r="LZ160" s="10"/>
      <c r="MA160" s="10"/>
      <c r="MB160" s="10"/>
      <c r="MC160" s="10"/>
      <c r="MD160" s="10"/>
      <c r="ME160" s="10"/>
      <c r="MF160" s="10"/>
      <c r="MG160" s="10"/>
      <c r="MH160" s="10"/>
      <c r="MI160" s="10"/>
      <c r="MJ160" s="10"/>
      <c r="MK160" s="10"/>
      <c r="ML160" s="10"/>
      <c r="MM160" s="10"/>
      <c r="MN160" s="10"/>
      <c r="MO160" s="10"/>
      <c r="MP160" s="10"/>
      <c r="MQ160" s="10"/>
      <c r="MR160" s="10"/>
      <c r="MS160" s="10"/>
      <c r="MT160" s="10"/>
      <c r="MU160" s="10"/>
      <c r="MV160" s="10"/>
      <c r="MW160" s="10"/>
      <c r="MX160" s="10"/>
      <c r="MY160" s="10"/>
      <c r="MZ160" s="10"/>
      <c r="NA160" s="10"/>
      <c r="NB160" s="10"/>
      <c r="NC160" s="10"/>
      <c r="ND160" s="10"/>
    </row>
    <row r="161" ht="24.75" customHeight="1">
      <c r="A161" s="8">
        <v>45831.437976030094</v>
      </c>
      <c r="B161" s="9" t="s">
        <v>368</v>
      </c>
      <c r="C161" s="9" t="s">
        <v>370</v>
      </c>
      <c r="E161" s="9" t="s">
        <v>859</v>
      </c>
      <c r="G161" s="9" t="s">
        <v>372</v>
      </c>
      <c r="H161" s="9" t="s">
        <v>373</v>
      </c>
      <c r="I161" s="9" t="s">
        <v>374</v>
      </c>
      <c r="J161" s="9" t="s">
        <v>669</v>
      </c>
      <c r="K161" s="9" t="s">
        <v>376</v>
      </c>
      <c r="L161" s="9" t="s">
        <v>793</v>
      </c>
      <c r="M161" s="9" t="s">
        <v>378</v>
      </c>
      <c r="N161" s="9" t="s">
        <v>793</v>
      </c>
      <c r="O161" s="9" t="s">
        <v>3673</v>
      </c>
      <c r="P161" s="9" t="s">
        <v>592</v>
      </c>
      <c r="Q161" s="9" t="s">
        <v>382</v>
      </c>
      <c r="R161" s="9" t="s">
        <v>795</v>
      </c>
      <c r="S161" s="9" t="s">
        <v>384</v>
      </c>
      <c r="T161" s="9" t="s">
        <v>385</v>
      </c>
      <c r="W161" s="9" t="s">
        <v>386</v>
      </c>
      <c r="AV161" s="9" t="s">
        <v>1242</v>
      </c>
      <c r="AW161" s="9" t="s">
        <v>675</v>
      </c>
      <c r="AX161" s="9" t="s">
        <v>675</v>
      </c>
      <c r="AY161" s="9" t="s">
        <v>675</v>
      </c>
      <c r="AZ161" s="9" t="s">
        <v>675</v>
      </c>
      <c r="BA161" s="9" t="s">
        <v>675</v>
      </c>
      <c r="BB161" s="9" t="s">
        <v>675</v>
      </c>
      <c r="BC161" s="9" t="s">
        <v>3674</v>
      </c>
      <c r="BD161" s="9" t="s">
        <v>3675</v>
      </c>
      <c r="BE161" s="9" t="s">
        <v>2379</v>
      </c>
      <c r="BF161" s="9" t="s">
        <v>1245</v>
      </c>
      <c r="BG161" s="9" t="s">
        <v>394</v>
      </c>
      <c r="BH161" s="9" t="s">
        <v>3676</v>
      </c>
      <c r="BI161" s="9" t="s">
        <v>435</v>
      </c>
      <c r="BJ161" s="9" t="s">
        <v>3677</v>
      </c>
      <c r="BK161" s="9" t="s">
        <v>681</v>
      </c>
      <c r="BL161" s="9" t="s">
        <v>603</v>
      </c>
      <c r="BM161" s="9" t="s">
        <v>1314</v>
      </c>
      <c r="BN161" s="9" t="s">
        <v>398</v>
      </c>
      <c r="BO161" s="9" t="s">
        <v>3678</v>
      </c>
      <c r="BP161" s="9" t="s">
        <v>3679</v>
      </c>
      <c r="BQ161" s="9" t="s">
        <v>604</v>
      </c>
      <c r="BR161" s="9" t="s">
        <v>1830</v>
      </c>
      <c r="BS161" s="9" t="s">
        <v>1741</v>
      </c>
      <c r="BT161" s="9" t="s">
        <v>1742</v>
      </c>
      <c r="BU161" s="9" t="s">
        <v>405</v>
      </c>
      <c r="BV161" s="9" t="s">
        <v>1211</v>
      </c>
      <c r="BW161" s="9" t="s">
        <v>988</v>
      </c>
      <c r="BY161" s="9" t="s">
        <v>408</v>
      </c>
      <c r="CA161" s="9" t="s">
        <v>3680</v>
      </c>
      <c r="CB161" s="9" t="s">
        <v>3681</v>
      </c>
      <c r="CD161" s="9" t="s">
        <v>1257</v>
      </c>
      <c r="CE161" s="9" t="s">
        <v>3682</v>
      </c>
      <c r="CF161" s="9" t="s">
        <v>1722</v>
      </c>
      <c r="CG161" s="9" t="s">
        <v>3683</v>
      </c>
      <c r="CH161" s="9" t="s">
        <v>1259</v>
      </c>
      <c r="CI161" s="9" t="s">
        <v>410</v>
      </c>
      <c r="CJ161" s="9" t="s">
        <v>3684</v>
      </c>
      <c r="CK161" s="9" t="s">
        <v>3685</v>
      </c>
      <c r="ET161" s="9" t="s">
        <v>526</v>
      </c>
      <c r="EU161" s="9" t="s">
        <v>579</v>
      </c>
      <c r="EV161" s="9" t="s">
        <v>778</v>
      </c>
      <c r="EW161" s="9" t="s">
        <v>3686</v>
      </c>
      <c r="EX161" s="9" t="s">
        <v>3687</v>
      </c>
      <c r="EY161" s="9" t="s">
        <v>3688</v>
      </c>
      <c r="EZ161" s="9" t="s">
        <v>413</v>
      </c>
      <c r="FA161" s="9" t="s">
        <v>413</v>
      </c>
      <c r="FB161" s="9" t="s">
        <v>413</v>
      </c>
      <c r="FC161" s="9" t="s">
        <v>413</v>
      </c>
      <c r="FD161" s="9" t="s">
        <v>413</v>
      </c>
      <c r="FE161" s="9" t="s">
        <v>413</v>
      </c>
      <c r="FF161" s="9" t="s">
        <v>413</v>
      </c>
      <c r="FG161" s="9" t="s">
        <v>416</v>
      </c>
      <c r="FH161" s="9" t="s">
        <v>416</v>
      </c>
      <c r="FI161" s="9" t="s">
        <v>413</v>
      </c>
      <c r="FJ161" s="9" t="s">
        <v>413</v>
      </c>
      <c r="FK161" s="9" t="s">
        <v>413</v>
      </c>
      <c r="FL161" s="9" t="s">
        <v>413</v>
      </c>
      <c r="FM161" s="9" t="s">
        <v>415</v>
      </c>
      <c r="FN161" s="9" t="s">
        <v>413</v>
      </c>
      <c r="FO161" s="9" t="s">
        <v>417</v>
      </c>
      <c r="FP161" s="9" t="s">
        <v>418</v>
      </c>
      <c r="FQ161" s="9" t="s">
        <v>531</v>
      </c>
      <c r="FR161" s="9" t="s">
        <v>3689</v>
      </c>
      <c r="FS161" s="9" t="s">
        <v>420</v>
      </c>
      <c r="FT161" s="9" t="s">
        <v>488</v>
      </c>
      <c r="FU161" s="9" t="s">
        <v>1235</v>
      </c>
      <c r="FV161" s="9" t="s">
        <v>490</v>
      </c>
      <c r="FW161" s="9" t="s">
        <v>491</v>
      </c>
      <c r="FX161" s="9" t="s">
        <v>3690</v>
      </c>
      <c r="FY161" s="9" t="s">
        <v>493</v>
      </c>
      <c r="FZ161" s="9" t="s">
        <v>3691</v>
      </c>
      <c r="GA161" s="9" t="s">
        <v>3692</v>
      </c>
      <c r="GB161" s="9" t="s">
        <v>455</v>
      </c>
      <c r="GD161" s="9" t="s">
        <v>3693</v>
      </c>
      <c r="GE161" s="9" t="s">
        <v>753</v>
      </c>
      <c r="GF161" s="9" t="s">
        <v>1479</v>
      </c>
      <c r="GJ161" s="9" t="s">
        <v>755</v>
      </c>
      <c r="GK161" s="9" t="s">
        <v>755</v>
      </c>
      <c r="GL161" s="9" t="s">
        <v>946</v>
      </c>
      <c r="GQ161" s="9" t="s">
        <v>3208</v>
      </c>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c r="HX161" s="10"/>
      <c r="HY161" s="10"/>
      <c r="HZ161" s="10"/>
      <c r="IA161" s="10"/>
      <c r="IB161" s="10"/>
      <c r="IC161" s="10"/>
      <c r="ID161" s="10"/>
      <c r="IE161" s="10"/>
      <c r="IF161" s="10"/>
      <c r="IG161" s="10"/>
      <c r="IH161" s="10"/>
      <c r="II161" s="10"/>
      <c r="IJ161" s="10"/>
      <c r="IK161" s="10"/>
      <c r="IL161" s="10"/>
      <c r="IM161" s="10"/>
      <c r="IN161" s="10"/>
      <c r="IO161" s="10"/>
      <c r="IP161" s="10"/>
      <c r="IQ161" s="10"/>
      <c r="IR161" s="10"/>
      <c r="IS161" s="10"/>
      <c r="IT161" s="10"/>
      <c r="IU161" s="10"/>
      <c r="IV161" s="10"/>
      <c r="IW161" s="10"/>
      <c r="IX161" s="10"/>
      <c r="IY161" s="10"/>
      <c r="IZ161" s="10"/>
      <c r="JA161" s="10"/>
      <c r="JB161" s="10"/>
      <c r="JC161" s="10"/>
      <c r="JD161" s="10"/>
      <c r="JE161" s="10"/>
      <c r="JF161" s="10"/>
      <c r="JG161" s="10"/>
      <c r="JH161" s="10"/>
      <c r="JI161" s="10"/>
      <c r="JJ161" s="10"/>
      <c r="JK161" s="10"/>
      <c r="JL161" s="10"/>
      <c r="JM161" s="10"/>
      <c r="JN161" s="10"/>
      <c r="JO161" s="10"/>
      <c r="JP161" s="10"/>
      <c r="JQ161" s="10"/>
      <c r="JR161" s="10"/>
      <c r="JS161" s="10"/>
      <c r="JT161" s="10"/>
      <c r="JU161" s="10"/>
      <c r="JV161" s="10"/>
      <c r="JW161" s="10"/>
      <c r="JX161" s="10"/>
      <c r="JY161" s="10"/>
      <c r="JZ161" s="10"/>
      <c r="KA161" s="10"/>
      <c r="KB161" s="10"/>
      <c r="KC161" s="10"/>
      <c r="KD161" s="10"/>
      <c r="KE161" s="10"/>
      <c r="KF161" s="10"/>
      <c r="KG161" s="10"/>
      <c r="KH161" s="10"/>
      <c r="KI161" s="10"/>
      <c r="KJ161" s="10"/>
      <c r="KK161" s="10"/>
      <c r="KL161" s="10"/>
      <c r="KM161" s="10"/>
      <c r="KN161" s="10"/>
      <c r="KO161" s="10"/>
      <c r="KP161" s="10"/>
      <c r="KQ161" s="10"/>
      <c r="KR161" s="10"/>
      <c r="KS161" s="10"/>
      <c r="KT161" s="10"/>
      <c r="KU161" s="10"/>
      <c r="KV161" s="10"/>
      <c r="KW161" s="10"/>
      <c r="KX161" s="10"/>
      <c r="KY161" s="10"/>
      <c r="KZ161" s="10"/>
      <c r="LA161" s="10"/>
      <c r="LB161" s="10"/>
      <c r="LC161" s="10"/>
      <c r="LD161" s="10"/>
      <c r="LE161" s="10"/>
      <c r="LF161" s="10"/>
      <c r="LG161" s="10"/>
      <c r="LH161" s="10"/>
      <c r="LI161" s="10"/>
      <c r="LJ161" s="10"/>
      <c r="LK161" s="10"/>
      <c r="LL161" s="10"/>
      <c r="LM161" s="10"/>
      <c r="LN161" s="10"/>
      <c r="LO161" s="10"/>
      <c r="LP161" s="10"/>
      <c r="LQ161" s="10"/>
      <c r="LR161" s="10"/>
      <c r="LS161" s="10"/>
      <c r="LT161" s="10"/>
      <c r="LU161" s="10"/>
      <c r="LV161" s="10"/>
      <c r="LW161" s="10"/>
      <c r="LX161" s="10"/>
      <c r="LY161" s="10"/>
      <c r="LZ161" s="10"/>
      <c r="MA161" s="10"/>
      <c r="MB161" s="10"/>
      <c r="MC161" s="10"/>
      <c r="MD161" s="10"/>
      <c r="ME161" s="10"/>
      <c r="MF161" s="10"/>
      <c r="MG161" s="10"/>
      <c r="MH161" s="10"/>
      <c r="MI161" s="10"/>
      <c r="MJ161" s="10"/>
      <c r="MK161" s="10"/>
      <c r="ML161" s="10"/>
      <c r="MM161" s="10"/>
      <c r="MN161" s="10"/>
      <c r="MO161" s="10"/>
      <c r="MP161" s="10"/>
      <c r="MQ161" s="10"/>
      <c r="MR161" s="10"/>
      <c r="MS161" s="10"/>
      <c r="MT161" s="10"/>
      <c r="MU161" s="10"/>
      <c r="MV161" s="10"/>
      <c r="MW161" s="10"/>
      <c r="MX161" s="10"/>
      <c r="MY161" s="10"/>
      <c r="MZ161" s="10"/>
      <c r="NA161" s="10"/>
      <c r="NB161" s="10"/>
      <c r="NC161" s="10"/>
      <c r="ND161" s="10"/>
    </row>
    <row r="162" ht="24.75" customHeight="1">
      <c r="A162" s="8">
        <v>45831.46863284722</v>
      </c>
      <c r="B162" s="9" t="s">
        <v>368</v>
      </c>
      <c r="C162" s="9" t="s">
        <v>370</v>
      </c>
      <c r="E162" s="9" t="s">
        <v>1875</v>
      </c>
      <c r="G162" s="9" t="s">
        <v>422</v>
      </c>
      <c r="H162" s="9" t="s">
        <v>496</v>
      </c>
      <c r="I162" s="9" t="s">
        <v>374</v>
      </c>
      <c r="J162" s="9" t="s">
        <v>375</v>
      </c>
      <c r="K162" s="9" t="s">
        <v>376</v>
      </c>
      <c r="L162" s="9" t="s">
        <v>379</v>
      </c>
      <c r="M162" s="9" t="s">
        <v>541</v>
      </c>
      <c r="N162" s="9" t="s">
        <v>591</v>
      </c>
      <c r="O162" s="9" t="s">
        <v>671</v>
      </c>
      <c r="P162" s="9" t="s">
        <v>498</v>
      </c>
      <c r="Q162" s="9" t="s">
        <v>1156</v>
      </c>
      <c r="R162" s="9" t="s">
        <v>427</v>
      </c>
      <c r="S162" s="9" t="s">
        <v>384</v>
      </c>
      <c r="T162" s="9" t="s">
        <v>385</v>
      </c>
      <c r="W162" s="9" t="s">
        <v>593</v>
      </c>
      <c r="X162" s="9" t="s">
        <v>387</v>
      </c>
      <c r="Y162" s="9" t="s">
        <v>1444</v>
      </c>
      <c r="Z162" s="9" t="s">
        <v>502</v>
      </c>
      <c r="AA162" s="9" t="s">
        <v>3694</v>
      </c>
      <c r="AB162" s="9" t="s">
        <v>3695</v>
      </c>
      <c r="AV162" s="9" t="s">
        <v>504</v>
      </c>
      <c r="AW162" s="9">
        <v>2.0</v>
      </c>
      <c r="AX162" s="9">
        <v>2.0</v>
      </c>
      <c r="AY162" s="9" t="s">
        <v>391</v>
      </c>
      <c r="AZ162" s="9">
        <v>2.0</v>
      </c>
      <c r="BA162" s="9" t="s">
        <v>429</v>
      </c>
      <c r="BB162" s="9" t="s">
        <v>429</v>
      </c>
      <c r="BC162" s="9" t="s">
        <v>3696</v>
      </c>
      <c r="BD162" s="9" t="s">
        <v>3697</v>
      </c>
      <c r="BE162" s="9" t="s">
        <v>432</v>
      </c>
      <c r="BF162" s="9" t="s">
        <v>433</v>
      </c>
      <c r="BG162" s="9" t="s">
        <v>765</v>
      </c>
      <c r="BH162" s="9" t="s">
        <v>3698</v>
      </c>
      <c r="BI162" s="9" t="s">
        <v>509</v>
      </c>
      <c r="BJ162" s="9" t="s">
        <v>3699</v>
      </c>
      <c r="BK162" s="9" t="s">
        <v>3700</v>
      </c>
      <c r="BL162" s="9" t="s">
        <v>512</v>
      </c>
      <c r="BM162" s="9" t="s">
        <v>439</v>
      </c>
      <c r="BN162" s="9" t="s">
        <v>440</v>
      </c>
      <c r="CL162" s="9" t="s">
        <v>441</v>
      </c>
      <c r="CM162" s="9" t="s">
        <v>401</v>
      </c>
      <c r="CN162" s="9" t="s">
        <v>3701</v>
      </c>
      <c r="CO162" s="9" t="s">
        <v>3702</v>
      </c>
      <c r="CP162" s="9" t="s">
        <v>445</v>
      </c>
      <c r="CQ162" s="9" t="s">
        <v>3703</v>
      </c>
      <c r="CR162" s="9" t="s">
        <v>447</v>
      </c>
      <c r="CS162" s="9" t="s">
        <v>3704</v>
      </c>
      <c r="CT162" s="9" t="s">
        <v>3705</v>
      </c>
      <c r="CU162" s="9" t="s">
        <v>450</v>
      </c>
      <c r="CV162" s="9" t="s">
        <v>451</v>
      </c>
      <c r="CW162" s="9" t="s">
        <v>3706</v>
      </c>
      <c r="CX162" s="9" t="s">
        <v>455</v>
      </c>
      <c r="CY162" s="9" t="s">
        <v>3707</v>
      </c>
      <c r="CZ162" s="9" t="s">
        <v>453</v>
      </c>
      <c r="DA162" s="9" t="s">
        <v>3708</v>
      </c>
      <c r="DB162" s="9" t="s">
        <v>455</v>
      </c>
      <c r="DC162" s="9" t="s">
        <v>3709</v>
      </c>
      <c r="DD162" s="9" t="s">
        <v>406</v>
      </c>
      <c r="DE162" s="9" t="s">
        <v>407</v>
      </c>
      <c r="DF162" s="9" t="s">
        <v>3710</v>
      </c>
      <c r="DG162" s="9" t="s">
        <v>524</v>
      </c>
      <c r="DH162" s="9" t="s">
        <v>410</v>
      </c>
      <c r="DI162" s="9" t="s">
        <v>459</v>
      </c>
      <c r="DJ162" s="9" t="s">
        <v>460</v>
      </c>
      <c r="DK162" s="9" t="s">
        <v>461</v>
      </c>
      <c r="DM162" s="9" t="s">
        <v>3711</v>
      </c>
      <c r="DN162" s="9" t="s">
        <v>3712</v>
      </c>
      <c r="DO162" s="9" t="s">
        <v>567</v>
      </c>
      <c r="DP162" s="9" t="s">
        <v>3713</v>
      </c>
      <c r="DQ162" s="9" t="s">
        <v>466</v>
      </c>
      <c r="DR162" s="9" t="s">
        <v>3714</v>
      </c>
      <c r="DS162" s="9" t="s">
        <v>468</v>
      </c>
      <c r="DT162" s="9" t="s">
        <v>570</v>
      </c>
      <c r="DU162" s="9" t="s">
        <v>3715</v>
      </c>
      <c r="DV162" s="9" t="s">
        <v>3716</v>
      </c>
      <c r="DW162" s="9" t="s">
        <v>622</v>
      </c>
      <c r="DX162" s="9" t="s">
        <v>3717</v>
      </c>
      <c r="DY162" s="9" t="s">
        <v>3718</v>
      </c>
      <c r="DZ162" s="9" t="s">
        <v>3719</v>
      </c>
      <c r="EA162" s="9" t="s">
        <v>475</v>
      </c>
      <c r="EC162" s="9" t="s">
        <v>3720</v>
      </c>
      <c r="ET162" s="9" t="s">
        <v>526</v>
      </c>
      <c r="EU162" s="9" t="s">
        <v>479</v>
      </c>
      <c r="EV162" s="9" t="s">
        <v>527</v>
      </c>
      <c r="EW162" s="9" t="s">
        <v>3721</v>
      </c>
      <c r="EX162" s="9" t="s">
        <v>3722</v>
      </c>
      <c r="EY162" s="9" t="s">
        <v>3723</v>
      </c>
      <c r="EZ162" s="9" t="s">
        <v>583</v>
      </c>
      <c r="FA162" s="9" t="s">
        <v>583</v>
      </c>
      <c r="FB162" s="9" t="s">
        <v>415</v>
      </c>
      <c r="FC162" s="9" t="s">
        <v>583</v>
      </c>
      <c r="FD162" s="9" t="s">
        <v>416</v>
      </c>
      <c r="FE162" s="9" t="s">
        <v>583</v>
      </c>
      <c r="FF162" s="9" t="s">
        <v>415</v>
      </c>
      <c r="FG162" s="9" t="s">
        <v>583</v>
      </c>
      <c r="FH162" s="9" t="s">
        <v>416</v>
      </c>
      <c r="FI162" s="9" t="s">
        <v>583</v>
      </c>
      <c r="FJ162" s="9" t="s">
        <v>583</v>
      </c>
      <c r="FK162" s="9" t="s">
        <v>583</v>
      </c>
      <c r="FL162" s="9" t="s">
        <v>583</v>
      </c>
      <c r="FM162" s="9" t="s">
        <v>416</v>
      </c>
      <c r="FN162" s="9" t="s">
        <v>583</v>
      </c>
      <c r="FO162" s="9" t="s">
        <v>417</v>
      </c>
      <c r="FP162" s="9" t="s">
        <v>486</v>
      </c>
      <c r="FQ162" s="9" t="s">
        <v>630</v>
      </c>
      <c r="FR162" s="9" t="s">
        <v>3724</v>
      </c>
      <c r="FS162" s="9" t="s">
        <v>420</v>
      </c>
      <c r="FT162" s="9" t="s">
        <v>1462</v>
      </c>
      <c r="FU162" s="9" t="s">
        <v>533</v>
      </c>
      <c r="FV162" s="9" t="s">
        <v>490</v>
      </c>
      <c r="FW162" s="9" t="s">
        <v>491</v>
      </c>
      <c r="FX162" s="9" t="s">
        <v>3725</v>
      </c>
      <c r="FY162" s="9" t="s">
        <v>493</v>
      </c>
      <c r="GB162" s="9" t="s">
        <v>455</v>
      </c>
      <c r="GC162" s="9"/>
      <c r="GE162" s="9" t="s">
        <v>753</v>
      </c>
      <c r="GG162" s="9" t="s">
        <v>1000</v>
      </c>
      <c r="GH162" s="9" t="s">
        <v>1000</v>
      </c>
      <c r="GI162" s="9" t="s">
        <v>946</v>
      </c>
      <c r="GM162" s="9" t="s">
        <v>1079</v>
      </c>
      <c r="GQ162" s="9" t="s">
        <v>3273</v>
      </c>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c r="HX162" s="10"/>
      <c r="HY162" s="10"/>
      <c r="HZ162" s="10"/>
      <c r="IA162" s="10"/>
      <c r="IB162" s="10"/>
      <c r="IC162" s="10"/>
      <c r="ID162" s="10"/>
      <c r="IE162" s="10"/>
      <c r="IF162" s="10"/>
      <c r="IG162" s="10"/>
      <c r="IH162" s="10"/>
      <c r="II162" s="10"/>
      <c r="IJ162" s="10"/>
      <c r="IK162" s="10"/>
      <c r="IL162" s="10"/>
      <c r="IM162" s="10"/>
      <c r="IN162" s="10"/>
      <c r="IO162" s="10"/>
      <c r="IP162" s="10"/>
      <c r="IQ162" s="10"/>
      <c r="IR162" s="10"/>
      <c r="IS162" s="10"/>
      <c r="IT162" s="10"/>
      <c r="IU162" s="10"/>
      <c r="IV162" s="10"/>
      <c r="IW162" s="10"/>
      <c r="IX162" s="10"/>
      <c r="IY162" s="10"/>
      <c r="IZ162" s="10"/>
      <c r="JA162" s="10"/>
      <c r="JB162" s="10"/>
      <c r="JC162" s="10"/>
      <c r="JD162" s="10"/>
      <c r="JE162" s="10"/>
      <c r="JF162" s="10"/>
      <c r="JG162" s="10"/>
      <c r="JH162" s="10"/>
      <c r="JI162" s="10"/>
      <c r="JJ162" s="10"/>
      <c r="JK162" s="10"/>
      <c r="JL162" s="10"/>
      <c r="JM162" s="10"/>
      <c r="JN162" s="10"/>
      <c r="JO162" s="10"/>
      <c r="JP162" s="10"/>
      <c r="JQ162" s="10"/>
      <c r="JR162" s="10"/>
      <c r="JS162" s="10"/>
      <c r="JT162" s="10"/>
      <c r="JU162" s="10"/>
      <c r="JV162" s="10"/>
      <c r="JW162" s="10"/>
      <c r="JX162" s="10"/>
      <c r="JY162" s="10"/>
      <c r="JZ162" s="10"/>
      <c r="KA162" s="10"/>
      <c r="KB162" s="10"/>
      <c r="KC162" s="10"/>
      <c r="KD162" s="10"/>
      <c r="KE162" s="10"/>
      <c r="KF162" s="10"/>
      <c r="KG162" s="10"/>
      <c r="KH162" s="10"/>
      <c r="KI162" s="10"/>
      <c r="KJ162" s="10"/>
      <c r="KK162" s="10"/>
      <c r="KL162" s="10"/>
      <c r="KM162" s="10"/>
      <c r="KN162" s="10"/>
      <c r="KO162" s="10"/>
      <c r="KP162" s="10"/>
      <c r="KQ162" s="10"/>
      <c r="KR162" s="10"/>
      <c r="KS162" s="10"/>
      <c r="KT162" s="10"/>
      <c r="KU162" s="10"/>
      <c r="KV162" s="10"/>
      <c r="KW162" s="10"/>
      <c r="KX162" s="10"/>
      <c r="KY162" s="10"/>
      <c r="KZ162" s="10"/>
      <c r="LA162" s="10"/>
      <c r="LB162" s="10"/>
      <c r="LC162" s="10"/>
      <c r="LD162" s="10"/>
      <c r="LE162" s="10"/>
      <c r="LF162" s="10"/>
      <c r="LG162" s="10"/>
      <c r="LH162" s="10"/>
      <c r="LI162" s="10"/>
      <c r="LJ162" s="10"/>
      <c r="LK162" s="10"/>
      <c r="LL162" s="10"/>
      <c r="LM162" s="10"/>
      <c r="LN162" s="10"/>
      <c r="LO162" s="10"/>
      <c r="LP162" s="10"/>
      <c r="LQ162" s="10"/>
      <c r="LR162" s="10"/>
      <c r="LS162" s="10"/>
      <c r="LT162" s="10"/>
      <c r="LU162" s="10"/>
      <c r="LV162" s="10"/>
      <c r="LW162" s="10"/>
      <c r="LX162" s="10"/>
      <c r="LY162" s="10"/>
      <c r="LZ162" s="10"/>
      <c r="MA162" s="10"/>
      <c r="MB162" s="10"/>
      <c r="MC162" s="10"/>
      <c r="MD162" s="10"/>
      <c r="ME162" s="10"/>
      <c r="MF162" s="10"/>
      <c r="MG162" s="10"/>
      <c r="MH162" s="10"/>
      <c r="MI162" s="10"/>
      <c r="MJ162" s="10"/>
      <c r="MK162" s="10"/>
      <c r="ML162" s="10"/>
      <c r="MM162" s="10"/>
      <c r="MN162" s="10"/>
      <c r="MO162" s="10"/>
      <c r="MP162" s="10"/>
      <c r="MQ162" s="10"/>
      <c r="MR162" s="10"/>
      <c r="MS162" s="10"/>
      <c r="MT162" s="10"/>
      <c r="MU162" s="10"/>
      <c r="MV162" s="10"/>
      <c r="MW162" s="10"/>
      <c r="MX162" s="10"/>
      <c r="MY162" s="10"/>
      <c r="MZ162" s="10"/>
      <c r="NA162" s="10"/>
      <c r="NB162" s="10"/>
      <c r="NC162" s="10"/>
      <c r="ND162" s="10"/>
    </row>
    <row r="163" ht="24.75" customHeight="1">
      <c r="A163" s="8">
        <v>45831.47309501158</v>
      </c>
      <c r="B163" s="9" t="s">
        <v>368</v>
      </c>
      <c r="C163" s="9" t="s">
        <v>894</v>
      </c>
      <c r="D163" s="9" t="s">
        <v>894</v>
      </c>
      <c r="G163" s="9" t="s">
        <v>2295</v>
      </c>
      <c r="H163" s="9" t="s">
        <v>373</v>
      </c>
      <c r="I163" s="9" t="s">
        <v>374</v>
      </c>
      <c r="J163" s="9" t="s">
        <v>425</v>
      </c>
      <c r="K163" s="9" t="s">
        <v>376</v>
      </c>
      <c r="L163" s="9" t="s">
        <v>379</v>
      </c>
      <c r="M163" s="9" t="s">
        <v>3726</v>
      </c>
      <c r="N163" s="9" t="s">
        <v>379</v>
      </c>
      <c r="O163" s="9" t="s">
        <v>3727</v>
      </c>
      <c r="P163" s="9" t="s">
        <v>381</v>
      </c>
      <c r="Q163" s="9" t="s">
        <v>499</v>
      </c>
      <c r="R163" s="9" t="s">
        <v>641</v>
      </c>
      <c r="S163" s="9" t="s">
        <v>3728</v>
      </c>
      <c r="T163" s="9" t="s">
        <v>385</v>
      </c>
      <c r="U163" s="9" t="s">
        <v>896</v>
      </c>
      <c r="V163" s="9" t="s">
        <v>896</v>
      </c>
      <c r="W163" s="9" t="s">
        <v>386</v>
      </c>
      <c r="X163" s="9" t="s">
        <v>387</v>
      </c>
      <c r="Y163" s="9" t="s">
        <v>388</v>
      </c>
      <c r="Z163" s="9" t="s">
        <v>543</v>
      </c>
      <c r="AA163" s="9" t="s">
        <v>3729</v>
      </c>
      <c r="AV163" s="9" t="s">
        <v>390</v>
      </c>
      <c r="AW163" s="9" t="s">
        <v>391</v>
      </c>
      <c r="AX163" s="9">
        <v>2.0</v>
      </c>
      <c r="AY163" s="9" t="s">
        <v>429</v>
      </c>
      <c r="AZ163" s="9" t="s">
        <v>391</v>
      </c>
      <c r="BA163" s="9">
        <v>2.0</v>
      </c>
      <c r="BB163" s="9">
        <v>2.0</v>
      </c>
      <c r="BC163" s="9" t="s">
        <v>3730</v>
      </c>
      <c r="BD163" s="9" t="s">
        <v>3731</v>
      </c>
      <c r="BE163" s="9" t="s">
        <v>432</v>
      </c>
      <c r="BF163" s="9" t="s">
        <v>433</v>
      </c>
      <c r="BG163" s="9" t="s">
        <v>678</v>
      </c>
      <c r="BH163" s="9" t="s">
        <v>3732</v>
      </c>
      <c r="BI163" s="9" t="s">
        <v>824</v>
      </c>
      <c r="BK163" s="9" t="s">
        <v>437</v>
      </c>
      <c r="BL163" s="9" t="s">
        <v>396</v>
      </c>
      <c r="BM163" s="9" t="s">
        <v>549</v>
      </c>
      <c r="BN163" s="9" t="s">
        <v>440</v>
      </c>
      <c r="CL163" s="9" t="s">
        <v>441</v>
      </c>
      <c r="CM163" s="9" t="s">
        <v>401</v>
      </c>
      <c r="CN163" s="9" t="s">
        <v>3733</v>
      </c>
      <c r="CO163" s="9" t="s">
        <v>3734</v>
      </c>
      <c r="CP163" s="9" t="s">
        <v>445</v>
      </c>
      <c r="CQ163" s="9" t="s">
        <v>3735</v>
      </c>
      <c r="CR163" s="9" t="s">
        <v>804</v>
      </c>
      <c r="CS163" s="9" t="s">
        <v>3736</v>
      </c>
      <c r="CT163" s="9" t="s">
        <v>3737</v>
      </c>
      <c r="CU163" s="9" t="s">
        <v>519</v>
      </c>
      <c r="CV163" s="9" t="s">
        <v>451</v>
      </c>
      <c r="CW163" s="9" t="s">
        <v>3738</v>
      </c>
      <c r="CX163" s="9" t="s">
        <v>408</v>
      </c>
      <c r="CZ163" s="9" t="s">
        <v>985</v>
      </c>
      <c r="DA163" s="9" t="s">
        <v>3739</v>
      </c>
      <c r="DB163" s="9" t="s">
        <v>455</v>
      </c>
      <c r="DC163" s="9" t="s">
        <v>3740</v>
      </c>
      <c r="DD163" s="9" t="s">
        <v>457</v>
      </c>
      <c r="DF163" s="9" t="s">
        <v>3741</v>
      </c>
      <c r="DG163" s="9" t="s">
        <v>524</v>
      </c>
      <c r="DH163" s="9" t="s">
        <v>410</v>
      </c>
      <c r="DI163" s="9" t="s">
        <v>459</v>
      </c>
      <c r="DJ163" s="9" t="s">
        <v>460</v>
      </c>
      <c r="DK163" s="9" t="s">
        <v>461</v>
      </c>
      <c r="DM163" s="9" t="s">
        <v>3742</v>
      </c>
      <c r="DN163" s="9" t="s">
        <v>3743</v>
      </c>
      <c r="DO163" s="9" t="s">
        <v>567</v>
      </c>
      <c r="DP163" s="9" t="s">
        <v>3744</v>
      </c>
      <c r="DQ163" s="9" t="s">
        <v>700</v>
      </c>
      <c r="DR163" s="9" t="s">
        <v>3745</v>
      </c>
      <c r="DS163" s="9" t="s">
        <v>702</v>
      </c>
      <c r="DT163" s="9" t="s">
        <v>3611</v>
      </c>
      <c r="DU163" s="9" t="s">
        <v>3746</v>
      </c>
      <c r="DV163" s="9" t="s">
        <v>3747</v>
      </c>
      <c r="DW163" s="9" t="s">
        <v>622</v>
      </c>
      <c r="DX163" s="9" t="s">
        <v>3748</v>
      </c>
      <c r="DY163" s="9" t="s">
        <v>3749</v>
      </c>
      <c r="DZ163" s="9" t="s">
        <v>3750</v>
      </c>
      <c r="EA163" s="9" t="s">
        <v>475</v>
      </c>
      <c r="EB163" s="9" t="s">
        <v>626</v>
      </c>
      <c r="ET163" s="9" t="s">
        <v>526</v>
      </c>
      <c r="EU163" s="9" t="s">
        <v>479</v>
      </c>
      <c r="EV163" s="9" t="s">
        <v>663</v>
      </c>
      <c r="EX163" s="9" t="s">
        <v>3751</v>
      </c>
      <c r="EY163" s="9" t="s">
        <v>3752</v>
      </c>
      <c r="EZ163" s="9" t="s">
        <v>583</v>
      </c>
      <c r="FA163" s="9" t="s">
        <v>583</v>
      </c>
      <c r="FB163" s="9" t="s">
        <v>414</v>
      </c>
      <c r="FC163" s="9" t="s">
        <v>583</v>
      </c>
      <c r="FD163" s="9" t="s">
        <v>415</v>
      </c>
      <c r="FE163" s="9" t="s">
        <v>583</v>
      </c>
      <c r="FF163" s="9" t="s">
        <v>415</v>
      </c>
      <c r="FG163" s="9" t="s">
        <v>583</v>
      </c>
      <c r="FH163" s="9" t="s">
        <v>583</v>
      </c>
      <c r="FI163" s="9" t="s">
        <v>583</v>
      </c>
      <c r="FJ163" s="9" t="s">
        <v>414</v>
      </c>
      <c r="FK163" s="9" t="s">
        <v>583</v>
      </c>
      <c r="FL163" s="9" t="s">
        <v>414</v>
      </c>
      <c r="FM163" s="9" t="s">
        <v>414</v>
      </c>
      <c r="FN163" s="9" t="s">
        <v>414</v>
      </c>
      <c r="FO163" s="9" t="s">
        <v>485</v>
      </c>
      <c r="FP163" s="9" t="s">
        <v>418</v>
      </c>
      <c r="FQ163" s="9" t="s">
        <v>419</v>
      </c>
      <c r="FR163" s="9" t="s">
        <v>3753</v>
      </c>
      <c r="FS163" s="9" t="s">
        <v>420</v>
      </c>
      <c r="FT163" s="9" t="s">
        <v>488</v>
      </c>
      <c r="FU163" s="9" t="s">
        <v>585</v>
      </c>
      <c r="FV163" s="9" t="s">
        <v>490</v>
      </c>
      <c r="FW163" s="9" t="s">
        <v>491</v>
      </c>
      <c r="FX163" s="9" t="s">
        <v>3754</v>
      </c>
      <c r="FY163" s="9" t="s">
        <v>493</v>
      </c>
      <c r="GA163" s="9" t="s">
        <v>3755</v>
      </c>
      <c r="GB163" s="9" t="s">
        <v>455</v>
      </c>
      <c r="GC163" s="9"/>
      <c r="GE163" s="9" t="s">
        <v>944</v>
      </c>
      <c r="GF163" s="9" t="s">
        <v>3756</v>
      </c>
      <c r="GG163" s="9" t="s">
        <v>755</v>
      </c>
      <c r="GH163" s="9" t="s">
        <v>755</v>
      </c>
      <c r="GI163" s="9" t="s">
        <v>817</v>
      </c>
      <c r="GM163" s="9" t="s">
        <v>1079</v>
      </c>
      <c r="GQ163" s="9" t="s">
        <v>3757</v>
      </c>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c r="HX163" s="10"/>
      <c r="HY163" s="10"/>
      <c r="HZ163" s="10"/>
      <c r="IA163" s="10"/>
      <c r="IB163" s="10"/>
      <c r="IC163" s="10"/>
      <c r="ID163" s="10"/>
      <c r="IE163" s="10"/>
      <c r="IF163" s="10"/>
      <c r="IG163" s="10"/>
      <c r="IH163" s="10"/>
      <c r="II163" s="10"/>
      <c r="IJ163" s="10"/>
      <c r="IK163" s="10"/>
      <c r="IL163" s="10"/>
      <c r="IM163" s="10"/>
      <c r="IN163" s="10"/>
      <c r="IO163" s="10"/>
      <c r="IP163" s="10"/>
      <c r="IQ163" s="10"/>
      <c r="IR163" s="10"/>
      <c r="IS163" s="10"/>
      <c r="IT163" s="10"/>
      <c r="IU163" s="10"/>
      <c r="IV163" s="10"/>
      <c r="IW163" s="10"/>
      <c r="IX163" s="10"/>
      <c r="IY163" s="10"/>
      <c r="IZ163" s="10"/>
      <c r="JA163" s="10"/>
      <c r="JB163" s="10"/>
      <c r="JC163" s="10"/>
      <c r="JD163" s="10"/>
      <c r="JE163" s="10"/>
      <c r="JF163" s="10"/>
      <c r="JG163" s="10"/>
      <c r="JH163" s="10"/>
      <c r="JI163" s="10"/>
      <c r="JJ163" s="10"/>
      <c r="JK163" s="10"/>
      <c r="JL163" s="10"/>
      <c r="JM163" s="10"/>
      <c r="JN163" s="10"/>
      <c r="JO163" s="10"/>
      <c r="JP163" s="10"/>
      <c r="JQ163" s="10"/>
      <c r="JR163" s="10"/>
      <c r="JS163" s="10"/>
      <c r="JT163" s="10"/>
      <c r="JU163" s="10"/>
      <c r="JV163" s="10"/>
      <c r="JW163" s="10"/>
      <c r="JX163" s="10"/>
      <c r="JY163" s="10"/>
      <c r="JZ163" s="10"/>
      <c r="KA163" s="10"/>
      <c r="KB163" s="10"/>
      <c r="KC163" s="10"/>
      <c r="KD163" s="10"/>
      <c r="KE163" s="10"/>
      <c r="KF163" s="10"/>
      <c r="KG163" s="10"/>
      <c r="KH163" s="10"/>
      <c r="KI163" s="10"/>
      <c r="KJ163" s="10"/>
      <c r="KK163" s="10"/>
      <c r="KL163" s="10"/>
      <c r="KM163" s="10"/>
      <c r="KN163" s="10"/>
      <c r="KO163" s="10"/>
      <c r="KP163" s="10"/>
      <c r="KQ163" s="10"/>
      <c r="KR163" s="10"/>
      <c r="KS163" s="10"/>
      <c r="KT163" s="10"/>
      <c r="KU163" s="10"/>
      <c r="KV163" s="10"/>
      <c r="KW163" s="10"/>
      <c r="KX163" s="10"/>
      <c r="KY163" s="10"/>
      <c r="KZ163" s="10"/>
      <c r="LA163" s="10"/>
      <c r="LB163" s="10"/>
      <c r="LC163" s="10"/>
      <c r="LD163" s="10"/>
      <c r="LE163" s="10"/>
      <c r="LF163" s="10"/>
      <c r="LG163" s="10"/>
      <c r="LH163" s="10"/>
      <c r="LI163" s="10"/>
      <c r="LJ163" s="10"/>
      <c r="LK163" s="10"/>
      <c r="LL163" s="10"/>
      <c r="LM163" s="10"/>
      <c r="LN163" s="10"/>
      <c r="LO163" s="10"/>
      <c r="LP163" s="10"/>
      <c r="LQ163" s="10"/>
      <c r="LR163" s="10"/>
      <c r="LS163" s="10"/>
      <c r="LT163" s="10"/>
      <c r="LU163" s="10"/>
      <c r="LV163" s="10"/>
      <c r="LW163" s="10"/>
      <c r="LX163" s="10"/>
      <c r="LY163" s="10"/>
      <c r="LZ163" s="10"/>
      <c r="MA163" s="10"/>
      <c r="MB163" s="10"/>
      <c r="MC163" s="10"/>
      <c r="MD163" s="10"/>
      <c r="ME163" s="10"/>
      <c r="MF163" s="10"/>
      <c r="MG163" s="10"/>
      <c r="MH163" s="10"/>
      <c r="MI163" s="10"/>
      <c r="MJ163" s="10"/>
      <c r="MK163" s="10"/>
      <c r="ML163" s="10"/>
      <c r="MM163" s="10"/>
      <c r="MN163" s="10"/>
      <c r="MO163" s="10"/>
      <c r="MP163" s="10"/>
      <c r="MQ163" s="10"/>
      <c r="MR163" s="10"/>
      <c r="MS163" s="10"/>
      <c r="MT163" s="10"/>
      <c r="MU163" s="10"/>
      <c r="MV163" s="10"/>
      <c r="MW163" s="10"/>
      <c r="MX163" s="10"/>
      <c r="MY163" s="10"/>
      <c r="MZ163" s="10"/>
      <c r="NA163" s="10"/>
      <c r="NB163" s="10"/>
      <c r="NC163" s="10"/>
      <c r="ND163" s="10"/>
    </row>
    <row r="164" ht="24.75" customHeight="1">
      <c r="A164" s="8">
        <v>45831.54904612269</v>
      </c>
      <c r="B164" s="9" t="s">
        <v>368</v>
      </c>
      <c r="C164" s="9" t="s">
        <v>370</v>
      </c>
      <c r="E164" s="9" t="s">
        <v>1421</v>
      </c>
      <c r="G164" s="9" t="s">
        <v>422</v>
      </c>
      <c r="H164" s="9" t="s">
        <v>539</v>
      </c>
      <c r="I164" s="9" t="s">
        <v>374</v>
      </c>
      <c r="J164" s="9" t="s">
        <v>425</v>
      </c>
      <c r="K164" s="9" t="s">
        <v>376</v>
      </c>
      <c r="L164" s="9" t="s">
        <v>793</v>
      </c>
      <c r="M164" s="9" t="s">
        <v>639</v>
      </c>
      <c r="N164" s="9" t="s">
        <v>591</v>
      </c>
      <c r="O164" s="9" t="s">
        <v>719</v>
      </c>
      <c r="P164" s="9" t="s">
        <v>498</v>
      </c>
      <c r="Q164" s="9" t="s">
        <v>862</v>
      </c>
      <c r="R164" s="9" t="s">
        <v>949</v>
      </c>
      <c r="S164" s="9" t="s">
        <v>384</v>
      </c>
      <c r="T164" s="9" t="s">
        <v>385</v>
      </c>
      <c r="W164" s="9" t="s">
        <v>3014</v>
      </c>
      <c r="AV164" s="9" t="s">
        <v>597</v>
      </c>
      <c r="AW164" s="9" t="s">
        <v>675</v>
      </c>
      <c r="AX164" s="9">
        <v>4.0</v>
      </c>
      <c r="AY164" s="9" t="s">
        <v>391</v>
      </c>
      <c r="AZ164" s="9">
        <v>4.0</v>
      </c>
      <c r="BA164" s="9" t="s">
        <v>675</v>
      </c>
      <c r="BB164" s="9" t="s">
        <v>675</v>
      </c>
      <c r="BC164" s="9" t="s">
        <v>3758</v>
      </c>
      <c r="BD164" s="9" t="s">
        <v>3759</v>
      </c>
      <c r="BE164" s="9" t="s">
        <v>902</v>
      </c>
      <c r="BF164" s="9" t="s">
        <v>1095</v>
      </c>
      <c r="BG164" s="9" t="s">
        <v>394</v>
      </c>
      <c r="BH164" s="9" t="s">
        <v>3760</v>
      </c>
      <c r="BI164" s="9" t="s">
        <v>976</v>
      </c>
      <c r="BK164" s="9" t="s">
        <v>437</v>
      </c>
      <c r="BL164" s="9" t="s">
        <v>603</v>
      </c>
      <c r="BM164" s="9" t="s">
        <v>1314</v>
      </c>
      <c r="BN164" s="9" t="s">
        <v>398</v>
      </c>
      <c r="BO164" s="9" t="s">
        <v>3761</v>
      </c>
      <c r="BP164" s="9" t="s">
        <v>3762</v>
      </c>
      <c r="BQ164" s="9" t="s">
        <v>442</v>
      </c>
      <c r="BR164" s="9" t="s">
        <v>3763</v>
      </c>
      <c r="BS164" s="9" t="s">
        <v>1741</v>
      </c>
      <c r="BT164" s="9" t="s">
        <v>1672</v>
      </c>
      <c r="BU164" s="9" t="s">
        <v>1693</v>
      </c>
      <c r="BV164" s="9" t="s">
        <v>3764</v>
      </c>
      <c r="BW164" s="9" t="s">
        <v>457</v>
      </c>
      <c r="BY164" s="9" t="s">
        <v>408</v>
      </c>
      <c r="CA164" s="9" t="s">
        <v>3765</v>
      </c>
      <c r="CB164" s="9" t="s">
        <v>3766</v>
      </c>
      <c r="CC164" s="9" t="s">
        <v>3767</v>
      </c>
      <c r="CD164" s="9" t="s">
        <v>451</v>
      </c>
      <c r="CE164" s="9" t="s">
        <v>3768</v>
      </c>
      <c r="CF164" s="9" t="s">
        <v>1722</v>
      </c>
      <c r="CG164" s="9" t="s">
        <v>3769</v>
      </c>
      <c r="CH164" s="9" t="s">
        <v>1679</v>
      </c>
      <c r="CI164" s="9" t="s">
        <v>410</v>
      </c>
      <c r="CJ164" s="9" t="s">
        <v>3770</v>
      </c>
      <c r="CK164" s="9" t="s">
        <v>3771</v>
      </c>
      <c r="ET164" s="9" t="s">
        <v>578</v>
      </c>
      <c r="EU164" s="9" t="s">
        <v>479</v>
      </c>
      <c r="EV164" s="9" t="s">
        <v>480</v>
      </c>
      <c r="EW164" s="9" t="s">
        <v>3772</v>
      </c>
      <c r="EX164" s="9" t="s">
        <v>3773</v>
      </c>
      <c r="EY164" s="9" t="s">
        <v>3774</v>
      </c>
      <c r="EZ164" s="9" t="s">
        <v>583</v>
      </c>
      <c r="FA164" s="9" t="s">
        <v>583</v>
      </c>
      <c r="FB164" s="9" t="s">
        <v>583</v>
      </c>
      <c r="FC164" s="9" t="s">
        <v>583</v>
      </c>
      <c r="FD164" s="9" t="s">
        <v>416</v>
      </c>
      <c r="FE164" s="9" t="s">
        <v>583</v>
      </c>
      <c r="FF164" s="9" t="s">
        <v>583</v>
      </c>
      <c r="FG164" s="9" t="s">
        <v>413</v>
      </c>
      <c r="FH164" s="9" t="s">
        <v>583</v>
      </c>
      <c r="FI164" s="9" t="s">
        <v>414</v>
      </c>
      <c r="FJ164" s="9" t="s">
        <v>414</v>
      </c>
      <c r="FK164" s="9" t="s">
        <v>413</v>
      </c>
      <c r="FL164" s="9" t="s">
        <v>413</v>
      </c>
      <c r="FM164" s="9" t="s">
        <v>413</v>
      </c>
      <c r="FN164" s="9" t="s">
        <v>583</v>
      </c>
      <c r="FO164" s="9" t="s">
        <v>417</v>
      </c>
      <c r="FP164" s="9" t="s">
        <v>418</v>
      </c>
      <c r="FQ164" s="9" t="s">
        <v>419</v>
      </c>
      <c r="FR164" s="9" t="s">
        <v>3775</v>
      </c>
      <c r="FS164" s="9" t="s">
        <v>420</v>
      </c>
      <c r="FT164" s="9" t="s">
        <v>488</v>
      </c>
      <c r="FU164" s="9" t="s">
        <v>489</v>
      </c>
      <c r="FV164" s="9" t="s">
        <v>490</v>
      </c>
      <c r="FW164" s="9" t="s">
        <v>491</v>
      </c>
      <c r="FX164" s="9" t="s">
        <v>3776</v>
      </c>
      <c r="FY164" s="9" t="s">
        <v>535</v>
      </c>
      <c r="FZ164" s="9" t="s">
        <v>3777</v>
      </c>
      <c r="GB164" s="9" t="s">
        <v>408</v>
      </c>
      <c r="GJ164" s="9" t="s">
        <v>755</v>
      </c>
      <c r="GK164" s="9" t="s">
        <v>755</v>
      </c>
      <c r="GL164" s="9" t="s">
        <v>817</v>
      </c>
      <c r="GQ164" s="9" t="s">
        <v>3351</v>
      </c>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c r="HX164" s="10"/>
      <c r="HY164" s="10"/>
      <c r="HZ164" s="10"/>
      <c r="IA164" s="10"/>
      <c r="IB164" s="10"/>
      <c r="IC164" s="10"/>
      <c r="ID164" s="10"/>
      <c r="IE164" s="10"/>
      <c r="IF164" s="10"/>
      <c r="IG164" s="10"/>
      <c r="IH164" s="10"/>
      <c r="II164" s="10"/>
      <c r="IJ164" s="10"/>
      <c r="IK164" s="10"/>
      <c r="IL164" s="10"/>
      <c r="IM164" s="10"/>
      <c r="IN164" s="10"/>
      <c r="IO164" s="10"/>
      <c r="IP164" s="10"/>
      <c r="IQ164" s="10"/>
      <c r="IR164" s="10"/>
      <c r="IS164" s="10"/>
      <c r="IT164" s="10"/>
      <c r="IU164" s="10"/>
      <c r="IV164" s="10"/>
      <c r="IW164" s="10"/>
      <c r="IX164" s="10"/>
      <c r="IY164" s="10"/>
      <c r="IZ164" s="10"/>
      <c r="JA164" s="10"/>
      <c r="JB164" s="10"/>
      <c r="JC164" s="10"/>
      <c r="JD164" s="10"/>
      <c r="JE164" s="10"/>
      <c r="JF164" s="10"/>
      <c r="JG164" s="10"/>
      <c r="JH164" s="10"/>
      <c r="JI164" s="10"/>
      <c r="JJ164" s="10"/>
      <c r="JK164" s="10"/>
      <c r="JL164" s="10"/>
      <c r="JM164" s="10"/>
      <c r="JN164" s="10"/>
      <c r="JO164" s="10"/>
      <c r="JP164" s="10"/>
      <c r="JQ164" s="10"/>
      <c r="JR164" s="10"/>
      <c r="JS164" s="10"/>
      <c r="JT164" s="10"/>
      <c r="JU164" s="10"/>
      <c r="JV164" s="10"/>
      <c r="JW164" s="10"/>
      <c r="JX164" s="10"/>
      <c r="JY164" s="10"/>
      <c r="JZ164" s="10"/>
      <c r="KA164" s="10"/>
      <c r="KB164" s="10"/>
      <c r="KC164" s="10"/>
      <c r="KD164" s="10"/>
      <c r="KE164" s="10"/>
      <c r="KF164" s="10"/>
      <c r="KG164" s="10"/>
      <c r="KH164" s="10"/>
      <c r="KI164" s="10"/>
      <c r="KJ164" s="10"/>
      <c r="KK164" s="10"/>
      <c r="KL164" s="10"/>
      <c r="KM164" s="10"/>
      <c r="KN164" s="10"/>
      <c r="KO164" s="10"/>
      <c r="KP164" s="10"/>
      <c r="KQ164" s="10"/>
      <c r="KR164" s="10"/>
      <c r="KS164" s="10"/>
      <c r="KT164" s="10"/>
      <c r="KU164" s="10"/>
      <c r="KV164" s="10"/>
      <c r="KW164" s="10"/>
      <c r="KX164" s="10"/>
      <c r="KY164" s="10"/>
      <c r="KZ164" s="10"/>
      <c r="LA164" s="10"/>
      <c r="LB164" s="10"/>
      <c r="LC164" s="10"/>
      <c r="LD164" s="10"/>
      <c r="LE164" s="10"/>
      <c r="LF164" s="10"/>
      <c r="LG164" s="10"/>
      <c r="LH164" s="10"/>
      <c r="LI164" s="10"/>
      <c r="LJ164" s="10"/>
      <c r="LK164" s="10"/>
      <c r="LL164" s="10"/>
      <c r="LM164" s="10"/>
      <c r="LN164" s="10"/>
      <c r="LO164" s="10"/>
      <c r="LP164" s="10"/>
      <c r="LQ164" s="10"/>
      <c r="LR164" s="10"/>
      <c r="LS164" s="10"/>
      <c r="LT164" s="10"/>
      <c r="LU164" s="10"/>
      <c r="LV164" s="10"/>
      <c r="LW164" s="10"/>
      <c r="LX164" s="10"/>
      <c r="LY164" s="10"/>
      <c r="LZ164" s="10"/>
      <c r="MA164" s="10"/>
      <c r="MB164" s="10"/>
      <c r="MC164" s="10"/>
      <c r="MD164" s="10"/>
      <c r="ME164" s="10"/>
      <c r="MF164" s="10"/>
      <c r="MG164" s="10"/>
      <c r="MH164" s="10"/>
      <c r="MI164" s="10"/>
      <c r="MJ164" s="10"/>
      <c r="MK164" s="10"/>
      <c r="ML164" s="10"/>
      <c r="MM164" s="10"/>
      <c r="MN164" s="10"/>
      <c r="MO164" s="10"/>
      <c r="MP164" s="10"/>
      <c r="MQ164" s="10"/>
      <c r="MR164" s="10"/>
      <c r="MS164" s="10"/>
      <c r="MT164" s="10"/>
      <c r="MU164" s="10"/>
      <c r="MV164" s="10"/>
      <c r="MW164" s="10"/>
      <c r="MX164" s="10"/>
      <c r="MY164" s="10"/>
      <c r="MZ164" s="10"/>
      <c r="NA164" s="10"/>
      <c r="NB164" s="10"/>
      <c r="NC164" s="10"/>
      <c r="ND164" s="10"/>
    </row>
    <row r="165" ht="24.75" customHeight="1">
      <c r="A165" s="8">
        <v>45831.615562349536</v>
      </c>
      <c r="B165" s="9" t="s">
        <v>368</v>
      </c>
      <c r="C165" s="9" t="s">
        <v>370</v>
      </c>
      <c r="E165" s="9" t="s">
        <v>1001</v>
      </c>
      <c r="G165" s="9" t="s">
        <v>422</v>
      </c>
      <c r="H165" s="9" t="s">
        <v>496</v>
      </c>
      <c r="I165" s="9" t="s">
        <v>2578</v>
      </c>
      <c r="J165" s="9" t="s">
        <v>375</v>
      </c>
      <c r="K165" s="9" t="s">
        <v>376</v>
      </c>
      <c r="L165" s="9" t="s">
        <v>793</v>
      </c>
      <c r="M165" s="9" t="s">
        <v>719</v>
      </c>
      <c r="N165" s="9" t="s">
        <v>591</v>
      </c>
      <c r="O165" s="9" t="s">
        <v>719</v>
      </c>
      <c r="P165" s="9" t="s">
        <v>592</v>
      </c>
      <c r="Q165" s="9" t="s">
        <v>818</v>
      </c>
      <c r="R165" s="9" t="s">
        <v>427</v>
      </c>
      <c r="S165" s="9" t="s">
        <v>384</v>
      </c>
      <c r="T165" s="9" t="s">
        <v>385</v>
      </c>
      <c r="W165" s="9" t="s">
        <v>3014</v>
      </c>
      <c r="AV165" s="9" t="s">
        <v>1310</v>
      </c>
      <c r="AW165" s="9" t="s">
        <v>675</v>
      </c>
      <c r="AX165" s="9" t="s">
        <v>675</v>
      </c>
      <c r="AY165" s="9">
        <v>4.0</v>
      </c>
      <c r="AZ165" s="9" t="s">
        <v>391</v>
      </c>
      <c r="BA165" s="9" t="s">
        <v>675</v>
      </c>
      <c r="BB165" s="9" t="s">
        <v>675</v>
      </c>
      <c r="BC165" s="9" t="s">
        <v>3778</v>
      </c>
      <c r="BD165" s="9" t="s">
        <v>3779</v>
      </c>
      <c r="BE165" s="9" t="s">
        <v>392</v>
      </c>
      <c r="BF165" s="9" t="s">
        <v>1245</v>
      </c>
      <c r="BG165" s="9" t="s">
        <v>434</v>
      </c>
      <c r="BH165" s="9" t="s">
        <v>3780</v>
      </c>
      <c r="BI165" s="9" t="s">
        <v>976</v>
      </c>
      <c r="BJ165" s="9" t="s">
        <v>3781</v>
      </c>
      <c r="BK165" s="9" t="s">
        <v>511</v>
      </c>
      <c r="BL165" s="9" t="s">
        <v>904</v>
      </c>
      <c r="BM165" s="9" t="s">
        <v>1247</v>
      </c>
      <c r="BN165" s="9" t="s">
        <v>398</v>
      </c>
      <c r="BO165" s="9" t="s">
        <v>3782</v>
      </c>
      <c r="BP165" s="9" t="s">
        <v>3783</v>
      </c>
      <c r="BQ165" s="9" t="s">
        <v>442</v>
      </c>
      <c r="BR165" s="9" t="s">
        <v>3784</v>
      </c>
      <c r="BS165" s="9" t="s">
        <v>1671</v>
      </c>
      <c r="BT165" s="9" t="s">
        <v>1672</v>
      </c>
      <c r="BU165" s="9" t="s">
        <v>405</v>
      </c>
      <c r="BV165" s="9" t="s">
        <v>3785</v>
      </c>
      <c r="BW165" s="9" t="s">
        <v>457</v>
      </c>
      <c r="BX165" s="9" t="s">
        <v>1867</v>
      </c>
      <c r="BY165" s="9" t="s">
        <v>408</v>
      </c>
      <c r="CB165" s="9" t="s">
        <v>3786</v>
      </c>
      <c r="CC165" s="9" t="s">
        <v>3787</v>
      </c>
      <c r="CD165" s="9" t="s">
        <v>451</v>
      </c>
      <c r="CE165" s="9" t="s">
        <v>3788</v>
      </c>
      <c r="CF165" s="9" t="s">
        <v>1258</v>
      </c>
      <c r="CH165" s="9" t="s">
        <v>1259</v>
      </c>
      <c r="CI165" s="9" t="s">
        <v>410</v>
      </c>
      <c r="CJ165" s="9" t="s">
        <v>3789</v>
      </c>
      <c r="CK165" s="9" t="s">
        <v>3790</v>
      </c>
      <c r="ET165" s="9" t="s">
        <v>578</v>
      </c>
      <c r="EU165" s="9" t="s">
        <v>1037</v>
      </c>
      <c r="EV165" s="9" t="s">
        <v>580</v>
      </c>
      <c r="EX165" s="9" t="s">
        <v>3791</v>
      </c>
      <c r="EY165" s="9" t="s">
        <v>3792</v>
      </c>
      <c r="EZ165" s="9" t="s">
        <v>416</v>
      </c>
      <c r="FA165" s="9" t="s">
        <v>416</v>
      </c>
      <c r="FB165" s="9" t="s">
        <v>413</v>
      </c>
      <c r="FC165" s="9" t="s">
        <v>413</v>
      </c>
      <c r="FD165" s="9" t="s">
        <v>413</v>
      </c>
      <c r="FE165" s="9" t="s">
        <v>413</v>
      </c>
      <c r="FF165" s="9" t="s">
        <v>413</v>
      </c>
      <c r="FG165" s="9" t="s">
        <v>413</v>
      </c>
      <c r="FH165" s="9" t="s">
        <v>583</v>
      </c>
      <c r="FI165" s="9" t="s">
        <v>415</v>
      </c>
      <c r="FJ165" s="9" t="s">
        <v>415</v>
      </c>
      <c r="FK165" s="9" t="s">
        <v>413</v>
      </c>
      <c r="FL165" s="9" t="s">
        <v>413</v>
      </c>
      <c r="FM165" s="9" t="s">
        <v>413</v>
      </c>
      <c r="FN165" s="9" t="s">
        <v>414</v>
      </c>
      <c r="FO165" s="9" t="s">
        <v>485</v>
      </c>
      <c r="FP165" s="9" t="s">
        <v>418</v>
      </c>
      <c r="FQ165" s="9" t="s">
        <v>749</v>
      </c>
      <c r="FR165" s="9" t="s">
        <v>2381</v>
      </c>
      <c r="FS165" s="9" t="s">
        <v>1189</v>
      </c>
      <c r="FT165" s="9" t="s">
        <v>488</v>
      </c>
      <c r="FU165" s="9" t="s">
        <v>918</v>
      </c>
      <c r="FV165" s="9" t="s">
        <v>490</v>
      </c>
      <c r="FW165" s="9" t="s">
        <v>491</v>
      </c>
      <c r="FX165" s="9" t="s">
        <v>3793</v>
      </c>
      <c r="FY165" s="9" t="s">
        <v>535</v>
      </c>
      <c r="FZ165" s="9" t="s">
        <v>3794</v>
      </c>
      <c r="GA165" s="9" t="s">
        <v>3795</v>
      </c>
      <c r="GB165" s="9" t="s">
        <v>455</v>
      </c>
      <c r="GC165" s="9"/>
      <c r="GE165" s="9" t="s">
        <v>753</v>
      </c>
      <c r="GF165" s="9" t="s">
        <v>3796</v>
      </c>
      <c r="GJ165" s="9" t="s">
        <v>920</v>
      </c>
      <c r="GK165" s="9" t="s">
        <v>920</v>
      </c>
      <c r="GL165" s="9" t="s">
        <v>756</v>
      </c>
      <c r="GQ165" s="9" t="s">
        <v>3273</v>
      </c>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c r="HX165" s="10"/>
      <c r="HY165" s="10"/>
      <c r="HZ165" s="10"/>
      <c r="IA165" s="10"/>
      <c r="IB165" s="10"/>
      <c r="IC165" s="10"/>
      <c r="ID165" s="10"/>
      <c r="IE165" s="10"/>
      <c r="IF165" s="10"/>
      <c r="IG165" s="10"/>
      <c r="IH165" s="10"/>
      <c r="II165" s="10"/>
      <c r="IJ165" s="10"/>
      <c r="IK165" s="10"/>
      <c r="IL165" s="10"/>
      <c r="IM165" s="10"/>
      <c r="IN165" s="10"/>
      <c r="IO165" s="10"/>
      <c r="IP165" s="10"/>
      <c r="IQ165" s="10"/>
      <c r="IR165" s="10"/>
      <c r="IS165" s="10"/>
      <c r="IT165" s="10"/>
      <c r="IU165" s="10"/>
      <c r="IV165" s="10"/>
      <c r="IW165" s="10"/>
      <c r="IX165" s="10"/>
      <c r="IY165" s="10"/>
      <c r="IZ165" s="10"/>
      <c r="JA165" s="10"/>
      <c r="JB165" s="10"/>
      <c r="JC165" s="10"/>
      <c r="JD165" s="10"/>
      <c r="JE165" s="10"/>
      <c r="JF165" s="10"/>
      <c r="JG165" s="10"/>
      <c r="JH165" s="10"/>
      <c r="JI165" s="10"/>
      <c r="JJ165" s="10"/>
      <c r="JK165" s="10"/>
      <c r="JL165" s="10"/>
      <c r="JM165" s="10"/>
      <c r="JN165" s="10"/>
      <c r="JO165" s="10"/>
      <c r="JP165" s="10"/>
      <c r="JQ165" s="10"/>
      <c r="JR165" s="10"/>
      <c r="JS165" s="10"/>
      <c r="JT165" s="10"/>
      <c r="JU165" s="10"/>
      <c r="JV165" s="10"/>
      <c r="JW165" s="10"/>
      <c r="JX165" s="10"/>
      <c r="JY165" s="10"/>
      <c r="JZ165" s="10"/>
      <c r="KA165" s="10"/>
      <c r="KB165" s="10"/>
      <c r="KC165" s="10"/>
      <c r="KD165" s="10"/>
      <c r="KE165" s="10"/>
      <c r="KF165" s="10"/>
      <c r="KG165" s="10"/>
      <c r="KH165" s="10"/>
      <c r="KI165" s="10"/>
      <c r="KJ165" s="10"/>
      <c r="KK165" s="10"/>
      <c r="KL165" s="10"/>
      <c r="KM165" s="10"/>
      <c r="KN165" s="10"/>
      <c r="KO165" s="10"/>
      <c r="KP165" s="10"/>
      <c r="KQ165" s="10"/>
      <c r="KR165" s="10"/>
      <c r="KS165" s="10"/>
      <c r="KT165" s="10"/>
      <c r="KU165" s="10"/>
      <c r="KV165" s="10"/>
      <c r="KW165" s="10"/>
      <c r="KX165" s="10"/>
      <c r="KY165" s="10"/>
      <c r="KZ165" s="10"/>
      <c r="LA165" s="10"/>
      <c r="LB165" s="10"/>
      <c r="LC165" s="10"/>
      <c r="LD165" s="10"/>
      <c r="LE165" s="10"/>
      <c r="LF165" s="10"/>
      <c r="LG165" s="10"/>
      <c r="LH165" s="10"/>
      <c r="LI165" s="10"/>
      <c r="LJ165" s="10"/>
      <c r="LK165" s="10"/>
      <c r="LL165" s="10"/>
      <c r="LM165" s="10"/>
      <c r="LN165" s="10"/>
      <c r="LO165" s="10"/>
      <c r="LP165" s="10"/>
      <c r="LQ165" s="10"/>
      <c r="LR165" s="10"/>
      <c r="LS165" s="10"/>
      <c r="LT165" s="10"/>
      <c r="LU165" s="10"/>
      <c r="LV165" s="10"/>
      <c r="LW165" s="10"/>
      <c r="LX165" s="10"/>
      <c r="LY165" s="10"/>
      <c r="LZ165" s="10"/>
      <c r="MA165" s="10"/>
      <c r="MB165" s="10"/>
      <c r="MC165" s="10"/>
      <c r="MD165" s="10"/>
      <c r="ME165" s="10"/>
      <c r="MF165" s="10"/>
      <c r="MG165" s="10"/>
      <c r="MH165" s="10"/>
      <c r="MI165" s="10"/>
      <c r="MJ165" s="10"/>
      <c r="MK165" s="10"/>
      <c r="ML165" s="10"/>
      <c r="MM165" s="10"/>
      <c r="MN165" s="10"/>
      <c r="MO165" s="10"/>
      <c r="MP165" s="10"/>
      <c r="MQ165" s="10"/>
      <c r="MR165" s="10"/>
      <c r="MS165" s="10"/>
      <c r="MT165" s="10"/>
      <c r="MU165" s="10"/>
      <c r="MV165" s="10"/>
      <c r="MW165" s="10"/>
      <c r="MX165" s="10"/>
      <c r="MY165" s="10"/>
      <c r="MZ165" s="10"/>
      <c r="NA165" s="10"/>
      <c r="NB165" s="10"/>
      <c r="NC165" s="10"/>
      <c r="ND165" s="10"/>
    </row>
    <row r="166" ht="24.75" customHeight="1">
      <c r="A166" s="8">
        <v>45831.70324116898</v>
      </c>
      <c r="B166" s="9" t="s">
        <v>368</v>
      </c>
      <c r="C166" s="9" t="s">
        <v>370</v>
      </c>
      <c r="E166" s="9" t="s">
        <v>371</v>
      </c>
      <c r="G166" s="9" t="s">
        <v>3595</v>
      </c>
      <c r="H166" s="9" t="s">
        <v>637</v>
      </c>
      <c r="I166" s="9" t="s">
        <v>638</v>
      </c>
      <c r="J166" s="9" t="s">
        <v>425</v>
      </c>
      <c r="K166" s="9" t="s">
        <v>376</v>
      </c>
      <c r="L166" s="9" t="s">
        <v>379</v>
      </c>
      <c r="M166" s="9" t="s">
        <v>639</v>
      </c>
      <c r="N166" s="9" t="s">
        <v>591</v>
      </c>
      <c r="O166" s="9" t="s">
        <v>3797</v>
      </c>
      <c r="P166" s="9" t="s">
        <v>381</v>
      </c>
      <c r="Q166" s="9" t="s">
        <v>499</v>
      </c>
      <c r="R166" s="9" t="s">
        <v>795</v>
      </c>
      <c r="S166" s="9" t="s">
        <v>3798</v>
      </c>
      <c r="T166" s="9" t="s">
        <v>385</v>
      </c>
      <c r="W166" s="9" t="s">
        <v>593</v>
      </c>
      <c r="X166" s="9" t="s">
        <v>387</v>
      </c>
      <c r="Y166" s="9" t="s">
        <v>897</v>
      </c>
      <c r="Z166" s="9" t="s">
        <v>543</v>
      </c>
      <c r="AA166" s="9" t="s">
        <v>3799</v>
      </c>
      <c r="AV166" s="9" t="s">
        <v>597</v>
      </c>
      <c r="AW166" s="9" t="s">
        <v>391</v>
      </c>
      <c r="AX166" s="9">
        <v>4.0</v>
      </c>
      <c r="AY166" s="9" t="s">
        <v>391</v>
      </c>
      <c r="AZ166" s="9" t="s">
        <v>675</v>
      </c>
      <c r="BA166" s="9">
        <v>4.0</v>
      </c>
      <c r="BB166" s="9" t="s">
        <v>391</v>
      </c>
      <c r="BC166" s="9" t="s">
        <v>3800</v>
      </c>
      <c r="BD166" s="9" t="s">
        <v>3801</v>
      </c>
      <c r="BE166" s="9" t="s">
        <v>432</v>
      </c>
      <c r="BF166" s="9" t="s">
        <v>393</v>
      </c>
      <c r="BG166" s="9" t="s">
        <v>678</v>
      </c>
      <c r="BH166" s="9" t="s">
        <v>3802</v>
      </c>
      <c r="BI166" s="9" t="s">
        <v>824</v>
      </c>
      <c r="BK166" s="9" t="s">
        <v>395</v>
      </c>
      <c r="BL166" s="9" t="s">
        <v>438</v>
      </c>
      <c r="BM166" s="9" t="s">
        <v>1247</v>
      </c>
      <c r="BN166" s="9" t="s">
        <v>440</v>
      </c>
      <c r="CL166" s="9" t="s">
        <v>441</v>
      </c>
      <c r="CM166" s="9" t="s">
        <v>442</v>
      </c>
      <c r="CN166" s="9" t="s">
        <v>3803</v>
      </c>
      <c r="CO166" s="9" t="s">
        <v>3804</v>
      </c>
      <c r="CP166" s="9" t="s">
        <v>685</v>
      </c>
      <c r="CQ166" s="9" t="s">
        <v>3805</v>
      </c>
      <c r="CR166" s="9" t="s">
        <v>447</v>
      </c>
      <c r="CS166" s="9" t="s">
        <v>1454</v>
      </c>
      <c r="CT166" s="9" t="s">
        <v>3806</v>
      </c>
      <c r="CU166" s="9" t="s">
        <v>519</v>
      </c>
      <c r="CV166" s="9" t="s">
        <v>451</v>
      </c>
      <c r="CW166" s="9" t="s">
        <v>3807</v>
      </c>
      <c r="CX166" s="9" t="s">
        <v>408</v>
      </c>
      <c r="CZ166" s="9" t="s">
        <v>985</v>
      </c>
      <c r="DA166" s="9" t="s">
        <v>3808</v>
      </c>
      <c r="DB166" s="9" t="s">
        <v>408</v>
      </c>
      <c r="DD166" s="9" t="s">
        <v>1400</v>
      </c>
      <c r="DE166" s="9" t="s">
        <v>1368</v>
      </c>
      <c r="DF166" s="9" t="s">
        <v>3809</v>
      </c>
      <c r="DG166" s="9" t="s">
        <v>561</v>
      </c>
      <c r="DH166" s="9" t="s">
        <v>1220</v>
      </c>
      <c r="DI166" s="9" t="s">
        <v>459</v>
      </c>
      <c r="DJ166" s="9" t="s">
        <v>613</v>
      </c>
      <c r="DM166" s="9" t="s">
        <v>3810</v>
      </c>
      <c r="DN166" s="9" t="s">
        <v>3811</v>
      </c>
      <c r="DO166" s="9" t="s">
        <v>464</v>
      </c>
      <c r="DP166" s="9" t="s">
        <v>3812</v>
      </c>
      <c r="DQ166" s="9" t="s">
        <v>837</v>
      </c>
      <c r="DR166" s="9" t="s">
        <v>3813</v>
      </c>
      <c r="DS166" s="9" t="s">
        <v>839</v>
      </c>
      <c r="DT166" s="9" t="s">
        <v>3611</v>
      </c>
      <c r="DU166" s="9" t="s">
        <v>3814</v>
      </c>
      <c r="DV166" s="9" t="s">
        <v>3815</v>
      </c>
      <c r="DW166" s="9" t="s">
        <v>573</v>
      </c>
      <c r="DX166" s="9" t="s">
        <v>3816</v>
      </c>
      <c r="DY166" s="9" t="s">
        <v>3817</v>
      </c>
      <c r="DZ166" s="9" t="s">
        <v>3818</v>
      </c>
      <c r="EA166" s="9" t="s">
        <v>475</v>
      </c>
      <c r="EB166" s="9" t="s">
        <v>626</v>
      </c>
      <c r="EC166" s="9" t="s">
        <v>3819</v>
      </c>
      <c r="ET166" s="9" t="s">
        <v>578</v>
      </c>
      <c r="EU166" s="9" t="s">
        <v>887</v>
      </c>
      <c r="EV166" s="9" t="s">
        <v>1534</v>
      </c>
      <c r="EW166" s="9" t="s">
        <v>3820</v>
      </c>
      <c r="EX166" s="9" t="s">
        <v>3821</v>
      </c>
      <c r="EY166" s="9" t="s">
        <v>3822</v>
      </c>
      <c r="EZ166" s="9" t="s">
        <v>415</v>
      </c>
      <c r="FA166" s="9" t="s">
        <v>414</v>
      </c>
      <c r="FB166" s="9" t="s">
        <v>413</v>
      </c>
      <c r="FC166" s="9" t="s">
        <v>415</v>
      </c>
      <c r="FD166" s="9" t="s">
        <v>416</v>
      </c>
      <c r="FE166" s="9" t="s">
        <v>414</v>
      </c>
      <c r="FF166" s="9" t="s">
        <v>415</v>
      </c>
      <c r="FG166" s="9" t="s">
        <v>415</v>
      </c>
      <c r="FH166" s="9" t="s">
        <v>413</v>
      </c>
      <c r="FI166" s="9" t="s">
        <v>415</v>
      </c>
      <c r="FJ166" s="9" t="s">
        <v>415</v>
      </c>
      <c r="FK166" s="9" t="s">
        <v>415</v>
      </c>
      <c r="FL166" s="9" t="s">
        <v>415</v>
      </c>
      <c r="FM166" s="9" t="s">
        <v>416</v>
      </c>
      <c r="FN166" s="9" t="s">
        <v>414</v>
      </c>
      <c r="FO166" s="9" t="s">
        <v>417</v>
      </c>
      <c r="FP166" s="9" t="s">
        <v>418</v>
      </c>
      <c r="FQ166" s="9" t="s">
        <v>712</v>
      </c>
      <c r="FR166" s="9" t="s">
        <v>3823</v>
      </c>
      <c r="FS166" s="9" t="s">
        <v>420</v>
      </c>
      <c r="FT166" s="9" t="s">
        <v>488</v>
      </c>
      <c r="FU166" s="9" t="s">
        <v>489</v>
      </c>
      <c r="FV166" s="9" t="s">
        <v>490</v>
      </c>
      <c r="FW166" s="9" t="s">
        <v>491</v>
      </c>
      <c r="FX166" s="9" t="s">
        <v>3824</v>
      </c>
      <c r="FY166" s="9" t="s">
        <v>493</v>
      </c>
      <c r="FZ166" s="9" t="s">
        <v>3825</v>
      </c>
      <c r="GB166" s="9" t="s">
        <v>455</v>
      </c>
      <c r="GC166" s="9"/>
      <c r="GD166" s="9"/>
      <c r="GE166" s="9" t="s">
        <v>753</v>
      </c>
      <c r="GG166" s="9" t="s">
        <v>788</v>
      </c>
      <c r="GH166" s="9" t="s">
        <v>755</v>
      </c>
      <c r="GI166" s="9" t="s">
        <v>817</v>
      </c>
      <c r="GM166" s="9" t="s">
        <v>1079</v>
      </c>
      <c r="GQ166" s="9" t="s">
        <v>3208</v>
      </c>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c r="HX166" s="10"/>
      <c r="HY166" s="10"/>
      <c r="HZ166" s="10"/>
      <c r="IA166" s="10"/>
      <c r="IB166" s="10"/>
      <c r="IC166" s="10"/>
      <c r="ID166" s="10"/>
      <c r="IE166" s="10"/>
      <c r="IF166" s="10"/>
      <c r="IG166" s="10"/>
      <c r="IH166" s="10"/>
      <c r="II166" s="10"/>
      <c r="IJ166" s="10"/>
      <c r="IK166" s="10"/>
      <c r="IL166" s="10"/>
      <c r="IM166" s="10"/>
      <c r="IN166" s="10"/>
      <c r="IO166" s="10"/>
      <c r="IP166" s="10"/>
      <c r="IQ166" s="10"/>
      <c r="IR166" s="10"/>
      <c r="IS166" s="10"/>
      <c r="IT166" s="10"/>
      <c r="IU166" s="10"/>
      <c r="IV166" s="10"/>
      <c r="IW166" s="10"/>
      <c r="IX166" s="10"/>
      <c r="IY166" s="10"/>
      <c r="IZ166" s="10"/>
      <c r="JA166" s="10"/>
      <c r="JB166" s="10"/>
      <c r="JC166" s="10"/>
      <c r="JD166" s="10"/>
      <c r="JE166" s="10"/>
      <c r="JF166" s="10"/>
      <c r="JG166" s="10"/>
      <c r="JH166" s="10"/>
      <c r="JI166" s="10"/>
      <c r="JJ166" s="10"/>
      <c r="JK166" s="10"/>
      <c r="JL166" s="10"/>
      <c r="JM166" s="10"/>
      <c r="JN166" s="10"/>
      <c r="JO166" s="10"/>
      <c r="JP166" s="10"/>
      <c r="JQ166" s="10"/>
      <c r="JR166" s="10"/>
      <c r="JS166" s="10"/>
      <c r="JT166" s="10"/>
      <c r="JU166" s="10"/>
      <c r="JV166" s="10"/>
      <c r="JW166" s="10"/>
      <c r="JX166" s="10"/>
      <c r="JY166" s="10"/>
      <c r="JZ166" s="10"/>
      <c r="KA166" s="10"/>
      <c r="KB166" s="10"/>
      <c r="KC166" s="10"/>
      <c r="KD166" s="10"/>
      <c r="KE166" s="10"/>
      <c r="KF166" s="10"/>
      <c r="KG166" s="10"/>
      <c r="KH166" s="10"/>
      <c r="KI166" s="10"/>
      <c r="KJ166" s="10"/>
      <c r="KK166" s="10"/>
      <c r="KL166" s="10"/>
      <c r="KM166" s="10"/>
      <c r="KN166" s="10"/>
      <c r="KO166" s="10"/>
      <c r="KP166" s="10"/>
      <c r="KQ166" s="10"/>
      <c r="KR166" s="10"/>
      <c r="KS166" s="10"/>
      <c r="KT166" s="10"/>
      <c r="KU166" s="10"/>
      <c r="KV166" s="10"/>
      <c r="KW166" s="10"/>
      <c r="KX166" s="10"/>
      <c r="KY166" s="10"/>
      <c r="KZ166" s="10"/>
      <c r="LA166" s="10"/>
      <c r="LB166" s="10"/>
      <c r="LC166" s="10"/>
      <c r="LD166" s="10"/>
      <c r="LE166" s="10"/>
      <c r="LF166" s="10"/>
      <c r="LG166" s="10"/>
      <c r="LH166" s="10"/>
      <c r="LI166" s="10"/>
      <c r="LJ166" s="10"/>
      <c r="LK166" s="10"/>
      <c r="LL166" s="10"/>
      <c r="LM166" s="10"/>
      <c r="LN166" s="10"/>
      <c r="LO166" s="10"/>
      <c r="LP166" s="10"/>
      <c r="LQ166" s="10"/>
      <c r="LR166" s="10"/>
      <c r="LS166" s="10"/>
      <c r="LT166" s="10"/>
      <c r="LU166" s="10"/>
      <c r="LV166" s="10"/>
      <c r="LW166" s="10"/>
      <c r="LX166" s="10"/>
      <c r="LY166" s="10"/>
      <c r="LZ166" s="10"/>
      <c r="MA166" s="10"/>
      <c r="MB166" s="10"/>
      <c r="MC166" s="10"/>
      <c r="MD166" s="10"/>
      <c r="ME166" s="10"/>
      <c r="MF166" s="10"/>
      <c r="MG166" s="10"/>
      <c r="MH166" s="10"/>
      <c r="MI166" s="10"/>
      <c r="MJ166" s="10"/>
      <c r="MK166" s="10"/>
      <c r="ML166" s="10"/>
      <c r="MM166" s="10"/>
      <c r="MN166" s="10"/>
      <c r="MO166" s="10"/>
      <c r="MP166" s="10"/>
      <c r="MQ166" s="10"/>
      <c r="MR166" s="10"/>
      <c r="MS166" s="10"/>
      <c r="MT166" s="10"/>
      <c r="MU166" s="10"/>
      <c r="MV166" s="10"/>
      <c r="MW166" s="10"/>
      <c r="MX166" s="10"/>
      <c r="MY166" s="10"/>
      <c r="MZ166" s="10"/>
      <c r="NA166" s="10"/>
      <c r="NB166" s="10"/>
      <c r="NC166" s="10"/>
      <c r="ND166" s="10"/>
    </row>
    <row r="167" ht="24.75" customHeight="1">
      <c r="A167" s="8">
        <v>45831.70685833333</v>
      </c>
      <c r="B167" s="9" t="s">
        <v>368</v>
      </c>
      <c r="C167" s="9" t="s">
        <v>370</v>
      </c>
      <c r="E167" s="9" t="s">
        <v>2114</v>
      </c>
      <c r="G167" s="9" t="s">
        <v>422</v>
      </c>
      <c r="H167" s="9" t="s">
        <v>496</v>
      </c>
      <c r="I167" s="9" t="s">
        <v>374</v>
      </c>
      <c r="J167" s="9" t="s">
        <v>540</v>
      </c>
      <c r="K167" s="9" t="s">
        <v>376</v>
      </c>
      <c r="L167" s="9" t="s">
        <v>591</v>
      </c>
      <c r="M167" s="9" t="s">
        <v>639</v>
      </c>
      <c r="N167" s="9" t="s">
        <v>426</v>
      </c>
      <c r="O167" s="9" t="s">
        <v>671</v>
      </c>
      <c r="P167" s="9" t="s">
        <v>498</v>
      </c>
      <c r="Q167" s="9" t="s">
        <v>1156</v>
      </c>
      <c r="R167" s="9" t="s">
        <v>427</v>
      </c>
      <c r="S167" s="9" t="s">
        <v>384</v>
      </c>
      <c r="T167" s="9" t="s">
        <v>385</v>
      </c>
      <c r="W167" s="9" t="s">
        <v>593</v>
      </c>
      <c r="X167" s="9" t="s">
        <v>387</v>
      </c>
      <c r="Y167" s="9" t="s">
        <v>542</v>
      </c>
      <c r="Z167" s="9" t="s">
        <v>543</v>
      </c>
      <c r="AA167" s="9" t="s">
        <v>3826</v>
      </c>
      <c r="AB167" s="9" t="s">
        <v>3827</v>
      </c>
      <c r="AV167" s="9" t="s">
        <v>1242</v>
      </c>
      <c r="AW167" s="9" t="s">
        <v>391</v>
      </c>
      <c r="AX167" s="9">
        <v>4.0</v>
      </c>
      <c r="AY167" s="9" t="s">
        <v>391</v>
      </c>
      <c r="AZ167" s="9">
        <v>2.0</v>
      </c>
      <c r="BA167" s="9">
        <v>4.0</v>
      </c>
      <c r="BB167" s="9">
        <v>4.0</v>
      </c>
      <c r="BC167" s="9" t="s">
        <v>3828</v>
      </c>
      <c r="BD167" s="9" t="s">
        <v>3829</v>
      </c>
      <c r="BE167" s="9" t="s">
        <v>432</v>
      </c>
      <c r="BF167" s="9" t="s">
        <v>1095</v>
      </c>
      <c r="BG167" s="9" t="s">
        <v>725</v>
      </c>
      <c r="BH167" s="9" t="s">
        <v>3830</v>
      </c>
      <c r="BI167" s="9" t="s">
        <v>976</v>
      </c>
      <c r="BK167" s="9" t="s">
        <v>681</v>
      </c>
      <c r="BL167" s="9" t="s">
        <v>438</v>
      </c>
      <c r="BM167" s="9" t="s">
        <v>1314</v>
      </c>
      <c r="BN167" s="9" t="s">
        <v>398</v>
      </c>
      <c r="BO167" s="9" t="s">
        <v>3831</v>
      </c>
      <c r="BP167" s="9" t="s">
        <v>3832</v>
      </c>
      <c r="BQ167" s="9" t="s">
        <v>604</v>
      </c>
      <c r="BR167" s="9" t="s">
        <v>3833</v>
      </c>
      <c r="BS167" s="9" t="s">
        <v>403</v>
      </c>
      <c r="BT167" s="9" t="s">
        <v>404</v>
      </c>
      <c r="BU167" s="9" t="s">
        <v>405</v>
      </c>
      <c r="BW167" s="9" t="s">
        <v>406</v>
      </c>
      <c r="BX167" s="9" t="s">
        <v>407</v>
      </c>
      <c r="BY167" s="9" t="s">
        <v>408</v>
      </c>
      <c r="BZ167" s="9" t="s">
        <v>3834</v>
      </c>
      <c r="CA167" s="9" t="s">
        <v>3835</v>
      </c>
      <c r="CB167" s="9" t="s">
        <v>3836</v>
      </c>
      <c r="CC167" s="9" t="s">
        <v>3837</v>
      </c>
      <c r="CD167" s="9" t="s">
        <v>409</v>
      </c>
      <c r="CE167" s="9" t="s">
        <v>3838</v>
      </c>
      <c r="CF167" s="9" t="s">
        <v>1258</v>
      </c>
      <c r="CH167" s="9" t="s">
        <v>1698</v>
      </c>
      <c r="CI167" s="9" t="s">
        <v>833</v>
      </c>
      <c r="CJ167" s="9" t="s">
        <v>3839</v>
      </c>
      <c r="CK167" s="9" t="s">
        <v>3840</v>
      </c>
      <c r="ET167" s="9" t="s">
        <v>526</v>
      </c>
      <c r="EU167" s="9" t="s">
        <v>1037</v>
      </c>
      <c r="EV167" s="9" t="s">
        <v>580</v>
      </c>
      <c r="EW167" s="9" t="s">
        <v>3841</v>
      </c>
      <c r="EX167" s="9" t="s">
        <v>3842</v>
      </c>
      <c r="EY167" s="9" t="s">
        <v>3843</v>
      </c>
      <c r="EZ167" s="9" t="s">
        <v>414</v>
      </c>
      <c r="FA167" s="9" t="s">
        <v>414</v>
      </c>
      <c r="FB167" s="9" t="s">
        <v>416</v>
      </c>
      <c r="FC167" s="9" t="s">
        <v>415</v>
      </c>
      <c r="FD167" s="9" t="s">
        <v>413</v>
      </c>
      <c r="FE167" s="9" t="s">
        <v>414</v>
      </c>
      <c r="FF167" s="9" t="s">
        <v>484</v>
      </c>
      <c r="FG167" s="9" t="s">
        <v>415</v>
      </c>
      <c r="FH167" s="9" t="s">
        <v>415</v>
      </c>
      <c r="FI167" s="9" t="s">
        <v>414</v>
      </c>
      <c r="FJ167" s="9" t="s">
        <v>415</v>
      </c>
      <c r="FK167" s="9" t="s">
        <v>484</v>
      </c>
      <c r="FL167" s="9" t="s">
        <v>484</v>
      </c>
      <c r="FM167" s="9" t="s">
        <v>484</v>
      </c>
      <c r="FN167" s="9" t="s">
        <v>484</v>
      </c>
      <c r="FO167" s="9" t="s">
        <v>485</v>
      </c>
      <c r="FP167" s="9" t="s">
        <v>418</v>
      </c>
      <c r="FQ167" s="9" t="s">
        <v>749</v>
      </c>
      <c r="FS167" s="9" t="s">
        <v>420</v>
      </c>
      <c r="FT167" s="9" t="s">
        <v>1476</v>
      </c>
      <c r="FU167" s="9" t="s">
        <v>489</v>
      </c>
      <c r="FV167" s="9" t="s">
        <v>490</v>
      </c>
      <c r="FW167" s="9" t="s">
        <v>491</v>
      </c>
      <c r="FX167" s="9" t="s">
        <v>3844</v>
      </c>
      <c r="FY167" s="9" t="s">
        <v>1337</v>
      </c>
      <c r="GB167" s="9" t="s">
        <v>455</v>
      </c>
      <c r="GC167" s="9"/>
      <c r="GE167" s="9" t="s">
        <v>855</v>
      </c>
      <c r="GJ167" s="9" t="s">
        <v>857</v>
      </c>
      <c r="GK167" s="9" t="s">
        <v>857</v>
      </c>
      <c r="GL167" s="9" t="s">
        <v>817</v>
      </c>
      <c r="GQ167" s="9" t="s">
        <v>3273</v>
      </c>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c r="HX167" s="10"/>
      <c r="HY167" s="10"/>
      <c r="HZ167" s="10"/>
      <c r="IA167" s="10"/>
      <c r="IB167" s="10"/>
      <c r="IC167" s="10"/>
      <c r="ID167" s="10"/>
      <c r="IE167" s="10"/>
      <c r="IF167" s="10"/>
      <c r="IG167" s="10"/>
      <c r="IH167" s="10"/>
      <c r="II167" s="10"/>
      <c r="IJ167" s="10"/>
      <c r="IK167" s="10"/>
      <c r="IL167" s="10"/>
      <c r="IM167" s="10"/>
      <c r="IN167" s="10"/>
      <c r="IO167" s="10"/>
      <c r="IP167" s="10"/>
      <c r="IQ167" s="10"/>
      <c r="IR167" s="10"/>
      <c r="IS167" s="10"/>
      <c r="IT167" s="10"/>
      <c r="IU167" s="10"/>
      <c r="IV167" s="10"/>
      <c r="IW167" s="10"/>
      <c r="IX167" s="10"/>
      <c r="IY167" s="10"/>
      <c r="IZ167" s="10"/>
      <c r="JA167" s="10"/>
      <c r="JB167" s="10"/>
      <c r="JC167" s="10"/>
      <c r="JD167" s="10"/>
      <c r="JE167" s="10"/>
      <c r="JF167" s="10"/>
      <c r="JG167" s="10"/>
      <c r="JH167" s="10"/>
      <c r="JI167" s="10"/>
      <c r="JJ167" s="10"/>
      <c r="JK167" s="10"/>
      <c r="JL167" s="10"/>
      <c r="JM167" s="10"/>
      <c r="JN167" s="10"/>
      <c r="JO167" s="10"/>
      <c r="JP167" s="10"/>
      <c r="JQ167" s="10"/>
      <c r="JR167" s="10"/>
      <c r="JS167" s="10"/>
      <c r="JT167" s="10"/>
      <c r="JU167" s="10"/>
      <c r="JV167" s="10"/>
      <c r="JW167" s="10"/>
      <c r="JX167" s="10"/>
      <c r="JY167" s="10"/>
      <c r="JZ167" s="10"/>
      <c r="KA167" s="10"/>
      <c r="KB167" s="10"/>
      <c r="KC167" s="10"/>
      <c r="KD167" s="10"/>
      <c r="KE167" s="10"/>
      <c r="KF167" s="10"/>
      <c r="KG167" s="10"/>
      <c r="KH167" s="10"/>
      <c r="KI167" s="10"/>
      <c r="KJ167" s="10"/>
      <c r="KK167" s="10"/>
      <c r="KL167" s="10"/>
      <c r="KM167" s="10"/>
      <c r="KN167" s="10"/>
      <c r="KO167" s="10"/>
      <c r="KP167" s="10"/>
      <c r="KQ167" s="10"/>
      <c r="KR167" s="10"/>
      <c r="KS167" s="10"/>
      <c r="KT167" s="10"/>
      <c r="KU167" s="10"/>
      <c r="KV167" s="10"/>
      <c r="KW167" s="10"/>
      <c r="KX167" s="10"/>
      <c r="KY167" s="10"/>
      <c r="KZ167" s="10"/>
      <c r="LA167" s="10"/>
      <c r="LB167" s="10"/>
      <c r="LC167" s="10"/>
      <c r="LD167" s="10"/>
      <c r="LE167" s="10"/>
      <c r="LF167" s="10"/>
      <c r="LG167" s="10"/>
      <c r="LH167" s="10"/>
      <c r="LI167" s="10"/>
      <c r="LJ167" s="10"/>
      <c r="LK167" s="10"/>
      <c r="LL167" s="10"/>
      <c r="LM167" s="10"/>
      <c r="LN167" s="10"/>
      <c r="LO167" s="10"/>
      <c r="LP167" s="10"/>
      <c r="LQ167" s="10"/>
      <c r="LR167" s="10"/>
      <c r="LS167" s="10"/>
      <c r="LT167" s="10"/>
      <c r="LU167" s="10"/>
      <c r="LV167" s="10"/>
      <c r="LW167" s="10"/>
      <c r="LX167" s="10"/>
      <c r="LY167" s="10"/>
      <c r="LZ167" s="10"/>
      <c r="MA167" s="10"/>
      <c r="MB167" s="10"/>
      <c r="MC167" s="10"/>
      <c r="MD167" s="10"/>
      <c r="ME167" s="10"/>
      <c r="MF167" s="10"/>
      <c r="MG167" s="10"/>
      <c r="MH167" s="10"/>
      <c r="MI167" s="10"/>
      <c r="MJ167" s="10"/>
      <c r="MK167" s="10"/>
      <c r="ML167" s="10"/>
      <c r="MM167" s="10"/>
      <c r="MN167" s="10"/>
      <c r="MO167" s="10"/>
      <c r="MP167" s="10"/>
      <c r="MQ167" s="10"/>
      <c r="MR167" s="10"/>
      <c r="MS167" s="10"/>
      <c r="MT167" s="10"/>
      <c r="MU167" s="10"/>
      <c r="MV167" s="10"/>
      <c r="MW167" s="10"/>
      <c r="MX167" s="10"/>
      <c r="MY167" s="10"/>
      <c r="MZ167" s="10"/>
      <c r="NA167" s="10"/>
      <c r="NB167" s="10"/>
      <c r="NC167" s="10"/>
      <c r="ND167" s="10"/>
    </row>
    <row r="168" ht="24.75" customHeight="1">
      <c r="A168" s="8">
        <v>45831.785180127314</v>
      </c>
      <c r="B168" s="9" t="s">
        <v>368</v>
      </c>
      <c r="C168" s="9" t="s">
        <v>370</v>
      </c>
      <c r="E168" s="9" t="s">
        <v>1441</v>
      </c>
      <c r="G168" s="9" t="s">
        <v>1093</v>
      </c>
      <c r="H168" s="9" t="s">
        <v>373</v>
      </c>
      <c r="I168" s="9" t="s">
        <v>374</v>
      </c>
      <c r="J168" s="9" t="s">
        <v>425</v>
      </c>
      <c r="K168" s="9" t="s">
        <v>376</v>
      </c>
      <c r="L168" s="9" t="s">
        <v>379</v>
      </c>
      <c r="M168" s="9" t="s">
        <v>3845</v>
      </c>
      <c r="N168" s="9" t="s">
        <v>426</v>
      </c>
      <c r="O168" s="9" t="s">
        <v>380</v>
      </c>
      <c r="P168" s="9" t="s">
        <v>381</v>
      </c>
      <c r="Q168" s="9" t="s">
        <v>499</v>
      </c>
      <c r="R168" s="9" t="s">
        <v>1197</v>
      </c>
      <c r="S168" s="9" t="s">
        <v>384</v>
      </c>
      <c r="T168" s="9" t="s">
        <v>385</v>
      </c>
      <c r="W168" s="9" t="s">
        <v>3014</v>
      </c>
      <c r="AV168" s="9" t="s">
        <v>1242</v>
      </c>
      <c r="AW168" s="9" t="s">
        <v>675</v>
      </c>
      <c r="AX168" s="9" t="s">
        <v>675</v>
      </c>
      <c r="AY168" s="9" t="s">
        <v>675</v>
      </c>
      <c r="AZ168" s="9" t="s">
        <v>675</v>
      </c>
      <c r="BA168" s="9" t="s">
        <v>675</v>
      </c>
      <c r="BB168" s="9" t="s">
        <v>675</v>
      </c>
      <c r="BC168" s="9" t="s">
        <v>3846</v>
      </c>
      <c r="BD168" s="9" t="s">
        <v>3847</v>
      </c>
      <c r="BE168" s="9" t="s">
        <v>2259</v>
      </c>
      <c r="BF168" s="9" t="s">
        <v>1245</v>
      </c>
      <c r="BG168" s="9" t="s">
        <v>394</v>
      </c>
      <c r="BH168" s="9" t="s">
        <v>3848</v>
      </c>
      <c r="BI168" s="9" t="s">
        <v>976</v>
      </c>
      <c r="BK168" s="9" t="s">
        <v>602</v>
      </c>
      <c r="BL168" s="9" t="s">
        <v>904</v>
      </c>
      <c r="BM168" s="9" t="s">
        <v>1314</v>
      </c>
      <c r="BN168" s="9" t="s">
        <v>398</v>
      </c>
      <c r="BO168" s="9" t="s">
        <v>3849</v>
      </c>
      <c r="BP168" s="9" t="s">
        <v>3850</v>
      </c>
      <c r="BQ168" s="9" t="s">
        <v>401</v>
      </c>
      <c r="BR168" s="9" t="s">
        <v>1830</v>
      </c>
      <c r="BS168" s="9" t="s">
        <v>1741</v>
      </c>
      <c r="BT168" s="9" t="s">
        <v>404</v>
      </c>
      <c r="BU168" s="9" t="s">
        <v>1772</v>
      </c>
      <c r="BV168" s="9" t="s">
        <v>3851</v>
      </c>
      <c r="BW168" s="9" t="s">
        <v>406</v>
      </c>
      <c r="BX168" s="9" t="s">
        <v>2503</v>
      </c>
      <c r="BY168" s="9" t="s">
        <v>408</v>
      </c>
      <c r="CB168" s="9" t="s">
        <v>3852</v>
      </c>
      <c r="CC168" s="9" t="s">
        <v>3853</v>
      </c>
      <c r="CD168" s="9" t="s">
        <v>1931</v>
      </c>
      <c r="CF168" s="9" t="s">
        <v>1258</v>
      </c>
      <c r="CH168" s="9" t="s">
        <v>1698</v>
      </c>
      <c r="CI168" s="9" t="s">
        <v>410</v>
      </c>
      <c r="CJ168" s="9" t="s">
        <v>3854</v>
      </c>
      <c r="CK168" s="9" t="s">
        <v>3855</v>
      </c>
      <c r="ET168" s="9" t="s">
        <v>578</v>
      </c>
      <c r="EU168" s="9" t="s">
        <v>1037</v>
      </c>
      <c r="EV168" s="9" t="s">
        <v>1262</v>
      </c>
      <c r="EX168" s="9" t="s">
        <v>3856</v>
      </c>
      <c r="EY168" s="9" t="s">
        <v>3857</v>
      </c>
      <c r="EZ168" s="9" t="s">
        <v>413</v>
      </c>
      <c r="FA168" s="9" t="s">
        <v>413</v>
      </c>
      <c r="FB168" s="9" t="s">
        <v>413</v>
      </c>
      <c r="FC168" s="9" t="s">
        <v>413</v>
      </c>
      <c r="FD168" s="9" t="s">
        <v>413</v>
      </c>
      <c r="FE168" s="9" t="s">
        <v>413</v>
      </c>
      <c r="FF168" s="9" t="s">
        <v>413</v>
      </c>
      <c r="FG168" s="9" t="s">
        <v>413</v>
      </c>
      <c r="FH168" s="9" t="s">
        <v>413</v>
      </c>
      <c r="FI168" s="9" t="s">
        <v>413</v>
      </c>
      <c r="FJ168" s="9" t="s">
        <v>413</v>
      </c>
      <c r="FK168" s="9" t="s">
        <v>413</v>
      </c>
      <c r="FL168" s="9" t="s">
        <v>413</v>
      </c>
      <c r="FM168" s="9" t="s">
        <v>413</v>
      </c>
      <c r="FN168" s="9" t="s">
        <v>583</v>
      </c>
      <c r="FO168" s="9" t="s">
        <v>417</v>
      </c>
      <c r="FP168" s="9" t="s">
        <v>418</v>
      </c>
      <c r="FQ168" s="9" t="s">
        <v>419</v>
      </c>
      <c r="FR168" s="9" t="s">
        <v>3858</v>
      </c>
      <c r="FS168" s="9" t="s">
        <v>420</v>
      </c>
      <c r="FT168" s="9" t="s">
        <v>488</v>
      </c>
      <c r="FU168" s="9" t="s">
        <v>918</v>
      </c>
      <c r="FV168" s="9" t="s">
        <v>490</v>
      </c>
      <c r="FW168" s="9" t="s">
        <v>491</v>
      </c>
      <c r="FX168" s="9" t="s">
        <v>3859</v>
      </c>
      <c r="FY168" s="9" t="s">
        <v>535</v>
      </c>
      <c r="FZ168" s="9" t="s">
        <v>3860</v>
      </c>
      <c r="GB168" s="9" t="s">
        <v>408</v>
      </c>
      <c r="GJ168" s="9" t="s">
        <v>920</v>
      </c>
      <c r="GK168" s="9" t="s">
        <v>1000</v>
      </c>
      <c r="GL168" s="9" t="s">
        <v>921</v>
      </c>
      <c r="GQ168" s="9" t="s">
        <v>3273</v>
      </c>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c r="HX168" s="10"/>
      <c r="HY168" s="10"/>
      <c r="HZ168" s="10"/>
      <c r="IA168" s="10"/>
      <c r="IB168" s="10"/>
      <c r="IC168" s="10"/>
      <c r="ID168" s="10"/>
      <c r="IE168" s="10"/>
      <c r="IF168" s="10"/>
      <c r="IG168" s="10"/>
      <c r="IH168" s="10"/>
      <c r="II168" s="10"/>
      <c r="IJ168" s="10"/>
      <c r="IK168" s="10"/>
      <c r="IL168" s="10"/>
      <c r="IM168" s="10"/>
      <c r="IN168" s="10"/>
      <c r="IO168" s="10"/>
      <c r="IP168" s="10"/>
      <c r="IQ168" s="10"/>
      <c r="IR168" s="10"/>
      <c r="IS168" s="10"/>
      <c r="IT168" s="10"/>
      <c r="IU168" s="10"/>
      <c r="IV168" s="10"/>
      <c r="IW168" s="10"/>
      <c r="IX168" s="10"/>
      <c r="IY168" s="10"/>
      <c r="IZ168" s="10"/>
      <c r="JA168" s="10"/>
      <c r="JB168" s="10"/>
      <c r="JC168" s="10"/>
      <c r="JD168" s="10"/>
      <c r="JE168" s="10"/>
      <c r="JF168" s="10"/>
      <c r="JG168" s="10"/>
      <c r="JH168" s="10"/>
      <c r="JI168" s="10"/>
      <c r="JJ168" s="10"/>
      <c r="JK168" s="10"/>
      <c r="JL168" s="10"/>
      <c r="JM168" s="10"/>
      <c r="JN168" s="10"/>
      <c r="JO168" s="10"/>
      <c r="JP168" s="10"/>
      <c r="JQ168" s="10"/>
      <c r="JR168" s="10"/>
      <c r="JS168" s="10"/>
      <c r="JT168" s="10"/>
      <c r="JU168" s="10"/>
      <c r="JV168" s="10"/>
      <c r="JW168" s="10"/>
      <c r="JX168" s="10"/>
      <c r="JY168" s="10"/>
      <c r="JZ168" s="10"/>
      <c r="KA168" s="10"/>
      <c r="KB168" s="10"/>
      <c r="KC168" s="10"/>
      <c r="KD168" s="10"/>
      <c r="KE168" s="10"/>
      <c r="KF168" s="10"/>
      <c r="KG168" s="10"/>
      <c r="KH168" s="10"/>
      <c r="KI168" s="10"/>
      <c r="KJ168" s="10"/>
      <c r="KK168" s="10"/>
      <c r="KL168" s="10"/>
      <c r="KM168" s="10"/>
      <c r="KN168" s="10"/>
      <c r="KO168" s="10"/>
      <c r="KP168" s="10"/>
      <c r="KQ168" s="10"/>
      <c r="KR168" s="10"/>
      <c r="KS168" s="10"/>
      <c r="KT168" s="10"/>
      <c r="KU168" s="10"/>
      <c r="KV168" s="10"/>
      <c r="KW168" s="10"/>
      <c r="KX168" s="10"/>
      <c r="KY168" s="10"/>
      <c r="KZ168" s="10"/>
      <c r="LA168" s="10"/>
      <c r="LB168" s="10"/>
      <c r="LC168" s="10"/>
      <c r="LD168" s="10"/>
      <c r="LE168" s="10"/>
      <c r="LF168" s="10"/>
      <c r="LG168" s="10"/>
      <c r="LH168" s="10"/>
      <c r="LI168" s="10"/>
      <c r="LJ168" s="10"/>
      <c r="LK168" s="10"/>
      <c r="LL168" s="10"/>
      <c r="LM168" s="10"/>
      <c r="LN168" s="10"/>
      <c r="LO168" s="10"/>
      <c r="LP168" s="10"/>
      <c r="LQ168" s="10"/>
      <c r="LR168" s="10"/>
      <c r="LS168" s="10"/>
      <c r="LT168" s="10"/>
      <c r="LU168" s="10"/>
      <c r="LV168" s="10"/>
      <c r="LW168" s="10"/>
      <c r="LX168" s="10"/>
      <c r="LY168" s="10"/>
      <c r="LZ168" s="10"/>
      <c r="MA168" s="10"/>
      <c r="MB168" s="10"/>
      <c r="MC168" s="10"/>
      <c r="MD168" s="10"/>
      <c r="ME168" s="10"/>
      <c r="MF168" s="10"/>
      <c r="MG168" s="10"/>
      <c r="MH168" s="10"/>
      <c r="MI168" s="10"/>
      <c r="MJ168" s="10"/>
      <c r="MK168" s="10"/>
      <c r="ML168" s="10"/>
      <c r="MM168" s="10"/>
      <c r="MN168" s="10"/>
      <c r="MO168" s="10"/>
      <c r="MP168" s="10"/>
      <c r="MQ168" s="10"/>
      <c r="MR168" s="10"/>
      <c r="MS168" s="10"/>
      <c r="MT168" s="10"/>
      <c r="MU168" s="10"/>
      <c r="MV168" s="10"/>
      <c r="MW168" s="10"/>
      <c r="MX168" s="10"/>
      <c r="MY168" s="10"/>
      <c r="MZ168" s="10"/>
      <c r="NA168" s="10"/>
      <c r="NB168" s="10"/>
      <c r="NC168" s="10"/>
      <c r="ND168" s="10"/>
    </row>
    <row r="169" ht="24.75" customHeight="1">
      <c r="A169" s="8">
        <v>45831.81648645834</v>
      </c>
      <c r="B169" s="9" t="s">
        <v>368</v>
      </c>
      <c r="C169" s="9" t="s">
        <v>894</v>
      </c>
      <c r="D169" s="9" t="s">
        <v>894</v>
      </c>
      <c r="G169" s="9" t="s">
        <v>422</v>
      </c>
      <c r="H169" s="9" t="s">
        <v>496</v>
      </c>
      <c r="I169" s="9" t="s">
        <v>374</v>
      </c>
      <c r="J169" s="9" t="s">
        <v>718</v>
      </c>
      <c r="K169" s="9" t="s">
        <v>376</v>
      </c>
      <c r="L169" s="9" t="s">
        <v>591</v>
      </c>
      <c r="M169" s="9" t="s">
        <v>378</v>
      </c>
      <c r="N169" s="9" t="s">
        <v>793</v>
      </c>
      <c r="O169" s="9" t="s">
        <v>1270</v>
      </c>
      <c r="P169" s="9" t="s">
        <v>498</v>
      </c>
      <c r="Q169" s="9" t="s">
        <v>862</v>
      </c>
      <c r="R169" s="9" t="s">
        <v>427</v>
      </c>
      <c r="S169" s="9" t="s">
        <v>384</v>
      </c>
      <c r="T169" s="9" t="s">
        <v>385</v>
      </c>
      <c r="U169" s="9" t="s">
        <v>3861</v>
      </c>
      <c r="V169" s="9" t="s">
        <v>896</v>
      </c>
      <c r="W169" s="9" t="s">
        <v>3231</v>
      </c>
      <c r="AV169" s="9" t="s">
        <v>390</v>
      </c>
      <c r="AW169" s="9">
        <v>2.0</v>
      </c>
      <c r="AX169" s="9" t="s">
        <v>391</v>
      </c>
      <c r="AY169" s="9">
        <v>2.0</v>
      </c>
      <c r="AZ169" s="9">
        <v>4.0</v>
      </c>
      <c r="BA169" s="9">
        <v>4.0</v>
      </c>
      <c r="BB169" s="9">
        <v>4.0</v>
      </c>
      <c r="BC169" s="9" t="s">
        <v>3862</v>
      </c>
      <c r="BD169" s="9" t="s">
        <v>3863</v>
      </c>
      <c r="BE169" s="9" t="s">
        <v>432</v>
      </c>
      <c r="BF169" s="9" t="s">
        <v>1047</v>
      </c>
      <c r="BG169" s="9" t="s">
        <v>394</v>
      </c>
      <c r="BH169" s="9" t="s">
        <v>3864</v>
      </c>
      <c r="BI169" s="9" t="s">
        <v>435</v>
      </c>
      <c r="BJ169" s="9" t="s">
        <v>3865</v>
      </c>
      <c r="BK169" s="9" t="s">
        <v>602</v>
      </c>
      <c r="BL169" s="9" t="s">
        <v>438</v>
      </c>
      <c r="BM169" s="9" t="s">
        <v>549</v>
      </c>
      <c r="BN169" s="9" t="s">
        <v>398</v>
      </c>
      <c r="BO169" s="9" t="s">
        <v>3866</v>
      </c>
      <c r="BP169" s="9" t="s">
        <v>3867</v>
      </c>
      <c r="BQ169" s="9" t="s">
        <v>442</v>
      </c>
      <c r="BR169" s="9" t="s">
        <v>3868</v>
      </c>
      <c r="BS169" s="9" t="s">
        <v>1671</v>
      </c>
      <c r="BT169" s="9" t="s">
        <v>1742</v>
      </c>
      <c r="BU169" s="9" t="s">
        <v>1831</v>
      </c>
      <c r="BV169" s="9" t="s">
        <v>3869</v>
      </c>
      <c r="BW169" s="9" t="s">
        <v>457</v>
      </c>
      <c r="BY169" s="9" t="s">
        <v>455</v>
      </c>
      <c r="BZ169" s="9" t="s">
        <v>3870</v>
      </c>
      <c r="CA169" s="9" t="s">
        <v>3871</v>
      </c>
      <c r="CB169" s="9" t="s">
        <v>3872</v>
      </c>
      <c r="CC169" s="9" t="s">
        <v>3873</v>
      </c>
      <c r="CD169" s="9" t="s">
        <v>451</v>
      </c>
      <c r="CE169" s="9" t="s">
        <v>3874</v>
      </c>
      <c r="CF169" s="9" t="s">
        <v>1258</v>
      </c>
      <c r="CH169" s="9" t="s">
        <v>1679</v>
      </c>
      <c r="CI169" s="9" t="s">
        <v>410</v>
      </c>
      <c r="CJ169" s="9" t="s">
        <v>3875</v>
      </c>
      <c r="CK169" s="9" t="s">
        <v>3876</v>
      </c>
      <c r="ET169" s="9" t="s">
        <v>578</v>
      </c>
      <c r="EU169" s="9" t="s">
        <v>887</v>
      </c>
      <c r="EV169" s="9" t="s">
        <v>480</v>
      </c>
      <c r="EX169" s="9" t="s">
        <v>3877</v>
      </c>
      <c r="EY169" s="9" t="s">
        <v>3878</v>
      </c>
      <c r="EZ169" s="9" t="s">
        <v>583</v>
      </c>
      <c r="FA169" s="9" t="s">
        <v>583</v>
      </c>
      <c r="FB169" s="9" t="s">
        <v>414</v>
      </c>
      <c r="FC169" s="9" t="s">
        <v>583</v>
      </c>
      <c r="FD169" s="9" t="s">
        <v>416</v>
      </c>
      <c r="FE169" s="9" t="s">
        <v>583</v>
      </c>
      <c r="FF169" s="9" t="s">
        <v>414</v>
      </c>
      <c r="FG169" s="9" t="s">
        <v>415</v>
      </c>
      <c r="FH169" s="9" t="s">
        <v>414</v>
      </c>
      <c r="FI169" s="9" t="s">
        <v>414</v>
      </c>
      <c r="FJ169" s="9" t="s">
        <v>414</v>
      </c>
      <c r="FK169" s="9" t="s">
        <v>414</v>
      </c>
      <c r="FL169" s="9" t="s">
        <v>414</v>
      </c>
      <c r="FM169" s="9" t="s">
        <v>415</v>
      </c>
      <c r="FN169" s="9" t="s">
        <v>414</v>
      </c>
      <c r="FO169" s="9" t="s">
        <v>1074</v>
      </c>
      <c r="FP169" s="9" t="s">
        <v>418</v>
      </c>
      <c r="FQ169" s="9" t="s">
        <v>419</v>
      </c>
      <c r="FR169" s="9" t="s">
        <v>3879</v>
      </c>
      <c r="FS169" s="9" t="s">
        <v>1871</v>
      </c>
      <c r="FT169" s="9" t="s">
        <v>421</v>
      </c>
      <c r="FU169" s="9" t="s">
        <v>489</v>
      </c>
      <c r="FV169" s="9" t="s">
        <v>1101</v>
      </c>
      <c r="FW169" s="9" t="s">
        <v>491</v>
      </c>
      <c r="FX169" s="9" t="s">
        <v>3880</v>
      </c>
      <c r="FY169" s="9" t="s">
        <v>1020</v>
      </c>
      <c r="FZ169" s="9" t="s">
        <v>3881</v>
      </c>
      <c r="GB169" s="9" t="s">
        <v>455</v>
      </c>
      <c r="GC169" s="9"/>
      <c r="GE169" s="9" t="s">
        <v>753</v>
      </c>
      <c r="GF169" s="9" t="s">
        <v>3882</v>
      </c>
      <c r="GJ169" s="9" t="s">
        <v>1000</v>
      </c>
      <c r="GK169" s="9" t="s">
        <v>1000</v>
      </c>
      <c r="GL169" s="9" t="s">
        <v>817</v>
      </c>
      <c r="GP169" s="9" t="s">
        <v>387</v>
      </c>
      <c r="GQ169" s="9" t="s">
        <v>3273</v>
      </c>
      <c r="GR169" s="10"/>
      <c r="GS169" s="10"/>
      <c r="GT169" s="10"/>
      <c r="GU169" s="10"/>
      <c r="GV169" s="10"/>
      <c r="GW169" s="10"/>
      <c r="GX169" s="10"/>
      <c r="GY169" s="10"/>
      <c r="GZ169" s="10"/>
      <c r="HA169" s="10"/>
      <c r="HB169" s="10"/>
      <c r="HC169" s="10"/>
      <c r="HD169" s="10"/>
      <c r="HE169" s="10"/>
      <c r="HF169" s="10"/>
      <c r="HG169" s="10"/>
      <c r="HH169" s="10"/>
      <c r="HI169" s="10"/>
      <c r="HJ169" s="10"/>
      <c r="HK169" s="10"/>
      <c r="HL169" s="10"/>
      <c r="HM169" s="10"/>
      <c r="HN169" s="10"/>
      <c r="HO169" s="10"/>
      <c r="HP169" s="10"/>
      <c r="HQ169" s="10"/>
      <c r="HR169" s="10"/>
      <c r="HS169" s="10"/>
      <c r="HT169" s="10"/>
      <c r="HU169" s="10"/>
      <c r="HV169" s="10"/>
      <c r="HW169" s="10"/>
      <c r="HX169" s="10"/>
      <c r="HY169" s="10"/>
      <c r="HZ169" s="10"/>
      <c r="IA169" s="10"/>
      <c r="IB169" s="10"/>
      <c r="IC169" s="10"/>
      <c r="ID169" s="10"/>
      <c r="IE169" s="10"/>
      <c r="IF169" s="10"/>
      <c r="IG169" s="10"/>
      <c r="IH169" s="10"/>
      <c r="II169" s="10"/>
      <c r="IJ169" s="10"/>
      <c r="IK169" s="10"/>
      <c r="IL169" s="10"/>
      <c r="IM169" s="10"/>
      <c r="IN169" s="10"/>
      <c r="IO169" s="10"/>
      <c r="IP169" s="10"/>
      <c r="IQ169" s="10"/>
      <c r="IR169" s="10"/>
      <c r="IS169" s="10"/>
      <c r="IT169" s="10"/>
      <c r="IU169" s="10"/>
      <c r="IV169" s="10"/>
      <c r="IW169" s="10"/>
      <c r="IX169" s="10"/>
      <c r="IY169" s="10"/>
      <c r="IZ169" s="10"/>
      <c r="JA169" s="10"/>
      <c r="JB169" s="10"/>
      <c r="JC169" s="10"/>
      <c r="JD169" s="10"/>
      <c r="JE169" s="10"/>
      <c r="JF169" s="10"/>
      <c r="JG169" s="10"/>
      <c r="JH169" s="10"/>
      <c r="JI169" s="10"/>
      <c r="JJ169" s="10"/>
      <c r="JK169" s="10"/>
      <c r="JL169" s="10"/>
      <c r="JM169" s="10"/>
      <c r="JN169" s="10"/>
      <c r="JO169" s="10"/>
      <c r="JP169" s="10"/>
      <c r="JQ169" s="10"/>
      <c r="JR169" s="10"/>
      <c r="JS169" s="10"/>
      <c r="JT169" s="10"/>
      <c r="JU169" s="10"/>
      <c r="JV169" s="10"/>
      <c r="JW169" s="10"/>
      <c r="JX169" s="10"/>
      <c r="JY169" s="10"/>
      <c r="JZ169" s="10"/>
      <c r="KA169" s="10"/>
      <c r="KB169" s="10"/>
      <c r="KC169" s="10"/>
      <c r="KD169" s="10"/>
      <c r="KE169" s="10"/>
      <c r="KF169" s="10"/>
      <c r="KG169" s="10"/>
      <c r="KH169" s="10"/>
      <c r="KI169" s="10"/>
      <c r="KJ169" s="10"/>
      <c r="KK169" s="10"/>
      <c r="KL169" s="10"/>
      <c r="KM169" s="10"/>
      <c r="KN169" s="10"/>
      <c r="KO169" s="10"/>
      <c r="KP169" s="10"/>
      <c r="KQ169" s="10"/>
      <c r="KR169" s="10"/>
      <c r="KS169" s="10"/>
      <c r="KT169" s="10"/>
      <c r="KU169" s="10"/>
      <c r="KV169" s="10"/>
      <c r="KW169" s="10"/>
      <c r="KX169" s="10"/>
      <c r="KY169" s="10"/>
      <c r="KZ169" s="10"/>
      <c r="LA169" s="10"/>
      <c r="LB169" s="10"/>
      <c r="LC169" s="10"/>
      <c r="LD169" s="10"/>
      <c r="LE169" s="10"/>
      <c r="LF169" s="10"/>
      <c r="LG169" s="10"/>
      <c r="LH169" s="10"/>
      <c r="LI169" s="10"/>
      <c r="LJ169" s="10"/>
      <c r="LK169" s="10"/>
      <c r="LL169" s="10"/>
      <c r="LM169" s="10"/>
      <c r="LN169" s="10"/>
      <c r="LO169" s="10"/>
      <c r="LP169" s="10"/>
      <c r="LQ169" s="10"/>
      <c r="LR169" s="10"/>
      <c r="LS169" s="10"/>
      <c r="LT169" s="10"/>
      <c r="LU169" s="10"/>
      <c r="LV169" s="10"/>
      <c r="LW169" s="10"/>
      <c r="LX169" s="10"/>
      <c r="LY169" s="10"/>
      <c r="LZ169" s="10"/>
      <c r="MA169" s="10"/>
      <c r="MB169" s="10"/>
      <c r="MC169" s="10"/>
      <c r="MD169" s="10"/>
      <c r="ME169" s="10"/>
      <c r="MF169" s="10"/>
      <c r="MG169" s="10"/>
      <c r="MH169" s="10"/>
      <c r="MI169" s="10"/>
      <c r="MJ169" s="10"/>
      <c r="MK169" s="10"/>
      <c r="ML169" s="10"/>
      <c r="MM169" s="10"/>
      <c r="MN169" s="10"/>
      <c r="MO169" s="10"/>
      <c r="MP169" s="10"/>
      <c r="MQ169" s="10"/>
      <c r="MR169" s="10"/>
      <c r="MS169" s="10"/>
      <c r="MT169" s="10"/>
      <c r="MU169" s="10"/>
      <c r="MV169" s="10"/>
      <c r="MW169" s="10"/>
      <c r="MX169" s="10"/>
      <c r="MY169" s="10"/>
      <c r="MZ169" s="10"/>
      <c r="NA169" s="10"/>
      <c r="NB169" s="10"/>
      <c r="NC169" s="10"/>
      <c r="ND169" s="10"/>
    </row>
    <row r="170" ht="24.75" customHeight="1">
      <c r="A170" s="8">
        <v>45831.93652824074</v>
      </c>
      <c r="B170" s="9" t="s">
        <v>368</v>
      </c>
      <c r="C170" s="9" t="s">
        <v>370</v>
      </c>
      <c r="E170" s="9" t="s">
        <v>1382</v>
      </c>
      <c r="G170" s="9" t="s">
        <v>3883</v>
      </c>
      <c r="H170" s="9" t="s">
        <v>637</v>
      </c>
      <c r="I170" s="9" t="s">
        <v>638</v>
      </c>
      <c r="J170" s="9" t="s">
        <v>425</v>
      </c>
      <c r="K170" s="9" t="s">
        <v>376</v>
      </c>
      <c r="L170" s="9" t="s">
        <v>377</v>
      </c>
      <c r="M170" s="9" t="s">
        <v>2464</v>
      </c>
      <c r="N170" s="9" t="s">
        <v>591</v>
      </c>
      <c r="O170" s="9" t="s">
        <v>3884</v>
      </c>
      <c r="P170" s="9" t="s">
        <v>1760</v>
      </c>
      <c r="Q170" s="9" t="s">
        <v>1156</v>
      </c>
      <c r="R170" s="9" t="s">
        <v>3885</v>
      </c>
      <c r="S170" s="9" t="s">
        <v>3886</v>
      </c>
      <c r="T170" s="9" t="s">
        <v>385</v>
      </c>
      <c r="W170" s="9" t="s">
        <v>593</v>
      </c>
      <c r="X170" s="9" t="s">
        <v>387</v>
      </c>
      <c r="Y170" s="9" t="s">
        <v>594</v>
      </c>
      <c r="Z170" s="9" t="s">
        <v>502</v>
      </c>
      <c r="AA170" s="9" t="s">
        <v>3887</v>
      </c>
      <c r="AB170" s="9" t="s">
        <v>3888</v>
      </c>
      <c r="AV170" s="9" t="s">
        <v>504</v>
      </c>
      <c r="AW170" s="9" t="s">
        <v>429</v>
      </c>
      <c r="AX170" s="9" t="s">
        <v>429</v>
      </c>
      <c r="AY170" s="9" t="s">
        <v>429</v>
      </c>
      <c r="AZ170" s="9" t="s">
        <v>429</v>
      </c>
      <c r="BA170" s="9" t="s">
        <v>429</v>
      </c>
      <c r="BB170" s="9" t="s">
        <v>429</v>
      </c>
      <c r="BC170" s="9" t="s">
        <v>3889</v>
      </c>
      <c r="BD170" s="9" t="s">
        <v>3890</v>
      </c>
      <c r="BE170" s="9" t="s">
        <v>392</v>
      </c>
      <c r="BF170" s="9" t="s">
        <v>433</v>
      </c>
      <c r="BG170" s="9" t="s">
        <v>678</v>
      </c>
      <c r="BH170" s="9" t="s">
        <v>3891</v>
      </c>
      <c r="BI170" s="9" t="s">
        <v>509</v>
      </c>
      <c r="BJ170" s="9" t="s">
        <v>3892</v>
      </c>
      <c r="BK170" s="9" t="s">
        <v>511</v>
      </c>
      <c r="BL170" s="9" t="s">
        <v>512</v>
      </c>
      <c r="BM170" s="9" t="s">
        <v>439</v>
      </c>
      <c r="BN170" s="9" t="s">
        <v>440</v>
      </c>
      <c r="CL170" s="9" t="s">
        <v>441</v>
      </c>
      <c r="CM170" s="9" t="s">
        <v>604</v>
      </c>
      <c r="CN170" s="9" t="s">
        <v>3893</v>
      </c>
      <c r="CO170" s="9" t="s">
        <v>3894</v>
      </c>
      <c r="CP170" s="9" t="s">
        <v>1008</v>
      </c>
      <c r="CQ170" s="9" t="s">
        <v>3895</v>
      </c>
      <c r="CR170" s="9" t="s">
        <v>804</v>
      </c>
      <c r="CS170" s="9" t="s">
        <v>3896</v>
      </c>
      <c r="CT170" s="9" t="s">
        <v>913</v>
      </c>
      <c r="CU170" s="9" t="s">
        <v>450</v>
      </c>
      <c r="CV170" s="9" t="s">
        <v>451</v>
      </c>
      <c r="CW170" s="9" t="s">
        <v>3897</v>
      </c>
      <c r="CX170" s="9" t="s">
        <v>733</v>
      </c>
      <c r="CZ170" s="9" t="s">
        <v>453</v>
      </c>
      <c r="DA170" s="9" t="s">
        <v>3898</v>
      </c>
      <c r="DB170" s="9" t="s">
        <v>455</v>
      </c>
      <c r="DC170" s="9" t="s">
        <v>3899</v>
      </c>
      <c r="DD170" s="9" t="s">
        <v>457</v>
      </c>
      <c r="DF170" s="9" t="s">
        <v>3900</v>
      </c>
      <c r="DG170" s="9" t="s">
        <v>524</v>
      </c>
      <c r="DH170" s="9" t="s">
        <v>410</v>
      </c>
      <c r="DI170" s="9" t="s">
        <v>459</v>
      </c>
      <c r="DJ170" s="9" t="s">
        <v>613</v>
      </c>
      <c r="DM170" s="9" t="s">
        <v>3901</v>
      </c>
      <c r="DN170" s="9" t="s">
        <v>3902</v>
      </c>
      <c r="DO170" s="9" t="s">
        <v>464</v>
      </c>
      <c r="DP170" s="9" t="s">
        <v>3903</v>
      </c>
      <c r="DQ170" s="9" t="s">
        <v>1553</v>
      </c>
      <c r="DR170" s="9" t="s">
        <v>3904</v>
      </c>
      <c r="DS170" s="9" t="s">
        <v>468</v>
      </c>
      <c r="DT170" s="9" t="s">
        <v>3611</v>
      </c>
      <c r="DU170" s="9" t="s">
        <v>3905</v>
      </c>
      <c r="DV170" s="9" t="s">
        <v>3906</v>
      </c>
      <c r="DW170" s="9" t="s">
        <v>622</v>
      </c>
      <c r="DX170" s="9" t="s">
        <v>3907</v>
      </c>
      <c r="DY170" s="9" t="s">
        <v>3908</v>
      </c>
      <c r="DZ170" s="9" t="s">
        <v>3909</v>
      </c>
      <c r="EA170" s="9" t="s">
        <v>475</v>
      </c>
      <c r="EB170" s="9" t="s">
        <v>845</v>
      </c>
      <c r="EC170" s="9" t="s">
        <v>3910</v>
      </c>
      <c r="ET170" s="9" t="s">
        <v>478</v>
      </c>
      <c r="EU170" s="9" t="s">
        <v>479</v>
      </c>
      <c r="EV170" s="9" t="s">
        <v>778</v>
      </c>
      <c r="EW170" s="9" t="s">
        <v>3911</v>
      </c>
      <c r="EX170" s="9" t="s">
        <v>3912</v>
      </c>
      <c r="EY170" s="9" t="s">
        <v>3913</v>
      </c>
      <c r="EZ170" s="9" t="s">
        <v>583</v>
      </c>
      <c r="FA170" s="9" t="s">
        <v>583</v>
      </c>
      <c r="FB170" s="9" t="s">
        <v>583</v>
      </c>
      <c r="FC170" s="9" t="s">
        <v>583</v>
      </c>
      <c r="FD170" s="9" t="s">
        <v>583</v>
      </c>
      <c r="FE170" s="9" t="s">
        <v>583</v>
      </c>
      <c r="FF170" s="9" t="s">
        <v>583</v>
      </c>
      <c r="FG170" s="9" t="s">
        <v>413</v>
      </c>
      <c r="FH170" s="9" t="s">
        <v>583</v>
      </c>
      <c r="FI170" s="9" t="s">
        <v>583</v>
      </c>
      <c r="FJ170" s="9" t="s">
        <v>583</v>
      </c>
      <c r="FK170" s="9" t="s">
        <v>583</v>
      </c>
      <c r="FL170" s="9" t="s">
        <v>583</v>
      </c>
      <c r="FM170" s="9" t="s">
        <v>413</v>
      </c>
      <c r="FN170" s="9" t="s">
        <v>583</v>
      </c>
      <c r="FO170" s="9" t="s">
        <v>417</v>
      </c>
      <c r="FP170" s="9" t="s">
        <v>418</v>
      </c>
      <c r="FQ170" s="9" t="s">
        <v>712</v>
      </c>
      <c r="FR170" s="9" t="s">
        <v>3914</v>
      </c>
      <c r="FS170" s="9" t="s">
        <v>420</v>
      </c>
      <c r="FT170" s="9" t="s">
        <v>488</v>
      </c>
      <c r="FU170" s="9" t="s">
        <v>533</v>
      </c>
      <c r="FV170" s="9" t="s">
        <v>490</v>
      </c>
      <c r="FW170" s="9" t="s">
        <v>491</v>
      </c>
      <c r="FX170" s="9" t="s">
        <v>3915</v>
      </c>
      <c r="FY170" s="9" t="s">
        <v>535</v>
      </c>
      <c r="FZ170" s="9" t="s">
        <v>3916</v>
      </c>
      <c r="GA170" s="9" t="s">
        <v>408</v>
      </c>
      <c r="GB170" s="9" t="s">
        <v>455</v>
      </c>
      <c r="GC170" s="9"/>
      <c r="GD170" s="9"/>
      <c r="GE170" s="9" t="s">
        <v>753</v>
      </c>
      <c r="GF170" s="9" t="s">
        <v>3917</v>
      </c>
      <c r="GG170" s="9" t="s">
        <v>755</v>
      </c>
      <c r="GH170" s="9" t="s">
        <v>755</v>
      </c>
      <c r="GI170" s="9" t="s">
        <v>946</v>
      </c>
      <c r="GM170" s="9" t="s">
        <v>1079</v>
      </c>
      <c r="GQ170" s="9" t="s">
        <v>3918</v>
      </c>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c r="HX170" s="10"/>
      <c r="HY170" s="10"/>
      <c r="HZ170" s="10"/>
      <c r="IA170" s="10"/>
      <c r="IB170" s="10"/>
      <c r="IC170" s="10"/>
      <c r="ID170" s="10"/>
      <c r="IE170" s="10"/>
      <c r="IF170" s="10"/>
      <c r="IG170" s="10"/>
      <c r="IH170" s="10"/>
      <c r="II170" s="10"/>
      <c r="IJ170" s="10"/>
      <c r="IK170" s="10"/>
      <c r="IL170" s="10"/>
      <c r="IM170" s="10"/>
      <c r="IN170" s="10"/>
      <c r="IO170" s="10"/>
      <c r="IP170" s="10"/>
      <c r="IQ170" s="10"/>
      <c r="IR170" s="10"/>
      <c r="IS170" s="10"/>
      <c r="IT170" s="10"/>
      <c r="IU170" s="10"/>
      <c r="IV170" s="10"/>
      <c r="IW170" s="10"/>
      <c r="IX170" s="10"/>
      <c r="IY170" s="10"/>
      <c r="IZ170" s="10"/>
      <c r="JA170" s="10"/>
      <c r="JB170" s="10"/>
      <c r="JC170" s="10"/>
      <c r="JD170" s="10"/>
      <c r="JE170" s="10"/>
      <c r="JF170" s="10"/>
      <c r="JG170" s="10"/>
      <c r="JH170" s="10"/>
      <c r="JI170" s="10"/>
      <c r="JJ170" s="10"/>
      <c r="JK170" s="10"/>
      <c r="JL170" s="10"/>
      <c r="JM170" s="10"/>
      <c r="JN170" s="10"/>
      <c r="JO170" s="10"/>
      <c r="JP170" s="10"/>
      <c r="JQ170" s="10"/>
      <c r="JR170" s="10"/>
      <c r="JS170" s="10"/>
      <c r="JT170" s="10"/>
      <c r="JU170" s="10"/>
      <c r="JV170" s="10"/>
      <c r="JW170" s="10"/>
      <c r="JX170" s="10"/>
      <c r="JY170" s="10"/>
      <c r="JZ170" s="10"/>
      <c r="KA170" s="10"/>
      <c r="KB170" s="10"/>
      <c r="KC170" s="10"/>
      <c r="KD170" s="10"/>
      <c r="KE170" s="10"/>
      <c r="KF170" s="10"/>
      <c r="KG170" s="10"/>
      <c r="KH170" s="10"/>
      <c r="KI170" s="10"/>
      <c r="KJ170" s="10"/>
      <c r="KK170" s="10"/>
      <c r="KL170" s="10"/>
      <c r="KM170" s="10"/>
      <c r="KN170" s="10"/>
      <c r="KO170" s="10"/>
      <c r="KP170" s="10"/>
      <c r="KQ170" s="10"/>
      <c r="KR170" s="10"/>
      <c r="KS170" s="10"/>
      <c r="KT170" s="10"/>
      <c r="KU170" s="10"/>
      <c r="KV170" s="10"/>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S170" s="10"/>
      <c r="LT170" s="10"/>
      <c r="LU170" s="10"/>
      <c r="LV170" s="10"/>
      <c r="LW170" s="10"/>
      <c r="LX170" s="10"/>
      <c r="LY170" s="10"/>
      <c r="LZ170" s="10"/>
      <c r="MA170" s="10"/>
      <c r="MB170" s="10"/>
      <c r="MC170" s="10"/>
      <c r="MD170" s="10"/>
      <c r="ME170" s="10"/>
      <c r="MF170" s="10"/>
      <c r="MG170" s="10"/>
      <c r="MH170" s="10"/>
      <c r="MI170" s="10"/>
      <c r="MJ170" s="10"/>
      <c r="MK170" s="10"/>
      <c r="ML170" s="10"/>
      <c r="MM170" s="10"/>
      <c r="MN170" s="10"/>
      <c r="MO170" s="10"/>
      <c r="MP170" s="10"/>
      <c r="MQ170" s="10"/>
      <c r="MR170" s="10"/>
      <c r="MS170" s="10"/>
      <c r="MT170" s="10"/>
      <c r="MU170" s="10"/>
      <c r="MV170" s="10"/>
      <c r="MW170" s="10"/>
      <c r="MX170" s="10"/>
      <c r="MY170" s="10"/>
      <c r="MZ170" s="10"/>
      <c r="NA170" s="10"/>
      <c r="NB170" s="10"/>
      <c r="NC170" s="10"/>
      <c r="ND170" s="10"/>
    </row>
    <row r="171" ht="24.75" customHeight="1">
      <c r="A171" s="8">
        <v>45832.168814212964</v>
      </c>
      <c r="B171" s="9" t="s">
        <v>368</v>
      </c>
      <c r="C171" s="9" t="s">
        <v>370</v>
      </c>
      <c r="E171" s="9" t="s">
        <v>667</v>
      </c>
      <c r="G171" s="9" t="s">
        <v>792</v>
      </c>
      <c r="H171" s="9" t="s">
        <v>373</v>
      </c>
      <c r="I171" s="9" t="s">
        <v>374</v>
      </c>
      <c r="J171" s="9" t="s">
        <v>375</v>
      </c>
      <c r="K171" s="9" t="s">
        <v>376</v>
      </c>
      <c r="L171" s="9" t="s">
        <v>379</v>
      </c>
      <c r="M171" s="9" t="s">
        <v>3919</v>
      </c>
      <c r="N171" s="9" t="s">
        <v>670</v>
      </c>
      <c r="O171" s="9" t="s">
        <v>720</v>
      </c>
      <c r="P171" s="9" t="s">
        <v>381</v>
      </c>
      <c r="Q171" s="9" t="s">
        <v>1156</v>
      </c>
      <c r="R171" s="9" t="s">
        <v>427</v>
      </c>
      <c r="S171" s="9" t="s">
        <v>384</v>
      </c>
      <c r="T171" s="9" t="s">
        <v>385</v>
      </c>
      <c r="W171" s="9" t="s">
        <v>3014</v>
      </c>
      <c r="AV171" s="9" t="s">
        <v>504</v>
      </c>
      <c r="AW171" s="9" t="s">
        <v>429</v>
      </c>
      <c r="AX171" s="9" t="s">
        <v>429</v>
      </c>
      <c r="AY171" s="9" t="s">
        <v>429</v>
      </c>
      <c r="AZ171" s="9" t="s">
        <v>429</v>
      </c>
      <c r="BA171" s="9" t="s">
        <v>429</v>
      </c>
      <c r="BB171" s="9" t="s">
        <v>429</v>
      </c>
      <c r="BC171" s="9" t="s">
        <v>3920</v>
      </c>
      <c r="BD171" s="9" t="s">
        <v>3921</v>
      </c>
      <c r="BE171" s="9" t="s">
        <v>392</v>
      </c>
      <c r="BF171" s="9" t="s">
        <v>433</v>
      </c>
      <c r="BG171" s="9" t="s">
        <v>678</v>
      </c>
      <c r="BI171" s="9" t="s">
        <v>976</v>
      </c>
      <c r="BK171" s="9" t="s">
        <v>681</v>
      </c>
      <c r="BL171" s="9" t="s">
        <v>904</v>
      </c>
      <c r="BM171" s="9" t="s">
        <v>439</v>
      </c>
      <c r="BN171" s="9" t="s">
        <v>513</v>
      </c>
      <c r="CL171" s="9" t="s">
        <v>953</v>
      </c>
      <c r="CM171" s="9" t="s">
        <v>401</v>
      </c>
      <c r="CN171" s="9" t="s">
        <v>2829</v>
      </c>
      <c r="CO171" s="9" t="s">
        <v>3922</v>
      </c>
      <c r="CP171" s="9" t="s">
        <v>979</v>
      </c>
      <c r="CQ171" s="9" t="s">
        <v>3923</v>
      </c>
      <c r="CR171" s="9" t="s">
        <v>804</v>
      </c>
      <c r="CS171" s="9" t="s">
        <v>3924</v>
      </c>
      <c r="CT171" s="9" t="s">
        <v>3925</v>
      </c>
      <c r="CU171" s="9" t="s">
        <v>450</v>
      </c>
      <c r="CV171" s="9" t="s">
        <v>451</v>
      </c>
      <c r="CW171" s="9" t="s">
        <v>3926</v>
      </c>
      <c r="CX171" s="9" t="s">
        <v>733</v>
      </c>
      <c r="CZ171" s="9" t="s">
        <v>453</v>
      </c>
      <c r="DA171" s="9" t="s">
        <v>3927</v>
      </c>
      <c r="DB171" s="9" t="s">
        <v>455</v>
      </c>
      <c r="DC171" s="9" t="s">
        <v>3928</v>
      </c>
      <c r="DD171" s="9" t="s">
        <v>457</v>
      </c>
      <c r="DF171" s="9" t="s">
        <v>3929</v>
      </c>
      <c r="DG171" s="9" t="s">
        <v>776</v>
      </c>
      <c r="DH171" s="9" t="s">
        <v>410</v>
      </c>
      <c r="DI171" s="9" t="s">
        <v>459</v>
      </c>
      <c r="DJ171" s="9" t="s">
        <v>460</v>
      </c>
      <c r="DK171" s="9" t="s">
        <v>563</v>
      </c>
      <c r="DL171" s="9" t="s">
        <v>3930</v>
      </c>
      <c r="ET171" s="9" t="s">
        <v>526</v>
      </c>
      <c r="EV171" s="9" t="s">
        <v>480</v>
      </c>
      <c r="EX171" s="9" t="s">
        <v>3931</v>
      </c>
      <c r="EY171" s="9" t="s">
        <v>3932</v>
      </c>
      <c r="EZ171" s="9" t="s">
        <v>583</v>
      </c>
      <c r="FA171" s="9" t="s">
        <v>583</v>
      </c>
      <c r="FB171" s="9" t="s">
        <v>583</v>
      </c>
      <c r="FC171" s="9" t="s">
        <v>583</v>
      </c>
      <c r="FD171" s="9" t="s">
        <v>583</v>
      </c>
      <c r="FE171" s="9" t="s">
        <v>583</v>
      </c>
      <c r="FF171" s="9" t="s">
        <v>583</v>
      </c>
      <c r="FG171" s="9" t="s">
        <v>415</v>
      </c>
      <c r="FH171" s="9" t="s">
        <v>415</v>
      </c>
      <c r="FI171" s="9" t="s">
        <v>583</v>
      </c>
      <c r="FJ171" s="9" t="s">
        <v>583</v>
      </c>
      <c r="FK171" s="9" t="s">
        <v>583</v>
      </c>
      <c r="FL171" s="9" t="s">
        <v>583</v>
      </c>
      <c r="FM171" s="9" t="s">
        <v>415</v>
      </c>
      <c r="FN171" s="9" t="s">
        <v>415</v>
      </c>
      <c r="FO171" s="9" t="s">
        <v>417</v>
      </c>
      <c r="FP171" s="9" t="s">
        <v>2524</v>
      </c>
      <c r="FQ171" s="9" t="s">
        <v>630</v>
      </c>
      <c r="FR171" s="9" t="s">
        <v>3933</v>
      </c>
      <c r="FS171" s="9" t="s">
        <v>420</v>
      </c>
      <c r="FT171" s="9" t="s">
        <v>488</v>
      </c>
      <c r="FU171" s="9" t="s">
        <v>533</v>
      </c>
      <c r="FV171" s="9" t="s">
        <v>490</v>
      </c>
      <c r="FW171" s="9" t="s">
        <v>491</v>
      </c>
      <c r="FX171" s="9" t="s">
        <v>3934</v>
      </c>
      <c r="FY171" s="9" t="s">
        <v>535</v>
      </c>
      <c r="FZ171" s="9" t="s">
        <v>3935</v>
      </c>
      <c r="GA171" s="9" t="s">
        <v>3936</v>
      </c>
      <c r="GB171" s="9" t="s">
        <v>455</v>
      </c>
      <c r="GC171" s="9"/>
      <c r="GE171" s="9" t="s">
        <v>1339</v>
      </c>
      <c r="GG171" s="9" t="s">
        <v>755</v>
      </c>
      <c r="GH171" s="9" t="s">
        <v>755</v>
      </c>
      <c r="GI171" s="9" t="s">
        <v>946</v>
      </c>
      <c r="GQ171" s="9" t="s">
        <v>3937</v>
      </c>
      <c r="GR171" s="10"/>
      <c r="GS171" s="10"/>
      <c r="GT171" s="10"/>
      <c r="GU171" s="10"/>
      <c r="GV171" s="10"/>
      <c r="GW171" s="10"/>
      <c r="GX171" s="10"/>
      <c r="GY171" s="10"/>
      <c r="GZ171" s="10"/>
      <c r="HA171" s="10"/>
      <c r="HB171" s="10"/>
      <c r="HC171" s="10"/>
      <c r="HD171" s="10"/>
      <c r="HE171" s="10"/>
      <c r="HF171" s="10"/>
      <c r="HG171" s="10"/>
      <c r="HH171" s="10"/>
      <c r="HI171" s="10"/>
      <c r="HJ171" s="10"/>
      <c r="HK171" s="10"/>
      <c r="HL171" s="10"/>
      <c r="HM171" s="10"/>
      <c r="HN171" s="10"/>
      <c r="HO171" s="10"/>
      <c r="HP171" s="10"/>
      <c r="HQ171" s="10"/>
      <c r="HR171" s="10"/>
      <c r="HS171" s="10"/>
      <c r="HT171" s="10"/>
      <c r="HU171" s="10"/>
      <c r="HV171" s="10"/>
      <c r="HW171" s="10"/>
      <c r="HX171" s="10"/>
      <c r="HY171" s="10"/>
      <c r="HZ171" s="10"/>
      <c r="IA171" s="10"/>
      <c r="IB171" s="10"/>
      <c r="IC171" s="10"/>
      <c r="ID171" s="10"/>
      <c r="IE171" s="10"/>
      <c r="IF171" s="10"/>
      <c r="IG171" s="10"/>
      <c r="IH171" s="10"/>
      <c r="II171" s="10"/>
      <c r="IJ171" s="10"/>
      <c r="IK171" s="10"/>
      <c r="IL171" s="10"/>
      <c r="IM171" s="10"/>
      <c r="IN171" s="10"/>
      <c r="IO171" s="10"/>
      <c r="IP171" s="10"/>
      <c r="IQ171" s="10"/>
      <c r="IR171" s="10"/>
      <c r="IS171" s="10"/>
      <c r="IT171" s="10"/>
      <c r="IU171" s="10"/>
      <c r="IV171" s="10"/>
      <c r="IW171" s="10"/>
      <c r="IX171" s="10"/>
      <c r="IY171" s="10"/>
      <c r="IZ171" s="10"/>
      <c r="JA171" s="10"/>
      <c r="JB171" s="10"/>
      <c r="JC171" s="10"/>
      <c r="JD171" s="10"/>
      <c r="JE171" s="10"/>
      <c r="JF171" s="10"/>
      <c r="JG171" s="10"/>
      <c r="JH171" s="10"/>
      <c r="JI171" s="10"/>
      <c r="JJ171" s="10"/>
      <c r="JK171" s="10"/>
      <c r="JL171" s="10"/>
      <c r="JM171" s="10"/>
      <c r="JN171" s="10"/>
      <c r="JO171" s="10"/>
      <c r="JP171" s="10"/>
      <c r="JQ171" s="10"/>
      <c r="JR171" s="10"/>
      <c r="JS171" s="10"/>
      <c r="JT171" s="10"/>
      <c r="JU171" s="10"/>
      <c r="JV171" s="10"/>
      <c r="JW171" s="10"/>
      <c r="JX171" s="10"/>
      <c r="JY171" s="10"/>
      <c r="JZ171" s="10"/>
      <c r="KA171" s="10"/>
      <c r="KB171" s="10"/>
      <c r="KC171" s="10"/>
      <c r="KD171" s="10"/>
      <c r="KE171" s="10"/>
      <c r="KF171" s="10"/>
      <c r="KG171" s="10"/>
      <c r="KH171" s="10"/>
      <c r="KI171" s="10"/>
      <c r="KJ171" s="10"/>
      <c r="KK171" s="10"/>
      <c r="KL171" s="10"/>
      <c r="KM171" s="10"/>
      <c r="KN171" s="10"/>
      <c r="KO171" s="10"/>
      <c r="KP171" s="10"/>
      <c r="KQ171" s="10"/>
      <c r="KR171" s="10"/>
      <c r="KS171" s="10"/>
      <c r="KT171" s="10"/>
      <c r="KU171" s="10"/>
      <c r="KV171" s="10"/>
      <c r="KW171" s="10"/>
      <c r="KX171" s="10"/>
      <c r="KY171" s="10"/>
      <c r="KZ171" s="10"/>
      <c r="LA171" s="10"/>
      <c r="LB171" s="10"/>
      <c r="LC171" s="10"/>
      <c r="LD171" s="10"/>
      <c r="LE171" s="10"/>
      <c r="LF171" s="10"/>
      <c r="LG171" s="10"/>
      <c r="LH171" s="10"/>
      <c r="LI171" s="10"/>
      <c r="LJ171" s="10"/>
      <c r="LK171" s="10"/>
      <c r="LL171" s="10"/>
      <c r="LM171" s="10"/>
      <c r="LN171" s="10"/>
      <c r="LO171" s="10"/>
      <c r="LP171" s="10"/>
      <c r="LQ171" s="10"/>
      <c r="LR171" s="10"/>
      <c r="LS171" s="10"/>
      <c r="LT171" s="10"/>
      <c r="LU171" s="10"/>
      <c r="LV171" s="10"/>
      <c r="LW171" s="10"/>
      <c r="LX171" s="10"/>
      <c r="LY171" s="10"/>
      <c r="LZ171" s="10"/>
      <c r="MA171" s="10"/>
      <c r="MB171" s="10"/>
      <c r="MC171" s="10"/>
      <c r="MD171" s="10"/>
      <c r="ME171" s="10"/>
      <c r="MF171" s="10"/>
      <c r="MG171" s="10"/>
      <c r="MH171" s="10"/>
      <c r="MI171" s="10"/>
      <c r="MJ171" s="10"/>
      <c r="MK171" s="10"/>
      <c r="ML171" s="10"/>
      <c r="MM171" s="10"/>
      <c r="MN171" s="10"/>
      <c r="MO171" s="10"/>
      <c r="MP171" s="10"/>
      <c r="MQ171" s="10"/>
      <c r="MR171" s="10"/>
      <c r="MS171" s="10"/>
      <c r="MT171" s="10"/>
      <c r="MU171" s="10"/>
      <c r="MV171" s="10"/>
      <c r="MW171" s="10"/>
      <c r="MX171" s="10"/>
      <c r="MY171" s="10"/>
      <c r="MZ171" s="10"/>
      <c r="NA171" s="10"/>
      <c r="NB171" s="10"/>
      <c r="NC171" s="10"/>
      <c r="ND171" s="10"/>
    </row>
    <row r="172" ht="24.75" customHeight="1">
      <c r="A172" s="8">
        <v>45832.22020383102</v>
      </c>
      <c r="B172" s="9" t="s">
        <v>368</v>
      </c>
      <c r="C172" s="9" t="s">
        <v>370</v>
      </c>
      <c r="E172" s="9" t="s">
        <v>757</v>
      </c>
      <c r="G172" s="9" t="s">
        <v>422</v>
      </c>
      <c r="H172" s="9" t="s">
        <v>373</v>
      </c>
      <c r="I172" s="9" t="s">
        <v>638</v>
      </c>
      <c r="J172" s="9" t="s">
        <v>425</v>
      </c>
      <c r="K172" s="9" t="s">
        <v>376</v>
      </c>
      <c r="L172" s="9" t="s">
        <v>1526</v>
      </c>
      <c r="M172" s="9" t="s">
        <v>720</v>
      </c>
      <c r="N172" s="9" t="s">
        <v>1526</v>
      </c>
      <c r="O172" s="9" t="s">
        <v>380</v>
      </c>
      <c r="P172" s="9" t="s">
        <v>498</v>
      </c>
      <c r="Q172" s="9" t="s">
        <v>818</v>
      </c>
      <c r="R172" s="9" t="s">
        <v>427</v>
      </c>
      <c r="S172" s="9" t="s">
        <v>384</v>
      </c>
      <c r="T172" s="9" t="s">
        <v>385</v>
      </c>
      <c r="W172" s="9" t="s">
        <v>386</v>
      </c>
      <c r="X172" s="9" t="s">
        <v>387</v>
      </c>
      <c r="Y172" s="9" t="s">
        <v>761</v>
      </c>
      <c r="Z172" s="9" t="s">
        <v>543</v>
      </c>
      <c r="AV172" s="9" t="s">
        <v>1310</v>
      </c>
      <c r="AW172" s="9" t="s">
        <v>675</v>
      </c>
      <c r="AX172" s="9" t="s">
        <v>675</v>
      </c>
      <c r="AY172" s="9" t="s">
        <v>675</v>
      </c>
      <c r="AZ172" s="9" t="s">
        <v>675</v>
      </c>
      <c r="BA172" s="9" t="s">
        <v>675</v>
      </c>
      <c r="BB172" s="9" t="s">
        <v>675</v>
      </c>
      <c r="BC172" s="9" t="s">
        <v>3938</v>
      </c>
      <c r="BD172" s="9" t="s">
        <v>3939</v>
      </c>
      <c r="BE172" s="9" t="s">
        <v>2379</v>
      </c>
      <c r="BF172" s="9" t="s">
        <v>1047</v>
      </c>
      <c r="BG172" s="9" t="s">
        <v>394</v>
      </c>
      <c r="BH172" s="9" t="s">
        <v>3940</v>
      </c>
      <c r="BI172" s="9" t="s">
        <v>976</v>
      </c>
      <c r="BK172" s="9" t="s">
        <v>395</v>
      </c>
      <c r="BL172" s="9" t="s">
        <v>603</v>
      </c>
      <c r="BM172" s="9" t="s">
        <v>1314</v>
      </c>
      <c r="BN172" s="9" t="s">
        <v>398</v>
      </c>
      <c r="BO172" s="9" t="s">
        <v>3941</v>
      </c>
      <c r="BP172" s="9" t="s">
        <v>3942</v>
      </c>
      <c r="BQ172" s="9" t="s">
        <v>604</v>
      </c>
      <c r="BR172" s="9" t="s">
        <v>3943</v>
      </c>
      <c r="BS172" s="9" t="s">
        <v>1671</v>
      </c>
      <c r="BU172" s="9" t="s">
        <v>405</v>
      </c>
      <c r="BW172" s="9" t="s">
        <v>988</v>
      </c>
      <c r="BY172" s="9" t="s">
        <v>408</v>
      </c>
      <c r="CA172" s="9" t="s">
        <v>3944</v>
      </c>
      <c r="CB172" s="9" t="s">
        <v>3945</v>
      </c>
      <c r="CC172" s="9" t="s">
        <v>3946</v>
      </c>
      <c r="CD172" s="9" t="s">
        <v>1257</v>
      </c>
      <c r="CF172" s="9" t="s">
        <v>1258</v>
      </c>
      <c r="CH172" s="9" t="s">
        <v>1259</v>
      </c>
      <c r="CI172" s="9" t="s">
        <v>410</v>
      </c>
      <c r="CJ172" s="9" t="s">
        <v>3947</v>
      </c>
      <c r="CK172" s="9" t="s">
        <v>3948</v>
      </c>
      <c r="ET172" s="9" t="s">
        <v>526</v>
      </c>
      <c r="EU172" s="9" t="s">
        <v>479</v>
      </c>
      <c r="EV172" s="9" t="s">
        <v>778</v>
      </c>
      <c r="EW172" s="9" t="s">
        <v>3949</v>
      </c>
      <c r="EX172" s="9" t="s">
        <v>3950</v>
      </c>
      <c r="EY172" s="9" t="s">
        <v>3951</v>
      </c>
      <c r="EZ172" s="9" t="s">
        <v>413</v>
      </c>
      <c r="FA172" s="9" t="s">
        <v>413</v>
      </c>
      <c r="FB172" s="9" t="s">
        <v>413</v>
      </c>
      <c r="FC172" s="9" t="s">
        <v>415</v>
      </c>
      <c r="FD172" s="9" t="s">
        <v>413</v>
      </c>
      <c r="FE172" s="9" t="s">
        <v>415</v>
      </c>
      <c r="FF172" s="9" t="s">
        <v>413</v>
      </c>
      <c r="FG172" s="9" t="s">
        <v>413</v>
      </c>
      <c r="FH172" s="9" t="s">
        <v>415</v>
      </c>
      <c r="FI172" s="9" t="s">
        <v>583</v>
      </c>
      <c r="FJ172" s="9" t="s">
        <v>414</v>
      </c>
      <c r="FK172" s="9" t="s">
        <v>413</v>
      </c>
      <c r="FL172" s="9" t="s">
        <v>415</v>
      </c>
      <c r="FM172" s="9" t="s">
        <v>415</v>
      </c>
      <c r="FN172" s="9" t="s">
        <v>415</v>
      </c>
      <c r="FO172" s="9" t="s">
        <v>417</v>
      </c>
      <c r="FP172" s="9" t="s">
        <v>418</v>
      </c>
      <c r="FQ172" s="9" t="s">
        <v>749</v>
      </c>
      <c r="FR172" s="9" t="s">
        <v>3952</v>
      </c>
      <c r="FS172" s="9" t="s">
        <v>420</v>
      </c>
      <c r="FT172" s="9" t="s">
        <v>488</v>
      </c>
      <c r="FU172" s="9" t="s">
        <v>489</v>
      </c>
      <c r="FV172" s="9" t="s">
        <v>490</v>
      </c>
      <c r="FW172" s="9" t="s">
        <v>491</v>
      </c>
      <c r="FX172" s="9" t="s">
        <v>3953</v>
      </c>
      <c r="FY172" s="9" t="s">
        <v>535</v>
      </c>
      <c r="FZ172" s="9" t="s">
        <v>3954</v>
      </c>
      <c r="GB172" s="9" t="s">
        <v>455</v>
      </c>
      <c r="GC172" s="9"/>
      <c r="GE172" s="9" t="s">
        <v>855</v>
      </c>
      <c r="GJ172" s="9" t="s">
        <v>788</v>
      </c>
      <c r="GK172" s="9" t="s">
        <v>788</v>
      </c>
      <c r="GL172" s="9" t="s">
        <v>946</v>
      </c>
      <c r="GQ172" s="9" t="s">
        <v>3273</v>
      </c>
      <c r="GR172" s="10"/>
      <c r="GS172" s="10"/>
      <c r="GT172" s="10"/>
      <c r="GU172" s="10"/>
      <c r="GV172" s="10"/>
      <c r="GW172" s="10"/>
      <c r="GX172" s="10"/>
      <c r="GY172" s="10"/>
      <c r="GZ172" s="10"/>
      <c r="HA172" s="10"/>
      <c r="HB172" s="10"/>
      <c r="HC172" s="10"/>
      <c r="HD172" s="10"/>
      <c r="HE172" s="10"/>
      <c r="HF172" s="10"/>
      <c r="HG172" s="10"/>
      <c r="HH172" s="10"/>
      <c r="HI172" s="10"/>
      <c r="HJ172" s="10"/>
      <c r="HK172" s="10"/>
      <c r="HL172" s="10"/>
      <c r="HM172" s="10"/>
      <c r="HN172" s="10"/>
      <c r="HO172" s="10"/>
      <c r="HP172" s="10"/>
      <c r="HQ172" s="10"/>
      <c r="HR172" s="10"/>
      <c r="HS172" s="10"/>
      <c r="HT172" s="10"/>
      <c r="HU172" s="10"/>
      <c r="HV172" s="10"/>
      <c r="HW172" s="10"/>
      <c r="HX172" s="10"/>
      <c r="HY172" s="10"/>
      <c r="HZ172" s="10"/>
      <c r="IA172" s="10"/>
      <c r="IB172" s="10"/>
      <c r="IC172" s="10"/>
      <c r="ID172" s="10"/>
      <c r="IE172" s="10"/>
      <c r="IF172" s="10"/>
      <c r="IG172" s="10"/>
      <c r="IH172" s="10"/>
      <c r="II172" s="10"/>
      <c r="IJ172" s="10"/>
      <c r="IK172" s="10"/>
      <c r="IL172" s="10"/>
      <c r="IM172" s="10"/>
      <c r="IN172" s="10"/>
      <c r="IO172" s="10"/>
      <c r="IP172" s="10"/>
      <c r="IQ172" s="10"/>
      <c r="IR172" s="10"/>
      <c r="IS172" s="10"/>
      <c r="IT172" s="10"/>
      <c r="IU172" s="10"/>
      <c r="IV172" s="10"/>
      <c r="IW172" s="10"/>
      <c r="IX172" s="10"/>
      <c r="IY172" s="10"/>
      <c r="IZ172" s="10"/>
      <c r="JA172" s="10"/>
      <c r="JB172" s="10"/>
      <c r="JC172" s="10"/>
      <c r="JD172" s="10"/>
      <c r="JE172" s="10"/>
      <c r="JF172" s="10"/>
      <c r="JG172" s="10"/>
      <c r="JH172" s="10"/>
      <c r="JI172" s="10"/>
      <c r="JJ172" s="10"/>
      <c r="JK172" s="10"/>
      <c r="JL172" s="10"/>
      <c r="JM172" s="10"/>
      <c r="JN172" s="10"/>
      <c r="JO172" s="10"/>
      <c r="JP172" s="10"/>
      <c r="JQ172" s="10"/>
      <c r="JR172" s="10"/>
      <c r="JS172" s="10"/>
      <c r="JT172" s="10"/>
      <c r="JU172" s="10"/>
      <c r="JV172" s="10"/>
      <c r="JW172" s="10"/>
      <c r="JX172" s="10"/>
      <c r="JY172" s="10"/>
      <c r="JZ172" s="10"/>
      <c r="KA172" s="10"/>
      <c r="KB172" s="10"/>
      <c r="KC172" s="10"/>
      <c r="KD172" s="10"/>
      <c r="KE172" s="10"/>
      <c r="KF172" s="10"/>
      <c r="KG172" s="10"/>
      <c r="KH172" s="10"/>
      <c r="KI172" s="10"/>
      <c r="KJ172" s="10"/>
      <c r="KK172" s="10"/>
      <c r="KL172" s="10"/>
      <c r="KM172" s="10"/>
      <c r="KN172" s="10"/>
      <c r="KO172" s="10"/>
      <c r="KP172" s="10"/>
      <c r="KQ172" s="10"/>
      <c r="KR172" s="10"/>
      <c r="KS172" s="10"/>
      <c r="KT172" s="10"/>
      <c r="KU172" s="10"/>
      <c r="KV172" s="10"/>
      <c r="KW172" s="10"/>
      <c r="KX172" s="10"/>
      <c r="KY172" s="10"/>
      <c r="KZ172" s="10"/>
      <c r="LA172" s="10"/>
      <c r="LB172" s="10"/>
      <c r="LC172" s="10"/>
      <c r="LD172" s="10"/>
      <c r="LE172" s="10"/>
      <c r="LF172" s="10"/>
      <c r="LG172" s="10"/>
      <c r="LH172" s="10"/>
      <c r="LI172" s="10"/>
      <c r="LJ172" s="10"/>
      <c r="LK172" s="10"/>
      <c r="LL172" s="10"/>
      <c r="LM172" s="10"/>
      <c r="LN172" s="10"/>
      <c r="LO172" s="10"/>
      <c r="LP172" s="10"/>
      <c r="LQ172" s="10"/>
      <c r="LR172" s="10"/>
      <c r="LS172" s="10"/>
      <c r="LT172" s="10"/>
      <c r="LU172" s="10"/>
      <c r="LV172" s="10"/>
      <c r="LW172" s="10"/>
      <c r="LX172" s="10"/>
      <c r="LY172" s="10"/>
      <c r="LZ172" s="10"/>
      <c r="MA172" s="10"/>
      <c r="MB172" s="10"/>
      <c r="MC172" s="10"/>
      <c r="MD172" s="10"/>
      <c r="ME172" s="10"/>
      <c r="MF172" s="10"/>
      <c r="MG172" s="10"/>
      <c r="MH172" s="10"/>
      <c r="MI172" s="10"/>
      <c r="MJ172" s="10"/>
      <c r="MK172" s="10"/>
      <c r="ML172" s="10"/>
      <c r="MM172" s="10"/>
      <c r="MN172" s="10"/>
      <c r="MO172" s="10"/>
      <c r="MP172" s="10"/>
      <c r="MQ172" s="10"/>
      <c r="MR172" s="10"/>
      <c r="MS172" s="10"/>
      <c r="MT172" s="10"/>
      <c r="MU172" s="10"/>
      <c r="MV172" s="10"/>
      <c r="MW172" s="10"/>
      <c r="MX172" s="10"/>
      <c r="MY172" s="10"/>
      <c r="MZ172" s="10"/>
      <c r="NA172" s="10"/>
      <c r="NB172" s="10"/>
      <c r="NC172" s="10"/>
      <c r="ND172" s="10"/>
    </row>
    <row r="173" ht="24.75" customHeight="1">
      <c r="A173" s="8">
        <v>45832.38233418981</v>
      </c>
      <c r="B173" s="9" t="s">
        <v>368</v>
      </c>
      <c r="C173" s="9" t="s">
        <v>370</v>
      </c>
      <c r="E173" s="9" t="s">
        <v>3955</v>
      </c>
      <c r="G173" s="9" t="s">
        <v>422</v>
      </c>
      <c r="H173" s="9" t="s">
        <v>496</v>
      </c>
      <c r="I173" s="9" t="s">
        <v>374</v>
      </c>
      <c r="J173" s="9" t="s">
        <v>718</v>
      </c>
      <c r="K173" s="9" t="s">
        <v>376</v>
      </c>
      <c r="L173" s="9" t="s">
        <v>793</v>
      </c>
      <c r="M173" s="9" t="s">
        <v>1270</v>
      </c>
      <c r="N173" s="9" t="s">
        <v>670</v>
      </c>
      <c r="O173" s="9" t="s">
        <v>3956</v>
      </c>
      <c r="P173" s="9" t="s">
        <v>498</v>
      </c>
      <c r="Q173" s="9" t="s">
        <v>862</v>
      </c>
      <c r="R173" s="9" t="s">
        <v>1901</v>
      </c>
      <c r="S173" s="9" t="s">
        <v>3957</v>
      </c>
      <c r="T173" s="9" t="s">
        <v>385</v>
      </c>
      <c r="W173" s="9" t="s">
        <v>3014</v>
      </c>
      <c r="AV173" s="9" t="s">
        <v>1242</v>
      </c>
      <c r="AW173" s="9" t="s">
        <v>675</v>
      </c>
      <c r="AX173" s="9" t="s">
        <v>675</v>
      </c>
      <c r="AY173" s="9">
        <v>4.0</v>
      </c>
      <c r="AZ173" s="9">
        <v>4.0</v>
      </c>
      <c r="BA173" s="9" t="s">
        <v>675</v>
      </c>
      <c r="BB173" s="9" t="s">
        <v>675</v>
      </c>
      <c r="BC173" s="9" t="s">
        <v>3958</v>
      </c>
      <c r="BD173" s="9" t="s">
        <v>3959</v>
      </c>
      <c r="BE173" s="9" t="s">
        <v>432</v>
      </c>
      <c r="BF173" s="9" t="s">
        <v>1047</v>
      </c>
      <c r="BG173" s="9" t="s">
        <v>765</v>
      </c>
      <c r="BI173" s="9" t="s">
        <v>727</v>
      </c>
      <c r="BK173" s="9" t="s">
        <v>681</v>
      </c>
      <c r="BL173" s="9" t="s">
        <v>904</v>
      </c>
      <c r="BM173" s="9" t="s">
        <v>1247</v>
      </c>
      <c r="BN173" s="9" t="s">
        <v>398</v>
      </c>
      <c r="BO173" s="9" t="s">
        <v>3960</v>
      </c>
      <c r="BP173" s="9" t="s">
        <v>3961</v>
      </c>
      <c r="BQ173" s="9" t="s">
        <v>442</v>
      </c>
      <c r="BR173" s="9" t="s">
        <v>3962</v>
      </c>
      <c r="BS173" s="9" t="s">
        <v>1741</v>
      </c>
      <c r="BT173" s="9" t="s">
        <v>404</v>
      </c>
      <c r="BU173" s="9" t="s">
        <v>1772</v>
      </c>
      <c r="BV173" s="9" t="s">
        <v>3963</v>
      </c>
      <c r="BW173" s="9" t="s">
        <v>988</v>
      </c>
      <c r="BY173" s="9" t="s">
        <v>408</v>
      </c>
      <c r="BZ173" s="9" t="s">
        <v>3964</v>
      </c>
      <c r="CB173" s="9" t="s">
        <v>3965</v>
      </c>
      <c r="CC173" s="9" t="s">
        <v>3966</v>
      </c>
      <c r="CD173" s="9" t="s">
        <v>409</v>
      </c>
      <c r="CE173" s="9" t="s">
        <v>3967</v>
      </c>
      <c r="CF173" s="9" t="s">
        <v>1722</v>
      </c>
      <c r="CG173" s="9" t="s">
        <v>3968</v>
      </c>
      <c r="CH173" s="9" t="s">
        <v>1698</v>
      </c>
      <c r="CI173" s="9" t="s">
        <v>410</v>
      </c>
      <c r="CJ173" s="9" t="s">
        <v>2506</v>
      </c>
      <c r="CK173" s="9" t="s">
        <v>3969</v>
      </c>
      <c r="ET173" s="9" t="s">
        <v>578</v>
      </c>
      <c r="EU173" s="9" t="s">
        <v>479</v>
      </c>
      <c r="EV173" s="9" t="s">
        <v>1262</v>
      </c>
      <c r="EX173" s="9" t="s">
        <v>3970</v>
      </c>
      <c r="EY173" s="9" t="s">
        <v>3971</v>
      </c>
      <c r="FB173" s="11"/>
      <c r="FO173" s="9" t="s">
        <v>417</v>
      </c>
      <c r="FP173" s="9" t="s">
        <v>486</v>
      </c>
      <c r="FQ173" s="9" t="s">
        <v>712</v>
      </c>
      <c r="FS173" s="9" t="s">
        <v>420</v>
      </c>
      <c r="FT173" s="9" t="s">
        <v>488</v>
      </c>
      <c r="FU173" s="9" t="s">
        <v>489</v>
      </c>
      <c r="FV173" s="9" t="s">
        <v>490</v>
      </c>
      <c r="FW173" s="9" t="s">
        <v>491</v>
      </c>
      <c r="FX173" s="9" t="s">
        <v>3972</v>
      </c>
      <c r="FY173" s="9" t="s">
        <v>493</v>
      </c>
      <c r="GB173" s="9" t="s">
        <v>408</v>
      </c>
      <c r="GJ173" s="9" t="s">
        <v>1000</v>
      </c>
      <c r="GK173" s="9" t="s">
        <v>1000</v>
      </c>
      <c r="GL173" s="9" t="s">
        <v>756</v>
      </c>
      <c r="GQ173" s="9" t="s">
        <v>3208</v>
      </c>
      <c r="GR173" s="10"/>
      <c r="GS173" s="10"/>
      <c r="GT173" s="10"/>
      <c r="GU173" s="10"/>
      <c r="GV173" s="10"/>
      <c r="GW173" s="10"/>
      <c r="GX173" s="10"/>
      <c r="GY173" s="10"/>
      <c r="GZ173" s="10"/>
      <c r="HA173" s="10"/>
      <c r="HB173" s="10"/>
      <c r="HC173" s="10"/>
      <c r="HD173" s="10"/>
      <c r="HE173" s="10"/>
      <c r="HF173" s="10"/>
      <c r="HG173" s="10"/>
      <c r="HH173" s="10"/>
      <c r="HI173" s="10"/>
      <c r="HJ173" s="10"/>
      <c r="HK173" s="10"/>
      <c r="HL173" s="10"/>
      <c r="HM173" s="10"/>
      <c r="HN173" s="10"/>
      <c r="HO173" s="10"/>
      <c r="HP173" s="10"/>
      <c r="HQ173" s="10"/>
      <c r="HR173" s="10"/>
      <c r="HS173" s="10"/>
      <c r="HT173" s="10"/>
      <c r="HU173" s="10"/>
      <c r="HV173" s="10"/>
      <c r="HW173" s="10"/>
      <c r="HX173" s="10"/>
      <c r="HY173" s="10"/>
      <c r="HZ173" s="10"/>
      <c r="IA173" s="10"/>
      <c r="IB173" s="10"/>
      <c r="IC173" s="10"/>
      <c r="ID173" s="10"/>
      <c r="IE173" s="10"/>
      <c r="IF173" s="10"/>
      <c r="IG173" s="10"/>
      <c r="IH173" s="10"/>
      <c r="II173" s="10"/>
      <c r="IJ173" s="10"/>
      <c r="IK173" s="10"/>
      <c r="IL173" s="10"/>
      <c r="IM173" s="10"/>
      <c r="IN173" s="10"/>
      <c r="IO173" s="10"/>
      <c r="IP173" s="10"/>
      <c r="IQ173" s="10"/>
      <c r="IR173" s="10"/>
      <c r="IS173" s="10"/>
      <c r="IT173" s="10"/>
      <c r="IU173" s="10"/>
      <c r="IV173" s="10"/>
      <c r="IW173" s="10"/>
      <c r="IX173" s="10"/>
      <c r="IY173" s="10"/>
      <c r="IZ173" s="10"/>
      <c r="JA173" s="10"/>
      <c r="JB173" s="10"/>
      <c r="JC173" s="10"/>
      <c r="JD173" s="10"/>
      <c r="JE173" s="10"/>
      <c r="JF173" s="10"/>
      <c r="JG173" s="10"/>
      <c r="JH173" s="10"/>
      <c r="JI173" s="10"/>
      <c r="JJ173" s="10"/>
      <c r="JK173" s="10"/>
      <c r="JL173" s="10"/>
      <c r="JM173" s="10"/>
      <c r="JN173" s="10"/>
      <c r="JO173" s="10"/>
      <c r="JP173" s="10"/>
      <c r="JQ173" s="10"/>
      <c r="JR173" s="10"/>
      <c r="JS173" s="10"/>
      <c r="JT173" s="10"/>
      <c r="JU173" s="10"/>
      <c r="JV173" s="10"/>
      <c r="JW173" s="10"/>
      <c r="JX173" s="10"/>
      <c r="JY173" s="10"/>
      <c r="JZ173" s="10"/>
      <c r="KA173" s="10"/>
      <c r="KB173" s="10"/>
      <c r="KC173" s="10"/>
      <c r="KD173" s="10"/>
      <c r="KE173" s="10"/>
      <c r="KF173" s="10"/>
      <c r="KG173" s="10"/>
      <c r="KH173" s="10"/>
      <c r="KI173" s="10"/>
      <c r="KJ173" s="10"/>
      <c r="KK173" s="10"/>
      <c r="KL173" s="10"/>
      <c r="KM173" s="10"/>
      <c r="KN173" s="10"/>
      <c r="KO173" s="10"/>
      <c r="KP173" s="10"/>
      <c r="KQ173" s="10"/>
      <c r="KR173" s="10"/>
      <c r="KS173" s="10"/>
      <c r="KT173" s="10"/>
      <c r="KU173" s="10"/>
      <c r="KV173" s="10"/>
      <c r="KW173" s="10"/>
      <c r="KX173" s="10"/>
      <c r="KY173" s="10"/>
      <c r="KZ173" s="10"/>
      <c r="LA173" s="10"/>
      <c r="LB173" s="10"/>
      <c r="LC173" s="10"/>
      <c r="LD173" s="10"/>
      <c r="LE173" s="10"/>
      <c r="LF173" s="10"/>
      <c r="LG173" s="10"/>
      <c r="LH173" s="10"/>
      <c r="LI173" s="10"/>
      <c r="LJ173" s="10"/>
      <c r="LK173" s="10"/>
      <c r="LL173" s="10"/>
      <c r="LM173" s="10"/>
      <c r="LN173" s="10"/>
      <c r="LO173" s="10"/>
      <c r="LP173" s="10"/>
      <c r="LQ173" s="10"/>
      <c r="LR173" s="10"/>
      <c r="LS173" s="10"/>
      <c r="LT173" s="10"/>
      <c r="LU173" s="10"/>
      <c r="LV173" s="10"/>
      <c r="LW173" s="10"/>
      <c r="LX173" s="10"/>
      <c r="LY173" s="10"/>
      <c r="LZ173" s="10"/>
      <c r="MA173" s="10"/>
      <c r="MB173" s="10"/>
      <c r="MC173" s="10"/>
      <c r="MD173" s="10"/>
      <c r="ME173" s="10"/>
      <c r="MF173" s="10"/>
      <c r="MG173" s="10"/>
      <c r="MH173" s="10"/>
      <c r="MI173" s="10"/>
      <c r="MJ173" s="10"/>
      <c r="MK173" s="10"/>
      <c r="ML173" s="10"/>
      <c r="MM173" s="10"/>
      <c r="MN173" s="10"/>
      <c r="MO173" s="10"/>
      <c r="MP173" s="10"/>
      <c r="MQ173" s="10"/>
      <c r="MR173" s="10"/>
      <c r="MS173" s="10"/>
      <c r="MT173" s="10"/>
      <c r="MU173" s="10"/>
      <c r="MV173" s="10"/>
      <c r="MW173" s="10"/>
      <c r="MX173" s="10"/>
      <c r="MY173" s="10"/>
      <c r="MZ173" s="10"/>
      <c r="NA173" s="10"/>
      <c r="NB173" s="10"/>
      <c r="NC173" s="10"/>
      <c r="ND173" s="10"/>
    </row>
    <row r="174" ht="24.75" customHeight="1">
      <c r="A174" s="8">
        <v>45832.38844354167</v>
      </c>
      <c r="B174" s="9" t="s">
        <v>368</v>
      </c>
      <c r="C174" s="9" t="s">
        <v>3973</v>
      </c>
      <c r="D174" s="9" t="s">
        <v>3081</v>
      </c>
      <c r="G174" s="9" t="s">
        <v>1093</v>
      </c>
      <c r="H174" s="9" t="s">
        <v>637</v>
      </c>
      <c r="I174" s="9" t="s">
        <v>638</v>
      </c>
      <c r="J174" s="9" t="s">
        <v>590</v>
      </c>
      <c r="K174" s="9" t="s">
        <v>376</v>
      </c>
      <c r="L174" s="9" t="s">
        <v>591</v>
      </c>
      <c r="M174" s="9" t="s">
        <v>3974</v>
      </c>
      <c r="N174" s="9" t="s">
        <v>396</v>
      </c>
      <c r="O174" s="9" t="s">
        <v>3975</v>
      </c>
      <c r="P174" s="9" t="s">
        <v>498</v>
      </c>
      <c r="Q174" s="9" t="s">
        <v>818</v>
      </c>
      <c r="R174" s="9" t="s">
        <v>3976</v>
      </c>
      <c r="S174" s="9" t="s">
        <v>384</v>
      </c>
      <c r="T174" s="9" t="s">
        <v>385</v>
      </c>
      <c r="W174" s="9" t="s">
        <v>3231</v>
      </c>
      <c r="AV174" s="9" t="s">
        <v>1310</v>
      </c>
      <c r="AW174" s="9" t="s">
        <v>675</v>
      </c>
      <c r="AX174" s="9" t="s">
        <v>675</v>
      </c>
      <c r="AY174" s="9" t="s">
        <v>675</v>
      </c>
      <c r="AZ174" s="9" t="s">
        <v>675</v>
      </c>
      <c r="BA174" s="9" t="s">
        <v>675</v>
      </c>
      <c r="BB174" s="9">
        <v>4.0</v>
      </c>
      <c r="BC174" s="9" t="s">
        <v>3977</v>
      </c>
      <c r="BD174" s="9" t="s">
        <v>3978</v>
      </c>
      <c r="BE174" s="9" t="s">
        <v>2259</v>
      </c>
      <c r="BF174" s="9" t="s">
        <v>1245</v>
      </c>
      <c r="BG174" s="9" t="s">
        <v>394</v>
      </c>
      <c r="BI174" s="9" t="s">
        <v>824</v>
      </c>
      <c r="BJ174" s="9" t="s">
        <v>1211</v>
      </c>
      <c r="BK174" s="9" t="s">
        <v>602</v>
      </c>
      <c r="BL174" s="9" t="s">
        <v>396</v>
      </c>
      <c r="BM174" s="9" t="s">
        <v>1247</v>
      </c>
      <c r="BN174" s="9" t="s">
        <v>398</v>
      </c>
      <c r="BO174" s="9" t="s">
        <v>3979</v>
      </c>
      <c r="BP174" s="9" t="s">
        <v>3980</v>
      </c>
      <c r="BQ174" s="9" t="s">
        <v>604</v>
      </c>
      <c r="BR174" s="9" t="s">
        <v>3981</v>
      </c>
      <c r="BS174" s="9" t="s">
        <v>1251</v>
      </c>
      <c r="BT174" s="9" t="s">
        <v>404</v>
      </c>
      <c r="BU174" s="9" t="s">
        <v>405</v>
      </c>
      <c r="BW174" s="9" t="s">
        <v>406</v>
      </c>
      <c r="BX174" s="9" t="s">
        <v>1867</v>
      </c>
      <c r="BY174" s="9" t="s">
        <v>408</v>
      </c>
      <c r="CA174" s="9" t="s">
        <v>3982</v>
      </c>
      <c r="CB174" s="9" t="s">
        <v>3983</v>
      </c>
      <c r="CC174" s="9" t="s">
        <v>3984</v>
      </c>
      <c r="CD174" s="9" t="s">
        <v>409</v>
      </c>
      <c r="CE174" s="9" t="s">
        <v>3985</v>
      </c>
      <c r="CF174" s="9" t="s">
        <v>1258</v>
      </c>
      <c r="CH174" s="9" t="s">
        <v>1259</v>
      </c>
      <c r="CI174" s="9" t="s">
        <v>1220</v>
      </c>
      <c r="CJ174" s="9" t="s">
        <v>3986</v>
      </c>
      <c r="CK174" s="9" t="s">
        <v>3987</v>
      </c>
      <c r="ET174" s="9" t="s">
        <v>526</v>
      </c>
      <c r="EU174" s="9" t="s">
        <v>887</v>
      </c>
      <c r="EV174" s="9" t="s">
        <v>663</v>
      </c>
      <c r="EW174" s="9" t="s">
        <v>3988</v>
      </c>
      <c r="EX174" s="9" t="s">
        <v>3989</v>
      </c>
      <c r="EY174" s="9" t="s">
        <v>3990</v>
      </c>
      <c r="EZ174" s="9" t="s">
        <v>583</v>
      </c>
      <c r="FA174" s="9" t="s">
        <v>583</v>
      </c>
      <c r="FB174" s="9" t="s">
        <v>583</v>
      </c>
      <c r="FC174" s="9" t="s">
        <v>583</v>
      </c>
      <c r="FD174" s="9" t="s">
        <v>583</v>
      </c>
      <c r="FE174" s="9" t="s">
        <v>583</v>
      </c>
      <c r="FF174" s="9" t="s">
        <v>583</v>
      </c>
      <c r="FG174" s="9" t="s">
        <v>583</v>
      </c>
      <c r="FH174" s="9" t="s">
        <v>583</v>
      </c>
      <c r="FI174" s="9" t="s">
        <v>583</v>
      </c>
      <c r="FJ174" s="9" t="s">
        <v>583</v>
      </c>
      <c r="FK174" s="9" t="s">
        <v>583</v>
      </c>
      <c r="FL174" s="9" t="s">
        <v>583</v>
      </c>
      <c r="FM174" s="9" t="s">
        <v>583</v>
      </c>
      <c r="FN174" s="9" t="s">
        <v>583</v>
      </c>
      <c r="FO174" s="9" t="s">
        <v>485</v>
      </c>
      <c r="FP174" s="9" t="s">
        <v>486</v>
      </c>
      <c r="FQ174" s="9" t="s">
        <v>630</v>
      </c>
      <c r="FR174" s="9" t="s">
        <v>3991</v>
      </c>
      <c r="FS174" s="9" t="s">
        <v>1189</v>
      </c>
      <c r="FT174" s="9" t="s">
        <v>1462</v>
      </c>
      <c r="FU174" s="9" t="s">
        <v>533</v>
      </c>
      <c r="FV174" s="9" t="s">
        <v>1101</v>
      </c>
      <c r="FW174" s="9" t="s">
        <v>491</v>
      </c>
      <c r="FX174" s="9" t="s">
        <v>3992</v>
      </c>
      <c r="FY174" s="9" t="s">
        <v>535</v>
      </c>
      <c r="GB174" s="9" t="s">
        <v>455</v>
      </c>
      <c r="GC174" s="9"/>
      <c r="GE174" s="9" t="s">
        <v>753</v>
      </c>
      <c r="GF174" s="9" t="s">
        <v>1479</v>
      </c>
      <c r="GJ174" s="9" t="s">
        <v>1000</v>
      </c>
      <c r="GK174" s="9" t="s">
        <v>1000</v>
      </c>
      <c r="GL174" s="9" t="s">
        <v>817</v>
      </c>
      <c r="GN174" s="9" t="s">
        <v>3993</v>
      </c>
      <c r="GO174" s="9" t="s">
        <v>3973</v>
      </c>
      <c r="GP174" s="9" t="s">
        <v>3994</v>
      </c>
      <c r="GQ174" s="9" t="s">
        <v>3208</v>
      </c>
      <c r="GR174" s="10"/>
      <c r="GS174" s="10"/>
      <c r="GT174" s="10"/>
      <c r="GU174" s="10"/>
      <c r="GV174" s="10"/>
      <c r="GW174" s="10"/>
      <c r="GX174" s="10"/>
      <c r="GY174" s="10"/>
      <c r="GZ174" s="10"/>
      <c r="HA174" s="10"/>
      <c r="HB174" s="10"/>
      <c r="HC174" s="10"/>
      <c r="HD174" s="10"/>
      <c r="HE174" s="10"/>
      <c r="HF174" s="10"/>
      <c r="HG174" s="10"/>
      <c r="HH174" s="10"/>
      <c r="HI174" s="10"/>
      <c r="HJ174" s="10"/>
      <c r="HK174" s="10"/>
      <c r="HL174" s="10"/>
      <c r="HM174" s="10"/>
      <c r="HN174" s="10"/>
      <c r="HO174" s="10"/>
      <c r="HP174" s="10"/>
      <c r="HQ174" s="10"/>
      <c r="HR174" s="10"/>
      <c r="HS174" s="10"/>
      <c r="HT174" s="10"/>
      <c r="HU174" s="10"/>
      <c r="HV174" s="10"/>
      <c r="HW174" s="10"/>
      <c r="HX174" s="10"/>
      <c r="HY174" s="10"/>
      <c r="HZ174" s="10"/>
      <c r="IA174" s="10"/>
      <c r="IB174" s="10"/>
      <c r="IC174" s="10"/>
      <c r="ID174" s="10"/>
      <c r="IE174" s="10"/>
      <c r="IF174" s="10"/>
      <c r="IG174" s="10"/>
      <c r="IH174" s="10"/>
      <c r="II174" s="10"/>
      <c r="IJ174" s="10"/>
      <c r="IK174" s="10"/>
      <c r="IL174" s="10"/>
      <c r="IM174" s="10"/>
      <c r="IN174" s="10"/>
      <c r="IO174" s="10"/>
      <c r="IP174" s="10"/>
      <c r="IQ174" s="10"/>
      <c r="IR174" s="10"/>
      <c r="IS174" s="10"/>
      <c r="IT174" s="10"/>
      <c r="IU174" s="10"/>
      <c r="IV174" s="10"/>
      <c r="IW174" s="10"/>
      <c r="IX174" s="10"/>
      <c r="IY174" s="10"/>
      <c r="IZ174" s="10"/>
      <c r="JA174" s="10"/>
      <c r="JB174" s="10"/>
      <c r="JC174" s="10"/>
      <c r="JD174" s="10"/>
      <c r="JE174" s="10"/>
      <c r="JF174" s="10"/>
      <c r="JG174" s="10"/>
      <c r="JH174" s="10"/>
      <c r="JI174" s="10"/>
      <c r="JJ174" s="10"/>
      <c r="JK174" s="10"/>
      <c r="JL174" s="10"/>
      <c r="JM174" s="10"/>
      <c r="JN174" s="10"/>
      <c r="JO174" s="10"/>
      <c r="JP174" s="10"/>
      <c r="JQ174" s="10"/>
      <c r="JR174" s="10"/>
      <c r="JS174" s="10"/>
      <c r="JT174" s="10"/>
      <c r="JU174" s="10"/>
      <c r="JV174" s="10"/>
      <c r="JW174" s="10"/>
      <c r="JX174" s="10"/>
      <c r="JY174" s="10"/>
      <c r="JZ174" s="10"/>
      <c r="KA174" s="10"/>
      <c r="KB174" s="10"/>
      <c r="KC174" s="10"/>
      <c r="KD174" s="10"/>
      <c r="KE174" s="10"/>
      <c r="KF174" s="10"/>
      <c r="KG174" s="10"/>
      <c r="KH174" s="10"/>
      <c r="KI174" s="10"/>
      <c r="KJ174" s="10"/>
      <c r="KK174" s="10"/>
      <c r="KL174" s="10"/>
      <c r="KM174" s="10"/>
      <c r="KN174" s="10"/>
      <c r="KO174" s="10"/>
      <c r="KP174" s="10"/>
      <c r="KQ174" s="10"/>
      <c r="KR174" s="10"/>
      <c r="KS174" s="10"/>
      <c r="KT174" s="10"/>
      <c r="KU174" s="10"/>
      <c r="KV174" s="10"/>
      <c r="KW174" s="10"/>
      <c r="KX174" s="10"/>
      <c r="KY174" s="10"/>
      <c r="KZ174" s="10"/>
      <c r="LA174" s="10"/>
      <c r="LB174" s="10"/>
      <c r="LC174" s="10"/>
      <c r="LD174" s="10"/>
      <c r="LE174" s="10"/>
      <c r="LF174" s="10"/>
      <c r="LG174" s="10"/>
      <c r="LH174" s="10"/>
      <c r="LI174" s="10"/>
      <c r="LJ174" s="10"/>
      <c r="LK174" s="10"/>
      <c r="LL174" s="10"/>
      <c r="LM174" s="10"/>
      <c r="LN174" s="10"/>
      <c r="LO174" s="10"/>
      <c r="LP174" s="10"/>
      <c r="LQ174" s="10"/>
      <c r="LR174" s="10"/>
      <c r="LS174" s="10"/>
      <c r="LT174" s="10"/>
      <c r="LU174" s="10"/>
      <c r="LV174" s="10"/>
      <c r="LW174" s="10"/>
      <c r="LX174" s="10"/>
      <c r="LY174" s="10"/>
      <c r="LZ174" s="10"/>
      <c r="MA174" s="10"/>
      <c r="MB174" s="10"/>
      <c r="MC174" s="10"/>
      <c r="MD174" s="10"/>
      <c r="ME174" s="10"/>
      <c r="MF174" s="10"/>
      <c r="MG174" s="10"/>
      <c r="MH174" s="10"/>
      <c r="MI174" s="10"/>
      <c r="MJ174" s="10"/>
      <c r="MK174" s="10"/>
      <c r="ML174" s="10"/>
      <c r="MM174" s="10"/>
      <c r="MN174" s="10"/>
      <c r="MO174" s="10"/>
      <c r="MP174" s="10"/>
      <c r="MQ174" s="10"/>
      <c r="MR174" s="10"/>
      <c r="MS174" s="10"/>
      <c r="MT174" s="10"/>
      <c r="MU174" s="10"/>
      <c r="MV174" s="10"/>
      <c r="MW174" s="10"/>
      <c r="MX174" s="10"/>
      <c r="MY174" s="10"/>
      <c r="MZ174" s="10"/>
      <c r="NA174" s="10"/>
      <c r="NB174" s="10"/>
      <c r="NC174" s="10"/>
      <c r="ND174" s="10"/>
    </row>
    <row r="175" ht="24.75" customHeight="1">
      <c r="A175" s="8">
        <v>45832.400918541665</v>
      </c>
      <c r="B175" s="9" t="s">
        <v>368</v>
      </c>
      <c r="C175" s="9" t="s">
        <v>370</v>
      </c>
      <c r="E175" s="9" t="s">
        <v>1480</v>
      </c>
      <c r="G175" s="9" t="s">
        <v>422</v>
      </c>
      <c r="H175" s="9" t="s">
        <v>1921</v>
      </c>
      <c r="I175" s="9" t="s">
        <v>668</v>
      </c>
      <c r="J175" s="9" t="s">
        <v>758</v>
      </c>
      <c r="K175" s="9" t="s">
        <v>376</v>
      </c>
      <c r="L175" s="9" t="s">
        <v>379</v>
      </c>
      <c r="M175" s="9" t="s">
        <v>378</v>
      </c>
      <c r="N175" s="9" t="s">
        <v>426</v>
      </c>
      <c r="O175" s="9" t="s">
        <v>380</v>
      </c>
      <c r="P175" s="9" t="s">
        <v>498</v>
      </c>
      <c r="Q175" s="9" t="s">
        <v>499</v>
      </c>
      <c r="R175" s="9" t="s">
        <v>500</v>
      </c>
      <c r="S175" s="9" t="s">
        <v>384</v>
      </c>
      <c r="T175" s="9" t="s">
        <v>385</v>
      </c>
      <c r="W175" s="9" t="s">
        <v>3231</v>
      </c>
      <c r="AV175" s="9" t="s">
        <v>1242</v>
      </c>
      <c r="AW175" s="9" t="s">
        <v>675</v>
      </c>
      <c r="AX175" s="9">
        <v>4.0</v>
      </c>
      <c r="AY175" s="9">
        <v>4.0</v>
      </c>
      <c r="AZ175" s="9" t="s">
        <v>675</v>
      </c>
      <c r="BA175" s="9">
        <v>4.0</v>
      </c>
      <c r="BB175" s="9">
        <v>4.0</v>
      </c>
      <c r="BE175" s="9" t="s">
        <v>432</v>
      </c>
      <c r="BF175" s="9" t="s">
        <v>1245</v>
      </c>
      <c r="BG175" s="9" t="s">
        <v>725</v>
      </c>
      <c r="BI175" s="9" t="s">
        <v>727</v>
      </c>
      <c r="BK175" s="9" t="s">
        <v>681</v>
      </c>
      <c r="BL175" s="9" t="s">
        <v>603</v>
      </c>
      <c r="BM175" s="9" t="s">
        <v>1314</v>
      </c>
      <c r="BN175" s="9" t="s">
        <v>398</v>
      </c>
      <c r="BQ175" s="9" t="s">
        <v>604</v>
      </c>
      <c r="BU175" s="9" t="s">
        <v>1693</v>
      </c>
      <c r="BW175" s="9" t="s">
        <v>406</v>
      </c>
      <c r="BX175" s="9" t="s">
        <v>407</v>
      </c>
      <c r="BY175" s="9" t="s">
        <v>408</v>
      </c>
      <c r="CD175" s="9" t="s">
        <v>409</v>
      </c>
      <c r="CF175" s="9" t="s">
        <v>1722</v>
      </c>
      <c r="CH175" s="9" t="s">
        <v>1751</v>
      </c>
      <c r="CI175" s="9" t="s">
        <v>1220</v>
      </c>
      <c r="CJ175" s="9" t="s">
        <v>3995</v>
      </c>
      <c r="ET175" s="9" t="s">
        <v>526</v>
      </c>
      <c r="EU175" s="9" t="s">
        <v>479</v>
      </c>
      <c r="EV175" s="9" t="s">
        <v>1262</v>
      </c>
      <c r="EZ175" s="9" t="s">
        <v>414</v>
      </c>
      <c r="FA175" s="9" t="s">
        <v>414</v>
      </c>
      <c r="FB175" s="9" t="s">
        <v>413</v>
      </c>
      <c r="FC175" s="9" t="s">
        <v>414</v>
      </c>
      <c r="FD175" s="9" t="s">
        <v>413</v>
      </c>
      <c r="FE175" s="9" t="s">
        <v>414</v>
      </c>
      <c r="FF175" s="9" t="s">
        <v>413</v>
      </c>
      <c r="FG175" s="9" t="s">
        <v>414</v>
      </c>
      <c r="FH175" s="9" t="s">
        <v>413</v>
      </c>
      <c r="FI175" s="9" t="s">
        <v>414</v>
      </c>
      <c r="FJ175" s="9" t="s">
        <v>414</v>
      </c>
      <c r="FK175" s="9" t="s">
        <v>415</v>
      </c>
      <c r="FL175" s="9" t="s">
        <v>415</v>
      </c>
      <c r="FM175" s="9" t="s">
        <v>415</v>
      </c>
      <c r="FN175" s="9" t="s">
        <v>415</v>
      </c>
      <c r="FO175" s="9" t="s">
        <v>850</v>
      </c>
      <c r="FP175" s="9" t="s">
        <v>418</v>
      </c>
      <c r="FQ175" s="9" t="s">
        <v>749</v>
      </c>
      <c r="FS175" s="9" t="s">
        <v>420</v>
      </c>
      <c r="FT175" s="9" t="s">
        <v>488</v>
      </c>
      <c r="FU175" s="9" t="s">
        <v>918</v>
      </c>
      <c r="FV175" s="9" t="s">
        <v>490</v>
      </c>
      <c r="FW175" s="9" t="s">
        <v>491</v>
      </c>
      <c r="FY175" s="9" t="s">
        <v>1337</v>
      </c>
      <c r="GB175" s="9" t="s">
        <v>408</v>
      </c>
      <c r="GJ175" s="9" t="s">
        <v>755</v>
      </c>
      <c r="GK175" s="9" t="s">
        <v>755</v>
      </c>
      <c r="GL175" s="9" t="s">
        <v>946</v>
      </c>
      <c r="GQ175" s="9" t="s">
        <v>3351</v>
      </c>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c r="HX175" s="10"/>
      <c r="HY175" s="10"/>
      <c r="HZ175" s="10"/>
      <c r="IA175" s="10"/>
      <c r="IB175" s="10"/>
      <c r="IC175" s="10"/>
      <c r="ID175" s="10"/>
      <c r="IE175" s="10"/>
      <c r="IF175" s="10"/>
      <c r="IG175" s="10"/>
      <c r="IH175" s="10"/>
      <c r="II175" s="10"/>
      <c r="IJ175" s="10"/>
      <c r="IK175" s="10"/>
      <c r="IL175" s="10"/>
      <c r="IM175" s="10"/>
      <c r="IN175" s="10"/>
      <c r="IO175" s="10"/>
      <c r="IP175" s="10"/>
      <c r="IQ175" s="10"/>
      <c r="IR175" s="10"/>
      <c r="IS175" s="10"/>
      <c r="IT175" s="10"/>
      <c r="IU175" s="10"/>
      <c r="IV175" s="10"/>
      <c r="IW175" s="10"/>
      <c r="IX175" s="10"/>
      <c r="IY175" s="10"/>
      <c r="IZ175" s="10"/>
      <c r="JA175" s="10"/>
      <c r="JB175" s="10"/>
      <c r="JC175" s="10"/>
      <c r="JD175" s="10"/>
      <c r="JE175" s="10"/>
      <c r="JF175" s="10"/>
      <c r="JG175" s="10"/>
      <c r="JH175" s="10"/>
      <c r="JI175" s="10"/>
      <c r="JJ175" s="10"/>
      <c r="JK175" s="10"/>
      <c r="JL175" s="10"/>
      <c r="JM175" s="10"/>
      <c r="JN175" s="10"/>
      <c r="JO175" s="10"/>
      <c r="JP175" s="10"/>
      <c r="JQ175" s="10"/>
      <c r="JR175" s="10"/>
      <c r="JS175" s="10"/>
      <c r="JT175" s="10"/>
      <c r="JU175" s="10"/>
      <c r="JV175" s="10"/>
      <c r="JW175" s="10"/>
      <c r="JX175" s="10"/>
      <c r="JY175" s="10"/>
      <c r="JZ175" s="10"/>
      <c r="KA175" s="10"/>
      <c r="KB175" s="10"/>
      <c r="KC175" s="10"/>
      <c r="KD175" s="10"/>
      <c r="KE175" s="10"/>
      <c r="KF175" s="10"/>
      <c r="KG175" s="10"/>
      <c r="KH175" s="10"/>
      <c r="KI175" s="10"/>
      <c r="KJ175" s="10"/>
      <c r="KK175" s="10"/>
      <c r="KL175" s="10"/>
      <c r="KM175" s="10"/>
      <c r="KN175" s="10"/>
      <c r="KO175" s="10"/>
      <c r="KP175" s="10"/>
      <c r="KQ175" s="10"/>
      <c r="KR175" s="10"/>
      <c r="KS175" s="10"/>
      <c r="KT175" s="10"/>
      <c r="KU175" s="10"/>
      <c r="KV175" s="10"/>
      <c r="KW175" s="10"/>
      <c r="KX175" s="10"/>
      <c r="KY175" s="10"/>
      <c r="KZ175" s="10"/>
      <c r="LA175" s="10"/>
      <c r="LB175" s="10"/>
      <c r="LC175" s="10"/>
      <c r="LD175" s="10"/>
      <c r="LE175" s="10"/>
      <c r="LF175" s="10"/>
      <c r="LG175" s="10"/>
      <c r="LH175" s="10"/>
      <c r="LI175" s="10"/>
      <c r="LJ175" s="10"/>
      <c r="LK175" s="10"/>
      <c r="LL175" s="10"/>
      <c r="LM175" s="10"/>
      <c r="LN175" s="10"/>
      <c r="LO175" s="10"/>
      <c r="LP175" s="10"/>
      <c r="LQ175" s="10"/>
      <c r="LR175" s="10"/>
      <c r="LS175" s="10"/>
      <c r="LT175" s="10"/>
      <c r="LU175" s="10"/>
      <c r="LV175" s="10"/>
      <c r="LW175" s="10"/>
      <c r="LX175" s="10"/>
      <c r="LY175" s="10"/>
      <c r="LZ175" s="10"/>
      <c r="MA175" s="10"/>
      <c r="MB175" s="10"/>
      <c r="MC175" s="10"/>
      <c r="MD175" s="10"/>
      <c r="ME175" s="10"/>
      <c r="MF175" s="10"/>
      <c r="MG175" s="10"/>
      <c r="MH175" s="10"/>
      <c r="MI175" s="10"/>
      <c r="MJ175" s="10"/>
      <c r="MK175" s="10"/>
      <c r="ML175" s="10"/>
      <c r="MM175" s="10"/>
      <c r="MN175" s="10"/>
      <c r="MO175" s="10"/>
      <c r="MP175" s="10"/>
      <c r="MQ175" s="10"/>
      <c r="MR175" s="10"/>
      <c r="MS175" s="10"/>
      <c r="MT175" s="10"/>
      <c r="MU175" s="10"/>
      <c r="MV175" s="10"/>
      <c r="MW175" s="10"/>
      <c r="MX175" s="10"/>
      <c r="MY175" s="10"/>
      <c r="MZ175" s="10"/>
      <c r="NA175" s="10"/>
      <c r="NB175" s="10"/>
      <c r="NC175" s="10"/>
      <c r="ND175" s="10"/>
    </row>
    <row r="176" ht="24.75" customHeight="1">
      <c r="A176" s="8">
        <v>45832.532238541666</v>
      </c>
      <c r="B176" s="9" t="s">
        <v>368</v>
      </c>
      <c r="C176" s="9" t="s">
        <v>370</v>
      </c>
      <c r="E176" s="9" t="s">
        <v>371</v>
      </c>
      <c r="G176" s="9" t="s">
        <v>1002</v>
      </c>
      <c r="H176" s="9" t="s">
        <v>496</v>
      </c>
      <c r="I176" s="9" t="s">
        <v>374</v>
      </c>
      <c r="J176" s="9" t="s">
        <v>669</v>
      </c>
      <c r="K176" s="9" t="s">
        <v>376</v>
      </c>
      <c r="L176" s="9" t="s">
        <v>591</v>
      </c>
      <c r="M176" s="9" t="s">
        <v>719</v>
      </c>
      <c r="N176" s="9" t="s">
        <v>426</v>
      </c>
      <c r="O176" s="9" t="s">
        <v>380</v>
      </c>
      <c r="P176" s="9" t="s">
        <v>381</v>
      </c>
      <c r="Q176" s="9" t="s">
        <v>818</v>
      </c>
      <c r="R176" s="9" t="s">
        <v>500</v>
      </c>
      <c r="S176" s="9" t="s">
        <v>384</v>
      </c>
      <c r="T176" s="9" t="s">
        <v>385</v>
      </c>
      <c r="W176" s="9" t="s">
        <v>593</v>
      </c>
      <c r="X176" s="9" t="s">
        <v>387</v>
      </c>
      <c r="Y176" s="9" t="s">
        <v>388</v>
      </c>
      <c r="Z176" s="9" t="s">
        <v>543</v>
      </c>
      <c r="AA176" s="9" t="s">
        <v>3996</v>
      </c>
      <c r="AV176" s="9" t="s">
        <v>1310</v>
      </c>
      <c r="AW176" s="9" t="s">
        <v>675</v>
      </c>
      <c r="AX176" s="9" t="s">
        <v>675</v>
      </c>
      <c r="AY176" s="9" t="s">
        <v>675</v>
      </c>
      <c r="AZ176" s="9" t="s">
        <v>675</v>
      </c>
      <c r="BA176" s="9" t="s">
        <v>675</v>
      </c>
      <c r="BB176" s="9" t="s">
        <v>675</v>
      </c>
      <c r="BC176" s="9" t="s">
        <v>3997</v>
      </c>
      <c r="BD176" s="9" t="s">
        <v>3998</v>
      </c>
      <c r="BE176" s="9" t="s">
        <v>3114</v>
      </c>
      <c r="BF176" s="9" t="s">
        <v>1245</v>
      </c>
      <c r="BG176" s="9" t="s">
        <v>725</v>
      </c>
      <c r="BH176" s="9" t="s">
        <v>3999</v>
      </c>
      <c r="BI176" s="9" t="s">
        <v>435</v>
      </c>
      <c r="BJ176" s="9" t="s">
        <v>4000</v>
      </c>
      <c r="BK176" s="9" t="s">
        <v>681</v>
      </c>
      <c r="BL176" s="9" t="s">
        <v>603</v>
      </c>
      <c r="BM176" s="9" t="s">
        <v>1247</v>
      </c>
      <c r="BN176" s="9" t="s">
        <v>440</v>
      </c>
      <c r="CL176" s="9" t="s">
        <v>441</v>
      </c>
      <c r="CM176" s="9" t="s">
        <v>442</v>
      </c>
      <c r="CN176" s="9" t="s">
        <v>4001</v>
      </c>
      <c r="CO176" s="9" t="s">
        <v>4002</v>
      </c>
      <c r="CP176" s="9" t="s">
        <v>403</v>
      </c>
      <c r="CQ176" s="9" t="s">
        <v>4003</v>
      </c>
      <c r="CR176" s="9" t="s">
        <v>447</v>
      </c>
      <c r="CS176" s="9" t="s">
        <v>4004</v>
      </c>
      <c r="CT176" s="9" t="s">
        <v>4005</v>
      </c>
      <c r="CU176" s="9" t="s">
        <v>519</v>
      </c>
      <c r="CV176" s="9" t="s">
        <v>451</v>
      </c>
      <c r="CW176" s="9" t="s">
        <v>4006</v>
      </c>
      <c r="CX176" s="9" t="s">
        <v>733</v>
      </c>
      <c r="CZ176" s="9" t="s">
        <v>453</v>
      </c>
      <c r="DA176" s="9" t="s">
        <v>4007</v>
      </c>
      <c r="DB176" s="9" t="s">
        <v>455</v>
      </c>
      <c r="DC176" s="9" t="s">
        <v>4008</v>
      </c>
      <c r="DD176" s="9" t="s">
        <v>406</v>
      </c>
      <c r="DE176" s="9" t="s">
        <v>407</v>
      </c>
      <c r="DF176" s="9" t="s">
        <v>4009</v>
      </c>
      <c r="DG176" s="9" t="s">
        <v>561</v>
      </c>
      <c r="DH176" s="9" t="s">
        <v>410</v>
      </c>
      <c r="DI176" s="9" t="s">
        <v>963</v>
      </c>
      <c r="DJ176" s="9" t="s">
        <v>460</v>
      </c>
      <c r="DK176" s="9" t="s">
        <v>525</v>
      </c>
      <c r="DM176" s="9" t="s">
        <v>3901</v>
      </c>
      <c r="DN176" s="9" t="s">
        <v>4010</v>
      </c>
      <c r="DO176" s="9" t="s">
        <v>567</v>
      </c>
      <c r="DP176" s="9" t="s">
        <v>4011</v>
      </c>
      <c r="DQ176" s="9" t="s">
        <v>466</v>
      </c>
      <c r="DR176" s="9" t="s">
        <v>4012</v>
      </c>
      <c r="DS176" s="9" t="s">
        <v>839</v>
      </c>
      <c r="DT176" s="9" t="s">
        <v>740</v>
      </c>
      <c r="DU176" s="9" t="s">
        <v>4013</v>
      </c>
      <c r="DV176" s="9" t="s">
        <v>4014</v>
      </c>
      <c r="DW176" s="9" t="s">
        <v>1328</v>
      </c>
      <c r="DX176" s="9" t="s">
        <v>4015</v>
      </c>
      <c r="DY176" s="9" t="s">
        <v>4016</v>
      </c>
      <c r="DZ176" s="9" t="s">
        <v>4017</v>
      </c>
      <c r="EA176" s="9" t="s">
        <v>475</v>
      </c>
      <c r="EB176" s="9" t="s">
        <v>626</v>
      </c>
      <c r="ET176" s="9" t="s">
        <v>526</v>
      </c>
      <c r="EU176" s="9" t="s">
        <v>887</v>
      </c>
      <c r="EV176" s="9" t="s">
        <v>778</v>
      </c>
      <c r="EW176" s="9" t="s">
        <v>4018</v>
      </c>
      <c r="EY176" s="9" t="s">
        <v>4019</v>
      </c>
      <c r="EZ176" s="9" t="s">
        <v>413</v>
      </c>
      <c r="FA176" s="9" t="s">
        <v>413</v>
      </c>
      <c r="FB176" s="9" t="s">
        <v>413</v>
      </c>
      <c r="FC176" s="9" t="s">
        <v>413</v>
      </c>
      <c r="FD176" s="9" t="s">
        <v>413</v>
      </c>
      <c r="FE176" s="9" t="s">
        <v>413</v>
      </c>
      <c r="FF176" s="9" t="s">
        <v>413</v>
      </c>
      <c r="FG176" s="9" t="s">
        <v>413</v>
      </c>
      <c r="FH176" s="9" t="s">
        <v>416</v>
      </c>
      <c r="FI176" s="9" t="s">
        <v>413</v>
      </c>
      <c r="FJ176" s="9" t="s">
        <v>416</v>
      </c>
      <c r="FK176" s="9" t="s">
        <v>413</v>
      </c>
      <c r="FL176" s="9" t="s">
        <v>413</v>
      </c>
      <c r="FM176" s="9" t="s">
        <v>413</v>
      </c>
      <c r="FN176" s="9" t="s">
        <v>416</v>
      </c>
      <c r="FO176" s="9" t="s">
        <v>850</v>
      </c>
      <c r="FY176" s="9" t="s">
        <v>535</v>
      </c>
      <c r="GB176" s="9" t="s">
        <v>455</v>
      </c>
      <c r="GC176" s="9"/>
      <c r="GD176" s="9"/>
      <c r="GE176" s="9" t="s">
        <v>753</v>
      </c>
      <c r="GF176" s="9" t="s">
        <v>4020</v>
      </c>
      <c r="GG176" s="9" t="s">
        <v>755</v>
      </c>
      <c r="GH176" s="9" t="s">
        <v>755</v>
      </c>
      <c r="GI176" s="9" t="s">
        <v>946</v>
      </c>
      <c r="GM176" s="9" t="s">
        <v>1079</v>
      </c>
      <c r="GQ176" s="9" t="s">
        <v>3208</v>
      </c>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c r="HX176" s="10"/>
      <c r="HY176" s="10"/>
      <c r="HZ176" s="10"/>
      <c r="IA176" s="10"/>
      <c r="IB176" s="10"/>
      <c r="IC176" s="10"/>
      <c r="ID176" s="10"/>
      <c r="IE176" s="10"/>
      <c r="IF176" s="10"/>
      <c r="IG176" s="10"/>
      <c r="IH176" s="10"/>
      <c r="II176" s="10"/>
      <c r="IJ176" s="10"/>
      <c r="IK176" s="10"/>
      <c r="IL176" s="10"/>
      <c r="IM176" s="10"/>
      <c r="IN176" s="10"/>
      <c r="IO176" s="10"/>
      <c r="IP176" s="10"/>
      <c r="IQ176" s="10"/>
      <c r="IR176" s="10"/>
      <c r="IS176" s="10"/>
      <c r="IT176" s="10"/>
      <c r="IU176" s="10"/>
      <c r="IV176" s="10"/>
      <c r="IW176" s="10"/>
      <c r="IX176" s="10"/>
      <c r="IY176" s="10"/>
      <c r="IZ176" s="10"/>
      <c r="JA176" s="10"/>
      <c r="JB176" s="10"/>
      <c r="JC176" s="10"/>
      <c r="JD176" s="10"/>
      <c r="JE176" s="10"/>
      <c r="JF176" s="10"/>
      <c r="JG176" s="10"/>
      <c r="JH176" s="10"/>
      <c r="JI176" s="10"/>
      <c r="JJ176" s="10"/>
      <c r="JK176" s="10"/>
      <c r="JL176" s="10"/>
      <c r="JM176" s="10"/>
      <c r="JN176" s="10"/>
      <c r="JO176" s="10"/>
      <c r="JP176" s="10"/>
      <c r="JQ176" s="10"/>
      <c r="JR176" s="10"/>
      <c r="JS176" s="10"/>
      <c r="JT176" s="10"/>
      <c r="JU176" s="10"/>
      <c r="JV176" s="10"/>
      <c r="JW176" s="10"/>
      <c r="JX176" s="10"/>
      <c r="JY176" s="10"/>
      <c r="JZ176" s="10"/>
      <c r="KA176" s="10"/>
      <c r="KB176" s="10"/>
      <c r="KC176" s="10"/>
      <c r="KD176" s="10"/>
      <c r="KE176" s="10"/>
      <c r="KF176" s="10"/>
      <c r="KG176" s="10"/>
      <c r="KH176" s="10"/>
      <c r="KI176" s="10"/>
      <c r="KJ176" s="10"/>
      <c r="KK176" s="10"/>
      <c r="KL176" s="10"/>
      <c r="KM176" s="10"/>
      <c r="KN176" s="10"/>
      <c r="KO176" s="10"/>
      <c r="KP176" s="10"/>
      <c r="KQ176" s="10"/>
      <c r="KR176" s="10"/>
      <c r="KS176" s="10"/>
      <c r="KT176" s="10"/>
      <c r="KU176" s="10"/>
      <c r="KV176" s="10"/>
      <c r="KW176" s="10"/>
      <c r="KX176" s="10"/>
      <c r="KY176" s="10"/>
      <c r="KZ176" s="10"/>
      <c r="LA176" s="10"/>
      <c r="LB176" s="10"/>
      <c r="LC176" s="10"/>
      <c r="LD176" s="10"/>
      <c r="LE176" s="10"/>
      <c r="LF176" s="10"/>
      <c r="LG176" s="10"/>
      <c r="LH176" s="10"/>
      <c r="LI176" s="10"/>
      <c r="LJ176" s="10"/>
      <c r="LK176" s="10"/>
      <c r="LL176" s="10"/>
      <c r="LM176" s="10"/>
      <c r="LN176" s="10"/>
      <c r="LO176" s="10"/>
      <c r="LP176" s="10"/>
      <c r="LQ176" s="10"/>
      <c r="LR176" s="10"/>
      <c r="LS176" s="10"/>
      <c r="LT176" s="10"/>
      <c r="LU176" s="10"/>
      <c r="LV176" s="10"/>
      <c r="LW176" s="10"/>
      <c r="LX176" s="10"/>
      <c r="LY176" s="10"/>
      <c r="LZ176" s="10"/>
      <c r="MA176" s="10"/>
      <c r="MB176" s="10"/>
      <c r="MC176" s="10"/>
      <c r="MD176" s="10"/>
      <c r="ME176" s="10"/>
      <c r="MF176" s="10"/>
      <c r="MG176" s="10"/>
      <c r="MH176" s="10"/>
      <c r="MI176" s="10"/>
      <c r="MJ176" s="10"/>
      <c r="MK176" s="10"/>
      <c r="ML176" s="10"/>
      <c r="MM176" s="10"/>
      <c r="MN176" s="10"/>
      <c r="MO176" s="10"/>
      <c r="MP176" s="10"/>
      <c r="MQ176" s="10"/>
      <c r="MR176" s="10"/>
      <c r="MS176" s="10"/>
      <c r="MT176" s="10"/>
      <c r="MU176" s="10"/>
      <c r="MV176" s="10"/>
      <c r="MW176" s="10"/>
      <c r="MX176" s="10"/>
      <c r="MY176" s="10"/>
      <c r="MZ176" s="10"/>
      <c r="NA176" s="10"/>
      <c r="NB176" s="10"/>
      <c r="NC176" s="10"/>
      <c r="ND176" s="10"/>
    </row>
    <row r="177" ht="24.75" customHeight="1">
      <c r="A177" s="8">
        <v>45832.613582488426</v>
      </c>
      <c r="B177" s="9" t="s">
        <v>368</v>
      </c>
      <c r="C177" s="9" t="s">
        <v>370</v>
      </c>
      <c r="E177" s="9" t="s">
        <v>2335</v>
      </c>
      <c r="G177" s="9" t="s">
        <v>3187</v>
      </c>
      <c r="H177" s="9" t="s">
        <v>496</v>
      </c>
      <c r="I177" s="9" t="s">
        <v>2578</v>
      </c>
      <c r="J177" s="9" t="s">
        <v>375</v>
      </c>
      <c r="K177" s="9" t="s">
        <v>376</v>
      </c>
      <c r="L177" s="9" t="s">
        <v>793</v>
      </c>
      <c r="M177" s="9" t="s">
        <v>639</v>
      </c>
      <c r="N177" s="9" t="s">
        <v>670</v>
      </c>
      <c r="O177" s="9" t="s">
        <v>720</v>
      </c>
      <c r="P177" s="9" t="s">
        <v>498</v>
      </c>
      <c r="Q177" s="9" t="s">
        <v>382</v>
      </c>
      <c r="R177" s="9" t="s">
        <v>427</v>
      </c>
      <c r="S177" s="9" t="s">
        <v>384</v>
      </c>
      <c r="T177" s="9" t="s">
        <v>385</v>
      </c>
      <c r="W177" s="9" t="s">
        <v>3014</v>
      </c>
      <c r="AV177" s="9" t="s">
        <v>1310</v>
      </c>
      <c r="AW177" s="9" t="s">
        <v>391</v>
      </c>
      <c r="AX177" s="9">
        <v>2.0</v>
      </c>
      <c r="AY177" s="9">
        <v>4.0</v>
      </c>
      <c r="AZ177" s="9" t="s">
        <v>391</v>
      </c>
      <c r="BA177" s="9" t="s">
        <v>429</v>
      </c>
      <c r="BB177" s="9" t="s">
        <v>391</v>
      </c>
      <c r="BC177" s="9" t="s">
        <v>4021</v>
      </c>
      <c r="BD177" s="9" t="s">
        <v>4022</v>
      </c>
      <c r="BE177" s="9" t="s">
        <v>432</v>
      </c>
      <c r="BF177" s="9" t="s">
        <v>433</v>
      </c>
      <c r="BG177" s="9" t="s">
        <v>765</v>
      </c>
      <c r="BI177" s="9" t="s">
        <v>509</v>
      </c>
      <c r="BK177" s="9" t="s">
        <v>681</v>
      </c>
      <c r="BL177" s="9" t="s">
        <v>512</v>
      </c>
      <c r="BM177" s="9" t="s">
        <v>1247</v>
      </c>
      <c r="BN177" s="9" t="s">
        <v>513</v>
      </c>
      <c r="CL177" s="9" t="s">
        <v>441</v>
      </c>
      <c r="CM177" s="9" t="s">
        <v>442</v>
      </c>
      <c r="CN177" s="9" t="s">
        <v>552</v>
      </c>
      <c r="CP177" s="9" t="s">
        <v>685</v>
      </c>
      <c r="CQ177" s="9" t="s">
        <v>4023</v>
      </c>
      <c r="CR177" s="9" t="s">
        <v>447</v>
      </c>
      <c r="CS177" s="9" t="s">
        <v>4024</v>
      </c>
      <c r="CT177" s="9" t="s">
        <v>4025</v>
      </c>
      <c r="CU177" s="9" t="s">
        <v>519</v>
      </c>
      <c r="CV177" s="9" t="s">
        <v>451</v>
      </c>
      <c r="CX177" s="9" t="s">
        <v>408</v>
      </c>
      <c r="CZ177" s="9" t="s">
        <v>453</v>
      </c>
      <c r="DB177" s="9" t="s">
        <v>455</v>
      </c>
      <c r="DC177" s="9" t="s">
        <v>1866</v>
      </c>
      <c r="DD177" s="9" t="s">
        <v>988</v>
      </c>
      <c r="DF177" s="9" t="s">
        <v>4026</v>
      </c>
      <c r="DG177" s="9" t="s">
        <v>524</v>
      </c>
      <c r="DH177" s="9" t="s">
        <v>410</v>
      </c>
      <c r="DI177" s="9" t="s">
        <v>963</v>
      </c>
      <c r="DJ177" s="9" t="s">
        <v>562</v>
      </c>
      <c r="DK177" s="9" t="s">
        <v>563</v>
      </c>
      <c r="DL177" s="9" t="s">
        <v>4027</v>
      </c>
      <c r="ET177" s="9" t="s">
        <v>578</v>
      </c>
      <c r="EU177" s="9" t="s">
        <v>887</v>
      </c>
      <c r="EV177" s="9" t="s">
        <v>580</v>
      </c>
      <c r="EZ177" s="9" t="s">
        <v>416</v>
      </c>
      <c r="FA177" s="9" t="s">
        <v>415</v>
      </c>
      <c r="FB177" s="9" t="s">
        <v>413</v>
      </c>
      <c r="FC177" s="9" t="s">
        <v>413</v>
      </c>
      <c r="FD177" s="9" t="s">
        <v>413</v>
      </c>
      <c r="FE177" s="9" t="s">
        <v>416</v>
      </c>
      <c r="FF177" s="9" t="s">
        <v>413</v>
      </c>
      <c r="FG177" s="9" t="s">
        <v>413</v>
      </c>
      <c r="FH177" s="9" t="s">
        <v>415</v>
      </c>
      <c r="FI177" s="9" t="s">
        <v>415</v>
      </c>
      <c r="FJ177" s="9" t="s">
        <v>415</v>
      </c>
      <c r="FK177" s="9" t="s">
        <v>413</v>
      </c>
      <c r="FL177" s="9" t="s">
        <v>415</v>
      </c>
      <c r="FM177" s="9" t="s">
        <v>413</v>
      </c>
      <c r="FN177" s="9" t="s">
        <v>583</v>
      </c>
      <c r="FO177" s="9" t="s">
        <v>485</v>
      </c>
      <c r="FP177" s="9" t="s">
        <v>418</v>
      </c>
      <c r="FQ177" s="9" t="s">
        <v>712</v>
      </c>
      <c r="FS177" s="9" t="s">
        <v>420</v>
      </c>
      <c r="FT177" s="9" t="s">
        <v>488</v>
      </c>
      <c r="FU177" s="9" t="s">
        <v>918</v>
      </c>
      <c r="FV177" s="9" t="s">
        <v>490</v>
      </c>
      <c r="FW177" s="9" t="s">
        <v>491</v>
      </c>
      <c r="FX177" s="9" t="s">
        <v>4028</v>
      </c>
      <c r="FY177" s="9" t="s">
        <v>535</v>
      </c>
      <c r="GB177" s="9" t="s">
        <v>455</v>
      </c>
      <c r="GC177" s="9"/>
      <c r="GE177" s="9" t="s">
        <v>855</v>
      </c>
      <c r="GG177" s="9" t="s">
        <v>1000</v>
      </c>
      <c r="GH177" s="9" t="s">
        <v>1000</v>
      </c>
      <c r="GI177" s="9" t="s">
        <v>756</v>
      </c>
      <c r="GQ177" s="9" t="s">
        <v>3273</v>
      </c>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c r="HX177" s="10"/>
      <c r="HY177" s="10"/>
      <c r="HZ177" s="10"/>
      <c r="IA177" s="10"/>
      <c r="IB177" s="10"/>
      <c r="IC177" s="10"/>
      <c r="ID177" s="10"/>
      <c r="IE177" s="10"/>
      <c r="IF177" s="10"/>
      <c r="IG177" s="10"/>
      <c r="IH177" s="10"/>
      <c r="II177" s="10"/>
      <c r="IJ177" s="10"/>
      <c r="IK177" s="10"/>
      <c r="IL177" s="10"/>
      <c r="IM177" s="10"/>
      <c r="IN177" s="10"/>
      <c r="IO177" s="10"/>
      <c r="IP177" s="10"/>
      <c r="IQ177" s="10"/>
      <c r="IR177" s="10"/>
      <c r="IS177" s="10"/>
      <c r="IT177" s="10"/>
      <c r="IU177" s="10"/>
      <c r="IV177" s="10"/>
      <c r="IW177" s="10"/>
      <c r="IX177" s="10"/>
      <c r="IY177" s="10"/>
      <c r="IZ177" s="10"/>
      <c r="JA177" s="10"/>
      <c r="JB177" s="10"/>
      <c r="JC177" s="10"/>
      <c r="JD177" s="10"/>
      <c r="JE177" s="10"/>
      <c r="JF177" s="10"/>
      <c r="JG177" s="10"/>
      <c r="JH177" s="10"/>
      <c r="JI177" s="10"/>
      <c r="JJ177" s="10"/>
      <c r="JK177" s="10"/>
      <c r="JL177" s="10"/>
      <c r="JM177" s="10"/>
      <c r="JN177" s="10"/>
      <c r="JO177" s="10"/>
      <c r="JP177" s="10"/>
      <c r="JQ177" s="10"/>
      <c r="JR177" s="10"/>
      <c r="JS177" s="10"/>
      <c r="JT177" s="10"/>
      <c r="JU177" s="10"/>
      <c r="JV177" s="10"/>
      <c r="JW177" s="10"/>
      <c r="JX177" s="10"/>
      <c r="JY177" s="10"/>
      <c r="JZ177" s="10"/>
      <c r="KA177" s="10"/>
      <c r="KB177" s="10"/>
      <c r="KC177" s="10"/>
      <c r="KD177" s="10"/>
      <c r="KE177" s="10"/>
      <c r="KF177" s="10"/>
      <c r="KG177" s="10"/>
      <c r="KH177" s="10"/>
      <c r="KI177" s="10"/>
      <c r="KJ177" s="10"/>
      <c r="KK177" s="10"/>
      <c r="KL177" s="10"/>
      <c r="KM177" s="10"/>
      <c r="KN177" s="10"/>
      <c r="KO177" s="10"/>
      <c r="KP177" s="10"/>
      <c r="KQ177" s="10"/>
      <c r="KR177" s="10"/>
      <c r="KS177" s="10"/>
      <c r="KT177" s="10"/>
      <c r="KU177" s="10"/>
      <c r="KV177" s="10"/>
      <c r="KW177" s="10"/>
      <c r="KX177" s="10"/>
      <c r="KY177" s="10"/>
      <c r="KZ177" s="10"/>
      <c r="LA177" s="10"/>
      <c r="LB177" s="10"/>
      <c r="LC177" s="10"/>
      <c r="LD177" s="10"/>
      <c r="LE177" s="10"/>
      <c r="LF177" s="10"/>
      <c r="LG177" s="10"/>
      <c r="LH177" s="10"/>
      <c r="LI177" s="10"/>
      <c r="LJ177" s="10"/>
      <c r="LK177" s="10"/>
      <c r="LL177" s="10"/>
      <c r="LM177" s="10"/>
      <c r="LN177" s="10"/>
      <c r="LO177" s="10"/>
      <c r="LP177" s="10"/>
      <c r="LQ177" s="10"/>
      <c r="LR177" s="10"/>
      <c r="LS177" s="10"/>
      <c r="LT177" s="10"/>
      <c r="LU177" s="10"/>
      <c r="LV177" s="10"/>
      <c r="LW177" s="10"/>
      <c r="LX177" s="10"/>
      <c r="LY177" s="10"/>
      <c r="LZ177" s="10"/>
      <c r="MA177" s="10"/>
      <c r="MB177" s="10"/>
      <c r="MC177" s="10"/>
      <c r="MD177" s="10"/>
      <c r="ME177" s="10"/>
      <c r="MF177" s="10"/>
      <c r="MG177" s="10"/>
      <c r="MH177" s="10"/>
      <c r="MI177" s="10"/>
      <c r="MJ177" s="10"/>
      <c r="MK177" s="10"/>
      <c r="ML177" s="10"/>
      <c r="MM177" s="10"/>
      <c r="MN177" s="10"/>
      <c r="MO177" s="10"/>
      <c r="MP177" s="10"/>
      <c r="MQ177" s="10"/>
      <c r="MR177" s="10"/>
      <c r="MS177" s="10"/>
      <c r="MT177" s="10"/>
      <c r="MU177" s="10"/>
      <c r="MV177" s="10"/>
      <c r="MW177" s="10"/>
      <c r="MX177" s="10"/>
      <c r="MY177" s="10"/>
      <c r="MZ177" s="10"/>
      <c r="NA177" s="10"/>
      <c r="NB177" s="10"/>
      <c r="NC177" s="10"/>
      <c r="ND177" s="10"/>
    </row>
    <row r="178" ht="24.75" customHeight="1">
      <c r="A178" s="8">
        <v>45833.016503148145</v>
      </c>
      <c r="B178" s="9" t="s">
        <v>368</v>
      </c>
      <c r="C178" s="9" t="s">
        <v>894</v>
      </c>
      <c r="D178" s="9" t="s">
        <v>894</v>
      </c>
      <c r="G178" s="9" t="s">
        <v>422</v>
      </c>
      <c r="H178" s="9" t="s">
        <v>637</v>
      </c>
      <c r="I178" s="9" t="s">
        <v>638</v>
      </c>
      <c r="J178" s="9" t="s">
        <v>590</v>
      </c>
      <c r="K178" s="9" t="s">
        <v>376</v>
      </c>
      <c r="L178" s="9" t="s">
        <v>591</v>
      </c>
      <c r="M178" s="9" t="s">
        <v>378</v>
      </c>
      <c r="N178" s="9" t="s">
        <v>591</v>
      </c>
      <c r="O178" s="9" t="s">
        <v>719</v>
      </c>
      <c r="P178" s="9" t="s">
        <v>498</v>
      </c>
      <c r="Q178" s="9" t="s">
        <v>862</v>
      </c>
      <c r="R178" s="9" t="s">
        <v>949</v>
      </c>
      <c r="S178" s="9" t="s">
        <v>384</v>
      </c>
      <c r="T178" s="9" t="s">
        <v>385</v>
      </c>
      <c r="U178" s="9" t="s">
        <v>896</v>
      </c>
      <c r="V178" s="9" t="s">
        <v>896</v>
      </c>
      <c r="W178" s="9" t="s">
        <v>593</v>
      </c>
      <c r="X178" s="9" t="s">
        <v>387</v>
      </c>
      <c r="Y178" s="9" t="s">
        <v>388</v>
      </c>
      <c r="Z178" s="9" t="s">
        <v>543</v>
      </c>
      <c r="AB178" s="9" t="s">
        <v>4029</v>
      </c>
      <c r="AV178" s="9" t="s">
        <v>1242</v>
      </c>
      <c r="AW178" s="9" t="s">
        <v>675</v>
      </c>
      <c r="AX178" s="9" t="s">
        <v>391</v>
      </c>
      <c r="AY178" s="9">
        <v>2.0</v>
      </c>
      <c r="AZ178" s="9">
        <v>4.0</v>
      </c>
      <c r="BA178" s="9">
        <v>4.0</v>
      </c>
      <c r="BB178" s="9" t="s">
        <v>675</v>
      </c>
      <c r="BC178" s="9" t="s">
        <v>4030</v>
      </c>
      <c r="BD178" s="9" t="s">
        <v>4031</v>
      </c>
      <c r="BE178" s="9" t="s">
        <v>432</v>
      </c>
      <c r="BF178" s="9" t="s">
        <v>1095</v>
      </c>
      <c r="BG178" s="9" t="s">
        <v>394</v>
      </c>
      <c r="BH178" s="9" t="s">
        <v>4032</v>
      </c>
      <c r="BI178" s="9" t="s">
        <v>435</v>
      </c>
      <c r="BJ178" s="9" t="s">
        <v>4033</v>
      </c>
      <c r="BK178" s="9" t="s">
        <v>681</v>
      </c>
      <c r="BL178" s="9" t="s">
        <v>603</v>
      </c>
      <c r="BM178" s="9" t="s">
        <v>1314</v>
      </c>
      <c r="BN178" s="9" t="s">
        <v>398</v>
      </c>
      <c r="BO178" s="9" t="s">
        <v>4034</v>
      </c>
      <c r="BP178" s="9" t="s">
        <v>4035</v>
      </c>
      <c r="BQ178" s="9" t="s">
        <v>604</v>
      </c>
      <c r="BR178" s="9" t="s">
        <v>4036</v>
      </c>
      <c r="BS178" s="9" t="s">
        <v>1671</v>
      </c>
      <c r="BT178" s="9" t="s">
        <v>404</v>
      </c>
      <c r="BU178" s="9" t="s">
        <v>1772</v>
      </c>
      <c r="BV178" s="9" t="s">
        <v>4037</v>
      </c>
      <c r="BW178" s="9" t="s">
        <v>988</v>
      </c>
      <c r="BY178" s="9" t="s">
        <v>408</v>
      </c>
      <c r="CA178" s="9" t="s">
        <v>4038</v>
      </c>
      <c r="CB178" s="9" t="s">
        <v>4039</v>
      </c>
      <c r="CC178" s="9" t="s">
        <v>4040</v>
      </c>
      <c r="CD178" s="9" t="s">
        <v>1257</v>
      </c>
      <c r="CF178" s="9" t="s">
        <v>1258</v>
      </c>
      <c r="CH178" s="9" t="s">
        <v>1259</v>
      </c>
      <c r="CI178" s="9" t="s">
        <v>410</v>
      </c>
      <c r="CJ178" s="9" t="s">
        <v>4041</v>
      </c>
      <c r="CK178" s="9" t="s">
        <v>4042</v>
      </c>
      <c r="ET178" s="9" t="s">
        <v>526</v>
      </c>
      <c r="EU178" s="9" t="s">
        <v>1127</v>
      </c>
      <c r="EV178" s="9" t="s">
        <v>1262</v>
      </c>
      <c r="EX178" s="9" t="s">
        <v>4043</v>
      </c>
      <c r="EY178" s="9" t="s">
        <v>4044</v>
      </c>
      <c r="EZ178" s="9" t="s">
        <v>415</v>
      </c>
      <c r="FA178" s="9" t="s">
        <v>414</v>
      </c>
      <c r="FB178" s="9" t="s">
        <v>415</v>
      </c>
      <c r="FC178" s="9" t="s">
        <v>415</v>
      </c>
      <c r="FD178" s="9" t="s">
        <v>416</v>
      </c>
      <c r="FE178" s="9" t="s">
        <v>414</v>
      </c>
      <c r="FF178" s="9" t="s">
        <v>415</v>
      </c>
      <c r="FG178" s="9" t="s">
        <v>413</v>
      </c>
      <c r="FH178" s="9" t="s">
        <v>583</v>
      </c>
      <c r="FI178" s="9" t="s">
        <v>415</v>
      </c>
      <c r="FJ178" s="9" t="s">
        <v>415</v>
      </c>
      <c r="FK178" s="9" t="s">
        <v>484</v>
      </c>
      <c r="FL178" s="9" t="s">
        <v>415</v>
      </c>
      <c r="FM178" s="9" t="s">
        <v>416</v>
      </c>
      <c r="FN178" s="9" t="s">
        <v>414</v>
      </c>
      <c r="FO178" s="9" t="s">
        <v>850</v>
      </c>
      <c r="FP178" s="9" t="s">
        <v>418</v>
      </c>
      <c r="FQ178" s="9" t="s">
        <v>749</v>
      </c>
      <c r="FR178" s="9" t="s">
        <v>4045</v>
      </c>
      <c r="FS178" s="9" t="s">
        <v>420</v>
      </c>
      <c r="FT178" s="9" t="s">
        <v>1462</v>
      </c>
      <c r="FU178" s="9" t="s">
        <v>489</v>
      </c>
      <c r="FV178" s="9" t="s">
        <v>490</v>
      </c>
      <c r="FW178" s="9" t="s">
        <v>491</v>
      </c>
      <c r="FX178" s="9" t="s">
        <v>4046</v>
      </c>
      <c r="FY178" s="9" t="s">
        <v>535</v>
      </c>
      <c r="FZ178" s="9" t="s">
        <v>4047</v>
      </c>
      <c r="GA178" s="9" t="s">
        <v>4048</v>
      </c>
      <c r="GB178" s="9" t="s">
        <v>408</v>
      </c>
      <c r="GJ178" s="9" t="s">
        <v>755</v>
      </c>
      <c r="GK178" s="9" t="s">
        <v>1000</v>
      </c>
      <c r="GL178" s="9" t="s">
        <v>817</v>
      </c>
      <c r="GQ178" s="9" t="s">
        <v>3273</v>
      </c>
      <c r="GR178" s="10"/>
      <c r="GS178" s="10"/>
      <c r="GT178" s="10"/>
      <c r="GU178" s="10"/>
      <c r="GV178" s="10"/>
      <c r="GW178" s="10"/>
      <c r="GX178" s="10"/>
      <c r="GY178" s="10"/>
      <c r="GZ178" s="10"/>
      <c r="HA178" s="10"/>
      <c r="HB178" s="10"/>
      <c r="HC178" s="10"/>
      <c r="HD178" s="10"/>
      <c r="HE178" s="10"/>
      <c r="HF178" s="10"/>
      <c r="HG178" s="10"/>
      <c r="HH178" s="10"/>
      <c r="HI178" s="10"/>
      <c r="HJ178" s="10"/>
      <c r="HK178" s="10"/>
      <c r="HL178" s="10"/>
      <c r="HM178" s="10"/>
      <c r="HN178" s="10"/>
      <c r="HO178" s="10"/>
      <c r="HP178" s="10"/>
      <c r="HQ178" s="10"/>
      <c r="HR178" s="10"/>
      <c r="HS178" s="10"/>
      <c r="HT178" s="10"/>
      <c r="HU178" s="10"/>
      <c r="HV178" s="10"/>
      <c r="HW178" s="10"/>
      <c r="HX178" s="10"/>
      <c r="HY178" s="10"/>
      <c r="HZ178" s="10"/>
      <c r="IA178" s="10"/>
      <c r="IB178" s="10"/>
      <c r="IC178" s="10"/>
      <c r="ID178" s="10"/>
      <c r="IE178" s="10"/>
      <c r="IF178" s="10"/>
      <c r="IG178" s="10"/>
      <c r="IH178" s="10"/>
      <c r="II178" s="10"/>
      <c r="IJ178" s="10"/>
      <c r="IK178" s="10"/>
      <c r="IL178" s="10"/>
      <c r="IM178" s="10"/>
      <c r="IN178" s="10"/>
      <c r="IO178" s="10"/>
      <c r="IP178" s="10"/>
      <c r="IQ178" s="10"/>
      <c r="IR178" s="10"/>
      <c r="IS178" s="10"/>
      <c r="IT178" s="10"/>
      <c r="IU178" s="10"/>
      <c r="IV178" s="10"/>
      <c r="IW178" s="10"/>
      <c r="IX178" s="10"/>
      <c r="IY178" s="10"/>
      <c r="IZ178" s="10"/>
      <c r="JA178" s="10"/>
      <c r="JB178" s="10"/>
      <c r="JC178" s="10"/>
      <c r="JD178" s="10"/>
      <c r="JE178" s="10"/>
      <c r="JF178" s="10"/>
      <c r="JG178" s="10"/>
      <c r="JH178" s="10"/>
      <c r="JI178" s="10"/>
      <c r="JJ178" s="10"/>
      <c r="JK178" s="10"/>
      <c r="JL178" s="10"/>
      <c r="JM178" s="10"/>
      <c r="JN178" s="10"/>
      <c r="JO178" s="10"/>
      <c r="JP178" s="10"/>
      <c r="JQ178" s="10"/>
      <c r="JR178" s="10"/>
      <c r="JS178" s="10"/>
      <c r="JT178" s="10"/>
      <c r="JU178" s="10"/>
      <c r="JV178" s="10"/>
      <c r="JW178" s="10"/>
      <c r="JX178" s="10"/>
      <c r="JY178" s="10"/>
      <c r="JZ178" s="10"/>
      <c r="KA178" s="10"/>
      <c r="KB178" s="10"/>
      <c r="KC178" s="10"/>
      <c r="KD178" s="10"/>
      <c r="KE178" s="10"/>
      <c r="KF178" s="10"/>
      <c r="KG178" s="10"/>
      <c r="KH178" s="10"/>
      <c r="KI178" s="10"/>
      <c r="KJ178" s="10"/>
      <c r="KK178" s="10"/>
      <c r="KL178" s="10"/>
      <c r="KM178" s="10"/>
      <c r="KN178" s="10"/>
      <c r="KO178" s="10"/>
      <c r="KP178" s="10"/>
      <c r="KQ178" s="10"/>
      <c r="KR178" s="10"/>
      <c r="KS178" s="10"/>
      <c r="KT178" s="10"/>
      <c r="KU178" s="10"/>
      <c r="KV178" s="10"/>
      <c r="KW178" s="10"/>
      <c r="KX178" s="10"/>
      <c r="KY178" s="10"/>
      <c r="KZ178" s="10"/>
      <c r="LA178" s="10"/>
      <c r="LB178" s="10"/>
      <c r="LC178" s="10"/>
      <c r="LD178" s="10"/>
      <c r="LE178" s="10"/>
      <c r="LF178" s="10"/>
      <c r="LG178" s="10"/>
      <c r="LH178" s="10"/>
      <c r="LI178" s="10"/>
      <c r="LJ178" s="10"/>
      <c r="LK178" s="10"/>
      <c r="LL178" s="10"/>
      <c r="LM178" s="10"/>
      <c r="LN178" s="10"/>
      <c r="LO178" s="10"/>
      <c r="LP178" s="10"/>
      <c r="LQ178" s="10"/>
      <c r="LR178" s="10"/>
      <c r="LS178" s="10"/>
      <c r="LT178" s="10"/>
      <c r="LU178" s="10"/>
      <c r="LV178" s="10"/>
      <c r="LW178" s="10"/>
      <c r="LX178" s="10"/>
      <c r="LY178" s="10"/>
      <c r="LZ178" s="10"/>
      <c r="MA178" s="10"/>
      <c r="MB178" s="10"/>
      <c r="MC178" s="10"/>
      <c r="MD178" s="10"/>
      <c r="ME178" s="10"/>
      <c r="MF178" s="10"/>
      <c r="MG178" s="10"/>
      <c r="MH178" s="10"/>
      <c r="MI178" s="10"/>
      <c r="MJ178" s="10"/>
      <c r="MK178" s="10"/>
      <c r="ML178" s="10"/>
      <c r="MM178" s="10"/>
      <c r="MN178" s="10"/>
      <c r="MO178" s="10"/>
      <c r="MP178" s="10"/>
      <c r="MQ178" s="10"/>
      <c r="MR178" s="10"/>
      <c r="MS178" s="10"/>
      <c r="MT178" s="10"/>
      <c r="MU178" s="10"/>
      <c r="MV178" s="10"/>
      <c r="MW178" s="10"/>
      <c r="MX178" s="10"/>
      <c r="MY178" s="10"/>
      <c r="MZ178" s="10"/>
      <c r="NA178" s="10"/>
      <c r="NB178" s="10"/>
      <c r="NC178" s="10"/>
      <c r="ND178" s="10"/>
    </row>
    <row r="179" ht="24.75" customHeight="1">
      <c r="A179" s="8">
        <v>45833.09466783565</v>
      </c>
      <c r="B179" s="9" t="s">
        <v>368</v>
      </c>
      <c r="C179" s="9" t="s">
        <v>1201</v>
      </c>
      <c r="D179" s="9" t="s">
        <v>1201</v>
      </c>
      <c r="G179" s="9" t="s">
        <v>422</v>
      </c>
      <c r="H179" s="9" t="s">
        <v>637</v>
      </c>
      <c r="I179" s="9" t="s">
        <v>638</v>
      </c>
      <c r="J179" s="9" t="s">
        <v>590</v>
      </c>
      <c r="K179" s="9" t="s">
        <v>376</v>
      </c>
      <c r="L179" s="9" t="s">
        <v>379</v>
      </c>
      <c r="M179" s="9" t="s">
        <v>720</v>
      </c>
      <c r="N179" s="9" t="s">
        <v>591</v>
      </c>
      <c r="O179" s="9" t="s">
        <v>639</v>
      </c>
      <c r="P179" s="9" t="s">
        <v>381</v>
      </c>
      <c r="Q179" s="9" t="s">
        <v>862</v>
      </c>
      <c r="R179" s="9" t="s">
        <v>1901</v>
      </c>
      <c r="S179" s="9" t="s">
        <v>384</v>
      </c>
      <c r="T179" s="9" t="s">
        <v>385</v>
      </c>
      <c r="W179" s="9" t="s">
        <v>3014</v>
      </c>
      <c r="AV179" s="9" t="s">
        <v>1310</v>
      </c>
      <c r="AW179" s="9" t="s">
        <v>391</v>
      </c>
      <c r="AX179" s="9" t="s">
        <v>391</v>
      </c>
      <c r="AY179" s="9">
        <v>4.0</v>
      </c>
      <c r="AZ179" s="9" t="s">
        <v>391</v>
      </c>
      <c r="BA179" s="9" t="s">
        <v>391</v>
      </c>
      <c r="BB179" s="9" t="s">
        <v>391</v>
      </c>
      <c r="BC179" s="9" t="s">
        <v>4049</v>
      </c>
      <c r="BD179" s="9" t="s">
        <v>4050</v>
      </c>
      <c r="BE179" s="9" t="s">
        <v>392</v>
      </c>
      <c r="BF179" s="9" t="s">
        <v>393</v>
      </c>
      <c r="BG179" s="9" t="s">
        <v>725</v>
      </c>
      <c r="BH179" s="9" t="s">
        <v>4051</v>
      </c>
      <c r="BI179" s="9" t="s">
        <v>727</v>
      </c>
      <c r="BK179" s="9" t="s">
        <v>681</v>
      </c>
      <c r="BL179" s="9" t="s">
        <v>603</v>
      </c>
      <c r="BM179" s="9" t="s">
        <v>1247</v>
      </c>
      <c r="BN179" s="9" t="s">
        <v>513</v>
      </c>
      <c r="CL179" s="9" t="s">
        <v>953</v>
      </c>
      <c r="CM179" s="9" t="s">
        <v>401</v>
      </c>
      <c r="CN179" s="9" t="s">
        <v>4052</v>
      </c>
      <c r="CO179" s="9" t="s">
        <v>4053</v>
      </c>
      <c r="CQ179" s="9" t="s">
        <v>4054</v>
      </c>
      <c r="CR179" s="9" t="s">
        <v>804</v>
      </c>
      <c r="CT179" s="9" t="s">
        <v>4055</v>
      </c>
      <c r="CU179" s="9" t="s">
        <v>1961</v>
      </c>
      <c r="CV179" s="9" t="s">
        <v>959</v>
      </c>
      <c r="CX179" s="9" t="s">
        <v>408</v>
      </c>
      <c r="DB179" s="9" t="s">
        <v>408</v>
      </c>
      <c r="DD179" s="9" t="s">
        <v>1400</v>
      </c>
      <c r="DF179" s="9" t="s">
        <v>4056</v>
      </c>
      <c r="DG179" s="9" t="s">
        <v>693</v>
      </c>
      <c r="DH179" s="9" t="s">
        <v>410</v>
      </c>
      <c r="DI179" s="9" t="s">
        <v>963</v>
      </c>
      <c r="DJ179" s="9" t="s">
        <v>460</v>
      </c>
      <c r="DK179" s="9" t="s">
        <v>563</v>
      </c>
      <c r="DL179" s="9" t="s">
        <v>4057</v>
      </c>
      <c r="ET179" s="9" t="s">
        <v>578</v>
      </c>
      <c r="EU179" s="9" t="s">
        <v>579</v>
      </c>
      <c r="EV179" s="9" t="s">
        <v>1534</v>
      </c>
      <c r="EW179" s="9" t="s">
        <v>4058</v>
      </c>
      <c r="EX179" s="9" t="s">
        <v>4059</v>
      </c>
      <c r="EY179" s="9" t="s">
        <v>4060</v>
      </c>
      <c r="EZ179" s="9" t="s">
        <v>415</v>
      </c>
      <c r="FA179" s="9" t="s">
        <v>414</v>
      </c>
      <c r="FB179" s="9" t="s">
        <v>416</v>
      </c>
      <c r="FC179" s="9" t="s">
        <v>414</v>
      </c>
      <c r="FD179" s="9" t="s">
        <v>415</v>
      </c>
      <c r="FE179" s="9" t="s">
        <v>414</v>
      </c>
      <c r="FF179" s="9" t="s">
        <v>415</v>
      </c>
      <c r="FG179" s="9" t="s">
        <v>415</v>
      </c>
      <c r="FH179" s="9" t="s">
        <v>414</v>
      </c>
      <c r="FI179" s="9" t="s">
        <v>415</v>
      </c>
      <c r="FJ179" s="9" t="s">
        <v>415</v>
      </c>
      <c r="FK179" s="9" t="s">
        <v>415</v>
      </c>
      <c r="FL179" s="9" t="s">
        <v>415</v>
      </c>
      <c r="FM179" s="9" t="s">
        <v>415</v>
      </c>
      <c r="FN179" s="9" t="s">
        <v>414</v>
      </c>
      <c r="FO179" s="9" t="s">
        <v>1074</v>
      </c>
      <c r="FP179" s="9" t="s">
        <v>486</v>
      </c>
      <c r="FQ179" s="9" t="s">
        <v>749</v>
      </c>
      <c r="FR179" s="9" t="s">
        <v>4061</v>
      </c>
      <c r="FS179" s="9" t="s">
        <v>1871</v>
      </c>
      <c r="FT179" s="9" t="s">
        <v>1462</v>
      </c>
      <c r="FU179" s="9" t="s">
        <v>1235</v>
      </c>
      <c r="FV179" s="9" t="s">
        <v>2136</v>
      </c>
      <c r="FW179" s="9" t="s">
        <v>491</v>
      </c>
      <c r="FX179" s="9" t="s">
        <v>4062</v>
      </c>
      <c r="FY179" s="9" t="s">
        <v>1020</v>
      </c>
      <c r="FZ179" s="9" t="s">
        <v>4063</v>
      </c>
      <c r="GA179" s="9" t="s">
        <v>4064</v>
      </c>
      <c r="GB179" s="9" t="s">
        <v>455</v>
      </c>
      <c r="GC179" s="9"/>
      <c r="GD179" s="9"/>
      <c r="GE179" s="9" t="s">
        <v>1339</v>
      </c>
      <c r="GF179" s="9" t="s">
        <v>4065</v>
      </c>
      <c r="GG179" s="9" t="s">
        <v>857</v>
      </c>
      <c r="GH179" s="9" t="s">
        <v>857</v>
      </c>
      <c r="GI179" s="9" t="s">
        <v>790</v>
      </c>
      <c r="GQ179" s="9" t="s">
        <v>3351</v>
      </c>
      <c r="GR179" s="10"/>
      <c r="GS179" s="10"/>
      <c r="GT179" s="10"/>
      <c r="GU179" s="10"/>
      <c r="GV179" s="10"/>
      <c r="GW179" s="10"/>
      <c r="GX179" s="10"/>
      <c r="GY179" s="10"/>
      <c r="GZ179" s="10"/>
      <c r="HA179" s="10"/>
      <c r="HB179" s="10"/>
      <c r="HC179" s="10"/>
      <c r="HD179" s="10"/>
      <c r="HE179" s="10"/>
      <c r="HF179" s="10"/>
      <c r="HG179" s="10"/>
      <c r="HH179" s="10"/>
      <c r="HI179" s="10"/>
      <c r="HJ179" s="10"/>
      <c r="HK179" s="10"/>
      <c r="HL179" s="10"/>
      <c r="HM179" s="10"/>
      <c r="HN179" s="10"/>
      <c r="HO179" s="10"/>
      <c r="HP179" s="10"/>
      <c r="HQ179" s="10"/>
      <c r="HR179" s="10"/>
      <c r="HS179" s="10"/>
      <c r="HT179" s="10"/>
      <c r="HU179" s="10"/>
      <c r="HV179" s="10"/>
      <c r="HW179" s="10"/>
      <c r="HX179" s="10"/>
      <c r="HY179" s="10"/>
      <c r="HZ179" s="10"/>
      <c r="IA179" s="10"/>
      <c r="IB179" s="10"/>
      <c r="IC179" s="10"/>
      <c r="ID179" s="10"/>
      <c r="IE179" s="10"/>
      <c r="IF179" s="10"/>
      <c r="IG179" s="10"/>
      <c r="IH179" s="10"/>
      <c r="II179" s="10"/>
      <c r="IJ179" s="10"/>
      <c r="IK179" s="10"/>
      <c r="IL179" s="10"/>
      <c r="IM179" s="10"/>
      <c r="IN179" s="10"/>
      <c r="IO179" s="10"/>
      <c r="IP179" s="10"/>
      <c r="IQ179" s="10"/>
      <c r="IR179" s="10"/>
      <c r="IS179" s="10"/>
      <c r="IT179" s="10"/>
      <c r="IU179" s="10"/>
      <c r="IV179" s="10"/>
      <c r="IW179" s="10"/>
      <c r="IX179" s="10"/>
      <c r="IY179" s="10"/>
      <c r="IZ179" s="10"/>
      <c r="JA179" s="10"/>
      <c r="JB179" s="10"/>
      <c r="JC179" s="10"/>
      <c r="JD179" s="10"/>
      <c r="JE179" s="10"/>
      <c r="JF179" s="10"/>
      <c r="JG179" s="10"/>
      <c r="JH179" s="10"/>
      <c r="JI179" s="10"/>
      <c r="JJ179" s="10"/>
      <c r="JK179" s="10"/>
      <c r="JL179" s="10"/>
      <c r="JM179" s="10"/>
      <c r="JN179" s="10"/>
      <c r="JO179" s="10"/>
      <c r="JP179" s="10"/>
      <c r="JQ179" s="10"/>
      <c r="JR179" s="10"/>
      <c r="JS179" s="10"/>
      <c r="JT179" s="10"/>
      <c r="JU179" s="10"/>
      <c r="JV179" s="10"/>
      <c r="JW179" s="10"/>
      <c r="JX179" s="10"/>
      <c r="JY179" s="10"/>
      <c r="JZ179" s="10"/>
      <c r="KA179" s="10"/>
      <c r="KB179" s="10"/>
      <c r="KC179" s="10"/>
      <c r="KD179" s="10"/>
      <c r="KE179" s="10"/>
      <c r="KF179" s="10"/>
      <c r="KG179" s="10"/>
      <c r="KH179" s="10"/>
      <c r="KI179" s="10"/>
      <c r="KJ179" s="10"/>
      <c r="KK179" s="10"/>
      <c r="KL179" s="10"/>
      <c r="KM179" s="10"/>
      <c r="KN179" s="10"/>
      <c r="KO179" s="10"/>
      <c r="KP179" s="10"/>
      <c r="KQ179" s="10"/>
      <c r="KR179" s="10"/>
      <c r="KS179" s="10"/>
      <c r="KT179" s="10"/>
      <c r="KU179" s="10"/>
      <c r="KV179" s="10"/>
      <c r="KW179" s="10"/>
      <c r="KX179" s="10"/>
      <c r="KY179" s="10"/>
      <c r="KZ179" s="10"/>
      <c r="LA179" s="10"/>
      <c r="LB179" s="10"/>
      <c r="LC179" s="10"/>
      <c r="LD179" s="10"/>
      <c r="LE179" s="10"/>
      <c r="LF179" s="10"/>
      <c r="LG179" s="10"/>
      <c r="LH179" s="10"/>
      <c r="LI179" s="10"/>
      <c r="LJ179" s="10"/>
      <c r="LK179" s="10"/>
      <c r="LL179" s="10"/>
      <c r="LM179" s="10"/>
      <c r="LN179" s="10"/>
      <c r="LO179" s="10"/>
      <c r="LP179" s="10"/>
      <c r="LQ179" s="10"/>
      <c r="LR179" s="10"/>
      <c r="LS179" s="10"/>
      <c r="LT179" s="10"/>
      <c r="LU179" s="10"/>
      <c r="LV179" s="10"/>
      <c r="LW179" s="10"/>
      <c r="LX179" s="10"/>
      <c r="LY179" s="10"/>
      <c r="LZ179" s="10"/>
      <c r="MA179" s="10"/>
      <c r="MB179" s="10"/>
      <c r="MC179" s="10"/>
      <c r="MD179" s="10"/>
      <c r="ME179" s="10"/>
      <c r="MF179" s="10"/>
      <c r="MG179" s="10"/>
      <c r="MH179" s="10"/>
      <c r="MI179" s="10"/>
      <c r="MJ179" s="10"/>
      <c r="MK179" s="10"/>
      <c r="ML179" s="10"/>
      <c r="MM179" s="10"/>
      <c r="MN179" s="10"/>
      <c r="MO179" s="10"/>
      <c r="MP179" s="10"/>
      <c r="MQ179" s="10"/>
      <c r="MR179" s="10"/>
      <c r="MS179" s="10"/>
      <c r="MT179" s="10"/>
      <c r="MU179" s="10"/>
      <c r="MV179" s="10"/>
      <c r="MW179" s="10"/>
      <c r="MX179" s="10"/>
      <c r="MY179" s="10"/>
      <c r="MZ179" s="10"/>
      <c r="NA179" s="10"/>
      <c r="NB179" s="10"/>
      <c r="NC179" s="10"/>
      <c r="ND179" s="10"/>
    </row>
    <row r="180" ht="24.75" customHeight="1">
      <c r="A180" s="8">
        <v>45833.27167458333</v>
      </c>
      <c r="B180" s="9" t="s">
        <v>368</v>
      </c>
      <c r="C180" s="9" t="s">
        <v>1201</v>
      </c>
      <c r="D180" s="9" t="s">
        <v>1201</v>
      </c>
      <c r="G180" s="9" t="s">
        <v>422</v>
      </c>
      <c r="H180" s="9" t="s">
        <v>637</v>
      </c>
      <c r="I180" s="9" t="s">
        <v>638</v>
      </c>
      <c r="J180" s="9" t="s">
        <v>590</v>
      </c>
      <c r="K180" s="9" t="s">
        <v>376</v>
      </c>
      <c r="L180" s="9" t="s">
        <v>379</v>
      </c>
      <c r="M180" s="9" t="s">
        <v>639</v>
      </c>
      <c r="N180" s="9" t="s">
        <v>591</v>
      </c>
      <c r="O180" s="9" t="s">
        <v>2579</v>
      </c>
      <c r="P180" s="9" t="s">
        <v>498</v>
      </c>
      <c r="Q180" s="9" t="s">
        <v>862</v>
      </c>
      <c r="R180" s="9" t="s">
        <v>949</v>
      </c>
      <c r="S180" s="9" t="s">
        <v>384</v>
      </c>
      <c r="T180" s="9" t="s">
        <v>385</v>
      </c>
      <c r="W180" s="9" t="s">
        <v>3014</v>
      </c>
      <c r="AV180" s="9" t="s">
        <v>390</v>
      </c>
      <c r="AW180" s="9">
        <v>4.0</v>
      </c>
      <c r="AX180" s="9" t="s">
        <v>391</v>
      </c>
      <c r="AY180" s="9" t="s">
        <v>391</v>
      </c>
      <c r="AZ180" s="9" t="s">
        <v>391</v>
      </c>
      <c r="BA180" s="9" t="s">
        <v>391</v>
      </c>
      <c r="BB180" s="9">
        <v>2.0</v>
      </c>
      <c r="BC180" s="9" t="s">
        <v>4066</v>
      </c>
      <c r="BD180" s="9" t="s">
        <v>4067</v>
      </c>
      <c r="BE180" s="9" t="s">
        <v>392</v>
      </c>
      <c r="BF180" s="9" t="s">
        <v>433</v>
      </c>
      <c r="BG180" s="9" t="s">
        <v>394</v>
      </c>
      <c r="BI180" s="9" t="s">
        <v>727</v>
      </c>
      <c r="BK180" s="9" t="s">
        <v>437</v>
      </c>
      <c r="BL180" s="9" t="s">
        <v>438</v>
      </c>
      <c r="BM180" s="9" t="s">
        <v>439</v>
      </c>
      <c r="BN180" s="9" t="s">
        <v>398</v>
      </c>
      <c r="BO180" s="9" t="s">
        <v>4068</v>
      </c>
      <c r="BP180" s="9" t="s">
        <v>4069</v>
      </c>
      <c r="BQ180" s="9" t="s">
        <v>604</v>
      </c>
      <c r="BR180" s="9" t="s">
        <v>4070</v>
      </c>
      <c r="BS180" s="9" t="s">
        <v>4071</v>
      </c>
      <c r="BT180" s="9" t="s">
        <v>4072</v>
      </c>
      <c r="BU180" s="9" t="s">
        <v>1831</v>
      </c>
      <c r="BV180" s="9" t="s">
        <v>4073</v>
      </c>
      <c r="BW180" s="9" t="s">
        <v>457</v>
      </c>
      <c r="BY180" s="9" t="s">
        <v>408</v>
      </c>
      <c r="CB180" s="9" t="s">
        <v>4074</v>
      </c>
      <c r="CC180" s="9" t="s">
        <v>4075</v>
      </c>
      <c r="CD180" s="9" t="s">
        <v>451</v>
      </c>
      <c r="CE180" s="9" t="s">
        <v>4076</v>
      </c>
      <c r="CF180" s="9" t="s">
        <v>1258</v>
      </c>
      <c r="CH180" s="9" t="s">
        <v>2852</v>
      </c>
      <c r="CI180" s="9" t="s">
        <v>410</v>
      </c>
      <c r="CJ180" s="9" t="s">
        <v>4077</v>
      </c>
      <c r="CK180" s="9" t="s">
        <v>4078</v>
      </c>
      <c r="ET180" s="9" t="s">
        <v>578</v>
      </c>
      <c r="EU180" s="9" t="s">
        <v>579</v>
      </c>
      <c r="EV180" s="9" t="s">
        <v>1534</v>
      </c>
      <c r="EX180" s="9" t="s">
        <v>4079</v>
      </c>
      <c r="EY180" s="9" t="s">
        <v>4080</v>
      </c>
      <c r="EZ180" s="9" t="s">
        <v>415</v>
      </c>
      <c r="FA180" s="9" t="s">
        <v>414</v>
      </c>
      <c r="FB180" s="9" t="s">
        <v>416</v>
      </c>
      <c r="FC180" s="9" t="s">
        <v>414</v>
      </c>
      <c r="FD180" s="9" t="s">
        <v>416</v>
      </c>
      <c r="FE180" s="9" t="s">
        <v>414</v>
      </c>
      <c r="FF180" s="9" t="s">
        <v>415</v>
      </c>
      <c r="FG180" s="9" t="s">
        <v>415</v>
      </c>
      <c r="FH180" s="9" t="s">
        <v>415</v>
      </c>
      <c r="FI180" s="9" t="s">
        <v>416</v>
      </c>
      <c r="FJ180" s="9" t="s">
        <v>415</v>
      </c>
      <c r="FK180" s="9" t="s">
        <v>415</v>
      </c>
      <c r="FL180" s="9" t="s">
        <v>415</v>
      </c>
      <c r="FM180" s="9" t="s">
        <v>415</v>
      </c>
      <c r="FN180" s="9" t="s">
        <v>415</v>
      </c>
      <c r="FO180" s="9" t="s">
        <v>850</v>
      </c>
      <c r="FP180" s="9" t="s">
        <v>486</v>
      </c>
      <c r="FQ180" s="9" t="s">
        <v>749</v>
      </c>
      <c r="FR180" s="9" t="s">
        <v>4081</v>
      </c>
      <c r="FS180" s="9" t="s">
        <v>1076</v>
      </c>
      <c r="FT180" s="9" t="s">
        <v>1462</v>
      </c>
      <c r="FU180" s="9" t="s">
        <v>1235</v>
      </c>
      <c r="FV180" s="9" t="s">
        <v>1101</v>
      </c>
      <c r="FW180" s="9" t="s">
        <v>491</v>
      </c>
      <c r="FX180" s="9" t="s">
        <v>4082</v>
      </c>
      <c r="FY180" s="9" t="s">
        <v>1854</v>
      </c>
      <c r="FZ180" s="9" t="s">
        <v>4083</v>
      </c>
      <c r="GB180" s="9" t="s">
        <v>408</v>
      </c>
      <c r="GJ180" s="9" t="s">
        <v>857</v>
      </c>
      <c r="GK180" s="9" t="s">
        <v>857</v>
      </c>
      <c r="GL180" s="9" t="s">
        <v>790</v>
      </c>
      <c r="GO180" s="9" t="s">
        <v>4084</v>
      </c>
      <c r="GQ180" s="9" t="s">
        <v>3351</v>
      </c>
      <c r="GR180" s="10"/>
      <c r="GS180" s="10"/>
      <c r="GT180" s="10"/>
      <c r="GU180" s="10"/>
      <c r="GV180" s="10"/>
      <c r="GW180" s="10"/>
      <c r="GX180" s="10"/>
      <c r="GY180" s="10"/>
      <c r="GZ180" s="10"/>
      <c r="HA180" s="10"/>
      <c r="HB180" s="10"/>
      <c r="HC180" s="10"/>
      <c r="HD180" s="10"/>
      <c r="HE180" s="10"/>
      <c r="HF180" s="10"/>
      <c r="HG180" s="10"/>
      <c r="HH180" s="10"/>
      <c r="HI180" s="10"/>
      <c r="HJ180" s="10"/>
      <c r="HK180" s="10"/>
      <c r="HL180" s="10"/>
      <c r="HM180" s="10"/>
      <c r="HN180" s="10"/>
      <c r="HO180" s="10"/>
      <c r="HP180" s="10"/>
      <c r="HQ180" s="10"/>
      <c r="HR180" s="10"/>
      <c r="HS180" s="10"/>
      <c r="HT180" s="10"/>
      <c r="HU180" s="10"/>
      <c r="HV180" s="10"/>
      <c r="HW180" s="10"/>
      <c r="HX180" s="10"/>
      <c r="HY180" s="10"/>
      <c r="HZ180" s="10"/>
      <c r="IA180" s="10"/>
      <c r="IB180" s="10"/>
      <c r="IC180" s="10"/>
      <c r="ID180" s="10"/>
      <c r="IE180" s="10"/>
      <c r="IF180" s="10"/>
      <c r="IG180" s="10"/>
      <c r="IH180" s="10"/>
      <c r="II180" s="10"/>
      <c r="IJ180" s="10"/>
      <c r="IK180" s="10"/>
      <c r="IL180" s="10"/>
      <c r="IM180" s="10"/>
      <c r="IN180" s="10"/>
      <c r="IO180" s="10"/>
      <c r="IP180" s="10"/>
      <c r="IQ180" s="10"/>
      <c r="IR180" s="10"/>
      <c r="IS180" s="10"/>
      <c r="IT180" s="10"/>
      <c r="IU180" s="10"/>
      <c r="IV180" s="10"/>
      <c r="IW180" s="10"/>
      <c r="IX180" s="10"/>
      <c r="IY180" s="10"/>
      <c r="IZ180" s="10"/>
      <c r="JA180" s="10"/>
      <c r="JB180" s="10"/>
      <c r="JC180" s="10"/>
      <c r="JD180" s="10"/>
      <c r="JE180" s="10"/>
      <c r="JF180" s="10"/>
      <c r="JG180" s="10"/>
      <c r="JH180" s="10"/>
      <c r="JI180" s="10"/>
      <c r="JJ180" s="10"/>
      <c r="JK180" s="10"/>
      <c r="JL180" s="10"/>
      <c r="JM180" s="10"/>
      <c r="JN180" s="10"/>
      <c r="JO180" s="10"/>
      <c r="JP180" s="10"/>
      <c r="JQ180" s="10"/>
      <c r="JR180" s="10"/>
      <c r="JS180" s="10"/>
      <c r="JT180" s="10"/>
      <c r="JU180" s="10"/>
      <c r="JV180" s="10"/>
      <c r="JW180" s="10"/>
      <c r="JX180" s="10"/>
      <c r="JY180" s="10"/>
      <c r="JZ180" s="10"/>
      <c r="KA180" s="10"/>
      <c r="KB180" s="10"/>
      <c r="KC180" s="10"/>
      <c r="KD180" s="10"/>
      <c r="KE180" s="10"/>
      <c r="KF180" s="10"/>
      <c r="KG180" s="10"/>
      <c r="KH180" s="10"/>
      <c r="KI180" s="10"/>
      <c r="KJ180" s="10"/>
      <c r="KK180" s="10"/>
      <c r="KL180" s="10"/>
      <c r="KM180" s="10"/>
      <c r="KN180" s="10"/>
      <c r="KO180" s="10"/>
      <c r="KP180" s="10"/>
      <c r="KQ180" s="10"/>
      <c r="KR180" s="10"/>
      <c r="KS180" s="10"/>
      <c r="KT180" s="10"/>
      <c r="KU180" s="10"/>
      <c r="KV180" s="10"/>
      <c r="KW180" s="10"/>
      <c r="KX180" s="10"/>
      <c r="KY180" s="10"/>
      <c r="KZ180" s="10"/>
      <c r="LA180" s="10"/>
      <c r="LB180" s="10"/>
      <c r="LC180" s="10"/>
      <c r="LD180" s="10"/>
      <c r="LE180" s="10"/>
      <c r="LF180" s="10"/>
      <c r="LG180" s="10"/>
      <c r="LH180" s="10"/>
      <c r="LI180" s="10"/>
      <c r="LJ180" s="10"/>
      <c r="LK180" s="10"/>
      <c r="LL180" s="10"/>
      <c r="LM180" s="10"/>
      <c r="LN180" s="10"/>
      <c r="LO180" s="10"/>
      <c r="LP180" s="10"/>
      <c r="LQ180" s="10"/>
      <c r="LR180" s="10"/>
      <c r="LS180" s="10"/>
      <c r="LT180" s="10"/>
      <c r="LU180" s="10"/>
      <c r="LV180" s="10"/>
      <c r="LW180" s="10"/>
      <c r="LX180" s="10"/>
      <c r="LY180" s="10"/>
      <c r="LZ180" s="10"/>
      <c r="MA180" s="10"/>
      <c r="MB180" s="10"/>
      <c r="MC180" s="10"/>
      <c r="MD180" s="10"/>
      <c r="ME180" s="10"/>
      <c r="MF180" s="10"/>
      <c r="MG180" s="10"/>
      <c r="MH180" s="10"/>
      <c r="MI180" s="10"/>
      <c r="MJ180" s="10"/>
      <c r="MK180" s="10"/>
      <c r="ML180" s="10"/>
      <c r="MM180" s="10"/>
      <c r="MN180" s="10"/>
      <c r="MO180" s="10"/>
      <c r="MP180" s="10"/>
      <c r="MQ180" s="10"/>
      <c r="MR180" s="10"/>
      <c r="MS180" s="10"/>
      <c r="MT180" s="10"/>
      <c r="MU180" s="10"/>
      <c r="MV180" s="10"/>
      <c r="MW180" s="10"/>
      <c r="MX180" s="10"/>
      <c r="MY180" s="10"/>
      <c r="MZ180" s="10"/>
      <c r="NA180" s="10"/>
      <c r="NB180" s="10"/>
      <c r="NC180" s="10"/>
      <c r="ND180" s="10"/>
    </row>
    <row r="181" ht="24.75" customHeight="1">
      <c r="A181" s="8">
        <v>45833.341107002314</v>
      </c>
      <c r="B181" s="9" t="s">
        <v>368</v>
      </c>
      <c r="C181" s="9" t="s">
        <v>4085</v>
      </c>
      <c r="D181" s="9" t="s">
        <v>1201</v>
      </c>
      <c r="G181" s="9" t="s">
        <v>422</v>
      </c>
      <c r="H181" s="9" t="s">
        <v>539</v>
      </c>
      <c r="I181" s="9" t="s">
        <v>424</v>
      </c>
      <c r="J181" s="9" t="s">
        <v>1240</v>
      </c>
      <c r="K181" s="9" t="s">
        <v>376</v>
      </c>
      <c r="L181" s="9" t="s">
        <v>377</v>
      </c>
      <c r="M181" s="9" t="s">
        <v>2464</v>
      </c>
      <c r="N181" s="9" t="s">
        <v>377</v>
      </c>
      <c r="O181" s="9" t="s">
        <v>2464</v>
      </c>
      <c r="P181" s="9" t="s">
        <v>381</v>
      </c>
      <c r="Q181" s="9" t="s">
        <v>499</v>
      </c>
      <c r="R181" s="9" t="s">
        <v>427</v>
      </c>
      <c r="S181" s="9" t="s">
        <v>384</v>
      </c>
      <c r="T181" s="9" t="s">
        <v>385</v>
      </c>
      <c r="W181" s="9" t="s">
        <v>386</v>
      </c>
      <c r="X181" s="9" t="s">
        <v>387</v>
      </c>
      <c r="Z181" s="9" t="s">
        <v>543</v>
      </c>
      <c r="AA181" s="9" t="s">
        <v>408</v>
      </c>
      <c r="AV181" s="9" t="s">
        <v>390</v>
      </c>
      <c r="AW181" s="9">
        <v>2.0</v>
      </c>
      <c r="AX181" s="9">
        <v>2.0</v>
      </c>
      <c r="AY181" s="9">
        <v>2.0</v>
      </c>
      <c r="AZ181" s="9" t="s">
        <v>429</v>
      </c>
      <c r="BA181" s="9">
        <v>2.0</v>
      </c>
      <c r="BB181" s="9">
        <v>2.0</v>
      </c>
      <c r="BC181" s="9" t="s">
        <v>4086</v>
      </c>
      <c r="BD181" s="9" t="s">
        <v>4087</v>
      </c>
      <c r="BE181" s="9" t="s">
        <v>392</v>
      </c>
      <c r="BF181" s="9" t="s">
        <v>433</v>
      </c>
      <c r="BG181" s="9" t="s">
        <v>678</v>
      </c>
      <c r="BH181" s="9" t="s">
        <v>4088</v>
      </c>
      <c r="BI181" s="9" t="s">
        <v>509</v>
      </c>
      <c r="BJ181" s="9" t="s">
        <v>4089</v>
      </c>
      <c r="BK181" s="9" t="s">
        <v>511</v>
      </c>
      <c r="BL181" s="9" t="s">
        <v>512</v>
      </c>
      <c r="BM181" s="9" t="s">
        <v>549</v>
      </c>
      <c r="BN181" s="9" t="s">
        <v>440</v>
      </c>
      <c r="CL181" s="9" t="s">
        <v>441</v>
      </c>
      <c r="CM181" s="9" t="s">
        <v>442</v>
      </c>
      <c r="CN181" s="9" t="s">
        <v>4090</v>
      </c>
      <c r="CO181" s="9" t="s">
        <v>4091</v>
      </c>
      <c r="CP181" s="9" t="s">
        <v>403</v>
      </c>
      <c r="CQ181" s="9" t="s">
        <v>4092</v>
      </c>
      <c r="CR181" s="9" t="s">
        <v>555</v>
      </c>
      <c r="CS181" s="9" t="s">
        <v>1569</v>
      </c>
      <c r="CT181" s="9" t="s">
        <v>4093</v>
      </c>
      <c r="CU181" s="9" t="s">
        <v>450</v>
      </c>
      <c r="CV181" s="9" t="s">
        <v>451</v>
      </c>
      <c r="CW181" s="9" t="s">
        <v>4094</v>
      </c>
      <c r="CX181" s="9" t="s">
        <v>408</v>
      </c>
      <c r="CZ181" s="9" t="s">
        <v>453</v>
      </c>
      <c r="DA181" s="9" t="s">
        <v>4095</v>
      </c>
      <c r="DB181" s="9" t="s">
        <v>455</v>
      </c>
      <c r="DC181" s="9" t="s">
        <v>4096</v>
      </c>
      <c r="DD181" s="9" t="s">
        <v>988</v>
      </c>
      <c r="DF181" s="9" t="s">
        <v>4097</v>
      </c>
      <c r="DG181" s="9" t="s">
        <v>561</v>
      </c>
      <c r="DH181" s="9" t="s">
        <v>410</v>
      </c>
      <c r="DI181" s="9" t="s">
        <v>459</v>
      </c>
      <c r="DJ181" s="9" t="s">
        <v>562</v>
      </c>
      <c r="DK181" s="9" t="s">
        <v>461</v>
      </c>
      <c r="DM181" s="9" t="s">
        <v>4098</v>
      </c>
      <c r="DN181" s="9" t="s">
        <v>4099</v>
      </c>
      <c r="DO181" s="9" t="s">
        <v>2956</v>
      </c>
      <c r="DP181" s="9" t="s">
        <v>4100</v>
      </c>
      <c r="DQ181" s="9" t="s">
        <v>466</v>
      </c>
      <c r="DR181" s="9" t="s">
        <v>4101</v>
      </c>
      <c r="DS181" s="9" t="s">
        <v>468</v>
      </c>
      <c r="DT181" s="9" t="s">
        <v>570</v>
      </c>
      <c r="DU181" s="9" t="s">
        <v>4102</v>
      </c>
      <c r="DV181" s="9" t="s">
        <v>4103</v>
      </c>
      <c r="DW181" s="9" t="s">
        <v>1328</v>
      </c>
      <c r="DX181" s="9" t="s">
        <v>4104</v>
      </c>
      <c r="DY181" s="9" t="s">
        <v>4105</v>
      </c>
      <c r="DZ181" s="9" t="s">
        <v>4106</v>
      </c>
      <c r="EA181" s="9" t="s">
        <v>475</v>
      </c>
      <c r="EB181" s="9" t="s">
        <v>626</v>
      </c>
      <c r="EC181" s="9" t="s">
        <v>4107</v>
      </c>
      <c r="ET181" s="9" t="s">
        <v>526</v>
      </c>
      <c r="EU181" s="9" t="s">
        <v>579</v>
      </c>
      <c r="EV181" s="9" t="s">
        <v>1262</v>
      </c>
      <c r="EW181" s="9" t="s">
        <v>4108</v>
      </c>
      <c r="EX181" s="9" t="s">
        <v>4109</v>
      </c>
      <c r="EY181" s="9" t="s">
        <v>4110</v>
      </c>
      <c r="EZ181" s="9" t="s">
        <v>413</v>
      </c>
      <c r="FA181" s="9" t="s">
        <v>415</v>
      </c>
      <c r="FB181" s="9" t="s">
        <v>413</v>
      </c>
      <c r="FC181" s="9" t="s">
        <v>413</v>
      </c>
      <c r="FD181" s="9" t="s">
        <v>413</v>
      </c>
      <c r="FE181" s="9" t="s">
        <v>415</v>
      </c>
      <c r="FF181" s="9" t="s">
        <v>416</v>
      </c>
      <c r="FG181" s="9" t="s">
        <v>416</v>
      </c>
      <c r="FH181" s="9" t="s">
        <v>583</v>
      </c>
      <c r="FI181" s="9" t="s">
        <v>413</v>
      </c>
      <c r="FJ181" s="9" t="s">
        <v>413</v>
      </c>
      <c r="FK181" s="9" t="s">
        <v>415</v>
      </c>
      <c r="FL181" s="9" t="s">
        <v>415</v>
      </c>
      <c r="FM181" s="9" t="s">
        <v>415</v>
      </c>
      <c r="FN181" s="9" t="s">
        <v>415</v>
      </c>
      <c r="FO181" s="9" t="s">
        <v>485</v>
      </c>
      <c r="FP181" s="9" t="s">
        <v>418</v>
      </c>
      <c r="FQ181" s="9" t="s">
        <v>1039</v>
      </c>
      <c r="FS181" s="9" t="s">
        <v>420</v>
      </c>
      <c r="FT181" s="9" t="s">
        <v>488</v>
      </c>
      <c r="FU181" s="9" t="s">
        <v>1235</v>
      </c>
      <c r="FV181" s="9" t="s">
        <v>490</v>
      </c>
      <c r="FW181" s="9" t="s">
        <v>491</v>
      </c>
      <c r="FX181" s="9" t="s">
        <v>4111</v>
      </c>
      <c r="FY181" s="9" t="s">
        <v>493</v>
      </c>
      <c r="GA181" s="9" t="s">
        <v>4112</v>
      </c>
      <c r="GB181" s="9" t="s">
        <v>455</v>
      </c>
      <c r="GC181" s="9"/>
      <c r="GE181" s="9" t="s">
        <v>944</v>
      </c>
      <c r="GF181" s="9" t="s">
        <v>455</v>
      </c>
      <c r="GG181" s="9" t="s">
        <v>1000</v>
      </c>
      <c r="GH181" s="9" t="s">
        <v>755</v>
      </c>
      <c r="GI181" s="9" t="s">
        <v>817</v>
      </c>
      <c r="GM181" s="9" t="s">
        <v>1079</v>
      </c>
      <c r="GN181" s="9" t="s">
        <v>4085</v>
      </c>
      <c r="GO181" s="9" t="s">
        <v>3568</v>
      </c>
      <c r="GQ181" s="9" t="s">
        <v>4113</v>
      </c>
      <c r="GR181" s="10"/>
      <c r="GS181" s="10"/>
      <c r="GT181" s="10"/>
      <c r="GU181" s="10"/>
      <c r="GV181" s="10"/>
      <c r="GW181" s="10"/>
      <c r="GX181" s="10"/>
      <c r="GY181" s="10"/>
      <c r="GZ181" s="10"/>
      <c r="HA181" s="10"/>
      <c r="HB181" s="10"/>
      <c r="HC181" s="10"/>
      <c r="HD181" s="10"/>
      <c r="HE181" s="10"/>
      <c r="HF181" s="10"/>
      <c r="HG181" s="10"/>
      <c r="HH181" s="10"/>
      <c r="HI181" s="10"/>
      <c r="HJ181" s="10"/>
      <c r="HK181" s="10"/>
      <c r="HL181" s="10"/>
      <c r="HM181" s="10"/>
      <c r="HN181" s="10"/>
      <c r="HO181" s="10"/>
      <c r="HP181" s="10"/>
      <c r="HQ181" s="10"/>
      <c r="HR181" s="10"/>
      <c r="HS181" s="10"/>
      <c r="HT181" s="10"/>
      <c r="HU181" s="10"/>
      <c r="HV181" s="10"/>
      <c r="HW181" s="10"/>
      <c r="HX181" s="10"/>
      <c r="HY181" s="10"/>
      <c r="HZ181" s="10"/>
      <c r="IA181" s="10"/>
      <c r="IB181" s="10"/>
      <c r="IC181" s="10"/>
      <c r="ID181" s="10"/>
      <c r="IE181" s="10"/>
      <c r="IF181" s="10"/>
      <c r="IG181" s="10"/>
      <c r="IH181" s="10"/>
      <c r="II181" s="10"/>
      <c r="IJ181" s="10"/>
      <c r="IK181" s="10"/>
      <c r="IL181" s="10"/>
      <c r="IM181" s="10"/>
      <c r="IN181" s="10"/>
      <c r="IO181" s="10"/>
      <c r="IP181" s="10"/>
      <c r="IQ181" s="10"/>
      <c r="IR181" s="10"/>
      <c r="IS181" s="10"/>
      <c r="IT181" s="10"/>
      <c r="IU181" s="10"/>
      <c r="IV181" s="10"/>
      <c r="IW181" s="10"/>
      <c r="IX181" s="10"/>
      <c r="IY181" s="10"/>
      <c r="IZ181" s="10"/>
      <c r="JA181" s="10"/>
      <c r="JB181" s="10"/>
      <c r="JC181" s="10"/>
      <c r="JD181" s="10"/>
      <c r="JE181" s="10"/>
      <c r="JF181" s="10"/>
      <c r="JG181" s="10"/>
      <c r="JH181" s="10"/>
      <c r="JI181" s="10"/>
      <c r="JJ181" s="10"/>
      <c r="JK181" s="10"/>
      <c r="JL181" s="10"/>
      <c r="JM181" s="10"/>
      <c r="JN181" s="10"/>
      <c r="JO181" s="10"/>
      <c r="JP181" s="10"/>
      <c r="JQ181" s="10"/>
      <c r="JR181" s="10"/>
      <c r="JS181" s="10"/>
      <c r="JT181" s="10"/>
      <c r="JU181" s="10"/>
      <c r="JV181" s="10"/>
      <c r="JW181" s="10"/>
      <c r="JX181" s="10"/>
      <c r="JY181" s="10"/>
      <c r="JZ181" s="10"/>
      <c r="KA181" s="10"/>
      <c r="KB181" s="10"/>
      <c r="KC181" s="10"/>
      <c r="KD181" s="10"/>
      <c r="KE181" s="10"/>
      <c r="KF181" s="10"/>
      <c r="KG181" s="10"/>
      <c r="KH181" s="10"/>
      <c r="KI181" s="10"/>
      <c r="KJ181" s="10"/>
      <c r="KK181" s="10"/>
      <c r="KL181" s="10"/>
      <c r="KM181" s="10"/>
      <c r="KN181" s="10"/>
      <c r="KO181" s="10"/>
      <c r="KP181" s="10"/>
      <c r="KQ181" s="10"/>
      <c r="KR181" s="10"/>
      <c r="KS181" s="10"/>
      <c r="KT181" s="10"/>
      <c r="KU181" s="10"/>
      <c r="KV181" s="10"/>
      <c r="KW181" s="10"/>
      <c r="KX181" s="10"/>
      <c r="KY181" s="10"/>
      <c r="KZ181" s="10"/>
      <c r="LA181" s="10"/>
      <c r="LB181" s="10"/>
      <c r="LC181" s="10"/>
      <c r="LD181" s="10"/>
      <c r="LE181" s="10"/>
      <c r="LF181" s="10"/>
      <c r="LG181" s="10"/>
      <c r="LH181" s="10"/>
      <c r="LI181" s="10"/>
      <c r="LJ181" s="10"/>
      <c r="LK181" s="10"/>
      <c r="LL181" s="10"/>
      <c r="LM181" s="10"/>
      <c r="LN181" s="10"/>
      <c r="LO181" s="10"/>
      <c r="LP181" s="10"/>
      <c r="LQ181" s="10"/>
      <c r="LR181" s="10"/>
      <c r="LS181" s="10"/>
      <c r="LT181" s="10"/>
      <c r="LU181" s="10"/>
      <c r="LV181" s="10"/>
      <c r="LW181" s="10"/>
      <c r="LX181" s="10"/>
      <c r="LY181" s="10"/>
      <c r="LZ181" s="10"/>
      <c r="MA181" s="10"/>
      <c r="MB181" s="10"/>
      <c r="MC181" s="10"/>
      <c r="MD181" s="10"/>
      <c r="ME181" s="10"/>
      <c r="MF181" s="10"/>
      <c r="MG181" s="10"/>
      <c r="MH181" s="10"/>
      <c r="MI181" s="10"/>
      <c r="MJ181" s="10"/>
      <c r="MK181" s="10"/>
      <c r="ML181" s="10"/>
      <c r="MM181" s="10"/>
      <c r="MN181" s="10"/>
      <c r="MO181" s="10"/>
      <c r="MP181" s="10"/>
      <c r="MQ181" s="10"/>
      <c r="MR181" s="10"/>
      <c r="MS181" s="10"/>
      <c r="MT181" s="10"/>
      <c r="MU181" s="10"/>
      <c r="MV181" s="10"/>
      <c r="MW181" s="10"/>
      <c r="MX181" s="10"/>
      <c r="MY181" s="10"/>
      <c r="MZ181" s="10"/>
      <c r="NA181" s="10"/>
      <c r="NB181" s="10"/>
      <c r="NC181" s="10"/>
      <c r="ND181" s="10"/>
    </row>
    <row r="182" ht="24.75" customHeight="1">
      <c r="A182" s="8">
        <v>45833.43214159722</v>
      </c>
      <c r="B182" s="9" t="s">
        <v>368</v>
      </c>
      <c r="C182" s="9" t="s">
        <v>370</v>
      </c>
      <c r="E182" s="9" t="s">
        <v>4114</v>
      </c>
      <c r="G182" s="9" t="s">
        <v>4115</v>
      </c>
      <c r="H182" s="9" t="s">
        <v>1203</v>
      </c>
      <c r="I182" s="9" t="s">
        <v>638</v>
      </c>
      <c r="J182" s="9" t="s">
        <v>1204</v>
      </c>
      <c r="K182" s="9" t="s">
        <v>376</v>
      </c>
      <c r="L182" s="9" t="s">
        <v>379</v>
      </c>
      <c r="M182" s="9" t="s">
        <v>378</v>
      </c>
      <c r="N182" s="9" t="s">
        <v>1526</v>
      </c>
      <c r="O182" s="9" t="s">
        <v>4116</v>
      </c>
      <c r="P182" s="9" t="s">
        <v>381</v>
      </c>
      <c r="Q182" s="9" t="s">
        <v>1156</v>
      </c>
      <c r="R182" s="9" t="s">
        <v>4117</v>
      </c>
      <c r="S182" s="9" t="s">
        <v>4118</v>
      </c>
      <c r="T182" s="9" t="s">
        <v>385</v>
      </c>
      <c r="W182" s="9" t="s">
        <v>593</v>
      </c>
      <c r="X182" s="9" t="s">
        <v>387</v>
      </c>
      <c r="Y182" s="9" t="s">
        <v>897</v>
      </c>
      <c r="Z182" s="9" t="s">
        <v>502</v>
      </c>
      <c r="AA182" s="9" t="s">
        <v>4119</v>
      </c>
      <c r="AB182" s="9" t="s">
        <v>4120</v>
      </c>
      <c r="AV182" s="9" t="s">
        <v>504</v>
      </c>
      <c r="AW182" s="9">
        <v>2.0</v>
      </c>
      <c r="AX182" s="9" t="s">
        <v>429</v>
      </c>
      <c r="AY182" s="9" t="s">
        <v>429</v>
      </c>
      <c r="AZ182" s="9">
        <v>2.0</v>
      </c>
      <c r="BA182" s="9">
        <v>2.0</v>
      </c>
      <c r="BB182" s="9" t="s">
        <v>429</v>
      </c>
      <c r="BC182" s="9" t="s">
        <v>4121</v>
      </c>
      <c r="BD182" s="9" t="s">
        <v>4122</v>
      </c>
      <c r="BE182" s="9" t="s">
        <v>432</v>
      </c>
      <c r="BF182" s="9" t="s">
        <v>433</v>
      </c>
      <c r="BG182" s="9" t="s">
        <v>394</v>
      </c>
      <c r="BH182" s="9" t="s">
        <v>4123</v>
      </c>
      <c r="BI182" s="9" t="s">
        <v>509</v>
      </c>
      <c r="BK182" s="9" t="s">
        <v>681</v>
      </c>
      <c r="BL182" s="9" t="s">
        <v>512</v>
      </c>
      <c r="BM182" s="9" t="s">
        <v>439</v>
      </c>
      <c r="BN182" s="9" t="s">
        <v>513</v>
      </c>
      <c r="CL182" s="9" t="s">
        <v>441</v>
      </c>
      <c r="CM182" s="9" t="s">
        <v>442</v>
      </c>
      <c r="CN182" s="9" t="s">
        <v>4124</v>
      </c>
      <c r="CO182" s="9" t="s">
        <v>4125</v>
      </c>
      <c r="CP182" s="9" t="s">
        <v>445</v>
      </c>
      <c r="CQ182" s="9" t="s">
        <v>4126</v>
      </c>
      <c r="CR182" s="9" t="s">
        <v>447</v>
      </c>
      <c r="CS182" s="9" t="s">
        <v>4127</v>
      </c>
      <c r="CT182" s="9" t="s">
        <v>4128</v>
      </c>
      <c r="CU182" s="9" t="s">
        <v>519</v>
      </c>
      <c r="CV182" s="9" t="s">
        <v>451</v>
      </c>
      <c r="CW182" s="9" t="s">
        <v>4129</v>
      </c>
      <c r="CX182" s="9" t="s">
        <v>733</v>
      </c>
      <c r="CZ182" s="9" t="s">
        <v>453</v>
      </c>
      <c r="DA182" s="9" t="s">
        <v>4130</v>
      </c>
      <c r="DB182" s="9" t="s">
        <v>455</v>
      </c>
      <c r="DC182" s="9" t="s">
        <v>4131</v>
      </c>
      <c r="DD182" s="9" t="s">
        <v>988</v>
      </c>
      <c r="DE182" s="9" t="s">
        <v>407</v>
      </c>
      <c r="DG182" s="9" t="s">
        <v>524</v>
      </c>
      <c r="DH182" s="9" t="s">
        <v>410</v>
      </c>
      <c r="DI182" s="9" t="s">
        <v>459</v>
      </c>
      <c r="DJ182" s="9" t="s">
        <v>562</v>
      </c>
      <c r="DK182" s="9" t="s">
        <v>461</v>
      </c>
      <c r="ET182" s="9" t="s">
        <v>478</v>
      </c>
      <c r="EU182" s="9" t="s">
        <v>479</v>
      </c>
      <c r="EV182" s="9" t="s">
        <v>527</v>
      </c>
      <c r="EW182" s="9" t="s">
        <v>4132</v>
      </c>
      <c r="EX182" s="9" t="s">
        <v>4133</v>
      </c>
      <c r="EY182" s="9" t="s">
        <v>4134</v>
      </c>
      <c r="EZ182" s="9" t="s">
        <v>414</v>
      </c>
      <c r="FA182" s="9" t="s">
        <v>414</v>
      </c>
      <c r="FB182" s="9" t="s">
        <v>583</v>
      </c>
      <c r="FC182" s="9" t="s">
        <v>583</v>
      </c>
      <c r="FD182" s="9" t="s">
        <v>414</v>
      </c>
      <c r="FE182" s="9" t="s">
        <v>583</v>
      </c>
      <c r="FF182" s="9" t="s">
        <v>583</v>
      </c>
      <c r="FG182" s="9" t="s">
        <v>416</v>
      </c>
      <c r="FH182" s="9" t="s">
        <v>414</v>
      </c>
      <c r="FI182" s="9" t="s">
        <v>583</v>
      </c>
      <c r="FJ182" s="9" t="s">
        <v>414</v>
      </c>
      <c r="FK182" s="9" t="s">
        <v>414</v>
      </c>
      <c r="FL182" s="9" t="s">
        <v>416</v>
      </c>
      <c r="FM182" s="9" t="s">
        <v>413</v>
      </c>
      <c r="FN182" s="9" t="s">
        <v>583</v>
      </c>
      <c r="FO182" s="9" t="s">
        <v>417</v>
      </c>
      <c r="FP182" s="9" t="s">
        <v>418</v>
      </c>
      <c r="FQ182" s="9" t="s">
        <v>749</v>
      </c>
      <c r="FR182" s="9" t="s">
        <v>4135</v>
      </c>
      <c r="FS182" s="9" t="s">
        <v>420</v>
      </c>
      <c r="FT182" s="9" t="s">
        <v>488</v>
      </c>
      <c r="FU182" s="9" t="s">
        <v>533</v>
      </c>
      <c r="FV182" s="9" t="s">
        <v>490</v>
      </c>
      <c r="FW182" s="9" t="s">
        <v>491</v>
      </c>
      <c r="FX182" s="9" t="s">
        <v>733</v>
      </c>
      <c r="FY182" s="9" t="s">
        <v>535</v>
      </c>
      <c r="FZ182" s="9" t="s">
        <v>4136</v>
      </c>
      <c r="GA182" s="9" t="s">
        <v>4137</v>
      </c>
      <c r="GB182" s="9" t="s">
        <v>408</v>
      </c>
      <c r="GG182" s="9" t="s">
        <v>755</v>
      </c>
      <c r="GH182" s="9" t="s">
        <v>755</v>
      </c>
      <c r="GI182" s="9" t="s">
        <v>946</v>
      </c>
      <c r="GQ182" s="9" t="s">
        <v>3208</v>
      </c>
      <c r="GR182" s="10"/>
      <c r="GS182" s="10"/>
      <c r="GT182" s="10"/>
      <c r="GU182" s="10"/>
      <c r="GV182" s="10"/>
      <c r="GW182" s="10"/>
      <c r="GX182" s="10"/>
      <c r="GY182" s="10"/>
      <c r="GZ182" s="10"/>
      <c r="HA182" s="10"/>
      <c r="HB182" s="10"/>
      <c r="HC182" s="10"/>
      <c r="HD182" s="10"/>
      <c r="HE182" s="10"/>
      <c r="HF182" s="10"/>
      <c r="HG182" s="10"/>
      <c r="HH182" s="10"/>
      <c r="HI182" s="10"/>
      <c r="HJ182" s="10"/>
      <c r="HK182" s="10"/>
      <c r="HL182" s="10"/>
      <c r="HM182" s="10"/>
      <c r="HN182" s="10"/>
      <c r="HO182" s="10"/>
      <c r="HP182" s="10"/>
      <c r="HQ182" s="10"/>
      <c r="HR182" s="10"/>
      <c r="HS182" s="10"/>
      <c r="HT182" s="10"/>
      <c r="HU182" s="10"/>
      <c r="HV182" s="10"/>
      <c r="HW182" s="10"/>
      <c r="HX182" s="10"/>
      <c r="HY182" s="10"/>
      <c r="HZ182" s="10"/>
      <c r="IA182" s="10"/>
      <c r="IB182" s="10"/>
      <c r="IC182" s="10"/>
      <c r="ID182" s="10"/>
      <c r="IE182" s="10"/>
      <c r="IF182" s="10"/>
      <c r="IG182" s="10"/>
      <c r="IH182" s="10"/>
      <c r="II182" s="10"/>
      <c r="IJ182" s="10"/>
      <c r="IK182" s="10"/>
      <c r="IL182" s="10"/>
      <c r="IM182" s="10"/>
      <c r="IN182" s="10"/>
      <c r="IO182" s="10"/>
      <c r="IP182" s="10"/>
      <c r="IQ182" s="10"/>
      <c r="IR182" s="10"/>
      <c r="IS182" s="10"/>
      <c r="IT182" s="10"/>
      <c r="IU182" s="10"/>
      <c r="IV182" s="10"/>
      <c r="IW182" s="10"/>
      <c r="IX182" s="10"/>
      <c r="IY182" s="10"/>
      <c r="IZ182" s="10"/>
      <c r="JA182" s="10"/>
      <c r="JB182" s="10"/>
      <c r="JC182" s="10"/>
      <c r="JD182" s="10"/>
      <c r="JE182" s="10"/>
      <c r="JF182" s="10"/>
      <c r="JG182" s="10"/>
      <c r="JH182" s="10"/>
      <c r="JI182" s="10"/>
      <c r="JJ182" s="10"/>
      <c r="JK182" s="10"/>
      <c r="JL182" s="10"/>
      <c r="JM182" s="10"/>
      <c r="JN182" s="10"/>
      <c r="JO182" s="10"/>
      <c r="JP182" s="10"/>
      <c r="JQ182" s="10"/>
      <c r="JR182" s="10"/>
      <c r="JS182" s="10"/>
      <c r="JT182" s="10"/>
      <c r="JU182" s="10"/>
      <c r="JV182" s="10"/>
      <c r="JW182" s="10"/>
      <c r="JX182" s="10"/>
      <c r="JY182" s="10"/>
      <c r="JZ182" s="10"/>
      <c r="KA182" s="10"/>
      <c r="KB182" s="10"/>
      <c r="KC182" s="10"/>
      <c r="KD182" s="10"/>
      <c r="KE182" s="10"/>
      <c r="KF182" s="10"/>
      <c r="KG182" s="10"/>
      <c r="KH182" s="10"/>
      <c r="KI182" s="10"/>
      <c r="KJ182" s="10"/>
      <c r="KK182" s="10"/>
      <c r="KL182" s="10"/>
      <c r="KM182" s="10"/>
      <c r="KN182" s="10"/>
      <c r="KO182" s="10"/>
      <c r="KP182" s="10"/>
      <c r="KQ182" s="10"/>
      <c r="KR182" s="10"/>
      <c r="KS182" s="10"/>
      <c r="KT182" s="10"/>
      <c r="KU182" s="10"/>
      <c r="KV182" s="10"/>
      <c r="KW182" s="10"/>
      <c r="KX182" s="10"/>
      <c r="KY182" s="10"/>
      <c r="KZ182" s="10"/>
      <c r="LA182" s="10"/>
      <c r="LB182" s="10"/>
      <c r="LC182" s="10"/>
      <c r="LD182" s="10"/>
      <c r="LE182" s="10"/>
      <c r="LF182" s="10"/>
      <c r="LG182" s="10"/>
      <c r="LH182" s="10"/>
      <c r="LI182" s="10"/>
      <c r="LJ182" s="10"/>
      <c r="LK182" s="10"/>
      <c r="LL182" s="10"/>
      <c r="LM182" s="10"/>
      <c r="LN182" s="10"/>
      <c r="LO182" s="10"/>
      <c r="LP182" s="10"/>
      <c r="LQ182" s="10"/>
      <c r="LR182" s="10"/>
      <c r="LS182" s="10"/>
      <c r="LT182" s="10"/>
      <c r="LU182" s="10"/>
      <c r="LV182" s="10"/>
      <c r="LW182" s="10"/>
      <c r="LX182" s="10"/>
      <c r="LY182" s="10"/>
      <c r="LZ182" s="10"/>
      <c r="MA182" s="10"/>
      <c r="MB182" s="10"/>
      <c r="MC182" s="10"/>
      <c r="MD182" s="10"/>
      <c r="ME182" s="10"/>
      <c r="MF182" s="10"/>
      <c r="MG182" s="10"/>
      <c r="MH182" s="10"/>
      <c r="MI182" s="10"/>
      <c r="MJ182" s="10"/>
      <c r="MK182" s="10"/>
      <c r="ML182" s="10"/>
      <c r="MM182" s="10"/>
      <c r="MN182" s="10"/>
      <c r="MO182" s="10"/>
      <c r="MP182" s="10"/>
      <c r="MQ182" s="10"/>
      <c r="MR182" s="10"/>
      <c r="MS182" s="10"/>
      <c r="MT182" s="10"/>
      <c r="MU182" s="10"/>
      <c r="MV182" s="10"/>
      <c r="MW182" s="10"/>
      <c r="MX182" s="10"/>
      <c r="MY182" s="10"/>
      <c r="MZ182" s="10"/>
      <c r="NA182" s="10"/>
      <c r="NB182" s="10"/>
      <c r="NC182" s="10"/>
      <c r="ND182" s="10"/>
    </row>
    <row r="183" ht="24.75" customHeight="1">
      <c r="A183" s="8">
        <v>45833.572022002314</v>
      </c>
      <c r="B183" s="9" t="s">
        <v>368</v>
      </c>
      <c r="C183" s="9" t="s">
        <v>894</v>
      </c>
      <c r="D183" s="9" t="s">
        <v>894</v>
      </c>
      <c r="G183" s="9" t="s">
        <v>422</v>
      </c>
      <c r="H183" s="9" t="s">
        <v>373</v>
      </c>
      <c r="I183" s="9" t="s">
        <v>374</v>
      </c>
      <c r="J183" s="9" t="s">
        <v>540</v>
      </c>
      <c r="K183" s="9" t="s">
        <v>376</v>
      </c>
      <c r="L183" s="9" t="s">
        <v>426</v>
      </c>
      <c r="M183" s="9" t="s">
        <v>720</v>
      </c>
      <c r="N183" s="9" t="s">
        <v>591</v>
      </c>
      <c r="O183" s="9" t="s">
        <v>719</v>
      </c>
      <c r="P183" s="9" t="s">
        <v>592</v>
      </c>
      <c r="Q183" s="9" t="s">
        <v>382</v>
      </c>
      <c r="R183" s="9" t="s">
        <v>427</v>
      </c>
      <c r="S183" s="9" t="s">
        <v>384</v>
      </c>
      <c r="T183" s="9" t="s">
        <v>385</v>
      </c>
      <c r="U183" s="9" t="s">
        <v>896</v>
      </c>
      <c r="V183" s="9" t="s">
        <v>896</v>
      </c>
      <c r="W183" s="9" t="s">
        <v>3231</v>
      </c>
      <c r="AV183" s="9" t="s">
        <v>1310</v>
      </c>
      <c r="AW183" s="9" t="s">
        <v>675</v>
      </c>
      <c r="AX183" s="9">
        <v>4.0</v>
      </c>
      <c r="AY183" s="9">
        <v>4.0</v>
      </c>
      <c r="AZ183" s="9">
        <v>4.0</v>
      </c>
      <c r="BA183" s="9" t="s">
        <v>429</v>
      </c>
      <c r="BB183" s="9">
        <v>4.0</v>
      </c>
      <c r="BC183" s="9" t="s">
        <v>4138</v>
      </c>
      <c r="BD183" s="9" t="s">
        <v>4139</v>
      </c>
      <c r="BE183" s="9" t="s">
        <v>432</v>
      </c>
      <c r="BF183" s="9" t="s">
        <v>1095</v>
      </c>
      <c r="BG183" s="9" t="s">
        <v>765</v>
      </c>
      <c r="BH183" s="9" t="s">
        <v>4140</v>
      </c>
      <c r="BI183" s="9" t="s">
        <v>435</v>
      </c>
      <c r="BJ183" s="9" t="s">
        <v>4141</v>
      </c>
      <c r="BK183" s="9" t="s">
        <v>437</v>
      </c>
      <c r="BL183" s="9" t="s">
        <v>603</v>
      </c>
      <c r="BM183" s="9" t="s">
        <v>1247</v>
      </c>
      <c r="BN183" s="9" t="s">
        <v>513</v>
      </c>
      <c r="CL183" s="9" t="s">
        <v>441</v>
      </c>
      <c r="CM183" s="9" t="s">
        <v>604</v>
      </c>
      <c r="CN183" s="9" t="s">
        <v>4142</v>
      </c>
      <c r="CO183" s="9" t="s">
        <v>4143</v>
      </c>
      <c r="CP183" s="9" t="s">
        <v>445</v>
      </c>
      <c r="CQ183" s="9" t="s">
        <v>4144</v>
      </c>
      <c r="CR183" s="9" t="s">
        <v>404</v>
      </c>
      <c r="CS183" s="9" t="s">
        <v>4145</v>
      </c>
      <c r="CT183" s="9" t="s">
        <v>4146</v>
      </c>
      <c r="CU183" s="9" t="s">
        <v>519</v>
      </c>
      <c r="CV183" s="9" t="s">
        <v>409</v>
      </c>
      <c r="CW183" s="9" t="s">
        <v>4147</v>
      </c>
      <c r="CX183" s="9" t="s">
        <v>408</v>
      </c>
      <c r="CY183" s="9" t="s">
        <v>4148</v>
      </c>
      <c r="CZ183" s="9" t="s">
        <v>985</v>
      </c>
      <c r="DA183" s="9" t="s">
        <v>4149</v>
      </c>
      <c r="DB183" s="9" t="s">
        <v>408</v>
      </c>
      <c r="DC183" s="9" t="s">
        <v>4148</v>
      </c>
      <c r="DD183" s="9" t="s">
        <v>406</v>
      </c>
      <c r="DE183" s="9" t="s">
        <v>407</v>
      </c>
      <c r="DF183" s="9" t="s">
        <v>4150</v>
      </c>
      <c r="DG183" s="9" t="s">
        <v>776</v>
      </c>
      <c r="DH183" s="9" t="s">
        <v>410</v>
      </c>
      <c r="DI183" s="9" t="s">
        <v>459</v>
      </c>
      <c r="DJ183" s="9" t="s">
        <v>460</v>
      </c>
      <c r="DK183" s="9" t="s">
        <v>461</v>
      </c>
      <c r="ET183" s="9" t="s">
        <v>578</v>
      </c>
      <c r="EU183" s="9" t="s">
        <v>1127</v>
      </c>
      <c r="EV183" s="9" t="s">
        <v>527</v>
      </c>
      <c r="EW183" s="9" t="s">
        <v>4151</v>
      </c>
      <c r="EX183" s="9" t="s">
        <v>4152</v>
      </c>
      <c r="EY183" s="9" t="s">
        <v>4153</v>
      </c>
      <c r="EZ183" s="9" t="s">
        <v>414</v>
      </c>
      <c r="FA183" s="9" t="s">
        <v>583</v>
      </c>
      <c r="FB183" s="9" t="s">
        <v>416</v>
      </c>
      <c r="FC183" s="9" t="s">
        <v>414</v>
      </c>
      <c r="FD183" s="9" t="s">
        <v>416</v>
      </c>
      <c r="FE183" s="9" t="s">
        <v>583</v>
      </c>
      <c r="FF183" s="9" t="s">
        <v>414</v>
      </c>
      <c r="FG183" s="9" t="s">
        <v>415</v>
      </c>
      <c r="FH183" s="9" t="s">
        <v>414</v>
      </c>
      <c r="FI183" s="9" t="s">
        <v>415</v>
      </c>
      <c r="FJ183" s="9" t="s">
        <v>414</v>
      </c>
      <c r="FK183" s="9" t="s">
        <v>414</v>
      </c>
      <c r="FL183" s="9" t="s">
        <v>414</v>
      </c>
      <c r="FM183" s="9" t="s">
        <v>416</v>
      </c>
      <c r="FN183" s="9" t="s">
        <v>414</v>
      </c>
      <c r="FO183" s="9" t="s">
        <v>1074</v>
      </c>
      <c r="FP183" s="9" t="s">
        <v>486</v>
      </c>
      <c r="FQ183" s="9" t="s">
        <v>419</v>
      </c>
      <c r="FR183" s="9" t="s">
        <v>4154</v>
      </c>
      <c r="FS183" s="9" t="s">
        <v>1076</v>
      </c>
      <c r="FT183" s="9" t="s">
        <v>1462</v>
      </c>
      <c r="FU183" s="9" t="s">
        <v>918</v>
      </c>
      <c r="FV183" s="9" t="s">
        <v>490</v>
      </c>
      <c r="FW183" s="9" t="s">
        <v>491</v>
      </c>
      <c r="FX183" s="9" t="s">
        <v>4155</v>
      </c>
      <c r="FY183" s="9" t="s">
        <v>493</v>
      </c>
      <c r="FZ183" s="9" t="s">
        <v>4156</v>
      </c>
      <c r="GA183" s="9" t="s">
        <v>4148</v>
      </c>
      <c r="GB183" s="9" t="s">
        <v>455</v>
      </c>
      <c r="GC183" s="9"/>
      <c r="GE183" s="9" t="s">
        <v>753</v>
      </c>
      <c r="GF183" s="9" t="s">
        <v>4148</v>
      </c>
      <c r="GG183" s="9" t="s">
        <v>755</v>
      </c>
      <c r="GH183" s="9" t="s">
        <v>755</v>
      </c>
      <c r="GI183" s="9" t="s">
        <v>946</v>
      </c>
      <c r="GP183" s="9" t="s">
        <v>387</v>
      </c>
      <c r="GQ183" s="9" t="s">
        <v>3273</v>
      </c>
      <c r="GR183" s="10"/>
      <c r="GS183" s="10"/>
      <c r="GT183" s="10"/>
      <c r="GU183" s="10"/>
      <c r="GV183" s="10"/>
      <c r="GW183" s="10"/>
      <c r="GX183" s="10"/>
      <c r="GY183" s="10"/>
      <c r="GZ183" s="10"/>
      <c r="HA183" s="10"/>
      <c r="HB183" s="10"/>
      <c r="HC183" s="10"/>
      <c r="HD183" s="10"/>
      <c r="HE183" s="10"/>
      <c r="HF183" s="10"/>
      <c r="HG183" s="10"/>
      <c r="HH183" s="10"/>
      <c r="HI183" s="10"/>
      <c r="HJ183" s="10"/>
      <c r="HK183" s="10"/>
      <c r="HL183" s="10"/>
      <c r="HM183" s="10"/>
      <c r="HN183" s="10"/>
      <c r="HO183" s="10"/>
      <c r="HP183" s="10"/>
      <c r="HQ183" s="10"/>
      <c r="HR183" s="10"/>
      <c r="HS183" s="10"/>
      <c r="HT183" s="10"/>
      <c r="HU183" s="10"/>
      <c r="HV183" s="10"/>
      <c r="HW183" s="10"/>
      <c r="HX183" s="10"/>
      <c r="HY183" s="10"/>
      <c r="HZ183" s="10"/>
      <c r="IA183" s="10"/>
      <c r="IB183" s="10"/>
      <c r="IC183" s="10"/>
      <c r="ID183" s="10"/>
      <c r="IE183" s="10"/>
      <c r="IF183" s="10"/>
      <c r="IG183" s="10"/>
      <c r="IH183" s="10"/>
      <c r="II183" s="10"/>
      <c r="IJ183" s="10"/>
      <c r="IK183" s="10"/>
      <c r="IL183" s="10"/>
      <c r="IM183" s="10"/>
      <c r="IN183" s="10"/>
      <c r="IO183" s="10"/>
      <c r="IP183" s="10"/>
      <c r="IQ183" s="10"/>
      <c r="IR183" s="10"/>
      <c r="IS183" s="10"/>
      <c r="IT183" s="10"/>
      <c r="IU183" s="10"/>
      <c r="IV183" s="10"/>
      <c r="IW183" s="10"/>
      <c r="IX183" s="10"/>
      <c r="IY183" s="10"/>
      <c r="IZ183" s="10"/>
      <c r="JA183" s="10"/>
      <c r="JB183" s="10"/>
      <c r="JC183" s="10"/>
      <c r="JD183" s="10"/>
      <c r="JE183" s="10"/>
      <c r="JF183" s="10"/>
      <c r="JG183" s="10"/>
      <c r="JH183" s="10"/>
      <c r="JI183" s="10"/>
      <c r="JJ183" s="10"/>
      <c r="JK183" s="10"/>
      <c r="JL183" s="10"/>
      <c r="JM183" s="10"/>
      <c r="JN183" s="10"/>
      <c r="JO183" s="10"/>
      <c r="JP183" s="10"/>
      <c r="JQ183" s="10"/>
      <c r="JR183" s="10"/>
      <c r="JS183" s="10"/>
      <c r="JT183" s="10"/>
      <c r="JU183" s="10"/>
      <c r="JV183" s="10"/>
      <c r="JW183" s="10"/>
      <c r="JX183" s="10"/>
      <c r="JY183" s="10"/>
      <c r="JZ183" s="10"/>
      <c r="KA183" s="10"/>
      <c r="KB183" s="10"/>
      <c r="KC183" s="10"/>
      <c r="KD183" s="10"/>
      <c r="KE183" s="10"/>
      <c r="KF183" s="10"/>
      <c r="KG183" s="10"/>
      <c r="KH183" s="10"/>
      <c r="KI183" s="10"/>
      <c r="KJ183" s="10"/>
      <c r="KK183" s="10"/>
      <c r="KL183" s="10"/>
      <c r="KM183" s="10"/>
      <c r="KN183" s="10"/>
      <c r="KO183" s="10"/>
      <c r="KP183" s="10"/>
      <c r="KQ183" s="10"/>
      <c r="KR183" s="10"/>
      <c r="KS183" s="10"/>
      <c r="KT183" s="10"/>
      <c r="KU183" s="10"/>
      <c r="KV183" s="10"/>
      <c r="KW183" s="10"/>
      <c r="KX183" s="10"/>
      <c r="KY183" s="10"/>
      <c r="KZ183" s="10"/>
      <c r="LA183" s="10"/>
      <c r="LB183" s="10"/>
      <c r="LC183" s="10"/>
      <c r="LD183" s="10"/>
      <c r="LE183" s="10"/>
      <c r="LF183" s="10"/>
      <c r="LG183" s="10"/>
      <c r="LH183" s="10"/>
      <c r="LI183" s="10"/>
      <c r="LJ183" s="10"/>
      <c r="LK183" s="10"/>
      <c r="LL183" s="10"/>
      <c r="LM183" s="10"/>
      <c r="LN183" s="10"/>
      <c r="LO183" s="10"/>
      <c r="LP183" s="10"/>
      <c r="LQ183" s="10"/>
      <c r="LR183" s="10"/>
      <c r="LS183" s="10"/>
      <c r="LT183" s="10"/>
      <c r="LU183" s="10"/>
      <c r="LV183" s="10"/>
      <c r="LW183" s="10"/>
      <c r="LX183" s="10"/>
      <c r="LY183" s="10"/>
      <c r="LZ183" s="10"/>
      <c r="MA183" s="10"/>
      <c r="MB183" s="10"/>
      <c r="MC183" s="10"/>
      <c r="MD183" s="10"/>
      <c r="ME183" s="10"/>
      <c r="MF183" s="10"/>
      <c r="MG183" s="10"/>
      <c r="MH183" s="10"/>
      <c r="MI183" s="10"/>
      <c r="MJ183" s="10"/>
      <c r="MK183" s="10"/>
      <c r="ML183" s="10"/>
      <c r="MM183" s="10"/>
      <c r="MN183" s="10"/>
      <c r="MO183" s="10"/>
      <c r="MP183" s="10"/>
      <c r="MQ183" s="10"/>
      <c r="MR183" s="10"/>
      <c r="MS183" s="10"/>
      <c r="MT183" s="10"/>
      <c r="MU183" s="10"/>
      <c r="MV183" s="10"/>
      <c r="MW183" s="10"/>
      <c r="MX183" s="10"/>
      <c r="MY183" s="10"/>
      <c r="MZ183" s="10"/>
      <c r="NA183" s="10"/>
      <c r="NB183" s="10"/>
      <c r="NC183" s="10"/>
      <c r="ND183" s="10"/>
    </row>
    <row r="184" ht="24.75" customHeight="1">
      <c r="A184" s="8">
        <v>45833.62989383102</v>
      </c>
      <c r="B184" s="9" t="s">
        <v>368</v>
      </c>
      <c r="FB184" s="11"/>
      <c r="GB184" s="11"/>
    </row>
    <row r="185" ht="24.75" customHeight="1">
      <c r="A185" s="8">
        <v>45833.82247668982</v>
      </c>
      <c r="B185" s="9" t="s">
        <v>368</v>
      </c>
      <c r="C185" s="9" t="s">
        <v>370</v>
      </c>
      <c r="E185" s="9" t="s">
        <v>791</v>
      </c>
      <c r="G185" s="9" t="s">
        <v>422</v>
      </c>
      <c r="H185" s="9" t="s">
        <v>637</v>
      </c>
      <c r="I185" s="9" t="s">
        <v>638</v>
      </c>
      <c r="J185" s="9" t="s">
        <v>425</v>
      </c>
      <c r="K185" s="9" t="s">
        <v>376</v>
      </c>
      <c r="L185" s="9" t="s">
        <v>426</v>
      </c>
      <c r="M185" s="9" t="s">
        <v>4157</v>
      </c>
      <c r="N185" s="9" t="s">
        <v>591</v>
      </c>
      <c r="O185" s="9" t="s">
        <v>2464</v>
      </c>
      <c r="P185" s="9" t="s">
        <v>498</v>
      </c>
      <c r="Q185" s="9" t="s">
        <v>862</v>
      </c>
      <c r="R185" s="9" t="s">
        <v>949</v>
      </c>
      <c r="S185" s="9" t="s">
        <v>384</v>
      </c>
      <c r="T185" s="9" t="s">
        <v>385</v>
      </c>
      <c r="W185" s="9" t="s">
        <v>3231</v>
      </c>
      <c r="AV185" s="9" t="s">
        <v>1310</v>
      </c>
      <c r="AW185" s="9" t="s">
        <v>391</v>
      </c>
      <c r="AX185" s="9" t="s">
        <v>391</v>
      </c>
      <c r="AY185" s="9">
        <v>4.0</v>
      </c>
      <c r="AZ185" s="9">
        <v>4.0</v>
      </c>
      <c r="BA185" s="9" t="s">
        <v>675</v>
      </c>
      <c r="BB185" s="9" t="s">
        <v>675</v>
      </c>
      <c r="BC185" s="9" t="s">
        <v>4158</v>
      </c>
      <c r="BD185" s="9" t="s">
        <v>4159</v>
      </c>
      <c r="BE185" s="9" t="s">
        <v>432</v>
      </c>
      <c r="BF185" s="9" t="s">
        <v>393</v>
      </c>
      <c r="BG185" s="9" t="s">
        <v>394</v>
      </c>
      <c r="BH185" s="9" t="s">
        <v>4160</v>
      </c>
      <c r="BI185" s="9" t="s">
        <v>824</v>
      </c>
      <c r="BK185" s="9" t="s">
        <v>681</v>
      </c>
      <c r="BL185" s="9" t="s">
        <v>396</v>
      </c>
      <c r="BM185" s="9" t="s">
        <v>1247</v>
      </c>
      <c r="BN185" s="9" t="s">
        <v>398</v>
      </c>
      <c r="BO185" s="9" t="s">
        <v>4161</v>
      </c>
      <c r="BP185" s="9" t="s">
        <v>4162</v>
      </c>
      <c r="BQ185" s="9" t="s">
        <v>604</v>
      </c>
      <c r="BR185" s="9" t="s">
        <v>2662</v>
      </c>
      <c r="BS185" s="9" t="s">
        <v>1671</v>
      </c>
      <c r="BT185" s="9" t="s">
        <v>1771</v>
      </c>
      <c r="BU185" s="9" t="s">
        <v>405</v>
      </c>
      <c r="BW185" s="9" t="s">
        <v>988</v>
      </c>
      <c r="BY185" s="9" t="s">
        <v>408</v>
      </c>
      <c r="CB185" s="9" t="s">
        <v>4163</v>
      </c>
      <c r="CC185" s="9" t="s">
        <v>4164</v>
      </c>
      <c r="CD185" s="9" t="s">
        <v>409</v>
      </c>
      <c r="CE185" s="9" t="s">
        <v>4165</v>
      </c>
      <c r="CF185" s="9" t="s">
        <v>2233</v>
      </c>
      <c r="CH185" s="9" t="s">
        <v>1751</v>
      </c>
      <c r="CI185" s="9" t="s">
        <v>410</v>
      </c>
      <c r="CJ185" s="9" t="s">
        <v>4166</v>
      </c>
      <c r="CK185" s="9" t="s">
        <v>4167</v>
      </c>
      <c r="ET185" s="9" t="s">
        <v>478</v>
      </c>
      <c r="EU185" s="9" t="s">
        <v>887</v>
      </c>
      <c r="EV185" s="9" t="s">
        <v>480</v>
      </c>
      <c r="EX185" s="9" t="s">
        <v>4168</v>
      </c>
      <c r="EY185" s="9" t="s">
        <v>966</v>
      </c>
      <c r="EZ185" s="9" t="s">
        <v>416</v>
      </c>
      <c r="FA185" s="9" t="s">
        <v>414</v>
      </c>
      <c r="FB185" s="9" t="s">
        <v>413</v>
      </c>
      <c r="FC185" s="9" t="s">
        <v>413</v>
      </c>
      <c r="FD185" s="9" t="s">
        <v>413</v>
      </c>
      <c r="FE185" s="9" t="s">
        <v>414</v>
      </c>
      <c r="FF185" s="9" t="s">
        <v>413</v>
      </c>
      <c r="FG185" s="9" t="s">
        <v>413</v>
      </c>
      <c r="FH185" s="9" t="s">
        <v>484</v>
      </c>
      <c r="FI185" s="9" t="s">
        <v>414</v>
      </c>
      <c r="FJ185" s="9" t="s">
        <v>414</v>
      </c>
      <c r="FK185" s="9" t="s">
        <v>416</v>
      </c>
      <c r="FL185" s="9" t="s">
        <v>416</v>
      </c>
      <c r="FM185" s="9" t="s">
        <v>413</v>
      </c>
      <c r="FN185" s="9" t="s">
        <v>583</v>
      </c>
      <c r="FO185" s="9" t="s">
        <v>485</v>
      </c>
      <c r="FP185" s="9" t="s">
        <v>418</v>
      </c>
      <c r="FQ185" s="9" t="s">
        <v>419</v>
      </c>
      <c r="FR185" s="9" t="s">
        <v>4169</v>
      </c>
      <c r="FS185" s="9" t="s">
        <v>1189</v>
      </c>
      <c r="FT185" s="9" t="s">
        <v>1462</v>
      </c>
      <c r="FU185" s="9" t="s">
        <v>489</v>
      </c>
      <c r="FV185" s="9" t="s">
        <v>490</v>
      </c>
      <c r="FW185" s="9" t="s">
        <v>491</v>
      </c>
      <c r="FY185" s="9" t="s">
        <v>493</v>
      </c>
      <c r="GB185" s="9" t="s">
        <v>408</v>
      </c>
      <c r="GJ185" s="9" t="s">
        <v>857</v>
      </c>
      <c r="GL185" s="9" t="s">
        <v>817</v>
      </c>
      <c r="GP185" s="9" t="s">
        <v>387</v>
      </c>
      <c r="GQ185" s="9" t="s">
        <v>3208</v>
      </c>
      <c r="GR185" s="10"/>
      <c r="GS185" s="10"/>
      <c r="GT185" s="10"/>
      <c r="GU185" s="10"/>
      <c r="GV185" s="10"/>
      <c r="GW185" s="10"/>
      <c r="GX185" s="10"/>
      <c r="GY185" s="10"/>
      <c r="GZ185" s="10"/>
      <c r="HA185" s="10"/>
      <c r="HB185" s="10"/>
      <c r="HC185" s="10"/>
      <c r="HD185" s="10"/>
      <c r="HE185" s="10"/>
      <c r="HF185" s="10"/>
      <c r="HG185" s="10"/>
      <c r="HH185" s="10"/>
      <c r="HI185" s="10"/>
      <c r="HJ185" s="10"/>
      <c r="HK185" s="10"/>
      <c r="HL185" s="10"/>
      <c r="HM185" s="10"/>
      <c r="HN185" s="10"/>
      <c r="HO185" s="10"/>
      <c r="HP185" s="10"/>
      <c r="HQ185" s="10"/>
      <c r="HR185" s="10"/>
      <c r="HS185" s="10"/>
      <c r="HT185" s="10"/>
      <c r="HU185" s="10"/>
      <c r="HV185" s="10"/>
      <c r="HW185" s="10"/>
      <c r="HX185" s="10"/>
      <c r="HY185" s="10"/>
      <c r="HZ185" s="10"/>
      <c r="IA185" s="10"/>
      <c r="IB185" s="10"/>
      <c r="IC185" s="10"/>
      <c r="ID185" s="10"/>
      <c r="IE185" s="10"/>
      <c r="IF185" s="10"/>
      <c r="IG185" s="10"/>
      <c r="IH185" s="10"/>
      <c r="II185" s="10"/>
      <c r="IJ185" s="10"/>
      <c r="IK185" s="10"/>
      <c r="IL185" s="10"/>
      <c r="IM185" s="10"/>
      <c r="IN185" s="10"/>
      <c r="IO185" s="10"/>
      <c r="IP185" s="10"/>
      <c r="IQ185" s="10"/>
      <c r="IR185" s="10"/>
      <c r="IS185" s="10"/>
      <c r="IT185" s="10"/>
      <c r="IU185" s="10"/>
      <c r="IV185" s="10"/>
      <c r="IW185" s="10"/>
      <c r="IX185" s="10"/>
      <c r="IY185" s="10"/>
      <c r="IZ185" s="10"/>
      <c r="JA185" s="10"/>
      <c r="JB185" s="10"/>
      <c r="JC185" s="10"/>
      <c r="JD185" s="10"/>
      <c r="JE185" s="10"/>
      <c r="JF185" s="10"/>
      <c r="JG185" s="10"/>
      <c r="JH185" s="10"/>
      <c r="JI185" s="10"/>
      <c r="JJ185" s="10"/>
      <c r="JK185" s="10"/>
      <c r="JL185" s="10"/>
      <c r="JM185" s="10"/>
      <c r="JN185" s="10"/>
      <c r="JO185" s="10"/>
      <c r="JP185" s="10"/>
      <c r="JQ185" s="10"/>
      <c r="JR185" s="10"/>
      <c r="JS185" s="10"/>
      <c r="JT185" s="10"/>
      <c r="JU185" s="10"/>
      <c r="JV185" s="10"/>
      <c r="JW185" s="10"/>
      <c r="JX185" s="10"/>
      <c r="JY185" s="10"/>
      <c r="JZ185" s="10"/>
      <c r="KA185" s="10"/>
      <c r="KB185" s="10"/>
      <c r="KC185" s="10"/>
      <c r="KD185" s="10"/>
      <c r="KE185" s="10"/>
      <c r="KF185" s="10"/>
      <c r="KG185" s="10"/>
      <c r="KH185" s="10"/>
      <c r="KI185" s="10"/>
      <c r="KJ185" s="10"/>
      <c r="KK185" s="10"/>
      <c r="KL185" s="10"/>
      <c r="KM185" s="10"/>
      <c r="KN185" s="10"/>
      <c r="KO185" s="10"/>
      <c r="KP185" s="10"/>
      <c r="KQ185" s="10"/>
      <c r="KR185" s="10"/>
      <c r="KS185" s="10"/>
      <c r="KT185" s="10"/>
      <c r="KU185" s="10"/>
      <c r="KV185" s="10"/>
      <c r="KW185" s="10"/>
      <c r="KX185" s="10"/>
      <c r="KY185" s="10"/>
      <c r="KZ185" s="10"/>
      <c r="LA185" s="10"/>
      <c r="LB185" s="10"/>
      <c r="LC185" s="10"/>
      <c r="LD185" s="10"/>
      <c r="LE185" s="10"/>
      <c r="LF185" s="10"/>
      <c r="LG185" s="10"/>
      <c r="LH185" s="10"/>
      <c r="LI185" s="10"/>
      <c r="LJ185" s="10"/>
      <c r="LK185" s="10"/>
      <c r="LL185" s="10"/>
      <c r="LM185" s="10"/>
      <c r="LN185" s="10"/>
      <c r="LO185" s="10"/>
      <c r="LP185" s="10"/>
      <c r="LQ185" s="10"/>
      <c r="LR185" s="10"/>
      <c r="LS185" s="10"/>
      <c r="LT185" s="10"/>
      <c r="LU185" s="10"/>
      <c r="LV185" s="10"/>
      <c r="LW185" s="10"/>
      <c r="LX185" s="10"/>
      <c r="LY185" s="10"/>
      <c r="LZ185" s="10"/>
      <c r="MA185" s="10"/>
      <c r="MB185" s="10"/>
      <c r="MC185" s="10"/>
      <c r="MD185" s="10"/>
      <c r="ME185" s="10"/>
      <c r="MF185" s="10"/>
      <c r="MG185" s="10"/>
      <c r="MH185" s="10"/>
      <c r="MI185" s="10"/>
      <c r="MJ185" s="10"/>
      <c r="MK185" s="10"/>
      <c r="ML185" s="10"/>
      <c r="MM185" s="10"/>
      <c r="MN185" s="10"/>
      <c r="MO185" s="10"/>
      <c r="MP185" s="10"/>
      <c r="MQ185" s="10"/>
      <c r="MR185" s="10"/>
      <c r="MS185" s="10"/>
      <c r="MT185" s="10"/>
      <c r="MU185" s="10"/>
      <c r="MV185" s="10"/>
      <c r="MW185" s="10"/>
      <c r="MX185" s="10"/>
      <c r="MY185" s="10"/>
      <c r="MZ185" s="10"/>
      <c r="NA185" s="10"/>
      <c r="NB185" s="10"/>
      <c r="NC185" s="10"/>
      <c r="ND185" s="10"/>
    </row>
    <row r="186" ht="24.75" customHeight="1">
      <c r="A186" s="8">
        <v>45833.822846944444</v>
      </c>
      <c r="B186" s="9" t="s">
        <v>368</v>
      </c>
      <c r="C186" s="9" t="s">
        <v>370</v>
      </c>
      <c r="E186" s="9" t="s">
        <v>4170</v>
      </c>
      <c r="G186" s="9" t="s">
        <v>422</v>
      </c>
      <c r="H186" s="9" t="s">
        <v>373</v>
      </c>
      <c r="I186" s="9" t="s">
        <v>1022</v>
      </c>
      <c r="J186" s="9" t="s">
        <v>590</v>
      </c>
      <c r="K186" s="9" t="s">
        <v>376</v>
      </c>
      <c r="L186" s="9" t="s">
        <v>379</v>
      </c>
      <c r="M186" s="9" t="s">
        <v>378</v>
      </c>
      <c r="N186" s="9" t="s">
        <v>1526</v>
      </c>
      <c r="O186" s="9" t="s">
        <v>640</v>
      </c>
      <c r="P186" s="9" t="s">
        <v>1760</v>
      </c>
      <c r="Q186" s="9" t="s">
        <v>1156</v>
      </c>
      <c r="R186" s="9" t="s">
        <v>500</v>
      </c>
      <c r="S186" s="9" t="s">
        <v>384</v>
      </c>
      <c r="T186" s="9" t="s">
        <v>385</v>
      </c>
      <c r="W186" s="9" t="s">
        <v>593</v>
      </c>
      <c r="X186" s="9" t="s">
        <v>387</v>
      </c>
      <c r="Y186" s="9" t="s">
        <v>4171</v>
      </c>
      <c r="Z186" s="9" t="s">
        <v>672</v>
      </c>
      <c r="AA186" s="9" t="s">
        <v>4172</v>
      </c>
      <c r="AB186" s="9" t="s">
        <v>4173</v>
      </c>
      <c r="AV186" s="9" t="s">
        <v>1242</v>
      </c>
      <c r="AW186" s="9" t="s">
        <v>675</v>
      </c>
      <c r="AX186" s="9">
        <v>4.0</v>
      </c>
      <c r="AY186" s="9" t="s">
        <v>391</v>
      </c>
      <c r="AZ186" s="9" t="s">
        <v>391</v>
      </c>
      <c r="BA186" s="9">
        <v>2.0</v>
      </c>
      <c r="BB186" s="9" t="s">
        <v>391</v>
      </c>
      <c r="BC186" s="9" t="s">
        <v>4174</v>
      </c>
      <c r="BD186" s="9" t="s">
        <v>4175</v>
      </c>
      <c r="BE186" s="9" t="s">
        <v>432</v>
      </c>
      <c r="BF186" s="9" t="s">
        <v>393</v>
      </c>
      <c r="BG186" s="9" t="s">
        <v>678</v>
      </c>
      <c r="BH186" s="9" t="s">
        <v>4176</v>
      </c>
      <c r="BI186" s="9" t="s">
        <v>435</v>
      </c>
      <c r="BJ186" s="9" t="s">
        <v>4177</v>
      </c>
      <c r="BK186" s="9" t="s">
        <v>437</v>
      </c>
      <c r="BL186" s="9" t="s">
        <v>438</v>
      </c>
      <c r="BM186" s="9" t="s">
        <v>1314</v>
      </c>
      <c r="BN186" s="9" t="s">
        <v>513</v>
      </c>
      <c r="CL186" s="9" t="s">
        <v>441</v>
      </c>
      <c r="CM186" s="9" t="s">
        <v>604</v>
      </c>
      <c r="CN186" s="9" t="s">
        <v>4178</v>
      </c>
      <c r="CO186" s="9" t="s">
        <v>4179</v>
      </c>
      <c r="CP186" s="9" t="s">
        <v>685</v>
      </c>
      <c r="CQ186" s="9" t="s">
        <v>4180</v>
      </c>
      <c r="CR186" s="9" t="s">
        <v>447</v>
      </c>
      <c r="CS186" s="9" t="s">
        <v>4181</v>
      </c>
      <c r="CT186" s="9" t="s">
        <v>4182</v>
      </c>
      <c r="CU186" s="9" t="s">
        <v>450</v>
      </c>
      <c r="CV186" s="9" t="s">
        <v>451</v>
      </c>
      <c r="CW186" s="9" t="s">
        <v>4183</v>
      </c>
      <c r="CX186" s="9" t="s">
        <v>408</v>
      </c>
      <c r="CZ186" s="9" t="s">
        <v>453</v>
      </c>
      <c r="DA186" s="9" t="s">
        <v>4184</v>
      </c>
      <c r="DB186" s="9" t="s">
        <v>455</v>
      </c>
      <c r="DC186" s="9" t="s">
        <v>4185</v>
      </c>
      <c r="DD186" s="9" t="s">
        <v>457</v>
      </c>
      <c r="DG186" s="9" t="s">
        <v>776</v>
      </c>
      <c r="DH186" s="9" t="s">
        <v>410</v>
      </c>
      <c r="DI186" s="9" t="s">
        <v>459</v>
      </c>
      <c r="DJ186" s="9" t="s">
        <v>613</v>
      </c>
      <c r="ET186" s="9" t="s">
        <v>578</v>
      </c>
      <c r="EU186" s="9" t="s">
        <v>479</v>
      </c>
      <c r="EV186" s="9" t="s">
        <v>778</v>
      </c>
      <c r="EW186" s="9" t="s">
        <v>4186</v>
      </c>
      <c r="EX186" s="9" t="s">
        <v>4187</v>
      </c>
      <c r="EY186" s="9" t="s">
        <v>4188</v>
      </c>
      <c r="EZ186" s="9" t="s">
        <v>414</v>
      </c>
      <c r="FA186" s="9" t="s">
        <v>414</v>
      </c>
      <c r="FB186" s="9" t="s">
        <v>583</v>
      </c>
      <c r="FC186" s="9" t="s">
        <v>583</v>
      </c>
      <c r="FD186" s="9" t="s">
        <v>413</v>
      </c>
      <c r="FE186" s="9" t="s">
        <v>414</v>
      </c>
      <c r="FF186" s="9" t="s">
        <v>484</v>
      </c>
      <c r="FG186" s="9" t="s">
        <v>583</v>
      </c>
      <c r="FH186" s="9" t="s">
        <v>413</v>
      </c>
      <c r="FI186" s="9" t="s">
        <v>583</v>
      </c>
      <c r="FJ186" s="9" t="s">
        <v>583</v>
      </c>
      <c r="FK186" s="9" t="s">
        <v>583</v>
      </c>
      <c r="FL186" s="9" t="s">
        <v>583</v>
      </c>
      <c r="FM186" s="9" t="s">
        <v>415</v>
      </c>
      <c r="FN186" s="9" t="s">
        <v>415</v>
      </c>
      <c r="FO186" s="9" t="s">
        <v>417</v>
      </c>
      <c r="FP186" s="9" t="s">
        <v>418</v>
      </c>
      <c r="FQ186" s="9" t="s">
        <v>712</v>
      </c>
      <c r="FR186" s="9" t="s">
        <v>4189</v>
      </c>
      <c r="FS186" s="9" t="s">
        <v>995</v>
      </c>
      <c r="FT186" s="9" t="s">
        <v>1462</v>
      </c>
      <c r="FU186" s="9" t="s">
        <v>533</v>
      </c>
      <c r="FV186" s="9" t="s">
        <v>490</v>
      </c>
      <c r="FW186" s="9" t="s">
        <v>491</v>
      </c>
      <c r="FX186" s="9" t="s">
        <v>4190</v>
      </c>
      <c r="FY186" s="9" t="s">
        <v>535</v>
      </c>
      <c r="FZ186" s="9" t="s">
        <v>4191</v>
      </c>
      <c r="GA186" s="9" t="s">
        <v>4192</v>
      </c>
      <c r="GB186" s="9" t="s">
        <v>455</v>
      </c>
      <c r="GC186" s="9"/>
      <c r="GD186" s="9"/>
      <c r="GE186" s="9" t="s">
        <v>1339</v>
      </c>
      <c r="GF186" s="9" t="s">
        <v>4193</v>
      </c>
      <c r="GG186" s="9" t="s">
        <v>788</v>
      </c>
      <c r="GH186" s="9" t="s">
        <v>788</v>
      </c>
      <c r="GI186" s="9" t="s">
        <v>858</v>
      </c>
      <c r="GQ186" s="9" t="s">
        <v>4194</v>
      </c>
      <c r="GR186" s="10"/>
      <c r="GS186" s="10"/>
      <c r="GT186" s="10"/>
      <c r="GU186" s="10"/>
      <c r="GV186" s="10"/>
      <c r="GW186" s="10"/>
      <c r="GX186" s="10"/>
      <c r="GY186" s="10"/>
      <c r="GZ186" s="10"/>
      <c r="HA186" s="10"/>
      <c r="HB186" s="10"/>
      <c r="HC186" s="10"/>
      <c r="HD186" s="10"/>
      <c r="HE186" s="10"/>
      <c r="HF186" s="10"/>
      <c r="HG186" s="10"/>
      <c r="HH186" s="10"/>
      <c r="HI186" s="10"/>
      <c r="HJ186" s="10"/>
      <c r="HK186" s="10"/>
      <c r="HL186" s="10"/>
      <c r="HM186" s="10"/>
      <c r="HN186" s="10"/>
      <c r="HO186" s="10"/>
      <c r="HP186" s="10"/>
      <c r="HQ186" s="10"/>
      <c r="HR186" s="10"/>
      <c r="HS186" s="10"/>
      <c r="HT186" s="10"/>
      <c r="HU186" s="10"/>
      <c r="HV186" s="10"/>
      <c r="HW186" s="10"/>
      <c r="HX186" s="10"/>
      <c r="HY186" s="10"/>
      <c r="HZ186" s="10"/>
      <c r="IA186" s="10"/>
      <c r="IB186" s="10"/>
      <c r="IC186" s="10"/>
      <c r="ID186" s="10"/>
      <c r="IE186" s="10"/>
      <c r="IF186" s="10"/>
      <c r="IG186" s="10"/>
      <c r="IH186" s="10"/>
      <c r="II186" s="10"/>
      <c r="IJ186" s="10"/>
      <c r="IK186" s="10"/>
      <c r="IL186" s="10"/>
      <c r="IM186" s="10"/>
      <c r="IN186" s="10"/>
      <c r="IO186" s="10"/>
      <c r="IP186" s="10"/>
      <c r="IQ186" s="10"/>
      <c r="IR186" s="10"/>
      <c r="IS186" s="10"/>
      <c r="IT186" s="10"/>
      <c r="IU186" s="10"/>
      <c r="IV186" s="10"/>
      <c r="IW186" s="10"/>
      <c r="IX186" s="10"/>
      <c r="IY186" s="10"/>
      <c r="IZ186" s="10"/>
      <c r="JA186" s="10"/>
      <c r="JB186" s="10"/>
      <c r="JC186" s="10"/>
      <c r="JD186" s="10"/>
      <c r="JE186" s="10"/>
      <c r="JF186" s="10"/>
      <c r="JG186" s="10"/>
      <c r="JH186" s="10"/>
      <c r="JI186" s="10"/>
      <c r="JJ186" s="10"/>
      <c r="JK186" s="10"/>
      <c r="JL186" s="10"/>
      <c r="JM186" s="10"/>
      <c r="JN186" s="10"/>
      <c r="JO186" s="10"/>
      <c r="JP186" s="10"/>
      <c r="JQ186" s="10"/>
      <c r="JR186" s="10"/>
      <c r="JS186" s="10"/>
      <c r="JT186" s="10"/>
      <c r="JU186" s="10"/>
      <c r="JV186" s="10"/>
      <c r="JW186" s="10"/>
      <c r="JX186" s="10"/>
      <c r="JY186" s="10"/>
      <c r="JZ186" s="10"/>
      <c r="KA186" s="10"/>
      <c r="KB186" s="10"/>
      <c r="KC186" s="10"/>
      <c r="KD186" s="10"/>
      <c r="KE186" s="10"/>
      <c r="KF186" s="10"/>
      <c r="KG186" s="10"/>
      <c r="KH186" s="10"/>
      <c r="KI186" s="10"/>
      <c r="KJ186" s="10"/>
      <c r="KK186" s="10"/>
      <c r="KL186" s="10"/>
      <c r="KM186" s="10"/>
      <c r="KN186" s="10"/>
      <c r="KO186" s="10"/>
      <c r="KP186" s="10"/>
      <c r="KQ186" s="10"/>
      <c r="KR186" s="10"/>
      <c r="KS186" s="10"/>
      <c r="KT186" s="10"/>
      <c r="KU186" s="10"/>
      <c r="KV186" s="10"/>
      <c r="KW186" s="10"/>
      <c r="KX186" s="10"/>
      <c r="KY186" s="10"/>
      <c r="KZ186" s="10"/>
      <c r="LA186" s="10"/>
      <c r="LB186" s="10"/>
      <c r="LC186" s="10"/>
      <c r="LD186" s="10"/>
      <c r="LE186" s="10"/>
      <c r="LF186" s="10"/>
      <c r="LG186" s="10"/>
      <c r="LH186" s="10"/>
      <c r="LI186" s="10"/>
      <c r="LJ186" s="10"/>
      <c r="LK186" s="10"/>
      <c r="LL186" s="10"/>
      <c r="LM186" s="10"/>
      <c r="LN186" s="10"/>
      <c r="LO186" s="10"/>
      <c r="LP186" s="10"/>
      <c r="LQ186" s="10"/>
      <c r="LR186" s="10"/>
      <c r="LS186" s="10"/>
      <c r="LT186" s="10"/>
      <c r="LU186" s="10"/>
      <c r="LV186" s="10"/>
      <c r="LW186" s="10"/>
      <c r="LX186" s="10"/>
      <c r="LY186" s="10"/>
      <c r="LZ186" s="10"/>
      <c r="MA186" s="10"/>
      <c r="MB186" s="10"/>
      <c r="MC186" s="10"/>
      <c r="MD186" s="10"/>
      <c r="ME186" s="10"/>
      <c r="MF186" s="10"/>
      <c r="MG186" s="10"/>
      <c r="MH186" s="10"/>
      <c r="MI186" s="10"/>
      <c r="MJ186" s="10"/>
      <c r="MK186" s="10"/>
      <c r="ML186" s="10"/>
      <c r="MM186" s="10"/>
      <c r="MN186" s="10"/>
      <c r="MO186" s="10"/>
      <c r="MP186" s="10"/>
      <c r="MQ186" s="10"/>
      <c r="MR186" s="10"/>
      <c r="MS186" s="10"/>
      <c r="MT186" s="10"/>
      <c r="MU186" s="10"/>
      <c r="MV186" s="10"/>
      <c r="MW186" s="10"/>
      <c r="MX186" s="10"/>
      <c r="MY186" s="10"/>
      <c r="MZ186" s="10"/>
      <c r="NA186" s="10"/>
      <c r="NB186" s="10"/>
      <c r="NC186" s="10"/>
      <c r="ND186" s="10"/>
    </row>
    <row r="187" ht="24.75" customHeight="1">
      <c r="A187" s="8">
        <v>45833.88627903935</v>
      </c>
      <c r="B187" s="9" t="s">
        <v>368</v>
      </c>
      <c r="C187" s="9" t="s">
        <v>370</v>
      </c>
      <c r="E187" s="9" t="s">
        <v>371</v>
      </c>
      <c r="G187" s="9" t="s">
        <v>422</v>
      </c>
      <c r="H187" s="9" t="s">
        <v>496</v>
      </c>
      <c r="I187" s="9" t="s">
        <v>374</v>
      </c>
      <c r="J187" s="9" t="s">
        <v>718</v>
      </c>
      <c r="K187" s="9" t="s">
        <v>376</v>
      </c>
      <c r="L187" s="9" t="s">
        <v>793</v>
      </c>
      <c r="M187" s="9" t="s">
        <v>4195</v>
      </c>
      <c r="N187" s="9" t="s">
        <v>793</v>
      </c>
      <c r="O187" s="9" t="s">
        <v>1511</v>
      </c>
      <c r="P187" s="9" t="s">
        <v>592</v>
      </c>
      <c r="Q187" s="9" t="s">
        <v>862</v>
      </c>
      <c r="R187" s="9" t="s">
        <v>500</v>
      </c>
      <c r="S187" s="9" t="s">
        <v>384</v>
      </c>
      <c r="T187" s="9" t="s">
        <v>385</v>
      </c>
      <c r="W187" s="9" t="s">
        <v>593</v>
      </c>
      <c r="X187" s="9" t="s">
        <v>387</v>
      </c>
      <c r="Y187" s="9" t="s">
        <v>388</v>
      </c>
      <c r="Z187" s="9" t="s">
        <v>543</v>
      </c>
      <c r="AA187" s="9" t="s">
        <v>4196</v>
      </c>
      <c r="AB187" s="9" t="s">
        <v>4197</v>
      </c>
      <c r="AV187" s="9" t="s">
        <v>1310</v>
      </c>
      <c r="AW187" s="9">
        <v>4.0</v>
      </c>
      <c r="AX187" s="9" t="s">
        <v>391</v>
      </c>
      <c r="AY187" s="9" t="s">
        <v>391</v>
      </c>
      <c r="AZ187" s="9">
        <v>2.0</v>
      </c>
      <c r="BA187" s="9">
        <v>2.0</v>
      </c>
      <c r="BB187" s="9" t="s">
        <v>391</v>
      </c>
      <c r="BC187" s="9" t="s">
        <v>4198</v>
      </c>
      <c r="BD187" s="9" t="s">
        <v>4199</v>
      </c>
      <c r="BE187" s="9" t="s">
        <v>432</v>
      </c>
      <c r="BF187" s="9" t="s">
        <v>1095</v>
      </c>
      <c r="BG187" s="9" t="s">
        <v>678</v>
      </c>
      <c r="BH187" s="9" t="s">
        <v>4200</v>
      </c>
      <c r="BI187" s="9" t="s">
        <v>976</v>
      </c>
      <c r="BJ187" s="9" t="s">
        <v>4201</v>
      </c>
      <c r="BK187" s="9" t="s">
        <v>511</v>
      </c>
      <c r="BL187" s="9" t="s">
        <v>904</v>
      </c>
      <c r="BM187" s="9" t="s">
        <v>1247</v>
      </c>
      <c r="BN187" s="9" t="s">
        <v>513</v>
      </c>
      <c r="CL187" s="9" t="s">
        <v>441</v>
      </c>
      <c r="CM187" s="9" t="s">
        <v>682</v>
      </c>
      <c r="CN187" s="9" t="s">
        <v>4202</v>
      </c>
      <c r="CO187" s="9" t="s">
        <v>4203</v>
      </c>
      <c r="CP187" s="9" t="s">
        <v>685</v>
      </c>
      <c r="CQ187" s="9" t="s">
        <v>4204</v>
      </c>
      <c r="CR187" s="9" t="s">
        <v>447</v>
      </c>
      <c r="CS187" s="9" t="s">
        <v>4205</v>
      </c>
      <c r="CT187" s="9" t="s">
        <v>4206</v>
      </c>
      <c r="CU187" s="9" t="s">
        <v>519</v>
      </c>
      <c r="CV187" s="9" t="s">
        <v>451</v>
      </c>
      <c r="CW187" s="9" t="s">
        <v>4207</v>
      </c>
      <c r="CX187" s="9" t="s">
        <v>408</v>
      </c>
      <c r="CZ187" s="9" t="s">
        <v>985</v>
      </c>
      <c r="DA187" s="9" t="s">
        <v>4208</v>
      </c>
      <c r="DB187" s="9" t="s">
        <v>408</v>
      </c>
      <c r="DD187" s="9" t="s">
        <v>988</v>
      </c>
      <c r="DF187" s="9" t="s">
        <v>4209</v>
      </c>
      <c r="DG187" s="9" t="s">
        <v>524</v>
      </c>
      <c r="DH187" s="9" t="s">
        <v>410</v>
      </c>
      <c r="DI187" s="9" t="s">
        <v>459</v>
      </c>
      <c r="DJ187" s="9" t="s">
        <v>460</v>
      </c>
      <c r="DK187" s="9" t="s">
        <v>461</v>
      </c>
      <c r="ET187" s="9" t="s">
        <v>478</v>
      </c>
      <c r="EU187" s="9" t="s">
        <v>887</v>
      </c>
      <c r="EV187" s="9" t="s">
        <v>480</v>
      </c>
      <c r="EX187" s="9" t="s">
        <v>4210</v>
      </c>
      <c r="EZ187" s="9" t="s">
        <v>414</v>
      </c>
      <c r="FA187" s="9" t="s">
        <v>414</v>
      </c>
      <c r="FB187" s="9" t="s">
        <v>416</v>
      </c>
      <c r="FC187" s="9" t="s">
        <v>414</v>
      </c>
      <c r="FD187" s="9" t="s">
        <v>416</v>
      </c>
      <c r="FE187" s="9" t="s">
        <v>414</v>
      </c>
      <c r="FF187" s="9" t="s">
        <v>415</v>
      </c>
      <c r="FG187" s="9" t="s">
        <v>416</v>
      </c>
      <c r="FH187" s="9" t="s">
        <v>414</v>
      </c>
      <c r="FI187" s="9" t="s">
        <v>414</v>
      </c>
      <c r="FJ187" s="9" t="s">
        <v>414</v>
      </c>
      <c r="FK187" s="9" t="s">
        <v>415</v>
      </c>
      <c r="FL187" s="9" t="s">
        <v>414</v>
      </c>
      <c r="FM187" s="9" t="s">
        <v>413</v>
      </c>
      <c r="FN187" s="9" t="s">
        <v>414</v>
      </c>
      <c r="FO187" s="9" t="s">
        <v>485</v>
      </c>
      <c r="FP187" s="9" t="s">
        <v>486</v>
      </c>
      <c r="FQ187" s="9" t="s">
        <v>749</v>
      </c>
      <c r="FS187" s="9" t="s">
        <v>420</v>
      </c>
      <c r="FU187" s="9" t="s">
        <v>489</v>
      </c>
      <c r="FV187" s="9" t="s">
        <v>490</v>
      </c>
      <c r="FW187" s="9" t="s">
        <v>491</v>
      </c>
      <c r="FX187" s="9" t="s">
        <v>4211</v>
      </c>
      <c r="FY187" s="9" t="s">
        <v>493</v>
      </c>
      <c r="GB187" s="9" t="s">
        <v>455</v>
      </c>
      <c r="GC187" s="9"/>
      <c r="GE187" s="9" t="s">
        <v>1339</v>
      </c>
      <c r="GF187" s="9" t="s">
        <v>4212</v>
      </c>
      <c r="GG187" s="9" t="s">
        <v>920</v>
      </c>
      <c r="GI187" s="9" t="s">
        <v>756</v>
      </c>
      <c r="GQ187" s="9" t="s">
        <v>3208</v>
      </c>
      <c r="GR187" s="10"/>
      <c r="GS187" s="10"/>
      <c r="GT187" s="10"/>
      <c r="GU187" s="10"/>
      <c r="GV187" s="10"/>
      <c r="GW187" s="10"/>
      <c r="GX187" s="10"/>
      <c r="GY187" s="10"/>
      <c r="GZ187" s="10"/>
      <c r="HA187" s="10"/>
      <c r="HB187" s="10"/>
      <c r="HC187" s="10"/>
      <c r="HD187" s="10"/>
      <c r="HE187" s="10"/>
      <c r="HF187" s="10"/>
      <c r="HG187" s="10"/>
      <c r="HH187" s="10"/>
      <c r="HI187" s="10"/>
      <c r="HJ187" s="10"/>
      <c r="HK187" s="10"/>
      <c r="HL187" s="10"/>
      <c r="HM187" s="10"/>
      <c r="HN187" s="10"/>
      <c r="HO187" s="10"/>
      <c r="HP187" s="10"/>
      <c r="HQ187" s="10"/>
      <c r="HR187" s="10"/>
      <c r="HS187" s="10"/>
      <c r="HT187" s="10"/>
      <c r="HU187" s="10"/>
      <c r="HV187" s="10"/>
      <c r="HW187" s="10"/>
      <c r="HX187" s="10"/>
      <c r="HY187" s="10"/>
      <c r="HZ187" s="10"/>
      <c r="IA187" s="10"/>
      <c r="IB187" s="10"/>
      <c r="IC187" s="10"/>
      <c r="ID187" s="10"/>
      <c r="IE187" s="10"/>
      <c r="IF187" s="10"/>
      <c r="IG187" s="10"/>
      <c r="IH187" s="10"/>
      <c r="II187" s="10"/>
      <c r="IJ187" s="10"/>
      <c r="IK187" s="10"/>
      <c r="IL187" s="10"/>
      <c r="IM187" s="10"/>
      <c r="IN187" s="10"/>
      <c r="IO187" s="10"/>
      <c r="IP187" s="10"/>
      <c r="IQ187" s="10"/>
      <c r="IR187" s="10"/>
      <c r="IS187" s="10"/>
      <c r="IT187" s="10"/>
      <c r="IU187" s="10"/>
      <c r="IV187" s="10"/>
      <c r="IW187" s="10"/>
      <c r="IX187" s="10"/>
      <c r="IY187" s="10"/>
      <c r="IZ187" s="10"/>
      <c r="JA187" s="10"/>
      <c r="JB187" s="10"/>
      <c r="JC187" s="10"/>
      <c r="JD187" s="10"/>
      <c r="JE187" s="10"/>
      <c r="JF187" s="10"/>
      <c r="JG187" s="10"/>
      <c r="JH187" s="10"/>
      <c r="JI187" s="10"/>
      <c r="JJ187" s="10"/>
      <c r="JK187" s="10"/>
      <c r="JL187" s="10"/>
      <c r="JM187" s="10"/>
      <c r="JN187" s="10"/>
      <c r="JO187" s="10"/>
      <c r="JP187" s="10"/>
      <c r="JQ187" s="10"/>
      <c r="JR187" s="10"/>
      <c r="JS187" s="10"/>
      <c r="JT187" s="10"/>
      <c r="JU187" s="10"/>
      <c r="JV187" s="10"/>
      <c r="JW187" s="10"/>
      <c r="JX187" s="10"/>
      <c r="JY187" s="10"/>
      <c r="JZ187" s="10"/>
      <c r="KA187" s="10"/>
      <c r="KB187" s="10"/>
      <c r="KC187" s="10"/>
      <c r="KD187" s="10"/>
      <c r="KE187" s="10"/>
      <c r="KF187" s="10"/>
      <c r="KG187" s="10"/>
      <c r="KH187" s="10"/>
      <c r="KI187" s="10"/>
      <c r="KJ187" s="10"/>
      <c r="KK187" s="10"/>
      <c r="KL187" s="10"/>
      <c r="KM187" s="10"/>
      <c r="KN187" s="10"/>
      <c r="KO187" s="10"/>
      <c r="KP187" s="10"/>
      <c r="KQ187" s="10"/>
      <c r="KR187" s="10"/>
      <c r="KS187" s="10"/>
      <c r="KT187" s="10"/>
      <c r="KU187" s="10"/>
      <c r="KV187" s="10"/>
      <c r="KW187" s="10"/>
      <c r="KX187" s="10"/>
      <c r="KY187" s="10"/>
      <c r="KZ187" s="10"/>
      <c r="LA187" s="10"/>
      <c r="LB187" s="10"/>
      <c r="LC187" s="10"/>
      <c r="LD187" s="10"/>
      <c r="LE187" s="10"/>
      <c r="LF187" s="10"/>
      <c r="LG187" s="10"/>
      <c r="LH187" s="10"/>
      <c r="LI187" s="10"/>
      <c r="LJ187" s="10"/>
      <c r="LK187" s="10"/>
      <c r="LL187" s="10"/>
      <c r="LM187" s="10"/>
      <c r="LN187" s="10"/>
      <c r="LO187" s="10"/>
      <c r="LP187" s="10"/>
      <c r="LQ187" s="10"/>
      <c r="LR187" s="10"/>
      <c r="LS187" s="10"/>
      <c r="LT187" s="10"/>
      <c r="LU187" s="10"/>
      <c r="LV187" s="10"/>
      <c r="LW187" s="10"/>
      <c r="LX187" s="10"/>
      <c r="LY187" s="10"/>
      <c r="LZ187" s="10"/>
      <c r="MA187" s="10"/>
      <c r="MB187" s="10"/>
      <c r="MC187" s="10"/>
      <c r="MD187" s="10"/>
      <c r="ME187" s="10"/>
      <c r="MF187" s="10"/>
      <c r="MG187" s="10"/>
      <c r="MH187" s="10"/>
      <c r="MI187" s="10"/>
      <c r="MJ187" s="10"/>
      <c r="MK187" s="10"/>
      <c r="ML187" s="10"/>
      <c r="MM187" s="10"/>
      <c r="MN187" s="10"/>
      <c r="MO187" s="10"/>
      <c r="MP187" s="10"/>
      <c r="MQ187" s="10"/>
      <c r="MR187" s="10"/>
      <c r="MS187" s="10"/>
      <c r="MT187" s="10"/>
      <c r="MU187" s="10"/>
      <c r="MV187" s="10"/>
      <c r="MW187" s="10"/>
      <c r="MX187" s="10"/>
      <c r="MY187" s="10"/>
      <c r="MZ187" s="10"/>
      <c r="NA187" s="10"/>
      <c r="NB187" s="10"/>
      <c r="NC187" s="10"/>
      <c r="ND187" s="10"/>
    </row>
    <row r="188" ht="24.75" customHeight="1">
      <c r="A188" s="8">
        <v>45834.08521821759</v>
      </c>
      <c r="B188" s="9" t="s">
        <v>368</v>
      </c>
      <c r="C188" s="9" t="s">
        <v>947</v>
      </c>
      <c r="D188" s="9" t="s">
        <v>947</v>
      </c>
      <c r="G188" s="9" t="s">
        <v>422</v>
      </c>
      <c r="H188" s="9" t="s">
        <v>423</v>
      </c>
      <c r="I188" s="9" t="s">
        <v>424</v>
      </c>
      <c r="J188" s="9" t="s">
        <v>718</v>
      </c>
      <c r="K188" s="9" t="s">
        <v>376</v>
      </c>
      <c r="L188" s="9" t="s">
        <v>379</v>
      </c>
      <c r="M188" s="9" t="s">
        <v>4213</v>
      </c>
      <c r="N188" s="9" t="s">
        <v>793</v>
      </c>
      <c r="O188" s="9" t="s">
        <v>380</v>
      </c>
      <c r="P188" s="9" t="s">
        <v>498</v>
      </c>
      <c r="Q188" s="9" t="s">
        <v>499</v>
      </c>
      <c r="R188" s="9" t="s">
        <v>949</v>
      </c>
      <c r="S188" s="9" t="s">
        <v>384</v>
      </c>
      <c r="T188" s="9" t="s">
        <v>385</v>
      </c>
      <c r="W188" s="9" t="s">
        <v>386</v>
      </c>
      <c r="X188" s="9" t="s">
        <v>387</v>
      </c>
      <c r="Y188" s="9" t="s">
        <v>388</v>
      </c>
      <c r="Z188" s="9" t="s">
        <v>543</v>
      </c>
      <c r="AA188" s="9" t="s">
        <v>408</v>
      </c>
      <c r="AV188" s="9" t="s">
        <v>1310</v>
      </c>
      <c r="AW188" s="9" t="s">
        <v>391</v>
      </c>
      <c r="AX188" s="9">
        <v>2.0</v>
      </c>
      <c r="AY188" s="9">
        <v>2.0</v>
      </c>
      <c r="AZ188" s="9" t="s">
        <v>429</v>
      </c>
      <c r="BA188" s="9" t="s">
        <v>429</v>
      </c>
      <c r="BB188" s="9">
        <v>4.0</v>
      </c>
      <c r="BC188" s="9" t="s">
        <v>4214</v>
      </c>
      <c r="BD188" s="9" t="s">
        <v>4215</v>
      </c>
      <c r="BE188" s="9" t="s">
        <v>392</v>
      </c>
      <c r="BF188" s="9" t="s">
        <v>1047</v>
      </c>
      <c r="BG188" s="9" t="s">
        <v>434</v>
      </c>
      <c r="BI188" s="9" t="s">
        <v>435</v>
      </c>
      <c r="BJ188" s="9" t="s">
        <v>4216</v>
      </c>
      <c r="BK188" s="9" t="s">
        <v>437</v>
      </c>
      <c r="BL188" s="9" t="s">
        <v>438</v>
      </c>
      <c r="BM188" s="9" t="s">
        <v>1276</v>
      </c>
      <c r="BN188" s="9" t="s">
        <v>513</v>
      </c>
      <c r="CL188" s="9" t="s">
        <v>953</v>
      </c>
      <c r="CM188" s="9" t="s">
        <v>401</v>
      </c>
      <c r="CN188" s="9" t="s">
        <v>4217</v>
      </c>
      <c r="CO188" s="9" t="s">
        <v>552</v>
      </c>
      <c r="CP188" s="9" t="s">
        <v>685</v>
      </c>
      <c r="CQ188" s="9" t="s">
        <v>4218</v>
      </c>
      <c r="CR188" s="9" t="s">
        <v>804</v>
      </c>
      <c r="CS188" s="9" t="s">
        <v>4219</v>
      </c>
      <c r="CT188" s="9" t="s">
        <v>4220</v>
      </c>
      <c r="CU188" s="9" t="s">
        <v>1852</v>
      </c>
      <c r="CV188" s="9" t="s">
        <v>959</v>
      </c>
      <c r="CX188" s="9" t="s">
        <v>408</v>
      </c>
      <c r="CZ188" s="9" t="s">
        <v>1398</v>
      </c>
      <c r="DA188" s="9" t="s">
        <v>4221</v>
      </c>
      <c r="DB188" s="9" t="s">
        <v>408</v>
      </c>
      <c r="DD188" s="9" t="s">
        <v>988</v>
      </c>
      <c r="DH188" s="9" t="s">
        <v>833</v>
      </c>
      <c r="DI188" s="9" t="s">
        <v>459</v>
      </c>
      <c r="DJ188" s="9" t="s">
        <v>613</v>
      </c>
      <c r="ET188" s="9" t="s">
        <v>478</v>
      </c>
      <c r="EU188" s="9" t="s">
        <v>579</v>
      </c>
      <c r="EV188" s="9" t="s">
        <v>480</v>
      </c>
      <c r="EX188" s="9" t="s">
        <v>4222</v>
      </c>
      <c r="EY188" s="9" t="s">
        <v>4223</v>
      </c>
      <c r="EZ188" s="9" t="s">
        <v>583</v>
      </c>
      <c r="FA188" s="9" t="s">
        <v>583</v>
      </c>
      <c r="FB188" s="9" t="s">
        <v>413</v>
      </c>
      <c r="FC188" s="9" t="s">
        <v>414</v>
      </c>
      <c r="FD188" s="9" t="s">
        <v>413</v>
      </c>
      <c r="FE188" s="9" t="s">
        <v>583</v>
      </c>
      <c r="FF188" s="9" t="s">
        <v>414</v>
      </c>
      <c r="FG188" s="9" t="s">
        <v>414</v>
      </c>
      <c r="FH188" s="9" t="s">
        <v>416</v>
      </c>
      <c r="FI188" s="9" t="s">
        <v>413</v>
      </c>
      <c r="FJ188" s="9" t="s">
        <v>583</v>
      </c>
      <c r="FK188" s="9" t="s">
        <v>415</v>
      </c>
      <c r="FL188" s="9" t="s">
        <v>415</v>
      </c>
      <c r="FM188" s="9" t="s">
        <v>415</v>
      </c>
      <c r="FN188" s="9" t="s">
        <v>415</v>
      </c>
      <c r="FO188" s="9" t="s">
        <v>1537</v>
      </c>
      <c r="FP188" s="9" t="s">
        <v>418</v>
      </c>
      <c r="FQ188" s="9" t="s">
        <v>419</v>
      </c>
      <c r="FR188" s="9" t="s">
        <v>4224</v>
      </c>
      <c r="FS188" s="9" t="s">
        <v>1076</v>
      </c>
      <c r="FT188" s="9" t="s">
        <v>488</v>
      </c>
      <c r="FU188" s="9" t="s">
        <v>1235</v>
      </c>
      <c r="FV188" s="9" t="s">
        <v>1101</v>
      </c>
      <c r="FW188" s="9" t="s">
        <v>1853</v>
      </c>
      <c r="FX188" s="9" t="s">
        <v>4225</v>
      </c>
      <c r="FY188" s="9" t="s">
        <v>1854</v>
      </c>
      <c r="FZ188" s="9" t="s">
        <v>4226</v>
      </c>
      <c r="GB188" s="9" t="s">
        <v>455</v>
      </c>
      <c r="GC188" s="9"/>
      <c r="GE188" s="9" t="s">
        <v>753</v>
      </c>
      <c r="GF188" s="9" t="s">
        <v>4227</v>
      </c>
      <c r="GG188" s="9" t="s">
        <v>755</v>
      </c>
      <c r="GH188" s="9" t="s">
        <v>755</v>
      </c>
      <c r="GI188" s="9" t="s">
        <v>817</v>
      </c>
      <c r="GQ188" s="9" t="s">
        <v>3208</v>
      </c>
      <c r="GR188" s="10"/>
      <c r="GS188" s="10"/>
      <c r="GT188" s="10"/>
      <c r="GU188" s="10"/>
      <c r="GV188" s="10"/>
      <c r="GW188" s="10"/>
      <c r="GX188" s="10"/>
      <c r="GY188" s="10"/>
      <c r="GZ188" s="10"/>
      <c r="HA188" s="10"/>
      <c r="HB188" s="10"/>
      <c r="HC188" s="10"/>
      <c r="HD188" s="10"/>
      <c r="HE188" s="10"/>
      <c r="HF188" s="10"/>
      <c r="HG188" s="10"/>
      <c r="HH188" s="10"/>
      <c r="HI188" s="10"/>
      <c r="HJ188" s="10"/>
      <c r="HK188" s="10"/>
      <c r="HL188" s="10"/>
      <c r="HM188" s="10"/>
      <c r="HN188" s="10"/>
      <c r="HO188" s="10"/>
      <c r="HP188" s="10"/>
      <c r="HQ188" s="10"/>
      <c r="HR188" s="10"/>
      <c r="HS188" s="10"/>
      <c r="HT188" s="10"/>
      <c r="HU188" s="10"/>
      <c r="HV188" s="10"/>
      <c r="HW188" s="10"/>
      <c r="HX188" s="10"/>
      <c r="HY188" s="10"/>
      <c r="HZ188" s="10"/>
      <c r="IA188" s="10"/>
      <c r="IB188" s="10"/>
      <c r="IC188" s="10"/>
      <c r="ID188" s="10"/>
      <c r="IE188" s="10"/>
      <c r="IF188" s="10"/>
      <c r="IG188" s="10"/>
      <c r="IH188" s="10"/>
      <c r="II188" s="10"/>
      <c r="IJ188" s="10"/>
      <c r="IK188" s="10"/>
      <c r="IL188" s="10"/>
      <c r="IM188" s="10"/>
      <c r="IN188" s="10"/>
      <c r="IO188" s="10"/>
      <c r="IP188" s="10"/>
      <c r="IQ188" s="10"/>
      <c r="IR188" s="10"/>
      <c r="IS188" s="10"/>
      <c r="IT188" s="10"/>
      <c r="IU188" s="10"/>
      <c r="IV188" s="10"/>
      <c r="IW188" s="10"/>
      <c r="IX188" s="10"/>
      <c r="IY188" s="10"/>
      <c r="IZ188" s="10"/>
      <c r="JA188" s="10"/>
      <c r="JB188" s="10"/>
      <c r="JC188" s="10"/>
      <c r="JD188" s="10"/>
      <c r="JE188" s="10"/>
      <c r="JF188" s="10"/>
      <c r="JG188" s="10"/>
      <c r="JH188" s="10"/>
      <c r="JI188" s="10"/>
      <c r="JJ188" s="10"/>
      <c r="JK188" s="10"/>
      <c r="JL188" s="10"/>
      <c r="JM188" s="10"/>
      <c r="JN188" s="10"/>
      <c r="JO188" s="10"/>
      <c r="JP188" s="10"/>
      <c r="JQ188" s="10"/>
      <c r="JR188" s="10"/>
      <c r="JS188" s="10"/>
      <c r="JT188" s="10"/>
      <c r="JU188" s="10"/>
      <c r="JV188" s="10"/>
      <c r="JW188" s="10"/>
      <c r="JX188" s="10"/>
      <c r="JY188" s="10"/>
      <c r="JZ188" s="10"/>
      <c r="KA188" s="10"/>
      <c r="KB188" s="10"/>
      <c r="KC188" s="10"/>
      <c r="KD188" s="10"/>
      <c r="KE188" s="10"/>
      <c r="KF188" s="10"/>
      <c r="KG188" s="10"/>
      <c r="KH188" s="10"/>
      <c r="KI188" s="10"/>
      <c r="KJ188" s="10"/>
      <c r="KK188" s="10"/>
      <c r="KL188" s="10"/>
      <c r="KM188" s="10"/>
      <c r="KN188" s="10"/>
      <c r="KO188" s="10"/>
      <c r="KP188" s="10"/>
      <c r="KQ188" s="10"/>
      <c r="KR188" s="10"/>
      <c r="KS188" s="10"/>
      <c r="KT188" s="10"/>
      <c r="KU188" s="10"/>
      <c r="KV188" s="10"/>
      <c r="KW188" s="10"/>
      <c r="KX188" s="10"/>
      <c r="KY188" s="10"/>
      <c r="KZ188" s="10"/>
      <c r="LA188" s="10"/>
      <c r="LB188" s="10"/>
      <c r="LC188" s="10"/>
      <c r="LD188" s="10"/>
      <c r="LE188" s="10"/>
      <c r="LF188" s="10"/>
      <c r="LG188" s="10"/>
      <c r="LH188" s="10"/>
      <c r="LI188" s="10"/>
      <c r="LJ188" s="10"/>
      <c r="LK188" s="10"/>
      <c r="LL188" s="10"/>
      <c r="LM188" s="10"/>
      <c r="LN188" s="10"/>
      <c r="LO188" s="10"/>
      <c r="LP188" s="10"/>
      <c r="LQ188" s="10"/>
      <c r="LR188" s="10"/>
      <c r="LS188" s="10"/>
      <c r="LT188" s="10"/>
      <c r="LU188" s="10"/>
      <c r="LV188" s="10"/>
      <c r="LW188" s="10"/>
      <c r="LX188" s="10"/>
      <c r="LY188" s="10"/>
      <c r="LZ188" s="10"/>
      <c r="MA188" s="10"/>
      <c r="MB188" s="10"/>
      <c r="MC188" s="10"/>
      <c r="MD188" s="10"/>
      <c r="ME188" s="10"/>
      <c r="MF188" s="10"/>
      <c r="MG188" s="10"/>
      <c r="MH188" s="10"/>
      <c r="MI188" s="10"/>
      <c r="MJ188" s="10"/>
      <c r="MK188" s="10"/>
      <c r="ML188" s="10"/>
      <c r="MM188" s="10"/>
      <c r="MN188" s="10"/>
      <c r="MO188" s="10"/>
      <c r="MP188" s="10"/>
      <c r="MQ188" s="10"/>
      <c r="MR188" s="10"/>
      <c r="MS188" s="10"/>
      <c r="MT188" s="10"/>
      <c r="MU188" s="10"/>
      <c r="MV188" s="10"/>
      <c r="MW188" s="10"/>
      <c r="MX188" s="10"/>
      <c r="MY188" s="10"/>
      <c r="MZ188" s="10"/>
      <c r="NA188" s="10"/>
      <c r="NB188" s="10"/>
      <c r="NC188" s="10"/>
      <c r="ND188" s="10"/>
    </row>
    <row r="189" ht="24.75" customHeight="1">
      <c r="A189" s="8">
        <v>45834.09703479167</v>
      </c>
      <c r="B189" s="9" t="s">
        <v>368</v>
      </c>
      <c r="C189" s="9" t="s">
        <v>538</v>
      </c>
      <c r="D189" s="9" t="s">
        <v>538</v>
      </c>
      <c r="G189" s="9" t="s">
        <v>422</v>
      </c>
      <c r="H189" s="9" t="s">
        <v>1921</v>
      </c>
      <c r="I189" s="9" t="s">
        <v>668</v>
      </c>
      <c r="J189" s="9" t="s">
        <v>718</v>
      </c>
      <c r="K189" s="9" t="s">
        <v>376</v>
      </c>
      <c r="L189" s="9" t="s">
        <v>379</v>
      </c>
      <c r="M189" s="9" t="s">
        <v>378</v>
      </c>
      <c r="N189" s="9" t="s">
        <v>379</v>
      </c>
      <c r="O189" s="9" t="s">
        <v>4228</v>
      </c>
      <c r="P189" s="9" t="s">
        <v>498</v>
      </c>
      <c r="Q189" s="9" t="s">
        <v>499</v>
      </c>
      <c r="R189" s="9" t="s">
        <v>427</v>
      </c>
      <c r="S189" s="9" t="s">
        <v>384</v>
      </c>
      <c r="T189" s="9" t="s">
        <v>385</v>
      </c>
      <c r="W189" s="9" t="s">
        <v>3014</v>
      </c>
      <c r="AV189" s="9" t="s">
        <v>390</v>
      </c>
      <c r="AW189" s="9">
        <v>2.0</v>
      </c>
      <c r="AX189" s="9">
        <v>2.0</v>
      </c>
      <c r="AY189" s="9">
        <v>4.0</v>
      </c>
      <c r="AZ189" s="9" t="s">
        <v>391</v>
      </c>
      <c r="BA189" s="9">
        <v>2.0</v>
      </c>
      <c r="BB189" s="9" t="s">
        <v>391</v>
      </c>
      <c r="BC189" s="9" t="s">
        <v>4229</v>
      </c>
      <c r="BD189" s="9" t="s">
        <v>4230</v>
      </c>
      <c r="BE189" s="9" t="s">
        <v>392</v>
      </c>
      <c r="BF189" s="9" t="s">
        <v>433</v>
      </c>
      <c r="BG189" s="9" t="s">
        <v>725</v>
      </c>
      <c r="BI189" s="9" t="s">
        <v>976</v>
      </c>
      <c r="BK189" s="9" t="s">
        <v>511</v>
      </c>
      <c r="BL189" s="9" t="s">
        <v>603</v>
      </c>
      <c r="BM189" s="9" t="s">
        <v>549</v>
      </c>
      <c r="BN189" s="9" t="s">
        <v>513</v>
      </c>
      <c r="CL189" s="9" t="s">
        <v>441</v>
      </c>
      <c r="CM189" s="9" t="s">
        <v>401</v>
      </c>
      <c r="CN189" s="9" t="s">
        <v>4231</v>
      </c>
      <c r="CO189" s="9" t="s">
        <v>4232</v>
      </c>
      <c r="CP189" s="9" t="s">
        <v>979</v>
      </c>
      <c r="CQ189" s="9" t="s">
        <v>3090</v>
      </c>
      <c r="CR189" s="9" t="s">
        <v>404</v>
      </c>
      <c r="CS189" s="9" t="s">
        <v>1032</v>
      </c>
      <c r="CT189" s="9" t="s">
        <v>4233</v>
      </c>
      <c r="CU189" s="9" t="s">
        <v>450</v>
      </c>
      <c r="CV189" s="9" t="s">
        <v>451</v>
      </c>
      <c r="CW189" s="9" t="s">
        <v>4234</v>
      </c>
      <c r="CX189" s="9" t="s">
        <v>408</v>
      </c>
      <c r="CZ189" s="9" t="s">
        <v>453</v>
      </c>
      <c r="DA189" s="9" t="s">
        <v>4235</v>
      </c>
      <c r="DB189" s="9" t="s">
        <v>455</v>
      </c>
      <c r="DC189" s="9" t="s">
        <v>4236</v>
      </c>
      <c r="DD189" s="9" t="s">
        <v>406</v>
      </c>
      <c r="DE189" s="9" t="s">
        <v>407</v>
      </c>
      <c r="DF189" s="9" t="s">
        <v>4237</v>
      </c>
      <c r="DG189" s="9" t="s">
        <v>561</v>
      </c>
      <c r="DH189" s="9" t="s">
        <v>410</v>
      </c>
      <c r="DI189" s="9" t="s">
        <v>459</v>
      </c>
      <c r="DJ189" s="9" t="s">
        <v>460</v>
      </c>
      <c r="DK189" s="9" t="s">
        <v>461</v>
      </c>
      <c r="ET189" s="9" t="s">
        <v>578</v>
      </c>
      <c r="EU189" s="9" t="s">
        <v>579</v>
      </c>
      <c r="EV189" s="9" t="s">
        <v>1262</v>
      </c>
      <c r="EX189" s="9" t="s">
        <v>4238</v>
      </c>
      <c r="EY189" s="9" t="s">
        <v>4239</v>
      </c>
      <c r="EZ189" s="9" t="s">
        <v>414</v>
      </c>
      <c r="FA189" s="9" t="s">
        <v>414</v>
      </c>
      <c r="FB189" s="9" t="s">
        <v>413</v>
      </c>
      <c r="FC189" s="9" t="s">
        <v>416</v>
      </c>
      <c r="FD189" s="9" t="s">
        <v>413</v>
      </c>
      <c r="FE189" s="9" t="s">
        <v>414</v>
      </c>
      <c r="FF189" s="9" t="s">
        <v>416</v>
      </c>
      <c r="FG189" s="9" t="s">
        <v>413</v>
      </c>
      <c r="FH189" s="9" t="s">
        <v>414</v>
      </c>
      <c r="FI189" s="9" t="s">
        <v>416</v>
      </c>
      <c r="FJ189" s="9" t="s">
        <v>415</v>
      </c>
      <c r="FK189" s="9" t="s">
        <v>413</v>
      </c>
      <c r="FM189" s="9" t="s">
        <v>413</v>
      </c>
      <c r="FN189" s="9" t="s">
        <v>414</v>
      </c>
      <c r="FO189" s="9" t="s">
        <v>1074</v>
      </c>
      <c r="FP189" s="9" t="s">
        <v>418</v>
      </c>
      <c r="FQ189" s="9" t="s">
        <v>1039</v>
      </c>
      <c r="FR189" s="9" t="s">
        <v>4240</v>
      </c>
      <c r="FS189" s="9" t="s">
        <v>1189</v>
      </c>
      <c r="FT189" s="9" t="s">
        <v>488</v>
      </c>
      <c r="FU189" s="9" t="s">
        <v>1235</v>
      </c>
      <c r="FV189" s="9" t="s">
        <v>490</v>
      </c>
      <c r="FW189" s="9" t="s">
        <v>491</v>
      </c>
      <c r="FX189" s="9" t="s">
        <v>4241</v>
      </c>
      <c r="FY189" s="9" t="s">
        <v>493</v>
      </c>
      <c r="GB189" s="9" t="s">
        <v>408</v>
      </c>
      <c r="GG189" s="9" t="s">
        <v>755</v>
      </c>
      <c r="GH189" s="9" t="s">
        <v>755</v>
      </c>
      <c r="GI189" s="9" t="s">
        <v>946</v>
      </c>
      <c r="GN189" s="9" t="s">
        <v>3012</v>
      </c>
      <c r="GO189" s="9" t="s">
        <v>3012</v>
      </c>
      <c r="GQ189" s="9" t="s">
        <v>4242</v>
      </c>
      <c r="GR189" s="10"/>
      <c r="GS189" s="10"/>
      <c r="GT189" s="10"/>
      <c r="GU189" s="10"/>
      <c r="GV189" s="10"/>
      <c r="GW189" s="10"/>
      <c r="GX189" s="10"/>
      <c r="GY189" s="10"/>
      <c r="GZ189" s="10"/>
      <c r="HA189" s="10"/>
      <c r="HB189" s="10"/>
      <c r="HC189" s="10"/>
      <c r="HD189" s="10"/>
      <c r="HE189" s="10"/>
      <c r="HF189" s="10"/>
      <c r="HG189" s="10"/>
      <c r="HH189" s="10"/>
      <c r="HI189" s="10"/>
      <c r="HJ189" s="10"/>
      <c r="HK189" s="10"/>
      <c r="HL189" s="10"/>
      <c r="HM189" s="10"/>
      <c r="HN189" s="10"/>
      <c r="HO189" s="10"/>
      <c r="HP189" s="10"/>
      <c r="HQ189" s="10"/>
      <c r="HR189" s="10"/>
      <c r="HS189" s="10"/>
      <c r="HT189" s="10"/>
      <c r="HU189" s="10"/>
      <c r="HV189" s="10"/>
      <c r="HW189" s="10"/>
      <c r="HX189" s="10"/>
      <c r="HY189" s="10"/>
      <c r="HZ189" s="10"/>
      <c r="IA189" s="10"/>
      <c r="IB189" s="10"/>
      <c r="IC189" s="10"/>
      <c r="ID189" s="10"/>
      <c r="IE189" s="10"/>
      <c r="IF189" s="10"/>
      <c r="IG189" s="10"/>
      <c r="IH189" s="10"/>
      <c r="II189" s="10"/>
      <c r="IJ189" s="10"/>
      <c r="IK189" s="10"/>
      <c r="IL189" s="10"/>
      <c r="IM189" s="10"/>
      <c r="IN189" s="10"/>
      <c r="IO189" s="10"/>
      <c r="IP189" s="10"/>
      <c r="IQ189" s="10"/>
      <c r="IR189" s="10"/>
      <c r="IS189" s="10"/>
      <c r="IT189" s="10"/>
      <c r="IU189" s="10"/>
      <c r="IV189" s="10"/>
      <c r="IW189" s="10"/>
      <c r="IX189" s="10"/>
      <c r="IY189" s="10"/>
      <c r="IZ189" s="10"/>
      <c r="JA189" s="10"/>
      <c r="JB189" s="10"/>
      <c r="JC189" s="10"/>
      <c r="JD189" s="10"/>
      <c r="JE189" s="10"/>
      <c r="JF189" s="10"/>
      <c r="JG189" s="10"/>
      <c r="JH189" s="10"/>
      <c r="JI189" s="10"/>
      <c r="JJ189" s="10"/>
      <c r="JK189" s="10"/>
      <c r="JL189" s="10"/>
      <c r="JM189" s="10"/>
      <c r="JN189" s="10"/>
      <c r="JO189" s="10"/>
      <c r="JP189" s="10"/>
      <c r="JQ189" s="10"/>
      <c r="JR189" s="10"/>
      <c r="JS189" s="10"/>
      <c r="JT189" s="10"/>
      <c r="JU189" s="10"/>
      <c r="JV189" s="10"/>
      <c r="JW189" s="10"/>
      <c r="JX189" s="10"/>
      <c r="JY189" s="10"/>
      <c r="JZ189" s="10"/>
      <c r="KA189" s="10"/>
      <c r="KB189" s="10"/>
      <c r="KC189" s="10"/>
      <c r="KD189" s="10"/>
      <c r="KE189" s="10"/>
      <c r="KF189" s="10"/>
      <c r="KG189" s="10"/>
      <c r="KH189" s="10"/>
      <c r="KI189" s="10"/>
      <c r="KJ189" s="10"/>
      <c r="KK189" s="10"/>
      <c r="KL189" s="10"/>
      <c r="KM189" s="10"/>
      <c r="KN189" s="10"/>
      <c r="KO189" s="10"/>
      <c r="KP189" s="10"/>
      <c r="KQ189" s="10"/>
      <c r="KR189" s="10"/>
      <c r="KS189" s="10"/>
      <c r="KT189" s="10"/>
      <c r="KU189" s="10"/>
      <c r="KV189" s="10"/>
      <c r="KW189" s="10"/>
      <c r="KX189" s="10"/>
      <c r="KY189" s="10"/>
      <c r="KZ189" s="10"/>
      <c r="LA189" s="10"/>
      <c r="LB189" s="10"/>
      <c r="LC189" s="10"/>
      <c r="LD189" s="10"/>
      <c r="LE189" s="10"/>
      <c r="LF189" s="10"/>
      <c r="LG189" s="10"/>
      <c r="LH189" s="10"/>
      <c r="LI189" s="10"/>
      <c r="LJ189" s="10"/>
      <c r="LK189" s="10"/>
      <c r="LL189" s="10"/>
      <c r="LM189" s="10"/>
      <c r="LN189" s="10"/>
      <c r="LO189" s="10"/>
      <c r="LP189" s="10"/>
      <c r="LQ189" s="10"/>
      <c r="LR189" s="10"/>
      <c r="LS189" s="10"/>
      <c r="LT189" s="10"/>
      <c r="LU189" s="10"/>
      <c r="LV189" s="10"/>
      <c r="LW189" s="10"/>
      <c r="LX189" s="10"/>
      <c r="LY189" s="10"/>
      <c r="LZ189" s="10"/>
      <c r="MA189" s="10"/>
      <c r="MB189" s="10"/>
      <c r="MC189" s="10"/>
      <c r="MD189" s="10"/>
      <c r="ME189" s="10"/>
      <c r="MF189" s="10"/>
      <c r="MG189" s="10"/>
      <c r="MH189" s="10"/>
      <c r="MI189" s="10"/>
      <c r="MJ189" s="10"/>
      <c r="MK189" s="10"/>
      <c r="ML189" s="10"/>
      <c r="MM189" s="10"/>
      <c r="MN189" s="10"/>
      <c r="MO189" s="10"/>
      <c r="MP189" s="10"/>
      <c r="MQ189" s="10"/>
      <c r="MR189" s="10"/>
      <c r="MS189" s="10"/>
      <c r="MT189" s="10"/>
      <c r="MU189" s="10"/>
      <c r="MV189" s="10"/>
      <c r="MW189" s="10"/>
      <c r="MX189" s="10"/>
      <c r="MY189" s="10"/>
      <c r="MZ189" s="10"/>
      <c r="NA189" s="10"/>
      <c r="NB189" s="10"/>
      <c r="NC189" s="10"/>
      <c r="ND189" s="10"/>
    </row>
    <row r="190" ht="24.75" customHeight="1">
      <c r="A190" s="8">
        <v>45834.140873842596</v>
      </c>
      <c r="B190" s="9" t="s">
        <v>368</v>
      </c>
      <c r="C190" s="9" t="s">
        <v>370</v>
      </c>
      <c r="E190" s="9" t="s">
        <v>2359</v>
      </c>
      <c r="G190" s="9" t="s">
        <v>422</v>
      </c>
      <c r="H190" s="9" t="s">
        <v>496</v>
      </c>
      <c r="I190" s="9" t="s">
        <v>424</v>
      </c>
      <c r="J190" s="9" t="s">
        <v>375</v>
      </c>
      <c r="K190" s="9" t="s">
        <v>376</v>
      </c>
      <c r="L190" s="9" t="s">
        <v>426</v>
      </c>
      <c r="M190" s="9" t="s">
        <v>378</v>
      </c>
      <c r="N190" s="9" t="s">
        <v>591</v>
      </c>
      <c r="O190" s="9" t="s">
        <v>719</v>
      </c>
      <c r="P190" s="9" t="s">
        <v>498</v>
      </c>
      <c r="Q190" s="9" t="s">
        <v>382</v>
      </c>
      <c r="R190" s="9" t="s">
        <v>427</v>
      </c>
      <c r="S190" s="9" t="s">
        <v>384</v>
      </c>
      <c r="T190" s="9" t="s">
        <v>385</v>
      </c>
      <c r="W190" s="9" t="s">
        <v>3014</v>
      </c>
      <c r="AV190" s="9" t="s">
        <v>1242</v>
      </c>
      <c r="AW190" s="9" t="s">
        <v>675</v>
      </c>
      <c r="AX190" s="9" t="s">
        <v>675</v>
      </c>
      <c r="AY190" s="9" t="s">
        <v>675</v>
      </c>
      <c r="AZ190" s="9">
        <v>4.0</v>
      </c>
      <c r="BA190" s="9" t="s">
        <v>675</v>
      </c>
      <c r="BB190" s="9" t="s">
        <v>675</v>
      </c>
      <c r="BC190" s="9" t="s">
        <v>4243</v>
      </c>
      <c r="BD190" s="9" t="s">
        <v>2991</v>
      </c>
      <c r="BE190" s="9" t="s">
        <v>1094</v>
      </c>
      <c r="BF190" s="9" t="s">
        <v>1095</v>
      </c>
      <c r="BG190" s="9" t="s">
        <v>725</v>
      </c>
      <c r="BI190" s="9" t="s">
        <v>976</v>
      </c>
      <c r="BK190" s="9" t="s">
        <v>437</v>
      </c>
      <c r="BL190" s="9" t="s">
        <v>904</v>
      </c>
      <c r="BM190" s="9" t="s">
        <v>1314</v>
      </c>
      <c r="BN190" s="9" t="s">
        <v>398</v>
      </c>
      <c r="BO190" s="9" t="s">
        <v>4244</v>
      </c>
      <c r="BP190" s="9" t="s">
        <v>4245</v>
      </c>
      <c r="BQ190" s="9" t="s">
        <v>442</v>
      </c>
      <c r="BR190" s="9" t="s">
        <v>4246</v>
      </c>
      <c r="BS190" s="9" t="s">
        <v>1671</v>
      </c>
      <c r="BT190" s="9" t="s">
        <v>404</v>
      </c>
      <c r="BU190" s="9" t="s">
        <v>405</v>
      </c>
      <c r="BW190" s="9" t="s">
        <v>988</v>
      </c>
      <c r="BY190" s="9" t="s">
        <v>408</v>
      </c>
      <c r="CA190" s="9" t="s">
        <v>4247</v>
      </c>
      <c r="CB190" s="9" t="s">
        <v>4248</v>
      </c>
      <c r="CC190" s="9" t="s">
        <v>4249</v>
      </c>
      <c r="CD190" s="9" t="s">
        <v>409</v>
      </c>
      <c r="CE190" s="9" t="s">
        <v>4250</v>
      </c>
      <c r="CF190" s="9" t="s">
        <v>1258</v>
      </c>
      <c r="CH190" s="9" t="s">
        <v>1259</v>
      </c>
      <c r="CI190" s="9" t="s">
        <v>410</v>
      </c>
      <c r="CJ190" s="9" t="s">
        <v>4251</v>
      </c>
      <c r="CK190" s="9" t="s">
        <v>4252</v>
      </c>
      <c r="ET190" s="9" t="s">
        <v>526</v>
      </c>
      <c r="EU190" s="9" t="s">
        <v>479</v>
      </c>
      <c r="EV190" s="9" t="s">
        <v>1262</v>
      </c>
      <c r="EX190" s="9" t="s">
        <v>4253</v>
      </c>
      <c r="EY190" s="9" t="s">
        <v>4254</v>
      </c>
      <c r="EZ190" s="9" t="s">
        <v>414</v>
      </c>
      <c r="FA190" s="9" t="s">
        <v>583</v>
      </c>
      <c r="FB190" s="9" t="s">
        <v>583</v>
      </c>
      <c r="FC190" s="9" t="s">
        <v>583</v>
      </c>
      <c r="FD190" s="9" t="s">
        <v>415</v>
      </c>
      <c r="FE190" s="9" t="s">
        <v>583</v>
      </c>
      <c r="FF190" s="9" t="s">
        <v>583</v>
      </c>
      <c r="FG190" s="9" t="s">
        <v>583</v>
      </c>
      <c r="FH190" s="9" t="s">
        <v>583</v>
      </c>
      <c r="FI190" s="9" t="s">
        <v>583</v>
      </c>
      <c r="FJ190" s="9" t="s">
        <v>583</v>
      </c>
      <c r="FK190" s="9" t="s">
        <v>414</v>
      </c>
      <c r="FL190" s="9" t="s">
        <v>414</v>
      </c>
      <c r="FM190" s="9" t="s">
        <v>413</v>
      </c>
      <c r="FN190" s="9" t="s">
        <v>583</v>
      </c>
      <c r="FO190" s="9" t="s">
        <v>417</v>
      </c>
      <c r="FP190" s="9" t="s">
        <v>418</v>
      </c>
      <c r="FQ190" s="9" t="s">
        <v>749</v>
      </c>
      <c r="FR190" s="9" t="s">
        <v>1775</v>
      </c>
      <c r="FS190" s="9" t="s">
        <v>420</v>
      </c>
      <c r="FT190" s="9" t="s">
        <v>488</v>
      </c>
      <c r="FU190" s="9" t="s">
        <v>489</v>
      </c>
      <c r="FV190" s="9" t="s">
        <v>490</v>
      </c>
      <c r="FW190" s="9" t="s">
        <v>491</v>
      </c>
      <c r="FY190" s="9" t="s">
        <v>535</v>
      </c>
      <c r="FZ190" s="9" t="s">
        <v>4255</v>
      </c>
      <c r="GB190" s="9" t="s">
        <v>408</v>
      </c>
      <c r="GJ190" s="9" t="s">
        <v>920</v>
      </c>
      <c r="GK190" s="9" t="s">
        <v>755</v>
      </c>
      <c r="GL190" s="9" t="s">
        <v>817</v>
      </c>
      <c r="GQ190" s="9" t="s">
        <v>3273</v>
      </c>
      <c r="GR190" s="10"/>
      <c r="GS190" s="10"/>
      <c r="GT190" s="10"/>
      <c r="GU190" s="10"/>
      <c r="GV190" s="10"/>
      <c r="GW190" s="10"/>
      <c r="GX190" s="10"/>
      <c r="GY190" s="10"/>
      <c r="GZ190" s="10"/>
      <c r="HA190" s="10"/>
      <c r="HB190" s="10"/>
      <c r="HC190" s="10"/>
      <c r="HD190" s="10"/>
      <c r="HE190" s="10"/>
      <c r="HF190" s="10"/>
      <c r="HG190" s="10"/>
      <c r="HH190" s="10"/>
      <c r="HI190" s="10"/>
      <c r="HJ190" s="10"/>
      <c r="HK190" s="10"/>
      <c r="HL190" s="10"/>
      <c r="HM190" s="10"/>
      <c r="HN190" s="10"/>
      <c r="HO190" s="10"/>
      <c r="HP190" s="10"/>
      <c r="HQ190" s="10"/>
      <c r="HR190" s="10"/>
      <c r="HS190" s="10"/>
      <c r="HT190" s="10"/>
      <c r="HU190" s="10"/>
      <c r="HV190" s="10"/>
      <c r="HW190" s="10"/>
      <c r="HX190" s="10"/>
      <c r="HY190" s="10"/>
      <c r="HZ190" s="10"/>
      <c r="IA190" s="10"/>
      <c r="IB190" s="10"/>
      <c r="IC190" s="10"/>
      <c r="ID190" s="10"/>
      <c r="IE190" s="10"/>
      <c r="IF190" s="10"/>
      <c r="IG190" s="10"/>
      <c r="IH190" s="10"/>
      <c r="II190" s="10"/>
      <c r="IJ190" s="10"/>
      <c r="IK190" s="10"/>
      <c r="IL190" s="10"/>
      <c r="IM190" s="10"/>
      <c r="IN190" s="10"/>
      <c r="IO190" s="10"/>
      <c r="IP190" s="10"/>
      <c r="IQ190" s="10"/>
      <c r="IR190" s="10"/>
      <c r="IS190" s="10"/>
      <c r="IT190" s="10"/>
      <c r="IU190" s="10"/>
      <c r="IV190" s="10"/>
      <c r="IW190" s="10"/>
      <c r="IX190" s="10"/>
      <c r="IY190" s="10"/>
      <c r="IZ190" s="10"/>
      <c r="JA190" s="10"/>
      <c r="JB190" s="10"/>
      <c r="JC190" s="10"/>
      <c r="JD190" s="10"/>
      <c r="JE190" s="10"/>
      <c r="JF190" s="10"/>
      <c r="JG190" s="10"/>
      <c r="JH190" s="10"/>
      <c r="JI190" s="10"/>
      <c r="JJ190" s="10"/>
      <c r="JK190" s="10"/>
      <c r="JL190" s="10"/>
      <c r="JM190" s="10"/>
      <c r="JN190" s="10"/>
      <c r="JO190" s="10"/>
      <c r="JP190" s="10"/>
      <c r="JQ190" s="10"/>
      <c r="JR190" s="10"/>
      <c r="JS190" s="10"/>
      <c r="JT190" s="10"/>
      <c r="JU190" s="10"/>
      <c r="JV190" s="10"/>
      <c r="JW190" s="10"/>
      <c r="JX190" s="10"/>
      <c r="JY190" s="10"/>
      <c r="JZ190" s="10"/>
      <c r="KA190" s="10"/>
      <c r="KB190" s="10"/>
      <c r="KC190" s="10"/>
      <c r="KD190" s="10"/>
      <c r="KE190" s="10"/>
      <c r="KF190" s="10"/>
      <c r="KG190" s="10"/>
      <c r="KH190" s="10"/>
      <c r="KI190" s="10"/>
      <c r="KJ190" s="10"/>
      <c r="KK190" s="10"/>
      <c r="KL190" s="10"/>
      <c r="KM190" s="10"/>
      <c r="KN190" s="10"/>
      <c r="KO190" s="10"/>
      <c r="KP190" s="10"/>
      <c r="KQ190" s="10"/>
      <c r="KR190" s="10"/>
      <c r="KS190" s="10"/>
      <c r="KT190" s="10"/>
      <c r="KU190" s="10"/>
      <c r="KV190" s="10"/>
      <c r="KW190" s="10"/>
      <c r="KX190" s="10"/>
      <c r="KY190" s="10"/>
      <c r="KZ190" s="10"/>
      <c r="LA190" s="10"/>
      <c r="LB190" s="10"/>
      <c r="LC190" s="10"/>
      <c r="LD190" s="10"/>
      <c r="LE190" s="10"/>
      <c r="LF190" s="10"/>
      <c r="LG190" s="10"/>
      <c r="LH190" s="10"/>
      <c r="LI190" s="10"/>
      <c r="LJ190" s="10"/>
      <c r="LK190" s="10"/>
      <c r="LL190" s="10"/>
      <c r="LM190" s="10"/>
      <c r="LN190" s="10"/>
      <c r="LO190" s="10"/>
      <c r="LP190" s="10"/>
      <c r="LQ190" s="10"/>
      <c r="LR190" s="10"/>
      <c r="LS190" s="10"/>
      <c r="LT190" s="10"/>
      <c r="LU190" s="10"/>
      <c r="LV190" s="10"/>
      <c r="LW190" s="10"/>
      <c r="LX190" s="10"/>
      <c r="LY190" s="10"/>
      <c r="LZ190" s="10"/>
      <c r="MA190" s="10"/>
      <c r="MB190" s="10"/>
      <c r="MC190" s="10"/>
      <c r="MD190" s="10"/>
      <c r="ME190" s="10"/>
      <c r="MF190" s="10"/>
      <c r="MG190" s="10"/>
      <c r="MH190" s="10"/>
      <c r="MI190" s="10"/>
      <c r="MJ190" s="10"/>
      <c r="MK190" s="10"/>
      <c r="ML190" s="10"/>
      <c r="MM190" s="10"/>
      <c r="MN190" s="10"/>
      <c r="MO190" s="10"/>
      <c r="MP190" s="10"/>
      <c r="MQ190" s="10"/>
      <c r="MR190" s="10"/>
      <c r="MS190" s="10"/>
      <c r="MT190" s="10"/>
      <c r="MU190" s="10"/>
      <c r="MV190" s="10"/>
      <c r="MW190" s="10"/>
      <c r="MX190" s="10"/>
      <c r="MY190" s="10"/>
      <c r="MZ190" s="10"/>
      <c r="NA190" s="10"/>
      <c r="NB190" s="10"/>
      <c r="NC190" s="10"/>
      <c r="ND190" s="10"/>
    </row>
    <row r="191" ht="24.75" customHeight="1">
      <c r="A191" s="8">
        <v>45834.45642371528</v>
      </c>
      <c r="B191" s="9" t="s">
        <v>368</v>
      </c>
      <c r="C191" s="9" t="s">
        <v>370</v>
      </c>
      <c r="E191" s="9" t="s">
        <v>667</v>
      </c>
      <c r="G191" s="9" t="s">
        <v>422</v>
      </c>
      <c r="H191" s="9" t="s">
        <v>1203</v>
      </c>
      <c r="I191" s="9" t="s">
        <v>638</v>
      </c>
      <c r="J191" s="9" t="s">
        <v>1204</v>
      </c>
      <c r="K191" s="9" t="s">
        <v>376</v>
      </c>
      <c r="L191" s="9" t="s">
        <v>379</v>
      </c>
      <c r="M191" s="9" t="s">
        <v>720</v>
      </c>
      <c r="N191" s="9" t="s">
        <v>377</v>
      </c>
      <c r="O191" s="9" t="s">
        <v>497</v>
      </c>
      <c r="P191" s="9" t="s">
        <v>381</v>
      </c>
      <c r="Q191" s="9" t="s">
        <v>1156</v>
      </c>
      <c r="R191" s="9" t="s">
        <v>1135</v>
      </c>
      <c r="S191" s="9" t="s">
        <v>384</v>
      </c>
      <c r="T191" s="9" t="s">
        <v>385</v>
      </c>
      <c r="W191" s="9" t="s">
        <v>3014</v>
      </c>
      <c r="AV191" s="9" t="s">
        <v>504</v>
      </c>
      <c r="AW191" s="9" t="s">
        <v>429</v>
      </c>
      <c r="AX191" s="9" t="s">
        <v>429</v>
      </c>
      <c r="AY191" s="9" t="s">
        <v>429</v>
      </c>
      <c r="AZ191" s="9" t="s">
        <v>429</v>
      </c>
      <c r="BA191" s="9" t="s">
        <v>429</v>
      </c>
      <c r="BB191" s="9" t="s">
        <v>429</v>
      </c>
      <c r="BC191" s="9" t="s">
        <v>4256</v>
      </c>
      <c r="BD191" s="9" t="s">
        <v>4257</v>
      </c>
      <c r="BE191" s="9" t="s">
        <v>392</v>
      </c>
      <c r="BF191" s="9" t="s">
        <v>433</v>
      </c>
      <c r="BG191" s="9" t="s">
        <v>765</v>
      </c>
      <c r="BI191" s="9" t="s">
        <v>824</v>
      </c>
      <c r="BK191" s="9" t="s">
        <v>511</v>
      </c>
      <c r="BL191" s="9" t="s">
        <v>396</v>
      </c>
      <c r="BM191" s="9" t="s">
        <v>439</v>
      </c>
      <c r="BN191" s="9" t="s">
        <v>513</v>
      </c>
      <c r="CL191" s="9" t="s">
        <v>550</v>
      </c>
      <c r="CM191" s="9" t="s">
        <v>604</v>
      </c>
      <c r="CN191" s="9" t="s">
        <v>4258</v>
      </c>
      <c r="CO191" s="9" t="s">
        <v>4259</v>
      </c>
      <c r="CP191" s="9" t="s">
        <v>1948</v>
      </c>
      <c r="CQ191" s="9" t="s">
        <v>2383</v>
      </c>
      <c r="CR191" s="9" t="s">
        <v>404</v>
      </c>
      <c r="CS191" s="9" t="s">
        <v>4260</v>
      </c>
      <c r="CT191" s="9" t="s">
        <v>4261</v>
      </c>
      <c r="CU191" s="9" t="s">
        <v>519</v>
      </c>
      <c r="CV191" s="9" t="s">
        <v>451</v>
      </c>
      <c r="CW191" s="9" t="s">
        <v>4262</v>
      </c>
      <c r="CX191" s="9" t="s">
        <v>408</v>
      </c>
      <c r="CZ191" s="9" t="s">
        <v>453</v>
      </c>
      <c r="DA191" s="9" t="s">
        <v>4263</v>
      </c>
      <c r="DB191" s="9" t="s">
        <v>408</v>
      </c>
      <c r="DD191" s="9" t="s">
        <v>988</v>
      </c>
      <c r="DF191" s="9" t="s">
        <v>4264</v>
      </c>
      <c r="DG191" s="9" t="s">
        <v>561</v>
      </c>
      <c r="DH191" s="9" t="s">
        <v>410</v>
      </c>
      <c r="DI191" s="9" t="s">
        <v>459</v>
      </c>
      <c r="DJ191" s="9" t="s">
        <v>562</v>
      </c>
      <c r="DK191" s="9" t="s">
        <v>461</v>
      </c>
      <c r="ET191" s="9" t="s">
        <v>526</v>
      </c>
      <c r="EU191" s="9" t="s">
        <v>887</v>
      </c>
      <c r="EV191" s="9" t="s">
        <v>580</v>
      </c>
      <c r="EX191" s="9" t="s">
        <v>1337</v>
      </c>
      <c r="EY191" s="9" t="s">
        <v>4265</v>
      </c>
      <c r="EZ191" s="9" t="s">
        <v>416</v>
      </c>
      <c r="FA191" s="9" t="s">
        <v>415</v>
      </c>
      <c r="FB191" s="9" t="s">
        <v>413</v>
      </c>
      <c r="FC191" s="9" t="s">
        <v>413</v>
      </c>
      <c r="FD191" s="9" t="s">
        <v>413</v>
      </c>
      <c r="FE191" s="9" t="s">
        <v>414</v>
      </c>
      <c r="FF191" s="9" t="s">
        <v>413</v>
      </c>
      <c r="FG191" s="9" t="s">
        <v>484</v>
      </c>
      <c r="FH191" s="9" t="s">
        <v>484</v>
      </c>
      <c r="FI191" s="9" t="s">
        <v>484</v>
      </c>
      <c r="FJ191" s="9" t="s">
        <v>416</v>
      </c>
      <c r="FK191" s="9" t="s">
        <v>484</v>
      </c>
      <c r="FL191" s="9" t="s">
        <v>484</v>
      </c>
      <c r="FM191" s="9" t="s">
        <v>484</v>
      </c>
      <c r="FN191" s="9" t="s">
        <v>484</v>
      </c>
      <c r="FO191" s="9" t="s">
        <v>485</v>
      </c>
      <c r="FP191" s="9" t="s">
        <v>418</v>
      </c>
      <c r="FQ191" s="9" t="s">
        <v>712</v>
      </c>
      <c r="FS191" s="9" t="s">
        <v>420</v>
      </c>
      <c r="FT191" s="9" t="s">
        <v>488</v>
      </c>
      <c r="FU191" s="9" t="s">
        <v>585</v>
      </c>
      <c r="FV191" s="9" t="s">
        <v>1101</v>
      </c>
      <c r="FW191" s="9" t="s">
        <v>491</v>
      </c>
      <c r="FX191" s="9" t="s">
        <v>4266</v>
      </c>
      <c r="FY191" s="9" t="s">
        <v>535</v>
      </c>
      <c r="GB191" s="9" t="s">
        <v>408</v>
      </c>
      <c r="GG191" s="9" t="s">
        <v>788</v>
      </c>
      <c r="GH191" s="9" t="s">
        <v>788</v>
      </c>
      <c r="GI191" s="9" t="s">
        <v>756</v>
      </c>
      <c r="GQ191" s="9" t="s">
        <v>3208</v>
      </c>
      <c r="GR191" s="10"/>
      <c r="GS191" s="10"/>
      <c r="GT191" s="10"/>
      <c r="GU191" s="10"/>
      <c r="GV191" s="10"/>
      <c r="GW191" s="10"/>
      <c r="GX191" s="10"/>
      <c r="GY191" s="10"/>
      <c r="GZ191" s="10"/>
      <c r="HA191" s="10"/>
      <c r="HB191" s="10"/>
      <c r="HC191" s="10"/>
      <c r="HD191" s="10"/>
      <c r="HE191" s="10"/>
      <c r="HF191" s="10"/>
      <c r="HG191" s="10"/>
      <c r="HH191" s="10"/>
      <c r="HI191" s="10"/>
      <c r="HJ191" s="10"/>
      <c r="HK191" s="10"/>
      <c r="HL191" s="10"/>
      <c r="HM191" s="10"/>
      <c r="HN191" s="10"/>
      <c r="HO191" s="10"/>
      <c r="HP191" s="10"/>
      <c r="HQ191" s="10"/>
      <c r="HR191" s="10"/>
      <c r="HS191" s="10"/>
      <c r="HT191" s="10"/>
      <c r="HU191" s="10"/>
      <c r="HV191" s="10"/>
      <c r="HW191" s="10"/>
      <c r="HX191" s="10"/>
      <c r="HY191" s="10"/>
      <c r="HZ191" s="10"/>
      <c r="IA191" s="10"/>
      <c r="IB191" s="10"/>
      <c r="IC191" s="10"/>
      <c r="ID191" s="10"/>
      <c r="IE191" s="10"/>
      <c r="IF191" s="10"/>
      <c r="IG191" s="10"/>
      <c r="IH191" s="10"/>
      <c r="II191" s="10"/>
      <c r="IJ191" s="10"/>
      <c r="IK191" s="10"/>
      <c r="IL191" s="10"/>
      <c r="IM191" s="10"/>
      <c r="IN191" s="10"/>
      <c r="IO191" s="10"/>
      <c r="IP191" s="10"/>
      <c r="IQ191" s="10"/>
      <c r="IR191" s="10"/>
      <c r="IS191" s="10"/>
      <c r="IT191" s="10"/>
      <c r="IU191" s="10"/>
      <c r="IV191" s="10"/>
      <c r="IW191" s="10"/>
      <c r="IX191" s="10"/>
      <c r="IY191" s="10"/>
      <c r="IZ191" s="10"/>
      <c r="JA191" s="10"/>
      <c r="JB191" s="10"/>
      <c r="JC191" s="10"/>
      <c r="JD191" s="10"/>
      <c r="JE191" s="10"/>
      <c r="JF191" s="10"/>
      <c r="JG191" s="10"/>
      <c r="JH191" s="10"/>
      <c r="JI191" s="10"/>
      <c r="JJ191" s="10"/>
      <c r="JK191" s="10"/>
      <c r="JL191" s="10"/>
      <c r="JM191" s="10"/>
      <c r="JN191" s="10"/>
      <c r="JO191" s="10"/>
      <c r="JP191" s="10"/>
      <c r="JQ191" s="10"/>
      <c r="JR191" s="10"/>
      <c r="JS191" s="10"/>
      <c r="JT191" s="10"/>
      <c r="JU191" s="10"/>
      <c r="JV191" s="10"/>
      <c r="JW191" s="10"/>
      <c r="JX191" s="10"/>
      <c r="JY191" s="10"/>
      <c r="JZ191" s="10"/>
      <c r="KA191" s="10"/>
      <c r="KB191" s="10"/>
      <c r="KC191" s="10"/>
      <c r="KD191" s="10"/>
      <c r="KE191" s="10"/>
      <c r="KF191" s="10"/>
      <c r="KG191" s="10"/>
      <c r="KH191" s="10"/>
      <c r="KI191" s="10"/>
      <c r="KJ191" s="10"/>
      <c r="KK191" s="10"/>
      <c r="KL191" s="10"/>
      <c r="KM191" s="10"/>
      <c r="KN191" s="10"/>
      <c r="KO191" s="10"/>
      <c r="KP191" s="10"/>
      <c r="KQ191" s="10"/>
      <c r="KR191" s="10"/>
      <c r="KS191" s="10"/>
      <c r="KT191" s="10"/>
      <c r="KU191" s="10"/>
      <c r="KV191" s="10"/>
      <c r="KW191" s="10"/>
      <c r="KX191" s="10"/>
      <c r="KY191" s="10"/>
      <c r="KZ191" s="10"/>
      <c r="LA191" s="10"/>
      <c r="LB191" s="10"/>
      <c r="LC191" s="10"/>
      <c r="LD191" s="10"/>
      <c r="LE191" s="10"/>
      <c r="LF191" s="10"/>
      <c r="LG191" s="10"/>
      <c r="LH191" s="10"/>
      <c r="LI191" s="10"/>
      <c r="LJ191" s="10"/>
      <c r="LK191" s="10"/>
      <c r="LL191" s="10"/>
      <c r="LM191" s="10"/>
      <c r="LN191" s="10"/>
      <c r="LO191" s="10"/>
      <c r="LP191" s="10"/>
      <c r="LQ191" s="10"/>
      <c r="LR191" s="10"/>
      <c r="LS191" s="10"/>
      <c r="LT191" s="10"/>
      <c r="LU191" s="10"/>
      <c r="LV191" s="10"/>
      <c r="LW191" s="10"/>
      <c r="LX191" s="10"/>
      <c r="LY191" s="10"/>
      <c r="LZ191" s="10"/>
      <c r="MA191" s="10"/>
      <c r="MB191" s="10"/>
      <c r="MC191" s="10"/>
      <c r="MD191" s="10"/>
      <c r="ME191" s="10"/>
      <c r="MF191" s="10"/>
      <c r="MG191" s="10"/>
      <c r="MH191" s="10"/>
      <c r="MI191" s="10"/>
      <c r="MJ191" s="10"/>
      <c r="MK191" s="10"/>
      <c r="ML191" s="10"/>
      <c r="MM191" s="10"/>
      <c r="MN191" s="10"/>
      <c r="MO191" s="10"/>
      <c r="MP191" s="10"/>
      <c r="MQ191" s="10"/>
      <c r="MR191" s="10"/>
      <c r="MS191" s="10"/>
      <c r="MT191" s="10"/>
      <c r="MU191" s="10"/>
      <c r="MV191" s="10"/>
      <c r="MW191" s="10"/>
      <c r="MX191" s="10"/>
      <c r="MY191" s="10"/>
      <c r="MZ191" s="10"/>
      <c r="NA191" s="10"/>
      <c r="NB191" s="10"/>
      <c r="NC191" s="10"/>
      <c r="ND191" s="10"/>
    </row>
    <row r="192" ht="24.75" customHeight="1">
      <c r="A192" s="8">
        <v>45834.524166041665</v>
      </c>
      <c r="B192" s="9" t="s">
        <v>368</v>
      </c>
      <c r="C192" s="9" t="s">
        <v>370</v>
      </c>
      <c r="E192" s="9" t="s">
        <v>1441</v>
      </c>
      <c r="G192" s="9" t="s">
        <v>422</v>
      </c>
      <c r="H192" s="9" t="s">
        <v>1921</v>
      </c>
      <c r="I192" s="9" t="s">
        <v>668</v>
      </c>
      <c r="J192" s="9" t="s">
        <v>1023</v>
      </c>
      <c r="K192" s="9" t="s">
        <v>376</v>
      </c>
      <c r="L192" s="9" t="s">
        <v>426</v>
      </c>
      <c r="M192" s="9" t="s">
        <v>378</v>
      </c>
      <c r="N192" s="9" t="s">
        <v>591</v>
      </c>
      <c r="O192" s="9" t="s">
        <v>719</v>
      </c>
      <c r="P192" s="9" t="s">
        <v>498</v>
      </c>
      <c r="Q192" s="9" t="s">
        <v>382</v>
      </c>
      <c r="R192" s="9" t="s">
        <v>427</v>
      </c>
      <c r="S192" s="9" t="s">
        <v>384</v>
      </c>
      <c r="T192" s="9" t="s">
        <v>385</v>
      </c>
      <c r="W192" s="9" t="s">
        <v>3231</v>
      </c>
      <c r="AV192" s="9" t="s">
        <v>1242</v>
      </c>
      <c r="AW192" s="9" t="s">
        <v>675</v>
      </c>
      <c r="AX192" s="9" t="s">
        <v>675</v>
      </c>
      <c r="AY192" s="9" t="s">
        <v>675</v>
      </c>
      <c r="AZ192" s="9" t="s">
        <v>675</v>
      </c>
      <c r="BA192" s="9" t="s">
        <v>675</v>
      </c>
      <c r="BB192" s="9" t="s">
        <v>675</v>
      </c>
      <c r="BC192" s="9" t="s">
        <v>4267</v>
      </c>
      <c r="BD192" s="9" t="s">
        <v>4268</v>
      </c>
      <c r="BE192" s="9" t="s">
        <v>2379</v>
      </c>
      <c r="BF192" s="9" t="s">
        <v>1245</v>
      </c>
      <c r="BG192" s="9" t="s">
        <v>394</v>
      </c>
      <c r="BH192" s="9" t="s">
        <v>4269</v>
      </c>
      <c r="BI192" s="9" t="s">
        <v>976</v>
      </c>
      <c r="BJ192" s="9" t="s">
        <v>4270</v>
      </c>
      <c r="BK192" s="9" t="s">
        <v>681</v>
      </c>
      <c r="BL192" s="9" t="s">
        <v>904</v>
      </c>
      <c r="BM192" s="9" t="s">
        <v>1314</v>
      </c>
      <c r="BN192" s="9" t="s">
        <v>398</v>
      </c>
      <c r="BP192" s="9" t="s">
        <v>4271</v>
      </c>
      <c r="BQ192" s="9" t="s">
        <v>604</v>
      </c>
      <c r="BR192" s="9" t="s">
        <v>4272</v>
      </c>
      <c r="BS192" s="9" t="s">
        <v>1251</v>
      </c>
      <c r="BT192" s="9" t="s">
        <v>404</v>
      </c>
      <c r="BU192" s="9" t="s">
        <v>1831</v>
      </c>
      <c r="BV192" s="9" t="s">
        <v>4273</v>
      </c>
      <c r="BW192" s="9" t="s">
        <v>406</v>
      </c>
      <c r="BX192" s="9" t="s">
        <v>407</v>
      </c>
      <c r="BY192" s="9" t="s">
        <v>455</v>
      </c>
      <c r="BZ192" s="9" t="s">
        <v>4274</v>
      </c>
      <c r="CA192" s="9" t="s">
        <v>4275</v>
      </c>
      <c r="CB192" s="9" t="s">
        <v>4276</v>
      </c>
      <c r="CC192" s="9" t="s">
        <v>4277</v>
      </c>
      <c r="CD192" s="9" t="s">
        <v>451</v>
      </c>
      <c r="CE192" s="9" t="s">
        <v>4278</v>
      </c>
      <c r="CF192" s="9" t="s">
        <v>1697</v>
      </c>
      <c r="CH192" s="9" t="s">
        <v>2744</v>
      </c>
      <c r="CI192" s="9" t="s">
        <v>410</v>
      </c>
      <c r="CJ192" s="9" t="s">
        <v>4279</v>
      </c>
      <c r="CK192" s="9" t="s">
        <v>4280</v>
      </c>
      <c r="ET192" s="9" t="s">
        <v>526</v>
      </c>
      <c r="EU192" s="9" t="s">
        <v>887</v>
      </c>
      <c r="EV192" s="9" t="s">
        <v>480</v>
      </c>
      <c r="EX192" s="9" t="s">
        <v>4281</v>
      </c>
      <c r="EY192" s="9" t="s">
        <v>4282</v>
      </c>
      <c r="EZ192" s="9" t="s">
        <v>583</v>
      </c>
      <c r="FA192" s="9" t="s">
        <v>583</v>
      </c>
      <c r="FB192" s="9" t="s">
        <v>583</v>
      </c>
      <c r="FC192" s="9" t="s">
        <v>583</v>
      </c>
      <c r="FD192" s="9" t="s">
        <v>583</v>
      </c>
      <c r="FE192" s="9" t="s">
        <v>583</v>
      </c>
      <c r="FF192" s="9" t="s">
        <v>583</v>
      </c>
      <c r="FG192" s="9" t="s">
        <v>583</v>
      </c>
      <c r="FH192" s="9" t="s">
        <v>583</v>
      </c>
      <c r="FI192" s="9" t="s">
        <v>583</v>
      </c>
      <c r="FJ192" s="9" t="s">
        <v>583</v>
      </c>
      <c r="FK192" s="9" t="s">
        <v>583</v>
      </c>
      <c r="FL192" s="9" t="s">
        <v>583</v>
      </c>
      <c r="FM192" s="9" t="s">
        <v>583</v>
      </c>
      <c r="FN192" s="9" t="s">
        <v>583</v>
      </c>
      <c r="FP192" s="9" t="s">
        <v>2524</v>
      </c>
      <c r="FQ192" s="9" t="s">
        <v>630</v>
      </c>
      <c r="FR192" s="9" t="s">
        <v>4283</v>
      </c>
      <c r="FS192" s="9" t="s">
        <v>420</v>
      </c>
      <c r="FT192" s="9" t="s">
        <v>488</v>
      </c>
      <c r="FU192" s="9" t="s">
        <v>533</v>
      </c>
      <c r="FV192" s="9" t="s">
        <v>490</v>
      </c>
      <c r="FW192" s="9" t="s">
        <v>491</v>
      </c>
      <c r="FY192" s="9" t="s">
        <v>1020</v>
      </c>
      <c r="GA192" s="9" t="s">
        <v>4284</v>
      </c>
      <c r="GB192" s="9" t="s">
        <v>455</v>
      </c>
      <c r="GD192" s="9" t="s">
        <v>4285</v>
      </c>
      <c r="GE192" s="9" t="s">
        <v>753</v>
      </c>
      <c r="GF192" s="9" t="s">
        <v>3080</v>
      </c>
      <c r="GJ192" s="9" t="s">
        <v>755</v>
      </c>
      <c r="GK192" s="9" t="s">
        <v>755</v>
      </c>
      <c r="GL192" s="9" t="s">
        <v>946</v>
      </c>
      <c r="GP192" s="9" t="s">
        <v>387</v>
      </c>
      <c r="GQ192" s="9" t="s">
        <v>3306</v>
      </c>
      <c r="GR192" s="10"/>
      <c r="GS192" s="10"/>
      <c r="GT192" s="10"/>
      <c r="GU192" s="10"/>
      <c r="GV192" s="10"/>
      <c r="GW192" s="10"/>
      <c r="GX192" s="10"/>
      <c r="GY192" s="10"/>
      <c r="GZ192" s="10"/>
      <c r="HA192" s="10"/>
      <c r="HB192" s="10"/>
      <c r="HC192" s="10"/>
      <c r="HD192" s="10"/>
      <c r="HE192" s="10"/>
      <c r="HF192" s="10"/>
      <c r="HG192" s="10"/>
      <c r="HH192" s="10"/>
      <c r="HI192" s="10"/>
      <c r="HJ192" s="10"/>
      <c r="HK192" s="10"/>
      <c r="HL192" s="10"/>
      <c r="HM192" s="10"/>
      <c r="HN192" s="10"/>
      <c r="HO192" s="10"/>
      <c r="HP192" s="10"/>
      <c r="HQ192" s="10"/>
      <c r="HR192" s="10"/>
      <c r="HS192" s="10"/>
      <c r="HT192" s="10"/>
      <c r="HU192" s="10"/>
      <c r="HV192" s="10"/>
      <c r="HW192" s="10"/>
      <c r="HX192" s="10"/>
      <c r="HY192" s="10"/>
      <c r="HZ192" s="10"/>
      <c r="IA192" s="10"/>
      <c r="IB192" s="10"/>
      <c r="IC192" s="10"/>
      <c r="ID192" s="10"/>
      <c r="IE192" s="10"/>
      <c r="IF192" s="10"/>
      <c r="IG192" s="10"/>
      <c r="IH192" s="10"/>
      <c r="II192" s="10"/>
      <c r="IJ192" s="10"/>
      <c r="IK192" s="10"/>
      <c r="IL192" s="10"/>
      <c r="IM192" s="10"/>
      <c r="IN192" s="10"/>
      <c r="IO192" s="10"/>
      <c r="IP192" s="10"/>
      <c r="IQ192" s="10"/>
      <c r="IR192" s="10"/>
      <c r="IS192" s="10"/>
      <c r="IT192" s="10"/>
      <c r="IU192" s="10"/>
      <c r="IV192" s="10"/>
      <c r="IW192" s="10"/>
      <c r="IX192" s="10"/>
      <c r="IY192" s="10"/>
      <c r="IZ192" s="10"/>
      <c r="JA192" s="10"/>
      <c r="JB192" s="10"/>
      <c r="JC192" s="10"/>
      <c r="JD192" s="10"/>
      <c r="JE192" s="10"/>
      <c r="JF192" s="10"/>
      <c r="JG192" s="10"/>
      <c r="JH192" s="10"/>
      <c r="JI192" s="10"/>
      <c r="JJ192" s="10"/>
      <c r="JK192" s="10"/>
      <c r="JL192" s="10"/>
      <c r="JM192" s="10"/>
      <c r="JN192" s="10"/>
      <c r="JO192" s="10"/>
      <c r="JP192" s="10"/>
      <c r="JQ192" s="10"/>
      <c r="JR192" s="10"/>
      <c r="JS192" s="10"/>
      <c r="JT192" s="10"/>
      <c r="JU192" s="10"/>
      <c r="JV192" s="10"/>
      <c r="JW192" s="10"/>
      <c r="JX192" s="10"/>
      <c r="JY192" s="10"/>
      <c r="JZ192" s="10"/>
      <c r="KA192" s="10"/>
      <c r="KB192" s="10"/>
      <c r="KC192" s="10"/>
      <c r="KD192" s="10"/>
      <c r="KE192" s="10"/>
      <c r="KF192" s="10"/>
      <c r="KG192" s="10"/>
      <c r="KH192" s="10"/>
      <c r="KI192" s="10"/>
      <c r="KJ192" s="10"/>
      <c r="KK192" s="10"/>
      <c r="KL192" s="10"/>
      <c r="KM192" s="10"/>
      <c r="KN192" s="10"/>
      <c r="KO192" s="10"/>
      <c r="KP192" s="10"/>
      <c r="KQ192" s="10"/>
      <c r="KR192" s="10"/>
      <c r="KS192" s="10"/>
      <c r="KT192" s="10"/>
      <c r="KU192" s="10"/>
      <c r="KV192" s="10"/>
      <c r="KW192" s="10"/>
      <c r="KX192" s="10"/>
      <c r="KY192" s="10"/>
      <c r="KZ192" s="10"/>
      <c r="LA192" s="10"/>
      <c r="LB192" s="10"/>
      <c r="LC192" s="10"/>
      <c r="LD192" s="10"/>
      <c r="LE192" s="10"/>
      <c r="LF192" s="10"/>
      <c r="LG192" s="10"/>
      <c r="LH192" s="10"/>
      <c r="LI192" s="10"/>
      <c r="LJ192" s="10"/>
      <c r="LK192" s="10"/>
      <c r="LL192" s="10"/>
      <c r="LM192" s="10"/>
      <c r="LN192" s="10"/>
      <c r="LO192" s="10"/>
      <c r="LP192" s="10"/>
      <c r="LQ192" s="10"/>
      <c r="LR192" s="10"/>
      <c r="LS192" s="10"/>
      <c r="LT192" s="10"/>
      <c r="LU192" s="10"/>
      <c r="LV192" s="10"/>
      <c r="LW192" s="10"/>
      <c r="LX192" s="10"/>
      <c r="LY192" s="10"/>
      <c r="LZ192" s="10"/>
      <c r="MA192" s="10"/>
      <c r="MB192" s="10"/>
      <c r="MC192" s="10"/>
      <c r="MD192" s="10"/>
      <c r="ME192" s="10"/>
      <c r="MF192" s="10"/>
      <c r="MG192" s="10"/>
      <c r="MH192" s="10"/>
      <c r="MI192" s="10"/>
      <c r="MJ192" s="10"/>
      <c r="MK192" s="10"/>
      <c r="ML192" s="10"/>
      <c r="MM192" s="10"/>
      <c r="MN192" s="10"/>
      <c r="MO192" s="10"/>
      <c r="MP192" s="10"/>
      <c r="MQ192" s="10"/>
      <c r="MR192" s="10"/>
      <c r="MS192" s="10"/>
      <c r="MT192" s="10"/>
      <c r="MU192" s="10"/>
      <c r="MV192" s="10"/>
      <c r="MW192" s="10"/>
      <c r="MX192" s="10"/>
      <c r="MY192" s="10"/>
      <c r="MZ192" s="10"/>
      <c r="NA192" s="10"/>
      <c r="NB192" s="10"/>
      <c r="NC192" s="10"/>
      <c r="ND192" s="10"/>
    </row>
    <row r="193" ht="24.75" customHeight="1">
      <c r="A193" s="8">
        <v>45834.83290418981</v>
      </c>
      <c r="B193" s="9" t="s">
        <v>368</v>
      </c>
      <c r="C193" s="9" t="s">
        <v>370</v>
      </c>
      <c r="D193" s="9" t="s">
        <v>370</v>
      </c>
      <c r="E193" s="9" t="s">
        <v>2294</v>
      </c>
      <c r="F193" s="9" t="s">
        <v>2294</v>
      </c>
      <c r="G193" s="9" t="s">
        <v>422</v>
      </c>
      <c r="H193" s="9" t="s">
        <v>373</v>
      </c>
      <c r="I193" s="9" t="s">
        <v>374</v>
      </c>
      <c r="J193" s="9" t="s">
        <v>375</v>
      </c>
      <c r="K193" s="9" t="s">
        <v>376</v>
      </c>
      <c r="L193" s="9" t="s">
        <v>426</v>
      </c>
      <c r="M193" s="9" t="s">
        <v>378</v>
      </c>
      <c r="N193" s="9" t="s">
        <v>591</v>
      </c>
      <c r="O193" s="9" t="s">
        <v>671</v>
      </c>
      <c r="P193" s="9" t="s">
        <v>498</v>
      </c>
      <c r="Q193" s="9" t="s">
        <v>382</v>
      </c>
      <c r="R193" s="9" t="s">
        <v>427</v>
      </c>
      <c r="S193" s="9" t="s">
        <v>384</v>
      </c>
      <c r="T193" s="9" t="s">
        <v>385</v>
      </c>
      <c r="W193" s="9" t="s">
        <v>386</v>
      </c>
      <c r="X193" s="9" t="s">
        <v>387</v>
      </c>
      <c r="Y193" s="9" t="s">
        <v>594</v>
      </c>
      <c r="Z193" s="9" t="s">
        <v>672</v>
      </c>
      <c r="AA193" s="9" t="s">
        <v>4286</v>
      </c>
      <c r="AB193" s="9" t="s">
        <v>4287</v>
      </c>
      <c r="AV193" s="9" t="s">
        <v>504</v>
      </c>
      <c r="AW193" s="9" t="s">
        <v>429</v>
      </c>
      <c r="AX193" s="9">
        <v>2.0</v>
      </c>
      <c r="AY193" s="9">
        <v>4.0</v>
      </c>
      <c r="AZ193" s="9">
        <v>2.0</v>
      </c>
      <c r="BA193" s="9" t="s">
        <v>429</v>
      </c>
      <c r="BB193" s="9" t="s">
        <v>429</v>
      </c>
      <c r="BC193" s="9" t="s">
        <v>4288</v>
      </c>
      <c r="BD193" s="9" t="s">
        <v>4289</v>
      </c>
      <c r="BE193" s="9" t="s">
        <v>432</v>
      </c>
      <c r="BF193" s="9" t="s">
        <v>433</v>
      </c>
      <c r="BG193" s="9" t="s">
        <v>678</v>
      </c>
      <c r="BH193" s="9" t="s">
        <v>4290</v>
      </c>
      <c r="BI193" s="9" t="s">
        <v>509</v>
      </c>
      <c r="BJ193" s="9" t="s">
        <v>4291</v>
      </c>
      <c r="BK193" s="9" t="s">
        <v>511</v>
      </c>
      <c r="BL193" s="9" t="s">
        <v>438</v>
      </c>
      <c r="BM193" s="9" t="s">
        <v>439</v>
      </c>
      <c r="BN193" s="9" t="s">
        <v>513</v>
      </c>
      <c r="CL193" s="9" t="s">
        <v>441</v>
      </c>
      <c r="CM193" s="9" t="s">
        <v>604</v>
      </c>
      <c r="CN193" s="9" t="s">
        <v>4292</v>
      </c>
      <c r="CO193" s="9" t="s">
        <v>4293</v>
      </c>
      <c r="CP193" s="9" t="s">
        <v>979</v>
      </c>
      <c r="CQ193" s="9" t="s">
        <v>4294</v>
      </c>
      <c r="CR193" s="9" t="s">
        <v>804</v>
      </c>
      <c r="CS193" s="9" t="s">
        <v>4295</v>
      </c>
      <c r="CT193" s="9" t="s">
        <v>4296</v>
      </c>
      <c r="CU193" s="9" t="s">
        <v>450</v>
      </c>
      <c r="CV193" s="9" t="s">
        <v>451</v>
      </c>
      <c r="CW193" s="9" t="s">
        <v>4297</v>
      </c>
      <c r="CX193" s="9" t="s">
        <v>408</v>
      </c>
      <c r="CZ193" s="9" t="s">
        <v>453</v>
      </c>
      <c r="DA193" s="9" t="s">
        <v>4298</v>
      </c>
      <c r="DB193" s="9" t="s">
        <v>455</v>
      </c>
      <c r="DC193" s="9" t="s">
        <v>4299</v>
      </c>
      <c r="DD193" s="9" t="s">
        <v>457</v>
      </c>
      <c r="DF193" s="9" t="s">
        <v>4300</v>
      </c>
      <c r="DG193" s="9" t="s">
        <v>524</v>
      </c>
      <c r="DH193" s="9" t="s">
        <v>410</v>
      </c>
      <c r="DI193" s="9" t="s">
        <v>459</v>
      </c>
      <c r="DJ193" s="9" t="s">
        <v>613</v>
      </c>
      <c r="ET193" s="9" t="s">
        <v>526</v>
      </c>
      <c r="EU193" s="9" t="s">
        <v>479</v>
      </c>
      <c r="EV193" s="9" t="s">
        <v>480</v>
      </c>
      <c r="EW193" s="9" t="s">
        <v>4301</v>
      </c>
      <c r="EX193" s="9" t="s">
        <v>4302</v>
      </c>
      <c r="EY193" s="9" t="s">
        <v>4303</v>
      </c>
      <c r="EZ193" s="9" t="s">
        <v>413</v>
      </c>
      <c r="FA193" s="9" t="s">
        <v>413</v>
      </c>
      <c r="FB193" s="9" t="s">
        <v>413</v>
      </c>
      <c r="FC193" s="9" t="s">
        <v>413</v>
      </c>
      <c r="FD193" s="9" t="s">
        <v>413</v>
      </c>
      <c r="FE193" s="9" t="s">
        <v>413</v>
      </c>
      <c r="FF193" s="9" t="s">
        <v>413</v>
      </c>
      <c r="FG193" s="9" t="s">
        <v>413</v>
      </c>
      <c r="FH193" s="9" t="s">
        <v>583</v>
      </c>
      <c r="FI193" s="9" t="s">
        <v>583</v>
      </c>
      <c r="FJ193" s="9" t="s">
        <v>415</v>
      </c>
      <c r="FK193" s="9" t="s">
        <v>484</v>
      </c>
      <c r="FL193" s="9" t="s">
        <v>484</v>
      </c>
      <c r="FM193" s="9" t="s">
        <v>413</v>
      </c>
      <c r="FN193" s="9" t="s">
        <v>583</v>
      </c>
      <c r="FO193" s="9" t="s">
        <v>417</v>
      </c>
      <c r="FP193" s="9" t="s">
        <v>418</v>
      </c>
      <c r="FQ193" s="9" t="s">
        <v>1039</v>
      </c>
      <c r="FR193" s="9" t="s">
        <v>4304</v>
      </c>
      <c r="FS193" s="9" t="s">
        <v>420</v>
      </c>
      <c r="FT193" s="9" t="s">
        <v>488</v>
      </c>
      <c r="FU193" s="9" t="s">
        <v>489</v>
      </c>
      <c r="FV193" s="9" t="s">
        <v>490</v>
      </c>
      <c r="FW193" s="9" t="s">
        <v>491</v>
      </c>
      <c r="FX193" s="9" t="s">
        <v>4305</v>
      </c>
      <c r="FY193" s="9" t="s">
        <v>1020</v>
      </c>
      <c r="FZ193" s="9" t="s">
        <v>4306</v>
      </c>
      <c r="GA193" s="9" t="s">
        <v>4307</v>
      </c>
      <c r="GB193" s="9" t="s">
        <v>455</v>
      </c>
      <c r="GD193" s="9" t="s">
        <v>4308</v>
      </c>
      <c r="GE193" s="9" t="s">
        <v>753</v>
      </c>
      <c r="GF193" s="9" t="s">
        <v>4309</v>
      </c>
      <c r="GG193" s="9" t="s">
        <v>1000</v>
      </c>
      <c r="GH193" s="9" t="s">
        <v>788</v>
      </c>
      <c r="GI193" s="9" t="s">
        <v>756</v>
      </c>
      <c r="GQ193" s="9" t="s">
        <v>4310</v>
      </c>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c r="HX193" s="10"/>
      <c r="HY193" s="10"/>
      <c r="HZ193" s="10"/>
      <c r="IA193" s="10"/>
      <c r="IB193" s="10"/>
      <c r="IC193" s="10"/>
      <c r="ID193" s="10"/>
      <c r="IE193" s="10"/>
      <c r="IF193" s="10"/>
      <c r="IG193" s="10"/>
      <c r="IH193" s="10"/>
      <c r="II193" s="10"/>
      <c r="IJ193" s="10"/>
      <c r="IK193" s="10"/>
      <c r="IL193" s="10"/>
      <c r="IM193" s="10"/>
      <c r="IN193" s="10"/>
      <c r="IO193" s="10"/>
      <c r="IP193" s="10"/>
      <c r="IQ193" s="10"/>
      <c r="IR193" s="10"/>
      <c r="IS193" s="10"/>
      <c r="IT193" s="10"/>
      <c r="IU193" s="10"/>
      <c r="IV193" s="10"/>
      <c r="IW193" s="10"/>
      <c r="IX193" s="10"/>
      <c r="IY193" s="10"/>
      <c r="IZ193" s="10"/>
      <c r="JA193" s="10"/>
      <c r="JB193" s="10"/>
      <c r="JC193" s="10"/>
      <c r="JD193" s="10"/>
      <c r="JE193" s="10"/>
      <c r="JF193" s="10"/>
      <c r="JG193" s="10"/>
      <c r="JH193" s="10"/>
      <c r="JI193" s="10"/>
      <c r="JJ193" s="10"/>
      <c r="JK193" s="10"/>
      <c r="JL193" s="10"/>
      <c r="JM193" s="10"/>
      <c r="JN193" s="10"/>
      <c r="JO193" s="10"/>
      <c r="JP193" s="10"/>
      <c r="JQ193" s="10"/>
      <c r="JR193" s="10"/>
      <c r="JS193" s="10"/>
      <c r="JT193" s="10"/>
      <c r="JU193" s="10"/>
      <c r="JV193" s="10"/>
      <c r="JW193" s="10"/>
      <c r="JX193" s="10"/>
      <c r="JY193" s="10"/>
      <c r="JZ193" s="10"/>
      <c r="KA193" s="10"/>
      <c r="KB193" s="10"/>
      <c r="KC193" s="10"/>
      <c r="KD193" s="10"/>
      <c r="KE193" s="10"/>
      <c r="KF193" s="10"/>
      <c r="KG193" s="10"/>
      <c r="KH193" s="10"/>
      <c r="KI193" s="10"/>
      <c r="KJ193" s="10"/>
      <c r="KK193" s="10"/>
      <c r="KL193" s="10"/>
      <c r="KM193" s="10"/>
      <c r="KN193" s="10"/>
      <c r="KO193" s="10"/>
      <c r="KP193" s="10"/>
      <c r="KQ193" s="10"/>
      <c r="KR193" s="10"/>
      <c r="KS193" s="10"/>
      <c r="KT193" s="10"/>
      <c r="KU193" s="10"/>
      <c r="KV193" s="10"/>
      <c r="KW193" s="10"/>
      <c r="KX193" s="10"/>
      <c r="KY193" s="10"/>
      <c r="KZ193" s="10"/>
      <c r="LA193" s="10"/>
      <c r="LB193" s="10"/>
      <c r="LC193" s="10"/>
      <c r="LD193" s="10"/>
      <c r="LE193" s="10"/>
      <c r="LF193" s="10"/>
      <c r="LG193" s="10"/>
      <c r="LH193" s="10"/>
      <c r="LI193" s="10"/>
      <c r="LJ193" s="10"/>
      <c r="LK193" s="10"/>
      <c r="LL193" s="10"/>
      <c r="LM193" s="10"/>
      <c r="LN193" s="10"/>
      <c r="LO193" s="10"/>
      <c r="LP193" s="10"/>
      <c r="LQ193" s="10"/>
      <c r="LR193" s="10"/>
      <c r="LS193" s="10"/>
      <c r="LT193" s="10"/>
      <c r="LU193" s="10"/>
      <c r="LV193" s="10"/>
      <c r="LW193" s="10"/>
      <c r="LX193" s="10"/>
      <c r="LY193" s="10"/>
      <c r="LZ193" s="10"/>
      <c r="MA193" s="10"/>
      <c r="MB193" s="10"/>
      <c r="MC193" s="10"/>
      <c r="MD193" s="10"/>
      <c r="ME193" s="10"/>
      <c r="MF193" s="10"/>
      <c r="MG193" s="10"/>
      <c r="MH193" s="10"/>
      <c r="MI193" s="10"/>
      <c r="MJ193" s="10"/>
      <c r="MK193" s="10"/>
      <c r="ML193" s="10"/>
      <c r="MM193" s="10"/>
      <c r="MN193" s="10"/>
      <c r="MO193" s="10"/>
      <c r="MP193" s="10"/>
      <c r="MQ193" s="10"/>
      <c r="MR193" s="10"/>
      <c r="MS193" s="10"/>
      <c r="MT193" s="10"/>
      <c r="MU193" s="10"/>
      <c r="MV193" s="10"/>
      <c r="MW193" s="10"/>
      <c r="MX193" s="10"/>
      <c r="MY193" s="10"/>
      <c r="MZ193" s="10"/>
      <c r="NA193" s="10"/>
      <c r="NB193" s="10"/>
      <c r="NC193" s="10"/>
      <c r="ND193" s="10"/>
    </row>
    <row r="194" ht="24.75" customHeight="1">
      <c r="A194" s="8">
        <v>45835.44492405093</v>
      </c>
      <c r="B194" s="9" t="s">
        <v>368</v>
      </c>
      <c r="C194" s="9" t="s">
        <v>370</v>
      </c>
      <c r="D194" s="9" t="s">
        <v>370</v>
      </c>
      <c r="E194" s="9" t="s">
        <v>791</v>
      </c>
      <c r="F194" s="9" t="s">
        <v>791</v>
      </c>
      <c r="G194" s="9" t="s">
        <v>422</v>
      </c>
      <c r="H194" s="9" t="s">
        <v>373</v>
      </c>
      <c r="I194" s="9" t="s">
        <v>638</v>
      </c>
      <c r="J194" s="9" t="s">
        <v>375</v>
      </c>
      <c r="K194" s="9" t="s">
        <v>376</v>
      </c>
      <c r="L194" s="9" t="s">
        <v>426</v>
      </c>
      <c r="M194" s="9" t="s">
        <v>378</v>
      </c>
      <c r="N194" s="9" t="s">
        <v>793</v>
      </c>
      <c r="O194" s="9" t="s">
        <v>720</v>
      </c>
      <c r="P194" s="9" t="s">
        <v>498</v>
      </c>
      <c r="Q194" s="9" t="s">
        <v>862</v>
      </c>
      <c r="R194" s="9" t="s">
        <v>500</v>
      </c>
      <c r="S194" s="9" t="s">
        <v>1443</v>
      </c>
      <c r="T194" s="9" t="s">
        <v>385</v>
      </c>
      <c r="W194" s="9" t="s">
        <v>386</v>
      </c>
      <c r="X194" s="9" t="s">
        <v>387</v>
      </c>
      <c r="Y194" s="9" t="s">
        <v>388</v>
      </c>
      <c r="Z194" s="9" t="s">
        <v>543</v>
      </c>
      <c r="AA194" s="9" t="s">
        <v>4311</v>
      </c>
      <c r="AB194" s="9" t="s">
        <v>4312</v>
      </c>
      <c r="AV194" s="9" t="s">
        <v>390</v>
      </c>
      <c r="AW194" s="9" t="s">
        <v>391</v>
      </c>
      <c r="AX194" s="9">
        <v>4.0</v>
      </c>
      <c r="AY194" s="9">
        <v>4.0</v>
      </c>
      <c r="AZ194" s="9" t="s">
        <v>429</v>
      </c>
      <c r="BA194" s="9" t="s">
        <v>429</v>
      </c>
      <c r="BB194" s="9" t="s">
        <v>429</v>
      </c>
      <c r="BC194" s="9" t="s">
        <v>4313</v>
      </c>
      <c r="BD194" s="9" t="s">
        <v>4314</v>
      </c>
      <c r="BE194" s="9" t="s">
        <v>902</v>
      </c>
      <c r="BF194" s="9" t="s">
        <v>433</v>
      </c>
      <c r="BG194" s="9" t="s">
        <v>678</v>
      </c>
      <c r="BH194" s="9" t="s">
        <v>4315</v>
      </c>
      <c r="BI194" s="9" t="s">
        <v>824</v>
      </c>
      <c r="BK194" s="9" t="s">
        <v>437</v>
      </c>
      <c r="BL194" s="9" t="s">
        <v>396</v>
      </c>
      <c r="BM194" s="9" t="s">
        <v>439</v>
      </c>
      <c r="BN194" s="9" t="s">
        <v>440</v>
      </c>
      <c r="CL194" s="9" t="s">
        <v>441</v>
      </c>
      <c r="CM194" s="9" t="s">
        <v>604</v>
      </c>
      <c r="CN194" s="9" t="s">
        <v>4316</v>
      </c>
      <c r="CO194" s="9" t="s">
        <v>4317</v>
      </c>
      <c r="CP194" s="9" t="s">
        <v>979</v>
      </c>
      <c r="CQ194" s="9" t="s">
        <v>4318</v>
      </c>
      <c r="CR194" s="9" t="s">
        <v>404</v>
      </c>
      <c r="CS194" s="9" t="s">
        <v>4319</v>
      </c>
      <c r="CT194" s="9" t="s">
        <v>4320</v>
      </c>
      <c r="CU194" s="9" t="s">
        <v>450</v>
      </c>
      <c r="CV194" s="9" t="s">
        <v>451</v>
      </c>
      <c r="CW194" s="9" t="s">
        <v>4321</v>
      </c>
      <c r="CX194" s="9" t="s">
        <v>408</v>
      </c>
      <c r="CZ194" s="9" t="s">
        <v>453</v>
      </c>
      <c r="DA194" s="9" t="s">
        <v>4322</v>
      </c>
      <c r="DB194" s="9" t="s">
        <v>455</v>
      </c>
      <c r="DC194" s="9" t="s">
        <v>4323</v>
      </c>
      <c r="DD194" s="9" t="s">
        <v>457</v>
      </c>
      <c r="DF194" s="9" t="s">
        <v>4324</v>
      </c>
      <c r="DG194" s="9" t="s">
        <v>561</v>
      </c>
      <c r="DH194" s="9" t="s">
        <v>410</v>
      </c>
      <c r="DI194" s="9" t="s">
        <v>459</v>
      </c>
      <c r="DJ194" s="9" t="s">
        <v>613</v>
      </c>
      <c r="DM194" s="9" t="s">
        <v>4325</v>
      </c>
      <c r="DN194" s="9" t="s">
        <v>4326</v>
      </c>
      <c r="DO194" s="9" t="s">
        <v>567</v>
      </c>
      <c r="DP194" s="9" t="s">
        <v>4327</v>
      </c>
      <c r="DQ194" s="9" t="s">
        <v>837</v>
      </c>
      <c r="DR194" s="9" t="s">
        <v>4328</v>
      </c>
      <c r="DS194" s="9" t="s">
        <v>839</v>
      </c>
      <c r="DT194" s="9" t="s">
        <v>703</v>
      </c>
      <c r="DU194" s="9" t="s">
        <v>4329</v>
      </c>
      <c r="DV194" s="9" t="s">
        <v>4330</v>
      </c>
      <c r="DW194" s="9" t="s">
        <v>573</v>
      </c>
      <c r="DX194" s="9" t="s">
        <v>4331</v>
      </c>
      <c r="DY194" s="9" t="s">
        <v>4332</v>
      </c>
      <c r="DZ194" s="9" t="s">
        <v>4333</v>
      </c>
      <c r="EA194" s="9" t="s">
        <v>475</v>
      </c>
      <c r="EB194" s="9" t="s">
        <v>845</v>
      </c>
      <c r="EC194" s="9" t="s">
        <v>4334</v>
      </c>
      <c r="ET194" s="9" t="s">
        <v>578</v>
      </c>
      <c r="EU194" s="9" t="s">
        <v>887</v>
      </c>
      <c r="EV194" s="9" t="s">
        <v>480</v>
      </c>
      <c r="EW194" s="9" t="s">
        <v>4335</v>
      </c>
      <c r="EX194" s="9" t="s">
        <v>4336</v>
      </c>
      <c r="EY194" s="9" t="s">
        <v>4337</v>
      </c>
      <c r="EZ194" s="9" t="s">
        <v>583</v>
      </c>
      <c r="FA194" s="9" t="s">
        <v>583</v>
      </c>
      <c r="FB194" s="9" t="s">
        <v>416</v>
      </c>
      <c r="FC194" s="9" t="s">
        <v>415</v>
      </c>
      <c r="FD194" s="9" t="s">
        <v>416</v>
      </c>
      <c r="FE194" s="9" t="s">
        <v>583</v>
      </c>
      <c r="FF194" s="9" t="s">
        <v>583</v>
      </c>
      <c r="FG194" s="9" t="s">
        <v>413</v>
      </c>
      <c r="FH194" s="9" t="s">
        <v>583</v>
      </c>
      <c r="FI194" s="9" t="s">
        <v>414</v>
      </c>
      <c r="FJ194" s="9" t="s">
        <v>414</v>
      </c>
      <c r="FK194" s="9" t="s">
        <v>583</v>
      </c>
      <c r="FL194" s="9" t="s">
        <v>583</v>
      </c>
      <c r="FM194" s="9" t="s">
        <v>413</v>
      </c>
      <c r="FN194" s="9" t="s">
        <v>583</v>
      </c>
      <c r="FO194" s="9" t="s">
        <v>417</v>
      </c>
      <c r="FP194" s="9" t="s">
        <v>418</v>
      </c>
      <c r="FQ194" s="9" t="s">
        <v>419</v>
      </c>
      <c r="FR194" s="9" t="s">
        <v>4338</v>
      </c>
      <c r="FS194" s="9" t="s">
        <v>420</v>
      </c>
      <c r="FT194" s="9" t="s">
        <v>488</v>
      </c>
      <c r="FU194" s="9" t="s">
        <v>489</v>
      </c>
      <c r="FV194" s="9" t="s">
        <v>490</v>
      </c>
      <c r="FW194" s="9" t="s">
        <v>491</v>
      </c>
      <c r="FX194" s="9" t="s">
        <v>4339</v>
      </c>
      <c r="FY194" s="9" t="s">
        <v>493</v>
      </c>
      <c r="GA194" s="9" t="s">
        <v>4340</v>
      </c>
      <c r="GB194" s="9" t="s">
        <v>455</v>
      </c>
      <c r="GC194" s="9"/>
      <c r="GE194" s="9" t="s">
        <v>944</v>
      </c>
      <c r="GF194" s="9" t="s">
        <v>4341</v>
      </c>
      <c r="GG194" s="9" t="s">
        <v>857</v>
      </c>
      <c r="GH194" s="9" t="s">
        <v>857</v>
      </c>
      <c r="GI194" s="9" t="s">
        <v>946</v>
      </c>
      <c r="GM194" s="9" t="s">
        <v>1079</v>
      </c>
      <c r="GQ194" s="9" t="s">
        <v>3273</v>
      </c>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c r="HX194" s="10"/>
      <c r="HY194" s="10"/>
      <c r="HZ194" s="10"/>
      <c r="IA194" s="10"/>
      <c r="IB194" s="10"/>
      <c r="IC194" s="10"/>
      <c r="ID194" s="10"/>
      <c r="IE194" s="10"/>
      <c r="IF194" s="10"/>
      <c r="IG194" s="10"/>
      <c r="IH194" s="10"/>
      <c r="II194" s="10"/>
      <c r="IJ194" s="10"/>
      <c r="IK194" s="10"/>
      <c r="IL194" s="10"/>
      <c r="IM194" s="10"/>
      <c r="IN194" s="10"/>
      <c r="IO194" s="10"/>
      <c r="IP194" s="10"/>
      <c r="IQ194" s="10"/>
      <c r="IR194" s="10"/>
      <c r="IS194" s="10"/>
      <c r="IT194" s="10"/>
      <c r="IU194" s="10"/>
      <c r="IV194" s="10"/>
      <c r="IW194" s="10"/>
      <c r="IX194" s="10"/>
      <c r="IY194" s="10"/>
      <c r="IZ194" s="10"/>
      <c r="JA194" s="10"/>
      <c r="JB194" s="10"/>
      <c r="JC194" s="10"/>
      <c r="JD194" s="10"/>
      <c r="JE194" s="10"/>
      <c r="JF194" s="10"/>
      <c r="JG194" s="10"/>
      <c r="JH194" s="10"/>
      <c r="JI194" s="10"/>
      <c r="JJ194" s="10"/>
      <c r="JK194" s="10"/>
      <c r="JL194" s="10"/>
      <c r="JM194" s="10"/>
      <c r="JN194" s="10"/>
      <c r="JO194" s="10"/>
      <c r="JP194" s="10"/>
      <c r="JQ194" s="10"/>
      <c r="JR194" s="10"/>
      <c r="JS194" s="10"/>
      <c r="JT194" s="10"/>
      <c r="JU194" s="10"/>
      <c r="JV194" s="10"/>
      <c r="JW194" s="10"/>
      <c r="JX194" s="10"/>
      <c r="JY194" s="10"/>
      <c r="JZ194" s="10"/>
      <c r="KA194" s="10"/>
      <c r="KB194" s="10"/>
      <c r="KC194" s="10"/>
      <c r="KD194" s="10"/>
      <c r="KE194" s="10"/>
      <c r="KF194" s="10"/>
      <c r="KG194" s="10"/>
      <c r="KH194" s="10"/>
      <c r="KI194" s="10"/>
      <c r="KJ194" s="10"/>
      <c r="KK194" s="10"/>
      <c r="KL194" s="10"/>
      <c r="KM194" s="10"/>
      <c r="KN194" s="10"/>
      <c r="KO194" s="10"/>
      <c r="KP194" s="10"/>
      <c r="KQ194" s="10"/>
      <c r="KR194" s="10"/>
      <c r="KS194" s="10"/>
      <c r="KT194" s="10"/>
      <c r="KU194" s="10"/>
      <c r="KV194" s="10"/>
      <c r="KW194" s="10"/>
      <c r="KX194" s="10"/>
      <c r="KY194" s="10"/>
      <c r="KZ194" s="10"/>
      <c r="LA194" s="10"/>
      <c r="LB194" s="10"/>
      <c r="LC194" s="10"/>
      <c r="LD194" s="10"/>
      <c r="LE194" s="10"/>
      <c r="LF194" s="10"/>
      <c r="LG194" s="10"/>
      <c r="LH194" s="10"/>
      <c r="LI194" s="10"/>
      <c r="LJ194" s="10"/>
      <c r="LK194" s="10"/>
      <c r="LL194" s="10"/>
      <c r="LM194" s="10"/>
      <c r="LN194" s="10"/>
      <c r="LO194" s="10"/>
      <c r="LP194" s="10"/>
      <c r="LQ194" s="10"/>
      <c r="LR194" s="10"/>
      <c r="LS194" s="10"/>
      <c r="LT194" s="10"/>
      <c r="LU194" s="10"/>
      <c r="LV194" s="10"/>
      <c r="LW194" s="10"/>
      <c r="LX194" s="10"/>
      <c r="LY194" s="10"/>
      <c r="LZ194" s="10"/>
      <c r="MA194" s="10"/>
      <c r="MB194" s="10"/>
      <c r="MC194" s="10"/>
      <c r="MD194" s="10"/>
      <c r="ME194" s="10"/>
      <c r="MF194" s="10"/>
      <c r="MG194" s="10"/>
      <c r="MH194" s="10"/>
      <c r="MI194" s="10"/>
      <c r="MJ194" s="10"/>
      <c r="MK194" s="10"/>
      <c r="ML194" s="10"/>
      <c r="MM194" s="10"/>
      <c r="MN194" s="10"/>
      <c r="MO194" s="10"/>
      <c r="MP194" s="10"/>
      <c r="MQ194" s="10"/>
      <c r="MR194" s="10"/>
      <c r="MS194" s="10"/>
      <c r="MT194" s="10"/>
      <c r="MU194" s="10"/>
      <c r="MV194" s="10"/>
      <c r="MW194" s="10"/>
      <c r="MX194" s="10"/>
      <c r="MY194" s="10"/>
      <c r="MZ194" s="10"/>
      <c r="NA194" s="10"/>
      <c r="NB194" s="10"/>
      <c r="NC194" s="10"/>
      <c r="ND194" s="10"/>
    </row>
    <row r="195" ht="24.75" customHeight="1">
      <c r="A195" s="8">
        <v>45835.70610258102</v>
      </c>
      <c r="B195" s="9" t="s">
        <v>368</v>
      </c>
      <c r="C195" s="9" t="s">
        <v>370</v>
      </c>
      <c r="D195" s="9" t="s">
        <v>370</v>
      </c>
      <c r="E195" s="9" t="s">
        <v>589</v>
      </c>
      <c r="F195" s="9" t="s">
        <v>1510</v>
      </c>
      <c r="G195" s="9" t="s">
        <v>422</v>
      </c>
      <c r="H195" s="9" t="s">
        <v>373</v>
      </c>
      <c r="I195" s="9" t="s">
        <v>638</v>
      </c>
      <c r="J195" s="9" t="s">
        <v>375</v>
      </c>
      <c r="K195" s="9" t="s">
        <v>376</v>
      </c>
      <c r="L195" s="9" t="s">
        <v>793</v>
      </c>
      <c r="M195" s="9" t="s">
        <v>719</v>
      </c>
      <c r="N195" s="9" t="s">
        <v>793</v>
      </c>
      <c r="O195" s="9" t="s">
        <v>719</v>
      </c>
      <c r="P195" s="9" t="s">
        <v>592</v>
      </c>
      <c r="Q195" s="9" t="s">
        <v>759</v>
      </c>
      <c r="R195" s="9" t="s">
        <v>427</v>
      </c>
      <c r="S195" s="9" t="s">
        <v>384</v>
      </c>
      <c r="T195" s="9" t="s">
        <v>385</v>
      </c>
      <c r="W195" s="9" t="s">
        <v>3231</v>
      </c>
      <c r="AV195" s="9" t="s">
        <v>597</v>
      </c>
      <c r="AW195" s="9" t="s">
        <v>391</v>
      </c>
      <c r="AX195" s="9">
        <v>2.0</v>
      </c>
      <c r="AY195" s="9" t="s">
        <v>391</v>
      </c>
      <c r="AZ195" s="9" t="s">
        <v>391</v>
      </c>
      <c r="BA195" s="9">
        <v>2.0</v>
      </c>
      <c r="BB195" s="9">
        <v>2.0</v>
      </c>
      <c r="BC195" s="9" t="s">
        <v>4342</v>
      </c>
      <c r="BD195" s="9" t="s">
        <v>4343</v>
      </c>
      <c r="BE195" s="9" t="s">
        <v>392</v>
      </c>
      <c r="BF195" s="9" t="s">
        <v>433</v>
      </c>
      <c r="BG195" s="9" t="s">
        <v>434</v>
      </c>
      <c r="BH195" s="9" t="s">
        <v>4344</v>
      </c>
      <c r="BI195" s="9" t="s">
        <v>509</v>
      </c>
      <c r="BJ195" s="9" t="s">
        <v>4345</v>
      </c>
      <c r="BK195" s="9" t="s">
        <v>437</v>
      </c>
      <c r="BL195" s="9" t="s">
        <v>512</v>
      </c>
      <c r="BM195" s="9" t="s">
        <v>439</v>
      </c>
      <c r="BN195" s="9" t="s">
        <v>513</v>
      </c>
      <c r="CL195" s="9" t="s">
        <v>441</v>
      </c>
      <c r="CM195" s="9" t="s">
        <v>682</v>
      </c>
      <c r="CN195" s="9" t="s">
        <v>4346</v>
      </c>
      <c r="CO195" s="9" t="s">
        <v>4347</v>
      </c>
      <c r="CP195" s="9" t="s">
        <v>979</v>
      </c>
      <c r="CQ195" s="9" t="s">
        <v>4348</v>
      </c>
      <c r="CR195" s="9" t="s">
        <v>447</v>
      </c>
      <c r="CS195" s="9" t="s">
        <v>4349</v>
      </c>
      <c r="CT195" s="9" t="s">
        <v>4350</v>
      </c>
      <c r="CU195" s="9" t="s">
        <v>450</v>
      </c>
      <c r="CV195" s="9" t="s">
        <v>451</v>
      </c>
      <c r="CW195" s="9" t="s">
        <v>4351</v>
      </c>
      <c r="CX195" s="9" t="s">
        <v>408</v>
      </c>
      <c r="CZ195" s="9" t="s">
        <v>985</v>
      </c>
      <c r="DA195" s="9" t="s">
        <v>4352</v>
      </c>
      <c r="DB195" s="9" t="s">
        <v>455</v>
      </c>
      <c r="DC195" s="9" t="s">
        <v>4353</v>
      </c>
      <c r="DD195" s="9" t="s">
        <v>457</v>
      </c>
      <c r="DF195" s="9" t="s">
        <v>4354</v>
      </c>
      <c r="DG195" s="9" t="s">
        <v>561</v>
      </c>
      <c r="DH195" s="9" t="s">
        <v>1964</v>
      </c>
      <c r="DI195" s="9" t="s">
        <v>459</v>
      </c>
      <c r="DJ195" s="9" t="s">
        <v>562</v>
      </c>
      <c r="DK195" s="9" t="s">
        <v>461</v>
      </c>
      <c r="ET195" s="9" t="s">
        <v>526</v>
      </c>
      <c r="EU195" s="9" t="s">
        <v>887</v>
      </c>
      <c r="EV195" s="9" t="s">
        <v>480</v>
      </c>
      <c r="EX195" s="9" t="s">
        <v>4355</v>
      </c>
      <c r="EY195" s="9" t="s">
        <v>4356</v>
      </c>
      <c r="EZ195" s="9" t="s">
        <v>414</v>
      </c>
      <c r="FA195" s="9" t="s">
        <v>583</v>
      </c>
      <c r="FB195" s="9" t="s">
        <v>413</v>
      </c>
      <c r="FC195" s="9" t="s">
        <v>583</v>
      </c>
      <c r="FD195" s="9" t="s">
        <v>413</v>
      </c>
      <c r="FE195" s="9" t="s">
        <v>415</v>
      </c>
      <c r="FF195" s="9" t="s">
        <v>415</v>
      </c>
      <c r="FG195" s="9" t="s">
        <v>416</v>
      </c>
      <c r="FH195" s="9" t="s">
        <v>583</v>
      </c>
      <c r="FI195" s="9" t="s">
        <v>415</v>
      </c>
      <c r="FJ195" s="9" t="s">
        <v>414</v>
      </c>
      <c r="FK195" s="9" t="s">
        <v>416</v>
      </c>
      <c r="FL195" s="9" t="s">
        <v>415</v>
      </c>
      <c r="FM195" s="9" t="s">
        <v>413</v>
      </c>
      <c r="FN195" s="9" t="s">
        <v>583</v>
      </c>
      <c r="FO195" s="9" t="s">
        <v>485</v>
      </c>
      <c r="FP195" s="9" t="s">
        <v>418</v>
      </c>
      <c r="FQ195" s="9" t="s">
        <v>419</v>
      </c>
      <c r="FR195" s="9" t="s">
        <v>4357</v>
      </c>
      <c r="FS195" s="9" t="s">
        <v>420</v>
      </c>
      <c r="FT195" s="9" t="s">
        <v>488</v>
      </c>
      <c r="FU195" s="9" t="s">
        <v>918</v>
      </c>
      <c r="FV195" s="9" t="s">
        <v>490</v>
      </c>
      <c r="FW195" s="9" t="s">
        <v>491</v>
      </c>
      <c r="FX195" s="9" t="s">
        <v>4358</v>
      </c>
      <c r="FY195" s="9" t="s">
        <v>535</v>
      </c>
      <c r="FZ195" s="9" t="s">
        <v>4359</v>
      </c>
      <c r="GB195" s="9" t="s">
        <v>455</v>
      </c>
      <c r="GC195" s="9"/>
      <c r="GD195" s="9"/>
      <c r="GE195" s="9" t="s">
        <v>753</v>
      </c>
      <c r="GF195" s="9" t="s">
        <v>4360</v>
      </c>
      <c r="GG195" s="9" t="s">
        <v>1000</v>
      </c>
      <c r="GH195" s="9" t="s">
        <v>755</v>
      </c>
      <c r="GI195" s="9" t="s">
        <v>817</v>
      </c>
      <c r="GP195" s="9" t="s">
        <v>387</v>
      </c>
      <c r="GQ195" s="9" t="s">
        <v>3208</v>
      </c>
      <c r="GR195" s="10"/>
      <c r="GS195" s="10"/>
      <c r="GT195" s="10"/>
      <c r="GU195" s="10"/>
      <c r="GV195" s="10"/>
      <c r="GW195" s="10"/>
      <c r="GX195" s="10"/>
      <c r="GY195" s="10"/>
      <c r="GZ195" s="10"/>
      <c r="HA195" s="10"/>
      <c r="HB195" s="10"/>
      <c r="HC195" s="10"/>
      <c r="HD195" s="10"/>
      <c r="HE195" s="10"/>
      <c r="HF195" s="10"/>
      <c r="HG195" s="10"/>
      <c r="HH195" s="10"/>
      <c r="HI195" s="10"/>
      <c r="HJ195" s="10"/>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c r="IG195" s="10"/>
      <c r="IH195" s="10"/>
      <c r="II195" s="10"/>
      <c r="IJ195" s="10"/>
      <c r="IK195" s="10"/>
      <c r="IL195" s="10"/>
      <c r="IM195" s="10"/>
      <c r="IN195" s="10"/>
      <c r="IO195" s="10"/>
      <c r="IP195" s="10"/>
      <c r="IQ195" s="10"/>
      <c r="IR195" s="10"/>
      <c r="IS195" s="10"/>
      <c r="IT195" s="10"/>
      <c r="IU195" s="10"/>
      <c r="IV195" s="10"/>
      <c r="IW195" s="10"/>
      <c r="IX195" s="10"/>
      <c r="IY195" s="10"/>
      <c r="IZ195" s="10"/>
      <c r="JA195" s="10"/>
      <c r="JB195" s="10"/>
      <c r="JC195" s="10"/>
      <c r="JD195" s="10"/>
      <c r="JE195" s="10"/>
      <c r="JF195" s="10"/>
      <c r="JG195" s="10"/>
      <c r="JH195" s="10"/>
      <c r="JI195" s="10"/>
      <c r="JJ195" s="10"/>
      <c r="JK195" s="10"/>
      <c r="JL195" s="10"/>
      <c r="JM195" s="10"/>
      <c r="JN195" s="10"/>
      <c r="JO195" s="10"/>
      <c r="JP195" s="10"/>
      <c r="JQ195" s="10"/>
      <c r="JR195" s="10"/>
      <c r="JS195" s="10"/>
      <c r="JT195" s="10"/>
      <c r="JU195" s="10"/>
      <c r="JV195" s="10"/>
      <c r="JW195" s="10"/>
      <c r="JX195" s="10"/>
      <c r="JY195" s="10"/>
      <c r="JZ195" s="10"/>
      <c r="KA195" s="10"/>
      <c r="KB195" s="10"/>
      <c r="KC195" s="10"/>
      <c r="KD195" s="10"/>
      <c r="KE195" s="10"/>
      <c r="KF195" s="10"/>
      <c r="KG195" s="10"/>
      <c r="KH195" s="10"/>
      <c r="KI195" s="10"/>
      <c r="KJ195" s="10"/>
      <c r="KK195" s="10"/>
      <c r="KL195" s="10"/>
      <c r="KM195" s="10"/>
      <c r="KN195" s="10"/>
      <c r="KO195" s="10"/>
      <c r="KP195" s="10"/>
      <c r="KQ195" s="10"/>
      <c r="KR195" s="10"/>
      <c r="KS195" s="10"/>
      <c r="KT195" s="10"/>
      <c r="KU195" s="10"/>
      <c r="KV195" s="10"/>
      <c r="KW195" s="10"/>
      <c r="KX195" s="10"/>
      <c r="KY195" s="10"/>
      <c r="KZ195" s="10"/>
      <c r="LA195" s="10"/>
      <c r="LB195" s="10"/>
      <c r="LC195" s="10"/>
      <c r="LD195" s="10"/>
      <c r="LE195" s="10"/>
      <c r="LF195" s="10"/>
      <c r="LG195" s="10"/>
      <c r="LH195" s="10"/>
      <c r="LI195" s="10"/>
      <c r="LJ195" s="10"/>
      <c r="LK195" s="10"/>
      <c r="LL195" s="10"/>
      <c r="LM195" s="10"/>
      <c r="LN195" s="10"/>
      <c r="LO195" s="10"/>
      <c r="LP195" s="10"/>
      <c r="LQ195" s="10"/>
      <c r="LR195" s="10"/>
      <c r="LS195" s="10"/>
      <c r="LT195" s="10"/>
      <c r="LU195" s="10"/>
      <c r="LV195" s="10"/>
      <c r="LW195" s="10"/>
      <c r="LX195" s="10"/>
      <c r="LY195" s="10"/>
      <c r="LZ195" s="10"/>
      <c r="MA195" s="10"/>
      <c r="MB195" s="10"/>
      <c r="MC195" s="10"/>
      <c r="MD195" s="10"/>
      <c r="ME195" s="10"/>
      <c r="MF195" s="10"/>
      <c r="MG195" s="10"/>
      <c r="MH195" s="10"/>
      <c r="MI195" s="10"/>
      <c r="MJ195" s="10"/>
      <c r="MK195" s="10"/>
      <c r="ML195" s="10"/>
      <c r="MM195" s="10"/>
      <c r="MN195" s="10"/>
      <c r="MO195" s="10"/>
      <c r="MP195" s="10"/>
      <c r="MQ195" s="10"/>
      <c r="MR195" s="10"/>
      <c r="MS195" s="10"/>
      <c r="MT195" s="10"/>
      <c r="MU195" s="10"/>
      <c r="MV195" s="10"/>
      <c r="MW195" s="10"/>
      <c r="MX195" s="10"/>
      <c r="MY195" s="10"/>
      <c r="MZ195" s="10"/>
      <c r="NA195" s="10"/>
      <c r="NB195" s="10"/>
      <c r="NC195" s="10"/>
      <c r="ND195" s="10"/>
    </row>
    <row r="196" ht="24.75" customHeight="1">
      <c r="A196" s="8">
        <v>45835.8895909375</v>
      </c>
      <c r="B196" s="9" t="s">
        <v>368</v>
      </c>
      <c r="C196" s="9" t="s">
        <v>370</v>
      </c>
      <c r="D196" s="9" t="s">
        <v>370</v>
      </c>
      <c r="E196" s="9" t="s">
        <v>1798</v>
      </c>
      <c r="F196" s="9" t="s">
        <v>4361</v>
      </c>
      <c r="G196" s="9" t="s">
        <v>1269</v>
      </c>
      <c r="H196" s="9" t="s">
        <v>373</v>
      </c>
      <c r="I196" s="9" t="s">
        <v>374</v>
      </c>
      <c r="J196" s="9" t="s">
        <v>425</v>
      </c>
      <c r="K196" s="9" t="s">
        <v>376</v>
      </c>
      <c r="L196" s="9" t="s">
        <v>379</v>
      </c>
      <c r="M196" s="9" t="s">
        <v>2464</v>
      </c>
      <c r="N196" s="9" t="s">
        <v>591</v>
      </c>
      <c r="O196" s="9" t="s">
        <v>640</v>
      </c>
      <c r="P196" s="9" t="s">
        <v>498</v>
      </c>
      <c r="Q196" s="9" t="s">
        <v>382</v>
      </c>
      <c r="R196" s="9" t="s">
        <v>500</v>
      </c>
      <c r="S196" s="9" t="s">
        <v>384</v>
      </c>
      <c r="T196" s="9" t="s">
        <v>385</v>
      </c>
      <c r="W196" s="9" t="s">
        <v>3231</v>
      </c>
      <c r="AV196" s="9" t="s">
        <v>1242</v>
      </c>
      <c r="AW196" s="9" t="s">
        <v>675</v>
      </c>
      <c r="AX196" s="9" t="s">
        <v>675</v>
      </c>
      <c r="AY196" s="9" t="s">
        <v>675</v>
      </c>
      <c r="AZ196" s="9" t="s">
        <v>675</v>
      </c>
      <c r="BA196" s="9" t="s">
        <v>675</v>
      </c>
      <c r="BB196" s="9" t="s">
        <v>675</v>
      </c>
      <c r="BC196" s="9" t="s">
        <v>4362</v>
      </c>
      <c r="BD196" s="9" t="s">
        <v>4363</v>
      </c>
      <c r="BE196" s="9" t="s">
        <v>2379</v>
      </c>
      <c r="BF196" s="9" t="s">
        <v>1095</v>
      </c>
      <c r="BG196" s="9" t="s">
        <v>725</v>
      </c>
      <c r="BH196" s="9" t="s">
        <v>4364</v>
      </c>
      <c r="BI196" s="9" t="s">
        <v>976</v>
      </c>
      <c r="BK196" s="9" t="s">
        <v>395</v>
      </c>
      <c r="BL196" s="9" t="s">
        <v>904</v>
      </c>
      <c r="BM196" s="9" t="s">
        <v>1314</v>
      </c>
      <c r="BN196" s="9" t="s">
        <v>398</v>
      </c>
      <c r="BO196" s="9" t="s">
        <v>4365</v>
      </c>
      <c r="BP196" s="9" t="s">
        <v>4366</v>
      </c>
      <c r="BQ196" s="9" t="s">
        <v>401</v>
      </c>
      <c r="BR196" s="9" t="s">
        <v>4367</v>
      </c>
      <c r="BS196" s="9" t="s">
        <v>1671</v>
      </c>
      <c r="BT196" s="9" t="s">
        <v>4368</v>
      </c>
      <c r="BU196" s="9" t="s">
        <v>405</v>
      </c>
      <c r="BW196" s="9" t="s">
        <v>988</v>
      </c>
      <c r="BY196" s="9" t="s">
        <v>408</v>
      </c>
      <c r="CA196" s="9" t="s">
        <v>4369</v>
      </c>
      <c r="CB196" s="9" t="s">
        <v>4370</v>
      </c>
      <c r="CC196" s="9" t="s">
        <v>4371</v>
      </c>
      <c r="CD196" s="9" t="s">
        <v>1257</v>
      </c>
      <c r="CF196" s="9" t="s">
        <v>1722</v>
      </c>
      <c r="CG196" s="9" t="s">
        <v>4372</v>
      </c>
      <c r="CH196" s="9" t="s">
        <v>1259</v>
      </c>
      <c r="CI196" s="9" t="s">
        <v>410</v>
      </c>
      <c r="CJ196" s="9" t="s">
        <v>4373</v>
      </c>
      <c r="CK196" s="9" t="s">
        <v>4374</v>
      </c>
      <c r="ET196" s="9" t="s">
        <v>526</v>
      </c>
      <c r="EU196" s="9" t="s">
        <v>479</v>
      </c>
      <c r="EV196" s="9" t="s">
        <v>480</v>
      </c>
      <c r="EW196" s="9" t="s">
        <v>4375</v>
      </c>
      <c r="EX196" s="9" t="s">
        <v>4376</v>
      </c>
      <c r="EY196" s="9" t="s">
        <v>4377</v>
      </c>
      <c r="EZ196" s="9" t="s">
        <v>583</v>
      </c>
      <c r="FA196" s="9" t="s">
        <v>583</v>
      </c>
      <c r="FB196" s="9" t="s">
        <v>413</v>
      </c>
      <c r="FC196" s="9" t="s">
        <v>583</v>
      </c>
      <c r="FD196" s="9" t="s">
        <v>415</v>
      </c>
      <c r="FE196" s="9" t="s">
        <v>583</v>
      </c>
      <c r="FF196" s="9" t="s">
        <v>583</v>
      </c>
      <c r="FG196" s="9" t="s">
        <v>413</v>
      </c>
      <c r="FH196" s="9" t="s">
        <v>583</v>
      </c>
      <c r="FI196" s="9" t="s">
        <v>414</v>
      </c>
      <c r="FJ196" s="9" t="s">
        <v>414</v>
      </c>
      <c r="FK196" s="9" t="s">
        <v>415</v>
      </c>
      <c r="FL196" s="9" t="s">
        <v>415</v>
      </c>
      <c r="FM196" s="9" t="s">
        <v>413</v>
      </c>
      <c r="FN196" s="9" t="s">
        <v>583</v>
      </c>
      <c r="FO196" s="9" t="s">
        <v>417</v>
      </c>
      <c r="FP196" s="9" t="s">
        <v>418</v>
      </c>
      <c r="FQ196" s="9" t="s">
        <v>749</v>
      </c>
      <c r="FR196" s="9" t="s">
        <v>4378</v>
      </c>
      <c r="FS196" s="9" t="s">
        <v>420</v>
      </c>
      <c r="FT196" s="9" t="s">
        <v>488</v>
      </c>
      <c r="FU196" s="9" t="s">
        <v>489</v>
      </c>
      <c r="FV196" s="9" t="s">
        <v>490</v>
      </c>
      <c r="FW196" s="9" t="s">
        <v>491</v>
      </c>
      <c r="FX196" s="9" t="s">
        <v>4379</v>
      </c>
      <c r="FY196" s="9" t="s">
        <v>535</v>
      </c>
      <c r="FZ196" s="9" t="s">
        <v>4380</v>
      </c>
      <c r="GA196" s="9" t="s">
        <v>4381</v>
      </c>
      <c r="GB196" s="9" t="s">
        <v>455</v>
      </c>
      <c r="GC196" s="9"/>
      <c r="GD196" s="9"/>
      <c r="GE196" s="9" t="s">
        <v>1339</v>
      </c>
      <c r="GF196" s="9" t="s">
        <v>4382</v>
      </c>
      <c r="GJ196" s="9" t="s">
        <v>755</v>
      </c>
      <c r="GK196" s="9" t="s">
        <v>755</v>
      </c>
      <c r="GL196" s="9" t="s">
        <v>946</v>
      </c>
      <c r="GP196" s="9" t="s">
        <v>387</v>
      </c>
      <c r="GQ196" s="9" t="s">
        <v>3208</v>
      </c>
      <c r="GR196" s="10"/>
      <c r="GS196" s="10"/>
      <c r="GT196" s="10"/>
      <c r="GU196" s="10"/>
      <c r="GV196" s="10"/>
      <c r="GW196" s="10"/>
      <c r="GX196" s="10"/>
      <c r="GY196" s="10"/>
      <c r="GZ196" s="10"/>
      <c r="HA196" s="10"/>
      <c r="HB196" s="10"/>
      <c r="HC196" s="10"/>
      <c r="HD196" s="10"/>
      <c r="HE196" s="10"/>
      <c r="HF196" s="10"/>
      <c r="HG196" s="10"/>
      <c r="HH196" s="10"/>
      <c r="HI196" s="10"/>
      <c r="HJ196" s="10"/>
      <c r="HK196" s="10"/>
      <c r="HL196" s="10"/>
      <c r="HM196" s="10"/>
      <c r="HN196" s="10"/>
      <c r="HO196" s="10"/>
      <c r="HP196" s="10"/>
      <c r="HQ196" s="10"/>
      <c r="HR196" s="10"/>
      <c r="HS196" s="10"/>
      <c r="HT196" s="10"/>
      <c r="HU196" s="10"/>
      <c r="HV196" s="10"/>
      <c r="HW196" s="10"/>
      <c r="HX196" s="10"/>
      <c r="HY196" s="10"/>
      <c r="HZ196" s="10"/>
      <c r="IA196" s="10"/>
      <c r="IB196" s="10"/>
      <c r="IC196" s="10"/>
      <c r="ID196" s="10"/>
      <c r="IE196" s="10"/>
      <c r="IF196" s="10"/>
      <c r="IG196" s="10"/>
      <c r="IH196" s="10"/>
      <c r="II196" s="10"/>
      <c r="IJ196" s="10"/>
      <c r="IK196" s="10"/>
      <c r="IL196" s="10"/>
      <c r="IM196" s="10"/>
      <c r="IN196" s="10"/>
      <c r="IO196" s="10"/>
      <c r="IP196" s="10"/>
      <c r="IQ196" s="10"/>
      <c r="IR196" s="10"/>
      <c r="IS196" s="10"/>
      <c r="IT196" s="10"/>
      <c r="IU196" s="10"/>
      <c r="IV196" s="10"/>
      <c r="IW196" s="10"/>
      <c r="IX196" s="10"/>
      <c r="IY196" s="10"/>
      <c r="IZ196" s="10"/>
      <c r="JA196" s="10"/>
      <c r="JB196" s="10"/>
      <c r="JC196" s="10"/>
      <c r="JD196" s="10"/>
      <c r="JE196" s="10"/>
      <c r="JF196" s="10"/>
      <c r="JG196" s="10"/>
      <c r="JH196" s="10"/>
      <c r="JI196" s="10"/>
      <c r="JJ196" s="10"/>
      <c r="JK196" s="10"/>
      <c r="JL196" s="10"/>
      <c r="JM196" s="10"/>
      <c r="JN196" s="10"/>
      <c r="JO196" s="10"/>
      <c r="JP196" s="10"/>
      <c r="JQ196" s="10"/>
      <c r="JR196" s="10"/>
      <c r="JS196" s="10"/>
      <c r="JT196" s="10"/>
      <c r="JU196" s="10"/>
      <c r="JV196" s="10"/>
      <c r="JW196" s="10"/>
      <c r="JX196" s="10"/>
      <c r="JY196" s="10"/>
      <c r="JZ196" s="10"/>
      <c r="KA196" s="10"/>
      <c r="KB196" s="10"/>
      <c r="KC196" s="10"/>
      <c r="KD196" s="10"/>
      <c r="KE196" s="10"/>
      <c r="KF196" s="10"/>
      <c r="KG196" s="10"/>
      <c r="KH196" s="10"/>
      <c r="KI196" s="10"/>
      <c r="KJ196" s="10"/>
      <c r="KK196" s="10"/>
      <c r="KL196" s="10"/>
      <c r="KM196" s="10"/>
      <c r="KN196" s="10"/>
      <c r="KO196" s="10"/>
      <c r="KP196" s="10"/>
      <c r="KQ196" s="10"/>
      <c r="KR196" s="10"/>
      <c r="KS196" s="10"/>
      <c r="KT196" s="10"/>
      <c r="KU196" s="10"/>
      <c r="KV196" s="10"/>
      <c r="KW196" s="10"/>
      <c r="KX196" s="10"/>
      <c r="KY196" s="10"/>
      <c r="KZ196" s="10"/>
      <c r="LA196" s="10"/>
      <c r="LB196" s="10"/>
      <c r="LC196" s="10"/>
      <c r="LD196" s="10"/>
      <c r="LE196" s="10"/>
      <c r="LF196" s="10"/>
      <c r="LG196" s="10"/>
      <c r="LH196" s="10"/>
      <c r="LI196" s="10"/>
      <c r="LJ196" s="10"/>
      <c r="LK196" s="10"/>
      <c r="LL196" s="10"/>
      <c r="LM196" s="10"/>
      <c r="LN196" s="10"/>
      <c r="LO196" s="10"/>
      <c r="LP196" s="10"/>
      <c r="LQ196" s="10"/>
      <c r="LR196" s="10"/>
      <c r="LS196" s="10"/>
      <c r="LT196" s="10"/>
      <c r="LU196" s="10"/>
      <c r="LV196" s="10"/>
      <c r="LW196" s="10"/>
      <c r="LX196" s="10"/>
      <c r="LY196" s="10"/>
      <c r="LZ196" s="10"/>
      <c r="MA196" s="10"/>
      <c r="MB196" s="10"/>
      <c r="MC196" s="10"/>
      <c r="MD196" s="10"/>
      <c r="ME196" s="10"/>
      <c r="MF196" s="10"/>
      <c r="MG196" s="10"/>
      <c r="MH196" s="10"/>
      <c r="MI196" s="10"/>
      <c r="MJ196" s="10"/>
      <c r="MK196" s="10"/>
      <c r="ML196" s="10"/>
      <c r="MM196" s="10"/>
      <c r="MN196" s="10"/>
      <c r="MO196" s="10"/>
      <c r="MP196" s="10"/>
      <c r="MQ196" s="10"/>
      <c r="MR196" s="10"/>
      <c r="MS196" s="10"/>
      <c r="MT196" s="10"/>
      <c r="MU196" s="10"/>
      <c r="MV196" s="10"/>
      <c r="MW196" s="10"/>
      <c r="MX196" s="10"/>
      <c r="MY196" s="10"/>
      <c r="MZ196" s="10"/>
      <c r="NA196" s="10"/>
      <c r="NB196" s="10"/>
      <c r="NC196" s="10"/>
      <c r="ND196" s="10"/>
    </row>
    <row r="197" ht="24.75" customHeight="1">
      <c r="A197" s="8">
        <v>45836.08061851852</v>
      </c>
      <c r="B197" s="9" t="s">
        <v>368</v>
      </c>
      <c r="C197" s="9" t="s">
        <v>370</v>
      </c>
      <c r="D197" s="9" t="s">
        <v>370</v>
      </c>
      <c r="E197" s="9" t="s">
        <v>3955</v>
      </c>
      <c r="F197" s="9" t="s">
        <v>2620</v>
      </c>
      <c r="G197" s="9" t="s">
        <v>1102</v>
      </c>
      <c r="H197" s="9" t="s">
        <v>373</v>
      </c>
      <c r="I197" s="9" t="s">
        <v>374</v>
      </c>
      <c r="J197" s="9" t="s">
        <v>590</v>
      </c>
      <c r="K197" s="9" t="s">
        <v>376</v>
      </c>
      <c r="L197" s="9" t="s">
        <v>379</v>
      </c>
      <c r="M197" s="9" t="s">
        <v>640</v>
      </c>
      <c r="N197" s="9" t="s">
        <v>379</v>
      </c>
      <c r="O197" s="9" t="s">
        <v>640</v>
      </c>
      <c r="P197" s="9" t="s">
        <v>592</v>
      </c>
      <c r="Q197" s="9" t="s">
        <v>382</v>
      </c>
      <c r="R197" s="9" t="s">
        <v>1704</v>
      </c>
      <c r="S197" s="9" t="s">
        <v>4383</v>
      </c>
      <c r="T197" s="9" t="s">
        <v>385</v>
      </c>
      <c r="W197" s="9" t="s">
        <v>3014</v>
      </c>
      <c r="AV197" s="9" t="s">
        <v>597</v>
      </c>
      <c r="AW197" s="9" t="s">
        <v>391</v>
      </c>
      <c r="AX197" s="9">
        <v>2.0</v>
      </c>
      <c r="AY197" s="9" t="s">
        <v>429</v>
      </c>
      <c r="AZ197" s="9">
        <v>2.0</v>
      </c>
      <c r="BA197" s="9">
        <v>4.0</v>
      </c>
      <c r="BB197" s="9" t="s">
        <v>391</v>
      </c>
      <c r="BC197" s="9" t="s">
        <v>4384</v>
      </c>
      <c r="BD197" s="9" t="s">
        <v>4385</v>
      </c>
      <c r="BE197" s="9" t="s">
        <v>432</v>
      </c>
      <c r="BF197" s="9" t="s">
        <v>433</v>
      </c>
      <c r="BG197" s="9" t="s">
        <v>765</v>
      </c>
      <c r="BI197" s="9" t="s">
        <v>824</v>
      </c>
      <c r="BK197" s="9" t="s">
        <v>437</v>
      </c>
      <c r="BL197" s="9" t="s">
        <v>396</v>
      </c>
      <c r="BM197" s="9" t="s">
        <v>549</v>
      </c>
      <c r="BN197" s="9" t="s">
        <v>440</v>
      </c>
      <c r="CL197" s="9" t="s">
        <v>441</v>
      </c>
      <c r="CM197" s="9" t="s">
        <v>401</v>
      </c>
      <c r="CN197" s="9" t="s">
        <v>4386</v>
      </c>
      <c r="CO197" s="9" t="s">
        <v>4387</v>
      </c>
      <c r="CP197" s="9" t="s">
        <v>403</v>
      </c>
      <c r="CQ197" s="9" t="s">
        <v>4388</v>
      </c>
      <c r="CR197" s="9" t="s">
        <v>804</v>
      </c>
      <c r="CS197" s="9" t="s">
        <v>4389</v>
      </c>
      <c r="CT197" s="9" t="s">
        <v>4390</v>
      </c>
      <c r="CU197" s="9" t="s">
        <v>450</v>
      </c>
      <c r="CV197" s="9" t="s">
        <v>409</v>
      </c>
      <c r="CW197" s="9" t="s">
        <v>4391</v>
      </c>
      <c r="CX197" s="9" t="s">
        <v>733</v>
      </c>
      <c r="CZ197" s="9" t="s">
        <v>985</v>
      </c>
      <c r="DA197" s="9" t="s">
        <v>4392</v>
      </c>
      <c r="DB197" s="9" t="s">
        <v>913</v>
      </c>
      <c r="DD197" s="9" t="s">
        <v>988</v>
      </c>
      <c r="DF197" s="9" t="s">
        <v>4393</v>
      </c>
      <c r="DG197" s="9" t="s">
        <v>524</v>
      </c>
      <c r="DH197" s="9" t="s">
        <v>1964</v>
      </c>
      <c r="DI197" s="9" t="s">
        <v>459</v>
      </c>
      <c r="DJ197" s="9" t="s">
        <v>460</v>
      </c>
      <c r="DK197" s="9" t="s">
        <v>1434</v>
      </c>
      <c r="DM197" s="9" t="s">
        <v>4394</v>
      </c>
      <c r="DN197" s="9" t="s">
        <v>4395</v>
      </c>
      <c r="DO197" s="9" t="s">
        <v>567</v>
      </c>
      <c r="DP197" s="9" t="s">
        <v>4396</v>
      </c>
      <c r="DQ197" s="9" t="s">
        <v>837</v>
      </c>
      <c r="DR197" s="9" t="s">
        <v>4397</v>
      </c>
      <c r="DS197" s="9" t="s">
        <v>618</v>
      </c>
      <c r="DT197" s="9" t="s">
        <v>570</v>
      </c>
      <c r="DU197" s="9" t="s">
        <v>4398</v>
      </c>
      <c r="DV197" s="9" t="s">
        <v>4399</v>
      </c>
      <c r="DW197" s="9" t="s">
        <v>622</v>
      </c>
      <c r="DX197" s="9" t="s">
        <v>4400</v>
      </c>
      <c r="DY197" s="9" t="s">
        <v>4401</v>
      </c>
      <c r="DZ197" s="9" t="s">
        <v>4402</v>
      </c>
      <c r="EA197" s="9" t="s">
        <v>2960</v>
      </c>
      <c r="EB197" s="9" t="s">
        <v>1183</v>
      </c>
      <c r="ET197" s="9" t="s">
        <v>2747</v>
      </c>
      <c r="EU197" s="9" t="s">
        <v>1037</v>
      </c>
      <c r="EV197" s="9" t="s">
        <v>480</v>
      </c>
      <c r="EX197" s="9" t="s">
        <v>4403</v>
      </c>
      <c r="EY197" s="9" t="s">
        <v>4404</v>
      </c>
      <c r="EZ197" s="9" t="s">
        <v>414</v>
      </c>
      <c r="FA197" s="9" t="s">
        <v>583</v>
      </c>
      <c r="FB197" s="9" t="s">
        <v>414</v>
      </c>
      <c r="FC197" s="9" t="s">
        <v>414</v>
      </c>
      <c r="FD197" s="9" t="s">
        <v>484</v>
      </c>
      <c r="FE197" s="9" t="s">
        <v>414</v>
      </c>
      <c r="FF197" s="9" t="s">
        <v>484</v>
      </c>
      <c r="FG197" s="9" t="s">
        <v>484</v>
      </c>
      <c r="FH197" s="9" t="s">
        <v>484</v>
      </c>
      <c r="FI197" s="9" t="s">
        <v>414</v>
      </c>
      <c r="FJ197" s="9" t="s">
        <v>583</v>
      </c>
      <c r="FK197" s="9" t="s">
        <v>484</v>
      </c>
      <c r="FL197" s="9" t="s">
        <v>484</v>
      </c>
      <c r="FM197" s="9" t="s">
        <v>484</v>
      </c>
      <c r="FN197" s="9" t="s">
        <v>484</v>
      </c>
      <c r="FO197" s="9" t="s">
        <v>417</v>
      </c>
      <c r="FP197" s="9" t="s">
        <v>2524</v>
      </c>
      <c r="FQ197" s="9" t="s">
        <v>630</v>
      </c>
      <c r="FR197" s="9" t="s">
        <v>4405</v>
      </c>
      <c r="FS197" s="9" t="s">
        <v>995</v>
      </c>
      <c r="FT197" s="9" t="s">
        <v>488</v>
      </c>
      <c r="FU197" s="9" t="s">
        <v>489</v>
      </c>
      <c r="FV197" s="9" t="s">
        <v>490</v>
      </c>
      <c r="FW197" s="9" t="s">
        <v>491</v>
      </c>
      <c r="FX197" s="9" t="s">
        <v>4406</v>
      </c>
      <c r="FY197" s="9" t="s">
        <v>493</v>
      </c>
      <c r="GB197" s="9" t="s">
        <v>408</v>
      </c>
      <c r="GG197" s="9" t="s">
        <v>789</v>
      </c>
      <c r="GH197" s="9" t="s">
        <v>789</v>
      </c>
      <c r="GI197" s="9" t="s">
        <v>790</v>
      </c>
      <c r="GM197" s="9" t="s">
        <v>1079</v>
      </c>
      <c r="GQ197" s="9" t="s">
        <v>3208</v>
      </c>
      <c r="GR197" s="10"/>
      <c r="GS197" s="10"/>
      <c r="GT197" s="10"/>
      <c r="GU197" s="10"/>
      <c r="GV197" s="10"/>
      <c r="GW197" s="10"/>
      <c r="GX197" s="10"/>
      <c r="GY197" s="10"/>
      <c r="GZ197" s="10"/>
      <c r="HA197" s="10"/>
      <c r="HB197" s="10"/>
      <c r="HC197" s="10"/>
      <c r="HD197" s="10"/>
      <c r="HE197" s="10"/>
      <c r="HF197" s="10"/>
      <c r="HG197" s="10"/>
      <c r="HH197" s="10"/>
      <c r="HI197" s="10"/>
      <c r="HJ197" s="10"/>
      <c r="HK197" s="10"/>
      <c r="HL197" s="10"/>
      <c r="HM197" s="10"/>
      <c r="HN197" s="10"/>
      <c r="HO197" s="10"/>
      <c r="HP197" s="10"/>
      <c r="HQ197" s="10"/>
      <c r="HR197" s="10"/>
      <c r="HS197" s="10"/>
      <c r="HT197" s="10"/>
      <c r="HU197" s="10"/>
      <c r="HV197" s="10"/>
      <c r="HW197" s="10"/>
      <c r="HX197" s="10"/>
      <c r="HY197" s="10"/>
      <c r="HZ197" s="10"/>
      <c r="IA197" s="10"/>
      <c r="IB197" s="10"/>
      <c r="IC197" s="10"/>
      <c r="ID197" s="10"/>
      <c r="IE197" s="10"/>
      <c r="IF197" s="10"/>
      <c r="IG197" s="10"/>
      <c r="IH197" s="10"/>
      <c r="II197" s="10"/>
      <c r="IJ197" s="10"/>
      <c r="IK197" s="10"/>
      <c r="IL197" s="10"/>
      <c r="IM197" s="10"/>
      <c r="IN197" s="10"/>
      <c r="IO197" s="10"/>
      <c r="IP197" s="10"/>
      <c r="IQ197" s="10"/>
      <c r="IR197" s="10"/>
      <c r="IS197" s="10"/>
      <c r="IT197" s="10"/>
      <c r="IU197" s="10"/>
      <c r="IV197" s="10"/>
      <c r="IW197" s="10"/>
      <c r="IX197" s="10"/>
      <c r="IY197" s="10"/>
      <c r="IZ197" s="10"/>
      <c r="JA197" s="10"/>
      <c r="JB197" s="10"/>
      <c r="JC197" s="10"/>
      <c r="JD197" s="10"/>
      <c r="JE197" s="10"/>
      <c r="JF197" s="10"/>
      <c r="JG197" s="10"/>
      <c r="JH197" s="10"/>
      <c r="JI197" s="10"/>
      <c r="JJ197" s="10"/>
      <c r="JK197" s="10"/>
      <c r="JL197" s="10"/>
      <c r="JM197" s="10"/>
      <c r="JN197" s="10"/>
      <c r="JO197" s="10"/>
      <c r="JP197" s="10"/>
      <c r="JQ197" s="10"/>
      <c r="JR197" s="10"/>
      <c r="JS197" s="10"/>
      <c r="JT197" s="10"/>
      <c r="JU197" s="10"/>
      <c r="JV197" s="10"/>
      <c r="JW197" s="10"/>
      <c r="JX197" s="10"/>
      <c r="JY197" s="10"/>
      <c r="JZ197" s="10"/>
      <c r="KA197" s="10"/>
      <c r="KB197" s="10"/>
      <c r="KC197" s="10"/>
      <c r="KD197" s="10"/>
      <c r="KE197" s="10"/>
      <c r="KF197" s="10"/>
      <c r="KG197" s="10"/>
      <c r="KH197" s="10"/>
      <c r="KI197" s="10"/>
      <c r="KJ197" s="10"/>
      <c r="KK197" s="10"/>
      <c r="KL197" s="10"/>
      <c r="KM197" s="10"/>
      <c r="KN197" s="10"/>
      <c r="KO197" s="10"/>
      <c r="KP197" s="10"/>
      <c r="KQ197" s="10"/>
      <c r="KR197" s="10"/>
      <c r="KS197" s="10"/>
      <c r="KT197" s="10"/>
      <c r="KU197" s="10"/>
      <c r="KV197" s="10"/>
      <c r="KW197" s="10"/>
      <c r="KX197" s="10"/>
      <c r="KY197" s="10"/>
      <c r="KZ197" s="10"/>
      <c r="LA197" s="10"/>
      <c r="LB197" s="10"/>
      <c r="LC197" s="10"/>
      <c r="LD197" s="10"/>
      <c r="LE197" s="10"/>
      <c r="LF197" s="10"/>
      <c r="LG197" s="10"/>
      <c r="LH197" s="10"/>
      <c r="LI197" s="10"/>
      <c r="LJ197" s="10"/>
      <c r="LK197" s="10"/>
      <c r="LL197" s="10"/>
      <c r="LM197" s="10"/>
      <c r="LN197" s="10"/>
      <c r="LO197" s="10"/>
      <c r="LP197" s="10"/>
      <c r="LQ197" s="10"/>
      <c r="LR197" s="10"/>
      <c r="LS197" s="10"/>
      <c r="LT197" s="10"/>
      <c r="LU197" s="10"/>
      <c r="LV197" s="10"/>
      <c r="LW197" s="10"/>
      <c r="LX197" s="10"/>
      <c r="LY197" s="10"/>
      <c r="LZ197" s="10"/>
      <c r="MA197" s="10"/>
      <c r="MB197" s="10"/>
      <c r="MC197" s="10"/>
      <c r="MD197" s="10"/>
      <c r="ME197" s="10"/>
      <c r="MF197" s="10"/>
      <c r="MG197" s="10"/>
      <c r="MH197" s="10"/>
      <c r="MI197" s="10"/>
      <c r="MJ197" s="10"/>
      <c r="MK197" s="10"/>
      <c r="ML197" s="10"/>
      <c r="MM197" s="10"/>
      <c r="MN197" s="10"/>
      <c r="MO197" s="10"/>
      <c r="MP197" s="10"/>
      <c r="MQ197" s="10"/>
      <c r="MR197" s="10"/>
      <c r="MS197" s="10"/>
      <c r="MT197" s="10"/>
      <c r="MU197" s="10"/>
      <c r="MV197" s="10"/>
      <c r="MW197" s="10"/>
      <c r="MX197" s="10"/>
      <c r="MY197" s="10"/>
      <c r="MZ197" s="10"/>
      <c r="NA197" s="10"/>
      <c r="NB197" s="10"/>
      <c r="NC197" s="10"/>
      <c r="ND197" s="10"/>
    </row>
    <row r="198" ht="24.75" customHeight="1">
      <c r="A198" s="8">
        <v>45836.20510865741</v>
      </c>
      <c r="B198" s="9" t="s">
        <v>368</v>
      </c>
      <c r="C198" s="9" t="s">
        <v>894</v>
      </c>
      <c r="D198" s="9" t="s">
        <v>894</v>
      </c>
      <c r="G198" s="9" t="s">
        <v>422</v>
      </c>
      <c r="H198" s="9" t="s">
        <v>539</v>
      </c>
      <c r="I198" s="9" t="s">
        <v>2578</v>
      </c>
      <c r="J198" s="9" t="s">
        <v>540</v>
      </c>
      <c r="K198" s="9" t="s">
        <v>376</v>
      </c>
      <c r="L198" s="9" t="s">
        <v>379</v>
      </c>
      <c r="M198" s="9" t="s">
        <v>378</v>
      </c>
      <c r="N198" s="9" t="s">
        <v>793</v>
      </c>
      <c r="O198" s="9" t="s">
        <v>719</v>
      </c>
      <c r="P198" s="9" t="s">
        <v>381</v>
      </c>
      <c r="Q198" s="9" t="s">
        <v>862</v>
      </c>
      <c r="R198" s="9" t="s">
        <v>500</v>
      </c>
      <c r="S198" s="9" t="s">
        <v>384</v>
      </c>
      <c r="T198" s="9" t="s">
        <v>385</v>
      </c>
      <c r="U198" s="9" t="s">
        <v>896</v>
      </c>
      <c r="V198" s="9" t="s">
        <v>4407</v>
      </c>
      <c r="W198" s="9" t="s">
        <v>593</v>
      </c>
      <c r="X198" s="9" t="s">
        <v>387</v>
      </c>
      <c r="Y198" s="9" t="s">
        <v>1824</v>
      </c>
      <c r="Z198" s="9" t="s">
        <v>543</v>
      </c>
      <c r="AV198" s="9" t="s">
        <v>597</v>
      </c>
      <c r="AW198" s="9" t="s">
        <v>429</v>
      </c>
      <c r="AX198" s="9" t="s">
        <v>429</v>
      </c>
      <c r="AY198" s="9" t="s">
        <v>429</v>
      </c>
      <c r="AZ198" s="9" t="s">
        <v>429</v>
      </c>
      <c r="BA198" s="9" t="s">
        <v>429</v>
      </c>
      <c r="BB198" s="9" t="s">
        <v>429</v>
      </c>
      <c r="BC198" s="9" t="s">
        <v>1514</v>
      </c>
      <c r="BD198" s="9" t="s">
        <v>4408</v>
      </c>
      <c r="BE198" s="9" t="s">
        <v>392</v>
      </c>
      <c r="BF198" s="9" t="s">
        <v>433</v>
      </c>
      <c r="BG198" s="9" t="s">
        <v>725</v>
      </c>
      <c r="BI198" s="9" t="s">
        <v>435</v>
      </c>
      <c r="BK198" s="9" t="s">
        <v>602</v>
      </c>
      <c r="BL198" s="9" t="s">
        <v>438</v>
      </c>
      <c r="BM198" s="9" t="s">
        <v>549</v>
      </c>
      <c r="BN198" s="9" t="s">
        <v>513</v>
      </c>
      <c r="CN198" s="9" t="s">
        <v>2022</v>
      </c>
      <c r="CO198" s="9" t="s">
        <v>4409</v>
      </c>
      <c r="CP198" s="9" t="s">
        <v>979</v>
      </c>
      <c r="CQ198" s="9" t="s">
        <v>4410</v>
      </c>
      <c r="CR198" s="9" t="s">
        <v>804</v>
      </c>
      <c r="CS198" s="9" t="s">
        <v>4411</v>
      </c>
      <c r="CT198" s="9" t="s">
        <v>4412</v>
      </c>
      <c r="CU198" s="9" t="s">
        <v>519</v>
      </c>
      <c r="CV198" s="9" t="s">
        <v>451</v>
      </c>
      <c r="CW198" s="9" t="s">
        <v>2521</v>
      </c>
      <c r="CX198" s="9" t="s">
        <v>408</v>
      </c>
      <c r="CZ198" s="9" t="s">
        <v>985</v>
      </c>
      <c r="DA198" s="9" t="s">
        <v>4413</v>
      </c>
      <c r="DB198" s="9" t="s">
        <v>408</v>
      </c>
      <c r="DD198" s="9" t="s">
        <v>988</v>
      </c>
      <c r="DG198" s="9" t="s">
        <v>561</v>
      </c>
      <c r="DH198" s="9" t="s">
        <v>1220</v>
      </c>
      <c r="DI198" s="9" t="s">
        <v>459</v>
      </c>
      <c r="DJ198" s="9" t="s">
        <v>460</v>
      </c>
      <c r="DK198" s="9" t="s">
        <v>461</v>
      </c>
      <c r="ET198" s="9" t="s">
        <v>526</v>
      </c>
      <c r="EU198" s="9" t="s">
        <v>887</v>
      </c>
      <c r="EV198" s="9" t="s">
        <v>480</v>
      </c>
      <c r="EX198" s="9" t="s">
        <v>4414</v>
      </c>
      <c r="EY198" s="9" t="s">
        <v>4415</v>
      </c>
      <c r="EZ198" s="9" t="s">
        <v>583</v>
      </c>
      <c r="FA198" s="9" t="s">
        <v>583</v>
      </c>
      <c r="FB198" s="9" t="s">
        <v>414</v>
      </c>
      <c r="FC198" s="9" t="s">
        <v>583</v>
      </c>
      <c r="FD198" s="9" t="s">
        <v>413</v>
      </c>
      <c r="FE198" s="9" t="s">
        <v>583</v>
      </c>
      <c r="FF198" s="9" t="s">
        <v>583</v>
      </c>
      <c r="FG198" s="9" t="s">
        <v>583</v>
      </c>
      <c r="FH198" s="9" t="s">
        <v>413</v>
      </c>
      <c r="FI198" s="9" t="s">
        <v>583</v>
      </c>
      <c r="FJ198" s="9" t="s">
        <v>583</v>
      </c>
      <c r="FK198" s="9" t="s">
        <v>583</v>
      </c>
      <c r="FL198" s="9" t="s">
        <v>583</v>
      </c>
      <c r="FM198" s="9" t="s">
        <v>415</v>
      </c>
      <c r="FN198" s="9" t="s">
        <v>415</v>
      </c>
      <c r="FQ198" s="9" t="s">
        <v>419</v>
      </c>
      <c r="FR198" s="9" t="s">
        <v>4416</v>
      </c>
      <c r="FS198" s="9" t="s">
        <v>1076</v>
      </c>
      <c r="FT198" s="9" t="s">
        <v>488</v>
      </c>
      <c r="FU198" s="9" t="s">
        <v>489</v>
      </c>
      <c r="FV198" s="9" t="s">
        <v>490</v>
      </c>
      <c r="FW198" s="9" t="s">
        <v>491</v>
      </c>
      <c r="FX198" s="9" t="s">
        <v>4417</v>
      </c>
      <c r="FY198" s="9" t="s">
        <v>1337</v>
      </c>
      <c r="GB198" s="9" t="s">
        <v>408</v>
      </c>
      <c r="GG198" s="9" t="s">
        <v>755</v>
      </c>
      <c r="GH198" s="9" t="s">
        <v>755</v>
      </c>
      <c r="GI198" s="9" t="s">
        <v>921</v>
      </c>
      <c r="GQ198" s="9" t="s">
        <v>3208</v>
      </c>
      <c r="GR198" s="10"/>
      <c r="GS198" s="10"/>
      <c r="GT198" s="10"/>
      <c r="GU198" s="10"/>
      <c r="GV198" s="10"/>
      <c r="GW198" s="10"/>
      <c r="GX198" s="10"/>
      <c r="GY198" s="10"/>
      <c r="GZ198" s="10"/>
      <c r="HA198" s="10"/>
      <c r="HB198" s="10"/>
      <c r="HC198" s="10"/>
      <c r="HD198" s="10"/>
      <c r="HE198" s="10"/>
      <c r="HF198" s="10"/>
      <c r="HG198" s="10"/>
      <c r="HH198" s="10"/>
      <c r="HI198" s="10"/>
      <c r="HJ198" s="10"/>
      <c r="HK198" s="10"/>
      <c r="HL198" s="10"/>
      <c r="HM198" s="10"/>
      <c r="HN198" s="10"/>
      <c r="HO198" s="10"/>
      <c r="HP198" s="10"/>
      <c r="HQ198" s="10"/>
      <c r="HR198" s="10"/>
      <c r="HS198" s="10"/>
      <c r="HT198" s="10"/>
      <c r="HU198" s="10"/>
      <c r="HV198" s="10"/>
      <c r="HW198" s="10"/>
      <c r="HX198" s="10"/>
      <c r="HY198" s="10"/>
      <c r="HZ198" s="10"/>
      <c r="IA198" s="10"/>
      <c r="IB198" s="10"/>
      <c r="IC198" s="10"/>
      <c r="ID198" s="10"/>
      <c r="IE198" s="10"/>
      <c r="IF198" s="10"/>
      <c r="IG198" s="10"/>
      <c r="IH198" s="10"/>
      <c r="II198" s="10"/>
      <c r="IJ198" s="10"/>
      <c r="IK198" s="10"/>
      <c r="IL198" s="10"/>
      <c r="IM198" s="10"/>
      <c r="IN198" s="10"/>
      <c r="IO198" s="10"/>
      <c r="IP198" s="10"/>
      <c r="IQ198" s="10"/>
      <c r="IR198" s="10"/>
      <c r="IS198" s="10"/>
      <c r="IT198" s="10"/>
      <c r="IU198" s="10"/>
      <c r="IV198" s="10"/>
      <c r="IW198" s="10"/>
      <c r="IX198" s="10"/>
      <c r="IY198" s="10"/>
      <c r="IZ198" s="10"/>
      <c r="JA198" s="10"/>
      <c r="JB198" s="10"/>
      <c r="JC198" s="10"/>
      <c r="JD198" s="10"/>
      <c r="JE198" s="10"/>
      <c r="JF198" s="10"/>
      <c r="JG198" s="10"/>
      <c r="JH198" s="10"/>
      <c r="JI198" s="10"/>
      <c r="JJ198" s="10"/>
      <c r="JK198" s="10"/>
      <c r="JL198" s="10"/>
      <c r="JM198" s="10"/>
      <c r="JN198" s="10"/>
      <c r="JO198" s="10"/>
      <c r="JP198" s="10"/>
      <c r="JQ198" s="10"/>
      <c r="JR198" s="10"/>
      <c r="JS198" s="10"/>
      <c r="JT198" s="10"/>
      <c r="JU198" s="10"/>
      <c r="JV198" s="10"/>
      <c r="JW198" s="10"/>
      <c r="JX198" s="10"/>
      <c r="JY198" s="10"/>
      <c r="JZ198" s="10"/>
      <c r="KA198" s="10"/>
      <c r="KB198" s="10"/>
      <c r="KC198" s="10"/>
      <c r="KD198" s="10"/>
      <c r="KE198" s="10"/>
      <c r="KF198" s="10"/>
      <c r="KG198" s="10"/>
      <c r="KH198" s="10"/>
      <c r="KI198" s="10"/>
      <c r="KJ198" s="10"/>
      <c r="KK198" s="10"/>
      <c r="KL198" s="10"/>
      <c r="KM198" s="10"/>
      <c r="KN198" s="10"/>
      <c r="KO198" s="10"/>
      <c r="KP198" s="10"/>
      <c r="KQ198" s="10"/>
      <c r="KR198" s="10"/>
      <c r="KS198" s="10"/>
      <c r="KT198" s="10"/>
      <c r="KU198" s="10"/>
      <c r="KV198" s="10"/>
      <c r="KW198" s="10"/>
      <c r="KX198" s="10"/>
      <c r="KY198" s="10"/>
      <c r="KZ198" s="10"/>
      <c r="LA198" s="10"/>
      <c r="LB198" s="10"/>
      <c r="LC198" s="10"/>
      <c r="LD198" s="10"/>
      <c r="LE198" s="10"/>
      <c r="LF198" s="10"/>
      <c r="LG198" s="10"/>
      <c r="LH198" s="10"/>
      <c r="LI198" s="10"/>
      <c r="LJ198" s="10"/>
      <c r="LK198" s="10"/>
      <c r="LL198" s="10"/>
      <c r="LM198" s="10"/>
      <c r="LN198" s="10"/>
      <c r="LO198" s="10"/>
      <c r="LP198" s="10"/>
      <c r="LQ198" s="10"/>
      <c r="LR198" s="10"/>
      <c r="LS198" s="10"/>
      <c r="LT198" s="10"/>
      <c r="LU198" s="10"/>
      <c r="LV198" s="10"/>
      <c r="LW198" s="10"/>
      <c r="LX198" s="10"/>
      <c r="LY198" s="10"/>
      <c r="LZ198" s="10"/>
      <c r="MA198" s="10"/>
      <c r="MB198" s="10"/>
      <c r="MC198" s="10"/>
      <c r="MD198" s="10"/>
      <c r="ME198" s="10"/>
      <c r="MF198" s="10"/>
      <c r="MG198" s="10"/>
      <c r="MH198" s="10"/>
      <c r="MI198" s="10"/>
      <c r="MJ198" s="10"/>
      <c r="MK198" s="10"/>
      <c r="ML198" s="10"/>
      <c r="MM198" s="10"/>
      <c r="MN198" s="10"/>
      <c r="MO198" s="10"/>
      <c r="MP198" s="10"/>
      <c r="MQ198" s="10"/>
      <c r="MR198" s="10"/>
      <c r="MS198" s="10"/>
      <c r="MT198" s="10"/>
      <c r="MU198" s="10"/>
      <c r="MV198" s="10"/>
      <c r="MW198" s="10"/>
      <c r="MX198" s="10"/>
      <c r="MY198" s="10"/>
      <c r="MZ198" s="10"/>
      <c r="NA198" s="10"/>
      <c r="NB198" s="10"/>
      <c r="NC198" s="10"/>
      <c r="ND198" s="10"/>
    </row>
    <row r="199" ht="24.75" customHeight="1">
      <c r="A199" s="8">
        <v>45836.34391229167</v>
      </c>
      <c r="B199" s="9" t="s">
        <v>368</v>
      </c>
      <c r="C199" s="9" t="s">
        <v>894</v>
      </c>
      <c r="D199" s="9" t="s">
        <v>370</v>
      </c>
      <c r="F199" s="9" t="s">
        <v>371</v>
      </c>
      <c r="G199" s="9" t="s">
        <v>422</v>
      </c>
      <c r="H199" s="9" t="s">
        <v>373</v>
      </c>
      <c r="I199" s="9" t="s">
        <v>374</v>
      </c>
      <c r="J199" s="9" t="s">
        <v>718</v>
      </c>
      <c r="K199" s="9" t="s">
        <v>376</v>
      </c>
      <c r="L199" s="9" t="s">
        <v>591</v>
      </c>
      <c r="M199" s="9" t="s">
        <v>860</v>
      </c>
      <c r="N199" s="9" t="s">
        <v>379</v>
      </c>
      <c r="O199" s="9" t="s">
        <v>671</v>
      </c>
      <c r="P199" s="9" t="s">
        <v>592</v>
      </c>
      <c r="Q199" s="9" t="s">
        <v>382</v>
      </c>
      <c r="R199" s="9" t="s">
        <v>500</v>
      </c>
      <c r="S199" s="9" t="s">
        <v>384</v>
      </c>
      <c r="T199" s="9" t="s">
        <v>385</v>
      </c>
      <c r="U199" s="9" t="s">
        <v>1045</v>
      </c>
      <c r="W199" s="9" t="s">
        <v>386</v>
      </c>
      <c r="X199" s="9" t="s">
        <v>387</v>
      </c>
      <c r="Y199" s="9" t="s">
        <v>388</v>
      </c>
      <c r="Z199" s="9" t="s">
        <v>543</v>
      </c>
      <c r="AA199" s="9" t="s">
        <v>4418</v>
      </c>
      <c r="AB199" s="9" t="s">
        <v>4419</v>
      </c>
      <c r="AV199" s="9" t="s">
        <v>1310</v>
      </c>
      <c r="AW199" s="9" t="s">
        <v>675</v>
      </c>
      <c r="AX199" s="9" t="s">
        <v>675</v>
      </c>
      <c r="AY199" s="9" t="s">
        <v>675</v>
      </c>
      <c r="AZ199" s="9" t="s">
        <v>675</v>
      </c>
      <c r="BA199" s="9" t="s">
        <v>675</v>
      </c>
      <c r="BB199" s="9" t="s">
        <v>675</v>
      </c>
      <c r="BD199" s="9" t="s">
        <v>4420</v>
      </c>
      <c r="BE199" s="9" t="s">
        <v>392</v>
      </c>
      <c r="BF199" s="9" t="s">
        <v>1095</v>
      </c>
      <c r="BG199" s="9" t="s">
        <v>394</v>
      </c>
      <c r="BH199" s="9" t="s">
        <v>4421</v>
      </c>
      <c r="BI199" s="9" t="s">
        <v>976</v>
      </c>
      <c r="BJ199" s="9" t="s">
        <v>4422</v>
      </c>
      <c r="BK199" s="9" t="s">
        <v>437</v>
      </c>
      <c r="BL199" s="9" t="s">
        <v>603</v>
      </c>
      <c r="BM199" s="9" t="s">
        <v>1247</v>
      </c>
      <c r="BN199" s="9" t="s">
        <v>398</v>
      </c>
      <c r="BO199" s="9" t="s">
        <v>4423</v>
      </c>
      <c r="BP199" s="9" t="s">
        <v>4424</v>
      </c>
      <c r="BQ199" s="9" t="s">
        <v>604</v>
      </c>
      <c r="BR199" s="9" t="s">
        <v>4425</v>
      </c>
      <c r="BS199" s="9" t="s">
        <v>1671</v>
      </c>
      <c r="BT199" s="9" t="s">
        <v>1994</v>
      </c>
      <c r="BU199" s="9" t="s">
        <v>405</v>
      </c>
      <c r="BV199" s="9" t="s">
        <v>4426</v>
      </c>
      <c r="BW199" s="9" t="s">
        <v>457</v>
      </c>
      <c r="BY199" s="9" t="s">
        <v>408</v>
      </c>
      <c r="CA199" s="9" t="s">
        <v>4427</v>
      </c>
      <c r="CB199" s="9" t="s">
        <v>4428</v>
      </c>
      <c r="CC199" s="9" t="s">
        <v>4429</v>
      </c>
      <c r="CD199" s="9" t="s">
        <v>409</v>
      </c>
      <c r="CE199" s="9" t="s">
        <v>4430</v>
      </c>
      <c r="CF199" s="9" t="s">
        <v>1722</v>
      </c>
      <c r="CG199" s="9" t="s">
        <v>4431</v>
      </c>
      <c r="CH199" s="9" t="s">
        <v>1698</v>
      </c>
      <c r="CI199" s="9" t="s">
        <v>410</v>
      </c>
      <c r="CJ199" s="9" t="s">
        <v>4432</v>
      </c>
      <c r="ET199" s="9" t="s">
        <v>578</v>
      </c>
      <c r="EU199" s="9" t="s">
        <v>579</v>
      </c>
      <c r="EV199" s="9" t="s">
        <v>1262</v>
      </c>
      <c r="EX199" s="9" t="s">
        <v>4433</v>
      </c>
      <c r="EY199" s="9" t="s">
        <v>4434</v>
      </c>
      <c r="EZ199" s="9" t="s">
        <v>415</v>
      </c>
      <c r="FA199" s="9" t="s">
        <v>583</v>
      </c>
      <c r="FB199" s="9" t="s">
        <v>413</v>
      </c>
      <c r="FC199" s="9" t="s">
        <v>416</v>
      </c>
      <c r="FD199" s="9" t="s">
        <v>413</v>
      </c>
      <c r="FE199" s="9" t="s">
        <v>484</v>
      </c>
      <c r="FF199" s="9" t="s">
        <v>415</v>
      </c>
      <c r="FG199" s="9" t="s">
        <v>413</v>
      </c>
      <c r="FH199" s="9" t="s">
        <v>414</v>
      </c>
      <c r="FI199" s="9" t="s">
        <v>416</v>
      </c>
      <c r="FJ199" s="9" t="s">
        <v>416</v>
      </c>
      <c r="FK199" s="9" t="s">
        <v>415</v>
      </c>
      <c r="FL199" s="9" t="s">
        <v>415</v>
      </c>
      <c r="FM199" s="9" t="s">
        <v>415</v>
      </c>
      <c r="FN199" s="9" t="s">
        <v>415</v>
      </c>
      <c r="FO199" s="9" t="s">
        <v>485</v>
      </c>
      <c r="FP199" s="9" t="s">
        <v>418</v>
      </c>
      <c r="FQ199" s="9" t="s">
        <v>531</v>
      </c>
      <c r="FS199" s="9" t="s">
        <v>420</v>
      </c>
      <c r="FT199" s="9" t="s">
        <v>488</v>
      </c>
      <c r="FU199" s="9" t="s">
        <v>533</v>
      </c>
      <c r="FV199" s="9" t="s">
        <v>490</v>
      </c>
      <c r="FW199" s="9" t="s">
        <v>491</v>
      </c>
      <c r="FX199" s="9" t="s">
        <v>4435</v>
      </c>
      <c r="FY199" s="9" t="s">
        <v>535</v>
      </c>
      <c r="FZ199" s="9" t="s">
        <v>4436</v>
      </c>
      <c r="GB199" s="9" t="s">
        <v>408</v>
      </c>
      <c r="GJ199" s="9" t="s">
        <v>755</v>
      </c>
      <c r="GK199" s="9" t="s">
        <v>755</v>
      </c>
      <c r="GL199" s="9" t="s">
        <v>817</v>
      </c>
      <c r="GQ199" s="9" t="s">
        <v>3208</v>
      </c>
      <c r="GR199" s="10"/>
      <c r="GS199" s="10"/>
      <c r="GT199" s="10"/>
      <c r="GU199" s="10"/>
      <c r="GV199" s="10"/>
      <c r="GW199" s="10"/>
      <c r="GX199" s="10"/>
      <c r="GY199" s="10"/>
      <c r="GZ199" s="10"/>
      <c r="HA199" s="10"/>
      <c r="HB199" s="10"/>
      <c r="HC199" s="10"/>
      <c r="HD199" s="10"/>
      <c r="HE199" s="10"/>
      <c r="HF199" s="10"/>
      <c r="HG199" s="10"/>
      <c r="HH199" s="10"/>
      <c r="HI199" s="10"/>
      <c r="HJ199" s="10"/>
      <c r="HK199" s="10"/>
      <c r="HL199" s="10"/>
      <c r="HM199" s="10"/>
      <c r="HN199" s="10"/>
      <c r="HO199" s="10"/>
      <c r="HP199" s="10"/>
      <c r="HQ199" s="10"/>
      <c r="HR199" s="10"/>
      <c r="HS199" s="10"/>
      <c r="HT199" s="10"/>
      <c r="HU199" s="10"/>
      <c r="HV199" s="10"/>
      <c r="HW199" s="10"/>
      <c r="HX199" s="10"/>
      <c r="HY199" s="10"/>
      <c r="HZ199" s="10"/>
      <c r="IA199" s="10"/>
      <c r="IB199" s="10"/>
      <c r="IC199" s="10"/>
      <c r="ID199" s="10"/>
      <c r="IE199" s="10"/>
      <c r="IF199" s="10"/>
      <c r="IG199" s="10"/>
      <c r="IH199" s="10"/>
      <c r="II199" s="10"/>
      <c r="IJ199" s="10"/>
      <c r="IK199" s="10"/>
      <c r="IL199" s="10"/>
      <c r="IM199" s="10"/>
      <c r="IN199" s="10"/>
      <c r="IO199" s="10"/>
      <c r="IP199" s="10"/>
      <c r="IQ199" s="10"/>
      <c r="IR199" s="10"/>
      <c r="IS199" s="10"/>
      <c r="IT199" s="10"/>
      <c r="IU199" s="10"/>
      <c r="IV199" s="10"/>
      <c r="IW199" s="10"/>
      <c r="IX199" s="10"/>
      <c r="IY199" s="10"/>
      <c r="IZ199" s="10"/>
      <c r="JA199" s="10"/>
      <c r="JB199" s="10"/>
      <c r="JC199" s="10"/>
      <c r="JD199" s="10"/>
      <c r="JE199" s="10"/>
      <c r="JF199" s="10"/>
      <c r="JG199" s="10"/>
      <c r="JH199" s="10"/>
      <c r="JI199" s="10"/>
      <c r="JJ199" s="10"/>
      <c r="JK199" s="10"/>
      <c r="JL199" s="10"/>
      <c r="JM199" s="10"/>
      <c r="JN199" s="10"/>
      <c r="JO199" s="10"/>
      <c r="JP199" s="10"/>
      <c r="JQ199" s="10"/>
      <c r="JR199" s="10"/>
      <c r="JS199" s="10"/>
      <c r="JT199" s="10"/>
      <c r="JU199" s="10"/>
      <c r="JV199" s="10"/>
      <c r="JW199" s="10"/>
      <c r="JX199" s="10"/>
      <c r="JY199" s="10"/>
      <c r="JZ199" s="10"/>
      <c r="KA199" s="10"/>
      <c r="KB199" s="10"/>
      <c r="KC199" s="10"/>
      <c r="KD199" s="10"/>
      <c r="KE199" s="10"/>
      <c r="KF199" s="10"/>
      <c r="KG199" s="10"/>
      <c r="KH199" s="10"/>
      <c r="KI199" s="10"/>
      <c r="KJ199" s="10"/>
      <c r="KK199" s="10"/>
      <c r="KL199" s="10"/>
      <c r="KM199" s="10"/>
      <c r="KN199" s="10"/>
      <c r="KO199" s="10"/>
      <c r="KP199" s="10"/>
      <c r="KQ199" s="10"/>
      <c r="KR199" s="10"/>
      <c r="KS199" s="10"/>
      <c r="KT199" s="10"/>
      <c r="KU199" s="10"/>
      <c r="KV199" s="10"/>
      <c r="KW199" s="10"/>
      <c r="KX199" s="10"/>
      <c r="KY199" s="10"/>
      <c r="KZ199" s="10"/>
      <c r="LA199" s="10"/>
      <c r="LB199" s="10"/>
      <c r="LC199" s="10"/>
      <c r="LD199" s="10"/>
      <c r="LE199" s="10"/>
      <c r="LF199" s="10"/>
      <c r="LG199" s="10"/>
      <c r="LH199" s="10"/>
      <c r="LI199" s="10"/>
      <c r="LJ199" s="10"/>
      <c r="LK199" s="10"/>
      <c r="LL199" s="10"/>
      <c r="LM199" s="10"/>
      <c r="LN199" s="10"/>
      <c r="LO199" s="10"/>
      <c r="LP199" s="10"/>
      <c r="LQ199" s="10"/>
      <c r="LR199" s="10"/>
      <c r="LS199" s="10"/>
      <c r="LT199" s="10"/>
      <c r="LU199" s="10"/>
      <c r="LV199" s="10"/>
      <c r="LW199" s="10"/>
      <c r="LX199" s="10"/>
      <c r="LY199" s="10"/>
      <c r="LZ199" s="10"/>
      <c r="MA199" s="10"/>
      <c r="MB199" s="10"/>
      <c r="MC199" s="10"/>
      <c r="MD199" s="10"/>
      <c r="ME199" s="10"/>
      <c r="MF199" s="10"/>
      <c r="MG199" s="10"/>
      <c r="MH199" s="10"/>
      <c r="MI199" s="10"/>
      <c r="MJ199" s="10"/>
      <c r="MK199" s="10"/>
      <c r="ML199" s="10"/>
      <c r="MM199" s="10"/>
      <c r="MN199" s="10"/>
      <c r="MO199" s="10"/>
      <c r="MP199" s="10"/>
      <c r="MQ199" s="10"/>
      <c r="MR199" s="10"/>
      <c r="MS199" s="10"/>
      <c r="MT199" s="10"/>
      <c r="MU199" s="10"/>
      <c r="MV199" s="10"/>
      <c r="MW199" s="10"/>
      <c r="MX199" s="10"/>
      <c r="MY199" s="10"/>
      <c r="MZ199" s="10"/>
      <c r="NA199" s="10"/>
      <c r="NB199" s="10"/>
      <c r="NC199" s="10"/>
      <c r="ND199" s="10"/>
    </row>
    <row r="200" ht="24.75" customHeight="1">
      <c r="A200" s="8">
        <v>45836.46845483796</v>
      </c>
      <c r="B200" s="9" t="s">
        <v>368</v>
      </c>
      <c r="C200" s="9" t="s">
        <v>894</v>
      </c>
      <c r="D200" s="9" t="s">
        <v>894</v>
      </c>
      <c r="G200" s="9" t="s">
        <v>422</v>
      </c>
      <c r="H200" s="9" t="s">
        <v>373</v>
      </c>
      <c r="I200" s="9" t="s">
        <v>374</v>
      </c>
      <c r="J200" s="9" t="s">
        <v>425</v>
      </c>
      <c r="K200" s="9" t="s">
        <v>376</v>
      </c>
      <c r="L200" s="9" t="s">
        <v>670</v>
      </c>
      <c r="M200" s="9" t="s">
        <v>639</v>
      </c>
      <c r="N200" s="9" t="s">
        <v>670</v>
      </c>
      <c r="O200" s="9" t="s">
        <v>671</v>
      </c>
      <c r="P200" s="9" t="s">
        <v>592</v>
      </c>
      <c r="Q200" s="9" t="s">
        <v>862</v>
      </c>
      <c r="R200" s="9" t="s">
        <v>427</v>
      </c>
      <c r="S200" s="9" t="s">
        <v>384</v>
      </c>
      <c r="T200" s="9" t="s">
        <v>385</v>
      </c>
      <c r="U200" s="9" t="s">
        <v>1241</v>
      </c>
      <c r="V200" s="9" t="s">
        <v>1241</v>
      </c>
      <c r="W200" s="9" t="s">
        <v>3231</v>
      </c>
      <c r="AV200" s="9" t="s">
        <v>1310</v>
      </c>
      <c r="AW200" s="9">
        <v>2.0</v>
      </c>
      <c r="AX200" s="9" t="s">
        <v>429</v>
      </c>
      <c r="AY200" s="9">
        <v>4.0</v>
      </c>
      <c r="AZ200" s="9">
        <v>4.0</v>
      </c>
      <c r="BA200" s="9">
        <v>4.0</v>
      </c>
      <c r="BB200" s="9" t="s">
        <v>391</v>
      </c>
      <c r="BE200" s="9" t="s">
        <v>432</v>
      </c>
      <c r="BF200" s="9" t="s">
        <v>433</v>
      </c>
      <c r="BG200" s="9" t="s">
        <v>394</v>
      </c>
      <c r="BI200" s="9" t="s">
        <v>824</v>
      </c>
      <c r="BK200" s="9" t="s">
        <v>602</v>
      </c>
      <c r="BM200" s="9" t="s">
        <v>1247</v>
      </c>
      <c r="BN200" s="9" t="s">
        <v>440</v>
      </c>
      <c r="CL200" s="9" t="s">
        <v>441</v>
      </c>
      <c r="CM200" s="9" t="s">
        <v>604</v>
      </c>
      <c r="CN200" s="9" t="s">
        <v>4437</v>
      </c>
      <c r="CO200" s="9" t="s">
        <v>4438</v>
      </c>
      <c r="CP200" s="9" t="s">
        <v>685</v>
      </c>
      <c r="CQ200" s="9" t="s">
        <v>1467</v>
      </c>
      <c r="CR200" s="9" t="s">
        <v>447</v>
      </c>
      <c r="CS200" s="9" t="s">
        <v>448</v>
      </c>
      <c r="CT200" s="9" t="s">
        <v>4439</v>
      </c>
      <c r="CU200" s="9" t="s">
        <v>1961</v>
      </c>
      <c r="CV200" s="9" t="s">
        <v>451</v>
      </c>
      <c r="CW200" s="9" t="s">
        <v>4440</v>
      </c>
      <c r="CX200" s="9" t="s">
        <v>408</v>
      </c>
      <c r="CZ200" s="9" t="s">
        <v>453</v>
      </c>
      <c r="DA200" s="9" t="s">
        <v>4441</v>
      </c>
      <c r="DB200" s="9" t="s">
        <v>408</v>
      </c>
      <c r="DD200" s="9" t="s">
        <v>988</v>
      </c>
      <c r="DF200" s="9" t="s">
        <v>4442</v>
      </c>
      <c r="DG200" s="9" t="s">
        <v>561</v>
      </c>
      <c r="DH200" s="9" t="s">
        <v>410</v>
      </c>
      <c r="DI200" s="9" t="s">
        <v>459</v>
      </c>
      <c r="DJ200" s="9" t="s">
        <v>460</v>
      </c>
      <c r="DK200" s="9" t="s">
        <v>461</v>
      </c>
      <c r="DM200" s="9" t="s">
        <v>4443</v>
      </c>
      <c r="DN200" s="9" t="s">
        <v>4444</v>
      </c>
      <c r="DO200" s="9" t="s">
        <v>464</v>
      </c>
      <c r="DP200" s="9" t="s">
        <v>4445</v>
      </c>
      <c r="DQ200" s="9" t="s">
        <v>1578</v>
      </c>
      <c r="DR200" s="9" t="s">
        <v>4446</v>
      </c>
      <c r="DS200" s="9" t="s">
        <v>839</v>
      </c>
      <c r="DT200" s="9" t="s">
        <v>619</v>
      </c>
      <c r="DU200" s="9" t="s">
        <v>4447</v>
      </c>
      <c r="DV200" s="9" t="s">
        <v>4448</v>
      </c>
      <c r="DW200" s="9" t="s">
        <v>573</v>
      </c>
      <c r="DX200" s="9" t="s">
        <v>4449</v>
      </c>
      <c r="DZ200" s="9" t="s">
        <v>4450</v>
      </c>
      <c r="EA200" s="9" t="s">
        <v>475</v>
      </c>
      <c r="EB200" s="9" t="s">
        <v>626</v>
      </c>
      <c r="EC200" s="9" t="s">
        <v>4451</v>
      </c>
      <c r="ET200" s="9" t="s">
        <v>526</v>
      </c>
      <c r="EU200" s="9" t="s">
        <v>479</v>
      </c>
      <c r="EV200" s="9" t="s">
        <v>480</v>
      </c>
      <c r="EX200" s="9" t="s">
        <v>4452</v>
      </c>
      <c r="EY200" s="9" t="s">
        <v>4453</v>
      </c>
      <c r="EZ200" s="9" t="s">
        <v>583</v>
      </c>
      <c r="FA200" s="9" t="s">
        <v>583</v>
      </c>
      <c r="FB200" s="9" t="s">
        <v>583</v>
      </c>
      <c r="FC200" s="9" t="s">
        <v>583</v>
      </c>
      <c r="FD200" s="9" t="s">
        <v>415</v>
      </c>
      <c r="FE200" s="9" t="s">
        <v>583</v>
      </c>
      <c r="FF200" s="9" t="s">
        <v>583</v>
      </c>
      <c r="FG200" s="9" t="s">
        <v>415</v>
      </c>
      <c r="FH200" s="9" t="s">
        <v>415</v>
      </c>
      <c r="FI200" s="9" t="s">
        <v>583</v>
      </c>
      <c r="FJ200" s="9" t="s">
        <v>583</v>
      </c>
      <c r="FK200" s="9" t="s">
        <v>415</v>
      </c>
      <c r="FL200" s="9" t="s">
        <v>415</v>
      </c>
      <c r="FM200" s="9" t="s">
        <v>413</v>
      </c>
      <c r="FN200" s="9" t="s">
        <v>415</v>
      </c>
      <c r="FO200" s="9" t="s">
        <v>417</v>
      </c>
      <c r="FP200" s="9" t="s">
        <v>418</v>
      </c>
      <c r="FQ200" s="9" t="s">
        <v>419</v>
      </c>
      <c r="FS200" s="9" t="s">
        <v>995</v>
      </c>
      <c r="FT200" s="9" t="s">
        <v>488</v>
      </c>
      <c r="FU200" s="9" t="s">
        <v>533</v>
      </c>
      <c r="FV200" s="9" t="s">
        <v>490</v>
      </c>
      <c r="FW200" s="9" t="s">
        <v>491</v>
      </c>
      <c r="FX200" s="9" t="s">
        <v>4454</v>
      </c>
      <c r="FY200" s="9" t="s">
        <v>535</v>
      </c>
      <c r="FZ200" s="9" t="s">
        <v>4455</v>
      </c>
      <c r="GB200" s="9" t="s">
        <v>455</v>
      </c>
      <c r="GC200" s="9"/>
      <c r="GE200" s="9" t="s">
        <v>753</v>
      </c>
      <c r="GF200" s="9" t="s">
        <v>4456</v>
      </c>
      <c r="GG200" s="9" t="s">
        <v>755</v>
      </c>
      <c r="GH200" s="9" t="s">
        <v>755</v>
      </c>
      <c r="GI200" s="9" t="s">
        <v>946</v>
      </c>
      <c r="GM200" s="9" t="s">
        <v>1079</v>
      </c>
      <c r="GP200" s="9" t="s">
        <v>387</v>
      </c>
      <c r="GQ200" s="9" t="s">
        <v>3208</v>
      </c>
      <c r="GR200" s="10"/>
      <c r="GS200" s="10"/>
      <c r="GT200" s="10"/>
      <c r="GU200" s="10"/>
      <c r="GV200" s="10"/>
      <c r="GW200" s="10"/>
      <c r="GX200" s="10"/>
      <c r="GY200" s="10"/>
      <c r="GZ200" s="10"/>
      <c r="HA200" s="10"/>
      <c r="HB200" s="10"/>
      <c r="HC200" s="10"/>
      <c r="HD200" s="10"/>
      <c r="HE200" s="10"/>
      <c r="HF200" s="10"/>
      <c r="HG200" s="10"/>
      <c r="HH200" s="10"/>
      <c r="HI200" s="10"/>
      <c r="HJ200" s="10"/>
      <c r="HK200" s="10"/>
      <c r="HL200" s="10"/>
      <c r="HM200" s="10"/>
      <c r="HN200" s="10"/>
      <c r="HO200" s="10"/>
      <c r="HP200" s="10"/>
      <c r="HQ200" s="10"/>
      <c r="HR200" s="10"/>
      <c r="HS200" s="10"/>
      <c r="HT200" s="10"/>
      <c r="HU200" s="10"/>
      <c r="HV200" s="10"/>
      <c r="HW200" s="10"/>
      <c r="HX200" s="10"/>
      <c r="HY200" s="10"/>
      <c r="HZ200" s="10"/>
      <c r="IA200" s="10"/>
      <c r="IB200" s="10"/>
      <c r="IC200" s="10"/>
      <c r="ID200" s="10"/>
      <c r="IE200" s="10"/>
      <c r="IF200" s="10"/>
      <c r="IG200" s="10"/>
      <c r="IH200" s="10"/>
      <c r="II200" s="10"/>
      <c r="IJ200" s="10"/>
      <c r="IK200" s="10"/>
      <c r="IL200" s="10"/>
      <c r="IM200" s="10"/>
      <c r="IN200" s="10"/>
      <c r="IO200" s="10"/>
      <c r="IP200" s="10"/>
      <c r="IQ200" s="10"/>
      <c r="IR200" s="10"/>
      <c r="IS200" s="10"/>
      <c r="IT200" s="10"/>
      <c r="IU200" s="10"/>
      <c r="IV200" s="10"/>
      <c r="IW200" s="10"/>
      <c r="IX200" s="10"/>
      <c r="IY200" s="10"/>
      <c r="IZ200" s="10"/>
      <c r="JA200" s="10"/>
      <c r="JB200" s="10"/>
      <c r="JC200" s="10"/>
      <c r="JD200" s="10"/>
      <c r="JE200" s="10"/>
      <c r="JF200" s="10"/>
      <c r="JG200" s="10"/>
      <c r="JH200" s="10"/>
      <c r="JI200" s="10"/>
      <c r="JJ200" s="10"/>
      <c r="JK200" s="10"/>
      <c r="JL200" s="10"/>
      <c r="JM200" s="10"/>
      <c r="JN200" s="10"/>
      <c r="JO200" s="10"/>
      <c r="JP200" s="10"/>
      <c r="JQ200" s="10"/>
      <c r="JR200" s="10"/>
      <c r="JS200" s="10"/>
      <c r="JT200" s="10"/>
      <c r="JU200" s="10"/>
      <c r="JV200" s="10"/>
      <c r="JW200" s="10"/>
      <c r="JX200" s="10"/>
      <c r="JY200" s="10"/>
      <c r="JZ200" s="10"/>
      <c r="KA200" s="10"/>
      <c r="KB200" s="10"/>
      <c r="KC200" s="10"/>
      <c r="KD200" s="10"/>
      <c r="KE200" s="10"/>
      <c r="KF200" s="10"/>
      <c r="KG200" s="10"/>
      <c r="KH200" s="10"/>
      <c r="KI200" s="10"/>
      <c r="KJ200" s="10"/>
      <c r="KK200" s="10"/>
      <c r="KL200" s="10"/>
      <c r="KM200" s="10"/>
      <c r="KN200" s="10"/>
      <c r="KO200" s="10"/>
      <c r="KP200" s="10"/>
      <c r="KQ200" s="10"/>
      <c r="KR200" s="10"/>
      <c r="KS200" s="10"/>
      <c r="KT200" s="10"/>
      <c r="KU200" s="10"/>
      <c r="KV200" s="10"/>
      <c r="KW200" s="10"/>
      <c r="KX200" s="10"/>
      <c r="KY200" s="10"/>
      <c r="KZ200" s="10"/>
      <c r="LA200" s="10"/>
      <c r="LB200" s="10"/>
      <c r="LC200" s="10"/>
      <c r="LD200" s="10"/>
      <c r="LE200" s="10"/>
      <c r="LF200" s="10"/>
      <c r="LG200" s="10"/>
      <c r="LH200" s="10"/>
      <c r="LI200" s="10"/>
      <c r="LJ200" s="10"/>
      <c r="LK200" s="10"/>
      <c r="LL200" s="10"/>
      <c r="LM200" s="10"/>
      <c r="LN200" s="10"/>
      <c r="LO200" s="10"/>
      <c r="LP200" s="10"/>
      <c r="LQ200" s="10"/>
      <c r="LR200" s="10"/>
      <c r="LS200" s="10"/>
      <c r="LT200" s="10"/>
      <c r="LU200" s="10"/>
      <c r="LV200" s="10"/>
      <c r="LW200" s="10"/>
      <c r="LX200" s="10"/>
      <c r="LY200" s="10"/>
      <c r="LZ200" s="10"/>
      <c r="MA200" s="10"/>
      <c r="MB200" s="10"/>
      <c r="MC200" s="10"/>
      <c r="MD200" s="10"/>
      <c r="ME200" s="10"/>
      <c r="MF200" s="10"/>
      <c r="MG200" s="10"/>
      <c r="MH200" s="10"/>
      <c r="MI200" s="10"/>
      <c r="MJ200" s="10"/>
      <c r="MK200" s="10"/>
      <c r="ML200" s="10"/>
      <c r="MM200" s="10"/>
      <c r="MN200" s="10"/>
      <c r="MO200" s="10"/>
      <c r="MP200" s="10"/>
      <c r="MQ200" s="10"/>
      <c r="MR200" s="10"/>
      <c r="MS200" s="10"/>
      <c r="MT200" s="10"/>
      <c r="MU200" s="10"/>
      <c r="MV200" s="10"/>
      <c r="MW200" s="10"/>
      <c r="MX200" s="10"/>
      <c r="MY200" s="10"/>
      <c r="MZ200" s="10"/>
      <c r="NA200" s="10"/>
      <c r="NB200" s="10"/>
      <c r="NC200" s="10"/>
      <c r="ND200" s="10"/>
    </row>
    <row r="201" ht="24.75" customHeight="1">
      <c r="A201" s="8">
        <v>45836.50647361111</v>
      </c>
      <c r="B201" s="9" t="s">
        <v>368</v>
      </c>
      <c r="C201" s="9" t="s">
        <v>538</v>
      </c>
      <c r="D201" s="9" t="s">
        <v>538</v>
      </c>
      <c r="G201" s="9" t="s">
        <v>422</v>
      </c>
      <c r="H201" s="9" t="s">
        <v>1921</v>
      </c>
      <c r="J201" s="9" t="s">
        <v>425</v>
      </c>
      <c r="K201" s="9" t="s">
        <v>376</v>
      </c>
      <c r="L201" s="9" t="s">
        <v>426</v>
      </c>
      <c r="M201" s="9" t="s">
        <v>378</v>
      </c>
      <c r="N201" s="9" t="s">
        <v>426</v>
      </c>
      <c r="O201" s="9" t="s">
        <v>497</v>
      </c>
      <c r="P201" s="9" t="s">
        <v>498</v>
      </c>
      <c r="Q201" s="9" t="s">
        <v>499</v>
      </c>
      <c r="R201" s="9" t="s">
        <v>427</v>
      </c>
      <c r="S201" s="9" t="s">
        <v>384</v>
      </c>
      <c r="T201" s="9" t="s">
        <v>385</v>
      </c>
      <c r="W201" s="9" t="s">
        <v>3014</v>
      </c>
      <c r="AV201" s="9" t="s">
        <v>390</v>
      </c>
      <c r="AW201" s="9" t="s">
        <v>391</v>
      </c>
      <c r="AX201" s="9">
        <v>2.0</v>
      </c>
      <c r="AY201" s="9">
        <v>2.0</v>
      </c>
      <c r="AZ201" s="9">
        <v>2.0</v>
      </c>
      <c r="BA201" s="9" t="s">
        <v>391</v>
      </c>
      <c r="BB201" s="9">
        <v>2.0</v>
      </c>
      <c r="BC201" s="9" t="s">
        <v>4457</v>
      </c>
      <c r="BD201" s="9" t="s">
        <v>4458</v>
      </c>
      <c r="BE201" s="9" t="s">
        <v>432</v>
      </c>
      <c r="BF201" s="9" t="s">
        <v>393</v>
      </c>
      <c r="BI201" s="9" t="s">
        <v>435</v>
      </c>
      <c r="BJ201" s="9" t="s">
        <v>4459</v>
      </c>
      <c r="BK201" s="9" t="s">
        <v>437</v>
      </c>
      <c r="BL201" s="9" t="s">
        <v>603</v>
      </c>
      <c r="BM201" s="9" t="s">
        <v>549</v>
      </c>
      <c r="BN201" s="9" t="s">
        <v>398</v>
      </c>
      <c r="BO201" s="9" t="s">
        <v>4460</v>
      </c>
      <c r="BP201" s="9" t="s">
        <v>4461</v>
      </c>
      <c r="BQ201" s="9" t="s">
        <v>401</v>
      </c>
      <c r="BR201" s="9" t="s">
        <v>4462</v>
      </c>
      <c r="BS201" s="9" t="s">
        <v>403</v>
      </c>
      <c r="BT201" s="9" t="s">
        <v>404</v>
      </c>
      <c r="BU201" s="9" t="s">
        <v>1772</v>
      </c>
      <c r="BV201" s="9" t="s">
        <v>4463</v>
      </c>
      <c r="BW201" s="9" t="s">
        <v>4464</v>
      </c>
      <c r="BZ201" s="9" t="s">
        <v>4465</v>
      </c>
      <c r="CA201" s="9" t="s">
        <v>4466</v>
      </c>
      <c r="CB201" s="9" t="s">
        <v>4467</v>
      </c>
      <c r="CC201" s="9" t="s">
        <v>4468</v>
      </c>
      <c r="CD201" s="9" t="s">
        <v>409</v>
      </c>
      <c r="CF201" s="9" t="s">
        <v>1258</v>
      </c>
      <c r="CH201" s="9" t="s">
        <v>1751</v>
      </c>
      <c r="CI201" s="9" t="s">
        <v>1220</v>
      </c>
      <c r="CJ201" s="9" t="s">
        <v>4469</v>
      </c>
      <c r="CK201" s="9" t="s">
        <v>4470</v>
      </c>
      <c r="ET201" s="9" t="s">
        <v>478</v>
      </c>
      <c r="EV201" s="9" t="s">
        <v>1534</v>
      </c>
      <c r="EX201" s="9" t="s">
        <v>4471</v>
      </c>
      <c r="EY201" s="9" t="s">
        <v>4472</v>
      </c>
      <c r="EZ201" s="9" t="s">
        <v>416</v>
      </c>
      <c r="FA201" s="9" t="s">
        <v>416</v>
      </c>
      <c r="FB201" s="9" t="s">
        <v>413</v>
      </c>
      <c r="FC201" s="9" t="s">
        <v>415</v>
      </c>
      <c r="FD201" s="9" t="s">
        <v>413</v>
      </c>
      <c r="FE201" s="9" t="s">
        <v>415</v>
      </c>
      <c r="FF201" s="9" t="s">
        <v>415</v>
      </c>
      <c r="FG201" s="9" t="s">
        <v>415</v>
      </c>
      <c r="FH201" s="9" t="s">
        <v>414</v>
      </c>
      <c r="FI201" s="9" t="s">
        <v>416</v>
      </c>
      <c r="FJ201" s="9" t="s">
        <v>416</v>
      </c>
      <c r="FK201" s="9" t="s">
        <v>416</v>
      </c>
      <c r="FL201" s="9" t="s">
        <v>415</v>
      </c>
      <c r="FM201" s="9" t="s">
        <v>415</v>
      </c>
      <c r="FN201" s="9" t="s">
        <v>415</v>
      </c>
      <c r="FO201" s="9" t="s">
        <v>485</v>
      </c>
      <c r="FP201" s="9" t="s">
        <v>418</v>
      </c>
      <c r="FR201" s="9" t="s">
        <v>4473</v>
      </c>
      <c r="FS201" s="9" t="s">
        <v>420</v>
      </c>
      <c r="FU201" s="9" t="s">
        <v>585</v>
      </c>
      <c r="FV201" s="9" t="s">
        <v>490</v>
      </c>
      <c r="FW201" s="9" t="s">
        <v>491</v>
      </c>
      <c r="FX201" s="9" t="s">
        <v>4474</v>
      </c>
      <c r="FY201" s="9" t="s">
        <v>493</v>
      </c>
      <c r="FZ201" s="9" t="s">
        <v>4475</v>
      </c>
      <c r="GA201" s="9" t="s">
        <v>4476</v>
      </c>
      <c r="GB201" s="9" t="s">
        <v>455</v>
      </c>
      <c r="GC201" s="9"/>
      <c r="GE201" s="9" t="s">
        <v>1420</v>
      </c>
      <c r="GF201" s="9" t="s">
        <v>4477</v>
      </c>
      <c r="GJ201" s="9" t="s">
        <v>920</v>
      </c>
      <c r="GK201" s="9" t="s">
        <v>920</v>
      </c>
      <c r="GL201" s="9" t="s">
        <v>858</v>
      </c>
      <c r="GN201" s="9" t="s">
        <v>4478</v>
      </c>
      <c r="GQ201" s="9" t="s">
        <v>4479</v>
      </c>
      <c r="GR201" s="10"/>
      <c r="GS201" s="10"/>
      <c r="GT201" s="10"/>
      <c r="GU201" s="10"/>
      <c r="GV201" s="10"/>
      <c r="GW201" s="10"/>
      <c r="GX201" s="10"/>
      <c r="GY201" s="10"/>
      <c r="GZ201" s="10"/>
      <c r="HA201" s="10"/>
      <c r="HB201" s="10"/>
      <c r="HC201" s="10"/>
      <c r="HD201" s="10"/>
      <c r="HE201" s="10"/>
      <c r="HF201" s="10"/>
      <c r="HG201" s="10"/>
      <c r="HH201" s="10"/>
      <c r="HI201" s="10"/>
      <c r="HJ201" s="10"/>
      <c r="HK201" s="10"/>
      <c r="HL201" s="10"/>
      <c r="HM201" s="10"/>
      <c r="HN201" s="10"/>
      <c r="HO201" s="10"/>
      <c r="HP201" s="10"/>
      <c r="HQ201" s="10"/>
      <c r="HR201" s="10"/>
      <c r="HS201" s="10"/>
      <c r="HT201" s="10"/>
      <c r="HU201" s="10"/>
      <c r="HV201" s="10"/>
      <c r="HW201" s="10"/>
      <c r="HX201" s="10"/>
      <c r="HY201" s="10"/>
      <c r="HZ201" s="10"/>
      <c r="IA201" s="10"/>
      <c r="IB201" s="10"/>
      <c r="IC201" s="10"/>
      <c r="ID201" s="10"/>
      <c r="IE201" s="10"/>
      <c r="IF201" s="10"/>
      <c r="IG201" s="10"/>
      <c r="IH201" s="10"/>
      <c r="II201" s="10"/>
      <c r="IJ201" s="10"/>
      <c r="IK201" s="10"/>
      <c r="IL201" s="10"/>
      <c r="IM201" s="10"/>
      <c r="IN201" s="10"/>
      <c r="IO201" s="10"/>
      <c r="IP201" s="10"/>
      <c r="IQ201" s="10"/>
      <c r="IR201" s="10"/>
      <c r="IS201" s="10"/>
      <c r="IT201" s="10"/>
      <c r="IU201" s="10"/>
      <c r="IV201" s="10"/>
      <c r="IW201" s="10"/>
      <c r="IX201" s="10"/>
      <c r="IY201" s="10"/>
      <c r="IZ201" s="10"/>
      <c r="JA201" s="10"/>
      <c r="JB201" s="10"/>
      <c r="JC201" s="10"/>
      <c r="JD201" s="10"/>
      <c r="JE201" s="10"/>
      <c r="JF201" s="10"/>
      <c r="JG201" s="10"/>
      <c r="JH201" s="10"/>
      <c r="JI201" s="10"/>
      <c r="JJ201" s="10"/>
      <c r="JK201" s="10"/>
      <c r="JL201" s="10"/>
      <c r="JM201" s="10"/>
      <c r="JN201" s="10"/>
      <c r="JO201" s="10"/>
      <c r="JP201" s="10"/>
      <c r="JQ201" s="10"/>
      <c r="JR201" s="10"/>
      <c r="JS201" s="10"/>
      <c r="JT201" s="10"/>
      <c r="JU201" s="10"/>
      <c r="JV201" s="10"/>
      <c r="JW201" s="10"/>
      <c r="JX201" s="10"/>
      <c r="JY201" s="10"/>
      <c r="JZ201" s="10"/>
      <c r="KA201" s="10"/>
      <c r="KB201" s="10"/>
      <c r="KC201" s="10"/>
      <c r="KD201" s="10"/>
      <c r="KE201" s="10"/>
      <c r="KF201" s="10"/>
      <c r="KG201" s="10"/>
      <c r="KH201" s="10"/>
      <c r="KI201" s="10"/>
      <c r="KJ201" s="10"/>
      <c r="KK201" s="10"/>
      <c r="KL201" s="10"/>
      <c r="KM201" s="10"/>
      <c r="KN201" s="10"/>
      <c r="KO201" s="10"/>
      <c r="KP201" s="10"/>
      <c r="KQ201" s="10"/>
      <c r="KR201" s="10"/>
      <c r="KS201" s="10"/>
      <c r="KT201" s="10"/>
      <c r="KU201" s="10"/>
      <c r="KV201" s="10"/>
      <c r="KW201" s="10"/>
      <c r="KX201" s="10"/>
      <c r="KY201" s="10"/>
      <c r="KZ201" s="10"/>
      <c r="LA201" s="10"/>
      <c r="LB201" s="10"/>
      <c r="LC201" s="10"/>
      <c r="LD201" s="10"/>
      <c r="LE201" s="10"/>
      <c r="LF201" s="10"/>
      <c r="LG201" s="10"/>
      <c r="LH201" s="10"/>
      <c r="LI201" s="10"/>
      <c r="LJ201" s="10"/>
      <c r="LK201" s="10"/>
      <c r="LL201" s="10"/>
      <c r="LM201" s="10"/>
      <c r="LN201" s="10"/>
      <c r="LO201" s="10"/>
      <c r="LP201" s="10"/>
      <c r="LQ201" s="10"/>
      <c r="LR201" s="10"/>
      <c r="LS201" s="10"/>
      <c r="LT201" s="10"/>
      <c r="LU201" s="10"/>
      <c r="LV201" s="10"/>
      <c r="LW201" s="10"/>
      <c r="LX201" s="10"/>
      <c r="LY201" s="10"/>
      <c r="LZ201" s="10"/>
      <c r="MA201" s="10"/>
      <c r="MB201" s="10"/>
      <c r="MC201" s="10"/>
      <c r="MD201" s="10"/>
      <c r="ME201" s="10"/>
      <c r="MF201" s="10"/>
      <c r="MG201" s="10"/>
      <c r="MH201" s="10"/>
      <c r="MI201" s="10"/>
      <c r="MJ201" s="10"/>
      <c r="MK201" s="10"/>
      <c r="ML201" s="10"/>
      <c r="MM201" s="10"/>
      <c r="MN201" s="10"/>
      <c r="MO201" s="10"/>
      <c r="MP201" s="10"/>
      <c r="MQ201" s="10"/>
      <c r="MR201" s="10"/>
      <c r="MS201" s="10"/>
      <c r="MT201" s="10"/>
      <c r="MU201" s="10"/>
      <c r="MV201" s="10"/>
      <c r="MW201" s="10"/>
      <c r="MX201" s="10"/>
      <c r="MY201" s="10"/>
      <c r="MZ201" s="10"/>
      <c r="NA201" s="10"/>
      <c r="NB201" s="10"/>
      <c r="NC201" s="10"/>
      <c r="ND201" s="10"/>
    </row>
    <row r="202" ht="24.75" customHeight="1">
      <c r="A202" s="8">
        <v>45836.70248601852</v>
      </c>
      <c r="B202" s="9" t="s">
        <v>368</v>
      </c>
      <c r="C202" s="9" t="s">
        <v>894</v>
      </c>
      <c r="D202" s="9" t="s">
        <v>894</v>
      </c>
      <c r="G202" s="9" t="s">
        <v>422</v>
      </c>
      <c r="H202" s="9" t="s">
        <v>496</v>
      </c>
      <c r="I202" s="9" t="s">
        <v>374</v>
      </c>
      <c r="J202" s="9" t="s">
        <v>425</v>
      </c>
      <c r="K202" s="9" t="s">
        <v>376</v>
      </c>
      <c r="L202" s="9" t="s">
        <v>591</v>
      </c>
      <c r="M202" s="9" t="s">
        <v>541</v>
      </c>
      <c r="N202" s="9" t="s">
        <v>591</v>
      </c>
      <c r="O202" s="9" t="s">
        <v>719</v>
      </c>
      <c r="P202" s="9" t="s">
        <v>498</v>
      </c>
      <c r="R202" s="9" t="s">
        <v>949</v>
      </c>
      <c r="S202" s="9" t="s">
        <v>384</v>
      </c>
      <c r="T202" s="9" t="s">
        <v>385</v>
      </c>
      <c r="U202" s="9" t="s">
        <v>896</v>
      </c>
      <c r="V202" s="9" t="s">
        <v>896</v>
      </c>
      <c r="W202" s="9" t="s">
        <v>3231</v>
      </c>
      <c r="AV202" s="9" t="s">
        <v>1905</v>
      </c>
      <c r="AW202" s="9">
        <v>4.0</v>
      </c>
      <c r="AX202" s="9" t="s">
        <v>391</v>
      </c>
      <c r="AY202" s="9" t="s">
        <v>391</v>
      </c>
      <c r="AZ202" s="9" t="s">
        <v>391</v>
      </c>
      <c r="BA202" s="9" t="s">
        <v>429</v>
      </c>
      <c r="BB202" s="9" t="s">
        <v>391</v>
      </c>
      <c r="BC202" s="9" t="s">
        <v>4480</v>
      </c>
      <c r="BD202" s="9" t="s">
        <v>4481</v>
      </c>
      <c r="BE202" s="9" t="s">
        <v>392</v>
      </c>
      <c r="BF202" s="9" t="s">
        <v>1095</v>
      </c>
      <c r="BG202" s="9" t="s">
        <v>678</v>
      </c>
      <c r="BH202" s="9" t="s">
        <v>4482</v>
      </c>
      <c r="BI202" s="9" t="s">
        <v>976</v>
      </c>
      <c r="BJ202" s="9" t="s">
        <v>4483</v>
      </c>
      <c r="BK202" s="9" t="s">
        <v>511</v>
      </c>
      <c r="BL202" s="9" t="s">
        <v>603</v>
      </c>
      <c r="BM202" s="9" t="s">
        <v>1276</v>
      </c>
      <c r="BN202" s="9" t="s">
        <v>513</v>
      </c>
      <c r="CL202" s="9" t="s">
        <v>441</v>
      </c>
      <c r="CM202" s="9" t="s">
        <v>401</v>
      </c>
      <c r="CN202" s="9" t="s">
        <v>4484</v>
      </c>
      <c r="CO202" s="9" t="s">
        <v>4485</v>
      </c>
      <c r="CP202" s="9" t="s">
        <v>445</v>
      </c>
      <c r="CQ202" s="9" t="s">
        <v>4486</v>
      </c>
      <c r="CR202" s="9" t="s">
        <v>828</v>
      </c>
      <c r="CS202" s="9" t="s">
        <v>4487</v>
      </c>
      <c r="CT202" s="9" t="s">
        <v>4488</v>
      </c>
      <c r="CU202" s="9" t="s">
        <v>1852</v>
      </c>
      <c r="CV202" s="9" t="s">
        <v>409</v>
      </c>
      <c r="CW202" s="9" t="s">
        <v>4489</v>
      </c>
      <c r="CX202" s="9" t="s">
        <v>408</v>
      </c>
      <c r="CZ202" s="9" t="s">
        <v>1962</v>
      </c>
      <c r="DA202" s="9" t="s">
        <v>4490</v>
      </c>
      <c r="DB202" s="9" t="s">
        <v>913</v>
      </c>
      <c r="DC202" s="9" t="s">
        <v>4491</v>
      </c>
      <c r="DD202" s="9" t="s">
        <v>988</v>
      </c>
      <c r="DG202" s="9" t="s">
        <v>990</v>
      </c>
      <c r="DH202" s="9" t="s">
        <v>1964</v>
      </c>
      <c r="DI202" s="9" t="s">
        <v>459</v>
      </c>
      <c r="DJ202" s="9" t="s">
        <v>613</v>
      </c>
      <c r="ET202" s="9" t="s">
        <v>478</v>
      </c>
      <c r="EU202" s="9" t="s">
        <v>887</v>
      </c>
      <c r="EV202" s="9" t="s">
        <v>480</v>
      </c>
      <c r="EX202" s="9" t="s">
        <v>4492</v>
      </c>
      <c r="EY202" s="9" t="s">
        <v>4493</v>
      </c>
      <c r="EZ202" s="9" t="s">
        <v>583</v>
      </c>
      <c r="FA202" s="9" t="s">
        <v>583</v>
      </c>
      <c r="FB202" s="9" t="s">
        <v>583</v>
      </c>
      <c r="FC202" s="9" t="s">
        <v>583</v>
      </c>
      <c r="FD202" s="9" t="s">
        <v>414</v>
      </c>
      <c r="FE202" s="9" t="s">
        <v>414</v>
      </c>
      <c r="FF202" s="9" t="s">
        <v>583</v>
      </c>
      <c r="FG202" s="9" t="s">
        <v>414</v>
      </c>
      <c r="FH202" s="9" t="s">
        <v>484</v>
      </c>
      <c r="FI202" s="9" t="s">
        <v>414</v>
      </c>
      <c r="FJ202" s="9" t="s">
        <v>414</v>
      </c>
      <c r="FK202" s="9" t="s">
        <v>414</v>
      </c>
      <c r="FL202" s="9" t="s">
        <v>414</v>
      </c>
      <c r="FM202" s="9" t="s">
        <v>414</v>
      </c>
      <c r="FN202" s="9" t="s">
        <v>484</v>
      </c>
      <c r="FO202" s="9" t="s">
        <v>1074</v>
      </c>
      <c r="FP202" s="9" t="s">
        <v>3218</v>
      </c>
      <c r="FQ202" s="9" t="s">
        <v>419</v>
      </c>
      <c r="FR202" s="9" t="s">
        <v>4494</v>
      </c>
      <c r="FS202" s="9" t="s">
        <v>1871</v>
      </c>
      <c r="FT202" s="9" t="s">
        <v>2398</v>
      </c>
      <c r="FU202" s="9" t="s">
        <v>489</v>
      </c>
      <c r="FV202" s="9" t="s">
        <v>2399</v>
      </c>
      <c r="FW202" s="9" t="s">
        <v>1853</v>
      </c>
      <c r="FX202" s="9" t="s">
        <v>4495</v>
      </c>
      <c r="FY202" s="9" t="s">
        <v>1854</v>
      </c>
      <c r="FZ202" s="9" t="s">
        <v>4496</v>
      </c>
      <c r="GB202" s="9" t="s">
        <v>408</v>
      </c>
      <c r="GG202" s="9" t="s">
        <v>789</v>
      </c>
      <c r="GH202" s="9" t="s">
        <v>920</v>
      </c>
      <c r="GI202" s="9" t="s">
        <v>921</v>
      </c>
      <c r="GP202" s="9" t="s">
        <v>387</v>
      </c>
      <c r="GQ202" s="9" t="s">
        <v>3351</v>
      </c>
      <c r="GR202" s="10"/>
      <c r="GS202" s="10"/>
      <c r="GT202" s="10"/>
      <c r="GU202" s="10"/>
      <c r="GV202" s="10"/>
      <c r="GW202" s="10"/>
      <c r="GX202" s="10"/>
      <c r="GY202" s="10"/>
      <c r="GZ202" s="10"/>
      <c r="HA202" s="10"/>
      <c r="HB202" s="10"/>
      <c r="HC202" s="10"/>
      <c r="HD202" s="10"/>
      <c r="HE202" s="10"/>
      <c r="HF202" s="10"/>
      <c r="HG202" s="10"/>
      <c r="HH202" s="10"/>
      <c r="HI202" s="10"/>
      <c r="HJ202" s="10"/>
      <c r="HK202" s="10"/>
      <c r="HL202" s="10"/>
      <c r="HM202" s="10"/>
      <c r="HN202" s="10"/>
      <c r="HO202" s="10"/>
      <c r="HP202" s="10"/>
      <c r="HQ202" s="10"/>
      <c r="HR202" s="10"/>
      <c r="HS202" s="10"/>
      <c r="HT202" s="10"/>
      <c r="HU202" s="10"/>
      <c r="HV202" s="10"/>
      <c r="HW202" s="10"/>
      <c r="HX202" s="10"/>
      <c r="HY202" s="10"/>
      <c r="HZ202" s="10"/>
      <c r="IA202" s="10"/>
      <c r="IB202" s="10"/>
      <c r="IC202" s="10"/>
      <c r="ID202" s="10"/>
      <c r="IE202" s="10"/>
      <c r="IF202" s="10"/>
      <c r="IG202" s="10"/>
      <c r="IH202" s="10"/>
      <c r="II202" s="10"/>
      <c r="IJ202" s="10"/>
      <c r="IK202" s="10"/>
      <c r="IL202" s="10"/>
      <c r="IM202" s="10"/>
      <c r="IN202" s="10"/>
      <c r="IO202" s="10"/>
      <c r="IP202" s="10"/>
      <c r="IQ202" s="10"/>
      <c r="IR202" s="10"/>
      <c r="IS202" s="10"/>
      <c r="IT202" s="10"/>
      <c r="IU202" s="10"/>
      <c r="IV202" s="10"/>
      <c r="IW202" s="10"/>
      <c r="IX202" s="10"/>
      <c r="IY202" s="10"/>
      <c r="IZ202" s="10"/>
      <c r="JA202" s="10"/>
      <c r="JB202" s="10"/>
      <c r="JC202" s="10"/>
      <c r="JD202" s="10"/>
      <c r="JE202" s="10"/>
      <c r="JF202" s="10"/>
      <c r="JG202" s="10"/>
      <c r="JH202" s="10"/>
      <c r="JI202" s="10"/>
      <c r="JJ202" s="10"/>
      <c r="JK202" s="10"/>
      <c r="JL202" s="10"/>
      <c r="JM202" s="10"/>
      <c r="JN202" s="10"/>
      <c r="JO202" s="10"/>
      <c r="JP202" s="10"/>
      <c r="JQ202" s="10"/>
      <c r="JR202" s="10"/>
      <c r="JS202" s="10"/>
      <c r="JT202" s="10"/>
      <c r="JU202" s="10"/>
      <c r="JV202" s="10"/>
      <c r="JW202" s="10"/>
      <c r="JX202" s="10"/>
      <c r="JY202" s="10"/>
      <c r="JZ202" s="10"/>
      <c r="KA202" s="10"/>
      <c r="KB202" s="10"/>
      <c r="KC202" s="10"/>
      <c r="KD202" s="10"/>
      <c r="KE202" s="10"/>
      <c r="KF202" s="10"/>
      <c r="KG202" s="10"/>
      <c r="KH202" s="10"/>
      <c r="KI202" s="10"/>
      <c r="KJ202" s="10"/>
      <c r="KK202" s="10"/>
      <c r="KL202" s="10"/>
      <c r="KM202" s="10"/>
      <c r="KN202" s="10"/>
      <c r="KO202" s="10"/>
      <c r="KP202" s="10"/>
      <c r="KQ202" s="10"/>
      <c r="KR202" s="10"/>
      <c r="KS202" s="10"/>
      <c r="KT202" s="10"/>
      <c r="KU202" s="10"/>
      <c r="KV202" s="10"/>
      <c r="KW202" s="10"/>
      <c r="KX202" s="10"/>
      <c r="KY202" s="10"/>
      <c r="KZ202" s="10"/>
      <c r="LA202" s="10"/>
      <c r="LB202" s="10"/>
      <c r="LC202" s="10"/>
      <c r="LD202" s="10"/>
      <c r="LE202" s="10"/>
      <c r="LF202" s="10"/>
      <c r="LG202" s="10"/>
      <c r="LH202" s="10"/>
      <c r="LI202" s="10"/>
      <c r="LJ202" s="10"/>
      <c r="LK202" s="10"/>
      <c r="LL202" s="10"/>
      <c r="LM202" s="10"/>
      <c r="LN202" s="10"/>
      <c r="LO202" s="10"/>
      <c r="LP202" s="10"/>
      <c r="LQ202" s="10"/>
      <c r="LR202" s="10"/>
      <c r="LS202" s="10"/>
      <c r="LT202" s="10"/>
      <c r="LU202" s="10"/>
      <c r="LV202" s="10"/>
      <c r="LW202" s="10"/>
      <c r="LX202" s="10"/>
      <c r="LY202" s="10"/>
      <c r="LZ202" s="10"/>
      <c r="MA202" s="10"/>
      <c r="MB202" s="10"/>
      <c r="MC202" s="10"/>
      <c r="MD202" s="10"/>
      <c r="ME202" s="10"/>
      <c r="MF202" s="10"/>
      <c r="MG202" s="10"/>
      <c r="MH202" s="10"/>
      <c r="MI202" s="10"/>
      <c r="MJ202" s="10"/>
      <c r="MK202" s="10"/>
      <c r="ML202" s="10"/>
      <c r="MM202" s="10"/>
      <c r="MN202" s="10"/>
      <c r="MO202" s="10"/>
      <c r="MP202" s="10"/>
      <c r="MQ202" s="10"/>
      <c r="MR202" s="10"/>
      <c r="MS202" s="10"/>
      <c r="MT202" s="10"/>
      <c r="MU202" s="10"/>
      <c r="MV202" s="10"/>
      <c r="MW202" s="10"/>
      <c r="MX202" s="10"/>
      <c r="MY202" s="10"/>
      <c r="MZ202" s="10"/>
      <c r="NA202" s="10"/>
      <c r="NB202" s="10"/>
      <c r="NC202" s="10"/>
      <c r="ND202" s="10"/>
    </row>
    <row r="203" ht="24.75" customHeight="1">
      <c r="A203" s="8">
        <v>45836.7177146412</v>
      </c>
      <c r="B203" s="9" t="s">
        <v>368</v>
      </c>
      <c r="C203" s="9" t="s">
        <v>370</v>
      </c>
      <c r="D203" s="9" t="s">
        <v>370</v>
      </c>
      <c r="E203" s="9" t="s">
        <v>2400</v>
      </c>
      <c r="F203" s="9" t="s">
        <v>4170</v>
      </c>
      <c r="G203" s="9" t="s">
        <v>422</v>
      </c>
      <c r="H203" s="9" t="s">
        <v>373</v>
      </c>
      <c r="I203" s="9" t="s">
        <v>638</v>
      </c>
      <c r="J203" s="9" t="s">
        <v>375</v>
      </c>
      <c r="K203" s="9" t="s">
        <v>376</v>
      </c>
      <c r="L203" s="9" t="s">
        <v>591</v>
      </c>
      <c r="M203" s="9" t="s">
        <v>378</v>
      </c>
      <c r="N203" s="9" t="s">
        <v>591</v>
      </c>
      <c r="O203" s="9" t="s">
        <v>719</v>
      </c>
      <c r="P203" s="9" t="s">
        <v>498</v>
      </c>
      <c r="Q203" s="9" t="s">
        <v>1342</v>
      </c>
      <c r="R203" s="9" t="s">
        <v>427</v>
      </c>
      <c r="S203" s="9" t="s">
        <v>384</v>
      </c>
      <c r="T203" s="9" t="s">
        <v>385</v>
      </c>
      <c r="W203" s="9" t="s">
        <v>386</v>
      </c>
      <c r="X203" s="9" t="s">
        <v>387</v>
      </c>
      <c r="Y203" s="9" t="s">
        <v>4171</v>
      </c>
      <c r="Z203" s="9" t="s">
        <v>543</v>
      </c>
      <c r="AA203" s="9" t="s">
        <v>4497</v>
      </c>
      <c r="AB203" s="9" t="s">
        <v>4498</v>
      </c>
      <c r="AV203" s="9" t="s">
        <v>504</v>
      </c>
      <c r="AW203" s="9">
        <v>2.0</v>
      </c>
      <c r="AX203" s="9" t="s">
        <v>429</v>
      </c>
      <c r="AY203" s="9" t="s">
        <v>429</v>
      </c>
      <c r="AZ203" s="9" t="s">
        <v>429</v>
      </c>
      <c r="BA203" s="9" t="s">
        <v>429</v>
      </c>
      <c r="BB203" s="9" t="s">
        <v>429</v>
      </c>
      <c r="BC203" s="9" t="s">
        <v>4499</v>
      </c>
      <c r="BD203" s="9" t="s">
        <v>4500</v>
      </c>
      <c r="BE203" s="9" t="s">
        <v>392</v>
      </c>
      <c r="BF203" s="9" t="s">
        <v>433</v>
      </c>
      <c r="BG203" s="9" t="s">
        <v>678</v>
      </c>
      <c r="BH203" s="9" t="s">
        <v>4501</v>
      </c>
      <c r="BI203" s="9" t="s">
        <v>509</v>
      </c>
      <c r="BJ203" s="9" t="s">
        <v>4502</v>
      </c>
      <c r="BK203" s="9" t="s">
        <v>437</v>
      </c>
      <c r="BL203" s="9" t="s">
        <v>512</v>
      </c>
      <c r="BM203" s="9" t="s">
        <v>439</v>
      </c>
      <c r="BN203" s="9" t="s">
        <v>513</v>
      </c>
      <c r="CL203" s="9" t="s">
        <v>441</v>
      </c>
      <c r="CM203" s="9" t="s">
        <v>401</v>
      </c>
      <c r="CN203" s="9" t="s">
        <v>4503</v>
      </c>
      <c r="CO203" s="9" t="s">
        <v>4504</v>
      </c>
      <c r="CP203" s="9" t="s">
        <v>445</v>
      </c>
      <c r="CQ203" s="9" t="s">
        <v>4505</v>
      </c>
      <c r="CR203" s="9" t="s">
        <v>447</v>
      </c>
      <c r="CS203" s="9" t="s">
        <v>4506</v>
      </c>
      <c r="CT203" s="9" t="s">
        <v>4507</v>
      </c>
      <c r="CU203" s="9" t="s">
        <v>450</v>
      </c>
      <c r="CV203" s="9" t="s">
        <v>451</v>
      </c>
      <c r="CW203" s="9" t="s">
        <v>4508</v>
      </c>
      <c r="CX203" s="9" t="s">
        <v>408</v>
      </c>
      <c r="CZ203" s="9" t="s">
        <v>453</v>
      </c>
      <c r="DA203" s="9" t="s">
        <v>4509</v>
      </c>
      <c r="DB203" s="9" t="s">
        <v>455</v>
      </c>
      <c r="DC203" s="9" t="s">
        <v>4510</v>
      </c>
      <c r="DD203" s="9" t="s">
        <v>662</v>
      </c>
      <c r="DF203" s="9" t="s">
        <v>4511</v>
      </c>
      <c r="DG203" s="9" t="s">
        <v>561</v>
      </c>
      <c r="DH203" s="9" t="s">
        <v>410</v>
      </c>
      <c r="DI203" s="9" t="s">
        <v>459</v>
      </c>
      <c r="DJ203" s="9" t="s">
        <v>562</v>
      </c>
      <c r="DK203" s="9" t="s">
        <v>461</v>
      </c>
      <c r="ET203" s="9" t="s">
        <v>2747</v>
      </c>
      <c r="EU203" s="9" t="s">
        <v>479</v>
      </c>
      <c r="EV203" s="9" t="s">
        <v>480</v>
      </c>
      <c r="EW203" s="9" t="s">
        <v>4512</v>
      </c>
      <c r="EX203" s="9" t="s">
        <v>4513</v>
      </c>
      <c r="EY203" s="9" t="s">
        <v>4514</v>
      </c>
      <c r="EZ203" s="9" t="s">
        <v>583</v>
      </c>
      <c r="FA203" s="9" t="s">
        <v>583</v>
      </c>
      <c r="FB203" s="9" t="s">
        <v>583</v>
      </c>
      <c r="FC203" s="9" t="s">
        <v>583</v>
      </c>
      <c r="FD203" s="9" t="s">
        <v>415</v>
      </c>
      <c r="FE203" s="9" t="s">
        <v>583</v>
      </c>
      <c r="FF203" s="9" t="s">
        <v>583</v>
      </c>
      <c r="FG203" s="9" t="s">
        <v>413</v>
      </c>
      <c r="FH203" s="9" t="s">
        <v>583</v>
      </c>
      <c r="FI203" s="9" t="s">
        <v>583</v>
      </c>
      <c r="FJ203" s="9" t="s">
        <v>583</v>
      </c>
      <c r="FK203" s="9" t="s">
        <v>583</v>
      </c>
      <c r="FL203" s="9" t="s">
        <v>583</v>
      </c>
      <c r="FM203" s="9" t="s">
        <v>413</v>
      </c>
      <c r="FN203" s="9" t="s">
        <v>583</v>
      </c>
      <c r="FO203" s="9" t="s">
        <v>485</v>
      </c>
      <c r="FP203" s="9" t="s">
        <v>418</v>
      </c>
      <c r="FQ203" s="9" t="s">
        <v>630</v>
      </c>
      <c r="FR203" s="9" t="s">
        <v>4515</v>
      </c>
      <c r="FS203" s="9" t="s">
        <v>420</v>
      </c>
      <c r="FT203" s="9" t="s">
        <v>488</v>
      </c>
      <c r="FU203" s="9" t="s">
        <v>533</v>
      </c>
      <c r="FV203" s="9" t="s">
        <v>490</v>
      </c>
      <c r="FW203" s="9" t="s">
        <v>491</v>
      </c>
      <c r="FX203" s="9" t="s">
        <v>4516</v>
      </c>
      <c r="FY203" s="9" t="s">
        <v>535</v>
      </c>
      <c r="FZ203" s="9" t="s">
        <v>4517</v>
      </c>
      <c r="GA203" s="9" t="s">
        <v>4518</v>
      </c>
      <c r="GB203" s="9" t="s">
        <v>455</v>
      </c>
      <c r="GC203" s="9"/>
      <c r="GE203" s="9" t="s">
        <v>753</v>
      </c>
      <c r="GF203" s="9" t="s">
        <v>4519</v>
      </c>
      <c r="GG203" s="9" t="s">
        <v>755</v>
      </c>
      <c r="GH203" s="9" t="s">
        <v>755</v>
      </c>
      <c r="GI203" s="9" t="s">
        <v>946</v>
      </c>
      <c r="GQ203" s="9" t="s">
        <v>3208</v>
      </c>
      <c r="GR203" s="10"/>
      <c r="GS203" s="10"/>
      <c r="GT203" s="10"/>
      <c r="GU203" s="10"/>
      <c r="GV203" s="10"/>
      <c r="GW203" s="10"/>
      <c r="GX203" s="10"/>
      <c r="GY203" s="10"/>
      <c r="GZ203" s="10"/>
      <c r="HA203" s="10"/>
      <c r="HB203" s="10"/>
      <c r="HC203" s="10"/>
      <c r="HD203" s="10"/>
      <c r="HE203" s="10"/>
      <c r="HF203" s="10"/>
      <c r="HG203" s="10"/>
      <c r="HH203" s="10"/>
      <c r="HI203" s="10"/>
      <c r="HJ203" s="10"/>
      <c r="HK203" s="10"/>
      <c r="HL203" s="10"/>
      <c r="HM203" s="10"/>
      <c r="HN203" s="10"/>
      <c r="HO203" s="10"/>
      <c r="HP203" s="10"/>
      <c r="HQ203" s="10"/>
      <c r="HR203" s="10"/>
      <c r="HS203" s="10"/>
      <c r="HT203" s="10"/>
      <c r="HU203" s="10"/>
      <c r="HV203" s="10"/>
      <c r="HW203" s="10"/>
      <c r="HX203" s="10"/>
      <c r="HY203" s="10"/>
      <c r="HZ203" s="10"/>
      <c r="IA203" s="10"/>
      <c r="IB203" s="10"/>
      <c r="IC203" s="10"/>
      <c r="ID203" s="10"/>
      <c r="IE203" s="10"/>
      <c r="IF203" s="10"/>
      <c r="IG203" s="10"/>
      <c r="IH203" s="10"/>
      <c r="II203" s="10"/>
      <c r="IJ203" s="10"/>
      <c r="IK203" s="10"/>
      <c r="IL203" s="10"/>
      <c r="IM203" s="10"/>
      <c r="IN203" s="10"/>
      <c r="IO203" s="10"/>
      <c r="IP203" s="10"/>
      <c r="IQ203" s="10"/>
      <c r="IR203" s="10"/>
      <c r="IS203" s="10"/>
      <c r="IT203" s="10"/>
      <c r="IU203" s="10"/>
      <c r="IV203" s="10"/>
      <c r="IW203" s="10"/>
      <c r="IX203" s="10"/>
      <c r="IY203" s="10"/>
      <c r="IZ203" s="10"/>
      <c r="JA203" s="10"/>
      <c r="JB203" s="10"/>
      <c r="JC203" s="10"/>
      <c r="JD203" s="10"/>
      <c r="JE203" s="10"/>
      <c r="JF203" s="10"/>
      <c r="JG203" s="10"/>
      <c r="JH203" s="10"/>
      <c r="JI203" s="10"/>
      <c r="JJ203" s="10"/>
      <c r="JK203" s="10"/>
      <c r="JL203" s="10"/>
      <c r="JM203" s="10"/>
      <c r="JN203" s="10"/>
      <c r="JO203" s="10"/>
      <c r="JP203" s="10"/>
      <c r="JQ203" s="10"/>
      <c r="JR203" s="10"/>
      <c r="JS203" s="10"/>
      <c r="JT203" s="10"/>
      <c r="JU203" s="10"/>
      <c r="JV203" s="10"/>
      <c r="JW203" s="10"/>
      <c r="JX203" s="10"/>
      <c r="JY203" s="10"/>
      <c r="JZ203" s="10"/>
      <c r="KA203" s="10"/>
      <c r="KB203" s="10"/>
      <c r="KC203" s="10"/>
      <c r="KD203" s="10"/>
      <c r="KE203" s="10"/>
      <c r="KF203" s="10"/>
      <c r="KG203" s="10"/>
      <c r="KH203" s="10"/>
      <c r="KI203" s="10"/>
      <c r="KJ203" s="10"/>
      <c r="KK203" s="10"/>
      <c r="KL203" s="10"/>
      <c r="KM203" s="10"/>
      <c r="KN203" s="10"/>
      <c r="KO203" s="10"/>
      <c r="KP203" s="10"/>
      <c r="KQ203" s="10"/>
      <c r="KR203" s="10"/>
      <c r="KS203" s="10"/>
      <c r="KT203" s="10"/>
      <c r="KU203" s="10"/>
      <c r="KV203" s="10"/>
      <c r="KW203" s="10"/>
      <c r="KX203" s="10"/>
      <c r="KY203" s="10"/>
      <c r="KZ203" s="10"/>
      <c r="LA203" s="10"/>
      <c r="LB203" s="10"/>
      <c r="LC203" s="10"/>
      <c r="LD203" s="10"/>
      <c r="LE203" s="10"/>
      <c r="LF203" s="10"/>
      <c r="LG203" s="10"/>
      <c r="LH203" s="10"/>
      <c r="LI203" s="10"/>
      <c r="LJ203" s="10"/>
      <c r="LK203" s="10"/>
      <c r="LL203" s="10"/>
      <c r="LM203" s="10"/>
      <c r="LN203" s="10"/>
      <c r="LO203" s="10"/>
      <c r="LP203" s="10"/>
      <c r="LQ203" s="10"/>
      <c r="LR203" s="10"/>
      <c r="LS203" s="10"/>
      <c r="LT203" s="10"/>
      <c r="LU203" s="10"/>
      <c r="LV203" s="10"/>
      <c r="LW203" s="10"/>
      <c r="LX203" s="10"/>
      <c r="LY203" s="10"/>
      <c r="LZ203" s="10"/>
      <c r="MA203" s="10"/>
      <c r="MB203" s="10"/>
      <c r="MC203" s="10"/>
      <c r="MD203" s="10"/>
      <c r="ME203" s="10"/>
      <c r="MF203" s="10"/>
      <c r="MG203" s="10"/>
      <c r="MH203" s="10"/>
      <c r="MI203" s="10"/>
      <c r="MJ203" s="10"/>
      <c r="MK203" s="10"/>
      <c r="ML203" s="10"/>
      <c r="MM203" s="10"/>
      <c r="MN203" s="10"/>
      <c r="MO203" s="10"/>
      <c r="MP203" s="10"/>
      <c r="MQ203" s="10"/>
      <c r="MR203" s="10"/>
      <c r="MS203" s="10"/>
      <c r="MT203" s="10"/>
      <c r="MU203" s="10"/>
      <c r="MV203" s="10"/>
      <c r="MW203" s="10"/>
      <c r="MX203" s="10"/>
      <c r="MY203" s="10"/>
      <c r="MZ203" s="10"/>
      <c r="NA203" s="10"/>
      <c r="NB203" s="10"/>
      <c r="NC203" s="10"/>
      <c r="ND203" s="10"/>
    </row>
    <row r="204" ht="24.75" customHeight="1">
      <c r="A204" s="8">
        <v>45836.82635135417</v>
      </c>
      <c r="B204" s="9" t="s">
        <v>368</v>
      </c>
      <c r="C204" s="9" t="s">
        <v>894</v>
      </c>
      <c r="D204" s="9" t="s">
        <v>894</v>
      </c>
      <c r="G204" s="9" t="s">
        <v>422</v>
      </c>
      <c r="H204" s="9" t="s">
        <v>539</v>
      </c>
      <c r="I204" s="9" t="s">
        <v>424</v>
      </c>
      <c r="J204" s="9" t="s">
        <v>425</v>
      </c>
      <c r="K204" s="9" t="s">
        <v>376</v>
      </c>
      <c r="L204" s="9" t="s">
        <v>591</v>
      </c>
      <c r="M204" s="9" t="s">
        <v>639</v>
      </c>
      <c r="N204" s="9" t="s">
        <v>426</v>
      </c>
      <c r="O204" s="9" t="s">
        <v>497</v>
      </c>
      <c r="P204" s="9" t="s">
        <v>498</v>
      </c>
      <c r="Q204" s="9" t="s">
        <v>862</v>
      </c>
      <c r="R204" s="9" t="s">
        <v>427</v>
      </c>
      <c r="S204" s="9" t="s">
        <v>384</v>
      </c>
      <c r="T204" s="9" t="s">
        <v>385</v>
      </c>
      <c r="U204" s="9" t="s">
        <v>896</v>
      </c>
      <c r="V204" s="9" t="s">
        <v>896</v>
      </c>
      <c r="W204" s="9" t="s">
        <v>386</v>
      </c>
      <c r="X204" s="9" t="s">
        <v>387</v>
      </c>
      <c r="Y204" s="9" t="s">
        <v>388</v>
      </c>
      <c r="Z204" s="9" t="s">
        <v>672</v>
      </c>
      <c r="AA204" s="9" t="s">
        <v>4520</v>
      </c>
      <c r="AB204" s="9" t="s">
        <v>4521</v>
      </c>
      <c r="AV204" s="9" t="s">
        <v>504</v>
      </c>
      <c r="AW204" s="9" t="s">
        <v>429</v>
      </c>
      <c r="AX204" s="9" t="s">
        <v>429</v>
      </c>
      <c r="AY204" s="9" t="s">
        <v>429</v>
      </c>
      <c r="AZ204" s="9" t="s">
        <v>429</v>
      </c>
      <c r="BA204" s="9" t="s">
        <v>429</v>
      </c>
      <c r="BB204" s="9" t="s">
        <v>429</v>
      </c>
      <c r="BC204" s="9" t="s">
        <v>4522</v>
      </c>
      <c r="BD204" s="9" t="s">
        <v>4523</v>
      </c>
      <c r="BE204" s="9" t="s">
        <v>392</v>
      </c>
      <c r="BF204" s="9" t="s">
        <v>433</v>
      </c>
      <c r="BG204" s="9" t="s">
        <v>678</v>
      </c>
      <c r="BH204" s="9" t="s">
        <v>4524</v>
      </c>
      <c r="BI204" s="9" t="s">
        <v>509</v>
      </c>
      <c r="BJ204" s="9" t="s">
        <v>4525</v>
      </c>
      <c r="BK204" s="9" t="s">
        <v>681</v>
      </c>
      <c r="BL204" s="9" t="s">
        <v>904</v>
      </c>
      <c r="BM204" s="9" t="s">
        <v>439</v>
      </c>
      <c r="BN204" s="9" t="s">
        <v>513</v>
      </c>
      <c r="CL204" s="9" t="s">
        <v>441</v>
      </c>
      <c r="CM204" s="9" t="s">
        <v>442</v>
      </c>
      <c r="CN204" s="9" t="s">
        <v>4526</v>
      </c>
      <c r="CO204" s="9" t="s">
        <v>4527</v>
      </c>
      <c r="CP204" s="9" t="s">
        <v>685</v>
      </c>
      <c r="CQ204" s="9" t="s">
        <v>4528</v>
      </c>
      <c r="CR204" s="9" t="s">
        <v>447</v>
      </c>
      <c r="CS204" s="9" t="s">
        <v>4260</v>
      </c>
      <c r="CT204" s="9" t="s">
        <v>4529</v>
      </c>
      <c r="CU204" s="9" t="s">
        <v>450</v>
      </c>
      <c r="CV204" s="9" t="s">
        <v>451</v>
      </c>
      <c r="CW204" s="9" t="s">
        <v>4530</v>
      </c>
      <c r="CX204" s="9" t="s">
        <v>455</v>
      </c>
      <c r="CY204" s="9" t="s">
        <v>4531</v>
      </c>
      <c r="CZ204" s="9" t="s">
        <v>453</v>
      </c>
      <c r="DA204" s="9" t="s">
        <v>4532</v>
      </c>
      <c r="DB204" s="9" t="s">
        <v>455</v>
      </c>
      <c r="DC204" s="9" t="s">
        <v>4533</v>
      </c>
      <c r="DD204" s="9" t="s">
        <v>662</v>
      </c>
      <c r="DF204" s="9" t="s">
        <v>4534</v>
      </c>
      <c r="DG204" s="9" t="s">
        <v>524</v>
      </c>
      <c r="DH204" s="9" t="s">
        <v>410</v>
      </c>
      <c r="DI204" s="9" t="s">
        <v>459</v>
      </c>
      <c r="DJ204" s="9" t="s">
        <v>613</v>
      </c>
      <c r="ET204" s="9" t="s">
        <v>2747</v>
      </c>
      <c r="EU204" s="9" t="s">
        <v>479</v>
      </c>
      <c r="EV204" s="9" t="s">
        <v>480</v>
      </c>
      <c r="EX204" s="9" t="s">
        <v>4535</v>
      </c>
      <c r="EY204" s="9" t="s">
        <v>4536</v>
      </c>
      <c r="EZ204" s="9" t="s">
        <v>583</v>
      </c>
      <c r="FA204" s="9" t="s">
        <v>583</v>
      </c>
      <c r="FB204" s="9" t="s">
        <v>413</v>
      </c>
      <c r="FC204" s="9" t="s">
        <v>583</v>
      </c>
      <c r="FD204" s="9" t="s">
        <v>583</v>
      </c>
      <c r="FE204" s="9" t="s">
        <v>583</v>
      </c>
      <c r="FF204" s="9" t="s">
        <v>583</v>
      </c>
      <c r="FG204" s="9" t="s">
        <v>583</v>
      </c>
      <c r="FH204" s="9" t="s">
        <v>413</v>
      </c>
      <c r="FI204" s="9" t="s">
        <v>583</v>
      </c>
      <c r="FJ204" s="9" t="s">
        <v>583</v>
      </c>
      <c r="FK204" s="9" t="s">
        <v>413</v>
      </c>
      <c r="FL204" s="9" t="s">
        <v>583</v>
      </c>
      <c r="FM204" s="9" t="s">
        <v>583</v>
      </c>
      <c r="FN204" s="9" t="s">
        <v>583</v>
      </c>
      <c r="FO204" s="9" t="s">
        <v>417</v>
      </c>
      <c r="FP204" s="9" t="s">
        <v>418</v>
      </c>
      <c r="FQ204" s="9" t="s">
        <v>630</v>
      </c>
      <c r="FR204" s="9" t="s">
        <v>4537</v>
      </c>
      <c r="FS204" s="9" t="s">
        <v>420</v>
      </c>
      <c r="FT204" s="9" t="s">
        <v>488</v>
      </c>
      <c r="FU204" s="9" t="s">
        <v>533</v>
      </c>
      <c r="FV204" s="9" t="s">
        <v>490</v>
      </c>
      <c r="FW204" s="9" t="s">
        <v>491</v>
      </c>
      <c r="FX204" s="9" t="s">
        <v>4538</v>
      </c>
      <c r="FY204" s="9" t="s">
        <v>535</v>
      </c>
      <c r="FZ204" s="9" t="s">
        <v>4539</v>
      </c>
      <c r="GA204" s="9" t="s">
        <v>4540</v>
      </c>
      <c r="GB204" s="9" t="s">
        <v>455</v>
      </c>
      <c r="GD204" s="9" t="s">
        <v>4541</v>
      </c>
      <c r="GE204" s="9" t="s">
        <v>753</v>
      </c>
      <c r="GF204" s="9" t="s">
        <v>4542</v>
      </c>
      <c r="GG204" s="9" t="s">
        <v>755</v>
      </c>
      <c r="GH204" s="9" t="s">
        <v>755</v>
      </c>
      <c r="GI204" s="9" t="s">
        <v>946</v>
      </c>
      <c r="GQ204" s="9" t="s">
        <v>3208</v>
      </c>
      <c r="GR204" s="10"/>
      <c r="GS204" s="10"/>
      <c r="GT204" s="10"/>
      <c r="GU204" s="10"/>
      <c r="GV204" s="10"/>
      <c r="GW204" s="10"/>
      <c r="GX204" s="10"/>
      <c r="GY204" s="10"/>
      <c r="GZ204" s="10"/>
      <c r="HA204" s="10"/>
      <c r="HB204" s="10"/>
      <c r="HC204" s="10"/>
      <c r="HD204" s="10"/>
      <c r="HE204" s="10"/>
      <c r="HF204" s="10"/>
      <c r="HG204" s="10"/>
      <c r="HH204" s="10"/>
      <c r="HI204" s="10"/>
      <c r="HJ204" s="10"/>
      <c r="HK204" s="10"/>
      <c r="HL204" s="10"/>
      <c r="HM204" s="10"/>
      <c r="HN204" s="10"/>
      <c r="HO204" s="10"/>
      <c r="HP204" s="10"/>
      <c r="HQ204" s="10"/>
      <c r="HR204" s="10"/>
      <c r="HS204" s="10"/>
      <c r="HT204" s="10"/>
      <c r="HU204" s="10"/>
      <c r="HV204" s="10"/>
      <c r="HW204" s="10"/>
      <c r="HX204" s="10"/>
      <c r="HY204" s="10"/>
      <c r="HZ204" s="10"/>
      <c r="IA204" s="10"/>
      <c r="IB204" s="10"/>
      <c r="IC204" s="10"/>
      <c r="ID204" s="10"/>
      <c r="IE204" s="10"/>
      <c r="IF204" s="10"/>
      <c r="IG204" s="10"/>
      <c r="IH204" s="10"/>
      <c r="II204" s="10"/>
      <c r="IJ204" s="10"/>
      <c r="IK204" s="10"/>
      <c r="IL204" s="10"/>
      <c r="IM204" s="10"/>
      <c r="IN204" s="10"/>
      <c r="IO204" s="10"/>
      <c r="IP204" s="10"/>
      <c r="IQ204" s="10"/>
      <c r="IR204" s="10"/>
      <c r="IS204" s="10"/>
      <c r="IT204" s="10"/>
      <c r="IU204" s="10"/>
      <c r="IV204" s="10"/>
      <c r="IW204" s="10"/>
      <c r="IX204" s="10"/>
      <c r="IY204" s="10"/>
      <c r="IZ204" s="10"/>
      <c r="JA204" s="10"/>
      <c r="JB204" s="10"/>
      <c r="JC204" s="10"/>
      <c r="JD204" s="10"/>
      <c r="JE204" s="10"/>
      <c r="JF204" s="10"/>
      <c r="JG204" s="10"/>
      <c r="JH204" s="10"/>
      <c r="JI204" s="10"/>
      <c r="JJ204" s="10"/>
      <c r="JK204" s="10"/>
      <c r="JL204" s="10"/>
      <c r="JM204" s="10"/>
      <c r="JN204" s="10"/>
      <c r="JO204" s="10"/>
      <c r="JP204" s="10"/>
      <c r="JQ204" s="10"/>
      <c r="JR204" s="10"/>
      <c r="JS204" s="10"/>
      <c r="JT204" s="10"/>
      <c r="JU204" s="10"/>
      <c r="JV204" s="10"/>
      <c r="JW204" s="10"/>
      <c r="JX204" s="10"/>
      <c r="JY204" s="10"/>
      <c r="JZ204" s="10"/>
      <c r="KA204" s="10"/>
      <c r="KB204" s="10"/>
      <c r="KC204" s="10"/>
      <c r="KD204" s="10"/>
      <c r="KE204" s="10"/>
      <c r="KF204" s="10"/>
      <c r="KG204" s="10"/>
      <c r="KH204" s="10"/>
      <c r="KI204" s="10"/>
      <c r="KJ204" s="10"/>
      <c r="KK204" s="10"/>
      <c r="KL204" s="10"/>
      <c r="KM204" s="10"/>
      <c r="KN204" s="10"/>
      <c r="KO204" s="10"/>
      <c r="KP204" s="10"/>
      <c r="KQ204" s="10"/>
      <c r="KR204" s="10"/>
      <c r="KS204" s="10"/>
      <c r="KT204" s="10"/>
      <c r="KU204" s="10"/>
      <c r="KV204" s="10"/>
      <c r="KW204" s="10"/>
      <c r="KX204" s="10"/>
      <c r="KY204" s="10"/>
      <c r="KZ204" s="10"/>
      <c r="LA204" s="10"/>
      <c r="LB204" s="10"/>
      <c r="LC204" s="10"/>
      <c r="LD204" s="10"/>
      <c r="LE204" s="10"/>
      <c r="LF204" s="10"/>
      <c r="LG204" s="10"/>
      <c r="LH204" s="10"/>
      <c r="LI204" s="10"/>
      <c r="LJ204" s="10"/>
      <c r="LK204" s="10"/>
      <c r="LL204" s="10"/>
      <c r="LM204" s="10"/>
      <c r="LN204" s="10"/>
      <c r="LO204" s="10"/>
      <c r="LP204" s="10"/>
      <c r="LQ204" s="10"/>
      <c r="LR204" s="10"/>
      <c r="LS204" s="10"/>
      <c r="LT204" s="10"/>
      <c r="LU204" s="10"/>
      <c r="LV204" s="10"/>
      <c r="LW204" s="10"/>
      <c r="LX204" s="10"/>
      <c r="LY204" s="10"/>
      <c r="LZ204" s="10"/>
      <c r="MA204" s="10"/>
      <c r="MB204" s="10"/>
      <c r="MC204" s="10"/>
      <c r="MD204" s="10"/>
      <c r="ME204" s="10"/>
      <c r="MF204" s="10"/>
      <c r="MG204" s="10"/>
      <c r="MH204" s="10"/>
      <c r="MI204" s="10"/>
      <c r="MJ204" s="10"/>
      <c r="MK204" s="10"/>
      <c r="ML204" s="10"/>
      <c r="MM204" s="10"/>
      <c r="MN204" s="10"/>
      <c r="MO204" s="10"/>
      <c r="MP204" s="10"/>
      <c r="MQ204" s="10"/>
      <c r="MR204" s="10"/>
      <c r="MS204" s="10"/>
      <c r="MT204" s="10"/>
      <c r="MU204" s="10"/>
      <c r="MV204" s="10"/>
      <c r="MW204" s="10"/>
      <c r="MX204" s="10"/>
      <c r="MY204" s="10"/>
      <c r="MZ204" s="10"/>
      <c r="NA204" s="10"/>
      <c r="NB204" s="10"/>
      <c r="NC204" s="10"/>
      <c r="ND204" s="10"/>
    </row>
    <row r="205" ht="24.75" customHeight="1">
      <c r="A205" s="8">
        <v>45836.92451064815</v>
      </c>
      <c r="B205" s="9" t="s">
        <v>368</v>
      </c>
      <c r="C205" s="9" t="s">
        <v>370</v>
      </c>
      <c r="D205" s="9" t="s">
        <v>370</v>
      </c>
      <c r="E205" s="9" t="s">
        <v>1875</v>
      </c>
      <c r="F205" s="9" t="s">
        <v>2400</v>
      </c>
      <c r="G205" s="9" t="s">
        <v>422</v>
      </c>
      <c r="H205" s="9" t="s">
        <v>496</v>
      </c>
      <c r="I205" s="9" t="s">
        <v>374</v>
      </c>
      <c r="J205" s="9" t="s">
        <v>375</v>
      </c>
      <c r="K205" s="9" t="s">
        <v>376</v>
      </c>
      <c r="L205" s="9" t="s">
        <v>793</v>
      </c>
      <c r="M205" s="9" t="s">
        <v>719</v>
      </c>
      <c r="N205" s="9" t="s">
        <v>591</v>
      </c>
      <c r="O205" s="9" t="s">
        <v>719</v>
      </c>
      <c r="P205" s="9" t="s">
        <v>592</v>
      </c>
      <c r="Q205" s="9" t="s">
        <v>382</v>
      </c>
      <c r="R205" s="9" t="s">
        <v>641</v>
      </c>
      <c r="S205" s="9" t="s">
        <v>3728</v>
      </c>
      <c r="T205" s="9" t="s">
        <v>385</v>
      </c>
      <c r="W205" s="9" t="s">
        <v>3014</v>
      </c>
      <c r="AV205" s="9" t="s">
        <v>1310</v>
      </c>
      <c r="AW205" s="9">
        <v>4.0</v>
      </c>
      <c r="AX205" s="9">
        <v>4.0</v>
      </c>
      <c r="AY205" s="9">
        <v>4.0</v>
      </c>
      <c r="AZ205" s="9" t="s">
        <v>675</v>
      </c>
      <c r="BA205" s="9" t="s">
        <v>675</v>
      </c>
      <c r="BB205" s="9">
        <v>4.0</v>
      </c>
      <c r="BE205" s="9" t="s">
        <v>902</v>
      </c>
      <c r="BG205" s="9" t="s">
        <v>434</v>
      </c>
      <c r="BH205" s="9" t="s">
        <v>4543</v>
      </c>
      <c r="BI205" s="9" t="s">
        <v>509</v>
      </c>
      <c r="BK205" s="9" t="s">
        <v>681</v>
      </c>
      <c r="BL205" s="9" t="s">
        <v>438</v>
      </c>
      <c r="BM205" s="9" t="s">
        <v>1247</v>
      </c>
      <c r="BN205" s="9" t="s">
        <v>398</v>
      </c>
      <c r="BO205" s="9" t="s">
        <v>4544</v>
      </c>
      <c r="BP205" s="9" t="s">
        <v>4545</v>
      </c>
      <c r="BQ205" s="9" t="s">
        <v>604</v>
      </c>
      <c r="BR205" s="9" t="s">
        <v>1691</v>
      </c>
      <c r="BS205" s="9" t="s">
        <v>1671</v>
      </c>
      <c r="BT205" s="9" t="s">
        <v>1771</v>
      </c>
      <c r="BU205" s="9" t="s">
        <v>1772</v>
      </c>
      <c r="BV205" s="9" t="s">
        <v>4546</v>
      </c>
      <c r="BW205" s="9" t="s">
        <v>988</v>
      </c>
      <c r="BY205" s="9" t="s">
        <v>408</v>
      </c>
      <c r="CB205" s="9" t="s">
        <v>4547</v>
      </c>
      <c r="CC205" s="9" t="s">
        <v>4548</v>
      </c>
      <c r="CD205" s="9" t="s">
        <v>409</v>
      </c>
      <c r="CF205" s="9" t="s">
        <v>1258</v>
      </c>
      <c r="CH205" s="9" t="s">
        <v>1698</v>
      </c>
      <c r="CJ205" s="9" t="s">
        <v>4549</v>
      </c>
      <c r="CK205" s="9" t="s">
        <v>4550</v>
      </c>
      <c r="ET205" s="9" t="s">
        <v>526</v>
      </c>
      <c r="EU205" s="9" t="s">
        <v>887</v>
      </c>
      <c r="EV205" s="9" t="s">
        <v>527</v>
      </c>
      <c r="EX205" s="9" t="s">
        <v>4551</v>
      </c>
      <c r="EZ205" s="9" t="s">
        <v>415</v>
      </c>
      <c r="FA205" s="9" t="s">
        <v>414</v>
      </c>
      <c r="FB205" s="9" t="s">
        <v>416</v>
      </c>
      <c r="FC205" s="9" t="s">
        <v>414</v>
      </c>
      <c r="FD205" s="9" t="s">
        <v>413</v>
      </c>
      <c r="FE205" s="9" t="s">
        <v>414</v>
      </c>
      <c r="FF205" s="9" t="s">
        <v>415</v>
      </c>
      <c r="FG205" s="9" t="s">
        <v>413</v>
      </c>
      <c r="FH205" s="9" t="s">
        <v>414</v>
      </c>
      <c r="FI205" s="9" t="s">
        <v>415</v>
      </c>
      <c r="FJ205" s="9" t="s">
        <v>414</v>
      </c>
      <c r="FK205" s="9" t="s">
        <v>416</v>
      </c>
      <c r="FL205" s="9" t="s">
        <v>413</v>
      </c>
      <c r="FM205" s="9" t="s">
        <v>416</v>
      </c>
      <c r="FN205" s="9" t="s">
        <v>415</v>
      </c>
      <c r="FO205" s="9" t="s">
        <v>485</v>
      </c>
      <c r="FP205" s="9" t="s">
        <v>486</v>
      </c>
      <c r="FQ205" s="9" t="s">
        <v>749</v>
      </c>
      <c r="FS205" s="9" t="s">
        <v>1189</v>
      </c>
      <c r="FT205" s="9" t="s">
        <v>1462</v>
      </c>
      <c r="FU205" s="9" t="s">
        <v>489</v>
      </c>
      <c r="FV205" s="9" t="s">
        <v>490</v>
      </c>
      <c r="FW205" s="9" t="s">
        <v>491</v>
      </c>
      <c r="FY205" s="9" t="s">
        <v>493</v>
      </c>
      <c r="FZ205" s="9" t="s">
        <v>4552</v>
      </c>
      <c r="GB205" s="9" t="s">
        <v>408</v>
      </c>
      <c r="GJ205" s="9" t="s">
        <v>1000</v>
      </c>
      <c r="GK205" s="9" t="s">
        <v>1000</v>
      </c>
      <c r="GL205" s="9" t="s">
        <v>946</v>
      </c>
      <c r="GQ205" s="9" t="s">
        <v>3273</v>
      </c>
      <c r="GR205" s="10"/>
      <c r="GS205" s="10"/>
      <c r="GT205" s="10"/>
      <c r="GU205" s="10"/>
      <c r="GV205" s="10"/>
      <c r="GW205" s="10"/>
      <c r="GX205" s="10"/>
      <c r="GY205" s="10"/>
      <c r="GZ205" s="10"/>
      <c r="HA205" s="10"/>
      <c r="HB205" s="10"/>
      <c r="HC205" s="10"/>
      <c r="HD205" s="10"/>
      <c r="HE205" s="10"/>
      <c r="HF205" s="10"/>
      <c r="HG205" s="10"/>
      <c r="HH205" s="10"/>
      <c r="HI205" s="10"/>
      <c r="HJ205" s="10"/>
      <c r="HK205" s="10"/>
      <c r="HL205" s="10"/>
      <c r="HM205" s="10"/>
      <c r="HN205" s="10"/>
      <c r="HO205" s="10"/>
      <c r="HP205" s="10"/>
      <c r="HQ205" s="10"/>
      <c r="HR205" s="10"/>
      <c r="HS205" s="10"/>
      <c r="HT205" s="10"/>
      <c r="HU205" s="10"/>
      <c r="HV205" s="10"/>
      <c r="HW205" s="10"/>
      <c r="HX205" s="10"/>
      <c r="HY205" s="10"/>
      <c r="HZ205" s="10"/>
      <c r="IA205" s="10"/>
      <c r="IB205" s="10"/>
      <c r="IC205" s="10"/>
      <c r="ID205" s="10"/>
      <c r="IE205" s="10"/>
      <c r="IF205" s="10"/>
      <c r="IG205" s="10"/>
      <c r="IH205" s="10"/>
      <c r="II205" s="10"/>
      <c r="IJ205" s="10"/>
      <c r="IK205" s="10"/>
      <c r="IL205" s="10"/>
      <c r="IM205" s="10"/>
      <c r="IN205" s="10"/>
      <c r="IO205" s="10"/>
      <c r="IP205" s="10"/>
      <c r="IQ205" s="10"/>
      <c r="IR205" s="10"/>
      <c r="IS205" s="10"/>
      <c r="IT205" s="10"/>
      <c r="IU205" s="10"/>
      <c r="IV205" s="10"/>
      <c r="IW205" s="10"/>
      <c r="IX205" s="10"/>
      <c r="IY205" s="10"/>
      <c r="IZ205" s="10"/>
      <c r="JA205" s="10"/>
      <c r="JB205" s="10"/>
      <c r="JC205" s="10"/>
      <c r="JD205" s="10"/>
      <c r="JE205" s="10"/>
      <c r="JF205" s="10"/>
      <c r="JG205" s="10"/>
      <c r="JH205" s="10"/>
      <c r="JI205" s="10"/>
      <c r="JJ205" s="10"/>
      <c r="JK205" s="10"/>
      <c r="JL205" s="10"/>
      <c r="JM205" s="10"/>
      <c r="JN205" s="10"/>
      <c r="JO205" s="10"/>
      <c r="JP205" s="10"/>
      <c r="JQ205" s="10"/>
      <c r="JR205" s="10"/>
      <c r="JS205" s="10"/>
      <c r="JT205" s="10"/>
      <c r="JU205" s="10"/>
      <c r="JV205" s="10"/>
      <c r="JW205" s="10"/>
      <c r="JX205" s="10"/>
      <c r="JY205" s="10"/>
      <c r="JZ205" s="10"/>
      <c r="KA205" s="10"/>
      <c r="KB205" s="10"/>
      <c r="KC205" s="10"/>
      <c r="KD205" s="10"/>
      <c r="KE205" s="10"/>
      <c r="KF205" s="10"/>
      <c r="KG205" s="10"/>
      <c r="KH205" s="10"/>
      <c r="KI205" s="10"/>
      <c r="KJ205" s="10"/>
      <c r="KK205" s="10"/>
      <c r="KL205" s="10"/>
      <c r="KM205" s="10"/>
      <c r="KN205" s="10"/>
      <c r="KO205" s="10"/>
      <c r="KP205" s="10"/>
      <c r="KQ205" s="10"/>
      <c r="KR205" s="10"/>
      <c r="KS205" s="10"/>
      <c r="KT205" s="10"/>
      <c r="KU205" s="10"/>
      <c r="KV205" s="10"/>
      <c r="KW205" s="10"/>
      <c r="KX205" s="10"/>
      <c r="KY205" s="10"/>
      <c r="KZ205" s="10"/>
      <c r="LA205" s="10"/>
      <c r="LB205" s="10"/>
      <c r="LC205" s="10"/>
      <c r="LD205" s="10"/>
      <c r="LE205" s="10"/>
      <c r="LF205" s="10"/>
      <c r="LG205" s="10"/>
      <c r="LH205" s="10"/>
      <c r="LI205" s="10"/>
      <c r="LJ205" s="10"/>
      <c r="LK205" s="10"/>
      <c r="LL205" s="10"/>
      <c r="LM205" s="10"/>
      <c r="LN205" s="10"/>
      <c r="LO205" s="10"/>
      <c r="LP205" s="10"/>
      <c r="LQ205" s="10"/>
      <c r="LR205" s="10"/>
      <c r="LS205" s="10"/>
      <c r="LT205" s="10"/>
      <c r="LU205" s="10"/>
      <c r="LV205" s="10"/>
      <c r="LW205" s="10"/>
      <c r="LX205" s="10"/>
      <c r="LY205" s="10"/>
      <c r="LZ205" s="10"/>
      <c r="MA205" s="10"/>
      <c r="MB205" s="10"/>
      <c r="MC205" s="10"/>
      <c r="MD205" s="10"/>
      <c r="ME205" s="10"/>
      <c r="MF205" s="10"/>
      <c r="MG205" s="10"/>
      <c r="MH205" s="10"/>
      <c r="MI205" s="10"/>
      <c r="MJ205" s="10"/>
      <c r="MK205" s="10"/>
      <c r="ML205" s="10"/>
      <c r="MM205" s="10"/>
      <c r="MN205" s="10"/>
      <c r="MO205" s="10"/>
      <c r="MP205" s="10"/>
      <c r="MQ205" s="10"/>
      <c r="MR205" s="10"/>
      <c r="MS205" s="10"/>
      <c r="MT205" s="10"/>
      <c r="MU205" s="10"/>
      <c r="MV205" s="10"/>
      <c r="MW205" s="10"/>
      <c r="MX205" s="10"/>
      <c r="MY205" s="10"/>
      <c r="MZ205" s="10"/>
      <c r="NA205" s="10"/>
      <c r="NB205" s="10"/>
      <c r="NC205" s="10"/>
      <c r="ND205" s="10"/>
    </row>
    <row r="206" ht="24.75" customHeight="1">
      <c r="A206" s="8">
        <v>45837.03236370371</v>
      </c>
      <c r="B206" s="9" t="s">
        <v>368</v>
      </c>
      <c r="C206" s="9" t="s">
        <v>370</v>
      </c>
      <c r="D206" s="9" t="s">
        <v>370</v>
      </c>
      <c r="E206" s="9" t="s">
        <v>1798</v>
      </c>
      <c r="F206" s="9" t="s">
        <v>1421</v>
      </c>
      <c r="G206" s="9" t="s">
        <v>422</v>
      </c>
      <c r="H206" s="9" t="s">
        <v>496</v>
      </c>
      <c r="I206" s="9" t="s">
        <v>374</v>
      </c>
      <c r="J206" s="9" t="s">
        <v>425</v>
      </c>
      <c r="K206" s="9" t="s">
        <v>376</v>
      </c>
      <c r="L206" s="9" t="s">
        <v>426</v>
      </c>
      <c r="M206" s="9" t="s">
        <v>4553</v>
      </c>
      <c r="N206" s="9" t="s">
        <v>426</v>
      </c>
      <c r="O206" s="9" t="s">
        <v>380</v>
      </c>
      <c r="P206" s="9" t="s">
        <v>498</v>
      </c>
      <c r="Q206" s="9" t="s">
        <v>818</v>
      </c>
      <c r="R206" s="9" t="s">
        <v>427</v>
      </c>
      <c r="S206" s="9" t="s">
        <v>384</v>
      </c>
      <c r="T206" s="9" t="s">
        <v>385</v>
      </c>
      <c r="W206" s="9" t="s">
        <v>386</v>
      </c>
      <c r="X206" s="9" t="s">
        <v>387</v>
      </c>
      <c r="Z206" s="9" t="s">
        <v>543</v>
      </c>
      <c r="AA206" s="9" t="s">
        <v>408</v>
      </c>
      <c r="AB206" s="9" t="s">
        <v>408</v>
      </c>
      <c r="AV206" s="9" t="s">
        <v>390</v>
      </c>
      <c r="AW206" s="9" t="s">
        <v>391</v>
      </c>
      <c r="AX206" s="9">
        <v>2.0</v>
      </c>
      <c r="AY206" s="9">
        <v>2.0</v>
      </c>
      <c r="AZ206" s="9" t="s">
        <v>429</v>
      </c>
      <c r="BA206" s="9">
        <v>2.0</v>
      </c>
      <c r="BB206" s="9">
        <v>2.0</v>
      </c>
      <c r="BC206" s="9" t="s">
        <v>4554</v>
      </c>
      <c r="BD206" s="9" t="s">
        <v>4555</v>
      </c>
      <c r="BE206" s="9" t="s">
        <v>392</v>
      </c>
      <c r="BF206" s="9" t="s">
        <v>433</v>
      </c>
      <c r="BG206" s="9" t="s">
        <v>434</v>
      </c>
      <c r="BH206" s="9" t="s">
        <v>4556</v>
      </c>
      <c r="BI206" s="9" t="s">
        <v>509</v>
      </c>
      <c r="BJ206" s="9" t="s">
        <v>4557</v>
      </c>
      <c r="BK206" s="9" t="s">
        <v>511</v>
      </c>
      <c r="BL206" s="9" t="s">
        <v>904</v>
      </c>
      <c r="BM206" s="9" t="s">
        <v>439</v>
      </c>
      <c r="BN206" s="9" t="s">
        <v>513</v>
      </c>
      <c r="CL206" s="9" t="s">
        <v>441</v>
      </c>
      <c r="CM206" s="9" t="s">
        <v>442</v>
      </c>
      <c r="CN206" s="9" t="s">
        <v>4558</v>
      </c>
      <c r="CO206" s="9" t="s">
        <v>4559</v>
      </c>
      <c r="CP206" s="9" t="s">
        <v>445</v>
      </c>
      <c r="CQ206" s="9" t="s">
        <v>4560</v>
      </c>
      <c r="CR206" s="9" t="s">
        <v>447</v>
      </c>
      <c r="CS206" s="9" t="s">
        <v>4561</v>
      </c>
      <c r="CT206" s="9" t="s">
        <v>4562</v>
      </c>
      <c r="CU206" s="9" t="s">
        <v>450</v>
      </c>
      <c r="CV206" s="9" t="s">
        <v>451</v>
      </c>
      <c r="CW206" s="9" t="s">
        <v>4563</v>
      </c>
      <c r="CX206" s="9" t="s">
        <v>408</v>
      </c>
      <c r="CZ206" s="9" t="s">
        <v>453</v>
      </c>
      <c r="DA206" s="9" t="s">
        <v>4564</v>
      </c>
      <c r="DB206" s="9" t="s">
        <v>455</v>
      </c>
      <c r="DC206" s="9" t="s">
        <v>4565</v>
      </c>
      <c r="DD206" s="9" t="s">
        <v>988</v>
      </c>
      <c r="DE206" s="9" t="s">
        <v>407</v>
      </c>
      <c r="DF206" s="9" t="s">
        <v>4566</v>
      </c>
      <c r="DG206" s="9" t="s">
        <v>561</v>
      </c>
      <c r="DH206" s="9" t="s">
        <v>410</v>
      </c>
      <c r="DI206" s="9" t="s">
        <v>459</v>
      </c>
      <c r="DJ206" s="9" t="s">
        <v>562</v>
      </c>
      <c r="DK206" s="9" t="s">
        <v>525</v>
      </c>
      <c r="ET206" s="9" t="s">
        <v>578</v>
      </c>
      <c r="EU206" s="9" t="s">
        <v>479</v>
      </c>
      <c r="EV206" s="9" t="s">
        <v>480</v>
      </c>
      <c r="EX206" s="9" t="s">
        <v>4567</v>
      </c>
      <c r="EY206" s="9" t="s">
        <v>4568</v>
      </c>
      <c r="EZ206" s="9" t="s">
        <v>414</v>
      </c>
      <c r="FA206" s="9" t="s">
        <v>583</v>
      </c>
      <c r="FB206" s="9" t="s">
        <v>416</v>
      </c>
      <c r="FC206" s="9" t="s">
        <v>414</v>
      </c>
      <c r="FD206" s="9" t="s">
        <v>415</v>
      </c>
      <c r="FE206" s="9" t="s">
        <v>583</v>
      </c>
      <c r="FF206" s="9" t="s">
        <v>583</v>
      </c>
      <c r="FG206" s="9" t="s">
        <v>413</v>
      </c>
      <c r="FH206" s="9" t="s">
        <v>583</v>
      </c>
      <c r="FI206" s="9" t="s">
        <v>414</v>
      </c>
      <c r="FJ206" s="9" t="s">
        <v>414</v>
      </c>
      <c r="FK206" s="9" t="s">
        <v>413</v>
      </c>
      <c r="FL206" s="9" t="s">
        <v>415</v>
      </c>
      <c r="FM206" s="9" t="s">
        <v>413</v>
      </c>
      <c r="FN206" s="9" t="s">
        <v>414</v>
      </c>
      <c r="FO206" s="9" t="s">
        <v>485</v>
      </c>
      <c r="FP206" s="9" t="s">
        <v>418</v>
      </c>
      <c r="FQ206" s="9" t="s">
        <v>712</v>
      </c>
      <c r="FR206" s="9" t="s">
        <v>4569</v>
      </c>
      <c r="FS206" s="9" t="s">
        <v>420</v>
      </c>
      <c r="FT206" s="9" t="s">
        <v>488</v>
      </c>
      <c r="FU206" s="9" t="s">
        <v>489</v>
      </c>
      <c r="FV206" s="9" t="s">
        <v>490</v>
      </c>
      <c r="FW206" s="9" t="s">
        <v>491</v>
      </c>
      <c r="FX206" s="9" t="s">
        <v>4570</v>
      </c>
      <c r="FY206" s="9" t="s">
        <v>535</v>
      </c>
      <c r="FZ206" s="9" t="s">
        <v>4571</v>
      </c>
      <c r="GB206" s="9" t="s">
        <v>455</v>
      </c>
      <c r="GG206" s="9" t="s">
        <v>857</v>
      </c>
      <c r="GH206" s="9" t="s">
        <v>857</v>
      </c>
      <c r="GI206" s="9" t="s">
        <v>946</v>
      </c>
      <c r="GQ206" s="9" t="s">
        <v>3208</v>
      </c>
      <c r="GR206" s="10"/>
      <c r="GS206" s="10"/>
      <c r="GT206" s="10"/>
      <c r="GU206" s="10"/>
      <c r="GV206" s="10"/>
      <c r="GW206" s="10"/>
      <c r="GX206" s="10"/>
      <c r="GY206" s="10"/>
      <c r="GZ206" s="10"/>
      <c r="HA206" s="10"/>
      <c r="HB206" s="10"/>
      <c r="HC206" s="10"/>
      <c r="HD206" s="10"/>
      <c r="HE206" s="10"/>
      <c r="HF206" s="10"/>
      <c r="HG206" s="10"/>
      <c r="HH206" s="10"/>
      <c r="HI206" s="10"/>
      <c r="HJ206" s="10"/>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c r="IG206" s="10"/>
      <c r="IH206" s="10"/>
      <c r="II206" s="10"/>
      <c r="IJ206" s="10"/>
      <c r="IK206" s="10"/>
      <c r="IL206" s="10"/>
      <c r="IM206" s="10"/>
      <c r="IN206" s="10"/>
      <c r="IO206" s="10"/>
      <c r="IP206" s="10"/>
      <c r="IQ206" s="10"/>
      <c r="IR206" s="10"/>
      <c r="IS206" s="10"/>
      <c r="IT206" s="10"/>
      <c r="IU206" s="10"/>
      <c r="IV206" s="10"/>
      <c r="IW206" s="10"/>
      <c r="IX206" s="10"/>
      <c r="IY206" s="10"/>
      <c r="IZ206" s="10"/>
      <c r="JA206" s="10"/>
      <c r="JB206" s="10"/>
      <c r="JC206" s="10"/>
      <c r="JD206" s="10"/>
      <c r="JE206" s="10"/>
      <c r="JF206" s="10"/>
      <c r="JG206" s="10"/>
      <c r="JH206" s="10"/>
      <c r="JI206" s="10"/>
      <c r="JJ206" s="10"/>
      <c r="JK206" s="10"/>
      <c r="JL206" s="10"/>
      <c r="JM206" s="10"/>
      <c r="JN206" s="10"/>
      <c r="JO206" s="10"/>
      <c r="JP206" s="10"/>
      <c r="JQ206" s="10"/>
      <c r="JR206" s="10"/>
      <c r="JS206" s="10"/>
      <c r="JT206" s="10"/>
      <c r="JU206" s="10"/>
      <c r="JV206" s="10"/>
      <c r="JW206" s="10"/>
      <c r="JX206" s="10"/>
      <c r="JY206" s="10"/>
      <c r="JZ206" s="10"/>
      <c r="KA206" s="10"/>
      <c r="KB206" s="10"/>
      <c r="KC206" s="10"/>
      <c r="KD206" s="10"/>
      <c r="KE206" s="10"/>
      <c r="KF206" s="10"/>
      <c r="KG206" s="10"/>
      <c r="KH206" s="10"/>
      <c r="KI206" s="10"/>
      <c r="KJ206" s="10"/>
      <c r="KK206" s="10"/>
      <c r="KL206" s="10"/>
      <c r="KM206" s="10"/>
      <c r="KN206" s="10"/>
      <c r="KO206" s="10"/>
      <c r="KP206" s="10"/>
      <c r="KQ206" s="10"/>
      <c r="KR206" s="10"/>
      <c r="KS206" s="10"/>
      <c r="KT206" s="10"/>
      <c r="KU206" s="10"/>
      <c r="KV206" s="10"/>
      <c r="KW206" s="10"/>
      <c r="KX206" s="10"/>
      <c r="KY206" s="10"/>
      <c r="KZ206" s="10"/>
      <c r="LA206" s="10"/>
      <c r="LB206" s="10"/>
      <c r="LC206" s="10"/>
      <c r="LD206" s="10"/>
      <c r="LE206" s="10"/>
      <c r="LF206" s="10"/>
      <c r="LG206" s="10"/>
      <c r="LH206" s="10"/>
      <c r="LI206" s="10"/>
      <c r="LJ206" s="10"/>
      <c r="LK206" s="10"/>
      <c r="LL206" s="10"/>
      <c r="LM206" s="10"/>
      <c r="LN206" s="10"/>
      <c r="LO206" s="10"/>
      <c r="LP206" s="10"/>
      <c r="LQ206" s="10"/>
      <c r="LR206" s="10"/>
      <c r="LS206" s="10"/>
      <c r="LT206" s="10"/>
      <c r="LU206" s="10"/>
      <c r="LV206" s="10"/>
      <c r="LW206" s="10"/>
      <c r="LX206" s="10"/>
      <c r="LY206" s="10"/>
      <c r="LZ206" s="10"/>
      <c r="MA206" s="10"/>
      <c r="MB206" s="10"/>
      <c r="MC206" s="10"/>
      <c r="MD206" s="10"/>
      <c r="ME206" s="10"/>
      <c r="MF206" s="10"/>
      <c r="MG206" s="10"/>
      <c r="MH206" s="10"/>
      <c r="MI206" s="10"/>
      <c r="MJ206" s="10"/>
      <c r="MK206" s="10"/>
      <c r="ML206" s="10"/>
      <c r="MM206" s="10"/>
      <c r="MN206" s="10"/>
      <c r="MO206" s="10"/>
      <c r="MP206" s="10"/>
      <c r="MQ206" s="10"/>
      <c r="MR206" s="10"/>
      <c r="MS206" s="10"/>
      <c r="MT206" s="10"/>
      <c r="MU206" s="10"/>
      <c r="MV206" s="10"/>
      <c r="MW206" s="10"/>
      <c r="MX206" s="10"/>
      <c r="MY206" s="10"/>
      <c r="MZ206" s="10"/>
      <c r="NA206" s="10"/>
      <c r="NB206" s="10"/>
      <c r="NC206" s="10"/>
      <c r="ND206" s="10"/>
    </row>
    <row r="207" ht="24.75" customHeight="1">
      <c r="A207" s="8">
        <v>45837.456585266205</v>
      </c>
      <c r="B207" s="9" t="s">
        <v>368</v>
      </c>
      <c r="C207" s="9" t="s">
        <v>894</v>
      </c>
      <c r="D207" s="9" t="s">
        <v>894</v>
      </c>
      <c r="G207" s="9" t="s">
        <v>422</v>
      </c>
      <c r="H207" s="9" t="s">
        <v>1203</v>
      </c>
      <c r="I207" s="9" t="s">
        <v>638</v>
      </c>
      <c r="J207" s="9" t="s">
        <v>425</v>
      </c>
      <c r="K207" s="9" t="s">
        <v>376</v>
      </c>
      <c r="L207" s="9" t="s">
        <v>670</v>
      </c>
      <c r="M207" s="9" t="s">
        <v>4572</v>
      </c>
      <c r="N207" s="9" t="s">
        <v>591</v>
      </c>
      <c r="O207" s="9" t="s">
        <v>4573</v>
      </c>
      <c r="P207" s="9" t="s">
        <v>592</v>
      </c>
      <c r="Q207" s="9" t="s">
        <v>862</v>
      </c>
      <c r="R207" s="9" t="s">
        <v>500</v>
      </c>
      <c r="S207" s="9" t="s">
        <v>384</v>
      </c>
      <c r="T207" s="9" t="s">
        <v>385</v>
      </c>
      <c r="U207" s="9" t="s">
        <v>896</v>
      </c>
      <c r="V207" s="9" t="s">
        <v>896</v>
      </c>
      <c r="W207" s="9" t="s">
        <v>3014</v>
      </c>
      <c r="AV207" s="9" t="s">
        <v>504</v>
      </c>
      <c r="AW207" s="9" t="s">
        <v>429</v>
      </c>
      <c r="AX207" s="9" t="s">
        <v>429</v>
      </c>
      <c r="AY207" s="9" t="s">
        <v>429</v>
      </c>
      <c r="AZ207" s="9" t="s">
        <v>429</v>
      </c>
      <c r="BA207" s="9" t="s">
        <v>429</v>
      </c>
      <c r="BB207" s="9" t="s">
        <v>429</v>
      </c>
      <c r="BC207" s="9" t="s">
        <v>4574</v>
      </c>
      <c r="BD207" s="9" t="s">
        <v>4575</v>
      </c>
      <c r="BE207" s="9" t="s">
        <v>392</v>
      </c>
      <c r="BF207" s="9" t="s">
        <v>433</v>
      </c>
      <c r="BG207" s="9" t="s">
        <v>678</v>
      </c>
      <c r="BH207" s="9" t="s">
        <v>4576</v>
      </c>
      <c r="BI207" s="9" t="s">
        <v>976</v>
      </c>
      <c r="BK207" s="9" t="s">
        <v>511</v>
      </c>
      <c r="BL207" s="9" t="s">
        <v>904</v>
      </c>
      <c r="BM207" s="9" t="s">
        <v>439</v>
      </c>
      <c r="BN207" s="9" t="s">
        <v>513</v>
      </c>
      <c r="CL207" s="9" t="s">
        <v>441</v>
      </c>
      <c r="CM207" s="9" t="s">
        <v>604</v>
      </c>
      <c r="CN207" s="9" t="s">
        <v>552</v>
      </c>
      <c r="CO207" s="9" t="s">
        <v>4577</v>
      </c>
      <c r="CP207" s="9" t="s">
        <v>685</v>
      </c>
      <c r="CQ207" s="9" t="s">
        <v>4578</v>
      </c>
      <c r="CR207" s="9" t="s">
        <v>804</v>
      </c>
      <c r="CS207" s="9" t="s">
        <v>4579</v>
      </c>
      <c r="CT207" s="9" t="s">
        <v>4580</v>
      </c>
      <c r="CU207" s="9" t="s">
        <v>450</v>
      </c>
      <c r="CV207" s="9" t="s">
        <v>451</v>
      </c>
      <c r="CW207" s="9" t="s">
        <v>4581</v>
      </c>
      <c r="CX207" s="9" t="s">
        <v>408</v>
      </c>
      <c r="CZ207" s="9" t="s">
        <v>453</v>
      </c>
      <c r="DA207" s="9" t="s">
        <v>4582</v>
      </c>
      <c r="DB207" s="9" t="s">
        <v>455</v>
      </c>
      <c r="DC207" s="9" t="s">
        <v>4583</v>
      </c>
      <c r="DD207" s="9" t="s">
        <v>662</v>
      </c>
      <c r="DF207" s="9" t="s">
        <v>4584</v>
      </c>
      <c r="DG207" s="9" t="s">
        <v>524</v>
      </c>
      <c r="DH207" s="9" t="s">
        <v>410</v>
      </c>
      <c r="DI207" s="9" t="s">
        <v>459</v>
      </c>
      <c r="DJ207" s="9" t="s">
        <v>613</v>
      </c>
      <c r="ET207" s="9" t="s">
        <v>526</v>
      </c>
      <c r="EU207" s="9" t="s">
        <v>1127</v>
      </c>
      <c r="EV207" s="9" t="s">
        <v>580</v>
      </c>
      <c r="EX207" s="9" t="s">
        <v>4585</v>
      </c>
      <c r="EY207" s="9" t="s">
        <v>4586</v>
      </c>
      <c r="EZ207" s="9" t="s">
        <v>415</v>
      </c>
      <c r="FA207" s="9" t="s">
        <v>413</v>
      </c>
      <c r="FB207" s="9" t="s">
        <v>415</v>
      </c>
      <c r="FC207" s="9" t="s">
        <v>415</v>
      </c>
      <c r="FD207" s="9" t="s">
        <v>415</v>
      </c>
      <c r="FE207" s="9" t="s">
        <v>415</v>
      </c>
      <c r="FF207" s="9" t="s">
        <v>415</v>
      </c>
      <c r="FG207" s="9" t="s">
        <v>415</v>
      </c>
      <c r="FH207" s="9" t="s">
        <v>415</v>
      </c>
      <c r="FI207" s="9" t="s">
        <v>415</v>
      </c>
      <c r="FJ207" s="9" t="s">
        <v>415</v>
      </c>
      <c r="FK207" s="9" t="s">
        <v>415</v>
      </c>
      <c r="FL207" s="9" t="s">
        <v>415</v>
      </c>
      <c r="FM207" s="9" t="s">
        <v>415</v>
      </c>
      <c r="FN207" s="9" t="s">
        <v>415</v>
      </c>
      <c r="FO207" s="9" t="s">
        <v>417</v>
      </c>
      <c r="FP207" s="9" t="s">
        <v>418</v>
      </c>
      <c r="FQ207" s="9" t="s">
        <v>419</v>
      </c>
      <c r="FR207" s="9" t="s">
        <v>4587</v>
      </c>
      <c r="FS207" s="9" t="s">
        <v>420</v>
      </c>
      <c r="FT207" s="9" t="s">
        <v>488</v>
      </c>
      <c r="FU207" s="9" t="s">
        <v>918</v>
      </c>
      <c r="FV207" s="9" t="s">
        <v>490</v>
      </c>
      <c r="FW207" s="9" t="s">
        <v>491</v>
      </c>
      <c r="FX207" s="9" t="s">
        <v>4588</v>
      </c>
      <c r="FY207" s="9" t="s">
        <v>535</v>
      </c>
      <c r="GB207" s="9" t="s">
        <v>455</v>
      </c>
      <c r="GC207" s="9"/>
      <c r="GE207" s="9" t="s">
        <v>753</v>
      </c>
      <c r="GF207" s="9" t="s">
        <v>4589</v>
      </c>
      <c r="GG207" s="9" t="s">
        <v>755</v>
      </c>
      <c r="GH207" s="9" t="s">
        <v>789</v>
      </c>
      <c r="GI207" s="9" t="s">
        <v>817</v>
      </c>
      <c r="GQ207" s="9" t="s">
        <v>3208</v>
      </c>
      <c r="GR207" s="10"/>
      <c r="GS207" s="10"/>
      <c r="GT207" s="10"/>
      <c r="GU207" s="10"/>
      <c r="GV207" s="10"/>
      <c r="GW207" s="10"/>
      <c r="GX207" s="10"/>
      <c r="GY207" s="10"/>
      <c r="GZ207" s="10"/>
      <c r="HA207" s="10"/>
      <c r="HB207" s="10"/>
      <c r="HC207" s="10"/>
      <c r="HD207" s="10"/>
      <c r="HE207" s="10"/>
      <c r="HF207" s="10"/>
      <c r="HG207" s="10"/>
      <c r="HH207" s="10"/>
      <c r="HI207" s="10"/>
      <c r="HJ207" s="10"/>
      <c r="HK207" s="10"/>
      <c r="HL207" s="10"/>
      <c r="HM207" s="10"/>
      <c r="HN207" s="10"/>
      <c r="HO207" s="10"/>
      <c r="HP207" s="10"/>
      <c r="HQ207" s="10"/>
      <c r="HR207" s="10"/>
      <c r="HS207" s="10"/>
      <c r="HT207" s="10"/>
      <c r="HU207" s="10"/>
      <c r="HV207" s="10"/>
      <c r="HW207" s="10"/>
      <c r="HX207" s="10"/>
      <c r="HY207" s="10"/>
      <c r="HZ207" s="10"/>
      <c r="IA207" s="10"/>
      <c r="IB207" s="10"/>
      <c r="IC207" s="10"/>
      <c r="ID207" s="10"/>
      <c r="IE207" s="10"/>
      <c r="IF207" s="10"/>
      <c r="IG207" s="10"/>
      <c r="IH207" s="10"/>
      <c r="II207" s="10"/>
      <c r="IJ207" s="10"/>
      <c r="IK207" s="10"/>
      <c r="IL207" s="10"/>
      <c r="IM207" s="10"/>
      <c r="IN207" s="10"/>
      <c r="IO207" s="10"/>
      <c r="IP207" s="10"/>
      <c r="IQ207" s="10"/>
      <c r="IR207" s="10"/>
      <c r="IS207" s="10"/>
      <c r="IT207" s="10"/>
      <c r="IU207" s="10"/>
      <c r="IV207" s="10"/>
      <c r="IW207" s="10"/>
      <c r="IX207" s="10"/>
      <c r="IY207" s="10"/>
      <c r="IZ207" s="10"/>
      <c r="JA207" s="10"/>
      <c r="JB207" s="10"/>
      <c r="JC207" s="10"/>
      <c r="JD207" s="10"/>
      <c r="JE207" s="10"/>
      <c r="JF207" s="10"/>
      <c r="JG207" s="10"/>
      <c r="JH207" s="10"/>
      <c r="JI207" s="10"/>
      <c r="JJ207" s="10"/>
      <c r="JK207" s="10"/>
      <c r="JL207" s="10"/>
      <c r="JM207" s="10"/>
      <c r="JN207" s="10"/>
      <c r="JO207" s="10"/>
      <c r="JP207" s="10"/>
      <c r="JQ207" s="10"/>
      <c r="JR207" s="10"/>
      <c r="JS207" s="10"/>
      <c r="JT207" s="10"/>
      <c r="JU207" s="10"/>
      <c r="JV207" s="10"/>
      <c r="JW207" s="10"/>
      <c r="JX207" s="10"/>
      <c r="JY207" s="10"/>
      <c r="JZ207" s="10"/>
      <c r="KA207" s="10"/>
      <c r="KB207" s="10"/>
      <c r="KC207" s="10"/>
      <c r="KD207" s="10"/>
      <c r="KE207" s="10"/>
      <c r="KF207" s="10"/>
      <c r="KG207" s="10"/>
      <c r="KH207" s="10"/>
      <c r="KI207" s="10"/>
      <c r="KJ207" s="10"/>
      <c r="KK207" s="10"/>
      <c r="KL207" s="10"/>
      <c r="KM207" s="10"/>
      <c r="KN207" s="10"/>
      <c r="KO207" s="10"/>
      <c r="KP207" s="10"/>
      <c r="KQ207" s="10"/>
      <c r="KR207" s="10"/>
      <c r="KS207" s="10"/>
      <c r="KT207" s="10"/>
      <c r="KU207" s="10"/>
      <c r="KV207" s="10"/>
      <c r="KW207" s="10"/>
      <c r="KX207" s="10"/>
      <c r="KY207" s="10"/>
      <c r="KZ207" s="10"/>
      <c r="LA207" s="10"/>
      <c r="LB207" s="10"/>
      <c r="LC207" s="10"/>
      <c r="LD207" s="10"/>
      <c r="LE207" s="10"/>
      <c r="LF207" s="10"/>
      <c r="LG207" s="10"/>
      <c r="LH207" s="10"/>
      <c r="LI207" s="10"/>
      <c r="LJ207" s="10"/>
      <c r="LK207" s="10"/>
      <c r="LL207" s="10"/>
      <c r="LM207" s="10"/>
      <c r="LN207" s="10"/>
      <c r="LO207" s="10"/>
      <c r="LP207" s="10"/>
      <c r="LQ207" s="10"/>
      <c r="LR207" s="10"/>
      <c r="LS207" s="10"/>
      <c r="LT207" s="10"/>
      <c r="LU207" s="10"/>
      <c r="LV207" s="10"/>
      <c r="LW207" s="10"/>
      <c r="LX207" s="10"/>
      <c r="LY207" s="10"/>
      <c r="LZ207" s="10"/>
      <c r="MA207" s="10"/>
      <c r="MB207" s="10"/>
      <c r="MC207" s="10"/>
      <c r="MD207" s="10"/>
      <c r="ME207" s="10"/>
      <c r="MF207" s="10"/>
      <c r="MG207" s="10"/>
      <c r="MH207" s="10"/>
      <c r="MI207" s="10"/>
      <c r="MJ207" s="10"/>
      <c r="MK207" s="10"/>
      <c r="ML207" s="10"/>
      <c r="MM207" s="10"/>
      <c r="MN207" s="10"/>
      <c r="MO207" s="10"/>
      <c r="MP207" s="10"/>
      <c r="MQ207" s="10"/>
      <c r="MR207" s="10"/>
      <c r="MS207" s="10"/>
      <c r="MT207" s="10"/>
      <c r="MU207" s="10"/>
      <c r="MV207" s="10"/>
      <c r="MW207" s="10"/>
      <c r="MX207" s="10"/>
      <c r="MY207" s="10"/>
      <c r="MZ207" s="10"/>
      <c r="NA207" s="10"/>
      <c r="NB207" s="10"/>
      <c r="NC207" s="10"/>
      <c r="ND207" s="10"/>
    </row>
    <row r="208" ht="24.75" customHeight="1">
      <c r="A208" s="8">
        <v>45837.54343665509</v>
      </c>
      <c r="B208" s="9" t="s">
        <v>368</v>
      </c>
      <c r="C208" s="9" t="s">
        <v>370</v>
      </c>
      <c r="D208" s="9" t="s">
        <v>370</v>
      </c>
      <c r="E208" s="9" t="s">
        <v>2114</v>
      </c>
      <c r="F208" s="9" t="s">
        <v>2114</v>
      </c>
      <c r="G208" s="9" t="s">
        <v>422</v>
      </c>
      <c r="H208" s="9" t="s">
        <v>423</v>
      </c>
      <c r="I208" s="9" t="s">
        <v>424</v>
      </c>
      <c r="J208" s="9" t="s">
        <v>1240</v>
      </c>
      <c r="K208" s="9" t="s">
        <v>376</v>
      </c>
      <c r="L208" s="9" t="s">
        <v>426</v>
      </c>
      <c r="M208" s="9" t="s">
        <v>378</v>
      </c>
      <c r="N208" s="9" t="s">
        <v>379</v>
      </c>
      <c r="O208" s="9" t="s">
        <v>4590</v>
      </c>
      <c r="P208" s="9" t="s">
        <v>498</v>
      </c>
      <c r="Q208" s="9" t="s">
        <v>1156</v>
      </c>
      <c r="R208" s="9" t="s">
        <v>427</v>
      </c>
      <c r="S208" s="9" t="s">
        <v>384</v>
      </c>
      <c r="T208" s="9" t="s">
        <v>385</v>
      </c>
      <c r="W208" s="9" t="s">
        <v>593</v>
      </c>
      <c r="X208" s="9" t="s">
        <v>387</v>
      </c>
      <c r="Y208" s="9" t="s">
        <v>388</v>
      </c>
      <c r="Z208" s="9" t="s">
        <v>543</v>
      </c>
      <c r="AA208" s="9" t="s">
        <v>4591</v>
      </c>
      <c r="AB208" s="9" t="s">
        <v>4592</v>
      </c>
      <c r="AV208" s="9" t="s">
        <v>504</v>
      </c>
      <c r="AW208" s="9" t="s">
        <v>429</v>
      </c>
      <c r="AX208" s="9" t="s">
        <v>429</v>
      </c>
      <c r="AY208" s="9">
        <v>4.0</v>
      </c>
      <c r="AZ208" s="9" t="s">
        <v>429</v>
      </c>
      <c r="BA208" s="9" t="s">
        <v>429</v>
      </c>
      <c r="BB208" s="9" t="s">
        <v>429</v>
      </c>
      <c r="BC208" s="9" t="s">
        <v>4593</v>
      </c>
      <c r="BD208" s="9" t="s">
        <v>4594</v>
      </c>
      <c r="BE208" s="9" t="s">
        <v>432</v>
      </c>
      <c r="BF208" s="9" t="s">
        <v>433</v>
      </c>
      <c r="BG208" s="9" t="s">
        <v>678</v>
      </c>
      <c r="BH208" s="9" t="s">
        <v>4595</v>
      </c>
      <c r="BI208" s="9" t="s">
        <v>509</v>
      </c>
      <c r="BJ208" s="9" t="s">
        <v>4596</v>
      </c>
      <c r="BK208" s="9" t="s">
        <v>681</v>
      </c>
      <c r="BL208" s="9" t="s">
        <v>512</v>
      </c>
      <c r="BM208" s="9" t="s">
        <v>439</v>
      </c>
      <c r="BN208" s="9" t="s">
        <v>513</v>
      </c>
      <c r="CL208" s="9" t="s">
        <v>441</v>
      </c>
      <c r="CM208" s="9" t="s">
        <v>682</v>
      </c>
      <c r="CN208" s="9" t="s">
        <v>4597</v>
      </c>
      <c r="CO208" s="9" t="s">
        <v>4598</v>
      </c>
      <c r="CP208" s="9" t="s">
        <v>685</v>
      </c>
      <c r="CQ208" s="9" t="s">
        <v>4599</v>
      </c>
      <c r="CR208" s="9" t="s">
        <v>447</v>
      </c>
      <c r="CS208" s="9" t="s">
        <v>805</v>
      </c>
      <c r="CT208" s="9" t="s">
        <v>4600</v>
      </c>
      <c r="CU208" s="9" t="s">
        <v>450</v>
      </c>
      <c r="CV208" s="9" t="s">
        <v>451</v>
      </c>
      <c r="CW208" s="9" t="s">
        <v>4601</v>
      </c>
      <c r="CX208" s="9" t="s">
        <v>455</v>
      </c>
      <c r="CY208" s="9" t="s">
        <v>4602</v>
      </c>
      <c r="CZ208" s="9" t="s">
        <v>453</v>
      </c>
      <c r="DA208" s="9" t="s">
        <v>4603</v>
      </c>
      <c r="DB208" s="9" t="s">
        <v>455</v>
      </c>
      <c r="DC208" s="9" t="s">
        <v>4604</v>
      </c>
      <c r="DD208" s="9" t="s">
        <v>988</v>
      </c>
      <c r="DF208" s="9" t="s">
        <v>4605</v>
      </c>
      <c r="DG208" s="9" t="s">
        <v>693</v>
      </c>
      <c r="DH208" s="9" t="s">
        <v>410</v>
      </c>
      <c r="DI208" s="9" t="s">
        <v>459</v>
      </c>
      <c r="DJ208" s="9" t="s">
        <v>460</v>
      </c>
      <c r="DK208" s="9" t="s">
        <v>461</v>
      </c>
      <c r="ET208" s="9" t="s">
        <v>526</v>
      </c>
      <c r="EU208" s="9" t="s">
        <v>479</v>
      </c>
      <c r="EV208" s="9" t="s">
        <v>480</v>
      </c>
      <c r="EW208" s="9" t="s">
        <v>4606</v>
      </c>
      <c r="EX208" s="9" t="s">
        <v>4607</v>
      </c>
      <c r="EY208" s="9" t="s">
        <v>4608</v>
      </c>
      <c r="EZ208" s="9" t="s">
        <v>583</v>
      </c>
      <c r="FA208" s="9" t="s">
        <v>583</v>
      </c>
      <c r="FB208" s="9" t="s">
        <v>583</v>
      </c>
      <c r="FC208" s="9" t="s">
        <v>583</v>
      </c>
      <c r="FD208" s="9" t="s">
        <v>484</v>
      </c>
      <c r="FE208" s="9" t="s">
        <v>583</v>
      </c>
      <c r="FF208" s="9" t="s">
        <v>484</v>
      </c>
      <c r="FG208" s="9" t="s">
        <v>583</v>
      </c>
      <c r="FH208" s="9" t="s">
        <v>583</v>
      </c>
      <c r="FI208" s="9" t="s">
        <v>583</v>
      </c>
      <c r="FJ208" s="9" t="s">
        <v>583</v>
      </c>
      <c r="FK208" s="9" t="s">
        <v>583</v>
      </c>
      <c r="FL208" s="9" t="s">
        <v>583</v>
      </c>
      <c r="FM208" s="9" t="s">
        <v>583</v>
      </c>
      <c r="FN208" s="9" t="s">
        <v>583</v>
      </c>
      <c r="FO208" s="9" t="s">
        <v>1537</v>
      </c>
      <c r="FP208" s="9" t="s">
        <v>2524</v>
      </c>
      <c r="FQ208" s="9" t="s">
        <v>630</v>
      </c>
      <c r="FR208" s="9" t="s">
        <v>4609</v>
      </c>
      <c r="FS208" s="9" t="s">
        <v>420</v>
      </c>
      <c r="FT208" s="9" t="s">
        <v>488</v>
      </c>
      <c r="FU208" s="9" t="s">
        <v>533</v>
      </c>
      <c r="FV208" s="9" t="s">
        <v>490</v>
      </c>
      <c r="FW208" s="9" t="s">
        <v>1853</v>
      </c>
      <c r="FX208" s="9" t="s">
        <v>4610</v>
      </c>
      <c r="FY208" s="9" t="s">
        <v>535</v>
      </c>
      <c r="FZ208" s="9" t="s">
        <v>4611</v>
      </c>
      <c r="GA208" s="9" t="s">
        <v>4612</v>
      </c>
      <c r="GB208" s="9" t="s">
        <v>455</v>
      </c>
      <c r="GC208" s="9"/>
      <c r="GD208" s="9"/>
      <c r="GE208" s="9" t="s">
        <v>1339</v>
      </c>
      <c r="GF208" s="9" t="s">
        <v>4613</v>
      </c>
      <c r="GG208" s="9" t="s">
        <v>755</v>
      </c>
      <c r="GH208" s="9" t="s">
        <v>788</v>
      </c>
      <c r="GI208" s="9" t="s">
        <v>756</v>
      </c>
      <c r="GQ208" s="9" t="s">
        <v>4614</v>
      </c>
      <c r="GR208" s="10"/>
      <c r="GS208" s="10"/>
      <c r="GT208" s="10"/>
      <c r="GU208" s="10"/>
      <c r="GV208" s="10"/>
      <c r="GW208" s="10"/>
      <c r="GX208" s="10"/>
      <c r="GY208" s="10"/>
      <c r="GZ208" s="10"/>
      <c r="HA208" s="10"/>
      <c r="HB208" s="10"/>
      <c r="HC208" s="10"/>
      <c r="HD208" s="10"/>
      <c r="HE208" s="10"/>
      <c r="HF208" s="10"/>
      <c r="HG208" s="10"/>
      <c r="HH208" s="10"/>
      <c r="HI208" s="10"/>
      <c r="HJ208" s="10"/>
      <c r="HK208" s="10"/>
      <c r="HL208" s="10"/>
      <c r="HM208" s="10"/>
      <c r="HN208" s="10"/>
      <c r="HO208" s="10"/>
      <c r="HP208" s="10"/>
      <c r="HQ208" s="10"/>
      <c r="HR208" s="10"/>
      <c r="HS208" s="10"/>
      <c r="HT208" s="10"/>
      <c r="HU208" s="10"/>
      <c r="HV208" s="10"/>
      <c r="HW208" s="10"/>
      <c r="HX208" s="10"/>
      <c r="HY208" s="10"/>
      <c r="HZ208" s="10"/>
      <c r="IA208" s="10"/>
      <c r="IB208" s="10"/>
      <c r="IC208" s="10"/>
      <c r="ID208" s="10"/>
      <c r="IE208" s="10"/>
      <c r="IF208" s="10"/>
      <c r="IG208" s="10"/>
      <c r="IH208" s="10"/>
      <c r="II208" s="10"/>
      <c r="IJ208" s="10"/>
      <c r="IK208" s="10"/>
      <c r="IL208" s="10"/>
      <c r="IM208" s="10"/>
      <c r="IN208" s="10"/>
      <c r="IO208" s="10"/>
      <c r="IP208" s="10"/>
      <c r="IQ208" s="10"/>
      <c r="IR208" s="10"/>
      <c r="IS208" s="10"/>
      <c r="IT208" s="10"/>
      <c r="IU208" s="10"/>
      <c r="IV208" s="10"/>
      <c r="IW208" s="10"/>
      <c r="IX208" s="10"/>
      <c r="IY208" s="10"/>
      <c r="IZ208" s="10"/>
      <c r="JA208" s="10"/>
      <c r="JB208" s="10"/>
      <c r="JC208" s="10"/>
      <c r="JD208" s="10"/>
      <c r="JE208" s="10"/>
      <c r="JF208" s="10"/>
      <c r="JG208" s="10"/>
      <c r="JH208" s="10"/>
      <c r="JI208" s="10"/>
      <c r="JJ208" s="10"/>
      <c r="JK208" s="10"/>
      <c r="JL208" s="10"/>
      <c r="JM208" s="10"/>
      <c r="JN208" s="10"/>
      <c r="JO208" s="10"/>
      <c r="JP208" s="10"/>
      <c r="JQ208" s="10"/>
      <c r="JR208" s="10"/>
      <c r="JS208" s="10"/>
      <c r="JT208" s="10"/>
      <c r="JU208" s="10"/>
      <c r="JV208" s="10"/>
      <c r="JW208" s="10"/>
      <c r="JX208" s="10"/>
      <c r="JY208" s="10"/>
      <c r="JZ208" s="10"/>
      <c r="KA208" s="10"/>
      <c r="KB208" s="10"/>
      <c r="KC208" s="10"/>
      <c r="KD208" s="10"/>
      <c r="KE208" s="10"/>
      <c r="KF208" s="10"/>
      <c r="KG208" s="10"/>
      <c r="KH208" s="10"/>
      <c r="KI208" s="10"/>
      <c r="KJ208" s="10"/>
      <c r="KK208" s="10"/>
      <c r="KL208" s="10"/>
      <c r="KM208" s="10"/>
      <c r="KN208" s="10"/>
      <c r="KO208" s="10"/>
      <c r="KP208" s="10"/>
      <c r="KQ208" s="10"/>
      <c r="KR208" s="10"/>
      <c r="KS208" s="10"/>
      <c r="KT208" s="10"/>
      <c r="KU208" s="10"/>
      <c r="KV208" s="10"/>
      <c r="KW208" s="10"/>
      <c r="KX208" s="10"/>
      <c r="KY208" s="10"/>
      <c r="KZ208" s="10"/>
      <c r="LA208" s="10"/>
      <c r="LB208" s="10"/>
      <c r="LC208" s="10"/>
      <c r="LD208" s="10"/>
      <c r="LE208" s="10"/>
      <c r="LF208" s="10"/>
      <c r="LG208" s="10"/>
      <c r="LH208" s="10"/>
      <c r="LI208" s="10"/>
      <c r="LJ208" s="10"/>
      <c r="LK208" s="10"/>
      <c r="LL208" s="10"/>
      <c r="LM208" s="10"/>
      <c r="LN208" s="10"/>
      <c r="LO208" s="10"/>
      <c r="LP208" s="10"/>
      <c r="LQ208" s="10"/>
      <c r="LR208" s="10"/>
      <c r="LS208" s="10"/>
      <c r="LT208" s="10"/>
      <c r="LU208" s="10"/>
      <c r="LV208" s="10"/>
      <c r="LW208" s="10"/>
      <c r="LX208" s="10"/>
      <c r="LY208" s="10"/>
      <c r="LZ208" s="10"/>
      <c r="MA208" s="10"/>
      <c r="MB208" s="10"/>
      <c r="MC208" s="10"/>
      <c r="MD208" s="10"/>
      <c r="ME208" s="10"/>
      <c r="MF208" s="10"/>
      <c r="MG208" s="10"/>
      <c r="MH208" s="10"/>
      <c r="MI208" s="10"/>
      <c r="MJ208" s="10"/>
      <c r="MK208" s="10"/>
      <c r="ML208" s="10"/>
      <c r="MM208" s="10"/>
      <c r="MN208" s="10"/>
      <c r="MO208" s="10"/>
      <c r="MP208" s="10"/>
      <c r="MQ208" s="10"/>
      <c r="MR208" s="10"/>
      <c r="MS208" s="10"/>
      <c r="MT208" s="10"/>
      <c r="MU208" s="10"/>
      <c r="MV208" s="10"/>
      <c r="MW208" s="10"/>
      <c r="MX208" s="10"/>
      <c r="MY208" s="10"/>
      <c r="MZ208" s="10"/>
      <c r="NA208" s="10"/>
      <c r="NB208" s="10"/>
      <c r="NC208" s="10"/>
      <c r="ND208" s="10"/>
    </row>
    <row r="209" ht="24.75" customHeight="1">
      <c r="A209" s="8">
        <v>45837.65933071759</v>
      </c>
      <c r="B209" s="9" t="s">
        <v>368</v>
      </c>
      <c r="C209" s="9" t="s">
        <v>370</v>
      </c>
      <c r="D209" s="9" t="s">
        <v>370</v>
      </c>
      <c r="E209" s="9" t="s">
        <v>1421</v>
      </c>
      <c r="F209" s="9" t="s">
        <v>1421</v>
      </c>
      <c r="G209" s="9" t="s">
        <v>3187</v>
      </c>
      <c r="H209" s="9" t="s">
        <v>373</v>
      </c>
      <c r="I209" s="9" t="s">
        <v>374</v>
      </c>
      <c r="J209" s="9" t="s">
        <v>590</v>
      </c>
      <c r="K209" s="9" t="s">
        <v>376</v>
      </c>
      <c r="L209" s="9" t="s">
        <v>379</v>
      </c>
      <c r="M209" s="9" t="s">
        <v>378</v>
      </c>
      <c r="N209" s="9" t="s">
        <v>379</v>
      </c>
      <c r="O209" s="9" t="s">
        <v>380</v>
      </c>
      <c r="P209" s="9" t="s">
        <v>498</v>
      </c>
      <c r="Q209" s="9" t="s">
        <v>862</v>
      </c>
      <c r="R209" s="9" t="s">
        <v>2360</v>
      </c>
      <c r="S209" s="9" t="s">
        <v>1512</v>
      </c>
      <c r="T209" s="9" t="s">
        <v>385</v>
      </c>
      <c r="W209" s="9" t="s">
        <v>3014</v>
      </c>
      <c r="AV209" s="9" t="s">
        <v>1242</v>
      </c>
      <c r="AW209" s="9" t="s">
        <v>675</v>
      </c>
      <c r="AX209" s="9" t="s">
        <v>675</v>
      </c>
      <c r="AY209" s="9">
        <v>4.0</v>
      </c>
      <c r="AZ209" s="9" t="s">
        <v>675</v>
      </c>
      <c r="BA209" s="9" t="s">
        <v>675</v>
      </c>
      <c r="BB209" s="9" t="s">
        <v>675</v>
      </c>
      <c r="BC209" s="9" t="s">
        <v>2220</v>
      </c>
      <c r="BD209" s="9" t="s">
        <v>4615</v>
      </c>
      <c r="BE209" s="9" t="s">
        <v>2379</v>
      </c>
      <c r="BF209" s="9" t="s">
        <v>1047</v>
      </c>
      <c r="BG209" s="9" t="s">
        <v>434</v>
      </c>
      <c r="BH209" s="9" t="s">
        <v>4616</v>
      </c>
      <c r="BI209" s="9" t="s">
        <v>976</v>
      </c>
      <c r="BK209" s="9" t="s">
        <v>602</v>
      </c>
      <c r="BL209" s="9" t="s">
        <v>904</v>
      </c>
      <c r="BM209" s="9" t="s">
        <v>1314</v>
      </c>
      <c r="BN209" s="9" t="s">
        <v>440</v>
      </c>
      <c r="CL209" s="9" t="s">
        <v>441</v>
      </c>
      <c r="CM209" s="9" t="s">
        <v>442</v>
      </c>
      <c r="CN209" s="9" t="s">
        <v>4617</v>
      </c>
      <c r="CO209" s="9" t="s">
        <v>4618</v>
      </c>
      <c r="CP209" s="9" t="s">
        <v>685</v>
      </c>
      <c r="CQ209" s="9" t="s">
        <v>956</v>
      </c>
      <c r="CR209" s="9" t="s">
        <v>804</v>
      </c>
      <c r="CS209" s="9" t="s">
        <v>1626</v>
      </c>
      <c r="CT209" s="9" t="s">
        <v>4619</v>
      </c>
      <c r="CU209" s="9" t="s">
        <v>1863</v>
      </c>
      <c r="CV209" s="9" t="s">
        <v>1931</v>
      </c>
      <c r="CW209" s="9" t="s">
        <v>4620</v>
      </c>
      <c r="CX209" s="9" t="s">
        <v>408</v>
      </c>
      <c r="CZ209" s="9" t="s">
        <v>453</v>
      </c>
      <c r="DA209" s="9" t="s">
        <v>4621</v>
      </c>
      <c r="DB209" s="9" t="s">
        <v>408</v>
      </c>
      <c r="DD209" s="9" t="s">
        <v>406</v>
      </c>
      <c r="DE209" s="9" t="s">
        <v>407</v>
      </c>
      <c r="DF209" s="9" t="s">
        <v>4622</v>
      </c>
      <c r="DG209" s="9" t="s">
        <v>524</v>
      </c>
      <c r="DH209" s="9" t="s">
        <v>1220</v>
      </c>
      <c r="DI209" s="9" t="s">
        <v>459</v>
      </c>
      <c r="DJ209" s="9" t="s">
        <v>613</v>
      </c>
      <c r="DM209" s="9" t="s">
        <v>4623</v>
      </c>
      <c r="DN209" s="9" t="s">
        <v>4624</v>
      </c>
      <c r="DO209" s="9" t="s">
        <v>464</v>
      </c>
      <c r="DP209" s="9" t="s">
        <v>4625</v>
      </c>
      <c r="DQ209" s="9" t="s">
        <v>466</v>
      </c>
      <c r="DR209" s="9" t="s">
        <v>4626</v>
      </c>
      <c r="DS209" s="9" t="s">
        <v>618</v>
      </c>
      <c r="DT209" s="9" t="s">
        <v>619</v>
      </c>
      <c r="DU209" s="9" t="s">
        <v>4627</v>
      </c>
      <c r="DV209" s="9" t="s">
        <v>4628</v>
      </c>
      <c r="DW209" s="9" t="s">
        <v>1328</v>
      </c>
      <c r="DX209" s="9" t="s">
        <v>4629</v>
      </c>
      <c r="DY209" s="9" t="s">
        <v>4630</v>
      </c>
      <c r="DZ209" s="9" t="s">
        <v>4631</v>
      </c>
      <c r="EA209" s="9" t="s">
        <v>475</v>
      </c>
      <c r="EB209" s="9" t="s">
        <v>476</v>
      </c>
      <c r="EC209" s="9" t="s">
        <v>4632</v>
      </c>
      <c r="ET209" s="9" t="s">
        <v>526</v>
      </c>
      <c r="EU209" s="9" t="s">
        <v>479</v>
      </c>
      <c r="EV209" s="9" t="s">
        <v>480</v>
      </c>
      <c r="EX209" s="9" t="s">
        <v>4633</v>
      </c>
      <c r="EY209" s="9" t="s">
        <v>4634</v>
      </c>
      <c r="EZ209" s="9" t="s">
        <v>413</v>
      </c>
      <c r="FA209" s="9" t="s">
        <v>416</v>
      </c>
      <c r="FB209" s="9" t="s">
        <v>413</v>
      </c>
      <c r="FC209" s="9" t="s">
        <v>413</v>
      </c>
      <c r="FD209" s="9" t="s">
        <v>413</v>
      </c>
      <c r="FE209" s="9" t="s">
        <v>484</v>
      </c>
      <c r="FF209" s="9" t="s">
        <v>484</v>
      </c>
      <c r="FG209" s="9" t="s">
        <v>413</v>
      </c>
      <c r="FH209" s="9" t="s">
        <v>484</v>
      </c>
      <c r="FI209" s="9" t="s">
        <v>414</v>
      </c>
      <c r="FJ209" s="9" t="s">
        <v>416</v>
      </c>
      <c r="FK209" s="9" t="s">
        <v>414</v>
      </c>
      <c r="FL209" s="9" t="s">
        <v>414</v>
      </c>
      <c r="FM209" s="9" t="s">
        <v>413</v>
      </c>
      <c r="FN209" s="9" t="s">
        <v>484</v>
      </c>
      <c r="FO209" s="9" t="s">
        <v>417</v>
      </c>
      <c r="FP209" s="9" t="s">
        <v>418</v>
      </c>
      <c r="FQ209" s="9" t="s">
        <v>1039</v>
      </c>
      <c r="FR209" s="9" t="s">
        <v>4635</v>
      </c>
      <c r="FS209" s="9" t="s">
        <v>420</v>
      </c>
      <c r="FT209" s="9" t="s">
        <v>488</v>
      </c>
      <c r="FU209" s="9" t="s">
        <v>489</v>
      </c>
      <c r="FV209" s="9" t="s">
        <v>490</v>
      </c>
      <c r="FW209" s="9" t="s">
        <v>491</v>
      </c>
      <c r="FX209" s="9" t="s">
        <v>4636</v>
      </c>
      <c r="FY209" s="9" t="s">
        <v>535</v>
      </c>
      <c r="GB209" s="9" t="s">
        <v>455</v>
      </c>
      <c r="GC209" s="9"/>
      <c r="GE209" s="9" t="s">
        <v>753</v>
      </c>
      <c r="GF209" s="9" t="s">
        <v>4637</v>
      </c>
      <c r="GG209" s="9" t="s">
        <v>857</v>
      </c>
      <c r="GH209" s="9" t="s">
        <v>857</v>
      </c>
      <c r="GI209" s="9" t="s">
        <v>858</v>
      </c>
      <c r="GM209" s="9" t="s">
        <v>1079</v>
      </c>
      <c r="GQ209" s="9" t="s">
        <v>3351</v>
      </c>
      <c r="GR209" s="10"/>
      <c r="GS209" s="10"/>
      <c r="GT209" s="10"/>
      <c r="GU209" s="10"/>
      <c r="GV209" s="10"/>
      <c r="GW209" s="10"/>
      <c r="GX209" s="10"/>
      <c r="GY209" s="10"/>
      <c r="GZ209" s="10"/>
      <c r="HA209" s="10"/>
      <c r="HB209" s="10"/>
      <c r="HC209" s="10"/>
      <c r="HD209" s="10"/>
      <c r="HE209" s="10"/>
      <c r="HF209" s="10"/>
      <c r="HG209" s="10"/>
      <c r="HH209" s="10"/>
      <c r="HI209" s="10"/>
      <c r="HJ209" s="10"/>
      <c r="HK209" s="10"/>
      <c r="HL209" s="10"/>
      <c r="HM209" s="10"/>
      <c r="HN209" s="10"/>
      <c r="HO209" s="10"/>
      <c r="HP209" s="10"/>
      <c r="HQ209" s="10"/>
      <c r="HR209" s="10"/>
      <c r="HS209" s="10"/>
      <c r="HT209" s="10"/>
      <c r="HU209" s="10"/>
      <c r="HV209" s="10"/>
      <c r="HW209" s="10"/>
      <c r="HX209" s="10"/>
      <c r="HY209" s="10"/>
      <c r="HZ209" s="10"/>
      <c r="IA209" s="10"/>
      <c r="IB209" s="10"/>
      <c r="IC209" s="10"/>
      <c r="ID209" s="10"/>
      <c r="IE209" s="10"/>
      <c r="IF209" s="10"/>
      <c r="IG209" s="10"/>
      <c r="IH209" s="10"/>
      <c r="II209" s="10"/>
      <c r="IJ209" s="10"/>
      <c r="IK209" s="10"/>
      <c r="IL209" s="10"/>
      <c r="IM209" s="10"/>
      <c r="IN209" s="10"/>
      <c r="IO209" s="10"/>
      <c r="IP209" s="10"/>
      <c r="IQ209" s="10"/>
      <c r="IR209" s="10"/>
      <c r="IS209" s="10"/>
      <c r="IT209" s="10"/>
      <c r="IU209" s="10"/>
      <c r="IV209" s="10"/>
      <c r="IW209" s="10"/>
      <c r="IX209" s="10"/>
      <c r="IY209" s="10"/>
      <c r="IZ209" s="10"/>
      <c r="JA209" s="10"/>
      <c r="JB209" s="10"/>
      <c r="JC209" s="10"/>
      <c r="JD209" s="10"/>
      <c r="JE209" s="10"/>
      <c r="JF209" s="10"/>
      <c r="JG209" s="10"/>
      <c r="JH209" s="10"/>
      <c r="JI209" s="10"/>
      <c r="JJ209" s="10"/>
      <c r="JK209" s="10"/>
      <c r="JL209" s="10"/>
      <c r="JM209" s="10"/>
      <c r="JN209" s="10"/>
      <c r="JO209" s="10"/>
      <c r="JP209" s="10"/>
      <c r="JQ209" s="10"/>
      <c r="JR209" s="10"/>
      <c r="JS209" s="10"/>
      <c r="JT209" s="10"/>
      <c r="JU209" s="10"/>
      <c r="JV209" s="10"/>
      <c r="JW209" s="10"/>
      <c r="JX209" s="10"/>
      <c r="JY209" s="10"/>
      <c r="JZ209" s="10"/>
      <c r="KA209" s="10"/>
      <c r="KB209" s="10"/>
      <c r="KC209" s="10"/>
      <c r="KD209" s="10"/>
      <c r="KE209" s="10"/>
      <c r="KF209" s="10"/>
      <c r="KG209" s="10"/>
      <c r="KH209" s="10"/>
      <c r="KI209" s="10"/>
      <c r="KJ209" s="10"/>
      <c r="KK209" s="10"/>
      <c r="KL209" s="10"/>
      <c r="KM209" s="10"/>
      <c r="KN209" s="10"/>
      <c r="KO209" s="10"/>
      <c r="KP209" s="10"/>
      <c r="KQ209" s="10"/>
      <c r="KR209" s="10"/>
      <c r="KS209" s="10"/>
      <c r="KT209" s="10"/>
      <c r="KU209" s="10"/>
      <c r="KV209" s="10"/>
      <c r="KW209" s="10"/>
      <c r="KX209" s="10"/>
      <c r="KY209" s="10"/>
      <c r="KZ209" s="10"/>
      <c r="LA209" s="10"/>
      <c r="LB209" s="10"/>
      <c r="LC209" s="10"/>
      <c r="LD209" s="10"/>
      <c r="LE209" s="10"/>
      <c r="LF209" s="10"/>
      <c r="LG209" s="10"/>
      <c r="LH209" s="10"/>
      <c r="LI209" s="10"/>
      <c r="LJ209" s="10"/>
      <c r="LK209" s="10"/>
      <c r="LL209" s="10"/>
      <c r="LM209" s="10"/>
      <c r="LN209" s="10"/>
      <c r="LO209" s="10"/>
      <c r="LP209" s="10"/>
      <c r="LQ209" s="10"/>
      <c r="LR209" s="10"/>
      <c r="LS209" s="10"/>
      <c r="LT209" s="10"/>
      <c r="LU209" s="10"/>
      <c r="LV209" s="10"/>
      <c r="LW209" s="10"/>
      <c r="LX209" s="10"/>
      <c r="LY209" s="10"/>
      <c r="LZ209" s="10"/>
      <c r="MA209" s="10"/>
      <c r="MB209" s="10"/>
      <c r="MC209" s="10"/>
      <c r="MD209" s="10"/>
      <c r="ME209" s="10"/>
      <c r="MF209" s="10"/>
      <c r="MG209" s="10"/>
      <c r="MH209" s="10"/>
      <c r="MI209" s="10"/>
      <c r="MJ209" s="10"/>
      <c r="MK209" s="10"/>
      <c r="ML209" s="10"/>
      <c r="MM209" s="10"/>
      <c r="MN209" s="10"/>
      <c r="MO209" s="10"/>
      <c r="MP209" s="10"/>
      <c r="MQ209" s="10"/>
      <c r="MR209" s="10"/>
      <c r="MS209" s="10"/>
      <c r="MT209" s="10"/>
      <c r="MU209" s="10"/>
      <c r="MV209" s="10"/>
      <c r="MW209" s="10"/>
      <c r="MX209" s="10"/>
      <c r="MY209" s="10"/>
      <c r="MZ209" s="10"/>
      <c r="NA209" s="10"/>
      <c r="NB209" s="10"/>
      <c r="NC209" s="10"/>
      <c r="ND209" s="10"/>
    </row>
    <row r="210" ht="24.75" customHeight="1">
      <c r="A210" s="8">
        <v>45838.117896192125</v>
      </c>
      <c r="B210" s="9" t="s">
        <v>368</v>
      </c>
      <c r="C210" s="9" t="s">
        <v>2025</v>
      </c>
      <c r="D210" s="9" t="s">
        <v>2025</v>
      </c>
      <c r="G210" s="9" t="s">
        <v>422</v>
      </c>
      <c r="H210" s="9" t="s">
        <v>423</v>
      </c>
      <c r="I210" s="9" t="s">
        <v>424</v>
      </c>
      <c r="J210" s="9" t="s">
        <v>375</v>
      </c>
      <c r="K210" s="9" t="s">
        <v>376</v>
      </c>
      <c r="L210" s="9" t="s">
        <v>377</v>
      </c>
      <c r="M210" s="9" t="s">
        <v>541</v>
      </c>
      <c r="N210" s="9" t="s">
        <v>379</v>
      </c>
      <c r="O210" s="9" t="s">
        <v>541</v>
      </c>
      <c r="P210" s="9" t="s">
        <v>498</v>
      </c>
      <c r="Q210" s="9" t="s">
        <v>499</v>
      </c>
      <c r="R210" s="9" t="s">
        <v>500</v>
      </c>
      <c r="S210" s="9" t="s">
        <v>384</v>
      </c>
      <c r="T210" s="9" t="s">
        <v>385</v>
      </c>
      <c r="W210" s="9" t="s">
        <v>386</v>
      </c>
      <c r="X210" s="9" t="s">
        <v>387</v>
      </c>
      <c r="Y210" s="9" t="s">
        <v>2026</v>
      </c>
      <c r="Z210" s="9" t="s">
        <v>543</v>
      </c>
      <c r="AA210" s="9" t="s">
        <v>4638</v>
      </c>
      <c r="AV210" s="9" t="s">
        <v>504</v>
      </c>
      <c r="AW210" s="9">
        <v>2.0</v>
      </c>
      <c r="AX210" s="9" t="s">
        <v>429</v>
      </c>
      <c r="AY210" s="9" t="s">
        <v>391</v>
      </c>
      <c r="AZ210" s="9" t="s">
        <v>429</v>
      </c>
      <c r="BA210" s="9" t="s">
        <v>429</v>
      </c>
      <c r="BB210" s="9" t="s">
        <v>429</v>
      </c>
      <c r="BC210" s="9" t="s">
        <v>4639</v>
      </c>
      <c r="BD210" s="9" t="s">
        <v>4640</v>
      </c>
      <c r="BE210" s="9" t="s">
        <v>392</v>
      </c>
      <c r="BF210" s="9" t="s">
        <v>433</v>
      </c>
      <c r="BG210" s="9" t="s">
        <v>678</v>
      </c>
      <c r="BI210" s="9" t="s">
        <v>509</v>
      </c>
      <c r="BJ210" s="9" t="s">
        <v>4641</v>
      </c>
      <c r="BK210" s="9" t="s">
        <v>511</v>
      </c>
      <c r="BL210" s="9" t="s">
        <v>512</v>
      </c>
      <c r="BM210" s="9" t="s">
        <v>439</v>
      </c>
      <c r="BN210" s="9" t="s">
        <v>513</v>
      </c>
      <c r="CL210" s="9" t="s">
        <v>441</v>
      </c>
      <c r="CM210" s="9" t="s">
        <v>401</v>
      </c>
      <c r="CN210" s="9" t="s">
        <v>4642</v>
      </c>
      <c r="CO210" s="9" t="s">
        <v>4643</v>
      </c>
      <c r="CP210" s="9" t="s">
        <v>685</v>
      </c>
      <c r="CQ210" s="9" t="s">
        <v>4644</v>
      </c>
      <c r="CR210" s="9" t="s">
        <v>447</v>
      </c>
      <c r="CS210" s="9" t="s">
        <v>4645</v>
      </c>
      <c r="CT210" s="9" t="s">
        <v>4646</v>
      </c>
      <c r="CU210" s="9" t="s">
        <v>450</v>
      </c>
      <c r="CW210" s="9" t="s">
        <v>4647</v>
      </c>
      <c r="CX210" s="9" t="s">
        <v>408</v>
      </c>
      <c r="CZ210" s="9" t="s">
        <v>453</v>
      </c>
      <c r="DA210" s="9" t="s">
        <v>4648</v>
      </c>
      <c r="DB210" s="9" t="s">
        <v>455</v>
      </c>
      <c r="DC210" s="9" t="s">
        <v>4649</v>
      </c>
      <c r="DD210" s="9" t="s">
        <v>457</v>
      </c>
      <c r="DF210" s="9" t="s">
        <v>4650</v>
      </c>
      <c r="DG210" s="9" t="s">
        <v>776</v>
      </c>
      <c r="DH210" s="9" t="s">
        <v>410</v>
      </c>
      <c r="DI210" s="9" t="s">
        <v>459</v>
      </c>
      <c r="DJ210" s="9" t="s">
        <v>613</v>
      </c>
      <c r="ET210" s="9" t="s">
        <v>526</v>
      </c>
      <c r="EU210" s="9" t="s">
        <v>579</v>
      </c>
      <c r="EV210" s="9" t="s">
        <v>480</v>
      </c>
      <c r="EZ210" s="9" t="s">
        <v>583</v>
      </c>
      <c r="FA210" s="9" t="s">
        <v>414</v>
      </c>
      <c r="FB210" s="9" t="s">
        <v>484</v>
      </c>
      <c r="FC210" s="9" t="s">
        <v>484</v>
      </c>
      <c r="FD210" s="9" t="s">
        <v>484</v>
      </c>
      <c r="FE210" s="9" t="s">
        <v>414</v>
      </c>
      <c r="FF210" s="9" t="s">
        <v>484</v>
      </c>
      <c r="FG210" s="9" t="s">
        <v>484</v>
      </c>
      <c r="FH210" s="9" t="s">
        <v>484</v>
      </c>
      <c r="FI210" s="9" t="s">
        <v>484</v>
      </c>
      <c r="FJ210" s="9" t="s">
        <v>484</v>
      </c>
      <c r="FK210" s="9" t="s">
        <v>484</v>
      </c>
      <c r="FL210" s="9" t="s">
        <v>484</v>
      </c>
      <c r="FM210" s="9" t="s">
        <v>484</v>
      </c>
      <c r="FN210" s="9" t="s">
        <v>484</v>
      </c>
      <c r="FO210" s="9" t="s">
        <v>485</v>
      </c>
      <c r="FP210" s="9" t="s">
        <v>418</v>
      </c>
      <c r="FQ210" s="9" t="s">
        <v>712</v>
      </c>
      <c r="FS210" s="9" t="s">
        <v>420</v>
      </c>
      <c r="FT210" s="9" t="s">
        <v>488</v>
      </c>
      <c r="FU210" s="9" t="s">
        <v>918</v>
      </c>
      <c r="FV210" s="9" t="s">
        <v>490</v>
      </c>
      <c r="FW210" s="9" t="s">
        <v>491</v>
      </c>
      <c r="FX210" s="9" t="s">
        <v>4651</v>
      </c>
      <c r="FY210" s="9" t="s">
        <v>535</v>
      </c>
      <c r="GB210" s="9" t="s">
        <v>455</v>
      </c>
      <c r="GC210" s="9"/>
      <c r="GD210" s="9"/>
      <c r="GE210" s="9" t="s">
        <v>786</v>
      </c>
      <c r="GF210" s="9" t="s">
        <v>4652</v>
      </c>
      <c r="GG210" s="9" t="s">
        <v>755</v>
      </c>
      <c r="GH210" s="9" t="s">
        <v>755</v>
      </c>
      <c r="GI210" s="9" t="s">
        <v>817</v>
      </c>
      <c r="GN210" s="9" t="s">
        <v>2025</v>
      </c>
      <c r="GO210" s="9" t="s">
        <v>2025</v>
      </c>
      <c r="GQ210" s="9" t="s">
        <v>4653</v>
      </c>
      <c r="GR210" s="10"/>
      <c r="GS210" s="10"/>
      <c r="GT210" s="10"/>
      <c r="GU210" s="10"/>
      <c r="GV210" s="10"/>
      <c r="GW210" s="10"/>
      <c r="GX210" s="10"/>
      <c r="GY210" s="10"/>
      <c r="GZ210" s="10"/>
      <c r="HA210" s="10"/>
      <c r="HB210" s="10"/>
      <c r="HC210" s="10"/>
      <c r="HD210" s="10"/>
      <c r="HE210" s="10"/>
      <c r="HF210" s="10"/>
      <c r="HG210" s="10"/>
      <c r="HH210" s="10"/>
      <c r="HI210" s="10"/>
      <c r="HJ210" s="10"/>
      <c r="HK210" s="10"/>
      <c r="HL210" s="10"/>
      <c r="HM210" s="10"/>
      <c r="HN210" s="10"/>
      <c r="HO210" s="10"/>
      <c r="HP210" s="10"/>
      <c r="HQ210" s="10"/>
      <c r="HR210" s="10"/>
      <c r="HS210" s="10"/>
      <c r="HT210" s="10"/>
      <c r="HU210" s="10"/>
      <c r="HV210" s="10"/>
      <c r="HW210" s="10"/>
      <c r="HX210" s="10"/>
      <c r="HY210" s="10"/>
      <c r="HZ210" s="10"/>
      <c r="IA210" s="10"/>
      <c r="IB210" s="10"/>
      <c r="IC210" s="10"/>
      <c r="ID210" s="10"/>
      <c r="IE210" s="10"/>
      <c r="IF210" s="10"/>
      <c r="IG210" s="10"/>
      <c r="IH210" s="10"/>
      <c r="II210" s="10"/>
      <c r="IJ210" s="10"/>
      <c r="IK210" s="10"/>
      <c r="IL210" s="10"/>
      <c r="IM210" s="10"/>
      <c r="IN210" s="10"/>
      <c r="IO210" s="10"/>
      <c r="IP210" s="10"/>
      <c r="IQ210" s="10"/>
      <c r="IR210" s="10"/>
      <c r="IS210" s="10"/>
      <c r="IT210" s="10"/>
      <c r="IU210" s="10"/>
      <c r="IV210" s="10"/>
      <c r="IW210" s="10"/>
      <c r="IX210" s="10"/>
      <c r="IY210" s="10"/>
      <c r="IZ210" s="10"/>
      <c r="JA210" s="10"/>
      <c r="JB210" s="10"/>
      <c r="JC210" s="10"/>
      <c r="JD210" s="10"/>
      <c r="JE210" s="10"/>
      <c r="JF210" s="10"/>
      <c r="JG210" s="10"/>
      <c r="JH210" s="10"/>
      <c r="JI210" s="10"/>
      <c r="JJ210" s="10"/>
      <c r="JK210" s="10"/>
      <c r="JL210" s="10"/>
      <c r="JM210" s="10"/>
      <c r="JN210" s="10"/>
      <c r="JO210" s="10"/>
      <c r="JP210" s="10"/>
      <c r="JQ210" s="10"/>
      <c r="JR210" s="10"/>
      <c r="JS210" s="10"/>
      <c r="JT210" s="10"/>
      <c r="JU210" s="10"/>
      <c r="JV210" s="10"/>
      <c r="JW210" s="10"/>
      <c r="JX210" s="10"/>
      <c r="JY210" s="10"/>
      <c r="JZ210" s="10"/>
      <c r="KA210" s="10"/>
      <c r="KB210" s="10"/>
      <c r="KC210" s="10"/>
      <c r="KD210" s="10"/>
      <c r="KE210" s="10"/>
      <c r="KF210" s="10"/>
      <c r="KG210" s="10"/>
      <c r="KH210" s="10"/>
      <c r="KI210" s="10"/>
      <c r="KJ210" s="10"/>
      <c r="KK210" s="10"/>
      <c r="KL210" s="10"/>
      <c r="KM210" s="10"/>
      <c r="KN210" s="10"/>
      <c r="KO210" s="10"/>
      <c r="KP210" s="10"/>
      <c r="KQ210" s="10"/>
      <c r="KR210" s="10"/>
      <c r="KS210" s="10"/>
      <c r="KT210" s="10"/>
      <c r="KU210" s="10"/>
      <c r="KV210" s="10"/>
      <c r="KW210" s="10"/>
      <c r="KX210" s="10"/>
      <c r="KY210" s="10"/>
      <c r="KZ210" s="10"/>
      <c r="LA210" s="10"/>
      <c r="LB210" s="10"/>
      <c r="LC210" s="10"/>
      <c r="LD210" s="10"/>
      <c r="LE210" s="10"/>
      <c r="LF210" s="10"/>
      <c r="LG210" s="10"/>
      <c r="LH210" s="10"/>
      <c r="LI210" s="10"/>
      <c r="LJ210" s="10"/>
      <c r="LK210" s="10"/>
      <c r="LL210" s="10"/>
      <c r="LM210" s="10"/>
      <c r="LN210" s="10"/>
      <c r="LO210" s="10"/>
      <c r="LP210" s="10"/>
      <c r="LQ210" s="10"/>
      <c r="LR210" s="10"/>
      <c r="LS210" s="10"/>
      <c r="LT210" s="10"/>
      <c r="LU210" s="10"/>
      <c r="LV210" s="10"/>
      <c r="LW210" s="10"/>
      <c r="LX210" s="10"/>
      <c r="LY210" s="10"/>
      <c r="LZ210" s="10"/>
      <c r="MA210" s="10"/>
      <c r="MB210" s="10"/>
      <c r="MC210" s="10"/>
      <c r="MD210" s="10"/>
      <c r="ME210" s="10"/>
      <c r="MF210" s="10"/>
      <c r="MG210" s="10"/>
      <c r="MH210" s="10"/>
      <c r="MI210" s="10"/>
      <c r="MJ210" s="10"/>
      <c r="MK210" s="10"/>
      <c r="ML210" s="10"/>
      <c r="MM210" s="10"/>
      <c r="MN210" s="10"/>
      <c r="MO210" s="10"/>
      <c r="MP210" s="10"/>
      <c r="MQ210" s="10"/>
      <c r="MR210" s="10"/>
      <c r="MS210" s="10"/>
      <c r="MT210" s="10"/>
      <c r="MU210" s="10"/>
      <c r="MV210" s="10"/>
      <c r="MW210" s="10"/>
      <c r="MX210" s="10"/>
      <c r="MY210" s="10"/>
      <c r="MZ210" s="10"/>
      <c r="NA210" s="10"/>
      <c r="NB210" s="10"/>
      <c r="NC210" s="10"/>
      <c r="ND210" s="10"/>
    </row>
    <row r="211" ht="24.75" customHeight="1">
      <c r="A211" s="8">
        <v>45838.70387729167</v>
      </c>
      <c r="B211" s="9" t="s">
        <v>368</v>
      </c>
      <c r="C211" s="9" t="s">
        <v>370</v>
      </c>
      <c r="D211" s="9" t="s">
        <v>370</v>
      </c>
      <c r="E211" s="9" t="s">
        <v>2376</v>
      </c>
      <c r="F211" s="9" t="s">
        <v>667</v>
      </c>
      <c r="G211" s="9" t="s">
        <v>422</v>
      </c>
      <c r="H211" s="9" t="s">
        <v>1203</v>
      </c>
      <c r="I211" s="9" t="s">
        <v>638</v>
      </c>
      <c r="J211" s="9" t="s">
        <v>590</v>
      </c>
      <c r="K211" s="9" t="s">
        <v>376</v>
      </c>
      <c r="L211" s="9" t="s">
        <v>591</v>
      </c>
      <c r="M211" s="9" t="s">
        <v>720</v>
      </c>
      <c r="N211" s="9" t="s">
        <v>426</v>
      </c>
      <c r="O211" s="9" t="s">
        <v>380</v>
      </c>
      <c r="P211" s="9" t="s">
        <v>498</v>
      </c>
      <c r="Q211" s="9" t="s">
        <v>382</v>
      </c>
      <c r="R211" s="9" t="s">
        <v>500</v>
      </c>
      <c r="S211" s="9" t="s">
        <v>384</v>
      </c>
      <c r="T211" s="9" t="s">
        <v>385</v>
      </c>
      <c r="W211" s="9" t="s">
        <v>3014</v>
      </c>
      <c r="AV211" s="9" t="s">
        <v>1310</v>
      </c>
      <c r="AW211" s="9">
        <v>4.0</v>
      </c>
      <c r="AX211" s="9">
        <v>2.0</v>
      </c>
      <c r="AY211" s="9" t="s">
        <v>391</v>
      </c>
      <c r="AZ211" s="9" t="s">
        <v>429</v>
      </c>
      <c r="BA211" s="9" t="s">
        <v>429</v>
      </c>
      <c r="BB211" s="9">
        <v>2.0</v>
      </c>
      <c r="BC211" s="9" t="s">
        <v>4654</v>
      </c>
      <c r="BD211" s="9" t="s">
        <v>4655</v>
      </c>
      <c r="BE211" s="9" t="s">
        <v>432</v>
      </c>
      <c r="BF211" s="9" t="s">
        <v>393</v>
      </c>
      <c r="BG211" s="9" t="s">
        <v>725</v>
      </c>
      <c r="BH211" s="9" t="s">
        <v>4656</v>
      </c>
      <c r="BI211" s="9" t="s">
        <v>824</v>
      </c>
      <c r="BK211" s="9" t="s">
        <v>681</v>
      </c>
      <c r="BL211" s="9" t="s">
        <v>396</v>
      </c>
      <c r="BM211" s="9" t="s">
        <v>549</v>
      </c>
      <c r="BN211" s="9" t="s">
        <v>440</v>
      </c>
      <c r="CX211" s="9" t="s">
        <v>408</v>
      </c>
      <c r="CZ211" s="9" t="s">
        <v>985</v>
      </c>
      <c r="DB211" s="9" t="s">
        <v>408</v>
      </c>
      <c r="DD211" s="9" t="s">
        <v>988</v>
      </c>
      <c r="DE211" s="9" t="s">
        <v>407</v>
      </c>
      <c r="DG211" s="9" t="s">
        <v>561</v>
      </c>
      <c r="DH211" s="9" t="s">
        <v>410</v>
      </c>
      <c r="DI211" s="9" t="s">
        <v>777</v>
      </c>
      <c r="DJ211" s="9" t="s">
        <v>613</v>
      </c>
      <c r="DM211" s="9" t="s">
        <v>4657</v>
      </c>
      <c r="DN211" s="9" t="s">
        <v>4658</v>
      </c>
      <c r="DO211" s="9" t="s">
        <v>464</v>
      </c>
      <c r="DP211" s="9" t="s">
        <v>4659</v>
      </c>
      <c r="DQ211" s="9" t="s">
        <v>1176</v>
      </c>
      <c r="DR211" s="9" t="s">
        <v>4660</v>
      </c>
      <c r="DS211" s="9" t="s">
        <v>839</v>
      </c>
      <c r="DT211" s="9" t="s">
        <v>3611</v>
      </c>
      <c r="DU211" s="9" t="s">
        <v>4661</v>
      </c>
      <c r="DV211" s="9" t="s">
        <v>4661</v>
      </c>
      <c r="DW211" s="9" t="s">
        <v>396</v>
      </c>
      <c r="DX211" s="9" t="s">
        <v>4662</v>
      </c>
      <c r="DZ211" s="9" t="s">
        <v>4663</v>
      </c>
      <c r="EA211" s="9" t="s">
        <v>475</v>
      </c>
      <c r="EB211" s="9" t="s">
        <v>626</v>
      </c>
      <c r="ET211" s="9" t="s">
        <v>526</v>
      </c>
      <c r="EU211" s="9" t="s">
        <v>479</v>
      </c>
      <c r="EV211" s="9" t="s">
        <v>1262</v>
      </c>
      <c r="EX211" s="9" t="s">
        <v>4664</v>
      </c>
      <c r="EY211" s="9" t="s">
        <v>4665</v>
      </c>
      <c r="EZ211" s="9" t="s">
        <v>415</v>
      </c>
      <c r="FA211" s="9" t="s">
        <v>583</v>
      </c>
      <c r="FB211" s="9" t="s">
        <v>413</v>
      </c>
      <c r="FC211" s="9" t="s">
        <v>413</v>
      </c>
      <c r="FD211" s="9" t="s">
        <v>413</v>
      </c>
      <c r="FE211" s="9" t="s">
        <v>583</v>
      </c>
      <c r="FF211" s="9" t="s">
        <v>415</v>
      </c>
      <c r="FG211" s="9" t="s">
        <v>413</v>
      </c>
      <c r="FH211" s="9" t="s">
        <v>583</v>
      </c>
      <c r="FI211" s="9" t="s">
        <v>583</v>
      </c>
      <c r="FJ211" s="9" t="s">
        <v>415</v>
      </c>
      <c r="FK211" s="9" t="s">
        <v>484</v>
      </c>
      <c r="FL211" s="9" t="s">
        <v>484</v>
      </c>
      <c r="FM211" s="9" t="s">
        <v>416</v>
      </c>
      <c r="FN211" s="9" t="s">
        <v>414</v>
      </c>
      <c r="FO211" s="9" t="s">
        <v>1074</v>
      </c>
      <c r="FP211" s="9" t="s">
        <v>418</v>
      </c>
      <c r="FR211" s="9" t="s">
        <v>4666</v>
      </c>
      <c r="FS211" s="9" t="s">
        <v>420</v>
      </c>
      <c r="FT211" s="9" t="s">
        <v>488</v>
      </c>
      <c r="FU211" s="9" t="s">
        <v>533</v>
      </c>
      <c r="FV211" s="9" t="s">
        <v>490</v>
      </c>
      <c r="FW211" s="9" t="s">
        <v>491</v>
      </c>
      <c r="FX211" s="9" t="s">
        <v>4667</v>
      </c>
      <c r="FY211" s="9" t="s">
        <v>535</v>
      </c>
      <c r="GB211" s="9" t="s">
        <v>408</v>
      </c>
      <c r="GG211" s="9" t="s">
        <v>755</v>
      </c>
      <c r="GH211" s="9" t="s">
        <v>755</v>
      </c>
      <c r="GI211" s="9" t="s">
        <v>946</v>
      </c>
      <c r="GM211" s="9" t="s">
        <v>1079</v>
      </c>
      <c r="GQ211" s="9" t="s">
        <v>3208</v>
      </c>
      <c r="GR211" s="10"/>
      <c r="GS211" s="10"/>
      <c r="GT211" s="10"/>
      <c r="GU211" s="10"/>
      <c r="GV211" s="10"/>
      <c r="GW211" s="10"/>
      <c r="GX211" s="10"/>
      <c r="GY211" s="10"/>
      <c r="GZ211" s="10"/>
      <c r="HA211" s="10"/>
      <c r="HB211" s="10"/>
      <c r="HC211" s="10"/>
      <c r="HD211" s="10"/>
      <c r="HE211" s="10"/>
      <c r="HF211" s="10"/>
      <c r="HG211" s="10"/>
      <c r="HH211" s="10"/>
      <c r="HI211" s="10"/>
      <c r="HJ211" s="10"/>
      <c r="HK211" s="10"/>
      <c r="HL211" s="10"/>
      <c r="HM211" s="10"/>
      <c r="HN211" s="10"/>
      <c r="HO211" s="10"/>
      <c r="HP211" s="10"/>
      <c r="HQ211" s="10"/>
      <c r="HR211" s="10"/>
      <c r="HS211" s="10"/>
      <c r="HT211" s="10"/>
      <c r="HU211" s="10"/>
      <c r="HV211" s="10"/>
      <c r="HW211" s="10"/>
      <c r="HX211" s="10"/>
      <c r="HY211" s="10"/>
      <c r="HZ211" s="10"/>
      <c r="IA211" s="10"/>
      <c r="IB211" s="10"/>
      <c r="IC211" s="10"/>
      <c r="ID211" s="10"/>
      <c r="IE211" s="10"/>
      <c r="IF211" s="10"/>
      <c r="IG211" s="10"/>
      <c r="IH211" s="10"/>
      <c r="II211" s="10"/>
      <c r="IJ211" s="10"/>
      <c r="IK211" s="10"/>
      <c r="IL211" s="10"/>
      <c r="IM211" s="10"/>
      <c r="IN211" s="10"/>
      <c r="IO211" s="10"/>
      <c r="IP211" s="10"/>
      <c r="IQ211" s="10"/>
      <c r="IR211" s="10"/>
      <c r="IS211" s="10"/>
      <c r="IT211" s="10"/>
      <c r="IU211" s="10"/>
      <c r="IV211" s="10"/>
      <c r="IW211" s="10"/>
      <c r="IX211" s="10"/>
      <c r="IY211" s="10"/>
      <c r="IZ211" s="10"/>
      <c r="JA211" s="10"/>
      <c r="JB211" s="10"/>
      <c r="JC211" s="10"/>
      <c r="JD211" s="10"/>
      <c r="JE211" s="10"/>
      <c r="JF211" s="10"/>
      <c r="JG211" s="10"/>
      <c r="JH211" s="10"/>
      <c r="JI211" s="10"/>
      <c r="JJ211" s="10"/>
      <c r="JK211" s="10"/>
      <c r="JL211" s="10"/>
      <c r="JM211" s="10"/>
      <c r="JN211" s="10"/>
      <c r="JO211" s="10"/>
      <c r="JP211" s="10"/>
      <c r="JQ211" s="10"/>
      <c r="JR211" s="10"/>
      <c r="JS211" s="10"/>
      <c r="JT211" s="10"/>
      <c r="JU211" s="10"/>
      <c r="JV211" s="10"/>
      <c r="JW211" s="10"/>
      <c r="JX211" s="10"/>
      <c r="JY211" s="10"/>
      <c r="JZ211" s="10"/>
      <c r="KA211" s="10"/>
      <c r="KB211" s="10"/>
      <c r="KC211" s="10"/>
      <c r="KD211" s="10"/>
      <c r="KE211" s="10"/>
      <c r="KF211" s="10"/>
      <c r="KG211" s="10"/>
      <c r="KH211" s="10"/>
      <c r="KI211" s="10"/>
      <c r="KJ211" s="10"/>
      <c r="KK211" s="10"/>
      <c r="KL211" s="10"/>
      <c r="KM211" s="10"/>
      <c r="KN211" s="10"/>
      <c r="KO211" s="10"/>
      <c r="KP211" s="10"/>
      <c r="KQ211" s="10"/>
      <c r="KR211" s="10"/>
      <c r="KS211" s="10"/>
      <c r="KT211" s="10"/>
      <c r="KU211" s="10"/>
      <c r="KV211" s="10"/>
      <c r="KW211" s="10"/>
      <c r="KX211" s="10"/>
      <c r="KY211" s="10"/>
      <c r="KZ211" s="10"/>
      <c r="LA211" s="10"/>
      <c r="LB211" s="10"/>
      <c r="LC211" s="10"/>
      <c r="LD211" s="10"/>
      <c r="LE211" s="10"/>
      <c r="LF211" s="10"/>
      <c r="LG211" s="10"/>
      <c r="LH211" s="10"/>
      <c r="LI211" s="10"/>
      <c r="LJ211" s="10"/>
      <c r="LK211" s="10"/>
      <c r="LL211" s="10"/>
      <c r="LM211" s="10"/>
      <c r="LN211" s="10"/>
      <c r="LO211" s="10"/>
      <c r="LP211" s="10"/>
      <c r="LQ211" s="10"/>
      <c r="LR211" s="10"/>
      <c r="LS211" s="10"/>
      <c r="LT211" s="10"/>
      <c r="LU211" s="10"/>
      <c r="LV211" s="10"/>
      <c r="LW211" s="10"/>
      <c r="LX211" s="10"/>
      <c r="LY211" s="10"/>
      <c r="LZ211" s="10"/>
      <c r="MA211" s="10"/>
      <c r="MB211" s="10"/>
      <c r="MC211" s="10"/>
      <c r="MD211" s="10"/>
      <c r="ME211" s="10"/>
      <c r="MF211" s="10"/>
      <c r="MG211" s="10"/>
      <c r="MH211" s="10"/>
      <c r="MI211" s="10"/>
      <c r="MJ211" s="10"/>
      <c r="MK211" s="10"/>
      <c r="ML211" s="10"/>
      <c r="MM211" s="10"/>
      <c r="MN211" s="10"/>
      <c r="MO211" s="10"/>
      <c r="MP211" s="10"/>
      <c r="MQ211" s="10"/>
      <c r="MR211" s="10"/>
      <c r="MS211" s="10"/>
      <c r="MT211" s="10"/>
      <c r="MU211" s="10"/>
      <c r="MV211" s="10"/>
      <c r="MW211" s="10"/>
      <c r="MX211" s="10"/>
      <c r="MY211" s="10"/>
      <c r="MZ211" s="10"/>
      <c r="NA211" s="10"/>
      <c r="NB211" s="10"/>
      <c r="NC211" s="10"/>
      <c r="ND211" s="10"/>
    </row>
    <row r="212" ht="24.75" customHeight="1">
      <c r="A212" s="8">
        <v>45839.585315289354</v>
      </c>
      <c r="B212" s="9" t="s">
        <v>368</v>
      </c>
      <c r="C212" s="9" t="s">
        <v>370</v>
      </c>
      <c r="D212" s="9" t="s">
        <v>370</v>
      </c>
      <c r="E212" s="9" t="s">
        <v>2335</v>
      </c>
      <c r="F212" s="9" t="s">
        <v>1421</v>
      </c>
      <c r="G212" s="9" t="s">
        <v>422</v>
      </c>
      <c r="H212" s="9" t="s">
        <v>539</v>
      </c>
      <c r="I212" s="9" t="s">
        <v>424</v>
      </c>
      <c r="J212" s="9" t="s">
        <v>758</v>
      </c>
      <c r="K212" s="9" t="s">
        <v>376</v>
      </c>
      <c r="L212" s="9" t="s">
        <v>426</v>
      </c>
      <c r="M212" s="9" t="s">
        <v>720</v>
      </c>
      <c r="N212" s="9" t="s">
        <v>793</v>
      </c>
      <c r="O212" s="9" t="s">
        <v>2097</v>
      </c>
      <c r="P212" s="9" t="s">
        <v>498</v>
      </c>
      <c r="Q212" s="9" t="s">
        <v>499</v>
      </c>
      <c r="R212" s="9" t="s">
        <v>500</v>
      </c>
      <c r="S212" s="9" t="s">
        <v>384</v>
      </c>
      <c r="T212" s="9" t="s">
        <v>385</v>
      </c>
      <c r="W212" s="9" t="s">
        <v>593</v>
      </c>
      <c r="X212" s="9" t="s">
        <v>387</v>
      </c>
      <c r="Y212" s="9" t="s">
        <v>388</v>
      </c>
      <c r="Z212" s="9" t="s">
        <v>543</v>
      </c>
      <c r="AA212" s="9" t="s">
        <v>4668</v>
      </c>
      <c r="AB212" s="9" t="s">
        <v>4669</v>
      </c>
      <c r="AV212" s="9" t="s">
        <v>1310</v>
      </c>
      <c r="AW212" s="9">
        <v>2.0</v>
      </c>
      <c r="AX212" s="9">
        <v>2.0</v>
      </c>
      <c r="AY212" s="9">
        <v>2.0</v>
      </c>
      <c r="AZ212" s="9" t="s">
        <v>391</v>
      </c>
      <c r="BA212" s="9" t="s">
        <v>391</v>
      </c>
      <c r="BB212" s="9" t="s">
        <v>391</v>
      </c>
      <c r="BC212" s="9" t="s">
        <v>4670</v>
      </c>
      <c r="BD212" s="9" t="s">
        <v>4671</v>
      </c>
      <c r="BE212" s="9" t="s">
        <v>3114</v>
      </c>
      <c r="BF212" s="9" t="s">
        <v>1095</v>
      </c>
      <c r="BG212" s="9" t="s">
        <v>678</v>
      </c>
      <c r="BH212" s="9" t="s">
        <v>4672</v>
      </c>
      <c r="BI212" s="9" t="s">
        <v>435</v>
      </c>
      <c r="BJ212" s="9" t="s">
        <v>4673</v>
      </c>
      <c r="BK212" s="9" t="s">
        <v>437</v>
      </c>
      <c r="BL212" s="9" t="s">
        <v>438</v>
      </c>
      <c r="BM212" s="9" t="s">
        <v>1247</v>
      </c>
      <c r="BN212" s="9" t="s">
        <v>513</v>
      </c>
      <c r="CL212" s="9" t="s">
        <v>913</v>
      </c>
      <c r="CM212" s="9" t="s">
        <v>442</v>
      </c>
      <c r="CN212" s="9" t="s">
        <v>552</v>
      </c>
      <c r="CO212" s="9" t="s">
        <v>4674</v>
      </c>
      <c r="CP212" s="9" t="s">
        <v>403</v>
      </c>
      <c r="CQ212" s="9" t="s">
        <v>1427</v>
      </c>
      <c r="CR212" s="9" t="s">
        <v>404</v>
      </c>
      <c r="CS212" s="9" t="s">
        <v>1137</v>
      </c>
      <c r="CT212" s="9" t="s">
        <v>4675</v>
      </c>
      <c r="CU212" s="9" t="s">
        <v>982</v>
      </c>
      <c r="CV212" s="9" t="s">
        <v>451</v>
      </c>
      <c r="CW212" s="9" t="s">
        <v>4676</v>
      </c>
      <c r="CX212" s="9" t="s">
        <v>408</v>
      </c>
      <c r="CZ212" s="9" t="s">
        <v>453</v>
      </c>
      <c r="DA212" s="9" t="s">
        <v>4677</v>
      </c>
      <c r="DB212" s="9" t="s">
        <v>408</v>
      </c>
      <c r="DD212" s="9" t="s">
        <v>406</v>
      </c>
      <c r="DE212" s="9" t="s">
        <v>407</v>
      </c>
      <c r="DF212" s="9" t="s">
        <v>4678</v>
      </c>
      <c r="DG212" s="9" t="s">
        <v>524</v>
      </c>
      <c r="DH212" s="9" t="s">
        <v>833</v>
      </c>
      <c r="DI212" s="9" t="s">
        <v>459</v>
      </c>
      <c r="DJ212" s="9" t="s">
        <v>613</v>
      </c>
      <c r="ET212" s="9" t="s">
        <v>478</v>
      </c>
      <c r="EU212" s="9" t="s">
        <v>1127</v>
      </c>
      <c r="EV212" s="9" t="s">
        <v>527</v>
      </c>
      <c r="EW212" s="9" t="s">
        <v>4679</v>
      </c>
      <c r="EX212" s="9" t="s">
        <v>4680</v>
      </c>
      <c r="EY212" s="9" t="s">
        <v>4681</v>
      </c>
      <c r="EZ212" s="9" t="s">
        <v>414</v>
      </c>
      <c r="FA212" s="9" t="s">
        <v>414</v>
      </c>
      <c r="FB212" s="9" t="s">
        <v>413</v>
      </c>
      <c r="FC212" s="9" t="s">
        <v>414</v>
      </c>
      <c r="FD212" s="9" t="s">
        <v>413</v>
      </c>
      <c r="FE212" s="9" t="s">
        <v>414</v>
      </c>
      <c r="FF212" s="9" t="s">
        <v>415</v>
      </c>
      <c r="FG212" s="9" t="s">
        <v>413</v>
      </c>
      <c r="FH212" s="9" t="s">
        <v>414</v>
      </c>
      <c r="FI212" s="9" t="s">
        <v>583</v>
      </c>
      <c r="FJ212" s="9" t="s">
        <v>413</v>
      </c>
      <c r="FK212" s="9" t="s">
        <v>414</v>
      </c>
      <c r="FL212" s="9" t="s">
        <v>414</v>
      </c>
      <c r="FM212" s="9" t="s">
        <v>416</v>
      </c>
      <c r="FN212" s="9" t="s">
        <v>414</v>
      </c>
      <c r="FO212" s="9" t="s">
        <v>417</v>
      </c>
      <c r="FP212" s="9" t="s">
        <v>418</v>
      </c>
      <c r="FQ212" s="9" t="s">
        <v>630</v>
      </c>
      <c r="FR212" s="9" t="s">
        <v>4682</v>
      </c>
      <c r="FS212" s="9" t="s">
        <v>420</v>
      </c>
      <c r="FT212" s="9" t="s">
        <v>488</v>
      </c>
      <c r="FU212" s="9" t="s">
        <v>489</v>
      </c>
      <c r="FV212" s="9" t="s">
        <v>490</v>
      </c>
      <c r="FW212" s="9" t="s">
        <v>491</v>
      </c>
      <c r="FX212" s="9" t="s">
        <v>4678</v>
      </c>
      <c r="FY212" s="9" t="s">
        <v>535</v>
      </c>
      <c r="FZ212" s="9" t="s">
        <v>4683</v>
      </c>
      <c r="GA212" s="9" t="s">
        <v>4684</v>
      </c>
      <c r="GB212" s="9" t="s">
        <v>455</v>
      </c>
      <c r="GC212" s="9"/>
      <c r="GD212" s="9"/>
      <c r="GE212" s="9" t="s">
        <v>786</v>
      </c>
      <c r="GF212" s="9" t="s">
        <v>4685</v>
      </c>
      <c r="GG212" s="9" t="s">
        <v>755</v>
      </c>
      <c r="GH212" s="9" t="s">
        <v>755</v>
      </c>
      <c r="GI212" s="9" t="s">
        <v>946</v>
      </c>
      <c r="GQ212" s="9" t="s">
        <v>3306</v>
      </c>
      <c r="GR212" s="10"/>
      <c r="GS212" s="10"/>
      <c r="GT212" s="10"/>
      <c r="GU212" s="10"/>
      <c r="GV212" s="10"/>
      <c r="GW212" s="10"/>
      <c r="GX212" s="10"/>
      <c r="GY212" s="10"/>
      <c r="GZ212" s="10"/>
      <c r="HA212" s="10"/>
      <c r="HB212" s="10"/>
      <c r="HC212" s="10"/>
      <c r="HD212" s="10"/>
      <c r="HE212" s="10"/>
      <c r="HF212" s="10"/>
      <c r="HG212" s="10"/>
      <c r="HH212" s="10"/>
      <c r="HI212" s="10"/>
      <c r="HJ212" s="10"/>
      <c r="HK212" s="10"/>
      <c r="HL212" s="10"/>
      <c r="HM212" s="10"/>
      <c r="HN212" s="10"/>
      <c r="HO212" s="10"/>
      <c r="HP212" s="10"/>
      <c r="HQ212" s="10"/>
      <c r="HR212" s="10"/>
      <c r="HS212" s="10"/>
      <c r="HT212" s="10"/>
      <c r="HU212" s="10"/>
      <c r="HV212" s="10"/>
      <c r="HW212" s="10"/>
      <c r="HX212" s="10"/>
      <c r="HY212" s="10"/>
      <c r="HZ212" s="10"/>
      <c r="IA212" s="10"/>
      <c r="IB212" s="10"/>
      <c r="IC212" s="10"/>
      <c r="ID212" s="10"/>
      <c r="IE212" s="10"/>
      <c r="IF212" s="10"/>
      <c r="IG212" s="10"/>
      <c r="IH212" s="10"/>
      <c r="II212" s="10"/>
      <c r="IJ212" s="10"/>
      <c r="IK212" s="10"/>
      <c r="IL212" s="10"/>
      <c r="IM212" s="10"/>
      <c r="IN212" s="10"/>
      <c r="IO212" s="10"/>
      <c r="IP212" s="10"/>
      <c r="IQ212" s="10"/>
      <c r="IR212" s="10"/>
      <c r="IS212" s="10"/>
      <c r="IT212" s="10"/>
      <c r="IU212" s="10"/>
      <c r="IV212" s="10"/>
      <c r="IW212" s="10"/>
      <c r="IX212" s="10"/>
      <c r="IY212" s="10"/>
      <c r="IZ212" s="10"/>
      <c r="JA212" s="10"/>
      <c r="JB212" s="10"/>
      <c r="JC212" s="10"/>
      <c r="JD212" s="10"/>
      <c r="JE212" s="10"/>
      <c r="JF212" s="10"/>
      <c r="JG212" s="10"/>
      <c r="JH212" s="10"/>
      <c r="JI212" s="10"/>
      <c r="JJ212" s="10"/>
      <c r="JK212" s="10"/>
      <c r="JL212" s="10"/>
      <c r="JM212" s="10"/>
      <c r="JN212" s="10"/>
      <c r="JO212" s="10"/>
      <c r="JP212" s="10"/>
      <c r="JQ212" s="10"/>
      <c r="JR212" s="10"/>
      <c r="JS212" s="10"/>
      <c r="JT212" s="10"/>
      <c r="JU212" s="10"/>
      <c r="JV212" s="10"/>
      <c r="JW212" s="10"/>
      <c r="JX212" s="10"/>
      <c r="JY212" s="10"/>
      <c r="JZ212" s="10"/>
      <c r="KA212" s="10"/>
      <c r="KB212" s="10"/>
      <c r="KC212" s="10"/>
      <c r="KD212" s="10"/>
      <c r="KE212" s="10"/>
      <c r="KF212" s="10"/>
      <c r="KG212" s="10"/>
      <c r="KH212" s="10"/>
      <c r="KI212" s="10"/>
      <c r="KJ212" s="10"/>
      <c r="KK212" s="10"/>
      <c r="KL212" s="10"/>
      <c r="KM212" s="10"/>
      <c r="KN212" s="10"/>
      <c r="KO212" s="10"/>
      <c r="KP212" s="10"/>
      <c r="KQ212" s="10"/>
      <c r="KR212" s="10"/>
      <c r="KS212" s="10"/>
      <c r="KT212" s="10"/>
      <c r="KU212" s="10"/>
      <c r="KV212" s="10"/>
      <c r="KW212" s="10"/>
      <c r="KX212" s="10"/>
      <c r="KY212" s="10"/>
      <c r="KZ212" s="10"/>
      <c r="LA212" s="10"/>
      <c r="LB212" s="10"/>
      <c r="LC212" s="10"/>
      <c r="LD212" s="10"/>
      <c r="LE212" s="10"/>
      <c r="LF212" s="10"/>
      <c r="LG212" s="10"/>
      <c r="LH212" s="10"/>
      <c r="LI212" s="10"/>
      <c r="LJ212" s="10"/>
      <c r="LK212" s="10"/>
      <c r="LL212" s="10"/>
      <c r="LM212" s="10"/>
      <c r="LN212" s="10"/>
      <c r="LO212" s="10"/>
      <c r="LP212" s="10"/>
      <c r="LQ212" s="10"/>
      <c r="LR212" s="10"/>
      <c r="LS212" s="10"/>
      <c r="LT212" s="10"/>
      <c r="LU212" s="10"/>
      <c r="LV212" s="10"/>
      <c r="LW212" s="10"/>
      <c r="LX212" s="10"/>
      <c r="LY212" s="10"/>
      <c r="LZ212" s="10"/>
      <c r="MA212" s="10"/>
      <c r="MB212" s="10"/>
      <c r="MC212" s="10"/>
      <c r="MD212" s="10"/>
      <c r="ME212" s="10"/>
      <c r="MF212" s="10"/>
      <c r="MG212" s="10"/>
      <c r="MH212" s="10"/>
      <c r="MI212" s="10"/>
      <c r="MJ212" s="10"/>
      <c r="MK212" s="10"/>
      <c r="ML212" s="10"/>
      <c r="MM212" s="10"/>
      <c r="MN212" s="10"/>
      <c r="MO212" s="10"/>
      <c r="MP212" s="10"/>
      <c r="MQ212" s="10"/>
      <c r="MR212" s="10"/>
      <c r="MS212" s="10"/>
      <c r="MT212" s="10"/>
      <c r="MU212" s="10"/>
      <c r="MV212" s="10"/>
      <c r="MW212" s="10"/>
      <c r="MX212" s="10"/>
      <c r="MY212" s="10"/>
      <c r="MZ212" s="10"/>
      <c r="NA212" s="10"/>
      <c r="NB212" s="10"/>
      <c r="NC212" s="10"/>
      <c r="ND212" s="10"/>
    </row>
    <row r="213" ht="24.75" customHeight="1">
      <c r="A213" s="8">
        <v>45839.90020665509</v>
      </c>
      <c r="B213" s="9" t="s">
        <v>368</v>
      </c>
      <c r="C213" s="9" t="s">
        <v>370</v>
      </c>
      <c r="D213" s="9" t="s">
        <v>370</v>
      </c>
      <c r="E213" s="9" t="s">
        <v>495</v>
      </c>
      <c r="F213" s="9" t="s">
        <v>1421</v>
      </c>
      <c r="G213" s="9" t="s">
        <v>422</v>
      </c>
      <c r="H213" s="9" t="s">
        <v>423</v>
      </c>
      <c r="I213" s="9" t="s">
        <v>668</v>
      </c>
      <c r="J213" s="9" t="s">
        <v>590</v>
      </c>
      <c r="K213" s="9" t="s">
        <v>376</v>
      </c>
      <c r="L213" s="9" t="s">
        <v>793</v>
      </c>
      <c r="M213" s="9" t="s">
        <v>639</v>
      </c>
      <c r="N213" s="9" t="s">
        <v>793</v>
      </c>
      <c r="O213" s="9" t="s">
        <v>2594</v>
      </c>
      <c r="P213" s="9" t="s">
        <v>498</v>
      </c>
      <c r="Q213" s="9" t="s">
        <v>818</v>
      </c>
      <c r="R213" s="9" t="s">
        <v>500</v>
      </c>
      <c r="S213" s="9" t="s">
        <v>384</v>
      </c>
      <c r="T213" s="9" t="s">
        <v>385</v>
      </c>
      <c r="W213" s="9" t="s">
        <v>3014</v>
      </c>
      <c r="AV213" s="9" t="s">
        <v>597</v>
      </c>
      <c r="AW213" s="9">
        <v>4.0</v>
      </c>
      <c r="AX213" s="9" t="s">
        <v>391</v>
      </c>
      <c r="AY213" s="9">
        <v>4.0</v>
      </c>
      <c r="AZ213" s="9">
        <v>2.0</v>
      </c>
      <c r="BA213" s="9" t="s">
        <v>391</v>
      </c>
      <c r="BB213" s="9">
        <v>2.0</v>
      </c>
      <c r="BC213" s="9" t="s">
        <v>4686</v>
      </c>
      <c r="BD213" s="9" t="s">
        <v>4687</v>
      </c>
      <c r="BE213" s="9" t="s">
        <v>432</v>
      </c>
      <c r="BF213" s="9" t="s">
        <v>393</v>
      </c>
      <c r="BG213" s="9" t="s">
        <v>725</v>
      </c>
      <c r="BH213" s="9" t="s">
        <v>4688</v>
      </c>
      <c r="BI213" s="9" t="s">
        <v>435</v>
      </c>
      <c r="BJ213" s="9" t="s">
        <v>4689</v>
      </c>
      <c r="BK213" s="9" t="s">
        <v>511</v>
      </c>
      <c r="BL213" s="9" t="s">
        <v>603</v>
      </c>
      <c r="BM213" s="9" t="s">
        <v>397</v>
      </c>
      <c r="BN213" s="9" t="s">
        <v>513</v>
      </c>
      <c r="CL213" s="9" t="s">
        <v>441</v>
      </c>
      <c r="CM213" s="9" t="s">
        <v>604</v>
      </c>
      <c r="CN213" s="9" t="s">
        <v>4690</v>
      </c>
      <c r="CO213" s="9" t="s">
        <v>4691</v>
      </c>
      <c r="CP213" s="9" t="s">
        <v>445</v>
      </c>
      <c r="CQ213" s="9" t="s">
        <v>4692</v>
      </c>
      <c r="CR213" s="9" t="s">
        <v>447</v>
      </c>
      <c r="CS213" s="9" t="s">
        <v>4693</v>
      </c>
      <c r="CT213" s="9" t="s">
        <v>4694</v>
      </c>
      <c r="CU213" s="9" t="s">
        <v>1863</v>
      </c>
      <c r="CV213" s="9" t="s">
        <v>409</v>
      </c>
      <c r="CW213" s="9" t="s">
        <v>4695</v>
      </c>
      <c r="CX213" s="9" t="s">
        <v>455</v>
      </c>
      <c r="CY213" s="9" t="s">
        <v>4696</v>
      </c>
      <c r="CZ213" s="9" t="s">
        <v>1398</v>
      </c>
      <c r="DA213" s="9" t="s">
        <v>4697</v>
      </c>
      <c r="DB213" s="9" t="s">
        <v>408</v>
      </c>
      <c r="DD213" s="9" t="s">
        <v>406</v>
      </c>
      <c r="DE213" s="9" t="s">
        <v>1867</v>
      </c>
      <c r="DF213" s="9" t="s">
        <v>4698</v>
      </c>
      <c r="DG213" s="9" t="s">
        <v>776</v>
      </c>
      <c r="DH213" s="9" t="s">
        <v>1220</v>
      </c>
      <c r="DI213" s="9" t="s">
        <v>459</v>
      </c>
      <c r="DJ213" s="9" t="s">
        <v>613</v>
      </c>
      <c r="ET213" s="9" t="s">
        <v>478</v>
      </c>
      <c r="EU213" s="9" t="s">
        <v>479</v>
      </c>
      <c r="EV213" s="9" t="s">
        <v>1262</v>
      </c>
      <c r="EW213" s="9" t="s">
        <v>4699</v>
      </c>
      <c r="EX213" s="9" t="s">
        <v>4700</v>
      </c>
      <c r="EY213" s="9" t="s">
        <v>4701</v>
      </c>
      <c r="EZ213" s="9" t="s">
        <v>415</v>
      </c>
      <c r="FA213" s="9" t="s">
        <v>414</v>
      </c>
      <c r="FB213" s="9" t="s">
        <v>413</v>
      </c>
      <c r="FC213" s="9" t="s">
        <v>416</v>
      </c>
      <c r="FD213" s="9" t="s">
        <v>416</v>
      </c>
      <c r="FE213" s="9" t="s">
        <v>583</v>
      </c>
      <c r="FF213" s="9" t="s">
        <v>416</v>
      </c>
      <c r="FG213" s="9" t="s">
        <v>416</v>
      </c>
      <c r="FH213" s="9" t="s">
        <v>413</v>
      </c>
      <c r="FI213" s="9" t="s">
        <v>414</v>
      </c>
      <c r="FJ213" s="9" t="s">
        <v>416</v>
      </c>
      <c r="FK213" s="9" t="s">
        <v>415</v>
      </c>
      <c r="FL213" s="9" t="s">
        <v>415</v>
      </c>
      <c r="FM213" s="9" t="s">
        <v>415</v>
      </c>
      <c r="FN213" s="9" t="s">
        <v>583</v>
      </c>
      <c r="FO213" s="9" t="s">
        <v>3396</v>
      </c>
      <c r="FP213" s="9" t="s">
        <v>486</v>
      </c>
      <c r="FQ213" s="9" t="s">
        <v>1039</v>
      </c>
      <c r="FR213" s="9" t="s">
        <v>4702</v>
      </c>
      <c r="FS213" s="9" t="s">
        <v>420</v>
      </c>
      <c r="FT213" s="9" t="s">
        <v>1462</v>
      </c>
      <c r="FU213" s="9" t="s">
        <v>489</v>
      </c>
      <c r="FV213" s="9" t="s">
        <v>490</v>
      </c>
      <c r="FW213" s="9" t="s">
        <v>491</v>
      </c>
      <c r="FX213" s="9" t="s">
        <v>4703</v>
      </c>
      <c r="FY213" s="9" t="s">
        <v>1020</v>
      </c>
      <c r="FZ213" s="9" t="s">
        <v>4704</v>
      </c>
      <c r="GB213" s="9" t="s">
        <v>455</v>
      </c>
      <c r="GC213" s="9"/>
      <c r="GE213" s="9" t="s">
        <v>753</v>
      </c>
      <c r="GF213" s="9" t="s">
        <v>4705</v>
      </c>
      <c r="GG213" s="9" t="s">
        <v>1000</v>
      </c>
      <c r="GH213" s="9" t="s">
        <v>1000</v>
      </c>
      <c r="GI213" s="9" t="s">
        <v>817</v>
      </c>
      <c r="GQ213" s="9" t="s">
        <v>4706</v>
      </c>
      <c r="GR213" s="10"/>
      <c r="GS213" s="10"/>
      <c r="GT213" s="10"/>
      <c r="GU213" s="10"/>
      <c r="GV213" s="10"/>
      <c r="GW213" s="10"/>
      <c r="GX213" s="10"/>
      <c r="GY213" s="10"/>
      <c r="GZ213" s="10"/>
      <c r="HA213" s="10"/>
      <c r="HB213" s="10"/>
      <c r="HC213" s="10"/>
      <c r="HD213" s="10"/>
      <c r="HE213" s="10"/>
      <c r="HF213" s="10"/>
      <c r="HG213" s="10"/>
      <c r="HH213" s="10"/>
      <c r="HI213" s="10"/>
      <c r="HJ213" s="10"/>
      <c r="HK213" s="10"/>
      <c r="HL213" s="10"/>
      <c r="HM213" s="10"/>
      <c r="HN213" s="10"/>
      <c r="HO213" s="10"/>
      <c r="HP213" s="10"/>
      <c r="HQ213" s="10"/>
      <c r="HR213" s="10"/>
      <c r="HS213" s="10"/>
      <c r="HT213" s="10"/>
      <c r="HU213" s="10"/>
      <c r="HV213" s="10"/>
      <c r="HW213" s="10"/>
      <c r="HX213" s="10"/>
      <c r="HY213" s="10"/>
      <c r="HZ213" s="10"/>
      <c r="IA213" s="10"/>
      <c r="IB213" s="10"/>
      <c r="IC213" s="10"/>
      <c r="ID213" s="10"/>
      <c r="IE213" s="10"/>
      <c r="IF213" s="10"/>
      <c r="IG213" s="10"/>
      <c r="IH213" s="10"/>
      <c r="II213" s="10"/>
      <c r="IJ213" s="10"/>
      <c r="IK213" s="10"/>
      <c r="IL213" s="10"/>
      <c r="IM213" s="10"/>
      <c r="IN213" s="10"/>
      <c r="IO213" s="10"/>
      <c r="IP213" s="10"/>
      <c r="IQ213" s="10"/>
      <c r="IR213" s="10"/>
      <c r="IS213" s="10"/>
      <c r="IT213" s="10"/>
      <c r="IU213" s="10"/>
      <c r="IV213" s="10"/>
      <c r="IW213" s="10"/>
      <c r="IX213" s="10"/>
      <c r="IY213" s="10"/>
      <c r="IZ213" s="10"/>
      <c r="JA213" s="10"/>
      <c r="JB213" s="10"/>
      <c r="JC213" s="10"/>
      <c r="JD213" s="10"/>
      <c r="JE213" s="10"/>
      <c r="JF213" s="10"/>
      <c r="JG213" s="10"/>
      <c r="JH213" s="10"/>
      <c r="JI213" s="10"/>
      <c r="JJ213" s="10"/>
      <c r="JK213" s="10"/>
      <c r="JL213" s="10"/>
      <c r="JM213" s="10"/>
      <c r="JN213" s="10"/>
      <c r="JO213" s="10"/>
      <c r="JP213" s="10"/>
      <c r="JQ213" s="10"/>
      <c r="JR213" s="10"/>
      <c r="JS213" s="10"/>
      <c r="JT213" s="10"/>
      <c r="JU213" s="10"/>
      <c r="JV213" s="10"/>
      <c r="JW213" s="10"/>
      <c r="JX213" s="10"/>
      <c r="JY213" s="10"/>
      <c r="JZ213" s="10"/>
      <c r="KA213" s="10"/>
      <c r="KB213" s="10"/>
      <c r="KC213" s="10"/>
      <c r="KD213" s="10"/>
      <c r="KE213" s="10"/>
      <c r="KF213" s="10"/>
      <c r="KG213" s="10"/>
      <c r="KH213" s="10"/>
      <c r="KI213" s="10"/>
      <c r="KJ213" s="10"/>
      <c r="KK213" s="10"/>
      <c r="KL213" s="10"/>
      <c r="KM213" s="10"/>
      <c r="KN213" s="10"/>
      <c r="KO213" s="10"/>
      <c r="KP213" s="10"/>
      <c r="KQ213" s="10"/>
      <c r="KR213" s="10"/>
      <c r="KS213" s="10"/>
      <c r="KT213" s="10"/>
      <c r="KU213" s="10"/>
      <c r="KV213" s="10"/>
      <c r="KW213" s="10"/>
      <c r="KX213" s="10"/>
      <c r="KY213" s="10"/>
      <c r="KZ213" s="10"/>
      <c r="LA213" s="10"/>
      <c r="LB213" s="10"/>
      <c r="LC213" s="10"/>
      <c r="LD213" s="10"/>
      <c r="LE213" s="10"/>
      <c r="LF213" s="10"/>
      <c r="LG213" s="10"/>
      <c r="LH213" s="10"/>
      <c r="LI213" s="10"/>
      <c r="LJ213" s="10"/>
      <c r="LK213" s="10"/>
      <c r="LL213" s="10"/>
      <c r="LM213" s="10"/>
      <c r="LN213" s="10"/>
      <c r="LO213" s="10"/>
      <c r="LP213" s="10"/>
      <c r="LQ213" s="10"/>
      <c r="LR213" s="10"/>
      <c r="LS213" s="10"/>
      <c r="LT213" s="10"/>
      <c r="LU213" s="10"/>
      <c r="LV213" s="10"/>
      <c r="LW213" s="10"/>
      <c r="LX213" s="10"/>
      <c r="LY213" s="10"/>
      <c r="LZ213" s="10"/>
      <c r="MA213" s="10"/>
      <c r="MB213" s="10"/>
      <c r="MC213" s="10"/>
      <c r="MD213" s="10"/>
      <c r="ME213" s="10"/>
      <c r="MF213" s="10"/>
      <c r="MG213" s="10"/>
      <c r="MH213" s="10"/>
      <c r="MI213" s="10"/>
      <c r="MJ213" s="10"/>
      <c r="MK213" s="10"/>
      <c r="ML213" s="10"/>
      <c r="MM213" s="10"/>
      <c r="MN213" s="10"/>
      <c r="MO213" s="10"/>
      <c r="MP213" s="10"/>
      <c r="MQ213" s="10"/>
      <c r="MR213" s="10"/>
      <c r="MS213" s="10"/>
      <c r="MT213" s="10"/>
      <c r="MU213" s="10"/>
      <c r="MV213" s="10"/>
      <c r="MW213" s="10"/>
      <c r="MX213" s="10"/>
      <c r="MY213" s="10"/>
      <c r="MZ213" s="10"/>
      <c r="NA213" s="10"/>
      <c r="NB213" s="10"/>
      <c r="NC213" s="10"/>
      <c r="ND213" s="10"/>
    </row>
    <row r="214" ht="24.75" customHeight="1">
      <c r="A214" s="8">
        <v>45840.28386831019</v>
      </c>
      <c r="B214" s="9" t="s">
        <v>368</v>
      </c>
      <c r="C214" s="9" t="s">
        <v>4707</v>
      </c>
      <c r="D214" s="9" t="s">
        <v>4707</v>
      </c>
      <c r="G214" s="9" t="s">
        <v>372</v>
      </c>
      <c r="H214" s="9" t="s">
        <v>373</v>
      </c>
      <c r="I214" s="9" t="s">
        <v>374</v>
      </c>
      <c r="J214" s="9" t="s">
        <v>375</v>
      </c>
      <c r="K214" s="9" t="s">
        <v>376</v>
      </c>
      <c r="L214" s="9" t="s">
        <v>591</v>
      </c>
      <c r="M214" s="9" t="s">
        <v>639</v>
      </c>
      <c r="N214" s="9" t="s">
        <v>670</v>
      </c>
      <c r="O214" s="9" t="s">
        <v>719</v>
      </c>
      <c r="P214" s="9" t="s">
        <v>1504</v>
      </c>
      <c r="Q214" s="9" t="s">
        <v>499</v>
      </c>
      <c r="R214" s="9" t="s">
        <v>1197</v>
      </c>
      <c r="S214" s="9" t="s">
        <v>384</v>
      </c>
      <c r="T214" s="9" t="s">
        <v>385</v>
      </c>
      <c r="W214" s="9" t="s">
        <v>386</v>
      </c>
      <c r="X214" s="9" t="s">
        <v>387</v>
      </c>
      <c r="Y214" s="9" t="s">
        <v>388</v>
      </c>
      <c r="Z214" s="9" t="s">
        <v>389</v>
      </c>
      <c r="AA214" s="9" t="s">
        <v>2675</v>
      </c>
      <c r="AB214" s="9" t="s">
        <v>2675</v>
      </c>
      <c r="AV214" s="9" t="s">
        <v>597</v>
      </c>
      <c r="AW214" s="9" t="s">
        <v>675</v>
      </c>
      <c r="AX214" s="9">
        <v>4.0</v>
      </c>
      <c r="AY214" s="9">
        <v>4.0</v>
      </c>
      <c r="AZ214" s="9" t="s">
        <v>391</v>
      </c>
      <c r="BA214" s="9" t="s">
        <v>391</v>
      </c>
      <c r="BB214" s="9" t="s">
        <v>391</v>
      </c>
      <c r="BC214" s="9" t="s">
        <v>4708</v>
      </c>
      <c r="BD214" s="9" t="s">
        <v>4709</v>
      </c>
      <c r="BE214" s="9" t="s">
        <v>432</v>
      </c>
      <c r="BF214" s="9" t="s">
        <v>433</v>
      </c>
      <c r="BG214" s="9" t="s">
        <v>678</v>
      </c>
      <c r="BI214" s="9" t="s">
        <v>435</v>
      </c>
      <c r="BJ214" s="9" t="s">
        <v>4710</v>
      </c>
      <c r="BK214" s="9" t="s">
        <v>437</v>
      </c>
      <c r="BL214" s="9" t="s">
        <v>904</v>
      </c>
      <c r="BM214" s="9" t="s">
        <v>397</v>
      </c>
      <c r="BN214" s="9" t="s">
        <v>440</v>
      </c>
      <c r="CL214" s="9" t="s">
        <v>550</v>
      </c>
      <c r="CM214" s="9" t="s">
        <v>401</v>
      </c>
      <c r="CN214" s="9" t="s">
        <v>4711</v>
      </c>
      <c r="CO214" s="9" t="s">
        <v>4712</v>
      </c>
      <c r="CP214" s="9" t="s">
        <v>685</v>
      </c>
      <c r="CQ214" s="9" t="s">
        <v>4713</v>
      </c>
      <c r="CR214" s="9" t="s">
        <v>804</v>
      </c>
      <c r="CS214" s="9" t="s">
        <v>4714</v>
      </c>
      <c r="CT214" s="9" t="s">
        <v>4715</v>
      </c>
      <c r="CU214" s="9" t="s">
        <v>519</v>
      </c>
      <c r="CV214" s="9" t="s">
        <v>451</v>
      </c>
      <c r="CW214" s="9" t="s">
        <v>4716</v>
      </c>
      <c r="CX214" s="9" t="s">
        <v>408</v>
      </c>
      <c r="CZ214" s="9" t="s">
        <v>985</v>
      </c>
      <c r="DA214" s="9" t="s">
        <v>4717</v>
      </c>
      <c r="DB214" s="9" t="s">
        <v>408</v>
      </c>
      <c r="DD214" s="9" t="s">
        <v>988</v>
      </c>
      <c r="DF214" s="9" t="s">
        <v>4718</v>
      </c>
      <c r="DG214" s="9" t="s">
        <v>524</v>
      </c>
      <c r="DH214" s="9" t="s">
        <v>410</v>
      </c>
      <c r="DI214" s="9" t="s">
        <v>963</v>
      </c>
      <c r="DJ214" s="9" t="s">
        <v>562</v>
      </c>
      <c r="DK214" s="9" t="s">
        <v>563</v>
      </c>
      <c r="DL214" s="9" t="s">
        <v>4719</v>
      </c>
      <c r="DM214" s="9" t="s">
        <v>4720</v>
      </c>
      <c r="DN214" s="9" t="s">
        <v>4721</v>
      </c>
      <c r="DO214" s="9" t="s">
        <v>567</v>
      </c>
      <c r="DP214" s="9" t="s">
        <v>4722</v>
      </c>
      <c r="DQ214" s="9" t="s">
        <v>837</v>
      </c>
      <c r="DR214" s="9" t="s">
        <v>4723</v>
      </c>
      <c r="DS214" s="9" t="s">
        <v>618</v>
      </c>
      <c r="DT214" s="9" t="s">
        <v>619</v>
      </c>
      <c r="DU214" s="9" t="s">
        <v>4724</v>
      </c>
      <c r="DV214" s="9" t="s">
        <v>4725</v>
      </c>
      <c r="DW214" s="9" t="s">
        <v>622</v>
      </c>
      <c r="DX214" s="9" t="s">
        <v>4726</v>
      </c>
      <c r="DY214" s="9" t="s">
        <v>4727</v>
      </c>
      <c r="DZ214" s="9" t="s">
        <v>4728</v>
      </c>
      <c r="EA214" s="9" t="s">
        <v>475</v>
      </c>
      <c r="EB214" s="9" t="s">
        <v>845</v>
      </c>
      <c r="EC214" s="9" t="s">
        <v>4729</v>
      </c>
      <c r="ET214" s="9" t="s">
        <v>526</v>
      </c>
      <c r="EU214" s="9" t="s">
        <v>579</v>
      </c>
      <c r="EV214" s="9" t="s">
        <v>480</v>
      </c>
      <c r="EW214" s="9" t="s">
        <v>4730</v>
      </c>
      <c r="EX214" s="9" t="s">
        <v>4731</v>
      </c>
      <c r="EY214" s="9" t="s">
        <v>4731</v>
      </c>
      <c r="EZ214" s="9" t="s">
        <v>416</v>
      </c>
      <c r="FA214" s="9" t="s">
        <v>415</v>
      </c>
      <c r="FB214" s="9" t="s">
        <v>413</v>
      </c>
      <c r="FC214" s="9" t="s">
        <v>413</v>
      </c>
      <c r="FD214" s="9" t="s">
        <v>413</v>
      </c>
      <c r="FE214" s="9" t="s">
        <v>414</v>
      </c>
      <c r="FF214" s="9" t="s">
        <v>416</v>
      </c>
      <c r="FG214" s="9" t="s">
        <v>413</v>
      </c>
      <c r="FH214" s="9" t="s">
        <v>415</v>
      </c>
      <c r="FI214" s="9" t="s">
        <v>413</v>
      </c>
      <c r="FJ214" s="9" t="s">
        <v>416</v>
      </c>
      <c r="FK214" s="9" t="s">
        <v>415</v>
      </c>
      <c r="FL214" s="9" t="s">
        <v>415</v>
      </c>
      <c r="FM214" s="9" t="s">
        <v>415</v>
      </c>
      <c r="FN214" s="9" t="s">
        <v>415</v>
      </c>
      <c r="FO214" s="9" t="s">
        <v>485</v>
      </c>
      <c r="FP214" s="9" t="s">
        <v>418</v>
      </c>
      <c r="FQ214" s="9" t="s">
        <v>1039</v>
      </c>
      <c r="FS214" s="9" t="s">
        <v>420</v>
      </c>
      <c r="FT214" s="9" t="s">
        <v>2750</v>
      </c>
      <c r="FU214" s="9" t="s">
        <v>1235</v>
      </c>
      <c r="FV214" s="9" t="s">
        <v>490</v>
      </c>
      <c r="FW214" s="9" t="s">
        <v>491</v>
      </c>
      <c r="FX214" s="9" t="s">
        <v>4732</v>
      </c>
      <c r="FY214" s="9" t="s">
        <v>535</v>
      </c>
      <c r="FZ214" s="9" t="s">
        <v>4733</v>
      </c>
      <c r="GB214" s="9" t="s">
        <v>455</v>
      </c>
      <c r="GC214" s="9"/>
      <c r="GE214" s="9" t="s">
        <v>944</v>
      </c>
      <c r="GF214" s="9" t="s">
        <v>4734</v>
      </c>
      <c r="GG214" s="9" t="s">
        <v>755</v>
      </c>
      <c r="GH214" s="9" t="s">
        <v>755</v>
      </c>
      <c r="GI214" s="9" t="s">
        <v>946</v>
      </c>
      <c r="GM214" s="9" t="s">
        <v>1079</v>
      </c>
      <c r="GQ214" s="9" t="s">
        <v>3208</v>
      </c>
      <c r="GR214" s="10"/>
      <c r="GS214" s="10"/>
      <c r="GT214" s="10"/>
      <c r="GU214" s="10"/>
      <c r="GV214" s="10"/>
      <c r="GW214" s="10"/>
      <c r="GX214" s="10"/>
      <c r="GY214" s="10"/>
      <c r="GZ214" s="10"/>
      <c r="HA214" s="10"/>
      <c r="HB214" s="10"/>
      <c r="HC214" s="10"/>
      <c r="HD214" s="10"/>
      <c r="HE214" s="10"/>
      <c r="HF214" s="10"/>
      <c r="HG214" s="10"/>
      <c r="HH214" s="10"/>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c r="IG214" s="10"/>
      <c r="IH214" s="10"/>
      <c r="II214" s="10"/>
      <c r="IJ214" s="10"/>
      <c r="IK214" s="10"/>
      <c r="IL214" s="10"/>
      <c r="IM214" s="10"/>
      <c r="IN214" s="10"/>
      <c r="IO214" s="10"/>
      <c r="IP214" s="10"/>
      <c r="IQ214" s="10"/>
      <c r="IR214" s="10"/>
      <c r="IS214" s="10"/>
      <c r="IT214" s="10"/>
      <c r="IU214" s="10"/>
      <c r="IV214" s="10"/>
      <c r="IW214" s="10"/>
      <c r="IX214" s="10"/>
      <c r="IY214" s="10"/>
      <c r="IZ214" s="10"/>
      <c r="JA214" s="10"/>
      <c r="JB214" s="10"/>
      <c r="JC214" s="10"/>
      <c r="JD214" s="10"/>
      <c r="JE214" s="10"/>
      <c r="JF214" s="10"/>
      <c r="JG214" s="10"/>
      <c r="JH214" s="10"/>
      <c r="JI214" s="10"/>
      <c r="JJ214" s="10"/>
      <c r="JK214" s="10"/>
      <c r="JL214" s="10"/>
      <c r="JM214" s="10"/>
      <c r="JN214" s="10"/>
      <c r="JO214" s="10"/>
      <c r="JP214" s="10"/>
      <c r="JQ214" s="10"/>
      <c r="JR214" s="10"/>
      <c r="JS214" s="10"/>
      <c r="JT214" s="10"/>
      <c r="JU214" s="10"/>
      <c r="JV214" s="10"/>
      <c r="JW214" s="10"/>
      <c r="JX214" s="10"/>
      <c r="JY214" s="10"/>
      <c r="JZ214" s="10"/>
      <c r="KA214" s="10"/>
      <c r="KB214" s="10"/>
      <c r="KC214" s="10"/>
      <c r="KD214" s="10"/>
      <c r="KE214" s="10"/>
      <c r="KF214" s="10"/>
      <c r="KG214" s="10"/>
      <c r="KH214" s="10"/>
      <c r="KI214" s="10"/>
      <c r="KJ214" s="10"/>
      <c r="KK214" s="10"/>
      <c r="KL214" s="10"/>
      <c r="KM214" s="10"/>
      <c r="KN214" s="10"/>
      <c r="KO214" s="10"/>
      <c r="KP214" s="10"/>
      <c r="KQ214" s="10"/>
      <c r="KR214" s="10"/>
      <c r="KS214" s="10"/>
      <c r="KT214" s="10"/>
      <c r="KU214" s="10"/>
      <c r="KV214" s="10"/>
      <c r="KW214" s="10"/>
      <c r="KX214" s="10"/>
      <c r="KY214" s="10"/>
      <c r="KZ214" s="10"/>
      <c r="LA214" s="10"/>
      <c r="LB214" s="10"/>
      <c r="LC214" s="10"/>
      <c r="LD214" s="10"/>
      <c r="LE214" s="10"/>
      <c r="LF214" s="10"/>
      <c r="LG214" s="10"/>
      <c r="LH214" s="10"/>
      <c r="LI214" s="10"/>
      <c r="LJ214" s="10"/>
      <c r="LK214" s="10"/>
      <c r="LL214" s="10"/>
      <c r="LM214" s="10"/>
      <c r="LN214" s="10"/>
      <c r="LO214" s="10"/>
      <c r="LP214" s="10"/>
      <c r="LQ214" s="10"/>
      <c r="LR214" s="10"/>
      <c r="LS214" s="10"/>
      <c r="LT214" s="10"/>
      <c r="LU214" s="10"/>
      <c r="LV214" s="10"/>
      <c r="LW214" s="10"/>
      <c r="LX214" s="10"/>
      <c r="LY214" s="10"/>
      <c r="LZ214" s="10"/>
      <c r="MA214" s="10"/>
      <c r="MB214" s="10"/>
      <c r="MC214" s="10"/>
      <c r="MD214" s="10"/>
      <c r="ME214" s="10"/>
      <c r="MF214" s="10"/>
      <c r="MG214" s="10"/>
      <c r="MH214" s="10"/>
      <c r="MI214" s="10"/>
      <c r="MJ214" s="10"/>
      <c r="MK214" s="10"/>
      <c r="ML214" s="10"/>
      <c r="MM214" s="10"/>
      <c r="MN214" s="10"/>
      <c r="MO214" s="10"/>
      <c r="MP214" s="10"/>
      <c r="MQ214" s="10"/>
      <c r="MR214" s="10"/>
      <c r="MS214" s="10"/>
      <c r="MT214" s="10"/>
      <c r="MU214" s="10"/>
      <c r="MV214" s="10"/>
      <c r="MW214" s="10"/>
      <c r="MX214" s="10"/>
      <c r="MY214" s="10"/>
      <c r="MZ214" s="10"/>
      <c r="NA214" s="10"/>
      <c r="NB214" s="10"/>
      <c r="NC214" s="10"/>
      <c r="ND214" s="10"/>
    </row>
    <row r="215" ht="24.75" customHeight="1">
      <c r="A215" s="8">
        <v>45841.941682199074</v>
      </c>
      <c r="B215" s="9" t="s">
        <v>368</v>
      </c>
      <c r="C215" s="9" t="s">
        <v>370</v>
      </c>
      <c r="D215" s="9" t="s">
        <v>370</v>
      </c>
      <c r="E215" s="9" t="s">
        <v>371</v>
      </c>
      <c r="F215" s="9" t="s">
        <v>371</v>
      </c>
      <c r="G215" s="9" t="s">
        <v>372</v>
      </c>
      <c r="H215" s="9" t="s">
        <v>373</v>
      </c>
      <c r="I215" s="9" t="s">
        <v>374</v>
      </c>
      <c r="J215" s="9" t="s">
        <v>540</v>
      </c>
      <c r="K215" s="9" t="s">
        <v>376</v>
      </c>
      <c r="L215" s="9" t="s">
        <v>379</v>
      </c>
      <c r="M215" s="9" t="s">
        <v>639</v>
      </c>
      <c r="N215" s="9" t="s">
        <v>379</v>
      </c>
      <c r="O215" s="9" t="s">
        <v>4735</v>
      </c>
      <c r="P215" s="9" t="s">
        <v>498</v>
      </c>
      <c r="Q215" s="9" t="s">
        <v>818</v>
      </c>
      <c r="R215" s="9" t="s">
        <v>500</v>
      </c>
      <c r="S215" s="9" t="s">
        <v>384</v>
      </c>
      <c r="T215" s="9" t="s">
        <v>385</v>
      </c>
      <c r="W215" s="9" t="s">
        <v>593</v>
      </c>
      <c r="X215" s="9" t="s">
        <v>387</v>
      </c>
      <c r="Y215" s="9" t="s">
        <v>388</v>
      </c>
      <c r="Z215" s="9" t="s">
        <v>543</v>
      </c>
      <c r="AA215" s="9" t="s">
        <v>2675</v>
      </c>
      <c r="AB215" s="9" t="s">
        <v>2675</v>
      </c>
      <c r="AV215" s="9" t="s">
        <v>390</v>
      </c>
      <c r="AW215" s="9" t="s">
        <v>391</v>
      </c>
      <c r="AX215" s="9" t="s">
        <v>391</v>
      </c>
      <c r="AY215" s="9" t="s">
        <v>391</v>
      </c>
      <c r="AZ215" s="9" t="s">
        <v>675</v>
      </c>
      <c r="BA215" s="9" t="s">
        <v>675</v>
      </c>
      <c r="BB215" s="9" t="s">
        <v>675</v>
      </c>
      <c r="BC215" s="9" t="s">
        <v>4736</v>
      </c>
      <c r="BD215" s="9" t="s">
        <v>4737</v>
      </c>
      <c r="BE215" s="9" t="s">
        <v>432</v>
      </c>
      <c r="BF215" s="9" t="s">
        <v>1095</v>
      </c>
      <c r="BG215" s="9" t="s">
        <v>725</v>
      </c>
      <c r="BI215" s="9" t="s">
        <v>976</v>
      </c>
      <c r="BK215" s="9" t="s">
        <v>437</v>
      </c>
      <c r="BL215" s="9" t="s">
        <v>603</v>
      </c>
      <c r="BM215" s="9" t="s">
        <v>549</v>
      </c>
      <c r="BN215" s="9" t="s">
        <v>398</v>
      </c>
      <c r="BO215" s="9" t="s">
        <v>4738</v>
      </c>
      <c r="BP215" s="9" t="s">
        <v>4739</v>
      </c>
      <c r="BQ215" s="9" t="s">
        <v>401</v>
      </c>
      <c r="BR215" s="9" t="s">
        <v>1830</v>
      </c>
      <c r="BS215" s="9" t="s">
        <v>403</v>
      </c>
      <c r="BT215" s="9" t="s">
        <v>1994</v>
      </c>
      <c r="BU215" s="9" t="s">
        <v>405</v>
      </c>
      <c r="BW215" s="9" t="s">
        <v>406</v>
      </c>
      <c r="BX215" s="9" t="s">
        <v>2503</v>
      </c>
      <c r="BY215" s="9" t="s">
        <v>455</v>
      </c>
      <c r="CB215" s="9" t="s">
        <v>4740</v>
      </c>
      <c r="CD215" s="9" t="s">
        <v>451</v>
      </c>
      <c r="ET215" s="9" t="s">
        <v>526</v>
      </c>
      <c r="EU215" s="9" t="s">
        <v>579</v>
      </c>
      <c r="EV215" s="9" t="s">
        <v>1262</v>
      </c>
      <c r="EZ215" s="9" t="s">
        <v>414</v>
      </c>
      <c r="FA215" s="9" t="s">
        <v>415</v>
      </c>
      <c r="FB215" s="9" t="s">
        <v>413</v>
      </c>
      <c r="FC215" s="9" t="s">
        <v>413</v>
      </c>
      <c r="FD215" s="9" t="s">
        <v>413</v>
      </c>
      <c r="FE215" s="9" t="s">
        <v>414</v>
      </c>
      <c r="FF215" s="9" t="s">
        <v>413</v>
      </c>
      <c r="FG215" s="9" t="s">
        <v>413</v>
      </c>
      <c r="FH215" s="9" t="s">
        <v>413</v>
      </c>
      <c r="FI215" s="9" t="s">
        <v>413</v>
      </c>
      <c r="FJ215" s="9" t="s">
        <v>414</v>
      </c>
      <c r="FK215" s="9" t="s">
        <v>415</v>
      </c>
      <c r="FL215" s="9" t="s">
        <v>415</v>
      </c>
      <c r="FM215" s="9" t="s">
        <v>413</v>
      </c>
      <c r="FN215" s="9" t="s">
        <v>414</v>
      </c>
      <c r="FO215" s="9" t="s">
        <v>485</v>
      </c>
      <c r="FP215" s="9" t="s">
        <v>418</v>
      </c>
      <c r="FQ215" s="9" t="s">
        <v>630</v>
      </c>
      <c r="FS215" s="9" t="s">
        <v>420</v>
      </c>
      <c r="FT215" s="9" t="s">
        <v>421</v>
      </c>
      <c r="FU215" s="9" t="s">
        <v>918</v>
      </c>
      <c r="FV215" s="9" t="s">
        <v>490</v>
      </c>
      <c r="FW215" s="9" t="s">
        <v>491</v>
      </c>
      <c r="FY215" s="9" t="s">
        <v>1020</v>
      </c>
      <c r="GB215" s="9" t="s">
        <v>408</v>
      </c>
      <c r="GJ215" s="9" t="s">
        <v>755</v>
      </c>
      <c r="GK215" s="9" t="s">
        <v>755</v>
      </c>
      <c r="GQ215" s="9" t="s">
        <v>3351</v>
      </c>
      <c r="GR215" s="9" t="s">
        <v>4741</v>
      </c>
      <c r="GS215" s="9" t="s">
        <v>2675</v>
      </c>
    </row>
    <row r="216" ht="24.75" customHeight="1">
      <c r="A216" s="8">
        <v>45842.01290361111</v>
      </c>
      <c r="B216" s="9" t="s">
        <v>368</v>
      </c>
      <c r="C216" s="9" t="s">
        <v>370</v>
      </c>
      <c r="D216" s="9" t="s">
        <v>370</v>
      </c>
      <c r="E216" s="9" t="s">
        <v>2114</v>
      </c>
      <c r="F216" s="9" t="s">
        <v>2114</v>
      </c>
      <c r="G216" s="9" t="s">
        <v>422</v>
      </c>
      <c r="H216" s="9" t="s">
        <v>539</v>
      </c>
      <c r="I216" s="9" t="s">
        <v>424</v>
      </c>
      <c r="J216" s="9" t="s">
        <v>425</v>
      </c>
      <c r="K216" s="9" t="s">
        <v>376</v>
      </c>
      <c r="L216" s="9" t="s">
        <v>591</v>
      </c>
      <c r="M216" s="9" t="s">
        <v>639</v>
      </c>
      <c r="N216" s="9" t="s">
        <v>793</v>
      </c>
      <c r="O216" s="9" t="s">
        <v>639</v>
      </c>
      <c r="P216" s="9" t="s">
        <v>498</v>
      </c>
      <c r="Q216" s="9" t="s">
        <v>862</v>
      </c>
      <c r="R216" s="9" t="s">
        <v>949</v>
      </c>
      <c r="S216" s="9" t="s">
        <v>4742</v>
      </c>
      <c r="T216" s="9" t="s">
        <v>385</v>
      </c>
      <c r="W216" s="9" t="s">
        <v>386</v>
      </c>
      <c r="X216" s="9" t="s">
        <v>387</v>
      </c>
      <c r="Y216" s="9" t="s">
        <v>897</v>
      </c>
      <c r="Z216" s="9" t="s">
        <v>543</v>
      </c>
      <c r="AA216" s="9" t="s">
        <v>4743</v>
      </c>
      <c r="AB216" s="9" t="s">
        <v>4744</v>
      </c>
      <c r="AV216" s="9" t="s">
        <v>597</v>
      </c>
      <c r="AW216" s="9">
        <v>2.0</v>
      </c>
      <c r="AX216" s="9">
        <v>2.0</v>
      </c>
      <c r="AY216" s="9" t="s">
        <v>391</v>
      </c>
      <c r="AZ216" s="9">
        <v>2.0</v>
      </c>
      <c r="BA216" s="9" t="s">
        <v>391</v>
      </c>
      <c r="BB216" s="9">
        <v>2.0</v>
      </c>
      <c r="BC216" s="9" t="s">
        <v>4745</v>
      </c>
      <c r="BD216" s="9" t="s">
        <v>4746</v>
      </c>
      <c r="BE216" s="9" t="s">
        <v>392</v>
      </c>
      <c r="BF216" s="9" t="s">
        <v>433</v>
      </c>
      <c r="BG216" s="9" t="s">
        <v>434</v>
      </c>
      <c r="BH216" s="9" t="s">
        <v>4747</v>
      </c>
      <c r="BI216" s="9" t="s">
        <v>435</v>
      </c>
      <c r="BJ216" s="9" t="s">
        <v>4748</v>
      </c>
      <c r="BK216" s="9" t="s">
        <v>437</v>
      </c>
      <c r="BL216" s="9" t="s">
        <v>603</v>
      </c>
      <c r="BM216" s="9" t="s">
        <v>549</v>
      </c>
      <c r="BN216" s="9" t="s">
        <v>440</v>
      </c>
      <c r="CL216" s="9" t="s">
        <v>441</v>
      </c>
      <c r="CM216" s="9" t="s">
        <v>401</v>
      </c>
      <c r="CN216" s="9" t="s">
        <v>4749</v>
      </c>
      <c r="CO216" s="9" t="s">
        <v>4750</v>
      </c>
      <c r="CP216" s="9" t="s">
        <v>685</v>
      </c>
      <c r="CQ216" s="9" t="s">
        <v>4751</v>
      </c>
      <c r="CR216" s="9" t="s">
        <v>447</v>
      </c>
      <c r="CS216" s="9" t="s">
        <v>2684</v>
      </c>
      <c r="CT216" s="9" t="s">
        <v>4752</v>
      </c>
      <c r="CU216" s="9" t="s">
        <v>519</v>
      </c>
      <c r="CV216" s="9" t="s">
        <v>451</v>
      </c>
      <c r="CW216" s="9" t="s">
        <v>4753</v>
      </c>
      <c r="CX216" s="9" t="s">
        <v>408</v>
      </c>
      <c r="CZ216" s="9" t="s">
        <v>985</v>
      </c>
      <c r="DA216" s="9" t="s">
        <v>4754</v>
      </c>
      <c r="DB216" s="9" t="s">
        <v>408</v>
      </c>
      <c r="DC216" s="9" t="s">
        <v>4755</v>
      </c>
      <c r="DD216" s="9" t="s">
        <v>988</v>
      </c>
      <c r="DE216" s="9" t="s">
        <v>691</v>
      </c>
      <c r="DF216" s="9" t="s">
        <v>4756</v>
      </c>
      <c r="DG216" s="9" t="s">
        <v>561</v>
      </c>
      <c r="DH216" s="9" t="s">
        <v>1220</v>
      </c>
      <c r="DI216" s="9" t="s">
        <v>963</v>
      </c>
      <c r="DJ216" s="9" t="s">
        <v>613</v>
      </c>
      <c r="DM216" s="9" t="s">
        <v>4757</v>
      </c>
      <c r="DN216" s="9" t="s">
        <v>4758</v>
      </c>
      <c r="DO216" s="9" t="s">
        <v>3496</v>
      </c>
      <c r="DP216" s="9" t="s">
        <v>4759</v>
      </c>
      <c r="DQ216" s="9" t="s">
        <v>1176</v>
      </c>
      <c r="DR216" s="9" t="s">
        <v>4760</v>
      </c>
      <c r="DS216" s="9" t="s">
        <v>839</v>
      </c>
      <c r="DT216" s="9" t="s">
        <v>703</v>
      </c>
      <c r="DU216" s="9" t="s">
        <v>4761</v>
      </c>
      <c r="DV216" s="9" t="s">
        <v>4762</v>
      </c>
      <c r="DW216" s="9" t="s">
        <v>573</v>
      </c>
      <c r="DX216" s="9" t="s">
        <v>4763</v>
      </c>
      <c r="DY216" s="9" t="s">
        <v>4764</v>
      </c>
      <c r="DZ216" s="9" t="s">
        <v>4765</v>
      </c>
      <c r="EA216" s="9" t="s">
        <v>1413</v>
      </c>
      <c r="EB216" s="9" t="s">
        <v>476</v>
      </c>
      <c r="EC216" s="9" t="s">
        <v>4766</v>
      </c>
      <c r="ET216" s="9" t="s">
        <v>478</v>
      </c>
      <c r="EU216" s="9" t="s">
        <v>479</v>
      </c>
      <c r="EV216" s="9" t="s">
        <v>480</v>
      </c>
      <c r="EW216" s="9" t="s">
        <v>4767</v>
      </c>
      <c r="EX216" s="9" t="s">
        <v>4768</v>
      </c>
      <c r="EY216" s="9" t="s">
        <v>4769</v>
      </c>
      <c r="EZ216" s="9" t="s">
        <v>414</v>
      </c>
      <c r="FA216" s="9" t="s">
        <v>414</v>
      </c>
      <c r="FB216" s="9" t="s">
        <v>414</v>
      </c>
      <c r="FC216" s="9" t="s">
        <v>414</v>
      </c>
      <c r="FD216" s="9" t="s">
        <v>416</v>
      </c>
      <c r="FE216" s="9" t="s">
        <v>414</v>
      </c>
      <c r="FF216" s="9" t="s">
        <v>415</v>
      </c>
      <c r="FG216" s="9" t="s">
        <v>416</v>
      </c>
      <c r="FH216" s="9" t="s">
        <v>414</v>
      </c>
      <c r="FI216" s="9" t="s">
        <v>414</v>
      </c>
      <c r="FJ216" s="9" t="s">
        <v>414</v>
      </c>
      <c r="FK216" s="9" t="s">
        <v>484</v>
      </c>
      <c r="FL216" s="9" t="s">
        <v>414</v>
      </c>
      <c r="FM216" s="9" t="s">
        <v>416</v>
      </c>
      <c r="FN216" s="9" t="s">
        <v>414</v>
      </c>
      <c r="FO216" s="9" t="s">
        <v>850</v>
      </c>
      <c r="FP216" s="9" t="s">
        <v>418</v>
      </c>
      <c r="FQ216" s="9" t="s">
        <v>749</v>
      </c>
      <c r="FR216" s="9" t="s">
        <v>4770</v>
      </c>
      <c r="FS216" s="9" t="s">
        <v>1189</v>
      </c>
      <c r="FT216" s="9" t="s">
        <v>488</v>
      </c>
      <c r="FU216" s="9" t="s">
        <v>489</v>
      </c>
      <c r="FV216" s="9" t="s">
        <v>490</v>
      </c>
      <c r="FW216" s="9" t="s">
        <v>491</v>
      </c>
      <c r="FX216" s="9" t="s">
        <v>4771</v>
      </c>
      <c r="FY216" s="9" t="s">
        <v>535</v>
      </c>
      <c r="FZ216" s="9" t="s">
        <v>4772</v>
      </c>
      <c r="GA216" s="9" t="s">
        <v>4773</v>
      </c>
      <c r="GB216" s="9" t="s">
        <v>455</v>
      </c>
      <c r="GC216" s="9"/>
      <c r="GE216" s="9" t="s">
        <v>855</v>
      </c>
      <c r="GG216" s="9" t="s">
        <v>789</v>
      </c>
      <c r="GH216" s="9" t="s">
        <v>920</v>
      </c>
      <c r="GI216" s="9" t="s">
        <v>858</v>
      </c>
      <c r="GM216" s="9" t="s">
        <v>1079</v>
      </c>
      <c r="GQ216" s="9" t="s">
        <v>3208</v>
      </c>
      <c r="GT216" s="9" t="s">
        <v>4774</v>
      </c>
      <c r="GU216" s="9" t="s">
        <v>4775</v>
      </c>
      <c r="GV216" s="10"/>
      <c r="GW216" s="10"/>
      <c r="GX216" s="10"/>
      <c r="GY216" s="10"/>
      <c r="GZ216" s="10"/>
      <c r="HA216" s="10"/>
      <c r="HB216" s="10"/>
      <c r="HC216" s="10"/>
      <c r="HD216" s="10"/>
      <c r="HE216" s="10"/>
      <c r="HF216" s="10"/>
      <c r="HG216" s="10"/>
      <c r="HH216" s="10"/>
      <c r="HI216" s="10"/>
      <c r="HJ216" s="10"/>
      <c r="HK216" s="10"/>
      <c r="HL216" s="10"/>
      <c r="HM216" s="10"/>
      <c r="HN216" s="10"/>
      <c r="HO216" s="10"/>
      <c r="HP216" s="10"/>
      <c r="HQ216" s="10"/>
      <c r="HR216" s="10"/>
      <c r="HS216" s="10"/>
      <c r="HT216" s="10"/>
      <c r="HU216" s="10"/>
      <c r="HV216" s="10"/>
      <c r="HW216" s="10"/>
      <c r="HX216" s="10"/>
      <c r="HY216" s="10"/>
      <c r="HZ216" s="10"/>
      <c r="IA216" s="10"/>
      <c r="IB216" s="10"/>
      <c r="IC216" s="10"/>
      <c r="ID216" s="10"/>
      <c r="IE216" s="10"/>
      <c r="IF216" s="10"/>
      <c r="IG216" s="10"/>
      <c r="IH216" s="10"/>
      <c r="II216" s="10"/>
      <c r="IJ216" s="10"/>
      <c r="IK216" s="10"/>
      <c r="IL216" s="10"/>
      <c r="IM216" s="10"/>
      <c r="IN216" s="10"/>
      <c r="IO216" s="10"/>
      <c r="IP216" s="10"/>
      <c r="IQ216" s="10"/>
      <c r="IR216" s="10"/>
      <c r="IS216" s="10"/>
      <c r="IT216" s="10"/>
      <c r="IU216" s="10"/>
      <c r="IV216" s="10"/>
      <c r="IW216" s="10"/>
      <c r="IX216" s="10"/>
      <c r="IY216" s="10"/>
      <c r="IZ216" s="10"/>
      <c r="JA216" s="10"/>
      <c r="JB216" s="10"/>
      <c r="JC216" s="10"/>
      <c r="JD216" s="10"/>
      <c r="JE216" s="10"/>
      <c r="JF216" s="10"/>
      <c r="JG216" s="10"/>
      <c r="JH216" s="10"/>
      <c r="JI216" s="10"/>
      <c r="JJ216" s="10"/>
      <c r="JK216" s="10"/>
      <c r="JL216" s="10"/>
      <c r="JM216" s="10"/>
      <c r="JN216" s="10"/>
      <c r="JO216" s="10"/>
      <c r="JP216" s="10"/>
      <c r="JQ216" s="10"/>
      <c r="JR216" s="10"/>
      <c r="JS216" s="10"/>
      <c r="JT216" s="10"/>
      <c r="JU216" s="10"/>
      <c r="JV216" s="10"/>
      <c r="JW216" s="10"/>
      <c r="JX216" s="10"/>
      <c r="JY216" s="10"/>
      <c r="JZ216" s="10"/>
      <c r="KA216" s="10"/>
      <c r="KB216" s="10"/>
      <c r="KC216" s="10"/>
      <c r="KD216" s="10"/>
      <c r="KE216" s="10"/>
      <c r="KF216" s="10"/>
      <c r="KG216" s="10"/>
      <c r="KH216" s="10"/>
      <c r="KI216" s="10"/>
      <c r="KJ216" s="10"/>
      <c r="KK216" s="10"/>
      <c r="KL216" s="10"/>
      <c r="KM216" s="10"/>
      <c r="KN216" s="10"/>
      <c r="KO216" s="10"/>
      <c r="KP216" s="10"/>
      <c r="KQ216" s="10"/>
      <c r="KR216" s="10"/>
      <c r="KS216" s="10"/>
      <c r="KT216" s="10"/>
      <c r="KU216" s="10"/>
      <c r="KV216" s="10"/>
      <c r="KW216" s="10"/>
      <c r="KX216" s="10"/>
      <c r="KY216" s="10"/>
      <c r="KZ216" s="10"/>
      <c r="LA216" s="10"/>
      <c r="LB216" s="10"/>
      <c r="LC216" s="10"/>
      <c r="LD216" s="10"/>
      <c r="LE216" s="10"/>
      <c r="LF216" s="10"/>
      <c r="LG216" s="10"/>
      <c r="LH216" s="10"/>
      <c r="LI216" s="10"/>
      <c r="LJ216" s="10"/>
      <c r="LK216" s="10"/>
      <c r="LL216" s="10"/>
      <c r="LM216" s="10"/>
      <c r="LN216" s="10"/>
      <c r="LO216" s="10"/>
      <c r="LP216" s="10"/>
      <c r="LQ216" s="10"/>
      <c r="LR216" s="10"/>
      <c r="LS216" s="10"/>
      <c r="LT216" s="10"/>
      <c r="LU216" s="10"/>
      <c r="LV216" s="10"/>
      <c r="LW216" s="10"/>
      <c r="LX216" s="10"/>
      <c r="LY216" s="10"/>
      <c r="LZ216" s="10"/>
      <c r="MA216" s="10"/>
      <c r="MB216" s="10"/>
      <c r="MC216" s="10"/>
      <c r="MD216" s="10"/>
      <c r="ME216" s="10"/>
      <c r="MF216" s="10"/>
      <c r="MG216" s="10"/>
      <c r="MH216" s="10"/>
      <c r="MI216" s="10"/>
      <c r="MJ216" s="10"/>
      <c r="MK216" s="10"/>
      <c r="ML216" s="10"/>
      <c r="MM216" s="10"/>
      <c r="MN216" s="10"/>
      <c r="MO216" s="10"/>
      <c r="MP216" s="10"/>
      <c r="MQ216" s="10"/>
      <c r="MR216" s="10"/>
      <c r="MS216" s="10"/>
      <c r="MT216" s="10"/>
      <c r="MU216" s="10"/>
      <c r="MV216" s="10"/>
      <c r="MW216" s="10"/>
      <c r="MX216" s="10"/>
      <c r="MY216" s="10"/>
      <c r="MZ216" s="10"/>
      <c r="NA216" s="10"/>
      <c r="NB216" s="10"/>
      <c r="NC216" s="10"/>
      <c r="ND216" s="10"/>
    </row>
    <row r="217" ht="24.75" customHeight="1">
      <c r="A217" s="8">
        <v>45842.59654684028</v>
      </c>
      <c r="B217" s="9" t="s">
        <v>368</v>
      </c>
      <c r="C217" s="9" t="s">
        <v>538</v>
      </c>
      <c r="D217" s="9" t="s">
        <v>894</v>
      </c>
      <c r="G217" s="9" t="s">
        <v>422</v>
      </c>
      <c r="H217" s="9" t="s">
        <v>423</v>
      </c>
      <c r="I217" s="9" t="s">
        <v>424</v>
      </c>
      <c r="J217" s="9" t="s">
        <v>590</v>
      </c>
      <c r="K217" s="9" t="s">
        <v>376</v>
      </c>
      <c r="L217" s="9" t="s">
        <v>377</v>
      </c>
      <c r="M217" s="9" t="s">
        <v>1442</v>
      </c>
      <c r="N217" s="9" t="s">
        <v>377</v>
      </c>
      <c r="O217" s="9" t="s">
        <v>497</v>
      </c>
      <c r="P217" s="9" t="s">
        <v>1760</v>
      </c>
      <c r="Q217" s="9" t="s">
        <v>499</v>
      </c>
      <c r="R217" s="9" t="s">
        <v>500</v>
      </c>
      <c r="S217" s="9" t="s">
        <v>384</v>
      </c>
      <c r="T217" s="9" t="s">
        <v>385</v>
      </c>
      <c r="V217" s="9" t="s">
        <v>896</v>
      </c>
      <c r="W217" s="9" t="s">
        <v>3231</v>
      </c>
      <c r="AV217" s="9" t="s">
        <v>1242</v>
      </c>
      <c r="AW217" s="9" t="s">
        <v>675</v>
      </c>
      <c r="AX217" s="9" t="s">
        <v>675</v>
      </c>
      <c r="AY217" s="9">
        <v>4.0</v>
      </c>
      <c r="AZ217" s="9" t="s">
        <v>675</v>
      </c>
      <c r="BA217" s="9" t="s">
        <v>675</v>
      </c>
      <c r="BB217" s="9" t="s">
        <v>675</v>
      </c>
      <c r="BC217" s="9" t="s">
        <v>4776</v>
      </c>
      <c r="BD217" s="9" t="s">
        <v>4777</v>
      </c>
      <c r="BE217" s="9" t="s">
        <v>432</v>
      </c>
      <c r="BF217" s="9" t="s">
        <v>1245</v>
      </c>
      <c r="BG217" s="9" t="s">
        <v>725</v>
      </c>
      <c r="BH217" s="9" t="s">
        <v>4778</v>
      </c>
      <c r="BI217" s="9" t="s">
        <v>435</v>
      </c>
      <c r="BJ217" s="9" t="s">
        <v>4779</v>
      </c>
      <c r="BK217" s="9" t="s">
        <v>602</v>
      </c>
      <c r="BL217" s="9" t="s">
        <v>603</v>
      </c>
      <c r="BM217" s="9" t="s">
        <v>1314</v>
      </c>
      <c r="BN217" s="9" t="s">
        <v>398</v>
      </c>
      <c r="BP217" s="9" t="s">
        <v>4780</v>
      </c>
      <c r="BQ217" s="9" t="s">
        <v>604</v>
      </c>
      <c r="BR217" s="9" t="s">
        <v>4781</v>
      </c>
      <c r="BS217" s="9" t="s">
        <v>403</v>
      </c>
      <c r="BT217" s="9" t="s">
        <v>1994</v>
      </c>
      <c r="BU217" s="9" t="s">
        <v>405</v>
      </c>
      <c r="BW217" s="9" t="s">
        <v>406</v>
      </c>
      <c r="BX217" s="9" t="s">
        <v>2503</v>
      </c>
      <c r="BY217" s="9" t="s">
        <v>455</v>
      </c>
      <c r="BZ217" s="9" t="s">
        <v>4782</v>
      </c>
      <c r="CA217" s="9" t="s">
        <v>4783</v>
      </c>
      <c r="CB217" s="9" t="s">
        <v>4784</v>
      </c>
      <c r="CC217" s="9" t="s">
        <v>4785</v>
      </c>
      <c r="CD217" s="9" t="s">
        <v>451</v>
      </c>
      <c r="CE217" s="9" t="s">
        <v>4786</v>
      </c>
      <c r="CF217" s="9" t="s">
        <v>1697</v>
      </c>
      <c r="CH217" s="9" t="s">
        <v>1259</v>
      </c>
      <c r="CI217" s="9" t="s">
        <v>410</v>
      </c>
      <c r="CJ217" s="9" t="s">
        <v>4787</v>
      </c>
      <c r="CK217" s="9" t="s">
        <v>4788</v>
      </c>
      <c r="ET217" s="9" t="s">
        <v>526</v>
      </c>
      <c r="EU217" s="9" t="s">
        <v>579</v>
      </c>
      <c r="EV217" s="9" t="s">
        <v>527</v>
      </c>
      <c r="EW217" s="9" t="s">
        <v>4789</v>
      </c>
      <c r="EX217" s="9" t="s">
        <v>4790</v>
      </c>
      <c r="EY217" s="9" t="s">
        <v>4791</v>
      </c>
      <c r="EZ217" s="9" t="s">
        <v>413</v>
      </c>
      <c r="FA217" s="9" t="s">
        <v>583</v>
      </c>
      <c r="FB217" s="9" t="s">
        <v>413</v>
      </c>
      <c r="FC217" s="9" t="s">
        <v>413</v>
      </c>
      <c r="FD217" s="9" t="s">
        <v>413</v>
      </c>
      <c r="FE217" s="9" t="s">
        <v>415</v>
      </c>
      <c r="FF217" s="9" t="s">
        <v>413</v>
      </c>
      <c r="FG217" s="9" t="s">
        <v>413</v>
      </c>
      <c r="FH217" s="9" t="s">
        <v>413</v>
      </c>
      <c r="FI217" s="9" t="s">
        <v>413</v>
      </c>
      <c r="FJ217" s="9" t="s">
        <v>413</v>
      </c>
      <c r="FK217" s="9" t="s">
        <v>413</v>
      </c>
      <c r="FL217" s="9" t="s">
        <v>413</v>
      </c>
      <c r="FM217" s="9" t="s">
        <v>413</v>
      </c>
      <c r="FN217" s="9" t="s">
        <v>413</v>
      </c>
      <c r="FO217" s="9" t="s">
        <v>417</v>
      </c>
      <c r="FP217" s="9" t="s">
        <v>418</v>
      </c>
      <c r="FQ217" s="9" t="s">
        <v>531</v>
      </c>
      <c r="FR217" s="9" t="s">
        <v>4792</v>
      </c>
      <c r="FS217" s="9" t="s">
        <v>420</v>
      </c>
      <c r="FT217" s="9" t="s">
        <v>488</v>
      </c>
      <c r="FU217" s="9" t="s">
        <v>1235</v>
      </c>
      <c r="FV217" s="9" t="s">
        <v>490</v>
      </c>
      <c r="FW217" s="9" t="s">
        <v>1853</v>
      </c>
      <c r="FX217" s="9" t="s">
        <v>4793</v>
      </c>
      <c r="FY217" s="9" t="s">
        <v>535</v>
      </c>
      <c r="FZ217" s="9" t="s">
        <v>4794</v>
      </c>
      <c r="GA217" s="9" t="s">
        <v>4795</v>
      </c>
      <c r="GB217" s="9" t="s">
        <v>408</v>
      </c>
      <c r="GJ217" s="9" t="s">
        <v>755</v>
      </c>
      <c r="GK217" s="9" t="s">
        <v>755</v>
      </c>
      <c r="GL217" s="9" t="s">
        <v>946</v>
      </c>
      <c r="GN217" s="9" t="s">
        <v>538</v>
      </c>
      <c r="GP217" s="9" t="s">
        <v>387</v>
      </c>
      <c r="GQ217" s="9" t="s">
        <v>4796</v>
      </c>
      <c r="GR217" s="9" t="s">
        <v>4741</v>
      </c>
      <c r="GS217" s="9" t="s">
        <v>4797</v>
      </c>
    </row>
    <row r="218" ht="24.75" customHeight="1">
      <c r="A218" s="8">
        <v>45842.748646921296</v>
      </c>
      <c r="B218" s="9" t="s">
        <v>368</v>
      </c>
      <c r="C218" s="9" t="s">
        <v>370</v>
      </c>
      <c r="D218" s="9" t="s">
        <v>370</v>
      </c>
      <c r="E218" s="9" t="s">
        <v>667</v>
      </c>
      <c r="F218" s="9" t="s">
        <v>1510</v>
      </c>
      <c r="G218" s="9" t="s">
        <v>422</v>
      </c>
      <c r="H218" s="9" t="s">
        <v>496</v>
      </c>
      <c r="I218" s="9" t="s">
        <v>2578</v>
      </c>
      <c r="J218" s="9" t="s">
        <v>425</v>
      </c>
      <c r="K218" s="9" t="s">
        <v>376</v>
      </c>
      <c r="L218" s="9" t="s">
        <v>591</v>
      </c>
      <c r="M218" s="9" t="s">
        <v>719</v>
      </c>
      <c r="N218" s="9" t="s">
        <v>379</v>
      </c>
      <c r="O218" s="9" t="s">
        <v>380</v>
      </c>
      <c r="P218" s="9" t="s">
        <v>381</v>
      </c>
      <c r="Q218" s="9" t="s">
        <v>862</v>
      </c>
      <c r="R218" s="9" t="s">
        <v>949</v>
      </c>
      <c r="S218" s="9" t="s">
        <v>384</v>
      </c>
      <c r="T218" s="9" t="s">
        <v>385</v>
      </c>
      <c r="W218" s="9" t="s">
        <v>386</v>
      </c>
      <c r="X218" s="9" t="s">
        <v>387</v>
      </c>
      <c r="Y218" s="9" t="s">
        <v>1824</v>
      </c>
      <c r="Z218" s="9" t="s">
        <v>543</v>
      </c>
      <c r="AA218" s="9" t="s">
        <v>4798</v>
      </c>
      <c r="AB218" s="9" t="s">
        <v>4799</v>
      </c>
      <c r="AV218" s="9" t="s">
        <v>597</v>
      </c>
      <c r="AW218" s="9">
        <v>4.0</v>
      </c>
      <c r="AX218" s="9">
        <v>2.0</v>
      </c>
      <c r="AY218" s="9" t="s">
        <v>675</v>
      </c>
      <c r="AZ218" s="9">
        <v>4.0</v>
      </c>
      <c r="BA218" s="9" t="s">
        <v>675</v>
      </c>
      <c r="BB218" s="9" t="s">
        <v>675</v>
      </c>
      <c r="BC218" s="9" t="s">
        <v>4800</v>
      </c>
      <c r="BD218" s="9" t="s">
        <v>4801</v>
      </c>
      <c r="BE218" s="9" t="s">
        <v>432</v>
      </c>
      <c r="BF218" s="9" t="s">
        <v>1095</v>
      </c>
      <c r="BG218" s="9" t="s">
        <v>394</v>
      </c>
      <c r="BH218" s="9" t="s">
        <v>4802</v>
      </c>
      <c r="BI218" s="9" t="s">
        <v>509</v>
      </c>
      <c r="BJ218" s="9" t="s">
        <v>4803</v>
      </c>
      <c r="BK218" s="9" t="s">
        <v>511</v>
      </c>
      <c r="BL218" s="9" t="s">
        <v>512</v>
      </c>
      <c r="BM218" s="9" t="s">
        <v>397</v>
      </c>
      <c r="BN218" s="9" t="s">
        <v>398</v>
      </c>
      <c r="BO218" s="9" t="s">
        <v>4804</v>
      </c>
      <c r="BP218" s="9" t="s">
        <v>4805</v>
      </c>
      <c r="BQ218" s="9" t="s">
        <v>442</v>
      </c>
      <c r="BR218" s="9" t="s">
        <v>4806</v>
      </c>
      <c r="BS218" s="9" t="s">
        <v>1671</v>
      </c>
      <c r="BT218" s="9" t="s">
        <v>4368</v>
      </c>
      <c r="BU218" s="9" t="s">
        <v>1831</v>
      </c>
      <c r="BV218" s="9" t="s">
        <v>4807</v>
      </c>
      <c r="BW218" s="9" t="s">
        <v>406</v>
      </c>
      <c r="BX218" s="9" t="s">
        <v>407</v>
      </c>
      <c r="BY218" s="9" t="s">
        <v>733</v>
      </c>
      <c r="BZ218" s="9" t="s">
        <v>4808</v>
      </c>
      <c r="CA218" s="9" t="s">
        <v>4809</v>
      </c>
      <c r="CB218" s="9" t="s">
        <v>4810</v>
      </c>
      <c r="CC218" s="9" t="s">
        <v>4811</v>
      </c>
      <c r="CD218" s="9" t="s">
        <v>451</v>
      </c>
      <c r="CE218" s="9" t="s">
        <v>4812</v>
      </c>
      <c r="CF218" s="9" t="s">
        <v>1749</v>
      </c>
      <c r="CG218" s="9" t="s">
        <v>4813</v>
      </c>
      <c r="CH218" s="9" t="s">
        <v>2744</v>
      </c>
      <c r="CI218" s="9" t="s">
        <v>410</v>
      </c>
      <c r="CJ218" s="9" t="s">
        <v>4814</v>
      </c>
      <c r="CK218" s="9" t="s">
        <v>4815</v>
      </c>
      <c r="ET218" s="9" t="s">
        <v>578</v>
      </c>
      <c r="EU218" s="9" t="s">
        <v>479</v>
      </c>
      <c r="EV218" s="9" t="s">
        <v>527</v>
      </c>
      <c r="EW218" s="9" t="s">
        <v>4816</v>
      </c>
      <c r="EX218" s="9" t="s">
        <v>4817</v>
      </c>
      <c r="EY218" s="9" t="s">
        <v>4818</v>
      </c>
      <c r="EZ218" s="9" t="s">
        <v>583</v>
      </c>
      <c r="FA218" s="9" t="s">
        <v>583</v>
      </c>
      <c r="FB218" s="9" t="s">
        <v>414</v>
      </c>
      <c r="FC218" s="9" t="s">
        <v>583</v>
      </c>
      <c r="FD218" s="9" t="s">
        <v>415</v>
      </c>
      <c r="FE218" s="9" t="s">
        <v>583</v>
      </c>
      <c r="FF218" s="9" t="s">
        <v>583</v>
      </c>
      <c r="FG218" s="9" t="s">
        <v>583</v>
      </c>
      <c r="FH218" s="9" t="s">
        <v>414</v>
      </c>
      <c r="FI218" s="9" t="s">
        <v>583</v>
      </c>
      <c r="FJ218" s="9" t="s">
        <v>583</v>
      </c>
      <c r="FK218" s="9" t="s">
        <v>415</v>
      </c>
      <c r="FL218" s="9" t="s">
        <v>583</v>
      </c>
      <c r="FM218" s="9" t="s">
        <v>415</v>
      </c>
      <c r="FN218" s="9" t="s">
        <v>414</v>
      </c>
      <c r="FO218" s="9" t="s">
        <v>417</v>
      </c>
      <c r="FP218" s="9" t="s">
        <v>418</v>
      </c>
      <c r="FQ218" s="9" t="s">
        <v>630</v>
      </c>
      <c r="FR218" s="9" t="s">
        <v>4819</v>
      </c>
      <c r="FS218" s="9" t="s">
        <v>1189</v>
      </c>
      <c r="FT218" s="9" t="s">
        <v>1462</v>
      </c>
      <c r="FU218" s="9" t="s">
        <v>489</v>
      </c>
      <c r="FV218" s="9" t="s">
        <v>490</v>
      </c>
      <c r="FW218" s="9" t="s">
        <v>491</v>
      </c>
      <c r="FX218" s="9" t="s">
        <v>4820</v>
      </c>
      <c r="FY218" s="9" t="s">
        <v>493</v>
      </c>
      <c r="FZ218" s="9" t="s">
        <v>4821</v>
      </c>
      <c r="GA218" s="9" t="s">
        <v>4822</v>
      </c>
      <c r="GB218" s="9" t="s">
        <v>455</v>
      </c>
      <c r="GC218" s="9"/>
      <c r="GD218" s="9"/>
      <c r="GE218" s="9" t="s">
        <v>786</v>
      </c>
      <c r="GF218" s="9" t="s">
        <v>4823</v>
      </c>
      <c r="GJ218" s="9" t="s">
        <v>857</v>
      </c>
      <c r="GK218" s="9" t="s">
        <v>857</v>
      </c>
      <c r="GL218" s="9" t="s">
        <v>946</v>
      </c>
      <c r="GQ218" s="9" t="s">
        <v>3208</v>
      </c>
      <c r="GR218" s="9" t="s">
        <v>4774</v>
      </c>
      <c r="GS218" s="9" t="s">
        <v>4824</v>
      </c>
    </row>
    <row r="219" ht="24.75" customHeight="1">
      <c r="A219" s="8">
        <v>45842.78131636574</v>
      </c>
      <c r="B219" s="9" t="s">
        <v>368</v>
      </c>
      <c r="C219" s="9" t="s">
        <v>370</v>
      </c>
      <c r="D219" s="9" t="s">
        <v>370</v>
      </c>
      <c r="E219" s="9" t="s">
        <v>1001</v>
      </c>
      <c r="F219" s="9" t="s">
        <v>1001</v>
      </c>
      <c r="G219" s="9" t="s">
        <v>422</v>
      </c>
      <c r="H219" s="9" t="s">
        <v>637</v>
      </c>
      <c r="I219" s="9" t="s">
        <v>638</v>
      </c>
      <c r="J219" s="9" t="s">
        <v>375</v>
      </c>
      <c r="K219" s="9" t="s">
        <v>376</v>
      </c>
      <c r="L219" s="9" t="s">
        <v>670</v>
      </c>
      <c r="M219" s="9" t="s">
        <v>639</v>
      </c>
      <c r="N219" s="9" t="s">
        <v>670</v>
      </c>
      <c r="O219" s="9" t="s">
        <v>497</v>
      </c>
      <c r="P219" s="9" t="s">
        <v>498</v>
      </c>
      <c r="Q219" s="9" t="s">
        <v>862</v>
      </c>
      <c r="R219" s="9" t="s">
        <v>949</v>
      </c>
      <c r="S219" s="9" t="s">
        <v>384</v>
      </c>
      <c r="T219" s="9" t="s">
        <v>385</v>
      </c>
      <c r="W219" s="9" t="s">
        <v>386</v>
      </c>
      <c r="X219" s="9" t="s">
        <v>387</v>
      </c>
      <c r="Z219" s="9" t="s">
        <v>543</v>
      </c>
      <c r="AV219" s="9" t="s">
        <v>1310</v>
      </c>
      <c r="AW219" s="9" t="s">
        <v>675</v>
      </c>
      <c r="AX219" s="9" t="s">
        <v>675</v>
      </c>
      <c r="AY219" s="9" t="s">
        <v>675</v>
      </c>
      <c r="AZ219" s="9">
        <v>4.0</v>
      </c>
      <c r="BA219" s="9" t="s">
        <v>675</v>
      </c>
      <c r="BB219" s="9" t="s">
        <v>675</v>
      </c>
      <c r="BE219" s="9" t="s">
        <v>902</v>
      </c>
      <c r="BF219" s="9" t="s">
        <v>1095</v>
      </c>
      <c r="BG219" s="9" t="s">
        <v>394</v>
      </c>
      <c r="BI219" s="9" t="s">
        <v>727</v>
      </c>
      <c r="BK219" s="9" t="s">
        <v>602</v>
      </c>
      <c r="BL219" s="9" t="s">
        <v>603</v>
      </c>
      <c r="BM219" s="9" t="s">
        <v>1314</v>
      </c>
      <c r="BN219" s="9" t="s">
        <v>398</v>
      </c>
      <c r="BQ219" s="9" t="s">
        <v>442</v>
      </c>
      <c r="BR219" s="9" t="s">
        <v>4825</v>
      </c>
      <c r="BS219" s="9" t="s">
        <v>1741</v>
      </c>
      <c r="BT219" s="9" t="s">
        <v>1771</v>
      </c>
      <c r="BU219" s="9" t="s">
        <v>405</v>
      </c>
      <c r="BW219" s="9" t="s">
        <v>457</v>
      </c>
      <c r="BY219" s="9" t="s">
        <v>408</v>
      </c>
      <c r="CD219" s="9" t="s">
        <v>1257</v>
      </c>
      <c r="CF219" s="9" t="s">
        <v>1258</v>
      </c>
      <c r="CH219" s="9" t="s">
        <v>1259</v>
      </c>
      <c r="ET219" s="9" t="s">
        <v>526</v>
      </c>
      <c r="EU219" s="9" t="s">
        <v>1127</v>
      </c>
      <c r="EV219" s="9" t="s">
        <v>527</v>
      </c>
      <c r="EZ219" s="9" t="s">
        <v>413</v>
      </c>
      <c r="FA219" s="9" t="s">
        <v>415</v>
      </c>
      <c r="FB219" s="9" t="s">
        <v>413</v>
      </c>
      <c r="FC219" s="9" t="s">
        <v>413</v>
      </c>
      <c r="FD219" s="9" t="s">
        <v>413</v>
      </c>
      <c r="FE219" s="9" t="s">
        <v>413</v>
      </c>
      <c r="FF219" s="9" t="s">
        <v>413</v>
      </c>
      <c r="FG219" s="9" t="s">
        <v>583</v>
      </c>
      <c r="FH219" s="9" t="s">
        <v>413</v>
      </c>
      <c r="FI219" s="9" t="s">
        <v>415</v>
      </c>
      <c r="FJ219" s="9" t="s">
        <v>416</v>
      </c>
      <c r="FK219" s="9" t="s">
        <v>413</v>
      </c>
      <c r="FL219" s="9" t="s">
        <v>415</v>
      </c>
      <c r="FM219" s="9" t="s">
        <v>414</v>
      </c>
      <c r="FN219" s="9" t="s">
        <v>416</v>
      </c>
      <c r="FO219" s="9" t="s">
        <v>485</v>
      </c>
      <c r="FP219" s="9" t="s">
        <v>418</v>
      </c>
      <c r="FQ219" s="9" t="s">
        <v>1039</v>
      </c>
      <c r="FS219" s="9" t="s">
        <v>420</v>
      </c>
      <c r="FT219" s="9" t="s">
        <v>488</v>
      </c>
      <c r="FU219" s="9" t="s">
        <v>918</v>
      </c>
      <c r="FV219" s="9" t="s">
        <v>490</v>
      </c>
      <c r="FW219" s="9" t="s">
        <v>491</v>
      </c>
      <c r="FY219" s="9" t="s">
        <v>535</v>
      </c>
      <c r="GB219" s="9" t="s">
        <v>408</v>
      </c>
      <c r="GJ219" s="9" t="s">
        <v>755</v>
      </c>
      <c r="GK219" s="9" t="s">
        <v>755</v>
      </c>
      <c r="GL219" s="9" t="s">
        <v>817</v>
      </c>
      <c r="GQ219" s="9" t="s">
        <v>3208</v>
      </c>
      <c r="GR219" s="9" t="s">
        <v>4774</v>
      </c>
    </row>
    <row r="220" ht="24.75" customHeight="1">
      <c r="A220" s="8">
        <v>45843.44344015046</v>
      </c>
      <c r="B220" s="9" t="s">
        <v>368</v>
      </c>
      <c r="C220" s="9" t="s">
        <v>538</v>
      </c>
      <c r="G220" s="9" t="s">
        <v>422</v>
      </c>
      <c r="H220" s="9" t="s">
        <v>423</v>
      </c>
      <c r="I220" s="9" t="s">
        <v>668</v>
      </c>
      <c r="J220" s="9" t="s">
        <v>590</v>
      </c>
      <c r="K220" s="9" t="s">
        <v>376</v>
      </c>
      <c r="L220" s="9" t="s">
        <v>377</v>
      </c>
      <c r="M220" s="9" t="s">
        <v>380</v>
      </c>
      <c r="N220" s="9" t="s">
        <v>377</v>
      </c>
      <c r="O220" s="9" t="s">
        <v>497</v>
      </c>
      <c r="P220" s="9" t="s">
        <v>381</v>
      </c>
      <c r="Q220" s="9" t="s">
        <v>862</v>
      </c>
      <c r="R220" s="9" t="s">
        <v>427</v>
      </c>
      <c r="S220" s="9" t="s">
        <v>384</v>
      </c>
      <c r="T220" s="9" t="s">
        <v>385</v>
      </c>
      <c r="W220" s="9" t="s">
        <v>593</v>
      </c>
      <c r="X220" s="9" t="s">
        <v>387</v>
      </c>
      <c r="Z220" s="9" t="s">
        <v>543</v>
      </c>
      <c r="AA220" s="9" t="s">
        <v>408</v>
      </c>
      <c r="AV220" s="9" t="s">
        <v>597</v>
      </c>
      <c r="AW220" s="9">
        <v>4.0</v>
      </c>
      <c r="AX220" s="9" t="s">
        <v>391</v>
      </c>
      <c r="AY220" s="9">
        <v>4.0</v>
      </c>
      <c r="AZ220" s="9" t="s">
        <v>391</v>
      </c>
      <c r="BA220" s="9">
        <v>2.0</v>
      </c>
      <c r="BB220" s="9" t="s">
        <v>391</v>
      </c>
      <c r="BC220" s="9" t="s">
        <v>4826</v>
      </c>
      <c r="BD220" s="9" t="s">
        <v>4827</v>
      </c>
      <c r="BE220" s="9" t="s">
        <v>392</v>
      </c>
      <c r="BG220" s="9" t="s">
        <v>725</v>
      </c>
      <c r="BI220" s="9" t="s">
        <v>435</v>
      </c>
      <c r="BJ220" s="9" t="s">
        <v>4828</v>
      </c>
      <c r="BK220" s="9" t="s">
        <v>395</v>
      </c>
      <c r="BL220" s="9" t="s">
        <v>512</v>
      </c>
      <c r="BM220" s="9" t="s">
        <v>397</v>
      </c>
      <c r="BN220" s="9" t="s">
        <v>398</v>
      </c>
      <c r="BP220" s="9" t="s">
        <v>4829</v>
      </c>
      <c r="BQ220" s="9" t="s">
        <v>401</v>
      </c>
      <c r="BR220" s="9" t="s">
        <v>4830</v>
      </c>
      <c r="BS220" s="9" t="s">
        <v>4071</v>
      </c>
      <c r="BT220" s="9" t="s">
        <v>4072</v>
      </c>
      <c r="BU220" s="9" t="s">
        <v>1772</v>
      </c>
      <c r="BV220" s="9" t="s">
        <v>4831</v>
      </c>
      <c r="BW220" s="9" t="s">
        <v>406</v>
      </c>
      <c r="BX220" s="9" t="s">
        <v>1867</v>
      </c>
      <c r="BY220" s="9" t="s">
        <v>455</v>
      </c>
      <c r="BZ220" s="9" t="s">
        <v>4832</v>
      </c>
      <c r="CA220" s="9" t="s">
        <v>4833</v>
      </c>
      <c r="CB220" s="9" t="s">
        <v>4834</v>
      </c>
      <c r="CC220" s="9" t="s">
        <v>4835</v>
      </c>
      <c r="CD220" s="9" t="s">
        <v>409</v>
      </c>
      <c r="CE220" s="9" t="s">
        <v>2473</v>
      </c>
      <c r="CF220" s="9" t="s">
        <v>1258</v>
      </c>
      <c r="CH220" s="9" t="s">
        <v>1698</v>
      </c>
      <c r="CJ220" s="9" t="s">
        <v>4836</v>
      </c>
      <c r="ET220" s="9" t="s">
        <v>578</v>
      </c>
      <c r="EU220" s="9" t="s">
        <v>579</v>
      </c>
      <c r="EV220" s="9" t="s">
        <v>1534</v>
      </c>
      <c r="EX220" s="9" t="s">
        <v>4837</v>
      </c>
      <c r="EY220" s="9" t="s">
        <v>1380</v>
      </c>
      <c r="EZ220" s="9" t="s">
        <v>415</v>
      </c>
      <c r="FA220" s="9" t="s">
        <v>415</v>
      </c>
      <c r="FB220" s="9" t="s">
        <v>413</v>
      </c>
      <c r="FC220" s="9" t="s">
        <v>414</v>
      </c>
      <c r="FD220" s="9" t="s">
        <v>413</v>
      </c>
      <c r="FE220" s="9" t="s">
        <v>484</v>
      </c>
      <c r="FF220" s="9" t="s">
        <v>583</v>
      </c>
      <c r="FG220" s="9" t="s">
        <v>414</v>
      </c>
      <c r="FH220" s="9" t="s">
        <v>416</v>
      </c>
      <c r="FI220" s="9" t="s">
        <v>416</v>
      </c>
      <c r="FJ220" s="9" t="s">
        <v>583</v>
      </c>
      <c r="FK220" s="9" t="s">
        <v>415</v>
      </c>
      <c r="FL220" s="9" t="s">
        <v>415</v>
      </c>
      <c r="FM220" s="9" t="s">
        <v>415</v>
      </c>
      <c r="FN220" s="9" t="s">
        <v>583</v>
      </c>
      <c r="FO220" s="9" t="s">
        <v>1074</v>
      </c>
      <c r="FP220" s="9" t="s">
        <v>486</v>
      </c>
      <c r="FQ220" s="9" t="s">
        <v>419</v>
      </c>
      <c r="FR220" s="9" t="s">
        <v>4838</v>
      </c>
      <c r="FS220" s="9" t="s">
        <v>1076</v>
      </c>
      <c r="FT220" s="9" t="s">
        <v>488</v>
      </c>
      <c r="FU220" s="9" t="s">
        <v>918</v>
      </c>
      <c r="FV220" s="9" t="s">
        <v>490</v>
      </c>
      <c r="FW220" s="9" t="s">
        <v>491</v>
      </c>
      <c r="FX220" s="9" t="s">
        <v>4839</v>
      </c>
      <c r="FY220" s="9" t="s">
        <v>535</v>
      </c>
      <c r="GB220" s="9" t="s">
        <v>455</v>
      </c>
      <c r="GC220" s="9"/>
      <c r="GE220" s="9" t="s">
        <v>753</v>
      </c>
      <c r="GF220" s="9" t="s">
        <v>455</v>
      </c>
      <c r="GJ220" s="9" t="s">
        <v>789</v>
      </c>
      <c r="GK220" s="9" t="s">
        <v>789</v>
      </c>
      <c r="GL220" s="9" t="s">
        <v>790</v>
      </c>
      <c r="GQ220" s="9" t="s">
        <v>3208</v>
      </c>
      <c r="GR220" s="9" t="s">
        <v>4840</v>
      </c>
      <c r="GS220" s="9" t="s">
        <v>4841</v>
      </c>
    </row>
    <row r="221" ht="24.75" customHeight="1">
      <c r="A221" s="8">
        <v>45844.052393356484</v>
      </c>
      <c r="B221" s="9" t="s">
        <v>368</v>
      </c>
      <c r="C221" s="9" t="s">
        <v>947</v>
      </c>
      <c r="D221" s="9" t="s">
        <v>947</v>
      </c>
      <c r="G221" s="9" t="s">
        <v>422</v>
      </c>
      <c r="H221" s="9" t="s">
        <v>637</v>
      </c>
      <c r="I221" s="9" t="s">
        <v>638</v>
      </c>
      <c r="J221" s="9" t="s">
        <v>375</v>
      </c>
      <c r="K221" s="9" t="s">
        <v>376</v>
      </c>
      <c r="L221" s="9" t="s">
        <v>379</v>
      </c>
      <c r="M221" s="9" t="s">
        <v>860</v>
      </c>
      <c r="N221" s="9" t="s">
        <v>377</v>
      </c>
      <c r="O221" s="9" t="s">
        <v>380</v>
      </c>
      <c r="P221" s="9" t="s">
        <v>381</v>
      </c>
      <c r="Q221" s="9" t="s">
        <v>382</v>
      </c>
      <c r="R221" s="9" t="s">
        <v>500</v>
      </c>
      <c r="S221" s="9" t="s">
        <v>384</v>
      </c>
      <c r="T221" s="9" t="s">
        <v>385</v>
      </c>
      <c r="W221" s="9" t="s">
        <v>3014</v>
      </c>
      <c r="AV221" s="9" t="s">
        <v>1242</v>
      </c>
      <c r="AW221" s="9" t="s">
        <v>675</v>
      </c>
      <c r="AX221" s="9" t="s">
        <v>675</v>
      </c>
      <c r="AY221" s="9" t="s">
        <v>675</v>
      </c>
      <c r="AZ221" s="9" t="s">
        <v>675</v>
      </c>
      <c r="BA221" s="9" t="s">
        <v>675</v>
      </c>
      <c r="BB221" s="9" t="s">
        <v>675</v>
      </c>
      <c r="BC221" s="9" t="s">
        <v>4842</v>
      </c>
      <c r="BE221" s="9" t="s">
        <v>432</v>
      </c>
      <c r="BF221" s="9" t="s">
        <v>1245</v>
      </c>
      <c r="BG221" s="9" t="s">
        <v>394</v>
      </c>
      <c r="BI221" s="9" t="s">
        <v>435</v>
      </c>
      <c r="BJ221" s="9" t="s">
        <v>4843</v>
      </c>
      <c r="BK221" s="9" t="s">
        <v>602</v>
      </c>
      <c r="BL221" s="9" t="s">
        <v>904</v>
      </c>
      <c r="BM221" s="9" t="s">
        <v>1247</v>
      </c>
      <c r="BN221" s="9" t="s">
        <v>398</v>
      </c>
      <c r="BO221" s="9" t="s">
        <v>4844</v>
      </c>
      <c r="BQ221" s="9" t="s">
        <v>604</v>
      </c>
      <c r="BR221" s="9" t="s">
        <v>2583</v>
      </c>
      <c r="BS221" s="9" t="s">
        <v>4071</v>
      </c>
      <c r="BT221" s="9" t="s">
        <v>4845</v>
      </c>
      <c r="BU221" s="9" t="s">
        <v>405</v>
      </c>
      <c r="BW221" s="9" t="s">
        <v>406</v>
      </c>
      <c r="BX221" s="9" t="s">
        <v>2503</v>
      </c>
      <c r="BY221" s="9" t="s">
        <v>408</v>
      </c>
      <c r="CB221" s="9" t="s">
        <v>4846</v>
      </c>
      <c r="CC221" s="9" t="s">
        <v>1080</v>
      </c>
      <c r="CD221" s="9" t="s">
        <v>451</v>
      </c>
      <c r="CE221" s="9" t="s">
        <v>4847</v>
      </c>
      <c r="CF221" s="9" t="s">
        <v>1697</v>
      </c>
      <c r="CG221" s="9" t="s">
        <v>4848</v>
      </c>
      <c r="CH221" s="9" t="s">
        <v>1259</v>
      </c>
      <c r="CI221" s="9" t="s">
        <v>410</v>
      </c>
      <c r="CJ221" s="9" t="s">
        <v>4849</v>
      </c>
      <c r="ET221" s="9" t="s">
        <v>578</v>
      </c>
      <c r="EU221" s="9" t="s">
        <v>579</v>
      </c>
      <c r="EV221" s="9" t="s">
        <v>1534</v>
      </c>
      <c r="EZ221" s="9" t="s">
        <v>583</v>
      </c>
      <c r="FA221" s="9" t="s">
        <v>583</v>
      </c>
      <c r="FB221" s="9" t="s">
        <v>413</v>
      </c>
      <c r="FC221" s="9" t="s">
        <v>414</v>
      </c>
      <c r="FD221" s="9" t="s">
        <v>413</v>
      </c>
      <c r="FE221" s="9" t="s">
        <v>583</v>
      </c>
      <c r="FF221" s="9" t="s">
        <v>484</v>
      </c>
      <c r="FG221" s="9" t="s">
        <v>583</v>
      </c>
      <c r="FH221" s="9" t="s">
        <v>413</v>
      </c>
      <c r="FJ221" s="9" t="s">
        <v>484</v>
      </c>
      <c r="FK221" s="9" t="s">
        <v>484</v>
      </c>
      <c r="FL221" s="9" t="s">
        <v>484</v>
      </c>
      <c r="FM221" s="9" t="s">
        <v>484</v>
      </c>
      <c r="FN221" s="9" t="s">
        <v>484</v>
      </c>
      <c r="FO221" s="9" t="s">
        <v>417</v>
      </c>
      <c r="FP221" s="9" t="s">
        <v>486</v>
      </c>
      <c r="FQ221" s="9" t="s">
        <v>749</v>
      </c>
      <c r="FS221" s="9" t="s">
        <v>420</v>
      </c>
      <c r="FT221" s="9" t="s">
        <v>488</v>
      </c>
      <c r="FU221" s="9" t="s">
        <v>585</v>
      </c>
      <c r="FV221" s="9" t="s">
        <v>490</v>
      </c>
      <c r="FW221" s="9" t="s">
        <v>491</v>
      </c>
      <c r="FY221" s="9" t="s">
        <v>535</v>
      </c>
      <c r="GB221" s="9" t="s">
        <v>408</v>
      </c>
      <c r="GJ221" s="9" t="s">
        <v>755</v>
      </c>
      <c r="GK221" s="9" t="s">
        <v>755</v>
      </c>
      <c r="GL221" s="9" t="s">
        <v>946</v>
      </c>
      <c r="GN221" s="9" t="s">
        <v>4850</v>
      </c>
      <c r="GO221" s="9" t="s">
        <v>4850</v>
      </c>
      <c r="GQ221" s="9" t="s">
        <v>3351</v>
      </c>
      <c r="GR221" s="9" t="s">
        <v>4774</v>
      </c>
    </row>
    <row r="222" ht="24.75" customHeight="1">
      <c r="A222" s="8">
        <v>45844.41842277777</v>
      </c>
      <c r="B222" s="9" t="s">
        <v>368</v>
      </c>
      <c r="C222" s="9" t="s">
        <v>370</v>
      </c>
      <c r="D222" s="9" t="s">
        <v>1267</v>
      </c>
      <c r="E222" s="9" t="s">
        <v>791</v>
      </c>
      <c r="G222" s="9" t="s">
        <v>422</v>
      </c>
      <c r="H222" s="9" t="s">
        <v>1921</v>
      </c>
      <c r="I222" s="9" t="s">
        <v>668</v>
      </c>
      <c r="J222" s="9" t="s">
        <v>375</v>
      </c>
      <c r="K222" s="9" t="s">
        <v>376</v>
      </c>
      <c r="L222" s="9" t="s">
        <v>379</v>
      </c>
      <c r="M222" s="9" t="s">
        <v>378</v>
      </c>
      <c r="N222" s="9" t="s">
        <v>379</v>
      </c>
      <c r="O222" s="9" t="s">
        <v>497</v>
      </c>
      <c r="P222" s="9" t="s">
        <v>498</v>
      </c>
      <c r="Q222" s="9" t="s">
        <v>499</v>
      </c>
      <c r="R222" s="9" t="s">
        <v>500</v>
      </c>
      <c r="S222" s="9" t="s">
        <v>384</v>
      </c>
      <c r="T222" s="9" t="s">
        <v>385</v>
      </c>
      <c r="W222" s="9" t="s">
        <v>386</v>
      </c>
      <c r="X222" s="9" t="s">
        <v>387</v>
      </c>
      <c r="Y222" s="9" t="s">
        <v>388</v>
      </c>
      <c r="Z222" s="9" t="s">
        <v>543</v>
      </c>
      <c r="AA222" s="9" t="s">
        <v>2675</v>
      </c>
      <c r="AV222" s="9" t="s">
        <v>1310</v>
      </c>
      <c r="AW222" s="9" t="s">
        <v>675</v>
      </c>
      <c r="AX222" s="9" t="s">
        <v>675</v>
      </c>
      <c r="AY222" s="9" t="s">
        <v>675</v>
      </c>
      <c r="AZ222" s="9">
        <v>4.0</v>
      </c>
      <c r="BA222" s="9" t="s">
        <v>391</v>
      </c>
      <c r="BB222" s="9" t="s">
        <v>391</v>
      </c>
      <c r="BC222" s="9" t="s">
        <v>4851</v>
      </c>
      <c r="BD222" s="9" t="s">
        <v>4852</v>
      </c>
      <c r="BE222" s="9" t="s">
        <v>432</v>
      </c>
      <c r="BF222" s="9" t="s">
        <v>1095</v>
      </c>
      <c r="BG222" s="9" t="s">
        <v>434</v>
      </c>
      <c r="BI222" s="9" t="s">
        <v>976</v>
      </c>
      <c r="BJ222" s="9" t="s">
        <v>4148</v>
      </c>
      <c r="BK222" s="9" t="s">
        <v>602</v>
      </c>
      <c r="BL222" s="9" t="s">
        <v>603</v>
      </c>
      <c r="BM222" s="9" t="s">
        <v>1247</v>
      </c>
      <c r="BN222" s="9" t="s">
        <v>513</v>
      </c>
      <c r="CL222" s="9" t="s">
        <v>441</v>
      </c>
      <c r="CM222" s="9" t="s">
        <v>604</v>
      </c>
      <c r="CN222" s="9" t="s">
        <v>4853</v>
      </c>
      <c r="CO222" s="9" t="s">
        <v>2675</v>
      </c>
      <c r="CP222" s="9" t="s">
        <v>1008</v>
      </c>
      <c r="CQ222" s="9" t="s">
        <v>4854</v>
      </c>
      <c r="CR222" s="9" t="s">
        <v>447</v>
      </c>
      <c r="CS222" s="9" t="s">
        <v>1626</v>
      </c>
      <c r="CT222" s="9" t="s">
        <v>4855</v>
      </c>
      <c r="CU222" s="9" t="s">
        <v>1852</v>
      </c>
      <c r="CV222" s="9" t="s">
        <v>451</v>
      </c>
      <c r="CW222" s="9" t="s">
        <v>4856</v>
      </c>
      <c r="CX222" s="9" t="s">
        <v>408</v>
      </c>
      <c r="CZ222" s="9" t="s">
        <v>1962</v>
      </c>
      <c r="DB222" s="9" t="s">
        <v>408</v>
      </c>
      <c r="DD222" s="9" t="s">
        <v>988</v>
      </c>
      <c r="DF222" s="9" t="s">
        <v>4857</v>
      </c>
      <c r="DG222" s="9" t="s">
        <v>990</v>
      </c>
      <c r="DH222" s="9" t="s">
        <v>1964</v>
      </c>
      <c r="DI222" s="9" t="s">
        <v>459</v>
      </c>
      <c r="DJ222" s="9" t="s">
        <v>460</v>
      </c>
      <c r="DK222" s="9" t="s">
        <v>461</v>
      </c>
      <c r="ET222" s="9" t="s">
        <v>526</v>
      </c>
      <c r="EU222" s="9" t="s">
        <v>887</v>
      </c>
      <c r="EV222" s="9" t="s">
        <v>527</v>
      </c>
      <c r="EX222" s="9" t="s">
        <v>4858</v>
      </c>
      <c r="EY222" s="9" t="s">
        <v>4859</v>
      </c>
      <c r="EZ222" s="9" t="s">
        <v>415</v>
      </c>
      <c r="FA222" s="9" t="s">
        <v>583</v>
      </c>
      <c r="FB222" s="9" t="s">
        <v>583</v>
      </c>
      <c r="FC222" s="9" t="s">
        <v>583</v>
      </c>
      <c r="FD222" s="9" t="s">
        <v>583</v>
      </c>
      <c r="FE222" s="9" t="s">
        <v>413</v>
      </c>
      <c r="FF222" s="9" t="s">
        <v>415</v>
      </c>
      <c r="FG222" s="9" t="s">
        <v>583</v>
      </c>
      <c r="FH222" s="9" t="s">
        <v>415</v>
      </c>
      <c r="FI222" s="9" t="s">
        <v>416</v>
      </c>
      <c r="FJ222" s="9" t="s">
        <v>415</v>
      </c>
      <c r="FK222" s="9" t="s">
        <v>413</v>
      </c>
      <c r="FL222" s="9" t="s">
        <v>413</v>
      </c>
      <c r="FM222" s="9" t="s">
        <v>583</v>
      </c>
      <c r="FN222" s="9" t="s">
        <v>416</v>
      </c>
      <c r="FO222" s="9" t="s">
        <v>1074</v>
      </c>
      <c r="FP222" s="9" t="s">
        <v>2651</v>
      </c>
      <c r="FQ222" s="9" t="s">
        <v>531</v>
      </c>
      <c r="FR222" s="9" t="s">
        <v>4860</v>
      </c>
      <c r="FS222" s="9" t="s">
        <v>420</v>
      </c>
      <c r="FT222" s="9" t="s">
        <v>421</v>
      </c>
      <c r="FU222" s="9" t="s">
        <v>489</v>
      </c>
      <c r="FV222" s="9" t="s">
        <v>490</v>
      </c>
      <c r="FW222" s="9" t="s">
        <v>1853</v>
      </c>
      <c r="FY222" s="9" t="s">
        <v>1854</v>
      </c>
      <c r="GB222" s="9" t="s">
        <v>408</v>
      </c>
      <c r="GG222" s="9" t="s">
        <v>755</v>
      </c>
      <c r="GH222" s="9" t="s">
        <v>755</v>
      </c>
      <c r="GI222" s="9" t="s">
        <v>756</v>
      </c>
      <c r="GO222" s="9" t="s">
        <v>1267</v>
      </c>
      <c r="GQ222" s="9" t="s">
        <v>3351</v>
      </c>
      <c r="GT222" s="9" t="s">
        <v>4774</v>
      </c>
      <c r="GU222" s="9" t="s">
        <v>4148</v>
      </c>
      <c r="GV222" s="10"/>
      <c r="GW222" s="10"/>
      <c r="GX222" s="10"/>
      <c r="GY222" s="10"/>
      <c r="GZ222" s="10"/>
      <c r="HA222" s="10"/>
      <c r="HB222" s="10"/>
      <c r="HC222" s="10"/>
      <c r="HD222" s="10"/>
      <c r="HE222" s="10"/>
      <c r="HF222" s="10"/>
      <c r="HG222" s="10"/>
      <c r="HH222" s="10"/>
      <c r="HI222" s="10"/>
      <c r="HJ222" s="10"/>
      <c r="HK222" s="10"/>
      <c r="HL222" s="10"/>
      <c r="HM222" s="10"/>
      <c r="HN222" s="10"/>
      <c r="HO222" s="10"/>
      <c r="HP222" s="10"/>
      <c r="HQ222" s="10"/>
      <c r="HR222" s="10"/>
      <c r="HS222" s="10"/>
      <c r="HT222" s="10"/>
      <c r="HU222" s="10"/>
      <c r="HV222" s="10"/>
      <c r="HW222" s="10"/>
      <c r="HX222" s="10"/>
      <c r="HY222" s="10"/>
      <c r="HZ222" s="10"/>
      <c r="IA222" s="10"/>
      <c r="IB222" s="10"/>
      <c r="IC222" s="10"/>
      <c r="ID222" s="10"/>
      <c r="IE222" s="10"/>
      <c r="IF222" s="10"/>
      <c r="IG222" s="10"/>
      <c r="IH222" s="10"/>
      <c r="II222" s="10"/>
      <c r="IJ222" s="10"/>
      <c r="IK222" s="10"/>
      <c r="IL222" s="10"/>
      <c r="IM222" s="10"/>
      <c r="IN222" s="10"/>
      <c r="IO222" s="10"/>
      <c r="IP222" s="10"/>
      <c r="IQ222" s="10"/>
      <c r="IR222" s="10"/>
      <c r="IS222" s="10"/>
      <c r="IT222" s="10"/>
      <c r="IU222" s="10"/>
      <c r="IV222" s="10"/>
      <c r="IW222" s="10"/>
      <c r="IX222" s="10"/>
      <c r="IY222" s="10"/>
      <c r="IZ222" s="10"/>
      <c r="JA222" s="10"/>
      <c r="JB222" s="10"/>
      <c r="JC222" s="10"/>
      <c r="JD222" s="10"/>
      <c r="JE222" s="10"/>
      <c r="JF222" s="10"/>
      <c r="JG222" s="10"/>
      <c r="JH222" s="10"/>
      <c r="JI222" s="10"/>
      <c r="JJ222" s="10"/>
      <c r="JK222" s="10"/>
      <c r="JL222" s="10"/>
      <c r="JM222" s="10"/>
      <c r="JN222" s="10"/>
      <c r="JO222" s="10"/>
      <c r="JP222" s="10"/>
      <c r="JQ222" s="10"/>
      <c r="JR222" s="10"/>
      <c r="JS222" s="10"/>
      <c r="JT222" s="10"/>
      <c r="JU222" s="10"/>
      <c r="JV222" s="10"/>
      <c r="JW222" s="10"/>
      <c r="JX222" s="10"/>
      <c r="JY222" s="10"/>
      <c r="JZ222" s="10"/>
      <c r="KA222" s="10"/>
      <c r="KB222" s="10"/>
      <c r="KC222" s="10"/>
      <c r="KD222" s="10"/>
      <c r="KE222" s="10"/>
      <c r="KF222" s="10"/>
      <c r="KG222" s="10"/>
      <c r="KH222" s="10"/>
      <c r="KI222" s="10"/>
      <c r="KJ222" s="10"/>
      <c r="KK222" s="10"/>
      <c r="KL222" s="10"/>
      <c r="KM222" s="10"/>
      <c r="KN222" s="10"/>
      <c r="KO222" s="10"/>
      <c r="KP222" s="10"/>
      <c r="KQ222" s="10"/>
      <c r="KR222" s="10"/>
      <c r="KS222" s="10"/>
      <c r="KT222" s="10"/>
      <c r="KU222" s="10"/>
      <c r="KV222" s="10"/>
      <c r="KW222" s="10"/>
      <c r="KX222" s="10"/>
      <c r="KY222" s="10"/>
      <c r="KZ222" s="10"/>
      <c r="LA222" s="10"/>
      <c r="LB222" s="10"/>
      <c r="LC222" s="10"/>
      <c r="LD222" s="10"/>
      <c r="LE222" s="10"/>
      <c r="LF222" s="10"/>
      <c r="LG222" s="10"/>
      <c r="LH222" s="10"/>
      <c r="LI222" s="10"/>
      <c r="LJ222" s="10"/>
      <c r="LK222" s="10"/>
      <c r="LL222" s="10"/>
      <c r="LM222" s="10"/>
      <c r="LN222" s="10"/>
      <c r="LO222" s="10"/>
      <c r="LP222" s="10"/>
      <c r="LQ222" s="10"/>
      <c r="LR222" s="10"/>
      <c r="LS222" s="10"/>
      <c r="LT222" s="10"/>
      <c r="LU222" s="10"/>
      <c r="LV222" s="10"/>
      <c r="LW222" s="10"/>
      <c r="LX222" s="10"/>
      <c r="LY222" s="10"/>
      <c r="LZ222" s="10"/>
      <c r="MA222" s="10"/>
      <c r="MB222" s="10"/>
      <c r="MC222" s="10"/>
      <c r="MD222" s="10"/>
      <c r="ME222" s="10"/>
      <c r="MF222" s="10"/>
      <c r="MG222" s="10"/>
      <c r="MH222" s="10"/>
      <c r="MI222" s="10"/>
      <c r="MJ222" s="10"/>
      <c r="MK222" s="10"/>
      <c r="ML222" s="10"/>
      <c r="MM222" s="10"/>
      <c r="MN222" s="10"/>
      <c r="MO222" s="10"/>
      <c r="MP222" s="10"/>
      <c r="MQ222" s="10"/>
      <c r="MR222" s="10"/>
      <c r="MS222" s="10"/>
      <c r="MT222" s="10"/>
      <c r="MU222" s="10"/>
      <c r="MV222" s="10"/>
      <c r="MW222" s="10"/>
      <c r="MX222" s="10"/>
      <c r="MY222" s="10"/>
      <c r="MZ222" s="10"/>
      <c r="NA222" s="10"/>
      <c r="NB222" s="10"/>
      <c r="NC222" s="10"/>
      <c r="ND222" s="10"/>
    </row>
    <row r="223" ht="24.75" customHeight="1">
      <c r="A223" s="8">
        <v>45844.46542105324</v>
      </c>
      <c r="B223" s="9" t="s">
        <v>368</v>
      </c>
      <c r="C223" s="9" t="s">
        <v>370</v>
      </c>
      <c r="D223" s="9" t="s">
        <v>370</v>
      </c>
      <c r="E223" s="9" t="s">
        <v>791</v>
      </c>
      <c r="F223" s="9" t="s">
        <v>791</v>
      </c>
      <c r="G223" s="9" t="s">
        <v>422</v>
      </c>
      <c r="H223" s="9" t="s">
        <v>539</v>
      </c>
      <c r="I223" s="9" t="s">
        <v>2578</v>
      </c>
      <c r="J223" s="9" t="s">
        <v>590</v>
      </c>
      <c r="K223" s="9" t="s">
        <v>376</v>
      </c>
      <c r="L223" s="9" t="s">
        <v>426</v>
      </c>
      <c r="M223" s="9" t="s">
        <v>541</v>
      </c>
      <c r="N223" s="9" t="s">
        <v>426</v>
      </c>
      <c r="O223" s="9" t="s">
        <v>4861</v>
      </c>
      <c r="P223" s="9" t="s">
        <v>498</v>
      </c>
      <c r="Q223" s="9" t="s">
        <v>499</v>
      </c>
      <c r="R223" s="9" t="s">
        <v>500</v>
      </c>
      <c r="S223" s="9" t="s">
        <v>384</v>
      </c>
      <c r="T223" s="9" t="s">
        <v>385</v>
      </c>
      <c r="W223" s="9" t="s">
        <v>386</v>
      </c>
      <c r="X223" s="9" t="s">
        <v>387</v>
      </c>
      <c r="Y223" s="9" t="s">
        <v>1444</v>
      </c>
      <c r="Z223" s="9" t="s">
        <v>543</v>
      </c>
      <c r="AV223" s="9" t="s">
        <v>1242</v>
      </c>
      <c r="AW223" s="9" t="s">
        <v>675</v>
      </c>
      <c r="AX223" s="9" t="s">
        <v>675</v>
      </c>
      <c r="AY223" s="9" t="s">
        <v>391</v>
      </c>
      <c r="AZ223" s="9" t="s">
        <v>391</v>
      </c>
      <c r="BA223" s="9" t="s">
        <v>675</v>
      </c>
      <c r="BB223" s="9" t="s">
        <v>675</v>
      </c>
      <c r="BC223" s="9" t="s">
        <v>4862</v>
      </c>
      <c r="BD223" s="9" t="s">
        <v>4863</v>
      </c>
      <c r="BE223" s="9" t="s">
        <v>902</v>
      </c>
      <c r="BF223" s="9" t="s">
        <v>1095</v>
      </c>
      <c r="BG223" s="9" t="s">
        <v>434</v>
      </c>
      <c r="BH223" s="9" t="s">
        <v>4864</v>
      </c>
      <c r="BI223" s="9" t="s">
        <v>435</v>
      </c>
      <c r="BK223" s="9" t="s">
        <v>437</v>
      </c>
      <c r="BL223" s="9" t="s">
        <v>603</v>
      </c>
      <c r="BM223" s="9" t="s">
        <v>1314</v>
      </c>
      <c r="BN223" s="9" t="s">
        <v>398</v>
      </c>
      <c r="BO223" s="9" t="s">
        <v>4865</v>
      </c>
      <c r="BP223" s="9" t="s">
        <v>408</v>
      </c>
      <c r="BQ223" s="9" t="s">
        <v>442</v>
      </c>
      <c r="BR223" s="9" t="s">
        <v>2227</v>
      </c>
      <c r="BS223" s="9" t="s">
        <v>1741</v>
      </c>
      <c r="BT223" s="9" t="s">
        <v>404</v>
      </c>
      <c r="BU223" s="9" t="s">
        <v>405</v>
      </c>
      <c r="BW223" s="9" t="s">
        <v>988</v>
      </c>
      <c r="BY223" s="9" t="s">
        <v>408</v>
      </c>
      <c r="CA223" s="9" t="s">
        <v>4866</v>
      </c>
      <c r="CB223" s="9" t="s">
        <v>4867</v>
      </c>
      <c r="CC223" s="9" t="s">
        <v>4868</v>
      </c>
      <c r="CD223" s="9" t="s">
        <v>1257</v>
      </c>
      <c r="CF223" s="9" t="s">
        <v>1722</v>
      </c>
      <c r="CG223" s="9" t="s">
        <v>4869</v>
      </c>
      <c r="CH223" s="9" t="s">
        <v>1259</v>
      </c>
      <c r="CI223" s="9" t="s">
        <v>410</v>
      </c>
      <c r="CJ223" s="9" t="s">
        <v>4870</v>
      </c>
      <c r="CK223" s="9" t="s">
        <v>4871</v>
      </c>
      <c r="ET223" s="9" t="s">
        <v>526</v>
      </c>
      <c r="EU223" s="9" t="s">
        <v>479</v>
      </c>
      <c r="EV223" s="9" t="s">
        <v>1262</v>
      </c>
      <c r="EX223" s="9" t="s">
        <v>4872</v>
      </c>
      <c r="EZ223" s="9" t="s">
        <v>415</v>
      </c>
      <c r="FA223" s="9" t="s">
        <v>415</v>
      </c>
      <c r="FB223" s="9" t="s">
        <v>413</v>
      </c>
      <c r="FC223" s="9" t="s">
        <v>415</v>
      </c>
      <c r="FD223" s="9" t="s">
        <v>413</v>
      </c>
      <c r="FE223" s="9" t="s">
        <v>415</v>
      </c>
      <c r="FF223" s="9" t="s">
        <v>415</v>
      </c>
      <c r="FG223" s="9" t="s">
        <v>415</v>
      </c>
      <c r="FH223" s="9" t="s">
        <v>414</v>
      </c>
      <c r="FI223" s="9" t="s">
        <v>414</v>
      </c>
      <c r="FJ223" s="9" t="s">
        <v>414</v>
      </c>
      <c r="FK223" s="9" t="s">
        <v>415</v>
      </c>
      <c r="FL223" s="9" t="s">
        <v>415</v>
      </c>
      <c r="FM223" s="9" t="s">
        <v>415</v>
      </c>
      <c r="FN223" s="9" t="s">
        <v>415</v>
      </c>
      <c r="FO223" s="9" t="s">
        <v>850</v>
      </c>
      <c r="FP223" s="9" t="s">
        <v>418</v>
      </c>
      <c r="FQ223" s="9" t="s">
        <v>419</v>
      </c>
      <c r="FS223" s="9" t="s">
        <v>995</v>
      </c>
      <c r="FT223" s="9" t="s">
        <v>488</v>
      </c>
      <c r="FU223" s="9" t="s">
        <v>489</v>
      </c>
      <c r="FV223" s="9" t="s">
        <v>490</v>
      </c>
      <c r="FW223" s="9" t="s">
        <v>491</v>
      </c>
      <c r="FY223" s="9" t="s">
        <v>1337</v>
      </c>
      <c r="GB223" s="9" t="s">
        <v>455</v>
      </c>
      <c r="GC223" s="9"/>
      <c r="GE223" s="9" t="s">
        <v>855</v>
      </c>
      <c r="GJ223" s="9" t="s">
        <v>857</v>
      </c>
      <c r="GK223" s="9" t="s">
        <v>857</v>
      </c>
      <c r="GL223" s="9" t="s">
        <v>946</v>
      </c>
      <c r="GQ223" s="9" t="s">
        <v>3351</v>
      </c>
      <c r="GR223" s="9" t="s">
        <v>4741</v>
      </c>
    </row>
    <row r="224" ht="24.75" customHeight="1">
      <c r="A224" s="8">
        <v>45844.61704993056</v>
      </c>
      <c r="B224" s="9" t="s">
        <v>368</v>
      </c>
      <c r="C224" s="9" t="s">
        <v>4873</v>
      </c>
      <c r="D224" s="9" t="s">
        <v>4874</v>
      </c>
      <c r="G224" s="9" t="s">
        <v>422</v>
      </c>
      <c r="H224" s="9" t="s">
        <v>637</v>
      </c>
      <c r="I224" s="9" t="s">
        <v>638</v>
      </c>
      <c r="J224" s="9" t="s">
        <v>375</v>
      </c>
      <c r="K224" s="9" t="s">
        <v>376</v>
      </c>
      <c r="L224" s="9" t="s">
        <v>793</v>
      </c>
      <c r="M224" s="9" t="s">
        <v>1270</v>
      </c>
      <c r="N224" s="9" t="s">
        <v>793</v>
      </c>
      <c r="O224" s="9" t="s">
        <v>720</v>
      </c>
      <c r="P224" s="9" t="s">
        <v>498</v>
      </c>
      <c r="Q224" s="9" t="s">
        <v>759</v>
      </c>
      <c r="R224" s="9" t="s">
        <v>427</v>
      </c>
      <c r="S224" s="9" t="s">
        <v>384</v>
      </c>
      <c r="T224" s="9" t="s">
        <v>385</v>
      </c>
      <c r="AV224" s="9" t="s">
        <v>597</v>
      </c>
      <c r="BE224" s="9" t="s">
        <v>392</v>
      </c>
      <c r="BN224" s="9" t="s">
        <v>398</v>
      </c>
      <c r="BU224" s="9" t="s">
        <v>1693</v>
      </c>
      <c r="CD224" s="9" t="s">
        <v>451</v>
      </c>
      <c r="CF224" s="9" t="s">
        <v>1697</v>
      </c>
      <c r="FB224" s="11"/>
      <c r="FO224" s="9" t="s">
        <v>1074</v>
      </c>
      <c r="FP224" s="9" t="s">
        <v>1200</v>
      </c>
      <c r="FS224" s="9" t="s">
        <v>1871</v>
      </c>
      <c r="FT224" s="9" t="s">
        <v>2398</v>
      </c>
      <c r="FU224" s="9" t="s">
        <v>918</v>
      </c>
      <c r="FW224" s="9" t="s">
        <v>1853</v>
      </c>
      <c r="GB224" s="9" t="s">
        <v>408</v>
      </c>
      <c r="GK224" s="9" t="s">
        <v>755</v>
      </c>
      <c r="GL224" s="9" t="s">
        <v>946</v>
      </c>
      <c r="GQ224" s="9" t="s">
        <v>3208</v>
      </c>
    </row>
    <row r="225" ht="24.75" customHeight="1">
      <c r="A225" s="8">
        <v>45845.51969324074</v>
      </c>
      <c r="B225" s="9" t="s">
        <v>368</v>
      </c>
      <c r="C225" s="9" t="s">
        <v>370</v>
      </c>
      <c r="D225" s="9" t="s">
        <v>370</v>
      </c>
      <c r="E225" s="9" t="s">
        <v>2708</v>
      </c>
      <c r="F225" s="9" t="s">
        <v>2708</v>
      </c>
      <c r="G225" s="9" t="s">
        <v>422</v>
      </c>
      <c r="H225" s="9" t="s">
        <v>1921</v>
      </c>
      <c r="I225" s="9" t="s">
        <v>668</v>
      </c>
      <c r="J225" s="9" t="s">
        <v>718</v>
      </c>
      <c r="K225" s="9" t="s">
        <v>376</v>
      </c>
      <c r="L225" s="9" t="s">
        <v>379</v>
      </c>
      <c r="M225" s="9" t="s">
        <v>719</v>
      </c>
      <c r="N225" s="9" t="s">
        <v>379</v>
      </c>
      <c r="O225" s="9" t="s">
        <v>380</v>
      </c>
      <c r="P225" s="9" t="s">
        <v>498</v>
      </c>
      <c r="Q225" s="9" t="s">
        <v>862</v>
      </c>
      <c r="R225" s="9" t="s">
        <v>427</v>
      </c>
      <c r="S225" s="9" t="s">
        <v>384</v>
      </c>
      <c r="T225" s="9" t="s">
        <v>385</v>
      </c>
      <c r="W225" s="9" t="s">
        <v>593</v>
      </c>
      <c r="X225" s="9" t="s">
        <v>387</v>
      </c>
      <c r="Y225" s="9" t="s">
        <v>1595</v>
      </c>
      <c r="Z225" s="9" t="s">
        <v>543</v>
      </c>
      <c r="AA225" s="9" t="s">
        <v>408</v>
      </c>
      <c r="AV225" s="9" t="s">
        <v>1242</v>
      </c>
      <c r="AW225" s="9">
        <v>4.0</v>
      </c>
      <c r="AX225" s="9">
        <v>4.0</v>
      </c>
      <c r="AY225" s="9">
        <v>4.0</v>
      </c>
      <c r="AZ225" s="9" t="s">
        <v>675</v>
      </c>
      <c r="BA225" s="9">
        <v>4.0</v>
      </c>
      <c r="BB225" s="9">
        <v>4.0</v>
      </c>
      <c r="BC225" s="9" t="s">
        <v>4875</v>
      </c>
      <c r="BD225" s="9" t="s">
        <v>4876</v>
      </c>
      <c r="BE225" s="9" t="s">
        <v>902</v>
      </c>
      <c r="BF225" s="9" t="s">
        <v>1245</v>
      </c>
      <c r="BG225" s="9" t="s">
        <v>394</v>
      </c>
      <c r="BH225" s="9" t="s">
        <v>4877</v>
      </c>
      <c r="BI225" s="9" t="s">
        <v>976</v>
      </c>
      <c r="BK225" s="9" t="s">
        <v>395</v>
      </c>
      <c r="BL225" s="9" t="s">
        <v>904</v>
      </c>
      <c r="BM225" s="9" t="s">
        <v>1314</v>
      </c>
      <c r="BN225" s="9" t="s">
        <v>513</v>
      </c>
      <c r="CM225" s="9" t="s">
        <v>442</v>
      </c>
      <c r="CN225" s="9" t="s">
        <v>4878</v>
      </c>
      <c r="CO225" s="9" t="s">
        <v>4879</v>
      </c>
      <c r="CP225" s="9" t="s">
        <v>685</v>
      </c>
      <c r="CQ225" s="9" t="s">
        <v>1467</v>
      </c>
      <c r="CR225" s="9" t="s">
        <v>447</v>
      </c>
      <c r="CS225" s="9" t="s">
        <v>4880</v>
      </c>
      <c r="CT225" s="9" t="s">
        <v>4881</v>
      </c>
      <c r="CU225" s="9" t="s">
        <v>1863</v>
      </c>
      <c r="CV225" s="9" t="s">
        <v>1931</v>
      </c>
      <c r="CX225" s="9" t="s">
        <v>408</v>
      </c>
      <c r="CZ225" s="9" t="s">
        <v>1962</v>
      </c>
      <c r="DB225" s="9" t="s">
        <v>408</v>
      </c>
      <c r="DD225" s="9" t="s">
        <v>988</v>
      </c>
      <c r="DG225" s="9" t="s">
        <v>693</v>
      </c>
      <c r="DH225" s="9" t="s">
        <v>1220</v>
      </c>
      <c r="DI225" s="9" t="s">
        <v>963</v>
      </c>
      <c r="DJ225" s="9" t="s">
        <v>613</v>
      </c>
      <c r="ET225" s="9" t="s">
        <v>578</v>
      </c>
      <c r="EU225" s="9" t="s">
        <v>479</v>
      </c>
      <c r="EV225" s="9" t="s">
        <v>580</v>
      </c>
      <c r="EX225" s="9" t="s">
        <v>2238</v>
      </c>
      <c r="EY225" s="9" t="s">
        <v>2238</v>
      </c>
      <c r="EZ225" s="9" t="s">
        <v>484</v>
      </c>
      <c r="FA225" s="9" t="s">
        <v>414</v>
      </c>
      <c r="FB225" s="9" t="s">
        <v>583</v>
      </c>
      <c r="FC225" s="9" t="s">
        <v>583</v>
      </c>
      <c r="FD225" s="9" t="s">
        <v>484</v>
      </c>
      <c r="FE225" s="9" t="s">
        <v>414</v>
      </c>
      <c r="FF225" s="9" t="s">
        <v>484</v>
      </c>
      <c r="FG225" s="9" t="s">
        <v>484</v>
      </c>
      <c r="FH225" s="9" t="s">
        <v>484</v>
      </c>
      <c r="FI225" s="9" t="s">
        <v>484</v>
      </c>
      <c r="FJ225" s="9" t="s">
        <v>415</v>
      </c>
      <c r="FK225" s="9" t="s">
        <v>484</v>
      </c>
      <c r="FL225" s="9" t="s">
        <v>484</v>
      </c>
      <c r="FM225" s="9" t="s">
        <v>484</v>
      </c>
      <c r="FN225" s="9" t="s">
        <v>484</v>
      </c>
      <c r="FO225" s="9" t="s">
        <v>850</v>
      </c>
      <c r="FP225" s="9" t="s">
        <v>1200</v>
      </c>
      <c r="FQ225" s="9" t="s">
        <v>419</v>
      </c>
      <c r="FR225" s="9" t="s">
        <v>4882</v>
      </c>
      <c r="FS225" s="9" t="s">
        <v>1871</v>
      </c>
      <c r="FT225" s="9" t="s">
        <v>421</v>
      </c>
      <c r="FU225" s="9" t="s">
        <v>489</v>
      </c>
      <c r="FV225" s="9" t="s">
        <v>490</v>
      </c>
      <c r="FW225" s="9" t="s">
        <v>1853</v>
      </c>
      <c r="FX225" s="9" t="s">
        <v>4883</v>
      </c>
      <c r="FY225" s="9" t="s">
        <v>1854</v>
      </c>
      <c r="FZ225" s="9" t="s">
        <v>4884</v>
      </c>
      <c r="GA225" s="9" t="s">
        <v>4885</v>
      </c>
      <c r="GB225" s="9" t="s">
        <v>455</v>
      </c>
      <c r="GC225" s="9"/>
      <c r="GE225" s="9" t="s">
        <v>855</v>
      </c>
      <c r="GG225" s="9" t="s">
        <v>788</v>
      </c>
      <c r="GH225" s="9" t="s">
        <v>788</v>
      </c>
      <c r="GI225" s="9" t="s">
        <v>921</v>
      </c>
      <c r="GQ225" s="9" t="s">
        <v>4886</v>
      </c>
      <c r="GT225" s="9" t="s">
        <v>4774</v>
      </c>
    </row>
    <row r="226" ht="24.75" customHeight="1">
      <c r="A226" s="8">
        <v>45846.13157090278</v>
      </c>
      <c r="B226" s="9" t="s">
        <v>368</v>
      </c>
      <c r="C226" s="9" t="s">
        <v>538</v>
      </c>
      <c r="D226" s="9" t="s">
        <v>538</v>
      </c>
      <c r="G226" s="9" t="s">
        <v>422</v>
      </c>
      <c r="H226" s="9" t="s">
        <v>496</v>
      </c>
      <c r="I226" s="9" t="s">
        <v>374</v>
      </c>
      <c r="J226" s="9" t="s">
        <v>425</v>
      </c>
      <c r="K226" s="9" t="s">
        <v>376</v>
      </c>
      <c r="L226" s="9" t="s">
        <v>379</v>
      </c>
      <c r="M226" s="9" t="s">
        <v>541</v>
      </c>
      <c r="N226" s="9" t="s">
        <v>426</v>
      </c>
      <c r="O226" s="9" t="s">
        <v>497</v>
      </c>
      <c r="P226" s="9" t="s">
        <v>498</v>
      </c>
      <c r="Q226" s="9" t="s">
        <v>499</v>
      </c>
      <c r="R226" s="9" t="s">
        <v>427</v>
      </c>
      <c r="S226" s="9" t="s">
        <v>384</v>
      </c>
      <c r="T226" s="9" t="s">
        <v>385</v>
      </c>
      <c r="W226" s="9" t="s">
        <v>386</v>
      </c>
      <c r="X226" s="9" t="s">
        <v>387</v>
      </c>
      <c r="Y226" s="9" t="s">
        <v>388</v>
      </c>
      <c r="AA226" s="9" t="s">
        <v>408</v>
      </c>
      <c r="AV226" s="9" t="s">
        <v>390</v>
      </c>
      <c r="AW226" s="9">
        <v>2.0</v>
      </c>
      <c r="AX226" s="9">
        <v>2.0</v>
      </c>
      <c r="AY226" s="9" t="s">
        <v>429</v>
      </c>
      <c r="AZ226" s="9">
        <v>2.0</v>
      </c>
      <c r="BA226" s="9" t="s">
        <v>429</v>
      </c>
      <c r="BB226" s="9">
        <v>2.0</v>
      </c>
      <c r="BC226" s="9" t="s">
        <v>4887</v>
      </c>
      <c r="BD226" s="9" t="s">
        <v>4888</v>
      </c>
      <c r="BE226" s="9" t="s">
        <v>392</v>
      </c>
      <c r="BF226" s="9" t="s">
        <v>433</v>
      </c>
      <c r="BG226" s="9" t="s">
        <v>678</v>
      </c>
      <c r="BH226" s="9" t="s">
        <v>4889</v>
      </c>
      <c r="BI226" s="9" t="s">
        <v>509</v>
      </c>
      <c r="BJ226" s="9" t="s">
        <v>4890</v>
      </c>
      <c r="BK226" s="9" t="s">
        <v>511</v>
      </c>
      <c r="BL226" s="9" t="s">
        <v>512</v>
      </c>
      <c r="BM226" s="9" t="s">
        <v>439</v>
      </c>
      <c r="BN226" s="9" t="s">
        <v>513</v>
      </c>
      <c r="CL226" s="9" t="s">
        <v>550</v>
      </c>
      <c r="CM226" s="9" t="s">
        <v>401</v>
      </c>
      <c r="CN226" s="9" t="s">
        <v>4891</v>
      </c>
      <c r="CO226" s="9" t="s">
        <v>4892</v>
      </c>
      <c r="CP226" s="9" t="s">
        <v>1008</v>
      </c>
      <c r="CQ226" s="9" t="s">
        <v>4893</v>
      </c>
      <c r="CR226" s="9" t="s">
        <v>404</v>
      </c>
      <c r="CS226" s="9" t="s">
        <v>4894</v>
      </c>
      <c r="CT226" s="9" t="s">
        <v>4895</v>
      </c>
      <c r="CU226" s="9" t="s">
        <v>519</v>
      </c>
      <c r="CV226" s="9" t="s">
        <v>451</v>
      </c>
      <c r="CW226" s="9" t="s">
        <v>4896</v>
      </c>
      <c r="CX226" s="9" t="s">
        <v>408</v>
      </c>
      <c r="CZ226" s="9" t="s">
        <v>453</v>
      </c>
      <c r="DA226" s="9" t="s">
        <v>4897</v>
      </c>
      <c r="DB226" s="9" t="s">
        <v>408</v>
      </c>
      <c r="DD226" s="9" t="s">
        <v>662</v>
      </c>
      <c r="DF226" s="9" t="s">
        <v>4898</v>
      </c>
      <c r="DG226" s="9" t="s">
        <v>4899</v>
      </c>
      <c r="DH226" s="9" t="s">
        <v>410</v>
      </c>
      <c r="DI226" s="9" t="s">
        <v>963</v>
      </c>
      <c r="DJ226" s="9" t="s">
        <v>613</v>
      </c>
      <c r="ET226" s="9" t="s">
        <v>526</v>
      </c>
      <c r="EU226" s="9" t="s">
        <v>1037</v>
      </c>
      <c r="EV226" s="9" t="s">
        <v>580</v>
      </c>
      <c r="EX226" s="9" t="s">
        <v>4900</v>
      </c>
      <c r="EY226" s="9" t="s">
        <v>4901</v>
      </c>
      <c r="EZ226" s="9" t="s">
        <v>583</v>
      </c>
      <c r="FA226" s="9" t="s">
        <v>583</v>
      </c>
      <c r="FB226" s="9" t="s">
        <v>413</v>
      </c>
      <c r="FC226" s="9" t="s">
        <v>583</v>
      </c>
      <c r="FD226" s="9" t="s">
        <v>413</v>
      </c>
      <c r="FE226" s="9" t="s">
        <v>583</v>
      </c>
      <c r="FF226" s="9" t="s">
        <v>484</v>
      </c>
      <c r="FG226" s="9" t="s">
        <v>484</v>
      </c>
      <c r="FH226" s="9" t="s">
        <v>484</v>
      </c>
      <c r="FI226" s="9" t="s">
        <v>413</v>
      </c>
      <c r="FJ226" s="9" t="s">
        <v>484</v>
      </c>
      <c r="FK226" s="9" t="s">
        <v>484</v>
      </c>
      <c r="FL226" s="9" t="s">
        <v>484</v>
      </c>
      <c r="FM226" s="9" t="s">
        <v>484</v>
      </c>
      <c r="FN226" s="9" t="s">
        <v>484</v>
      </c>
      <c r="FO226" s="9" t="s">
        <v>417</v>
      </c>
      <c r="FP226" s="9" t="s">
        <v>418</v>
      </c>
      <c r="FQ226" s="9" t="s">
        <v>712</v>
      </c>
      <c r="FS226" s="9" t="s">
        <v>420</v>
      </c>
      <c r="FT226" s="9" t="s">
        <v>1462</v>
      </c>
      <c r="FU226" s="9" t="s">
        <v>1235</v>
      </c>
      <c r="FV226" s="9" t="s">
        <v>490</v>
      </c>
      <c r="FW226" s="9" t="s">
        <v>491</v>
      </c>
      <c r="FX226" s="9" t="s">
        <v>4902</v>
      </c>
      <c r="FY226" s="9" t="s">
        <v>535</v>
      </c>
      <c r="FZ226" s="9" t="s">
        <v>4903</v>
      </c>
      <c r="GB226" s="9" t="s">
        <v>455</v>
      </c>
      <c r="GC226" s="9"/>
      <c r="GE226" s="9" t="s">
        <v>753</v>
      </c>
      <c r="GF226" s="9" t="s">
        <v>4904</v>
      </c>
      <c r="GG226" s="9" t="s">
        <v>755</v>
      </c>
      <c r="GH226" s="9" t="s">
        <v>755</v>
      </c>
      <c r="GI226" s="9" t="s">
        <v>946</v>
      </c>
      <c r="GN226" s="9" t="s">
        <v>3012</v>
      </c>
      <c r="GO226" s="9" t="s">
        <v>3012</v>
      </c>
      <c r="GQ226" s="9" t="s">
        <v>3208</v>
      </c>
      <c r="GT226" s="9" t="s">
        <v>4774</v>
      </c>
    </row>
    <row r="227" ht="24.75" customHeight="1">
      <c r="A227" s="8">
        <v>45846.51041663194</v>
      </c>
      <c r="B227" s="9" t="s">
        <v>368</v>
      </c>
      <c r="C227" s="9" t="s">
        <v>370</v>
      </c>
      <c r="D227" s="9" t="s">
        <v>370</v>
      </c>
      <c r="E227" s="9" t="s">
        <v>4905</v>
      </c>
      <c r="F227" s="9" t="s">
        <v>4905</v>
      </c>
      <c r="G227" s="9" t="s">
        <v>2295</v>
      </c>
      <c r="H227" s="9" t="s">
        <v>539</v>
      </c>
      <c r="I227" s="9" t="s">
        <v>424</v>
      </c>
      <c r="J227" s="9" t="s">
        <v>758</v>
      </c>
      <c r="K227" s="9" t="s">
        <v>376</v>
      </c>
      <c r="L227" s="9" t="s">
        <v>426</v>
      </c>
      <c r="M227" s="9" t="s">
        <v>2464</v>
      </c>
      <c r="O227" s="9" t="s">
        <v>1024</v>
      </c>
      <c r="P227" s="9" t="s">
        <v>498</v>
      </c>
      <c r="Q227" s="9" t="s">
        <v>1004</v>
      </c>
      <c r="R227" s="9" t="s">
        <v>500</v>
      </c>
      <c r="S227" s="9" t="s">
        <v>384</v>
      </c>
      <c r="T227" s="9" t="s">
        <v>385</v>
      </c>
      <c r="W227" s="9" t="s">
        <v>3014</v>
      </c>
      <c r="BM227" s="9" t="s">
        <v>549</v>
      </c>
      <c r="BN227" s="9" t="s">
        <v>513</v>
      </c>
      <c r="CN227" s="9" t="s">
        <v>4906</v>
      </c>
      <c r="CO227" s="9" t="s">
        <v>4907</v>
      </c>
      <c r="CP227" s="9" t="s">
        <v>1008</v>
      </c>
      <c r="CQ227" s="9" t="s">
        <v>4908</v>
      </c>
      <c r="CR227" s="9" t="s">
        <v>804</v>
      </c>
      <c r="CS227" s="9" t="s">
        <v>4909</v>
      </c>
      <c r="CT227" s="9" t="s">
        <v>4910</v>
      </c>
      <c r="CU227" s="9" t="s">
        <v>519</v>
      </c>
      <c r="CV227" s="9" t="s">
        <v>451</v>
      </c>
      <c r="CW227" s="9" t="s">
        <v>4911</v>
      </c>
      <c r="CX227" s="9" t="s">
        <v>408</v>
      </c>
      <c r="CZ227" s="9" t="s">
        <v>453</v>
      </c>
      <c r="DA227" s="9" t="s">
        <v>4912</v>
      </c>
      <c r="DB227" s="9" t="s">
        <v>455</v>
      </c>
      <c r="DC227" s="9" t="s">
        <v>4913</v>
      </c>
      <c r="DD227" s="9" t="s">
        <v>406</v>
      </c>
      <c r="DE227" s="9" t="s">
        <v>1867</v>
      </c>
      <c r="DF227" s="9" t="s">
        <v>4914</v>
      </c>
      <c r="DG227" s="9" t="s">
        <v>990</v>
      </c>
      <c r="DH227" s="9" t="s">
        <v>410</v>
      </c>
      <c r="DI227" s="9" t="s">
        <v>459</v>
      </c>
      <c r="DJ227" s="9" t="s">
        <v>562</v>
      </c>
      <c r="DK227" s="9" t="s">
        <v>525</v>
      </c>
      <c r="ET227" s="9" t="s">
        <v>526</v>
      </c>
      <c r="EU227" s="9" t="s">
        <v>479</v>
      </c>
      <c r="EV227" s="9" t="s">
        <v>480</v>
      </c>
      <c r="EX227" s="9" t="s">
        <v>4915</v>
      </c>
      <c r="EY227" s="9" t="s">
        <v>4916</v>
      </c>
      <c r="EZ227" s="9" t="s">
        <v>583</v>
      </c>
      <c r="FA227" s="9" t="s">
        <v>583</v>
      </c>
      <c r="FB227" s="9" t="s">
        <v>413</v>
      </c>
      <c r="FC227" s="9" t="s">
        <v>583</v>
      </c>
      <c r="FD227" s="9" t="s">
        <v>413</v>
      </c>
      <c r="FE227" s="9" t="s">
        <v>583</v>
      </c>
      <c r="FF227" s="9" t="s">
        <v>583</v>
      </c>
      <c r="FG227" s="9" t="s">
        <v>583</v>
      </c>
      <c r="FH227" s="9" t="s">
        <v>583</v>
      </c>
      <c r="FI227" s="9" t="s">
        <v>583</v>
      </c>
      <c r="FJ227" s="9" t="s">
        <v>583</v>
      </c>
      <c r="FK227" s="9" t="s">
        <v>583</v>
      </c>
      <c r="FL227" s="9" t="s">
        <v>583</v>
      </c>
      <c r="FN227" s="9" t="s">
        <v>583</v>
      </c>
      <c r="FO227" s="9" t="s">
        <v>485</v>
      </c>
      <c r="FP227" s="9" t="s">
        <v>486</v>
      </c>
      <c r="FQ227" s="9" t="s">
        <v>712</v>
      </c>
      <c r="FR227" s="9" t="s">
        <v>4917</v>
      </c>
      <c r="FS227" s="9" t="s">
        <v>995</v>
      </c>
      <c r="FT227" s="9" t="s">
        <v>1476</v>
      </c>
      <c r="FU227" s="9" t="s">
        <v>533</v>
      </c>
      <c r="FV227" s="9" t="s">
        <v>490</v>
      </c>
      <c r="FW227" s="9" t="s">
        <v>491</v>
      </c>
      <c r="FX227" s="9" t="s">
        <v>4918</v>
      </c>
      <c r="FY227" s="9" t="s">
        <v>493</v>
      </c>
      <c r="FZ227" s="9" t="s">
        <v>4919</v>
      </c>
      <c r="GB227" s="9" t="s">
        <v>408</v>
      </c>
      <c r="GG227" s="9" t="s">
        <v>789</v>
      </c>
      <c r="GH227" s="9" t="s">
        <v>789</v>
      </c>
      <c r="GI227" s="9" t="s">
        <v>817</v>
      </c>
      <c r="GQ227" s="9" t="s">
        <v>3351</v>
      </c>
      <c r="GT227" s="9" t="s">
        <v>4774</v>
      </c>
    </row>
    <row r="228" ht="24.75" customHeight="1">
      <c r="A228" s="8">
        <v>45849.608638680555</v>
      </c>
      <c r="B228" s="9" t="s">
        <v>368</v>
      </c>
      <c r="C228" s="9" t="s">
        <v>370</v>
      </c>
      <c r="D228" s="9" t="s">
        <v>370</v>
      </c>
      <c r="E228" s="9" t="s">
        <v>1421</v>
      </c>
      <c r="F228" s="9" t="s">
        <v>1421</v>
      </c>
      <c r="G228" s="9" t="s">
        <v>422</v>
      </c>
      <c r="H228" s="9" t="s">
        <v>496</v>
      </c>
      <c r="I228" s="9" t="s">
        <v>374</v>
      </c>
      <c r="J228" s="9" t="s">
        <v>718</v>
      </c>
      <c r="K228" s="9" t="s">
        <v>376</v>
      </c>
      <c r="L228" s="9" t="s">
        <v>793</v>
      </c>
      <c r="M228" s="9" t="s">
        <v>4920</v>
      </c>
      <c r="N228" s="9" t="s">
        <v>793</v>
      </c>
      <c r="O228" s="9" t="s">
        <v>671</v>
      </c>
      <c r="P228" s="9" t="s">
        <v>592</v>
      </c>
      <c r="Q228" s="9" t="s">
        <v>1004</v>
      </c>
      <c r="R228" s="9" t="s">
        <v>1704</v>
      </c>
      <c r="S228" s="9" t="s">
        <v>384</v>
      </c>
      <c r="T228" s="9" t="s">
        <v>385</v>
      </c>
      <c r="W228" s="9" t="s">
        <v>3014</v>
      </c>
      <c r="AV228" s="9" t="s">
        <v>1310</v>
      </c>
      <c r="BB228" s="9" t="s">
        <v>675</v>
      </c>
      <c r="BC228" s="9" t="s">
        <v>4921</v>
      </c>
      <c r="BD228" s="9" t="s">
        <v>4922</v>
      </c>
      <c r="BE228" s="9" t="s">
        <v>392</v>
      </c>
      <c r="BF228" s="9" t="s">
        <v>393</v>
      </c>
      <c r="BG228" s="9" t="s">
        <v>678</v>
      </c>
      <c r="BH228" s="9" t="s">
        <v>4923</v>
      </c>
      <c r="BI228" s="9" t="s">
        <v>976</v>
      </c>
      <c r="BJ228" s="9" t="s">
        <v>4924</v>
      </c>
      <c r="BK228" s="9" t="s">
        <v>511</v>
      </c>
      <c r="BL228" s="9" t="s">
        <v>438</v>
      </c>
      <c r="BM228" s="9" t="s">
        <v>397</v>
      </c>
      <c r="BN228" s="9" t="s">
        <v>513</v>
      </c>
      <c r="CL228" s="9" t="s">
        <v>441</v>
      </c>
      <c r="CM228" s="9" t="s">
        <v>442</v>
      </c>
      <c r="CN228" s="9" t="s">
        <v>4925</v>
      </c>
      <c r="CO228" s="9" t="s">
        <v>4926</v>
      </c>
      <c r="CP228" s="9" t="s">
        <v>685</v>
      </c>
      <c r="CQ228" s="9" t="s">
        <v>1427</v>
      </c>
      <c r="CR228" s="9" t="s">
        <v>447</v>
      </c>
      <c r="CS228" s="9" t="s">
        <v>4927</v>
      </c>
      <c r="CT228" s="9" t="s">
        <v>4928</v>
      </c>
      <c r="CU228" s="9" t="s">
        <v>1863</v>
      </c>
      <c r="CV228" s="9" t="s">
        <v>409</v>
      </c>
      <c r="CW228" s="9" t="s">
        <v>4929</v>
      </c>
      <c r="CX228" s="9" t="s">
        <v>408</v>
      </c>
      <c r="CZ228" s="9" t="s">
        <v>985</v>
      </c>
      <c r="DA228" s="9" t="s">
        <v>4930</v>
      </c>
      <c r="DB228" s="9" t="s">
        <v>913</v>
      </c>
      <c r="DD228" s="9" t="s">
        <v>406</v>
      </c>
      <c r="DE228" s="9" t="s">
        <v>1867</v>
      </c>
      <c r="DF228" s="9" t="s">
        <v>4931</v>
      </c>
      <c r="DG228" s="9" t="s">
        <v>561</v>
      </c>
      <c r="DH228" s="9" t="s">
        <v>1220</v>
      </c>
      <c r="DI228" s="9" t="s">
        <v>459</v>
      </c>
      <c r="DJ228" s="9" t="s">
        <v>562</v>
      </c>
      <c r="DK228" s="9" t="s">
        <v>1434</v>
      </c>
      <c r="ET228" s="9" t="s">
        <v>526</v>
      </c>
      <c r="EU228" s="9" t="s">
        <v>1037</v>
      </c>
      <c r="EV228" s="9" t="s">
        <v>580</v>
      </c>
      <c r="EZ228" s="9" t="s">
        <v>414</v>
      </c>
      <c r="FA228" s="9" t="s">
        <v>415</v>
      </c>
      <c r="FB228" s="9" t="s">
        <v>415</v>
      </c>
      <c r="FC228" s="9" t="s">
        <v>415</v>
      </c>
      <c r="FD228" s="9" t="s">
        <v>416</v>
      </c>
      <c r="FE228" s="9" t="s">
        <v>415</v>
      </c>
      <c r="FF228" s="9" t="s">
        <v>484</v>
      </c>
      <c r="FG228" s="9" t="s">
        <v>413</v>
      </c>
      <c r="FH228" s="9" t="s">
        <v>583</v>
      </c>
      <c r="FI228" s="9" t="s">
        <v>414</v>
      </c>
      <c r="FJ228" s="9" t="s">
        <v>484</v>
      </c>
      <c r="FK228" s="9" t="s">
        <v>414</v>
      </c>
      <c r="FL228" s="9" t="s">
        <v>414</v>
      </c>
      <c r="FM228" s="9" t="s">
        <v>416</v>
      </c>
      <c r="FN228" s="9" t="s">
        <v>583</v>
      </c>
      <c r="FO228" s="9" t="s">
        <v>1537</v>
      </c>
      <c r="FP228" s="9" t="s">
        <v>486</v>
      </c>
      <c r="FQ228" s="9" t="s">
        <v>712</v>
      </c>
      <c r="FR228" s="9" t="s">
        <v>4932</v>
      </c>
      <c r="FS228" s="9" t="s">
        <v>995</v>
      </c>
      <c r="FT228" s="9" t="s">
        <v>1462</v>
      </c>
      <c r="FU228" s="9" t="s">
        <v>489</v>
      </c>
      <c r="FW228" s="9" t="s">
        <v>491</v>
      </c>
      <c r="FZ228" s="9" t="s">
        <v>4933</v>
      </c>
      <c r="GA228" s="9" t="s">
        <v>4934</v>
      </c>
      <c r="GB228" s="9" t="s">
        <v>455</v>
      </c>
      <c r="GC228" s="9"/>
      <c r="GD228" s="9"/>
      <c r="GE228" s="9" t="s">
        <v>1339</v>
      </c>
      <c r="GF228" s="9" t="s">
        <v>4935</v>
      </c>
      <c r="GG228" s="9" t="s">
        <v>788</v>
      </c>
      <c r="GH228" s="9" t="s">
        <v>788</v>
      </c>
      <c r="GQ228" s="9" t="s">
        <v>3306</v>
      </c>
      <c r="GT228" s="9" t="s">
        <v>4936</v>
      </c>
    </row>
    <row r="229" ht="24.75" customHeight="1">
      <c r="A229" s="8">
        <v>45849.67123201389</v>
      </c>
      <c r="B229" s="9" t="s">
        <v>368</v>
      </c>
      <c r="C229" s="9" t="s">
        <v>370</v>
      </c>
      <c r="D229" s="9" t="s">
        <v>370</v>
      </c>
      <c r="E229" s="9" t="s">
        <v>1421</v>
      </c>
      <c r="F229" s="9" t="s">
        <v>1849</v>
      </c>
      <c r="G229" s="9" t="s">
        <v>422</v>
      </c>
      <c r="H229" s="9" t="s">
        <v>373</v>
      </c>
      <c r="I229" s="9" t="s">
        <v>374</v>
      </c>
      <c r="J229" s="9" t="s">
        <v>425</v>
      </c>
      <c r="K229" s="9" t="s">
        <v>376</v>
      </c>
      <c r="L229" s="9" t="s">
        <v>591</v>
      </c>
      <c r="M229" s="9" t="s">
        <v>378</v>
      </c>
      <c r="N229" s="9" t="s">
        <v>591</v>
      </c>
      <c r="O229" s="9" t="s">
        <v>497</v>
      </c>
      <c r="P229" s="9" t="s">
        <v>381</v>
      </c>
      <c r="Q229" s="9" t="s">
        <v>1156</v>
      </c>
      <c r="R229" s="9" t="s">
        <v>427</v>
      </c>
      <c r="S229" s="9" t="s">
        <v>384</v>
      </c>
      <c r="T229" s="9" t="s">
        <v>385</v>
      </c>
      <c r="W229" s="9" t="s">
        <v>593</v>
      </c>
      <c r="X229" s="9" t="s">
        <v>387</v>
      </c>
      <c r="Y229" s="9" t="s">
        <v>897</v>
      </c>
      <c r="Z229" s="9" t="s">
        <v>543</v>
      </c>
      <c r="AA229" s="9" t="s">
        <v>4937</v>
      </c>
      <c r="AB229" s="9" t="s">
        <v>4938</v>
      </c>
      <c r="AV229" s="9" t="s">
        <v>597</v>
      </c>
      <c r="AW229" s="9" t="s">
        <v>675</v>
      </c>
      <c r="AX229" s="9">
        <v>4.0</v>
      </c>
      <c r="AY229" s="9" t="s">
        <v>675</v>
      </c>
      <c r="AZ229" s="9" t="s">
        <v>675</v>
      </c>
      <c r="BA229" s="9" t="s">
        <v>391</v>
      </c>
      <c r="BB229" s="9" t="s">
        <v>675</v>
      </c>
      <c r="BC229" s="9" t="s">
        <v>2220</v>
      </c>
      <c r="BD229" s="9" t="s">
        <v>4939</v>
      </c>
      <c r="BE229" s="9" t="s">
        <v>392</v>
      </c>
      <c r="BF229" s="9" t="s">
        <v>1095</v>
      </c>
      <c r="BG229" s="9" t="s">
        <v>394</v>
      </c>
      <c r="BH229" s="9" t="s">
        <v>4940</v>
      </c>
      <c r="BI229" s="9" t="s">
        <v>976</v>
      </c>
      <c r="BK229" s="9" t="s">
        <v>437</v>
      </c>
      <c r="BL229" s="9" t="s">
        <v>603</v>
      </c>
      <c r="BM229" s="9" t="s">
        <v>1247</v>
      </c>
      <c r="BN229" s="9" t="s">
        <v>398</v>
      </c>
      <c r="BO229" s="9" t="s">
        <v>4941</v>
      </c>
      <c r="BP229" s="9" t="s">
        <v>4942</v>
      </c>
      <c r="BQ229" s="9" t="s">
        <v>442</v>
      </c>
      <c r="BR229" s="9" t="s">
        <v>4943</v>
      </c>
      <c r="BS229" s="9" t="s">
        <v>1671</v>
      </c>
      <c r="BT229" s="9" t="s">
        <v>1771</v>
      </c>
      <c r="BU229" s="9" t="s">
        <v>405</v>
      </c>
      <c r="BW229" s="9" t="s">
        <v>457</v>
      </c>
      <c r="BY229" s="9" t="s">
        <v>455</v>
      </c>
      <c r="BZ229" s="9" t="s">
        <v>4944</v>
      </c>
      <c r="CA229" s="9" t="s">
        <v>4945</v>
      </c>
      <c r="CB229" s="9" t="s">
        <v>4946</v>
      </c>
      <c r="CC229" s="9" t="s">
        <v>4947</v>
      </c>
      <c r="CD229" s="9" t="s">
        <v>409</v>
      </c>
      <c r="CE229" s="9" t="s">
        <v>4948</v>
      </c>
      <c r="CF229" s="9" t="s">
        <v>1258</v>
      </c>
      <c r="CH229" s="9" t="s">
        <v>1679</v>
      </c>
      <c r="CI229" s="9" t="s">
        <v>410</v>
      </c>
      <c r="CJ229" s="9" t="s">
        <v>4949</v>
      </c>
      <c r="CK229" s="9" t="s">
        <v>4950</v>
      </c>
      <c r="ET229" s="9" t="s">
        <v>526</v>
      </c>
      <c r="EU229" s="9" t="s">
        <v>887</v>
      </c>
      <c r="EV229" s="9" t="s">
        <v>1534</v>
      </c>
      <c r="EW229" s="9" t="s">
        <v>4951</v>
      </c>
      <c r="EX229" s="9" t="s">
        <v>4952</v>
      </c>
      <c r="EY229" s="9" t="s">
        <v>4953</v>
      </c>
      <c r="EZ229" s="9" t="s">
        <v>415</v>
      </c>
      <c r="FA229" s="9" t="s">
        <v>414</v>
      </c>
      <c r="FB229" s="9" t="s">
        <v>414</v>
      </c>
      <c r="FC229" s="9" t="s">
        <v>414</v>
      </c>
      <c r="FD229" s="9" t="s">
        <v>415</v>
      </c>
      <c r="FE229" s="9" t="s">
        <v>414</v>
      </c>
      <c r="FF229" s="9" t="s">
        <v>415</v>
      </c>
      <c r="FG229" s="9" t="s">
        <v>415</v>
      </c>
      <c r="FH229" s="9" t="s">
        <v>416</v>
      </c>
      <c r="FI229" s="9" t="s">
        <v>415</v>
      </c>
      <c r="FJ229" s="9" t="s">
        <v>415</v>
      </c>
      <c r="FK229" s="9" t="s">
        <v>484</v>
      </c>
      <c r="FL229" s="9" t="s">
        <v>484</v>
      </c>
      <c r="FM229" s="9" t="s">
        <v>484</v>
      </c>
      <c r="FN229" s="9" t="s">
        <v>484</v>
      </c>
      <c r="FO229" s="9" t="s">
        <v>485</v>
      </c>
      <c r="FP229" s="9" t="s">
        <v>486</v>
      </c>
      <c r="FQ229" s="9" t="s">
        <v>712</v>
      </c>
      <c r="FR229" s="9" t="s">
        <v>4954</v>
      </c>
      <c r="FS229" s="9" t="s">
        <v>1189</v>
      </c>
      <c r="FT229" s="9" t="s">
        <v>1476</v>
      </c>
      <c r="FU229" s="9" t="s">
        <v>533</v>
      </c>
      <c r="FV229" s="9" t="s">
        <v>490</v>
      </c>
      <c r="FW229" s="9" t="s">
        <v>491</v>
      </c>
      <c r="FX229" s="9" t="s">
        <v>4955</v>
      </c>
      <c r="FY229" s="9" t="s">
        <v>535</v>
      </c>
      <c r="GA229" s="9" t="s">
        <v>4956</v>
      </c>
      <c r="GB229" s="9" t="s">
        <v>455</v>
      </c>
      <c r="GC229" s="9"/>
      <c r="GD229" s="9"/>
      <c r="GE229" s="9" t="s">
        <v>1339</v>
      </c>
      <c r="GF229" s="9" t="s">
        <v>4957</v>
      </c>
      <c r="GJ229" s="9" t="s">
        <v>788</v>
      </c>
      <c r="GK229" s="9" t="s">
        <v>788</v>
      </c>
      <c r="GL229" s="9" t="s">
        <v>858</v>
      </c>
      <c r="GQ229" s="9" t="s">
        <v>4653</v>
      </c>
      <c r="GR229" s="9" t="s">
        <v>4774</v>
      </c>
    </row>
    <row r="230" ht="24.75" customHeight="1">
      <c r="A230" s="8">
        <v>45850.18852405093</v>
      </c>
      <c r="B230" s="9" t="s">
        <v>368</v>
      </c>
      <c r="C230" s="9" t="s">
        <v>4958</v>
      </c>
      <c r="D230" s="9" t="s">
        <v>4958</v>
      </c>
      <c r="G230" s="9" t="s">
        <v>422</v>
      </c>
      <c r="H230" s="9" t="s">
        <v>423</v>
      </c>
      <c r="I230" s="9" t="s">
        <v>668</v>
      </c>
      <c r="J230" s="9" t="s">
        <v>375</v>
      </c>
      <c r="K230" s="9" t="s">
        <v>376</v>
      </c>
      <c r="L230" s="9" t="s">
        <v>377</v>
      </c>
      <c r="M230" s="9" t="s">
        <v>378</v>
      </c>
      <c r="N230" s="9" t="s">
        <v>377</v>
      </c>
      <c r="O230" s="9" t="s">
        <v>380</v>
      </c>
      <c r="P230" s="9" t="s">
        <v>381</v>
      </c>
      <c r="Q230" s="9" t="s">
        <v>759</v>
      </c>
      <c r="R230" s="9" t="s">
        <v>949</v>
      </c>
      <c r="S230" s="9" t="s">
        <v>384</v>
      </c>
      <c r="T230" s="9" t="s">
        <v>385</v>
      </c>
      <c r="W230" s="9" t="s">
        <v>3014</v>
      </c>
      <c r="AV230" s="9" t="s">
        <v>1242</v>
      </c>
      <c r="AW230" s="9" t="s">
        <v>675</v>
      </c>
      <c r="AX230" s="9">
        <v>4.0</v>
      </c>
      <c r="AY230" s="9" t="s">
        <v>675</v>
      </c>
      <c r="AZ230" s="9" t="s">
        <v>675</v>
      </c>
      <c r="BA230" s="9">
        <v>4.0</v>
      </c>
      <c r="BB230" s="9" t="s">
        <v>675</v>
      </c>
      <c r="BC230" s="9" t="s">
        <v>4959</v>
      </c>
      <c r="BD230" s="9" t="s">
        <v>4960</v>
      </c>
      <c r="BE230" s="9" t="s">
        <v>2259</v>
      </c>
      <c r="BF230" s="9" t="s">
        <v>1245</v>
      </c>
      <c r="BG230" s="9" t="s">
        <v>765</v>
      </c>
      <c r="BH230" s="9" t="s">
        <v>4961</v>
      </c>
      <c r="BI230" s="9" t="s">
        <v>435</v>
      </c>
      <c r="BJ230" s="9" t="s">
        <v>4962</v>
      </c>
      <c r="BK230" s="9" t="s">
        <v>395</v>
      </c>
      <c r="BL230" s="9" t="s">
        <v>512</v>
      </c>
      <c r="BM230" s="9" t="s">
        <v>1247</v>
      </c>
      <c r="BN230" s="9" t="s">
        <v>513</v>
      </c>
      <c r="CL230" s="9" t="s">
        <v>682</v>
      </c>
      <c r="CM230" s="9" t="s">
        <v>401</v>
      </c>
      <c r="CN230" s="9" t="s">
        <v>4963</v>
      </c>
      <c r="CO230" s="9" t="s">
        <v>4964</v>
      </c>
      <c r="CQ230" s="9" t="s">
        <v>4965</v>
      </c>
      <c r="CR230" s="9" t="s">
        <v>404</v>
      </c>
      <c r="CT230" s="9" t="s">
        <v>4966</v>
      </c>
      <c r="CU230" s="9" t="s">
        <v>1961</v>
      </c>
      <c r="CV230" s="9" t="s">
        <v>959</v>
      </c>
      <c r="CX230" s="9" t="s">
        <v>408</v>
      </c>
      <c r="CZ230" s="9" t="s">
        <v>1962</v>
      </c>
      <c r="DB230" s="9" t="s">
        <v>408</v>
      </c>
      <c r="DD230" s="9" t="s">
        <v>406</v>
      </c>
      <c r="DE230" s="9" t="s">
        <v>1058</v>
      </c>
      <c r="DG230" s="9" t="s">
        <v>990</v>
      </c>
      <c r="DH230" s="9" t="s">
        <v>694</v>
      </c>
      <c r="DI230" s="9" t="s">
        <v>777</v>
      </c>
      <c r="DJ230" s="9" t="s">
        <v>460</v>
      </c>
      <c r="DK230" s="9" t="s">
        <v>1434</v>
      </c>
      <c r="ET230" s="9" t="s">
        <v>478</v>
      </c>
      <c r="EU230" s="9" t="s">
        <v>579</v>
      </c>
      <c r="EV230" s="9" t="s">
        <v>480</v>
      </c>
      <c r="EW230" s="9" t="s">
        <v>4967</v>
      </c>
      <c r="EX230" s="9" t="s">
        <v>4968</v>
      </c>
      <c r="EY230" s="9" t="s">
        <v>4969</v>
      </c>
      <c r="EZ230" s="9" t="s">
        <v>583</v>
      </c>
      <c r="FA230" s="9" t="s">
        <v>583</v>
      </c>
      <c r="FB230" s="9" t="s">
        <v>583</v>
      </c>
      <c r="FC230" s="9" t="s">
        <v>583</v>
      </c>
      <c r="FD230" s="9" t="s">
        <v>583</v>
      </c>
      <c r="FE230" s="9" t="s">
        <v>583</v>
      </c>
      <c r="FF230" s="9" t="s">
        <v>583</v>
      </c>
      <c r="FG230" s="9" t="s">
        <v>583</v>
      </c>
      <c r="FH230" s="9" t="s">
        <v>484</v>
      </c>
      <c r="FI230" s="9" t="s">
        <v>414</v>
      </c>
      <c r="FJ230" s="9" t="s">
        <v>583</v>
      </c>
      <c r="FK230" s="9" t="s">
        <v>414</v>
      </c>
      <c r="FL230" s="9" t="s">
        <v>414</v>
      </c>
      <c r="FM230" s="9" t="s">
        <v>414</v>
      </c>
      <c r="FN230" s="9" t="s">
        <v>414</v>
      </c>
      <c r="FO230" s="9" t="s">
        <v>1537</v>
      </c>
      <c r="FP230" s="9" t="s">
        <v>2524</v>
      </c>
      <c r="FQ230" s="9" t="s">
        <v>419</v>
      </c>
      <c r="FR230" s="9" t="s">
        <v>4970</v>
      </c>
      <c r="FS230" s="9" t="s">
        <v>1076</v>
      </c>
      <c r="FT230" s="9" t="s">
        <v>2750</v>
      </c>
      <c r="FU230" s="9" t="s">
        <v>918</v>
      </c>
      <c r="FV230" s="9" t="s">
        <v>2399</v>
      </c>
      <c r="FW230" s="9" t="s">
        <v>1853</v>
      </c>
      <c r="FX230" s="9" t="s">
        <v>4971</v>
      </c>
      <c r="FY230" s="9" t="s">
        <v>1020</v>
      </c>
      <c r="FZ230" s="9" t="s">
        <v>4972</v>
      </c>
      <c r="GA230" s="9" t="s">
        <v>4973</v>
      </c>
      <c r="GB230" s="9" t="s">
        <v>408</v>
      </c>
      <c r="GG230" s="9" t="s">
        <v>755</v>
      </c>
      <c r="GH230" s="9" t="s">
        <v>788</v>
      </c>
      <c r="GI230" s="9" t="s">
        <v>946</v>
      </c>
      <c r="GN230" s="9" t="s">
        <v>4974</v>
      </c>
      <c r="GO230" s="9" t="s">
        <v>4974</v>
      </c>
      <c r="GQ230" s="9" t="s">
        <v>4975</v>
      </c>
      <c r="GT230" s="9" t="s">
        <v>4774</v>
      </c>
    </row>
    <row r="231" ht="24.75" customHeight="1">
      <c r="A231" s="8">
        <v>45850.64452353009</v>
      </c>
      <c r="B231" s="9" t="s">
        <v>368</v>
      </c>
      <c r="C231" s="9" t="s">
        <v>370</v>
      </c>
      <c r="D231" s="9" t="s">
        <v>370</v>
      </c>
      <c r="E231" s="9" t="s">
        <v>589</v>
      </c>
      <c r="F231" s="9" t="s">
        <v>589</v>
      </c>
      <c r="G231" s="9" t="s">
        <v>2657</v>
      </c>
      <c r="H231" s="9" t="s">
        <v>637</v>
      </c>
      <c r="I231" s="9" t="s">
        <v>638</v>
      </c>
      <c r="J231" s="9" t="s">
        <v>375</v>
      </c>
      <c r="K231" s="9" t="s">
        <v>376</v>
      </c>
      <c r="L231" s="9" t="s">
        <v>591</v>
      </c>
      <c r="M231" s="9" t="s">
        <v>719</v>
      </c>
      <c r="N231" s="9" t="s">
        <v>379</v>
      </c>
      <c r="O231" s="9" t="s">
        <v>671</v>
      </c>
      <c r="P231" s="9" t="s">
        <v>498</v>
      </c>
      <c r="Q231" s="9" t="s">
        <v>499</v>
      </c>
      <c r="R231" s="9" t="s">
        <v>641</v>
      </c>
      <c r="S231" s="9" t="s">
        <v>384</v>
      </c>
      <c r="T231" s="9" t="s">
        <v>385</v>
      </c>
      <c r="W231" s="9" t="s">
        <v>3231</v>
      </c>
      <c r="AV231" s="9" t="s">
        <v>390</v>
      </c>
      <c r="AW231" s="9" t="s">
        <v>391</v>
      </c>
      <c r="AX231" s="9" t="s">
        <v>391</v>
      </c>
      <c r="AY231" s="9" t="s">
        <v>391</v>
      </c>
      <c r="AZ231" s="9" t="s">
        <v>391</v>
      </c>
      <c r="BA231" s="9">
        <v>2.0</v>
      </c>
      <c r="BB231" s="9">
        <v>2.0</v>
      </c>
      <c r="BC231" s="9" t="s">
        <v>4976</v>
      </c>
      <c r="BD231" s="9" t="s">
        <v>4977</v>
      </c>
      <c r="BE231" s="9" t="s">
        <v>432</v>
      </c>
      <c r="BF231" s="9" t="s">
        <v>393</v>
      </c>
      <c r="BG231" s="9" t="s">
        <v>725</v>
      </c>
      <c r="BH231" s="9" t="s">
        <v>4978</v>
      </c>
      <c r="BI231" s="9" t="s">
        <v>727</v>
      </c>
      <c r="BJ231" s="9" t="s">
        <v>4979</v>
      </c>
      <c r="BK231" s="9" t="s">
        <v>395</v>
      </c>
      <c r="BL231" s="9" t="s">
        <v>438</v>
      </c>
      <c r="BM231" s="9" t="s">
        <v>549</v>
      </c>
      <c r="BN231" s="9" t="s">
        <v>513</v>
      </c>
      <c r="CL231" s="9" t="s">
        <v>441</v>
      </c>
      <c r="CM231" s="9" t="s">
        <v>401</v>
      </c>
      <c r="CN231" s="9" t="s">
        <v>4980</v>
      </c>
      <c r="CO231" s="9" t="s">
        <v>4981</v>
      </c>
      <c r="CP231" s="9" t="s">
        <v>403</v>
      </c>
      <c r="CQ231" s="9" t="s">
        <v>1427</v>
      </c>
      <c r="CR231" s="9" t="s">
        <v>404</v>
      </c>
      <c r="CS231" s="9" t="s">
        <v>1137</v>
      </c>
      <c r="CT231" s="9" t="s">
        <v>4982</v>
      </c>
      <c r="CU231" s="9" t="s">
        <v>519</v>
      </c>
      <c r="CV231" s="9" t="s">
        <v>451</v>
      </c>
      <c r="CW231" s="9" t="s">
        <v>4983</v>
      </c>
      <c r="CX231" s="9" t="s">
        <v>733</v>
      </c>
      <c r="CY231" s="9" t="s">
        <v>4984</v>
      </c>
      <c r="CZ231" s="9" t="s">
        <v>453</v>
      </c>
      <c r="DA231" s="9" t="s">
        <v>4985</v>
      </c>
      <c r="DB231" s="9" t="s">
        <v>408</v>
      </c>
      <c r="DC231" s="9" t="s">
        <v>4979</v>
      </c>
      <c r="DD231" s="9" t="s">
        <v>406</v>
      </c>
      <c r="DE231" s="9" t="s">
        <v>407</v>
      </c>
      <c r="DF231" s="9" t="s">
        <v>4986</v>
      </c>
      <c r="DG231" s="9" t="s">
        <v>776</v>
      </c>
      <c r="DH231" s="9" t="s">
        <v>833</v>
      </c>
      <c r="DI231" s="9" t="s">
        <v>459</v>
      </c>
      <c r="DJ231" s="9" t="s">
        <v>613</v>
      </c>
      <c r="ET231" s="9" t="s">
        <v>526</v>
      </c>
      <c r="EU231" s="9" t="s">
        <v>1037</v>
      </c>
      <c r="EV231" s="9" t="s">
        <v>480</v>
      </c>
      <c r="EW231" s="9" t="s">
        <v>4979</v>
      </c>
      <c r="EX231" s="9" t="s">
        <v>4987</v>
      </c>
      <c r="EY231" s="9" t="s">
        <v>4988</v>
      </c>
      <c r="EZ231" s="9" t="s">
        <v>413</v>
      </c>
      <c r="FA231" s="9" t="s">
        <v>414</v>
      </c>
      <c r="FB231" s="9" t="s">
        <v>413</v>
      </c>
      <c r="FC231" s="9" t="s">
        <v>413</v>
      </c>
      <c r="FD231" s="9" t="s">
        <v>413</v>
      </c>
      <c r="FE231" s="9" t="s">
        <v>414</v>
      </c>
      <c r="FF231" s="9" t="s">
        <v>415</v>
      </c>
      <c r="FG231" s="9" t="s">
        <v>415</v>
      </c>
      <c r="FH231" s="9" t="s">
        <v>415</v>
      </c>
      <c r="FI231" s="9" t="s">
        <v>414</v>
      </c>
      <c r="FJ231" s="9" t="s">
        <v>583</v>
      </c>
      <c r="FK231" s="9" t="s">
        <v>415</v>
      </c>
      <c r="FL231" s="9" t="s">
        <v>415</v>
      </c>
      <c r="FM231" s="9" t="s">
        <v>415</v>
      </c>
      <c r="FN231" s="9" t="s">
        <v>414</v>
      </c>
      <c r="FO231" s="9" t="s">
        <v>417</v>
      </c>
      <c r="FP231" s="9" t="s">
        <v>418</v>
      </c>
      <c r="FQ231" s="9" t="s">
        <v>419</v>
      </c>
      <c r="FR231" s="9" t="s">
        <v>4989</v>
      </c>
      <c r="FS231" s="9" t="s">
        <v>420</v>
      </c>
      <c r="FT231" s="9" t="s">
        <v>488</v>
      </c>
      <c r="FU231" s="9" t="s">
        <v>489</v>
      </c>
      <c r="FV231" s="9" t="s">
        <v>490</v>
      </c>
      <c r="FW231" s="9" t="s">
        <v>491</v>
      </c>
      <c r="FX231" s="9" t="s">
        <v>4990</v>
      </c>
      <c r="FY231" s="9" t="s">
        <v>535</v>
      </c>
      <c r="FZ231" s="9" t="s">
        <v>4991</v>
      </c>
      <c r="GA231" s="9" t="s">
        <v>4992</v>
      </c>
      <c r="GB231" s="9" t="s">
        <v>455</v>
      </c>
      <c r="GC231" s="9"/>
      <c r="GD231" s="9"/>
      <c r="GE231" s="9" t="s">
        <v>944</v>
      </c>
      <c r="GF231" s="9" t="s">
        <v>4993</v>
      </c>
      <c r="GG231" s="9" t="s">
        <v>857</v>
      </c>
      <c r="GH231" s="9" t="s">
        <v>857</v>
      </c>
      <c r="GI231" s="9" t="s">
        <v>790</v>
      </c>
      <c r="GP231" s="9" t="s">
        <v>387</v>
      </c>
      <c r="GQ231" s="9" t="s">
        <v>3208</v>
      </c>
      <c r="GT231" s="9" t="s">
        <v>4774</v>
      </c>
      <c r="GU231" s="9" t="s">
        <v>4979</v>
      </c>
      <c r="GV231" s="10"/>
      <c r="GW231" s="10"/>
      <c r="GX231" s="10"/>
      <c r="GY231" s="10"/>
      <c r="GZ231" s="10"/>
      <c r="HA231" s="10"/>
      <c r="HB231" s="10"/>
      <c r="HC231" s="10"/>
      <c r="HD231" s="10"/>
      <c r="HE231" s="10"/>
      <c r="HF231" s="10"/>
      <c r="HG231" s="10"/>
      <c r="HH231" s="10"/>
      <c r="HI231" s="10"/>
      <c r="HJ231" s="10"/>
      <c r="HK231" s="10"/>
      <c r="HL231" s="10"/>
      <c r="HM231" s="10"/>
      <c r="HN231" s="10"/>
      <c r="HO231" s="10"/>
      <c r="HP231" s="10"/>
      <c r="HQ231" s="10"/>
      <c r="HR231" s="10"/>
      <c r="HS231" s="10"/>
      <c r="HT231" s="10"/>
      <c r="HU231" s="10"/>
      <c r="HV231" s="10"/>
      <c r="HW231" s="10"/>
      <c r="HX231" s="10"/>
      <c r="HY231" s="10"/>
      <c r="HZ231" s="10"/>
      <c r="IA231" s="10"/>
      <c r="IB231" s="10"/>
      <c r="IC231" s="10"/>
      <c r="ID231" s="10"/>
      <c r="IE231" s="10"/>
      <c r="IF231" s="10"/>
      <c r="IG231" s="10"/>
      <c r="IH231" s="10"/>
      <c r="II231" s="10"/>
      <c r="IJ231" s="10"/>
      <c r="IK231" s="10"/>
      <c r="IL231" s="10"/>
      <c r="IM231" s="10"/>
      <c r="IN231" s="10"/>
      <c r="IO231" s="10"/>
      <c r="IP231" s="10"/>
      <c r="IQ231" s="10"/>
      <c r="IR231" s="10"/>
      <c r="IS231" s="10"/>
      <c r="IT231" s="10"/>
      <c r="IU231" s="10"/>
      <c r="IV231" s="10"/>
      <c r="IW231" s="10"/>
      <c r="IX231" s="10"/>
      <c r="IY231" s="10"/>
      <c r="IZ231" s="10"/>
      <c r="JA231" s="10"/>
      <c r="JB231" s="10"/>
      <c r="JC231" s="10"/>
      <c r="JD231" s="10"/>
      <c r="JE231" s="10"/>
      <c r="JF231" s="10"/>
      <c r="JG231" s="10"/>
      <c r="JH231" s="10"/>
      <c r="JI231" s="10"/>
      <c r="JJ231" s="10"/>
      <c r="JK231" s="10"/>
      <c r="JL231" s="10"/>
      <c r="JM231" s="10"/>
      <c r="JN231" s="10"/>
      <c r="JO231" s="10"/>
      <c r="JP231" s="10"/>
      <c r="JQ231" s="10"/>
      <c r="JR231" s="10"/>
      <c r="JS231" s="10"/>
      <c r="JT231" s="10"/>
      <c r="JU231" s="10"/>
      <c r="JV231" s="10"/>
      <c r="JW231" s="10"/>
      <c r="JX231" s="10"/>
      <c r="JY231" s="10"/>
      <c r="JZ231" s="10"/>
      <c r="KA231" s="10"/>
      <c r="KB231" s="10"/>
      <c r="KC231" s="10"/>
      <c r="KD231" s="10"/>
      <c r="KE231" s="10"/>
      <c r="KF231" s="10"/>
      <c r="KG231" s="10"/>
      <c r="KH231" s="10"/>
      <c r="KI231" s="10"/>
      <c r="KJ231" s="10"/>
      <c r="KK231" s="10"/>
      <c r="KL231" s="10"/>
      <c r="KM231" s="10"/>
      <c r="KN231" s="10"/>
      <c r="KO231" s="10"/>
      <c r="KP231" s="10"/>
      <c r="KQ231" s="10"/>
      <c r="KR231" s="10"/>
      <c r="KS231" s="10"/>
      <c r="KT231" s="10"/>
      <c r="KU231" s="10"/>
      <c r="KV231" s="10"/>
      <c r="KW231" s="10"/>
      <c r="KX231" s="10"/>
      <c r="KY231" s="10"/>
      <c r="KZ231" s="10"/>
      <c r="LA231" s="10"/>
      <c r="LB231" s="10"/>
      <c r="LC231" s="10"/>
      <c r="LD231" s="10"/>
      <c r="LE231" s="10"/>
      <c r="LF231" s="10"/>
      <c r="LG231" s="10"/>
      <c r="LH231" s="10"/>
      <c r="LI231" s="10"/>
      <c r="LJ231" s="10"/>
      <c r="LK231" s="10"/>
      <c r="LL231" s="10"/>
      <c r="LM231" s="10"/>
      <c r="LN231" s="10"/>
      <c r="LO231" s="10"/>
      <c r="LP231" s="10"/>
      <c r="LQ231" s="10"/>
      <c r="LR231" s="10"/>
      <c r="LS231" s="10"/>
      <c r="LT231" s="10"/>
      <c r="LU231" s="10"/>
      <c r="LV231" s="10"/>
      <c r="LW231" s="10"/>
      <c r="LX231" s="10"/>
      <c r="LY231" s="10"/>
      <c r="LZ231" s="10"/>
      <c r="MA231" s="10"/>
      <c r="MB231" s="10"/>
      <c r="MC231" s="10"/>
      <c r="MD231" s="10"/>
      <c r="ME231" s="10"/>
      <c r="MF231" s="10"/>
      <c r="MG231" s="10"/>
      <c r="MH231" s="10"/>
      <c r="MI231" s="10"/>
      <c r="MJ231" s="10"/>
      <c r="MK231" s="10"/>
      <c r="ML231" s="10"/>
      <c r="MM231" s="10"/>
      <c r="MN231" s="10"/>
      <c r="MO231" s="10"/>
      <c r="MP231" s="10"/>
      <c r="MQ231" s="10"/>
      <c r="MR231" s="10"/>
      <c r="MS231" s="10"/>
      <c r="MT231" s="10"/>
      <c r="MU231" s="10"/>
      <c r="MV231" s="10"/>
      <c r="MW231" s="10"/>
      <c r="MX231" s="10"/>
      <c r="MY231" s="10"/>
      <c r="MZ231" s="10"/>
      <c r="NA231" s="10"/>
      <c r="NB231" s="10"/>
      <c r="NC231" s="10"/>
      <c r="ND231" s="10"/>
    </row>
    <row r="232" ht="24.75" customHeight="1">
      <c r="A232" s="8">
        <v>45850.886114953704</v>
      </c>
      <c r="B232" s="9" t="s">
        <v>368</v>
      </c>
      <c r="C232" s="9" t="s">
        <v>1267</v>
      </c>
      <c r="D232" s="9" t="s">
        <v>1267</v>
      </c>
      <c r="G232" s="9" t="s">
        <v>422</v>
      </c>
      <c r="H232" s="9" t="s">
        <v>1203</v>
      </c>
      <c r="I232" s="9" t="s">
        <v>638</v>
      </c>
      <c r="J232" s="9" t="s">
        <v>590</v>
      </c>
      <c r="K232" s="9" t="s">
        <v>376</v>
      </c>
      <c r="L232" s="9" t="s">
        <v>670</v>
      </c>
      <c r="M232" s="9" t="s">
        <v>719</v>
      </c>
      <c r="N232" s="9" t="s">
        <v>793</v>
      </c>
      <c r="O232" s="9" t="s">
        <v>1024</v>
      </c>
      <c r="P232" s="9" t="s">
        <v>498</v>
      </c>
      <c r="Q232" s="9" t="s">
        <v>759</v>
      </c>
      <c r="R232" s="9" t="s">
        <v>427</v>
      </c>
      <c r="S232" s="9" t="s">
        <v>384</v>
      </c>
      <c r="T232" s="9" t="s">
        <v>385</v>
      </c>
      <c r="W232" s="9" t="s">
        <v>3014</v>
      </c>
      <c r="AV232" s="9" t="s">
        <v>390</v>
      </c>
      <c r="AW232" s="9" t="s">
        <v>675</v>
      </c>
      <c r="AX232" s="9">
        <v>2.0</v>
      </c>
      <c r="AY232" s="9">
        <v>2.0</v>
      </c>
      <c r="AZ232" s="9" t="s">
        <v>675</v>
      </c>
      <c r="BA232" s="9" t="s">
        <v>391</v>
      </c>
      <c r="BB232" s="9" t="s">
        <v>391</v>
      </c>
      <c r="BC232" s="9" t="s">
        <v>4994</v>
      </c>
      <c r="BE232" s="9" t="s">
        <v>392</v>
      </c>
      <c r="BF232" s="9" t="s">
        <v>433</v>
      </c>
      <c r="BG232" s="9" t="s">
        <v>434</v>
      </c>
      <c r="BI232" s="9" t="s">
        <v>824</v>
      </c>
      <c r="BK232" s="9" t="s">
        <v>602</v>
      </c>
      <c r="BL232" s="9" t="s">
        <v>396</v>
      </c>
      <c r="BM232" s="9" t="s">
        <v>549</v>
      </c>
      <c r="BN232" s="9" t="s">
        <v>398</v>
      </c>
      <c r="BQ232" s="9" t="s">
        <v>604</v>
      </c>
      <c r="BR232" s="9" t="s">
        <v>4462</v>
      </c>
      <c r="BS232" s="9" t="s">
        <v>4071</v>
      </c>
      <c r="BT232" s="9" t="s">
        <v>404</v>
      </c>
      <c r="BU232" s="9" t="s">
        <v>1831</v>
      </c>
      <c r="BW232" s="9" t="s">
        <v>406</v>
      </c>
      <c r="BX232" s="9" t="s">
        <v>407</v>
      </c>
      <c r="BY232" s="9" t="s">
        <v>408</v>
      </c>
      <c r="CD232" s="9" t="s">
        <v>451</v>
      </c>
      <c r="CF232" s="9" t="s">
        <v>1258</v>
      </c>
      <c r="CH232" s="9" t="s">
        <v>2744</v>
      </c>
      <c r="ET232" s="9" t="s">
        <v>478</v>
      </c>
      <c r="EU232" s="9" t="s">
        <v>579</v>
      </c>
      <c r="EV232" s="9" t="s">
        <v>480</v>
      </c>
      <c r="EZ232" s="9" t="s">
        <v>583</v>
      </c>
      <c r="FA232" s="9" t="s">
        <v>583</v>
      </c>
      <c r="FB232" s="9" t="s">
        <v>413</v>
      </c>
      <c r="FC232" s="9" t="s">
        <v>583</v>
      </c>
      <c r="FD232" s="9" t="s">
        <v>414</v>
      </c>
      <c r="FE232" s="9" t="s">
        <v>583</v>
      </c>
      <c r="FF232" s="9" t="s">
        <v>583</v>
      </c>
      <c r="FG232" s="9" t="s">
        <v>583</v>
      </c>
      <c r="FH232" s="9" t="s">
        <v>413</v>
      </c>
      <c r="FI232" s="9" t="s">
        <v>416</v>
      </c>
      <c r="FJ232" s="9" t="s">
        <v>484</v>
      </c>
      <c r="FK232" s="9" t="s">
        <v>583</v>
      </c>
      <c r="FL232" s="9" t="s">
        <v>583</v>
      </c>
      <c r="FM232" s="9" t="s">
        <v>414</v>
      </c>
      <c r="FN232" s="9" t="s">
        <v>413</v>
      </c>
      <c r="FO232" s="9" t="s">
        <v>1537</v>
      </c>
      <c r="FP232" s="9" t="s">
        <v>2524</v>
      </c>
      <c r="FQ232" s="9" t="s">
        <v>712</v>
      </c>
      <c r="FS232" s="9" t="s">
        <v>1871</v>
      </c>
      <c r="FT232" s="9" t="s">
        <v>1476</v>
      </c>
      <c r="FU232" s="9" t="s">
        <v>1235</v>
      </c>
      <c r="FV232" s="9" t="s">
        <v>490</v>
      </c>
      <c r="FW232" s="9" t="s">
        <v>491</v>
      </c>
      <c r="FY232" s="9" t="s">
        <v>493</v>
      </c>
      <c r="FZ232" s="9" t="s">
        <v>4995</v>
      </c>
      <c r="GB232" s="11"/>
      <c r="GJ232" s="9" t="s">
        <v>755</v>
      </c>
      <c r="GK232" s="9" t="s">
        <v>755</v>
      </c>
      <c r="GL232" s="9" t="s">
        <v>817</v>
      </c>
      <c r="GQ232" s="9" t="s">
        <v>3208</v>
      </c>
      <c r="GR232" s="9" t="s">
        <v>4774</v>
      </c>
    </row>
    <row r="233" ht="24.75" customHeight="1">
      <c r="A233" s="8">
        <v>45852.678005532405</v>
      </c>
      <c r="B233" s="9" t="s">
        <v>368</v>
      </c>
      <c r="C233" s="9" t="s">
        <v>4996</v>
      </c>
      <c r="D233" s="9" t="s">
        <v>4996</v>
      </c>
      <c r="G233" s="9" t="s">
        <v>1269</v>
      </c>
      <c r="H233" s="9" t="s">
        <v>373</v>
      </c>
      <c r="I233" s="9" t="s">
        <v>374</v>
      </c>
      <c r="J233" s="9" t="s">
        <v>590</v>
      </c>
      <c r="K233" s="9" t="s">
        <v>376</v>
      </c>
      <c r="L233" s="9" t="s">
        <v>591</v>
      </c>
      <c r="M233" s="9" t="s">
        <v>1270</v>
      </c>
      <c r="N233" s="9" t="s">
        <v>426</v>
      </c>
      <c r="O233" s="9" t="s">
        <v>719</v>
      </c>
      <c r="P233" s="9" t="s">
        <v>381</v>
      </c>
      <c r="Q233" s="9" t="s">
        <v>382</v>
      </c>
      <c r="R233" s="9" t="s">
        <v>500</v>
      </c>
      <c r="S233" s="9" t="s">
        <v>384</v>
      </c>
      <c r="T233" s="9" t="s">
        <v>385</v>
      </c>
      <c r="W233" s="9" t="s">
        <v>3231</v>
      </c>
      <c r="AV233" s="9" t="s">
        <v>1310</v>
      </c>
      <c r="AW233" s="9" t="s">
        <v>675</v>
      </c>
      <c r="AX233" s="9" t="s">
        <v>675</v>
      </c>
      <c r="AY233" s="9" t="s">
        <v>675</v>
      </c>
      <c r="AZ233" s="9" t="s">
        <v>675</v>
      </c>
      <c r="BA233" s="9" t="s">
        <v>675</v>
      </c>
      <c r="BB233" s="9" t="s">
        <v>675</v>
      </c>
      <c r="BC233" s="9" t="s">
        <v>4997</v>
      </c>
      <c r="BD233" s="9" t="s">
        <v>4998</v>
      </c>
      <c r="BE233" s="9" t="s">
        <v>902</v>
      </c>
      <c r="BF233" s="9" t="s">
        <v>1245</v>
      </c>
      <c r="BG233" s="9" t="s">
        <v>725</v>
      </c>
      <c r="BH233" s="9" t="s">
        <v>4999</v>
      </c>
      <c r="BI233" s="9" t="s">
        <v>824</v>
      </c>
      <c r="BK233" s="9" t="s">
        <v>602</v>
      </c>
      <c r="BL233" s="9" t="s">
        <v>603</v>
      </c>
      <c r="BM233" s="9" t="s">
        <v>1247</v>
      </c>
      <c r="BN233" s="9" t="s">
        <v>398</v>
      </c>
      <c r="BO233" s="9" t="s">
        <v>5000</v>
      </c>
      <c r="BP233" s="9" t="s">
        <v>5001</v>
      </c>
      <c r="BQ233" s="9" t="s">
        <v>401</v>
      </c>
      <c r="BR233" s="9" t="s">
        <v>5002</v>
      </c>
      <c r="BS233" s="9" t="s">
        <v>1692</v>
      </c>
      <c r="BT233" s="9" t="s">
        <v>4072</v>
      </c>
      <c r="BU233" s="9" t="s">
        <v>405</v>
      </c>
      <c r="BW233" s="9" t="s">
        <v>988</v>
      </c>
      <c r="BY233" s="9" t="s">
        <v>408</v>
      </c>
      <c r="CA233" s="9" t="s">
        <v>5003</v>
      </c>
      <c r="CB233" s="9" t="s">
        <v>5004</v>
      </c>
      <c r="CC233" s="9" t="s">
        <v>5005</v>
      </c>
      <c r="CD233" s="9" t="s">
        <v>409</v>
      </c>
      <c r="CE233" s="9" t="s">
        <v>5006</v>
      </c>
      <c r="CF233" s="9" t="s">
        <v>1749</v>
      </c>
      <c r="CG233" s="9" t="s">
        <v>5007</v>
      </c>
      <c r="CH233" s="9" t="s">
        <v>1259</v>
      </c>
      <c r="CI233" s="9" t="s">
        <v>410</v>
      </c>
      <c r="CJ233" s="9" t="s">
        <v>5008</v>
      </c>
      <c r="CK233" s="9" t="s">
        <v>5009</v>
      </c>
      <c r="ET233" s="9" t="s">
        <v>526</v>
      </c>
      <c r="EU233" s="9" t="s">
        <v>1127</v>
      </c>
      <c r="EV233" s="9" t="s">
        <v>480</v>
      </c>
      <c r="EX233" s="9" t="s">
        <v>5010</v>
      </c>
      <c r="EY233" s="9" t="s">
        <v>5011</v>
      </c>
      <c r="EZ233" s="9" t="s">
        <v>583</v>
      </c>
      <c r="FA233" s="9" t="s">
        <v>583</v>
      </c>
      <c r="FB233" s="9" t="s">
        <v>414</v>
      </c>
      <c r="FC233" s="9" t="s">
        <v>414</v>
      </c>
      <c r="FD233" s="9" t="s">
        <v>415</v>
      </c>
      <c r="FE233" s="9" t="s">
        <v>583</v>
      </c>
      <c r="FF233" s="9" t="s">
        <v>583</v>
      </c>
      <c r="FG233" s="9" t="s">
        <v>415</v>
      </c>
      <c r="FH233" s="9" t="s">
        <v>415</v>
      </c>
      <c r="FI233" s="9" t="s">
        <v>415</v>
      </c>
      <c r="FJ233" s="9" t="s">
        <v>415</v>
      </c>
      <c r="FK233" s="9" t="s">
        <v>415</v>
      </c>
      <c r="FL233" s="9" t="s">
        <v>415</v>
      </c>
      <c r="FM233" s="9" t="s">
        <v>413</v>
      </c>
      <c r="FN233" s="9" t="s">
        <v>583</v>
      </c>
      <c r="FO233" s="9" t="s">
        <v>485</v>
      </c>
      <c r="FP233" s="9" t="s">
        <v>418</v>
      </c>
      <c r="FQ233" s="9" t="s">
        <v>749</v>
      </c>
      <c r="FR233" s="9" t="s">
        <v>5012</v>
      </c>
      <c r="FS233" s="9" t="s">
        <v>420</v>
      </c>
      <c r="FT233" s="9" t="s">
        <v>488</v>
      </c>
      <c r="FU233" s="9" t="s">
        <v>585</v>
      </c>
      <c r="FV233" s="9" t="s">
        <v>490</v>
      </c>
      <c r="FW233" s="9" t="s">
        <v>491</v>
      </c>
      <c r="FX233" s="9" t="s">
        <v>5013</v>
      </c>
      <c r="FY233" s="9" t="s">
        <v>535</v>
      </c>
      <c r="GB233" s="9" t="s">
        <v>408</v>
      </c>
      <c r="GJ233" s="9" t="s">
        <v>755</v>
      </c>
      <c r="GK233" s="9" t="s">
        <v>755</v>
      </c>
      <c r="GL233" s="9" t="s">
        <v>946</v>
      </c>
      <c r="GN233" s="9" t="s">
        <v>4996</v>
      </c>
      <c r="GO233" s="9" t="s">
        <v>4996</v>
      </c>
      <c r="GP233" s="9" t="s">
        <v>5014</v>
      </c>
      <c r="GQ233" s="9" t="s">
        <v>5015</v>
      </c>
      <c r="GR233" s="9" t="s">
        <v>4774</v>
      </c>
    </row>
    <row r="234" ht="24.75" customHeight="1">
      <c r="A234" s="8">
        <v>45852.8915808912</v>
      </c>
      <c r="B234" s="9" t="s">
        <v>368</v>
      </c>
      <c r="C234" s="9" t="s">
        <v>5016</v>
      </c>
      <c r="D234" s="9" t="s">
        <v>370</v>
      </c>
      <c r="F234" s="9" t="s">
        <v>2359</v>
      </c>
      <c r="G234" s="9" t="s">
        <v>372</v>
      </c>
      <c r="H234" s="9" t="s">
        <v>496</v>
      </c>
      <c r="I234" s="9" t="s">
        <v>424</v>
      </c>
      <c r="J234" s="9" t="s">
        <v>425</v>
      </c>
      <c r="K234" s="9" t="s">
        <v>376</v>
      </c>
      <c r="L234" s="9" t="s">
        <v>426</v>
      </c>
      <c r="M234" s="9" t="s">
        <v>720</v>
      </c>
      <c r="N234" s="9" t="s">
        <v>379</v>
      </c>
      <c r="O234" s="9" t="s">
        <v>5017</v>
      </c>
      <c r="P234" s="9" t="s">
        <v>381</v>
      </c>
      <c r="Q234" s="9" t="s">
        <v>382</v>
      </c>
      <c r="R234" s="9" t="s">
        <v>949</v>
      </c>
      <c r="S234" s="9" t="s">
        <v>384</v>
      </c>
      <c r="T234" s="9" t="s">
        <v>385</v>
      </c>
      <c r="W234" s="9" t="s">
        <v>3231</v>
      </c>
      <c r="AV234" s="9" t="s">
        <v>1242</v>
      </c>
      <c r="AW234" s="9" t="s">
        <v>675</v>
      </c>
      <c r="AX234" s="9">
        <v>4.0</v>
      </c>
      <c r="AY234" s="9">
        <v>4.0</v>
      </c>
      <c r="AZ234" s="9" t="s">
        <v>675</v>
      </c>
      <c r="BA234" s="9" t="s">
        <v>675</v>
      </c>
      <c r="BB234" s="9" t="s">
        <v>675</v>
      </c>
      <c r="BC234" s="9" t="s">
        <v>5018</v>
      </c>
      <c r="BD234" s="9" t="s">
        <v>5019</v>
      </c>
      <c r="BE234" s="9" t="s">
        <v>432</v>
      </c>
      <c r="BF234" s="9" t="s">
        <v>1245</v>
      </c>
      <c r="BG234" s="9" t="s">
        <v>434</v>
      </c>
      <c r="BI234" s="9" t="s">
        <v>435</v>
      </c>
      <c r="BJ234" s="9" t="s">
        <v>5020</v>
      </c>
      <c r="BK234" s="9" t="s">
        <v>681</v>
      </c>
      <c r="BL234" s="9" t="s">
        <v>904</v>
      </c>
      <c r="BM234" s="9" t="s">
        <v>1247</v>
      </c>
      <c r="BN234" s="9" t="s">
        <v>398</v>
      </c>
      <c r="BO234" s="9" t="s">
        <v>5021</v>
      </c>
      <c r="BP234" s="9" t="s">
        <v>5022</v>
      </c>
      <c r="BQ234" s="9" t="s">
        <v>604</v>
      </c>
      <c r="BR234" s="9" t="s">
        <v>4781</v>
      </c>
      <c r="BS234" s="9" t="s">
        <v>1251</v>
      </c>
      <c r="BT234" s="9" t="s">
        <v>4072</v>
      </c>
      <c r="BU234" s="9" t="s">
        <v>405</v>
      </c>
      <c r="BV234" s="9" t="s">
        <v>5023</v>
      </c>
      <c r="BW234" s="9" t="s">
        <v>406</v>
      </c>
      <c r="BX234" s="9" t="s">
        <v>407</v>
      </c>
      <c r="BY234" s="9" t="s">
        <v>455</v>
      </c>
      <c r="BZ234" s="9" t="s">
        <v>5024</v>
      </c>
      <c r="CA234" s="9" t="s">
        <v>5025</v>
      </c>
      <c r="CB234" s="9" t="s">
        <v>5026</v>
      </c>
      <c r="CC234" s="9" t="s">
        <v>5027</v>
      </c>
      <c r="CD234" s="9" t="s">
        <v>409</v>
      </c>
      <c r="CE234" s="9" t="s">
        <v>5028</v>
      </c>
      <c r="CF234" s="9" t="s">
        <v>1722</v>
      </c>
      <c r="CG234" s="9" t="s">
        <v>5029</v>
      </c>
      <c r="CH234" s="9" t="s">
        <v>1698</v>
      </c>
      <c r="CI234" s="9" t="s">
        <v>833</v>
      </c>
      <c r="CJ234" s="9" t="s">
        <v>5030</v>
      </c>
      <c r="CK234" s="9" t="s">
        <v>5031</v>
      </c>
      <c r="ET234" s="9" t="s">
        <v>578</v>
      </c>
      <c r="EU234" s="9" t="s">
        <v>579</v>
      </c>
      <c r="EV234" s="9" t="s">
        <v>663</v>
      </c>
      <c r="EW234" s="9" t="s">
        <v>5032</v>
      </c>
      <c r="EX234" s="9" t="s">
        <v>5033</v>
      </c>
      <c r="EY234" s="9" t="s">
        <v>5034</v>
      </c>
      <c r="EZ234" s="9" t="s">
        <v>414</v>
      </c>
      <c r="FA234" s="9" t="s">
        <v>414</v>
      </c>
      <c r="FB234" s="9" t="s">
        <v>414</v>
      </c>
      <c r="FC234" s="9" t="s">
        <v>414</v>
      </c>
      <c r="FD234" s="9" t="s">
        <v>415</v>
      </c>
      <c r="FE234" s="9" t="s">
        <v>414</v>
      </c>
      <c r="FF234" s="9" t="s">
        <v>583</v>
      </c>
      <c r="FG234" s="9" t="s">
        <v>415</v>
      </c>
      <c r="FH234" s="9" t="s">
        <v>583</v>
      </c>
      <c r="FI234" s="9" t="s">
        <v>416</v>
      </c>
      <c r="FJ234" s="9" t="s">
        <v>415</v>
      </c>
      <c r="FK234" s="9" t="s">
        <v>416</v>
      </c>
      <c r="FL234" s="9" t="s">
        <v>414</v>
      </c>
      <c r="FM234" s="9" t="s">
        <v>416</v>
      </c>
      <c r="FN234" s="9" t="s">
        <v>583</v>
      </c>
      <c r="FO234" s="9" t="s">
        <v>485</v>
      </c>
      <c r="FP234" s="9" t="s">
        <v>418</v>
      </c>
      <c r="FQ234" s="9" t="s">
        <v>419</v>
      </c>
      <c r="FR234" s="9" t="s">
        <v>5035</v>
      </c>
      <c r="FS234" s="9" t="s">
        <v>420</v>
      </c>
      <c r="FT234" s="9" t="s">
        <v>1462</v>
      </c>
      <c r="FU234" s="9" t="s">
        <v>489</v>
      </c>
      <c r="FV234" s="9" t="s">
        <v>490</v>
      </c>
      <c r="FW234" s="9" t="s">
        <v>491</v>
      </c>
      <c r="FX234" s="9" t="s">
        <v>5036</v>
      </c>
      <c r="FY234" s="9" t="s">
        <v>535</v>
      </c>
      <c r="FZ234" s="9" t="s">
        <v>5037</v>
      </c>
      <c r="GB234" s="9" t="s">
        <v>455</v>
      </c>
      <c r="GD234" s="9" t="s">
        <v>5038</v>
      </c>
      <c r="GE234" s="9" t="s">
        <v>855</v>
      </c>
      <c r="GJ234" s="9" t="s">
        <v>920</v>
      </c>
      <c r="GK234" s="9" t="s">
        <v>920</v>
      </c>
      <c r="GL234" s="9" t="s">
        <v>817</v>
      </c>
      <c r="GP234" s="9" t="s">
        <v>387</v>
      </c>
      <c r="GQ234" s="9" t="s">
        <v>5015</v>
      </c>
      <c r="GR234" s="9" t="s">
        <v>5039</v>
      </c>
      <c r="GS234" s="9" t="s">
        <v>5040</v>
      </c>
    </row>
    <row r="235" ht="24.75" customHeight="1">
      <c r="A235" s="8">
        <v>45853.37019545139</v>
      </c>
      <c r="B235" s="9" t="s">
        <v>368</v>
      </c>
      <c r="C235" s="9" t="s">
        <v>370</v>
      </c>
      <c r="D235" s="9" t="s">
        <v>370</v>
      </c>
      <c r="E235" s="9" t="s">
        <v>922</v>
      </c>
      <c r="F235" s="9" t="s">
        <v>1441</v>
      </c>
      <c r="G235" s="9" t="s">
        <v>1093</v>
      </c>
      <c r="H235" s="9" t="s">
        <v>539</v>
      </c>
      <c r="I235" s="9" t="s">
        <v>2578</v>
      </c>
      <c r="J235" s="9" t="s">
        <v>540</v>
      </c>
      <c r="K235" s="9" t="s">
        <v>376</v>
      </c>
      <c r="M235" s="9" t="s">
        <v>378</v>
      </c>
      <c r="O235" s="9" t="s">
        <v>720</v>
      </c>
      <c r="P235" s="9" t="s">
        <v>592</v>
      </c>
      <c r="Q235" s="9" t="s">
        <v>862</v>
      </c>
      <c r="R235" s="9" t="s">
        <v>427</v>
      </c>
      <c r="S235" s="9" t="s">
        <v>384</v>
      </c>
      <c r="T235" s="9" t="s">
        <v>385</v>
      </c>
      <c r="W235" s="9" t="s">
        <v>3231</v>
      </c>
      <c r="AV235" s="9" t="s">
        <v>1310</v>
      </c>
      <c r="AW235" s="9" t="s">
        <v>675</v>
      </c>
      <c r="AX235" s="9" t="s">
        <v>675</v>
      </c>
      <c r="AY235" s="9" t="s">
        <v>675</v>
      </c>
      <c r="AZ235" s="9" t="s">
        <v>675</v>
      </c>
      <c r="BA235" s="9" t="s">
        <v>675</v>
      </c>
      <c r="BB235" s="9" t="s">
        <v>675</v>
      </c>
      <c r="BC235" s="9" t="s">
        <v>5041</v>
      </c>
      <c r="BD235" s="9" t="s">
        <v>5042</v>
      </c>
      <c r="BE235" s="9" t="s">
        <v>902</v>
      </c>
      <c r="BF235" s="9" t="s">
        <v>393</v>
      </c>
      <c r="BG235" s="9" t="s">
        <v>394</v>
      </c>
      <c r="BH235" s="9" t="s">
        <v>5043</v>
      </c>
      <c r="BI235" s="9" t="s">
        <v>435</v>
      </c>
      <c r="BJ235" s="9" t="s">
        <v>5044</v>
      </c>
      <c r="BK235" s="9" t="s">
        <v>681</v>
      </c>
      <c r="BL235" s="9" t="s">
        <v>603</v>
      </c>
      <c r="BM235" s="9" t="s">
        <v>1314</v>
      </c>
      <c r="BN235" s="9" t="s">
        <v>398</v>
      </c>
      <c r="BO235" s="9" t="s">
        <v>5045</v>
      </c>
      <c r="BP235" s="9" t="s">
        <v>5046</v>
      </c>
      <c r="BQ235" s="9" t="s">
        <v>442</v>
      </c>
      <c r="BR235" s="9" t="s">
        <v>5047</v>
      </c>
      <c r="BS235" s="9" t="s">
        <v>1692</v>
      </c>
      <c r="BT235" s="9" t="s">
        <v>4368</v>
      </c>
      <c r="BU235" s="9" t="s">
        <v>405</v>
      </c>
      <c r="BV235" s="9" t="s">
        <v>1211</v>
      </c>
      <c r="BW235" s="9" t="s">
        <v>406</v>
      </c>
      <c r="BX235" s="9" t="s">
        <v>2503</v>
      </c>
      <c r="BY235" s="9" t="s">
        <v>455</v>
      </c>
      <c r="BZ235" s="9" t="s">
        <v>5048</v>
      </c>
      <c r="CA235" s="9" t="s">
        <v>5049</v>
      </c>
      <c r="CB235" s="9" t="s">
        <v>5050</v>
      </c>
      <c r="CC235" s="9" t="s">
        <v>5051</v>
      </c>
      <c r="CD235" s="9" t="s">
        <v>451</v>
      </c>
      <c r="CE235" s="9" t="s">
        <v>5052</v>
      </c>
      <c r="CF235" s="9" t="s">
        <v>1697</v>
      </c>
      <c r="CG235" s="9" t="s">
        <v>5053</v>
      </c>
      <c r="CH235" s="9" t="s">
        <v>1259</v>
      </c>
      <c r="CI235" s="9" t="s">
        <v>410</v>
      </c>
      <c r="CJ235" s="9" t="s">
        <v>5054</v>
      </c>
      <c r="CK235" s="9" t="s">
        <v>5055</v>
      </c>
      <c r="ET235" s="9" t="s">
        <v>578</v>
      </c>
      <c r="EU235" s="9" t="s">
        <v>1037</v>
      </c>
      <c r="EV235" s="9" t="s">
        <v>527</v>
      </c>
      <c r="EW235" s="9" t="s">
        <v>5056</v>
      </c>
      <c r="EX235" s="9" t="s">
        <v>5057</v>
      </c>
      <c r="EY235" s="9" t="s">
        <v>5058</v>
      </c>
      <c r="EZ235" s="9" t="s">
        <v>583</v>
      </c>
      <c r="FA235" s="9" t="s">
        <v>583</v>
      </c>
      <c r="FB235" s="9" t="s">
        <v>414</v>
      </c>
      <c r="FC235" s="9" t="s">
        <v>583</v>
      </c>
      <c r="FD235" s="9" t="s">
        <v>415</v>
      </c>
      <c r="FE235" s="9" t="s">
        <v>583</v>
      </c>
      <c r="FF235" s="9" t="s">
        <v>583</v>
      </c>
      <c r="FG235" s="9" t="s">
        <v>416</v>
      </c>
      <c r="FH235" s="9" t="s">
        <v>583</v>
      </c>
      <c r="FI235" s="9" t="s">
        <v>414</v>
      </c>
      <c r="FJ235" s="9" t="s">
        <v>414</v>
      </c>
      <c r="FK235" s="9" t="s">
        <v>416</v>
      </c>
      <c r="FL235" s="9" t="s">
        <v>583</v>
      </c>
      <c r="FM235" s="9" t="s">
        <v>413</v>
      </c>
      <c r="FN235" s="9" t="s">
        <v>583</v>
      </c>
      <c r="FO235" s="9" t="s">
        <v>417</v>
      </c>
      <c r="FP235" s="9" t="s">
        <v>418</v>
      </c>
      <c r="FQ235" s="9" t="s">
        <v>712</v>
      </c>
      <c r="FR235" s="9" t="s">
        <v>5059</v>
      </c>
      <c r="FS235" s="9" t="s">
        <v>995</v>
      </c>
      <c r="FT235" s="9" t="s">
        <v>488</v>
      </c>
      <c r="FU235" s="9" t="s">
        <v>489</v>
      </c>
      <c r="FV235" s="9" t="s">
        <v>490</v>
      </c>
      <c r="FW235" s="9" t="s">
        <v>491</v>
      </c>
      <c r="FX235" s="9" t="s">
        <v>5060</v>
      </c>
      <c r="FY235" s="9" t="s">
        <v>535</v>
      </c>
      <c r="FZ235" s="9" t="s">
        <v>5061</v>
      </c>
      <c r="GB235" s="9" t="s">
        <v>455</v>
      </c>
      <c r="GC235" s="9"/>
      <c r="GE235" s="9" t="s">
        <v>753</v>
      </c>
      <c r="GF235" s="9" t="s">
        <v>1211</v>
      </c>
      <c r="GJ235" s="9" t="s">
        <v>755</v>
      </c>
      <c r="GK235" s="9" t="s">
        <v>755</v>
      </c>
      <c r="GL235" s="9" t="s">
        <v>946</v>
      </c>
      <c r="GP235" s="9" t="s">
        <v>5062</v>
      </c>
      <c r="GQ235" s="9" t="s">
        <v>3208</v>
      </c>
      <c r="GR235" s="9" t="s">
        <v>4774</v>
      </c>
      <c r="GS235" s="9" t="s">
        <v>5063</v>
      </c>
    </row>
    <row r="236" ht="24.75" customHeight="1">
      <c r="A236" s="8">
        <v>45853.81523930556</v>
      </c>
      <c r="B236" s="9" t="s">
        <v>368</v>
      </c>
      <c r="C236" s="9" t="s">
        <v>370</v>
      </c>
      <c r="D236" s="9" t="s">
        <v>370</v>
      </c>
      <c r="E236" s="9" t="s">
        <v>5064</v>
      </c>
      <c r="F236" s="9" t="s">
        <v>1510</v>
      </c>
      <c r="G236" s="9" t="s">
        <v>422</v>
      </c>
      <c r="H236" s="9" t="s">
        <v>637</v>
      </c>
      <c r="I236" s="9" t="s">
        <v>638</v>
      </c>
      <c r="J236" s="9" t="s">
        <v>375</v>
      </c>
      <c r="K236" s="9" t="s">
        <v>376</v>
      </c>
      <c r="L236" s="9" t="s">
        <v>591</v>
      </c>
      <c r="M236" s="9" t="s">
        <v>1024</v>
      </c>
      <c r="N236" s="9" t="s">
        <v>591</v>
      </c>
      <c r="O236" s="9" t="s">
        <v>640</v>
      </c>
      <c r="P236" s="9" t="s">
        <v>592</v>
      </c>
      <c r="Q236" s="9" t="s">
        <v>499</v>
      </c>
      <c r="R236" s="9" t="s">
        <v>5065</v>
      </c>
      <c r="S236" s="9" t="s">
        <v>384</v>
      </c>
      <c r="T236" s="9" t="s">
        <v>385</v>
      </c>
      <c r="W236" s="9" t="s">
        <v>3014</v>
      </c>
      <c r="AV236" s="9" t="s">
        <v>390</v>
      </c>
      <c r="AW236" s="9" t="s">
        <v>429</v>
      </c>
      <c r="AX236" s="9" t="s">
        <v>429</v>
      </c>
      <c r="AY236" s="9" t="s">
        <v>429</v>
      </c>
      <c r="AZ236" s="9" t="s">
        <v>429</v>
      </c>
      <c r="BA236" s="9" t="s">
        <v>429</v>
      </c>
      <c r="BB236" s="9" t="s">
        <v>429</v>
      </c>
      <c r="BC236" s="9" t="s">
        <v>5066</v>
      </c>
      <c r="BD236" s="9" t="s">
        <v>5067</v>
      </c>
      <c r="BE236" s="9" t="s">
        <v>392</v>
      </c>
      <c r="BF236" s="9" t="s">
        <v>433</v>
      </c>
      <c r="BG236" s="9" t="s">
        <v>434</v>
      </c>
      <c r="BH236" s="9" t="s">
        <v>5068</v>
      </c>
      <c r="BI236" s="9" t="s">
        <v>509</v>
      </c>
      <c r="BJ236" s="9" t="s">
        <v>5069</v>
      </c>
      <c r="BK236" s="9" t="s">
        <v>511</v>
      </c>
      <c r="BL236" s="9" t="s">
        <v>512</v>
      </c>
      <c r="BM236" s="9" t="s">
        <v>439</v>
      </c>
      <c r="BN236" s="9" t="s">
        <v>513</v>
      </c>
      <c r="CL236" s="9" t="s">
        <v>441</v>
      </c>
      <c r="CM236" s="9" t="s">
        <v>682</v>
      </c>
      <c r="CN236" s="9" t="s">
        <v>552</v>
      </c>
      <c r="CO236" s="9" t="s">
        <v>5070</v>
      </c>
      <c r="CP236" s="9" t="s">
        <v>685</v>
      </c>
      <c r="CQ236" s="9" t="s">
        <v>5071</v>
      </c>
      <c r="CR236" s="9" t="s">
        <v>447</v>
      </c>
      <c r="CS236" s="9" t="s">
        <v>2368</v>
      </c>
      <c r="CT236" s="9" t="s">
        <v>5072</v>
      </c>
      <c r="CU236" s="9" t="s">
        <v>450</v>
      </c>
      <c r="CV236" s="9" t="s">
        <v>451</v>
      </c>
      <c r="CW236" s="9" t="s">
        <v>5073</v>
      </c>
      <c r="CX236" s="9" t="s">
        <v>733</v>
      </c>
      <c r="CZ236" s="9" t="s">
        <v>453</v>
      </c>
      <c r="DA236" s="9" t="s">
        <v>5074</v>
      </c>
      <c r="DB236" s="9" t="s">
        <v>455</v>
      </c>
      <c r="DC236" s="9" t="s">
        <v>5075</v>
      </c>
      <c r="DD236" s="9" t="s">
        <v>988</v>
      </c>
      <c r="DF236" s="9" t="s">
        <v>5076</v>
      </c>
      <c r="DG236" s="9" t="s">
        <v>776</v>
      </c>
      <c r="DH236" s="9" t="s">
        <v>833</v>
      </c>
      <c r="DI236" s="9" t="s">
        <v>459</v>
      </c>
      <c r="DJ236" s="9" t="s">
        <v>613</v>
      </c>
      <c r="ET236" s="9" t="s">
        <v>578</v>
      </c>
      <c r="EU236" s="9" t="s">
        <v>479</v>
      </c>
      <c r="EV236" s="9" t="s">
        <v>1262</v>
      </c>
      <c r="EW236" s="9" t="s">
        <v>5077</v>
      </c>
      <c r="EX236" s="9" t="s">
        <v>4872</v>
      </c>
      <c r="EY236" s="9" t="s">
        <v>5078</v>
      </c>
      <c r="EZ236" s="9" t="s">
        <v>583</v>
      </c>
      <c r="FA236" s="9" t="s">
        <v>583</v>
      </c>
      <c r="FB236" s="9" t="s">
        <v>583</v>
      </c>
      <c r="FC236" s="9" t="s">
        <v>583</v>
      </c>
      <c r="FD236" s="9" t="s">
        <v>583</v>
      </c>
      <c r="FE236" s="9" t="s">
        <v>583</v>
      </c>
      <c r="FF236" s="9" t="s">
        <v>583</v>
      </c>
      <c r="FG236" s="9" t="s">
        <v>413</v>
      </c>
      <c r="FH236" s="9" t="s">
        <v>583</v>
      </c>
      <c r="FI236" s="9" t="s">
        <v>583</v>
      </c>
      <c r="FJ236" s="9" t="s">
        <v>583</v>
      </c>
      <c r="FK236" s="9" t="s">
        <v>415</v>
      </c>
      <c r="FL236" s="9" t="s">
        <v>583</v>
      </c>
      <c r="FM236" s="9" t="s">
        <v>413</v>
      </c>
      <c r="FN236" s="9" t="s">
        <v>583</v>
      </c>
      <c r="FO236" s="9" t="s">
        <v>417</v>
      </c>
      <c r="FP236" s="9" t="s">
        <v>418</v>
      </c>
      <c r="FQ236" s="9" t="s">
        <v>712</v>
      </c>
      <c r="FR236" s="9" t="s">
        <v>5079</v>
      </c>
      <c r="FS236" s="9" t="s">
        <v>420</v>
      </c>
      <c r="FT236" s="9" t="s">
        <v>488</v>
      </c>
      <c r="FU236" s="9" t="s">
        <v>533</v>
      </c>
      <c r="FV236" s="9" t="s">
        <v>490</v>
      </c>
      <c r="FW236" s="9" t="s">
        <v>491</v>
      </c>
      <c r="FX236" s="9" t="s">
        <v>5080</v>
      </c>
      <c r="FY236" s="9" t="s">
        <v>535</v>
      </c>
      <c r="GB236" s="9" t="s">
        <v>455</v>
      </c>
      <c r="GC236" s="9"/>
      <c r="GD236" s="9"/>
      <c r="GE236" s="9" t="s">
        <v>753</v>
      </c>
      <c r="GG236" s="9" t="s">
        <v>920</v>
      </c>
      <c r="GH236" s="9" t="s">
        <v>920</v>
      </c>
      <c r="GI236" s="9" t="s">
        <v>946</v>
      </c>
      <c r="GQ236" s="9" t="s">
        <v>3208</v>
      </c>
      <c r="GT236" s="9" t="s">
        <v>5081</v>
      </c>
      <c r="GU236" s="9" t="s">
        <v>5082</v>
      </c>
      <c r="GV236" s="10"/>
      <c r="GW236" s="10"/>
      <c r="GX236" s="10"/>
      <c r="GY236" s="10"/>
      <c r="GZ236" s="10"/>
      <c r="HA236" s="10"/>
      <c r="HB236" s="10"/>
      <c r="HC236" s="10"/>
      <c r="HD236" s="10"/>
      <c r="HE236" s="10"/>
      <c r="HF236" s="10"/>
      <c r="HG236" s="10"/>
      <c r="HH236" s="10"/>
      <c r="HI236" s="10"/>
      <c r="HJ236" s="10"/>
      <c r="HK236" s="10"/>
      <c r="HL236" s="10"/>
      <c r="HM236" s="10"/>
      <c r="HN236" s="10"/>
      <c r="HO236" s="10"/>
      <c r="HP236" s="10"/>
      <c r="HQ236" s="10"/>
      <c r="HR236" s="10"/>
      <c r="HS236" s="10"/>
      <c r="HT236" s="10"/>
      <c r="HU236" s="10"/>
      <c r="HV236" s="10"/>
      <c r="HW236" s="10"/>
      <c r="HX236" s="10"/>
      <c r="HY236" s="10"/>
      <c r="HZ236" s="10"/>
      <c r="IA236" s="10"/>
      <c r="IB236" s="10"/>
      <c r="IC236" s="10"/>
      <c r="ID236" s="10"/>
      <c r="IE236" s="10"/>
      <c r="IF236" s="10"/>
      <c r="IG236" s="10"/>
      <c r="IH236" s="10"/>
      <c r="II236" s="10"/>
      <c r="IJ236" s="10"/>
      <c r="IK236" s="10"/>
      <c r="IL236" s="10"/>
      <c r="IM236" s="10"/>
      <c r="IN236" s="10"/>
      <c r="IO236" s="10"/>
      <c r="IP236" s="10"/>
      <c r="IQ236" s="10"/>
      <c r="IR236" s="10"/>
      <c r="IS236" s="10"/>
      <c r="IT236" s="10"/>
      <c r="IU236" s="10"/>
      <c r="IV236" s="10"/>
      <c r="IW236" s="10"/>
      <c r="IX236" s="10"/>
      <c r="IY236" s="10"/>
      <c r="IZ236" s="10"/>
      <c r="JA236" s="10"/>
      <c r="JB236" s="10"/>
      <c r="JC236" s="10"/>
      <c r="JD236" s="10"/>
      <c r="JE236" s="10"/>
      <c r="JF236" s="10"/>
      <c r="JG236" s="10"/>
      <c r="JH236" s="10"/>
      <c r="JI236" s="10"/>
      <c r="JJ236" s="10"/>
      <c r="JK236" s="10"/>
      <c r="JL236" s="10"/>
      <c r="JM236" s="10"/>
      <c r="JN236" s="10"/>
      <c r="JO236" s="10"/>
      <c r="JP236" s="10"/>
      <c r="JQ236" s="10"/>
      <c r="JR236" s="10"/>
      <c r="JS236" s="10"/>
      <c r="JT236" s="10"/>
      <c r="JU236" s="10"/>
      <c r="JV236" s="10"/>
      <c r="JW236" s="10"/>
      <c r="JX236" s="10"/>
      <c r="JY236" s="10"/>
      <c r="JZ236" s="10"/>
      <c r="KA236" s="10"/>
      <c r="KB236" s="10"/>
      <c r="KC236" s="10"/>
      <c r="KD236" s="10"/>
      <c r="KE236" s="10"/>
      <c r="KF236" s="10"/>
      <c r="KG236" s="10"/>
      <c r="KH236" s="10"/>
      <c r="KI236" s="10"/>
      <c r="KJ236" s="10"/>
      <c r="KK236" s="10"/>
      <c r="KL236" s="10"/>
      <c r="KM236" s="10"/>
      <c r="KN236" s="10"/>
      <c r="KO236" s="10"/>
      <c r="KP236" s="10"/>
      <c r="KQ236" s="10"/>
      <c r="KR236" s="10"/>
      <c r="KS236" s="10"/>
      <c r="KT236" s="10"/>
      <c r="KU236" s="10"/>
      <c r="KV236" s="10"/>
      <c r="KW236" s="10"/>
      <c r="KX236" s="10"/>
      <c r="KY236" s="10"/>
      <c r="KZ236" s="10"/>
      <c r="LA236" s="10"/>
      <c r="LB236" s="10"/>
      <c r="LC236" s="10"/>
      <c r="LD236" s="10"/>
      <c r="LE236" s="10"/>
      <c r="LF236" s="10"/>
      <c r="LG236" s="10"/>
      <c r="LH236" s="10"/>
      <c r="LI236" s="10"/>
      <c r="LJ236" s="10"/>
      <c r="LK236" s="10"/>
      <c r="LL236" s="10"/>
      <c r="LM236" s="10"/>
      <c r="LN236" s="10"/>
      <c r="LO236" s="10"/>
      <c r="LP236" s="10"/>
      <c r="LQ236" s="10"/>
      <c r="LR236" s="10"/>
      <c r="LS236" s="10"/>
      <c r="LT236" s="10"/>
      <c r="LU236" s="10"/>
      <c r="LV236" s="10"/>
      <c r="LW236" s="10"/>
      <c r="LX236" s="10"/>
      <c r="LY236" s="10"/>
      <c r="LZ236" s="10"/>
      <c r="MA236" s="10"/>
      <c r="MB236" s="10"/>
      <c r="MC236" s="10"/>
      <c r="MD236" s="10"/>
      <c r="ME236" s="10"/>
      <c r="MF236" s="10"/>
      <c r="MG236" s="10"/>
      <c r="MH236" s="10"/>
      <c r="MI236" s="10"/>
      <c r="MJ236" s="10"/>
      <c r="MK236" s="10"/>
      <c r="ML236" s="10"/>
      <c r="MM236" s="10"/>
      <c r="MN236" s="10"/>
      <c r="MO236" s="10"/>
      <c r="MP236" s="10"/>
      <c r="MQ236" s="10"/>
      <c r="MR236" s="10"/>
      <c r="MS236" s="10"/>
      <c r="MT236" s="10"/>
      <c r="MU236" s="10"/>
      <c r="MV236" s="10"/>
      <c r="MW236" s="10"/>
      <c r="MX236" s="10"/>
      <c r="MY236" s="10"/>
      <c r="MZ236" s="10"/>
      <c r="NA236" s="10"/>
      <c r="NB236" s="10"/>
      <c r="NC236" s="10"/>
      <c r="ND236" s="10"/>
    </row>
    <row r="237" ht="24.75" customHeight="1">
      <c r="A237" s="8">
        <v>45853.917537939815</v>
      </c>
      <c r="B237" s="9" t="s">
        <v>368</v>
      </c>
      <c r="C237" s="9" t="s">
        <v>370</v>
      </c>
      <c r="D237" s="9" t="s">
        <v>370</v>
      </c>
      <c r="E237" s="9" t="s">
        <v>1510</v>
      </c>
      <c r="F237" s="9" t="s">
        <v>1421</v>
      </c>
      <c r="G237" s="9" t="s">
        <v>5083</v>
      </c>
      <c r="H237" s="9" t="s">
        <v>373</v>
      </c>
      <c r="I237" s="9" t="s">
        <v>374</v>
      </c>
      <c r="J237" s="9" t="s">
        <v>375</v>
      </c>
      <c r="K237" s="9" t="s">
        <v>376</v>
      </c>
      <c r="L237" s="9" t="s">
        <v>793</v>
      </c>
      <c r="M237" s="9" t="s">
        <v>720</v>
      </c>
      <c r="N237" s="9" t="s">
        <v>793</v>
      </c>
      <c r="O237" s="9" t="s">
        <v>719</v>
      </c>
      <c r="P237" s="9" t="s">
        <v>592</v>
      </c>
      <c r="Q237" s="9" t="s">
        <v>499</v>
      </c>
      <c r="R237" s="9" t="s">
        <v>500</v>
      </c>
      <c r="S237" s="9" t="s">
        <v>384</v>
      </c>
      <c r="T237" s="9" t="s">
        <v>385</v>
      </c>
      <c r="W237" s="9" t="s">
        <v>386</v>
      </c>
      <c r="X237" s="9" t="s">
        <v>387</v>
      </c>
      <c r="Y237" s="9" t="s">
        <v>897</v>
      </c>
      <c r="Z237" s="9" t="s">
        <v>543</v>
      </c>
      <c r="AA237" s="9" t="s">
        <v>5084</v>
      </c>
      <c r="AB237" s="9" t="s">
        <v>5085</v>
      </c>
      <c r="AV237" s="9" t="s">
        <v>390</v>
      </c>
      <c r="AW237" s="9" t="s">
        <v>391</v>
      </c>
      <c r="AX237" s="9" t="s">
        <v>429</v>
      </c>
      <c r="AY237" s="9">
        <v>2.0</v>
      </c>
      <c r="AZ237" s="9" t="s">
        <v>429</v>
      </c>
      <c r="BA237" s="9" t="s">
        <v>391</v>
      </c>
      <c r="BB237" s="9" t="s">
        <v>391</v>
      </c>
      <c r="BC237" s="9" t="s">
        <v>5086</v>
      </c>
      <c r="BD237" s="9" t="s">
        <v>5087</v>
      </c>
      <c r="BE237" s="9" t="s">
        <v>392</v>
      </c>
      <c r="BF237" s="9" t="s">
        <v>433</v>
      </c>
      <c r="BG237" s="9" t="s">
        <v>394</v>
      </c>
      <c r="BH237" s="9" t="s">
        <v>5088</v>
      </c>
      <c r="BI237" s="9" t="s">
        <v>976</v>
      </c>
      <c r="BJ237" s="9" t="s">
        <v>1211</v>
      </c>
      <c r="BK237" s="9" t="s">
        <v>602</v>
      </c>
      <c r="BL237" s="9" t="s">
        <v>603</v>
      </c>
      <c r="BM237" s="9" t="s">
        <v>397</v>
      </c>
      <c r="BN237" s="9" t="s">
        <v>440</v>
      </c>
      <c r="CL237" s="9" t="s">
        <v>441</v>
      </c>
      <c r="CM237" s="9" t="s">
        <v>551</v>
      </c>
      <c r="CN237" s="9" t="s">
        <v>5089</v>
      </c>
      <c r="CO237" s="9" t="s">
        <v>5090</v>
      </c>
      <c r="CP237" s="9" t="s">
        <v>445</v>
      </c>
      <c r="CQ237" s="9" t="s">
        <v>5091</v>
      </c>
      <c r="CR237" s="9" t="s">
        <v>404</v>
      </c>
      <c r="CS237" s="9" t="s">
        <v>5092</v>
      </c>
      <c r="CT237" s="9" t="s">
        <v>5093</v>
      </c>
      <c r="CU237" s="9" t="s">
        <v>450</v>
      </c>
      <c r="CV237" s="9" t="s">
        <v>451</v>
      </c>
      <c r="CW237" s="9" t="s">
        <v>5094</v>
      </c>
      <c r="CX237" s="9" t="s">
        <v>408</v>
      </c>
      <c r="CY237" s="9" t="s">
        <v>1211</v>
      </c>
      <c r="CZ237" s="9" t="s">
        <v>453</v>
      </c>
      <c r="DA237" s="9" t="s">
        <v>5095</v>
      </c>
      <c r="DB237" s="9" t="s">
        <v>455</v>
      </c>
      <c r="DC237" s="9" t="s">
        <v>5096</v>
      </c>
      <c r="DD237" s="9" t="s">
        <v>457</v>
      </c>
      <c r="DF237" s="9" t="s">
        <v>5097</v>
      </c>
      <c r="DG237" s="9" t="s">
        <v>561</v>
      </c>
      <c r="DH237" s="9" t="s">
        <v>410</v>
      </c>
      <c r="DI237" s="9" t="s">
        <v>459</v>
      </c>
      <c r="DJ237" s="9" t="s">
        <v>613</v>
      </c>
      <c r="DM237" s="9" t="s">
        <v>5098</v>
      </c>
      <c r="DN237" s="9" t="s">
        <v>5099</v>
      </c>
      <c r="DO237" s="9" t="s">
        <v>567</v>
      </c>
      <c r="DP237" s="9" t="s">
        <v>5100</v>
      </c>
      <c r="DQ237" s="9" t="s">
        <v>466</v>
      </c>
      <c r="DR237" s="9" t="s">
        <v>5101</v>
      </c>
      <c r="DS237" s="9" t="s">
        <v>702</v>
      </c>
      <c r="DT237" s="9" t="s">
        <v>469</v>
      </c>
      <c r="DU237" s="9" t="s">
        <v>5102</v>
      </c>
      <c r="DV237" s="9" t="s">
        <v>5103</v>
      </c>
      <c r="DW237" s="9" t="s">
        <v>573</v>
      </c>
      <c r="DX237" s="9" t="s">
        <v>5104</v>
      </c>
      <c r="DY237" s="9" t="s">
        <v>5105</v>
      </c>
      <c r="DZ237" s="9" t="s">
        <v>5106</v>
      </c>
      <c r="EA237" s="9" t="s">
        <v>475</v>
      </c>
      <c r="EB237" s="9" t="s">
        <v>626</v>
      </c>
      <c r="EC237" s="9" t="s">
        <v>5107</v>
      </c>
      <c r="ET237" s="9" t="s">
        <v>478</v>
      </c>
      <c r="EU237" s="9" t="s">
        <v>479</v>
      </c>
      <c r="EV237" s="9" t="s">
        <v>527</v>
      </c>
      <c r="EW237" s="9" t="s">
        <v>5108</v>
      </c>
      <c r="EX237" s="9" t="s">
        <v>5109</v>
      </c>
      <c r="EY237" s="9" t="s">
        <v>5110</v>
      </c>
      <c r="EZ237" s="9" t="s">
        <v>414</v>
      </c>
      <c r="FA237" s="9" t="s">
        <v>583</v>
      </c>
      <c r="FB237" s="9" t="s">
        <v>413</v>
      </c>
      <c r="FC237" s="9" t="s">
        <v>414</v>
      </c>
      <c r="FD237" s="9" t="s">
        <v>413</v>
      </c>
      <c r="FE237" s="9" t="s">
        <v>414</v>
      </c>
      <c r="FF237" s="9" t="s">
        <v>484</v>
      </c>
      <c r="FG237" s="9" t="s">
        <v>413</v>
      </c>
      <c r="FH237" s="9" t="s">
        <v>484</v>
      </c>
      <c r="FI237" s="9" t="s">
        <v>414</v>
      </c>
      <c r="FJ237" s="9" t="s">
        <v>415</v>
      </c>
      <c r="FK237" s="9" t="s">
        <v>484</v>
      </c>
      <c r="FL237" s="9" t="s">
        <v>484</v>
      </c>
      <c r="FM237" s="9" t="s">
        <v>413</v>
      </c>
      <c r="FN237" s="9" t="s">
        <v>484</v>
      </c>
      <c r="FO237" s="9" t="s">
        <v>417</v>
      </c>
      <c r="FP237" s="9" t="s">
        <v>418</v>
      </c>
      <c r="FQ237" s="9" t="s">
        <v>419</v>
      </c>
      <c r="FR237" s="9" t="s">
        <v>5111</v>
      </c>
      <c r="FS237" s="9" t="s">
        <v>420</v>
      </c>
      <c r="FT237" s="9" t="s">
        <v>488</v>
      </c>
      <c r="FU237" s="9" t="s">
        <v>918</v>
      </c>
      <c r="FV237" s="9" t="s">
        <v>490</v>
      </c>
      <c r="FW237" s="9" t="s">
        <v>491</v>
      </c>
      <c r="FX237" s="9" t="s">
        <v>5112</v>
      </c>
      <c r="FY237" s="9" t="s">
        <v>493</v>
      </c>
      <c r="FZ237" s="9" t="s">
        <v>5113</v>
      </c>
      <c r="GA237" s="9" t="s">
        <v>5114</v>
      </c>
      <c r="GB237" s="9" t="s">
        <v>455</v>
      </c>
      <c r="GC237" s="9"/>
      <c r="GE237" s="9" t="s">
        <v>1339</v>
      </c>
      <c r="GF237" s="9" t="s">
        <v>5115</v>
      </c>
      <c r="GG237" s="9" t="s">
        <v>755</v>
      </c>
      <c r="GH237" s="9" t="s">
        <v>755</v>
      </c>
      <c r="GI237" s="9" t="s">
        <v>946</v>
      </c>
      <c r="GM237" s="9" t="s">
        <v>1079</v>
      </c>
      <c r="GQ237" s="9" t="s">
        <v>3937</v>
      </c>
      <c r="GT237" s="9" t="s">
        <v>4774</v>
      </c>
      <c r="GU237" s="9" t="s">
        <v>1211</v>
      </c>
      <c r="GV237" s="10"/>
      <c r="GW237" s="10"/>
      <c r="GX237" s="10"/>
      <c r="GY237" s="10"/>
      <c r="GZ237" s="10"/>
      <c r="HA237" s="10"/>
      <c r="HB237" s="10"/>
      <c r="HC237" s="10"/>
      <c r="HD237" s="10"/>
      <c r="HE237" s="10"/>
      <c r="HF237" s="10"/>
      <c r="HG237" s="10"/>
      <c r="HH237" s="10"/>
      <c r="HI237" s="10"/>
      <c r="HJ237" s="10"/>
      <c r="HK237" s="10"/>
      <c r="HL237" s="10"/>
      <c r="HM237" s="10"/>
      <c r="HN237" s="10"/>
      <c r="HO237" s="10"/>
      <c r="HP237" s="10"/>
      <c r="HQ237" s="10"/>
      <c r="HR237" s="10"/>
      <c r="HS237" s="10"/>
      <c r="HT237" s="10"/>
      <c r="HU237" s="10"/>
      <c r="HV237" s="10"/>
      <c r="HW237" s="10"/>
      <c r="HX237" s="10"/>
      <c r="HY237" s="10"/>
      <c r="HZ237" s="10"/>
      <c r="IA237" s="10"/>
      <c r="IB237" s="10"/>
      <c r="IC237" s="10"/>
      <c r="ID237" s="10"/>
      <c r="IE237" s="10"/>
      <c r="IF237" s="10"/>
      <c r="IG237" s="10"/>
      <c r="IH237" s="10"/>
      <c r="II237" s="10"/>
      <c r="IJ237" s="10"/>
      <c r="IK237" s="10"/>
      <c r="IL237" s="10"/>
      <c r="IM237" s="10"/>
      <c r="IN237" s="10"/>
      <c r="IO237" s="10"/>
      <c r="IP237" s="10"/>
      <c r="IQ237" s="10"/>
      <c r="IR237" s="10"/>
      <c r="IS237" s="10"/>
      <c r="IT237" s="10"/>
      <c r="IU237" s="10"/>
      <c r="IV237" s="10"/>
      <c r="IW237" s="10"/>
      <c r="IX237" s="10"/>
      <c r="IY237" s="10"/>
      <c r="IZ237" s="10"/>
      <c r="JA237" s="10"/>
      <c r="JB237" s="10"/>
      <c r="JC237" s="10"/>
      <c r="JD237" s="10"/>
      <c r="JE237" s="10"/>
      <c r="JF237" s="10"/>
      <c r="JG237" s="10"/>
      <c r="JH237" s="10"/>
      <c r="JI237" s="10"/>
      <c r="JJ237" s="10"/>
      <c r="JK237" s="10"/>
      <c r="JL237" s="10"/>
      <c r="JM237" s="10"/>
      <c r="JN237" s="10"/>
      <c r="JO237" s="10"/>
      <c r="JP237" s="10"/>
      <c r="JQ237" s="10"/>
      <c r="JR237" s="10"/>
      <c r="JS237" s="10"/>
      <c r="JT237" s="10"/>
      <c r="JU237" s="10"/>
      <c r="JV237" s="10"/>
      <c r="JW237" s="10"/>
      <c r="JX237" s="10"/>
      <c r="JY237" s="10"/>
      <c r="JZ237" s="10"/>
      <c r="KA237" s="10"/>
      <c r="KB237" s="10"/>
      <c r="KC237" s="10"/>
      <c r="KD237" s="10"/>
      <c r="KE237" s="10"/>
      <c r="KF237" s="10"/>
      <c r="KG237" s="10"/>
      <c r="KH237" s="10"/>
      <c r="KI237" s="10"/>
      <c r="KJ237" s="10"/>
      <c r="KK237" s="10"/>
      <c r="KL237" s="10"/>
      <c r="KM237" s="10"/>
      <c r="KN237" s="10"/>
      <c r="KO237" s="10"/>
      <c r="KP237" s="10"/>
      <c r="KQ237" s="10"/>
      <c r="KR237" s="10"/>
      <c r="KS237" s="10"/>
      <c r="KT237" s="10"/>
      <c r="KU237" s="10"/>
      <c r="KV237" s="10"/>
      <c r="KW237" s="10"/>
      <c r="KX237" s="10"/>
      <c r="KY237" s="10"/>
      <c r="KZ237" s="10"/>
      <c r="LA237" s="10"/>
      <c r="LB237" s="10"/>
      <c r="LC237" s="10"/>
      <c r="LD237" s="10"/>
      <c r="LE237" s="10"/>
      <c r="LF237" s="10"/>
      <c r="LG237" s="10"/>
      <c r="LH237" s="10"/>
      <c r="LI237" s="10"/>
      <c r="LJ237" s="10"/>
      <c r="LK237" s="10"/>
      <c r="LL237" s="10"/>
      <c r="LM237" s="10"/>
      <c r="LN237" s="10"/>
      <c r="LO237" s="10"/>
      <c r="LP237" s="10"/>
      <c r="LQ237" s="10"/>
      <c r="LR237" s="10"/>
      <c r="LS237" s="10"/>
      <c r="LT237" s="10"/>
      <c r="LU237" s="10"/>
      <c r="LV237" s="10"/>
      <c r="LW237" s="10"/>
      <c r="LX237" s="10"/>
      <c r="LY237" s="10"/>
      <c r="LZ237" s="10"/>
      <c r="MA237" s="10"/>
      <c r="MB237" s="10"/>
      <c r="MC237" s="10"/>
      <c r="MD237" s="10"/>
      <c r="ME237" s="10"/>
      <c r="MF237" s="10"/>
      <c r="MG237" s="10"/>
      <c r="MH237" s="10"/>
      <c r="MI237" s="10"/>
      <c r="MJ237" s="10"/>
      <c r="MK237" s="10"/>
      <c r="ML237" s="10"/>
      <c r="MM237" s="10"/>
      <c r="MN237" s="10"/>
      <c r="MO237" s="10"/>
      <c r="MP237" s="10"/>
      <c r="MQ237" s="10"/>
      <c r="MR237" s="10"/>
      <c r="MS237" s="10"/>
      <c r="MT237" s="10"/>
      <c r="MU237" s="10"/>
      <c r="MV237" s="10"/>
      <c r="MW237" s="10"/>
      <c r="MX237" s="10"/>
      <c r="MY237" s="10"/>
      <c r="MZ237" s="10"/>
      <c r="NA237" s="10"/>
      <c r="NB237" s="10"/>
      <c r="NC237" s="10"/>
      <c r="ND237" s="10"/>
    </row>
    <row r="238" ht="24.75" customHeight="1">
      <c r="A238" s="8">
        <v>45854.425925324074</v>
      </c>
      <c r="B238" s="9" t="s">
        <v>368</v>
      </c>
      <c r="C238" s="9" t="s">
        <v>370</v>
      </c>
      <c r="D238" s="9" t="s">
        <v>370</v>
      </c>
      <c r="E238" s="9" t="s">
        <v>859</v>
      </c>
      <c r="F238" s="9" t="s">
        <v>859</v>
      </c>
      <c r="G238" s="9" t="s">
        <v>1783</v>
      </c>
      <c r="H238" s="9" t="s">
        <v>373</v>
      </c>
      <c r="I238" s="9" t="s">
        <v>638</v>
      </c>
      <c r="J238" s="9" t="s">
        <v>590</v>
      </c>
      <c r="K238" s="9" t="s">
        <v>376</v>
      </c>
      <c r="L238" s="9" t="s">
        <v>591</v>
      </c>
      <c r="M238" s="9" t="s">
        <v>5116</v>
      </c>
      <c r="N238" s="9" t="s">
        <v>591</v>
      </c>
      <c r="O238" s="9" t="s">
        <v>671</v>
      </c>
      <c r="P238" s="9" t="s">
        <v>498</v>
      </c>
      <c r="Q238" s="9" t="s">
        <v>862</v>
      </c>
      <c r="R238" s="9" t="s">
        <v>500</v>
      </c>
      <c r="S238" s="9" t="s">
        <v>384</v>
      </c>
      <c r="T238" s="9" t="s">
        <v>385</v>
      </c>
      <c r="W238" s="9" t="s">
        <v>3014</v>
      </c>
      <c r="AV238" s="9" t="s">
        <v>504</v>
      </c>
      <c r="AW238" s="9" t="s">
        <v>675</v>
      </c>
      <c r="AX238" s="9" t="s">
        <v>675</v>
      </c>
      <c r="AY238" s="9">
        <v>4.0</v>
      </c>
      <c r="AZ238" s="9">
        <v>4.0</v>
      </c>
      <c r="BA238" s="9" t="s">
        <v>391</v>
      </c>
      <c r="BB238" s="9" t="s">
        <v>429</v>
      </c>
      <c r="BC238" s="9" t="s">
        <v>5117</v>
      </c>
      <c r="BD238" s="9" t="s">
        <v>5118</v>
      </c>
      <c r="BE238" s="9" t="s">
        <v>2379</v>
      </c>
      <c r="BF238" s="9" t="s">
        <v>433</v>
      </c>
      <c r="BG238" s="9" t="s">
        <v>678</v>
      </c>
      <c r="BH238" s="9" t="s">
        <v>5119</v>
      </c>
      <c r="BI238" s="9" t="s">
        <v>976</v>
      </c>
      <c r="BK238" s="9" t="s">
        <v>437</v>
      </c>
      <c r="BL238" s="9" t="s">
        <v>904</v>
      </c>
      <c r="BM238" s="9" t="s">
        <v>439</v>
      </c>
      <c r="BN238" s="9" t="s">
        <v>513</v>
      </c>
      <c r="CL238" s="9" t="s">
        <v>441</v>
      </c>
      <c r="CM238" s="9" t="s">
        <v>604</v>
      </c>
      <c r="CN238" s="9" t="s">
        <v>5120</v>
      </c>
      <c r="CO238" s="9" t="s">
        <v>5121</v>
      </c>
      <c r="CP238" s="9" t="s">
        <v>403</v>
      </c>
      <c r="CQ238" s="9" t="s">
        <v>5122</v>
      </c>
      <c r="CR238" s="9" t="s">
        <v>447</v>
      </c>
      <c r="CS238" s="9" t="s">
        <v>5123</v>
      </c>
      <c r="CT238" s="9" t="s">
        <v>5124</v>
      </c>
      <c r="CU238" s="9" t="s">
        <v>450</v>
      </c>
      <c r="CV238" s="9" t="s">
        <v>451</v>
      </c>
      <c r="CW238" s="9" t="s">
        <v>5125</v>
      </c>
      <c r="CX238" s="9" t="s">
        <v>408</v>
      </c>
      <c r="CZ238" s="9" t="s">
        <v>453</v>
      </c>
      <c r="DA238" s="9" t="s">
        <v>5126</v>
      </c>
      <c r="DB238" s="9" t="s">
        <v>408</v>
      </c>
      <c r="DD238" s="9" t="s">
        <v>988</v>
      </c>
      <c r="DF238" s="9" t="s">
        <v>5127</v>
      </c>
      <c r="DG238" s="9" t="s">
        <v>776</v>
      </c>
      <c r="DH238" s="9" t="s">
        <v>410</v>
      </c>
      <c r="DI238" s="9" t="s">
        <v>459</v>
      </c>
      <c r="DJ238" s="9" t="s">
        <v>460</v>
      </c>
      <c r="DK238" s="9" t="s">
        <v>1434</v>
      </c>
      <c r="ET238" s="9" t="s">
        <v>578</v>
      </c>
      <c r="EU238" s="9" t="s">
        <v>479</v>
      </c>
      <c r="EV238" s="9" t="s">
        <v>480</v>
      </c>
      <c r="EW238" s="9" t="s">
        <v>5128</v>
      </c>
      <c r="EX238" s="9" t="s">
        <v>5129</v>
      </c>
      <c r="EY238" s="9" t="s">
        <v>5130</v>
      </c>
      <c r="EZ238" s="9" t="s">
        <v>583</v>
      </c>
      <c r="FA238" s="9" t="s">
        <v>583</v>
      </c>
      <c r="FB238" s="9" t="s">
        <v>414</v>
      </c>
      <c r="FC238" s="9" t="s">
        <v>583</v>
      </c>
      <c r="FD238" s="9" t="s">
        <v>416</v>
      </c>
      <c r="FE238" s="9" t="s">
        <v>583</v>
      </c>
      <c r="FF238" s="9" t="s">
        <v>414</v>
      </c>
      <c r="FG238" s="9" t="s">
        <v>413</v>
      </c>
      <c r="FH238" s="9" t="s">
        <v>583</v>
      </c>
      <c r="FI238" s="9" t="s">
        <v>583</v>
      </c>
      <c r="FJ238" s="9" t="s">
        <v>414</v>
      </c>
      <c r="FK238" s="9" t="s">
        <v>484</v>
      </c>
      <c r="FL238" s="9" t="s">
        <v>484</v>
      </c>
      <c r="FM238" s="9" t="s">
        <v>415</v>
      </c>
      <c r="FN238" s="9" t="s">
        <v>583</v>
      </c>
      <c r="FO238" s="9" t="s">
        <v>485</v>
      </c>
      <c r="FP238" s="9" t="s">
        <v>486</v>
      </c>
      <c r="FQ238" s="9" t="s">
        <v>419</v>
      </c>
      <c r="FR238" s="9" t="s">
        <v>5131</v>
      </c>
      <c r="FS238" s="9" t="s">
        <v>420</v>
      </c>
      <c r="FT238" s="9" t="s">
        <v>1462</v>
      </c>
      <c r="FU238" s="9" t="s">
        <v>533</v>
      </c>
      <c r="FV238" s="9" t="s">
        <v>490</v>
      </c>
      <c r="FW238" s="9" t="s">
        <v>491</v>
      </c>
      <c r="FX238" s="9" t="s">
        <v>5132</v>
      </c>
      <c r="FY238" s="9" t="s">
        <v>1020</v>
      </c>
      <c r="FZ238" s="9" t="s">
        <v>5133</v>
      </c>
      <c r="GA238" s="9" t="s">
        <v>408</v>
      </c>
      <c r="GB238" s="9" t="s">
        <v>455</v>
      </c>
      <c r="GC238" s="9"/>
      <c r="GE238" s="9" t="s">
        <v>753</v>
      </c>
      <c r="GF238" s="9" t="s">
        <v>5134</v>
      </c>
      <c r="GG238" s="9" t="s">
        <v>755</v>
      </c>
      <c r="GH238" s="9" t="s">
        <v>755</v>
      </c>
      <c r="GI238" s="9" t="s">
        <v>817</v>
      </c>
      <c r="GQ238" s="9" t="s">
        <v>3208</v>
      </c>
    </row>
    <row r="239" ht="24.75" customHeight="1">
      <c r="A239" s="8">
        <v>45854.43201237269</v>
      </c>
      <c r="B239" s="9" t="s">
        <v>368</v>
      </c>
      <c r="C239" s="9" t="s">
        <v>370</v>
      </c>
      <c r="D239" s="9" t="s">
        <v>370</v>
      </c>
      <c r="E239" s="9" t="s">
        <v>3955</v>
      </c>
      <c r="F239" s="9" t="s">
        <v>589</v>
      </c>
      <c r="G239" s="9" t="s">
        <v>422</v>
      </c>
      <c r="H239" s="9" t="s">
        <v>496</v>
      </c>
      <c r="I239" s="9" t="s">
        <v>374</v>
      </c>
      <c r="J239" s="9" t="s">
        <v>718</v>
      </c>
      <c r="K239" s="9" t="s">
        <v>376</v>
      </c>
      <c r="L239" s="9" t="s">
        <v>793</v>
      </c>
      <c r="M239" s="9" t="s">
        <v>378</v>
      </c>
      <c r="N239" s="9" t="s">
        <v>670</v>
      </c>
      <c r="O239" s="9" t="s">
        <v>720</v>
      </c>
      <c r="P239" s="9" t="s">
        <v>1504</v>
      </c>
      <c r="Q239" s="9" t="s">
        <v>499</v>
      </c>
      <c r="R239" s="9" t="s">
        <v>427</v>
      </c>
      <c r="S239" s="9" t="s">
        <v>1785</v>
      </c>
      <c r="T239" s="9" t="s">
        <v>1786</v>
      </c>
      <c r="W239" s="9" t="s">
        <v>386</v>
      </c>
      <c r="X239" s="9" t="s">
        <v>1706</v>
      </c>
      <c r="AC239" s="9" t="s">
        <v>2055</v>
      </c>
      <c r="AD239" s="9" t="s">
        <v>2968</v>
      </c>
      <c r="AE239" s="9" t="s">
        <v>408</v>
      </c>
      <c r="AF239" s="9" t="s">
        <v>5135</v>
      </c>
      <c r="AG239" s="9">
        <v>5.0</v>
      </c>
      <c r="AH239" s="9" t="s">
        <v>1639</v>
      </c>
      <c r="AI239" s="9" t="s">
        <v>5136</v>
      </c>
      <c r="AJ239" s="9" t="s">
        <v>5137</v>
      </c>
      <c r="AK239" s="9" t="s">
        <v>1712</v>
      </c>
      <c r="ED239" s="9" t="s">
        <v>5138</v>
      </c>
      <c r="EE239" s="9" t="s">
        <v>5139</v>
      </c>
      <c r="EF239" s="9" t="s">
        <v>1211</v>
      </c>
      <c r="EG239" s="9" t="s">
        <v>5140</v>
      </c>
      <c r="EH239" s="9" t="s">
        <v>5141</v>
      </c>
      <c r="EI239" s="9" t="s">
        <v>5142</v>
      </c>
      <c r="EO239" s="9" t="s">
        <v>5143</v>
      </c>
      <c r="EP239" s="9" t="s">
        <v>5144</v>
      </c>
      <c r="EQ239" s="9" t="s">
        <v>5145</v>
      </c>
      <c r="ER239" s="9" t="s">
        <v>5146</v>
      </c>
      <c r="ES239" s="9" t="s">
        <v>5147</v>
      </c>
      <c r="EZ239" s="9" t="s">
        <v>583</v>
      </c>
      <c r="FA239" s="9" t="s">
        <v>583</v>
      </c>
      <c r="FB239" s="9" t="s">
        <v>414</v>
      </c>
      <c r="FC239" s="9" t="s">
        <v>583</v>
      </c>
      <c r="FD239" s="9" t="s">
        <v>414</v>
      </c>
      <c r="FE239" s="9" t="s">
        <v>583</v>
      </c>
      <c r="FF239" s="9" t="s">
        <v>414</v>
      </c>
      <c r="FG239" s="9" t="s">
        <v>583</v>
      </c>
      <c r="FH239" s="9" t="s">
        <v>416</v>
      </c>
      <c r="FI239" s="9" t="s">
        <v>583</v>
      </c>
      <c r="FJ239" s="9" t="s">
        <v>583</v>
      </c>
      <c r="FK239" s="9" t="s">
        <v>583</v>
      </c>
      <c r="FL239" s="9" t="s">
        <v>583</v>
      </c>
      <c r="FM239" s="9" t="s">
        <v>583</v>
      </c>
      <c r="FN239" s="9" t="s">
        <v>415</v>
      </c>
      <c r="FO239" s="9" t="s">
        <v>417</v>
      </c>
      <c r="FP239" s="9" t="s">
        <v>418</v>
      </c>
      <c r="FQ239" s="9" t="s">
        <v>630</v>
      </c>
      <c r="FR239" s="9" t="s">
        <v>5148</v>
      </c>
      <c r="FS239" s="9" t="s">
        <v>995</v>
      </c>
      <c r="FT239" s="9" t="s">
        <v>1476</v>
      </c>
      <c r="FU239" s="9" t="s">
        <v>489</v>
      </c>
      <c r="FV239" s="9" t="s">
        <v>490</v>
      </c>
      <c r="FW239" s="9" t="s">
        <v>491</v>
      </c>
      <c r="FX239" s="9" t="s">
        <v>5149</v>
      </c>
      <c r="FY239" s="9" t="s">
        <v>535</v>
      </c>
      <c r="FZ239" s="9" t="s">
        <v>5150</v>
      </c>
      <c r="GA239" s="9" t="s">
        <v>5151</v>
      </c>
      <c r="GB239" s="9" t="s">
        <v>455</v>
      </c>
      <c r="GC239" s="9"/>
      <c r="GE239" s="9" t="s">
        <v>1339</v>
      </c>
      <c r="GF239" s="9" t="s">
        <v>5152</v>
      </c>
      <c r="GQ239" s="9" t="s">
        <v>3273</v>
      </c>
    </row>
    <row r="240" ht="24.75" customHeight="1">
      <c r="A240" s="8">
        <v>45855.065328993056</v>
      </c>
      <c r="B240" s="9" t="s">
        <v>368</v>
      </c>
      <c r="C240" s="9" t="s">
        <v>5153</v>
      </c>
      <c r="D240" s="9" t="s">
        <v>5153</v>
      </c>
      <c r="G240" s="9" t="s">
        <v>422</v>
      </c>
      <c r="H240" s="9" t="s">
        <v>637</v>
      </c>
      <c r="I240" s="9" t="s">
        <v>374</v>
      </c>
      <c r="J240" s="9" t="s">
        <v>375</v>
      </c>
      <c r="K240" s="9" t="s">
        <v>376</v>
      </c>
      <c r="L240" s="9" t="s">
        <v>1526</v>
      </c>
      <c r="M240" s="9" t="s">
        <v>1024</v>
      </c>
      <c r="N240" s="9" t="s">
        <v>1526</v>
      </c>
      <c r="O240" s="9" t="s">
        <v>1024</v>
      </c>
      <c r="P240" s="9" t="s">
        <v>498</v>
      </c>
      <c r="Q240" s="9" t="s">
        <v>818</v>
      </c>
      <c r="R240" s="9" t="s">
        <v>427</v>
      </c>
      <c r="S240" s="9" t="s">
        <v>384</v>
      </c>
      <c r="T240" s="9" t="s">
        <v>385</v>
      </c>
      <c r="W240" s="9" t="s">
        <v>3014</v>
      </c>
      <c r="AV240" s="9" t="s">
        <v>1242</v>
      </c>
      <c r="AW240" s="9">
        <v>2.0</v>
      </c>
      <c r="AX240" s="9">
        <v>2.0</v>
      </c>
      <c r="AY240" s="9">
        <v>2.0</v>
      </c>
      <c r="AZ240" s="9">
        <v>2.0</v>
      </c>
      <c r="BA240" s="9" t="s">
        <v>429</v>
      </c>
      <c r="BB240" s="9" t="s">
        <v>429</v>
      </c>
      <c r="BC240" s="9" t="s">
        <v>5154</v>
      </c>
      <c r="BD240" s="9" t="s">
        <v>5155</v>
      </c>
      <c r="BE240" s="9" t="s">
        <v>392</v>
      </c>
      <c r="BF240" s="9" t="s">
        <v>1095</v>
      </c>
      <c r="BG240" s="9" t="s">
        <v>394</v>
      </c>
      <c r="BH240" s="9" t="s">
        <v>408</v>
      </c>
      <c r="BI240" s="9" t="s">
        <v>976</v>
      </c>
      <c r="BJ240" s="9" t="s">
        <v>5156</v>
      </c>
      <c r="BK240" s="9" t="s">
        <v>681</v>
      </c>
      <c r="BL240" s="9" t="s">
        <v>603</v>
      </c>
      <c r="BM240" s="9" t="s">
        <v>1314</v>
      </c>
      <c r="BN240" s="9" t="s">
        <v>513</v>
      </c>
      <c r="CL240" s="9" t="s">
        <v>682</v>
      </c>
      <c r="CM240" s="9" t="s">
        <v>604</v>
      </c>
      <c r="CN240" s="9" t="s">
        <v>5078</v>
      </c>
      <c r="CO240" s="9" t="s">
        <v>5157</v>
      </c>
      <c r="CP240" s="9" t="s">
        <v>403</v>
      </c>
      <c r="CQ240" s="9" t="s">
        <v>5158</v>
      </c>
      <c r="CR240" s="9" t="s">
        <v>555</v>
      </c>
      <c r="CS240" s="9" t="s">
        <v>1137</v>
      </c>
      <c r="CT240" s="9" t="s">
        <v>5159</v>
      </c>
      <c r="CU240" s="9" t="s">
        <v>1852</v>
      </c>
      <c r="CV240" s="9" t="s">
        <v>959</v>
      </c>
      <c r="CW240" s="9" t="s">
        <v>5160</v>
      </c>
      <c r="CX240" s="9" t="s">
        <v>455</v>
      </c>
      <c r="CY240" s="9" t="s">
        <v>5161</v>
      </c>
      <c r="CZ240" s="9" t="s">
        <v>1962</v>
      </c>
      <c r="DA240" s="9" t="s">
        <v>5156</v>
      </c>
      <c r="DB240" s="9" t="s">
        <v>408</v>
      </c>
      <c r="DD240" s="9" t="s">
        <v>406</v>
      </c>
      <c r="DE240" s="9" t="s">
        <v>1867</v>
      </c>
      <c r="DF240" s="9" t="s">
        <v>5162</v>
      </c>
      <c r="DG240" s="9" t="s">
        <v>693</v>
      </c>
      <c r="DH240" s="9" t="s">
        <v>410</v>
      </c>
      <c r="DI240" s="9" t="s">
        <v>963</v>
      </c>
      <c r="DJ240" s="9" t="s">
        <v>613</v>
      </c>
      <c r="ET240" s="9" t="s">
        <v>578</v>
      </c>
      <c r="EU240" s="9" t="s">
        <v>579</v>
      </c>
      <c r="EV240" s="9" t="s">
        <v>580</v>
      </c>
      <c r="EW240" s="9" t="s">
        <v>5156</v>
      </c>
      <c r="EX240" s="9" t="s">
        <v>5163</v>
      </c>
      <c r="EY240" s="9" t="s">
        <v>5164</v>
      </c>
      <c r="EZ240" s="9" t="s">
        <v>583</v>
      </c>
      <c r="FA240" s="9" t="s">
        <v>583</v>
      </c>
      <c r="FB240" s="9" t="s">
        <v>413</v>
      </c>
      <c r="FC240" s="9" t="s">
        <v>415</v>
      </c>
      <c r="FD240" s="9" t="s">
        <v>415</v>
      </c>
      <c r="FE240" s="9" t="s">
        <v>583</v>
      </c>
      <c r="FF240" s="9" t="s">
        <v>415</v>
      </c>
      <c r="FG240" s="9" t="s">
        <v>416</v>
      </c>
      <c r="FH240" s="9" t="s">
        <v>416</v>
      </c>
      <c r="FI240" s="9" t="s">
        <v>413</v>
      </c>
      <c r="FJ240" s="9" t="s">
        <v>416</v>
      </c>
      <c r="FK240" s="9" t="s">
        <v>413</v>
      </c>
      <c r="FL240" s="9" t="s">
        <v>413</v>
      </c>
      <c r="FM240" s="9" t="s">
        <v>413</v>
      </c>
      <c r="FN240" s="9" t="s">
        <v>416</v>
      </c>
      <c r="FO240" s="9" t="s">
        <v>1537</v>
      </c>
      <c r="FP240" s="9" t="s">
        <v>486</v>
      </c>
      <c r="FQ240" s="9" t="s">
        <v>749</v>
      </c>
      <c r="FR240" s="9" t="s">
        <v>5165</v>
      </c>
      <c r="FS240" s="9" t="s">
        <v>1871</v>
      </c>
      <c r="FT240" s="9" t="s">
        <v>1476</v>
      </c>
      <c r="FU240" s="9" t="s">
        <v>1235</v>
      </c>
      <c r="FV240" s="9" t="s">
        <v>2136</v>
      </c>
      <c r="FW240" s="9" t="s">
        <v>1853</v>
      </c>
      <c r="FX240" s="9" t="s">
        <v>5166</v>
      </c>
      <c r="FY240" s="9" t="s">
        <v>1854</v>
      </c>
      <c r="FZ240" s="9" t="s">
        <v>5167</v>
      </c>
      <c r="GA240" s="9" t="s">
        <v>5168</v>
      </c>
      <c r="GB240" s="9" t="s">
        <v>455</v>
      </c>
      <c r="GC240" s="9"/>
      <c r="GE240" s="9" t="s">
        <v>753</v>
      </c>
      <c r="GF240" s="9" t="s">
        <v>5169</v>
      </c>
      <c r="GG240" s="9" t="s">
        <v>1000</v>
      </c>
      <c r="GH240" s="9" t="s">
        <v>1000</v>
      </c>
      <c r="GI240" s="9" t="s">
        <v>756</v>
      </c>
      <c r="GN240" s="9" t="s">
        <v>5153</v>
      </c>
      <c r="GO240" s="9" t="s">
        <v>5153</v>
      </c>
      <c r="GQ240" s="9" t="s">
        <v>3208</v>
      </c>
      <c r="GT240" s="9" t="s">
        <v>5170</v>
      </c>
      <c r="GU240" s="9" t="s">
        <v>5171</v>
      </c>
      <c r="GV240" s="10"/>
      <c r="GW240" s="10"/>
      <c r="GX240" s="10"/>
      <c r="GY240" s="10"/>
      <c r="GZ240" s="10"/>
      <c r="HA240" s="10"/>
      <c r="HB240" s="10"/>
      <c r="HC240" s="10"/>
      <c r="HD240" s="10"/>
      <c r="HE240" s="10"/>
      <c r="HF240" s="10"/>
      <c r="HG240" s="10"/>
      <c r="HH240" s="10"/>
      <c r="HI240" s="10"/>
      <c r="HJ240" s="10"/>
      <c r="HK240" s="10"/>
      <c r="HL240" s="10"/>
      <c r="HM240" s="10"/>
      <c r="HN240" s="10"/>
      <c r="HO240" s="10"/>
      <c r="HP240" s="10"/>
      <c r="HQ240" s="10"/>
      <c r="HR240" s="10"/>
      <c r="HS240" s="10"/>
      <c r="HT240" s="10"/>
      <c r="HU240" s="10"/>
      <c r="HV240" s="10"/>
      <c r="HW240" s="10"/>
      <c r="HX240" s="10"/>
      <c r="HY240" s="10"/>
      <c r="HZ240" s="10"/>
      <c r="IA240" s="10"/>
      <c r="IB240" s="10"/>
      <c r="IC240" s="10"/>
      <c r="ID240" s="10"/>
      <c r="IE240" s="10"/>
      <c r="IF240" s="10"/>
      <c r="IG240" s="10"/>
      <c r="IH240" s="10"/>
      <c r="II240" s="10"/>
      <c r="IJ240" s="10"/>
      <c r="IK240" s="10"/>
      <c r="IL240" s="10"/>
      <c r="IM240" s="10"/>
      <c r="IN240" s="10"/>
      <c r="IO240" s="10"/>
      <c r="IP240" s="10"/>
      <c r="IQ240" s="10"/>
      <c r="IR240" s="10"/>
      <c r="IS240" s="10"/>
      <c r="IT240" s="10"/>
      <c r="IU240" s="10"/>
      <c r="IV240" s="10"/>
      <c r="IW240" s="10"/>
      <c r="IX240" s="10"/>
      <c r="IY240" s="10"/>
      <c r="IZ240" s="10"/>
      <c r="JA240" s="10"/>
      <c r="JB240" s="10"/>
      <c r="JC240" s="10"/>
      <c r="JD240" s="10"/>
      <c r="JE240" s="10"/>
      <c r="JF240" s="10"/>
      <c r="JG240" s="10"/>
      <c r="JH240" s="10"/>
      <c r="JI240" s="10"/>
      <c r="JJ240" s="10"/>
      <c r="JK240" s="10"/>
      <c r="JL240" s="10"/>
      <c r="JM240" s="10"/>
      <c r="JN240" s="10"/>
      <c r="JO240" s="10"/>
      <c r="JP240" s="10"/>
      <c r="JQ240" s="10"/>
      <c r="JR240" s="10"/>
      <c r="JS240" s="10"/>
      <c r="JT240" s="10"/>
      <c r="JU240" s="10"/>
      <c r="JV240" s="10"/>
      <c r="JW240" s="10"/>
      <c r="JX240" s="10"/>
      <c r="JY240" s="10"/>
      <c r="JZ240" s="10"/>
      <c r="KA240" s="10"/>
      <c r="KB240" s="10"/>
      <c r="KC240" s="10"/>
      <c r="KD240" s="10"/>
      <c r="KE240" s="10"/>
      <c r="KF240" s="10"/>
      <c r="KG240" s="10"/>
      <c r="KH240" s="10"/>
      <c r="KI240" s="10"/>
      <c r="KJ240" s="10"/>
      <c r="KK240" s="10"/>
      <c r="KL240" s="10"/>
      <c r="KM240" s="10"/>
      <c r="KN240" s="10"/>
      <c r="KO240" s="10"/>
      <c r="KP240" s="10"/>
      <c r="KQ240" s="10"/>
      <c r="KR240" s="10"/>
      <c r="KS240" s="10"/>
      <c r="KT240" s="10"/>
      <c r="KU240" s="10"/>
      <c r="KV240" s="10"/>
      <c r="KW240" s="10"/>
      <c r="KX240" s="10"/>
      <c r="KY240" s="10"/>
      <c r="KZ240" s="10"/>
      <c r="LA240" s="10"/>
      <c r="LB240" s="10"/>
      <c r="LC240" s="10"/>
      <c r="LD240" s="10"/>
      <c r="LE240" s="10"/>
      <c r="LF240" s="10"/>
      <c r="LG240" s="10"/>
      <c r="LH240" s="10"/>
      <c r="LI240" s="10"/>
      <c r="LJ240" s="10"/>
      <c r="LK240" s="10"/>
      <c r="LL240" s="10"/>
      <c r="LM240" s="10"/>
      <c r="LN240" s="10"/>
      <c r="LO240" s="10"/>
      <c r="LP240" s="10"/>
      <c r="LQ240" s="10"/>
      <c r="LR240" s="10"/>
      <c r="LS240" s="10"/>
      <c r="LT240" s="10"/>
      <c r="LU240" s="10"/>
      <c r="LV240" s="10"/>
      <c r="LW240" s="10"/>
      <c r="LX240" s="10"/>
      <c r="LY240" s="10"/>
      <c r="LZ240" s="10"/>
      <c r="MA240" s="10"/>
      <c r="MB240" s="10"/>
      <c r="MC240" s="10"/>
      <c r="MD240" s="10"/>
      <c r="ME240" s="10"/>
      <c r="MF240" s="10"/>
      <c r="MG240" s="10"/>
      <c r="MH240" s="10"/>
      <c r="MI240" s="10"/>
      <c r="MJ240" s="10"/>
      <c r="MK240" s="10"/>
      <c r="ML240" s="10"/>
      <c r="MM240" s="10"/>
      <c r="MN240" s="10"/>
      <c r="MO240" s="10"/>
      <c r="MP240" s="10"/>
      <c r="MQ240" s="10"/>
      <c r="MR240" s="10"/>
      <c r="MS240" s="10"/>
      <c r="MT240" s="10"/>
      <c r="MU240" s="10"/>
      <c r="MV240" s="10"/>
      <c r="MW240" s="10"/>
      <c r="MX240" s="10"/>
      <c r="MY240" s="10"/>
      <c r="MZ240" s="10"/>
      <c r="NA240" s="10"/>
      <c r="NB240" s="10"/>
      <c r="NC240" s="10"/>
      <c r="ND240" s="10"/>
    </row>
    <row r="241" ht="24.75" customHeight="1">
      <c r="A241" s="8">
        <v>45857.18312947916</v>
      </c>
      <c r="B241" s="9" t="s">
        <v>368</v>
      </c>
      <c r="C241" s="9" t="s">
        <v>538</v>
      </c>
      <c r="D241" s="9" t="s">
        <v>538</v>
      </c>
      <c r="G241" s="9" t="s">
        <v>422</v>
      </c>
      <c r="H241" s="9" t="s">
        <v>496</v>
      </c>
      <c r="I241" s="9" t="s">
        <v>374</v>
      </c>
      <c r="J241" s="9" t="s">
        <v>540</v>
      </c>
      <c r="K241" s="9" t="s">
        <v>376</v>
      </c>
      <c r="L241" s="9" t="s">
        <v>426</v>
      </c>
      <c r="M241" s="9" t="s">
        <v>860</v>
      </c>
      <c r="N241" s="9" t="s">
        <v>426</v>
      </c>
      <c r="O241" s="9" t="s">
        <v>1270</v>
      </c>
      <c r="P241" s="9" t="s">
        <v>498</v>
      </c>
      <c r="Q241" s="9" t="s">
        <v>862</v>
      </c>
      <c r="R241" s="9" t="s">
        <v>500</v>
      </c>
      <c r="S241" s="9" t="s">
        <v>384</v>
      </c>
      <c r="T241" s="9" t="s">
        <v>385</v>
      </c>
      <c r="W241" s="9" t="s">
        <v>386</v>
      </c>
      <c r="X241" s="9" t="s">
        <v>387</v>
      </c>
      <c r="Z241" s="9" t="s">
        <v>389</v>
      </c>
      <c r="AA241" s="9" t="s">
        <v>408</v>
      </c>
      <c r="AB241" s="9" t="s">
        <v>408</v>
      </c>
      <c r="AV241" s="9" t="s">
        <v>1242</v>
      </c>
      <c r="AW241" s="9" t="s">
        <v>675</v>
      </c>
      <c r="AX241" s="9" t="s">
        <v>675</v>
      </c>
      <c r="AY241" s="9" t="s">
        <v>675</v>
      </c>
      <c r="AZ241" s="9" t="s">
        <v>675</v>
      </c>
      <c r="BA241" s="9" t="s">
        <v>675</v>
      </c>
      <c r="BB241" s="9" t="s">
        <v>675</v>
      </c>
      <c r="BC241" s="9" t="s">
        <v>2505</v>
      </c>
      <c r="BD241" s="9" t="s">
        <v>5172</v>
      </c>
      <c r="BE241" s="9" t="s">
        <v>432</v>
      </c>
      <c r="BF241" s="9" t="s">
        <v>1245</v>
      </c>
      <c r="BG241" s="9" t="s">
        <v>394</v>
      </c>
      <c r="BI241" s="9" t="s">
        <v>976</v>
      </c>
      <c r="BK241" s="9" t="s">
        <v>681</v>
      </c>
      <c r="BL241" s="9" t="s">
        <v>603</v>
      </c>
      <c r="BM241" s="9" t="s">
        <v>1314</v>
      </c>
      <c r="BN241" s="9" t="s">
        <v>398</v>
      </c>
      <c r="BO241" s="9" t="s">
        <v>5173</v>
      </c>
      <c r="BP241" s="9" t="s">
        <v>408</v>
      </c>
      <c r="BQ241" s="9" t="s">
        <v>604</v>
      </c>
      <c r="BR241" s="9" t="s">
        <v>5174</v>
      </c>
      <c r="BS241" s="9" t="s">
        <v>403</v>
      </c>
      <c r="BT241" s="9" t="s">
        <v>5175</v>
      </c>
      <c r="BU241" s="9" t="s">
        <v>405</v>
      </c>
      <c r="BW241" s="9" t="s">
        <v>406</v>
      </c>
      <c r="BX241" s="9" t="s">
        <v>2503</v>
      </c>
      <c r="BY241" s="9" t="s">
        <v>408</v>
      </c>
      <c r="CA241" s="9" t="s">
        <v>5176</v>
      </c>
      <c r="CB241" s="9" t="s">
        <v>5177</v>
      </c>
      <c r="CD241" s="9" t="s">
        <v>1257</v>
      </c>
      <c r="CE241" s="9" t="s">
        <v>408</v>
      </c>
      <c r="CF241" s="9" t="s">
        <v>2233</v>
      </c>
      <c r="CH241" s="9" t="s">
        <v>1259</v>
      </c>
      <c r="CI241" s="9" t="s">
        <v>410</v>
      </c>
      <c r="CJ241" s="9" t="s">
        <v>5178</v>
      </c>
      <c r="CK241" s="9" t="s">
        <v>5179</v>
      </c>
      <c r="ET241" s="9" t="s">
        <v>526</v>
      </c>
      <c r="EU241" s="9" t="s">
        <v>579</v>
      </c>
      <c r="EV241" s="9" t="s">
        <v>580</v>
      </c>
      <c r="EX241" s="9" t="s">
        <v>5180</v>
      </c>
      <c r="EY241" s="9" t="s">
        <v>5180</v>
      </c>
      <c r="EZ241" s="9" t="s">
        <v>413</v>
      </c>
      <c r="FA241" s="9" t="s">
        <v>415</v>
      </c>
      <c r="FB241" s="9" t="s">
        <v>413</v>
      </c>
      <c r="FC241" s="9" t="s">
        <v>413</v>
      </c>
      <c r="FD241" s="9" t="s">
        <v>413</v>
      </c>
      <c r="FE241" s="9" t="s">
        <v>415</v>
      </c>
      <c r="FF241" s="9" t="s">
        <v>413</v>
      </c>
      <c r="FG241" s="9" t="s">
        <v>413</v>
      </c>
      <c r="FH241" s="9" t="s">
        <v>413</v>
      </c>
      <c r="FI241" s="9" t="s">
        <v>413</v>
      </c>
      <c r="FJ241" s="9" t="s">
        <v>413</v>
      </c>
      <c r="FK241" s="9" t="s">
        <v>413</v>
      </c>
      <c r="FL241" s="9" t="s">
        <v>413</v>
      </c>
      <c r="FM241" s="9" t="s">
        <v>413</v>
      </c>
      <c r="FN241" s="9" t="s">
        <v>413</v>
      </c>
      <c r="FO241" s="9" t="s">
        <v>485</v>
      </c>
      <c r="FP241" s="9" t="s">
        <v>418</v>
      </c>
      <c r="FQ241" s="9" t="s">
        <v>531</v>
      </c>
      <c r="FS241" s="9" t="s">
        <v>420</v>
      </c>
      <c r="FT241" s="9" t="s">
        <v>488</v>
      </c>
      <c r="FU241" s="9" t="s">
        <v>1235</v>
      </c>
      <c r="FV241" s="9" t="s">
        <v>490</v>
      </c>
      <c r="FW241" s="9" t="s">
        <v>491</v>
      </c>
      <c r="FX241" s="9" t="s">
        <v>5181</v>
      </c>
      <c r="FY241" s="9" t="s">
        <v>535</v>
      </c>
      <c r="FZ241" s="9" t="s">
        <v>5182</v>
      </c>
      <c r="GB241" s="9" t="s">
        <v>408</v>
      </c>
      <c r="GJ241" s="9" t="s">
        <v>755</v>
      </c>
      <c r="GK241" s="9" t="s">
        <v>755</v>
      </c>
      <c r="GL241" s="9" t="s">
        <v>817</v>
      </c>
      <c r="GN241" s="9" t="s">
        <v>538</v>
      </c>
      <c r="GO241" s="9" t="s">
        <v>538</v>
      </c>
      <c r="GQ241" s="9" t="s">
        <v>5183</v>
      </c>
      <c r="GR241" s="9" t="s">
        <v>4774</v>
      </c>
      <c r="GS241" s="9" t="s">
        <v>408</v>
      </c>
    </row>
    <row r="242" ht="24.75" customHeight="1">
      <c r="A242" s="8">
        <v>45858.855598043985</v>
      </c>
      <c r="B242" s="9" t="s">
        <v>368</v>
      </c>
      <c r="C242" s="9" t="s">
        <v>1268</v>
      </c>
      <c r="D242" s="9" t="s">
        <v>1268</v>
      </c>
      <c r="G242" s="9" t="s">
        <v>792</v>
      </c>
      <c r="H242" s="9" t="s">
        <v>373</v>
      </c>
      <c r="I242" s="9" t="s">
        <v>374</v>
      </c>
      <c r="J242" s="9" t="s">
        <v>375</v>
      </c>
      <c r="K242" s="9" t="s">
        <v>376</v>
      </c>
      <c r="L242" s="9" t="s">
        <v>591</v>
      </c>
      <c r="M242" s="9" t="s">
        <v>2998</v>
      </c>
      <c r="N242" s="9" t="s">
        <v>426</v>
      </c>
      <c r="O242" s="9" t="s">
        <v>5184</v>
      </c>
      <c r="P242" s="9" t="s">
        <v>592</v>
      </c>
      <c r="Q242" s="9" t="s">
        <v>818</v>
      </c>
      <c r="R242" s="9" t="s">
        <v>427</v>
      </c>
      <c r="S242" s="9" t="s">
        <v>384</v>
      </c>
      <c r="T242" s="9" t="s">
        <v>385</v>
      </c>
      <c r="W242" s="9" t="s">
        <v>3231</v>
      </c>
      <c r="AV242" s="9" t="s">
        <v>1310</v>
      </c>
      <c r="AW242" s="9">
        <v>4.0</v>
      </c>
      <c r="AX242" s="9">
        <v>2.0</v>
      </c>
      <c r="AY242" s="9">
        <v>2.0</v>
      </c>
      <c r="AZ242" s="9" t="s">
        <v>429</v>
      </c>
      <c r="BA242" s="9" t="s">
        <v>429</v>
      </c>
      <c r="BB242" s="9">
        <v>2.0</v>
      </c>
      <c r="BC242" s="9" t="s">
        <v>5185</v>
      </c>
      <c r="BD242" s="9" t="s">
        <v>5186</v>
      </c>
      <c r="BE242" s="9" t="s">
        <v>392</v>
      </c>
      <c r="BF242" s="9" t="s">
        <v>1095</v>
      </c>
      <c r="BG242" s="9" t="s">
        <v>434</v>
      </c>
      <c r="BH242" s="9" t="s">
        <v>5187</v>
      </c>
      <c r="BI242" s="9" t="s">
        <v>435</v>
      </c>
      <c r="BJ242" s="9" t="s">
        <v>5188</v>
      </c>
      <c r="BK242" s="9" t="s">
        <v>437</v>
      </c>
      <c r="BL242" s="9" t="s">
        <v>603</v>
      </c>
      <c r="BM242" s="9" t="s">
        <v>1247</v>
      </c>
      <c r="BN242" s="9" t="s">
        <v>513</v>
      </c>
      <c r="CL242" s="9" t="s">
        <v>550</v>
      </c>
      <c r="CM242" s="9" t="s">
        <v>604</v>
      </c>
      <c r="CN242" s="9" t="s">
        <v>5189</v>
      </c>
      <c r="CO242" s="9" t="s">
        <v>5190</v>
      </c>
      <c r="CP242" s="9" t="s">
        <v>685</v>
      </c>
      <c r="CQ242" s="9" t="s">
        <v>5191</v>
      </c>
      <c r="CR242" s="9" t="s">
        <v>804</v>
      </c>
      <c r="CS242" s="9" t="s">
        <v>5192</v>
      </c>
      <c r="CT242" s="9" t="s">
        <v>5193</v>
      </c>
      <c r="CU242" s="9" t="s">
        <v>519</v>
      </c>
      <c r="CV242" s="9" t="s">
        <v>1931</v>
      </c>
      <c r="CX242" s="9" t="s">
        <v>408</v>
      </c>
      <c r="CZ242" s="9" t="s">
        <v>1962</v>
      </c>
      <c r="DB242" s="9" t="s">
        <v>408</v>
      </c>
      <c r="DD242" s="9" t="s">
        <v>406</v>
      </c>
      <c r="DE242" s="9" t="s">
        <v>407</v>
      </c>
      <c r="DF242" s="9" t="s">
        <v>5194</v>
      </c>
      <c r="DG242" s="9" t="s">
        <v>776</v>
      </c>
      <c r="DH242" s="9" t="s">
        <v>833</v>
      </c>
      <c r="DI242" s="9" t="s">
        <v>963</v>
      </c>
      <c r="DJ242" s="9" t="s">
        <v>460</v>
      </c>
      <c r="DK242" s="9" t="s">
        <v>563</v>
      </c>
      <c r="DL242" s="9" t="s">
        <v>5195</v>
      </c>
      <c r="ET242" s="9" t="s">
        <v>526</v>
      </c>
      <c r="EU242" s="9" t="s">
        <v>579</v>
      </c>
      <c r="EV242" s="9" t="s">
        <v>580</v>
      </c>
      <c r="EW242" s="9" t="s">
        <v>5196</v>
      </c>
      <c r="EX242" s="9" t="s">
        <v>5197</v>
      </c>
      <c r="EY242" s="9" t="s">
        <v>5198</v>
      </c>
      <c r="EZ242" s="9" t="s">
        <v>414</v>
      </c>
      <c r="FA242" s="9" t="s">
        <v>583</v>
      </c>
      <c r="FB242" s="9" t="s">
        <v>413</v>
      </c>
      <c r="FC242" s="9" t="s">
        <v>415</v>
      </c>
      <c r="FD242" s="9" t="s">
        <v>416</v>
      </c>
      <c r="FE242" s="9" t="s">
        <v>414</v>
      </c>
      <c r="FF242" s="9" t="s">
        <v>415</v>
      </c>
      <c r="FG242" s="9" t="s">
        <v>415</v>
      </c>
      <c r="FH242" s="9" t="s">
        <v>415</v>
      </c>
      <c r="FI242" s="9" t="s">
        <v>416</v>
      </c>
      <c r="FJ242" s="9" t="s">
        <v>414</v>
      </c>
      <c r="FK242" s="9" t="s">
        <v>416</v>
      </c>
      <c r="FL242" s="9" t="s">
        <v>416</v>
      </c>
      <c r="FM242" s="9" t="s">
        <v>415</v>
      </c>
      <c r="FN242" s="9" t="s">
        <v>415</v>
      </c>
      <c r="FO242" s="9" t="s">
        <v>1074</v>
      </c>
      <c r="FP242" s="9" t="s">
        <v>486</v>
      </c>
      <c r="FQ242" s="9" t="s">
        <v>419</v>
      </c>
      <c r="FR242" s="9" t="s">
        <v>5199</v>
      </c>
      <c r="FS242" s="9" t="s">
        <v>1871</v>
      </c>
      <c r="FT242" s="9" t="s">
        <v>1462</v>
      </c>
      <c r="FU242" s="9" t="s">
        <v>1235</v>
      </c>
      <c r="FV242" s="9" t="s">
        <v>2399</v>
      </c>
      <c r="FW242" s="9" t="s">
        <v>1853</v>
      </c>
      <c r="FX242" s="9" t="s">
        <v>5200</v>
      </c>
      <c r="FY242" s="9" t="s">
        <v>1020</v>
      </c>
      <c r="FZ242" s="9" t="s">
        <v>5201</v>
      </c>
      <c r="GA242" s="9" t="s">
        <v>5202</v>
      </c>
      <c r="GB242" s="9" t="s">
        <v>408</v>
      </c>
      <c r="GG242" s="9" t="s">
        <v>1000</v>
      </c>
      <c r="GH242" s="9" t="s">
        <v>1000</v>
      </c>
      <c r="GI242" s="9" t="s">
        <v>817</v>
      </c>
      <c r="GN242" s="9" t="s">
        <v>1268</v>
      </c>
      <c r="GO242" s="9" t="s">
        <v>1268</v>
      </c>
      <c r="GP242" s="9" t="s">
        <v>5203</v>
      </c>
      <c r="GQ242" s="9" t="s">
        <v>3208</v>
      </c>
      <c r="GT242" s="9" t="s">
        <v>4774</v>
      </c>
    </row>
    <row r="243" ht="24.75" customHeight="1">
      <c r="A243" s="8">
        <v>45861.16600383102</v>
      </c>
      <c r="B243" s="9" t="s">
        <v>368</v>
      </c>
      <c r="C243" s="9" t="s">
        <v>5204</v>
      </c>
      <c r="D243" s="9" t="s">
        <v>5204</v>
      </c>
      <c r="G243" s="9" t="s">
        <v>422</v>
      </c>
      <c r="H243" s="9" t="s">
        <v>539</v>
      </c>
      <c r="I243" s="9" t="s">
        <v>424</v>
      </c>
      <c r="J243" s="9" t="s">
        <v>590</v>
      </c>
      <c r="K243" s="9" t="s">
        <v>1784</v>
      </c>
      <c r="L243" s="9" t="s">
        <v>1526</v>
      </c>
      <c r="M243" s="9" t="s">
        <v>378</v>
      </c>
      <c r="N243" s="9" t="s">
        <v>426</v>
      </c>
      <c r="O243" s="9" t="s">
        <v>1385</v>
      </c>
      <c r="P243" s="9" t="s">
        <v>381</v>
      </c>
      <c r="Q243" s="9" t="s">
        <v>759</v>
      </c>
      <c r="R243" s="9" t="s">
        <v>1704</v>
      </c>
      <c r="S243" s="9" t="s">
        <v>384</v>
      </c>
      <c r="T243" s="9" t="s">
        <v>385</v>
      </c>
      <c r="W243" s="9" t="s">
        <v>386</v>
      </c>
      <c r="X243" s="9" t="s">
        <v>387</v>
      </c>
      <c r="Y243" s="9" t="s">
        <v>2115</v>
      </c>
      <c r="Z243" s="9" t="s">
        <v>389</v>
      </c>
      <c r="AV243" s="9" t="s">
        <v>1242</v>
      </c>
      <c r="AW243" s="9" t="s">
        <v>675</v>
      </c>
      <c r="AX243" s="9" t="s">
        <v>675</v>
      </c>
      <c r="AY243" s="9" t="s">
        <v>675</v>
      </c>
      <c r="AZ243" s="9" t="s">
        <v>675</v>
      </c>
      <c r="BA243" s="9" t="s">
        <v>675</v>
      </c>
      <c r="BB243" s="9" t="s">
        <v>675</v>
      </c>
      <c r="BC243" s="9" t="s">
        <v>2500</v>
      </c>
      <c r="BD243" s="9" t="s">
        <v>2500</v>
      </c>
      <c r="BE243" s="9" t="s">
        <v>2259</v>
      </c>
      <c r="BF243" s="9" t="s">
        <v>1047</v>
      </c>
      <c r="BG243" s="9" t="s">
        <v>394</v>
      </c>
      <c r="BH243" s="9" t="s">
        <v>2927</v>
      </c>
      <c r="BI243" s="9" t="s">
        <v>976</v>
      </c>
      <c r="BJ243" s="9" t="s">
        <v>5205</v>
      </c>
      <c r="BK243" s="9" t="s">
        <v>602</v>
      </c>
      <c r="BL243" s="9" t="s">
        <v>603</v>
      </c>
      <c r="BM243" s="9" t="s">
        <v>1314</v>
      </c>
      <c r="BN243" s="9" t="s">
        <v>398</v>
      </c>
      <c r="BO243" s="9" t="s">
        <v>5206</v>
      </c>
      <c r="BP243" s="9" t="s">
        <v>552</v>
      </c>
      <c r="BQ243" s="9" t="s">
        <v>401</v>
      </c>
      <c r="BR243" s="9" t="s">
        <v>5207</v>
      </c>
      <c r="BS243" s="9" t="s">
        <v>4071</v>
      </c>
      <c r="BT243" s="9" t="s">
        <v>4845</v>
      </c>
      <c r="BU243" s="9" t="s">
        <v>405</v>
      </c>
      <c r="BW243" s="9" t="s">
        <v>406</v>
      </c>
      <c r="BX243" s="9" t="s">
        <v>1867</v>
      </c>
      <c r="BY243" s="9" t="s">
        <v>408</v>
      </c>
      <c r="CA243" s="9" t="s">
        <v>5208</v>
      </c>
      <c r="CB243" s="9" t="s">
        <v>5209</v>
      </c>
      <c r="CC243" s="9" t="s">
        <v>5210</v>
      </c>
      <c r="CD243" s="9" t="s">
        <v>1931</v>
      </c>
      <c r="CE243" s="9" t="s">
        <v>5211</v>
      </c>
      <c r="CF243" s="9" t="s">
        <v>1697</v>
      </c>
      <c r="CH243" s="9" t="s">
        <v>1698</v>
      </c>
      <c r="CI243" s="9" t="s">
        <v>410</v>
      </c>
      <c r="CJ243" s="9" t="s">
        <v>2506</v>
      </c>
      <c r="CK243" s="9" t="s">
        <v>5212</v>
      </c>
      <c r="ET243" s="9" t="s">
        <v>578</v>
      </c>
      <c r="EU243" s="9" t="s">
        <v>579</v>
      </c>
      <c r="EV243" s="9" t="s">
        <v>663</v>
      </c>
      <c r="EX243" s="9" t="s">
        <v>5213</v>
      </c>
      <c r="EY243" s="9" t="s">
        <v>5214</v>
      </c>
      <c r="EZ243" s="9" t="s">
        <v>413</v>
      </c>
      <c r="FA243" s="9" t="s">
        <v>413</v>
      </c>
      <c r="FB243" s="9" t="s">
        <v>413</v>
      </c>
      <c r="FC243" s="9" t="s">
        <v>413</v>
      </c>
      <c r="FD243" s="9" t="s">
        <v>413</v>
      </c>
      <c r="FE243" s="9" t="s">
        <v>415</v>
      </c>
      <c r="FF243" s="9" t="s">
        <v>413</v>
      </c>
      <c r="FG243" s="9" t="s">
        <v>413</v>
      </c>
      <c r="FH243" s="9" t="s">
        <v>413</v>
      </c>
      <c r="FI243" s="9" t="s">
        <v>413</v>
      </c>
      <c r="FJ243" s="9" t="s">
        <v>413</v>
      </c>
      <c r="FK243" s="9" t="s">
        <v>413</v>
      </c>
      <c r="FL243" s="9" t="s">
        <v>413</v>
      </c>
      <c r="FM243" s="9" t="s">
        <v>413</v>
      </c>
      <c r="FN243" s="9" t="s">
        <v>413</v>
      </c>
      <c r="FO243" s="9" t="s">
        <v>417</v>
      </c>
      <c r="FP243" s="9" t="s">
        <v>418</v>
      </c>
      <c r="FQ243" s="9" t="s">
        <v>1039</v>
      </c>
      <c r="FR243" s="9" t="s">
        <v>5215</v>
      </c>
      <c r="FS243" s="9" t="s">
        <v>420</v>
      </c>
      <c r="FT243" s="9" t="s">
        <v>1462</v>
      </c>
      <c r="FU243" s="9" t="s">
        <v>1235</v>
      </c>
      <c r="FV243" s="9" t="s">
        <v>490</v>
      </c>
      <c r="FW243" s="9" t="s">
        <v>491</v>
      </c>
      <c r="FX243" s="9" t="s">
        <v>5216</v>
      </c>
      <c r="FY243" s="9" t="s">
        <v>535</v>
      </c>
      <c r="FZ243" s="9" t="s">
        <v>5217</v>
      </c>
      <c r="GB243" s="9" t="s">
        <v>455</v>
      </c>
      <c r="GC243" s="9"/>
      <c r="GD243" s="9"/>
      <c r="GE243" s="9" t="s">
        <v>753</v>
      </c>
      <c r="GF243" s="9" t="s">
        <v>5218</v>
      </c>
      <c r="GJ243" s="9" t="s">
        <v>755</v>
      </c>
      <c r="GK243" s="9" t="s">
        <v>755</v>
      </c>
      <c r="GL243" s="9" t="s">
        <v>817</v>
      </c>
      <c r="GN243" s="9" t="s">
        <v>5204</v>
      </c>
      <c r="GO243" s="9" t="s">
        <v>5204</v>
      </c>
      <c r="GQ243" s="12" t="s">
        <v>5219</v>
      </c>
      <c r="GR243" s="9" t="s">
        <v>5170</v>
      </c>
      <c r="GS243" s="9" t="s">
        <v>5220</v>
      </c>
    </row>
    <row r="244" ht="24.75" customHeight="1">
      <c r="A244" s="8">
        <v>45864.54673815973</v>
      </c>
      <c r="B244" s="9" t="s">
        <v>368</v>
      </c>
      <c r="C244" s="9" t="s">
        <v>370</v>
      </c>
      <c r="D244" s="9" t="s">
        <v>370</v>
      </c>
      <c r="E244" s="9" t="s">
        <v>5221</v>
      </c>
      <c r="F244" s="9" t="s">
        <v>5221</v>
      </c>
      <c r="G244" s="9" t="s">
        <v>422</v>
      </c>
      <c r="H244" s="9" t="s">
        <v>637</v>
      </c>
      <c r="I244" s="9" t="s">
        <v>638</v>
      </c>
      <c r="J244" s="9" t="s">
        <v>425</v>
      </c>
      <c r="K244" s="9" t="s">
        <v>376</v>
      </c>
      <c r="L244" s="9" t="s">
        <v>793</v>
      </c>
      <c r="M244" s="9" t="s">
        <v>639</v>
      </c>
      <c r="N244" s="9" t="s">
        <v>591</v>
      </c>
      <c r="O244" s="9" t="s">
        <v>4228</v>
      </c>
      <c r="P244" s="9" t="s">
        <v>498</v>
      </c>
      <c r="Q244" s="9" t="s">
        <v>862</v>
      </c>
      <c r="R244" s="9" t="s">
        <v>1197</v>
      </c>
      <c r="S244" s="9" t="s">
        <v>384</v>
      </c>
      <c r="T244" s="9" t="s">
        <v>385</v>
      </c>
      <c r="W244" s="9" t="s">
        <v>3014</v>
      </c>
      <c r="AV244" s="9" t="s">
        <v>1310</v>
      </c>
      <c r="AW244" s="9" t="s">
        <v>675</v>
      </c>
      <c r="AX244" s="9">
        <v>4.0</v>
      </c>
      <c r="AY244" s="9" t="s">
        <v>675</v>
      </c>
      <c r="AZ244" s="9" t="s">
        <v>675</v>
      </c>
      <c r="BA244" s="9" t="s">
        <v>675</v>
      </c>
      <c r="BB244" s="9" t="s">
        <v>675</v>
      </c>
      <c r="BC244" s="9" t="s">
        <v>5222</v>
      </c>
      <c r="BE244" s="9" t="s">
        <v>392</v>
      </c>
      <c r="BF244" s="9" t="s">
        <v>1095</v>
      </c>
      <c r="BG244" s="9" t="s">
        <v>394</v>
      </c>
      <c r="BI244" s="9" t="s">
        <v>824</v>
      </c>
      <c r="BK244" s="9" t="s">
        <v>511</v>
      </c>
      <c r="BL244" s="9" t="s">
        <v>603</v>
      </c>
      <c r="BM244" s="9" t="s">
        <v>1314</v>
      </c>
      <c r="BN244" s="9" t="s">
        <v>398</v>
      </c>
      <c r="BO244" s="9" t="s">
        <v>5223</v>
      </c>
      <c r="BP244" s="9" t="s">
        <v>408</v>
      </c>
      <c r="BQ244" s="9" t="s">
        <v>442</v>
      </c>
      <c r="BR244" s="9" t="s">
        <v>1761</v>
      </c>
      <c r="BS244" s="9" t="s">
        <v>1741</v>
      </c>
      <c r="BT244" s="9" t="s">
        <v>404</v>
      </c>
      <c r="BU244" s="9" t="s">
        <v>405</v>
      </c>
      <c r="BW244" s="9" t="s">
        <v>406</v>
      </c>
      <c r="BX244" s="9" t="s">
        <v>2503</v>
      </c>
      <c r="BY244" s="9" t="s">
        <v>408</v>
      </c>
      <c r="CB244" s="9" t="s">
        <v>5224</v>
      </c>
      <c r="CC244" s="9" t="s">
        <v>5225</v>
      </c>
      <c r="CD244" s="9" t="s">
        <v>409</v>
      </c>
      <c r="CE244" s="9" t="s">
        <v>5226</v>
      </c>
      <c r="CF244" s="9" t="s">
        <v>1258</v>
      </c>
      <c r="CH244" s="9" t="s">
        <v>1259</v>
      </c>
      <c r="CI244" s="9" t="s">
        <v>410</v>
      </c>
      <c r="CJ244" s="9" t="s">
        <v>5227</v>
      </c>
      <c r="CK244" s="9" t="s">
        <v>5228</v>
      </c>
      <c r="ET244" s="9" t="s">
        <v>578</v>
      </c>
      <c r="EU244" s="9" t="s">
        <v>887</v>
      </c>
      <c r="EV244" s="9" t="s">
        <v>580</v>
      </c>
      <c r="EX244" s="9" t="s">
        <v>5229</v>
      </c>
      <c r="EY244" s="9" t="s">
        <v>5229</v>
      </c>
      <c r="EZ244" s="9" t="s">
        <v>416</v>
      </c>
      <c r="FA244" s="9" t="s">
        <v>583</v>
      </c>
      <c r="FB244" s="9" t="s">
        <v>414</v>
      </c>
      <c r="FC244" s="9" t="s">
        <v>414</v>
      </c>
      <c r="FD244" s="9" t="s">
        <v>413</v>
      </c>
      <c r="FE244" s="9" t="s">
        <v>414</v>
      </c>
      <c r="FF244" s="9" t="s">
        <v>413</v>
      </c>
      <c r="FG244" s="9" t="s">
        <v>413</v>
      </c>
      <c r="FH244" s="9" t="s">
        <v>583</v>
      </c>
      <c r="FI244" s="9" t="s">
        <v>414</v>
      </c>
      <c r="FJ244" s="9" t="s">
        <v>415</v>
      </c>
      <c r="FK244" s="9" t="s">
        <v>413</v>
      </c>
      <c r="FL244" s="9" t="s">
        <v>413</v>
      </c>
      <c r="FM244" s="9" t="s">
        <v>413</v>
      </c>
      <c r="FN244" s="9" t="s">
        <v>583</v>
      </c>
      <c r="FO244" s="9" t="s">
        <v>485</v>
      </c>
      <c r="FP244" s="9" t="s">
        <v>418</v>
      </c>
      <c r="FQ244" s="9" t="s">
        <v>749</v>
      </c>
      <c r="FS244" s="9" t="s">
        <v>420</v>
      </c>
      <c r="FT244" s="9" t="s">
        <v>488</v>
      </c>
      <c r="FU244" s="9" t="s">
        <v>489</v>
      </c>
      <c r="FV244" s="9" t="s">
        <v>490</v>
      </c>
      <c r="FW244" s="9" t="s">
        <v>491</v>
      </c>
      <c r="FX244" s="9" t="s">
        <v>5230</v>
      </c>
      <c r="FY244" s="9" t="s">
        <v>535</v>
      </c>
      <c r="GB244" s="9" t="s">
        <v>408</v>
      </c>
      <c r="GK244" s="9" t="s">
        <v>920</v>
      </c>
      <c r="GL244" s="9" t="s">
        <v>817</v>
      </c>
      <c r="GQ244" s="9" t="s">
        <v>3273</v>
      </c>
      <c r="GR244" s="9" t="s">
        <v>4774</v>
      </c>
      <c r="GV244" s="9" t="s">
        <v>5231</v>
      </c>
      <c r="GW244" s="9" t="s">
        <v>5232</v>
      </c>
      <c r="GX244" s="9" t="s">
        <v>484</v>
      </c>
      <c r="GY244" s="9" t="s">
        <v>5233</v>
      </c>
      <c r="GZ244" s="9" t="s">
        <v>5234</v>
      </c>
      <c r="HA244" s="9" t="s">
        <v>484</v>
      </c>
      <c r="HB244" s="9" t="s">
        <v>5235</v>
      </c>
      <c r="HO244" s="9" t="s">
        <v>5236</v>
      </c>
      <c r="HP244" s="9" t="s">
        <v>5237</v>
      </c>
      <c r="HQ244" s="9" t="s">
        <v>5238</v>
      </c>
      <c r="HR244" s="9" t="s">
        <v>5239</v>
      </c>
      <c r="HS244" s="10"/>
      <c r="HT244" s="10"/>
      <c r="HU244" s="10"/>
      <c r="HV244" s="10"/>
      <c r="HW244" s="10"/>
      <c r="HX244" s="10"/>
      <c r="HY244" s="10"/>
      <c r="HZ244" s="10"/>
      <c r="IA244" s="10"/>
      <c r="IB244" s="10"/>
      <c r="IC244" s="10"/>
      <c r="ID244" s="10"/>
      <c r="IE244" s="10"/>
      <c r="IF244" s="10"/>
      <c r="IG244" s="10"/>
      <c r="IH244" s="10"/>
      <c r="II244" s="10"/>
      <c r="IJ244" s="10"/>
      <c r="IK244" s="10"/>
      <c r="IL244" s="10"/>
      <c r="IM244" s="10"/>
      <c r="IN244" s="10"/>
      <c r="IO244" s="10"/>
      <c r="IP244" s="10"/>
      <c r="IQ244" s="10"/>
      <c r="IR244" s="10"/>
      <c r="IS244" s="10"/>
      <c r="IT244" s="10"/>
      <c r="IU244" s="10"/>
      <c r="IV244" s="10"/>
      <c r="IW244" s="10"/>
      <c r="IX244" s="10"/>
      <c r="IY244" s="10"/>
      <c r="IZ244" s="10"/>
      <c r="JA244" s="10"/>
      <c r="JB244" s="10"/>
      <c r="JC244" s="10"/>
      <c r="JD244" s="10"/>
      <c r="JE244" s="10"/>
      <c r="JF244" s="10"/>
      <c r="JG244" s="10"/>
      <c r="JH244" s="10"/>
      <c r="JI244" s="10"/>
      <c r="JJ244" s="10"/>
      <c r="JK244" s="10"/>
      <c r="JL244" s="10"/>
      <c r="JM244" s="10"/>
      <c r="JN244" s="10"/>
      <c r="JO244" s="10"/>
      <c r="JP244" s="10"/>
      <c r="JQ244" s="10"/>
      <c r="JR244" s="10"/>
      <c r="JS244" s="10"/>
      <c r="JT244" s="10"/>
      <c r="JU244" s="10"/>
      <c r="JV244" s="10"/>
      <c r="JW244" s="10"/>
      <c r="JX244" s="10"/>
      <c r="JY244" s="10"/>
      <c r="JZ244" s="10"/>
      <c r="KA244" s="10"/>
      <c r="KB244" s="10"/>
      <c r="KC244" s="10"/>
      <c r="KD244" s="10"/>
      <c r="KE244" s="10"/>
      <c r="KF244" s="10"/>
      <c r="KG244" s="10"/>
      <c r="KH244" s="10"/>
      <c r="KI244" s="10"/>
      <c r="KJ244" s="10"/>
      <c r="KK244" s="10"/>
      <c r="KL244" s="10"/>
      <c r="KM244" s="10"/>
      <c r="KN244" s="10"/>
      <c r="KO244" s="10"/>
      <c r="KP244" s="10"/>
      <c r="KQ244" s="10"/>
      <c r="KR244" s="10"/>
      <c r="KS244" s="10"/>
      <c r="KT244" s="10"/>
      <c r="KU244" s="10"/>
      <c r="KV244" s="10"/>
      <c r="KW244" s="10"/>
      <c r="KX244" s="10"/>
      <c r="KY244" s="10"/>
      <c r="KZ244" s="10"/>
      <c r="LA244" s="10"/>
      <c r="LB244" s="10"/>
      <c r="LC244" s="10"/>
      <c r="LD244" s="10"/>
      <c r="LE244" s="10"/>
      <c r="LF244" s="10"/>
      <c r="LG244" s="10"/>
      <c r="LH244" s="10"/>
      <c r="LI244" s="10"/>
      <c r="LJ244" s="10"/>
      <c r="LK244" s="10"/>
      <c r="LL244" s="10"/>
      <c r="LM244" s="10"/>
      <c r="LN244" s="10"/>
      <c r="LO244" s="10"/>
      <c r="LP244" s="10"/>
      <c r="LQ244" s="10"/>
      <c r="LR244" s="10"/>
      <c r="LS244" s="10"/>
      <c r="LT244" s="10"/>
      <c r="LU244" s="10"/>
      <c r="LV244" s="10"/>
      <c r="LW244" s="10"/>
      <c r="LX244" s="10"/>
      <c r="LY244" s="10"/>
      <c r="LZ244" s="10"/>
      <c r="MA244" s="10"/>
      <c r="MB244" s="10"/>
      <c r="MC244" s="10"/>
      <c r="MD244" s="10"/>
      <c r="ME244" s="10"/>
      <c r="MF244" s="10"/>
      <c r="MG244" s="10"/>
      <c r="MH244" s="10"/>
      <c r="MI244" s="10"/>
      <c r="MJ244" s="10"/>
      <c r="MK244" s="10"/>
      <c r="ML244" s="10"/>
      <c r="MM244" s="10"/>
      <c r="MN244" s="10"/>
      <c r="MO244" s="10"/>
      <c r="MP244" s="10"/>
      <c r="MQ244" s="10"/>
      <c r="MR244" s="10"/>
      <c r="MS244" s="10"/>
      <c r="MT244" s="10"/>
      <c r="MU244" s="10"/>
      <c r="MV244" s="10"/>
      <c r="MW244" s="10"/>
      <c r="MX244" s="10"/>
      <c r="MY244" s="10"/>
      <c r="MZ244" s="10"/>
      <c r="NA244" s="10"/>
      <c r="NB244" s="10"/>
      <c r="NC244" s="10"/>
      <c r="ND244" s="10"/>
    </row>
    <row r="245" ht="24.75" customHeight="1">
      <c r="A245" s="8">
        <v>45864.76644127315</v>
      </c>
      <c r="B245" s="9" t="s">
        <v>368</v>
      </c>
      <c r="C245" s="9" t="s">
        <v>370</v>
      </c>
      <c r="D245" s="9" t="s">
        <v>370</v>
      </c>
      <c r="E245" s="9" t="s">
        <v>1421</v>
      </c>
      <c r="F245" s="9" t="s">
        <v>1421</v>
      </c>
      <c r="G245" s="9" t="s">
        <v>422</v>
      </c>
      <c r="H245" s="9" t="s">
        <v>496</v>
      </c>
      <c r="I245" s="9" t="s">
        <v>424</v>
      </c>
      <c r="J245" s="9" t="s">
        <v>375</v>
      </c>
      <c r="K245" s="9" t="s">
        <v>376</v>
      </c>
      <c r="L245" s="9" t="s">
        <v>377</v>
      </c>
      <c r="M245" s="9" t="s">
        <v>2539</v>
      </c>
      <c r="N245" s="9" t="s">
        <v>377</v>
      </c>
      <c r="O245" s="9" t="s">
        <v>380</v>
      </c>
      <c r="P245" s="9" t="s">
        <v>381</v>
      </c>
      <c r="Q245" s="9" t="s">
        <v>499</v>
      </c>
      <c r="R245" s="9" t="s">
        <v>949</v>
      </c>
      <c r="S245" s="9" t="s">
        <v>384</v>
      </c>
      <c r="T245" s="9" t="s">
        <v>385</v>
      </c>
      <c r="W245" s="9" t="s">
        <v>386</v>
      </c>
      <c r="X245" s="9" t="s">
        <v>387</v>
      </c>
      <c r="Y245" s="9" t="s">
        <v>388</v>
      </c>
      <c r="Z245" s="9" t="s">
        <v>543</v>
      </c>
      <c r="AA245" s="9" t="s">
        <v>5240</v>
      </c>
      <c r="AB245" s="9" t="s">
        <v>5241</v>
      </c>
      <c r="AV245" s="9" t="s">
        <v>1242</v>
      </c>
      <c r="AW245" s="9" t="s">
        <v>675</v>
      </c>
      <c r="AX245" s="9" t="s">
        <v>675</v>
      </c>
      <c r="AY245" s="9" t="s">
        <v>675</v>
      </c>
      <c r="AZ245" s="9" t="s">
        <v>675</v>
      </c>
      <c r="BA245" s="9" t="s">
        <v>675</v>
      </c>
      <c r="BB245" s="9" t="s">
        <v>675</v>
      </c>
      <c r="BE245" s="9" t="s">
        <v>432</v>
      </c>
      <c r="BF245" s="9" t="s">
        <v>1047</v>
      </c>
      <c r="BG245" s="9" t="s">
        <v>434</v>
      </c>
      <c r="BH245" s="9" t="s">
        <v>5242</v>
      </c>
      <c r="BI245" s="9" t="s">
        <v>976</v>
      </c>
      <c r="BK245" s="9" t="s">
        <v>681</v>
      </c>
      <c r="BL245" s="9" t="s">
        <v>904</v>
      </c>
      <c r="BM245" s="9" t="s">
        <v>1247</v>
      </c>
      <c r="BN245" s="9" t="s">
        <v>398</v>
      </c>
      <c r="BO245" s="9" t="s">
        <v>5243</v>
      </c>
      <c r="BP245" s="9" t="s">
        <v>5244</v>
      </c>
      <c r="BQ245" s="9" t="s">
        <v>604</v>
      </c>
      <c r="BR245" s="9" t="s">
        <v>5245</v>
      </c>
      <c r="BS245" s="9" t="s">
        <v>1671</v>
      </c>
      <c r="BT245" s="9" t="s">
        <v>1742</v>
      </c>
      <c r="BU245" s="9" t="s">
        <v>405</v>
      </c>
      <c r="BW245" s="9" t="s">
        <v>988</v>
      </c>
      <c r="BY245" s="9" t="s">
        <v>455</v>
      </c>
      <c r="BZ245" s="9" t="s">
        <v>5246</v>
      </c>
      <c r="CA245" s="9" t="s">
        <v>5247</v>
      </c>
      <c r="CB245" s="9" t="s">
        <v>5248</v>
      </c>
      <c r="CC245" s="9" t="s">
        <v>5249</v>
      </c>
      <c r="CD245" s="9" t="s">
        <v>1257</v>
      </c>
      <c r="CF245" s="9" t="s">
        <v>1722</v>
      </c>
      <c r="CI245" s="9" t="s">
        <v>410</v>
      </c>
      <c r="CJ245" s="9" t="s">
        <v>5250</v>
      </c>
      <c r="CK245" s="9" t="s">
        <v>5251</v>
      </c>
      <c r="ET245" s="9" t="s">
        <v>526</v>
      </c>
      <c r="EU245" s="9" t="s">
        <v>479</v>
      </c>
      <c r="EV245" s="9" t="s">
        <v>480</v>
      </c>
      <c r="EW245" s="9" t="s">
        <v>5252</v>
      </c>
      <c r="EX245" s="9" t="s">
        <v>5253</v>
      </c>
      <c r="EY245" s="9" t="s">
        <v>5254</v>
      </c>
      <c r="EZ245" s="9" t="s">
        <v>413</v>
      </c>
      <c r="FA245" s="9" t="s">
        <v>416</v>
      </c>
      <c r="FB245" s="9" t="s">
        <v>413</v>
      </c>
      <c r="FC245" s="9" t="s">
        <v>413</v>
      </c>
      <c r="FD245" s="9" t="s">
        <v>413</v>
      </c>
      <c r="FE245" s="9" t="s">
        <v>413</v>
      </c>
      <c r="FF245" s="9" t="s">
        <v>413</v>
      </c>
      <c r="FG245" s="9" t="s">
        <v>415</v>
      </c>
      <c r="FH245" s="9" t="s">
        <v>415</v>
      </c>
      <c r="FI245" s="9" t="s">
        <v>583</v>
      </c>
      <c r="FJ245" s="9" t="s">
        <v>416</v>
      </c>
      <c r="FK245" s="9" t="s">
        <v>415</v>
      </c>
      <c r="FL245" s="9" t="s">
        <v>583</v>
      </c>
      <c r="FM245" s="9" t="s">
        <v>415</v>
      </c>
      <c r="FN245" s="9" t="s">
        <v>583</v>
      </c>
      <c r="FO245" s="9" t="s">
        <v>417</v>
      </c>
      <c r="FP245" s="9" t="s">
        <v>418</v>
      </c>
      <c r="FQ245" s="9" t="s">
        <v>749</v>
      </c>
      <c r="FR245" s="9" t="s">
        <v>5255</v>
      </c>
      <c r="FS245" s="9" t="s">
        <v>420</v>
      </c>
      <c r="FT245" s="9" t="s">
        <v>1462</v>
      </c>
      <c r="FU245" s="9" t="s">
        <v>489</v>
      </c>
      <c r="FV245" s="9" t="s">
        <v>490</v>
      </c>
      <c r="FW245" s="9" t="s">
        <v>491</v>
      </c>
      <c r="FX245" s="9" t="s">
        <v>5256</v>
      </c>
      <c r="FY245" s="9" t="s">
        <v>535</v>
      </c>
      <c r="FZ245" s="9" t="s">
        <v>5257</v>
      </c>
      <c r="GA245" s="9" t="s">
        <v>5258</v>
      </c>
      <c r="GB245" s="9" t="s">
        <v>455</v>
      </c>
      <c r="GD245" s="9" t="s">
        <v>5259</v>
      </c>
      <c r="GE245" s="9" t="s">
        <v>1339</v>
      </c>
      <c r="GJ245" s="9" t="s">
        <v>755</v>
      </c>
      <c r="GK245" s="9" t="s">
        <v>755</v>
      </c>
      <c r="GL245" s="9" t="s">
        <v>817</v>
      </c>
      <c r="GQ245" s="9" t="s">
        <v>3208</v>
      </c>
      <c r="GR245" s="9" t="s">
        <v>4774</v>
      </c>
      <c r="GV245" s="9" t="s">
        <v>5260</v>
      </c>
      <c r="GW245" s="9" t="s">
        <v>5261</v>
      </c>
      <c r="GX245" s="9" t="s">
        <v>5262</v>
      </c>
      <c r="GY245" s="9" t="s">
        <v>5233</v>
      </c>
      <c r="GZ245" s="9" t="s">
        <v>484</v>
      </c>
      <c r="HA245" s="9" t="s">
        <v>484</v>
      </c>
      <c r="HB245" s="9" t="s">
        <v>5263</v>
      </c>
      <c r="HO245" s="9" t="s">
        <v>5236</v>
      </c>
      <c r="HP245" s="9" t="s">
        <v>5264</v>
      </c>
      <c r="HQ245" s="9" t="s">
        <v>5238</v>
      </c>
      <c r="HR245" s="9" t="s">
        <v>5265</v>
      </c>
      <c r="HS245" s="10"/>
      <c r="HT245" s="10"/>
      <c r="HU245" s="10"/>
      <c r="HV245" s="10"/>
      <c r="HW245" s="10"/>
      <c r="HX245" s="10"/>
      <c r="HY245" s="10"/>
      <c r="HZ245" s="10"/>
      <c r="IA245" s="10"/>
      <c r="IB245" s="10"/>
      <c r="IC245" s="10"/>
      <c r="ID245" s="10"/>
      <c r="IE245" s="10"/>
      <c r="IF245" s="10"/>
      <c r="IG245" s="10"/>
      <c r="IH245" s="10"/>
      <c r="II245" s="10"/>
      <c r="IJ245" s="10"/>
      <c r="IK245" s="10"/>
      <c r="IL245" s="10"/>
      <c r="IM245" s="10"/>
      <c r="IN245" s="10"/>
      <c r="IO245" s="10"/>
      <c r="IP245" s="10"/>
      <c r="IQ245" s="10"/>
      <c r="IR245" s="10"/>
      <c r="IS245" s="10"/>
      <c r="IT245" s="10"/>
      <c r="IU245" s="10"/>
      <c r="IV245" s="10"/>
      <c r="IW245" s="10"/>
      <c r="IX245" s="10"/>
      <c r="IY245" s="10"/>
      <c r="IZ245" s="10"/>
      <c r="JA245" s="10"/>
      <c r="JB245" s="10"/>
      <c r="JC245" s="10"/>
      <c r="JD245" s="10"/>
      <c r="JE245" s="10"/>
      <c r="JF245" s="10"/>
      <c r="JG245" s="10"/>
      <c r="JH245" s="10"/>
      <c r="JI245" s="10"/>
      <c r="JJ245" s="10"/>
      <c r="JK245" s="10"/>
      <c r="JL245" s="10"/>
      <c r="JM245" s="10"/>
      <c r="JN245" s="10"/>
      <c r="JO245" s="10"/>
      <c r="JP245" s="10"/>
      <c r="JQ245" s="10"/>
      <c r="JR245" s="10"/>
      <c r="JS245" s="10"/>
      <c r="JT245" s="10"/>
      <c r="JU245" s="10"/>
      <c r="JV245" s="10"/>
      <c r="JW245" s="10"/>
      <c r="JX245" s="10"/>
      <c r="JY245" s="10"/>
      <c r="JZ245" s="10"/>
      <c r="KA245" s="10"/>
      <c r="KB245" s="10"/>
      <c r="KC245" s="10"/>
      <c r="KD245" s="10"/>
      <c r="KE245" s="10"/>
      <c r="KF245" s="10"/>
      <c r="KG245" s="10"/>
      <c r="KH245" s="10"/>
      <c r="KI245" s="10"/>
      <c r="KJ245" s="10"/>
      <c r="KK245" s="10"/>
      <c r="KL245" s="10"/>
      <c r="KM245" s="10"/>
      <c r="KN245" s="10"/>
      <c r="KO245" s="10"/>
      <c r="KP245" s="10"/>
      <c r="KQ245" s="10"/>
      <c r="KR245" s="10"/>
      <c r="KS245" s="10"/>
      <c r="KT245" s="10"/>
      <c r="KU245" s="10"/>
      <c r="KV245" s="10"/>
      <c r="KW245" s="10"/>
      <c r="KX245" s="10"/>
      <c r="KY245" s="10"/>
      <c r="KZ245" s="10"/>
      <c r="LA245" s="10"/>
      <c r="LB245" s="10"/>
      <c r="LC245" s="10"/>
      <c r="LD245" s="10"/>
      <c r="LE245" s="10"/>
      <c r="LF245" s="10"/>
      <c r="LG245" s="10"/>
      <c r="LH245" s="10"/>
      <c r="LI245" s="10"/>
      <c r="LJ245" s="10"/>
      <c r="LK245" s="10"/>
      <c r="LL245" s="10"/>
      <c r="LM245" s="10"/>
      <c r="LN245" s="10"/>
      <c r="LO245" s="10"/>
      <c r="LP245" s="10"/>
      <c r="LQ245" s="10"/>
      <c r="LR245" s="10"/>
      <c r="LS245" s="10"/>
      <c r="LT245" s="10"/>
      <c r="LU245" s="10"/>
      <c r="LV245" s="10"/>
      <c r="LW245" s="10"/>
      <c r="LX245" s="10"/>
      <c r="LY245" s="10"/>
      <c r="LZ245" s="10"/>
      <c r="MA245" s="10"/>
      <c r="MB245" s="10"/>
      <c r="MC245" s="10"/>
      <c r="MD245" s="10"/>
      <c r="ME245" s="10"/>
      <c r="MF245" s="10"/>
      <c r="MG245" s="10"/>
      <c r="MH245" s="10"/>
      <c r="MI245" s="10"/>
      <c r="MJ245" s="10"/>
      <c r="MK245" s="10"/>
      <c r="ML245" s="10"/>
      <c r="MM245" s="10"/>
      <c r="MN245" s="10"/>
      <c r="MO245" s="10"/>
      <c r="MP245" s="10"/>
      <c r="MQ245" s="10"/>
      <c r="MR245" s="10"/>
      <c r="MS245" s="10"/>
      <c r="MT245" s="10"/>
      <c r="MU245" s="10"/>
      <c r="MV245" s="10"/>
      <c r="MW245" s="10"/>
      <c r="MX245" s="10"/>
      <c r="MY245" s="10"/>
      <c r="MZ245" s="10"/>
      <c r="NA245" s="10"/>
      <c r="NB245" s="10"/>
      <c r="NC245" s="10"/>
      <c r="ND245" s="10"/>
    </row>
    <row r="246" ht="24.75" customHeight="1">
      <c r="A246" s="8">
        <v>45865.26090908565</v>
      </c>
      <c r="B246" s="9" t="s">
        <v>368</v>
      </c>
      <c r="C246" s="9" t="s">
        <v>2796</v>
      </c>
      <c r="D246" s="9" t="s">
        <v>2796</v>
      </c>
      <c r="G246" s="9" t="s">
        <v>422</v>
      </c>
      <c r="H246" s="9" t="s">
        <v>373</v>
      </c>
      <c r="I246" s="9" t="s">
        <v>638</v>
      </c>
      <c r="J246" s="9" t="s">
        <v>375</v>
      </c>
      <c r="K246" s="9" t="s">
        <v>376</v>
      </c>
      <c r="L246" s="9" t="s">
        <v>426</v>
      </c>
      <c r="M246" s="9" t="s">
        <v>720</v>
      </c>
      <c r="N246" s="9" t="s">
        <v>426</v>
      </c>
      <c r="O246" s="9" t="s">
        <v>380</v>
      </c>
      <c r="P246" s="9" t="s">
        <v>381</v>
      </c>
      <c r="Q246" s="9" t="s">
        <v>1156</v>
      </c>
      <c r="R246" s="9" t="s">
        <v>949</v>
      </c>
      <c r="S246" s="9" t="s">
        <v>384</v>
      </c>
      <c r="T246" s="9" t="s">
        <v>385</v>
      </c>
      <c r="W246" s="9" t="s">
        <v>386</v>
      </c>
      <c r="X246" s="9" t="s">
        <v>387</v>
      </c>
      <c r="Y246" s="9" t="s">
        <v>388</v>
      </c>
      <c r="Z246" s="9" t="s">
        <v>389</v>
      </c>
      <c r="AV246" s="9" t="s">
        <v>1310</v>
      </c>
      <c r="AW246" s="9">
        <v>4.0</v>
      </c>
      <c r="AX246" s="9" t="s">
        <v>391</v>
      </c>
      <c r="AY246" s="9" t="s">
        <v>391</v>
      </c>
      <c r="AZ246" s="9" t="s">
        <v>429</v>
      </c>
      <c r="BA246" s="9" t="s">
        <v>429</v>
      </c>
      <c r="BB246" s="9" t="s">
        <v>391</v>
      </c>
      <c r="BC246" s="9" t="s">
        <v>5266</v>
      </c>
      <c r="BD246" s="9" t="s">
        <v>5267</v>
      </c>
      <c r="BE246" s="9" t="s">
        <v>902</v>
      </c>
      <c r="BF246" s="9" t="s">
        <v>393</v>
      </c>
      <c r="BG246" s="9" t="s">
        <v>765</v>
      </c>
      <c r="BI246" s="9" t="s">
        <v>976</v>
      </c>
      <c r="BK246" s="9" t="s">
        <v>437</v>
      </c>
      <c r="BL246" s="9" t="s">
        <v>603</v>
      </c>
      <c r="BM246" s="9" t="s">
        <v>1247</v>
      </c>
      <c r="BN246" s="9" t="s">
        <v>513</v>
      </c>
      <c r="CL246" s="9" t="s">
        <v>550</v>
      </c>
      <c r="CM246" s="9" t="s">
        <v>604</v>
      </c>
      <c r="CN246" s="9" t="s">
        <v>5268</v>
      </c>
      <c r="CO246" s="9" t="s">
        <v>5269</v>
      </c>
      <c r="CP246" s="9" t="s">
        <v>1008</v>
      </c>
      <c r="CQ246" s="9" t="s">
        <v>5270</v>
      </c>
      <c r="CR246" s="9" t="s">
        <v>404</v>
      </c>
      <c r="CS246" s="9" t="s">
        <v>1851</v>
      </c>
      <c r="CT246" s="9" t="s">
        <v>5271</v>
      </c>
      <c r="CU246" s="9" t="s">
        <v>1961</v>
      </c>
      <c r="CV246" s="9" t="s">
        <v>409</v>
      </c>
      <c r="CW246" s="9" t="s">
        <v>5272</v>
      </c>
      <c r="CX246" s="9" t="s">
        <v>408</v>
      </c>
      <c r="CZ246" s="9" t="s">
        <v>1962</v>
      </c>
      <c r="DB246" s="9" t="s">
        <v>455</v>
      </c>
      <c r="DC246" s="9" t="s">
        <v>5273</v>
      </c>
      <c r="DD246" s="9" t="s">
        <v>662</v>
      </c>
      <c r="DF246" s="9" t="s">
        <v>5274</v>
      </c>
      <c r="DG246" s="9" t="s">
        <v>990</v>
      </c>
      <c r="DH246" s="9" t="s">
        <v>410</v>
      </c>
      <c r="DI246" s="9" t="s">
        <v>963</v>
      </c>
      <c r="DJ246" s="9" t="s">
        <v>562</v>
      </c>
      <c r="DK246" s="9" t="s">
        <v>563</v>
      </c>
      <c r="DL246" s="9" t="s">
        <v>5275</v>
      </c>
      <c r="ET246" s="9" t="s">
        <v>578</v>
      </c>
      <c r="EU246" s="9" t="s">
        <v>579</v>
      </c>
      <c r="EV246" s="9" t="s">
        <v>1262</v>
      </c>
      <c r="EX246" s="9" t="s">
        <v>5276</v>
      </c>
      <c r="EY246" s="9" t="s">
        <v>5277</v>
      </c>
      <c r="EZ246" s="9" t="s">
        <v>415</v>
      </c>
      <c r="FA246" s="9" t="s">
        <v>414</v>
      </c>
      <c r="FB246" s="9" t="s">
        <v>416</v>
      </c>
      <c r="FC246" s="9" t="s">
        <v>414</v>
      </c>
      <c r="FD246" s="9" t="s">
        <v>413</v>
      </c>
      <c r="FE246" s="9" t="s">
        <v>583</v>
      </c>
      <c r="FF246" s="9" t="s">
        <v>583</v>
      </c>
      <c r="FG246" s="9" t="s">
        <v>583</v>
      </c>
      <c r="FH246" s="9" t="s">
        <v>413</v>
      </c>
      <c r="FI246" s="9" t="s">
        <v>413</v>
      </c>
      <c r="FJ246" s="9" t="s">
        <v>415</v>
      </c>
      <c r="FK246" s="9" t="s">
        <v>414</v>
      </c>
      <c r="FL246" s="9" t="s">
        <v>414</v>
      </c>
      <c r="FM246" s="9" t="s">
        <v>414</v>
      </c>
      <c r="FN246" s="9" t="s">
        <v>415</v>
      </c>
      <c r="FO246" s="9" t="s">
        <v>1074</v>
      </c>
      <c r="FP246" s="9" t="s">
        <v>418</v>
      </c>
      <c r="FQ246" s="9" t="s">
        <v>1039</v>
      </c>
      <c r="FR246" s="9" t="s">
        <v>5278</v>
      </c>
      <c r="FS246" s="9" t="s">
        <v>1076</v>
      </c>
      <c r="FT246" s="9" t="s">
        <v>1462</v>
      </c>
      <c r="FU246" s="9" t="s">
        <v>585</v>
      </c>
      <c r="FV246" s="9" t="s">
        <v>1101</v>
      </c>
      <c r="FW246" s="9" t="s">
        <v>1853</v>
      </c>
      <c r="FX246" s="9" t="s">
        <v>5279</v>
      </c>
      <c r="FY246" s="9" t="s">
        <v>493</v>
      </c>
      <c r="FZ246" s="9" t="s">
        <v>5280</v>
      </c>
      <c r="GB246" s="9" t="s">
        <v>408</v>
      </c>
      <c r="GG246" s="9" t="s">
        <v>788</v>
      </c>
      <c r="GH246" s="9" t="s">
        <v>788</v>
      </c>
      <c r="GI246" s="9" t="s">
        <v>817</v>
      </c>
      <c r="GQ246" s="9" t="s">
        <v>3208</v>
      </c>
      <c r="GT246" s="9" t="s">
        <v>4774</v>
      </c>
      <c r="GV246" s="9" t="s">
        <v>5231</v>
      </c>
      <c r="GW246" s="9" t="s">
        <v>5232</v>
      </c>
      <c r="HC246" s="9" t="s">
        <v>5281</v>
      </c>
      <c r="HD246" s="9" t="s">
        <v>5282</v>
      </c>
      <c r="HE246" s="9" t="s">
        <v>5283</v>
      </c>
      <c r="HF246" s="9" t="s">
        <v>5284</v>
      </c>
      <c r="HO246" s="9" t="s">
        <v>5285</v>
      </c>
      <c r="HP246" s="9" t="s">
        <v>5237</v>
      </c>
      <c r="HQ246" s="9" t="s">
        <v>5286</v>
      </c>
      <c r="HR246" s="9" t="s">
        <v>5287</v>
      </c>
      <c r="HS246" s="10"/>
      <c r="HT246" s="10"/>
      <c r="HU246" s="10"/>
      <c r="HV246" s="10"/>
      <c r="HW246" s="10"/>
      <c r="HX246" s="10"/>
      <c r="HY246" s="10"/>
      <c r="HZ246" s="10"/>
      <c r="IA246" s="10"/>
      <c r="IB246" s="10"/>
      <c r="IC246" s="10"/>
      <c r="ID246" s="10"/>
      <c r="IE246" s="10"/>
      <c r="IF246" s="10"/>
      <c r="IG246" s="10"/>
      <c r="IH246" s="10"/>
      <c r="II246" s="10"/>
      <c r="IJ246" s="10"/>
      <c r="IK246" s="10"/>
      <c r="IL246" s="10"/>
      <c r="IM246" s="10"/>
      <c r="IN246" s="10"/>
      <c r="IO246" s="10"/>
      <c r="IP246" s="10"/>
      <c r="IQ246" s="10"/>
      <c r="IR246" s="10"/>
      <c r="IS246" s="10"/>
      <c r="IT246" s="10"/>
      <c r="IU246" s="10"/>
      <c r="IV246" s="10"/>
      <c r="IW246" s="10"/>
      <c r="IX246" s="10"/>
      <c r="IY246" s="10"/>
      <c r="IZ246" s="10"/>
      <c r="JA246" s="10"/>
      <c r="JB246" s="10"/>
      <c r="JC246" s="10"/>
      <c r="JD246" s="10"/>
      <c r="JE246" s="10"/>
      <c r="JF246" s="10"/>
      <c r="JG246" s="10"/>
      <c r="JH246" s="10"/>
      <c r="JI246" s="10"/>
      <c r="JJ246" s="10"/>
      <c r="JK246" s="10"/>
      <c r="JL246" s="10"/>
      <c r="JM246" s="10"/>
      <c r="JN246" s="10"/>
      <c r="JO246" s="10"/>
      <c r="JP246" s="10"/>
      <c r="JQ246" s="10"/>
      <c r="JR246" s="10"/>
      <c r="JS246" s="10"/>
      <c r="JT246" s="10"/>
      <c r="JU246" s="10"/>
      <c r="JV246" s="10"/>
      <c r="JW246" s="10"/>
      <c r="JX246" s="10"/>
      <c r="JY246" s="10"/>
      <c r="JZ246" s="10"/>
      <c r="KA246" s="10"/>
      <c r="KB246" s="10"/>
      <c r="KC246" s="10"/>
      <c r="KD246" s="10"/>
      <c r="KE246" s="10"/>
      <c r="KF246" s="10"/>
      <c r="KG246" s="10"/>
      <c r="KH246" s="10"/>
      <c r="KI246" s="10"/>
      <c r="KJ246" s="10"/>
      <c r="KK246" s="10"/>
      <c r="KL246" s="10"/>
      <c r="KM246" s="10"/>
      <c r="KN246" s="10"/>
      <c r="KO246" s="10"/>
      <c r="KP246" s="10"/>
      <c r="KQ246" s="10"/>
      <c r="KR246" s="10"/>
      <c r="KS246" s="10"/>
      <c r="KT246" s="10"/>
      <c r="KU246" s="10"/>
      <c r="KV246" s="10"/>
      <c r="KW246" s="10"/>
      <c r="KX246" s="10"/>
      <c r="KY246" s="10"/>
      <c r="KZ246" s="10"/>
      <c r="LA246" s="10"/>
      <c r="LB246" s="10"/>
      <c r="LC246" s="10"/>
      <c r="LD246" s="10"/>
      <c r="LE246" s="10"/>
      <c r="LF246" s="10"/>
      <c r="LG246" s="10"/>
      <c r="LH246" s="10"/>
      <c r="LI246" s="10"/>
      <c r="LJ246" s="10"/>
      <c r="LK246" s="10"/>
      <c r="LL246" s="10"/>
      <c r="LM246" s="10"/>
      <c r="LN246" s="10"/>
      <c r="LO246" s="10"/>
      <c r="LP246" s="10"/>
      <c r="LQ246" s="10"/>
      <c r="LR246" s="10"/>
      <c r="LS246" s="10"/>
      <c r="LT246" s="10"/>
      <c r="LU246" s="10"/>
      <c r="LV246" s="10"/>
      <c r="LW246" s="10"/>
      <c r="LX246" s="10"/>
      <c r="LY246" s="10"/>
      <c r="LZ246" s="10"/>
      <c r="MA246" s="10"/>
      <c r="MB246" s="10"/>
      <c r="MC246" s="10"/>
      <c r="MD246" s="10"/>
      <c r="ME246" s="10"/>
      <c r="MF246" s="10"/>
      <c r="MG246" s="10"/>
      <c r="MH246" s="10"/>
      <c r="MI246" s="10"/>
      <c r="MJ246" s="10"/>
      <c r="MK246" s="10"/>
      <c r="ML246" s="10"/>
      <c r="MM246" s="10"/>
      <c r="MN246" s="10"/>
      <c r="MO246" s="10"/>
      <c r="MP246" s="10"/>
      <c r="MQ246" s="10"/>
      <c r="MR246" s="10"/>
      <c r="MS246" s="10"/>
      <c r="MT246" s="10"/>
      <c r="MU246" s="10"/>
      <c r="MV246" s="10"/>
      <c r="MW246" s="10"/>
      <c r="MX246" s="10"/>
      <c r="MY246" s="10"/>
      <c r="MZ246" s="10"/>
      <c r="NA246" s="10"/>
      <c r="NB246" s="10"/>
      <c r="NC246" s="10"/>
      <c r="ND246" s="10"/>
    </row>
    <row r="247" ht="24.75" customHeight="1">
      <c r="A247" s="8">
        <v>45865.286593275465</v>
      </c>
      <c r="B247" s="9" t="s">
        <v>368</v>
      </c>
      <c r="C247" s="9" t="s">
        <v>370</v>
      </c>
      <c r="D247" s="9" t="s">
        <v>370</v>
      </c>
      <c r="E247" s="9" t="s">
        <v>589</v>
      </c>
      <c r="F247" s="9" t="s">
        <v>589</v>
      </c>
      <c r="G247" s="9" t="s">
        <v>1023</v>
      </c>
      <c r="H247" s="9" t="s">
        <v>539</v>
      </c>
      <c r="I247" s="9" t="s">
        <v>424</v>
      </c>
      <c r="J247" s="9" t="s">
        <v>425</v>
      </c>
      <c r="K247" s="9" t="s">
        <v>376</v>
      </c>
      <c r="L247" s="9" t="s">
        <v>591</v>
      </c>
      <c r="M247" s="9" t="s">
        <v>378</v>
      </c>
      <c r="N247" s="9" t="s">
        <v>591</v>
      </c>
      <c r="O247" s="9" t="s">
        <v>639</v>
      </c>
      <c r="P247" s="9" t="s">
        <v>1760</v>
      </c>
      <c r="Q247" s="9" t="s">
        <v>1156</v>
      </c>
      <c r="R247" s="9" t="s">
        <v>427</v>
      </c>
      <c r="S247" s="9" t="s">
        <v>384</v>
      </c>
      <c r="T247" s="9" t="s">
        <v>385</v>
      </c>
      <c r="W247" s="9" t="s">
        <v>593</v>
      </c>
      <c r="X247" s="9" t="s">
        <v>387</v>
      </c>
      <c r="Y247" s="9" t="s">
        <v>2115</v>
      </c>
      <c r="Z247" s="9" t="s">
        <v>502</v>
      </c>
      <c r="AA247" s="9" t="s">
        <v>5288</v>
      </c>
      <c r="AB247" s="9" t="s">
        <v>5289</v>
      </c>
      <c r="AV247" s="9" t="s">
        <v>597</v>
      </c>
      <c r="AW247" s="9" t="s">
        <v>391</v>
      </c>
      <c r="AX247" s="9" t="s">
        <v>429</v>
      </c>
      <c r="AY247" s="9" t="s">
        <v>429</v>
      </c>
      <c r="AZ247" s="9" t="s">
        <v>429</v>
      </c>
      <c r="BA247" s="9" t="s">
        <v>429</v>
      </c>
      <c r="BB247" s="9" t="s">
        <v>429</v>
      </c>
      <c r="BE247" s="9" t="s">
        <v>392</v>
      </c>
      <c r="BF247" s="9" t="s">
        <v>393</v>
      </c>
      <c r="BG247" s="9" t="s">
        <v>765</v>
      </c>
      <c r="BI247" s="9" t="s">
        <v>509</v>
      </c>
      <c r="BK247" s="9" t="s">
        <v>511</v>
      </c>
      <c r="BL247" s="9" t="s">
        <v>512</v>
      </c>
      <c r="BM247" s="9" t="s">
        <v>549</v>
      </c>
      <c r="BN247" s="9" t="s">
        <v>513</v>
      </c>
      <c r="CL247" s="9" t="s">
        <v>441</v>
      </c>
      <c r="CM247" s="9" t="s">
        <v>442</v>
      </c>
      <c r="CO247" s="9" t="s">
        <v>5290</v>
      </c>
      <c r="CP247" s="9" t="s">
        <v>1008</v>
      </c>
      <c r="CQ247" s="9" t="s">
        <v>2064</v>
      </c>
      <c r="CR247" s="9" t="s">
        <v>447</v>
      </c>
      <c r="CS247" s="9" t="s">
        <v>5291</v>
      </c>
      <c r="CT247" s="9" t="s">
        <v>5292</v>
      </c>
      <c r="CU247" s="9" t="s">
        <v>519</v>
      </c>
      <c r="CV247" s="9" t="s">
        <v>451</v>
      </c>
      <c r="CW247" s="9" t="s">
        <v>5293</v>
      </c>
      <c r="CX247" s="9" t="s">
        <v>408</v>
      </c>
      <c r="CZ247" s="9" t="s">
        <v>1398</v>
      </c>
      <c r="DA247" s="9" t="s">
        <v>5294</v>
      </c>
      <c r="DB247" s="9" t="s">
        <v>408</v>
      </c>
      <c r="DD247" s="9" t="s">
        <v>406</v>
      </c>
      <c r="DE247" s="9" t="s">
        <v>1867</v>
      </c>
      <c r="DG247" s="9" t="s">
        <v>561</v>
      </c>
      <c r="DH247" s="9" t="s">
        <v>833</v>
      </c>
      <c r="DI247" s="9" t="s">
        <v>459</v>
      </c>
      <c r="DJ247" s="9" t="s">
        <v>613</v>
      </c>
      <c r="ET247" s="9" t="s">
        <v>2747</v>
      </c>
      <c r="EU247" s="9" t="s">
        <v>479</v>
      </c>
      <c r="EV247" s="9" t="s">
        <v>1534</v>
      </c>
      <c r="EZ247" s="9" t="s">
        <v>413</v>
      </c>
      <c r="FA247" s="9" t="s">
        <v>416</v>
      </c>
      <c r="FB247" s="9" t="s">
        <v>413</v>
      </c>
      <c r="FC247" s="9" t="s">
        <v>413</v>
      </c>
      <c r="FD247" s="9" t="s">
        <v>413</v>
      </c>
      <c r="FE247" s="9" t="s">
        <v>416</v>
      </c>
      <c r="FF247" s="9" t="s">
        <v>413</v>
      </c>
      <c r="FG247" s="9" t="s">
        <v>413</v>
      </c>
      <c r="FH247" s="9" t="s">
        <v>583</v>
      </c>
      <c r="FI247" s="9" t="s">
        <v>583</v>
      </c>
      <c r="FJ247" s="9" t="s">
        <v>414</v>
      </c>
      <c r="FK247" s="9" t="s">
        <v>413</v>
      </c>
      <c r="FL247" s="9" t="s">
        <v>415</v>
      </c>
      <c r="FM247" s="9" t="s">
        <v>413</v>
      </c>
      <c r="FN247" s="9" t="s">
        <v>583</v>
      </c>
      <c r="FO247" s="9" t="s">
        <v>417</v>
      </c>
      <c r="FP247" s="9" t="s">
        <v>418</v>
      </c>
      <c r="FQ247" s="9" t="s">
        <v>419</v>
      </c>
      <c r="FS247" s="9" t="s">
        <v>1189</v>
      </c>
      <c r="FT247" s="9" t="s">
        <v>488</v>
      </c>
      <c r="FU247" s="9" t="s">
        <v>533</v>
      </c>
      <c r="FV247" s="9" t="s">
        <v>490</v>
      </c>
      <c r="FW247" s="9" t="s">
        <v>491</v>
      </c>
      <c r="FX247" s="9" t="s">
        <v>5295</v>
      </c>
      <c r="FY247" s="9" t="s">
        <v>535</v>
      </c>
      <c r="FZ247" s="9" t="s">
        <v>5296</v>
      </c>
      <c r="GB247" s="9" t="s">
        <v>455</v>
      </c>
      <c r="GC247" s="9"/>
      <c r="GE247" s="9" t="s">
        <v>753</v>
      </c>
      <c r="GG247" s="9" t="s">
        <v>789</v>
      </c>
      <c r="GH247" s="9" t="s">
        <v>789</v>
      </c>
      <c r="GI247" s="9" t="s">
        <v>817</v>
      </c>
      <c r="GQ247" s="9" t="s">
        <v>3208</v>
      </c>
      <c r="GT247" s="9" t="s">
        <v>4774</v>
      </c>
      <c r="GV247" s="9" t="s">
        <v>5231</v>
      </c>
      <c r="GW247" s="9" t="s">
        <v>5232</v>
      </c>
      <c r="HC247" s="9" t="s">
        <v>5297</v>
      </c>
      <c r="HD247" s="9" t="s">
        <v>5298</v>
      </c>
      <c r="HE247" s="9" t="s">
        <v>5299</v>
      </c>
      <c r="HF247" s="9" t="s">
        <v>5300</v>
      </c>
      <c r="HO247" s="9" t="s">
        <v>5301</v>
      </c>
      <c r="HP247" s="9" t="s">
        <v>5302</v>
      </c>
      <c r="HQ247" s="9" t="s">
        <v>5238</v>
      </c>
      <c r="HR247" s="9" t="s">
        <v>5287</v>
      </c>
      <c r="HS247" s="10"/>
      <c r="HT247" s="10"/>
      <c r="HU247" s="10"/>
      <c r="HV247" s="10"/>
      <c r="HW247" s="10"/>
      <c r="HX247" s="10"/>
      <c r="HY247" s="10"/>
      <c r="HZ247" s="10"/>
      <c r="IA247" s="10"/>
      <c r="IB247" s="10"/>
      <c r="IC247" s="10"/>
      <c r="ID247" s="10"/>
      <c r="IE247" s="10"/>
      <c r="IF247" s="10"/>
      <c r="IG247" s="10"/>
      <c r="IH247" s="10"/>
      <c r="II247" s="10"/>
      <c r="IJ247" s="10"/>
      <c r="IK247" s="10"/>
      <c r="IL247" s="10"/>
      <c r="IM247" s="10"/>
      <c r="IN247" s="10"/>
      <c r="IO247" s="10"/>
      <c r="IP247" s="10"/>
      <c r="IQ247" s="10"/>
      <c r="IR247" s="10"/>
      <c r="IS247" s="10"/>
      <c r="IT247" s="10"/>
      <c r="IU247" s="10"/>
      <c r="IV247" s="10"/>
      <c r="IW247" s="10"/>
      <c r="IX247" s="10"/>
      <c r="IY247" s="10"/>
      <c r="IZ247" s="10"/>
      <c r="JA247" s="10"/>
      <c r="JB247" s="10"/>
      <c r="JC247" s="10"/>
      <c r="JD247" s="10"/>
      <c r="JE247" s="10"/>
      <c r="JF247" s="10"/>
      <c r="JG247" s="10"/>
      <c r="JH247" s="10"/>
      <c r="JI247" s="10"/>
      <c r="JJ247" s="10"/>
      <c r="JK247" s="10"/>
      <c r="JL247" s="10"/>
      <c r="JM247" s="10"/>
      <c r="JN247" s="10"/>
      <c r="JO247" s="10"/>
      <c r="JP247" s="10"/>
      <c r="JQ247" s="10"/>
      <c r="JR247" s="10"/>
      <c r="JS247" s="10"/>
      <c r="JT247" s="10"/>
      <c r="JU247" s="10"/>
      <c r="JV247" s="10"/>
      <c r="JW247" s="10"/>
      <c r="JX247" s="10"/>
      <c r="JY247" s="10"/>
      <c r="JZ247" s="10"/>
      <c r="KA247" s="10"/>
      <c r="KB247" s="10"/>
      <c r="KC247" s="10"/>
      <c r="KD247" s="10"/>
      <c r="KE247" s="10"/>
      <c r="KF247" s="10"/>
      <c r="KG247" s="10"/>
      <c r="KH247" s="10"/>
      <c r="KI247" s="10"/>
      <c r="KJ247" s="10"/>
      <c r="KK247" s="10"/>
      <c r="KL247" s="10"/>
      <c r="KM247" s="10"/>
      <c r="KN247" s="10"/>
      <c r="KO247" s="10"/>
      <c r="KP247" s="10"/>
      <c r="KQ247" s="10"/>
      <c r="KR247" s="10"/>
      <c r="KS247" s="10"/>
      <c r="KT247" s="10"/>
      <c r="KU247" s="10"/>
      <c r="KV247" s="10"/>
      <c r="KW247" s="10"/>
      <c r="KX247" s="10"/>
      <c r="KY247" s="10"/>
      <c r="KZ247" s="10"/>
      <c r="LA247" s="10"/>
      <c r="LB247" s="10"/>
      <c r="LC247" s="10"/>
      <c r="LD247" s="10"/>
      <c r="LE247" s="10"/>
      <c r="LF247" s="10"/>
      <c r="LG247" s="10"/>
      <c r="LH247" s="10"/>
      <c r="LI247" s="10"/>
      <c r="LJ247" s="10"/>
      <c r="LK247" s="10"/>
      <c r="LL247" s="10"/>
      <c r="LM247" s="10"/>
      <c r="LN247" s="10"/>
      <c r="LO247" s="10"/>
      <c r="LP247" s="10"/>
      <c r="LQ247" s="10"/>
      <c r="LR247" s="10"/>
      <c r="LS247" s="10"/>
      <c r="LT247" s="10"/>
      <c r="LU247" s="10"/>
      <c r="LV247" s="10"/>
      <c r="LW247" s="10"/>
      <c r="LX247" s="10"/>
      <c r="LY247" s="10"/>
      <c r="LZ247" s="10"/>
      <c r="MA247" s="10"/>
      <c r="MB247" s="10"/>
      <c r="MC247" s="10"/>
      <c r="MD247" s="10"/>
      <c r="ME247" s="10"/>
      <c r="MF247" s="10"/>
      <c r="MG247" s="10"/>
      <c r="MH247" s="10"/>
      <c r="MI247" s="10"/>
      <c r="MJ247" s="10"/>
      <c r="MK247" s="10"/>
      <c r="ML247" s="10"/>
      <c r="MM247" s="10"/>
      <c r="MN247" s="10"/>
      <c r="MO247" s="10"/>
      <c r="MP247" s="10"/>
      <c r="MQ247" s="10"/>
      <c r="MR247" s="10"/>
      <c r="MS247" s="10"/>
      <c r="MT247" s="10"/>
      <c r="MU247" s="10"/>
      <c r="MV247" s="10"/>
      <c r="MW247" s="10"/>
      <c r="MX247" s="10"/>
      <c r="MY247" s="10"/>
      <c r="MZ247" s="10"/>
      <c r="NA247" s="10"/>
      <c r="NB247" s="10"/>
      <c r="NC247" s="10"/>
      <c r="ND247" s="10"/>
    </row>
    <row r="248" ht="24.75" customHeight="1">
      <c r="A248" s="8">
        <v>45865.616428368055</v>
      </c>
      <c r="B248" s="9" t="s">
        <v>368</v>
      </c>
      <c r="C248" s="9" t="s">
        <v>370</v>
      </c>
      <c r="D248" s="9" t="s">
        <v>370</v>
      </c>
      <c r="E248" s="9" t="s">
        <v>371</v>
      </c>
      <c r="F248" s="9" t="s">
        <v>371</v>
      </c>
      <c r="G248" s="9" t="s">
        <v>422</v>
      </c>
      <c r="H248" s="9" t="s">
        <v>496</v>
      </c>
      <c r="I248" s="9" t="s">
        <v>374</v>
      </c>
      <c r="J248" s="9" t="s">
        <v>1240</v>
      </c>
      <c r="K248" s="9" t="s">
        <v>376</v>
      </c>
      <c r="L248" s="9" t="s">
        <v>379</v>
      </c>
      <c r="M248" s="9" t="s">
        <v>719</v>
      </c>
      <c r="N248" s="9" t="s">
        <v>426</v>
      </c>
      <c r="O248" s="9" t="s">
        <v>497</v>
      </c>
      <c r="P248" s="9" t="s">
        <v>498</v>
      </c>
      <c r="Q248" s="9" t="s">
        <v>499</v>
      </c>
      <c r="R248" s="9" t="s">
        <v>427</v>
      </c>
      <c r="S248" s="9" t="s">
        <v>384</v>
      </c>
      <c r="T248" s="9" t="s">
        <v>385</v>
      </c>
      <c r="W248" s="9" t="s">
        <v>3014</v>
      </c>
      <c r="AV248" s="9" t="s">
        <v>390</v>
      </c>
      <c r="AW248" s="9" t="s">
        <v>429</v>
      </c>
      <c r="AX248" s="9" t="s">
        <v>429</v>
      </c>
      <c r="AY248" s="9" t="s">
        <v>429</v>
      </c>
      <c r="AZ248" s="9" t="s">
        <v>429</v>
      </c>
      <c r="BA248" s="9" t="s">
        <v>429</v>
      </c>
      <c r="BB248" s="9">
        <v>2.0</v>
      </c>
      <c r="BC248" s="9" t="s">
        <v>5303</v>
      </c>
      <c r="BD248" s="9" t="s">
        <v>5304</v>
      </c>
      <c r="BE248" s="9" t="s">
        <v>392</v>
      </c>
      <c r="BF248" s="9" t="s">
        <v>433</v>
      </c>
      <c r="BG248" s="9" t="s">
        <v>678</v>
      </c>
      <c r="BH248" s="9" t="s">
        <v>5305</v>
      </c>
      <c r="BI248" s="9" t="s">
        <v>435</v>
      </c>
      <c r="BJ248" s="9" t="s">
        <v>5306</v>
      </c>
      <c r="BK248" s="9" t="s">
        <v>511</v>
      </c>
      <c r="BL248" s="9" t="s">
        <v>603</v>
      </c>
      <c r="BM248" s="9" t="s">
        <v>439</v>
      </c>
      <c r="BN248" s="9" t="s">
        <v>513</v>
      </c>
      <c r="CL248" s="9" t="s">
        <v>441</v>
      </c>
      <c r="CM248" s="9" t="s">
        <v>401</v>
      </c>
      <c r="CN248" s="9" t="s">
        <v>552</v>
      </c>
      <c r="CO248" s="9" t="s">
        <v>455</v>
      </c>
      <c r="CP248" s="9" t="s">
        <v>685</v>
      </c>
      <c r="CQ248" s="9" t="s">
        <v>5307</v>
      </c>
      <c r="CR248" s="9" t="s">
        <v>804</v>
      </c>
      <c r="CS248" s="9" t="s">
        <v>5308</v>
      </c>
      <c r="CT248" s="9" t="s">
        <v>5309</v>
      </c>
      <c r="CU248" s="9" t="s">
        <v>450</v>
      </c>
      <c r="CV248" s="9" t="s">
        <v>451</v>
      </c>
      <c r="CW248" s="9" t="s">
        <v>5310</v>
      </c>
      <c r="CX248" s="9" t="s">
        <v>733</v>
      </c>
      <c r="CZ248" s="9" t="s">
        <v>453</v>
      </c>
      <c r="DA248" s="9" t="s">
        <v>5311</v>
      </c>
      <c r="DB248" s="9" t="s">
        <v>455</v>
      </c>
      <c r="DC248" s="9" t="s">
        <v>5312</v>
      </c>
      <c r="DD248" s="9" t="s">
        <v>457</v>
      </c>
      <c r="DG248" s="9" t="s">
        <v>524</v>
      </c>
      <c r="DH248" s="9" t="s">
        <v>410</v>
      </c>
      <c r="DI248" s="9" t="s">
        <v>459</v>
      </c>
      <c r="DJ248" s="9" t="s">
        <v>460</v>
      </c>
      <c r="DK248" s="9" t="s">
        <v>461</v>
      </c>
      <c r="ET248" s="9" t="s">
        <v>526</v>
      </c>
      <c r="EU248" s="9" t="s">
        <v>479</v>
      </c>
      <c r="EV248" s="9" t="s">
        <v>480</v>
      </c>
      <c r="EX248" s="9" t="s">
        <v>5313</v>
      </c>
      <c r="EY248" s="9" t="s">
        <v>552</v>
      </c>
      <c r="EZ248" s="9" t="s">
        <v>583</v>
      </c>
      <c r="FA248" s="9" t="s">
        <v>583</v>
      </c>
      <c r="FB248" s="9" t="s">
        <v>583</v>
      </c>
      <c r="FC248" s="9" t="s">
        <v>583</v>
      </c>
      <c r="FD248" s="9" t="s">
        <v>415</v>
      </c>
      <c r="FE248" s="9" t="s">
        <v>583</v>
      </c>
      <c r="FF248" s="9" t="s">
        <v>583</v>
      </c>
      <c r="FG248" s="9" t="s">
        <v>416</v>
      </c>
      <c r="FH248" s="9" t="s">
        <v>583</v>
      </c>
      <c r="FI248" s="9" t="s">
        <v>583</v>
      </c>
      <c r="FJ248" s="9" t="s">
        <v>583</v>
      </c>
      <c r="FK248" s="9" t="s">
        <v>583</v>
      </c>
      <c r="FL248" s="9" t="s">
        <v>583</v>
      </c>
      <c r="FM248" s="9" t="s">
        <v>413</v>
      </c>
      <c r="FN248" s="9" t="s">
        <v>583</v>
      </c>
      <c r="FO248" s="9" t="s">
        <v>417</v>
      </c>
      <c r="FP248" s="9" t="s">
        <v>486</v>
      </c>
      <c r="FQ248" s="9" t="s">
        <v>419</v>
      </c>
      <c r="FR248" s="9" t="s">
        <v>5314</v>
      </c>
      <c r="FS248" s="9" t="s">
        <v>420</v>
      </c>
      <c r="FT248" s="9" t="s">
        <v>1462</v>
      </c>
      <c r="FU248" s="9" t="s">
        <v>533</v>
      </c>
      <c r="FV248" s="9" t="s">
        <v>490</v>
      </c>
      <c r="FW248" s="9" t="s">
        <v>491</v>
      </c>
      <c r="FX248" s="9" t="s">
        <v>5315</v>
      </c>
      <c r="FY248" s="9" t="s">
        <v>1020</v>
      </c>
      <c r="FZ248" s="9" t="s">
        <v>5316</v>
      </c>
      <c r="GB248" s="9" t="s">
        <v>455</v>
      </c>
      <c r="GC248" s="9"/>
      <c r="GD248" s="9"/>
      <c r="GE248" s="9" t="s">
        <v>786</v>
      </c>
      <c r="GF248" s="9" t="s">
        <v>5317</v>
      </c>
      <c r="GG248" s="9" t="s">
        <v>857</v>
      </c>
      <c r="GH248" s="9" t="s">
        <v>857</v>
      </c>
      <c r="GI248" s="9" t="s">
        <v>790</v>
      </c>
      <c r="GQ248" s="9" t="s">
        <v>3208</v>
      </c>
      <c r="GT248" s="9" t="s">
        <v>5318</v>
      </c>
      <c r="GU248" s="9" t="s">
        <v>5319</v>
      </c>
      <c r="GV248" s="9" t="s">
        <v>5231</v>
      </c>
      <c r="GW248" s="9" t="s">
        <v>5232</v>
      </c>
      <c r="HC248" s="9" t="s">
        <v>5297</v>
      </c>
      <c r="HD248" s="9" t="s">
        <v>5282</v>
      </c>
      <c r="HE248" s="9" t="s">
        <v>5320</v>
      </c>
      <c r="HF248" s="9" t="s">
        <v>5284</v>
      </c>
      <c r="HO248" s="9" t="s">
        <v>5236</v>
      </c>
      <c r="HP248" s="9" t="s">
        <v>5237</v>
      </c>
      <c r="HQ248" s="9" t="s">
        <v>5238</v>
      </c>
      <c r="HR248" s="9" t="s">
        <v>5321</v>
      </c>
      <c r="HS248" s="10"/>
      <c r="HT248" s="10"/>
      <c r="HU248" s="10"/>
      <c r="HV248" s="10"/>
      <c r="HW248" s="10"/>
      <c r="HX248" s="10"/>
      <c r="HY248" s="10"/>
      <c r="HZ248" s="10"/>
      <c r="IA248" s="10"/>
      <c r="IB248" s="10"/>
      <c r="IC248" s="10"/>
      <c r="ID248" s="10"/>
      <c r="IE248" s="10"/>
      <c r="IF248" s="10"/>
      <c r="IG248" s="10"/>
      <c r="IH248" s="10"/>
      <c r="II248" s="10"/>
      <c r="IJ248" s="10"/>
      <c r="IK248" s="10"/>
      <c r="IL248" s="10"/>
      <c r="IM248" s="10"/>
      <c r="IN248" s="10"/>
      <c r="IO248" s="10"/>
      <c r="IP248" s="10"/>
      <c r="IQ248" s="10"/>
      <c r="IR248" s="10"/>
      <c r="IS248" s="10"/>
      <c r="IT248" s="10"/>
      <c r="IU248" s="10"/>
      <c r="IV248" s="10"/>
      <c r="IW248" s="10"/>
      <c r="IX248" s="10"/>
      <c r="IY248" s="10"/>
      <c r="IZ248" s="10"/>
      <c r="JA248" s="10"/>
      <c r="JB248" s="10"/>
      <c r="JC248" s="10"/>
      <c r="JD248" s="10"/>
      <c r="JE248" s="10"/>
      <c r="JF248" s="10"/>
      <c r="JG248" s="10"/>
      <c r="JH248" s="10"/>
      <c r="JI248" s="10"/>
      <c r="JJ248" s="10"/>
      <c r="JK248" s="10"/>
      <c r="JL248" s="10"/>
      <c r="JM248" s="10"/>
      <c r="JN248" s="10"/>
      <c r="JO248" s="10"/>
      <c r="JP248" s="10"/>
      <c r="JQ248" s="10"/>
      <c r="JR248" s="10"/>
      <c r="JS248" s="10"/>
      <c r="JT248" s="10"/>
      <c r="JU248" s="10"/>
      <c r="JV248" s="10"/>
      <c r="JW248" s="10"/>
      <c r="JX248" s="10"/>
      <c r="JY248" s="10"/>
      <c r="JZ248" s="10"/>
      <c r="KA248" s="10"/>
      <c r="KB248" s="10"/>
      <c r="KC248" s="10"/>
      <c r="KD248" s="10"/>
      <c r="KE248" s="10"/>
      <c r="KF248" s="10"/>
      <c r="KG248" s="10"/>
      <c r="KH248" s="10"/>
      <c r="KI248" s="10"/>
      <c r="KJ248" s="10"/>
      <c r="KK248" s="10"/>
      <c r="KL248" s="10"/>
      <c r="KM248" s="10"/>
      <c r="KN248" s="10"/>
      <c r="KO248" s="10"/>
      <c r="KP248" s="10"/>
      <c r="KQ248" s="10"/>
      <c r="KR248" s="10"/>
      <c r="KS248" s="10"/>
      <c r="KT248" s="10"/>
      <c r="KU248" s="10"/>
      <c r="KV248" s="10"/>
      <c r="KW248" s="10"/>
      <c r="KX248" s="10"/>
      <c r="KY248" s="10"/>
      <c r="KZ248" s="10"/>
      <c r="LA248" s="10"/>
      <c r="LB248" s="10"/>
      <c r="LC248" s="10"/>
      <c r="LD248" s="10"/>
      <c r="LE248" s="10"/>
      <c r="LF248" s="10"/>
      <c r="LG248" s="10"/>
      <c r="LH248" s="10"/>
      <c r="LI248" s="10"/>
      <c r="LJ248" s="10"/>
      <c r="LK248" s="10"/>
      <c r="LL248" s="10"/>
      <c r="LM248" s="10"/>
      <c r="LN248" s="10"/>
      <c r="LO248" s="10"/>
      <c r="LP248" s="10"/>
      <c r="LQ248" s="10"/>
      <c r="LR248" s="10"/>
      <c r="LS248" s="10"/>
      <c r="LT248" s="10"/>
      <c r="LU248" s="10"/>
      <c r="LV248" s="10"/>
      <c r="LW248" s="10"/>
      <c r="LX248" s="10"/>
      <c r="LY248" s="10"/>
      <c r="LZ248" s="10"/>
      <c r="MA248" s="10"/>
      <c r="MB248" s="10"/>
      <c r="MC248" s="10"/>
      <c r="MD248" s="10"/>
      <c r="ME248" s="10"/>
      <c r="MF248" s="10"/>
      <c r="MG248" s="10"/>
      <c r="MH248" s="10"/>
      <c r="MI248" s="10"/>
      <c r="MJ248" s="10"/>
      <c r="MK248" s="10"/>
      <c r="ML248" s="10"/>
      <c r="MM248" s="10"/>
      <c r="MN248" s="10"/>
      <c r="MO248" s="10"/>
      <c r="MP248" s="10"/>
      <c r="MQ248" s="10"/>
      <c r="MR248" s="10"/>
      <c r="MS248" s="10"/>
      <c r="MT248" s="10"/>
      <c r="MU248" s="10"/>
      <c r="MV248" s="10"/>
      <c r="MW248" s="10"/>
      <c r="MX248" s="10"/>
      <c r="MY248" s="10"/>
      <c r="MZ248" s="10"/>
      <c r="NA248" s="10"/>
      <c r="NB248" s="10"/>
      <c r="NC248" s="10"/>
      <c r="ND248" s="10"/>
    </row>
    <row r="249" ht="24.75" customHeight="1">
      <c r="A249" s="8">
        <v>45866.35659802084</v>
      </c>
      <c r="B249" s="9" t="s">
        <v>368</v>
      </c>
      <c r="C249" s="9" t="s">
        <v>370</v>
      </c>
      <c r="D249" s="9" t="s">
        <v>370</v>
      </c>
      <c r="E249" s="9" t="s">
        <v>1480</v>
      </c>
      <c r="F249" s="9" t="s">
        <v>1421</v>
      </c>
      <c r="G249" s="9" t="s">
        <v>422</v>
      </c>
      <c r="H249" s="9" t="s">
        <v>373</v>
      </c>
      <c r="I249" s="9" t="s">
        <v>638</v>
      </c>
      <c r="J249" s="9" t="s">
        <v>425</v>
      </c>
      <c r="K249" s="9" t="s">
        <v>376</v>
      </c>
      <c r="L249" s="9" t="s">
        <v>426</v>
      </c>
      <c r="M249" s="9" t="s">
        <v>2539</v>
      </c>
      <c r="N249" s="9" t="s">
        <v>591</v>
      </c>
      <c r="O249" s="9" t="s">
        <v>2464</v>
      </c>
      <c r="P249" s="9" t="s">
        <v>1760</v>
      </c>
      <c r="Q249" s="9" t="s">
        <v>1156</v>
      </c>
      <c r="R249" s="9" t="s">
        <v>500</v>
      </c>
      <c r="S249" s="9" t="s">
        <v>384</v>
      </c>
      <c r="T249" s="9" t="s">
        <v>385</v>
      </c>
      <c r="W249" s="9" t="s">
        <v>593</v>
      </c>
      <c r="X249" s="9" t="s">
        <v>387</v>
      </c>
      <c r="Y249" s="9" t="s">
        <v>388</v>
      </c>
      <c r="Z249" s="9" t="s">
        <v>543</v>
      </c>
      <c r="AA249" s="9" t="s">
        <v>408</v>
      </c>
      <c r="AB249" s="9" t="s">
        <v>5322</v>
      </c>
      <c r="AV249" s="9" t="s">
        <v>390</v>
      </c>
      <c r="AW249" s="9" t="s">
        <v>391</v>
      </c>
      <c r="AX249" s="9">
        <v>4.0</v>
      </c>
      <c r="AY249" s="9">
        <v>2.0</v>
      </c>
      <c r="AZ249" s="9" t="s">
        <v>429</v>
      </c>
      <c r="BA249" s="9" t="s">
        <v>429</v>
      </c>
      <c r="BB249" s="9">
        <v>2.0</v>
      </c>
      <c r="BC249" s="9" t="s">
        <v>5323</v>
      </c>
      <c r="BD249" s="9" t="s">
        <v>5324</v>
      </c>
      <c r="BE249" s="9" t="s">
        <v>432</v>
      </c>
      <c r="BF249" s="9" t="s">
        <v>433</v>
      </c>
      <c r="BG249" s="9" t="s">
        <v>678</v>
      </c>
      <c r="BH249" s="9" t="s">
        <v>5325</v>
      </c>
      <c r="BI249" s="9" t="s">
        <v>509</v>
      </c>
      <c r="BJ249" s="9" t="s">
        <v>5326</v>
      </c>
      <c r="BK249" s="9" t="s">
        <v>511</v>
      </c>
      <c r="BL249" s="9" t="s">
        <v>438</v>
      </c>
      <c r="BM249" s="9" t="s">
        <v>439</v>
      </c>
      <c r="BN249" s="9" t="s">
        <v>440</v>
      </c>
      <c r="CX249" s="9" t="s">
        <v>408</v>
      </c>
      <c r="CZ249" s="9" t="s">
        <v>453</v>
      </c>
      <c r="DA249" s="9" t="s">
        <v>5327</v>
      </c>
      <c r="DB249" s="9" t="s">
        <v>408</v>
      </c>
      <c r="DD249" s="9" t="s">
        <v>406</v>
      </c>
      <c r="DE249" s="9" t="s">
        <v>407</v>
      </c>
      <c r="DF249" s="9" t="s">
        <v>5328</v>
      </c>
      <c r="DG249" s="9" t="s">
        <v>524</v>
      </c>
      <c r="DH249" s="9" t="s">
        <v>410</v>
      </c>
      <c r="DI249" s="9" t="s">
        <v>459</v>
      </c>
      <c r="DJ249" s="9" t="s">
        <v>613</v>
      </c>
      <c r="DM249" s="9" t="s">
        <v>5329</v>
      </c>
      <c r="DN249" s="9" t="s">
        <v>5330</v>
      </c>
      <c r="DO249" s="9" t="s">
        <v>464</v>
      </c>
      <c r="DP249" s="9" t="s">
        <v>5331</v>
      </c>
      <c r="DQ249" s="9" t="s">
        <v>466</v>
      </c>
      <c r="DR249" s="9" t="s">
        <v>5332</v>
      </c>
      <c r="DS249" s="9" t="s">
        <v>702</v>
      </c>
      <c r="DT249" s="9" t="s">
        <v>570</v>
      </c>
      <c r="DU249" s="9" t="s">
        <v>5333</v>
      </c>
      <c r="DV249" s="9" t="s">
        <v>5334</v>
      </c>
      <c r="DW249" s="9" t="s">
        <v>622</v>
      </c>
      <c r="DX249" s="9" t="s">
        <v>1131</v>
      </c>
      <c r="DY249" s="9" t="s">
        <v>5335</v>
      </c>
      <c r="DZ249" s="9" t="s">
        <v>5336</v>
      </c>
      <c r="EA249" s="9" t="s">
        <v>475</v>
      </c>
      <c r="EB249" s="9" t="s">
        <v>5337</v>
      </c>
      <c r="EC249" s="9" t="s">
        <v>5338</v>
      </c>
      <c r="ET249" s="9" t="s">
        <v>526</v>
      </c>
      <c r="EU249" s="9" t="s">
        <v>479</v>
      </c>
      <c r="EV249" s="9" t="s">
        <v>480</v>
      </c>
      <c r="EX249" s="9" t="s">
        <v>5339</v>
      </c>
      <c r="EY249" s="9" t="s">
        <v>2829</v>
      </c>
      <c r="EZ249" s="9" t="s">
        <v>414</v>
      </c>
      <c r="FA249" s="9" t="s">
        <v>414</v>
      </c>
      <c r="FB249" s="9" t="s">
        <v>413</v>
      </c>
      <c r="FC249" s="9" t="s">
        <v>413</v>
      </c>
      <c r="FD249" s="9" t="s">
        <v>413</v>
      </c>
      <c r="FE249" s="9" t="s">
        <v>583</v>
      </c>
      <c r="FF249" s="9" t="s">
        <v>413</v>
      </c>
      <c r="FG249" s="9" t="s">
        <v>415</v>
      </c>
      <c r="FH249" s="9" t="s">
        <v>484</v>
      </c>
      <c r="FI249" s="9" t="s">
        <v>583</v>
      </c>
      <c r="FJ249" s="9" t="s">
        <v>414</v>
      </c>
      <c r="FK249" s="9" t="s">
        <v>414</v>
      </c>
      <c r="FL249" s="9" t="s">
        <v>416</v>
      </c>
      <c r="FM249" s="9" t="s">
        <v>416</v>
      </c>
      <c r="FN249" s="9" t="s">
        <v>583</v>
      </c>
      <c r="FO249" s="9" t="s">
        <v>1537</v>
      </c>
      <c r="FP249" s="9" t="s">
        <v>418</v>
      </c>
      <c r="FQ249" s="9" t="s">
        <v>630</v>
      </c>
      <c r="FS249" s="9" t="s">
        <v>420</v>
      </c>
      <c r="FT249" s="9" t="s">
        <v>488</v>
      </c>
      <c r="FU249" s="9" t="s">
        <v>533</v>
      </c>
      <c r="FV249" s="9" t="s">
        <v>490</v>
      </c>
      <c r="FW249" s="9" t="s">
        <v>491</v>
      </c>
      <c r="FX249" s="9" t="s">
        <v>5340</v>
      </c>
      <c r="FY249" s="9" t="s">
        <v>535</v>
      </c>
      <c r="GB249" s="9" t="s">
        <v>455</v>
      </c>
      <c r="GC249" s="9"/>
      <c r="GD249" s="9"/>
      <c r="GE249" s="9" t="s">
        <v>855</v>
      </c>
      <c r="GM249" s="9" t="s">
        <v>1079</v>
      </c>
      <c r="GQ249" s="9" t="s">
        <v>5341</v>
      </c>
      <c r="GV249" s="9" t="s">
        <v>5231</v>
      </c>
      <c r="GW249" s="9" t="s">
        <v>5232</v>
      </c>
      <c r="HC249" s="9" t="s">
        <v>5297</v>
      </c>
      <c r="HD249" s="9" t="s">
        <v>5282</v>
      </c>
      <c r="HE249" s="9" t="s">
        <v>5320</v>
      </c>
      <c r="HF249" s="9" t="s">
        <v>5300</v>
      </c>
      <c r="HG249" s="9" t="s">
        <v>5342</v>
      </c>
      <c r="HH249" s="9" t="s">
        <v>5343</v>
      </c>
      <c r="HI249" s="9" t="s">
        <v>5344</v>
      </c>
      <c r="HJ249" s="9" t="s">
        <v>5345</v>
      </c>
      <c r="HO249" s="9" t="s">
        <v>5346</v>
      </c>
      <c r="HP249" s="9" t="s">
        <v>5264</v>
      </c>
      <c r="HQ249" s="9" t="s">
        <v>5238</v>
      </c>
      <c r="HR249" s="9" t="s">
        <v>5347</v>
      </c>
      <c r="HS249" s="10"/>
      <c r="HT249" s="10"/>
      <c r="HU249" s="10"/>
      <c r="HV249" s="10"/>
      <c r="HW249" s="10"/>
      <c r="HX249" s="10"/>
      <c r="HY249" s="10"/>
      <c r="HZ249" s="10"/>
      <c r="IA249" s="10"/>
      <c r="IB249" s="10"/>
      <c r="IC249" s="10"/>
      <c r="ID249" s="10"/>
      <c r="IE249" s="10"/>
      <c r="IF249" s="10"/>
      <c r="IG249" s="10"/>
      <c r="IH249" s="10"/>
      <c r="II249" s="10"/>
      <c r="IJ249" s="10"/>
      <c r="IK249" s="10"/>
      <c r="IL249" s="10"/>
      <c r="IM249" s="10"/>
      <c r="IN249" s="10"/>
      <c r="IO249" s="10"/>
      <c r="IP249" s="10"/>
      <c r="IQ249" s="10"/>
      <c r="IR249" s="10"/>
      <c r="IS249" s="10"/>
      <c r="IT249" s="10"/>
      <c r="IU249" s="10"/>
      <c r="IV249" s="10"/>
      <c r="IW249" s="10"/>
      <c r="IX249" s="10"/>
      <c r="IY249" s="10"/>
      <c r="IZ249" s="10"/>
      <c r="JA249" s="10"/>
      <c r="JB249" s="10"/>
      <c r="JC249" s="10"/>
      <c r="JD249" s="10"/>
      <c r="JE249" s="10"/>
      <c r="JF249" s="10"/>
      <c r="JG249" s="10"/>
      <c r="JH249" s="10"/>
      <c r="JI249" s="10"/>
      <c r="JJ249" s="10"/>
      <c r="JK249" s="10"/>
      <c r="JL249" s="10"/>
      <c r="JM249" s="10"/>
      <c r="JN249" s="10"/>
      <c r="JO249" s="10"/>
      <c r="JP249" s="10"/>
      <c r="JQ249" s="10"/>
      <c r="JR249" s="10"/>
      <c r="JS249" s="10"/>
      <c r="JT249" s="10"/>
      <c r="JU249" s="10"/>
      <c r="JV249" s="10"/>
      <c r="JW249" s="10"/>
      <c r="JX249" s="10"/>
      <c r="JY249" s="10"/>
      <c r="JZ249" s="10"/>
      <c r="KA249" s="10"/>
      <c r="KB249" s="10"/>
      <c r="KC249" s="10"/>
      <c r="KD249" s="10"/>
      <c r="KE249" s="10"/>
      <c r="KF249" s="10"/>
      <c r="KG249" s="10"/>
      <c r="KH249" s="10"/>
      <c r="KI249" s="10"/>
      <c r="KJ249" s="10"/>
      <c r="KK249" s="10"/>
      <c r="KL249" s="10"/>
      <c r="KM249" s="10"/>
      <c r="KN249" s="10"/>
      <c r="KO249" s="10"/>
      <c r="KP249" s="10"/>
      <c r="KQ249" s="10"/>
      <c r="KR249" s="10"/>
      <c r="KS249" s="10"/>
      <c r="KT249" s="10"/>
      <c r="KU249" s="10"/>
      <c r="KV249" s="10"/>
      <c r="KW249" s="10"/>
      <c r="KX249" s="10"/>
      <c r="KY249" s="10"/>
      <c r="KZ249" s="10"/>
      <c r="LA249" s="10"/>
      <c r="LB249" s="10"/>
      <c r="LC249" s="10"/>
      <c r="LD249" s="10"/>
      <c r="LE249" s="10"/>
      <c r="LF249" s="10"/>
      <c r="LG249" s="10"/>
      <c r="LH249" s="10"/>
      <c r="LI249" s="10"/>
      <c r="LJ249" s="10"/>
      <c r="LK249" s="10"/>
      <c r="LL249" s="10"/>
      <c r="LM249" s="10"/>
      <c r="LN249" s="10"/>
      <c r="LO249" s="10"/>
      <c r="LP249" s="10"/>
      <c r="LQ249" s="10"/>
      <c r="LR249" s="10"/>
      <c r="LS249" s="10"/>
      <c r="LT249" s="10"/>
      <c r="LU249" s="10"/>
      <c r="LV249" s="10"/>
      <c r="LW249" s="10"/>
      <c r="LX249" s="10"/>
      <c r="LY249" s="10"/>
      <c r="LZ249" s="10"/>
      <c r="MA249" s="10"/>
      <c r="MB249" s="10"/>
      <c r="MC249" s="10"/>
      <c r="MD249" s="10"/>
      <c r="ME249" s="10"/>
      <c r="MF249" s="10"/>
      <c r="MG249" s="10"/>
      <c r="MH249" s="10"/>
      <c r="MI249" s="10"/>
      <c r="MJ249" s="10"/>
      <c r="MK249" s="10"/>
      <c r="ML249" s="10"/>
      <c r="MM249" s="10"/>
      <c r="MN249" s="10"/>
      <c r="MO249" s="10"/>
      <c r="MP249" s="10"/>
      <c r="MQ249" s="10"/>
      <c r="MR249" s="10"/>
      <c r="MS249" s="10"/>
      <c r="MT249" s="10"/>
      <c r="MU249" s="10"/>
      <c r="MV249" s="10"/>
      <c r="MW249" s="10"/>
      <c r="MX249" s="10"/>
      <c r="MY249" s="10"/>
      <c r="MZ249" s="10"/>
      <c r="NA249" s="10"/>
      <c r="NB249" s="10"/>
      <c r="NC249" s="10"/>
      <c r="ND249" s="10"/>
    </row>
    <row r="250" ht="24.75" customHeight="1">
      <c r="A250" s="8">
        <v>45866.36920435185</v>
      </c>
      <c r="B250" s="9" t="s">
        <v>368</v>
      </c>
      <c r="C250" s="9" t="s">
        <v>370</v>
      </c>
      <c r="D250" s="9" t="s">
        <v>370</v>
      </c>
      <c r="E250" s="9" t="s">
        <v>757</v>
      </c>
      <c r="F250" s="9" t="s">
        <v>791</v>
      </c>
      <c r="G250" s="9" t="s">
        <v>422</v>
      </c>
      <c r="H250" s="9" t="s">
        <v>539</v>
      </c>
      <c r="I250" s="9" t="s">
        <v>424</v>
      </c>
      <c r="J250" s="9" t="s">
        <v>718</v>
      </c>
      <c r="K250" s="9" t="s">
        <v>376</v>
      </c>
      <c r="L250" s="9" t="s">
        <v>793</v>
      </c>
      <c r="M250" s="9" t="s">
        <v>639</v>
      </c>
      <c r="N250" s="9" t="s">
        <v>670</v>
      </c>
      <c r="O250" s="9" t="s">
        <v>1270</v>
      </c>
      <c r="P250" s="9" t="s">
        <v>381</v>
      </c>
      <c r="Q250" s="9" t="s">
        <v>382</v>
      </c>
      <c r="R250" s="9" t="s">
        <v>427</v>
      </c>
      <c r="S250" s="9" t="s">
        <v>384</v>
      </c>
      <c r="T250" s="9" t="s">
        <v>385</v>
      </c>
      <c r="W250" s="9" t="s">
        <v>593</v>
      </c>
      <c r="X250" s="9" t="s">
        <v>387</v>
      </c>
      <c r="Y250" s="9" t="s">
        <v>388</v>
      </c>
      <c r="Z250" s="9" t="s">
        <v>502</v>
      </c>
      <c r="AW250" s="9" t="s">
        <v>391</v>
      </c>
      <c r="AX250" s="9" t="s">
        <v>391</v>
      </c>
      <c r="AY250" s="9" t="s">
        <v>391</v>
      </c>
      <c r="AZ250" s="9">
        <v>2.0</v>
      </c>
      <c r="BA250" s="9">
        <v>2.0</v>
      </c>
      <c r="BB250" s="9" t="s">
        <v>391</v>
      </c>
      <c r="BE250" s="9" t="s">
        <v>392</v>
      </c>
      <c r="BF250" s="9" t="s">
        <v>393</v>
      </c>
      <c r="BG250" s="9" t="s">
        <v>765</v>
      </c>
      <c r="BI250" s="9" t="s">
        <v>435</v>
      </c>
      <c r="BK250" s="9" t="s">
        <v>437</v>
      </c>
      <c r="BM250" s="9" t="s">
        <v>397</v>
      </c>
      <c r="BN250" s="9" t="s">
        <v>513</v>
      </c>
      <c r="CP250" s="9" t="s">
        <v>445</v>
      </c>
      <c r="CQ250" s="9" t="s">
        <v>1467</v>
      </c>
      <c r="CR250" s="9" t="s">
        <v>555</v>
      </c>
      <c r="CS250" s="9" t="s">
        <v>5348</v>
      </c>
      <c r="CU250" s="9" t="s">
        <v>450</v>
      </c>
      <c r="CV250" s="9" t="s">
        <v>451</v>
      </c>
      <c r="CX250" s="9" t="s">
        <v>455</v>
      </c>
      <c r="CZ250" s="9" t="s">
        <v>985</v>
      </c>
      <c r="DB250" s="9" t="s">
        <v>408</v>
      </c>
      <c r="DD250" s="9" t="s">
        <v>406</v>
      </c>
      <c r="DE250" s="9" t="s">
        <v>407</v>
      </c>
      <c r="DG250" s="9" t="s">
        <v>776</v>
      </c>
      <c r="DH250" s="9" t="s">
        <v>833</v>
      </c>
      <c r="DI250" s="9" t="s">
        <v>459</v>
      </c>
      <c r="DJ250" s="9" t="s">
        <v>562</v>
      </c>
      <c r="DK250" s="9" t="s">
        <v>461</v>
      </c>
      <c r="ET250" s="9" t="s">
        <v>526</v>
      </c>
      <c r="EU250" s="9" t="s">
        <v>479</v>
      </c>
      <c r="EV250" s="9" t="s">
        <v>1262</v>
      </c>
      <c r="EZ250" s="9" t="s">
        <v>415</v>
      </c>
      <c r="FA250" s="9" t="s">
        <v>415</v>
      </c>
      <c r="FB250" s="9" t="s">
        <v>413</v>
      </c>
      <c r="FC250" s="9" t="s">
        <v>416</v>
      </c>
      <c r="FD250" s="9" t="s">
        <v>413</v>
      </c>
      <c r="FE250" s="9" t="s">
        <v>415</v>
      </c>
      <c r="FF250" s="9" t="s">
        <v>415</v>
      </c>
      <c r="FG250" s="9" t="s">
        <v>413</v>
      </c>
      <c r="FH250" s="9" t="s">
        <v>583</v>
      </c>
      <c r="FI250" s="9" t="s">
        <v>415</v>
      </c>
      <c r="FJ250" s="9" t="s">
        <v>415</v>
      </c>
      <c r="FK250" s="9" t="s">
        <v>413</v>
      </c>
      <c r="FL250" s="9" t="s">
        <v>413</v>
      </c>
      <c r="FM250" s="9" t="s">
        <v>415</v>
      </c>
      <c r="FN250" s="9" t="s">
        <v>415</v>
      </c>
      <c r="FO250" s="9" t="s">
        <v>850</v>
      </c>
      <c r="FP250" s="9" t="s">
        <v>418</v>
      </c>
      <c r="FQ250" s="9" t="s">
        <v>712</v>
      </c>
      <c r="FS250" s="9" t="s">
        <v>995</v>
      </c>
      <c r="FT250" s="9" t="s">
        <v>488</v>
      </c>
      <c r="FU250" s="9" t="s">
        <v>533</v>
      </c>
      <c r="FV250" s="9" t="s">
        <v>490</v>
      </c>
      <c r="FW250" s="9" t="s">
        <v>491</v>
      </c>
      <c r="FY250" s="9" t="s">
        <v>535</v>
      </c>
      <c r="GB250" s="9" t="s">
        <v>408</v>
      </c>
      <c r="GG250" s="9" t="s">
        <v>920</v>
      </c>
      <c r="GH250" s="9" t="s">
        <v>920</v>
      </c>
      <c r="GI250" s="9" t="s">
        <v>756</v>
      </c>
      <c r="GQ250" s="9" t="s">
        <v>3208</v>
      </c>
      <c r="GT250" s="9" t="s">
        <v>4774</v>
      </c>
      <c r="GV250" s="9" t="s">
        <v>5231</v>
      </c>
      <c r="GW250" s="9" t="s">
        <v>5232</v>
      </c>
      <c r="HC250" s="9" t="s">
        <v>5297</v>
      </c>
      <c r="HD250" s="9" t="s">
        <v>5349</v>
      </c>
      <c r="HF250" s="9" t="s">
        <v>5300</v>
      </c>
      <c r="HO250" s="9" t="s">
        <v>5236</v>
      </c>
      <c r="HP250" s="9" t="s">
        <v>5264</v>
      </c>
      <c r="HQ250" s="9" t="s">
        <v>5238</v>
      </c>
      <c r="HR250" s="9" t="s">
        <v>913</v>
      </c>
      <c r="HS250" s="10"/>
      <c r="HT250" s="10"/>
      <c r="HU250" s="10"/>
      <c r="HV250" s="10"/>
      <c r="HW250" s="10"/>
      <c r="HX250" s="10"/>
      <c r="HY250" s="10"/>
      <c r="HZ250" s="10"/>
      <c r="IA250" s="10"/>
      <c r="IB250" s="10"/>
      <c r="IC250" s="10"/>
      <c r="ID250" s="10"/>
      <c r="IE250" s="10"/>
      <c r="IF250" s="10"/>
      <c r="IG250" s="10"/>
      <c r="IH250" s="10"/>
      <c r="II250" s="10"/>
      <c r="IJ250" s="10"/>
      <c r="IK250" s="10"/>
      <c r="IL250" s="10"/>
      <c r="IM250" s="10"/>
      <c r="IN250" s="10"/>
      <c r="IO250" s="10"/>
      <c r="IP250" s="10"/>
      <c r="IQ250" s="10"/>
      <c r="IR250" s="10"/>
      <c r="IS250" s="10"/>
      <c r="IT250" s="10"/>
      <c r="IU250" s="10"/>
      <c r="IV250" s="10"/>
      <c r="IW250" s="10"/>
      <c r="IX250" s="10"/>
      <c r="IY250" s="10"/>
      <c r="IZ250" s="10"/>
      <c r="JA250" s="10"/>
      <c r="JB250" s="10"/>
      <c r="JC250" s="10"/>
      <c r="JD250" s="10"/>
      <c r="JE250" s="10"/>
      <c r="JF250" s="10"/>
      <c r="JG250" s="10"/>
      <c r="JH250" s="10"/>
      <c r="JI250" s="10"/>
      <c r="JJ250" s="10"/>
      <c r="JK250" s="10"/>
      <c r="JL250" s="10"/>
      <c r="JM250" s="10"/>
      <c r="JN250" s="10"/>
      <c r="JO250" s="10"/>
      <c r="JP250" s="10"/>
      <c r="JQ250" s="10"/>
      <c r="JR250" s="10"/>
      <c r="JS250" s="10"/>
      <c r="JT250" s="10"/>
      <c r="JU250" s="10"/>
      <c r="JV250" s="10"/>
      <c r="JW250" s="10"/>
      <c r="JX250" s="10"/>
      <c r="JY250" s="10"/>
      <c r="JZ250" s="10"/>
      <c r="KA250" s="10"/>
      <c r="KB250" s="10"/>
      <c r="KC250" s="10"/>
      <c r="KD250" s="10"/>
      <c r="KE250" s="10"/>
      <c r="KF250" s="10"/>
      <c r="KG250" s="10"/>
      <c r="KH250" s="10"/>
      <c r="KI250" s="10"/>
      <c r="KJ250" s="10"/>
      <c r="KK250" s="10"/>
      <c r="KL250" s="10"/>
      <c r="KM250" s="10"/>
      <c r="KN250" s="10"/>
      <c r="KO250" s="10"/>
      <c r="KP250" s="10"/>
      <c r="KQ250" s="10"/>
      <c r="KR250" s="10"/>
      <c r="KS250" s="10"/>
      <c r="KT250" s="10"/>
      <c r="KU250" s="10"/>
      <c r="KV250" s="10"/>
      <c r="KW250" s="10"/>
      <c r="KX250" s="10"/>
      <c r="KY250" s="10"/>
      <c r="KZ250" s="10"/>
      <c r="LA250" s="10"/>
      <c r="LB250" s="10"/>
      <c r="LC250" s="10"/>
      <c r="LD250" s="10"/>
      <c r="LE250" s="10"/>
      <c r="LF250" s="10"/>
      <c r="LG250" s="10"/>
      <c r="LH250" s="10"/>
      <c r="LI250" s="10"/>
      <c r="LJ250" s="10"/>
      <c r="LK250" s="10"/>
      <c r="LL250" s="10"/>
      <c r="LM250" s="10"/>
      <c r="LN250" s="10"/>
      <c r="LO250" s="10"/>
      <c r="LP250" s="10"/>
      <c r="LQ250" s="10"/>
      <c r="LR250" s="10"/>
      <c r="LS250" s="10"/>
      <c r="LT250" s="10"/>
      <c r="LU250" s="10"/>
      <c r="LV250" s="10"/>
      <c r="LW250" s="10"/>
      <c r="LX250" s="10"/>
      <c r="LY250" s="10"/>
      <c r="LZ250" s="10"/>
      <c r="MA250" s="10"/>
      <c r="MB250" s="10"/>
      <c r="MC250" s="10"/>
      <c r="MD250" s="10"/>
      <c r="ME250" s="10"/>
      <c r="MF250" s="10"/>
      <c r="MG250" s="10"/>
      <c r="MH250" s="10"/>
      <c r="MI250" s="10"/>
      <c r="MJ250" s="10"/>
      <c r="MK250" s="10"/>
      <c r="ML250" s="10"/>
      <c r="MM250" s="10"/>
      <c r="MN250" s="10"/>
      <c r="MO250" s="10"/>
      <c r="MP250" s="10"/>
      <c r="MQ250" s="10"/>
      <c r="MR250" s="10"/>
      <c r="MS250" s="10"/>
      <c r="MT250" s="10"/>
      <c r="MU250" s="10"/>
      <c r="MV250" s="10"/>
      <c r="MW250" s="10"/>
      <c r="MX250" s="10"/>
      <c r="MY250" s="10"/>
      <c r="MZ250" s="10"/>
      <c r="NA250" s="10"/>
      <c r="NB250" s="10"/>
      <c r="NC250" s="10"/>
      <c r="ND250" s="10"/>
    </row>
    <row r="251" ht="24.75" customHeight="1">
      <c r="A251" s="8">
        <v>45866.706210324075</v>
      </c>
      <c r="B251" s="9" t="s">
        <v>368</v>
      </c>
      <c r="C251" s="9" t="s">
        <v>370</v>
      </c>
      <c r="D251" s="9" t="s">
        <v>370</v>
      </c>
      <c r="E251" s="9" t="s">
        <v>2400</v>
      </c>
      <c r="F251" s="9" t="s">
        <v>1421</v>
      </c>
      <c r="G251" s="9" t="s">
        <v>422</v>
      </c>
      <c r="H251" s="9" t="s">
        <v>496</v>
      </c>
      <c r="I251" s="9" t="s">
        <v>374</v>
      </c>
      <c r="J251" s="9" t="s">
        <v>375</v>
      </c>
      <c r="K251" s="9" t="s">
        <v>376</v>
      </c>
      <c r="L251" s="9" t="s">
        <v>379</v>
      </c>
      <c r="M251" s="9" t="s">
        <v>5350</v>
      </c>
      <c r="N251" s="9" t="s">
        <v>426</v>
      </c>
      <c r="O251" s="9" t="s">
        <v>671</v>
      </c>
      <c r="P251" s="9" t="s">
        <v>498</v>
      </c>
      <c r="Q251" s="9" t="s">
        <v>862</v>
      </c>
      <c r="R251" s="9" t="s">
        <v>427</v>
      </c>
      <c r="S251" s="9" t="s">
        <v>384</v>
      </c>
      <c r="T251" s="9" t="s">
        <v>385</v>
      </c>
      <c r="W251" s="9" t="s">
        <v>3014</v>
      </c>
      <c r="AV251" s="9" t="s">
        <v>597</v>
      </c>
      <c r="AW251" s="9">
        <v>4.0</v>
      </c>
      <c r="AX251" s="9" t="s">
        <v>391</v>
      </c>
      <c r="AY251" s="9">
        <v>4.0</v>
      </c>
      <c r="AZ251" s="9">
        <v>4.0</v>
      </c>
      <c r="BA251" s="9">
        <v>4.0</v>
      </c>
      <c r="BB251" s="9">
        <v>4.0</v>
      </c>
      <c r="BE251" s="9" t="s">
        <v>432</v>
      </c>
      <c r="BF251" s="9" t="s">
        <v>1047</v>
      </c>
      <c r="BG251" s="9" t="s">
        <v>434</v>
      </c>
      <c r="BH251" s="9" t="s">
        <v>5351</v>
      </c>
      <c r="BI251" s="9" t="s">
        <v>976</v>
      </c>
      <c r="BK251" s="9" t="s">
        <v>511</v>
      </c>
      <c r="BL251" s="9" t="s">
        <v>438</v>
      </c>
      <c r="BM251" s="9" t="s">
        <v>397</v>
      </c>
      <c r="BN251" s="9" t="s">
        <v>398</v>
      </c>
      <c r="BO251" s="9" t="s">
        <v>5352</v>
      </c>
      <c r="BP251" s="9" t="s">
        <v>5353</v>
      </c>
      <c r="BQ251" s="9" t="s">
        <v>604</v>
      </c>
      <c r="BR251" s="9" t="s">
        <v>2662</v>
      </c>
      <c r="BS251" s="9" t="s">
        <v>403</v>
      </c>
      <c r="BT251" s="9" t="s">
        <v>4368</v>
      </c>
      <c r="BU251" s="9" t="s">
        <v>1772</v>
      </c>
      <c r="BV251" s="9" t="s">
        <v>5354</v>
      </c>
      <c r="BW251" s="9" t="s">
        <v>406</v>
      </c>
      <c r="BX251" s="9" t="s">
        <v>2503</v>
      </c>
      <c r="BY251" s="9" t="s">
        <v>408</v>
      </c>
      <c r="CA251" s="9" t="s">
        <v>5355</v>
      </c>
      <c r="CB251" s="9" t="s">
        <v>5356</v>
      </c>
      <c r="CC251" s="9" t="s">
        <v>5357</v>
      </c>
      <c r="CD251" s="9" t="s">
        <v>409</v>
      </c>
      <c r="CE251" s="9" t="s">
        <v>5358</v>
      </c>
      <c r="CF251" s="9" t="s">
        <v>1258</v>
      </c>
      <c r="CH251" s="9" t="s">
        <v>1698</v>
      </c>
      <c r="CJ251" s="9" t="s">
        <v>5359</v>
      </c>
      <c r="CK251" s="9" t="s">
        <v>5360</v>
      </c>
      <c r="ET251" s="9" t="s">
        <v>578</v>
      </c>
      <c r="EU251" s="9" t="s">
        <v>887</v>
      </c>
      <c r="EV251" s="9" t="s">
        <v>527</v>
      </c>
      <c r="EZ251" s="9" t="s">
        <v>415</v>
      </c>
      <c r="FA251" s="9" t="s">
        <v>414</v>
      </c>
      <c r="FB251" s="9" t="s">
        <v>413</v>
      </c>
      <c r="FC251" s="9" t="s">
        <v>413</v>
      </c>
      <c r="FD251" s="9" t="s">
        <v>416</v>
      </c>
      <c r="FE251" s="9" t="s">
        <v>415</v>
      </c>
      <c r="FF251" s="9" t="s">
        <v>415</v>
      </c>
      <c r="FG251" s="9" t="s">
        <v>413</v>
      </c>
      <c r="FH251" s="9" t="s">
        <v>415</v>
      </c>
      <c r="FI251" s="9" t="s">
        <v>414</v>
      </c>
      <c r="FJ251" s="9" t="s">
        <v>415</v>
      </c>
      <c r="FK251" s="9" t="s">
        <v>416</v>
      </c>
      <c r="FL251" s="9" t="s">
        <v>415</v>
      </c>
      <c r="FM251" s="9" t="s">
        <v>413</v>
      </c>
      <c r="FN251" s="9" t="s">
        <v>415</v>
      </c>
      <c r="FO251" s="9" t="s">
        <v>850</v>
      </c>
      <c r="FP251" s="9" t="s">
        <v>418</v>
      </c>
      <c r="FQ251" s="9" t="s">
        <v>749</v>
      </c>
      <c r="FS251" s="9" t="s">
        <v>420</v>
      </c>
      <c r="FT251" s="9" t="s">
        <v>1462</v>
      </c>
      <c r="FU251" s="9" t="s">
        <v>489</v>
      </c>
      <c r="FV251" s="9" t="s">
        <v>490</v>
      </c>
      <c r="FW251" s="9" t="s">
        <v>491</v>
      </c>
      <c r="FX251" s="9" t="s">
        <v>5361</v>
      </c>
      <c r="FY251" s="9" t="s">
        <v>1020</v>
      </c>
      <c r="GB251" s="9" t="s">
        <v>455</v>
      </c>
      <c r="GC251" s="9"/>
      <c r="GE251" s="9" t="s">
        <v>753</v>
      </c>
      <c r="GF251" s="9" t="s">
        <v>5362</v>
      </c>
      <c r="GJ251" s="9" t="s">
        <v>755</v>
      </c>
      <c r="GK251" s="9" t="s">
        <v>755</v>
      </c>
      <c r="GL251" s="9" t="s">
        <v>817</v>
      </c>
      <c r="GQ251" s="9" t="s">
        <v>3208</v>
      </c>
      <c r="GR251" s="9" t="s">
        <v>5039</v>
      </c>
      <c r="GS251" s="9" t="s">
        <v>5363</v>
      </c>
      <c r="GV251" s="9" t="s">
        <v>5231</v>
      </c>
      <c r="GW251" s="9" t="s">
        <v>484</v>
      </c>
      <c r="GX251" s="9" t="s">
        <v>484</v>
      </c>
      <c r="GY251" s="9" t="s">
        <v>5233</v>
      </c>
      <c r="GZ251" s="9" t="s">
        <v>5234</v>
      </c>
      <c r="HA251" s="9" t="s">
        <v>484</v>
      </c>
      <c r="HB251" s="9" t="s">
        <v>5364</v>
      </c>
      <c r="HO251" s="9" t="s">
        <v>5285</v>
      </c>
      <c r="HP251" s="9" t="s">
        <v>5237</v>
      </c>
      <c r="HQ251" s="9" t="s">
        <v>5238</v>
      </c>
      <c r="HR251" s="9" t="s">
        <v>5321</v>
      </c>
      <c r="HS251" s="10"/>
      <c r="HT251" s="10"/>
      <c r="HU251" s="10"/>
      <c r="HV251" s="10"/>
      <c r="HW251" s="10"/>
      <c r="HX251" s="10"/>
      <c r="HY251" s="10"/>
      <c r="HZ251" s="10"/>
      <c r="IA251" s="10"/>
      <c r="IB251" s="10"/>
      <c r="IC251" s="10"/>
      <c r="ID251" s="10"/>
      <c r="IE251" s="10"/>
      <c r="IF251" s="10"/>
      <c r="IG251" s="10"/>
      <c r="IH251" s="10"/>
      <c r="II251" s="10"/>
      <c r="IJ251" s="10"/>
      <c r="IK251" s="10"/>
      <c r="IL251" s="10"/>
      <c r="IM251" s="10"/>
      <c r="IN251" s="10"/>
      <c r="IO251" s="10"/>
      <c r="IP251" s="10"/>
      <c r="IQ251" s="10"/>
      <c r="IR251" s="10"/>
      <c r="IS251" s="10"/>
      <c r="IT251" s="10"/>
      <c r="IU251" s="10"/>
      <c r="IV251" s="10"/>
      <c r="IW251" s="10"/>
      <c r="IX251" s="10"/>
      <c r="IY251" s="10"/>
      <c r="IZ251" s="10"/>
      <c r="JA251" s="10"/>
      <c r="JB251" s="10"/>
      <c r="JC251" s="10"/>
      <c r="JD251" s="10"/>
      <c r="JE251" s="10"/>
      <c r="JF251" s="10"/>
      <c r="JG251" s="10"/>
      <c r="JH251" s="10"/>
      <c r="JI251" s="10"/>
      <c r="JJ251" s="10"/>
      <c r="JK251" s="10"/>
      <c r="JL251" s="10"/>
      <c r="JM251" s="10"/>
      <c r="JN251" s="10"/>
      <c r="JO251" s="10"/>
      <c r="JP251" s="10"/>
      <c r="JQ251" s="10"/>
      <c r="JR251" s="10"/>
      <c r="JS251" s="10"/>
      <c r="JT251" s="10"/>
      <c r="JU251" s="10"/>
      <c r="JV251" s="10"/>
      <c r="JW251" s="10"/>
      <c r="JX251" s="10"/>
      <c r="JY251" s="10"/>
      <c r="JZ251" s="10"/>
      <c r="KA251" s="10"/>
      <c r="KB251" s="10"/>
      <c r="KC251" s="10"/>
      <c r="KD251" s="10"/>
      <c r="KE251" s="10"/>
      <c r="KF251" s="10"/>
      <c r="KG251" s="10"/>
      <c r="KH251" s="10"/>
      <c r="KI251" s="10"/>
      <c r="KJ251" s="10"/>
      <c r="KK251" s="10"/>
      <c r="KL251" s="10"/>
      <c r="KM251" s="10"/>
      <c r="KN251" s="10"/>
      <c r="KO251" s="10"/>
      <c r="KP251" s="10"/>
      <c r="KQ251" s="10"/>
      <c r="KR251" s="10"/>
      <c r="KS251" s="10"/>
      <c r="KT251" s="10"/>
      <c r="KU251" s="10"/>
      <c r="KV251" s="10"/>
      <c r="KW251" s="10"/>
      <c r="KX251" s="10"/>
      <c r="KY251" s="10"/>
      <c r="KZ251" s="10"/>
      <c r="LA251" s="10"/>
      <c r="LB251" s="10"/>
      <c r="LC251" s="10"/>
      <c r="LD251" s="10"/>
      <c r="LE251" s="10"/>
      <c r="LF251" s="10"/>
      <c r="LG251" s="10"/>
      <c r="LH251" s="10"/>
      <c r="LI251" s="10"/>
      <c r="LJ251" s="10"/>
      <c r="LK251" s="10"/>
      <c r="LL251" s="10"/>
      <c r="LM251" s="10"/>
      <c r="LN251" s="10"/>
      <c r="LO251" s="10"/>
      <c r="LP251" s="10"/>
      <c r="LQ251" s="10"/>
      <c r="LR251" s="10"/>
      <c r="LS251" s="10"/>
      <c r="LT251" s="10"/>
      <c r="LU251" s="10"/>
      <c r="LV251" s="10"/>
      <c r="LW251" s="10"/>
      <c r="LX251" s="10"/>
      <c r="LY251" s="10"/>
      <c r="LZ251" s="10"/>
      <c r="MA251" s="10"/>
      <c r="MB251" s="10"/>
      <c r="MC251" s="10"/>
      <c r="MD251" s="10"/>
      <c r="ME251" s="10"/>
      <c r="MF251" s="10"/>
      <c r="MG251" s="10"/>
      <c r="MH251" s="10"/>
      <c r="MI251" s="10"/>
      <c r="MJ251" s="10"/>
      <c r="MK251" s="10"/>
      <c r="ML251" s="10"/>
      <c r="MM251" s="10"/>
      <c r="MN251" s="10"/>
      <c r="MO251" s="10"/>
      <c r="MP251" s="10"/>
      <c r="MQ251" s="10"/>
      <c r="MR251" s="10"/>
      <c r="MS251" s="10"/>
      <c r="MT251" s="10"/>
      <c r="MU251" s="10"/>
      <c r="MV251" s="10"/>
      <c r="MW251" s="10"/>
      <c r="MX251" s="10"/>
      <c r="MY251" s="10"/>
      <c r="MZ251" s="10"/>
      <c r="NA251" s="10"/>
      <c r="NB251" s="10"/>
      <c r="NC251" s="10"/>
      <c r="ND251" s="10"/>
    </row>
    <row r="252" ht="24.75" customHeight="1">
      <c r="A252" s="8">
        <v>45867.46554252315</v>
      </c>
      <c r="B252" s="9" t="s">
        <v>368</v>
      </c>
      <c r="C252" s="9" t="s">
        <v>538</v>
      </c>
      <c r="D252" s="9" t="s">
        <v>538</v>
      </c>
      <c r="G252" s="9" t="s">
        <v>422</v>
      </c>
      <c r="H252" s="9" t="s">
        <v>637</v>
      </c>
      <c r="I252" s="9" t="s">
        <v>638</v>
      </c>
      <c r="J252" s="9" t="s">
        <v>718</v>
      </c>
      <c r="K252" s="9" t="s">
        <v>376</v>
      </c>
      <c r="L252" s="9" t="s">
        <v>379</v>
      </c>
      <c r="M252" s="9" t="s">
        <v>2464</v>
      </c>
      <c r="N252" s="9" t="s">
        <v>591</v>
      </c>
      <c r="O252" s="9" t="s">
        <v>2464</v>
      </c>
      <c r="P252" s="9" t="s">
        <v>381</v>
      </c>
      <c r="Q252" s="9" t="s">
        <v>818</v>
      </c>
      <c r="R252" s="9" t="s">
        <v>949</v>
      </c>
      <c r="S252" s="9" t="s">
        <v>384</v>
      </c>
      <c r="T252" s="9" t="s">
        <v>385</v>
      </c>
      <c r="W252" s="9" t="s">
        <v>3231</v>
      </c>
      <c r="AV252" s="9" t="s">
        <v>1242</v>
      </c>
      <c r="AW252" s="9" t="s">
        <v>675</v>
      </c>
      <c r="AX252" s="9" t="s">
        <v>391</v>
      </c>
      <c r="AY252" s="9" t="s">
        <v>391</v>
      </c>
      <c r="AZ252" s="9">
        <v>2.0</v>
      </c>
      <c r="BA252" s="9" t="s">
        <v>391</v>
      </c>
      <c r="BB252" s="9">
        <v>4.0</v>
      </c>
      <c r="BE252" s="9" t="s">
        <v>432</v>
      </c>
      <c r="BF252" s="9" t="s">
        <v>1095</v>
      </c>
      <c r="BG252" s="9" t="s">
        <v>394</v>
      </c>
      <c r="BI252" s="9" t="s">
        <v>435</v>
      </c>
      <c r="BK252" s="9" t="s">
        <v>395</v>
      </c>
      <c r="BL252" s="9" t="s">
        <v>904</v>
      </c>
      <c r="BM252" s="9" t="s">
        <v>1314</v>
      </c>
      <c r="BN252" s="9" t="s">
        <v>398</v>
      </c>
      <c r="BP252" s="9" t="s">
        <v>5365</v>
      </c>
      <c r="BQ252" s="9" t="s">
        <v>682</v>
      </c>
      <c r="BR252" s="9" t="s">
        <v>4462</v>
      </c>
      <c r="BS252" s="9" t="s">
        <v>403</v>
      </c>
      <c r="BT252" s="9" t="s">
        <v>404</v>
      </c>
      <c r="BU252" s="9" t="s">
        <v>405</v>
      </c>
      <c r="BW252" s="9" t="s">
        <v>406</v>
      </c>
      <c r="BX252" s="9" t="s">
        <v>1867</v>
      </c>
      <c r="BY252" s="9" t="s">
        <v>408</v>
      </c>
      <c r="CD252" s="9" t="s">
        <v>2248</v>
      </c>
      <c r="CF252" s="9" t="s">
        <v>1258</v>
      </c>
      <c r="CH252" s="9" t="s">
        <v>1259</v>
      </c>
      <c r="CI252" s="9" t="s">
        <v>5366</v>
      </c>
      <c r="CK252" s="9" t="s">
        <v>5367</v>
      </c>
      <c r="ET252" s="9" t="s">
        <v>526</v>
      </c>
      <c r="EU252" s="9" t="s">
        <v>579</v>
      </c>
      <c r="EV252" s="9" t="s">
        <v>778</v>
      </c>
      <c r="EZ252" s="9" t="s">
        <v>413</v>
      </c>
      <c r="FA252" s="9" t="s">
        <v>415</v>
      </c>
      <c r="FB252" s="9" t="s">
        <v>413</v>
      </c>
      <c r="FC252" s="9" t="s">
        <v>413</v>
      </c>
      <c r="FD252" s="9" t="s">
        <v>413</v>
      </c>
      <c r="FE252" s="9" t="s">
        <v>415</v>
      </c>
      <c r="FF252" s="9" t="s">
        <v>413</v>
      </c>
      <c r="FG252" s="9" t="s">
        <v>416</v>
      </c>
      <c r="FH252" s="9" t="s">
        <v>415</v>
      </c>
      <c r="FI252" s="9" t="s">
        <v>413</v>
      </c>
      <c r="FJ252" s="9" t="s">
        <v>413</v>
      </c>
      <c r="FK252" s="9" t="s">
        <v>413</v>
      </c>
      <c r="FL252" s="9" t="s">
        <v>413</v>
      </c>
      <c r="FM252" s="9" t="s">
        <v>413</v>
      </c>
      <c r="FN252" s="9" t="s">
        <v>413</v>
      </c>
      <c r="FO252" s="9" t="s">
        <v>485</v>
      </c>
      <c r="FP252" s="9" t="s">
        <v>418</v>
      </c>
      <c r="FQ252" s="9" t="s">
        <v>531</v>
      </c>
      <c r="FS252" s="9" t="s">
        <v>420</v>
      </c>
      <c r="FT252" s="9" t="s">
        <v>488</v>
      </c>
      <c r="FU252" s="9" t="s">
        <v>1235</v>
      </c>
      <c r="FV252" s="9" t="s">
        <v>490</v>
      </c>
      <c r="FW252" s="9" t="s">
        <v>491</v>
      </c>
      <c r="FY252" s="9" t="s">
        <v>1337</v>
      </c>
      <c r="GB252" s="9" t="s">
        <v>408</v>
      </c>
      <c r="GJ252" s="9" t="s">
        <v>789</v>
      </c>
      <c r="GK252" s="9" t="s">
        <v>857</v>
      </c>
      <c r="GL252" s="9" t="s">
        <v>790</v>
      </c>
      <c r="GN252" s="9" t="s">
        <v>5368</v>
      </c>
      <c r="GO252" s="9" t="s">
        <v>5368</v>
      </c>
      <c r="GP252" s="9" t="s">
        <v>387</v>
      </c>
      <c r="GQ252" s="9" t="s">
        <v>3208</v>
      </c>
      <c r="GR252" s="9" t="s">
        <v>4774</v>
      </c>
      <c r="GV252" s="9" t="s">
        <v>5231</v>
      </c>
      <c r="GW252" s="9" t="s">
        <v>484</v>
      </c>
      <c r="GX252" s="9" t="s">
        <v>484</v>
      </c>
      <c r="GY252" s="9" t="s">
        <v>5233</v>
      </c>
      <c r="GZ252" s="9" t="s">
        <v>484</v>
      </c>
      <c r="HA252" s="9" t="s">
        <v>5369</v>
      </c>
      <c r="HB252" s="9" t="s">
        <v>5370</v>
      </c>
      <c r="HP252" s="9" t="s">
        <v>5371</v>
      </c>
      <c r="HQ252" s="9" t="s">
        <v>5238</v>
      </c>
      <c r="HR252" s="9" t="s">
        <v>5287</v>
      </c>
      <c r="HS252" s="10"/>
      <c r="HT252" s="10"/>
      <c r="HU252" s="10"/>
      <c r="HV252" s="10"/>
      <c r="HW252" s="10"/>
      <c r="HX252" s="10"/>
      <c r="HY252" s="10"/>
      <c r="HZ252" s="10"/>
      <c r="IA252" s="10"/>
      <c r="IB252" s="10"/>
      <c r="IC252" s="10"/>
      <c r="ID252" s="10"/>
      <c r="IE252" s="10"/>
      <c r="IF252" s="10"/>
      <c r="IG252" s="10"/>
      <c r="IH252" s="10"/>
      <c r="II252" s="10"/>
      <c r="IJ252" s="10"/>
      <c r="IK252" s="10"/>
      <c r="IL252" s="10"/>
      <c r="IM252" s="10"/>
      <c r="IN252" s="10"/>
      <c r="IO252" s="10"/>
      <c r="IP252" s="10"/>
      <c r="IQ252" s="10"/>
      <c r="IR252" s="10"/>
      <c r="IS252" s="10"/>
      <c r="IT252" s="10"/>
      <c r="IU252" s="10"/>
      <c r="IV252" s="10"/>
      <c r="IW252" s="10"/>
      <c r="IX252" s="10"/>
      <c r="IY252" s="10"/>
      <c r="IZ252" s="10"/>
      <c r="JA252" s="10"/>
      <c r="JB252" s="10"/>
      <c r="JC252" s="10"/>
      <c r="JD252" s="10"/>
      <c r="JE252" s="10"/>
      <c r="JF252" s="10"/>
      <c r="JG252" s="10"/>
      <c r="JH252" s="10"/>
      <c r="JI252" s="10"/>
      <c r="JJ252" s="10"/>
      <c r="JK252" s="10"/>
      <c r="JL252" s="10"/>
      <c r="JM252" s="10"/>
      <c r="JN252" s="10"/>
      <c r="JO252" s="10"/>
      <c r="JP252" s="10"/>
      <c r="JQ252" s="10"/>
      <c r="JR252" s="10"/>
      <c r="JS252" s="10"/>
      <c r="JT252" s="10"/>
      <c r="JU252" s="10"/>
      <c r="JV252" s="10"/>
      <c r="JW252" s="10"/>
      <c r="JX252" s="10"/>
      <c r="JY252" s="10"/>
      <c r="JZ252" s="10"/>
      <c r="KA252" s="10"/>
      <c r="KB252" s="10"/>
      <c r="KC252" s="10"/>
      <c r="KD252" s="10"/>
      <c r="KE252" s="10"/>
      <c r="KF252" s="10"/>
      <c r="KG252" s="10"/>
      <c r="KH252" s="10"/>
      <c r="KI252" s="10"/>
      <c r="KJ252" s="10"/>
      <c r="KK252" s="10"/>
      <c r="KL252" s="10"/>
      <c r="KM252" s="10"/>
      <c r="KN252" s="10"/>
      <c r="KO252" s="10"/>
      <c r="KP252" s="10"/>
      <c r="KQ252" s="10"/>
      <c r="KR252" s="10"/>
      <c r="KS252" s="10"/>
      <c r="KT252" s="10"/>
      <c r="KU252" s="10"/>
      <c r="KV252" s="10"/>
      <c r="KW252" s="10"/>
      <c r="KX252" s="10"/>
      <c r="KY252" s="10"/>
      <c r="KZ252" s="10"/>
      <c r="LA252" s="10"/>
      <c r="LB252" s="10"/>
      <c r="LC252" s="10"/>
      <c r="LD252" s="10"/>
      <c r="LE252" s="10"/>
      <c r="LF252" s="10"/>
      <c r="LG252" s="10"/>
      <c r="LH252" s="10"/>
      <c r="LI252" s="10"/>
      <c r="LJ252" s="10"/>
      <c r="LK252" s="10"/>
      <c r="LL252" s="10"/>
      <c r="LM252" s="10"/>
      <c r="LN252" s="10"/>
      <c r="LO252" s="10"/>
      <c r="LP252" s="10"/>
      <c r="LQ252" s="10"/>
      <c r="LR252" s="10"/>
      <c r="LS252" s="10"/>
      <c r="LT252" s="10"/>
      <c r="LU252" s="10"/>
      <c r="LV252" s="10"/>
      <c r="LW252" s="10"/>
      <c r="LX252" s="10"/>
      <c r="LY252" s="10"/>
      <c r="LZ252" s="10"/>
      <c r="MA252" s="10"/>
      <c r="MB252" s="10"/>
      <c r="MC252" s="10"/>
      <c r="MD252" s="10"/>
      <c r="ME252" s="10"/>
      <c r="MF252" s="10"/>
      <c r="MG252" s="10"/>
      <c r="MH252" s="10"/>
      <c r="MI252" s="10"/>
      <c r="MJ252" s="10"/>
      <c r="MK252" s="10"/>
      <c r="ML252" s="10"/>
      <c r="MM252" s="10"/>
      <c r="MN252" s="10"/>
      <c r="MO252" s="10"/>
      <c r="MP252" s="10"/>
      <c r="MQ252" s="10"/>
      <c r="MR252" s="10"/>
      <c r="MS252" s="10"/>
      <c r="MT252" s="10"/>
      <c r="MU252" s="10"/>
      <c r="MV252" s="10"/>
      <c r="MW252" s="10"/>
      <c r="MX252" s="10"/>
      <c r="MY252" s="10"/>
      <c r="MZ252" s="10"/>
      <c r="NA252" s="10"/>
      <c r="NB252" s="10"/>
      <c r="NC252" s="10"/>
      <c r="ND252" s="10"/>
    </row>
    <row r="253" ht="24.75" customHeight="1">
      <c r="A253" s="8">
        <v>45869.6256671875</v>
      </c>
      <c r="B253" s="9" t="s">
        <v>368</v>
      </c>
      <c r="C253" s="9" t="s">
        <v>5372</v>
      </c>
      <c r="D253" s="9" t="s">
        <v>635</v>
      </c>
      <c r="G253" s="9" t="s">
        <v>422</v>
      </c>
      <c r="H253" s="9" t="s">
        <v>637</v>
      </c>
      <c r="I253" s="9" t="s">
        <v>638</v>
      </c>
      <c r="J253" s="9" t="s">
        <v>590</v>
      </c>
      <c r="K253" s="9" t="s">
        <v>376</v>
      </c>
      <c r="L253" s="9" t="s">
        <v>426</v>
      </c>
      <c r="M253" s="9" t="s">
        <v>1024</v>
      </c>
      <c r="N253" s="9" t="s">
        <v>591</v>
      </c>
      <c r="O253" s="9" t="s">
        <v>1024</v>
      </c>
      <c r="P253" s="9" t="s">
        <v>498</v>
      </c>
      <c r="Q253" s="9" t="s">
        <v>818</v>
      </c>
      <c r="R253" s="9" t="s">
        <v>500</v>
      </c>
      <c r="S253" s="9" t="s">
        <v>384</v>
      </c>
      <c r="T253" s="9" t="s">
        <v>385</v>
      </c>
      <c r="W253" s="9" t="s">
        <v>3014</v>
      </c>
      <c r="AV253" s="9" t="s">
        <v>1310</v>
      </c>
      <c r="AW253" s="9">
        <v>4.0</v>
      </c>
      <c r="AX253" s="9">
        <v>4.0</v>
      </c>
      <c r="AY253" s="9">
        <v>4.0</v>
      </c>
      <c r="AZ253" s="9">
        <v>2.0</v>
      </c>
      <c r="BA253" s="9">
        <v>2.0</v>
      </c>
      <c r="BB253" s="9" t="s">
        <v>391</v>
      </c>
      <c r="BD253" s="9" t="s">
        <v>5373</v>
      </c>
      <c r="BE253" s="9" t="s">
        <v>432</v>
      </c>
      <c r="BF253" s="9" t="s">
        <v>1095</v>
      </c>
      <c r="BG253" s="9" t="s">
        <v>394</v>
      </c>
      <c r="BI253" s="9" t="s">
        <v>824</v>
      </c>
      <c r="BK253" s="9" t="s">
        <v>681</v>
      </c>
      <c r="BL253" s="9" t="s">
        <v>396</v>
      </c>
      <c r="BM253" s="9" t="s">
        <v>1247</v>
      </c>
      <c r="BN253" s="9" t="s">
        <v>513</v>
      </c>
      <c r="CL253" s="9" t="s">
        <v>953</v>
      </c>
      <c r="CM253" s="9" t="s">
        <v>401</v>
      </c>
      <c r="CN253" s="9" t="s">
        <v>5374</v>
      </c>
      <c r="CO253" s="9" t="s">
        <v>5375</v>
      </c>
      <c r="CP253" s="9" t="s">
        <v>445</v>
      </c>
      <c r="CQ253" s="9" t="s">
        <v>5376</v>
      </c>
      <c r="CR253" s="9" t="s">
        <v>404</v>
      </c>
      <c r="CS253" s="9" t="s">
        <v>1137</v>
      </c>
      <c r="CT253" s="9" t="s">
        <v>5377</v>
      </c>
      <c r="CU253" s="9" t="s">
        <v>450</v>
      </c>
      <c r="CV253" s="9" t="s">
        <v>959</v>
      </c>
      <c r="CX253" s="9" t="s">
        <v>408</v>
      </c>
      <c r="CZ253" s="9" t="s">
        <v>1398</v>
      </c>
      <c r="DB253" s="9" t="s">
        <v>408</v>
      </c>
      <c r="DD253" s="9" t="s">
        <v>406</v>
      </c>
      <c r="DE253" s="9" t="s">
        <v>691</v>
      </c>
      <c r="DG253" s="9" t="s">
        <v>776</v>
      </c>
      <c r="DH253" s="9" t="s">
        <v>410</v>
      </c>
      <c r="DI253" s="9" t="s">
        <v>963</v>
      </c>
      <c r="DJ253" s="9" t="s">
        <v>613</v>
      </c>
      <c r="ET253" s="9" t="s">
        <v>478</v>
      </c>
      <c r="EU253" s="9" t="s">
        <v>579</v>
      </c>
      <c r="EV253" s="9" t="s">
        <v>527</v>
      </c>
      <c r="EW253" s="9" t="s">
        <v>5378</v>
      </c>
      <c r="EY253" s="9" t="s">
        <v>5379</v>
      </c>
      <c r="EZ253" s="9" t="s">
        <v>583</v>
      </c>
      <c r="FA253" s="9" t="s">
        <v>583</v>
      </c>
      <c r="FB253" s="9" t="s">
        <v>413</v>
      </c>
      <c r="FC253" s="9" t="s">
        <v>583</v>
      </c>
      <c r="FD253" s="9" t="s">
        <v>415</v>
      </c>
      <c r="FE253" s="9" t="s">
        <v>583</v>
      </c>
      <c r="FF253" s="9" t="s">
        <v>583</v>
      </c>
      <c r="FG253" s="9" t="s">
        <v>414</v>
      </c>
      <c r="FH253" s="9" t="s">
        <v>413</v>
      </c>
      <c r="FI253" s="9" t="s">
        <v>413</v>
      </c>
      <c r="FJ253" s="9" t="s">
        <v>583</v>
      </c>
      <c r="FK253" s="9" t="s">
        <v>583</v>
      </c>
      <c r="FL253" s="9" t="s">
        <v>583</v>
      </c>
      <c r="FM253" s="9" t="s">
        <v>413</v>
      </c>
      <c r="FN253" s="9" t="s">
        <v>413</v>
      </c>
      <c r="FO253" s="9" t="s">
        <v>1537</v>
      </c>
      <c r="FP253" s="9" t="s">
        <v>1200</v>
      </c>
      <c r="FQ253" s="9" t="s">
        <v>712</v>
      </c>
      <c r="FR253" s="9" t="s">
        <v>5380</v>
      </c>
      <c r="FS253" s="9" t="s">
        <v>1871</v>
      </c>
      <c r="FT253" s="9" t="s">
        <v>421</v>
      </c>
      <c r="FU253" s="9" t="s">
        <v>1235</v>
      </c>
      <c r="FV253" s="9" t="s">
        <v>2387</v>
      </c>
      <c r="FW253" s="9" t="s">
        <v>491</v>
      </c>
      <c r="FY253" s="9" t="s">
        <v>493</v>
      </c>
      <c r="GB253" s="9" t="s">
        <v>455</v>
      </c>
      <c r="GC253" s="9"/>
      <c r="GE253" s="9" t="s">
        <v>753</v>
      </c>
      <c r="GG253" s="9" t="s">
        <v>755</v>
      </c>
      <c r="GH253" s="9" t="s">
        <v>755</v>
      </c>
      <c r="GI253" s="9" t="s">
        <v>858</v>
      </c>
      <c r="GQ253" s="9" t="s">
        <v>3208</v>
      </c>
      <c r="GT253" s="9" t="s">
        <v>4774</v>
      </c>
      <c r="GV253" s="9" t="s">
        <v>5381</v>
      </c>
      <c r="GW253" s="9" t="s">
        <v>484</v>
      </c>
      <c r="HC253" s="9" t="s">
        <v>5281</v>
      </c>
      <c r="HD253" s="9" t="s">
        <v>5382</v>
      </c>
      <c r="HE253" s="9" t="s">
        <v>484</v>
      </c>
      <c r="HF253" s="9" t="s">
        <v>5300</v>
      </c>
      <c r="HO253" s="9" t="s">
        <v>5383</v>
      </c>
      <c r="HP253" s="9" t="s">
        <v>5302</v>
      </c>
      <c r="HQ253" s="9" t="s">
        <v>5238</v>
      </c>
      <c r="HR253" s="9" t="s">
        <v>5321</v>
      </c>
      <c r="HS253" s="10"/>
      <c r="HT253" s="10"/>
      <c r="HU253" s="10"/>
      <c r="HV253" s="10"/>
      <c r="HW253" s="10"/>
      <c r="HX253" s="10"/>
      <c r="HY253" s="10"/>
      <c r="HZ253" s="10"/>
      <c r="IA253" s="10"/>
      <c r="IB253" s="10"/>
      <c r="IC253" s="10"/>
      <c r="ID253" s="10"/>
      <c r="IE253" s="10"/>
      <c r="IF253" s="10"/>
      <c r="IG253" s="10"/>
      <c r="IH253" s="10"/>
      <c r="II253" s="10"/>
      <c r="IJ253" s="10"/>
      <c r="IK253" s="10"/>
      <c r="IL253" s="10"/>
      <c r="IM253" s="10"/>
      <c r="IN253" s="10"/>
      <c r="IO253" s="10"/>
      <c r="IP253" s="10"/>
      <c r="IQ253" s="10"/>
      <c r="IR253" s="10"/>
      <c r="IS253" s="10"/>
      <c r="IT253" s="10"/>
      <c r="IU253" s="10"/>
      <c r="IV253" s="10"/>
      <c r="IW253" s="10"/>
      <c r="IX253" s="10"/>
      <c r="IY253" s="10"/>
      <c r="IZ253" s="10"/>
      <c r="JA253" s="10"/>
      <c r="JB253" s="10"/>
      <c r="JC253" s="10"/>
      <c r="JD253" s="10"/>
      <c r="JE253" s="10"/>
      <c r="JF253" s="10"/>
      <c r="JG253" s="10"/>
      <c r="JH253" s="10"/>
      <c r="JI253" s="10"/>
      <c r="JJ253" s="10"/>
      <c r="JK253" s="10"/>
      <c r="JL253" s="10"/>
      <c r="JM253" s="10"/>
      <c r="JN253" s="10"/>
      <c r="JO253" s="10"/>
      <c r="JP253" s="10"/>
      <c r="JQ253" s="10"/>
      <c r="JR253" s="10"/>
      <c r="JS253" s="10"/>
      <c r="JT253" s="10"/>
      <c r="JU253" s="10"/>
      <c r="JV253" s="10"/>
      <c r="JW253" s="10"/>
      <c r="JX253" s="10"/>
      <c r="JY253" s="10"/>
      <c r="JZ253" s="10"/>
      <c r="KA253" s="10"/>
      <c r="KB253" s="10"/>
      <c r="KC253" s="10"/>
      <c r="KD253" s="10"/>
      <c r="KE253" s="10"/>
      <c r="KF253" s="10"/>
      <c r="KG253" s="10"/>
      <c r="KH253" s="10"/>
      <c r="KI253" s="10"/>
      <c r="KJ253" s="10"/>
      <c r="KK253" s="10"/>
      <c r="KL253" s="10"/>
      <c r="KM253" s="10"/>
      <c r="KN253" s="10"/>
      <c r="KO253" s="10"/>
      <c r="KP253" s="10"/>
      <c r="KQ253" s="10"/>
      <c r="KR253" s="10"/>
      <c r="KS253" s="10"/>
      <c r="KT253" s="10"/>
      <c r="KU253" s="10"/>
      <c r="KV253" s="10"/>
      <c r="KW253" s="10"/>
      <c r="KX253" s="10"/>
      <c r="KY253" s="10"/>
      <c r="KZ253" s="10"/>
      <c r="LA253" s="10"/>
      <c r="LB253" s="10"/>
      <c r="LC253" s="10"/>
      <c r="LD253" s="10"/>
      <c r="LE253" s="10"/>
      <c r="LF253" s="10"/>
      <c r="LG253" s="10"/>
      <c r="LH253" s="10"/>
      <c r="LI253" s="10"/>
      <c r="LJ253" s="10"/>
      <c r="LK253" s="10"/>
      <c r="LL253" s="10"/>
      <c r="LM253" s="10"/>
      <c r="LN253" s="10"/>
      <c r="LO253" s="10"/>
      <c r="LP253" s="10"/>
      <c r="LQ253" s="10"/>
      <c r="LR253" s="10"/>
      <c r="LS253" s="10"/>
      <c r="LT253" s="10"/>
      <c r="LU253" s="10"/>
      <c r="LV253" s="10"/>
      <c r="LW253" s="10"/>
      <c r="LX253" s="10"/>
      <c r="LY253" s="10"/>
      <c r="LZ253" s="10"/>
      <c r="MA253" s="10"/>
      <c r="MB253" s="10"/>
      <c r="MC253" s="10"/>
      <c r="MD253" s="10"/>
      <c r="ME253" s="10"/>
      <c r="MF253" s="10"/>
      <c r="MG253" s="10"/>
      <c r="MH253" s="10"/>
      <c r="MI253" s="10"/>
      <c r="MJ253" s="10"/>
      <c r="MK253" s="10"/>
      <c r="ML253" s="10"/>
      <c r="MM253" s="10"/>
      <c r="MN253" s="10"/>
      <c r="MO253" s="10"/>
      <c r="MP253" s="10"/>
      <c r="MQ253" s="10"/>
      <c r="MR253" s="10"/>
      <c r="MS253" s="10"/>
      <c r="MT253" s="10"/>
      <c r="MU253" s="10"/>
      <c r="MV253" s="10"/>
      <c r="MW253" s="10"/>
      <c r="MX253" s="10"/>
      <c r="MY253" s="10"/>
      <c r="MZ253" s="10"/>
      <c r="NA253" s="10"/>
      <c r="NB253" s="10"/>
      <c r="NC253" s="10"/>
      <c r="ND253" s="10"/>
    </row>
    <row r="254" ht="24.75" customHeight="1">
      <c r="A254" s="8">
        <v>45870.66304393519</v>
      </c>
      <c r="B254" s="9" t="s">
        <v>368</v>
      </c>
      <c r="C254" s="9" t="s">
        <v>370</v>
      </c>
      <c r="D254" s="9" t="s">
        <v>370</v>
      </c>
      <c r="E254" s="9" t="s">
        <v>5384</v>
      </c>
      <c r="F254" s="9" t="s">
        <v>1421</v>
      </c>
      <c r="G254" s="9" t="s">
        <v>422</v>
      </c>
      <c r="H254" s="9" t="s">
        <v>373</v>
      </c>
      <c r="I254" s="9" t="s">
        <v>374</v>
      </c>
      <c r="J254" s="9" t="s">
        <v>375</v>
      </c>
      <c r="K254" s="9" t="s">
        <v>376</v>
      </c>
      <c r="L254" s="9" t="s">
        <v>379</v>
      </c>
      <c r="M254" s="9" t="s">
        <v>1690</v>
      </c>
      <c r="N254" s="9" t="s">
        <v>379</v>
      </c>
      <c r="O254" s="9" t="s">
        <v>5385</v>
      </c>
      <c r="P254" s="9" t="s">
        <v>381</v>
      </c>
      <c r="Q254" s="9" t="s">
        <v>1156</v>
      </c>
      <c r="R254" s="9" t="s">
        <v>500</v>
      </c>
      <c r="S254" s="9" t="s">
        <v>5386</v>
      </c>
      <c r="T254" s="9" t="s">
        <v>385</v>
      </c>
      <c r="W254" s="9" t="s">
        <v>386</v>
      </c>
      <c r="X254" s="9" t="s">
        <v>387</v>
      </c>
      <c r="Y254" s="9" t="s">
        <v>761</v>
      </c>
      <c r="Z254" s="9" t="s">
        <v>672</v>
      </c>
      <c r="AA254" s="9" t="s">
        <v>5387</v>
      </c>
      <c r="AB254" s="9" t="s">
        <v>5388</v>
      </c>
      <c r="AV254" s="9" t="s">
        <v>504</v>
      </c>
      <c r="AW254" s="9" t="s">
        <v>675</v>
      </c>
      <c r="AX254" s="9">
        <v>4.0</v>
      </c>
      <c r="AY254" s="9" t="s">
        <v>675</v>
      </c>
      <c r="AZ254" s="9" t="s">
        <v>675</v>
      </c>
      <c r="BA254" s="9" t="s">
        <v>675</v>
      </c>
      <c r="BB254" s="9" t="s">
        <v>675</v>
      </c>
      <c r="BC254" s="9" t="s">
        <v>5389</v>
      </c>
      <c r="BD254" s="9" t="s">
        <v>5390</v>
      </c>
      <c r="BE254" s="9" t="s">
        <v>432</v>
      </c>
      <c r="BF254" s="9" t="s">
        <v>1245</v>
      </c>
      <c r="BG254" s="9" t="s">
        <v>394</v>
      </c>
      <c r="BI254" s="9" t="s">
        <v>976</v>
      </c>
      <c r="BK254" s="9" t="s">
        <v>681</v>
      </c>
      <c r="BL254" s="9" t="s">
        <v>603</v>
      </c>
      <c r="BM254" s="9" t="s">
        <v>1247</v>
      </c>
      <c r="BN254" s="9" t="s">
        <v>513</v>
      </c>
      <c r="CL254" s="9" t="s">
        <v>441</v>
      </c>
      <c r="CM254" s="9" t="s">
        <v>401</v>
      </c>
      <c r="CN254" s="9" t="s">
        <v>5391</v>
      </c>
      <c r="CO254" s="9" t="s">
        <v>5392</v>
      </c>
      <c r="CP254" s="9" t="s">
        <v>445</v>
      </c>
      <c r="CQ254" s="9" t="s">
        <v>5393</v>
      </c>
      <c r="CR254" s="9" t="s">
        <v>447</v>
      </c>
      <c r="CS254" s="9" t="s">
        <v>5394</v>
      </c>
      <c r="CT254" s="9" t="s">
        <v>5395</v>
      </c>
      <c r="CU254" s="9" t="s">
        <v>450</v>
      </c>
      <c r="CV254" s="9" t="s">
        <v>451</v>
      </c>
      <c r="CW254" s="9" t="s">
        <v>5396</v>
      </c>
      <c r="CX254" s="9" t="s">
        <v>408</v>
      </c>
      <c r="CY254" s="9" t="s">
        <v>1211</v>
      </c>
      <c r="CZ254" s="9" t="s">
        <v>453</v>
      </c>
      <c r="DA254" s="9" t="s">
        <v>5397</v>
      </c>
      <c r="DB254" s="9" t="s">
        <v>408</v>
      </c>
      <c r="DC254" s="9" t="s">
        <v>1211</v>
      </c>
      <c r="DD254" s="9" t="s">
        <v>406</v>
      </c>
      <c r="DE254" s="9" t="s">
        <v>407</v>
      </c>
      <c r="DF254" s="9" t="s">
        <v>5398</v>
      </c>
      <c r="DG254" s="9" t="s">
        <v>561</v>
      </c>
      <c r="DH254" s="9" t="s">
        <v>1964</v>
      </c>
      <c r="DI254" s="9" t="s">
        <v>459</v>
      </c>
      <c r="DJ254" s="9" t="s">
        <v>460</v>
      </c>
      <c r="DK254" s="9" t="s">
        <v>461</v>
      </c>
      <c r="ET254" s="9" t="s">
        <v>2747</v>
      </c>
      <c r="EU254" s="9" t="s">
        <v>479</v>
      </c>
      <c r="EV254" s="9" t="s">
        <v>480</v>
      </c>
      <c r="EW254" s="9" t="s">
        <v>5399</v>
      </c>
      <c r="EX254" s="9" t="s">
        <v>5400</v>
      </c>
      <c r="EY254" s="9" t="s">
        <v>5401</v>
      </c>
      <c r="EZ254" s="9" t="s">
        <v>416</v>
      </c>
      <c r="FA254" s="9" t="s">
        <v>416</v>
      </c>
      <c r="FB254" s="9" t="s">
        <v>413</v>
      </c>
      <c r="FC254" s="9" t="s">
        <v>413</v>
      </c>
      <c r="FD254" s="9" t="s">
        <v>413</v>
      </c>
      <c r="FE254" s="9" t="s">
        <v>414</v>
      </c>
      <c r="FF254" s="9" t="s">
        <v>413</v>
      </c>
      <c r="FG254" s="9" t="s">
        <v>413</v>
      </c>
      <c r="FH254" s="9" t="s">
        <v>484</v>
      </c>
      <c r="FI254" s="9" t="s">
        <v>484</v>
      </c>
      <c r="FJ254" s="9" t="s">
        <v>583</v>
      </c>
      <c r="FK254" s="9" t="s">
        <v>413</v>
      </c>
      <c r="FL254" s="9" t="s">
        <v>416</v>
      </c>
      <c r="FM254" s="9" t="s">
        <v>413</v>
      </c>
      <c r="FN254" s="9" t="s">
        <v>484</v>
      </c>
      <c r="FO254" s="9" t="s">
        <v>850</v>
      </c>
      <c r="FP254" s="9" t="s">
        <v>418</v>
      </c>
      <c r="FQ254" s="9" t="s">
        <v>1039</v>
      </c>
      <c r="FR254" s="9" t="s">
        <v>5402</v>
      </c>
      <c r="FS254" s="9" t="s">
        <v>1189</v>
      </c>
      <c r="FT254" s="9" t="s">
        <v>488</v>
      </c>
      <c r="FU254" s="9" t="s">
        <v>489</v>
      </c>
      <c r="FV254" s="9" t="s">
        <v>490</v>
      </c>
      <c r="FW254" s="9" t="s">
        <v>491</v>
      </c>
      <c r="FX254" s="9" t="s">
        <v>5403</v>
      </c>
      <c r="FY254" s="9" t="s">
        <v>535</v>
      </c>
      <c r="FZ254" s="9" t="s">
        <v>5404</v>
      </c>
      <c r="GA254" s="9" t="s">
        <v>5405</v>
      </c>
      <c r="GB254" s="9" t="s">
        <v>455</v>
      </c>
      <c r="GC254" s="9"/>
      <c r="GE254" s="9" t="s">
        <v>855</v>
      </c>
      <c r="GF254" s="9" t="s">
        <v>5406</v>
      </c>
      <c r="GG254" s="9" t="s">
        <v>755</v>
      </c>
      <c r="GH254" s="9" t="s">
        <v>755</v>
      </c>
      <c r="GI254" s="9" t="s">
        <v>946</v>
      </c>
      <c r="GQ254" s="9" t="s">
        <v>5407</v>
      </c>
      <c r="GT254" s="9" t="s">
        <v>4774</v>
      </c>
      <c r="GU254" s="9" t="s">
        <v>1211</v>
      </c>
      <c r="GV254" s="9" t="s">
        <v>5231</v>
      </c>
      <c r="GW254" s="9" t="s">
        <v>5232</v>
      </c>
      <c r="HC254" s="9" t="s">
        <v>484</v>
      </c>
      <c r="HD254" s="9" t="s">
        <v>5349</v>
      </c>
      <c r="HE254" s="9" t="s">
        <v>5320</v>
      </c>
      <c r="HF254" s="9" t="s">
        <v>5300</v>
      </c>
      <c r="HO254" s="9" t="s">
        <v>5236</v>
      </c>
      <c r="HP254" s="9" t="s">
        <v>5264</v>
      </c>
      <c r="HQ254" s="9" t="s">
        <v>5238</v>
      </c>
      <c r="HR254" s="9" t="s">
        <v>913</v>
      </c>
      <c r="HS254" s="10"/>
      <c r="HT254" s="10"/>
      <c r="HU254" s="10"/>
      <c r="HV254" s="10"/>
      <c r="HW254" s="10"/>
      <c r="HX254" s="10"/>
      <c r="HY254" s="10"/>
      <c r="HZ254" s="10"/>
      <c r="IA254" s="10"/>
      <c r="IB254" s="10"/>
      <c r="IC254" s="10"/>
      <c r="ID254" s="10"/>
      <c r="IE254" s="10"/>
      <c r="IF254" s="10"/>
      <c r="IG254" s="10"/>
      <c r="IH254" s="10"/>
      <c r="II254" s="10"/>
      <c r="IJ254" s="10"/>
      <c r="IK254" s="10"/>
      <c r="IL254" s="10"/>
      <c r="IM254" s="10"/>
      <c r="IN254" s="10"/>
      <c r="IO254" s="10"/>
      <c r="IP254" s="10"/>
      <c r="IQ254" s="10"/>
      <c r="IR254" s="10"/>
      <c r="IS254" s="10"/>
      <c r="IT254" s="10"/>
      <c r="IU254" s="10"/>
      <c r="IV254" s="10"/>
      <c r="IW254" s="10"/>
      <c r="IX254" s="10"/>
      <c r="IY254" s="10"/>
      <c r="IZ254" s="10"/>
      <c r="JA254" s="10"/>
      <c r="JB254" s="10"/>
      <c r="JC254" s="10"/>
      <c r="JD254" s="10"/>
      <c r="JE254" s="10"/>
      <c r="JF254" s="10"/>
      <c r="JG254" s="10"/>
      <c r="JH254" s="10"/>
      <c r="JI254" s="10"/>
      <c r="JJ254" s="10"/>
      <c r="JK254" s="10"/>
      <c r="JL254" s="10"/>
      <c r="JM254" s="10"/>
      <c r="JN254" s="10"/>
      <c r="JO254" s="10"/>
      <c r="JP254" s="10"/>
      <c r="JQ254" s="10"/>
      <c r="JR254" s="10"/>
      <c r="JS254" s="10"/>
      <c r="JT254" s="10"/>
      <c r="JU254" s="10"/>
      <c r="JV254" s="10"/>
      <c r="JW254" s="10"/>
      <c r="JX254" s="10"/>
      <c r="JY254" s="10"/>
      <c r="JZ254" s="10"/>
      <c r="KA254" s="10"/>
      <c r="KB254" s="10"/>
      <c r="KC254" s="10"/>
      <c r="KD254" s="10"/>
      <c r="KE254" s="10"/>
      <c r="KF254" s="10"/>
      <c r="KG254" s="10"/>
      <c r="KH254" s="10"/>
      <c r="KI254" s="10"/>
      <c r="KJ254" s="10"/>
      <c r="KK254" s="10"/>
      <c r="KL254" s="10"/>
      <c r="KM254" s="10"/>
      <c r="KN254" s="10"/>
      <c r="KO254" s="10"/>
      <c r="KP254" s="10"/>
      <c r="KQ254" s="10"/>
      <c r="KR254" s="10"/>
      <c r="KS254" s="10"/>
      <c r="KT254" s="10"/>
      <c r="KU254" s="10"/>
      <c r="KV254" s="10"/>
      <c r="KW254" s="10"/>
      <c r="KX254" s="10"/>
      <c r="KY254" s="10"/>
      <c r="KZ254" s="10"/>
      <c r="LA254" s="10"/>
      <c r="LB254" s="10"/>
      <c r="LC254" s="10"/>
      <c r="LD254" s="10"/>
      <c r="LE254" s="10"/>
      <c r="LF254" s="10"/>
      <c r="LG254" s="10"/>
      <c r="LH254" s="10"/>
      <c r="LI254" s="10"/>
      <c r="LJ254" s="10"/>
      <c r="LK254" s="10"/>
      <c r="LL254" s="10"/>
      <c r="LM254" s="10"/>
      <c r="LN254" s="10"/>
      <c r="LO254" s="10"/>
      <c r="LP254" s="10"/>
      <c r="LQ254" s="10"/>
      <c r="LR254" s="10"/>
      <c r="LS254" s="10"/>
      <c r="LT254" s="10"/>
      <c r="LU254" s="10"/>
      <c r="LV254" s="10"/>
      <c r="LW254" s="10"/>
      <c r="LX254" s="10"/>
      <c r="LY254" s="10"/>
      <c r="LZ254" s="10"/>
      <c r="MA254" s="10"/>
      <c r="MB254" s="10"/>
      <c r="MC254" s="10"/>
      <c r="MD254" s="10"/>
      <c r="ME254" s="10"/>
      <c r="MF254" s="10"/>
      <c r="MG254" s="10"/>
      <c r="MH254" s="10"/>
      <c r="MI254" s="10"/>
      <c r="MJ254" s="10"/>
      <c r="MK254" s="10"/>
      <c r="ML254" s="10"/>
      <c r="MM254" s="10"/>
      <c r="MN254" s="10"/>
      <c r="MO254" s="10"/>
      <c r="MP254" s="10"/>
      <c r="MQ254" s="10"/>
      <c r="MR254" s="10"/>
      <c r="MS254" s="10"/>
      <c r="MT254" s="10"/>
      <c r="MU254" s="10"/>
      <c r="MV254" s="10"/>
      <c r="MW254" s="10"/>
      <c r="MX254" s="10"/>
      <c r="MY254" s="10"/>
      <c r="MZ254" s="10"/>
      <c r="NA254" s="10"/>
      <c r="NB254" s="10"/>
      <c r="NC254" s="10"/>
      <c r="ND254" s="10"/>
    </row>
    <row r="255" ht="24.75" customHeight="1">
      <c r="A255" s="8">
        <v>45871.494499988425</v>
      </c>
      <c r="B255" s="9" t="s">
        <v>368</v>
      </c>
      <c r="C255" s="9" t="s">
        <v>370</v>
      </c>
      <c r="D255" s="9" t="s">
        <v>370</v>
      </c>
      <c r="E255" s="9" t="s">
        <v>1875</v>
      </c>
      <c r="F255" s="9" t="s">
        <v>3955</v>
      </c>
      <c r="G255" s="9" t="s">
        <v>422</v>
      </c>
      <c r="H255" s="9" t="s">
        <v>539</v>
      </c>
      <c r="I255" s="9" t="s">
        <v>424</v>
      </c>
      <c r="J255" s="9" t="s">
        <v>718</v>
      </c>
      <c r="K255" s="9" t="s">
        <v>376</v>
      </c>
      <c r="L255" s="9" t="s">
        <v>379</v>
      </c>
      <c r="M255" s="9" t="s">
        <v>720</v>
      </c>
      <c r="N255" s="9" t="s">
        <v>793</v>
      </c>
      <c r="O255" s="9" t="s">
        <v>5408</v>
      </c>
      <c r="P255" s="9" t="s">
        <v>498</v>
      </c>
      <c r="Q255" s="9" t="s">
        <v>862</v>
      </c>
      <c r="R255" s="9" t="s">
        <v>500</v>
      </c>
      <c r="S255" s="9" t="s">
        <v>384</v>
      </c>
      <c r="T255" s="9" t="s">
        <v>385</v>
      </c>
      <c r="W255" s="9" t="s">
        <v>593</v>
      </c>
      <c r="X255" s="9" t="s">
        <v>387</v>
      </c>
      <c r="Y255" s="9" t="s">
        <v>1444</v>
      </c>
      <c r="Z255" s="9" t="s">
        <v>543</v>
      </c>
      <c r="AA255" s="9" t="s">
        <v>796</v>
      </c>
      <c r="AB255" s="9" t="s">
        <v>5409</v>
      </c>
      <c r="AV255" s="9" t="s">
        <v>390</v>
      </c>
      <c r="AW255" s="9" t="s">
        <v>391</v>
      </c>
      <c r="AX255" s="9" t="s">
        <v>391</v>
      </c>
      <c r="AY255" s="9">
        <v>2.0</v>
      </c>
      <c r="AZ255" s="9">
        <v>2.0</v>
      </c>
      <c r="BA255" s="9" t="s">
        <v>429</v>
      </c>
      <c r="BB255" s="9">
        <v>2.0</v>
      </c>
      <c r="BC255" s="9" t="s">
        <v>5410</v>
      </c>
      <c r="BD255" s="9" t="s">
        <v>5411</v>
      </c>
      <c r="BE255" s="9" t="s">
        <v>432</v>
      </c>
      <c r="BF255" s="9" t="s">
        <v>433</v>
      </c>
      <c r="BG255" s="9" t="s">
        <v>765</v>
      </c>
      <c r="BH255" s="9" t="s">
        <v>5412</v>
      </c>
      <c r="BI255" s="9" t="s">
        <v>509</v>
      </c>
      <c r="BJ255" s="9" t="s">
        <v>5413</v>
      </c>
      <c r="BK255" s="9" t="s">
        <v>681</v>
      </c>
      <c r="BL255" s="9" t="s">
        <v>512</v>
      </c>
      <c r="BM255" s="9" t="s">
        <v>439</v>
      </c>
      <c r="BN255" s="9" t="s">
        <v>513</v>
      </c>
      <c r="CL255" s="9" t="s">
        <v>441</v>
      </c>
      <c r="CM255" s="9" t="s">
        <v>604</v>
      </c>
      <c r="CN255" s="9" t="s">
        <v>1315</v>
      </c>
      <c r="CO255" s="9" t="s">
        <v>5414</v>
      </c>
      <c r="CP255" s="9" t="s">
        <v>685</v>
      </c>
      <c r="CQ255" s="9" t="s">
        <v>5415</v>
      </c>
      <c r="CR255" s="9" t="s">
        <v>447</v>
      </c>
      <c r="CS255" s="9" t="s">
        <v>3488</v>
      </c>
      <c r="CT255" s="9" t="s">
        <v>5416</v>
      </c>
      <c r="CU255" s="9" t="s">
        <v>450</v>
      </c>
      <c r="CV255" s="9" t="s">
        <v>451</v>
      </c>
      <c r="CW255" s="9" t="s">
        <v>5417</v>
      </c>
      <c r="CX255" s="9" t="s">
        <v>455</v>
      </c>
      <c r="CY255" s="9" t="s">
        <v>5418</v>
      </c>
      <c r="CZ255" s="9" t="s">
        <v>453</v>
      </c>
      <c r="DA255" s="9" t="s">
        <v>5419</v>
      </c>
      <c r="DB255" s="9" t="s">
        <v>455</v>
      </c>
      <c r="DC255" s="9" t="s">
        <v>5420</v>
      </c>
      <c r="DD255" s="9" t="s">
        <v>662</v>
      </c>
      <c r="DF255" s="9" t="s">
        <v>5421</v>
      </c>
      <c r="DG255" s="9" t="s">
        <v>524</v>
      </c>
      <c r="DH255" s="9" t="s">
        <v>410</v>
      </c>
      <c r="DI255" s="9" t="s">
        <v>459</v>
      </c>
      <c r="DJ255" s="9" t="s">
        <v>460</v>
      </c>
      <c r="DK255" s="9" t="s">
        <v>461</v>
      </c>
      <c r="ET255" s="9" t="s">
        <v>526</v>
      </c>
      <c r="EU255" s="9" t="s">
        <v>479</v>
      </c>
      <c r="EV255" s="9" t="s">
        <v>480</v>
      </c>
      <c r="EW255" s="9" t="s">
        <v>5422</v>
      </c>
      <c r="EX255" s="9" t="s">
        <v>5423</v>
      </c>
      <c r="EY255" s="9" t="s">
        <v>5424</v>
      </c>
      <c r="EZ255" s="9" t="s">
        <v>413</v>
      </c>
      <c r="FB255" s="9" t="s">
        <v>413</v>
      </c>
      <c r="FC255" s="9" t="s">
        <v>413</v>
      </c>
      <c r="FD255" s="9" t="s">
        <v>413</v>
      </c>
      <c r="FE255" s="9" t="s">
        <v>413</v>
      </c>
      <c r="FF255" s="9" t="s">
        <v>413</v>
      </c>
      <c r="FG255" s="9" t="s">
        <v>415</v>
      </c>
      <c r="FH255" s="9" t="s">
        <v>583</v>
      </c>
      <c r="FI255" s="9" t="s">
        <v>414</v>
      </c>
      <c r="FJ255" s="9" t="s">
        <v>414</v>
      </c>
      <c r="FK255" s="9" t="s">
        <v>416</v>
      </c>
      <c r="FL255" s="9" t="s">
        <v>415</v>
      </c>
      <c r="FM255" s="9" t="s">
        <v>415</v>
      </c>
      <c r="FN255" s="9" t="s">
        <v>414</v>
      </c>
      <c r="FO255" s="9" t="s">
        <v>485</v>
      </c>
      <c r="FP255" s="9" t="s">
        <v>418</v>
      </c>
      <c r="FQ255" s="9" t="s">
        <v>419</v>
      </c>
      <c r="FS255" s="9" t="s">
        <v>420</v>
      </c>
      <c r="FT255" s="9" t="s">
        <v>488</v>
      </c>
      <c r="FU255" s="9" t="s">
        <v>489</v>
      </c>
      <c r="FV255" s="9" t="s">
        <v>490</v>
      </c>
      <c r="FW255" s="9" t="s">
        <v>491</v>
      </c>
      <c r="FX255" s="9" t="s">
        <v>5425</v>
      </c>
      <c r="FY255" s="9" t="s">
        <v>535</v>
      </c>
      <c r="GB255" s="9" t="s">
        <v>455</v>
      </c>
      <c r="GC255" s="9"/>
      <c r="GE255" s="9" t="s">
        <v>786</v>
      </c>
      <c r="GF255" s="9" t="s">
        <v>5426</v>
      </c>
      <c r="GG255" s="9" t="s">
        <v>755</v>
      </c>
      <c r="GH255" s="9" t="s">
        <v>755</v>
      </c>
      <c r="GI255" s="9" t="s">
        <v>946</v>
      </c>
      <c r="GQ255" s="9" t="s">
        <v>4653</v>
      </c>
      <c r="GT255" s="9" t="s">
        <v>4774</v>
      </c>
      <c r="GV255" s="9" t="s">
        <v>5231</v>
      </c>
      <c r="GW255" s="9" t="s">
        <v>5232</v>
      </c>
      <c r="HC255" s="9" t="s">
        <v>5297</v>
      </c>
      <c r="HD255" s="9" t="s">
        <v>5349</v>
      </c>
      <c r="HE255" s="9" t="s">
        <v>5320</v>
      </c>
      <c r="HF255" s="9" t="s">
        <v>5300</v>
      </c>
      <c r="HO255" s="9" t="s">
        <v>5236</v>
      </c>
      <c r="HP255" s="9" t="s">
        <v>5264</v>
      </c>
      <c r="HQ255" s="9" t="s">
        <v>5238</v>
      </c>
      <c r="HR255" s="9" t="s">
        <v>913</v>
      </c>
      <c r="HS255" s="10"/>
      <c r="HT255" s="10"/>
      <c r="HU255" s="10"/>
      <c r="HV255" s="10"/>
      <c r="HW255" s="10"/>
      <c r="HX255" s="10"/>
      <c r="HY255" s="10"/>
      <c r="HZ255" s="10"/>
      <c r="IA255" s="10"/>
      <c r="IB255" s="10"/>
      <c r="IC255" s="10"/>
      <c r="ID255" s="10"/>
      <c r="IE255" s="10"/>
      <c r="IF255" s="10"/>
      <c r="IG255" s="10"/>
      <c r="IH255" s="10"/>
      <c r="II255" s="10"/>
      <c r="IJ255" s="10"/>
      <c r="IK255" s="10"/>
      <c r="IL255" s="10"/>
      <c r="IM255" s="10"/>
      <c r="IN255" s="10"/>
      <c r="IO255" s="10"/>
      <c r="IP255" s="10"/>
      <c r="IQ255" s="10"/>
      <c r="IR255" s="10"/>
      <c r="IS255" s="10"/>
      <c r="IT255" s="10"/>
      <c r="IU255" s="10"/>
      <c r="IV255" s="10"/>
      <c r="IW255" s="10"/>
      <c r="IX255" s="10"/>
      <c r="IY255" s="10"/>
      <c r="IZ255" s="10"/>
      <c r="JA255" s="10"/>
      <c r="JB255" s="10"/>
      <c r="JC255" s="10"/>
      <c r="JD255" s="10"/>
      <c r="JE255" s="10"/>
      <c r="JF255" s="10"/>
      <c r="JG255" s="10"/>
      <c r="JH255" s="10"/>
      <c r="JI255" s="10"/>
      <c r="JJ255" s="10"/>
      <c r="JK255" s="10"/>
      <c r="JL255" s="10"/>
      <c r="JM255" s="10"/>
      <c r="JN255" s="10"/>
      <c r="JO255" s="10"/>
      <c r="JP255" s="10"/>
      <c r="JQ255" s="10"/>
      <c r="JR255" s="10"/>
      <c r="JS255" s="10"/>
      <c r="JT255" s="10"/>
      <c r="JU255" s="10"/>
      <c r="JV255" s="10"/>
      <c r="JW255" s="10"/>
      <c r="JX255" s="10"/>
      <c r="JY255" s="10"/>
      <c r="JZ255" s="10"/>
      <c r="KA255" s="10"/>
      <c r="KB255" s="10"/>
      <c r="KC255" s="10"/>
      <c r="KD255" s="10"/>
      <c r="KE255" s="10"/>
      <c r="KF255" s="10"/>
      <c r="KG255" s="10"/>
      <c r="KH255" s="10"/>
      <c r="KI255" s="10"/>
      <c r="KJ255" s="10"/>
      <c r="KK255" s="10"/>
      <c r="KL255" s="10"/>
      <c r="KM255" s="10"/>
      <c r="KN255" s="10"/>
      <c r="KO255" s="10"/>
      <c r="KP255" s="10"/>
      <c r="KQ255" s="10"/>
      <c r="KR255" s="10"/>
      <c r="KS255" s="10"/>
      <c r="KT255" s="10"/>
      <c r="KU255" s="10"/>
      <c r="KV255" s="10"/>
      <c r="KW255" s="10"/>
      <c r="KX255" s="10"/>
      <c r="KY255" s="10"/>
      <c r="KZ255" s="10"/>
      <c r="LA255" s="10"/>
      <c r="LB255" s="10"/>
      <c r="LC255" s="10"/>
      <c r="LD255" s="10"/>
      <c r="LE255" s="10"/>
      <c r="LF255" s="10"/>
      <c r="LG255" s="10"/>
      <c r="LH255" s="10"/>
      <c r="LI255" s="10"/>
      <c r="LJ255" s="10"/>
      <c r="LK255" s="10"/>
      <c r="LL255" s="10"/>
      <c r="LM255" s="10"/>
      <c r="LN255" s="10"/>
      <c r="LO255" s="10"/>
      <c r="LP255" s="10"/>
      <c r="LQ255" s="10"/>
      <c r="LR255" s="10"/>
      <c r="LS255" s="10"/>
      <c r="LT255" s="10"/>
      <c r="LU255" s="10"/>
      <c r="LV255" s="10"/>
      <c r="LW255" s="10"/>
      <c r="LX255" s="10"/>
      <c r="LY255" s="10"/>
      <c r="LZ255" s="10"/>
      <c r="MA255" s="10"/>
      <c r="MB255" s="10"/>
      <c r="MC255" s="10"/>
      <c r="MD255" s="10"/>
      <c r="ME255" s="10"/>
      <c r="MF255" s="10"/>
      <c r="MG255" s="10"/>
      <c r="MH255" s="10"/>
      <c r="MI255" s="10"/>
      <c r="MJ255" s="10"/>
      <c r="MK255" s="10"/>
      <c r="ML255" s="10"/>
      <c r="MM255" s="10"/>
      <c r="MN255" s="10"/>
      <c r="MO255" s="10"/>
      <c r="MP255" s="10"/>
      <c r="MQ255" s="10"/>
      <c r="MR255" s="10"/>
      <c r="MS255" s="10"/>
      <c r="MT255" s="10"/>
      <c r="MU255" s="10"/>
      <c r="MV255" s="10"/>
      <c r="MW255" s="10"/>
      <c r="MX255" s="10"/>
      <c r="MY255" s="10"/>
      <c r="MZ255" s="10"/>
      <c r="NA255" s="10"/>
      <c r="NB255" s="10"/>
      <c r="NC255" s="10"/>
      <c r="ND255" s="10"/>
    </row>
    <row r="256" ht="24.75" customHeight="1">
      <c r="A256" s="8">
        <v>45872.30185957176</v>
      </c>
      <c r="B256" s="9" t="s">
        <v>368</v>
      </c>
      <c r="C256" s="9" t="s">
        <v>1201</v>
      </c>
      <c r="D256" s="9" t="s">
        <v>1201</v>
      </c>
      <c r="G256" s="9" t="s">
        <v>422</v>
      </c>
      <c r="H256" s="9" t="s">
        <v>373</v>
      </c>
      <c r="I256" s="9" t="s">
        <v>374</v>
      </c>
      <c r="J256" s="9" t="s">
        <v>1240</v>
      </c>
      <c r="K256" s="9" t="s">
        <v>376</v>
      </c>
      <c r="L256" s="9" t="s">
        <v>426</v>
      </c>
      <c r="M256" s="9" t="s">
        <v>5427</v>
      </c>
      <c r="N256" s="9" t="s">
        <v>426</v>
      </c>
      <c r="O256" s="9" t="s">
        <v>5427</v>
      </c>
      <c r="P256" s="9" t="s">
        <v>592</v>
      </c>
      <c r="Q256" s="9" t="s">
        <v>499</v>
      </c>
      <c r="R256" s="9" t="s">
        <v>427</v>
      </c>
      <c r="S256" s="9" t="s">
        <v>384</v>
      </c>
      <c r="T256" s="9" t="s">
        <v>385</v>
      </c>
      <c r="W256" s="9" t="s">
        <v>3014</v>
      </c>
      <c r="AV256" s="9" t="s">
        <v>1310</v>
      </c>
      <c r="AW256" s="9">
        <v>4.0</v>
      </c>
      <c r="AX256" s="9">
        <v>4.0</v>
      </c>
      <c r="AY256" s="9" t="s">
        <v>675</v>
      </c>
      <c r="AZ256" s="9" t="s">
        <v>675</v>
      </c>
      <c r="BA256" s="9">
        <v>4.0</v>
      </c>
      <c r="BB256" s="9" t="s">
        <v>675</v>
      </c>
      <c r="BE256" s="9" t="s">
        <v>902</v>
      </c>
      <c r="BF256" s="9" t="s">
        <v>1095</v>
      </c>
      <c r="BG256" s="9" t="s">
        <v>394</v>
      </c>
      <c r="BI256" s="9" t="s">
        <v>976</v>
      </c>
      <c r="BK256" s="9" t="s">
        <v>681</v>
      </c>
      <c r="BL256" s="9" t="s">
        <v>438</v>
      </c>
      <c r="BM256" s="9" t="s">
        <v>549</v>
      </c>
      <c r="BN256" s="9" t="s">
        <v>398</v>
      </c>
      <c r="BO256" s="9" t="s">
        <v>5428</v>
      </c>
      <c r="BP256" s="9" t="s">
        <v>5429</v>
      </c>
      <c r="BQ256" s="9" t="s">
        <v>604</v>
      </c>
      <c r="BR256" s="9" t="s">
        <v>5430</v>
      </c>
      <c r="BS256" s="9" t="s">
        <v>1671</v>
      </c>
      <c r="BT256" s="9" t="s">
        <v>4368</v>
      </c>
      <c r="BU256" s="9" t="s">
        <v>1693</v>
      </c>
      <c r="BV256" s="9" t="s">
        <v>5431</v>
      </c>
      <c r="BW256" s="9" t="s">
        <v>988</v>
      </c>
      <c r="BY256" s="9" t="s">
        <v>408</v>
      </c>
      <c r="CB256" s="9" t="s">
        <v>5432</v>
      </c>
      <c r="CC256" s="9" t="s">
        <v>5433</v>
      </c>
      <c r="CD256" s="9" t="s">
        <v>451</v>
      </c>
      <c r="CE256" s="9" t="s">
        <v>5434</v>
      </c>
      <c r="CF256" s="9" t="s">
        <v>1258</v>
      </c>
      <c r="CH256" s="9" t="s">
        <v>1751</v>
      </c>
      <c r="CI256" s="9" t="s">
        <v>410</v>
      </c>
      <c r="CJ256" s="9" t="s">
        <v>5435</v>
      </c>
      <c r="DI256" s="9" t="s">
        <v>459</v>
      </c>
      <c r="DJ256" s="9" t="s">
        <v>562</v>
      </c>
      <c r="DK256" s="9" t="s">
        <v>525</v>
      </c>
      <c r="EU256" s="9" t="s">
        <v>1127</v>
      </c>
      <c r="EV256" s="9" t="s">
        <v>1262</v>
      </c>
      <c r="EZ256" s="9" t="s">
        <v>415</v>
      </c>
      <c r="FA256" s="9" t="s">
        <v>583</v>
      </c>
      <c r="FB256" s="9" t="s">
        <v>415</v>
      </c>
      <c r="FC256" s="9" t="s">
        <v>414</v>
      </c>
      <c r="FD256" s="9" t="s">
        <v>415</v>
      </c>
      <c r="FE256" s="9" t="s">
        <v>414</v>
      </c>
      <c r="FF256" s="9" t="s">
        <v>414</v>
      </c>
      <c r="FG256" s="9" t="s">
        <v>416</v>
      </c>
      <c r="FH256" s="9" t="s">
        <v>415</v>
      </c>
      <c r="FI256" s="9" t="s">
        <v>414</v>
      </c>
      <c r="FJ256" s="9" t="s">
        <v>414</v>
      </c>
      <c r="FK256" s="9" t="s">
        <v>414</v>
      </c>
      <c r="FL256" s="9" t="s">
        <v>414</v>
      </c>
      <c r="FM256" s="9" t="s">
        <v>416</v>
      </c>
      <c r="FN256" s="9" t="s">
        <v>414</v>
      </c>
      <c r="FO256" s="9" t="s">
        <v>1537</v>
      </c>
      <c r="FP256" s="9" t="s">
        <v>486</v>
      </c>
      <c r="FQ256" s="9" t="s">
        <v>712</v>
      </c>
      <c r="FS256" s="9" t="s">
        <v>1076</v>
      </c>
      <c r="FT256" s="9" t="s">
        <v>1462</v>
      </c>
      <c r="FU256" s="9" t="s">
        <v>918</v>
      </c>
      <c r="FV256" s="9" t="s">
        <v>490</v>
      </c>
      <c r="FW256" s="9" t="s">
        <v>491</v>
      </c>
      <c r="FY256" s="9" t="s">
        <v>1020</v>
      </c>
      <c r="GB256" s="9" t="s">
        <v>408</v>
      </c>
      <c r="GJ256" s="9" t="s">
        <v>1000</v>
      </c>
      <c r="GK256" s="9" t="s">
        <v>755</v>
      </c>
      <c r="GL256" s="9" t="s">
        <v>946</v>
      </c>
      <c r="GN256" s="9" t="s">
        <v>5436</v>
      </c>
      <c r="GO256" s="9" t="s">
        <v>1201</v>
      </c>
      <c r="GQ256" s="9" t="s">
        <v>3208</v>
      </c>
      <c r="GR256" s="9" t="s">
        <v>5039</v>
      </c>
      <c r="GV256" s="9" t="s">
        <v>5231</v>
      </c>
      <c r="GW256" s="9" t="s">
        <v>5232</v>
      </c>
      <c r="GX256" s="9" t="s">
        <v>484</v>
      </c>
      <c r="GY256" s="9" t="s">
        <v>5233</v>
      </c>
      <c r="GZ256" s="9" t="s">
        <v>5234</v>
      </c>
      <c r="HA256" s="9" t="s">
        <v>5437</v>
      </c>
      <c r="HB256" s="9" t="s">
        <v>5438</v>
      </c>
      <c r="HO256" s="9" t="s">
        <v>5383</v>
      </c>
      <c r="HP256" s="9" t="s">
        <v>5237</v>
      </c>
      <c r="HQ256" s="9" t="s">
        <v>5238</v>
      </c>
      <c r="HR256" s="9" t="s">
        <v>5347</v>
      </c>
    </row>
    <row r="257" ht="24.75" customHeight="1">
      <c r="A257" s="8">
        <v>45872.47329465278</v>
      </c>
      <c r="B257" s="9" t="s">
        <v>368</v>
      </c>
      <c r="C257" s="9" t="s">
        <v>370</v>
      </c>
      <c r="D257" s="9" t="s">
        <v>370</v>
      </c>
      <c r="E257" s="9" t="s">
        <v>1001</v>
      </c>
      <c r="F257" s="9" t="s">
        <v>2708</v>
      </c>
      <c r="G257" s="9" t="s">
        <v>422</v>
      </c>
      <c r="H257" s="9" t="s">
        <v>496</v>
      </c>
      <c r="I257" s="9" t="s">
        <v>2578</v>
      </c>
      <c r="J257" s="9" t="s">
        <v>540</v>
      </c>
      <c r="K257" s="9" t="s">
        <v>376</v>
      </c>
      <c r="L257" s="9" t="s">
        <v>591</v>
      </c>
      <c r="M257" s="9" t="s">
        <v>639</v>
      </c>
      <c r="N257" s="9" t="s">
        <v>591</v>
      </c>
      <c r="O257" s="9" t="s">
        <v>5439</v>
      </c>
      <c r="P257" s="9" t="s">
        <v>381</v>
      </c>
      <c r="Q257" s="9" t="s">
        <v>382</v>
      </c>
      <c r="R257" s="9" t="s">
        <v>500</v>
      </c>
      <c r="S257" s="9" t="s">
        <v>384</v>
      </c>
      <c r="T257" s="9" t="s">
        <v>385</v>
      </c>
      <c r="W257" s="9" t="s">
        <v>386</v>
      </c>
      <c r="X257" s="9" t="s">
        <v>387</v>
      </c>
      <c r="Y257" s="9" t="s">
        <v>388</v>
      </c>
      <c r="Z257" s="9" t="s">
        <v>543</v>
      </c>
      <c r="AV257" s="9" t="s">
        <v>1310</v>
      </c>
      <c r="AW257" s="9">
        <v>4.0</v>
      </c>
      <c r="AX257" s="9">
        <v>2.0</v>
      </c>
      <c r="AY257" s="9" t="s">
        <v>391</v>
      </c>
      <c r="AZ257" s="9" t="s">
        <v>429</v>
      </c>
      <c r="BA257" s="9">
        <v>2.0</v>
      </c>
      <c r="BB257" s="9">
        <v>2.0</v>
      </c>
      <c r="BC257" s="9" t="s">
        <v>5440</v>
      </c>
      <c r="BD257" s="9" t="s">
        <v>5441</v>
      </c>
      <c r="BE257" s="9" t="s">
        <v>902</v>
      </c>
      <c r="BF257" s="9" t="s">
        <v>393</v>
      </c>
      <c r="BG257" s="9" t="s">
        <v>765</v>
      </c>
      <c r="BI257" s="9" t="s">
        <v>435</v>
      </c>
      <c r="BK257" s="9" t="s">
        <v>437</v>
      </c>
      <c r="BL257" s="9" t="s">
        <v>603</v>
      </c>
      <c r="BM257" s="9" t="s">
        <v>397</v>
      </c>
      <c r="BN257" s="9" t="s">
        <v>513</v>
      </c>
      <c r="CL257" s="9" t="s">
        <v>441</v>
      </c>
      <c r="CM257" s="9" t="s">
        <v>604</v>
      </c>
      <c r="CN257" s="9" t="s">
        <v>5442</v>
      </c>
      <c r="CO257" s="9" t="s">
        <v>5443</v>
      </c>
      <c r="CP257" s="9" t="s">
        <v>445</v>
      </c>
      <c r="CQ257" s="9" t="s">
        <v>1427</v>
      </c>
      <c r="CR257" s="9" t="s">
        <v>447</v>
      </c>
      <c r="CS257" s="9" t="s">
        <v>2801</v>
      </c>
      <c r="CT257" s="9" t="s">
        <v>5444</v>
      </c>
      <c r="CU257" s="9" t="s">
        <v>519</v>
      </c>
      <c r="CV257" s="9" t="s">
        <v>451</v>
      </c>
      <c r="CW257" s="9" t="s">
        <v>5445</v>
      </c>
      <c r="CX257" s="9" t="s">
        <v>408</v>
      </c>
      <c r="CZ257" s="9" t="s">
        <v>985</v>
      </c>
      <c r="DA257" s="9" t="s">
        <v>5446</v>
      </c>
      <c r="DB257" s="9" t="s">
        <v>408</v>
      </c>
      <c r="DD257" s="9" t="s">
        <v>662</v>
      </c>
      <c r="DE257" s="9" t="s">
        <v>407</v>
      </c>
      <c r="DF257" s="9" t="s">
        <v>5447</v>
      </c>
      <c r="DG257" s="9" t="s">
        <v>561</v>
      </c>
      <c r="DH257" s="9" t="s">
        <v>833</v>
      </c>
      <c r="DI257" s="9" t="s">
        <v>459</v>
      </c>
      <c r="DJ257" s="9" t="s">
        <v>562</v>
      </c>
      <c r="DK257" s="9" t="s">
        <v>525</v>
      </c>
      <c r="ET257" s="9" t="s">
        <v>526</v>
      </c>
      <c r="EU257" s="9" t="s">
        <v>479</v>
      </c>
      <c r="EV257" s="9" t="s">
        <v>480</v>
      </c>
      <c r="EZ257" s="9" t="s">
        <v>415</v>
      </c>
      <c r="FA257" s="9" t="s">
        <v>415</v>
      </c>
      <c r="FB257" s="9" t="s">
        <v>413</v>
      </c>
      <c r="FC257" s="9" t="s">
        <v>413</v>
      </c>
      <c r="FD257" s="9" t="s">
        <v>413</v>
      </c>
      <c r="FE257" s="9" t="s">
        <v>583</v>
      </c>
      <c r="FF257" s="9" t="s">
        <v>414</v>
      </c>
      <c r="FG257" s="9" t="s">
        <v>413</v>
      </c>
      <c r="FH257" s="9" t="s">
        <v>583</v>
      </c>
      <c r="FI257" s="9" t="s">
        <v>583</v>
      </c>
      <c r="FJ257" s="9" t="s">
        <v>414</v>
      </c>
      <c r="FK257" s="9" t="s">
        <v>484</v>
      </c>
      <c r="FL257" s="9" t="s">
        <v>583</v>
      </c>
      <c r="FM257" s="9" t="s">
        <v>416</v>
      </c>
      <c r="FN257" s="9" t="s">
        <v>583</v>
      </c>
      <c r="FO257" s="9" t="s">
        <v>3396</v>
      </c>
      <c r="FP257" s="9" t="s">
        <v>418</v>
      </c>
      <c r="FQ257" s="9" t="s">
        <v>419</v>
      </c>
      <c r="FS257" s="9" t="s">
        <v>420</v>
      </c>
      <c r="FT257" s="9" t="s">
        <v>488</v>
      </c>
      <c r="FU257" s="9" t="s">
        <v>489</v>
      </c>
      <c r="FV257" s="9" t="s">
        <v>490</v>
      </c>
      <c r="FW257" s="9" t="s">
        <v>491</v>
      </c>
      <c r="FX257" s="9" t="s">
        <v>5448</v>
      </c>
      <c r="FY257" s="9" t="s">
        <v>493</v>
      </c>
      <c r="GB257" s="9" t="s">
        <v>408</v>
      </c>
      <c r="GG257" s="9" t="s">
        <v>755</v>
      </c>
      <c r="GH257" s="9" t="s">
        <v>755</v>
      </c>
      <c r="GI257" s="9" t="s">
        <v>946</v>
      </c>
      <c r="GQ257" s="9" t="s">
        <v>3208</v>
      </c>
      <c r="GT257" s="9" t="s">
        <v>4774</v>
      </c>
      <c r="GV257" s="9" t="s">
        <v>5231</v>
      </c>
      <c r="GW257" s="9" t="s">
        <v>5232</v>
      </c>
      <c r="HC257" s="9" t="s">
        <v>5297</v>
      </c>
      <c r="HD257" s="9" t="s">
        <v>5282</v>
      </c>
      <c r="HE257" s="9" t="s">
        <v>5320</v>
      </c>
      <c r="HF257" s="9" t="s">
        <v>5284</v>
      </c>
      <c r="HO257" s="9" t="s">
        <v>5236</v>
      </c>
      <c r="HP257" s="9" t="s">
        <v>5264</v>
      </c>
      <c r="HQ257" s="9" t="s">
        <v>5286</v>
      </c>
      <c r="HR257" s="9" t="s">
        <v>5239</v>
      </c>
    </row>
    <row r="258" ht="24.75" customHeight="1">
      <c r="A258" s="8">
        <v>45876.17624883102</v>
      </c>
      <c r="B258" s="9" t="s">
        <v>368</v>
      </c>
      <c r="C258" s="9" t="s">
        <v>538</v>
      </c>
      <c r="D258" s="9" t="s">
        <v>538</v>
      </c>
      <c r="G258" s="9" t="s">
        <v>422</v>
      </c>
      <c r="H258" s="9" t="s">
        <v>496</v>
      </c>
      <c r="I258" s="9" t="s">
        <v>374</v>
      </c>
      <c r="J258" s="9" t="s">
        <v>425</v>
      </c>
      <c r="K258" s="9" t="s">
        <v>376</v>
      </c>
      <c r="L258" s="9" t="s">
        <v>379</v>
      </c>
      <c r="M258" s="9" t="s">
        <v>541</v>
      </c>
      <c r="N258" s="9" t="s">
        <v>379</v>
      </c>
      <c r="O258" s="9" t="s">
        <v>671</v>
      </c>
      <c r="P258" s="9" t="s">
        <v>498</v>
      </c>
      <c r="Q258" s="9" t="s">
        <v>862</v>
      </c>
      <c r="R258" s="9" t="s">
        <v>427</v>
      </c>
      <c r="S258" s="9" t="s">
        <v>384</v>
      </c>
      <c r="T258" s="9" t="s">
        <v>385</v>
      </c>
      <c r="W258" s="9" t="s">
        <v>3231</v>
      </c>
      <c r="AV258" s="9" t="s">
        <v>1242</v>
      </c>
      <c r="AW258" s="9">
        <v>4.0</v>
      </c>
      <c r="AX258" s="9">
        <v>4.0</v>
      </c>
      <c r="AY258" s="9" t="s">
        <v>391</v>
      </c>
      <c r="AZ258" s="9">
        <v>4.0</v>
      </c>
      <c r="BA258" s="9" t="s">
        <v>675</v>
      </c>
      <c r="BB258" s="9" t="s">
        <v>675</v>
      </c>
      <c r="BC258" s="9" t="s">
        <v>5449</v>
      </c>
      <c r="BD258" s="9" t="s">
        <v>5450</v>
      </c>
      <c r="BE258" s="9" t="s">
        <v>902</v>
      </c>
      <c r="BF258" s="9" t="s">
        <v>1095</v>
      </c>
      <c r="BG258" s="9" t="s">
        <v>434</v>
      </c>
      <c r="BH258" s="9" t="s">
        <v>5451</v>
      </c>
      <c r="BI258" s="9" t="s">
        <v>435</v>
      </c>
      <c r="BJ258" s="9" t="s">
        <v>5452</v>
      </c>
      <c r="BK258" s="9" t="s">
        <v>511</v>
      </c>
      <c r="BL258" s="9" t="s">
        <v>904</v>
      </c>
      <c r="BM258" s="9" t="s">
        <v>1247</v>
      </c>
      <c r="BN258" s="9" t="s">
        <v>398</v>
      </c>
      <c r="BO258" s="9" t="s">
        <v>5453</v>
      </c>
      <c r="BP258" s="9" t="s">
        <v>5454</v>
      </c>
      <c r="BQ258" s="9" t="s">
        <v>401</v>
      </c>
      <c r="BR258" s="9" t="s">
        <v>5455</v>
      </c>
      <c r="BS258" s="9" t="s">
        <v>4071</v>
      </c>
      <c r="BT258" s="9" t="s">
        <v>404</v>
      </c>
      <c r="BU258" s="9" t="s">
        <v>405</v>
      </c>
      <c r="BV258" s="9" t="s">
        <v>5456</v>
      </c>
      <c r="BW258" s="9" t="s">
        <v>406</v>
      </c>
      <c r="BX258" s="9" t="s">
        <v>2503</v>
      </c>
      <c r="BY258" s="9" t="s">
        <v>408</v>
      </c>
      <c r="CA258" s="9" t="s">
        <v>5457</v>
      </c>
      <c r="CB258" s="9" t="s">
        <v>5458</v>
      </c>
      <c r="CC258" s="9" t="s">
        <v>5459</v>
      </c>
      <c r="CD258" s="9" t="s">
        <v>1257</v>
      </c>
      <c r="CF258" s="9" t="s">
        <v>1258</v>
      </c>
      <c r="CH258" s="9" t="s">
        <v>1259</v>
      </c>
      <c r="CI258" s="9" t="s">
        <v>410</v>
      </c>
      <c r="CJ258" s="9" t="s">
        <v>5460</v>
      </c>
      <c r="CK258" s="9" t="s">
        <v>5461</v>
      </c>
      <c r="DI258" s="9" t="s">
        <v>963</v>
      </c>
      <c r="DJ258" s="9" t="s">
        <v>460</v>
      </c>
      <c r="DK258" s="9" t="s">
        <v>525</v>
      </c>
      <c r="ET258" s="9" t="s">
        <v>526</v>
      </c>
      <c r="EU258" s="9" t="s">
        <v>579</v>
      </c>
      <c r="EV258" s="9" t="s">
        <v>527</v>
      </c>
      <c r="EX258" s="9" t="s">
        <v>5462</v>
      </c>
      <c r="EY258" s="9" t="s">
        <v>5463</v>
      </c>
      <c r="EZ258" s="9" t="s">
        <v>415</v>
      </c>
      <c r="FA258" s="9" t="s">
        <v>414</v>
      </c>
      <c r="FB258" s="9" t="s">
        <v>413</v>
      </c>
      <c r="FC258" s="9" t="s">
        <v>583</v>
      </c>
      <c r="FD258" s="9" t="s">
        <v>413</v>
      </c>
      <c r="FE258" s="9" t="s">
        <v>414</v>
      </c>
      <c r="FF258" s="9" t="s">
        <v>414</v>
      </c>
      <c r="FG258" s="9" t="s">
        <v>416</v>
      </c>
      <c r="FH258" s="9" t="s">
        <v>416</v>
      </c>
      <c r="FI258" s="9" t="s">
        <v>416</v>
      </c>
      <c r="FJ258" s="9" t="s">
        <v>416</v>
      </c>
      <c r="FK258" s="9" t="s">
        <v>416</v>
      </c>
      <c r="FL258" s="9" t="s">
        <v>415</v>
      </c>
      <c r="FM258" s="9" t="s">
        <v>413</v>
      </c>
      <c r="FN258" s="9" t="s">
        <v>416</v>
      </c>
      <c r="FO258" s="9" t="s">
        <v>417</v>
      </c>
      <c r="FP258" s="9" t="s">
        <v>418</v>
      </c>
      <c r="FQ258" s="9" t="s">
        <v>1039</v>
      </c>
      <c r="FR258" s="9" t="s">
        <v>5464</v>
      </c>
      <c r="FS258" s="9" t="s">
        <v>420</v>
      </c>
      <c r="FT258" s="9" t="s">
        <v>488</v>
      </c>
      <c r="FU258" s="9" t="s">
        <v>1235</v>
      </c>
      <c r="FV258" s="9" t="s">
        <v>490</v>
      </c>
      <c r="FW258" s="9" t="s">
        <v>491</v>
      </c>
      <c r="FX258" s="9" t="s">
        <v>5465</v>
      </c>
      <c r="FY258" s="9" t="s">
        <v>535</v>
      </c>
      <c r="FZ258" s="9" t="s">
        <v>5466</v>
      </c>
      <c r="GB258" s="9" t="s">
        <v>455</v>
      </c>
      <c r="GC258" s="9"/>
      <c r="GD258" s="9"/>
      <c r="GE258" s="9" t="s">
        <v>753</v>
      </c>
      <c r="GF258" s="9" t="s">
        <v>5467</v>
      </c>
      <c r="GJ258" s="9" t="s">
        <v>788</v>
      </c>
      <c r="GK258" s="9" t="s">
        <v>920</v>
      </c>
      <c r="GL258" s="9" t="s">
        <v>817</v>
      </c>
      <c r="GN258" s="9" t="s">
        <v>2293</v>
      </c>
      <c r="GO258" s="9" t="s">
        <v>2293</v>
      </c>
      <c r="GP258" s="9" t="s">
        <v>387</v>
      </c>
      <c r="GQ258" s="9" t="s">
        <v>3208</v>
      </c>
      <c r="GR258" s="9" t="s">
        <v>4774</v>
      </c>
      <c r="GV258" s="9" t="s">
        <v>5231</v>
      </c>
      <c r="GW258" s="9" t="s">
        <v>5232</v>
      </c>
      <c r="GX258" s="9" t="s">
        <v>5281</v>
      </c>
      <c r="GY258" s="9" t="s">
        <v>5233</v>
      </c>
      <c r="GZ258" s="9" t="s">
        <v>484</v>
      </c>
      <c r="HA258" s="9" t="s">
        <v>484</v>
      </c>
      <c r="HB258" s="9" t="s">
        <v>5468</v>
      </c>
      <c r="HO258" s="9" t="s">
        <v>5236</v>
      </c>
      <c r="HP258" s="9" t="s">
        <v>5237</v>
      </c>
      <c r="HQ258" s="9" t="s">
        <v>5238</v>
      </c>
      <c r="HR258" s="9" t="s">
        <v>5239</v>
      </c>
    </row>
    <row r="259" ht="24.75" customHeight="1">
      <c r="A259" s="8">
        <v>45876.638081446756</v>
      </c>
      <c r="B259" s="9" t="s">
        <v>368</v>
      </c>
      <c r="C259" s="9" t="s">
        <v>5153</v>
      </c>
      <c r="D259" s="9" t="s">
        <v>5153</v>
      </c>
      <c r="G259" s="9" t="s">
        <v>422</v>
      </c>
      <c r="H259" s="9" t="s">
        <v>373</v>
      </c>
      <c r="I259" s="9" t="s">
        <v>374</v>
      </c>
      <c r="J259" s="9" t="s">
        <v>540</v>
      </c>
      <c r="K259" s="9" t="s">
        <v>376</v>
      </c>
      <c r="L259" s="9" t="s">
        <v>793</v>
      </c>
      <c r="M259" s="9" t="s">
        <v>639</v>
      </c>
      <c r="N259" s="9" t="s">
        <v>379</v>
      </c>
      <c r="O259" s="9" t="s">
        <v>497</v>
      </c>
      <c r="P259" s="9" t="s">
        <v>498</v>
      </c>
      <c r="Q259" s="9" t="s">
        <v>862</v>
      </c>
      <c r="R259" s="9" t="s">
        <v>427</v>
      </c>
      <c r="S259" s="9" t="s">
        <v>384</v>
      </c>
      <c r="T259" s="9" t="s">
        <v>385</v>
      </c>
      <c r="W259" s="9" t="s">
        <v>3231</v>
      </c>
      <c r="AV259" s="9" t="s">
        <v>1310</v>
      </c>
      <c r="AW259" s="9">
        <v>4.0</v>
      </c>
      <c r="AX259" s="9" t="s">
        <v>391</v>
      </c>
      <c r="AY259" s="9" t="s">
        <v>675</v>
      </c>
      <c r="AZ259" s="9" t="s">
        <v>675</v>
      </c>
      <c r="BA259" s="9" t="s">
        <v>675</v>
      </c>
      <c r="BB259" s="9" t="s">
        <v>675</v>
      </c>
      <c r="BC259" s="9" t="s">
        <v>5469</v>
      </c>
      <c r="BD259" s="9" t="s">
        <v>5470</v>
      </c>
      <c r="BE259" s="9" t="s">
        <v>902</v>
      </c>
      <c r="BF259" s="9" t="s">
        <v>1095</v>
      </c>
      <c r="BG259" s="9" t="s">
        <v>394</v>
      </c>
      <c r="BI259" s="9" t="s">
        <v>976</v>
      </c>
      <c r="BK259" s="9" t="s">
        <v>437</v>
      </c>
      <c r="BL259" s="9" t="s">
        <v>603</v>
      </c>
      <c r="BM259" s="9" t="s">
        <v>1247</v>
      </c>
      <c r="BN259" s="9" t="s">
        <v>398</v>
      </c>
      <c r="BO259" s="9" t="s">
        <v>5471</v>
      </c>
      <c r="BP259" s="9" t="s">
        <v>5472</v>
      </c>
      <c r="BQ259" s="9" t="s">
        <v>401</v>
      </c>
      <c r="BR259" s="9" t="s">
        <v>4462</v>
      </c>
      <c r="BS259" s="9" t="s">
        <v>4071</v>
      </c>
      <c r="BT259" s="9" t="s">
        <v>4072</v>
      </c>
      <c r="BU259" s="9" t="s">
        <v>405</v>
      </c>
      <c r="BW259" s="9" t="s">
        <v>406</v>
      </c>
      <c r="BX259" s="9" t="s">
        <v>1867</v>
      </c>
      <c r="BY259" s="9" t="s">
        <v>408</v>
      </c>
      <c r="CB259" s="9" t="s">
        <v>5473</v>
      </c>
      <c r="CC259" s="9" t="s">
        <v>5474</v>
      </c>
      <c r="CD259" s="9" t="s">
        <v>409</v>
      </c>
      <c r="CE259" s="9" t="s">
        <v>5475</v>
      </c>
      <c r="CF259" s="9" t="s">
        <v>1697</v>
      </c>
      <c r="CH259" s="9" t="s">
        <v>1259</v>
      </c>
      <c r="CI259" s="9" t="s">
        <v>1220</v>
      </c>
      <c r="CJ259" s="9" t="s">
        <v>5476</v>
      </c>
      <c r="CK259" s="9" t="s">
        <v>5477</v>
      </c>
      <c r="DI259" s="9" t="s">
        <v>963</v>
      </c>
      <c r="DJ259" s="9" t="s">
        <v>460</v>
      </c>
      <c r="DK259" s="9" t="s">
        <v>525</v>
      </c>
      <c r="ET259" s="9" t="s">
        <v>526</v>
      </c>
      <c r="EU259" s="9" t="s">
        <v>579</v>
      </c>
      <c r="EV259" s="9" t="s">
        <v>1534</v>
      </c>
      <c r="EZ259" s="9" t="s">
        <v>416</v>
      </c>
      <c r="FA259" s="9" t="s">
        <v>415</v>
      </c>
      <c r="FB259" s="9" t="s">
        <v>413</v>
      </c>
      <c r="FC259" s="9" t="s">
        <v>413</v>
      </c>
      <c r="FD259" s="9" t="s">
        <v>413</v>
      </c>
      <c r="FE259" s="9" t="s">
        <v>415</v>
      </c>
      <c r="FF259" s="9" t="s">
        <v>413</v>
      </c>
      <c r="FG259" s="9" t="s">
        <v>413</v>
      </c>
      <c r="FH259" s="9" t="s">
        <v>413</v>
      </c>
      <c r="FI259" s="9" t="s">
        <v>413</v>
      </c>
      <c r="FJ259" s="9" t="s">
        <v>413</v>
      </c>
      <c r="FK259" s="9" t="s">
        <v>413</v>
      </c>
      <c r="FL259" s="9" t="s">
        <v>413</v>
      </c>
      <c r="FM259" s="9" t="s">
        <v>413</v>
      </c>
      <c r="FN259" s="9" t="s">
        <v>413</v>
      </c>
      <c r="FO259" s="9" t="s">
        <v>417</v>
      </c>
      <c r="FP259" s="9" t="s">
        <v>418</v>
      </c>
      <c r="FS259" s="9" t="s">
        <v>420</v>
      </c>
      <c r="FT259" s="9" t="s">
        <v>488</v>
      </c>
      <c r="FU259" s="9" t="s">
        <v>1235</v>
      </c>
      <c r="FV259" s="9" t="s">
        <v>490</v>
      </c>
      <c r="FW259" s="9" t="s">
        <v>491</v>
      </c>
      <c r="FX259" s="9" t="s">
        <v>5478</v>
      </c>
      <c r="FY259" s="9" t="s">
        <v>535</v>
      </c>
      <c r="GB259" s="9" t="s">
        <v>455</v>
      </c>
      <c r="GC259" s="9"/>
      <c r="GE259" s="9" t="s">
        <v>753</v>
      </c>
      <c r="GJ259" s="9" t="s">
        <v>755</v>
      </c>
      <c r="GK259" s="9" t="s">
        <v>755</v>
      </c>
      <c r="GL259" s="9" t="s">
        <v>817</v>
      </c>
      <c r="GN259" s="9" t="s">
        <v>5153</v>
      </c>
      <c r="GO259" s="9" t="s">
        <v>5153</v>
      </c>
      <c r="GP259" s="9" t="s">
        <v>387</v>
      </c>
      <c r="GQ259" s="9" t="s">
        <v>3208</v>
      </c>
      <c r="GR259" s="9" t="s">
        <v>4774</v>
      </c>
      <c r="GV259" s="9" t="s">
        <v>5231</v>
      </c>
      <c r="GW259" s="9" t="s">
        <v>5261</v>
      </c>
      <c r="GX259" s="9" t="s">
        <v>5281</v>
      </c>
      <c r="GY259" s="9" t="s">
        <v>5233</v>
      </c>
      <c r="GZ259" s="9" t="s">
        <v>5234</v>
      </c>
      <c r="HA259" s="9" t="s">
        <v>5369</v>
      </c>
      <c r="HB259" s="9" t="s">
        <v>5370</v>
      </c>
      <c r="HO259" s="9" t="s">
        <v>5301</v>
      </c>
      <c r="HP259" s="9" t="s">
        <v>5264</v>
      </c>
      <c r="HQ259" s="9" t="s">
        <v>5238</v>
      </c>
      <c r="HR259" s="9" t="s">
        <v>5321</v>
      </c>
    </row>
    <row r="260" ht="24.75" customHeight="1">
      <c r="A260" s="8">
        <v>45879.53425473379</v>
      </c>
      <c r="B260" s="9" t="s">
        <v>368</v>
      </c>
      <c r="C260" s="9" t="s">
        <v>370</v>
      </c>
      <c r="D260" s="9" t="s">
        <v>370</v>
      </c>
      <c r="E260" s="9" t="s">
        <v>2359</v>
      </c>
      <c r="F260" s="9" t="s">
        <v>1592</v>
      </c>
      <c r="G260" s="9" t="s">
        <v>422</v>
      </c>
      <c r="H260" s="9" t="s">
        <v>373</v>
      </c>
      <c r="I260" s="9" t="s">
        <v>374</v>
      </c>
      <c r="J260" s="9" t="s">
        <v>718</v>
      </c>
      <c r="K260" s="9" t="s">
        <v>376</v>
      </c>
      <c r="L260" s="9" t="s">
        <v>379</v>
      </c>
      <c r="M260" s="9" t="s">
        <v>497</v>
      </c>
      <c r="N260" s="9" t="s">
        <v>426</v>
      </c>
      <c r="O260" s="9" t="s">
        <v>5479</v>
      </c>
      <c r="P260" s="9" t="s">
        <v>498</v>
      </c>
      <c r="Q260" s="9" t="s">
        <v>862</v>
      </c>
      <c r="R260" s="9" t="s">
        <v>1135</v>
      </c>
      <c r="S260" s="9" t="s">
        <v>1443</v>
      </c>
      <c r="T260" s="9" t="s">
        <v>385</v>
      </c>
      <c r="W260" s="9" t="s">
        <v>3231</v>
      </c>
      <c r="AV260" s="9" t="s">
        <v>1310</v>
      </c>
      <c r="AW260" s="9" t="s">
        <v>675</v>
      </c>
      <c r="AX260" s="9" t="s">
        <v>675</v>
      </c>
      <c r="AY260" s="9" t="s">
        <v>675</v>
      </c>
      <c r="AZ260" s="9" t="s">
        <v>675</v>
      </c>
      <c r="BA260" s="9" t="s">
        <v>675</v>
      </c>
      <c r="BB260" s="9" t="s">
        <v>675</v>
      </c>
      <c r="BE260" s="9" t="s">
        <v>432</v>
      </c>
      <c r="BF260" s="9" t="s">
        <v>1245</v>
      </c>
      <c r="BG260" s="9" t="s">
        <v>394</v>
      </c>
      <c r="BI260" s="9" t="s">
        <v>976</v>
      </c>
      <c r="BK260" s="9" t="s">
        <v>681</v>
      </c>
      <c r="BL260" s="9" t="s">
        <v>904</v>
      </c>
      <c r="BM260" s="9" t="s">
        <v>1247</v>
      </c>
      <c r="BN260" s="9" t="s">
        <v>440</v>
      </c>
      <c r="CL260" s="9" t="s">
        <v>441</v>
      </c>
      <c r="CM260" s="9" t="s">
        <v>604</v>
      </c>
      <c r="CN260" s="9" t="s">
        <v>552</v>
      </c>
      <c r="CO260" s="9" t="s">
        <v>5480</v>
      </c>
      <c r="CP260" s="9" t="s">
        <v>979</v>
      </c>
      <c r="CQ260" s="9" t="s">
        <v>3090</v>
      </c>
      <c r="CR260" s="9" t="s">
        <v>804</v>
      </c>
      <c r="CS260" s="9" t="s">
        <v>5481</v>
      </c>
      <c r="CU260" s="9" t="s">
        <v>450</v>
      </c>
      <c r="CV260" s="9" t="s">
        <v>451</v>
      </c>
      <c r="CX260" s="9" t="s">
        <v>408</v>
      </c>
      <c r="CZ260" s="9" t="s">
        <v>453</v>
      </c>
      <c r="DA260" s="9" t="s">
        <v>5482</v>
      </c>
      <c r="DB260" s="9" t="s">
        <v>408</v>
      </c>
      <c r="DD260" s="9" t="s">
        <v>457</v>
      </c>
      <c r="DG260" s="9" t="s">
        <v>524</v>
      </c>
      <c r="DH260" s="9" t="s">
        <v>410</v>
      </c>
      <c r="DI260" s="9" t="s">
        <v>459</v>
      </c>
      <c r="DJ260" s="9" t="s">
        <v>460</v>
      </c>
      <c r="DK260" s="9" t="s">
        <v>461</v>
      </c>
      <c r="DM260" s="9" t="s">
        <v>5483</v>
      </c>
      <c r="DN260" s="9" t="s">
        <v>5484</v>
      </c>
      <c r="DO260" s="9" t="s">
        <v>464</v>
      </c>
      <c r="DP260" s="9" t="s">
        <v>5485</v>
      </c>
      <c r="DQ260" s="9" t="s">
        <v>1324</v>
      </c>
      <c r="DS260" s="9" t="s">
        <v>618</v>
      </c>
      <c r="DT260" s="9" t="s">
        <v>5486</v>
      </c>
      <c r="DW260" s="9" t="s">
        <v>396</v>
      </c>
      <c r="DY260" s="9" t="s">
        <v>5487</v>
      </c>
      <c r="DZ260" s="9" t="s">
        <v>5488</v>
      </c>
      <c r="EA260" s="9" t="s">
        <v>475</v>
      </c>
      <c r="EB260" s="9" t="s">
        <v>626</v>
      </c>
      <c r="ET260" s="9" t="s">
        <v>526</v>
      </c>
      <c r="EU260" s="9" t="s">
        <v>479</v>
      </c>
      <c r="EV260" s="9" t="s">
        <v>527</v>
      </c>
      <c r="EW260" s="9" t="s">
        <v>5489</v>
      </c>
      <c r="EZ260" s="9" t="s">
        <v>416</v>
      </c>
      <c r="FA260" s="9" t="s">
        <v>415</v>
      </c>
      <c r="FB260" s="9" t="s">
        <v>413</v>
      </c>
      <c r="FC260" s="9" t="s">
        <v>413</v>
      </c>
      <c r="FD260" s="9" t="s">
        <v>413</v>
      </c>
      <c r="FE260" s="9" t="s">
        <v>416</v>
      </c>
      <c r="FF260" s="9" t="s">
        <v>413</v>
      </c>
      <c r="FG260" s="9" t="s">
        <v>416</v>
      </c>
      <c r="FH260" s="9" t="s">
        <v>583</v>
      </c>
      <c r="FI260" s="9" t="s">
        <v>414</v>
      </c>
      <c r="FJ260" s="9" t="s">
        <v>415</v>
      </c>
      <c r="FK260" s="9" t="s">
        <v>484</v>
      </c>
      <c r="FL260" s="9" t="s">
        <v>484</v>
      </c>
      <c r="FM260" s="9" t="s">
        <v>484</v>
      </c>
      <c r="FN260" s="9" t="s">
        <v>484</v>
      </c>
      <c r="FO260" s="9" t="s">
        <v>485</v>
      </c>
      <c r="FP260" s="9" t="s">
        <v>418</v>
      </c>
      <c r="FQ260" s="9" t="s">
        <v>419</v>
      </c>
      <c r="FR260" s="9" t="s">
        <v>5490</v>
      </c>
      <c r="FS260" s="9" t="s">
        <v>420</v>
      </c>
      <c r="FT260" s="9" t="s">
        <v>488</v>
      </c>
      <c r="FU260" s="9" t="s">
        <v>533</v>
      </c>
      <c r="FV260" s="9" t="s">
        <v>490</v>
      </c>
      <c r="FW260" s="9" t="s">
        <v>491</v>
      </c>
      <c r="FX260" s="9" t="s">
        <v>5491</v>
      </c>
      <c r="FY260" s="9" t="s">
        <v>535</v>
      </c>
      <c r="GB260" s="9" t="s">
        <v>408</v>
      </c>
      <c r="GG260" s="9" t="s">
        <v>755</v>
      </c>
      <c r="GH260" s="9" t="s">
        <v>755</v>
      </c>
      <c r="GI260" s="9" t="s">
        <v>817</v>
      </c>
      <c r="GM260" s="9" t="s">
        <v>1079</v>
      </c>
      <c r="GP260" s="9" t="s">
        <v>387</v>
      </c>
      <c r="GQ260" s="9" t="s">
        <v>3208</v>
      </c>
      <c r="GT260" s="9" t="s">
        <v>4774</v>
      </c>
      <c r="GV260" s="9" t="s">
        <v>5231</v>
      </c>
      <c r="GW260" s="9" t="s">
        <v>484</v>
      </c>
      <c r="HC260" s="9" t="s">
        <v>5297</v>
      </c>
      <c r="HD260" s="9" t="s">
        <v>5282</v>
      </c>
      <c r="HE260" s="9" t="s">
        <v>5492</v>
      </c>
      <c r="HF260" s="9" t="s">
        <v>5493</v>
      </c>
      <c r="HG260" s="9" t="s">
        <v>5494</v>
      </c>
      <c r="HH260" s="9" t="s">
        <v>5495</v>
      </c>
      <c r="HI260" s="9" t="s">
        <v>5496</v>
      </c>
      <c r="HJ260" s="9" t="s">
        <v>5497</v>
      </c>
      <c r="HO260" s="9" t="s">
        <v>5236</v>
      </c>
      <c r="HP260" s="9" t="s">
        <v>5237</v>
      </c>
      <c r="HQ260" s="9" t="s">
        <v>5238</v>
      </c>
      <c r="HR260" s="9" t="s">
        <v>5498</v>
      </c>
      <c r="HW260" s="9" t="s">
        <v>5499</v>
      </c>
      <c r="IN260" s="9" t="s">
        <v>5500</v>
      </c>
      <c r="IO260" s="9" t="s">
        <v>5500</v>
      </c>
      <c r="IP260" s="9" t="s">
        <v>5500</v>
      </c>
      <c r="IQ260" s="9" t="s">
        <v>5500</v>
      </c>
      <c r="IR260" s="9" t="s">
        <v>5500</v>
      </c>
      <c r="IS260" s="9" t="s">
        <v>5500</v>
      </c>
      <c r="IT260" s="10"/>
      <c r="IU260" s="10"/>
      <c r="IV260" s="10"/>
      <c r="IW260" s="10"/>
      <c r="IX260" s="10"/>
      <c r="IY260" s="10"/>
      <c r="IZ260" s="10"/>
      <c r="JA260" s="10"/>
      <c r="JB260" s="10"/>
      <c r="JC260" s="10"/>
      <c r="JD260" s="10"/>
      <c r="JE260" s="10"/>
      <c r="JF260" s="10"/>
      <c r="JG260" s="10"/>
      <c r="JH260" s="10"/>
      <c r="JI260" s="10"/>
      <c r="JJ260" s="10"/>
      <c r="JK260" s="10"/>
      <c r="JL260" s="10"/>
      <c r="JM260" s="10"/>
      <c r="JN260" s="10"/>
      <c r="JO260" s="10"/>
      <c r="JP260" s="10"/>
      <c r="JQ260" s="10"/>
      <c r="JR260" s="10"/>
      <c r="JS260" s="10"/>
      <c r="JT260" s="10"/>
      <c r="JU260" s="10"/>
      <c r="JV260" s="10"/>
      <c r="JW260" s="10"/>
      <c r="JX260" s="10"/>
      <c r="JY260" s="10"/>
      <c r="JZ260" s="10"/>
      <c r="KA260" s="10"/>
      <c r="KB260" s="10"/>
      <c r="KC260" s="10"/>
      <c r="KD260" s="10"/>
      <c r="KE260" s="10"/>
      <c r="KF260" s="10"/>
      <c r="KG260" s="10"/>
      <c r="KH260" s="10"/>
      <c r="KI260" s="10"/>
      <c r="KJ260" s="10"/>
      <c r="KK260" s="10"/>
      <c r="KL260" s="10"/>
      <c r="KM260" s="10"/>
      <c r="KN260" s="10"/>
      <c r="KO260" s="10"/>
      <c r="KP260" s="10"/>
      <c r="KQ260" s="10"/>
      <c r="KR260" s="10"/>
      <c r="KS260" s="10"/>
      <c r="KT260" s="10"/>
      <c r="KU260" s="10"/>
      <c r="KV260" s="10"/>
      <c r="KW260" s="10"/>
      <c r="KX260" s="10"/>
      <c r="KY260" s="10"/>
      <c r="KZ260" s="10"/>
      <c r="LA260" s="10"/>
      <c r="LB260" s="10"/>
      <c r="LC260" s="10"/>
      <c r="LD260" s="10"/>
      <c r="LE260" s="10"/>
      <c r="LF260" s="10"/>
      <c r="LG260" s="10"/>
      <c r="LH260" s="10"/>
      <c r="LI260" s="10"/>
      <c r="LJ260" s="10"/>
      <c r="LK260" s="10"/>
      <c r="LL260" s="10"/>
      <c r="LM260" s="10"/>
      <c r="LN260" s="10"/>
      <c r="LO260" s="10"/>
      <c r="LP260" s="10"/>
      <c r="LQ260" s="10"/>
      <c r="LR260" s="10"/>
      <c r="LS260" s="10"/>
      <c r="LT260" s="10"/>
      <c r="LU260" s="10"/>
      <c r="LV260" s="10"/>
      <c r="LW260" s="10"/>
      <c r="LX260" s="10"/>
      <c r="LY260" s="10"/>
      <c r="LZ260" s="10"/>
      <c r="MA260" s="10"/>
      <c r="MB260" s="10"/>
      <c r="MC260" s="10"/>
      <c r="MD260" s="10"/>
      <c r="ME260" s="10"/>
      <c r="MF260" s="10"/>
      <c r="MG260" s="10"/>
      <c r="MH260" s="10"/>
      <c r="MI260" s="10"/>
      <c r="MJ260" s="10"/>
      <c r="MK260" s="10"/>
      <c r="ML260" s="10"/>
      <c r="MM260" s="10"/>
      <c r="MN260" s="10"/>
      <c r="MO260" s="10"/>
      <c r="MP260" s="10"/>
      <c r="MQ260" s="10"/>
      <c r="MR260" s="10"/>
      <c r="MS260" s="10"/>
      <c r="MT260" s="10"/>
      <c r="MU260" s="10"/>
      <c r="MV260" s="10"/>
      <c r="MW260" s="10"/>
      <c r="MX260" s="10"/>
      <c r="MY260" s="10"/>
      <c r="MZ260" s="10"/>
      <c r="NA260" s="10"/>
      <c r="NB260" s="10"/>
      <c r="NC260" s="10"/>
    </row>
    <row r="261" ht="24.75" customHeight="1">
      <c r="A261" s="8">
        <v>45879.723996388886</v>
      </c>
      <c r="B261" s="9" t="s">
        <v>368</v>
      </c>
      <c r="C261" s="9" t="s">
        <v>370</v>
      </c>
      <c r="D261" s="9" t="s">
        <v>370</v>
      </c>
      <c r="E261" s="9" t="s">
        <v>1382</v>
      </c>
      <c r="F261" s="9" t="s">
        <v>1421</v>
      </c>
      <c r="G261" s="9" t="s">
        <v>422</v>
      </c>
      <c r="H261" s="9" t="s">
        <v>496</v>
      </c>
      <c r="I261" s="9" t="s">
        <v>374</v>
      </c>
      <c r="J261" s="9" t="s">
        <v>718</v>
      </c>
      <c r="K261" s="9" t="s">
        <v>376</v>
      </c>
      <c r="L261" s="9" t="s">
        <v>426</v>
      </c>
      <c r="M261" s="9" t="s">
        <v>720</v>
      </c>
      <c r="N261" s="9" t="s">
        <v>379</v>
      </c>
      <c r="O261" s="9" t="s">
        <v>380</v>
      </c>
      <c r="P261" s="9" t="s">
        <v>498</v>
      </c>
      <c r="Q261" s="9" t="s">
        <v>382</v>
      </c>
      <c r="R261" s="9" t="s">
        <v>500</v>
      </c>
      <c r="S261" s="9" t="s">
        <v>384</v>
      </c>
      <c r="T261" s="9" t="s">
        <v>385</v>
      </c>
      <c r="W261" s="9" t="s">
        <v>3231</v>
      </c>
      <c r="AV261" s="9" t="s">
        <v>390</v>
      </c>
      <c r="AW261" s="9" t="s">
        <v>391</v>
      </c>
      <c r="AX261" s="9" t="s">
        <v>391</v>
      </c>
      <c r="AY261" s="9">
        <v>4.0</v>
      </c>
      <c r="AZ261" s="9" t="s">
        <v>391</v>
      </c>
      <c r="BA261" s="9" t="s">
        <v>391</v>
      </c>
      <c r="BB261" s="9" t="s">
        <v>391</v>
      </c>
      <c r="BE261" s="9" t="s">
        <v>392</v>
      </c>
      <c r="BF261" s="9" t="s">
        <v>393</v>
      </c>
      <c r="BG261" s="9" t="s">
        <v>725</v>
      </c>
      <c r="BI261" s="9" t="s">
        <v>824</v>
      </c>
      <c r="BK261" s="9" t="s">
        <v>395</v>
      </c>
      <c r="BM261" s="9" t="s">
        <v>549</v>
      </c>
      <c r="BN261" s="9" t="s">
        <v>513</v>
      </c>
      <c r="CL261" s="9" t="s">
        <v>441</v>
      </c>
      <c r="CM261" s="9" t="s">
        <v>682</v>
      </c>
      <c r="CP261" s="9" t="s">
        <v>445</v>
      </c>
      <c r="CQ261" s="9" t="s">
        <v>1467</v>
      </c>
      <c r="CR261" s="9" t="s">
        <v>447</v>
      </c>
      <c r="CS261" s="9" t="s">
        <v>3120</v>
      </c>
      <c r="CU261" s="9" t="s">
        <v>982</v>
      </c>
      <c r="CV261" s="9" t="s">
        <v>409</v>
      </c>
      <c r="CX261" s="9" t="s">
        <v>408</v>
      </c>
      <c r="CZ261" s="9" t="s">
        <v>1962</v>
      </c>
      <c r="DB261" s="9" t="s">
        <v>408</v>
      </c>
      <c r="DD261" s="9" t="s">
        <v>406</v>
      </c>
      <c r="DE261" s="9" t="s">
        <v>407</v>
      </c>
      <c r="DG261" s="9" t="s">
        <v>990</v>
      </c>
      <c r="DH261" s="9" t="s">
        <v>833</v>
      </c>
      <c r="DI261" s="9" t="s">
        <v>459</v>
      </c>
      <c r="DJ261" s="9" t="s">
        <v>613</v>
      </c>
      <c r="EZ261" s="9" t="s">
        <v>416</v>
      </c>
      <c r="FA261" s="9" t="s">
        <v>415</v>
      </c>
      <c r="FB261" s="9" t="s">
        <v>413</v>
      </c>
      <c r="FC261" s="9" t="s">
        <v>415</v>
      </c>
      <c r="FD261" s="9" t="s">
        <v>413</v>
      </c>
      <c r="FE261" s="9" t="s">
        <v>415</v>
      </c>
      <c r="FF261" s="9" t="s">
        <v>415</v>
      </c>
      <c r="FG261" s="9" t="s">
        <v>413</v>
      </c>
      <c r="FH261" s="9" t="s">
        <v>583</v>
      </c>
      <c r="FI261" s="9" t="s">
        <v>414</v>
      </c>
      <c r="FJ261" s="9" t="s">
        <v>415</v>
      </c>
      <c r="FK261" s="9" t="s">
        <v>413</v>
      </c>
      <c r="FL261" s="9" t="s">
        <v>413</v>
      </c>
      <c r="FM261" s="9" t="s">
        <v>413</v>
      </c>
      <c r="FN261" s="9" t="s">
        <v>583</v>
      </c>
      <c r="FO261" s="9" t="s">
        <v>850</v>
      </c>
      <c r="FP261" s="9" t="s">
        <v>418</v>
      </c>
      <c r="FQ261" s="9" t="s">
        <v>419</v>
      </c>
      <c r="FS261" s="9" t="s">
        <v>1189</v>
      </c>
      <c r="FT261" s="9" t="s">
        <v>488</v>
      </c>
      <c r="FU261" s="9" t="s">
        <v>533</v>
      </c>
      <c r="FV261" s="9" t="s">
        <v>490</v>
      </c>
      <c r="FW261" s="9" t="s">
        <v>491</v>
      </c>
      <c r="FY261" s="9" t="s">
        <v>535</v>
      </c>
      <c r="GB261" s="9" t="s">
        <v>408</v>
      </c>
      <c r="GG261" s="9" t="s">
        <v>755</v>
      </c>
      <c r="GH261" s="9" t="s">
        <v>755</v>
      </c>
      <c r="GI261" s="9" t="s">
        <v>946</v>
      </c>
      <c r="GP261" s="9" t="s">
        <v>387</v>
      </c>
      <c r="GT261" s="9" t="s">
        <v>4774</v>
      </c>
      <c r="GV261" s="9" t="s">
        <v>5231</v>
      </c>
      <c r="GW261" s="9" t="s">
        <v>5232</v>
      </c>
      <c r="HC261" s="9" t="s">
        <v>5297</v>
      </c>
      <c r="HD261" s="9" t="s">
        <v>5349</v>
      </c>
      <c r="HE261" s="9" t="s">
        <v>5320</v>
      </c>
      <c r="HF261" s="9" t="s">
        <v>5284</v>
      </c>
      <c r="HO261" s="9" t="s">
        <v>5236</v>
      </c>
      <c r="HP261" s="9" t="s">
        <v>5264</v>
      </c>
      <c r="HQ261" s="9" t="s">
        <v>5238</v>
      </c>
      <c r="HR261" s="9" t="s">
        <v>5321</v>
      </c>
      <c r="HW261" s="9" t="s">
        <v>5501</v>
      </c>
    </row>
    <row r="262" ht="24.75" customHeight="1">
      <c r="A262" s="8">
        <v>45880.350850821764</v>
      </c>
      <c r="B262" s="9" t="s">
        <v>368</v>
      </c>
      <c r="C262" s="9" t="s">
        <v>370</v>
      </c>
      <c r="D262" s="9" t="s">
        <v>370</v>
      </c>
      <c r="E262" s="9" t="s">
        <v>1510</v>
      </c>
      <c r="F262" s="9" t="s">
        <v>1510</v>
      </c>
      <c r="G262" s="9" t="s">
        <v>422</v>
      </c>
      <c r="H262" s="9" t="s">
        <v>496</v>
      </c>
      <c r="I262" s="9" t="s">
        <v>374</v>
      </c>
      <c r="J262" s="9" t="s">
        <v>1240</v>
      </c>
      <c r="K262" s="9" t="s">
        <v>376</v>
      </c>
      <c r="L262" s="9" t="s">
        <v>426</v>
      </c>
      <c r="M262" s="9" t="s">
        <v>720</v>
      </c>
      <c r="N262" s="9" t="s">
        <v>426</v>
      </c>
      <c r="O262" s="9" t="s">
        <v>5502</v>
      </c>
      <c r="P262" s="9" t="s">
        <v>381</v>
      </c>
      <c r="Q262" s="9" t="s">
        <v>499</v>
      </c>
      <c r="R262" s="9" t="s">
        <v>427</v>
      </c>
      <c r="S262" s="9" t="s">
        <v>384</v>
      </c>
      <c r="T262" s="9" t="s">
        <v>385</v>
      </c>
      <c r="W262" s="9" t="s">
        <v>386</v>
      </c>
      <c r="X262" s="9" t="s">
        <v>387</v>
      </c>
      <c r="Y262" s="9" t="s">
        <v>388</v>
      </c>
      <c r="Z262" s="9" t="s">
        <v>543</v>
      </c>
      <c r="AA262" s="9" t="s">
        <v>5503</v>
      </c>
      <c r="AB262" s="9" t="s">
        <v>5504</v>
      </c>
      <c r="AV262" s="9" t="s">
        <v>504</v>
      </c>
      <c r="AW262" s="9">
        <v>2.0</v>
      </c>
      <c r="AX262" s="9">
        <v>2.0</v>
      </c>
      <c r="AY262" s="9" t="s">
        <v>391</v>
      </c>
      <c r="AZ262" s="9" t="s">
        <v>429</v>
      </c>
      <c r="BA262" s="9" t="s">
        <v>391</v>
      </c>
      <c r="BB262" s="9">
        <v>2.0</v>
      </c>
      <c r="BC262" s="9" t="s">
        <v>5505</v>
      </c>
      <c r="BD262" s="9" t="s">
        <v>5506</v>
      </c>
      <c r="BE262" s="9" t="s">
        <v>392</v>
      </c>
      <c r="BF262" s="9" t="s">
        <v>433</v>
      </c>
      <c r="BG262" s="9" t="s">
        <v>678</v>
      </c>
      <c r="BH262" s="9" t="s">
        <v>5507</v>
      </c>
      <c r="BI262" s="9" t="s">
        <v>509</v>
      </c>
      <c r="BJ262" s="9" t="s">
        <v>5508</v>
      </c>
      <c r="BK262" s="9" t="s">
        <v>395</v>
      </c>
      <c r="BL262" s="9" t="s">
        <v>438</v>
      </c>
      <c r="BM262" s="9" t="s">
        <v>439</v>
      </c>
      <c r="BN262" s="9" t="s">
        <v>440</v>
      </c>
      <c r="CL262" s="9" t="s">
        <v>441</v>
      </c>
      <c r="CM262" s="9" t="s">
        <v>604</v>
      </c>
      <c r="CN262" s="9" t="s">
        <v>552</v>
      </c>
      <c r="CO262" s="9" t="s">
        <v>5509</v>
      </c>
      <c r="CP262" s="9" t="s">
        <v>445</v>
      </c>
      <c r="CQ262" s="9" t="s">
        <v>5510</v>
      </c>
      <c r="CR262" s="9" t="s">
        <v>447</v>
      </c>
      <c r="CS262" s="9" t="s">
        <v>5511</v>
      </c>
      <c r="CT262" s="9" t="s">
        <v>5512</v>
      </c>
      <c r="CU262" s="9" t="s">
        <v>450</v>
      </c>
      <c r="CV262" s="9" t="s">
        <v>451</v>
      </c>
      <c r="CW262" s="9" t="s">
        <v>5513</v>
      </c>
      <c r="CX262" s="9" t="s">
        <v>408</v>
      </c>
      <c r="CZ262" s="9" t="s">
        <v>453</v>
      </c>
      <c r="DA262" s="9" t="s">
        <v>5514</v>
      </c>
      <c r="DB262" s="9" t="s">
        <v>455</v>
      </c>
      <c r="DC262" s="9" t="s">
        <v>5515</v>
      </c>
      <c r="DD262" s="9" t="s">
        <v>457</v>
      </c>
      <c r="DF262" s="9" t="s">
        <v>5516</v>
      </c>
      <c r="DG262" s="9" t="s">
        <v>524</v>
      </c>
      <c r="DH262" s="9" t="s">
        <v>410</v>
      </c>
      <c r="DI262" s="9" t="s">
        <v>459</v>
      </c>
      <c r="DJ262" s="9" t="s">
        <v>613</v>
      </c>
      <c r="DM262" s="9" t="s">
        <v>5517</v>
      </c>
      <c r="DN262" s="9" t="s">
        <v>5518</v>
      </c>
      <c r="DO262" s="9" t="s">
        <v>1063</v>
      </c>
      <c r="DP262" s="9" t="s">
        <v>4396</v>
      </c>
      <c r="DQ262" s="9" t="s">
        <v>1578</v>
      </c>
      <c r="DR262" s="9" t="s">
        <v>5519</v>
      </c>
      <c r="DS262" s="9" t="s">
        <v>839</v>
      </c>
      <c r="DT262" s="9" t="s">
        <v>570</v>
      </c>
      <c r="DU262" s="9" t="s">
        <v>5520</v>
      </c>
      <c r="DV262" s="9" t="s">
        <v>408</v>
      </c>
      <c r="DW262" s="9" t="s">
        <v>573</v>
      </c>
      <c r="DX262" s="9" t="s">
        <v>5521</v>
      </c>
      <c r="DY262" s="9" t="s">
        <v>5522</v>
      </c>
      <c r="DZ262" s="9" t="s">
        <v>5523</v>
      </c>
      <c r="EA262" s="9" t="s">
        <v>475</v>
      </c>
      <c r="EB262" s="9" t="s">
        <v>845</v>
      </c>
      <c r="EC262" s="9" t="s">
        <v>5524</v>
      </c>
      <c r="ET262" s="9" t="s">
        <v>578</v>
      </c>
      <c r="EU262" s="9" t="s">
        <v>479</v>
      </c>
      <c r="EV262" s="9" t="s">
        <v>480</v>
      </c>
      <c r="EX262" s="9" t="s">
        <v>5525</v>
      </c>
      <c r="EY262" s="9" t="s">
        <v>5526</v>
      </c>
      <c r="EZ262" s="9" t="s">
        <v>416</v>
      </c>
      <c r="FA262" s="9" t="s">
        <v>416</v>
      </c>
      <c r="FB262" s="9" t="s">
        <v>413</v>
      </c>
      <c r="FC262" s="9" t="s">
        <v>416</v>
      </c>
      <c r="FD262" s="9" t="s">
        <v>413</v>
      </c>
      <c r="FE262" s="9" t="s">
        <v>416</v>
      </c>
      <c r="FF262" s="9" t="s">
        <v>413</v>
      </c>
      <c r="FG262" s="9" t="s">
        <v>416</v>
      </c>
      <c r="FH262" s="9" t="s">
        <v>413</v>
      </c>
      <c r="FI262" s="9" t="s">
        <v>416</v>
      </c>
      <c r="FJ262" s="9" t="s">
        <v>416</v>
      </c>
      <c r="FK262" s="9" t="s">
        <v>416</v>
      </c>
      <c r="FL262" s="9" t="s">
        <v>416</v>
      </c>
      <c r="FM262" s="9" t="s">
        <v>413</v>
      </c>
      <c r="FN262" s="9" t="s">
        <v>416</v>
      </c>
      <c r="FO262" s="9" t="s">
        <v>417</v>
      </c>
      <c r="FP262" s="9" t="s">
        <v>486</v>
      </c>
      <c r="FQ262" s="9" t="s">
        <v>712</v>
      </c>
      <c r="FR262" s="9" t="s">
        <v>5527</v>
      </c>
      <c r="FS262" s="9" t="s">
        <v>420</v>
      </c>
      <c r="FT262" s="9" t="s">
        <v>1462</v>
      </c>
      <c r="FU262" s="9" t="s">
        <v>918</v>
      </c>
      <c r="FV262" s="9" t="s">
        <v>490</v>
      </c>
      <c r="FW262" s="9" t="s">
        <v>491</v>
      </c>
      <c r="FX262" s="9" t="s">
        <v>5528</v>
      </c>
      <c r="FY262" s="9" t="s">
        <v>535</v>
      </c>
      <c r="FZ262" s="9" t="s">
        <v>5529</v>
      </c>
      <c r="GB262" s="9" t="s">
        <v>455</v>
      </c>
      <c r="GC262" s="9"/>
      <c r="GE262" s="9" t="s">
        <v>753</v>
      </c>
      <c r="GF262" s="9" t="s">
        <v>455</v>
      </c>
      <c r="GG262" s="9" t="s">
        <v>788</v>
      </c>
      <c r="GH262" s="9" t="s">
        <v>788</v>
      </c>
      <c r="GI262" s="9" t="s">
        <v>858</v>
      </c>
      <c r="GM262" s="9" t="s">
        <v>1079</v>
      </c>
      <c r="GQ262" s="9" t="s">
        <v>5530</v>
      </c>
      <c r="GT262" s="9" t="s">
        <v>4774</v>
      </c>
      <c r="GV262" s="9" t="s">
        <v>5231</v>
      </c>
      <c r="GW262" s="9" t="s">
        <v>5232</v>
      </c>
      <c r="HC262" s="9" t="s">
        <v>5297</v>
      </c>
      <c r="HD262" s="9" t="s">
        <v>5349</v>
      </c>
      <c r="HE262" s="9" t="s">
        <v>5492</v>
      </c>
      <c r="HF262" s="9" t="s">
        <v>5284</v>
      </c>
      <c r="HG262" s="9" t="s">
        <v>5531</v>
      </c>
      <c r="HH262" s="9" t="s">
        <v>5532</v>
      </c>
      <c r="HI262" s="9" t="s">
        <v>5533</v>
      </c>
      <c r="HJ262" s="9" t="s">
        <v>5534</v>
      </c>
      <c r="HO262" s="9" t="s">
        <v>5236</v>
      </c>
      <c r="HP262" s="9" t="s">
        <v>5264</v>
      </c>
      <c r="HQ262" s="9" t="s">
        <v>5238</v>
      </c>
      <c r="HR262" s="9" t="s">
        <v>5321</v>
      </c>
      <c r="HW262" s="9" t="s">
        <v>5535</v>
      </c>
      <c r="IN262" s="9" t="s">
        <v>5536</v>
      </c>
      <c r="IO262" s="9" t="s">
        <v>5537</v>
      </c>
      <c r="IP262" s="9" t="s">
        <v>5536</v>
      </c>
      <c r="IQ262" s="9" t="s">
        <v>5500</v>
      </c>
      <c r="IR262" s="9" t="s">
        <v>5537</v>
      </c>
      <c r="IS262" s="9" t="s">
        <v>5537</v>
      </c>
      <c r="IT262" s="10"/>
      <c r="IU262" s="10"/>
      <c r="IV262" s="10"/>
      <c r="IW262" s="10"/>
      <c r="IX262" s="10"/>
      <c r="IY262" s="10"/>
      <c r="IZ262" s="10"/>
      <c r="JA262" s="10"/>
      <c r="JB262" s="10"/>
      <c r="JC262" s="10"/>
      <c r="JD262" s="10"/>
      <c r="JE262" s="10"/>
      <c r="JF262" s="10"/>
      <c r="JG262" s="10"/>
      <c r="JH262" s="10"/>
      <c r="JI262" s="10"/>
      <c r="JJ262" s="10"/>
      <c r="JK262" s="10"/>
      <c r="JL262" s="10"/>
      <c r="JM262" s="10"/>
      <c r="JN262" s="10"/>
      <c r="JO262" s="10"/>
      <c r="JP262" s="10"/>
      <c r="JQ262" s="10"/>
      <c r="JR262" s="10"/>
      <c r="JS262" s="10"/>
      <c r="JT262" s="10"/>
      <c r="JU262" s="10"/>
      <c r="JV262" s="10"/>
      <c r="JW262" s="10"/>
      <c r="JX262" s="10"/>
      <c r="JY262" s="10"/>
      <c r="JZ262" s="10"/>
      <c r="KA262" s="10"/>
      <c r="KB262" s="10"/>
      <c r="KC262" s="10"/>
      <c r="KD262" s="10"/>
      <c r="KE262" s="10"/>
      <c r="KF262" s="10"/>
      <c r="KG262" s="10"/>
      <c r="KH262" s="10"/>
      <c r="KI262" s="10"/>
      <c r="KJ262" s="10"/>
      <c r="KK262" s="10"/>
      <c r="KL262" s="10"/>
      <c r="KM262" s="10"/>
      <c r="KN262" s="10"/>
      <c r="KO262" s="10"/>
      <c r="KP262" s="10"/>
      <c r="KQ262" s="10"/>
      <c r="KR262" s="10"/>
      <c r="KS262" s="10"/>
      <c r="KT262" s="10"/>
      <c r="KU262" s="10"/>
      <c r="KV262" s="10"/>
      <c r="KW262" s="10"/>
      <c r="KX262" s="10"/>
      <c r="KY262" s="10"/>
      <c r="KZ262" s="10"/>
      <c r="LA262" s="10"/>
      <c r="LB262" s="10"/>
      <c r="LC262" s="10"/>
      <c r="LD262" s="10"/>
      <c r="LE262" s="10"/>
      <c r="LF262" s="10"/>
      <c r="LG262" s="10"/>
      <c r="LH262" s="10"/>
      <c r="LI262" s="10"/>
      <c r="LJ262" s="10"/>
      <c r="LK262" s="10"/>
      <c r="LL262" s="10"/>
      <c r="LM262" s="10"/>
      <c r="LN262" s="10"/>
      <c r="LO262" s="10"/>
      <c r="LP262" s="10"/>
      <c r="LQ262" s="10"/>
      <c r="LR262" s="10"/>
      <c r="LS262" s="10"/>
      <c r="LT262" s="10"/>
      <c r="LU262" s="10"/>
      <c r="LV262" s="10"/>
      <c r="LW262" s="10"/>
      <c r="LX262" s="10"/>
      <c r="LY262" s="10"/>
      <c r="LZ262" s="10"/>
      <c r="MA262" s="10"/>
      <c r="MB262" s="10"/>
      <c r="MC262" s="10"/>
      <c r="MD262" s="10"/>
      <c r="ME262" s="10"/>
      <c r="MF262" s="10"/>
      <c r="MG262" s="10"/>
      <c r="MH262" s="10"/>
      <c r="MI262" s="10"/>
      <c r="MJ262" s="10"/>
      <c r="MK262" s="10"/>
      <c r="ML262" s="10"/>
      <c r="MM262" s="10"/>
      <c r="MN262" s="10"/>
      <c r="MO262" s="10"/>
      <c r="MP262" s="10"/>
      <c r="MQ262" s="10"/>
      <c r="MR262" s="10"/>
      <c r="MS262" s="10"/>
      <c r="MT262" s="10"/>
      <c r="MU262" s="10"/>
      <c r="MV262" s="10"/>
      <c r="MW262" s="10"/>
      <c r="MX262" s="10"/>
      <c r="MY262" s="10"/>
      <c r="MZ262" s="10"/>
      <c r="NA262" s="10"/>
      <c r="NB262" s="10"/>
      <c r="NC262" s="10"/>
    </row>
    <row r="263" ht="24.75" customHeight="1">
      <c r="A263" s="8">
        <v>45880.668832337964</v>
      </c>
      <c r="B263" s="9" t="s">
        <v>368</v>
      </c>
      <c r="C263" s="9" t="s">
        <v>370</v>
      </c>
      <c r="D263" s="9" t="s">
        <v>370</v>
      </c>
      <c r="E263" s="9" t="s">
        <v>1510</v>
      </c>
      <c r="F263" s="9" t="s">
        <v>1510</v>
      </c>
      <c r="G263" s="9" t="s">
        <v>422</v>
      </c>
      <c r="H263" s="9" t="s">
        <v>1203</v>
      </c>
      <c r="I263" s="9" t="s">
        <v>638</v>
      </c>
      <c r="J263" s="9" t="s">
        <v>1204</v>
      </c>
      <c r="K263" s="9" t="s">
        <v>376</v>
      </c>
      <c r="L263" s="9" t="s">
        <v>591</v>
      </c>
      <c r="M263" s="9" t="s">
        <v>719</v>
      </c>
      <c r="N263" s="9" t="s">
        <v>591</v>
      </c>
      <c r="O263" s="9" t="s">
        <v>719</v>
      </c>
      <c r="P263" s="9" t="s">
        <v>498</v>
      </c>
      <c r="Q263" s="9" t="s">
        <v>1156</v>
      </c>
      <c r="R263" s="9" t="s">
        <v>5538</v>
      </c>
      <c r="S263" s="9" t="s">
        <v>384</v>
      </c>
      <c r="T263" s="9" t="s">
        <v>385</v>
      </c>
      <c r="AV263" s="9" t="s">
        <v>390</v>
      </c>
      <c r="AW263" s="9">
        <v>2.0</v>
      </c>
      <c r="AX263" s="9">
        <v>2.0</v>
      </c>
      <c r="AY263" s="9" t="s">
        <v>391</v>
      </c>
      <c r="AZ263" s="9">
        <v>2.0</v>
      </c>
      <c r="BA263" s="9">
        <v>2.0</v>
      </c>
      <c r="BB263" s="9">
        <v>2.0</v>
      </c>
      <c r="BE263" s="9" t="s">
        <v>432</v>
      </c>
      <c r="BF263" s="9" t="s">
        <v>433</v>
      </c>
      <c r="BG263" s="9" t="s">
        <v>765</v>
      </c>
      <c r="BI263" s="9" t="s">
        <v>824</v>
      </c>
      <c r="BK263" s="9" t="s">
        <v>437</v>
      </c>
      <c r="BL263" s="9" t="s">
        <v>603</v>
      </c>
      <c r="BM263" s="9" t="s">
        <v>439</v>
      </c>
      <c r="BN263" s="9" t="s">
        <v>513</v>
      </c>
      <c r="CL263" s="9" t="s">
        <v>441</v>
      </c>
      <c r="CM263" s="9" t="s">
        <v>442</v>
      </c>
      <c r="CQ263" s="9" t="s">
        <v>5539</v>
      </c>
      <c r="CR263" s="9" t="s">
        <v>404</v>
      </c>
      <c r="CS263" s="9" t="s">
        <v>5540</v>
      </c>
      <c r="DD263" s="9" t="s">
        <v>662</v>
      </c>
      <c r="GB263" s="11"/>
      <c r="GV263" s="9" t="s">
        <v>5231</v>
      </c>
      <c r="GW263" s="9" t="s">
        <v>484</v>
      </c>
      <c r="HC263" s="9" t="s">
        <v>5297</v>
      </c>
      <c r="HD263" s="9" t="s">
        <v>5349</v>
      </c>
      <c r="HE263" s="9" t="s">
        <v>5299</v>
      </c>
      <c r="HF263" s="9" t="s">
        <v>5284</v>
      </c>
      <c r="HW263" s="9" t="s">
        <v>5541</v>
      </c>
    </row>
    <row r="264" ht="24.75" customHeight="1">
      <c r="A264" s="8">
        <v>45880.90769810185</v>
      </c>
      <c r="B264" s="9" t="s">
        <v>368</v>
      </c>
      <c r="C264" s="9" t="s">
        <v>1201</v>
      </c>
      <c r="D264" s="9" t="s">
        <v>1201</v>
      </c>
      <c r="G264" s="9" t="s">
        <v>422</v>
      </c>
      <c r="H264" s="9" t="s">
        <v>496</v>
      </c>
      <c r="I264" s="9" t="s">
        <v>2578</v>
      </c>
      <c r="J264" s="9" t="s">
        <v>425</v>
      </c>
      <c r="K264" s="9" t="s">
        <v>376</v>
      </c>
      <c r="L264" s="9" t="s">
        <v>379</v>
      </c>
      <c r="M264" s="9" t="s">
        <v>2464</v>
      </c>
      <c r="N264" s="9" t="s">
        <v>379</v>
      </c>
      <c r="O264" s="9" t="s">
        <v>497</v>
      </c>
      <c r="P264" s="9" t="s">
        <v>592</v>
      </c>
      <c r="Q264" s="9" t="s">
        <v>499</v>
      </c>
      <c r="R264" s="9" t="s">
        <v>427</v>
      </c>
      <c r="S264" s="9" t="s">
        <v>384</v>
      </c>
      <c r="T264" s="9" t="s">
        <v>385</v>
      </c>
      <c r="W264" s="9" t="s">
        <v>3014</v>
      </c>
      <c r="AV264" s="9" t="s">
        <v>390</v>
      </c>
      <c r="AW264" s="9">
        <v>2.0</v>
      </c>
      <c r="AX264" s="9">
        <v>2.0</v>
      </c>
      <c r="AY264" s="9" t="s">
        <v>675</v>
      </c>
      <c r="AZ264" s="9" t="s">
        <v>675</v>
      </c>
      <c r="BA264" s="9" t="s">
        <v>675</v>
      </c>
      <c r="BB264" s="9" t="s">
        <v>675</v>
      </c>
      <c r="BC264" s="9" t="s">
        <v>5542</v>
      </c>
      <c r="BD264" s="9" t="s">
        <v>5543</v>
      </c>
      <c r="BE264" s="9" t="s">
        <v>392</v>
      </c>
      <c r="BF264" s="9" t="s">
        <v>433</v>
      </c>
      <c r="BG264" s="9" t="s">
        <v>394</v>
      </c>
      <c r="BI264" s="9" t="s">
        <v>509</v>
      </c>
      <c r="BJ264" s="9" t="s">
        <v>5544</v>
      </c>
      <c r="BK264" s="9" t="s">
        <v>602</v>
      </c>
      <c r="BL264" s="9" t="s">
        <v>438</v>
      </c>
      <c r="BM264" s="9" t="s">
        <v>549</v>
      </c>
      <c r="BN264" s="9" t="s">
        <v>440</v>
      </c>
      <c r="CL264" s="9" t="s">
        <v>441</v>
      </c>
      <c r="CM264" s="9" t="s">
        <v>401</v>
      </c>
      <c r="CN264" s="9" t="s">
        <v>5545</v>
      </c>
      <c r="CO264" s="9" t="s">
        <v>5546</v>
      </c>
      <c r="CP264" s="9" t="s">
        <v>979</v>
      </c>
      <c r="CQ264" s="9" t="s">
        <v>5547</v>
      </c>
      <c r="CR264" s="9" t="s">
        <v>447</v>
      </c>
      <c r="CS264" s="9" t="s">
        <v>5548</v>
      </c>
      <c r="CT264" s="9" t="s">
        <v>5549</v>
      </c>
      <c r="CU264" s="9" t="s">
        <v>450</v>
      </c>
      <c r="CV264" s="9" t="s">
        <v>451</v>
      </c>
      <c r="CW264" s="9" t="s">
        <v>5550</v>
      </c>
      <c r="CX264" s="9" t="s">
        <v>408</v>
      </c>
      <c r="CZ264" s="9" t="s">
        <v>453</v>
      </c>
      <c r="DA264" s="9" t="s">
        <v>5551</v>
      </c>
      <c r="DB264" s="9" t="s">
        <v>455</v>
      </c>
      <c r="DC264" s="9" t="s">
        <v>5552</v>
      </c>
      <c r="DD264" s="9" t="s">
        <v>457</v>
      </c>
      <c r="DF264" s="9" t="s">
        <v>5553</v>
      </c>
      <c r="DG264" s="9" t="s">
        <v>524</v>
      </c>
      <c r="DH264" s="9" t="s">
        <v>410</v>
      </c>
      <c r="DI264" s="9" t="s">
        <v>459</v>
      </c>
      <c r="DJ264" s="9" t="s">
        <v>562</v>
      </c>
      <c r="DK264" s="9" t="s">
        <v>461</v>
      </c>
      <c r="DM264" s="9" t="s">
        <v>5554</v>
      </c>
      <c r="DN264" s="9" t="s">
        <v>5555</v>
      </c>
      <c r="DO264" s="9" t="s">
        <v>464</v>
      </c>
      <c r="DP264" s="9" t="s">
        <v>5556</v>
      </c>
      <c r="DQ264" s="9" t="s">
        <v>466</v>
      </c>
      <c r="DR264" s="9" t="s">
        <v>5557</v>
      </c>
      <c r="DS264" s="9" t="s">
        <v>468</v>
      </c>
      <c r="DT264" s="9" t="s">
        <v>469</v>
      </c>
      <c r="DU264" s="9" t="s">
        <v>5558</v>
      </c>
      <c r="DV264" s="9" t="s">
        <v>5559</v>
      </c>
      <c r="DW264" s="9" t="s">
        <v>573</v>
      </c>
      <c r="DX264" s="9" t="s">
        <v>5560</v>
      </c>
      <c r="DY264" s="9" t="s">
        <v>5561</v>
      </c>
      <c r="DZ264" s="9" t="s">
        <v>5562</v>
      </c>
      <c r="EA264" s="9" t="s">
        <v>475</v>
      </c>
      <c r="EB264" s="9" t="s">
        <v>626</v>
      </c>
      <c r="EC264" s="9" t="s">
        <v>5563</v>
      </c>
      <c r="ET264" s="9" t="s">
        <v>526</v>
      </c>
      <c r="EU264" s="9" t="s">
        <v>887</v>
      </c>
      <c r="EV264" s="9" t="s">
        <v>527</v>
      </c>
      <c r="EW264" s="9" t="s">
        <v>5564</v>
      </c>
      <c r="EX264" s="9" t="s">
        <v>5565</v>
      </c>
      <c r="EY264" s="9" t="s">
        <v>5566</v>
      </c>
      <c r="EZ264" s="9" t="s">
        <v>583</v>
      </c>
      <c r="FA264" s="9" t="s">
        <v>583</v>
      </c>
      <c r="FB264" s="9" t="s">
        <v>583</v>
      </c>
      <c r="FC264" s="9" t="s">
        <v>583</v>
      </c>
      <c r="FD264" s="9" t="s">
        <v>583</v>
      </c>
      <c r="FE264" s="9" t="s">
        <v>583</v>
      </c>
      <c r="FF264" s="9" t="s">
        <v>583</v>
      </c>
      <c r="FG264" s="9" t="s">
        <v>583</v>
      </c>
      <c r="FH264" s="9" t="s">
        <v>583</v>
      </c>
      <c r="FI264" s="9" t="s">
        <v>583</v>
      </c>
      <c r="FJ264" s="9" t="s">
        <v>583</v>
      </c>
      <c r="FK264" s="9" t="s">
        <v>414</v>
      </c>
      <c r="FL264" s="9" t="s">
        <v>583</v>
      </c>
      <c r="FM264" s="9" t="s">
        <v>484</v>
      </c>
      <c r="FN264" s="9" t="s">
        <v>583</v>
      </c>
      <c r="FO264" s="9" t="s">
        <v>485</v>
      </c>
      <c r="FP264" s="9" t="s">
        <v>486</v>
      </c>
      <c r="FQ264" s="9" t="s">
        <v>419</v>
      </c>
      <c r="FR264" s="9" t="s">
        <v>5567</v>
      </c>
      <c r="FS264" s="9" t="s">
        <v>420</v>
      </c>
      <c r="FT264" s="9" t="s">
        <v>488</v>
      </c>
      <c r="FU264" s="9" t="s">
        <v>918</v>
      </c>
      <c r="FV264" s="9" t="s">
        <v>490</v>
      </c>
      <c r="FW264" s="9" t="s">
        <v>491</v>
      </c>
      <c r="FX264" s="9" t="s">
        <v>5568</v>
      </c>
      <c r="FY264" s="9" t="s">
        <v>535</v>
      </c>
      <c r="FZ264" s="9" t="s">
        <v>5569</v>
      </c>
      <c r="GA264" s="9" t="s">
        <v>5570</v>
      </c>
      <c r="GB264" s="9" t="s">
        <v>455</v>
      </c>
      <c r="GD264" s="9" t="s">
        <v>5571</v>
      </c>
      <c r="GE264" s="9" t="s">
        <v>753</v>
      </c>
      <c r="GF264" s="9" t="s">
        <v>5572</v>
      </c>
      <c r="GG264" s="9" t="s">
        <v>755</v>
      </c>
      <c r="GH264" s="9" t="s">
        <v>755</v>
      </c>
      <c r="GI264" s="9" t="s">
        <v>946</v>
      </c>
      <c r="GM264" s="9" t="s">
        <v>1079</v>
      </c>
      <c r="GN264" s="9" t="s">
        <v>5573</v>
      </c>
      <c r="GO264" s="9" t="s">
        <v>5574</v>
      </c>
      <c r="GQ264" s="9" t="s">
        <v>3208</v>
      </c>
      <c r="GT264" s="9" t="s">
        <v>4774</v>
      </c>
      <c r="GV264" s="9" t="s">
        <v>5231</v>
      </c>
      <c r="GW264" s="9" t="s">
        <v>5232</v>
      </c>
      <c r="HC264" s="9" t="s">
        <v>5297</v>
      </c>
      <c r="HD264" s="9" t="s">
        <v>5282</v>
      </c>
      <c r="HE264" s="9" t="s">
        <v>5320</v>
      </c>
      <c r="HG264" s="9" t="s">
        <v>5575</v>
      </c>
      <c r="HH264" s="9" t="s">
        <v>5495</v>
      </c>
      <c r="HI264" s="9" t="s">
        <v>5576</v>
      </c>
      <c r="HJ264" s="9" t="s">
        <v>5577</v>
      </c>
      <c r="HO264" s="9" t="s">
        <v>5236</v>
      </c>
      <c r="HP264" s="9" t="s">
        <v>5237</v>
      </c>
      <c r="HQ264" s="9" t="s">
        <v>5238</v>
      </c>
      <c r="HR264" s="9" t="s">
        <v>5239</v>
      </c>
      <c r="HW264" s="9" t="s">
        <v>5578</v>
      </c>
      <c r="IN264" s="9" t="s">
        <v>5500</v>
      </c>
      <c r="IO264" s="9" t="s">
        <v>5500</v>
      </c>
      <c r="IP264" s="9" t="s">
        <v>5536</v>
      </c>
      <c r="IQ264" s="9" t="s">
        <v>5500</v>
      </c>
      <c r="IR264" s="9" t="s">
        <v>5500</v>
      </c>
      <c r="IS264" s="9" t="s">
        <v>5537</v>
      </c>
      <c r="IT264" s="10"/>
      <c r="IU264" s="10"/>
      <c r="IV264" s="10"/>
      <c r="IW264" s="10"/>
      <c r="IX264" s="10"/>
      <c r="IY264" s="10"/>
      <c r="IZ264" s="10"/>
      <c r="JA264" s="10"/>
      <c r="JB264" s="10"/>
      <c r="JC264" s="10"/>
      <c r="JD264" s="10"/>
      <c r="JE264" s="10"/>
      <c r="JF264" s="10"/>
      <c r="JG264" s="10"/>
      <c r="JH264" s="10"/>
      <c r="JI264" s="10"/>
      <c r="JJ264" s="10"/>
      <c r="JK264" s="10"/>
      <c r="JL264" s="10"/>
      <c r="JM264" s="10"/>
      <c r="JN264" s="10"/>
      <c r="JO264" s="10"/>
      <c r="JP264" s="10"/>
      <c r="JQ264" s="10"/>
      <c r="JR264" s="10"/>
      <c r="JS264" s="10"/>
      <c r="JT264" s="10"/>
      <c r="JU264" s="10"/>
      <c r="JV264" s="10"/>
      <c r="JW264" s="10"/>
      <c r="JX264" s="10"/>
      <c r="JY264" s="10"/>
      <c r="JZ264" s="10"/>
      <c r="KA264" s="10"/>
      <c r="KB264" s="10"/>
      <c r="KC264" s="10"/>
      <c r="KD264" s="10"/>
      <c r="KE264" s="10"/>
      <c r="KF264" s="10"/>
      <c r="KG264" s="10"/>
      <c r="KH264" s="10"/>
      <c r="KI264" s="10"/>
      <c r="KJ264" s="10"/>
      <c r="KK264" s="10"/>
      <c r="KL264" s="10"/>
      <c r="KM264" s="10"/>
      <c r="KN264" s="10"/>
      <c r="KO264" s="10"/>
      <c r="KP264" s="10"/>
      <c r="KQ264" s="10"/>
      <c r="KR264" s="10"/>
      <c r="KS264" s="10"/>
      <c r="KT264" s="10"/>
      <c r="KU264" s="10"/>
      <c r="KV264" s="10"/>
      <c r="KW264" s="10"/>
      <c r="KX264" s="10"/>
      <c r="KY264" s="10"/>
      <c r="KZ264" s="10"/>
      <c r="LA264" s="10"/>
      <c r="LB264" s="10"/>
      <c r="LC264" s="10"/>
      <c r="LD264" s="10"/>
      <c r="LE264" s="10"/>
      <c r="LF264" s="10"/>
      <c r="LG264" s="10"/>
      <c r="LH264" s="10"/>
      <c r="LI264" s="10"/>
      <c r="LJ264" s="10"/>
      <c r="LK264" s="10"/>
      <c r="LL264" s="10"/>
      <c r="LM264" s="10"/>
      <c r="LN264" s="10"/>
      <c r="LO264" s="10"/>
      <c r="LP264" s="10"/>
      <c r="LQ264" s="10"/>
      <c r="LR264" s="10"/>
      <c r="LS264" s="10"/>
      <c r="LT264" s="10"/>
      <c r="LU264" s="10"/>
      <c r="LV264" s="10"/>
      <c r="LW264" s="10"/>
      <c r="LX264" s="10"/>
      <c r="LY264" s="10"/>
      <c r="LZ264" s="10"/>
      <c r="MA264" s="10"/>
      <c r="MB264" s="10"/>
      <c r="MC264" s="10"/>
      <c r="MD264" s="10"/>
      <c r="ME264" s="10"/>
      <c r="MF264" s="10"/>
      <c r="MG264" s="10"/>
      <c r="MH264" s="10"/>
      <c r="MI264" s="10"/>
      <c r="MJ264" s="10"/>
      <c r="MK264" s="10"/>
      <c r="ML264" s="10"/>
      <c r="MM264" s="10"/>
      <c r="MN264" s="10"/>
      <c r="MO264" s="10"/>
      <c r="MP264" s="10"/>
      <c r="MQ264" s="10"/>
      <c r="MR264" s="10"/>
      <c r="MS264" s="10"/>
      <c r="MT264" s="10"/>
      <c r="MU264" s="10"/>
      <c r="MV264" s="10"/>
      <c r="MW264" s="10"/>
      <c r="MX264" s="10"/>
      <c r="MY264" s="10"/>
      <c r="MZ264" s="10"/>
      <c r="NA264" s="10"/>
      <c r="NB264" s="10"/>
      <c r="NC264" s="10"/>
    </row>
    <row r="265" ht="24.75" customHeight="1">
      <c r="A265" s="8">
        <v>45881.71131423611</v>
      </c>
      <c r="B265" s="9" t="s">
        <v>368</v>
      </c>
      <c r="C265" s="9" t="s">
        <v>538</v>
      </c>
      <c r="D265" s="9" t="s">
        <v>538</v>
      </c>
      <c r="G265" s="9" t="s">
        <v>422</v>
      </c>
      <c r="H265" s="9" t="s">
        <v>423</v>
      </c>
      <c r="I265" s="9" t="s">
        <v>668</v>
      </c>
      <c r="J265" s="9" t="s">
        <v>1240</v>
      </c>
      <c r="K265" s="9" t="s">
        <v>376</v>
      </c>
      <c r="L265" s="9" t="s">
        <v>379</v>
      </c>
      <c r="M265" s="9" t="s">
        <v>378</v>
      </c>
      <c r="N265" s="9" t="s">
        <v>377</v>
      </c>
      <c r="O265" s="9" t="s">
        <v>497</v>
      </c>
      <c r="P265" s="9" t="s">
        <v>498</v>
      </c>
      <c r="Q265" s="9" t="s">
        <v>862</v>
      </c>
      <c r="R265" s="9" t="s">
        <v>427</v>
      </c>
      <c r="S265" s="9" t="s">
        <v>384</v>
      </c>
      <c r="T265" s="9" t="s">
        <v>385</v>
      </c>
      <c r="W265" s="9" t="s">
        <v>386</v>
      </c>
      <c r="X265" s="9" t="s">
        <v>387</v>
      </c>
      <c r="Z265" s="9" t="s">
        <v>672</v>
      </c>
      <c r="AA265" s="9" t="s">
        <v>408</v>
      </c>
      <c r="AB265" s="9" t="s">
        <v>408</v>
      </c>
      <c r="AV265" s="9" t="s">
        <v>1242</v>
      </c>
      <c r="AW265" s="9">
        <v>4.0</v>
      </c>
      <c r="AX265" s="9" t="s">
        <v>391</v>
      </c>
      <c r="AY265" s="9" t="s">
        <v>391</v>
      </c>
      <c r="AZ265" s="9">
        <v>2.0</v>
      </c>
      <c r="BA265" s="9" t="s">
        <v>429</v>
      </c>
      <c r="BB265" s="9">
        <v>2.0</v>
      </c>
      <c r="BC265" s="9" t="s">
        <v>5579</v>
      </c>
      <c r="BD265" s="9" t="s">
        <v>5580</v>
      </c>
      <c r="BE265" s="9" t="s">
        <v>392</v>
      </c>
      <c r="BF265" s="9" t="s">
        <v>393</v>
      </c>
      <c r="BG265" s="9" t="s">
        <v>678</v>
      </c>
      <c r="BH265" s="9" t="s">
        <v>5581</v>
      </c>
      <c r="BI265" s="9" t="s">
        <v>509</v>
      </c>
      <c r="BJ265" s="9" t="s">
        <v>5582</v>
      </c>
      <c r="BK265" s="9" t="s">
        <v>437</v>
      </c>
      <c r="BL265" s="9" t="s">
        <v>438</v>
      </c>
      <c r="BM265" s="9" t="s">
        <v>1247</v>
      </c>
      <c r="BN265" s="9" t="s">
        <v>513</v>
      </c>
      <c r="CL265" s="9" t="s">
        <v>441</v>
      </c>
      <c r="CO265" s="9" t="s">
        <v>5583</v>
      </c>
      <c r="CQ265" s="9" t="s">
        <v>956</v>
      </c>
      <c r="CR265" s="9" t="s">
        <v>804</v>
      </c>
      <c r="CS265" s="9" t="s">
        <v>1346</v>
      </c>
      <c r="CT265" s="9" t="s">
        <v>5584</v>
      </c>
      <c r="CU265" s="9" t="s">
        <v>519</v>
      </c>
      <c r="CV265" s="9" t="s">
        <v>409</v>
      </c>
      <c r="CW265" s="9" t="s">
        <v>5585</v>
      </c>
      <c r="CX265" s="9" t="s">
        <v>455</v>
      </c>
      <c r="CY265" s="9" t="s">
        <v>5586</v>
      </c>
      <c r="CZ265" s="9" t="s">
        <v>1962</v>
      </c>
      <c r="DB265" s="9" t="s">
        <v>455</v>
      </c>
      <c r="DC265" s="9" t="s">
        <v>5587</v>
      </c>
      <c r="DD265" s="9" t="s">
        <v>406</v>
      </c>
      <c r="DE265" s="9" t="s">
        <v>407</v>
      </c>
      <c r="DF265" s="9" t="s">
        <v>5588</v>
      </c>
      <c r="DG265" s="9" t="s">
        <v>776</v>
      </c>
      <c r="DH265" s="9" t="s">
        <v>410</v>
      </c>
      <c r="DI265" s="9" t="s">
        <v>459</v>
      </c>
      <c r="DJ265" s="9" t="s">
        <v>613</v>
      </c>
      <c r="ET265" s="9" t="s">
        <v>2747</v>
      </c>
      <c r="EU265" s="9" t="s">
        <v>579</v>
      </c>
      <c r="EV265" s="9" t="s">
        <v>580</v>
      </c>
      <c r="EW265" s="9" t="s">
        <v>5589</v>
      </c>
      <c r="EX265" s="9" t="s">
        <v>5590</v>
      </c>
      <c r="EY265" s="9" t="s">
        <v>5591</v>
      </c>
      <c r="EZ265" s="9" t="s">
        <v>583</v>
      </c>
      <c r="FA265" s="9" t="s">
        <v>583</v>
      </c>
      <c r="FB265" s="9" t="s">
        <v>583</v>
      </c>
      <c r="FC265" s="9" t="s">
        <v>583</v>
      </c>
      <c r="FD265" s="9" t="s">
        <v>413</v>
      </c>
      <c r="FE265" s="9" t="s">
        <v>583</v>
      </c>
      <c r="FF265" s="9" t="s">
        <v>583</v>
      </c>
      <c r="FG265" s="9" t="s">
        <v>583</v>
      </c>
      <c r="FH265" s="9" t="s">
        <v>583</v>
      </c>
      <c r="FI265" s="9" t="s">
        <v>413</v>
      </c>
      <c r="FJ265" s="9" t="s">
        <v>413</v>
      </c>
      <c r="FK265" s="9" t="s">
        <v>583</v>
      </c>
      <c r="FL265" s="9" t="s">
        <v>583</v>
      </c>
      <c r="FM265" s="9" t="s">
        <v>583</v>
      </c>
      <c r="FN265" s="9" t="s">
        <v>583</v>
      </c>
      <c r="FO265" s="9" t="s">
        <v>1537</v>
      </c>
      <c r="FP265" s="9" t="s">
        <v>486</v>
      </c>
      <c r="FQ265" s="9" t="s">
        <v>749</v>
      </c>
      <c r="FR265" s="9" t="s">
        <v>5592</v>
      </c>
      <c r="FS265" s="9" t="s">
        <v>1871</v>
      </c>
      <c r="FT265" s="9" t="s">
        <v>1462</v>
      </c>
      <c r="FU265" s="9" t="s">
        <v>1235</v>
      </c>
      <c r="FV265" s="9" t="s">
        <v>2136</v>
      </c>
      <c r="FW265" s="9" t="s">
        <v>491</v>
      </c>
      <c r="FX265" s="9" t="s">
        <v>5593</v>
      </c>
      <c r="FY265" s="9" t="s">
        <v>1854</v>
      </c>
      <c r="FZ265" s="9" t="s">
        <v>5594</v>
      </c>
      <c r="GA265" s="9" t="s">
        <v>5595</v>
      </c>
      <c r="GB265" s="9" t="s">
        <v>455</v>
      </c>
      <c r="GC265" s="9"/>
      <c r="GE265" s="9" t="s">
        <v>753</v>
      </c>
      <c r="GG265" s="9" t="s">
        <v>857</v>
      </c>
      <c r="GH265" s="9" t="s">
        <v>755</v>
      </c>
      <c r="GI265" s="9" t="s">
        <v>946</v>
      </c>
      <c r="GN265" s="9" t="s">
        <v>5596</v>
      </c>
      <c r="GO265" s="9" t="s">
        <v>5596</v>
      </c>
      <c r="GQ265" s="9" t="s">
        <v>3208</v>
      </c>
      <c r="GT265" s="9" t="s">
        <v>4774</v>
      </c>
      <c r="GU265" s="9" t="s">
        <v>408</v>
      </c>
      <c r="GV265" s="9" t="s">
        <v>5260</v>
      </c>
      <c r="GW265" s="9" t="s">
        <v>5261</v>
      </c>
      <c r="HC265" s="9" t="s">
        <v>5281</v>
      </c>
      <c r="HD265" s="9" t="s">
        <v>5382</v>
      </c>
      <c r="HE265" s="9" t="s">
        <v>5492</v>
      </c>
      <c r="HF265" s="9" t="s">
        <v>5300</v>
      </c>
      <c r="HO265" s="9" t="s">
        <v>5236</v>
      </c>
      <c r="HP265" s="9" t="s">
        <v>5371</v>
      </c>
      <c r="HQ265" s="9" t="s">
        <v>5286</v>
      </c>
      <c r="HR265" s="9" t="s">
        <v>5287</v>
      </c>
      <c r="HW265" s="9" t="s">
        <v>5597</v>
      </c>
    </row>
    <row r="266" ht="24.75" customHeight="1">
      <c r="A266" s="8">
        <v>45881.76282621528</v>
      </c>
      <c r="B266" s="9" t="s">
        <v>368</v>
      </c>
      <c r="C266" s="9" t="s">
        <v>370</v>
      </c>
      <c r="D266" s="9" t="s">
        <v>370</v>
      </c>
      <c r="E266" s="9" t="s">
        <v>1480</v>
      </c>
      <c r="F266" s="9" t="s">
        <v>1441</v>
      </c>
      <c r="G266" s="9" t="s">
        <v>422</v>
      </c>
      <c r="H266" s="9" t="s">
        <v>373</v>
      </c>
      <c r="I266" s="9" t="s">
        <v>374</v>
      </c>
      <c r="J266" s="9" t="s">
        <v>375</v>
      </c>
      <c r="K266" s="9" t="s">
        <v>376</v>
      </c>
      <c r="L266" s="9" t="s">
        <v>426</v>
      </c>
      <c r="M266" s="9" t="s">
        <v>5598</v>
      </c>
      <c r="N266" s="9" t="s">
        <v>591</v>
      </c>
      <c r="O266" s="9" t="s">
        <v>497</v>
      </c>
      <c r="P266" s="9" t="s">
        <v>498</v>
      </c>
      <c r="Q266" s="9" t="s">
        <v>862</v>
      </c>
      <c r="R266" s="9" t="s">
        <v>500</v>
      </c>
      <c r="S266" s="9" t="s">
        <v>384</v>
      </c>
      <c r="T266" s="9" t="s">
        <v>385</v>
      </c>
      <c r="W266" s="9" t="s">
        <v>3014</v>
      </c>
      <c r="AV266" s="9" t="s">
        <v>504</v>
      </c>
      <c r="AW266" s="9">
        <v>4.0</v>
      </c>
      <c r="AX266" s="9" t="s">
        <v>391</v>
      </c>
      <c r="AY266" s="9">
        <v>4.0</v>
      </c>
      <c r="AZ266" s="9" t="s">
        <v>391</v>
      </c>
      <c r="BA266" s="9" t="s">
        <v>391</v>
      </c>
      <c r="BB266" s="9">
        <v>4.0</v>
      </c>
      <c r="BC266" s="9" t="s">
        <v>5599</v>
      </c>
      <c r="BD266" s="9" t="s">
        <v>5600</v>
      </c>
      <c r="BE266" s="9" t="s">
        <v>392</v>
      </c>
      <c r="BF266" s="9" t="s">
        <v>393</v>
      </c>
      <c r="BG266" s="9" t="s">
        <v>725</v>
      </c>
      <c r="BH266" s="9" t="s">
        <v>5601</v>
      </c>
      <c r="BI266" s="9" t="s">
        <v>976</v>
      </c>
      <c r="BK266" s="9" t="s">
        <v>681</v>
      </c>
      <c r="BL266" s="9" t="s">
        <v>512</v>
      </c>
      <c r="BM266" s="9" t="s">
        <v>439</v>
      </c>
      <c r="BN266" s="9" t="s">
        <v>440</v>
      </c>
      <c r="CL266" s="9" t="s">
        <v>441</v>
      </c>
      <c r="CM266" s="9" t="s">
        <v>604</v>
      </c>
      <c r="CN266" s="9" t="s">
        <v>5602</v>
      </c>
      <c r="CO266" s="9" t="s">
        <v>5603</v>
      </c>
      <c r="CP266" s="9" t="s">
        <v>1008</v>
      </c>
      <c r="CQ266" s="9" t="s">
        <v>4908</v>
      </c>
      <c r="CR266" s="9" t="s">
        <v>447</v>
      </c>
      <c r="CS266" s="9" t="s">
        <v>5604</v>
      </c>
      <c r="CT266" s="9" t="s">
        <v>5605</v>
      </c>
      <c r="CU266" s="9" t="s">
        <v>450</v>
      </c>
      <c r="CV266" s="9" t="s">
        <v>451</v>
      </c>
      <c r="CW266" s="9" t="s">
        <v>5606</v>
      </c>
      <c r="CX266" s="9" t="s">
        <v>408</v>
      </c>
      <c r="CZ266" s="9" t="s">
        <v>453</v>
      </c>
      <c r="DA266" s="9" t="s">
        <v>5607</v>
      </c>
      <c r="DB266" s="9" t="s">
        <v>408</v>
      </c>
      <c r="DD266" s="9" t="s">
        <v>406</v>
      </c>
      <c r="DE266" s="9" t="s">
        <v>407</v>
      </c>
      <c r="DF266" s="9" t="s">
        <v>5608</v>
      </c>
      <c r="DG266" s="9" t="s">
        <v>524</v>
      </c>
      <c r="DH266" s="9" t="s">
        <v>410</v>
      </c>
      <c r="DI266" s="9" t="s">
        <v>777</v>
      </c>
      <c r="DJ266" s="9" t="s">
        <v>613</v>
      </c>
      <c r="DM266" s="9" t="s">
        <v>5609</v>
      </c>
      <c r="DN266" s="9" t="s">
        <v>1576</v>
      </c>
      <c r="DO266" s="9" t="s">
        <v>464</v>
      </c>
      <c r="DP266" s="9" t="s">
        <v>5610</v>
      </c>
      <c r="DQ266" s="9" t="s">
        <v>1553</v>
      </c>
      <c r="DR266" s="9" t="s">
        <v>5611</v>
      </c>
      <c r="DS266" s="9" t="s">
        <v>839</v>
      </c>
      <c r="DT266" s="9" t="s">
        <v>570</v>
      </c>
      <c r="DU266" s="9" t="s">
        <v>5612</v>
      </c>
      <c r="DV266" s="9" t="s">
        <v>5613</v>
      </c>
      <c r="DW266" s="9" t="s">
        <v>396</v>
      </c>
      <c r="DX266" s="9" t="s">
        <v>5614</v>
      </c>
      <c r="DY266" s="9" t="s">
        <v>5615</v>
      </c>
      <c r="DZ266" s="9" t="s">
        <v>5616</v>
      </c>
      <c r="EA266" s="9" t="s">
        <v>475</v>
      </c>
      <c r="EB266" s="9" t="s">
        <v>845</v>
      </c>
      <c r="EC266" s="9" t="s">
        <v>5617</v>
      </c>
      <c r="ET266" s="9" t="s">
        <v>578</v>
      </c>
      <c r="EU266" s="9" t="s">
        <v>479</v>
      </c>
      <c r="EV266" s="9" t="s">
        <v>480</v>
      </c>
      <c r="EW266" s="9" t="s">
        <v>5618</v>
      </c>
      <c r="EX266" s="9" t="s">
        <v>5619</v>
      </c>
      <c r="EY266" s="9" t="s">
        <v>4493</v>
      </c>
      <c r="EZ266" s="9" t="s">
        <v>416</v>
      </c>
      <c r="FA266" s="9" t="s">
        <v>415</v>
      </c>
      <c r="FB266" s="9" t="s">
        <v>413</v>
      </c>
      <c r="FC266" s="9" t="s">
        <v>413</v>
      </c>
      <c r="FD266" s="9" t="s">
        <v>413</v>
      </c>
      <c r="FE266" s="9" t="s">
        <v>415</v>
      </c>
      <c r="FF266" s="9" t="s">
        <v>415</v>
      </c>
      <c r="FG266" s="9" t="s">
        <v>413</v>
      </c>
      <c r="FH266" s="9" t="s">
        <v>583</v>
      </c>
      <c r="FI266" s="9" t="s">
        <v>414</v>
      </c>
      <c r="FJ266" s="9" t="s">
        <v>415</v>
      </c>
      <c r="FK266" s="9" t="s">
        <v>413</v>
      </c>
      <c r="FL266" s="9" t="s">
        <v>415</v>
      </c>
      <c r="FM266" s="9" t="s">
        <v>416</v>
      </c>
      <c r="FN266" s="9" t="s">
        <v>414</v>
      </c>
      <c r="FO266" s="9" t="s">
        <v>485</v>
      </c>
      <c r="FP266" s="9" t="s">
        <v>418</v>
      </c>
      <c r="FQ266" s="9" t="s">
        <v>749</v>
      </c>
      <c r="FR266" s="9" t="s">
        <v>5620</v>
      </c>
      <c r="FS266" s="9" t="s">
        <v>420</v>
      </c>
      <c r="FT266" s="9" t="s">
        <v>1462</v>
      </c>
      <c r="FU266" s="9" t="s">
        <v>489</v>
      </c>
      <c r="FV266" s="9" t="s">
        <v>490</v>
      </c>
      <c r="FW266" s="9" t="s">
        <v>491</v>
      </c>
      <c r="FX266" s="9" t="s">
        <v>5621</v>
      </c>
      <c r="FY266" s="9" t="s">
        <v>493</v>
      </c>
      <c r="FZ266" s="9" t="s">
        <v>5622</v>
      </c>
      <c r="GA266" s="9" t="s">
        <v>5623</v>
      </c>
      <c r="GB266" s="9" t="s">
        <v>455</v>
      </c>
      <c r="GC266" s="9"/>
      <c r="GE266" s="9" t="s">
        <v>753</v>
      </c>
      <c r="GG266" s="9" t="s">
        <v>755</v>
      </c>
      <c r="GH266" s="9" t="s">
        <v>755</v>
      </c>
      <c r="GI266" s="9" t="s">
        <v>946</v>
      </c>
      <c r="GM266" s="9" t="s">
        <v>1079</v>
      </c>
      <c r="GQ266" s="9" t="s">
        <v>3273</v>
      </c>
      <c r="GT266" s="9" t="s">
        <v>4774</v>
      </c>
      <c r="GV266" s="9" t="s">
        <v>5231</v>
      </c>
      <c r="GW266" s="9" t="s">
        <v>5232</v>
      </c>
      <c r="HC266" s="9" t="s">
        <v>5297</v>
      </c>
      <c r="HD266" s="9" t="s">
        <v>5349</v>
      </c>
      <c r="HE266" s="9" t="s">
        <v>5320</v>
      </c>
      <c r="HF266" s="9" t="s">
        <v>5284</v>
      </c>
      <c r="HG266" s="9" t="s">
        <v>5624</v>
      </c>
      <c r="HH266" s="9" t="s">
        <v>5625</v>
      </c>
      <c r="HI266" s="9" t="s">
        <v>5626</v>
      </c>
      <c r="HJ266" s="9" t="s">
        <v>5627</v>
      </c>
      <c r="HO266" s="9" t="s">
        <v>5346</v>
      </c>
      <c r="HP266" s="9" t="s">
        <v>5302</v>
      </c>
      <c r="HQ266" s="9" t="s">
        <v>5238</v>
      </c>
      <c r="HR266" s="9" t="s">
        <v>5321</v>
      </c>
      <c r="HW266" s="9" t="s">
        <v>5628</v>
      </c>
      <c r="IN266" s="9" t="s">
        <v>5536</v>
      </c>
      <c r="IO266" s="9" t="s">
        <v>5536</v>
      </c>
      <c r="IP266" s="9" t="s">
        <v>5500</v>
      </c>
      <c r="IQ266" s="9" t="s">
        <v>5629</v>
      </c>
      <c r="IR266" s="9" t="s">
        <v>5536</v>
      </c>
      <c r="IS266" s="9" t="s">
        <v>5536</v>
      </c>
      <c r="IT266" s="10"/>
      <c r="IU266" s="10"/>
      <c r="IV266" s="10"/>
      <c r="IW266" s="10"/>
      <c r="IX266" s="10"/>
      <c r="IY266" s="10"/>
      <c r="IZ266" s="10"/>
      <c r="JA266" s="10"/>
      <c r="JB266" s="10"/>
      <c r="JC266" s="10"/>
      <c r="JD266" s="10"/>
      <c r="JE266" s="10"/>
      <c r="JF266" s="10"/>
      <c r="JG266" s="10"/>
      <c r="JH266" s="10"/>
      <c r="JI266" s="10"/>
      <c r="JJ266" s="10"/>
      <c r="JK266" s="10"/>
      <c r="JL266" s="10"/>
      <c r="JM266" s="10"/>
      <c r="JN266" s="10"/>
      <c r="JO266" s="10"/>
      <c r="JP266" s="10"/>
      <c r="JQ266" s="10"/>
      <c r="JR266" s="10"/>
      <c r="JS266" s="10"/>
      <c r="JT266" s="10"/>
      <c r="JU266" s="10"/>
      <c r="JV266" s="10"/>
      <c r="JW266" s="10"/>
      <c r="JX266" s="10"/>
      <c r="JY266" s="10"/>
      <c r="JZ266" s="10"/>
      <c r="KA266" s="10"/>
      <c r="KB266" s="10"/>
      <c r="KC266" s="10"/>
      <c r="KD266" s="10"/>
      <c r="KE266" s="10"/>
      <c r="KF266" s="10"/>
      <c r="KG266" s="10"/>
      <c r="KH266" s="10"/>
      <c r="KI266" s="10"/>
      <c r="KJ266" s="10"/>
      <c r="KK266" s="10"/>
      <c r="KL266" s="10"/>
      <c r="KM266" s="10"/>
      <c r="KN266" s="10"/>
      <c r="KO266" s="10"/>
      <c r="KP266" s="10"/>
      <c r="KQ266" s="10"/>
      <c r="KR266" s="10"/>
      <c r="KS266" s="10"/>
      <c r="KT266" s="10"/>
      <c r="KU266" s="10"/>
      <c r="KV266" s="10"/>
      <c r="KW266" s="10"/>
      <c r="KX266" s="10"/>
      <c r="KY266" s="10"/>
      <c r="KZ266" s="10"/>
      <c r="LA266" s="10"/>
      <c r="LB266" s="10"/>
      <c r="LC266" s="10"/>
      <c r="LD266" s="10"/>
      <c r="LE266" s="10"/>
      <c r="LF266" s="10"/>
      <c r="LG266" s="10"/>
      <c r="LH266" s="10"/>
      <c r="LI266" s="10"/>
      <c r="LJ266" s="10"/>
      <c r="LK266" s="10"/>
      <c r="LL266" s="10"/>
      <c r="LM266" s="10"/>
      <c r="LN266" s="10"/>
      <c r="LO266" s="10"/>
      <c r="LP266" s="10"/>
      <c r="LQ266" s="10"/>
      <c r="LR266" s="10"/>
      <c r="LS266" s="10"/>
      <c r="LT266" s="10"/>
      <c r="LU266" s="10"/>
      <c r="LV266" s="10"/>
      <c r="LW266" s="10"/>
      <c r="LX266" s="10"/>
      <c r="LY266" s="10"/>
      <c r="LZ266" s="10"/>
      <c r="MA266" s="10"/>
      <c r="MB266" s="10"/>
      <c r="MC266" s="10"/>
      <c r="MD266" s="10"/>
      <c r="ME266" s="10"/>
      <c r="MF266" s="10"/>
      <c r="MG266" s="10"/>
      <c r="MH266" s="10"/>
      <c r="MI266" s="10"/>
      <c r="MJ266" s="10"/>
      <c r="MK266" s="10"/>
      <c r="ML266" s="10"/>
      <c r="MM266" s="10"/>
      <c r="MN266" s="10"/>
      <c r="MO266" s="10"/>
      <c r="MP266" s="10"/>
      <c r="MQ266" s="10"/>
      <c r="MR266" s="10"/>
      <c r="MS266" s="10"/>
      <c r="MT266" s="10"/>
      <c r="MU266" s="10"/>
      <c r="MV266" s="10"/>
      <c r="MW266" s="10"/>
      <c r="MX266" s="10"/>
      <c r="MY266" s="10"/>
      <c r="MZ266" s="10"/>
      <c r="NA266" s="10"/>
      <c r="NB266" s="10"/>
      <c r="NC266" s="10"/>
    </row>
    <row r="267" ht="24.75" customHeight="1">
      <c r="A267" s="8">
        <v>45885.3984591551</v>
      </c>
      <c r="B267" s="9" t="s">
        <v>368</v>
      </c>
      <c r="C267" s="9" t="s">
        <v>370</v>
      </c>
      <c r="D267" s="9" t="s">
        <v>370</v>
      </c>
      <c r="E267" s="9" t="s">
        <v>5630</v>
      </c>
      <c r="F267" s="9" t="s">
        <v>371</v>
      </c>
      <c r="G267" s="9" t="s">
        <v>422</v>
      </c>
      <c r="H267" s="9" t="s">
        <v>496</v>
      </c>
      <c r="I267" s="9" t="s">
        <v>374</v>
      </c>
      <c r="J267" s="9" t="s">
        <v>669</v>
      </c>
      <c r="K267" s="9" t="s">
        <v>376</v>
      </c>
      <c r="L267" s="9" t="s">
        <v>591</v>
      </c>
      <c r="M267" s="9" t="s">
        <v>639</v>
      </c>
      <c r="N267" s="9" t="s">
        <v>591</v>
      </c>
      <c r="O267" s="9" t="s">
        <v>719</v>
      </c>
      <c r="P267" s="9" t="s">
        <v>592</v>
      </c>
      <c r="Q267" s="9" t="s">
        <v>862</v>
      </c>
      <c r="R267" s="9" t="s">
        <v>500</v>
      </c>
      <c r="S267" s="9" t="s">
        <v>384</v>
      </c>
      <c r="T267" s="9" t="s">
        <v>385</v>
      </c>
      <c r="W267" s="9" t="s">
        <v>386</v>
      </c>
      <c r="X267" s="9" t="s">
        <v>387</v>
      </c>
      <c r="Z267" s="9" t="s">
        <v>543</v>
      </c>
      <c r="AA267" s="9" t="s">
        <v>5631</v>
      </c>
      <c r="AB267" s="9" t="s">
        <v>5632</v>
      </c>
      <c r="AV267" s="9" t="s">
        <v>1310</v>
      </c>
      <c r="AW267" s="9" t="s">
        <v>675</v>
      </c>
      <c r="AX267" s="9" t="s">
        <v>675</v>
      </c>
      <c r="AY267" s="9" t="s">
        <v>391</v>
      </c>
      <c r="AZ267" s="9">
        <v>4.0</v>
      </c>
      <c r="BA267" s="9" t="s">
        <v>675</v>
      </c>
      <c r="BB267" s="9">
        <v>4.0</v>
      </c>
      <c r="BC267" s="9" t="s">
        <v>5633</v>
      </c>
      <c r="BD267" s="9" t="s">
        <v>5634</v>
      </c>
      <c r="BE267" s="9" t="s">
        <v>432</v>
      </c>
      <c r="BF267" s="9" t="s">
        <v>1095</v>
      </c>
      <c r="BG267" s="9" t="s">
        <v>725</v>
      </c>
      <c r="BH267" s="9" t="s">
        <v>5635</v>
      </c>
      <c r="BI267" s="9" t="s">
        <v>976</v>
      </c>
      <c r="BJ267" s="9" t="s">
        <v>5636</v>
      </c>
      <c r="BK267" s="9" t="s">
        <v>511</v>
      </c>
      <c r="BL267" s="9" t="s">
        <v>603</v>
      </c>
      <c r="BM267" s="9" t="s">
        <v>1314</v>
      </c>
      <c r="ET267" s="9" t="s">
        <v>478</v>
      </c>
      <c r="EU267" s="9" t="s">
        <v>887</v>
      </c>
      <c r="EV267" s="9" t="s">
        <v>1262</v>
      </c>
      <c r="EX267" s="9" t="s">
        <v>5637</v>
      </c>
      <c r="EY267" s="9" t="s">
        <v>5638</v>
      </c>
      <c r="EZ267" s="9" t="s">
        <v>414</v>
      </c>
      <c r="FA267" s="9" t="s">
        <v>414</v>
      </c>
      <c r="FB267" s="9" t="s">
        <v>413</v>
      </c>
      <c r="FC267" s="9" t="s">
        <v>416</v>
      </c>
      <c r="FD267" s="9" t="s">
        <v>413</v>
      </c>
      <c r="FE267" s="9" t="s">
        <v>416</v>
      </c>
      <c r="FF267" s="9" t="s">
        <v>413</v>
      </c>
      <c r="FG267" s="9" t="s">
        <v>413</v>
      </c>
      <c r="FH267" s="9" t="s">
        <v>484</v>
      </c>
      <c r="FI267" s="9" t="s">
        <v>583</v>
      </c>
      <c r="FJ267" s="9" t="s">
        <v>414</v>
      </c>
      <c r="FK267" s="9" t="s">
        <v>414</v>
      </c>
      <c r="FL267" s="9" t="s">
        <v>414</v>
      </c>
      <c r="FM267" s="9" t="s">
        <v>413</v>
      </c>
      <c r="FN267" s="9" t="s">
        <v>484</v>
      </c>
      <c r="FO267" s="9" t="s">
        <v>850</v>
      </c>
      <c r="FP267" s="9" t="s">
        <v>418</v>
      </c>
      <c r="FQ267" s="9" t="s">
        <v>1039</v>
      </c>
      <c r="FR267" s="9" t="s">
        <v>5639</v>
      </c>
      <c r="FS267" s="9" t="s">
        <v>1189</v>
      </c>
      <c r="FT267" s="9" t="s">
        <v>488</v>
      </c>
      <c r="FU267" s="9" t="s">
        <v>918</v>
      </c>
      <c r="FV267" s="9" t="s">
        <v>490</v>
      </c>
      <c r="FW267" s="9" t="s">
        <v>491</v>
      </c>
      <c r="FX267" s="9" t="s">
        <v>5640</v>
      </c>
      <c r="FY267" s="9" t="s">
        <v>1854</v>
      </c>
      <c r="GA267" s="9" t="s">
        <v>5641</v>
      </c>
      <c r="GB267" s="9" t="s">
        <v>455</v>
      </c>
      <c r="GC267" s="9"/>
      <c r="GE267" s="9" t="s">
        <v>753</v>
      </c>
      <c r="GQ267" s="9" t="s">
        <v>3208</v>
      </c>
      <c r="GV267" s="9" t="s">
        <v>5231</v>
      </c>
      <c r="GW267" s="9" t="s">
        <v>5232</v>
      </c>
      <c r="HO267" s="9" t="s">
        <v>5383</v>
      </c>
      <c r="HP267" s="9" t="s">
        <v>5302</v>
      </c>
      <c r="HQ267" s="9" t="s">
        <v>5238</v>
      </c>
      <c r="HR267" s="9" t="s">
        <v>5642</v>
      </c>
    </row>
    <row r="268" ht="24.75" customHeight="1">
      <c r="A268" s="8">
        <v>45885.69460180556</v>
      </c>
      <c r="B268" s="9" t="s">
        <v>368</v>
      </c>
      <c r="C268" s="9" t="s">
        <v>370</v>
      </c>
      <c r="D268" s="9" t="s">
        <v>370</v>
      </c>
      <c r="E268" s="9" t="s">
        <v>1421</v>
      </c>
      <c r="F268" s="9" t="s">
        <v>1421</v>
      </c>
      <c r="G268" s="9" t="s">
        <v>422</v>
      </c>
      <c r="H268" s="9" t="s">
        <v>496</v>
      </c>
      <c r="I268" s="9" t="s">
        <v>2578</v>
      </c>
      <c r="J268" s="9" t="s">
        <v>375</v>
      </c>
      <c r="K268" s="9" t="s">
        <v>376</v>
      </c>
      <c r="L268" s="9" t="s">
        <v>426</v>
      </c>
      <c r="M268" s="9" t="s">
        <v>378</v>
      </c>
      <c r="N268" s="9" t="s">
        <v>670</v>
      </c>
      <c r="O268" s="9" t="s">
        <v>720</v>
      </c>
      <c r="P268" s="9" t="s">
        <v>592</v>
      </c>
      <c r="Q268" s="9" t="s">
        <v>1004</v>
      </c>
      <c r="R268" s="9" t="s">
        <v>427</v>
      </c>
      <c r="S268" s="9" t="s">
        <v>384</v>
      </c>
      <c r="T268" s="9" t="s">
        <v>385</v>
      </c>
      <c r="W268" s="9" t="s">
        <v>3231</v>
      </c>
      <c r="AV268" s="9" t="s">
        <v>597</v>
      </c>
      <c r="AW268" s="9" t="s">
        <v>391</v>
      </c>
      <c r="AX268" s="9" t="s">
        <v>391</v>
      </c>
      <c r="AY268" s="9" t="s">
        <v>675</v>
      </c>
      <c r="AZ268" s="9" t="s">
        <v>391</v>
      </c>
      <c r="BA268" s="9">
        <v>2.0</v>
      </c>
      <c r="BB268" s="9">
        <v>2.0</v>
      </c>
      <c r="BC268" s="9" t="s">
        <v>5643</v>
      </c>
      <c r="BD268" s="9" t="s">
        <v>5644</v>
      </c>
      <c r="BE268" s="9" t="s">
        <v>392</v>
      </c>
      <c r="BF268" s="9" t="s">
        <v>393</v>
      </c>
      <c r="BG268" s="9" t="s">
        <v>434</v>
      </c>
      <c r="BI268" s="9" t="s">
        <v>727</v>
      </c>
      <c r="BK268" s="9" t="s">
        <v>681</v>
      </c>
      <c r="BL268" s="9" t="s">
        <v>603</v>
      </c>
      <c r="BM268" s="9" t="s">
        <v>549</v>
      </c>
      <c r="EV268" s="9" t="s">
        <v>663</v>
      </c>
      <c r="EX268" s="9" t="s">
        <v>5645</v>
      </c>
      <c r="EZ268" s="9" t="s">
        <v>484</v>
      </c>
      <c r="FA268" s="9" t="s">
        <v>484</v>
      </c>
      <c r="FB268" s="9" t="s">
        <v>484</v>
      </c>
      <c r="FC268" s="9" t="s">
        <v>414</v>
      </c>
      <c r="FD268" s="9" t="s">
        <v>416</v>
      </c>
      <c r="FE268" s="9" t="s">
        <v>414</v>
      </c>
      <c r="FF268" s="9" t="s">
        <v>415</v>
      </c>
      <c r="FG268" s="9" t="s">
        <v>414</v>
      </c>
      <c r="FH268" s="9" t="s">
        <v>484</v>
      </c>
      <c r="FI268" s="9" t="s">
        <v>583</v>
      </c>
      <c r="FJ268" s="9" t="s">
        <v>414</v>
      </c>
      <c r="FK268" s="9" t="s">
        <v>484</v>
      </c>
      <c r="FL268" s="9" t="s">
        <v>484</v>
      </c>
      <c r="FM268" s="9" t="s">
        <v>416</v>
      </c>
      <c r="FN268" s="9" t="s">
        <v>414</v>
      </c>
      <c r="FO268" s="9" t="s">
        <v>417</v>
      </c>
      <c r="FP268" s="9" t="s">
        <v>418</v>
      </c>
      <c r="FQ268" s="9" t="s">
        <v>419</v>
      </c>
      <c r="FR268" s="9" t="s">
        <v>5646</v>
      </c>
      <c r="FS268" s="9" t="s">
        <v>1076</v>
      </c>
      <c r="FT268" s="9" t="s">
        <v>488</v>
      </c>
      <c r="FU268" s="9" t="s">
        <v>489</v>
      </c>
      <c r="FV268" s="9" t="s">
        <v>490</v>
      </c>
      <c r="FW268" s="9" t="s">
        <v>491</v>
      </c>
      <c r="FX268" s="9" t="s">
        <v>5647</v>
      </c>
      <c r="FY268" s="9" t="s">
        <v>493</v>
      </c>
      <c r="FZ268" s="9" t="s">
        <v>5648</v>
      </c>
      <c r="GA268" s="9" t="s">
        <v>5649</v>
      </c>
      <c r="GB268" s="9" t="s">
        <v>455</v>
      </c>
      <c r="GC268" s="9"/>
      <c r="GE268" s="9" t="s">
        <v>855</v>
      </c>
      <c r="GP268" s="9" t="s">
        <v>1706</v>
      </c>
      <c r="GQ268" s="9" t="s">
        <v>3306</v>
      </c>
      <c r="GV268" s="9" t="s">
        <v>5231</v>
      </c>
      <c r="GW268" s="9" t="s">
        <v>484</v>
      </c>
      <c r="HO268" s="9" t="s">
        <v>5301</v>
      </c>
      <c r="HP268" s="9" t="s">
        <v>5237</v>
      </c>
      <c r="HQ268" s="9" t="s">
        <v>5238</v>
      </c>
      <c r="HR268" s="9" t="s">
        <v>5650</v>
      </c>
    </row>
    <row r="269" ht="24.75" customHeight="1">
      <c r="A269" s="8">
        <v>45887.26090246528</v>
      </c>
      <c r="B269" s="9" t="s">
        <v>368</v>
      </c>
      <c r="C269" s="9" t="s">
        <v>1201</v>
      </c>
      <c r="D269" s="9" t="s">
        <v>1201</v>
      </c>
      <c r="G269" s="9" t="s">
        <v>422</v>
      </c>
      <c r="H269" s="9" t="s">
        <v>637</v>
      </c>
      <c r="I269" s="9" t="s">
        <v>638</v>
      </c>
      <c r="J269" s="9" t="s">
        <v>375</v>
      </c>
      <c r="K269" s="9" t="s">
        <v>376</v>
      </c>
      <c r="L269" s="9" t="s">
        <v>793</v>
      </c>
      <c r="M269" s="9" t="s">
        <v>860</v>
      </c>
      <c r="N269" s="9" t="s">
        <v>670</v>
      </c>
      <c r="O269" s="9" t="s">
        <v>378</v>
      </c>
      <c r="P269" s="9" t="s">
        <v>592</v>
      </c>
      <c r="Q269" s="9" t="s">
        <v>1004</v>
      </c>
      <c r="R269" s="9" t="s">
        <v>949</v>
      </c>
      <c r="S269" s="9" t="s">
        <v>384</v>
      </c>
      <c r="T269" s="9" t="s">
        <v>385</v>
      </c>
      <c r="W269" s="9" t="s">
        <v>386</v>
      </c>
      <c r="X269" s="9" t="s">
        <v>387</v>
      </c>
      <c r="Y269" s="9" t="s">
        <v>1444</v>
      </c>
      <c r="Z269" s="9" t="s">
        <v>543</v>
      </c>
      <c r="AV269" s="9" t="s">
        <v>1242</v>
      </c>
      <c r="AW269" s="9">
        <v>4.0</v>
      </c>
      <c r="AX269" s="9">
        <v>4.0</v>
      </c>
      <c r="AY269" s="9" t="s">
        <v>675</v>
      </c>
      <c r="AZ269" s="9" t="s">
        <v>675</v>
      </c>
      <c r="BA269" s="9" t="s">
        <v>675</v>
      </c>
      <c r="BB269" s="9" t="s">
        <v>675</v>
      </c>
      <c r="BC269" s="9" t="s">
        <v>5651</v>
      </c>
      <c r="BE269" s="9" t="s">
        <v>902</v>
      </c>
      <c r="BF269" s="9" t="s">
        <v>393</v>
      </c>
      <c r="BG269" s="9" t="s">
        <v>394</v>
      </c>
      <c r="BH269" s="9" t="s">
        <v>5652</v>
      </c>
      <c r="BI269" s="9" t="s">
        <v>976</v>
      </c>
      <c r="BK269" s="9" t="s">
        <v>681</v>
      </c>
      <c r="BL269" s="9" t="s">
        <v>904</v>
      </c>
      <c r="BM269" s="9" t="s">
        <v>1314</v>
      </c>
      <c r="ET269" s="9" t="s">
        <v>526</v>
      </c>
      <c r="EU269" s="9" t="s">
        <v>579</v>
      </c>
      <c r="EV269" s="9" t="s">
        <v>1262</v>
      </c>
      <c r="EX269" s="9" t="s">
        <v>5653</v>
      </c>
      <c r="EZ269" s="9" t="s">
        <v>416</v>
      </c>
      <c r="FA269" s="9" t="s">
        <v>414</v>
      </c>
      <c r="FB269" s="9" t="s">
        <v>413</v>
      </c>
      <c r="FC269" s="9" t="s">
        <v>416</v>
      </c>
      <c r="FD269" s="9" t="s">
        <v>416</v>
      </c>
      <c r="FE269" s="9" t="s">
        <v>415</v>
      </c>
      <c r="FF269" s="9" t="s">
        <v>416</v>
      </c>
      <c r="FG269" s="9" t="s">
        <v>413</v>
      </c>
      <c r="FH269" s="9" t="s">
        <v>583</v>
      </c>
      <c r="FI269" s="9" t="s">
        <v>415</v>
      </c>
      <c r="FJ269" s="9" t="s">
        <v>416</v>
      </c>
      <c r="FK269" s="9" t="s">
        <v>416</v>
      </c>
      <c r="FL269" s="9" t="s">
        <v>416</v>
      </c>
      <c r="FM269" s="9" t="s">
        <v>413</v>
      </c>
      <c r="FN269" s="9" t="s">
        <v>414</v>
      </c>
      <c r="FO269" s="9" t="s">
        <v>485</v>
      </c>
      <c r="FP269" s="9" t="s">
        <v>418</v>
      </c>
      <c r="FQ269" s="9" t="s">
        <v>1039</v>
      </c>
      <c r="FR269" s="9" t="s">
        <v>5654</v>
      </c>
      <c r="FS269" s="9" t="s">
        <v>420</v>
      </c>
      <c r="FT269" s="9" t="s">
        <v>488</v>
      </c>
      <c r="FU269" s="9" t="s">
        <v>585</v>
      </c>
      <c r="FV269" s="9" t="s">
        <v>490</v>
      </c>
      <c r="FW269" s="9" t="s">
        <v>491</v>
      </c>
      <c r="FX269" s="9" t="s">
        <v>5655</v>
      </c>
      <c r="FY269" s="9" t="s">
        <v>493</v>
      </c>
      <c r="GB269" s="9" t="s">
        <v>455</v>
      </c>
      <c r="GC269" s="9"/>
      <c r="GE269" s="9" t="s">
        <v>753</v>
      </c>
      <c r="GQ269" s="9" t="s">
        <v>5656</v>
      </c>
      <c r="GV269" s="9" t="s">
        <v>5231</v>
      </c>
      <c r="GW269" s="9" t="s">
        <v>5261</v>
      </c>
      <c r="HO269" s="9" t="s">
        <v>5285</v>
      </c>
      <c r="HP269" s="9" t="s">
        <v>5302</v>
      </c>
      <c r="HQ269" s="9" t="s">
        <v>5286</v>
      </c>
      <c r="HR269" s="9" t="s">
        <v>5321</v>
      </c>
    </row>
    <row r="270" ht="24.75" customHeight="1">
      <c r="A270" s="8">
        <v>45890.5657042824</v>
      </c>
      <c r="B270" s="9" t="s">
        <v>368</v>
      </c>
      <c r="C270" s="9" t="s">
        <v>370</v>
      </c>
      <c r="D270" s="9" t="s">
        <v>370</v>
      </c>
      <c r="E270" s="9" t="s">
        <v>2708</v>
      </c>
      <c r="F270" s="9" t="s">
        <v>2708</v>
      </c>
      <c r="G270" s="9" t="s">
        <v>422</v>
      </c>
      <c r="H270" s="9" t="s">
        <v>496</v>
      </c>
      <c r="I270" s="9" t="s">
        <v>374</v>
      </c>
      <c r="J270" s="9" t="s">
        <v>375</v>
      </c>
      <c r="K270" s="9" t="s">
        <v>376</v>
      </c>
      <c r="L270" s="9" t="s">
        <v>379</v>
      </c>
      <c r="M270" s="9" t="s">
        <v>541</v>
      </c>
      <c r="N270" s="9" t="s">
        <v>426</v>
      </c>
      <c r="O270" s="9" t="s">
        <v>380</v>
      </c>
      <c r="P270" s="9" t="s">
        <v>381</v>
      </c>
      <c r="Q270" s="9" t="s">
        <v>382</v>
      </c>
      <c r="R270" s="9" t="s">
        <v>427</v>
      </c>
      <c r="S270" s="9" t="s">
        <v>384</v>
      </c>
      <c r="T270" s="9" t="s">
        <v>385</v>
      </c>
      <c r="BN270" s="9" t="s">
        <v>513</v>
      </c>
      <c r="CM270" s="9" t="s">
        <v>401</v>
      </c>
      <c r="GB270" s="11"/>
      <c r="GV270" s="9" t="s">
        <v>5231</v>
      </c>
      <c r="GW270" s="9" t="s">
        <v>5232</v>
      </c>
    </row>
    <row r="271" ht="24.75" customHeight="1">
      <c r="A271" s="8">
        <v>45890.639364930554</v>
      </c>
      <c r="B271" s="9" t="s">
        <v>368</v>
      </c>
      <c r="C271" s="9" t="s">
        <v>370</v>
      </c>
      <c r="D271" s="9" t="s">
        <v>370</v>
      </c>
      <c r="E271" s="9" t="s">
        <v>2359</v>
      </c>
      <c r="F271" s="9" t="s">
        <v>2359</v>
      </c>
      <c r="G271" s="9" t="s">
        <v>422</v>
      </c>
      <c r="H271" s="9" t="s">
        <v>1921</v>
      </c>
      <c r="I271" s="9" t="s">
        <v>668</v>
      </c>
      <c r="J271" s="9" t="s">
        <v>718</v>
      </c>
      <c r="K271" s="9" t="s">
        <v>376</v>
      </c>
      <c r="L271" s="9" t="s">
        <v>793</v>
      </c>
      <c r="M271" s="9" t="s">
        <v>639</v>
      </c>
      <c r="N271" s="9" t="s">
        <v>793</v>
      </c>
      <c r="O271" s="9" t="s">
        <v>5657</v>
      </c>
      <c r="P271" s="9" t="s">
        <v>498</v>
      </c>
      <c r="Q271" s="9" t="s">
        <v>499</v>
      </c>
      <c r="R271" s="9" t="s">
        <v>500</v>
      </c>
      <c r="S271" s="9" t="s">
        <v>384</v>
      </c>
      <c r="T271" s="9" t="s">
        <v>385</v>
      </c>
      <c r="W271" s="9" t="s">
        <v>593</v>
      </c>
      <c r="X271" s="9" t="s">
        <v>387</v>
      </c>
      <c r="Y271" s="9" t="s">
        <v>542</v>
      </c>
      <c r="Z271" s="9" t="s">
        <v>502</v>
      </c>
      <c r="AA271" s="9" t="s">
        <v>408</v>
      </c>
      <c r="AV271" s="9" t="s">
        <v>1310</v>
      </c>
      <c r="AW271" s="9">
        <v>2.0</v>
      </c>
      <c r="AX271" s="9" t="s">
        <v>429</v>
      </c>
      <c r="AY271" s="9" t="s">
        <v>391</v>
      </c>
      <c r="AZ271" s="9">
        <v>2.0</v>
      </c>
      <c r="BA271" s="9">
        <v>2.0</v>
      </c>
      <c r="BB271" s="9">
        <v>2.0</v>
      </c>
      <c r="BC271" s="9" t="s">
        <v>5658</v>
      </c>
      <c r="BD271" s="9" t="s">
        <v>5659</v>
      </c>
      <c r="BE271" s="9" t="s">
        <v>392</v>
      </c>
      <c r="BF271" s="9" t="s">
        <v>433</v>
      </c>
      <c r="BG271" s="9" t="s">
        <v>434</v>
      </c>
      <c r="BI271" s="9" t="s">
        <v>976</v>
      </c>
      <c r="BK271" s="9" t="s">
        <v>511</v>
      </c>
      <c r="BL271" s="9" t="s">
        <v>438</v>
      </c>
      <c r="BM271" s="9" t="s">
        <v>1247</v>
      </c>
      <c r="ET271" s="9" t="s">
        <v>526</v>
      </c>
      <c r="EU271" s="9" t="s">
        <v>479</v>
      </c>
      <c r="EV271" s="9" t="s">
        <v>480</v>
      </c>
      <c r="EX271" s="9" t="s">
        <v>5660</v>
      </c>
      <c r="EY271" s="9" t="s">
        <v>1380</v>
      </c>
      <c r="EZ271" s="9" t="s">
        <v>413</v>
      </c>
      <c r="FA271" s="9" t="s">
        <v>415</v>
      </c>
      <c r="FB271" s="9" t="s">
        <v>413</v>
      </c>
      <c r="FC271" s="9" t="s">
        <v>413</v>
      </c>
      <c r="FD271" s="9" t="s">
        <v>413</v>
      </c>
      <c r="FE271" s="9" t="s">
        <v>415</v>
      </c>
      <c r="FF271" s="9" t="s">
        <v>413</v>
      </c>
      <c r="FG271" s="9" t="s">
        <v>413</v>
      </c>
      <c r="FH271" s="9" t="s">
        <v>413</v>
      </c>
      <c r="FI271" s="9" t="s">
        <v>416</v>
      </c>
      <c r="FJ271" s="9" t="s">
        <v>414</v>
      </c>
      <c r="FK271" s="9" t="s">
        <v>415</v>
      </c>
      <c r="FL271" s="9" t="s">
        <v>583</v>
      </c>
      <c r="FM271" s="9" t="s">
        <v>413</v>
      </c>
      <c r="FN271" s="9" t="s">
        <v>484</v>
      </c>
      <c r="FO271" s="9" t="s">
        <v>485</v>
      </c>
      <c r="FP271" s="9" t="s">
        <v>418</v>
      </c>
      <c r="FQ271" s="9" t="s">
        <v>630</v>
      </c>
      <c r="FS271" s="9" t="s">
        <v>1189</v>
      </c>
      <c r="FT271" s="9" t="s">
        <v>488</v>
      </c>
      <c r="FU271" s="9" t="s">
        <v>533</v>
      </c>
      <c r="FV271" s="9" t="s">
        <v>490</v>
      </c>
      <c r="FW271" s="9" t="s">
        <v>491</v>
      </c>
      <c r="FX271" s="9" t="s">
        <v>5661</v>
      </c>
      <c r="FY271" s="9" t="s">
        <v>535</v>
      </c>
      <c r="GB271" s="9" t="s">
        <v>455</v>
      </c>
      <c r="GC271" s="9"/>
      <c r="GE271" s="9" t="s">
        <v>753</v>
      </c>
      <c r="GQ271" s="9" t="s">
        <v>3208</v>
      </c>
      <c r="GV271" s="9" t="s">
        <v>5231</v>
      </c>
      <c r="GW271" s="9" t="s">
        <v>5232</v>
      </c>
      <c r="HO271" s="9" t="s">
        <v>5346</v>
      </c>
      <c r="HP271" s="9" t="s">
        <v>5264</v>
      </c>
      <c r="HQ271" s="9" t="s">
        <v>5238</v>
      </c>
      <c r="HR271" s="9" t="s">
        <v>5321</v>
      </c>
    </row>
    <row r="272" ht="24.75" customHeight="1">
      <c r="A272" s="8">
        <v>45890.654446562505</v>
      </c>
      <c r="B272" s="9" t="s">
        <v>368</v>
      </c>
      <c r="C272" s="9" t="s">
        <v>894</v>
      </c>
      <c r="D272" s="9" t="s">
        <v>370</v>
      </c>
      <c r="F272" s="9" t="s">
        <v>1421</v>
      </c>
      <c r="G272" s="9" t="s">
        <v>422</v>
      </c>
      <c r="H272" s="9" t="s">
        <v>539</v>
      </c>
      <c r="I272" s="9" t="s">
        <v>424</v>
      </c>
      <c r="J272" s="9" t="s">
        <v>375</v>
      </c>
      <c r="K272" s="9" t="s">
        <v>376</v>
      </c>
      <c r="L272" s="9" t="s">
        <v>591</v>
      </c>
      <c r="M272" s="9" t="s">
        <v>378</v>
      </c>
      <c r="N272" s="9" t="s">
        <v>670</v>
      </c>
      <c r="O272" s="9" t="s">
        <v>720</v>
      </c>
      <c r="P272" s="9" t="s">
        <v>592</v>
      </c>
      <c r="Q272" s="9" t="s">
        <v>862</v>
      </c>
      <c r="R272" s="9" t="s">
        <v>949</v>
      </c>
      <c r="S272" s="9" t="s">
        <v>1785</v>
      </c>
      <c r="T272" s="9" t="s">
        <v>1786</v>
      </c>
      <c r="U272" s="9" t="s">
        <v>1241</v>
      </c>
      <c r="ED272" s="9" t="s">
        <v>5662</v>
      </c>
      <c r="EH272" s="9" t="s">
        <v>5663</v>
      </c>
      <c r="EI272" s="9" t="s">
        <v>5664</v>
      </c>
      <c r="ER272" s="9" t="s">
        <v>5665</v>
      </c>
      <c r="ES272" s="9" t="s">
        <v>5666</v>
      </c>
      <c r="ET272" s="9" t="s">
        <v>578</v>
      </c>
      <c r="EU272" s="9" t="s">
        <v>1037</v>
      </c>
      <c r="EV272" s="9" t="s">
        <v>580</v>
      </c>
      <c r="EX272" s="9" t="s">
        <v>5667</v>
      </c>
      <c r="EY272" s="9" t="s">
        <v>5668</v>
      </c>
      <c r="EZ272" s="9" t="s">
        <v>415</v>
      </c>
      <c r="FA272" s="9" t="s">
        <v>415</v>
      </c>
      <c r="FB272" s="9" t="s">
        <v>415</v>
      </c>
      <c r="FC272" s="9" t="s">
        <v>415</v>
      </c>
      <c r="FD272" s="9" t="s">
        <v>413</v>
      </c>
      <c r="FE272" s="9" t="s">
        <v>415</v>
      </c>
      <c r="FF272" s="9" t="s">
        <v>415</v>
      </c>
      <c r="FG272" s="9" t="s">
        <v>415</v>
      </c>
      <c r="FH272" s="9" t="s">
        <v>415</v>
      </c>
      <c r="FI272" s="9" t="s">
        <v>415</v>
      </c>
      <c r="FJ272" s="9" t="s">
        <v>415</v>
      </c>
      <c r="FK272" s="9" t="s">
        <v>415</v>
      </c>
      <c r="FL272" s="9" t="s">
        <v>415</v>
      </c>
      <c r="FM272" s="9" t="s">
        <v>415</v>
      </c>
      <c r="FN272" s="9" t="s">
        <v>415</v>
      </c>
      <c r="FO272" s="9" t="s">
        <v>850</v>
      </c>
      <c r="FP272" s="9" t="s">
        <v>418</v>
      </c>
      <c r="FQ272" s="9" t="s">
        <v>712</v>
      </c>
      <c r="FR272" s="9" t="s">
        <v>5669</v>
      </c>
      <c r="FS272" s="9" t="s">
        <v>995</v>
      </c>
      <c r="FT272" s="9" t="s">
        <v>488</v>
      </c>
      <c r="FU272" s="9" t="s">
        <v>918</v>
      </c>
      <c r="FV272" s="9" t="s">
        <v>490</v>
      </c>
      <c r="FW272" s="9" t="s">
        <v>491</v>
      </c>
      <c r="FX272" s="9" t="s">
        <v>5670</v>
      </c>
      <c r="FY272" s="9" t="s">
        <v>493</v>
      </c>
      <c r="FZ272" s="9" t="s">
        <v>5671</v>
      </c>
      <c r="GA272" s="9" t="s">
        <v>5672</v>
      </c>
      <c r="GB272" s="9" t="s">
        <v>455</v>
      </c>
      <c r="GC272" s="9"/>
      <c r="GE272" s="9" t="s">
        <v>786</v>
      </c>
      <c r="GF272" s="9" t="s">
        <v>5673</v>
      </c>
      <c r="GV272" s="9" t="s">
        <v>5231</v>
      </c>
      <c r="GW272" s="9" t="s">
        <v>5674</v>
      </c>
      <c r="HK272" s="9" t="s">
        <v>5675</v>
      </c>
      <c r="HL272" s="9" t="s">
        <v>5676</v>
      </c>
      <c r="HM272" s="9" t="s">
        <v>5677</v>
      </c>
      <c r="HN272" s="9" t="s">
        <v>5678</v>
      </c>
      <c r="HO272" s="9" t="s">
        <v>5301</v>
      </c>
      <c r="HP272" s="9" t="s">
        <v>5371</v>
      </c>
      <c r="HQ272" s="9" t="s">
        <v>5238</v>
      </c>
      <c r="JD272" s="9" t="s">
        <v>5679</v>
      </c>
      <c r="JG272" s="9" t="s">
        <v>5680</v>
      </c>
      <c r="JI272" s="9" t="s">
        <v>5681</v>
      </c>
      <c r="JJ272" s="9" t="s">
        <v>963</v>
      </c>
      <c r="JK272" s="9" t="s">
        <v>455</v>
      </c>
      <c r="JL272" s="9" t="s">
        <v>5682</v>
      </c>
      <c r="JN272" s="9" t="s">
        <v>5683</v>
      </c>
      <c r="JQ272" s="9" t="s">
        <v>5684</v>
      </c>
      <c r="JY272" s="9" t="s">
        <v>5685</v>
      </c>
      <c r="JZ272" s="9" t="s">
        <v>5682</v>
      </c>
      <c r="KA272" s="9" t="s">
        <v>5686</v>
      </c>
      <c r="KB272" s="9" t="s">
        <v>5687</v>
      </c>
      <c r="KC272" s="9" t="s">
        <v>5688</v>
      </c>
      <c r="KD272" s="9" t="s">
        <v>5689</v>
      </c>
      <c r="KE272" s="9" t="s">
        <v>5690</v>
      </c>
      <c r="KG272" s="9" t="s">
        <v>5691</v>
      </c>
      <c r="KM272" s="9" t="s">
        <v>5692</v>
      </c>
      <c r="KN272" s="9" t="s">
        <v>5693</v>
      </c>
    </row>
    <row r="273" ht="24.75" customHeight="1">
      <c r="A273" s="8">
        <v>45891.315471574075</v>
      </c>
      <c r="B273" s="9" t="s">
        <v>368</v>
      </c>
      <c r="C273" s="9" t="s">
        <v>5694</v>
      </c>
      <c r="D273" s="9" t="s">
        <v>5694</v>
      </c>
      <c r="G273" s="9" t="s">
        <v>422</v>
      </c>
      <c r="H273" s="9" t="s">
        <v>373</v>
      </c>
      <c r="I273" s="9" t="s">
        <v>374</v>
      </c>
      <c r="J273" s="9" t="s">
        <v>718</v>
      </c>
      <c r="K273" s="9" t="s">
        <v>376</v>
      </c>
      <c r="L273" s="9" t="s">
        <v>793</v>
      </c>
      <c r="M273" s="9" t="s">
        <v>639</v>
      </c>
      <c r="N273" s="9" t="s">
        <v>793</v>
      </c>
      <c r="O273" s="9" t="s">
        <v>671</v>
      </c>
      <c r="P273" s="9" t="s">
        <v>498</v>
      </c>
      <c r="Q273" s="9" t="s">
        <v>382</v>
      </c>
      <c r="R273" s="9" t="s">
        <v>949</v>
      </c>
      <c r="S273" s="9" t="s">
        <v>384</v>
      </c>
      <c r="T273" s="9" t="s">
        <v>385</v>
      </c>
      <c r="W273" s="9" t="s">
        <v>3014</v>
      </c>
      <c r="AV273" s="9" t="s">
        <v>1310</v>
      </c>
      <c r="AW273" s="9">
        <v>4.0</v>
      </c>
      <c r="AX273" s="9" t="s">
        <v>391</v>
      </c>
      <c r="AY273" s="9">
        <v>2.0</v>
      </c>
      <c r="AZ273" s="9">
        <v>2.0</v>
      </c>
      <c r="BA273" s="9" t="s">
        <v>429</v>
      </c>
      <c r="BB273" s="9">
        <v>2.0</v>
      </c>
      <c r="BC273" s="9" t="s">
        <v>5695</v>
      </c>
      <c r="BD273" s="9" t="s">
        <v>5696</v>
      </c>
      <c r="BE273" s="9" t="s">
        <v>432</v>
      </c>
      <c r="BF273" s="9" t="s">
        <v>393</v>
      </c>
      <c r="BG273" s="9" t="s">
        <v>434</v>
      </c>
      <c r="BH273" s="9" t="s">
        <v>5697</v>
      </c>
      <c r="BI273" s="9" t="s">
        <v>509</v>
      </c>
      <c r="BJ273" s="9" t="s">
        <v>5698</v>
      </c>
      <c r="BK273" s="9" t="s">
        <v>602</v>
      </c>
      <c r="BL273" s="9" t="s">
        <v>438</v>
      </c>
      <c r="BM273" s="9" t="s">
        <v>1247</v>
      </c>
      <c r="BN273" s="9" t="s">
        <v>513</v>
      </c>
      <c r="CL273" s="9" t="s">
        <v>550</v>
      </c>
      <c r="CM273" s="9" t="s">
        <v>604</v>
      </c>
      <c r="CN273" s="9" t="s">
        <v>5699</v>
      </c>
      <c r="CO273" s="9" t="s">
        <v>5700</v>
      </c>
      <c r="CP273" s="9" t="s">
        <v>685</v>
      </c>
      <c r="CQ273" s="9" t="s">
        <v>5701</v>
      </c>
      <c r="CR273" s="9" t="s">
        <v>404</v>
      </c>
      <c r="CS273" s="9" t="s">
        <v>5702</v>
      </c>
      <c r="CT273" s="9" t="s">
        <v>5703</v>
      </c>
      <c r="CU273" s="9" t="s">
        <v>1852</v>
      </c>
      <c r="CV273" s="9" t="s">
        <v>451</v>
      </c>
      <c r="CW273" s="9" t="s">
        <v>5704</v>
      </c>
      <c r="CX273" s="9" t="s">
        <v>408</v>
      </c>
      <c r="CY273" s="9" t="s">
        <v>1211</v>
      </c>
      <c r="CZ273" s="9" t="s">
        <v>453</v>
      </c>
      <c r="DA273" s="9" t="s">
        <v>5705</v>
      </c>
      <c r="DB273" s="9" t="s">
        <v>913</v>
      </c>
      <c r="DC273" s="9" t="s">
        <v>5706</v>
      </c>
      <c r="DD273" s="9" t="s">
        <v>406</v>
      </c>
      <c r="DE273" s="9" t="s">
        <v>407</v>
      </c>
      <c r="DF273" s="9" t="s">
        <v>5707</v>
      </c>
      <c r="DG273" s="9" t="s">
        <v>776</v>
      </c>
      <c r="DH273" s="9" t="s">
        <v>410</v>
      </c>
      <c r="DI273" s="9" t="s">
        <v>963</v>
      </c>
      <c r="DJ273" s="9" t="s">
        <v>460</v>
      </c>
      <c r="DK273" s="9" t="s">
        <v>563</v>
      </c>
      <c r="DL273" s="9" t="s">
        <v>5708</v>
      </c>
      <c r="ET273" s="9" t="s">
        <v>478</v>
      </c>
      <c r="EU273" s="9" t="s">
        <v>579</v>
      </c>
      <c r="EV273" s="9" t="s">
        <v>1534</v>
      </c>
      <c r="EW273" s="9" t="s">
        <v>5709</v>
      </c>
      <c r="EX273" s="9" t="s">
        <v>5710</v>
      </c>
      <c r="EY273" s="9" t="s">
        <v>5711</v>
      </c>
      <c r="EZ273" s="9" t="s">
        <v>416</v>
      </c>
      <c r="FA273" s="9" t="s">
        <v>415</v>
      </c>
      <c r="FB273" s="9" t="s">
        <v>413</v>
      </c>
      <c r="FC273" s="9" t="s">
        <v>413</v>
      </c>
      <c r="FD273" s="9" t="s">
        <v>413</v>
      </c>
      <c r="FE273" s="9" t="s">
        <v>416</v>
      </c>
      <c r="FF273" s="9" t="s">
        <v>415</v>
      </c>
      <c r="FG273" s="9" t="s">
        <v>416</v>
      </c>
      <c r="FH273" s="9" t="s">
        <v>414</v>
      </c>
      <c r="FI273" s="9" t="s">
        <v>413</v>
      </c>
      <c r="FJ273" s="9" t="s">
        <v>416</v>
      </c>
      <c r="FK273" s="9" t="s">
        <v>415</v>
      </c>
      <c r="FL273" s="9" t="s">
        <v>415</v>
      </c>
      <c r="FM273" s="9" t="s">
        <v>415</v>
      </c>
      <c r="FN273" s="9" t="s">
        <v>415</v>
      </c>
      <c r="FO273" s="9" t="s">
        <v>485</v>
      </c>
      <c r="FP273" s="9" t="s">
        <v>418</v>
      </c>
      <c r="FQ273" s="9" t="s">
        <v>1039</v>
      </c>
      <c r="FR273" s="9" t="s">
        <v>5712</v>
      </c>
      <c r="FS273" s="9" t="s">
        <v>420</v>
      </c>
      <c r="FT273" s="9" t="s">
        <v>488</v>
      </c>
      <c r="FU273" s="9" t="s">
        <v>1235</v>
      </c>
      <c r="FV273" s="9" t="s">
        <v>490</v>
      </c>
      <c r="FW273" s="9" t="s">
        <v>491</v>
      </c>
      <c r="FX273" s="9" t="s">
        <v>5713</v>
      </c>
      <c r="FY273" s="9" t="s">
        <v>535</v>
      </c>
      <c r="FZ273" s="9" t="s">
        <v>5714</v>
      </c>
      <c r="GA273" s="9" t="s">
        <v>5715</v>
      </c>
      <c r="GB273" s="9" t="s">
        <v>408</v>
      </c>
      <c r="GG273" s="9" t="s">
        <v>1000</v>
      </c>
      <c r="GH273" s="9" t="s">
        <v>1000</v>
      </c>
      <c r="GI273" s="9" t="s">
        <v>858</v>
      </c>
      <c r="GN273" s="9" t="s">
        <v>5716</v>
      </c>
      <c r="GO273" s="9" t="s">
        <v>5716</v>
      </c>
      <c r="GQ273" s="9" t="s">
        <v>5717</v>
      </c>
      <c r="GT273" s="9" t="s">
        <v>4774</v>
      </c>
      <c r="GU273" s="9" t="s">
        <v>1211</v>
      </c>
      <c r="GV273" s="9" t="s">
        <v>5231</v>
      </c>
      <c r="GW273" s="9" t="s">
        <v>484</v>
      </c>
      <c r="HC273" s="9" t="s">
        <v>5281</v>
      </c>
      <c r="HD273" s="9" t="s">
        <v>5282</v>
      </c>
      <c r="HE273" s="9" t="s">
        <v>5718</v>
      </c>
      <c r="HF273" s="9" t="s">
        <v>5300</v>
      </c>
      <c r="HO273" s="9" t="s">
        <v>5301</v>
      </c>
      <c r="HP273" s="9" t="s">
        <v>5719</v>
      </c>
      <c r="HQ273" s="9" t="s">
        <v>5286</v>
      </c>
      <c r="HR273" s="9" t="s">
        <v>913</v>
      </c>
      <c r="HW273" s="9" t="s">
        <v>5720</v>
      </c>
    </row>
    <row r="274" ht="24.75" customHeight="1">
      <c r="A274" s="8">
        <v>45891.94145059028</v>
      </c>
      <c r="B274" s="9" t="s">
        <v>368</v>
      </c>
      <c r="C274" s="9" t="s">
        <v>1201</v>
      </c>
      <c r="D274" s="9" t="s">
        <v>1201</v>
      </c>
      <c r="G274" s="9" t="s">
        <v>422</v>
      </c>
      <c r="H274" s="9" t="s">
        <v>373</v>
      </c>
      <c r="I274" s="9" t="s">
        <v>374</v>
      </c>
      <c r="J274" s="9" t="s">
        <v>540</v>
      </c>
      <c r="K274" s="9" t="s">
        <v>376</v>
      </c>
      <c r="L274" s="9" t="s">
        <v>670</v>
      </c>
      <c r="M274" s="9" t="s">
        <v>720</v>
      </c>
      <c r="N274" s="9" t="s">
        <v>670</v>
      </c>
      <c r="O274" s="9" t="s">
        <v>541</v>
      </c>
      <c r="P274" s="9" t="s">
        <v>592</v>
      </c>
      <c r="Q274" s="9" t="s">
        <v>1156</v>
      </c>
      <c r="R274" s="9" t="s">
        <v>427</v>
      </c>
      <c r="S274" s="9" t="s">
        <v>384</v>
      </c>
      <c r="T274" s="9" t="s">
        <v>385</v>
      </c>
      <c r="W274" s="9" t="s">
        <v>593</v>
      </c>
      <c r="X274" s="9" t="s">
        <v>387</v>
      </c>
      <c r="Y274" s="9" t="s">
        <v>1157</v>
      </c>
      <c r="Z274" s="9" t="s">
        <v>502</v>
      </c>
      <c r="AV274" s="9" t="s">
        <v>1310</v>
      </c>
      <c r="AW274" s="9">
        <v>2.0</v>
      </c>
      <c r="AX274" s="9">
        <v>2.0</v>
      </c>
      <c r="AY274" s="9">
        <v>2.0</v>
      </c>
      <c r="AZ274" s="9">
        <v>2.0</v>
      </c>
      <c r="BA274" s="9" t="s">
        <v>429</v>
      </c>
      <c r="BB274" s="9" t="s">
        <v>429</v>
      </c>
      <c r="BE274" s="9" t="s">
        <v>392</v>
      </c>
      <c r="BF274" s="9" t="s">
        <v>393</v>
      </c>
      <c r="BG274" s="9" t="s">
        <v>678</v>
      </c>
      <c r="BI274" s="9" t="s">
        <v>435</v>
      </c>
      <c r="BK274" s="9" t="s">
        <v>511</v>
      </c>
      <c r="BL274" s="9" t="s">
        <v>603</v>
      </c>
      <c r="BM274" s="9" t="s">
        <v>1247</v>
      </c>
      <c r="ET274" s="9" t="s">
        <v>2747</v>
      </c>
      <c r="EU274" s="9" t="s">
        <v>887</v>
      </c>
      <c r="EV274" s="9" t="s">
        <v>1262</v>
      </c>
      <c r="FO274" s="9" t="s">
        <v>1537</v>
      </c>
      <c r="FP274" s="9" t="s">
        <v>418</v>
      </c>
      <c r="FQ274" s="9" t="s">
        <v>419</v>
      </c>
      <c r="FS274" s="9" t="s">
        <v>1871</v>
      </c>
      <c r="FT274" s="9" t="s">
        <v>1462</v>
      </c>
      <c r="FU274" s="9" t="s">
        <v>533</v>
      </c>
      <c r="FV274" s="9" t="s">
        <v>2399</v>
      </c>
      <c r="FW274" s="9" t="s">
        <v>1853</v>
      </c>
      <c r="FY274" s="9" t="s">
        <v>1020</v>
      </c>
      <c r="GB274" s="9" t="s">
        <v>455</v>
      </c>
      <c r="GQ274" s="9" t="s">
        <v>4653</v>
      </c>
      <c r="GV274" s="9" t="s">
        <v>5231</v>
      </c>
      <c r="GW274" s="9" t="s">
        <v>5232</v>
      </c>
      <c r="HO274" s="9" t="s">
        <v>5236</v>
      </c>
      <c r="HP274" s="9" t="s">
        <v>5264</v>
      </c>
      <c r="HQ274" s="9" t="s">
        <v>5721</v>
      </c>
      <c r="HR274" s="9" t="s">
        <v>5287</v>
      </c>
    </row>
    <row r="275" ht="24.75" customHeight="1">
      <c r="A275" s="8">
        <v>45894.746686087965</v>
      </c>
      <c r="B275" s="9" t="s">
        <v>368</v>
      </c>
      <c r="C275" s="9" t="s">
        <v>370</v>
      </c>
      <c r="D275" s="9" t="s">
        <v>370</v>
      </c>
      <c r="E275" s="9" t="s">
        <v>1421</v>
      </c>
      <c r="F275" s="9" t="s">
        <v>1421</v>
      </c>
      <c r="G275" s="9" t="s">
        <v>422</v>
      </c>
      <c r="H275" s="9" t="s">
        <v>496</v>
      </c>
      <c r="J275" s="9" t="s">
        <v>425</v>
      </c>
      <c r="K275" s="9" t="s">
        <v>376</v>
      </c>
      <c r="L275" s="9" t="s">
        <v>426</v>
      </c>
      <c r="M275" s="9" t="s">
        <v>5722</v>
      </c>
      <c r="N275" s="9" t="s">
        <v>426</v>
      </c>
      <c r="O275" s="9" t="s">
        <v>497</v>
      </c>
      <c r="P275" s="9" t="s">
        <v>498</v>
      </c>
      <c r="Q275" s="9" t="s">
        <v>382</v>
      </c>
      <c r="R275" s="9" t="s">
        <v>949</v>
      </c>
      <c r="S275" s="9" t="s">
        <v>1785</v>
      </c>
      <c r="T275" s="9" t="s">
        <v>1786</v>
      </c>
      <c r="ED275" s="9" t="s">
        <v>5723</v>
      </c>
      <c r="EE275" s="9" t="s">
        <v>5724</v>
      </c>
      <c r="EO275" s="9" t="s">
        <v>5725</v>
      </c>
      <c r="ER275" s="9" t="s">
        <v>5726</v>
      </c>
      <c r="ET275" s="9" t="s">
        <v>526</v>
      </c>
      <c r="EU275" s="9" t="s">
        <v>887</v>
      </c>
      <c r="EV275" s="9" t="s">
        <v>527</v>
      </c>
      <c r="EW275" s="9" t="s">
        <v>5727</v>
      </c>
      <c r="EX275" s="9" t="s">
        <v>5728</v>
      </c>
      <c r="EY275" s="9" t="s">
        <v>5729</v>
      </c>
      <c r="EZ275" s="9" t="s">
        <v>413</v>
      </c>
      <c r="FA275" s="9" t="s">
        <v>413</v>
      </c>
      <c r="FB275" s="9" t="s">
        <v>413</v>
      </c>
      <c r="FC275" s="9" t="s">
        <v>413</v>
      </c>
      <c r="FD275" s="9" t="s">
        <v>413</v>
      </c>
      <c r="FE275" s="9" t="s">
        <v>413</v>
      </c>
      <c r="FF275" s="9" t="s">
        <v>413</v>
      </c>
      <c r="FG275" s="9" t="s">
        <v>413</v>
      </c>
      <c r="FH275" s="9" t="s">
        <v>413</v>
      </c>
      <c r="FI275" s="9" t="s">
        <v>413</v>
      </c>
      <c r="FJ275" s="9" t="s">
        <v>413</v>
      </c>
      <c r="FK275" s="9" t="s">
        <v>413</v>
      </c>
      <c r="FL275" s="9" t="s">
        <v>415</v>
      </c>
      <c r="FM275" s="9" t="s">
        <v>413</v>
      </c>
      <c r="FN275" s="9" t="s">
        <v>413</v>
      </c>
      <c r="FO275" s="9" t="s">
        <v>417</v>
      </c>
      <c r="FP275" s="9" t="s">
        <v>418</v>
      </c>
      <c r="FQ275" s="9" t="s">
        <v>712</v>
      </c>
      <c r="FR275" s="9" t="s">
        <v>5730</v>
      </c>
      <c r="FS275" s="9" t="s">
        <v>420</v>
      </c>
      <c r="FT275" s="9" t="s">
        <v>488</v>
      </c>
      <c r="FU275" s="9" t="s">
        <v>918</v>
      </c>
      <c r="FV275" s="9" t="s">
        <v>490</v>
      </c>
      <c r="FW275" s="9" t="s">
        <v>491</v>
      </c>
      <c r="FX275" s="9" t="s">
        <v>5731</v>
      </c>
      <c r="FY275" s="9" t="s">
        <v>535</v>
      </c>
      <c r="FZ275" s="9" t="s">
        <v>5732</v>
      </c>
      <c r="GB275" s="9" t="s">
        <v>408</v>
      </c>
      <c r="GQ275" s="9" t="s">
        <v>4653</v>
      </c>
      <c r="GV275" s="9" t="s">
        <v>5231</v>
      </c>
      <c r="GW275" s="9" t="s">
        <v>5232</v>
      </c>
      <c r="HK275" s="9" t="s">
        <v>5733</v>
      </c>
      <c r="HL275" s="9" t="s">
        <v>5734</v>
      </c>
      <c r="HM275" s="9" t="s">
        <v>5735</v>
      </c>
      <c r="HN275" s="9" t="s">
        <v>5678</v>
      </c>
      <c r="HO275" s="9" t="s">
        <v>5346</v>
      </c>
      <c r="HP275" s="9" t="s">
        <v>5237</v>
      </c>
      <c r="HQ275" s="9" t="s">
        <v>5238</v>
      </c>
      <c r="HR275" s="9" t="s">
        <v>913</v>
      </c>
      <c r="JG275" s="9" t="s">
        <v>5680</v>
      </c>
      <c r="JM275" s="9" t="s">
        <v>5736</v>
      </c>
      <c r="KD275" s="9" t="s">
        <v>5689</v>
      </c>
      <c r="KQ275" s="9" t="s">
        <v>5737</v>
      </c>
      <c r="KR275" s="9" t="s">
        <v>5738</v>
      </c>
      <c r="KS275" s="9" t="s">
        <v>5739</v>
      </c>
      <c r="KT275" s="9" t="s">
        <v>5740</v>
      </c>
      <c r="KU275" s="9" t="s">
        <v>5741</v>
      </c>
      <c r="LG275" s="9" t="s">
        <v>5742</v>
      </c>
      <c r="LH275" s="9" t="s">
        <v>5743</v>
      </c>
      <c r="LI275" s="9" t="s">
        <v>5744</v>
      </c>
      <c r="LJ275" s="9" t="s">
        <v>5745</v>
      </c>
    </row>
    <row r="276" ht="24.75" customHeight="1">
      <c r="A276" s="8">
        <v>45895.19232461805</v>
      </c>
      <c r="B276" s="9" t="s">
        <v>368</v>
      </c>
      <c r="C276" s="9" t="s">
        <v>4085</v>
      </c>
      <c r="D276" s="9" t="s">
        <v>1201</v>
      </c>
      <c r="G276" s="9" t="s">
        <v>422</v>
      </c>
      <c r="H276" s="9" t="s">
        <v>373</v>
      </c>
      <c r="I276" s="9" t="s">
        <v>374</v>
      </c>
      <c r="J276" s="9" t="s">
        <v>590</v>
      </c>
      <c r="K276" s="9" t="s">
        <v>376</v>
      </c>
      <c r="L276" s="9" t="s">
        <v>379</v>
      </c>
      <c r="M276" s="9" t="s">
        <v>2464</v>
      </c>
      <c r="O276" s="9" t="s">
        <v>719</v>
      </c>
      <c r="P276" s="9" t="s">
        <v>498</v>
      </c>
      <c r="Q276" s="9" t="s">
        <v>499</v>
      </c>
      <c r="R276" s="9" t="s">
        <v>427</v>
      </c>
      <c r="S276" s="9" t="s">
        <v>384</v>
      </c>
      <c r="T276" s="9" t="s">
        <v>385</v>
      </c>
      <c r="W276" s="9" t="s">
        <v>386</v>
      </c>
      <c r="X276" s="9" t="s">
        <v>387</v>
      </c>
      <c r="Y276" s="9" t="s">
        <v>594</v>
      </c>
      <c r="Z276" s="9" t="s">
        <v>543</v>
      </c>
      <c r="AA276" s="9" t="s">
        <v>5746</v>
      </c>
      <c r="AV276" s="9" t="s">
        <v>1242</v>
      </c>
      <c r="AW276" s="9" t="s">
        <v>675</v>
      </c>
      <c r="AX276" s="9" t="s">
        <v>675</v>
      </c>
      <c r="AY276" s="9" t="s">
        <v>675</v>
      </c>
      <c r="AZ276" s="9" t="s">
        <v>675</v>
      </c>
      <c r="BA276" s="9" t="s">
        <v>675</v>
      </c>
      <c r="BB276" s="9" t="s">
        <v>675</v>
      </c>
      <c r="BC276" s="9" t="s">
        <v>5747</v>
      </c>
      <c r="BD276" s="9" t="s">
        <v>5748</v>
      </c>
      <c r="BE276" s="9" t="s">
        <v>2259</v>
      </c>
      <c r="BF276" s="9" t="s">
        <v>1245</v>
      </c>
      <c r="BG276" s="9" t="s">
        <v>394</v>
      </c>
      <c r="BH276" s="9" t="s">
        <v>5749</v>
      </c>
      <c r="BI276" s="9" t="s">
        <v>976</v>
      </c>
      <c r="BK276" s="9" t="s">
        <v>681</v>
      </c>
      <c r="BL276" s="9" t="s">
        <v>603</v>
      </c>
      <c r="BM276" s="9" t="s">
        <v>1314</v>
      </c>
      <c r="ET276" s="9" t="s">
        <v>526</v>
      </c>
      <c r="EU276" s="9" t="s">
        <v>1127</v>
      </c>
      <c r="EV276" s="9" t="s">
        <v>1262</v>
      </c>
      <c r="EX276" s="9" t="s">
        <v>5750</v>
      </c>
      <c r="EY276" s="9" t="s">
        <v>552</v>
      </c>
      <c r="EZ276" s="9" t="s">
        <v>583</v>
      </c>
      <c r="FA276" s="9" t="s">
        <v>583</v>
      </c>
      <c r="FB276" s="9" t="s">
        <v>583</v>
      </c>
      <c r="FC276" s="9" t="s">
        <v>583</v>
      </c>
      <c r="FD276" s="9" t="s">
        <v>415</v>
      </c>
      <c r="FE276" s="9" t="s">
        <v>583</v>
      </c>
      <c r="FF276" s="9" t="s">
        <v>583</v>
      </c>
      <c r="FG276" s="9" t="s">
        <v>413</v>
      </c>
      <c r="FH276" s="9" t="s">
        <v>484</v>
      </c>
      <c r="FI276" s="9" t="s">
        <v>484</v>
      </c>
      <c r="FJ276" s="9" t="s">
        <v>484</v>
      </c>
      <c r="FK276" s="9" t="s">
        <v>484</v>
      </c>
      <c r="FL276" s="9" t="s">
        <v>484</v>
      </c>
      <c r="FM276" s="9" t="s">
        <v>413</v>
      </c>
      <c r="FN276" s="9" t="s">
        <v>484</v>
      </c>
      <c r="FO276" s="9" t="s">
        <v>485</v>
      </c>
      <c r="FP276" s="9" t="s">
        <v>418</v>
      </c>
      <c r="FQ276" s="9" t="s">
        <v>419</v>
      </c>
      <c r="FR276" s="9" t="s">
        <v>5751</v>
      </c>
      <c r="FS276" s="9" t="s">
        <v>420</v>
      </c>
      <c r="FT276" s="9" t="s">
        <v>488</v>
      </c>
      <c r="FU276" s="9" t="s">
        <v>585</v>
      </c>
      <c r="FV276" s="9" t="s">
        <v>490</v>
      </c>
      <c r="FW276" s="9" t="s">
        <v>491</v>
      </c>
      <c r="FX276" s="9" t="s">
        <v>5752</v>
      </c>
      <c r="FY276" s="9" t="s">
        <v>535</v>
      </c>
      <c r="FZ276" s="9" t="s">
        <v>5753</v>
      </c>
      <c r="GB276" s="9" t="s">
        <v>455</v>
      </c>
      <c r="GC276" s="9"/>
      <c r="GE276" s="9" t="s">
        <v>944</v>
      </c>
      <c r="GF276" s="9" t="s">
        <v>455</v>
      </c>
      <c r="GN276" s="9" t="s">
        <v>4085</v>
      </c>
      <c r="GO276" s="9" t="s">
        <v>1201</v>
      </c>
      <c r="GQ276" s="9" t="s">
        <v>3208</v>
      </c>
      <c r="GV276" s="9" t="s">
        <v>5231</v>
      </c>
      <c r="GW276" s="9" t="s">
        <v>5261</v>
      </c>
      <c r="HO276" s="9" t="s">
        <v>5236</v>
      </c>
      <c r="HP276" s="9" t="s">
        <v>5264</v>
      </c>
      <c r="HQ276" s="9" t="s">
        <v>5238</v>
      </c>
      <c r="HR276" s="9" t="s">
        <v>5347</v>
      </c>
    </row>
    <row r="277" ht="24.75" customHeight="1">
      <c r="A277" s="8">
        <v>45896.146926319445</v>
      </c>
      <c r="B277" s="9" t="s">
        <v>368</v>
      </c>
      <c r="C277" s="9" t="s">
        <v>538</v>
      </c>
      <c r="D277" s="9" t="s">
        <v>538</v>
      </c>
      <c r="G277" s="9" t="s">
        <v>422</v>
      </c>
      <c r="H277" s="9" t="s">
        <v>637</v>
      </c>
      <c r="I277" s="9" t="s">
        <v>638</v>
      </c>
      <c r="J277" s="9" t="s">
        <v>1023</v>
      </c>
      <c r="K277" s="9" t="s">
        <v>376</v>
      </c>
      <c r="L277" s="9" t="s">
        <v>591</v>
      </c>
      <c r="M277" s="9" t="s">
        <v>639</v>
      </c>
      <c r="N277" s="9" t="s">
        <v>591</v>
      </c>
      <c r="O277" s="9" t="s">
        <v>671</v>
      </c>
      <c r="P277" s="9" t="s">
        <v>381</v>
      </c>
      <c r="Q277" s="9" t="s">
        <v>862</v>
      </c>
      <c r="R277" s="9" t="s">
        <v>2360</v>
      </c>
      <c r="S277" s="9" t="s">
        <v>1512</v>
      </c>
      <c r="T277" s="9" t="s">
        <v>385</v>
      </c>
      <c r="W277" s="9" t="s">
        <v>3014</v>
      </c>
      <c r="AV277" s="9" t="s">
        <v>390</v>
      </c>
      <c r="AW277" s="9">
        <v>4.0</v>
      </c>
      <c r="AX277" s="9">
        <v>2.0</v>
      </c>
      <c r="AY277" s="9">
        <v>2.0</v>
      </c>
      <c r="AZ277" s="9">
        <v>2.0</v>
      </c>
      <c r="BA277" s="9">
        <v>4.0</v>
      </c>
      <c r="BB277" s="9" t="s">
        <v>391</v>
      </c>
      <c r="BC277" s="9" t="s">
        <v>5754</v>
      </c>
      <c r="BD277" s="9" t="s">
        <v>5755</v>
      </c>
      <c r="BE277" s="9" t="s">
        <v>432</v>
      </c>
      <c r="BF277" s="9" t="s">
        <v>1047</v>
      </c>
      <c r="BG277" s="9" t="s">
        <v>678</v>
      </c>
      <c r="BI277" s="9" t="s">
        <v>509</v>
      </c>
      <c r="BK277" s="9" t="s">
        <v>437</v>
      </c>
      <c r="BL277" s="9" t="s">
        <v>603</v>
      </c>
      <c r="BM277" s="9" t="s">
        <v>439</v>
      </c>
      <c r="BN277" s="9" t="s">
        <v>513</v>
      </c>
      <c r="CL277" s="9" t="s">
        <v>550</v>
      </c>
      <c r="CM277" s="9" t="s">
        <v>401</v>
      </c>
      <c r="CN277" s="9" t="s">
        <v>5756</v>
      </c>
      <c r="CO277" s="9" t="s">
        <v>5757</v>
      </c>
      <c r="CP277" s="9" t="s">
        <v>445</v>
      </c>
      <c r="CQ277" s="9" t="s">
        <v>5758</v>
      </c>
      <c r="CR277" s="9" t="s">
        <v>804</v>
      </c>
      <c r="CS277" s="9" t="s">
        <v>687</v>
      </c>
      <c r="CT277" s="9" t="s">
        <v>5759</v>
      </c>
      <c r="CU277" s="9" t="s">
        <v>450</v>
      </c>
      <c r="CV277" s="9" t="s">
        <v>451</v>
      </c>
      <c r="CW277" s="9" t="s">
        <v>5760</v>
      </c>
      <c r="CX277" s="9" t="s">
        <v>408</v>
      </c>
      <c r="CZ277" s="9" t="s">
        <v>453</v>
      </c>
      <c r="DA277" s="9" t="s">
        <v>5761</v>
      </c>
      <c r="DB277" s="9" t="s">
        <v>455</v>
      </c>
      <c r="DC277" s="9" t="s">
        <v>5762</v>
      </c>
      <c r="DD277" s="9" t="s">
        <v>406</v>
      </c>
      <c r="DE277" s="9" t="s">
        <v>691</v>
      </c>
      <c r="DF277" s="9" t="s">
        <v>5763</v>
      </c>
      <c r="DG277" s="9" t="s">
        <v>524</v>
      </c>
      <c r="DH277" s="9" t="s">
        <v>410</v>
      </c>
      <c r="DI277" s="9" t="s">
        <v>963</v>
      </c>
      <c r="DJ277" s="9" t="s">
        <v>613</v>
      </c>
      <c r="ET277" s="9" t="s">
        <v>526</v>
      </c>
      <c r="EU277" s="9" t="s">
        <v>579</v>
      </c>
      <c r="EV277" s="9" t="s">
        <v>1262</v>
      </c>
      <c r="EW277" s="9" t="s">
        <v>5764</v>
      </c>
      <c r="EX277" s="9" t="s">
        <v>5765</v>
      </c>
      <c r="EY277" s="9" t="s">
        <v>5766</v>
      </c>
      <c r="EZ277" s="9" t="s">
        <v>413</v>
      </c>
      <c r="FA277" s="9" t="s">
        <v>413</v>
      </c>
      <c r="FB277" s="9" t="s">
        <v>413</v>
      </c>
      <c r="FC277" s="9" t="s">
        <v>413</v>
      </c>
      <c r="FD277" s="9" t="s">
        <v>413</v>
      </c>
      <c r="FE277" s="9" t="s">
        <v>414</v>
      </c>
      <c r="FF277" s="9" t="s">
        <v>583</v>
      </c>
      <c r="FG277" s="9" t="s">
        <v>583</v>
      </c>
      <c r="FH277" s="9" t="s">
        <v>415</v>
      </c>
      <c r="FI277" s="9" t="s">
        <v>415</v>
      </c>
      <c r="FJ277" s="9" t="s">
        <v>415</v>
      </c>
      <c r="FK277" s="9" t="s">
        <v>415</v>
      </c>
      <c r="FL277" s="9" t="s">
        <v>415</v>
      </c>
      <c r="FM277" s="9" t="s">
        <v>415</v>
      </c>
      <c r="FN277" s="9" t="s">
        <v>415</v>
      </c>
      <c r="FO277" s="9" t="s">
        <v>417</v>
      </c>
      <c r="FP277" s="9" t="s">
        <v>418</v>
      </c>
      <c r="FQ277" s="9" t="s">
        <v>712</v>
      </c>
      <c r="FS277" s="9" t="s">
        <v>1189</v>
      </c>
      <c r="FT277" s="9" t="s">
        <v>1462</v>
      </c>
      <c r="FU277" s="9" t="s">
        <v>585</v>
      </c>
      <c r="FV277" s="9" t="s">
        <v>490</v>
      </c>
      <c r="FW277" s="9" t="s">
        <v>491</v>
      </c>
      <c r="FY277" s="9" t="s">
        <v>493</v>
      </c>
      <c r="GB277" s="9" t="s">
        <v>408</v>
      </c>
      <c r="GG277" s="9" t="s">
        <v>755</v>
      </c>
      <c r="GH277" s="9" t="s">
        <v>755</v>
      </c>
      <c r="GI277" s="9" t="s">
        <v>946</v>
      </c>
      <c r="GN277" s="9" t="s">
        <v>5767</v>
      </c>
      <c r="GO277" s="9" t="s">
        <v>3012</v>
      </c>
      <c r="GQ277" s="9" t="s">
        <v>5656</v>
      </c>
      <c r="GT277" s="9" t="s">
        <v>4774</v>
      </c>
      <c r="GV277" s="9" t="s">
        <v>5231</v>
      </c>
      <c r="GW277" s="9" t="s">
        <v>484</v>
      </c>
      <c r="HC277" s="9" t="s">
        <v>5281</v>
      </c>
      <c r="HD277" s="9" t="s">
        <v>5349</v>
      </c>
      <c r="HE277" s="9" t="s">
        <v>5718</v>
      </c>
      <c r="HF277" s="9" t="s">
        <v>5768</v>
      </c>
      <c r="HO277" s="9" t="s">
        <v>5285</v>
      </c>
      <c r="HP277" s="9" t="s">
        <v>5264</v>
      </c>
      <c r="HQ277" s="9" t="s">
        <v>5238</v>
      </c>
      <c r="HR277" s="9" t="s">
        <v>5347</v>
      </c>
      <c r="HW277" s="9" t="s">
        <v>5769</v>
      </c>
    </row>
    <row r="278" ht="24.75" customHeight="1">
      <c r="A278" s="8">
        <v>45896.23385525463</v>
      </c>
      <c r="B278" s="9" t="s">
        <v>368</v>
      </c>
      <c r="C278" s="9" t="s">
        <v>5770</v>
      </c>
      <c r="D278" s="9" t="s">
        <v>5770</v>
      </c>
      <c r="G278" s="9" t="s">
        <v>5771</v>
      </c>
      <c r="H278" s="9" t="s">
        <v>496</v>
      </c>
      <c r="I278" s="9" t="s">
        <v>374</v>
      </c>
      <c r="J278" s="9" t="s">
        <v>375</v>
      </c>
      <c r="K278" s="9" t="s">
        <v>376</v>
      </c>
      <c r="L278" s="9" t="s">
        <v>379</v>
      </c>
      <c r="M278" s="9" t="s">
        <v>541</v>
      </c>
      <c r="N278" s="9" t="s">
        <v>379</v>
      </c>
      <c r="O278" s="9" t="s">
        <v>541</v>
      </c>
      <c r="P278" s="9" t="s">
        <v>498</v>
      </c>
      <c r="Q278" s="9" t="s">
        <v>759</v>
      </c>
      <c r="R278" s="9" t="s">
        <v>641</v>
      </c>
      <c r="S278" s="9" t="s">
        <v>384</v>
      </c>
      <c r="T278" s="9" t="s">
        <v>385</v>
      </c>
      <c r="W278" s="9" t="s">
        <v>386</v>
      </c>
      <c r="X278" s="9" t="s">
        <v>387</v>
      </c>
      <c r="Y278" s="9" t="s">
        <v>388</v>
      </c>
      <c r="Z278" s="9" t="s">
        <v>389</v>
      </c>
      <c r="AA278" s="9" t="s">
        <v>5772</v>
      </c>
      <c r="AB278" s="9" t="s">
        <v>5773</v>
      </c>
      <c r="AV278" s="9" t="s">
        <v>1242</v>
      </c>
      <c r="AW278" s="9" t="s">
        <v>675</v>
      </c>
      <c r="AX278" s="9" t="s">
        <v>675</v>
      </c>
      <c r="AY278" s="9">
        <v>4.0</v>
      </c>
      <c r="AZ278" s="9">
        <v>4.0</v>
      </c>
      <c r="BA278" s="9" t="s">
        <v>675</v>
      </c>
      <c r="BB278" s="9" t="s">
        <v>675</v>
      </c>
      <c r="BC278" s="9" t="s">
        <v>5774</v>
      </c>
      <c r="BD278" s="9" t="s">
        <v>5775</v>
      </c>
      <c r="BE278" s="9" t="s">
        <v>2379</v>
      </c>
      <c r="BF278" s="9" t="s">
        <v>1095</v>
      </c>
      <c r="BG278" s="9" t="s">
        <v>394</v>
      </c>
      <c r="BH278" s="9" t="s">
        <v>2829</v>
      </c>
      <c r="BI278" s="9" t="s">
        <v>824</v>
      </c>
      <c r="BJ278" s="9" t="s">
        <v>5776</v>
      </c>
      <c r="BK278" s="9" t="s">
        <v>681</v>
      </c>
      <c r="BL278" s="9" t="s">
        <v>603</v>
      </c>
      <c r="BM278" s="9" t="s">
        <v>1314</v>
      </c>
      <c r="ET278" s="9" t="s">
        <v>526</v>
      </c>
      <c r="EU278" s="9" t="s">
        <v>887</v>
      </c>
      <c r="EV278" s="9" t="s">
        <v>527</v>
      </c>
      <c r="EW278" s="9" t="s">
        <v>5777</v>
      </c>
      <c r="EX278" s="9" t="s">
        <v>5778</v>
      </c>
      <c r="EY278" s="9" t="s">
        <v>5779</v>
      </c>
      <c r="EZ278" s="9" t="s">
        <v>583</v>
      </c>
      <c r="FA278" s="9" t="s">
        <v>583</v>
      </c>
      <c r="FB278" s="9" t="s">
        <v>583</v>
      </c>
      <c r="FC278" s="9" t="s">
        <v>583</v>
      </c>
      <c r="FD278" s="9" t="s">
        <v>583</v>
      </c>
      <c r="FE278" s="9" t="s">
        <v>583</v>
      </c>
      <c r="FF278" s="9" t="s">
        <v>415</v>
      </c>
      <c r="FG278" s="9" t="s">
        <v>415</v>
      </c>
      <c r="FH278" s="9" t="s">
        <v>415</v>
      </c>
      <c r="FI278" s="9" t="s">
        <v>416</v>
      </c>
      <c r="FJ278" s="9" t="s">
        <v>414</v>
      </c>
      <c r="FK278" s="9" t="s">
        <v>414</v>
      </c>
      <c r="FL278" s="9" t="s">
        <v>414</v>
      </c>
      <c r="FM278" s="9" t="s">
        <v>484</v>
      </c>
      <c r="FN278" s="9" t="s">
        <v>484</v>
      </c>
      <c r="FO278" s="9" t="s">
        <v>417</v>
      </c>
      <c r="FP278" s="9" t="s">
        <v>418</v>
      </c>
      <c r="FQ278" s="9" t="s">
        <v>712</v>
      </c>
      <c r="FR278" s="9" t="s">
        <v>5780</v>
      </c>
      <c r="FS278" s="9" t="s">
        <v>1076</v>
      </c>
      <c r="FT278" s="9" t="s">
        <v>488</v>
      </c>
      <c r="FU278" s="9" t="s">
        <v>533</v>
      </c>
      <c r="FV278" s="9" t="s">
        <v>490</v>
      </c>
      <c r="FW278" s="9" t="s">
        <v>491</v>
      </c>
      <c r="FX278" s="9" t="s">
        <v>5781</v>
      </c>
      <c r="FY278" s="9" t="s">
        <v>535</v>
      </c>
      <c r="FZ278" s="9" t="s">
        <v>5782</v>
      </c>
      <c r="GA278" s="9" t="s">
        <v>408</v>
      </c>
      <c r="GB278" s="9" t="s">
        <v>455</v>
      </c>
      <c r="GC278" s="9"/>
      <c r="GD278" s="9"/>
      <c r="GE278" s="9" t="s">
        <v>753</v>
      </c>
      <c r="GF278" s="9" t="s">
        <v>5783</v>
      </c>
      <c r="GN278" s="9" t="s">
        <v>5784</v>
      </c>
      <c r="GO278" s="9" t="s">
        <v>5784</v>
      </c>
      <c r="GQ278" s="9" t="s">
        <v>3208</v>
      </c>
      <c r="GV278" s="9" t="s">
        <v>5231</v>
      </c>
      <c r="GW278" s="9" t="s">
        <v>5232</v>
      </c>
      <c r="HO278" s="9" t="s">
        <v>5346</v>
      </c>
      <c r="HP278" s="9" t="s">
        <v>5237</v>
      </c>
      <c r="HQ278" s="9" t="s">
        <v>5238</v>
      </c>
      <c r="HR278" s="9" t="s">
        <v>5287</v>
      </c>
    </row>
    <row r="279" ht="24.75" customHeight="1">
      <c r="A279" s="8">
        <v>45896.65199521991</v>
      </c>
      <c r="B279" s="9" t="s">
        <v>368</v>
      </c>
      <c r="C279" s="9" t="s">
        <v>538</v>
      </c>
      <c r="D279" s="9" t="s">
        <v>538</v>
      </c>
      <c r="G279" s="9" t="s">
        <v>422</v>
      </c>
      <c r="H279" s="9" t="s">
        <v>539</v>
      </c>
      <c r="I279" s="9" t="s">
        <v>2578</v>
      </c>
      <c r="J279" s="9" t="s">
        <v>375</v>
      </c>
      <c r="K279" s="9" t="s">
        <v>376</v>
      </c>
      <c r="L279" s="9" t="s">
        <v>379</v>
      </c>
      <c r="M279" s="9" t="s">
        <v>2464</v>
      </c>
      <c r="N279" s="9" t="s">
        <v>591</v>
      </c>
      <c r="O279" s="9" t="s">
        <v>2464</v>
      </c>
      <c r="P279" s="9" t="s">
        <v>381</v>
      </c>
      <c r="Q279" s="9" t="s">
        <v>862</v>
      </c>
      <c r="R279" s="9" t="s">
        <v>949</v>
      </c>
      <c r="S279" s="9" t="s">
        <v>384</v>
      </c>
      <c r="T279" s="9" t="s">
        <v>385</v>
      </c>
      <c r="W279" s="9" t="s">
        <v>3014</v>
      </c>
      <c r="AV279" s="9" t="s">
        <v>390</v>
      </c>
      <c r="AW279" s="9" t="s">
        <v>391</v>
      </c>
      <c r="AX279" s="9">
        <v>2.0</v>
      </c>
      <c r="AY279" s="9">
        <v>2.0</v>
      </c>
      <c r="AZ279" s="9" t="s">
        <v>429</v>
      </c>
      <c r="BA279" s="9" t="s">
        <v>429</v>
      </c>
      <c r="BB279" s="9" t="s">
        <v>429</v>
      </c>
      <c r="BC279" s="9" t="s">
        <v>5785</v>
      </c>
      <c r="BD279" s="9" t="s">
        <v>5786</v>
      </c>
      <c r="BE279" s="9" t="s">
        <v>902</v>
      </c>
      <c r="BF279" s="9" t="s">
        <v>433</v>
      </c>
      <c r="BG279" s="9" t="s">
        <v>725</v>
      </c>
      <c r="BH279" s="9" t="s">
        <v>5787</v>
      </c>
      <c r="BI279" s="9" t="s">
        <v>509</v>
      </c>
      <c r="BJ279" s="9" t="s">
        <v>5788</v>
      </c>
      <c r="BK279" s="9" t="s">
        <v>511</v>
      </c>
      <c r="BL279" s="9" t="s">
        <v>438</v>
      </c>
      <c r="BM279" s="9" t="s">
        <v>549</v>
      </c>
      <c r="BN279" s="9" t="s">
        <v>513</v>
      </c>
      <c r="CL279" s="9" t="s">
        <v>550</v>
      </c>
      <c r="CM279" s="9" t="s">
        <v>401</v>
      </c>
      <c r="CN279" s="9" t="s">
        <v>5789</v>
      </c>
      <c r="CO279" s="9" t="s">
        <v>5790</v>
      </c>
      <c r="CP279" s="9" t="s">
        <v>445</v>
      </c>
      <c r="CQ279" s="9" t="s">
        <v>5791</v>
      </c>
      <c r="CR279" s="9" t="s">
        <v>804</v>
      </c>
      <c r="CS279" s="9" t="s">
        <v>4145</v>
      </c>
      <c r="CT279" s="9" t="s">
        <v>5792</v>
      </c>
      <c r="CU279" s="9" t="s">
        <v>1852</v>
      </c>
      <c r="CV279" s="9" t="s">
        <v>451</v>
      </c>
      <c r="CW279" s="9" t="s">
        <v>5793</v>
      </c>
      <c r="CX279" s="9" t="s">
        <v>408</v>
      </c>
      <c r="CZ279" s="9" t="s">
        <v>985</v>
      </c>
      <c r="DA279" s="9" t="s">
        <v>5794</v>
      </c>
      <c r="DB279" s="9" t="s">
        <v>455</v>
      </c>
      <c r="DC279" s="9" t="s">
        <v>5795</v>
      </c>
      <c r="DD279" s="9" t="s">
        <v>406</v>
      </c>
      <c r="DE279" s="9" t="s">
        <v>1867</v>
      </c>
      <c r="DG279" s="9" t="s">
        <v>561</v>
      </c>
      <c r="DH279" s="9" t="s">
        <v>833</v>
      </c>
      <c r="DI279" s="9" t="s">
        <v>459</v>
      </c>
      <c r="DJ279" s="9" t="s">
        <v>613</v>
      </c>
      <c r="ET279" s="9" t="s">
        <v>578</v>
      </c>
      <c r="EU279" s="9" t="s">
        <v>579</v>
      </c>
      <c r="EV279" s="9" t="s">
        <v>527</v>
      </c>
      <c r="EX279" s="9" t="s">
        <v>5796</v>
      </c>
      <c r="EY279" s="9" t="s">
        <v>5797</v>
      </c>
      <c r="EZ279" s="9" t="s">
        <v>583</v>
      </c>
      <c r="FA279" s="9" t="s">
        <v>583</v>
      </c>
      <c r="FB279" s="9" t="s">
        <v>416</v>
      </c>
      <c r="FC279" s="9" t="s">
        <v>414</v>
      </c>
      <c r="FD279" s="9" t="s">
        <v>413</v>
      </c>
      <c r="FE279" s="9" t="s">
        <v>484</v>
      </c>
      <c r="FF279" s="9" t="s">
        <v>583</v>
      </c>
      <c r="FG279" s="9" t="s">
        <v>583</v>
      </c>
      <c r="FH279" s="9" t="s">
        <v>583</v>
      </c>
      <c r="FI279" s="9" t="s">
        <v>583</v>
      </c>
      <c r="FJ279" s="9" t="s">
        <v>414</v>
      </c>
      <c r="FK279" s="9" t="s">
        <v>415</v>
      </c>
      <c r="FL279" s="9" t="s">
        <v>415</v>
      </c>
      <c r="FM279" s="9" t="s">
        <v>415</v>
      </c>
      <c r="FN279" s="9" t="s">
        <v>415</v>
      </c>
      <c r="FO279" s="9" t="s">
        <v>1074</v>
      </c>
      <c r="FP279" s="9" t="s">
        <v>418</v>
      </c>
      <c r="FQ279" s="9" t="s">
        <v>749</v>
      </c>
      <c r="FS279" s="9" t="s">
        <v>1871</v>
      </c>
      <c r="FT279" s="9" t="s">
        <v>1462</v>
      </c>
      <c r="FU279" s="9" t="s">
        <v>489</v>
      </c>
      <c r="FV279" s="9" t="s">
        <v>2387</v>
      </c>
      <c r="FW279" s="9" t="s">
        <v>491</v>
      </c>
      <c r="FX279" s="9" t="s">
        <v>5798</v>
      </c>
      <c r="FY279" s="9" t="s">
        <v>493</v>
      </c>
      <c r="GB279" s="9" t="s">
        <v>455</v>
      </c>
      <c r="GC279" s="9"/>
      <c r="GE279" s="9" t="s">
        <v>753</v>
      </c>
      <c r="GG279" s="9" t="s">
        <v>755</v>
      </c>
      <c r="GH279" s="9" t="s">
        <v>1000</v>
      </c>
      <c r="GI279" s="9" t="s">
        <v>817</v>
      </c>
      <c r="GN279" s="9" t="s">
        <v>3012</v>
      </c>
      <c r="GO279" s="9" t="s">
        <v>5799</v>
      </c>
      <c r="GQ279" s="9" t="s">
        <v>3208</v>
      </c>
      <c r="GT279" s="9" t="s">
        <v>4741</v>
      </c>
      <c r="GU279" s="9" t="s">
        <v>5800</v>
      </c>
      <c r="GV279" s="9" t="s">
        <v>5231</v>
      </c>
      <c r="GW279" s="9" t="s">
        <v>484</v>
      </c>
      <c r="HC279" s="9" t="s">
        <v>484</v>
      </c>
      <c r="HD279" s="9" t="s">
        <v>5349</v>
      </c>
      <c r="HE279" s="9" t="s">
        <v>5718</v>
      </c>
      <c r="HF279" s="9" t="s">
        <v>5300</v>
      </c>
      <c r="HO279" s="9" t="s">
        <v>5236</v>
      </c>
      <c r="HP279" s="9" t="s">
        <v>5719</v>
      </c>
      <c r="HQ279" s="9" t="s">
        <v>5801</v>
      </c>
      <c r="HR279" s="9" t="s">
        <v>913</v>
      </c>
      <c r="HW279" s="9" t="s">
        <v>5802</v>
      </c>
    </row>
    <row r="280" ht="24.75" customHeight="1">
      <c r="A280" s="8">
        <v>45897.22162399306</v>
      </c>
      <c r="B280" s="9" t="s">
        <v>368</v>
      </c>
      <c r="C280" s="9" t="s">
        <v>370</v>
      </c>
      <c r="D280" s="9" t="s">
        <v>370</v>
      </c>
      <c r="E280" s="9" t="s">
        <v>4905</v>
      </c>
      <c r="F280" s="9" t="s">
        <v>667</v>
      </c>
      <c r="G280" s="9" t="s">
        <v>422</v>
      </c>
      <c r="H280" s="9" t="s">
        <v>373</v>
      </c>
      <c r="I280" s="9" t="s">
        <v>374</v>
      </c>
      <c r="J280" s="9" t="s">
        <v>718</v>
      </c>
      <c r="K280" s="9" t="s">
        <v>376</v>
      </c>
      <c r="L280" s="9" t="s">
        <v>793</v>
      </c>
      <c r="M280" s="9" t="s">
        <v>639</v>
      </c>
      <c r="N280" s="9" t="s">
        <v>426</v>
      </c>
      <c r="O280" s="9" t="s">
        <v>380</v>
      </c>
      <c r="P280" s="9" t="s">
        <v>498</v>
      </c>
      <c r="Q280" s="9" t="s">
        <v>862</v>
      </c>
      <c r="R280" s="9" t="s">
        <v>500</v>
      </c>
      <c r="S280" s="9" t="s">
        <v>384</v>
      </c>
      <c r="T280" s="9" t="s">
        <v>385</v>
      </c>
      <c r="W280" s="9" t="s">
        <v>386</v>
      </c>
      <c r="X280" s="9" t="s">
        <v>387</v>
      </c>
      <c r="Y280" s="9" t="s">
        <v>388</v>
      </c>
      <c r="Z280" s="9" t="s">
        <v>543</v>
      </c>
      <c r="AA280" s="9" t="s">
        <v>408</v>
      </c>
      <c r="AV280" s="9" t="s">
        <v>1242</v>
      </c>
      <c r="AW280" s="9" t="s">
        <v>675</v>
      </c>
      <c r="AX280" s="9" t="s">
        <v>675</v>
      </c>
      <c r="AY280" s="9" t="s">
        <v>675</v>
      </c>
      <c r="AZ280" s="9" t="s">
        <v>675</v>
      </c>
      <c r="BA280" s="9" t="s">
        <v>675</v>
      </c>
      <c r="BB280" s="9" t="s">
        <v>675</v>
      </c>
      <c r="BC280" s="9" t="s">
        <v>5803</v>
      </c>
      <c r="BD280" s="9" t="s">
        <v>5804</v>
      </c>
      <c r="BE280" s="9" t="s">
        <v>3114</v>
      </c>
      <c r="BF280" s="9" t="s">
        <v>1095</v>
      </c>
      <c r="BG280" s="9" t="s">
        <v>434</v>
      </c>
      <c r="BH280" s="9" t="s">
        <v>5805</v>
      </c>
      <c r="BI280" s="9" t="s">
        <v>976</v>
      </c>
      <c r="BK280" s="9" t="s">
        <v>681</v>
      </c>
      <c r="BL280" s="9" t="s">
        <v>603</v>
      </c>
      <c r="BM280" s="9" t="s">
        <v>1247</v>
      </c>
      <c r="ET280" s="9" t="s">
        <v>478</v>
      </c>
      <c r="EU280" s="9" t="s">
        <v>887</v>
      </c>
      <c r="EV280" s="9" t="s">
        <v>663</v>
      </c>
      <c r="EW280" s="9" t="s">
        <v>5806</v>
      </c>
      <c r="EX280" s="9" t="s">
        <v>5807</v>
      </c>
      <c r="EY280" s="9" t="s">
        <v>5808</v>
      </c>
      <c r="EZ280" s="9" t="s">
        <v>583</v>
      </c>
      <c r="FA280" s="9" t="s">
        <v>583</v>
      </c>
      <c r="FB280" s="9" t="s">
        <v>416</v>
      </c>
      <c r="FC280" s="9" t="s">
        <v>414</v>
      </c>
      <c r="FD280" s="9" t="s">
        <v>416</v>
      </c>
      <c r="FE280" s="9" t="s">
        <v>484</v>
      </c>
      <c r="FF280" s="9" t="s">
        <v>583</v>
      </c>
      <c r="FG280" s="9" t="s">
        <v>413</v>
      </c>
      <c r="FH280" s="9" t="s">
        <v>484</v>
      </c>
      <c r="FI280" s="9" t="s">
        <v>583</v>
      </c>
      <c r="FJ280" s="9" t="s">
        <v>583</v>
      </c>
      <c r="FK280" s="9" t="s">
        <v>416</v>
      </c>
      <c r="FL280" s="9" t="s">
        <v>583</v>
      </c>
      <c r="FM280" s="9" t="s">
        <v>413</v>
      </c>
      <c r="FN280" s="9" t="s">
        <v>484</v>
      </c>
      <c r="FO280" s="9" t="s">
        <v>850</v>
      </c>
      <c r="FP280" s="9" t="s">
        <v>418</v>
      </c>
      <c r="FQ280" s="9" t="s">
        <v>1039</v>
      </c>
      <c r="FR280" s="9" t="s">
        <v>5809</v>
      </c>
      <c r="FS280" s="9" t="s">
        <v>420</v>
      </c>
      <c r="FT280" s="9" t="s">
        <v>488</v>
      </c>
      <c r="FU280" s="9" t="s">
        <v>533</v>
      </c>
      <c r="FV280" s="9" t="s">
        <v>490</v>
      </c>
      <c r="FW280" s="9" t="s">
        <v>491</v>
      </c>
      <c r="FX280" s="9" t="s">
        <v>5810</v>
      </c>
      <c r="FY280" s="9" t="s">
        <v>1854</v>
      </c>
      <c r="FZ280" s="9" t="s">
        <v>5811</v>
      </c>
      <c r="GB280" s="9" t="s">
        <v>408</v>
      </c>
      <c r="GQ280" s="9" t="s">
        <v>3208</v>
      </c>
      <c r="GV280" s="9" t="s">
        <v>5231</v>
      </c>
      <c r="GW280" s="9" t="s">
        <v>5232</v>
      </c>
      <c r="HO280" s="9" t="s">
        <v>5236</v>
      </c>
      <c r="HP280" s="9" t="s">
        <v>5237</v>
      </c>
      <c r="HQ280" s="9" t="s">
        <v>5801</v>
      </c>
      <c r="HR280" s="9" t="s">
        <v>5321</v>
      </c>
    </row>
    <row r="281" ht="24.75" customHeight="1">
      <c r="A281" s="8">
        <v>45897.57309873843</v>
      </c>
      <c r="B281" s="9" t="s">
        <v>368</v>
      </c>
      <c r="C281" s="9" t="s">
        <v>370</v>
      </c>
      <c r="D281" s="9" t="s">
        <v>370</v>
      </c>
      <c r="E281" s="9" t="s">
        <v>371</v>
      </c>
      <c r="F281" s="9" t="s">
        <v>371</v>
      </c>
      <c r="G281" s="9" t="s">
        <v>422</v>
      </c>
      <c r="H281" s="9" t="s">
        <v>496</v>
      </c>
      <c r="I281" s="9" t="s">
        <v>374</v>
      </c>
      <c r="J281" s="9" t="s">
        <v>425</v>
      </c>
      <c r="K281" s="9" t="s">
        <v>376</v>
      </c>
      <c r="L281" s="9" t="s">
        <v>426</v>
      </c>
      <c r="M281" s="9" t="s">
        <v>378</v>
      </c>
      <c r="N281" s="9" t="s">
        <v>379</v>
      </c>
      <c r="O281" s="9" t="s">
        <v>497</v>
      </c>
      <c r="P281" s="9" t="s">
        <v>498</v>
      </c>
      <c r="Q281" s="9" t="s">
        <v>818</v>
      </c>
      <c r="R281" s="9" t="s">
        <v>427</v>
      </c>
      <c r="S281" s="9" t="s">
        <v>384</v>
      </c>
      <c r="T281" s="9" t="s">
        <v>385</v>
      </c>
      <c r="W281" s="9" t="s">
        <v>593</v>
      </c>
      <c r="X281" s="9" t="s">
        <v>387</v>
      </c>
      <c r="Y281" s="9" t="s">
        <v>2115</v>
      </c>
      <c r="Z281" s="9" t="s">
        <v>543</v>
      </c>
      <c r="AV281" s="9" t="s">
        <v>1242</v>
      </c>
      <c r="AW281" s="9" t="s">
        <v>675</v>
      </c>
      <c r="AX281" s="9" t="s">
        <v>675</v>
      </c>
      <c r="AY281" s="9" t="s">
        <v>391</v>
      </c>
      <c r="AZ281" s="9" t="s">
        <v>391</v>
      </c>
      <c r="BA281" s="9" t="s">
        <v>429</v>
      </c>
      <c r="BB281" s="9" t="s">
        <v>391</v>
      </c>
      <c r="BC281" s="9" t="s">
        <v>5812</v>
      </c>
      <c r="BD281" s="9" t="s">
        <v>5813</v>
      </c>
      <c r="BE281" s="9" t="s">
        <v>432</v>
      </c>
      <c r="BF281" s="9" t="s">
        <v>1245</v>
      </c>
      <c r="BG281" s="9" t="s">
        <v>434</v>
      </c>
      <c r="BH281" s="9" t="s">
        <v>5814</v>
      </c>
      <c r="BI281" s="9" t="s">
        <v>976</v>
      </c>
      <c r="BK281" s="9" t="s">
        <v>511</v>
      </c>
      <c r="BL281" s="9" t="s">
        <v>904</v>
      </c>
      <c r="BM281" s="9" t="s">
        <v>1247</v>
      </c>
      <c r="ET281" s="9" t="s">
        <v>526</v>
      </c>
      <c r="EU281" s="9" t="s">
        <v>1127</v>
      </c>
      <c r="EV281" s="9" t="s">
        <v>580</v>
      </c>
      <c r="EX281" s="9" t="s">
        <v>5815</v>
      </c>
      <c r="EY281" s="9" t="s">
        <v>1380</v>
      </c>
      <c r="EZ281" s="9" t="s">
        <v>414</v>
      </c>
      <c r="FA281" s="9" t="s">
        <v>414</v>
      </c>
      <c r="FB281" s="9" t="s">
        <v>413</v>
      </c>
      <c r="FC281" s="9" t="s">
        <v>415</v>
      </c>
      <c r="FD281" s="9" t="s">
        <v>416</v>
      </c>
      <c r="FE281" s="9" t="s">
        <v>583</v>
      </c>
      <c r="FF281" s="9" t="s">
        <v>583</v>
      </c>
      <c r="FG281" s="9" t="s">
        <v>413</v>
      </c>
      <c r="FH281" s="9" t="s">
        <v>415</v>
      </c>
      <c r="FI281" s="9" t="s">
        <v>415</v>
      </c>
      <c r="FJ281" s="9" t="s">
        <v>583</v>
      </c>
      <c r="FK281" s="9" t="s">
        <v>415</v>
      </c>
      <c r="FL281" s="9" t="s">
        <v>415</v>
      </c>
      <c r="FM281" s="9" t="s">
        <v>415</v>
      </c>
      <c r="FN281" s="9" t="s">
        <v>415</v>
      </c>
      <c r="FO281" s="9" t="s">
        <v>1074</v>
      </c>
      <c r="FP281" s="9" t="s">
        <v>486</v>
      </c>
      <c r="FQ281" s="9" t="s">
        <v>630</v>
      </c>
      <c r="FR281" s="9" t="s">
        <v>5816</v>
      </c>
      <c r="FS281" s="9" t="s">
        <v>1076</v>
      </c>
      <c r="FT281" s="9" t="s">
        <v>421</v>
      </c>
      <c r="FU281" s="9" t="s">
        <v>918</v>
      </c>
      <c r="FV281" s="9" t="s">
        <v>490</v>
      </c>
      <c r="FW281" s="9" t="s">
        <v>491</v>
      </c>
      <c r="FX281" s="9" t="s">
        <v>5817</v>
      </c>
      <c r="FY281" s="9" t="s">
        <v>1337</v>
      </c>
      <c r="GB281" s="9" t="s">
        <v>408</v>
      </c>
      <c r="GQ281" s="9" t="s">
        <v>5656</v>
      </c>
      <c r="GV281" s="9" t="s">
        <v>5231</v>
      </c>
      <c r="GW281" s="9" t="s">
        <v>5818</v>
      </c>
      <c r="HO281" s="9" t="s">
        <v>5236</v>
      </c>
      <c r="HP281" s="9" t="s">
        <v>5302</v>
      </c>
      <c r="HQ281" s="9" t="s">
        <v>5238</v>
      </c>
      <c r="HR281" s="9" t="s">
        <v>5239</v>
      </c>
    </row>
    <row r="282" ht="24.75" customHeight="1">
      <c r="A282" s="8">
        <v>45897.77317857639</v>
      </c>
      <c r="B282" s="9" t="s">
        <v>368</v>
      </c>
      <c r="C282" s="9" t="s">
        <v>1201</v>
      </c>
      <c r="D282" s="9" t="s">
        <v>1201</v>
      </c>
      <c r="G282" s="9" t="s">
        <v>422</v>
      </c>
      <c r="H282" s="9" t="s">
        <v>637</v>
      </c>
      <c r="I282" s="9" t="s">
        <v>638</v>
      </c>
      <c r="J282" s="9" t="s">
        <v>1204</v>
      </c>
      <c r="K282" s="9" t="s">
        <v>376</v>
      </c>
      <c r="L282" s="9" t="s">
        <v>377</v>
      </c>
      <c r="M282" s="9" t="s">
        <v>378</v>
      </c>
      <c r="N282" s="9" t="s">
        <v>1526</v>
      </c>
      <c r="O282" s="9" t="s">
        <v>1024</v>
      </c>
      <c r="P282" s="9" t="s">
        <v>1760</v>
      </c>
      <c r="Q282" s="9" t="s">
        <v>818</v>
      </c>
      <c r="R282" s="9" t="s">
        <v>1594</v>
      </c>
      <c r="S282" s="9" t="s">
        <v>1705</v>
      </c>
      <c r="T282" s="9" t="s">
        <v>385</v>
      </c>
      <c r="W282" s="9" t="s">
        <v>3231</v>
      </c>
      <c r="AV282" s="9" t="s">
        <v>1310</v>
      </c>
      <c r="AW282" s="9">
        <v>4.0</v>
      </c>
      <c r="AX282" s="9" t="s">
        <v>391</v>
      </c>
      <c r="AY282" s="9" t="s">
        <v>391</v>
      </c>
      <c r="AZ282" s="9" t="s">
        <v>675</v>
      </c>
      <c r="BA282" s="9">
        <v>4.0</v>
      </c>
      <c r="BB282" s="9">
        <v>4.0</v>
      </c>
      <c r="BE282" s="9" t="s">
        <v>392</v>
      </c>
      <c r="BF282" s="9" t="s">
        <v>1095</v>
      </c>
      <c r="BG282" s="9" t="s">
        <v>725</v>
      </c>
      <c r="BI282" s="9" t="s">
        <v>824</v>
      </c>
      <c r="BK282" s="9" t="s">
        <v>395</v>
      </c>
      <c r="BL282" s="9" t="s">
        <v>396</v>
      </c>
      <c r="BM282" s="9" t="s">
        <v>1276</v>
      </c>
      <c r="ET282" s="9" t="s">
        <v>478</v>
      </c>
      <c r="EU282" s="9" t="s">
        <v>579</v>
      </c>
      <c r="EV282" s="9" t="s">
        <v>480</v>
      </c>
      <c r="EX282" s="9" t="s">
        <v>5819</v>
      </c>
      <c r="EY282" s="9" t="s">
        <v>5820</v>
      </c>
      <c r="EZ282" s="9" t="s">
        <v>416</v>
      </c>
      <c r="FA282" s="9" t="s">
        <v>415</v>
      </c>
      <c r="FB282" s="9" t="s">
        <v>413</v>
      </c>
      <c r="FC282" s="9" t="s">
        <v>413</v>
      </c>
      <c r="FD282" s="9" t="s">
        <v>416</v>
      </c>
      <c r="FE282" s="9" t="s">
        <v>416</v>
      </c>
      <c r="FF282" s="9" t="s">
        <v>415</v>
      </c>
      <c r="FG282" s="9" t="s">
        <v>413</v>
      </c>
      <c r="FH282" s="9" t="s">
        <v>414</v>
      </c>
      <c r="FI282" s="9" t="s">
        <v>413</v>
      </c>
      <c r="FJ282" s="9" t="s">
        <v>416</v>
      </c>
      <c r="FK282" s="9" t="s">
        <v>415</v>
      </c>
      <c r="FL282" s="9" t="s">
        <v>415</v>
      </c>
      <c r="FM282" s="9" t="s">
        <v>415</v>
      </c>
      <c r="FN282" s="9" t="s">
        <v>583</v>
      </c>
      <c r="FO282" s="9" t="s">
        <v>485</v>
      </c>
      <c r="FP282" s="9" t="s">
        <v>486</v>
      </c>
      <c r="FQ282" s="9" t="s">
        <v>749</v>
      </c>
      <c r="FR282" s="9" t="s">
        <v>5821</v>
      </c>
      <c r="FS282" s="9" t="s">
        <v>420</v>
      </c>
      <c r="FT282" s="9" t="s">
        <v>1462</v>
      </c>
      <c r="FU282" s="9" t="s">
        <v>585</v>
      </c>
      <c r="FV282" s="9" t="s">
        <v>490</v>
      </c>
      <c r="FW282" s="9" t="s">
        <v>491</v>
      </c>
      <c r="FX282" s="9" t="s">
        <v>5822</v>
      </c>
      <c r="FY282" s="9" t="s">
        <v>535</v>
      </c>
      <c r="FZ282" s="9" t="s">
        <v>5823</v>
      </c>
      <c r="GB282" s="9" t="s">
        <v>455</v>
      </c>
      <c r="GC282" s="9"/>
      <c r="GE282" s="9" t="s">
        <v>855</v>
      </c>
      <c r="GN282" s="9" t="s">
        <v>5824</v>
      </c>
      <c r="GO282" s="9" t="s">
        <v>5824</v>
      </c>
      <c r="GP282" s="9" t="s">
        <v>642</v>
      </c>
      <c r="GQ282" s="9" t="s">
        <v>3208</v>
      </c>
      <c r="GV282" s="9" t="s">
        <v>5231</v>
      </c>
      <c r="GW282" s="9" t="s">
        <v>484</v>
      </c>
      <c r="HO282" s="9" t="s">
        <v>5383</v>
      </c>
      <c r="HP282" s="9" t="s">
        <v>5719</v>
      </c>
      <c r="HQ282" s="9" t="s">
        <v>5238</v>
      </c>
      <c r="HR282" s="9" t="s">
        <v>5825</v>
      </c>
    </row>
    <row r="283" ht="24.75" customHeight="1">
      <c r="A283" s="8">
        <v>45897.92551584491</v>
      </c>
      <c r="B283" s="9" t="s">
        <v>368</v>
      </c>
      <c r="C283" s="9" t="s">
        <v>538</v>
      </c>
      <c r="D283" s="9" t="s">
        <v>538</v>
      </c>
      <c r="G283" s="9" t="s">
        <v>422</v>
      </c>
      <c r="H283" s="9" t="s">
        <v>496</v>
      </c>
      <c r="I283" s="9" t="s">
        <v>374</v>
      </c>
      <c r="J283" s="9" t="s">
        <v>375</v>
      </c>
      <c r="K283" s="9" t="s">
        <v>376</v>
      </c>
      <c r="L283" s="9" t="s">
        <v>591</v>
      </c>
      <c r="M283" s="9" t="s">
        <v>639</v>
      </c>
      <c r="N283" s="9" t="s">
        <v>591</v>
      </c>
      <c r="P283" s="9" t="s">
        <v>498</v>
      </c>
      <c r="Q283" s="9" t="s">
        <v>862</v>
      </c>
      <c r="R283" s="9" t="s">
        <v>949</v>
      </c>
      <c r="S283" s="9" t="s">
        <v>384</v>
      </c>
      <c r="T283" s="9" t="s">
        <v>385</v>
      </c>
      <c r="W283" s="9" t="s">
        <v>386</v>
      </c>
      <c r="X283" s="9" t="s">
        <v>387</v>
      </c>
      <c r="Y283" s="9" t="s">
        <v>388</v>
      </c>
      <c r="Z283" s="9" t="s">
        <v>543</v>
      </c>
      <c r="AV283" s="9" t="s">
        <v>1310</v>
      </c>
      <c r="AW283" s="9" t="s">
        <v>675</v>
      </c>
      <c r="AX283" s="9">
        <v>4.0</v>
      </c>
      <c r="AY283" s="9">
        <v>4.0</v>
      </c>
      <c r="AZ283" s="9" t="s">
        <v>675</v>
      </c>
      <c r="BA283" s="9" t="s">
        <v>675</v>
      </c>
      <c r="BB283" s="9">
        <v>4.0</v>
      </c>
      <c r="BE283" s="9" t="s">
        <v>2379</v>
      </c>
      <c r="BF283" s="9" t="s">
        <v>1095</v>
      </c>
      <c r="BG283" s="9" t="s">
        <v>434</v>
      </c>
      <c r="BI283" s="9" t="s">
        <v>509</v>
      </c>
      <c r="BK283" s="9" t="s">
        <v>437</v>
      </c>
      <c r="BL283" s="9" t="s">
        <v>438</v>
      </c>
      <c r="BM283" s="9" t="s">
        <v>1247</v>
      </c>
      <c r="ET283" s="9" t="s">
        <v>526</v>
      </c>
      <c r="EU283" s="9" t="s">
        <v>579</v>
      </c>
      <c r="EV283" s="9" t="s">
        <v>527</v>
      </c>
      <c r="EZ283" s="9" t="s">
        <v>415</v>
      </c>
      <c r="FA283" s="9" t="s">
        <v>415</v>
      </c>
      <c r="FB283" s="9" t="s">
        <v>413</v>
      </c>
      <c r="FC283" s="9" t="s">
        <v>415</v>
      </c>
      <c r="FD283" s="9" t="s">
        <v>413</v>
      </c>
      <c r="FE283" s="9" t="s">
        <v>415</v>
      </c>
      <c r="FF283" s="9" t="s">
        <v>415</v>
      </c>
      <c r="FG283" s="9" t="s">
        <v>415</v>
      </c>
      <c r="FH283" s="9" t="s">
        <v>415</v>
      </c>
      <c r="FI283" s="9" t="s">
        <v>415</v>
      </c>
      <c r="FJ283" s="9" t="s">
        <v>416</v>
      </c>
      <c r="FK283" s="9" t="s">
        <v>415</v>
      </c>
      <c r="FL283" s="9" t="s">
        <v>415</v>
      </c>
      <c r="FM283" s="9" t="s">
        <v>415</v>
      </c>
      <c r="FN283" s="9" t="s">
        <v>415</v>
      </c>
      <c r="FP283" s="9" t="s">
        <v>418</v>
      </c>
      <c r="FQ283" s="9" t="s">
        <v>749</v>
      </c>
      <c r="FS283" s="9" t="s">
        <v>420</v>
      </c>
      <c r="FT283" s="9" t="s">
        <v>1462</v>
      </c>
      <c r="FU283" s="9" t="s">
        <v>1235</v>
      </c>
      <c r="FV283" s="9" t="s">
        <v>490</v>
      </c>
      <c r="FW283" s="9" t="s">
        <v>491</v>
      </c>
      <c r="FY283" s="9" t="s">
        <v>1337</v>
      </c>
      <c r="GB283" s="11"/>
      <c r="GN283" s="9" t="s">
        <v>5826</v>
      </c>
      <c r="GO283" s="9" t="s">
        <v>5826</v>
      </c>
      <c r="GV283" s="9" t="s">
        <v>5231</v>
      </c>
      <c r="GW283" s="9" t="s">
        <v>484</v>
      </c>
      <c r="HO283" s="9" t="s">
        <v>5285</v>
      </c>
      <c r="HP283" s="9" t="s">
        <v>5237</v>
      </c>
      <c r="HQ283" s="9" t="s">
        <v>5238</v>
      </c>
      <c r="HR283" s="9" t="s">
        <v>5239</v>
      </c>
    </row>
    <row r="284" ht="24.75" customHeight="1">
      <c r="A284" s="8">
        <v>45898.4903021875</v>
      </c>
      <c r="B284" s="9" t="s">
        <v>368</v>
      </c>
      <c r="C284" s="9" t="s">
        <v>370</v>
      </c>
      <c r="D284" s="9" t="s">
        <v>370</v>
      </c>
      <c r="E284" s="9" t="s">
        <v>667</v>
      </c>
      <c r="F284" s="9" t="s">
        <v>1592</v>
      </c>
      <c r="G284" s="9" t="s">
        <v>422</v>
      </c>
      <c r="H284" s="9" t="s">
        <v>496</v>
      </c>
      <c r="I284" s="9" t="s">
        <v>374</v>
      </c>
      <c r="J284" s="9" t="s">
        <v>590</v>
      </c>
      <c r="K284" s="9" t="s">
        <v>376</v>
      </c>
      <c r="L284" s="9" t="s">
        <v>426</v>
      </c>
      <c r="M284" s="9" t="s">
        <v>378</v>
      </c>
      <c r="N284" s="9" t="s">
        <v>379</v>
      </c>
      <c r="O284" s="9" t="s">
        <v>497</v>
      </c>
      <c r="P284" s="9" t="s">
        <v>381</v>
      </c>
      <c r="Q284" s="9" t="s">
        <v>499</v>
      </c>
      <c r="R284" s="9" t="s">
        <v>427</v>
      </c>
      <c r="S284" s="9" t="s">
        <v>384</v>
      </c>
      <c r="T284" s="9" t="s">
        <v>385</v>
      </c>
      <c r="W284" s="9" t="s">
        <v>593</v>
      </c>
      <c r="X284" s="9" t="s">
        <v>387</v>
      </c>
      <c r="Y284" s="9" t="s">
        <v>2026</v>
      </c>
      <c r="Z284" s="9" t="s">
        <v>543</v>
      </c>
      <c r="AA284" s="9" t="s">
        <v>5827</v>
      </c>
      <c r="AV284" s="9" t="s">
        <v>390</v>
      </c>
      <c r="AW284" s="9" t="s">
        <v>391</v>
      </c>
      <c r="AX284" s="9" t="s">
        <v>391</v>
      </c>
      <c r="AY284" s="9">
        <v>4.0</v>
      </c>
      <c r="AZ284" s="9">
        <v>4.0</v>
      </c>
      <c r="BA284" s="9" t="s">
        <v>391</v>
      </c>
      <c r="BB284" s="9" t="s">
        <v>391</v>
      </c>
      <c r="BE284" s="9" t="s">
        <v>1094</v>
      </c>
      <c r="BF284" s="9" t="s">
        <v>1095</v>
      </c>
      <c r="BG284" s="9" t="s">
        <v>765</v>
      </c>
      <c r="BH284" s="9" t="s">
        <v>5828</v>
      </c>
      <c r="BI284" s="9" t="s">
        <v>727</v>
      </c>
      <c r="BK284" s="9" t="s">
        <v>681</v>
      </c>
      <c r="BL284" s="9" t="s">
        <v>438</v>
      </c>
      <c r="BM284" s="9" t="s">
        <v>397</v>
      </c>
      <c r="ET284" s="9" t="s">
        <v>526</v>
      </c>
      <c r="EU284" s="9" t="s">
        <v>479</v>
      </c>
      <c r="EV284" s="9" t="s">
        <v>527</v>
      </c>
      <c r="EW284" s="9" t="s">
        <v>5829</v>
      </c>
      <c r="EX284" s="9" t="s">
        <v>5830</v>
      </c>
      <c r="EY284" s="9" t="s">
        <v>5831</v>
      </c>
      <c r="EZ284" s="9" t="s">
        <v>583</v>
      </c>
      <c r="FA284" s="9" t="s">
        <v>583</v>
      </c>
      <c r="FB284" s="9" t="s">
        <v>583</v>
      </c>
      <c r="FC284" s="9" t="s">
        <v>583</v>
      </c>
      <c r="FD284" s="9" t="s">
        <v>415</v>
      </c>
      <c r="FE284" s="9" t="s">
        <v>583</v>
      </c>
      <c r="FF284" s="9" t="s">
        <v>583</v>
      </c>
      <c r="FG284" s="9" t="s">
        <v>583</v>
      </c>
      <c r="FH284" s="9" t="s">
        <v>414</v>
      </c>
      <c r="FI284" s="9" t="s">
        <v>583</v>
      </c>
      <c r="FJ284" s="9" t="s">
        <v>583</v>
      </c>
      <c r="FK284" s="9" t="s">
        <v>414</v>
      </c>
      <c r="FL284" s="9" t="s">
        <v>414</v>
      </c>
      <c r="FM284" s="9" t="s">
        <v>416</v>
      </c>
      <c r="FN284" s="9" t="s">
        <v>414</v>
      </c>
      <c r="FO284" s="9" t="s">
        <v>850</v>
      </c>
      <c r="FP284" s="9" t="s">
        <v>418</v>
      </c>
      <c r="FQ284" s="9" t="s">
        <v>419</v>
      </c>
      <c r="FR284" s="9" t="s">
        <v>5832</v>
      </c>
      <c r="FS284" s="9" t="s">
        <v>1871</v>
      </c>
      <c r="FT284" s="9" t="s">
        <v>1462</v>
      </c>
      <c r="FU284" s="9" t="s">
        <v>533</v>
      </c>
      <c r="FV284" s="9" t="s">
        <v>1101</v>
      </c>
      <c r="FW284" s="9" t="s">
        <v>491</v>
      </c>
      <c r="FX284" s="9" t="s">
        <v>5833</v>
      </c>
      <c r="FY284" s="9" t="s">
        <v>493</v>
      </c>
      <c r="FZ284" s="9" t="s">
        <v>5834</v>
      </c>
      <c r="GB284" s="9" t="s">
        <v>455</v>
      </c>
      <c r="GC284" s="9"/>
      <c r="GE284" s="9" t="s">
        <v>753</v>
      </c>
      <c r="GF284" s="9" t="s">
        <v>5835</v>
      </c>
      <c r="GQ284" s="9" t="s">
        <v>3208</v>
      </c>
      <c r="GV284" s="9" t="s">
        <v>5231</v>
      </c>
      <c r="GW284" s="9" t="s">
        <v>484</v>
      </c>
      <c r="HO284" s="9" t="s">
        <v>5236</v>
      </c>
      <c r="HP284" s="9" t="s">
        <v>5302</v>
      </c>
      <c r="HQ284" s="9" t="s">
        <v>5238</v>
      </c>
      <c r="HR284" s="9" t="s">
        <v>5836</v>
      </c>
    </row>
    <row r="285" ht="24.75" customHeight="1">
      <c r="A285" s="8">
        <v>45898.58556331019</v>
      </c>
      <c r="B285" s="9" t="s">
        <v>368</v>
      </c>
      <c r="C285" s="9" t="s">
        <v>370</v>
      </c>
      <c r="D285" s="9" t="s">
        <v>370</v>
      </c>
      <c r="E285" s="9" t="s">
        <v>1421</v>
      </c>
      <c r="F285" s="9" t="s">
        <v>1421</v>
      </c>
      <c r="G285" s="9" t="s">
        <v>422</v>
      </c>
      <c r="H285" s="9" t="s">
        <v>539</v>
      </c>
      <c r="I285" s="9" t="s">
        <v>2578</v>
      </c>
      <c r="J285" s="9" t="s">
        <v>425</v>
      </c>
      <c r="K285" s="9" t="s">
        <v>376</v>
      </c>
      <c r="L285" s="9" t="s">
        <v>591</v>
      </c>
      <c r="M285" s="9" t="s">
        <v>5837</v>
      </c>
      <c r="N285" s="9" t="s">
        <v>793</v>
      </c>
      <c r="O285" s="9" t="s">
        <v>5838</v>
      </c>
      <c r="P285" s="9" t="s">
        <v>381</v>
      </c>
      <c r="Q285" s="9" t="s">
        <v>862</v>
      </c>
      <c r="R285" s="9" t="s">
        <v>500</v>
      </c>
      <c r="S285" s="9" t="s">
        <v>384</v>
      </c>
      <c r="T285" s="9" t="s">
        <v>385</v>
      </c>
      <c r="W285" s="9" t="s">
        <v>3014</v>
      </c>
      <c r="AV285" s="9" t="s">
        <v>1310</v>
      </c>
      <c r="AW285" s="9" t="s">
        <v>675</v>
      </c>
      <c r="AX285" s="9" t="s">
        <v>675</v>
      </c>
      <c r="AY285" s="9" t="s">
        <v>675</v>
      </c>
      <c r="AZ285" s="9">
        <v>4.0</v>
      </c>
      <c r="BA285" s="9">
        <v>4.0</v>
      </c>
      <c r="BB285" s="9" t="s">
        <v>675</v>
      </c>
      <c r="BC285" s="9" t="s">
        <v>5839</v>
      </c>
      <c r="BD285" s="9" t="s">
        <v>5840</v>
      </c>
      <c r="BE285" s="9" t="s">
        <v>3114</v>
      </c>
      <c r="BF285" s="9" t="s">
        <v>1095</v>
      </c>
      <c r="BH285" s="9" t="s">
        <v>5841</v>
      </c>
      <c r="BI285" s="9" t="s">
        <v>509</v>
      </c>
      <c r="BJ285" s="9" t="s">
        <v>5842</v>
      </c>
      <c r="BK285" s="9" t="s">
        <v>602</v>
      </c>
      <c r="BL285" s="9" t="s">
        <v>512</v>
      </c>
      <c r="BM285" s="9" t="s">
        <v>1247</v>
      </c>
      <c r="BN285" s="9" t="s">
        <v>398</v>
      </c>
      <c r="BO285" s="9" t="s">
        <v>5843</v>
      </c>
      <c r="BP285" s="9" t="s">
        <v>5844</v>
      </c>
      <c r="BQ285" s="9" t="s">
        <v>442</v>
      </c>
      <c r="BR285" s="9" t="s">
        <v>5845</v>
      </c>
      <c r="BS285" s="9" t="s">
        <v>1741</v>
      </c>
      <c r="BT285" s="9" t="s">
        <v>4368</v>
      </c>
      <c r="BU285" s="9" t="s">
        <v>405</v>
      </c>
      <c r="BV285" s="9" t="s">
        <v>1211</v>
      </c>
      <c r="BW285" s="9" t="s">
        <v>457</v>
      </c>
      <c r="BY285" s="9" t="s">
        <v>408</v>
      </c>
      <c r="CA285" s="9" t="s">
        <v>5846</v>
      </c>
      <c r="CB285" s="9" t="s">
        <v>5847</v>
      </c>
      <c r="CC285" s="9" t="s">
        <v>5848</v>
      </c>
      <c r="CD285" s="9" t="s">
        <v>1257</v>
      </c>
      <c r="CE285" s="9" t="s">
        <v>5849</v>
      </c>
      <c r="CF285" s="9" t="s">
        <v>1722</v>
      </c>
      <c r="CG285" s="9" t="s">
        <v>5850</v>
      </c>
      <c r="CH285" s="9" t="s">
        <v>1259</v>
      </c>
      <c r="CI285" s="9" t="s">
        <v>410</v>
      </c>
      <c r="CJ285" s="9" t="s">
        <v>5851</v>
      </c>
      <c r="CK285" s="9" t="s">
        <v>5852</v>
      </c>
      <c r="DI285" s="9" t="s">
        <v>459</v>
      </c>
      <c r="DJ285" s="9" t="s">
        <v>562</v>
      </c>
      <c r="DK285" s="9" t="s">
        <v>525</v>
      </c>
      <c r="ET285" s="9" t="s">
        <v>578</v>
      </c>
      <c r="EU285" s="9" t="s">
        <v>479</v>
      </c>
      <c r="EV285" s="9" t="s">
        <v>480</v>
      </c>
      <c r="EW285" s="9" t="s">
        <v>5853</v>
      </c>
      <c r="EX285" s="9" t="s">
        <v>5854</v>
      </c>
      <c r="EY285" s="9" t="s">
        <v>5855</v>
      </c>
      <c r="EZ285" s="9" t="s">
        <v>414</v>
      </c>
      <c r="FA285" s="9" t="s">
        <v>414</v>
      </c>
      <c r="FB285" s="9" t="s">
        <v>416</v>
      </c>
      <c r="FC285" s="9" t="s">
        <v>414</v>
      </c>
      <c r="FD285" s="9" t="s">
        <v>413</v>
      </c>
      <c r="FE285" s="9" t="s">
        <v>414</v>
      </c>
      <c r="FF285" s="9" t="s">
        <v>415</v>
      </c>
      <c r="FG285" s="9" t="s">
        <v>416</v>
      </c>
      <c r="FH285" s="9" t="s">
        <v>414</v>
      </c>
      <c r="FI285" s="9" t="s">
        <v>414</v>
      </c>
      <c r="FJ285" s="9" t="s">
        <v>414</v>
      </c>
      <c r="FK285" s="9" t="s">
        <v>416</v>
      </c>
      <c r="FL285" s="9" t="s">
        <v>583</v>
      </c>
      <c r="FM285" s="9" t="s">
        <v>416</v>
      </c>
      <c r="FN285" s="9" t="s">
        <v>583</v>
      </c>
      <c r="FO285" s="9" t="s">
        <v>485</v>
      </c>
      <c r="FP285" s="9" t="s">
        <v>418</v>
      </c>
      <c r="FQ285" s="9" t="s">
        <v>419</v>
      </c>
      <c r="FR285" s="9" t="s">
        <v>5856</v>
      </c>
      <c r="FS285" s="9" t="s">
        <v>1076</v>
      </c>
      <c r="FT285" s="9" t="s">
        <v>488</v>
      </c>
      <c r="FU285" s="9" t="s">
        <v>533</v>
      </c>
      <c r="FV285" s="9" t="s">
        <v>490</v>
      </c>
      <c r="FW285" s="9" t="s">
        <v>491</v>
      </c>
      <c r="FX285" s="9" t="s">
        <v>5857</v>
      </c>
      <c r="FY285" s="9" t="s">
        <v>535</v>
      </c>
      <c r="FZ285" s="9" t="s">
        <v>5858</v>
      </c>
      <c r="GA285" s="9" t="s">
        <v>5859</v>
      </c>
      <c r="GB285" s="9" t="s">
        <v>455</v>
      </c>
      <c r="GC285" s="9" t="s">
        <v>5860</v>
      </c>
      <c r="GE285" s="9" t="s">
        <v>786</v>
      </c>
      <c r="GF285" s="9" t="s">
        <v>5861</v>
      </c>
      <c r="GJ285" s="9" t="s">
        <v>755</v>
      </c>
      <c r="GK285" s="9" t="s">
        <v>755</v>
      </c>
      <c r="GL285" s="9" t="s">
        <v>946</v>
      </c>
      <c r="GQ285" s="9" t="s">
        <v>3306</v>
      </c>
      <c r="GR285" s="9" t="s">
        <v>4936</v>
      </c>
      <c r="GS285" s="9" t="s">
        <v>5862</v>
      </c>
      <c r="GV285" s="9" t="s">
        <v>5231</v>
      </c>
      <c r="GW285" s="9" t="s">
        <v>5232</v>
      </c>
      <c r="GX285" s="9" t="s">
        <v>5281</v>
      </c>
      <c r="GY285" s="9" t="s">
        <v>5863</v>
      </c>
      <c r="GZ285" s="9" t="s">
        <v>5234</v>
      </c>
      <c r="HA285" s="9" t="s">
        <v>5864</v>
      </c>
      <c r="HB285" s="9" t="s">
        <v>5865</v>
      </c>
      <c r="HO285" s="9" t="s">
        <v>5346</v>
      </c>
      <c r="HP285" s="9" t="s">
        <v>5264</v>
      </c>
      <c r="HQ285" s="9" t="s">
        <v>5238</v>
      </c>
      <c r="HR285" s="9" t="s">
        <v>5321</v>
      </c>
    </row>
    <row r="286" ht="24.75" customHeight="1">
      <c r="A286" s="8">
        <v>45899.51747539351</v>
      </c>
      <c r="B286" s="9" t="s">
        <v>368</v>
      </c>
      <c r="C286" s="9" t="s">
        <v>370</v>
      </c>
      <c r="D286" s="9" t="s">
        <v>370</v>
      </c>
      <c r="E286" s="9" t="s">
        <v>5866</v>
      </c>
      <c r="F286" s="9" t="s">
        <v>371</v>
      </c>
      <c r="G286" s="9" t="s">
        <v>1269</v>
      </c>
      <c r="H286" s="9" t="s">
        <v>423</v>
      </c>
      <c r="I286" s="9" t="s">
        <v>668</v>
      </c>
      <c r="J286" s="9" t="s">
        <v>375</v>
      </c>
      <c r="K286" s="9" t="s">
        <v>376</v>
      </c>
      <c r="L286" s="9" t="s">
        <v>377</v>
      </c>
      <c r="M286" s="9" t="s">
        <v>3845</v>
      </c>
      <c r="N286" s="9" t="s">
        <v>426</v>
      </c>
      <c r="O286" s="9" t="s">
        <v>5867</v>
      </c>
      <c r="P286" s="9" t="s">
        <v>381</v>
      </c>
      <c r="Q286" s="9" t="s">
        <v>1004</v>
      </c>
      <c r="R286" s="9" t="s">
        <v>500</v>
      </c>
      <c r="S286" s="9" t="s">
        <v>384</v>
      </c>
      <c r="T286" s="9" t="s">
        <v>385</v>
      </c>
      <c r="W286" s="9" t="s">
        <v>386</v>
      </c>
      <c r="X286" s="9" t="s">
        <v>387</v>
      </c>
      <c r="Y286" s="9" t="s">
        <v>388</v>
      </c>
      <c r="Z286" s="9" t="s">
        <v>389</v>
      </c>
      <c r="AA286" s="9" t="s">
        <v>5868</v>
      </c>
      <c r="AB286" s="9" t="s">
        <v>5869</v>
      </c>
      <c r="AV286" s="9" t="s">
        <v>1242</v>
      </c>
      <c r="AW286" s="9" t="s">
        <v>675</v>
      </c>
      <c r="AX286" s="9" t="s">
        <v>675</v>
      </c>
      <c r="AY286" s="9" t="s">
        <v>675</v>
      </c>
      <c r="AZ286" s="9" t="s">
        <v>675</v>
      </c>
      <c r="BA286" s="9" t="s">
        <v>675</v>
      </c>
      <c r="BB286" s="9" t="s">
        <v>675</v>
      </c>
      <c r="BC286" s="9" t="s">
        <v>5870</v>
      </c>
      <c r="BD286" s="9" t="s">
        <v>5871</v>
      </c>
      <c r="BE286" s="9" t="s">
        <v>432</v>
      </c>
      <c r="BF286" s="9" t="s">
        <v>1245</v>
      </c>
      <c r="BG286" s="9" t="s">
        <v>434</v>
      </c>
      <c r="BH286" s="9" t="s">
        <v>5872</v>
      </c>
      <c r="BI286" s="9" t="s">
        <v>435</v>
      </c>
      <c r="BJ286" s="9" t="s">
        <v>5873</v>
      </c>
      <c r="BK286" s="9" t="s">
        <v>511</v>
      </c>
      <c r="BL286" s="9" t="s">
        <v>438</v>
      </c>
      <c r="BM286" s="9" t="s">
        <v>1314</v>
      </c>
      <c r="BN286" s="9" t="s">
        <v>440</v>
      </c>
      <c r="CL286" s="9" t="s">
        <v>441</v>
      </c>
      <c r="CM286" s="9" t="s">
        <v>682</v>
      </c>
      <c r="CN286" s="9" t="s">
        <v>5874</v>
      </c>
      <c r="CO286" s="9" t="s">
        <v>5875</v>
      </c>
      <c r="CP286" s="9" t="s">
        <v>685</v>
      </c>
      <c r="CQ286" s="9" t="s">
        <v>5876</v>
      </c>
      <c r="CR286" s="9" t="s">
        <v>404</v>
      </c>
      <c r="CS286" s="9" t="s">
        <v>1137</v>
      </c>
      <c r="CT286" s="9" t="s">
        <v>5877</v>
      </c>
      <c r="CU286" s="9" t="s">
        <v>982</v>
      </c>
      <c r="CV286" s="9" t="s">
        <v>451</v>
      </c>
      <c r="CW286" s="9" t="s">
        <v>5878</v>
      </c>
      <c r="CX286" s="9" t="s">
        <v>408</v>
      </c>
      <c r="CZ286" s="9" t="s">
        <v>1398</v>
      </c>
      <c r="DA286" s="9" t="s">
        <v>5879</v>
      </c>
      <c r="DB286" s="9" t="s">
        <v>455</v>
      </c>
      <c r="DC286" s="9" t="s">
        <v>5880</v>
      </c>
      <c r="DD286" s="9" t="s">
        <v>457</v>
      </c>
      <c r="DE286" s="9" t="s">
        <v>691</v>
      </c>
      <c r="DF286" s="9" t="s">
        <v>5881</v>
      </c>
      <c r="DG286" s="9" t="s">
        <v>561</v>
      </c>
      <c r="DH286" s="9" t="s">
        <v>833</v>
      </c>
      <c r="DI286" s="9" t="s">
        <v>963</v>
      </c>
      <c r="DJ286" s="9" t="s">
        <v>1403</v>
      </c>
      <c r="DK286" s="9" t="s">
        <v>525</v>
      </c>
      <c r="DM286" s="9" t="s">
        <v>5882</v>
      </c>
      <c r="DN286" s="9" t="s">
        <v>5883</v>
      </c>
      <c r="DO286" s="9" t="s">
        <v>3496</v>
      </c>
      <c r="DP286" s="9" t="s">
        <v>5884</v>
      </c>
      <c r="DQ286" s="9" t="s">
        <v>1324</v>
      </c>
      <c r="DR286" s="9" t="s">
        <v>5885</v>
      </c>
      <c r="DS286" s="9" t="s">
        <v>618</v>
      </c>
      <c r="DT286" s="9" t="s">
        <v>1580</v>
      </c>
      <c r="DU286" s="9" t="s">
        <v>5886</v>
      </c>
      <c r="DV286" s="9" t="s">
        <v>5887</v>
      </c>
      <c r="DW286" s="9" t="s">
        <v>1328</v>
      </c>
      <c r="DX286" s="9" t="s">
        <v>5888</v>
      </c>
      <c r="DY286" s="9" t="s">
        <v>5889</v>
      </c>
      <c r="DZ286" s="9" t="s">
        <v>5890</v>
      </c>
      <c r="EA286" s="9" t="s">
        <v>475</v>
      </c>
      <c r="EB286" s="9" t="s">
        <v>626</v>
      </c>
      <c r="EC286" s="9" t="s">
        <v>5891</v>
      </c>
      <c r="ET286" s="9" t="s">
        <v>526</v>
      </c>
      <c r="EU286" s="9" t="s">
        <v>579</v>
      </c>
      <c r="EV286" s="9" t="s">
        <v>778</v>
      </c>
      <c r="EW286" s="9" t="s">
        <v>5892</v>
      </c>
      <c r="EX286" s="9" t="s">
        <v>5893</v>
      </c>
      <c r="EY286" s="9" t="s">
        <v>5894</v>
      </c>
      <c r="EZ286" s="9" t="s">
        <v>413</v>
      </c>
      <c r="FA286" s="9" t="s">
        <v>413</v>
      </c>
      <c r="FB286" s="9" t="s">
        <v>413</v>
      </c>
      <c r="FC286" s="9" t="s">
        <v>413</v>
      </c>
      <c r="FD286" s="9" t="s">
        <v>413</v>
      </c>
      <c r="FE286" s="9" t="s">
        <v>413</v>
      </c>
      <c r="FF286" s="9" t="s">
        <v>413</v>
      </c>
      <c r="FG286" s="9" t="s">
        <v>413</v>
      </c>
      <c r="FH286" s="9" t="s">
        <v>413</v>
      </c>
      <c r="FI286" s="9" t="s">
        <v>413</v>
      </c>
      <c r="FJ286" s="9" t="s">
        <v>413</v>
      </c>
      <c r="FK286" s="9" t="s">
        <v>413</v>
      </c>
      <c r="FL286" s="9" t="s">
        <v>413</v>
      </c>
      <c r="FM286" s="9" t="s">
        <v>413</v>
      </c>
      <c r="FN286" s="9" t="s">
        <v>583</v>
      </c>
      <c r="FO286" s="9" t="s">
        <v>485</v>
      </c>
      <c r="FP286" s="9" t="s">
        <v>418</v>
      </c>
      <c r="FQ286" s="9" t="s">
        <v>531</v>
      </c>
      <c r="FR286" s="9" t="s">
        <v>5895</v>
      </c>
      <c r="FS286" s="9" t="s">
        <v>420</v>
      </c>
      <c r="FT286" s="9" t="s">
        <v>1462</v>
      </c>
      <c r="FU286" s="9" t="s">
        <v>585</v>
      </c>
      <c r="FV286" s="9" t="s">
        <v>490</v>
      </c>
      <c r="FW286" s="9" t="s">
        <v>491</v>
      </c>
      <c r="FX286" s="9" t="s">
        <v>5896</v>
      </c>
      <c r="FY286" s="9" t="s">
        <v>535</v>
      </c>
      <c r="FZ286" s="9" t="s">
        <v>5897</v>
      </c>
      <c r="GB286" s="9" t="s">
        <v>455</v>
      </c>
      <c r="GC286" s="9"/>
      <c r="GE286" s="9" t="s">
        <v>944</v>
      </c>
      <c r="GF286" s="9" t="s">
        <v>5898</v>
      </c>
      <c r="GG286" s="9" t="s">
        <v>755</v>
      </c>
      <c r="GH286" s="9" t="s">
        <v>755</v>
      </c>
      <c r="GI286" s="9" t="s">
        <v>946</v>
      </c>
      <c r="GM286" s="9" t="s">
        <v>1079</v>
      </c>
      <c r="GQ286" s="9" t="s">
        <v>3208</v>
      </c>
      <c r="GT286" s="9" t="s">
        <v>4774</v>
      </c>
      <c r="GV286" s="9" t="s">
        <v>5231</v>
      </c>
      <c r="GW286" s="9" t="s">
        <v>5232</v>
      </c>
      <c r="HC286" s="9" t="s">
        <v>5281</v>
      </c>
      <c r="HD286" s="9" t="s">
        <v>484</v>
      </c>
      <c r="HE286" s="9" t="s">
        <v>5718</v>
      </c>
      <c r="HF286" s="9" t="s">
        <v>5899</v>
      </c>
      <c r="HG286" s="9" t="s">
        <v>5900</v>
      </c>
      <c r="HH286" s="9" t="s">
        <v>5495</v>
      </c>
      <c r="HI286" s="9" t="s">
        <v>5901</v>
      </c>
      <c r="HJ286" s="9" t="s">
        <v>5902</v>
      </c>
      <c r="HO286" s="9" t="s">
        <v>5346</v>
      </c>
      <c r="HP286" s="9" t="s">
        <v>5237</v>
      </c>
      <c r="HQ286" s="9" t="s">
        <v>5238</v>
      </c>
      <c r="HR286" s="9" t="s">
        <v>5321</v>
      </c>
      <c r="HW286" s="9" t="s">
        <v>5903</v>
      </c>
      <c r="IN286" s="9" t="s">
        <v>5500</v>
      </c>
      <c r="IO286" s="9" t="s">
        <v>5500</v>
      </c>
      <c r="IP286" s="9" t="s">
        <v>5500</v>
      </c>
      <c r="IQ286" s="9" t="s">
        <v>5500</v>
      </c>
      <c r="IR286" s="9" t="s">
        <v>5500</v>
      </c>
      <c r="IS286" s="9" t="s">
        <v>5500</v>
      </c>
    </row>
    <row r="287" ht="24.75" customHeight="1">
      <c r="A287" s="8">
        <v>45900.64462908565</v>
      </c>
      <c r="B287" s="9" t="s">
        <v>368</v>
      </c>
      <c r="C287" s="9" t="s">
        <v>1341</v>
      </c>
      <c r="D287" s="9" t="s">
        <v>1341</v>
      </c>
      <c r="G287" s="9" t="s">
        <v>422</v>
      </c>
      <c r="H287" s="9" t="s">
        <v>1921</v>
      </c>
      <c r="I287" s="9" t="s">
        <v>668</v>
      </c>
      <c r="J287" s="9" t="s">
        <v>375</v>
      </c>
      <c r="K287" s="9" t="s">
        <v>376</v>
      </c>
      <c r="L287" s="9" t="s">
        <v>377</v>
      </c>
      <c r="M287" s="9" t="s">
        <v>497</v>
      </c>
      <c r="N287" s="9" t="s">
        <v>377</v>
      </c>
      <c r="O287" s="9" t="s">
        <v>497</v>
      </c>
      <c r="P287" s="9" t="s">
        <v>381</v>
      </c>
      <c r="Q287" s="9" t="s">
        <v>499</v>
      </c>
      <c r="R287" s="9" t="s">
        <v>427</v>
      </c>
      <c r="S287" s="9" t="s">
        <v>384</v>
      </c>
      <c r="T287" s="9" t="s">
        <v>385</v>
      </c>
      <c r="W287" s="9" t="s">
        <v>386</v>
      </c>
      <c r="X287" s="9" t="s">
        <v>387</v>
      </c>
      <c r="Y287" s="9" t="s">
        <v>388</v>
      </c>
      <c r="Z287" s="9" t="s">
        <v>543</v>
      </c>
      <c r="AA287" s="9" t="s">
        <v>5904</v>
      </c>
      <c r="AB287" s="9" t="s">
        <v>5905</v>
      </c>
      <c r="AV287" s="9" t="s">
        <v>1242</v>
      </c>
      <c r="AW287" s="9" t="s">
        <v>675</v>
      </c>
      <c r="AX287" s="9">
        <v>4.0</v>
      </c>
      <c r="AY287" s="9">
        <v>4.0</v>
      </c>
      <c r="AZ287" s="9">
        <v>4.0</v>
      </c>
      <c r="BA287" s="9">
        <v>2.0</v>
      </c>
      <c r="BB287" s="9" t="s">
        <v>675</v>
      </c>
      <c r="BC287" s="9" t="s">
        <v>5906</v>
      </c>
      <c r="BD287" s="9" t="s">
        <v>5907</v>
      </c>
      <c r="BE287" s="9" t="s">
        <v>2259</v>
      </c>
      <c r="BF287" s="9" t="s">
        <v>1047</v>
      </c>
      <c r="BG287" s="9" t="s">
        <v>434</v>
      </c>
      <c r="BI287" s="9" t="s">
        <v>976</v>
      </c>
      <c r="BK287" s="9" t="s">
        <v>395</v>
      </c>
      <c r="BL287" s="9" t="s">
        <v>904</v>
      </c>
      <c r="BM287" s="9" t="s">
        <v>1314</v>
      </c>
      <c r="BN287" s="9" t="s">
        <v>513</v>
      </c>
      <c r="CL287" s="9" t="s">
        <v>682</v>
      </c>
      <c r="CM287" s="9" t="s">
        <v>604</v>
      </c>
      <c r="CN287" s="9" t="s">
        <v>5908</v>
      </c>
      <c r="CO287" s="9" t="s">
        <v>5909</v>
      </c>
      <c r="CT287" s="9" t="s">
        <v>5910</v>
      </c>
      <c r="CU287" s="9" t="s">
        <v>1852</v>
      </c>
      <c r="CV287" s="9" t="s">
        <v>959</v>
      </c>
      <c r="CW287" s="9" t="s">
        <v>5911</v>
      </c>
      <c r="CX287" s="9" t="s">
        <v>408</v>
      </c>
      <c r="CZ287" s="9" t="s">
        <v>1962</v>
      </c>
      <c r="DB287" s="9" t="s">
        <v>408</v>
      </c>
      <c r="DG287" s="9" t="s">
        <v>990</v>
      </c>
      <c r="DH287" s="9" t="s">
        <v>833</v>
      </c>
      <c r="DI287" s="9" t="s">
        <v>963</v>
      </c>
      <c r="DJ287" s="9" t="s">
        <v>562</v>
      </c>
      <c r="DK287" s="9" t="s">
        <v>563</v>
      </c>
      <c r="DL287" s="9" t="s">
        <v>5912</v>
      </c>
      <c r="ET287" s="9" t="s">
        <v>578</v>
      </c>
      <c r="EU287" s="9" t="s">
        <v>579</v>
      </c>
      <c r="EV287" s="9" t="s">
        <v>527</v>
      </c>
      <c r="EW287" s="9" t="s">
        <v>5913</v>
      </c>
      <c r="EX287" s="9" t="s">
        <v>5914</v>
      </c>
      <c r="EY287" s="9" t="s">
        <v>5915</v>
      </c>
      <c r="EZ287" s="9" t="s">
        <v>414</v>
      </c>
      <c r="FA287" s="9" t="s">
        <v>583</v>
      </c>
      <c r="FB287" s="9" t="s">
        <v>415</v>
      </c>
      <c r="FC287" s="9" t="s">
        <v>583</v>
      </c>
      <c r="FD287" s="9" t="s">
        <v>414</v>
      </c>
      <c r="FE287" s="9" t="s">
        <v>583</v>
      </c>
      <c r="FF287" s="9" t="s">
        <v>583</v>
      </c>
      <c r="FG287" s="9" t="s">
        <v>583</v>
      </c>
      <c r="FH287" s="9" t="s">
        <v>416</v>
      </c>
      <c r="FI287" s="9" t="s">
        <v>413</v>
      </c>
      <c r="FJ287" s="9" t="s">
        <v>415</v>
      </c>
      <c r="FK287" s="9" t="s">
        <v>583</v>
      </c>
      <c r="FL287" s="9" t="s">
        <v>583</v>
      </c>
      <c r="FM287" s="9" t="s">
        <v>414</v>
      </c>
      <c r="FN287" s="9" t="s">
        <v>413</v>
      </c>
      <c r="FO287" s="9" t="s">
        <v>1074</v>
      </c>
      <c r="FP287" s="9" t="s">
        <v>3218</v>
      </c>
      <c r="FQ287" s="9" t="s">
        <v>749</v>
      </c>
      <c r="FR287" s="9" t="s">
        <v>2270</v>
      </c>
      <c r="FS287" s="9" t="s">
        <v>1871</v>
      </c>
      <c r="FT287" s="9" t="s">
        <v>2398</v>
      </c>
      <c r="FU287" s="9" t="s">
        <v>1235</v>
      </c>
      <c r="FV287" s="9" t="s">
        <v>2399</v>
      </c>
      <c r="FW287" s="9" t="s">
        <v>1853</v>
      </c>
      <c r="FY287" s="9" t="s">
        <v>1854</v>
      </c>
      <c r="GB287" s="9" t="s">
        <v>408</v>
      </c>
      <c r="GG287" s="9" t="s">
        <v>755</v>
      </c>
      <c r="GH287" s="9" t="s">
        <v>755</v>
      </c>
      <c r="GI287" s="9" t="s">
        <v>946</v>
      </c>
      <c r="GN287" s="9" t="s">
        <v>3220</v>
      </c>
      <c r="GO287" s="9" t="s">
        <v>3220</v>
      </c>
      <c r="GQ287" s="9" t="s">
        <v>3208</v>
      </c>
      <c r="GT287" s="9" t="s">
        <v>4774</v>
      </c>
      <c r="GV287" s="9" t="s">
        <v>5260</v>
      </c>
      <c r="GW287" s="9" t="s">
        <v>5261</v>
      </c>
      <c r="HO287" s="9" t="s">
        <v>5383</v>
      </c>
      <c r="HP287" s="9" t="s">
        <v>5719</v>
      </c>
      <c r="HQ287" s="9" t="s">
        <v>5721</v>
      </c>
      <c r="HR287" s="9" t="s">
        <v>5287</v>
      </c>
      <c r="HS287" s="9" t="s">
        <v>5916</v>
      </c>
      <c r="HU287" s="9" t="s">
        <v>5917</v>
      </c>
      <c r="HV287" s="9" t="s">
        <v>5918</v>
      </c>
      <c r="HX287" s="9" t="s">
        <v>5919</v>
      </c>
      <c r="HY287" s="9" t="s">
        <v>5920</v>
      </c>
      <c r="HZ287" s="9" t="s">
        <v>5920</v>
      </c>
      <c r="IA287" s="9" t="s">
        <v>5921</v>
      </c>
      <c r="IB287" s="9" t="s">
        <v>5919</v>
      </c>
      <c r="IC287" s="9" t="s">
        <v>5922</v>
      </c>
      <c r="ID287" s="9" t="s">
        <v>5500</v>
      </c>
      <c r="IE287" s="9" t="s">
        <v>5536</v>
      </c>
      <c r="IF287" s="9" t="s">
        <v>5500</v>
      </c>
      <c r="IG287" s="9" t="s">
        <v>5536</v>
      </c>
      <c r="IH287" s="9" t="s">
        <v>5536</v>
      </c>
      <c r="II287" s="9" t="s">
        <v>5500</v>
      </c>
      <c r="IJ287" s="9" t="s">
        <v>5923</v>
      </c>
      <c r="IK287" s="9" t="s">
        <v>5924</v>
      </c>
      <c r="IL287" s="9" t="s">
        <v>5925</v>
      </c>
    </row>
    <row r="288" ht="24.75" customHeight="1">
      <c r="A288" s="8">
        <v>45901.78909364583</v>
      </c>
      <c r="B288" s="9" t="s">
        <v>368</v>
      </c>
      <c r="C288" s="9" t="s">
        <v>370</v>
      </c>
      <c r="D288" s="9" t="s">
        <v>370</v>
      </c>
      <c r="E288" s="9" t="s">
        <v>1421</v>
      </c>
      <c r="F288" s="9" t="s">
        <v>1421</v>
      </c>
      <c r="G288" s="9" t="s">
        <v>5926</v>
      </c>
      <c r="H288" s="9" t="s">
        <v>637</v>
      </c>
      <c r="I288" s="9" t="s">
        <v>638</v>
      </c>
      <c r="J288" s="9" t="s">
        <v>590</v>
      </c>
      <c r="K288" s="9" t="s">
        <v>376</v>
      </c>
      <c r="L288" s="9" t="s">
        <v>793</v>
      </c>
      <c r="M288" s="9" t="s">
        <v>719</v>
      </c>
      <c r="N288" s="9" t="s">
        <v>1526</v>
      </c>
      <c r="O288" s="9" t="s">
        <v>2464</v>
      </c>
      <c r="P288" s="9" t="s">
        <v>381</v>
      </c>
      <c r="Q288" s="9" t="s">
        <v>499</v>
      </c>
      <c r="R288" s="9" t="s">
        <v>5927</v>
      </c>
      <c r="S288" s="9" t="s">
        <v>5928</v>
      </c>
      <c r="T288" s="9" t="s">
        <v>1786</v>
      </c>
      <c r="ED288" s="9" t="s">
        <v>5929</v>
      </c>
      <c r="ER288" s="9" t="s">
        <v>5930</v>
      </c>
      <c r="ES288" s="9" t="s">
        <v>5931</v>
      </c>
      <c r="ET288" s="9" t="s">
        <v>526</v>
      </c>
      <c r="EU288" s="9" t="s">
        <v>1037</v>
      </c>
      <c r="EV288" s="9" t="s">
        <v>480</v>
      </c>
      <c r="EY288" s="9" t="s">
        <v>5932</v>
      </c>
      <c r="EZ288" s="9" t="s">
        <v>414</v>
      </c>
      <c r="FA288" s="9" t="s">
        <v>414</v>
      </c>
      <c r="FB288" s="9" t="s">
        <v>416</v>
      </c>
      <c r="FC288" s="9" t="s">
        <v>484</v>
      </c>
      <c r="FD288" s="9" t="s">
        <v>415</v>
      </c>
      <c r="FE288" s="9" t="s">
        <v>414</v>
      </c>
      <c r="FF288" s="9" t="s">
        <v>484</v>
      </c>
      <c r="FG288" s="9" t="s">
        <v>416</v>
      </c>
      <c r="FH288" s="9" t="s">
        <v>414</v>
      </c>
      <c r="FI288" s="9" t="s">
        <v>484</v>
      </c>
      <c r="FJ288" s="9" t="s">
        <v>484</v>
      </c>
      <c r="FK288" s="9" t="s">
        <v>484</v>
      </c>
      <c r="FL288" s="9" t="s">
        <v>484</v>
      </c>
      <c r="FM288" s="9" t="s">
        <v>484</v>
      </c>
      <c r="FN288" s="9" t="s">
        <v>484</v>
      </c>
      <c r="FO288" s="9" t="s">
        <v>417</v>
      </c>
      <c r="FP288" s="9" t="s">
        <v>418</v>
      </c>
      <c r="FQ288" s="9" t="s">
        <v>749</v>
      </c>
      <c r="FS288" s="9" t="s">
        <v>995</v>
      </c>
      <c r="FT288" s="9" t="s">
        <v>488</v>
      </c>
      <c r="FU288" s="9" t="s">
        <v>489</v>
      </c>
      <c r="FV288" s="9" t="s">
        <v>490</v>
      </c>
      <c r="FW288" s="9" t="s">
        <v>491</v>
      </c>
      <c r="FX288" s="9" t="s">
        <v>5933</v>
      </c>
      <c r="FY288" s="9" t="s">
        <v>535</v>
      </c>
      <c r="GA288" s="9" t="s">
        <v>5934</v>
      </c>
      <c r="GB288" s="9" t="s">
        <v>408</v>
      </c>
      <c r="GQ288" s="9" t="s">
        <v>3937</v>
      </c>
      <c r="GV288" s="9" t="s">
        <v>5231</v>
      </c>
      <c r="HK288" s="9" t="s">
        <v>5935</v>
      </c>
      <c r="HL288" s="9" t="s">
        <v>5734</v>
      </c>
      <c r="HM288" s="9" t="s">
        <v>5735</v>
      </c>
      <c r="HN288" s="9" t="s">
        <v>5678</v>
      </c>
      <c r="HO288" s="9" t="s">
        <v>5301</v>
      </c>
      <c r="HP288" s="9" t="s">
        <v>5302</v>
      </c>
      <c r="HQ288" s="9" t="s">
        <v>5238</v>
      </c>
      <c r="HR288" s="9" t="s">
        <v>913</v>
      </c>
    </row>
    <row r="289" ht="24.75" customHeight="1">
      <c r="A289" s="8">
        <v>45902.88062935185</v>
      </c>
      <c r="B289" s="9" t="s">
        <v>368</v>
      </c>
      <c r="C289" s="9" t="s">
        <v>370</v>
      </c>
      <c r="D289" s="9" t="s">
        <v>370</v>
      </c>
      <c r="E289" s="9" t="s">
        <v>3955</v>
      </c>
      <c r="F289" s="9" t="s">
        <v>1421</v>
      </c>
      <c r="G289" s="9" t="s">
        <v>422</v>
      </c>
      <c r="H289" s="9" t="s">
        <v>373</v>
      </c>
      <c r="I289" s="9" t="s">
        <v>374</v>
      </c>
      <c r="J289" s="9" t="s">
        <v>375</v>
      </c>
      <c r="K289" s="9" t="s">
        <v>376</v>
      </c>
      <c r="L289" s="9" t="s">
        <v>591</v>
      </c>
      <c r="M289" s="9" t="s">
        <v>378</v>
      </c>
      <c r="N289" s="9" t="s">
        <v>793</v>
      </c>
      <c r="O289" s="9" t="s">
        <v>719</v>
      </c>
      <c r="P289" s="9" t="s">
        <v>592</v>
      </c>
      <c r="Q289" s="9" t="s">
        <v>499</v>
      </c>
      <c r="R289" s="9" t="s">
        <v>5936</v>
      </c>
      <c r="S289" s="9" t="s">
        <v>2361</v>
      </c>
      <c r="T289" s="9" t="s">
        <v>385</v>
      </c>
      <c r="W289" s="9" t="s">
        <v>386</v>
      </c>
      <c r="X289" s="9" t="s">
        <v>387</v>
      </c>
      <c r="Y289" s="9" t="s">
        <v>2026</v>
      </c>
      <c r="AV289" s="9" t="s">
        <v>597</v>
      </c>
      <c r="BL289" s="9" t="s">
        <v>904</v>
      </c>
      <c r="BN289" s="9" t="s">
        <v>513</v>
      </c>
      <c r="CL289" s="9" t="s">
        <v>913</v>
      </c>
      <c r="CM289" s="9" t="s">
        <v>401</v>
      </c>
      <c r="CO289" s="9" t="s">
        <v>5937</v>
      </c>
      <c r="CP289" s="9" t="s">
        <v>445</v>
      </c>
      <c r="CQ289" s="9" t="s">
        <v>5938</v>
      </c>
      <c r="CR289" s="9" t="s">
        <v>447</v>
      </c>
      <c r="CV289" s="9" t="s">
        <v>409</v>
      </c>
      <c r="DF289" s="9" t="s">
        <v>5939</v>
      </c>
      <c r="DI289" s="9" t="s">
        <v>459</v>
      </c>
      <c r="DJ289" s="9" t="s">
        <v>460</v>
      </c>
      <c r="DK289" s="9" t="s">
        <v>525</v>
      </c>
      <c r="ET289" s="9" t="s">
        <v>578</v>
      </c>
      <c r="FY289" s="9" t="s">
        <v>1337</v>
      </c>
      <c r="GB289" s="9" t="s">
        <v>408</v>
      </c>
      <c r="GQ289" s="9" t="s">
        <v>3306</v>
      </c>
      <c r="GV289" s="9" t="s">
        <v>484</v>
      </c>
      <c r="GW289" s="9" t="s">
        <v>484</v>
      </c>
      <c r="HC289" s="9" t="s">
        <v>5297</v>
      </c>
      <c r="HR289" s="9" t="s">
        <v>5321</v>
      </c>
    </row>
    <row r="290" ht="24.75" customHeight="1">
      <c r="A290" s="8">
        <v>45902.88397509259</v>
      </c>
      <c r="B290" s="9" t="s">
        <v>368</v>
      </c>
      <c r="C290" s="9" t="s">
        <v>894</v>
      </c>
      <c r="D290" s="9" t="s">
        <v>894</v>
      </c>
      <c r="G290" s="9" t="s">
        <v>422</v>
      </c>
      <c r="H290" s="9" t="s">
        <v>496</v>
      </c>
      <c r="I290" s="9" t="s">
        <v>2578</v>
      </c>
      <c r="J290" s="9" t="s">
        <v>669</v>
      </c>
      <c r="K290" s="9" t="s">
        <v>376</v>
      </c>
      <c r="L290" s="9" t="s">
        <v>591</v>
      </c>
      <c r="M290" s="9" t="s">
        <v>378</v>
      </c>
      <c r="N290" s="9" t="s">
        <v>591</v>
      </c>
      <c r="O290" s="9" t="s">
        <v>719</v>
      </c>
      <c r="P290" s="9" t="s">
        <v>1504</v>
      </c>
      <c r="Q290" s="9" t="s">
        <v>382</v>
      </c>
      <c r="R290" s="9" t="s">
        <v>427</v>
      </c>
      <c r="S290" s="9" t="s">
        <v>384</v>
      </c>
      <c r="T290" s="9" t="s">
        <v>385</v>
      </c>
      <c r="U290" s="9" t="s">
        <v>1241</v>
      </c>
      <c r="V290" s="9" t="s">
        <v>896</v>
      </c>
      <c r="W290" s="9" t="s">
        <v>3014</v>
      </c>
      <c r="AV290" s="9" t="s">
        <v>1242</v>
      </c>
      <c r="AW290" s="9" t="s">
        <v>675</v>
      </c>
      <c r="AX290" s="9">
        <v>4.0</v>
      </c>
      <c r="AY290" s="9">
        <v>4.0</v>
      </c>
      <c r="AZ290" s="9">
        <v>4.0</v>
      </c>
      <c r="BA290" s="9" t="s">
        <v>675</v>
      </c>
      <c r="BB290" s="9" t="s">
        <v>675</v>
      </c>
      <c r="BC290" s="9" t="s">
        <v>5940</v>
      </c>
      <c r="BD290" s="9" t="s">
        <v>5941</v>
      </c>
      <c r="BE290" s="9" t="s">
        <v>432</v>
      </c>
      <c r="BF290" s="9" t="s">
        <v>1095</v>
      </c>
      <c r="BG290" s="9" t="s">
        <v>394</v>
      </c>
      <c r="BH290" s="9" t="s">
        <v>5942</v>
      </c>
      <c r="BI290" s="9" t="s">
        <v>435</v>
      </c>
      <c r="BJ290" s="9" t="s">
        <v>5943</v>
      </c>
      <c r="BK290" s="9" t="s">
        <v>395</v>
      </c>
      <c r="BL290" s="9" t="s">
        <v>603</v>
      </c>
      <c r="BM290" s="9" t="s">
        <v>1314</v>
      </c>
      <c r="BN290" s="9" t="s">
        <v>398</v>
      </c>
      <c r="BO290" s="9" t="s">
        <v>5944</v>
      </c>
      <c r="BP290" s="9" t="s">
        <v>5945</v>
      </c>
      <c r="BQ290" s="9" t="s">
        <v>442</v>
      </c>
      <c r="BR290" s="9" t="s">
        <v>1250</v>
      </c>
      <c r="BS290" s="9" t="s">
        <v>1251</v>
      </c>
      <c r="BT290" s="9" t="s">
        <v>1742</v>
      </c>
      <c r="BU290" s="9" t="s">
        <v>405</v>
      </c>
      <c r="BW290" s="9" t="s">
        <v>988</v>
      </c>
      <c r="BY290" s="9" t="s">
        <v>455</v>
      </c>
      <c r="BZ290" s="9" t="s">
        <v>5946</v>
      </c>
      <c r="CA290" s="9" t="s">
        <v>5947</v>
      </c>
      <c r="CB290" s="9" t="s">
        <v>5948</v>
      </c>
      <c r="CC290" s="9" t="s">
        <v>5949</v>
      </c>
      <c r="CD290" s="9" t="s">
        <v>409</v>
      </c>
      <c r="CE290" s="9" t="s">
        <v>5950</v>
      </c>
      <c r="CF290" s="9" t="s">
        <v>1258</v>
      </c>
      <c r="CH290" s="9" t="s">
        <v>1259</v>
      </c>
      <c r="CI290" s="9" t="s">
        <v>410</v>
      </c>
      <c r="CJ290" s="9" t="s">
        <v>5951</v>
      </c>
      <c r="CK290" s="9" t="s">
        <v>5952</v>
      </c>
      <c r="DI290" s="9" t="s">
        <v>459</v>
      </c>
      <c r="DJ290" s="9" t="s">
        <v>613</v>
      </c>
      <c r="ET290" s="9" t="s">
        <v>478</v>
      </c>
      <c r="EU290" s="9" t="s">
        <v>887</v>
      </c>
      <c r="EV290" s="9" t="s">
        <v>527</v>
      </c>
      <c r="EW290" s="9" t="s">
        <v>5953</v>
      </c>
      <c r="EX290" s="9" t="s">
        <v>5954</v>
      </c>
      <c r="EY290" s="9" t="s">
        <v>5955</v>
      </c>
      <c r="EZ290" s="9" t="s">
        <v>414</v>
      </c>
      <c r="FA290" s="9" t="s">
        <v>583</v>
      </c>
      <c r="FB290" s="9" t="s">
        <v>415</v>
      </c>
      <c r="FC290" s="9" t="s">
        <v>414</v>
      </c>
      <c r="FD290" s="9" t="s">
        <v>416</v>
      </c>
      <c r="FE290" s="9" t="s">
        <v>583</v>
      </c>
      <c r="FF290" s="9" t="s">
        <v>414</v>
      </c>
      <c r="FG290" s="9" t="s">
        <v>416</v>
      </c>
      <c r="FH290" s="9" t="s">
        <v>415</v>
      </c>
      <c r="FI290" s="9" t="s">
        <v>414</v>
      </c>
      <c r="FJ290" s="9" t="s">
        <v>414</v>
      </c>
      <c r="FK290" s="9" t="s">
        <v>416</v>
      </c>
      <c r="FL290" s="9" t="s">
        <v>416</v>
      </c>
      <c r="FM290" s="9" t="s">
        <v>413</v>
      </c>
      <c r="FN290" s="9" t="s">
        <v>583</v>
      </c>
      <c r="FO290" s="9" t="s">
        <v>417</v>
      </c>
      <c r="FP290" s="9" t="s">
        <v>418</v>
      </c>
      <c r="FQ290" s="9" t="s">
        <v>749</v>
      </c>
      <c r="FR290" s="9" t="s">
        <v>5956</v>
      </c>
      <c r="FS290" s="9" t="s">
        <v>420</v>
      </c>
      <c r="FT290" s="9" t="s">
        <v>488</v>
      </c>
      <c r="FU290" s="9" t="s">
        <v>918</v>
      </c>
      <c r="FV290" s="9" t="s">
        <v>490</v>
      </c>
      <c r="FW290" s="9" t="s">
        <v>491</v>
      </c>
      <c r="FX290" s="9" t="s">
        <v>5957</v>
      </c>
      <c r="FY290" s="9" t="s">
        <v>1020</v>
      </c>
      <c r="FZ290" s="9" t="s">
        <v>5958</v>
      </c>
      <c r="GA290" s="9" t="s">
        <v>5959</v>
      </c>
      <c r="GB290" s="9" t="s">
        <v>408</v>
      </c>
      <c r="GJ290" s="9" t="s">
        <v>789</v>
      </c>
      <c r="GK290" s="9" t="s">
        <v>789</v>
      </c>
      <c r="GL290" s="9" t="s">
        <v>790</v>
      </c>
      <c r="GQ290" s="9" t="s">
        <v>3208</v>
      </c>
      <c r="GR290" s="9" t="s">
        <v>4774</v>
      </c>
      <c r="GV290" s="9" t="s">
        <v>5231</v>
      </c>
      <c r="GW290" s="9" t="s">
        <v>5232</v>
      </c>
      <c r="GX290" s="9" t="s">
        <v>5262</v>
      </c>
      <c r="GY290" s="9" t="s">
        <v>5233</v>
      </c>
      <c r="GZ290" s="9" t="s">
        <v>484</v>
      </c>
      <c r="HA290" s="9" t="s">
        <v>5960</v>
      </c>
      <c r="HB290" s="9" t="s">
        <v>5961</v>
      </c>
      <c r="HO290" s="9" t="s">
        <v>5236</v>
      </c>
      <c r="HP290" s="9" t="s">
        <v>5264</v>
      </c>
      <c r="HQ290" s="9" t="s">
        <v>5286</v>
      </c>
      <c r="HR290" s="9" t="s">
        <v>5321</v>
      </c>
    </row>
    <row r="291" ht="24.75" customHeight="1">
      <c r="A291" s="8">
        <v>45902.913459814816</v>
      </c>
      <c r="B291" s="9" t="s">
        <v>368</v>
      </c>
      <c r="C291" s="9" t="s">
        <v>370</v>
      </c>
      <c r="D291" s="9" t="s">
        <v>370</v>
      </c>
      <c r="E291" s="9" t="s">
        <v>2114</v>
      </c>
      <c r="F291" s="9" t="s">
        <v>1421</v>
      </c>
      <c r="G291" s="9" t="s">
        <v>422</v>
      </c>
      <c r="H291" s="9" t="s">
        <v>496</v>
      </c>
      <c r="I291" s="9" t="s">
        <v>374</v>
      </c>
      <c r="J291" s="9" t="s">
        <v>375</v>
      </c>
      <c r="K291" s="9" t="s">
        <v>376</v>
      </c>
      <c r="L291" s="9" t="s">
        <v>793</v>
      </c>
      <c r="M291" s="9" t="s">
        <v>720</v>
      </c>
      <c r="N291" s="9" t="s">
        <v>426</v>
      </c>
      <c r="O291" s="9" t="s">
        <v>497</v>
      </c>
      <c r="P291" s="9" t="s">
        <v>498</v>
      </c>
      <c r="Q291" s="9" t="s">
        <v>382</v>
      </c>
      <c r="R291" s="9" t="s">
        <v>1704</v>
      </c>
      <c r="S291" s="9" t="s">
        <v>3798</v>
      </c>
      <c r="T291" s="9" t="s">
        <v>385</v>
      </c>
      <c r="W291" s="9" t="s">
        <v>593</v>
      </c>
      <c r="X291" s="9" t="s">
        <v>387</v>
      </c>
      <c r="Y291" s="9" t="s">
        <v>1966</v>
      </c>
      <c r="Z291" s="9" t="s">
        <v>502</v>
      </c>
      <c r="AA291" s="9" t="s">
        <v>455</v>
      </c>
      <c r="AB291" s="9" t="s">
        <v>5962</v>
      </c>
      <c r="AV291" s="9" t="s">
        <v>390</v>
      </c>
      <c r="AW291" s="9">
        <v>2.0</v>
      </c>
      <c r="AX291" s="9">
        <v>2.0</v>
      </c>
      <c r="AY291" s="9">
        <v>2.0</v>
      </c>
      <c r="AZ291" s="9">
        <v>2.0</v>
      </c>
      <c r="BA291" s="9">
        <v>2.0</v>
      </c>
      <c r="BB291" s="9">
        <v>2.0</v>
      </c>
      <c r="BC291" s="9" t="s">
        <v>5963</v>
      </c>
      <c r="BD291" s="9" t="s">
        <v>5964</v>
      </c>
      <c r="BE291" s="9" t="s">
        <v>432</v>
      </c>
      <c r="BF291" s="9" t="s">
        <v>433</v>
      </c>
      <c r="BG291" s="9" t="s">
        <v>725</v>
      </c>
      <c r="BI291" s="9" t="s">
        <v>509</v>
      </c>
      <c r="BK291" s="9" t="s">
        <v>511</v>
      </c>
      <c r="BL291" s="9" t="s">
        <v>603</v>
      </c>
      <c r="BM291" s="9" t="s">
        <v>549</v>
      </c>
      <c r="BN291" s="9" t="s">
        <v>513</v>
      </c>
      <c r="CL291" s="9" t="s">
        <v>441</v>
      </c>
      <c r="CM291" s="9" t="s">
        <v>401</v>
      </c>
      <c r="CN291" s="9" t="s">
        <v>5965</v>
      </c>
      <c r="CO291" s="9" t="s">
        <v>5966</v>
      </c>
      <c r="CP291" s="9" t="s">
        <v>979</v>
      </c>
      <c r="CQ291" s="9" t="s">
        <v>1649</v>
      </c>
      <c r="CR291" s="9" t="s">
        <v>447</v>
      </c>
      <c r="CS291" s="9" t="s">
        <v>5967</v>
      </c>
      <c r="CT291" s="9" t="s">
        <v>5968</v>
      </c>
      <c r="CU291" s="9" t="s">
        <v>450</v>
      </c>
      <c r="CV291" s="9" t="s">
        <v>451</v>
      </c>
      <c r="CW291" s="9" t="s">
        <v>5969</v>
      </c>
      <c r="CX291" s="9" t="s">
        <v>408</v>
      </c>
      <c r="CZ291" s="9" t="s">
        <v>453</v>
      </c>
      <c r="DA291" s="9" t="s">
        <v>2567</v>
      </c>
      <c r="DB291" s="9" t="s">
        <v>408</v>
      </c>
      <c r="DD291" s="9" t="s">
        <v>406</v>
      </c>
      <c r="DE291" s="9" t="s">
        <v>407</v>
      </c>
      <c r="DF291" s="9" t="s">
        <v>5970</v>
      </c>
      <c r="DG291" s="9" t="s">
        <v>561</v>
      </c>
      <c r="DH291" s="9" t="s">
        <v>410</v>
      </c>
      <c r="DI291" s="9" t="s">
        <v>459</v>
      </c>
      <c r="DJ291" s="9" t="s">
        <v>460</v>
      </c>
      <c r="DK291" s="9" t="s">
        <v>461</v>
      </c>
      <c r="ET291" s="9" t="s">
        <v>578</v>
      </c>
      <c r="EU291" s="9" t="s">
        <v>479</v>
      </c>
      <c r="EV291" s="9" t="s">
        <v>1534</v>
      </c>
      <c r="EZ291" s="9" t="s">
        <v>413</v>
      </c>
      <c r="FA291" s="9" t="s">
        <v>413</v>
      </c>
      <c r="FB291" s="9" t="s">
        <v>413</v>
      </c>
      <c r="FC291" s="9" t="s">
        <v>413</v>
      </c>
      <c r="FD291" s="9" t="s">
        <v>413</v>
      </c>
      <c r="FE291" s="9" t="s">
        <v>413</v>
      </c>
      <c r="FF291" s="9" t="s">
        <v>413</v>
      </c>
      <c r="FG291" s="9" t="s">
        <v>413</v>
      </c>
      <c r="FH291" s="9" t="s">
        <v>484</v>
      </c>
      <c r="FI291" s="9" t="s">
        <v>413</v>
      </c>
      <c r="FJ291" s="9" t="s">
        <v>413</v>
      </c>
      <c r="FK291" s="9" t="s">
        <v>413</v>
      </c>
      <c r="FL291" s="9" t="s">
        <v>413</v>
      </c>
      <c r="FM291" s="9" t="s">
        <v>413</v>
      </c>
      <c r="FN291" s="9" t="s">
        <v>484</v>
      </c>
      <c r="FO291" s="9" t="s">
        <v>417</v>
      </c>
      <c r="FP291" s="9" t="s">
        <v>418</v>
      </c>
      <c r="FQ291" s="9" t="s">
        <v>531</v>
      </c>
      <c r="FS291" s="9" t="s">
        <v>420</v>
      </c>
      <c r="FT291" s="9" t="s">
        <v>488</v>
      </c>
      <c r="FU291" s="9" t="s">
        <v>918</v>
      </c>
      <c r="FV291" s="9" t="s">
        <v>490</v>
      </c>
      <c r="FW291" s="9" t="s">
        <v>491</v>
      </c>
      <c r="FY291" s="9" t="s">
        <v>535</v>
      </c>
      <c r="GB291" s="9" t="s">
        <v>408</v>
      </c>
      <c r="GG291" s="9" t="s">
        <v>755</v>
      </c>
      <c r="GH291" s="9" t="s">
        <v>755</v>
      </c>
      <c r="GI291" s="9" t="s">
        <v>817</v>
      </c>
      <c r="GQ291" s="9" t="s">
        <v>3937</v>
      </c>
      <c r="GT291" s="9" t="s">
        <v>4774</v>
      </c>
      <c r="GV291" s="9" t="s">
        <v>5231</v>
      </c>
      <c r="GW291" s="9" t="s">
        <v>5232</v>
      </c>
      <c r="HC291" s="9" t="s">
        <v>5297</v>
      </c>
      <c r="HD291" s="9" t="s">
        <v>5298</v>
      </c>
      <c r="HE291" s="9" t="s">
        <v>5299</v>
      </c>
      <c r="HF291" s="9" t="s">
        <v>5284</v>
      </c>
      <c r="HP291" s="9" t="s">
        <v>5264</v>
      </c>
      <c r="HQ291" s="9" t="s">
        <v>5238</v>
      </c>
      <c r="HR291" s="9" t="s">
        <v>5347</v>
      </c>
      <c r="HW291" s="9" t="s">
        <v>5971</v>
      </c>
    </row>
    <row r="292" ht="24.75" customHeight="1">
      <c r="A292" s="8">
        <v>45902.931395011576</v>
      </c>
      <c r="B292" s="9" t="s">
        <v>368</v>
      </c>
      <c r="C292" s="9" t="s">
        <v>370</v>
      </c>
      <c r="D292" s="9" t="s">
        <v>370</v>
      </c>
      <c r="E292" s="9" t="s">
        <v>667</v>
      </c>
      <c r="F292" s="9" t="s">
        <v>1421</v>
      </c>
      <c r="G292" s="9" t="s">
        <v>5972</v>
      </c>
      <c r="H292" s="9" t="s">
        <v>496</v>
      </c>
      <c r="I292" s="9" t="s">
        <v>374</v>
      </c>
      <c r="J292" s="9" t="s">
        <v>375</v>
      </c>
      <c r="K292" s="9" t="s">
        <v>376</v>
      </c>
      <c r="L292" s="9" t="s">
        <v>793</v>
      </c>
      <c r="M292" s="9" t="s">
        <v>639</v>
      </c>
      <c r="N292" s="9" t="s">
        <v>379</v>
      </c>
      <c r="O292" s="9" t="s">
        <v>671</v>
      </c>
      <c r="P292" s="9" t="s">
        <v>381</v>
      </c>
      <c r="Q292" s="9" t="s">
        <v>499</v>
      </c>
      <c r="R292" s="9" t="s">
        <v>500</v>
      </c>
      <c r="S292" s="9" t="s">
        <v>384</v>
      </c>
      <c r="T292" s="9" t="s">
        <v>385</v>
      </c>
      <c r="W292" s="9" t="s">
        <v>593</v>
      </c>
      <c r="X292" s="9" t="s">
        <v>387</v>
      </c>
      <c r="Y292" s="9" t="s">
        <v>594</v>
      </c>
      <c r="Z292" s="9" t="s">
        <v>389</v>
      </c>
      <c r="AA292" s="9" t="s">
        <v>5973</v>
      </c>
      <c r="AV292" s="9" t="s">
        <v>1242</v>
      </c>
      <c r="AW292" s="9" t="s">
        <v>391</v>
      </c>
      <c r="AX292" s="9" t="s">
        <v>391</v>
      </c>
      <c r="AY292" s="9">
        <v>2.0</v>
      </c>
      <c r="AZ292" s="9" t="s">
        <v>391</v>
      </c>
      <c r="BA292" s="9" t="s">
        <v>391</v>
      </c>
      <c r="BB292" s="9">
        <v>4.0</v>
      </c>
      <c r="BC292" s="9" t="s">
        <v>5974</v>
      </c>
      <c r="BD292" s="9" t="s">
        <v>5975</v>
      </c>
      <c r="BE292" s="9" t="s">
        <v>902</v>
      </c>
      <c r="BF292" s="9" t="s">
        <v>393</v>
      </c>
      <c r="BG292" s="9" t="s">
        <v>678</v>
      </c>
      <c r="BH292" s="9" t="s">
        <v>5976</v>
      </c>
      <c r="BI292" s="9" t="s">
        <v>435</v>
      </c>
      <c r="BJ292" s="9" t="s">
        <v>5977</v>
      </c>
      <c r="BK292" s="9" t="s">
        <v>511</v>
      </c>
      <c r="BL292" s="9" t="s">
        <v>512</v>
      </c>
      <c r="BM292" s="9" t="s">
        <v>1314</v>
      </c>
      <c r="BN292" s="9" t="s">
        <v>513</v>
      </c>
      <c r="CL292" s="9" t="s">
        <v>682</v>
      </c>
      <c r="CM292" s="9" t="s">
        <v>682</v>
      </c>
      <c r="CN292" s="9" t="s">
        <v>5978</v>
      </c>
      <c r="CO292" s="9" t="s">
        <v>5979</v>
      </c>
      <c r="CU292" s="9" t="s">
        <v>1961</v>
      </c>
      <c r="CV292" s="9" t="s">
        <v>959</v>
      </c>
      <c r="CX292" s="9" t="s">
        <v>455</v>
      </c>
      <c r="CY292" s="9" t="s">
        <v>5980</v>
      </c>
      <c r="CZ292" s="9" t="s">
        <v>1962</v>
      </c>
      <c r="DB292" s="9" t="s">
        <v>455</v>
      </c>
      <c r="DC292" s="9" t="s">
        <v>5981</v>
      </c>
      <c r="DG292" s="9" t="s">
        <v>990</v>
      </c>
      <c r="DH292" s="9" t="s">
        <v>410</v>
      </c>
      <c r="DI292" s="9" t="s">
        <v>963</v>
      </c>
      <c r="DJ292" s="9" t="s">
        <v>460</v>
      </c>
      <c r="DK292" s="9" t="s">
        <v>563</v>
      </c>
      <c r="DL292" s="9" t="s">
        <v>5982</v>
      </c>
      <c r="ET292" s="9" t="s">
        <v>2747</v>
      </c>
      <c r="EU292" s="9" t="s">
        <v>579</v>
      </c>
      <c r="EV292" s="9" t="s">
        <v>778</v>
      </c>
      <c r="EW292" s="9" t="s">
        <v>5983</v>
      </c>
      <c r="EY292" s="9" t="s">
        <v>5984</v>
      </c>
      <c r="EZ292" s="9" t="s">
        <v>415</v>
      </c>
      <c r="FA292" s="9" t="s">
        <v>414</v>
      </c>
      <c r="FB292" s="9" t="s">
        <v>413</v>
      </c>
      <c r="FC292" s="9" t="s">
        <v>484</v>
      </c>
      <c r="FD292" s="9" t="s">
        <v>415</v>
      </c>
      <c r="FE292" s="9" t="s">
        <v>415</v>
      </c>
      <c r="FF292" s="9" t="s">
        <v>415</v>
      </c>
      <c r="FG292" s="9" t="s">
        <v>415</v>
      </c>
      <c r="FH292" s="9" t="s">
        <v>415</v>
      </c>
      <c r="FI292" s="9" t="s">
        <v>413</v>
      </c>
      <c r="FJ292" s="9" t="s">
        <v>414</v>
      </c>
      <c r="FK292" s="9" t="s">
        <v>413</v>
      </c>
      <c r="FL292" s="9" t="s">
        <v>416</v>
      </c>
      <c r="FM292" s="9" t="s">
        <v>583</v>
      </c>
      <c r="FN292" s="9" t="s">
        <v>413</v>
      </c>
      <c r="FO292" s="9" t="s">
        <v>850</v>
      </c>
      <c r="FP292" s="9" t="s">
        <v>1200</v>
      </c>
      <c r="FQ292" s="9" t="s">
        <v>419</v>
      </c>
      <c r="FR292" s="9" t="s">
        <v>5985</v>
      </c>
      <c r="FS292" s="9" t="s">
        <v>1871</v>
      </c>
      <c r="FT292" s="9" t="s">
        <v>421</v>
      </c>
      <c r="FU292" s="9" t="s">
        <v>489</v>
      </c>
      <c r="FV292" s="9" t="s">
        <v>490</v>
      </c>
      <c r="FW292" s="9" t="s">
        <v>491</v>
      </c>
      <c r="FX292" s="9" t="s">
        <v>5986</v>
      </c>
      <c r="FY292" s="9" t="s">
        <v>1337</v>
      </c>
      <c r="GB292" s="9" t="s">
        <v>455</v>
      </c>
      <c r="GC292" s="9"/>
      <c r="GE292" s="9" t="s">
        <v>855</v>
      </c>
      <c r="GG292" s="9" t="s">
        <v>755</v>
      </c>
      <c r="GH292" s="9" t="s">
        <v>755</v>
      </c>
      <c r="GI292" s="9" t="s">
        <v>946</v>
      </c>
      <c r="GQ292" s="9" t="s">
        <v>3208</v>
      </c>
      <c r="GT292" s="9" t="s">
        <v>4774</v>
      </c>
      <c r="GV292" s="9" t="s">
        <v>5231</v>
      </c>
      <c r="GW292" s="9" t="s">
        <v>5232</v>
      </c>
      <c r="HO292" s="9" t="s">
        <v>5383</v>
      </c>
      <c r="HP292" s="9" t="s">
        <v>5237</v>
      </c>
      <c r="HQ292" s="9" t="s">
        <v>5238</v>
      </c>
      <c r="HR292" s="9" t="s">
        <v>5321</v>
      </c>
      <c r="HS292" s="9" t="s">
        <v>5987</v>
      </c>
      <c r="HU292" s="9" t="s">
        <v>5988</v>
      </c>
      <c r="HV292" s="9" t="s">
        <v>5918</v>
      </c>
      <c r="HX292" s="9" t="s">
        <v>5922</v>
      </c>
      <c r="HY292" s="9" t="s">
        <v>5921</v>
      </c>
      <c r="HZ292" s="9" t="s">
        <v>5920</v>
      </c>
      <c r="IA292" s="9" t="s">
        <v>5919</v>
      </c>
      <c r="IB292" s="9" t="s">
        <v>5920</v>
      </c>
      <c r="IC292" s="9" t="s">
        <v>5922</v>
      </c>
      <c r="ID292" s="9" t="s">
        <v>5500</v>
      </c>
      <c r="IE292" s="9" t="s">
        <v>5989</v>
      </c>
      <c r="IF292" s="9" t="s">
        <v>5537</v>
      </c>
      <c r="IG292" s="9" t="s">
        <v>5989</v>
      </c>
      <c r="IH292" s="9" t="s">
        <v>5537</v>
      </c>
      <c r="II292" s="9" t="s">
        <v>5537</v>
      </c>
      <c r="IJ292" s="9" t="s">
        <v>5990</v>
      </c>
      <c r="IK292" s="9" t="s">
        <v>5924</v>
      </c>
      <c r="IL292" s="9" t="s">
        <v>5991</v>
      </c>
      <c r="IM292" s="9" t="s">
        <v>5992</v>
      </c>
    </row>
    <row r="293" ht="24.75" customHeight="1">
      <c r="A293" s="8">
        <v>45902.93752576389</v>
      </c>
      <c r="B293" s="9" t="s">
        <v>368</v>
      </c>
      <c r="C293" s="9" t="s">
        <v>1984</v>
      </c>
      <c r="D293" s="9" t="s">
        <v>1984</v>
      </c>
      <c r="G293" s="9" t="s">
        <v>1093</v>
      </c>
      <c r="H293" s="9" t="s">
        <v>637</v>
      </c>
      <c r="I293" s="9" t="s">
        <v>638</v>
      </c>
      <c r="J293" s="9" t="s">
        <v>718</v>
      </c>
      <c r="K293" s="9" t="s">
        <v>376</v>
      </c>
      <c r="L293" s="9" t="s">
        <v>377</v>
      </c>
      <c r="M293" s="9" t="s">
        <v>378</v>
      </c>
      <c r="N293" s="9" t="s">
        <v>377</v>
      </c>
      <c r="O293" s="9" t="s">
        <v>719</v>
      </c>
      <c r="P293" s="9" t="s">
        <v>381</v>
      </c>
      <c r="Q293" s="9" t="s">
        <v>499</v>
      </c>
      <c r="R293" s="9" t="s">
        <v>949</v>
      </c>
      <c r="S293" s="9" t="s">
        <v>384</v>
      </c>
      <c r="T293" s="9" t="s">
        <v>385</v>
      </c>
      <c r="W293" s="9" t="s">
        <v>386</v>
      </c>
      <c r="X293" s="9" t="s">
        <v>5993</v>
      </c>
      <c r="AV293" s="9" t="s">
        <v>597</v>
      </c>
      <c r="AW293" s="9" t="s">
        <v>391</v>
      </c>
      <c r="AX293" s="9">
        <v>4.0</v>
      </c>
      <c r="AY293" s="9" t="s">
        <v>675</v>
      </c>
      <c r="AZ293" s="9" t="s">
        <v>391</v>
      </c>
      <c r="BA293" s="9" t="s">
        <v>391</v>
      </c>
      <c r="BB293" s="9">
        <v>4.0</v>
      </c>
      <c r="BC293" s="9" t="s">
        <v>5994</v>
      </c>
      <c r="BD293" s="9" t="s">
        <v>5995</v>
      </c>
      <c r="BE293" s="9" t="s">
        <v>902</v>
      </c>
      <c r="BF293" s="9" t="s">
        <v>393</v>
      </c>
      <c r="BG293" s="9" t="s">
        <v>394</v>
      </c>
      <c r="BH293" s="9" t="s">
        <v>5996</v>
      </c>
      <c r="BI293" s="9" t="s">
        <v>824</v>
      </c>
      <c r="BK293" s="9" t="s">
        <v>437</v>
      </c>
      <c r="BL293" s="9" t="s">
        <v>438</v>
      </c>
      <c r="BM293" s="9" t="s">
        <v>397</v>
      </c>
      <c r="BN293" s="9" t="s">
        <v>398</v>
      </c>
      <c r="BO293" s="9" t="s">
        <v>5997</v>
      </c>
      <c r="BP293" s="9" t="s">
        <v>5998</v>
      </c>
      <c r="BQ293" s="9" t="s">
        <v>682</v>
      </c>
      <c r="BR293" s="9" t="s">
        <v>5999</v>
      </c>
      <c r="BS293" s="9" t="s">
        <v>4071</v>
      </c>
      <c r="BT293" s="9" t="s">
        <v>4072</v>
      </c>
      <c r="BU293" s="9" t="s">
        <v>1693</v>
      </c>
      <c r="BV293" s="9" t="s">
        <v>6000</v>
      </c>
      <c r="BW293" s="9" t="s">
        <v>406</v>
      </c>
      <c r="BX293" s="9" t="s">
        <v>407</v>
      </c>
      <c r="BY293" s="9" t="s">
        <v>408</v>
      </c>
      <c r="CA293" s="9" t="s">
        <v>6001</v>
      </c>
      <c r="CB293" s="9" t="s">
        <v>6002</v>
      </c>
      <c r="CC293" s="9" t="s">
        <v>6003</v>
      </c>
      <c r="CD293" s="9" t="s">
        <v>451</v>
      </c>
      <c r="CE293" s="9" t="s">
        <v>6004</v>
      </c>
      <c r="CF293" s="9" t="s">
        <v>1749</v>
      </c>
      <c r="CG293" s="9" t="s">
        <v>6005</v>
      </c>
      <c r="CH293" s="9" t="s">
        <v>1751</v>
      </c>
      <c r="CI293" s="9" t="s">
        <v>5366</v>
      </c>
      <c r="CJ293" s="9" t="s">
        <v>6001</v>
      </c>
      <c r="CK293" s="9" t="s">
        <v>6006</v>
      </c>
      <c r="DI293" s="9" t="s">
        <v>777</v>
      </c>
      <c r="DJ293" s="9" t="s">
        <v>613</v>
      </c>
      <c r="ET293" s="9" t="s">
        <v>478</v>
      </c>
      <c r="EU293" s="9" t="s">
        <v>579</v>
      </c>
      <c r="EV293" s="9" t="s">
        <v>1534</v>
      </c>
      <c r="EX293" s="9" t="s">
        <v>6007</v>
      </c>
      <c r="EY293" s="9" t="s">
        <v>6008</v>
      </c>
      <c r="EZ293" s="9" t="s">
        <v>415</v>
      </c>
      <c r="FA293" s="9" t="s">
        <v>583</v>
      </c>
      <c r="FB293" s="9" t="s">
        <v>415</v>
      </c>
      <c r="FC293" s="9" t="s">
        <v>583</v>
      </c>
      <c r="FD293" s="9" t="s">
        <v>416</v>
      </c>
      <c r="FE293" s="9" t="s">
        <v>583</v>
      </c>
      <c r="FF293" s="9" t="s">
        <v>583</v>
      </c>
      <c r="FG293" s="9" t="s">
        <v>583</v>
      </c>
      <c r="FH293" s="9" t="s">
        <v>413</v>
      </c>
      <c r="FI293" s="9" t="s">
        <v>416</v>
      </c>
      <c r="FJ293" s="9" t="s">
        <v>583</v>
      </c>
      <c r="FK293" s="9" t="s">
        <v>415</v>
      </c>
      <c r="FL293" s="9" t="s">
        <v>415</v>
      </c>
      <c r="FM293" s="9" t="s">
        <v>415</v>
      </c>
      <c r="FN293" s="9" t="s">
        <v>415</v>
      </c>
      <c r="FO293" s="9" t="s">
        <v>1537</v>
      </c>
      <c r="FQ293" s="9" t="s">
        <v>712</v>
      </c>
      <c r="FR293" s="9" t="s">
        <v>6009</v>
      </c>
      <c r="FS293" s="9" t="s">
        <v>1871</v>
      </c>
      <c r="FT293" s="9" t="s">
        <v>2750</v>
      </c>
      <c r="FU293" s="9" t="s">
        <v>1235</v>
      </c>
      <c r="FV293" s="9" t="s">
        <v>2387</v>
      </c>
      <c r="FW293" s="9" t="s">
        <v>491</v>
      </c>
      <c r="FX293" s="9" t="s">
        <v>6010</v>
      </c>
      <c r="FY293" s="9" t="s">
        <v>493</v>
      </c>
      <c r="FZ293" s="9" t="s">
        <v>6011</v>
      </c>
      <c r="GA293" s="9" t="s">
        <v>408</v>
      </c>
      <c r="GB293" s="9" t="s">
        <v>455</v>
      </c>
      <c r="GC293" s="9"/>
      <c r="GD293" s="9"/>
      <c r="GE293" s="9" t="s">
        <v>1420</v>
      </c>
      <c r="GF293" s="9" t="s">
        <v>408</v>
      </c>
      <c r="GJ293" s="9" t="s">
        <v>1000</v>
      </c>
      <c r="GK293" s="9" t="s">
        <v>1000</v>
      </c>
      <c r="GL293" s="9" t="s">
        <v>946</v>
      </c>
      <c r="GN293" s="9" t="s">
        <v>6012</v>
      </c>
      <c r="GO293" s="9" t="s">
        <v>6012</v>
      </c>
      <c r="GQ293" s="9" t="s">
        <v>3273</v>
      </c>
      <c r="GR293" s="9" t="s">
        <v>4774</v>
      </c>
      <c r="GS293" s="9" t="s">
        <v>408</v>
      </c>
      <c r="GV293" s="9" t="s">
        <v>5231</v>
      </c>
      <c r="GW293" s="9" t="s">
        <v>484</v>
      </c>
      <c r="GX293" s="9" t="s">
        <v>5281</v>
      </c>
      <c r="GY293" s="9" t="s">
        <v>6013</v>
      </c>
      <c r="GZ293" s="9" t="s">
        <v>484</v>
      </c>
      <c r="HA293" s="9" t="s">
        <v>484</v>
      </c>
      <c r="HB293" s="9" t="s">
        <v>913</v>
      </c>
      <c r="HO293" s="9" t="s">
        <v>5236</v>
      </c>
      <c r="HP293" s="9" t="s">
        <v>5719</v>
      </c>
      <c r="HQ293" s="9" t="s">
        <v>5238</v>
      </c>
      <c r="HR293" s="9" t="s">
        <v>5239</v>
      </c>
    </row>
    <row r="294" ht="24.75" customHeight="1">
      <c r="A294" s="8">
        <v>45903.44211505787</v>
      </c>
      <c r="B294" s="9" t="s">
        <v>368</v>
      </c>
      <c r="C294" s="9" t="s">
        <v>370</v>
      </c>
      <c r="D294" s="9" t="s">
        <v>370</v>
      </c>
      <c r="E294" s="9" t="s">
        <v>6014</v>
      </c>
      <c r="F294" s="9" t="s">
        <v>1421</v>
      </c>
      <c r="G294" s="9" t="s">
        <v>422</v>
      </c>
      <c r="H294" s="9" t="s">
        <v>496</v>
      </c>
      <c r="I294" s="9" t="s">
        <v>374</v>
      </c>
      <c r="J294" s="9" t="s">
        <v>425</v>
      </c>
      <c r="K294" s="9" t="s">
        <v>376</v>
      </c>
      <c r="L294" s="9" t="s">
        <v>379</v>
      </c>
      <c r="M294" s="9" t="s">
        <v>2464</v>
      </c>
      <c r="N294" s="9" t="s">
        <v>377</v>
      </c>
      <c r="O294" s="9" t="s">
        <v>5017</v>
      </c>
      <c r="P294" s="9" t="s">
        <v>381</v>
      </c>
      <c r="Q294" s="9" t="s">
        <v>818</v>
      </c>
      <c r="R294" s="9" t="s">
        <v>1704</v>
      </c>
      <c r="S294" s="9" t="s">
        <v>6015</v>
      </c>
      <c r="T294" s="9" t="s">
        <v>385</v>
      </c>
      <c r="W294" s="9" t="s">
        <v>3231</v>
      </c>
      <c r="AW294" s="9">
        <v>2.0</v>
      </c>
      <c r="AX294" s="9">
        <v>4.0</v>
      </c>
      <c r="AY294" s="9" t="s">
        <v>391</v>
      </c>
      <c r="AZ294" s="9" t="s">
        <v>675</v>
      </c>
      <c r="BA294" s="9" t="s">
        <v>391</v>
      </c>
      <c r="BB294" s="9">
        <v>4.0</v>
      </c>
      <c r="BC294" s="9" t="s">
        <v>6016</v>
      </c>
      <c r="BE294" s="9" t="s">
        <v>432</v>
      </c>
      <c r="BF294" s="9" t="s">
        <v>433</v>
      </c>
      <c r="BG294" s="9" t="s">
        <v>765</v>
      </c>
      <c r="BI294" s="9" t="s">
        <v>976</v>
      </c>
      <c r="BK294" s="9" t="s">
        <v>602</v>
      </c>
      <c r="BL294" s="9" t="s">
        <v>603</v>
      </c>
      <c r="BN294" s="9" t="s">
        <v>398</v>
      </c>
      <c r="BO294" s="9" t="s">
        <v>6017</v>
      </c>
      <c r="BP294" s="9" t="s">
        <v>6018</v>
      </c>
      <c r="BQ294" s="9" t="s">
        <v>442</v>
      </c>
      <c r="BR294" s="9" t="s">
        <v>3323</v>
      </c>
      <c r="BS294" s="9" t="s">
        <v>1692</v>
      </c>
      <c r="BT294" s="9" t="s">
        <v>404</v>
      </c>
      <c r="BU294" s="9" t="s">
        <v>405</v>
      </c>
      <c r="BW294" s="9" t="s">
        <v>988</v>
      </c>
      <c r="BY294" s="9" t="s">
        <v>408</v>
      </c>
      <c r="CB294" s="9" t="s">
        <v>6019</v>
      </c>
      <c r="CC294" s="9" t="s">
        <v>6020</v>
      </c>
      <c r="CD294" s="9" t="s">
        <v>409</v>
      </c>
      <c r="CE294" s="9" t="s">
        <v>6021</v>
      </c>
      <c r="CF294" s="9" t="s">
        <v>1749</v>
      </c>
      <c r="CG294" s="9" t="s">
        <v>6022</v>
      </c>
      <c r="CH294" s="9" t="s">
        <v>1751</v>
      </c>
      <c r="CI294" s="9" t="s">
        <v>410</v>
      </c>
      <c r="CJ294" s="9" t="s">
        <v>6023</v>
      </c>
      <c r="CK294" s="9" t="s">
        <v>6024</v>
      </c>
      <c r="DI294" s="9" t="s">
        <v>459</v>
      </c>
      <c r="DJ294" s="9" t="s">
        <v>613</v>
      </c>
      <c r="ET294" s="9" t="s">
        <v>478</v>
      </c>
      <c r="EU294" s="9" t="s">
        <v>887</v>
      </c>
      <c r="EV294" s="9" t="s">
        <v>527</v>
      </c>
      <c r="EW294" s="9" t="s">
        <v>6025</v>
      </c>
      <c r="EX294" s="9" t="s">
        <v>6026</v>
      </c>
      <c r="EZ294" s="9" t="s">
        <v>415</v>
      </c>
      <c r="FA294" s="9" t="s">
        <v>414</v>
      </c>
      <c r="FB294" s="9" t="s">
        <v>415</v>
      </c>
      <c r="FC294" s="9" t="s">
        <v>415</v>
      </c>
      <c r="FD294" s="9" t="s">
        <v>416</v>
      </c>
      <c r="FE294" s="9" t="s">
        <v>414</v>
      </c>
      <c r="FF294" s="9" t="s">
        <v>415</v>
      </c>
      <c r="FG294" s="9" t="s">
        <v>484</v>
      </c>
      <c r="FH294" s="9" t="s">
        <v>484</v>
      </c>
      <c r="FI294" s="9" t="s">
        <v>414</v>
      </c>
      <c r="FJ294" s="9" t="s">
        <v>415</v>
      </c>
      <c r="FK294" s="9" t="s">
        <v>484</v>
      </c>
      <c r="FL294" s="9" t="s">
        <v>484</v>
      </c>
      <c r="FM294" s="9" t="s">
        <v>416</v>
      </c>
      <c r="FN294" s="9" t="s">
        <v>583</v>
      </c>
      <c r="FO294" s="9" t="s">
        <v>485</v>
      </c>
      <c r="FP294" s="9" t="s">
        <v>418</v>
      </c>
      <c r="FQ294" s="9" t="s">
        <v>749</v>
      </c>
      <c r="FS294" s="9" t="s">
        <v>995</v>
      </c>
      <c r="FT294" s="9" t="s">
        <v>488</v>
      </c>
      <c r="FU294" s="9" t="s">
        <v>489</v>
      </c>
      <c r="FV294" s="9" t="s">
        <v>490</v>
      </c>
      <c r="FW294" s="9" t="s">
        <v>491</v>
      </c>
      <c r="FX294" s="9" t="s">
        <v>6027</v>
      </c>
      <c r="FY294" s="9" t="s">
        <v>535</v>
      </c>
      <c r="FZ294" s="9" t="s">
        <v>6028</v>
      </c>
      <c r="GA294" s="9" t="s">
        <v>6029</v>
      </c>
      <c r="GB294" s="9" t="s">
        <v>408</v>
      </c>
      <c r="GJ294" s="9" t="s">
        <v>755</v>
      </c>
      <c r="GK294" s="9" t="s">
        <v>755</v>
      </c>
      <c r="GL294" s="9" t="s">
        <v>756</v>
      </c>
      <c r="GP294" s="9" t="s">
        <v>387</v>
      </c>
      <c r="GQ294" s="9" t="s">
        <v>5656</v>
      </c>
      <c r="GR294" s="9" t="s">
        <v>5170</v>
      </c>
      <c r="GV294" s="9" t="s">
        <v>5231</v>
      </c>
      <c r="GW294" s="9" t="s">
        <v>5232</v>
      </c>
      <c r="GX294" s="9" t="s">
        <v>5262</v>
      </c>
      <c r="GY294" s="9" t="s">
        <v>5233</v>
      </c>
      <c r="GZ294" s="9" t="s">
        <v>6030</v>
      </c>
      <c r="HA294" s="9" t="s">
        <v>484</v>
      </c>
      <c r="HB294" s="9" t="s">
        <v>6031</v>
      </c>
      <c r="HO294" s="9" t="s">
        <v>5301</v>
      </c>
      <c r="HP294" s="9" t="s">
        <v>5264</v>
      </c>
      <c r="HQ294" s="9" t="s">
        <v>5238</v>
      </c>
      <c r="HR294" s="9" t="s">
        <v>6032</v>
      </c>
    </row>
    <row r="295" ht="24.75" customHeight="1">
      <c r="A295" s="8">
        <v>45903.48758677083</v>
      </c>
      <c r="B295" s="9" t="s">
        <v>368</v>
      </c>
      <c r="C295" s="9" t="s">
        <v>894</v>
      </c>
      <c r="D295" s="9" t="s">
        <v>894</v>
      </c>
      <c r="G295" s="9" t="s">
        <v>422</v>
      </c>
      <c r="H295" s="9" t="s">
        <v>496</v>
      </c>
      <c r="I295" s="9" t="s">
        <v>374</v>
      </c>
      <c r="J295" s="9" t="s">
        <v>375</v>
      </c>
      <c r="K295" s="9" t="s">
        <v>376</v>
      </c>
      <c r="L295" s="9" t="s">
        <v>426</v>
      </c>
      <c r="M295" s="9" t="s">
        <v>6033</v>
      </c>
      <c r="N295" s="9" t="s">
        <v>379</v>
      </c>
      <c r="O295" s="9" t="s">
        <v>1511</v>
      </c>
      <c r="P295" s="9" t="s">
        <v>381</v>
      </c>
      <c r="Q295" s="9" t="s">
        <v>382</v>
      </c>
      <c r="R295" s="9" t="s">
        <v>1704</v>
      </c>
      <c r="S295" s="9" t="s">
        <v>4742</v>
      </c>
      <c r="T295" s="9" t="s">
        <v>385</v>
      </c>
      <c r="U295" s="9" t="s">
        <v>896</v>
      </c>
      <c r="V295" s="9" t="s">
        <v>1025</v>
      </c>
      <c r="W295" s="9" t="s">
        <v>3014</v>
      </c>
      <c r="AV295" s="9" t="s">
        <v>597</v>
      </c>
      <c r="AW295" s="9">
        <v>4.0</v>
      </c>
      <c r="AX295" s="9" t="s">
        <v>391</v>
      </c>
      <c r="AY295" s="9">
        <v>2.0</v>
      </c>
      <c r="AZ295" s="9" t="s">
        <v>429</v>
      </c>
      <c r="BA295" s="9">
        <v>2.0</v>
      </c>
      <c r="BB295" s="9" t="s">
        <v>429</v>
      </c>
      <c r="BC295" s="9" t="s">
        <v>6034</v>
      </c>
      <c r="BD295" s="9" t="s">
        <v>6035</v>
      </c>
      <c r="BE295" s="9" t="s">
        <v>432</v>
      </c>
      <c r="BF295" s="9" t="s">
        <v>393</v>
      </c>
      <c r="BG295" s="9" t="s">
        <v>765</v>
      </c>
      <c r="BH295" s="9" t="s">
        <v>6036</v>
      </c>
      <c r="BI295" s="9" t="s">
        <v>509</v>
      </c>
      <c r="BJ295" s="9" t="s">
        <v>6037</v>
      </c>
      <c r="BK295" s="9" t="s">
        <v>395</v>
      </c>
      <c r="BL295" s="9" t="s">
        <v>438</v>
      </c>
      <c r="BM295" s="9" t="s">
        <v>549</v>
      </c>
      <c r="BN295" s="9" t="s">
        <v>513</v>
      </c>
      <c r="CL295" s="9" t="s">
        <v>441</v>
      </c>
      <c r="CM295" s="9" t="s">
        <v>604</v>
      </c>
      <c r="CN295" s="9" t="s">
        <v>6038</v>
      </c>
      <c r="CO295" s="9" t="s">
        <v>6039</v>
      </c>
      <c r="CP295" s="9" t="s">
        <v>685</v>
      </c>
      <c r="CQ295" s="9" t="s">
        <v>6040</v>
      </c>
      <c r="CR295" s="9" t="s">
        <v>447</v>
      </c>
      <c r="CS295" s="9" t="s">
        <v>6041</v>
      </c>
      <c r="CT295" s="9" t="s">
        <v>6042</v>
      </c>
      <c r="CU295" s="9" t="s">
        <v>450</v>
      </c>
      <c r="CV295" s="9" t="s">
        <v>451</v>
      </c>
      <c r="CW295" s="9" t="s">
        <v>6043</v>
      </c>
      <c r="CX295" s="9" t="s">
        <v>408</v>
      </c>
      <c r="CZ295" s="9" t="s">
        <v>453</v>
      </c>
      <c r="DA295" s="9" t="s">
        <v>6044</v>
      </c>
      <c r="DB295" s="9" t="s">
        <v>455</v>
      </c>
      <c r="DC295" s="9" t="s">
        <v>6045</v>
      </c>
      <c r="DD295" s="9" t="s">
        <v>988</v>
      </c>
      <c r="DE295" s="9" t="s">
        <v>1368</v>
      </c>
      <c r="DF295" s="9" t="s">
        <v>6046</v>
      </c>
      <c r="DG295" s="9" t="s">
        <v>561</v>
      </c>
      <c r="DH295" s="9" t="s">
        <v>410</v>
      </c>
      <c r="DI295" s="9" t="s">
        <v>459</v>
      </c>
      <c r="DJ295" s="9" t="s">
        <v>460</v>
      </c>
      <c r="DK295" s="9" t="s">
        <v>563</v>
      </c>
      <c r="DL295" s="9" t="s">
        <v>6047</v>
      </c>
      <c r="ET295" s="9" t="s">
        <v>2747</v>
      </c>
      <c r="EU295" s="9" t="s">
        <v>1127</v>
      </c>
      <c r="EV295" s="9" t="s">
        <v>527</v>
      </c>
      <c r="EW295" s="9" t="s">
        <v>6048</v>
      </c>
      <c r="EX295" s="9" t="s">
        <v>6049</v>
      </c>
      <c r="EZ295" s="9" t="s">
        <v>414</v>
      </c>
      <c r="FA295" s="9" t="s">
        <v>414</v>
      </c>
      <c r="FB295" s="9" t="s">
        <v>415</v>
      </c>
      <c r="FD295" s="9" t="s">
        <v>413</v>
      </c>
      <c r="FE295" s="9" t="s">
        <v>414</v>
      </c>
      <c r="FF295" s="9" t="s">
        <v>414</v>
      </c>
      <c r="FG295" s="9" t="s">
        <v>416</v>
      </c>
      <c r="FH295" s="9" t="s">
        <v>414</v>
      </c>
      <c r="FI295" s="9" t="s">
        <v>414</v>
      </c>
      <c r="FJ295" s="9" t="s">
        <v>415</v>
      </c>
      <c r="FK295" s="9" t="s">
        <v>414</v>
      </c>
      <c r="FL295" s="9" t="s">
        <v>414</v>
      </c>
      <c r="FM295" s="9" t="s">
        <v>416</v>
      </c>
      <c r="FN295" s="9" t="s">
        <v>414</v>
      </c>
      <c r="FO295" s="9" t="s">
        <v>417</v>
      </c>
      <c r="FP295" s="9" t="s">
        <v>418</v>
      </c>
      <c r="FQ295" s="9" t="s">
        <v>531</v>
      </c>
      <c r="FR295" s="9" t="s">
        <v>6050</v>
      </c>
      <c r="FS295" s="9" t="s">
        <v>420</v>
      </c>
      <c r="FT295" s="9" t="s">
        <v>488</v>
      </c>
      <c r="FU295" s="9" t="s">
        <v>1235</v>
      </c>
      <c r="FV295" s="9" t="s">
        <v>490</v>
      </c>
      <c r="FW295" s="9" t="s">
        <v>491</v>
      </c>
      <c r="FX295" s="9" t="s">
        <v>6051</v>
      </c>
      <c r="FY295" s="9" t="s">
        <v>535</v>
      </c>
      <c r="FZ295" s="9" t="s">
        <v>6052</v>
      </c>
      <c r="GB295" s="9" t="s">
        <v>408</v>
      </c>
      <c r="GG295" s="9" t="s">
        <v>1000</v>
      </c>
      <c r="GH295" s="9" t="s">
        <v>1000</v>
      </c>
      <c r="GI295" s="9" t="s">
        <v>756</v>
      </c>
      <c r="GQ295" s="9" t="s">
        <v>3306</v>
      </c>
      <c r="GT295" s="9" t="s">
        <v>4774</v>
      </c>
      <c r="GV295" s="9" t="s">
        <v>5231</v>
      </c>
      <c r="GW295" s="9" t="s">
        <v>5232</v>
      </c>
      <c r="HC295" s="9" t="s">
        <v>6053</v>
      </c>
      <c r="HD295" s="9" t="s">
        <v>5282</v>
      </c>
      <c r="HE295" s="9" t="s">
        <v>5492</v>
      </c>
      <c r="HF295" s="9" t="s">
        <v>5493</v>
      </c>
      <c r="HO295" s="9" t="s">
        <v>5383</v>
      </c>
      <c r="HP295" s="9" t="s">
        <v>5302</v>
      </c>
      <c r="HQ295" s="9" t="s">
        <v>5238</v>
      </c>
      <c r="HR295" s="9" t="s">
        <v>5321</v>
      </c>
      <c r="HW295" s="9" t="s">
        <v>5628</v>
      </c>
    </row>
    <row r="296" ht="24.75" customHeight="1">
      <c r="A296" s="8">
        <v>45903.51030376158</v>
      </c>
      <c r="B296" s="9" t="s">
        <v>368</v>
      </c>
      <c r="C296" s="9" t="s">
        <v>370</v>
      </c>
      <c r="D296" s="9" t="s">
        <v>370</v>
      </c>
      <c r="E296" s="9" t="s">
        <v>371</v>
      </c>
      <c r="F296" s="9" t="s">
        <v>1421</v>
      </c>
      <c r="G296" s="9" t="s">
        <v>422</v>
      </c>
      <c r="H296" s="9" t="s">
        <v>496</v>
      </c>
      <c r="I296" s="9" t="s">
        <v>374</v>
      </c>
      <c r="J296" s="9" t="s">
        <v>425</v>
      </c>
      <c r="K296" s="9" t="s">
        <v>376</v>
      </c>
      <c r="L296" s="9" t="s">
        <v>793</v>
      </c>
      <c r="M296" s="9" t="s">
        <v>639</v>
      </c>
      <c r="N296" s="9" t="s">
        <v>426</v>
      </c>
      <c r="O296" s="9" t="s">
        <v>380</v>
      </c>
      <c r="P296" s="9" t="s">
        <v>1760</v>
      </c>
      <c r="Q296" s="9" t="s">
        <v>382</v>
      </c>
      <c r="R296" s="9" t="s">
        <v>949</v>
      </c>
      <c r="S296" s="9" t="s">
        <v>4742</v>
      </c>
      <c r="T296" s="9" t="s">
        <v>385</v>
      </c>
      <c r="W296" s="9" t="s">
        <v>3231</v>
      </c>
      <c r="AV296" s="9" t="s">
        <v>390</v>
      </c>
      <c r="AW296" s="9">
        <v>2.0</v>
      </c>
      <c r="AX296" s="9" t="s">
        <v>675</v>
      </c>
      <c r="AY296" s="9">
        <v>2.0</v>
      </c>
      <c r="AZ296" s="9">
        <v>2.0</v>
      </c>
      <c r="BA296" s="9">
        <v>4.0</v>
      </c>
      <c r="BB296" s="9" t="s">
        <v>391</v>
      </c>
      <c r="BC296" s="9" t="s">
        <v>6054</v>
      </c>
      <c r="BD296" s="9" t="s">
        <v>6055</v>
      </c>
      <c r="BE296" s="9" t="s">
        <v>902</v>
      </c>
      <c r="BF296" s="9" t="s">
        <v>1047</v>
      </c>
      <c r="BG296" s="9" t="s">
        <v>678</v>
      </c>
      <c r="BH296" s="9" t="s">
        <v>6056</v>
      </c>
      <c r="BI296" s="9" t="s">
        <v>435</v>
      </c>
      <c r="BJ296" s="9" t="s">
        <v>6057</v>
      </c>
      <c r="BK296" s="9" t="s">
        <v>602</v>
      </c>
      <c r="BL296" s="9" t="s">
        <v>904</v>
      </c>
      <c r="BM296" s="9" t="s">
        <v>549</v>
      </c>
      <c r="BN296" s="9" t="s">
        <v>398</v>
      </c>
      <c r="BO296" s="9" t="s">
        <v>6058</v>
      </c>
      <c r="BP296" s="9" t="s">
        <v>6059</v>
      </c>
      <c r="BQ296" s="9" t="s">
        <v>442</v>
      </c>
      <c r="BR296" s="9" t="s">
        <v>6060</v>
      </c>
      <c r="BS296" s="9" t="s">
        <v>1692</v>
      </c>
      <c r="BT296" s="9" t="s">
        <v>404</v>
      </c>
      <c r="BU296" s="9" t="s">
        <v>1772</v>
      </c>
      <c r="BV296" s="9" t="s">
        <v>6061</v>
      </c>
      <c r="BW296" s="9" t="s">
        <v>406</v>
      </c>
      <c r="BX296" s="9" t="s">
        <v>407</v>
      </c>
      <c r="BY296" s="9" t="s">
        <v>408</v>
      </c>
      <c r="CB296" s="9" t="s">
        <v>6062</v>
      </c>
      <c r="CC296" s="9" t="s">
        <v>6063</v>
      </c>
      <c r="CD296" s="9" t="s">
        <v>409</v>
      </c>
      <c r="CE296" s="9" t="s">
        <v>6064</v>
      </c>
      <c r="CF296" s="9" t="s">
        <v>1749</v>
      </c>
      <c r="CG296" s="9" t="s">
        <v>6065</v>
      </c>
      <c r="CH296" s="9" t="s">
        <v>1751</v>
      </c>
      <c r="CI296" s="9" t="s">
        <v>1220</v>
      </c>
      <c r="CJ296" s="9" t="s">
        <v>6066</v>
      </c>
      <c r="CK296" s="9" t="s">
        <v>6067</v>
      </c>
      <c r="DI296" s="9" t="s">
        <v>459</v>
      </c>
      <c r="DJ296" s="9" t="s">
        <v>613</v>
      </c>
      <c r="ET296" s="9" t="s">
        <v>478</v>
      </c>
      <c r="EU296" s="9" t="s">
        <v>1127</v>
      </c>
      <c r="EV296" s="9" t="s">
        <v>527</v>
      </c>
      <c r="EX296" s="9" t="s">
        <v>6068</v>
      </c>
      <c r="EY296" s="9" t="s">
        <v>6069</v>
      </c>
      <c r="EZ296" s="9" t="s">
        <v>413</v>
      </c>
      <c r="FA296" s="9" t="s">
        <v>413</v>
      </c>
      <c r="FB296" s="9" t="s">
        <v>413</v>
      </c>
      <c r="FC296" s="9" t="s">
        <v>413</v>
      </c>
      <c r="FD296" s="9" t="s">
        <v>413</v>
      </c>
      <c r="FE296" s="9" t="s">
        <v>413</v>
      </c>
      <c r="FF296" s="9" t="s">
        <v>413</v>
      </c>
      <c r="FG296" s="9" t="s">
        <v>413</v>
      </c>
      <c r="FH296" s="9" t="s">
        <v>583</v>
      </c>
      <c r="FI296" s="9" t="s">
        <v>484</v>
      </c>
      <c r="FJ296" s="9" t="s">
        <v>484</v>
      </c>
      <c r="FK296" s="9" t="s">
        <v>484</v>
      </c>
      <c r="FL296" s="9" t="s">
        <v>484</v>
      </c>
      <c r="FM296" s="9" t="s">
        <v>413</v>
      </c>
      <c r="FO296" s="9" t="s">
        <v>417</v>
      </c>
      <c r="FP296" s="9" t="s">
        <v>418</v>
      </c>
      <c r="FQ296" s="9" t="s">
        <v>712</v>
      </c>
      <c r="FR296" s="9" t="s">
        <v>6070</v>
      </c>
      <c r="FS296" s="9" t="s">
        <v>420</v>
      </c>
      <c r="FT296" s="9" t="s">
        <v>488</v>
      </c>
      <c r="FU296" s="9" t="s">
        <v>918</v>
      </c>
      <c r="FV296" s="9" t="s">
        <v>490</v>
      </c>
      <c r="FW296" s="9" t="s">
        <v>491</v>
      </c>
      <c r="FX296" s="9" t="s">
        <v>6071</v>
      </c>
      <c r="FY296" s="9" t="s">
        <v>535</v>
      </c>
      <c r="GB296" s="9" t="s">
        <v>408</v>
      </c>
      <c r="GJ296" s="9" t="s">
        <v>920</v>
      </c>
      <c r="GK296" s="9" t="s">
        <v>920</v>
      </c>
      <c r="GL296" s="9" t="s">
        <v>756</v>
      </c>
      <c r="GP296" s="9" t="s">
        <v>387</v>
      </c>
      <c r="GQ296" s="9" t="s">
        <v>6072</v>
      </c>
      <c r="GR296" s="9" t="s">
        <v>4774</v>
      </c>
      <c r="GV296" s="9" t="s">
        <v>5231</v>
      </c>
      <c r="GW296" s="9" t="s">
        <v>5232</v>
      </c>
      <c r="GX296" s="9" t="s">
        <v>5281</v>
      </c>
      <c r="GY296" s="9" t="s">
        <v>5233</v>
      </c>
      <c r="GZ296" s="9" t="s">
        <v>484</v>
      </c>
      <c r="HA296" s="9" t="s">
        <v>484</v>
      </c>
      <c r="HB296" s="9" t="s">
        <v>6073</v>
      </c>
      <c r="HO296" s="9" t="s">
        <v>5236</v>
      </c>
      <c r="HP296" s="9" t="s">
        <v>5371</v>
      </c>
      <c r="HQ296" s="9" t="s">
        <v>5238</v>
      </c>
      <c r="HR296" s="9" t="s">
        <v>5287</v>
      </c>
    </row>
    <row r="297" ht="24.75" customHeight="1">
      <c r="A297" s="8">
        <v>45903.51222153935</v>
      </c>
      <c r="B297" s="9" t="s">
        <v>368</v>
      </c>
      <c r="C297" s="9" t="s">
        <v>370</v>
      </c>
      <c r="D297" s="9" t="s">
        <v>370</v>
      </c>
      <c r="E297" s="9" t="s">
        <v>1421</v>
      </c>
      <c r="F297" s="9" t="s">
        <v>1421</v>
      </c>
      <c r="G297" s="9" t="s">
        <v>422</v>
      </c>
      <c r="H297" s="9" t="s">
        <v>496</v>
      </c>
      <c r="I297" s="9" t="s">
        <v>374</v>
      </c>
      <c r="J297" s="9" t="s">
        <v>375</v>
      </c>
      <c r="K297" s="9" t="s">
        <v>376</v>
      </c>
      <c r="L297" s="9" t="s">
        <v>426</v>
      </c>
      <c r="M297" s="9" t="s">
        <v>541</v>
      </c>
      <c r="N297" s="9" t="s">
        <v>591</v>
      </c>
      <c r="O297" s="9" t="s">
        <v>497</v>
      </c>
      <c r="P297" s="9" t="s">
        <v>498</v>
      </c>
      <c r="Q297" s="9" t="s">
        <v>1004</v>
      </c>
      <c r="R297" s="9" t="s">
        <v>949</v>
      </c>
      <c r="S297" s="9" t="s">
        <v>6074</v>
      </c>
      <c r="T297" s="9" t="s">
        <v>385</v>
      </c>
      <c r="W297" s="9" t="s">
        <v>3014</v>
      </c>
      <c r="AV297" s="9" t="s">
        <v>390</v>
      </c>
      <c r="AW297" s="9" t="s">
        <v>391</v>
      </c>
      <c r="AX297" s="9" t="s">
        <v>391</v>
      </c>
      <c r="AY297" s="9">
        <v>2.0</v>
      </c>
      <c r="AZ297" s="9">
        <v>2.0</v>
      </c>
      <c r="BA297" s="9">
        <v>2.0</v>
      </c>
      <c r="BB297" s="9">
        <v>2.0</v>
      </c>
      <c r="BC297" s="9" t="s">
        <v>6075</v>
      </c>
      <c r="BD297" s="9" t="s">
        <v>6076</v>
      </c>
      <c r="BE297" s="9" t="s">
        <v>902</v>
      </c>
      <c r="BF297" s="9" t="s">
        <v>393</v>
      </c>
      <c r="BG297" s="9" t="s">
        <v>434</v>
      </c>
      <c r="BH297" s="9" t="s">
        <v>6077</v>
      </c>
      <c r="BI297" s="9" t="s">
        <v>509</v>
      </c>
      <c r="BJ297" s="9" t="s">
        <v>6078</v>
      </c>
      <c r="BK297" s="9" t="s">
        <v>681</v>
      </c>
      <c r="BL297" s="9" t="s">
        <v>512</v>
      </c>
      <c r="BM297" s="9" t="s">
        <v>549</v>
      </c>
      <c r="BN297" s="9" t="s">
        <v>513</v>
      </c>
      <c r="CL297" s="9" t="s">
        <v>441</v>
      </c>
      <c r="CM297" s="9" t="s">
        <v>604</v>
      </c>
      <c r="CN297" s="9" t="s">
        <v>6079</v>
      </c>
      <c r="CO297" s="9" t="s">
        <v>6080</v>
      </c>
      <c r="CP297" s="9" t="s">
        <v>1948</v>
      </c>
      <c r="CQ297" s="9" t="s">
        <v>5701</v>
      </c>
      <c r="CR297" s="9" t="s">
        <v>447</v>
      </c>
      <c r="CS297" s="9" t="s">
        <v>6081</v>
      </c>
      <c r="CT297" s="9" t="s">
        <v>6082</v>
      </c>
      <c r="CU297" s="9" t="s">
        <v>1852</v>
      </c>
      <c r="CV297" s="9" t="s">
        <v>409</v>
      </c>
      <c r="CW297" s="9" t="s">
        <v>6083</v>
      </c>
      <c r="CX297" s="9" t="s">
        <v>408</v>
      </c>
      <c r="CZ297" s="9" t="s">
        <v>1962</v>
      </c>
      <c r="DB297" s="9" t="s">
        <v>408</v>
      </c>
      <c r="DD297" s="9" t="s">
        <v>988</v>
      </c>
      <c r="DF297" s="9" t="s">
        <v>6084</v>
      </c>
      <c r="DG297" s="9" t="s">
        <v>990</v>
      </c>
      <c r="DH297" s="9" t="s">
        <v>1964</v>
      </c>
      <c r="DI297" s="9" t="s">
        <v>459</v>
      </c>
      <c r="DJ297" s="9" t="s">
        <v>613</v>
      </c>
      <c r="ET297" s="9" t="s">
        <v>478</v>
      </c>
      <c r="EU297" s="9" t="s">
        <v>1037</v>
      </c>
      <c r="EV297" s="9" t="s">
        <v>580</v>
      </c>
      <c r="EX297" s="9" t="s">
        <v>6085</v>
      </c>
      <c r="EY297" s="9" t="s">
        <v>6085</v>
      </c>
      <c r="EZ297" s="9" t="s">
        <v>414</v>
      </c>
      <c r="FA297" s="9" t="s">
        <v>414</v>
      </c>
      <c r="FB297" s="9" t="s">
        <v>416</v>
      </c>
      <c r="FC297" s="9" t="s">
        <v>415</v>
      </c>
      <c r="FD297" s="9" t="s">
        <v>416</v>
      </c>
      <c r="FE297" s="9" t="s">
        <v>415</v>
      </c>
      <c r="FF297" s="9" t="s">
        <v>484</v>
      </c>
      <c r="FG297" s="9" t="s">
        <v>484</v>
      </c>
      <c r="FH297" s="9" t="s">
        <v>484</v>
      </c>
      <c r="FI297" s="9" t="s">
        <v>484</v>
      </c>
      <c r="FJ297" s="9" t="s">
        <v>484</v>
      </c>
      <c r="FK297" s="9" t="s">
        <v>484</v>
      </c>
      <c r="FL297" s="9" t="s">
        <v>484</v>
      </c>
      <c r="FM297" s="9" t="s">
        <v>484</v>
      </c>
      <c r="FN297" s="9" t="s">
        <v>484</v>
      </c>
      <c r="FO297" s="9" t="s">
        <v>3396</v>
      </c>
      <c r="FP297" s="9" t="s">
        <v>486</v>
      </c>
      <c r="FQ297" s="9" t="s">
        <v>712</v>
      </c>
      <c r="FS297" s="9" t="s">
        <v>995</v>
      </c>
      <c r="FT297" s="9" t="s">
        <v>1462</v>
      </c>
      <c r="FU297" s="9" t="s">
        <v>918</v>
      </c>
      <c r="FV297" s="9" t="s">
        <v>490</v>
      </c>
      <c r="FW297" s="9" t="s">
        <v>491</v>
      </c>
      <c r="FX297" s="9" t="s">
        <v>6086</v>
      </c>
      <c r="FY297" s="9" t="s">
        <v>493</v>
      </c>
      <c r="GB297" s="9" t="s">
        <v>408</v>
      </c>
      <c r="GG297" s="9" t="s">
        <v>789</v>
      </c>
      <c r="GH297" s="9" t="s">
        <v>920</v>
      </c>
      <c r="GI297" s="9" t="s">
        <v>756</v>
      </c>
      <c r="GQ297" s="9" t="s">
        <v>5656</v>
      </c>
      <c r="GT297" s="9" t="s">
        <v>5081</v>
      </c>
      <c r="GU297" s="9" t="s">
        <v>6087</v>
      </c>
      <c r="GV297" s="9" t="s">
        <v>5231</v>
      </c>
      <c r="GW297" s="9" t="s">
        <v>484</v>
      </c>
      <c r="HC297" s="9" t="s">
        <v>484</v>
      </c>
      <c r="HD297" s="9" t="s">
        <v>5282</v>
      </c>
      <c r="HE297" s="9" t="s">
        <v>5492</v>
      </c>
      <c r="HF297" s="9" t="s">
        <v>5899</v>
      </c>
      <c r="HO297" s="9" t="s">
        <v>5236</v>
      </c>
      <c r="HP297" s="9" t="s">
        <v>5371</v>
      </c>
      <c r="HQ297" s="9" t="s">
        <v>5238</v>
      </c>
      <c r="HR297" s="9" t="s">
        <v>5321</v>
      </c>
      <c r="HW297" s="9" t="s">
        <v>5628</v>
      </c>
    </row>
    <row r="298" ht="24.75" customHeight="1">
      <c r="A298" s="8">
        <v>45903.55631206019</v>
      </c>
      <c r="B298" s="9" t="s">
        <v>368</v>
      </c>
      <c r="C298" s="9" t="s">
        <v>370</v>
      </c>
      <c r="D298" s="9" t="s">
        <v>370</v>
      </c>
      <c r="E298" s="9" t="s">
        <v>371</v>
      </c>
      <c r="F298" s="9" t="s">
        <v>371</v>
      </c>
      <c r="G298" s="9" t="s">
        <v>422</v>
      </c>
      <c r="H298" s="9" t="s">
        <v>496</v>
      </c>
      <c r="I298" s="9" t="s">
        <v>374</v>
      </c>
      <c r="J298" s="9" t="s">
        <v>375</v>
      </c>
      <c r="K298" s="9" t="s">
        <v>376</v>
      </c>
      <c r="L298" s="9" t="s">
        <v>379</v>
      </c>
      <c r="M298" s="9" t="s">
        <v>378</v>
      </c>
      <c r="N298" s="9" t="s">
        <v>591</v>
      </c>
      <c r="O298" s="9" t="s">
        <v>671</v>
      </c>
      <c r="P298" s="9" t="s">
        <v>498</v>
      </c>
      <c r="Q298" s="9" t="s">
        <v>862</v>
      </c>
      <c r="R298" s="9" t="s">
        <v>1704</v>
      </c>
      <c r="S298" s="9" t="s">
        <v>6088</v>
      </c>
      <c r="T298" s="9" t="s">
        <v>385</v>
      </c>
      <c r="W298" s="9" t="s">
        <v>386</v>
      </c>
      <c r="X298" s="9" t="s">
        <v>6089</v>
      </c>
      <c r="AV298" s="9" t="s">
        <v>597</v>
      </c>
      <c r="AW298" s="9">
        <v>4.0</v>
      </c>
      <c r="AX298" s="9">
        <v>4.0</v>
      </c>
      <c r="AY298" s="9" t="s">
        <v>391</v>
      </c>
      <c r="AZ298" s="9" t="s">
        <v>391</v>
      </c>
      <c r="BA298" s="9">
        <v>4.0</v>
      </c>
      <c r="BB298" s="9">
        <v>4.0</v>
      </c>
      <c r="BC298" s="9" t="s">
        <v>6090</v>
      </c>
      <c r="BD298" s="9" t="s">
        <v>6091</v>
      </c>
      <c r="BE298" s="9" t="s">
        <v>1094</v>
      </c>
      <c r="BF298" s="9" t="s">
        <v>393</v>
      </c>
      <c r="BG298" s="9" t="s">
        <v>434</v>
      </c>
      <c r="BH298" s="9" t="s">
        <v>6092</v>
      </c>
      <c r="BI298" s="9" t="s">
        <v>976</v>
      </c>
      <c r="BK298" s="9" t="s">
        <v>395</v>
      </c>
      <c r="BL298" s="9" t="s">
        <v>904</v>
      </c>
      <c r="BM298" s="9" t="s">
        <v>1276</v>
      </c>
      <c r="BN298" s="9" t="s">
        <v>398</v>
      </c>
      <c r="BO298" s="9" t="s">
        <v>6093</v>
      </c>
      <c r="BP298" s="9" t="s">
        <v>6094</v>
      </c>
      <c r="BQ298" s="9" t="s">
        <v>401</v>
      </c>
      <c r="BR298" s="9" t="s">
        <v>6095</v>
      </c>
      <c r="BS298" s="9" t="s">
        <v>403</v>
      </c>
      <c r="BT298" s="9" t="s">
        <v>404</v>
      </c>
      <c r="BU298" s="9" t="s">
        <v>405</v>
      </c>
      <c r="BW298" s="9" t="s">
        <v>988</v>
      </c>
      <c r="BY298" s="9" t="s">
        <v>733</v>
      </c>
      <c r="BZ298" s="9" t="s">
        <v>6096</v>
      </c>
      <c r="CB298" s="9" t="s">
        <v>6097</v>
      </c>
      <c r="CC298" s="9" t="s">
        <v>6098</v>
      </c>
      <c r="CD298" s="9" t="s">
        <v>1931</v>
      </c>
      <c r="CF298" s="9" t="s">
        <v>1749</v>
      </c>
      <c r="CG298" s="9" t="s">
        <v>6099</v>
      </c>
      <c r="CH298" s="9" t="s">
        <v>1698</v>
      </c>
      <c r="CI298" s="9" t="s">
        <v>1220</v>
      </c>
      <c r="CJ298" s="9" t="s">
        <v>6100</v>
      </c>
      <c r="CK298" s="9" t="s">
        <v>6101</v>
      </c>
      <c r="DI298" s="9" t="s">
        <v>459</v>
      </c>
      <c r="DJ298" s="9" t="s">
        <v>460</v>
      </c>
      <c r="DK298" s="9" t="s">
        <v>525</v>
      </c>
      <c r="ET298" s="9" t="s">
        <v>478</v>
      </c>
      <c r="EU298" s="9" t="s">
        <v>887</v>
      </c>
      <c r="EV298" s="9" t="s">
        <v>663</v>
      </c>
      <c r="EX298" s="9" t="s">
        <v>404</v>
      </c>
      <c r="EY298" s="9" t="s">
        <v>404</v>
      </c>
      <c r="EZ298" s="9" t="s">
        <v>414</v>
      </c>
      <c r="FA298" s="9" t="s">
        <v>414</v>
      </c>
      <c r="FB298" s="9" t="s">
        <v>415</v>
      </c>
      <c r="FC298" s="9" t="s">
        <v>415</v>
      </c>
      <c r="FD298" s="9" t="s">
        <v>416</v>
      </c>
      <c r="FE298" s="9" t="s">
        <v>414</v>
      </c>
      <c r="FF298" s="9" t="s">
        <v>415</v>
      </c>
      <c r="FG298" s="9" t="s">
        <v>415</v>
      </c>
      <c r="FH298" s="9" t="s">
        <v>415</v>
      </c>
      <c r="FI298" s="9" t="s">
        <v>415</v>
      </c>
      <c r="FJ298" s="9" t="s">
        <v>415</v>
      </c>
      <c r="FK298" s="9" t="s">
        <v>415</v>
      </c>
      <c r="FL298" s="9" t="s">
        <v>415</v>
      </c>
      <c r="FM298" s="9" t="s">
        <v>415</v>
      </c>
      <c r="FN298" s="9" t="s">
        <v>415</v>
      </c>
      <c r="FO298" s="9" t="s">
        <v>850</v>
      </c>
      <c r="FP298" s="9" t="s">
        <v>1200</v>
      </c>
      <c r="FQ298" s="9" t="s">
        <v>712</v>
      </c>
      <c r="FS298" s="9" t="s">
        <v>995</v>
      </c>
      <c r="FT298" s="9" t="s">
        <v>421</v>
      </c>
      <c r="FU298" s="9" t="s">
        <v>489</v>
      </c>
      <c r="FV298" s="9" t="s">
        <v>1101</v>
      </c>
      <c r="FW298" s="9" t="s">
        <v>491</v>
      </c>
      <c r="FY298" s="9" t="s">
        <v>1020</v>
      </c>
      <c r="FZ298" s="9" t="s">
        <v>6102</v>
      </c>
      <c r="GA298" s="9" t="s">
        <v>6103</v>
      </c>
      <c r="GB298" s="9" t="s">
        <v>408</v>
      </c>
      <c r="GJ298" s="9" t="s">
        <v>789</v>
      </c>
      <c r="GK298" s="9" t="s">
        <v>789</v>
      </c>
      <c r="GL298" s="9" t="s">
        <v>790</v>
      </c>
      <c r="GQ298" s="9" t="s">
        <v>6104</v>
      </c>
      <c r="GR298" s="9" t="s">
        <v>4774</v>
      </c>
      <c r="GV298" s="9" t="s">
        <v>5231</v>
      </c>
      <c r="GW298" s="9" t="s">
        <v>484</v>
      </c>
      <c r="GX298" s="9" t="s">
        <v>484</v>
      </c>
      <c r="GY298" s="9" t="s">
        <v>5233</v>
      </c>
      <c r="GZ298" s="9" t="s">
        <v>6030</v>
      </c>
      <c r="HA298" s="9" t="s">
        <v>484</v>
      </c>
      <c r="HB298" s="9" t="s">
        <v>6105</v>
      </c>
      <c r="HO298" s="9" t="s">
        <v>5301</v>
      </c>
      <c r="HP298" s="9" t="s">
        <v>5264</v>
      </c>
      <c r="HQ298" s="9" t="s">
        <v>5238</v>
      </c>
      <c r="HR298" s="9" t="s">
        <v>6106</v>
      </c>
    </row>
    <row r="299" ht="24.75" customHeight="1">
      <c r="A299" s="8">
        <v>45903.60210783565</v>
      </c>
      <c r="B299" s="9" t="s">
        <v>368</v>
      </c>
      <c r="C299" s="9" t="s">
        <v>370</v>
      </c>
      <c r="D299" s="9" t="s">
        <v>370</v>
      </c>
      <c r="E299" s="9" t="s">
        <v>1001</v>
      </c>
      <c r="F299" s="9" t="s">
        <v>1001</v>
      </c>
      <c r="G299" s="9" t="s">
        <v>422</v>
      </c>
      <c r="H299" s="9" t="s">
        <v>373</v>
      </c>
      <c r="I299" s="9" t="s">
        <v>374</v>
      </c>
      <c r="J299" s="9" t="s">
        <v>375</v>
      </c>
      <c r="K299" s="9" t="s">
        <v>376</v>
      </c>
      <c r="L299" s="9" t="s">
        <v>670</v>
      </c>
      <c r="M299" s="9" t="s">
        <v>720</v>
      </c>
      <c r="N299" s="9" t="s">
        <v>591</v>
      </c>
      <c r="O299" s="9" t="s">
        <v>719</v>
      </c>
      <c r="P299" s="9" t="s">
        <v>498</v>
      </c>
      <c r="Q299" s="9" t="s">
        <v>862</v>
      </c>
      <c r="R299" s="9" t="s">
        <v>2360</v>
      </c>
      <c r="S299" s="9" t="s">
        <v>1512</v>
      </c>
      <c r="T299" s="9" t="s">
        <v>385</v>
      </c>
      <c r="W299" s="9" t="s">
        <v>3231</v>
      </c>
      <c r="AV299" s="9" t="s">
        <v>1310</v>
      </c>
      <c r="AW299" s="9" t="s">
        <v>391</v>
      </c>
      <c r="AX299" s="9" t="s">
        <v>391</v>
      </c>
      <c r="AY299" s="9">
        <v>2.0</v>
      </c>
      <c r="AZ299" s="9" t="s">
        <v>675</v>
      </c>
      <c r="BA299" s="9" t="s">
        <v>675</v>
      </c>
      <c r="BB299" s="9" t="s">
        <v>391</v>
      </c>
      <c r="BC299" s="9" t="s">
        <v>6107</v>
      </c>
      <c r="BD299" s="9" t="s">
        <v>6108</v>
      </c>
      <c r="BE299" s="9" t="s">
        <v>392</v>
      </c>
      <c r="BF299" s="9" t="s">
        <v>433</v>
      </c>
      <c r="BG299" s="9" t="s">
        <v>434</v>
      </c>
      <c r="BH299" s="9" t="s">
        <v>6109</v>
      </c>
      <c r="BI299" s="9" t="s">
        <v>509</v>
      </c>
      <c r="BJ299" s="9" t="s">
        <v>6110</v>
      </c>
      <c r="BK299" s="9" t="s">
        <v>395</v>
      </c>
      <c r="BL299" s="9" t="s">
        <v>603</v>
      </c>
      <c r="BM299" s="9" t="s">
        <v>397</v>
      </c>
      <c r="BN299" s="9" t="s">
        <v>398</v>
      </c>
      <c r="BO299" s="9" t="s">
        <v>6111</v>
      </c>
      <c r="BP299" s="9" t="s">
        <v>6112</v>
      </c>
      <c r="BQ299" s="9" t="s">
        <v>604</v>
      </c>
      <c r="BR299" s="9" t="s">
        <v>6113</v>
      </c>
      <c r="BS299" s="9" t="s">
        <v>1741</v>
      </c>
      <c r="BT299" s="9" t="s">
        <v>404</v>
      </c>
      <c r="BU299" s="9" t="s">
        <v>405</v>
      </c>
      <c r="BW299" s="9" t="s">
        <v>406</v>
      </c>
      <c r="BX299" s="9" t="s">
        <v>2503</v>
      </c>
      <c r="BY299" s="9" t="s">
        <v>455</v>
      </c>
      <c r="BZ299" s="9" t="s">
        <v>6114</v>
      </c>
      <c r="CA299" s="9" t="s">
        <v>6115</v>
      </c>
      <c r="CB299" s="9" t="s">
        <v>6116</v>
      </c>
      <c r="CC299" s="9" t="s">
        <v>6117</v>
      </c>
      <c r="CD299" s="9" t="s">
        <v>409</v>
      </c>
      <c r="CE299" s="9" t="s">
        <v>6118</v>
      </c>
      <c r="CF299" s="9" t="s">
        <v>1722</v>
      </c>
      <c r="CG299" s="9" t="s">
        <v>6119</v>
      </c>
      <c r="CH299" s="9" t="s">
        <v>1259</v>
      </c>
      <c r="CJ299" s="9" t="s">
        <v>6120</v>
      </c>
      <c r="CK299" s="9" t="s">
        <v>6121</v>
      </c>
      <c r="DI299" s="9" t="s">
        <v>963</v>
      </c>
      <c r="DJ299" s="9" t="s">
        <v>562</v>
      </c>
      <c r="DK299" s="9" t="s">
        <v>525</v>
      </c>
      <c r="ET299" s="9" t="s">
        <v>478</v>
      </c>
      <c r="EU299" s="9" t="s">
        <v>887</v>
      </c>
      <c r="EV299" s="9" t="s">
        <v>480</v>
      </c>
      <c r="FO299" s="9" t="s">
        <v>485</v>
      </c>
      <c r="FP299" s="9" t="s">
        <v>486</v>
      </c>
      <c r="FQ299" s="9" t="s">
        <v>419</v>
      </c>
      <c r="FS299" s="9" t="s">
        <v>995</v>
      </c>
      <c r="FT299" s="9" t="s">
        <v>421</v>
      </c>
      <c r="FU299" s="9" t="s">
        <v>489</v>
      </c>
      <c r="FV299" s="9" t="s">
        <v>490</v>
      </c>
      <c r="FW299" s="9" t="s">
        <v>491</v>
      </c>
      <c r="FY299" s="9" t="s">
        <v>493</v>
      </c>
      <c r="FZ299" s="9" t="s">
        <v>6122</v>
      </c>
      <c r="GA299" s="9" t="s">
        <v>6123</v>
      </c>
      <c r="GB299" s="9" t="s">
        <v>455</v>
      </c>
      <c r="GC299" s="9"/>
      <c r="GD299" s="9"/>
      <c r="GE299" s="9" t="s">
        <v>753</v>
      </c>
      <c r="GJ299" s="9" t="s">
        <v>1000</v>
      </c>
      <c r="GK299" s="9" t="s">
        <v>1000</v>
      </c>
      <c r="GL299" s="9" t="s">
        <v>756</v>
      </c>
      <c r="GP299" s="9" t="s">
        <v>6124</v>
      </c>
      <c r="GQ299" s="9" t="s">
        <v>5656</v>
      </c>
      <c r="GR299" s="9" t="s">
        <v>4774</v>
      </c>
      <c r="GV299" s="9" t="s">
        <v>5260</v>
      </c>
      <c r="GW299" s="9" t="s">
        <v>5261</v>
      </c>
      <c r="GX299" s="9" t="s">
        <v>484</v>
      </c>
      <c r="GY299" s="9" t="s">
        <v>6125</v>
      </c>
      <c r="GZ299" s="9" t="s">
        <v>484</v>
      </c>
      <c r="HA299" s="9" t="s">
        <v>484</v>
      </c>
      <c r="HB299" s="9" t="s">
        <v>6126</v>
      </c>
      <c r="HP299" s="9" t="s">
        <v>5237</v>
      </c>
      <c r="HQ299" s="9" t="s">
        <v>5286</v>
      </c>
      <c r="HR299" s="9" t="s">
        <v>913</v>
      </c>
    </row>
    <row r="300" ht="24.75" customHeight="1">
      <c r="A300" s="8">
        <v>45903.61053475694</v>
      </c>
      <c r="B300" s="9" t="s">
        <v>368</v>
      </c>
      <c r="C300" s="9" t="s">
        <v>370</v>
      </c>
      <c r="D300" s="9" t="s">
        <v>370</v>
      </c>
      <c r="E300" s="9" t="s">
        <v>2388</v>
      </c>
      <c r="F300" s="9" t="s">
        <v>2388</v>
      </c>
      <c r="G300" s="9" t="s">
        <v>422</v>
      </c>
      <c r="H300" s="9" t="s">
        <v>539</v>
      </c>
      <c r="I300" s="9" t="s">
        <v>424</v>
      </c>
      <c r="J300" s="9" t="s">
        <v>425</v>
      </c>
      <c r="K300" s="9" t="s">
        <v>376</v>
      </c>
      <c r="L300" s="9" t="s">
        <v>379</v>
      </c>
      <c r="M300" s="9" t="s">
        <v>948</v>
      </c>
      <c r="N300" s="9" t="s">
        <v>379</v>
      </c>
      <c r="O300" s="9" t="s">
        <v>2097</v>
      </c>
      <c r="P300" s="9" t="s">
        <v>498</v>
      </c>
      <c r="Q300" s="9" t="s">
        <v>1156</v>
      </c>
      <c r="R300" s="9" t="s">
        <v>427</v>
      </c>
      <c r="S300" s="9" t="s">
        <v>384</v>
      </c>
      <c r="T300" s="9" t="s">
        <v>385</v>
      </c>
      <c r="W300" s="9" t="s">
        <v>593</v>
      </c>
      <c r="X300" s="9" t="s">
        <v>387</v>
      </c>
      <c r="Y300" s="9" t="s">
        <v>388</v>
      </c>
      <c r="Z300" s="9" t="s">
        <v>502</v>
      </c>
      <c r="AA300" s="9" t="s">
        <v>6127</v>
      </c>
      <c r="AV300" s="9" t="s">
        <v>597</v>
      </c>
      <c r="AW300" s="9">
        <v>4.0</v>
      </c>
      <c r="AX300" s="9" t="s">
        <v>391</v>
      </c>
      <c r="AY300" s="9">
        <v>2.0</v>
      </c>
      <c r="AZ300" s="9" t="s">
        <v>391</v>
      </c>
      <c r="BA300" s="9">
        <v>2.0</v>
      </c>
      <c r="BB300" s="9" t="s">
        <v>391</v>
      </c>
      <c r="BC300" s="9" t="s">
        <v>6128</v>
      </c>
      <c r="BD300" s="9" t="s">
        <v>6129</v>
      </c>
      <c r="BE300" s="9" t="s">
        <v>902</v>
      </c>
      <c r="BF300" s="9" t="s">
        <v>1095</v>
      </c>
      <c r="BG300" s="9" t="s">
        <v>678</v>
      </c>
      <c r="BI300" s="9" t="s">
        <v>976</v>
      </c>
      <c r="BK300" s="9" t="s">
        <v>395</v>
      </c>
      <c r="BL300" s="9" t="s">
        <v>603</v>
      </c>
      <c r="BM300" s="9" t="s">
        <v>397</v>
      </c>
      <c r="BN300" s="9" t="s">
        <v>513</v>
      </c>
      <c r="CL300" s="9" t="s">
        <v>441</v>
      </c>
      <c r="CM300" s="9" t="s">
        <v>604</v>
      </c>
      <c r="CN300" s="9" t="s">
        <v>6130</v>
      </c>
      <c r="CO300" s="9" t="s">
        <v>6131</v>
      </c>
      <c r="CP300" s="9" t="s">
        <v>403</v>
      </c>
      <c r="CQ300" s="9" t="s">
        <v>6132</v>
      </c>
      <c r="CR300" s="9" t="s">
        <v>804</v>
      </c>
      <c r="CS300" s="9" t="s">
        <v>6133</v>
      </c>
      <c r="CT300" s="9" t="s">
        <v>6134</v>
      </c>
      <c r="CU300" s="9" t="s">
        <v>1852</v>
      </c>
      <c r="CV300" s="9" t="s">
        <v>409</v>
      </c>
      <c r="CX300" s="9" t="s">
        <v>408</v>
      </c>
      <c r="CZ300" s="9" t="s">
        <v>1398</v>
      </c>
      <c r="DB300" s="9" t="s">
        <v>408</v>
      </c>
      <c r="DD300" s="9" t="s">
        <v>406</v>
      </c>
      <c r="DE300" s="9" t="s">
        <v>1867</v>
      </c>
      <c r="DF300" s="9" t="s">
        <v>6135</v>
      </c>
      <c r="DG300" s="9" t="s">
        <v>990</v>
      </c>
      <c r="DH300" s="9" t="s">
        <v>833</v>
      </c>
      <c r="DI300" s="9" t="s">
        <v>963</v>
      </c>
      <c r="DJ300" s="9" t="s">
        <v>1403</v>
      </c>
      <c r="DK300" s="9" t="s">
        <v>563</v>
      </c>
      <c r="DL300" s="9" t="s">
        <v>408</v>
      </c>
      <c r="ET300" s="9" t="s">
        <v>578</v>
      </c>
      <c r="EU300" s="9" t="s">
        <v>887</v>
      </c>
      <c r="EV300" s="9" t="s">
        <v>527</v>
      </c>
      <c r="EW300" s="9" t="s">
        <v>6136</v>
      </c>
      <c r="EX300" s="9" t="s">
        <v>6137</v>
      </c>
      <c r="EY300" s="9" t="s">
        <v>6137</v>
      </c>
      <c r="EZ300" s="9" t="s">
        <v>415</v>
      </c>
      <c r="FA300" s="9" t="s">
        <v>414</v>
      </c>
      <c r="FB300" s="9" t="s">
        <v>416</v>
      </c>
      <c r="FC300" s="9" t="s">
        <v>415</v>
      </c>
      <c r="FD300" s="9" t="s">
        <v>415</v>
      </c>
      <c r="FE300" s="9" t="s">
        <v>415</v>
      </c>
      <c r="FF300" s="9" t="s">
        <v>415</v>
      </c>
      <c r="FG300" s="9" t="s">
        <v>414</v>
      </c>
      <c r="FH300" s="9" t="s">
        <v>416</v>
      </c>
      <c r="FI300" s="9" t="s">
        <v>415</v>
      </c>
      <c r="FJ300" s="9" t="s">
        <v>415</v>
      </c>
      <c r="FK300" s="9" t="s">
        <v>414</v>
      </c>
      <c r="FL300" s="9" t="s">
        <v>414</v>
      </c>
      <c r="FM300" s="9" t="s">
        <v>415</v>
      </c>
      <c r="FN300" s="9" t="s">
        <v>416</v>
      </c>
      <c r="FO300" s="9" t="s">
        <v>850</v>
      </c>
      <c r="FP300" s="9" t="s">
        <v>1200</v>
      </c>
      <c r="FQ300" s="9" t="s">
        <v>712</v>
      </c>
      <c r="FR300" s="9" t="s">
        <v>6138</v>
      </c>
      <c r="FS300" s="9" t="s">
        <v>1871</v>
      </c>
      <c r="FT300" s="9" t="s">
        <v>421</v>
      </c>
      <c r="FU300" s="9" t="s">
        <v>489</v>
      </c>
      <c r="FV300" s="9" t="s">
        <v>490</v>
      </c>
      <c r="FW300" s="9" t="s">
        <v>491</v>
      </c>
      <c r="FX300" s="9" t="s">
        <v>6139</v>
      </c>
      <c r="FY300" s="9" t="s">
        <v>535</v>
      </c>
      <c r="FZ300" s="9" t="s">
        <v>6140</v>
      </c>
      <c r="GB300" s="9" t="s">
        <v>408</v>
      </c>
      <c r="GG300" s="9" t="s">
        <v>789</v>
      </c>
      <c r="GH300" s="9" t="s">
        <v>789</v>
      </c>
      <c r="GI300" s="9" t="s">
        <v>921</v>
      </c>
      <c r="GQ300" s="9" t="s">
        <v>6141</v>
      </c>
      <c r="GT300" s="9" t="s">
        <v>4774</v>
      </c>
      <c r="GV300" s="9" t="s">
        <v>5231</v>
      </c>
      <c r="GW300" s="9" t="s">
        <v>5232</v>
      </c>
      <c r="HC300" s="9" t="s">
        <v>484</v>
      </c>
      <c r="HD300" s="9" t="s">
        <v>5282</v>
      </c>
      <c r="HE300" s="9" t="s">
        <v>5283</v>
      </c>
      <c r="HF300" s="9" t="s">
        <v>5300</v>
      </c>
      <c r="HO300" s="9" t="s">
        <v>5301</v>
      </c>
      <c r="HP300" s="9" t="s">
        <v>5371</v>
      </c>
      <c r="HQ300" s="9" t="s">
        <v>5238</v>
      </c>
      <c r="HR300" s="9" t="s">
        <v>5321</v>
      </c>
      <c r="HW300" s="9" t="s">
        <v>5541</v>
      </c>
    </row>
    <row r="301" ht="24.75" customHeight="1">
      <c r="A301" s="8">
        <v>45903.613335625</v>
      </c>
      <c r="B301" s="9" t="s">
        <v>368</v>
      </c>
      <c r="C301" s="9" t="s">
        <v>370</v>
      </c>
      <c r="D301" s="9" t="s">
        <v>370</v>
      </c>
      <c r="E301" s="9" t="s">
        <v>495</v>
      </c>
      <c r="F301" s="9" t="s">
        <v>1421</v>
      </c>
      <c r="G301" s="9" t="s">
        <v>422</v>
      </c>
      <c r="H301" s="9" t="s">
        <v>373</v>
      </c>
      <c r="I301" s="9" t="s">
        <v>638</v>
      </c>
      <c r="J301" s="9" t="s">
        <v>590</v>
      </c>
      <c r="K301" s="9" t="s">
        <v>376</v>
      </c>
      <c r="L301" s="9" t="s">
        <v>426</v>
      </c>
      <c r="M301" s="9" t="s">
        <v>378</v>
      </c>
      <c r="N301" s="9" t="s">
        <v>426</v>
      </c>
      <c r="O301" s="9" t="s">
        <v>497</v>
      </c>
      <c r="P301" s="9" t="s">
        <v>1760</v>
      </c>
      <c r="Q301" s="9" t="s">
        <v>862</v>
      </c>
      <c r="R301" s="9" t="s">
        <v>6142</v>
      </c>
      <c r="S301" s="9" t="s">
        <v>6143</v>
      </c>
      <c r="T301" s="9" t="s">
        <v>6144</v>
      </c>
      <c r="ED301" s="9" t="s">
        <v>5723</v>
      </c>
      <c r="EO301" s="9" t="s">
        <v>6145</v>
      </c>
      <c r="ER301" s="9" t="s">
        <v>6146</v>
      </c>
      <c r="ET301" s="9" t="s">
        <v>2747</v>
      </c>
      <c r="EU301" s="9" t="s">
        <v>479</v>
      </c>
      <c r="EV301" s="9" t="s">
        <v>480</v>
      </c>
      <c r="EZ301" s="9" t="s">
        <v>583</v>
      </c>
      <c r="FA301" s="9" t="s">
        <v>583</v>
      </c>
      <c r="FB301" s="9" t="s">
        <v>415</v>
      </c>
      <c r="FC301" s="9" t="s">
        <v>583</v>
      </c>
      <c r="FD301" s="9" t="s">
        <v>414</v>
      </c>
      <c r="FE301" s="9" t="s">
        <v>583</v>
      </c>
      <c r="FF301" s="9" t="s">
        <v>583</v>
      </c>
      <c r="FG301" s="9" t="s">
        <v>416</v>
      </c>
      <c r="FH301" s="9" t="s">
        <v>583</v>
      </c>
      <c r="FI301" s="9" t="s">
        <v>583</v>
      </c>
      <c r="FJ301" s="9" t="s">
        <v>583</v>
      </c>
      <c r="FK301" s="9" t="s">
        <v>415</v>
      </c>
      <c r="FL301" s="9" t="s">
        <v>415</v>
      </c>
      <c r="FM301" s="9" t="s">
        <v>413</v>
      </c>
      <c r="FN301" s="9" t="s">
        <v>583</v>
      </c>
      <c r="FO301" s="9" t="s">
        <v>417</v>
      </c>
      <c r="FP301" s="9" t="s">
        <v>418</v>
      </c>
      <c r="FQ301" s="9" t="s">
        <v>749</v>
      </c>
      <c r="FR301" s="9" t="s">
        <v>6147</v>
      </c>
      <c r="FS301" s="9" t="s">
        <v>420</v>
      </c>
      <c r="FT301" s="9" t="s">
        <v>488</v>
      </c>
      <c r="FU301" s="9" t="s">
        <v>533</v>
      </c>
      <c r="FV301" s="9" t="s">
        <v>490</v>
      </c>
      <c r="FW301" s="9" t="s">
        <v>491</v>
      </c>
      <c r="FX301" s="9" t="s">
        <v>6148</v>
      </c>
      <c r="FY301" s="9" t="s">
        <v>535</v>
      </c>
      <c r="GB301" s="9" t="s">
        <v>455</v>
      </c>
      <c r="GC301" s="9"/>
      <c r="GD301" s="9"/>
      <c r="GE301" s="9" t="s">
        <v>1339</v>
      </c>
      <c r="GF301" s="9" t="s">
        <v>6149</v>
      </c>
      <c r="GQ301" s="9" t="s">
        <v>3306</v>
      </c>
      <c r="GV301" s="9" t="s">
        <v>5231</v>
      </c>
      <c r="GW301" s="9" t="s">
        <v>484</v>
      </c>
      <c r="HK301" s="9" t="s">
        <v>6150</v>
      </c>
      <c r="HL301" s="9" t="s">
        <v>6151</v>
      </c>
      <c r="HM301" s="9" t="s">
        <v>5735</v>
      </c>
      <c r="HN301" s="9" t="s">
        <v>6152</v>
      </c>
      <c r="HO301" s="9" t="s">
        <v>5346</v>
      </c>
      <c r="HP301" s="9" t="s">
        <v>5237</v>
      </c>
      <c r="HQ301" s="9" t="s">
        <v>5238</v>
      </c>
      <c r="HR301" s="9" t="s">
        <v>5321</v>
      </c>
      <c r="JG301" s="9" t="s">
        <v>5680</v>
      </c>
      <c r="KD301" s="9" t="s">
        <v>5689</v>
      </c>
      <c r="LG301" s="9" t="s">
        <v>6153</v>
      </c>
      <c r="LH301" s="9" t="s">
        <v>6154</v>
      </c>
      <c r="LI301" s="9" t="s">
        <v>6155</v>
      </c>
      <c r="LJ301" s="9" t="s">
        <v>6156</v>
      </c>
    </row>
    <row r="302" ht="24.75" customHeight="1">
      <c r="A302" s="8">
        <v>45903.64189053241</v>
      </c>
      <c r="B302" s="9" t="s">
        <v>368</v>
      </c>
      <c r="C302" s="9" t="s">
        <v>370</v>
      </c>
      <c r="D302" s="9" t="s">
        <v>370</v>
      </c>
      <c r="E302" s="9" t="s">
        <v>1421</v>
      </c>
      <c r="F302" s="9" t="s">
        <v>1421</v>
      </c>
      <c r="G302" s="9" t="s">
        <v>422</v>
      </c>
      <c r="H302" s="9" t="s">
        <v>373</v>
      </c>
      <c r="I302" s="9" t="s">
        <v>374</v>
      </c>
      <c r="J302" s="9" t="s">
        <v>375</v>
      </c>
      <c r="K302" s="9" t="s">
        <v>376</v>
      </c>
      <c r="L302" s="9" t="s">
        <v>591</v>
      </c>
      <c r="M302" s="9" t="s">
        <v>6157</v>
      </c>
      <c r="N302" s="9" t="s">
        <v>670</v>
      </c>
      <c r="O302" s="9" t="s">
        <v>671</v>
      </c>
      <c r="P302" s="9" t="s">
        <v>592</v>
      </c>
      <c r="Q302" s="9" t="s">
        <v>862</v>
      </c>
      <c r="R302" s="9" t="s">
        <v>949</v>
      </c>
      <c r="S302" s="9" t="s">
        <v>384</v>
      </c>
      <c r="T302" s="9" t="s">
        <v>385</v>
      </c>
      <c r="W302" s="9" t="s">
        <v>593</v>
      </c>
      <c r="X302" s="9" t="s">
        <v>387</v>
      </c>
      <c r="Y302" s="9" t="s">
        <v>388</v>
      </c>
      <c r="Z302" s="9" t="s">
        <v>502</v>
      </c>
      <c r="AA302" s="9" t="s">
        <v>6158</v>
      </c>
      <c r="AB302" s="9" t="s">
        <v>6159</v>
      </c>
      <c r="AV302" s="9" t="s">
        <v>597</v>
      </c>
      <c r="AW302" s="9" t="s">
        <v>391</v>
      </c>
      <c r="AX302" s="9" t="s">
        <v>391</v>
      </c>
      <c r="AY302" s="9">
        <v>4.0</v>
      </c>
      <c r="AZ302" s="9">
        <v>2.0</v>
      </c>
      <c r="BA302" s="9">
        <v>2.0</v>
      </c>
      <c r="BB302" s="9" t="s">
        <v>391</v>
      </c>
      <c r="BC302" s="9" t="s">
        <v>6160</v>
      </c>
      <c r="BD302" s="9" t="s">
        <v>6161</v>
      </c>
      <c r="BE302" s="9" t="s">
        <v>432</v>
      </c>
      <c r="BF302" s="9" t="s">
        <v>393</v>
      </c>
      <c r="BG302" s="9" t="s">
        <v>765</v>
      </c>
      <c r="BH302" s="9" t="s">
        <v>6162</v>
      </c>
      <c r="BI302" s="9" t="s">
        <v>976</v>
      </c>
      <c r="BK302" s="9" t="s">
        <v>602</v>
      </c>
      <c r="BL302" s="9" t="s">
        <v>603</v>
      </c>
      <c r="BM302" s="9" t="s">
        <v>1247</v>
      </c>
      <c r="BN302" s="9" t="s">
        <v>513</v>
      </c>
      <c r="CL302" s="9" t="s">
        <v>441</v>
      </c>
      <c r="CM302" s="9" t="s">
        <v>604</v>
      </c>
      <c r="CN302" s="9" t="s">
        <v>6163</v>
      </c>
      <c r="CO302" s="9" t="s">
        <v>6164</v>
      </c>
      <c r="CP302" s="9" t="s">
        <v>445</v>
      </c>
      <c r="CQ302" s="9" t="s">
        <v>6165</v>
      </c>
      <c r="CR302" s="9" t="s">
        <v>447</v>
      </c>
      <c r="CS302" s="9" t="s">
        <v>1626</v>
      </c>
      <c r="CT302" s="9" t="s">
        <v>6166</v>
      </c>
      <c r="CU302" s="9" t="s">
        <v>1863</v>
      </c>
      <c r="CV302" s="9" t="s">
        <v>409</v>
      </c>
      <c r="CW302" s="9" t="s">
        <v>6167</v>
      </c>
      <c r="CX302" s="9" t="s">
        <v>455</v>
      </c>
      <c r="CY302" s="9" t="s">
        <v>6168</v>
      </c>
      <c r="CZ302" s="9" t="s">
        <v>985</v>
      </c>
      <c r="DA302" s="9" t="s">
        <v>6169</v>
      </c>
      <c r="DB302" s="9" t="s">
        <v>913</v>
      </c>
      <c r="DC302" s="9" t="s">
        <v>6170</v>
      </c>
      <c r="DD302" s="9" t="s">
        <v>988</v>
      </c>
      <c r="DE302" s="9" t="s">
        <v>407</v>
      </c>
      <c r="DF302" s="9" t="s">
        <v>6171</v>
      </c>
      <c r="DG302" s="9" t="s">
        <v>4899</v>
      </c>
      <c r="DH302" s="9" t="s">
        <v>833</v>
      </c>
      <c r="DI302" s="9" t="s">
        <v>459</v>
      </c>
      <c r="DJ302" s="9" t="s">
        <v>460</v>
      </c>
      <c r="DK302" s="9" t="s">
        <v>461</v>
      </c>
      <c r="ET302" s="9" t="s">
        <v>478</v>
      </c>
      <c r="EU302" s="9" t="s">
        <v>887</v>
      </c>
      <c r="EV302" s="9" t="s">
        <v>527</v>
      </c>
      <c r="EW302" s="9" t="s">
        <v>6172</v>
      </c>
      <c r="EX302" s="9" t="s">
        <v>6173</v>
      </c>
      <c r="EY302" s="9" t="s">
        <v>6174</v>
      </c>
      <c r="EZ302" s="9" t="s">
        <v>414</v>
      </c>
      <c r="FA302" s="9" t="s">
        <v>414</v>
      </c>
      <c r="FB302" s="9" t="s">
        <v>413</v>
      </c>
      <c r="FC302" s="9" t="s">
        <v>415</v>
      </c>
      <c r="FD302" s="9" t="s">
        <v>413</v>
      </c>
      <c r="FE302" s="9" t="s">
        <v>414</v>
      </c>
      <c r="FF302" s="9" t="s">
        <v>415</v>
      </c>
      <c r="FG302" s="9" t="s">
        <v>413</v>
      </c>
      <c r="FH302" s="9" t="s">
        <v>583</v>
      </c>
      <c r="FI302" s="9" t="s">
        <v>415</v>
      </c>
      <c r="FJ302" s="9" t="s">
        <v>484</v>
      </c>
      <c r="FK302" s="9" t="s">
        <v>415</v>
      </c>
      <c r="FL302" s="9" t="s">
        <v>415</v>
      </c>
      <c r="FM302" s="9" t="s">
        <v>416</v>
      </c>
      <c r="FN302" s="9" t="s">
        <v>414</v>
      </c>
      <c r="FO302" s="9" t="s">
        <v>1074</v>
      </c>
      <c r="FP302" s="9" t="s">
        <v>2524</v>
      </c>
      <c r="FQ302" s="9" t="s">
        <v>749</v>
      </c>
      <c r="FR302" s="9" t="s">
        <v>6175</v>
      </c>
      <c r="FS302" s="9" t="s">
        <v>1189</v>
      </c>
      <c r="FT302" s="9" t="s">
        <v>488</v>
      </c>
      <c r="FU302" s="9" t="s">
        <v>489</v>
      </c>
      <c r="FV302" s="9" t="s">
        <v>490</v>
      </c>
      <c r="FW302" s="9" t="s">
        <v>491</v>
      </c>
      <c r="FX302" s="9" t="s">
        <v>6176</v>
      </c>
      <c r="FY302" s="9" t="s">
        <v>493</v>
      </c>
      <c r="GA302" s="9" t="s">
        <v>6177</v>
      </c>
      <c r="GB302" s="9" t="s">
        <v>408</v>
      </c>
      <c r="GG302" s="9" t="s">
        <v>755</v>
      </c>
      <c r="GH302" s="9" t="s">
        <v>755</v>
      </c>
      <c r="GI302" s="9" t="s">
        <v>817</v>
      </c>
      <c r="GQ302" s="9" t="s">
        <v>5656</v>
      </c>
      <c r="GT302" s="9" t="s">
        <v>5039</v>
      </c>
      <c r="GU302" s="9" t="s">
        <v>6178</v>
      </c>
      <c r="GV302" s="9" t="s">
        <v>5231</v>
      </c>
      <c r="GW302" s="9" t="s">
        <v>5232</v>
      </c>
      <c r="HC302" s="9" t="s">
        <v>5297</v>
      </c>
      <c r="HD302" s="9" t="s">
        <v>5282</v>
      </c>
      <c r="HE302" s="9" t="s">
        <v>5320</v>
      </c>
      <c r="HF302" s="9" t="s">
        <v>5493</v>
      </c>
      <c r="HO302" s="9" t="s">
        <v>5346</v>
      </c>
      <c r="HP302" s="9" t="s">
        <v>5302</v>
      </c>
      <c r="HQ302" s="9" t="s">
        <v>5801</v>
      </c>
      <c r="HR302" s="9" t="s">
        <v>913</v>
      </c>
      <c r="HW302" s="9" t="s">
        <v>5628</v>
      </c>
    </row>
    <row r="303" ht="24.75" customHeight="1">
      <c r="A303" s="8">
        <v>45903.651005266205</v>
      </c>
      <c r="B303" s="9" t="s">
        <v>368</v>
      </c>
      <c r="C303" s="9" t="s">
        <v>370</v>
      </c>
      <c r="D303" s="9" t="s">
        <v>370</v>
      </c>
      <c r="E303" s="9" t="s">
        <v>1001</v>
      </c>
      <c r="F303" s="9" t="s">
        <v>1421</v>
      </c>
      <c r="G303" s="9" t="s">
        <v>422</v>
      </c>
      <c r="H303" s="9" t="s">
        <v>373</v>
      </c>
      <c r="I303" s="9" t="s">
        <v>638</v>
      </c>
      <c r="J303" s="9" t="s">
        <v>718</v>
      </c>
      <c r="K303" s="9" t="s">
        <v>376</v>
      </c>
      <c r="L303" s="9" t="s">
        <v>670</v>
      </c>
      <c r="M303" s="9" t="s">
        <v>860</v>
      </c>
      <c r="N303" s="9" t="s">
        <v>591</v>
      </c>
      <c r="O303" s="9" t="s">
        <v>2579</v>
      </c>
      <c r="P303" s="9" t="s">
        <v>498</v>
      </c>
      <c r="Q303" s="9" t="s">
        <v>382</v>
      </c>
      <c r="R303" s="9" t="s">
        <v>500</v>
      </c>
      <c r="S303" s="9" t="s">
        <v>384</v>
      </c>
      <c r="T303" s="9" t="s">
        <v>385</v>
      </c>
      <c r="W303" s="9" t="s">
        <v>3014</v>
      </c>
      <c r="AV303" s="9" t="s">
        <v>1310</v>
      </c>
      <c r="AW303" s="9">
        <v>4.0</v>
      </c>
      <c r="AX303" s="9" t="s">
        <v>675</v>
      </c>
      <c r="AY303" s="9" t="s">
        <v>429</v>
      </c>
      <c r="AZ303" s="9">
        <v>2.0</v>
      </c>
      <c r="BA303" s="9">
        <v>2.0</v>
      </c>
      <c r="BB303" s="9" t="s">
        <v>391</v>
      </c>
      <c r="BF303" s="9" t="s">
        <v>433</v>
      </c>
      <c r="BG303" s="9" t="s">
        <v>725</v>
      </c>
      <c r="BI303" s="9" t="s">
        <v>509</v>
      </c>
      <c r="BK303" s="9" t="s">
        <v>395</v>
      </c>
      <c r="BL303" s="9" t="s">
        <v>603</v>
      </c>
      <c r="BM303" s="9" t="s">
        <v>1247</v>
      </c>
      <c r="BN303" s="9" t="s">
        <v>513</v>
      </c>
      <c r="CL303" s="9" t="s">
        <v>441</v>
      </c>
      <c r="CM303" s="9" t="s">
        <v>604</v>
      </c>
      <c r="CN303" s="9" t="s">
        <v>6179</v>
      </c>
      <c r="CO303" s="9" t="s">
        <v>6180</v>
      </c>
      <c r="CP303" s="9" t="s">
        <v>685</v>
      </c>
      <c r="CQ303" s="9" t="s">
        <v>6181</v>
      </c>
      <c r="CR303" s="9" t="s">
        <v>447</v>
      </c>
      <c r="CS303" s="9" t="s">
        <v>6182</v>
      </c>
      <c r="CU303" s="9" t="s">
        <v>982</v>
      </c>
      <c r="CV303" s="9" t="s">
        <v>451</v>
      </c>
      <c r="CW303" s="9" t="s">
        <v>3586</v>
      </c>
      <c r="CX303" s="9" t="s">
        <v>408</v>
      </c>
      <c r="CZ303" s="9" t="s">
        <v>1962</v>
      </c>
      <c r="DB303" s="9" t="s">
        <v>408</v>
      </c>
      <c r="DD303" s="9" t="s">
        <v>406</v>
      </c>
      <c r="DE303" s="9" t="s">
        <v>407</v>
      </c>
      <c r="DF303" s="9" t="s">
        <v>6183</v>
      </c>
      <c r="DG303" s="9" t="s">
        <v>776</v>
      </c>
      <c r="DH303" s="9" t="s">
        <v>1220</v>
      </c>
      <c r="DI303" s="9" t="s">
        <v>459</v>
      </c>
      <c r="DJ303" s="9" t="s">
        <v>613</v>
      </c>
      <c r="ET303" s="9" t="s">
        <v>578</v>
      </c>
      <c r="EU303" s="9" t="s">
        <v>479</v>
      </c>
      <c r="EV303" s="9" t="s">
        <v>527</v>
      </c>
      <c r="EZ303" s="9" t="s">
        <v>413</v>
      </c>
      <c r="FB303" s="9" t="s">
        <v>413</v>
      </c>
      <c r="FD303" s="9" t="s">
        <v>413</v>
      </c>
      <c r="FE303" s="9" t="s">
        <v>583</v>
      </c>
      <c r="FG303" s="9" t="s">
        <v>413</v>
      </c>
      <c r="FH303" s="9" t="s">
        <v>413</v>
      </c>
      <c r="FI303" s="9" t="s">
        <v>583</v>
      </c>
      <c r="FO303" s="9" t="s">
        <v>485</v>
      </c>
      <c r="FP303" s="9" t="s">
        <v>418</v>
      </c>
      <c r="FQ303" s="9" t="s">
        <v>712</v>
      </c>
      <c r="FS303" s="9" t="s">
        <v>1189</v>
      </c>
      <c r="FT303" s="9" t="s">
        <v>488</v>
      </c>
      <c r="FU303" s="9" t="s">
        <v>585</v>
      </c>
      <c r="FV303" s="9" t="s">
        <v>2399</v>
      </c>
      <c r="FW303" s="9" t="s">
        <v>491</v>
      </c>
      <c r="FY303" s="9" t="s">
        <v>535</v>
      </c>
      <c r="GB303" s="9" t="s">
        <v>408</v>
      </c>
      <c r="GG303" s="9" t="s">
        <v>755</v>
      </c>
      <c r="GH303" s="9" t="s">
        <v>755</v>
      </c>
      <c r="GI303" s="9" t="s">
        <v>946</v>
      </c>
      <c r="GQ303" s="9" t="s">
        <v>3208</v>
      </c>
      <c r="GT303" s="9" t="s">
        <v>5170</v>
      </c>
      <c r="GV303" s="9" t="s">
        <v>5231</v>
      </c>
      <c r="GW303" s="9" t="s">
        <v>5232</v>
      </c>
      <c r="HC303" s="9" t="s">
        <v>6053</v>
      </c>
      <c r="HD303" s="9" t="s">
        <v>5282</v>
      </c>
      <c r="HE303" s="9" t="s">
        <v>5320</v>
      </c>
      <c r="HF303" s="9" t="s">
        <v>5300</v>
      </c>
      <c r="HO303" s="9" t="s">
        <v>5236</v>
      </c>
      <c r="HP303" s="9" t="s">
        <v>5237</v>
      </c>
      <c r="HQ303" s="9" t="s">
        <v>5801</v>
      </c>
      <c r="HR303" s="9" t="s">
        <v>5239</v>
      </c>
      <c r="HW303" s="9" t="s">
        <v>5541</v>
      </c>
    </row>
    <row r="304" ht="24.75" customHeight="1">
      <c r="A304" s="8">
        <v>45903.676439421295</v>
      </c>
      <c r="B304" s="9" t="s">
        <v>368</v>
      </c>
      <c r="C304" s="9" t="s">
        <v>370</v>
      </c>
      <c r="D304" s="9" t="s">
        <v>370</v>
      </c>
      <c r="E304" s="9" t="s">
        <v>757</v>
      </c>
      <c r="F304" s="9" t="s">
        <v>1421</v>
      </c>
      <c r="G304" s="9" t="s">
        <v>422</v>
      </c>
      <c r="H304" s="9" t="s">
        <v>496</v>
      </c>
      <c r="I304" s="9" t="s">
        <v>374</v>
      </c>
      <c r="J304" s="9" t="s">
        <v>375</v>
      </c>
      <c r="K304" s="9" t="s">
        <v>376</v>
      </c>
      <c r="L304" s="9" t="s">
        <v>793</v>
      </c>
      <c r="M304" s="9" t="s">
        <v>6184</v>
      </c>
      <c r="N304" s="9" t="s">
        <v>426</v>
      </c>
      <c r="O304" s="9" t="s">
        <v>497</v>
      </c>
      <c r="P304" s="9" t="s">
        <v>381</v>
      </c>
      <c r="Q304" s="9" t="s">
        <v>382</v>
      </c>
      <c r="R304" s="9" t="s">
        <v>949</v>
      </c>
      <c r="S304" s="9" t="s">
        <v>6185</v>
      </c>
      <c r="T304" s="9" t="s">
        <v>385</v>
      </c>
      <c r="W304" s="9" t="s">
        <v>1023</v>
      </c>
      <c r="AV304" s="9" t="s">
        <v>597</v>
      </c>
      <c r="AW304" s="9" t="s">
        <v>391</v>
      </c>
      <c r="AX304" s="9" t="s">
        <v>391</v>
      </c>
      <c r="AY304" s="9" t="s">
        <v>429</v>
      </c>
      <c r="AZ304" s="9" t="s">
        <v>429</v>
      </c>
      <c r="BA304" s="9">
        <v>2.0</v>
      </c>
      <c r="BB304" s="9" t="s">
        <v>429</v>
      </c>
      <c r="BC304" s="9" t="s">
        <v>6186</v>
      </c>
      <c r="BD304" s="9" t="s">
        <v>6187</v>
      </c>
      <c r="BE304" s="9" t="s">
        <v>902</v>
      </c>
      <c r="BF304" s="9" t="s">
        <v>433</v>
      </c>
      <c r="BG304" s="9" t="s">
        <v>678</v>
      </c>
      <c r="BH304" s="9" t="s">
        <v>6188</v>
      </c>
      <c r="BI304" s="9" t="s">
        <v>509</v>
      </c>
      <c r="BJ304" s="9" t="s">
        <v>6189</v>
      </c>
      <c r="BK304" s="9" t="s">
        <v>437</v>
      </c>
      <c r="BL304" s="9" t="s">
        <v>904</v>
      </c>
      <c r="BM304" s="9" t="s">
        <v>439</v>
      </c>
      <c r="BN304" s="9" t="s">
        <v>513</v>
      </c>
      <c r="CL304" s="9" t="s">
        <v>441</v>
      </c>
      <c r="CM304" s="9" t="s">
        <v>442</v>
      </c>
      <c r="CN304" s="9" t="s">
        <v>552</v>
      </c>
      <c r="CO304" s="9" t="s">
        <v>6190</v>
      </c>
      <c r="CP304" s="9" t="s">
        <v>445</v>
      </c>
      <c r="CQ304" s="9" t="s">
        <v>6191</v>
      </c>
      <c r="CR304" s="9" t="s">
        <v>404</v>
      </c>
      <c r="CS304" s="9" t="s">
        <v>6192</v>
      </c>
      <c r="CT304" s="9" t="s">
        <v>6193</v>
      </c>
      <c r="CU304" s="9" t="s">
        <v>450</v>
      </c>
      <c r="CV304" s="9" t="s">
        <v>451</v>
      </c>
      <c r="CW304" s="9" t="s">
        <v>6194</v>
      </c>
      <c r="CX304" s="9" t="s">
        <v>408</v>
      </c>
      <c r="CZ304" s="9" t="s">
        <v>453</v>
      </c>
      <c r="DA304" s="9" t="s">
        <v>6195</v>
      </c>
      <c r="DB304" s="9" t="s">
        <v>455</v>
      </c>
      <c r="DC304" s="9" t="s">
        <v>6196</v>
      </c>
      <c r="DD304" s="9" t="s">
        <v>662</v>
      </c>
      <c r="DE304" s="9" t="s">
        <v>1368</v>
      </c>
      <c r="DF304" s="9" t="s">
        <v>6197</v>
      </c>
      <c r="DG304" s="9" t="s">
        <v>561</v>
      </c>
      <c r="DH304" s="9" t="s">
        <v>410</v>
      </c>
      <c r="DI304" s="9" t="s">
        <v>777</v>
      </c>
      <c r="DJ304" s="9" t="s">
        <v>613</v>
      </c>
      <c r="ET304" s="9" t="s">
        <v>578</v>
      </c>
      <c r="EU304" s="9" t="s">
        <v>479</v>
      </c>
      <c r="EV304" s="9" t="s">
        <v>527</v>
      </c>
      <c r="EW304" s="9" t="s">
        <v>6198</v>
      </c>
      <c r="EX304" s="9" t="s">
        <v>6199</v>
      </c>
      <c r="EY304" s="9" t="s">
        <v>6200</v>
      </c>
      <c r="EZ304" s="9" t="s">
        <v>484</v>
      </c>
      <c r="FA304" s="9" t="s">
        <v>484</v>
      </c>
      <c r="FB304" s="9" t="s">
        <v>413</v>
      </c>
      <c r="FC304" s="9" t="s">
        <v>415</v>
      </c>
      <c r="FD304" s="9" t="s">
        <v>413</v>
      </c>
      <c r="FE304" s="9" t="s">
        <v>414</v>
      </c>
      <c r="FF304" s="9" t="s">
        <v>484</v>
      </c>
      <c r="FG304" s="9" t="s">
        <v>413</v>
      </c>
      <c r="FH304" s="9" t="s">
        <v>583</v>
      </c>
      <c r="FI304" s="9" t="s">
        <v>484</v>
      </c>
      <c r="FJ304" s="9" t="s">
        <v>484</v>
      </c>
      <c r="FK304" s="9" t="s">
        <v>484</v>
      </c>
      <c r="FL304" s="9" t="s">
        <v>484</v>
      </c>
      <c r="FM304" s="9" t="s">
        <v>413</v>
      </c>
      <c r="FN304" s="9" t="s">
        <v>583</v>
      </c>
      <c r="FO304" s="9" t="s">
        <v>850</v>
      </c>
      <c r="FP304" s="9" t="s">
        <v>418</v>
      </c>
      <c r="FQ304" s="9" t="s">
        <v>712</v>
      </c>
      <c r="FR304" s="9" t="s">
        <v>6201</v>
      </c>
      <c r="FS304" s="9" t="s">
        <v>995</v>
      </c>
      <c r="FT304" s="9" t="s">
        <v>488</v>
      </c>
      <c r="FU304" s="9" t="s">
        <v>489</v>
      </c>
      <c r="FV304" s="9" t="s">
        <v>490</v>
      </c>
      <c r="FW304" s="9" t="s">
        <v>491</v>
      </c>
      <c r="FX304" s="9" t="s">
        <v>6202</v>
      </c>
      <c r="FY304" s="9" t="s">
        <v>535</v>
      </c>
      <c r="FZ304" s="9" t="s">
        <v>6203</v>
      </c>
      <c r="GA304" s="9" t="s">
        <v>6204</v>
      </c>
      <c r="GB304" s="9" t="s">
        <v>455</v>
      </c>
      <c r="GC304" s="9"/>
      <c r="GE304" s="9" t="s">
        <v>753</v>
      </c>
      <c r="GG304" s="9" t="s">
        <v>789</v>
      </c>
      <c r="GH304" s="9" t="s">
        <v>1000</v>
      </c>
      <c r="GI304" s="9" t="s">
        <v>756</v>
      </c>
      <c r="GQ304" s="9" t="s">
        <v>5656</v>
      </c>
      <c r="GT304" s="9" t="s">
        <v>4774</v>
      </c>
      <c r="GV304" s="9" t="s">
        <v>5231</v>
      </c>
      <c r="GW304" s="9" t="s">
        <v>5232</v>
      </c>
      <c r="HC304" s="9" t="s">
        <v>484</v>
      </c>
      <c r="HD304" s="9" t="s">
        <v>5349</v>
      </c>
      <c r="HE304" s="9" t="s">
        <v>5320</v>
      </c>
      <c r="HF304" s="9" t="s">
        <v>5300</v>
      </c>
      <c r="HO304" s="9" t="s">
        <v>5346</v>
      </c>
      <c r="HP304" s="9" t="s">
        <v>5719</v>
      </c>
      <c r="HQ304" s="9" t="s">
        <v>5238</v>
      </c>
      <c r="HR304" s="9" t="s">
        <v>5321</v>
      </c>
      <c r="HW304" s="9" t="s">
        <v>5501</v>
      </c>
    </row>
    <row r="305" ht="24.75" customHeight="1">
      <c r="A305" s="8">
        <v>45903.68097119213</v>
      </c>
      <c r="B305" s="9" t="s">
        <v>368</v>
      </c>
      <c r="C305" s="9" t="s">
        <v>370</v>
      </c>
      <c r="D305" s="9" t="s">
        <v>370</v>
      </c>
      <c r="E305" s="9" t="s">
        <v>1480</v>
      </c>
      <c r="F305" s="9" t="s">
        <v>1421</v>
      </c>
      <c r="G305" s="9" t="s">
        <v>422</v>
      </c>
      <c r="H305" s="9" t="s">
        <v>373</v>
      </c>
      <c r="I305" s="9" t="s">
        <v>374</v>
      </c>
      <c r="J305" s="9" t="s">
        <v>375</v>
      </c>
      <c r="K305" s="9" t="s">
        <v>376</v>
      </c>
      <c r="L305" s="9" t="s">
        <v>379</v>
      </c>
      <c r="M305" s="9" t="s">
        <v>6033</v>
      </c>
      <c r="N305" s="9" t="s">
        <v>591</v>
      </c>
      <c r="O305" s="9" t="s">
        <v>497</v>
      </c>
      <c r="P305" s="9" t="s">
        <v>498</v>
      </c>
      <c r="Q305" s="9" t="s">
        <v>1156</v>
      </c>
      <c r="R305" s="9" t="s">
        <v>863</v>
      </c>
      <c r="S305" s="9" t="s">
        <v>5928</v>
      </c>
      <c r="T305" s="9" t="s">
        <v>1786</v>
      </c>
      <c r="ED305" s="9" t="s">
        <v>6205</v>
      </c>
      <c r="EE305" s="9" t="s">
        <v>6206</v>
      </c>
      <c r="ER305" s="9" t="s">
        <v>6207</v>
      </c>
      <c r="ET305" s="9" t="s">
        <v>478</v>
      </c>
      <c r="EU305" s="9" t="s">
        <v>479</v>
      </c>
      <c r="EV305" s="9" t="s">
        <v>527</v>
      </c>
      <c r="EW305" s="9" t="s">
        <v>6208</v>
      </c>
      <c r="EX305" s="9" t="s">
        <v>6209</v>
      </c>
      <c r="EY305" s="9" t="s">
        <v>6210</v>
      </c>
      <c r="EZ305" s="9" t="s">
        <v>414</v>
      </c>
      <c r="FA305" s="9" t="s">
        <v>583</v>
      </c>
      <c r="FB305" s="9" t="s">
        <v>414</v>
      </c>
      <c r="FC305" s="9" t="s">
        <v>414</v>
      </c>
      <c r="FD305" s="9" t="s">
        <v>415</v>
      </c>
      <c r="FE305" s="9" t="s">
        <v>583</v>
      </c>
      <c r="FF305" s="9" t="s">
        <v>415</v>
      </c>
      <c r="FG305" s="9" t="s">
        <v>414</v>
      </c>
      <c r="FH305" s="9" t="s">
        <v>415</v>
      </c>
      <c r="FI305" s="9" t="s">
        <v>583</v>
      </c>
      <c r="FJ305" s="9" t="s">
        <v>413</v>
      </c>
      <c r="FK305" s="9" t="s">
        <v>415</v>
      </c>
      <c r="FL305" s="9" t="s">
        <v>583</v>
      </c>
      <c r="FM305" s="9" t="s">
        <v>413</v>
      </c>
      <c r="FN305" s="9" t="s">
        <v>583</v>
      </c>
      <c r="FO305" s="9" t="s">
        <v>417</v>
      </c>
      <c r="FP305" s="9" t="s">
        <v>418</v>
      </c>
      <c r="FQ305" s="9" t="s">
        <v>749</v>
      </c>
      <c r="FR305" s="9" t="s">
        <v>6211</v>
      </c>
      <c r="FS305" s="9" t="s">
        <v>995</v>
      </c>
      <c r="FT305" s="9" t="s">
        <v>488</v>
      </c>
      <c r="FU305" s="9" t="s">
        <v>533</v>
      </c>
      <c r="FV305" s="9" t="s">
        <v>490</v>
      </c>
      <c r="FW305" s="9" t="s">
        <v>491</v>
      </c>
      <c r="FX305" s="9" t="s">
        <v>6212</v>
      </c>
      <c r="FY305" s="9" t="s">
        <v>535</v>
      </c>
      <c r="FZ305" s="9" t="s">
        <v>6213</v>
      </c>
      <c r="GB305" s="9" t="s">
        <v>455</v>
      </c>
      <c r="GC305" s="9"/>
      <c r="GE305" s="9" t="s">
        <v>1339</v>
      </c>
      <c r="GF305" s="9" t="s">
        <v>6214</v>
      </c>
      <c r="GQ305" s="9" t="s">
        <v>6215</v>
      </c>
      <c r="GV305" s="9" t="s">
        <v>5231</v>
      </c>
      <c r="GW305" s="9" t="s">
        <v>5232</v>
      </c>
      <c r="HK305" s="9" t="s">
        <v>6216</v>
      </c>
      <c r="HL305" s="9" t="s">
        <v>6217</v>
      </c>
      <c r="HM305" s="9" t="s">
        <v>5735</v>
      </c>
      <c r="HN305" s="9" t="s">
        <v>5678</v>
      </c>
      <c r="HO305" s="9" t="s">
        <v>5236</v>
      </c>
      <c r="HP305" s="9" t="s">
        <v>5237</v>
      </c>
      <c r="HQ305" s="9" t="s">
        <v>5801</v>
      </c>
      <c r="HR305" s="9" t="s">
        <v>5287</v>
      </c>
      <c r="IV305" s="9" t="s">
        <v>6218</v>
      </c>
      <c r="JG305" s="9" t="s">
        <v>5680</v>
      </c>
      <c r="JM305" s="9" t="s">
        <v>6219</v>
      </c>
      <c r="KD305" s="9" t="s">
        <v>5689</v>
      </c>
      <c r="KQ305" s="9" t="s">
        <v>6220</v>
      </c>
      <c r="KR305" s="9" t="s">
        <v>5738</v>
      </c>
      <c r="KS305" s="9" t="s">
        <v>6221</v>
      </c>
      <c r="KT305" s="9" t="s">
        <v>6222</v>
      </c>
      <c r="KU305" s="9" t="s">
        <v>6223</v>
      </c>
    </row>
    <row r="306" ht="24.75" customHeight="1">
      <c r="A306" s="8">
        <v>45903.70256416667</v>
      </c>
      <c r="B306" s="9" t="s">
        <v>368</v>
      </c>
      <c r="C306" s="9" t="s">
        <v>370</v>
      </c>
      <c r="D306" s="9" t="s">
        <v>370</v>
      </c>
      <c r="E306" s="9" t="s">
        <v>2114</v>
      </c>
      <c r="F306" s="9" t="s">
        <v>1421</v>
      </c>
      <c r="G306" s="9" t="s">
        <v>422</v>
      </c>
      <c r="H306" s="9" t="s">
        <v>373</v>
      </c>
      <c r="I306" s="9" t="s">
        <v>1022</v>
      </c>
      <c r="J306" s="9" t="s">
        <v>718</v>
      </c>
      <c r="K306" s="9" t="s">
        <v>376</v>
      </c>
      <c r="L306" s="9" t="s">
        <v>379</v>
      </c>
      <c r="M306" s="9" t="s">
        <v>378</v>
      </c>
      <c r="N306" s="9" t="s">
        <v>379</v>
      </c>
      <c r="O306" s="9" t="s">
        <v>719</v>
      </c>
      <c r="P306" s="9" t="s">
        <v>381</v>
      </c>
      <c r="Q306" s="9" t="s">
        <v>382</v>
      </c>
      <c r="R306" s="9" t="s">
        <v>1901</v>
      </c>
      <c r="S306" s="9" t="s">
        <v>384</v>
      </c>
      <c r="T306" s="9" t="s">
        <v>385</v>
      </c>
      <c r="W306" s="9" t="s">
        <v>386</v>
      </c>
      <c r="X306" s="9" t="s">
        <v>387</v>
      </c>
      <c r="Y306" s="9" t="s">
        <v>388</v>
      </c>
      <c r="Z306" s="9" t="s">
        <v>672</v>
      </c>
      <c r="AA306" s="9" t="s">
        <v>408</v>
      </c>
      <c r="AB306" s="9" t="s">
        <v>6224</v>
      </c>
      <c r="AV306" s="9" t="s">
        <v>597</v>
      </c>
      <c r="AW306" s="9">
        <v>4.0</v>
      </c>
      <c r="AX306" s="9">
        <v>4.0</v>
      </c>
      <c r="AY306" s="9">
        <v>4.0</v>
      </c>
      <c r="AZ306" s="9">
        <v>4.0</v>
      </c>
      <c r="BA306" s="9" t="s">
        <v>675</v>
      </c>
      <c r="BB306" s="9">
        <v>4.0</v>
      </c>
      <c r="BC306" s="9" t="s">
        <v>6225</v>
      </c>
      <c r="BD306" s="9" t="s">
        <v>6226</v>
      </c>
      <c r="BE306" s="9" t="s">
        <v>432</v>
      </c>
      <c r="BF306" s="9" t="s">
        <v>1095</v>
      </c>
      <c r="BG306" s="9" t="s">
        <v>678</v>
      </c>
      <c r="BI306" s="9" t="s">
        <v>435</v>
      </c>
      <c r="BJ306" s="9" t="s">
        <v>6227</v>
      </c>
      <c r="BK306" s="9" t="s">
        <v>437</v>
      </c>
      <c r="BL306" s="9" t="s">
        <v>603</v>
      </c>
      <c r="BM306" s="9" t="s">
        <v>549</v>
      </c>
      <c r="BN306" s="9" t="s">
        <v>440</v>
      </c>
      <c r="CL306" s="9" t="s">
        <v>441</v>
      </c>
      <c r="CM306" s="9" t="s">
        <v>401</v>
      </c>
      <c r="CN306" s="9" t="s">
        <v>6228</v>
      </c>
      <c r="CO306" s="9" t="s">
        <v>6229</v>
      </c>
      <c r="CP306" s="9" t="s">
        <v>403</v>
      </c>
      <c r="CQ306" s="9" t="s">
        <v>1427</v>
      </c>
      <c r="CR306" s="9" t="s">
        <v>404</v>
      </c>
      <c r="CT306" s="9" t="s">
        <v>6230</v>
      </c>
      <c r="CU306" s="9" t="s">
        <v>450</v>
      </c>
      <c r="CV306" s="9" t="s">
        <v>451</v>
      </c>
      <c r="CW306" s="9" t="s">
        <v>1766</v>
      </c>
      <c r="CX306" s="9" t="s">
        <v>408</v>
      </c>
      <c r="CZ306" s="9" t="s">
        <v>453</v>
      </c>
      <c r="DB306" s="9" t="s">
        <v>408</v>
      </c>
      <c r="DD306" s="9" t="s">
        <v>406</v>
      </c>
      <c r="DE306" s="9" t="s">
        <v>407</v>
      </c>
      <c r="DF306" s="9" t="s">
        <v>6231</v>
      </c>
      <c r="DG306" s="9" t="s">
        <v>524</v>
      </c>
      <c r="DH306" s="9" t="s">
        <v>1964</v>
      </c>
      <c r="DI306" s="9" t="s">
        <v>777</v>
      </c>
      <c r="DJ306" s="9" t="s">
        <v>562</v>
      </c>
      <c r="DK306" s="9" t="s">
        <v>1434</v>
      </c>
      <c r="DM306" s="9" t="s">
        <v>6232</v>
      </c>
      <c r="DN306" s="9" t="s">
        <v>6233</v>
      </c>
      <c r="DO306" s="9" t="s">
        <v>1063</v>
      </c>
      <c r="DP306" s="9" t="s">
        <v>6234</v>
      </c>
      <c r="DQ306" s="9" t="s">
        <v>837</v>
      </c>
      <c r="DR306" s="9" t="s">
        <v>6235</v>
      </c>
      <c r="DS306" s="9" t="s">
        <v>468</v>
      </c>
      <c r="DT306" s="9" t="s">
        <v>703</v>
      </c>
      <c r="DU306" s="9" t="s">
        <v>6236</v>
      </c>
      <c r="DV306" s="9" t="s">
        <v>408</v>
      </c>
      <c r="DW306" s="9" t="s">
        <v>573</v>
      </c>
      <c r="DX306" s="9" t="s">
        <v>6237</v>
      </c>
      <c r="DY306" s="9" t="s">
        <v>6238</v>
      </c>
      <c r="DZ306" s="9" t="s">
        <v>6239</v>
      </c>
      <c r="EA306" s="9" t="s">
        <v>475</v>
      </c>
      <c r="EB306" s="9" t="s">
        <v>845</v>
      </c>
      <c r="ET306" s="9" t="s">
        <v>526</v>
      </c>
      <c r="EU306" s="9" t="s">
        <v>479</v>
      </c>
      <c r="EV306" s="9" t="s">
        <v>1262</v>
      </c>
      <c r="GB306" s="11"/>
      <c r="GG306" s="9" t="s">
        <v>755</v>
      </c>
      <c r="GH306" s="9" t="s">
        <v>755</v>
      </c>
      <c r="GI306" s="9" t="s">
        <v>946</v>
      </c>
      <c r="GM306" s="9" t="s">
        <v>1079</v>
      </c>
      <c r="GT306" s="9" t="s">
        <v>4774</v>
      </c>
      <c r="GU306" s="9" t="s">
        <v>6240</v>
      </c>
      <c r="GV306" s="9" t="s">
        <v>5231</v>
      </c>
      <c r="GW306" s="9" t="s">
        <v>484</v>
      </c>
      <c r="HC306" s="9" t="s">
        <v>484</v>
      </c>
      <c r="HD306" s="9" t="s">
        <v>484</v>
      </c>
      <c r="HE306" s="9" t="s">
        <v>484</v>
      </c>
      <c r="HF306" s="9" t="s">
        <v>5300</v>
      </c>
      <c r="HG306" s="9" t="s">
        <v>6241</v>
      </c>
      <c r="HH306" s="9" t="s">
        <v>6242</v>
      </c>
      <c r="HI306" s="9" t="s">
        <v>6243</v>
      </c>
      <c r="HJ306" s="9" t="s">
        <v>6244</v>
      </c>
      <c r="IN306" s="9" t="s">
        <v>5536</v>
      </c>
      <c r="IO306" s="9" t="s">
        <v>5536</v>
      </c>
      <c r="IP306" s="9" t="s">
        <v>5500</v>
      </c>
      <c r="IQ306" s="9" t="s">
        <v>5536</v>
      </c>
      <c r="IR306" s="9" t="s">
        <v>5537</v>
      </c>
      <c r="IS306" s="9" t="s">
        <v>5536</v>
      </c>
    </row>
    <row r="307" ht="24.75" customHeight="1">
      <c r="A307" s="8">
        <v>45904.60925771991</v>
      </c>
      <c r="B307" s="9" t="s">
        <v>368</v>
      </c>
      <c r="C307" s="9" t="s">
        <v>370</v>
      </c>
      <c r="D307" s="9" t="s">
        <v>370</v>
      </c>
      <c r="E307" s="9" t="s">
        <v>1510</v>
      </c>
      <c r="F307" s="9" t="s">
        <v>1421</v>
      </c>
      <c r="G307" s="9" t="s">
        <v>422</v>
      </c>
      <c r="H307" s="9" t="s">
        <v>496</v>
      </c>
      <c r="I307" s="9" t="s">
        <v>374</v>
      </c>
      <c r="J307" s="9" t="s">
        <v>375</v>
      </c>
      <c r="K307" s="9" t="s">
        <v>376</v>
      </c>
      <c r="L307" s="9" t="s">
        <v>793</v>
      </c>
      <c r="M307" s="9" t="s">
        <v>1360</v>
      </c>
      <c r="N307" s="9" t="s">
        <v>670</v>
      </c>
      <c r="O307" s="9" t="s">
        <v>1270</v>
      </c>
      <c r="P307" s="9" t="s">
        <v>498</v>
      </c>
      <c r="Q307" s="9" t="s">
        <v>862</v>
      </c>
      <c r="R307" s="9" t="s">
        <v>427</v>
      </c>
      <c r="S307" s="9" t="s">
        <v>1785</v>
      </c>
      <c r="T307" s="9" t="s">
        <v>1786</v>
      </c>
      <c r="ED307" s="9" t="s">
        <v>5929</v>
      </c>
      <c r="ER307" s="9" t="s">
        <v>6245</v>
      </c>
      <c r="ES307" s="9" t="s">
        <v>6246</v>
      </c>
      <c r="ET307" s="9" t="s">
        <v>578</v>
      </c>
      <c r="EU307" s="9" t="s">
        <v>887</v>
      </c>
      <c r="EV307" s="9" t="s">
        <v>527</v>
      </c>
      <c r="EX307" s="9" t="s">
        <v>6247</v>
      </c>
      <c r="EY307" s="9" t="s">
        <v>733</v>
      </c>
      <c r="EZ307" s="9" t="s">
        <v>413</v>
      </c>
      <c r="FA307" s="9" t="s">
        <v>415</v>
      </c>
      <c r="FB307" s="9" t="s">
        <v>413</v>
      </c>
      <c r="FC307" s="9" t="s">
        <v>413</v>
      </c>
      <c r="FD307" s="9" t="s">
        <v>413</v>
      </c>
      <c r="FE307" s="9" t="s">
        <v>413</v>
      </c>
      <c r="FF307" s="9" t="s">
        <v>413</v>
      </c>
      <c r="FG307" s="9" t="s">
        <v>413</v>
      </c>
      <c r="FH307" s="9" t="s">
        <v>415</v>
      </c>
      <c r="FI307" s="9" t="s">
        <v>413</v>
      </c>
      <c r="FJ307" s="9" t="s">
        <v>415</v>
      </c>
      <c r="FK307" s="9" t="s">
        <v>415</v>
      </c>
      <c r="FL307" s="9" t="s">
        <v>415</v>
      </c>
      <c r="FM307" s="9" t="s">
        <v>413</v>
      </c>
      <c r="FN307" s="9" t="s">
        <v>414</v>
      </c>
      <c r="FO307" s="9" t="s">
        <v>485</v>
      </c>
      <c r="FP307" s="9" t="s">
        <v>486</v>
      </c>
      <c r="FQ307" s="9" t="s">
        <v>749</v>
      </c>
      <c r="FR307" s="9" t="s">
        <v>2510</v>
      </c>
      <c r="FS307" s="9" t="s">
        <v>420</v>
      </c>
      <c r="FT307" s="9" t="s">
        <v>488</v>
      </c>
      <c r="FU307" s="9" t="s">
        <v>489</v>
      </c>
      <c r="FV307" s="9" t="s">
        <v>490</v>
      </c>
      <c r="FW307" s="9" t="s">
        <v>491</v>
      </c>
      <c r="FX307" s="9" t="s">
        <v>6248</v>
      </c>
      <c r="FY307" s="9" t="s">
        <v>535</v>
      </c>
      <c r="FZ307" s="9" t="s">
        <v>6249</v>
      </c>
      <c r="GA307" s="9" t="s">
        <v>6250</v>
      </c>
      <c r="GB307" s="9" t="s">
        <v>455</v>
      </c>
      <c r="GC307" s="9"/>
      <c r="GD307" s="9"/>
      <c r="GE307" s="9" t="s">
        <v>1339</v>
      </c>
      <c r="GQ307" s="9" t="s">
        <v>6251</v>
      </c>
      <c r="GV307" s="9" t="s">
        <v>5231</v>
      </c>
      <c r="GW307" s="9" t="s">
        <v>5232</v>
      </c>
      <c r="HK307" s="9" t="s">
        <v>6252</v>
      </c>
      <c r="HL307" s="9" t="s">
        <v>5676</v>
      </c>
      <c r="HM307" s="9" t="s">
        <v>6253</v>
      </c>
      <c r="HN307" s="9" t="s">
        <v>6152</v>
      </c>
      <c r="HO307" s="9" t="s">
        <v>5301</v>
      </c>
      <c r="HP307" s="9" t="s">
        <v>5237</v>
      </c>
      <c r="HQ307" s="9" t="s">
        <v>5286</v>
      </c>
      <c r="HR307" s="9" t="s">
        <v>5347</v>
      </c>
    </row>
    <row r="308" ht="24.75" customHeight="1">
      <c r="A308" s="8">
        <v>45904.68773384259</v>
      </c>
      <c r="B308" s="9" t="s">
        <v>368</v>
      </c>
      <c r="C308" s="9" t="s">
        <v>370</v>
      </c>
      <c r="D308" s="9" t="s">
        <v>370</v>
      </c>
      <c r="E308" s="9" t="s">
        <v>495</v>
      </c>
      <c r="F308" s="9" t="s">
        <v>495</v>
      </c>
      <c r="G308" s="9" t="s">
        <v>422</v>
      </c>
      <c r="H308" s="9" t="s">
        <v>1921</v>
      </c>
      <c r="I308" s="9" t="s">
        <v>668</v>
      </c>
      <c r="J308" s="9" t="s">
        <v>375</v>
      </c>
      <c r="K308" s="9" t="s">
        <v>376</v>
      </c>
      <c r="L308" s="9" t="s">
        <v>591</v>
      </c>
      <c r="M308" s="9" t="s">
        <v>639</v>
      </c>
      <c r="N308" s="9" t="s">
        <v>591</v>
      </c>
      <c r="O308" s="9" t="s">
        <v>719</v>
      </c>
      <c r="P308" s="9" t="s">
        <v>498</v>
      </c>
      <c r="Q308" s="9" t="s">
        <v>499</v>
      </c>
      <c r="R308" s="9" t="s">
        <v>500</v>
      </c>
      <c r="S308" s="9" t="s">
        <v>384</v>
      </c>
      <c r="T308" s="9" t="s">
        <v>385</v>
      </c>
      <c r="W308" s="9" t="s">
        <v>3014</v>
      </c>
      <c r="AV308" s="9" t="s">
        <v>1310</v>
      </c>
      <c r="AW308" s="9" t="s">
        <v>675</v>
      </c>
      <c r="AX308" s="9">
        <v>4.0</v>
      </c>
      <c r="AY308" s="9">
        <v>4.0</v>
      </c>
      <c r="AZ308" s="9" t="s">
        <v>391</v>
      </c>
      <c r="BA308" s="9">
        <v>2.0</v>
      </c>
      <c r="BB308" s="9" t="s">
        <v>391</v>
      </c>
      <c r="BC308" s="9" t="s">
        <v>6254</v>
      </c>
      <c r="BD308" s="9" t="s">
        <v>6255</v>
      </c>
      <c r="BE308" s="9" t="s">
        <v>432</v>
      </c>
      <c r="BF308" s="9" t="s">
        <v>1095</v>
      </c>
      <c r="BG308" s="9" t="s">
        <v>434</v>
      </c>
      <c r="BH308" s="9" t="s">
        <v>6256</v>
      </c>
      <c r="BI308" s="9" t="s">
        <v>727</v>
      </c>
      <c r="BK308" s="9" t="s">
        <v>681</v>
      </c>
      <c r="BL308" s="9" t="s">
        <v>603</v>
      </c>
      <c r="BM308" s="9" t="s">
        <v>1247</v>
      </c>
      <c r="BN308" s="9" t="s">
        <v>513</v>
      </c>
      <c r="CL308" s="9" t="s">
        <v>441</v>
      </c>
      <c r="CM308" s="9" t="s">
        <v>682</v>
      </c>
      <c r="CN308" s="9" t="s">
        <v>6257</v>
      </c>
      <c r="CO308" s="9" t="s">
        <v>6258</v>
      </c>
      <c r="CP308" s="9" t="s">
        <v>1008</v>
      </c>
      <c r="CQ308" s="9" t="s">
        <v>1427</v>
      </c>
      <c r="CR308" s="9" t="s">
        <v>447</v>
      </c>
      <c r="CS308" s="9" t="s">
        <v>6259</v>
      </c>
      <c r="CT308" s="9" t="s">
        <v>6260</v>
      </c>
      <c r="CU308" s="9" t="s">
        <v>519</v>
      </c>
      <c r="CV308" s="9" t="s">
        <v>451</v>
      </c>
      <c r="CW308" s="9" t="s">
        <v>6261</v>
      </c>
      <c r="CX308" s="9" t="s">
        <v>408</v>
      </c>
      <c r="CZ308" s="9" t="s">
        <v>985</v>
      </c>
      <c r="DA308" s="9" t="s">
        <v>6262</v>
      </c>
      <c r="DB308" s="9" t="s">
        <v>408</v>
      </c>
      <c r="DD308" s="9" t="s">
        <v>988</v>
      </c>
      <c r="DE308" s="9" t="s">
        <v>1867</v>
      </c>
      <c r="DF308" s="9" t="s">
        <v>6263</v>
      </c>
      <c r="DG308" s="9" t="s">
        <v>561</v>
      </c>
      <c r="DH308" s="9" t="s">
        <v>833</v>
      </c>
      <c r="DI308" s="9" t="s">
        <v>777</v>
      </c>
      <c r="DJ308" s="9" t="s">
        <v>460</v>
      </c>
      <c r="DK308" s="9" t="s">
        <v>461</v>
      </c>
      <c r="ET308" s="9" t="s">
        <v>526</v>
      </c>
      <c r="EU308" s="9" t="s">
        <v>1037</v>
      </c>
      <c r="EV308" s="9" t="s">
        <v>527</v>
      </c>
      <c r="EW308" s="9" t="s">
        <v>6264</v>
      </c>
      <c r="EX308" s="9" t="s">
        <v>6265</v>
      </c>
      <c r="EY308" s="9" t="s">
        <v>6266</v>
      </c>
      <c r="EZ308" s="9" t="s">
        <v>415</v>
      </c>
      <c r="FA308" s="9" t="s">
        <v>415</v>
      </c>
      <c r="FB308" s="9" t="s">
        <v>413</v>
      </c>
      <c r="FC308" s="9" t="s">
        <v>413</v>
      </c>
      <c r="FD308" s="9" t="s">
        <v>413</v>
      </c>
      <c r="FE308" s="9" t="s">
        <v>414</v>
      </c>
      <c r="FF308" s="9" t="s">
        <v>415</v>
      </c>
      <c r="FG308" s="9" t="s">
        <v>413</v>
      </c>
      <c r="FH308" s="9" t="s">
        <v>415</v>
      </c>
      <c r="FI308" s="9" t="s">
        <v>414</v>
      </c>
      <c r="FJ308" s="9" t="s">
        <v>415</v>
      </c>
      <c r="FK308" s="9" t="s">
        <v>415</v>
      </c>
      <c r="FL308" s="9" t="s">
        <v>415</v>
      </c>
      <c r="FM308" s="9" t="s">
        <v>413</v>
      </c>
      <c r="FN308" s="9" t="s">
        <v>414</v>
      </c>
      <c r="FO308" s="9" t="s">
        <v>850</v>
      </c>
      <c r="FP308" s="9" t="s">
        <v>418</v>
      </c>
      <c r="FQ308" s="9" t="s">
        <v>712</v>
      </c>
      <c r="FR308" s="9" t="s">
        <v>6267</v>
      </c>
      <c r="FS308" s="9" t="s">
        <v>1189</v>
      </c>
      <c r="FT308" s="9" t="s">
        <v>488</v>
      </c>
      <c r="FU308" s="9" t="s">
        <v>489</v>
      </c>
      <c r="FV308" s="9" t="s">
        <v>490</v>
      </c>
      <c r="FW308" s="9" t="s">
        <v>491</v>
      </c>
      <c r="FX308" s="9" t="s">
        <v>6268</v>
      </c>
      <c r="FY308" s="9" t="s">
        <v>535</v>
      </c>
      <c r="FZ308" s="9" t="s">
        <v>6269</v>
      </c>
      <c r="GA308" s="9" t="s">
        <v>6270</v>
      </c>
      <c r="GB308" s="9" t="s">
        <v>455</v>
      </c>
      <c r="GC308" s="9"/>
      <c r="GE308" s="9" t="s">
        <v>855</v>
      </c>
      <c r="GF308" s="9" t="s">
        <v>6271</v>
      </c>
      <c r="GG308" s="9" t="s">
        <v>857</v>
      </c>
      <c r="GH308" s="9" t="s">
        <v>857</v>
      </c>
      <c r="GI308" s="9" t="s">
        <v>790</v>
      </c>
      <c r="GQ308" s="9" t="s">
        <v>6272</v>
      </c>
      <c r="GT308" s="9" t="s">
        <v>4774</v>
      </c>
      <c r="GV308" s="9" t="s">
        <v>5231</v>
      </c>
      <c r="GW308" s="9" t="s">
        <v>5232</v>
      </c>
      <c r="HC308" s="9" t="s">
        <v>484</v>
      </c>
      <c r="HD308" s="9" t="s">
        <v>5349</v>
      </c>
      <c r="HE308" s="9" t="s">
        <v>5320</v>
      </c>
      <c r="HF308" s="9" t="s">
        <v>5493</v>
      </c>
      <c r="HO308" s="9" t="s">
        <v>5346</v>
      </c>
      <c r="HP308" s="9" t="s">
        <v>5237</v>
      </c>
      <c r="HQ308" s="9" t="s">
        <v>5238</v>
      </c>
      <c r="HR308" s="9" t="s">
        <v>6273</v>
      </c>
      <c r="HW308" s="9" t="s">
        <v>6274</v>
      </c>
    </row>
    <row r="309" ht="24.75" customHeight="1">
      <c r="A309" s="8">
        <v>45908.396919861116</v>
      </c>
      <c r="B309" s="9" t="s">
        <v>368</v>
      </c>
      <c r="C309" s="9" t="s">
        <v>370</v>
      </c>
      <c r="D309" s="9" t="s">
        <v>4874</v>
      </c>
      <c r="E309" s="9" t="s">
        <v>371</v>
      </c>
      <c r="G309" s="9" t="s">
        <v>422</v>
      </c>
      <c r="H309" s="9" t="s">
        <v>539</v>
      </c>
      <c r="I309" s="9" t="s">
        <v>424</v>
      </c>
      <c r="J309" s="9" t="s">
        <v>718</v>
      </c>
      <c r="K309" s="9" t="s">
        <v>376</v>
      </c>
      <c r="L309" s="9" t="s">
        <v>426</v>
      </c>
      <c r="M309" s="9" t="s">
        <v>541</v>
      </c>
      <c r="N309" s="9" t="s">
        <v>670</v>
      </c>
      <c r="O309" s="9" t="s">
        <v>6275</v>
      </c>
      <c r="P309" s="9" t="s">
        <v>498</v>
      </c>
      <c r="Q309" s="9" t="s">
        <v>862</v>
      </c>
      <c r="R309" s="9" t="s">
        <v>500</v>
      </c>
      <c r="S309" s="9" t="s">
        <v>3624</v>
      </c>
      <c r="T309" s="9" t="s">
        <v>385</v>
      </c>
      <c r="W309" s="9" t="s">
        <v>593</v>
      </c>
      <c r="X309" s="9" t="s">
        <v>387</v>
      </c>
      <c r="Y309" s="9" t="s">
        <v>1444</v>
      </c>
      <c r="Z309" s="9" t="s">
        <v>543</v>
      </c>
      <c r="AA309" s="9" t="s">
        <v>6276</v>
      </c>
      <c r="AB309" s="9" t="s">
        <v>6277</v>
      </c>
      <c r="AV309" s="9" t="s">
        <v>597</v>
      </c>
      <c r="AW309" s="9" t="s">
        <v>391</v>
      </c>
      <c r="AX309" s="9">
        <v>2.0</v>
      </c>
      <c r="AY309" s="9" t="s">
        <v>429</v>
      </c>
      <c r="AZ309" s="9" t="s">
        <v>391</v>
      </c>
      <c r="BA309" s="9">
        <v>4.0</v>
      </c>
      <c r="BB309" s="9">
        <v>4.0</v>
      </c>
      <c r="BC309" s="9" t="s">
        <v>6278</v>
      </c>
      <c r="BD309" s="9" t="s">
        <v>6279</v>
      </c>
      <c r="BE309" s="9" t="s">
        <v>432</v>
      </c>
      <c r="BF309" s="9" t="s">
        <v>433</v>
      </c>
      <c r="BG309" s="9" t="s">
        <v>765</v>
      </c>
      <c r="BI309" s="9" t="s">
        <v>435</v>
      </c>
      <c r="BJ309" s="9" t="s">
        <v>6280</v>
      </c>
      <c r="BK309" s="9" t="s">
        <v>511</v>
      </c>
      <c r="BL309" s="9" t="s">
        <v>603</v>
      </c>
      <c r="BM309" s="9" t="s">
        <v>439</v>
      </c>
      <c r="BN309" s="9" t="s">
        <v>440</v>
      </c>
      <c r="CL309" s="9" t="s">
        <v>441</v>
      </c>
      <c r="CM309" s="9" t="s">
        <v>442</v>
      </c>
      <c r="CN309" s="9" t="s">
        <v>552</v>
      </c>
      <c r="CO309" s="9" t="s">
        <v>6281</v>
      </c>
      <c r="CP309" s="9" t="s">
        <v>685</v>
      </c>
      <c r="CQ309" s="9" t="s">
        <v>956</v>
      </c>
      <c r="CR309" s="9" t="s">
        <v>447</v>
      </c>
      <c r="CS309" s="9" t="s">
        <v>871</v>
      </c>
      <c r="CT309" s="9" t="s">
        <v>6282</v>
      </c>
      <c r="CU309" s="9" t="s">
        <v>450</v>
      </c>
      <c r="CV309" s="9" t="s">
        <v>451</v>
      </c>
      <c r="CW309" s="9" t="s">
        <v>6283</v>
      </c>
      <c r="CX309" s="9" t="s">
        <v>408</v>
      </c>
      <c r="CZ309" s="9" t="s">
        <v>453</v>
      </c>
      <c r="DA309" s="9" t="s">
        <v>6284</v>
      </c>
      <c r="DB309" s="9" t="s">
        <v>455</v>
      </c>
      <c r="DC309" s="9" t="s">
        <v>6285</v>
      </c>
      <c r="DD309" s="9" t="s">
        <v>988</v>
      </c>
      <c r="DF309" s="9" t="s">
        <v>6286</v>
      </c>
      <c r="DG309" s="9" t="s">
        <v>561</v>
      </c>
      <c r="DH309" s="9" t="s">
        <v>410</v>
      </c>
      <c r="DI309" s="9" t="s">
        <v>459</v>
      </c>
      <c r="DJ309" s="9" t="s">
        <v>613</v>
      </c>
      <c r="DM309" s="9" t="s">
        <v>6287</v>
      </c>
      <c r="DN309" s="9" t="s">
        <v>6288</v>
      </c>
      <c r="DO309" s="9" t="s">
        <v>464</v>
      </c>
      <c r="DP309" s="9" t="s">
        <v>6289</v>
      </c>
      <c r="DQ309" s="9" t="s">
        <v>466</v>
      </c>
      <c r="DR309" s="9" t="s">
        <v>6290</v>
      </c>
      <c r="DS309" s="9" t="s">
        <v>618</v>
      </c>
      <c r="DT309" s="9" t="s">
        <v>1580</v>
      </c>
      <c r="DU309" s="9" t="s">
        <v>6291</v>
      </c>
      <c r="DV309" s="9" t="s">
        <v>6292</v>
      </c>
      <c r="DW309" s="9" t="s">
        <v>622</v>
      </c>
      <c r="DX309" s="9" t="s">
        <v>6293</v>
      </c>
      <c r="DY309" s="9" t="s">
        <v>6294</v>
      </c>
      <c r="DZ309" s="9" t="s">
        <v>6295</v>
      </c>
      <c r="EA309" s="9" t="s">
        <v>1413</v>
      </c>
      <c r="EB309" s="9" t="s">
        <v>845</v>
      </c>
      <c r="EC309" s="9" t="s">
        <v>6296</v>
      </c>
      <c r="ET309" s="9" t="s">
        <v>578</v>
      </c>
      <c r="EU309" s="9" t="s">
        <v>579</v>
      </c>
      <c r="EV309" s="9" t="s">
        <v>480</v>
      </c>
      <c r="EX309" s="9" t="s">
        <v>6297</v>
      </c>
      <c r="EY309" s="9" t="s">
        <v>6298</v>
      </c>
      <c r="EZ309" s="9" t="s">
        <v>416</v>
      </c>
      <c r="FA309" s="9" t="s">
        <v>415</v>
      </c>
      <c r="FB309" s="9" t="s">
        <v>413</v>
      </c>
      <c r="FC309" s="9" t="s">
        <v>413</v>
      </c>
      <c r="FD309" s="9" t="s">
        <v>413</v>
      </c>
      <c r="FE309" s="9" t="s">
        <v>415</v>
      </c>
      <c r="FF309" s="9" t="s">
        <v>413</v>
      </c>
      <c r="FG309" s="9" t="s">
        <v>413</v>
      </c>
      <c r="FH309" s="9" t="s">
        <v>413</v>
      </c>
      <c r="FI309" s="9" t="s">
        <v>413</v>
      </c>
      <c r="FJ309" s="9" t="s">
        <v>413</v>
      </c>
      <c r="FK309" s="9" t="s">
        <v>413</v>
      </c>
      <c r="FL309" s="9" t="s">
        <v>413</v>
      </c>
      <c r="FM309" s="9" t="s">
        <v>413</v>
      </c>
      <c r="FN309" s="9" t="s">
        <v>413</v>
      </c>
      <c r="FO309" s="9" t="s">
        <v>485</v>
      </c>
      <c r="FP309" s="9" t="s">
        <v>418</v>
      </c>
      <c r="FQ309" s="9" t="s">
        <v>531</v>
      </c>
      <c r="FR309" s="9" t="s">
        <v>6299</v>
      </c>
      <c r="FS309" s="9" t="s">
        <v>420</v>
      </c>
      <c r="FT309" s="9" t="s">
        <v>1462</v>
      </c>
      <c r="FU309" s="9" t="s">
        <v>1235</v>
      </c>
      <c r="FV309" s="9" t="s">
        <v>490</v>
      </c>
      <c r="FW309" s="9" t="s">
        <v>491</v>
      </c>
      <c r="FX309" s="9" t="s">
        <v>6300</v>
      </c>
      <c r="FY309" s="9" t="s">
        <v>535</v>
      </c>
      <c r="GB309" s="9" t="s">
        <v>455</v>
      </c>
      <c r="GD309" s="9" t="s">
        <v>6301</v>
      </c>
      <c r="GE309" s="9" t="s">
        <v>1339</v>
      </c>
      <c r="GG309" s="9" t="s">
        <v>755</v>
      </c>
      <c r="GH309" s="9" t="s">
        <v>755</v>
      </c>
      <c r="GI309" s="9" t="s">
        <v>946</v>
      </c>
      <c r="GM309" s="9" t="s">
        <v>1079</v>
      </c>
      <c r="GO309" s="9" t="s">
        <v>4874</v>
      </c>
      <c r="GQ309" s="9" t="s">
        <v>3208</v>
      </c>
      <c r="GT309" s="9" t="s">
        <v>4774</v>
      </c>
      <c r="GU309" s="9" t="s">
        <v>1252</v>
      </c>
      <c r="GV309" s="9" t="s">
        <v>5231</v>
      </c>
      <c r="GW309" s="9" t="s">
        <v>5232</v>
      </c>
      <c r="HC309" s="9" t="s">
        <v>6053</v>
      </c>
      <c r="HD309" s="9" t="s">
        <v>5282</v>
      </c>
      <c r="HE309" s="9" t="s">
        <v>5492</v>
      </c>
      <c r="HF309" s="9" t="s">
        <v>5899</v>
      </c>
      <c r="HG309" s="9" t="s">
        <v>6302</v>
      </c>
      <c r="HH309" s="9" t="s">
        <v>6242</v>
      </c>
      <c r="HI309" s="9" t="s">
        <v>6303</v>
      </c>
      <c r="HJ309" s="9" t="s">
        <v>6304</v>
      </c>
      <c r="HO309" s="9" t="s">
        <v>5236</v>
      </c>
      <c r="HP309" s="9" t="s">
        <v>5719</v>
      </c>
      <c r="HQ309" s="9" t="s">
        <v>5801</v>
      </c>
      <c r="HR309" s="9" t="s">
        <v>6305</v>
      </c>
      <c r="HW309" s="9" t="s">
        <v>6306</v>
      </c>
      <c r="IN309" s="9" t="s">
        <v>5536</v>
      </c>
      <c r="IO309" s="9" t="s">
        <v>5537</v>
      </c>
      <c r="IP309" s="9" t="s">
        <v>5500</v>
      </c>
      <c r="IQ309" s="9" t="s">
        <v>5629</v>
      </c>
      <c r="IR309" s="9" t="s">
        <v>5500</v>
      </c>
      <c r="IS309" s="9" t="s">
        <v>5536</v>
      </c>
    </row>
    <row r="310" ht="24.75" customHeight="1">
      <c r="A310" s="8">
        <v>45908.43864734954</v>
      </c>
      <c r="B310" s="9" t="s">
        <v>368</v>
      </c>
      <c r="C310" s="9" t="s">
        <v>370</v>
      </c>
      <c r="D310" s="9" t="s">
        <v>370</v>
      </c>
      <c r="E310" s="9" t="s">
        <v>1510</v>
      </c>
      <c r="F310" s="9" t="s">
        <v>1510</v>
      </c>
      <c r="G310" s="9" t="s">
        <v>422</v>
      </c>
      <c r="H310" s="9" t="s">
        <v>496</v>
      </c>
      <c r="I310" s="9" t="s">
        <v>374</v>
      </c>
      <c r="J310" s="9" t="s">
        <v>718</v>
      </c>
      <c r="K310" s="9" t="s">
        <v>376</v>
      </c>
      <c r="L310" s="9" t="s">
        <v>670</v>
      </c>
      <c r="M310" s="9" t="s">
        <v>720</v>
      </c>
      <c r="N310" s="9" t="s">
        <v>793</v>
      </c>
      <c r="O310" s="9" t="s">
        <v>1270</v>
      </c>
      <c r="P310" s="9" t="s">
        <v>1504</v>
      </c>
      <c r="Q310" s="9" t="s">
        <v>499</v>
      </c>
      <c r="R310" s="9" t="s">
        <v>427</v>
      </c>
      <c r="S310" s="9" t="s">
        <v>384</v>
      </c>
      <c r="T310" s="9" t="s">
        <v>385</v>
      </c>
      <c r="W310" s="9" t="s">
        <v>593</v>
      </c>
      <c r="X310" s="9" t="s">
        <v>387</v>
      </c>
      <c r="Y310" s="9" t="s">
        <v>1966</v>
      </c>
      <c r="Z310" s="9" t="s">
        <v>543</v>
      </c>
      <c r="AV310" s="9" t="s">
        <v>1310</v>
      </c>
      <c r="AW310" s="9">
        <v>4.0</v>
      </c>
      <c r="AX310" s="9" t="s">
        <v>391</v>
      </c>
      <c r="AY310" s="9" t="s">
        <v>675</v>
      </c>
      <c r="AZ310" s="9">
        <v>4.0</v>
      </c>
      <c r="BA310" s="9">
        <v>4.0</v>
      </c>
      <c r="BB310" s="9">
        <v>4.0</v>
      </c>
      <c r="BE310" s="9" t="s">
        <v>902</v>
      </c>
      <c r="BF310" s="9" t="s">
        <v>1245</v>
      </c>
      <c r="BG310" s="9" t="s">
        <v>434</v>
      </c>
      <c r="BI310" s="9" t="s">
        <v>435</v>
      </c>
      <c r="BK310" s="9" t="s">
        <v>602</v>
      </c>
      <c r="BL310" s="9" t="s">
        <v>603</v>
      </c>
      <c r="BM310" s="9" t="s">
        <v>1247</v>
      </c>
      <c r="BN310" s="9" t="s">
        <v>398</v>
      </c>
      <c r="BQ310" s="9" t="s">
        <v>604</v>
      </c>
      <c r="BR310" s="9" t="s">
        <v>6307</v>
      </c>
      <c r="BS310" s="9" t="s">
        <v>1671</v>
      </c>
      <c r="BT310" s="9" t="s">
        <v>404</v>
      </c>
      <c r="BU310" s="9" t="s">
        <v>1831</v>
      </c>
      <c r="BW310" s="9" t="s">
        <v>406</v>
      </c>
      <c r="BX310" s="9" t="s">
        <v>2503</v>
      </c>
      <c r="BY310" s="9" t="s">
        <v>408</v>
      </c>
      <c r="CD310" s="9" t="s">
        <v>451</v>
      </c>
      <c r="CF310" s="9" t="s">
        <v>2233</v>
      </c>
      <c r="CH310" s="9" t="s">
        <v>1698</v>
      </c>
      <c r="CI310" s="9" t="s">
        <v>410</v>
      </c>
      <c r="DI310" s="9" t="s">
        <v>459</v>
      </c>
      <c r="DJ310" s="9" t="s">
        <v>562</v>
      </c>
      <c r="DK310" s="9" t="s">
        <v>525</v>
      </c>
      <c r="ET310" s="9" t="s">
        <v>526</v>
      </c>
      <c r="EU310" s="9" t="s">
        <v>887</v>
      </c>
      <c r="EV310" s="9" t="s">
        <v>580</v>
      </c>
      <c r="EZ310" s="9" t="s">
        <v>414</v>
      </c>
      <c r="FA310" s="9" t="s">
        <v>583</v>
      </c>
      <c r="FB310" s="9" t="s">
        <v>416</v>
      </c>
      <c r="FC310" s="9" t="s">
        <v>583</v>
      </c>
      <c r="FD310" s="9" t="s">
        <v>416</v>
      </c>
      <c r="FE310" s="9" t="s">
        <v>583</v>
      </c>
      <c r="FF310" s="9" t="s">
        <v>583</v>
      </c>
      <c r="FG310" s="9" t="s">
        <v>416</v>
      </c>
      <c r="FH310" s="9" t="s">
        <v>583</v>
      </c>
      <c r="FI310" s="9" t="s">
        <v>583</v>
      </c>
      <c r="FJ310" s="9" t="s">
        <v>583</v>
      </c>
      <c r="FK310" s="9" t="s">
        <v>414</v>
      </c>
      <c r="FL310" s="9" t="s">
        <v>583</v>
      </c>
      <c r="FM310" s="9" t="s">
        <v>416</v>
      </c>
      <c r="FN310" s="9" t="s">
        <v>583</v>
      </c>
      <c r="FO310" s="9" t="s">
        <v>850</v>
      </c>
      <c r="FP310" s="9" t="s">
        <v>486</v>
      </c>
      <c r="FQ310" s="9" t="s">
        <v>419</v>
      </c>
      <c r="FS310" s="9" t="s">
        <v>995</v>
      </c>
      <c r="FT310" s="9" t="s">
        <v>1476</v>
      </c>
      <c r="FU310" s="9" t="s">
        <v>533</v>
      </c>
      <c r="FV310" s="9" t="s">
        <v>490</v>
      </c>
      <c r="FW310" s="9" t="s">
        <v>491</v>
      </c>
      <c r="FY310" s="9" t="s">
        <v>493</v>
      </c>
      <c r="GB310" s="9" t="s">
        <v>408</v>
      </c>
      <c r="GJ310" s="9" t="s">
        <v>1000</v>
      </c>
      <c r="GK310" s="9" t="s">
        <v>1000</v>
      </c>
      <c r="GL310" s="9" t="s">
        <v>817</v>
      </c>
      <c r="GQ310" s="9" t="s">
        <v>5656</v>
      </c>
      <c r="GR310" s="9" t="s">
        <v>4774</v>
      </c>
      <c r="GV310" s="9" t="s">
        <v>5231</v>
      </c>
      <c r="GW310" s="9" t="s">
        <v>5232</v>
      </c>
      <c r="GX310" s="9" t="s">
        <v>5262</v>
      </c>
      <c r="GY310" s="9" t="s">
        <v>5233</v>
      </c>
      <c r="GZ310" s="9" t="s">
        <v>484</v>
      </c>
      <c r="HA310" s="9" t="s">
        <v>484</v>
      </c>
      <c r="HB310" s="9" t="s">
        <v>5961</v>
      </c>
      <c r="HO310" s="9" t="s">
        <v>5236</v>
      </c>
      <c r="HP310" s="9" t="s">
        <v>5237</v>
      </c>
      <c r="HQ310" s="9" t="s">
        <v>5238</v>
      </c>
      <c r="HR310" s="9" t="s">
        <v>5321</v>
      </c>
    </row>
    <row r="311" ht="24.75" customHeight="1">
      <c r="A311" s="8">
        <v>45909.61754627315</v>
      </c>
      <c r="B311" s="9" t="s">
        <v>368</v>
      </c>
      <c r="C311" s="9" t="s">
        <v>370</v>
      </c>
      <c r="D311" s="9" t="s">
        <v>370</v>
      </c>
      <c r="E311" s="9" t="s">
        <v>2359</v>
      </c>
      <c r="F311" s="9" t="s">
        <v>1421</v>
      </c>
      <c r="G311" s="9" t="s">
        <v>422</v>
      </c>
      <c r="H311" s="9" t="s">
        <v>496</v>
      </c>
      <c r="I311" s="9" t="s">
        <v>374</v>
      </c>
      <c r="J311" s="9" t="s">
        <v>718</v>
      </c>
      <c r="K311" s="9" t="s">
        <v>376</v>
      </c>
      <c r="L311" s="9" t="s">
        <v>379</v>
      </c>
      <c r="M311" s="9" t="s">
        <v>378</v>
      </c>
      <c r="N311" s="9" t="s">
        <v>793</v>
      </c>
      <c r="O311" s="9" t="s">
        <v>719</v>
      </c>
      <c r="P311" s="9" t="s">
        <v>592</v>
      </c>
      <c r="Q311" s="9" t="s">
        <v>499</v>
      </c>
      <c r="R311" s="9" t="s">
        <v>500</v>
      </c>
      <c r="S311" s="9" t="s">
        <v>384</v>
      </c>
      <c r="T311" s="9" t="s">
        <v>385</v>
      </c>
      <c r="W311" s="9" t="s">
        <v>386</v>
      </c>
      <c r="X311" s="9" t="s">
        <v>387</v>
      </c>
      <c r="Y311" s="9" t="s">
        <v>388</v>
      </c>
      <c r="Z311" s="9" t="s">
        <v>543</v>
      </c>
      <c r="AA311" s="9" t="s">
        <v>6308</v>
      </c>
      <c r="AV311" s="9" t="s">
        <v>1310</v>
      </c>
      <c r="AW311" s="9" t="s">
        <v>391</v>
      </c>
      <c r="AX311" s="9" t="s">
        <v>391</v>
      </c>
      <c r="AY311" s="9">
        <v>2.0</v>
      </c>
      <c r="AZ311" s="9" t="s">
        <v>391</v>
      </c>
      <c r="BA311" s="9">
        <v>4.0</v>
      </c>
      <c r="BB311" s="9" t="s">
        <v>391</v>
      </c>
      <c r="BE311" s="9" t="s">
        <v>432</v>
      </c>
      <c r="BF311" s="9" t="s">
        <v>393</v>
      </c>
      <c r="BG311" s="9" t="s">
        <v>725</v>
      </c>
      <c r="BH311" s="9" t="s">
        <v>6309</v>
      </c>
      <c r="BI311" s="9" t="s">
        <v>435</v>
      </c>
      <c r="BJ311" s="9" t="s">
        <v>6310</v>
      </c>
      <c r="BK311" s="9" t="s">
        <v>437</v>
      </c>
      <c r="BL311" s="9" t="s">
        <v>438</v>
      </c>
      <c r="BM311" s="9" t="s">
        <v>1247</v>
      </c>
      <c r="BN311" s="9" t="s">
        <v>398</v>
      </c>
      <c r="BO311" s="9" t="s">
        <v>6311</v>
      </c>
      <c r="BP311" s="9" t="s">
        <v>6312</v>
      </c>
      <c r="BQ311" s="9" t="s">
        <v>401</v>
      </c>
      <c r="BR311" s="9" t="s">
        <v>6313</v>
      </c>
      <c r="BS311" s="9" t="s">
        <v>403</v>
      </c>
      <c r="BT311" s="9" t="s">
        <v>404</v>
      </c>
      <c r="BU311" s="9" t="s">
        <v>405</v>
      </c>
      <c r="BW311" s="9" t="s">
        <v>406</v>
      </c>
      <c r="BX311" s="9" t="s">
        <v>2503</v>
      </c>
      <c r="BY311" s="9" t="s">
        <v>408</v>
      </c>
      <c r="CB311" s="9" t="s">
        <v>6314</v>
      </c>
      <c r="CC311" s="9" t="s">
        <v>6315</v>
      </c>
      <c r="CD311" s="9" t="s">
        <v>451</v>
      </c>
      <c r="CE311" s="9" t="s">
        <v>6316</v>
      </c>
      <c r="CF311" s="9" t="s">
        <v>1749</v>
      </c>
      <c r="CH311" s="9" t="s">
        <v>1698</v>
      </c>
      <c r="CI311" s="9" t="s">
        <v>833</v>
      </c>
      <c r="CJ311" s="9" t="s">
        <v>6317</v>
      </c>
      <c r="CK311" s="9" t="s">
        <v>6318</v>
      </c>
      <c r="DI311" s="9" t="s">
        <v>963</v>
      </c>
      <c r="DJ311" s="9" t="s">
        <v>460</v>
      </c>
      <c r="DK311" s="9" t="s">
        <v>6319</v>
      </c>
      <c r="ET311" s="9" t="s">
        <v>478</v>
      </c>
      <c r="EU311" s="9" t="s">
        <v>887</v>
      </c>
      <c r="EV311" s="9" t="s">
        <v>580</v>
      </c>
      <c r="EZ311" s="9" t="s">
        <v>416</v>
      </c>
      <c r="FA311" s="9" t="s">
        <v>415</v>
      </c>
      <c r="FB311" s="9" t="s">
        <v>415</v>
      </c>
      <c r="FC311" s="9" t="s">
        <v>414</v>
      </c>
      <c r="FD311" s="9" t="s">
        <v>413</v>
      </c>
      <c r="FE311" s="9" t="s">
        <v>415</v>
      </c>
      <c r="FF311" s="9" t="s">
        <v>414</v>
      </c>
      <c r="FG311" s="9" t="s">
        <v>416</v>
      </c>
      <c r="FH311" s="9" t="s">
        <v>583</v>
      </c>
      <c r="FI311" s="9" t="s">
        <v>415</v>
      </c>
      <c r="FJ311" s="9" t="s">
        <v>415</v>
      </c>
      <c r="FK311" s="9" t="s">
        <v>484</v>
      </c>
      <c r="FL311" s="9" t="s">
        <v>484</v>
      </c>
      <c r="FM311" s="9" t="s">
        <v>413</v>
      </c>
      <c r="FN311" s="9" t="s">
        <v>583</v>
      </c>
      <c r="FO311" s="9" t="s">
        <v>485</v>
      </c>
      <c r="FP311" s="9" t="s">
        <v>418</v>
      </c>
      <c r="FQ311" s="9" t="s">
        <v>712</v>
      </c>
      <c r="FS311" s="9" t="s">
        <v>1076</v>
      </c>
      <c r="FT311" s="9" t="s">
        <v>1462</v>
      </c>
      <c r="FU311" s="9" t="s">
        <v>489</v>
      </c>
      <c r="FV311" s="9" t="s">
        <v>490</v>
      </c>
      <c r="FW311" s="9" t="s">
        <v>491</v>
      </c>
      <c r="FY311" s="9" t="s">
        <v>535</v>
      </c>
      <c r="GB311" s="9" t="s">
        <v>455</v>
      </c>
      <c r="GC311" s="9"/>
      <c r="GE311" s="9" t="s">
        <v>1339</v>
      </c>
      <c r="GJ311" s="9" t="s">
        <v>755</v>
      </c>
      <c r="GK311" s="9" t="s">
        <v>755</v>
      </c>
      <c r="GL311" s="9" t="s">
        <v>817</v>
      </c>
      <c r="GQ311" s="9" t="s">
        <v>3937</v>
      </c>
      <c r="GR311" s="9" t="s">
        <v>4774</v>
      </c>
      <c r="GV311" s="9" t="s">
        <v>5231</v>
      </c>
      <c r="GW311" s="9" t="s">
        <v>5232</v>
      </c>
      <c r="GX311" s="9" t="s">
        <v>484</v>
      </c>
      <c r="GY311" s="9" t="s">
        <v>5233</v>
      </c>
      <c r="GZ311" s="9" t="s">
        <v>484</v>
      </c>
      <c r="HA311" s="9" t="s">
        <v>484</v>
      </c>
      <c r="HB311" s="9" t="s">
        <v>6320</v>
      </c>
      <c r="HO311" s="9" t="s">
        <v>5236</v>
      </c>
      <c r="HP311" s="9" t="s">
        <v>5237</v>
      </c>
      <c r="HQ311" s="9" t="s">
        <v>5286</v>
      </c>
      <c r="HR311" s="9" t="s">
        <v>5239</v>
      </c>
      <c r="MJ311" s="9" t="s">
        <v>6321</v>
      </c>
    </row>
    <row r="312" ht="24.75" customHeight="1">
      <c r="A312" s="8">
        <v>45909.7875549537</v>
      </c>
      <c r="B312" s="9" t="s">
        <v>368</v>
      </c>
      <c r="C312" s="9" t="s">
        <v>370</v>
      </c>
      <c r="D312" s="9" t="s">
        <v>3576</v>
      </c>
      <c r="E312" s="9" t="s">
        <v>1001</v>
      </c>
      <c r="G312" s="9" t="s">
        <v>422</v>
      </c>
      <c r="H312" s="9" t="s">
        <v>496</v>
      </c>
      <c r="I312" s="9" t="s">
        <v>424</v>
      </c>
      <c r="J312" s="9" t="s">
        <v>669</v>
      </c>
      <c r="K312" s="9" t="s">
        <v>376</v>
      </c>
      <c r="L312" s="9" t="s">
        <v>793</v>
      </c>
      <c r="M312" s="9" t="s">
        <v>639</v>
      </c>
      <c r="N312" s="9" t="s">
        <v>793</v>
      </c>
      <c r="O312" s="9" t="s">
        <v>639</v>
      </c>
      <c r="P312" s="9" t="s">
        <v>592</v>
      </c>
      <c r="Q312" s="9" t="s">
        <v>382</v>
      </c>
      <c r="R312" s="9" t="s">
        <v>427</v>
      </c>
      <c r="S312" s="9" t="s">
        <v>384</v>
      </c>
      <c r="T312" s="9" t="s">
        <v>385</v>
      </c>
      <c r="W312" s="9" t="s">
        <v>386</v>
      </c>
      <c r="X312" s="9" t="s">
        <v>387</v>
      </c>
      <c r="Y312" s="9" t="s">
        <v>388</v>
      </c>
      <c r="Z312" s="9" t="s">
        <v>389</v>
      </c>
      <c r="AA312" s="9" t="s">
        <v>6322</v>
      </c>
      <c r="AV312" s="9" t="s">
        <v>504</v>
      </c>
      <c r="AW312" s="9" t="s">
        <v>391</v>
      </c>
      <c r="AX312" s="9">
        <v>2.0</v>
      </c>
      <c r="AY312" s="9" t="s">
        <v>391</v>
      </c>
      <c r="AZ312" s="9">
        <v>2.0</v>
      </c>
      <c r="BA312" s="9" t="s">
        <v>429</v>
      </c>
      <c r="BB312" s="9" t="s">
        <v>429</v>
      </c>
      <c r="BC312" s="9" t="s">
        <v>6323</v>
      </c>
      <c r="BD312" s="9" t="s">
        <v>6324</v>
      </c>
      <c r="BE312" s="9" t="s">
        <v>432</v>
      </c>
      <c r="BF312" s="9" t="s">
        <v>433</v>
      </c>
      <c r="BG312" s="9" t="s">
        <v>725</v>
      </c>
      <c r="BI312" s="9" t="s">
        <v>435</v>
      </c>
      <c r="BJ312" s="9" t="s">
        <v>6325</v>
      </c>
      <c r="BK312" s="9" t="s">
        <v>437</v>
      </c>
      <c r="BL312" s="9" t="s">
        <v>603</v>
      </c>
      <c r="BM312" s="9" t="s">
        <v>549</v>
      </c>
      <c r="BN312" s="9" t="s">
        <v>440</v>
      </c>
      <c r="CL312" s="9" t="s">
        <v>441</v>
      </c>
      <c r="CM312" s="9" t="s">
        <v>551</v>
      </c>
      <c r="CN312" s="9" t="s">
        <v>6326</v>
      </c>
      <c r="CO312" s="9" t="s">
        <v>6327</v>
      </c>
      <c r="CP312" s="9" t="s">
        <v>685</v>
      </c>
      <c r="CQ312" s="9" t="s">
        <v>6328</v>
      </c>
      <c r="CR312" s="9" t="s">
        <v>447</v>
      </c>
      <c r="CS312" s="9" t="s">
        <v>448</v>
      </c>
      <c r="CT312" s="9" t="s">
        <v>6329</v>
      </c>
      <c r="CU312" s="9" t="s">
        <v>450</v>
      </c>
      <c r="CV312" s="9" t="s">
        <v>451</v>
      </c>
      <c r="CW312" s="9" t="s">
        <v>6330</v>
      </c>
      <c r="CX312" s="9" t="s">
        <v>455</v>
      </c>
      <c r="CY312" s="9" t="s">
        <v>6331</v>
      </c>
      <c r="CZ312" s="9" t="s">
        <v>453</v>
      </c>
      <c r="DA312" s="9" t="s">
        <v>6332</v>
      </c>
      <c r="DB312" s="9" t="s">
        <v>455</v>
      </c>
      <c r="DC312" s="9" t="s">
        <v>6333</v>
      </c>
      <c r="DD312" s="9" t="s">
        <v>457</v>
      </c>
      <c r="DF312" s="9" t="s">
        <v>6334</v>
      </c>
      <c r="DG312" s="9" t="s">
        <v>524</v>
      </c>
      <c r="DH312" s="9" t="s">
        <v>410</v>
      </c>
      <c r="DI312" s="9" t="s">
        <v>459</v>
      </c>
      <c r="DJ312" s="9" t="s">
        <v>460</v>
      </c>
      <c r="DK312" s="9" t="s">
        <v>6335</v>
      </c>
      <c r="DM312" s="9" t="s">
        <v>6336</v>
      </c>
      <c r="DN312" s="9" t="s">
        <v>6337</v>
      </c>
      <c r="DO312" s="9" t="s">
        <v>1063</v>
      </c>
      <c r="DP312" s="9" t="s">
        <v>6338</v>
      </c>
      <c r="DQ312" s="9" t="s">
        <v>466</v>
      </c>
      <c r="DR312" s="9" t="s">
        <v>6339</v>
      </c>
      <c r="DS312" s="9" t="s">
        <v>468</v>
      </c>
      <c r="DT312" s="9" t="s">
        <v>740</v>
      </c>
      <c r="DU312" s="9" t="s">
        <v>6340</v>
      </c>
      <c r="DV312" s="9" t="s">
        <v>741</v>
      </c>
      <c r="DW312" s="9" t="s">
        <v>573</v>
      </c>
      <c r="DX312" s="9" t="s">
        <v>6341</v>
      </c>
      <c r="DY312" s="9" t="s">
        <v>6342</v>
      </c>
      <c r="DZ312" s="9" t="s">
        <v>6343</v>
      </c>
      <c r="EA312" s="9" t="s">
        <v>475</v>
      </c>
      <c r="EB312" s="9" t="s">
        <v>626</v>
      </c>
      <c r="EC312" s="9" t="s">
        <v>6344</v>
      </c>
      <c r="ET312" s="9" t="s">
        <v>526</v>
      </c>
      <c r="EU312" s="9" t="s">
        <v>579</v>
      </c>
      <c r="EV312" s="9" t="s">
        <v>778</v>
      </c>
      <c r="EW312" s="9" t="s">
        <v>6345</v>
      </c>
      <c r="EX312" s="9" t="s">
        <v>6346</v>
      </c>
      <c r="EY312" s="9" t="s">
        <v>6347</v>
      </c>
      <c r="EZ312" s="9" t="s">
        <v>413</v>
      </c>
      <c r="FA312" s="9" t="s">
        <v>413</v>
      </c>
      <c r="FB312" s="9" t="s">
        <v>413</v>
      </c>
      <c r="FC312" s="9" t="s">
        <v>413</v>
      </c>
      <c r="FD312" s="9" t="s">
        <v>413</v>
      </c>
      <c r="FE312" s="9" t="s">
        <v>415</v>
      </c>
      <c r="FF312" s="9" t="s">
        <v>413</v>
      </c>
      <c r="FG312" s="9" t="s">
        <v>415</v>
      </c>
      <c r="FH312" s="9" t="s">
        <v>415</v>
      </c>
      <c r="FI312" s="9" t="s">
        <v>413</v>
      </c>
      <c r="FJ312" s="9" t="s">
        <v>413</v>
      </c>
      <c r="FK312" s="9" t="s">
        <v>415</v>
      </c>
      <c r="FL312" s="9" t="s">
        <v>415</v>
      </c>
      <c r="FM312" s="9" t="s">
        <v>415</v>
      </c>
      <c r="FN312" s="9" t="s">
        <v>415</v>
      </c>
      <c r="FO312" s="9" t="s">
        <v>485</v>
      </c>
      <c r="FP312" s="9" t="s">
        <v>418</v>
      </c>
      <c r="FQ312" s="9" t="s">
        <v>1039</v>
      </c>
      <c r="FR312" s="9" t="s">
        <v>6348</v>
      </c>
      <c r="FS312" s="9" t="s">
        <v>420</v>
      </c>
      <c r="FT312" s="9" t="s">
        <v>488</v>
      </c>
      <c r="FU312" s="9" t="s">
        <v>1235</v>
      </c>
      <c r="FV312" s="9" t="s">
        <v>490</v>
      </c>
      <c r="FW312" s="9" t="s">
        <v>491</v>
      </c>
      <c r="FX312" s="9" t="s">
        <v>6349</v>
      </c>
      <c r="FY312" s="9" t="s">
        <v>1020</v>
      </c>
      <c r="FZ312" s="9" t="s">
        <v>6350</v>
      </c>
      <c r="GB312" s="9" t="s">
        <v>408</v>
      </c>
      <c r="GG312" s="9" t="s">
        <v>755</v>
      </c>
      <c r="GH312" s="9" t="s">
        <v>755</v>
      </c>
      <c r="GI312" s="9" t="s">
        <v>946</v>
      </c>
      <c r="GM312" s="9" t="s">
        <v>1079</v>
      </c>
      <c r="GO312" s="9" t="s">
        <v>3576</v>
      </c>
      <c r="GT312" s="9" t="s">
        <v>5170</v>
      </c>
      <c r="GU312" s="9" t="s">
        <v>4660</v>
      </c>
      <c r="GV312" s="9" t="s">
        <v>5231</v>
      </c>
      <c r="GW312" s="9" t="s">
        <v>5232</v>
      </c>
      <c r="HC312" s="9" t="s">
        <v>5281</v>
      </c>
      <c r="HD312" s="9" t="s">
        <v>5282</v>
      </c>
      <c r="HE312" s="9" t="s">
        <v>484</v>
      </c>
      <c r="HF312" s="9" t="s">
        <v>5899</v>
      </c>
      <c r="HG312" s="9" t="s">
        <v>6351</v>
      </c>
      <c r="HH312" s="9" t="s">
        <v>5495</v>
      </c>
      <c r="HI312" s="9" t="s">
        <v>6352</v>
      </c>
      <c r="HJ312" s="9" t="s">
        <v>6353</v>
      </c>
      <c r="HO312" s="9" t="s">
        <v>5236</v>
      </c>
      <c r="HP312" s="9" t="s">
        <v>5302</v>
      </c>
      <c r="HQ312" s="9" t="s">
        <v>5238</v>
      </c>
      <c r="HR312" s="9" t="s">
        <v>6354</v>
      </c>
      <c r="HW312" s="9" t="s">
        <v>6355</v>
      </c>
      <c r="IN312" s="9" t="s">
        <v>5536</v>
      </c>
      <c r="IO312" s="9" t="s">
        <v>5537</v>
      </c>
      <c r="IP312" s="9" t="s">
        <v>5500</v>
      </c>
      <c r="IQ312" s="9" t="s">
        <v>5500</v>
      </c>
      <c r="IR312" s="9" t="s">
        <v>5500</v>
      </c>
      <c r="IS312" s="9" t="s">
        <v>5536</v>
      </c>
      <c r="MJ312" s="9" t="s">
        <v>6321</v>
      </c>
    </row>
    <row r="313" ht="24.75" customHeight="1">
      <c r="A313" s="8">
        <v>45912.48665707176</v>
      </c>
      <c r="B313" s="9" t="s">
        <v>368</v>
      </c>
      <c r="C313" s="9" t="s">
        <v>370</v>
      </c>
      <c r="D313" s="9" t="s">
        <v>370</v>
      </c>
      <c r="E313" s="9" t="s">
        <v>371</v>
      </c>
      <c r="F313" s="9" t="s">
        <v>1421</v>
      </c>
      <c r="G313" s="9" t="s">
        <v>422</v>
      </c>
      <c r="H313" s="9" t="s">
        <v>373</v>
      </c>
      <c r="I313" s="9" t="s">
        <v>374</v>
      </c>
      <c r="J313" s="9" t="s">
        <v>375</v>
      </c>
      <c r="K313" s="9" t="s">
        <v>376</v>
      </c>
      <c r="L313" s="9" t="s">
        <v>591</v>
      </c>
      <c r="M313" s="9" t="s">
        <v>378</v>
      </c>
      <c r="N313" s="9" t="s">
        <v>591</v>
      </c>
      <c r="O313" s="9" t="s">
        <v>4228</v>
      </c>
      <c r="P313" s="9" t="s">
        <v>498</v>
      </c>
      <c r="Q313" s="9" t="s">
        <v>862</v>
      </c>
      <c r="R313" s="9" t="s">
        <v>1704</v>
      </c>
      <c r="S313" s="9" t="s">
        <v>1785</v>
      </c>
      <c r="T313" s="9" t="s">
        <v>1786</v>
      </c>
      <c r="ED313" s="9" t="s">
        <v>6356</v>
      </c>
      <c r="EE313" s="9" t="s">
        <v>6357</v>
      </c>
      <c r="EK313" s="9" t="s">
        <v>6358</v>
      </c>
      <c r="EL313" s="9" t="s">
        <v>6359</v>
      </c>
      <c r="EM313" s="9" t="s">
        <v>6360</v>
      </c>
      <c r="EN313" s="9" t="s">
        <v>6361</v>
      </c>
      <c r="ER313" s="9" t="s">
        <v>6362</v>
      </c>
      <c r="ES313" s="9" t="s">
        <v>6363</v>
      </c>
      <c r="ET313" s="9" t="s">
        <v>478</v>
      </c>
      <c r="EU313" s="9" t="s">
        <v>887</v>
      </c>
      <c r="EV313" s="9" t="s">
        <v>778</v>
      </c>
      <c r="EW313" s="9" t="s">
        <v>6364</v>
      </c>
      <c r="EX313" s="9" t="s">
        <v>6365</v>
      </c>
      <c r="EY313" s="9" t="s">
        <v>6366</v>
      </c>
      <c r="EZ313" s="9" t="s">
        <v>415</v>
      </c>
      <c r="FA313" s="9" t="s">
        <v>414</v>
      </c>
      <c r="FB313" s="9" t="s">
        <v>415</v>
      </c>
      <c r="FC313" s="9" t="s">
        <v>415</v>
      </c>
      <c r="FD313" s="9" t="s">
        <v>416</v>
      </c>
      <c r="FE313" s="9" t="s">
        <v>414</v>
      </c>
      <c r="FF313" s="9" t="s">
        <v>415</v>
      </c>
      <c r="FG313" s="9" t="s">
        <v>415</v>
      </c>
      <c r="FH313" s="9" t="s">
        <v>415</v>
      </c>
      <c r="FI313" s="9" t="s">
        <v>414</v>
      </c>
      <c r="FJ313" s="9" t="s">
        <v>415</v>
      </c>
      <c r="FK313" s="9" t="s">
        <v>415</v>
      </c>
      <c r="FL313" s="9" t="s">
        <v>415</v>
      </c>
      <c r="FM313" s="9" t="s">
        <v>415</v>
      </c>
      <c r="FN313" s="9" t="s">
        <v>415</v>
      </c>
      <c r="FO313" s="9" t="s">
        <v>850</v>
      </c>
      <c r="FP313" s="9" t="s">
        <v>486</v>
      </c>
      <c r="FQ313" s="9" t="s">
        <v>712</v>
      </c>
      <c r="FR313" s="9" t="s">
        <v>733</v>
      </c>
      <c r="FS313" s="9" t="s">
        <v>995</v>
      </c>
      <c r="FT313" s="9" t="s">
        <v>421</v>
      </c>
      <c r="FU313" s="9" t="s">
        <v>489</v>
      </c>
      <c r="FV313" s="9" t="s">
        <v>2136</v>
      </c>
      <c r="FW313" s="9" t="s">
        <v>491</v>
      </c>
      <c r="FX313" s="9" t="s">
        <v>6367</v>
      </c>
      <c r="FY313" s="9" t="s">
        <v>1854</v>
      </c>
      <c r="FZ313" s="9" t="s">
        <v>6368</v>
      </c>
      <c r="GB313" s="9" t="s">
        <v>408</v>
      </c>
      <c r="GQ313" s="9" t="s">
        <v>3306</v>
      </c>
      <c r="GV313" s="9" t="s">
        <v>5231</v>
      </c>
      <c r="GW313" s="9" t="s">
        <v>5232</v>
      </c>
      <c r="HK313" s="9" t="s">
        <v>6369</v>
      </c>
      <c r="HL313" s="9" t="s">
        <v>6217</v>
      </c>
      <c r="HM313" s="9" t="s">
        <v>6253</v>
      </c>
      <c r="HN313" s="9" t="s">
        <v>5678</v>
      </c>
      <c r="HO313" s="9" t="s">
        <v>5301</v>
      </c>
      <c r="HP313" s="9" t="s">
        <v>5237</v>
      </c>
      <c r="HQ313" s="9" t="s">
        <v>5801</v>
      </c>
      <c r="HR313" s="9" t="s">
        <v>5239</v>
      </c>
      <c r="IV313" s="9" t="s">
        <v>6370</v>
      </c>
      <c r="JG313" s="9" t="s">
        <v>5680</v>
      </c>
      <c r="JM313" s="9" t="s">
        <v>6371</v>
      </c>
      <c r="KD313" s="9" t="s">
        <v>5689</v>
      </c>
      <c r="KQ313" s="9" t="s">
        <v>5737</v>
      </c>
      <c r="KR313" s="9" t="s">
        <v>5738</v>
      </c>
      <c r="KS313" s="9" t="s">
        <v>6170</v>
      </c>
      <c r="KT313" s="9" t="s">
        <v>6372</v>
      </c>
      <c r="KU313" s="9" t="s">
        <v>6170</v>
      </c>
      <c r="KV313" s="9" t="s">
        <v>6373</v>
      </c>
      <c r="KW313" s="9" t="s">
        <v>6374</v>
      </c>
      <c r="KX313" s="9" t="s">
        <v>6374</v>
      </c>
      <c r="KY313" s="9" t="s">
        <v>6375</v>
      </c>
      <c r="KZ313" s="9" t="s">
        <v>6376</v>
      </c>
      <c r="LA313" s="9" t="s">
        <v>6377</v>
      </c>
      <c r="LB313" s="9" t="s">
        <v>6378</v>
      </c>
      <c r="LC313" s="9" t="s">
        <v>6379</v>
      </c>
      <c r="LD313" s="9" t="s">
        <v>6380</v>
      </c>
      <c r="LE313" s="9" t="s">
        <v>6381</v>
      </c>
      <c r="LF313" s="9" t="s">
        <v>6382</v>
      </c>
      <c r="MJ313" s="9" t="s">
        <v>6383</v>
      </c>
    </row>
    <row r="314" ht="24.75" customHeight="1">
      <c r="A314" s="8">
        <v>45915.3204787963</v>
      </c>
      <c r="B314" s="9" t="s">
        <v>368</v>
      </c>
      <c r="C314" s="9" t="s">
        <v>370</v>
      </c>
      <c r="D314" s="9" t="s">
        <v>370</v>
      </c>
      <c r="E314" s="9" t="s">
        <v>2559</v>
      </c>
      <c r="F314" s="9" t="s">
        <v>371</v>
      </c>
      <c r="G314" s="9" t="s">
        <v>422</v>
      </c>
      <c r="H314" s="9" t="s">
        <v>496</v>
      </c>
      <c r="I314" s="9" t="s">
        <v>1022</v>
      </c>
      <c r="J314" s="9" t="s">
        <v>425</v>
      </c>
      <c r="K314" s="9" t="s">
        <v>376</v>
      </c>
      <c r="L314" s="9" t="s">
        <v>426</v>
      </c>
      <c r="M314" s="9" t="s">
        <v>378</v>
      </c>
      <c r="N314" s="9" t="s">
        <v>793</v>
      </c>
      <c r="O314" s="9" t="s">
        <v>719</v>
      </c>
      <c r="P314" s="9" t="s">
        <v>498</v>
      </c>
      <c r="Q314" s="9" t="s">
        <v>862</v>
      </c>
      <c r="R314" s="9" t="s">
        <v>6384</v>
      </c>
      <c r="S314" s="9" t="s">
        <v>6384</v>
      </c>
      <c r="T314" s="9" t="s">
        <v>385</v>
      </c>
      <c r="W314" s="9" t="s">
        <v>593</v>
      </c>
      <c r="X314" s="9" t="s">
        <v>387</v>
      </c>
      <c r="Y314" s="9" t="s">
        <v>1966</v>
      </c>
      <c r="Z314" s="9" t="s">
        <v>543</v>
      </c>
      <c r="AA314" s="9" t="s">
        <v>408</v>
      </c>
      <c r="AB314" s="9" t="s">
        <v>6385</v>
      </c>
      <c r="AV314" s="9" t="s">
        <v>504</v>
      </c>
      <c r="AW314" s="9" t="s">
        <v>429</v>
      </c>
      <c r="AX314" s="9" t="s">
        <v>429</v>
      </c>
      <c r="AY314" s="9">
        <v>2.0</v>
      </c>
      <c r="AZ314" s="9" t="s">
        <v>429</v>
      </c>
      <c r="BA314" s="9" t="s">
        <v>429</v>
      </c>
      <c r="BB314" s="9" t="s">
        <v>429</v>
      </c>
      <c r="BC314" s="9" t="s">
        <v>6386</v>
      </c>
      <c r="BD314" s="9" t="s">
        <v>6387</v>
      </c>
      <c r="BE314" s="9" t="s">
        <v>392</v>
      </c>
      <c r="BF314" s="9" t="s">
        <v>433</v>
      </c>
      <c r="BG314" s="9" t="s">
        <v>678</v>
      </c>
      <c r="BI314" s="9" t="s">
        <v>976</v>
      </c>
      <c r="BK314" s="9" t="s">
        <v>395</v>
      </c>
      <c r="BL314" s="9" t="s">
        <v>603</v>
      </c>
      <c r="BM314" s="9" t="s">
        <v>439</v>
      </c>
      <c r="BN314" s="9" t="s">
        <v>440</v>
      </c>
      <c r="CL314" s="9" t="s">
        <v>441</v>
      </c>
      <c r="CM314" s="9" t="s">
        <v>401</v>
      </c>
      <c r="CN314" s="9" t="s">
        <v>552</v>
      </c>
      <c r="CO314" s="9" t="s">
        <v>6388</v>
      </c>
      <c r="CP314" s="9" t="s">
        <v>1008</v>
      </c>
      <c r="CQ314" s="9" t="s">
        <v>6389</v>
      </c>
      <c r="CR314" s="9" t="s">
        <v>447</v>
      </c>
      <c r="CS314" s="9" t="s">
        <v>1626</v>
      </c>
      <c r="CT314" s="9" t="s">
        <v>6390</v>
      </c>
      <c r="CU314" s="9" t="s">
        <v>450</v>
      </c>
      <c r="CV314" s="9" t="s">
        <v>451</v>
      </c>
      <c r="CX314" s="9" t="s">
        <v>408</v>
      </c>
      <c r="CZ314" s="9" t="s">
        <v>453</v>
      </c>
      <c r="DA314" s="9" t="s">
        <v>6391</v>
      </c>
      <c r="DB314" s="9" t="s">
        <v>455</v>
      </c>
      <c r="DC314" s="9" t="s">
        <v>6392</v>
      </c>
      <c r="DD314" s="9" t="s">
        <v>988</v>
      </c>
      <c r="DF314" s="9" t="s">
        <v>6393</v>
      </c>
      <c r="DG314" s="9" t="s">
        <v>561</v>
      </c>
      <c r="DH314" s="9" t="s">
        <v>410</v>
      </c>
      <c r="DI314" s="9" t="s">
        <v>459</v>
      </c>
      <c r="DJ314" s="9" t="s">
        <v>613</v>
      </c>
      <c r="DM314" s="9" t="s">
        <v>6394</v>
      </c>
      <c r="DN314" s="9" t="s">
        <v>6395</v>
      </c>
      <c r="DO314" s="9" t="s">
        <v>464</v>
      </c>
      <c r="DP314" s="9" t="s">
        <v>6396</v>
      </c>
      <c r="DQ314" s="9" t="s">
        <v>466</v>
      </c>
      <c r="DR314" s="9" t="s">
        <v>6290</v>
      </c>
      <c r="DS314" s="9" t="s">
        <v>468</v>
      </c>
      <c r="DT314" s="9" t="s">
        <v>740</v>
      </c>
      <c r="DU314" s="9" t="s">
        <v>741</v>
      </c>
      <c r="DV314" s="9" t="s">
        <v>408</v>
      </c>
      <c r="DW314" s="9" t="s">
        <v>573</v>
      </c>
      <c r="DX314" s="9" t="s">
        <v>6397</v>
      </c>
      <c r="EA314" s="9" t="s">
        <v>475</v>
      </c>
      <c r="EB314" s="9" t="s">
        <v>626</v>
      </c>
      <c r="EC314" s="9" t="s">
        <v>6398</v>
      </c>
      <c r="ET314" s="9" t="s">
        <v>526</v>
      </c>
      <c r="EU314" s="9" t="s">
        <v>887</v>
      </c>
      <c r="EV314" s="9" t="s">
        <v>480</v>
      </c>
      <c r="EZ314" s="9" t="s">
        <v>413</v>
      </c>
      <c r="FA314" s="9" t="s">
        <v>415</v>
      </c>
      <c r="FB314" s="9" t="s">
        <v>413</v>
      </c>
      <c r="FC314" s="9" t="s">
        <v>413</v>
      </c>
      <c r="FD314" s="9" t="s">
        <v>413</v>
      </c>
      <c r="FE314" s="9" t="s">
        <v>413</v>
      </c>
      <c r="FF314" s="9" t="s">
        <v>413</v>
      </c>
      <c r="FG314" s="9" t="s">
        <v>413</v>
      </c>
      <c r="FH314" s="9" t="s">
        <v>413</v>
      </c>
      <c r="FI314" s="9" t="s">
        <v>583</v>
      </c>
      <c r="FJ314" s="9" t="s">
        <v>484</v>
      </c>
      <c r="FK314" s="9" t="s">
        <v>413</v>
      </c>
      <c r="FL314" s="9" t="s">
        <v>484</v>
      </c>
      <c r="FM314" s="9" t="s">
        <v>484</v>
      </c>
      <c r="FN314" s="9" t="s">
        <v>484</v>
      </c>
      <c r="FO314" s="9" t="s">
        <v>417</v>
      </c>
      <c r="FP314" s="9" t="s">
        <v>418</v>
      </c>
      <c r="FQ314" s="9" t="s">
        <v>419</v>
      </c>
      <c r="FS314" s="9" t="s">
        <v>420</v>
      </c>
      <c r="FT314" s="9" t="s">
        <v>488</v>
      </c>
      <c r="FU314" s="9" t="s">
        <v>533</v>
      </c>
      <c r="FV314" s="9" t="s">
        <v>490</v>
      </c>
      <c r="FW314" s="9" t="s">
        <v>491</v>
      </c>
      <c r="FX314" s="9" t="s">
        <v>6399</v>
      </c>
      <c r="FY314" s="9" t="s">
        <v>535</v>
      </c>
      <c r="FZ314" s="9" t="s">
        <v>6400</v>
      </c>
      <c r="GB314" s="9" t="s">
        <v>408</v>
      </c>
      <c r="GG314" s="9" t="s">
        <v>755</v>
      </c>
      <c r="GH314" s="9" t="s">
        <v>755</v>
      </c>
      <c r="GI314" s="9" t="s">
        <v>946</v>
      </c>
      <c r="GM314" s="9" t="s">
        <v>1079</v>
      </c>
      <c r="GQ314" s="9" t="s">
        <v>3208</v>
      </c>
      <c r="GT314" s="9" t="s">
        <v>4774</v>
      </c>
      <c r="GV314" s="9" t="s">
        <v>5231</v>
      </c>
      <c r="GW314" s="9" t="s">
        <v>484</v>
      </c>
      <c r="HC314" s="9" t="s">
        <v>484</v>
      </c>
      <c r="HD314" s="9" t="s">
        <v>5349</v>
      </c>
      <c r="HE314" s="9" t="s">
        <v>5320</v>
      </c>
      <c r="HF314" s="9" t="s">
        <v>5493</v>
      </c>
      <c r="HG314" s="9" t="s">
        <v>6401</v>
      </c>
      <c r="HH314" s="9" t="s">
        <v>5495</v>
      </c>
      <c r="HI314" s="9" t="s">
        <v>6402</v>
      </c>
      <c r="HJ314" s="9" t="s">
        <v>6403</v>
      </c>
      <c r="HO314" s="9" t="s">
        <v>5236</v>
      </c>
      <c r="HP314" s="9" t="s">
        <v>5302</v>
      </c>
      <c r="HQ314" s="9" t="s">
        <v>5238</v>
      </c>
      <c r="HR314" s="9" t="s">
        <v>6404</v>
      </c>
      <c r="HW314" s="9" t="s">
        <v>6405</v>
      </c>
      <c r="IN314" s="9" t="s">
        <v>5536</v>
      </c>
      <c r="IO314" s="9" t="s">
        <v>5537</v>
      </c>
      <c r="IP314" s="9" t="s">
        <v>5500</v>
      </c>
      <c r="IQ314" s="9" t="s">
        <v>5500</v>
      </c>
      <c r="IR314" s="9" t="s">
        <v>5500</v>
      </c>
      <c r="IS314" s="9" t="s">
        <v>5500</v>
      </c>
      <c r="MJ314" s="9" t="s">
        <v>6321</v>
      </c>
    </row>
    <row r="315" ht="24.75" customHeight="1">
      <c r="A315" s="8">
        <v>45917.67038480324</v>
      </c>
      <c r="B315" s="9" t="s">
        <v>368</v>
      </c>
      <c r="C315" s="9" t="s">
        <v>370</v>
      </c>
      <c r="D315" s="9" t="s">
        <v>370</v>
      </c>
      <c r="E315" s="9" t="s">
        <v>1562</v>
      </c>
      <c r="F315" s="9" t="s">
        <v>5384</v>
      </c>
      <c r="G315" s="9" t="s">
        <v>422</v>
      </c>
      <c r="H315" s="9" t="s">
        <v>373</v>
      </c>
      <c r="I315" s="9" t="s">
        <v>374</v>
      </c>
      <c r="J315" s="9" t="s">
        <v>375</v>
      </c>
      <c r="K315" s="9" t="s">
        <v>376</v>
      </c>
      <c r="L315" s="9" t="s">
        <v>426</v>
      </c>
      <c r="M315" s="9" t="s">
        <v>720</v>
      </c>
      <c r="N315" s="9" t="s">
        <v>426</v>
      </c>
      <c r="O315" s="9" t="s">
        <v>1024</v>
      </c>
      <c r="P315" s="9" t="s">
        <v>498</v>
      </c>
      <c r="Q315" s="9" t="s">
        <v>499</v>
      </c>
      <c r="R315" s="9" t="s">
        <v>427</v>
      </c>
      <c r="S315" s="9" t="s">
        <v>384</v>
      </c>
      <c r="T315" s="9" t="s">
        <v>385</v>
      </c>
      <c r="W315" s="9" t="s">
        <v>593</v>
      </c>
      <c r="X315" s="9" t="s">
        <v>387</v>
      </c>
      <c r="Y315" s="9" t="s">
        <v>897</v>
      </c>
      <c r="Z315" s="9" t="s">
        <v>502</v>
      </c>
      <c r="AA315" s="9" t="s">
        <v>6406</v>
      </c>
      <c r="AV315" s="9" t="s">
        <v>1310</v>
      </c>
      <c r="AW315" s="9" t="s">
        <v>391</v>
      </c>
      <c r="AX315" s="9" t="s">
        <v>391</v>
      </c>
      <c r="AY315" s="9">
        <v>2.0</v>
      </c>
      <c r="AZ315" s="9" t="s">
        <v>429</v>
      </c>
      <c r="BA315" s="9" t="s">
        <v>429</v>
      </c>
      <c r="BB315" s="9" t="s">
        <v>429</v>
      </c>
      <c r="BC315" s="9" t="s">
        <v>6407</v>
      </c>
      <c r="BD315" s="9" t="s">
        <v>6408</v>
      </c>
      <c r="BE315" s="9" t="s">
        <v>2379</v>
      </c>
      <c r="BF315" s="9" t="s">
        <v>433</v>
      </c>
      <c r="BG315" s="9" t="s">
        <v>434</v>
      </c>
      <c r="BH315" s="9" t="s">
        <v>6409</v>
      </c>
      <c r="BI315" s="9" t="s">
        <v>824</v>
      </c>
      <c r="BJ315" s="9" t="s">
        <v>1211</v>
      </c>
      <c r="BK315" s="9" t="s">
        <v>681</v>
      </c>
      <c r="BL315" s="9" t="s">
        <v>396</v>
      </c>
      <c r="BM315" s="9" t="s">
        <v>549</v>
      </c>
      <c r="BN315" s="9" t="s">
        <v>440</v>
      </c>
      <c r="CL315" s="9" t="s">
        <v>441</v>
      </c>
      <c r="CM315" s="9" t="s">
        <v>401</v>
      </c>
      <c r="CN315" s="9" t="s">
        <v>1315</v>
      </c>
      <c r="CO315" s="9" t="s">
        <v>6410</v>
      </c>
      <c r="CP315" s="9" t="s">
        <v>445</v>
      </c>
      <c r="CQ315" s="9" t="s">
        <v>4908</v>
      </c>
      <c r="CR315" s="9" t="s">
        <v>447</v>
      </c>
      <c r="CS315" s="9" t="s">
        <v>6081</v>
      </c>
      <c r="CT315" s="9" t="s">
        <v>6411</v>
      </c>
      <c r="CU315" s="9" t="s">
        <v>450</v>
      </c>
      <c r="CV315" s="9" t="s">
        <v>451</v>
      </c>
      <c r="CW315" s="9" t="s">
        <v>6412</v>
      </c>
      <c r="CX315" s="9" t="s">
        <v>408</v>
      </c>
      <c r="CZ315" s="9" t="s">
        <v>453</v>
      </c>
      <c r="DA315" s="9" t="s">
        <v>6413</v>
      </c>
      <c r="DB315" s="9" t="s">
        <v>455</v>
      </c>
      <c r="DC315" s="9" t="s">
        <v>6414</v>
      </c>
      <c r="DD315" s="9" t="s">
        <v>457</v>
      </c>
      <c r="DF315" s="9" t="s">
        <v>6415</v>
      </c>
      <c r="DG315" s="9" t="s">
        <v>524</v>
      </c>
      <c r="DH315" s="9" t="s">
        <v>410</v>
      </c>
      <c r="DI315" s="9" t="s">
        <v>459</v>
      </c>
      <c r="DJ315" s="9" t="s">
        <v>613</v>
      </c>
      <c r="DM315" s="9" t="s">
        <v>6416</v>
      </c>
      <c r="DN315" s="9" t="s">
        <v>6417</v>
      </c>
      <c r="DO315" s="9" t="s">
        <v>464</v>
      </c>
      <c r="DP315" s="9" t="s">
        <v>6418</v>
      </c>
      <c r="DQ315" s="9" t="s">
        <v>466</v>
      </c>
      <c r="DR315" s="9" t="s">
        <v>6419</v>
      </c>
      <c r="DS315" s="9" t="s">
        <v>839</v>
      </c>
      <c r="DT315" s="9" t="s">
        <v>703</v>
      </c>
      <c r="DU315" s="9" t="s">
        <v>6420</v>
      </c>
      <c r="DV315" s="9" t="s">
        <v>6421</v>
      </c>
      <c r="DW315" s="9" t="s">
        <v>622</v>
      </c>
      <c r="DX315" s="9" t="s">
        <v>6422</v>
      </c>
      <c r="DY315" s="9" t="s">
        <v>6423</v>
      </c>
      <c r="DZ315" s="9" t="s">
        <v>6424</v>
      </c>
      <c r="EA315" s="9" t="s">
        <v>475</v>
      </c>
      <c r="EB315" s="9" t="s">
        <v>626</v>
      </c>
      <c r="EC315" s="9" t="s">
        <v>6425</v>
      </c>
      <c r="ET315" s="9" t="s">
        <v>526</v>
      </c>
      <c r="EU315" s="9" t="s">
        <v>479</v>
      </c>
      <c r="EV315" s="9" t="s">
        <v>480</v>
      </c>
      <c r="EW315" s="9" t="s">
        <v>6426</v>
      </c>
      <c r="EX315" s="9" t="s">
        <v>6427</v>
      </c>
      <c r="EY315" s="9" t="s">
        <v>6427</v>
      </c>
      <c r="EZ315" s="9" t="s">
        <v>416</v>
      </c>
      <c r="FA315" s="9" t="s">
        <v>415</v>
      </c>
      <c r="FB315" s="9" t="s">
        <v>413</v>
      </c>
      <c r="FC315" s="9" t="s">
        <v>413</v>
      </c>
      <c r="FD315" s="9" t="s">
        <v>413</v>
      </c>
      <c r="FE315" s="9" t="s">
        <v>416</v>
      </c>
      <c r="FF315" s="9" t="s">
        <v>413</v>
      </c>
      <c r="FG315" s="9" t="s">
        <v>484</v>
      </c>
      <c r="FH315" s="9" t="s">
        <v>484</v>
      </c>
      <c r="FI315" s="9" t="s">
        <v>484</v>
      </c>
      <c r="FJ315" s="9" t="s">
        <v>484</v>
      </c>
      <c r="FK315" s="9" t="s">
        <v>484</v>
      </c>
      <c r="FL315" s="9" t="s">
        <v>484</v>
      </c>
      <c r="FM315" s="9" t="s">
        <v>484</v>
      </c>
      <c r="FN315" s="9" t="s">
        <v>414</v>
      </c>
      <c r="FO315" s="9" t="s">
        <v>417</v>
      </c>
      <c r="FP315" s="9" t="s">
        <v>418</v>
      </c>
      <c r="FQ315" s="9" t="s">
        <v>712</v>
      </c>
      <c r="FR315" s="9" t="s">
        <v>6428</v>
      </c>
      <c r="FS315" s="9" t="s">
        <v>420</v>
      </c>
      <c r="FT315" s="9" t="s">
        <v>488</v>
      </c>
      <c r="FU315" s="9" t="s">
        <v>533</v>
      </c>
      <c r="FV315" s="9" t="s">
        <v>490</v>
      </c>
      <c r="FW315" s="9" t="s">
        <v>491</v>
      </c>
      <c r="FX315" s="9" t="s">
        <v>6429</v>
      </c>
      <c r="FY315" s="9" t="s">
        <v>535</v>
      </c>
      <c r="FZ315" s="9" t="s">
        <v>6430</v>
      </c>
      <c r="GA315" s="9" t="s">
        <v>6431</v>
      </c>
      <c r="GB315" s="9" t="s">
        <v>455</v>
      </c>
      <c r="GC315" s="9"/>
      <c r="GE315" s="9" t="s">
        <v>753</v>
      </c>
      <c r="GF315" s="9" t="s">
        <v>6432</v>
      </c>
      <c r="GG315" s="9" t="s">
        <v>857</v>
      </c>
      <c r="GH315" s="9" t="s">
        <v>857</v>
      </c>
      <c r="GI315" s="9" t="s">
        <v>790</v>
      </c>
      <c r="GM315" s="9" t="s">
        <v>1079</v>
      </c>
      <c r="GQ315" s="9" t="s">
        <v>6433</v>
      </c>
      <c r="GT315" s="9" t="s">
        <v>4774</v>
      </c>
      <c r="GV315" s="9" t="s">
        <v>6434</v>
      </c>
      <c r="GW315" s="9" t="s">
        <v>5232</v>
      </c>
      <c r="HC315" s="9" t="s">
        <v>484</v>
      </c>
      <c r="HD315" s="9" t="s">
        <v>5349</v>
      </c>
      <c r="HE315" s="9" t="s">
        <v>5320</v>
      </c>
      <c r="HF315" s="9" t="s">
        <v>5284</v>
      </c>
      <c r="HG315" s="9" t="s">
        <v>6435</v>
      </c>
      <c r="HH315" s="9" t="s">
        <v>5495</v>
      </c>
      <c r="HI315" s="9" t="s">
        <v>6436</v>
      </c>
      <c r="HJ315" s="9" t="s">
        <v>6437</v>
      </c>
      <c r="HO315" s="9" t="s">
        <v>5236</v>
      </c>
      <c r="HP315" s="9" t="s">
        <v>5264</v>
      </c>
      <c r="HQ315" s="9" t="s">
        <v>5238</v>
      </c>
      <c r="HR315" s="9" t="s">
        <v>5239</v>
      </c>
      <c r="HW315" s="9" t="s">
        <v>5628</v>
      </c>
      <c r="IN315" s="9" t="s">
        <v>5500</v>
      </c>
      <c r="IO315" s="9" t="s">
        <v>5500</v>
      </c>
      <c r="IP315" s="9" t="s">
        <v>5536</v>
      </c>
      <c r="IQ315" s="9" t="s">
        <v>5500</v>
      </c>
      <c r="IR315" s="9" t="s">
        <v>5500</v>
      </c>
      <c r="IS315" s="9" t="s">
        <v>5500</v>
      </c>
      <c r="MJ315" s="9" t="s">
        <v>6321</v>
      </c>
    </row>
    <row r="316" ht="24.75" customHeight="1">
      <c r="A316" s="8">
        <v>45917.73239077546</v>
      </c>
      <c r="B316" s="9" t="s">
        <v>368</v>
      </c>
      <c r="C316" s="9" t="s">
        <v>370</v>
      </c>
      <c r="D316" s="9" t="s">
        <v>370</v>
      </c>
      <c r="E316" s="9" t="s">
        <v>1510</v>
      </c>
      <c r="F316" s="9" t="s">
        <v>1510</v>
      </c>
      <c r="G316" s="9" t="s">
        <v>422</v>
      </c>
      <c r="H316" s="9" t="s">
        <v>1203</v>
      </c>
      <c r="I316" s="9" t="s">
        <v>638</v>
      </c>
      <c r="J316" s="9" t="s">
        <v>1204</v>
      </c>
      <c r="K316" s="9" t="s">
        <v>376</v>
      </c>
      <c r="L316" s="9" t="s">
        <v>379</v>
      </c>
      <c r="M316" s="9" t="s">
        <v>2998</v>
      </c>
      <c r="N316" s="9" t="s">
        <v>670</v>
      </c>
      <c r="O316" s="9" t="s">
        <v>720</v>
      </c>
      <c r="P316" s="9" t="s">
        <v>498</v>
      </c>
      <c r="Q316" s="9" t="s">
        <v>499</v>
      </c>
      <c r="R316" s="9" t="s">
        <v>500</v>
      </c>
      <c r="S316" s="9" t="s">
        <v>384</v>
      </c>
      <c r="T316" s="9" t="s">
        <v>385</v>
      </c>
      <c r="W316" s="9" t="s">
        <v>3231</v>
      </c>
      <c r="AV316" s="9" t="s">
        <v>390</v>
      </c>
      <c r="AW316" s="9" t="s">
        <v>391</v>
      </c>
      <c r="AX316" s="9">
        <v>2.0</v>
      </c>
      <c r="AY316" s="9" t="s">
        <v>391</v>
      </c>
      <c r="AZ316" s="9" t="s">
        <v>429</v>
      </c>
      <c r="BA316" s="9">
        <v>2.0</v>
      </c>
      <c r="BB316" s="9" t="s">
        <v>391</v>
      </c>
      <c r="BC316" s="9" t="s">
        <v>6438</v>
      </c>
      <c r="BD316" s="9" t="s">
        <v>6439</v>
      </c>
      <c r="BE316" s="9" t="s">
        <v>432</v>
      </c>
      <c r="BF316" s="9" t="s">
        <v>393</v>
      </c>
      <c r="BG316" s="9" t="s">
        <v>507</v>
      </c>
      <c r="BH316" s="9" t="s">
        <v>6440</v>
      </c>
      <c r="BI316" s="9" t="s">
        <v>824</v>
      </c>
      <c r="BK316" s="9" t="s">
        <v>681</v>
      </c>
      <c r="BL316" s="9" t="s">
        <v>396</v>
      </c>
      <c r="BM316" s="9" t="s">
        <v>549</v>
      </c>
      <c r="BN316" s="9" t="s">
        <v>513</v>
      </c>
      <c r="CL316" s="9" t="s">
        <v>441</v>
      </c>
      <c r="CM316" s="9" t="s">
        <v>604</v>
      </c>
      <c r="CN316" s="9" t="s">
        <v>6441</v>
      </c>
      <c r="CO316" s="9" t="s">
        <v>6442</v>
      </c>
      <c r="CP316" s="9" t="s">
        <v>445</v>
      </c>
      <c r="CQ316" s="9" t="s">
        <v>6443</v>
      </c>
      <c r="CR316" s="9" t="s">
        <v>447</v>
      </c>
      <c r="CU316" s="9" t="s">
        <v>519</v>
      </c>
      <c r="CV316" s="9" t="s">
        <v>451</v>
      </c>
      <c r="CW316" s="9" t="s">
        <v>6444</v>
      </c>
      <c r="CX316" s="9" t="s">
        <v>408</v>
      </c>
      <c r="CZ316" s="9" t="s">
        <v>985</v>
      </c>
      <c r="DA316" s="9" t="s">
        <v>6445</v>
      </c>
      <c r="DB316" s="9" t="s">
        <v>408</v>
      </c>
      <c r="DD316" s="9" t="s">
        <v>406</v>
      </c>
      <c r="DE316" s="9" t="s">
        <v>1058</v>
      </c>
      <c r="DG316" s="9" t="s">
        <v>524</v>
      </c>
      <c r="DH316" s="9" t="s">
        <v>410</v>
      </c>
      <c r="DI316" s="9" t="s">
        <v>459</v>
      </c>
      <c r="DJ316" s="9" t="s">
        <v>460</v>
      </c>
      <c r="DK316" s="9" t="s">
        <v>6335</v>
      </c>
      <c r="ET316" s="9" t="s">
        <v>478</v>
      </c>
      <c r="EU316" s="9" t="s">
        <v>479</v>
      </c>
      <c r="EV316" s="9" t="s">
        <v>480</v>
      </c>
      <c r="EZ316" s="9" t="s">
        <v>583</v>
      </c>
      <c r="FA316" s="9" t="s">
        <v>583</v>
      </c>
      <c r="FB316" s="9" t="s">
        <v>583</v>
      </c>
      <c r="FC316" s="9" t="s">
        <v>583</v>
      </c>
      <c r="FD316" s="9" t="s">
        <v>413</v>
      </c>
      <c r="FE316" s="9" t="s">
        <v>583</v>
      </c>
      <c r="FF316" s="9" t="s">
        <v>484</v>
      </c>
      <c r="FG316" s="9" t="s">
        <v>413</v>
      </c>
      <c r="FH316" s="9" t="s">
        <v>583</v>
      </c>
      <c r="FI316" s="9" t="s">
        <v>583</v>
      </c>
      <c r="FJ316" s="9" t="s">
        <v>484</v>
      </c>
      <c r="FK316" s="9" t="s">
        <v>484</v>
      </c>
      <c r="FL316" s="9" t="s">
        <v>484</v>
      </c>
      <c r="FM316" s="9" t="s">
        <v>413</v>
      </c>
      <c r="FN316" s="9" t="s">
        <v>583</v>
      </c>
      <c r="FO316" s="9" t="s">
        <v>3396</v>
      </c>
      <c r="FP316" s="9" t="s">
        <v>418</v>
      </c>
      <c r="FQ316" s="9" t="s">
        <v>712</v>
      </c>
      <c r="FS316" s="9" t="s">
        <v>420</v>
      </c>
      <c r="FT316" s="9" t="s">
        <v>488</v>
      </c>
      <c r="FU316" s="9" t="s">
        <v>489</v>
      </c>
      <c r="FV316" s="9" t="s">
        <v>490</v>
      </c>
      <c r="FW316" s="9" t="s">
        <v>491</v>
      </c>
      <c r="FY316" s="9" t="s">
        <v>493</v>
      </c>
      <c r="GB316" s="9" t="s">
        <v>455</v>
      </c>
      <c r="GC316" s="9"/>
      <c r="GE316" s="9" t="s">
        <v>753</v>
      </c>
      <c r="GG316" s="9" t="s">
        <v>788</v>
      </c>
      <c r="GH316" s="9" t="s">
        <v>788</v>
      </c>
      <c r="GI316" s="9" t="s">
        <v>946</v>
      </c>
      <c r="GP316" s="9" t="s">
        <v>387</v>
      </c>
      <c r="GQ316" s="9" t="s">
        <v>5656</v>
      </c>
      <c r="GT316" s="9" t="s">
        <v>4774</v>
      </c>
      <c r="GV316" s="9" t="s">
        <v>5231</v>
      </c>
      <c r="GW316" s="9" t="s">
        <v>5232</v>
      </c>
      <c r="HC316" s="9" t="s">
        <v>5297</v>
      </c>
      <c r="HD316" s="9" t="s">
        <v>5349</v>
      </c>
      <c r="HE316" s="9" t="s">
        <v>5320</v>
      </c>
      <c r="HF316" s="9" t="s">
        <v>5300</v>
      </c>
      <c r="HO316" s="9" t="s">
        <v>5236</v>
      </c>
      <c r="HP316" s="9" t="s">
        <v>5264</v>
      </c>
      <c r="HQ316" s="9" t="s">
        <v>5238</v>
      </c>
      <c r="HR316" s="9" t="s">
        <v>5321</v>
      </c>
      <c r="MJ316" s="9" t="s">
        <v>6321</v>
      </c>
    </row>
    <row r="317" ht="24.75" customHeight="1">
      <c r="A317" s="8">
        <v>45918.237352870376</v>
      </c>
      <c r="B317" s="9" t="s">
        <v>368</v>
      </c>
      <c r="C317" s="9" t="s">
        <v>894</v>
      </c>
      <c r="D317" s="9" t="s">
        <v>894</v>
      </c>
      <c r="G317" s="9" t="s">
        <v>3187</v>
      </c>
      <c r="H317" s="9" t="s">
        <v>496</v>
      </c>
      <c r="I317" s="9" t="s">
        <v>2578</v>
      </c>
      <c r="J317" s="9" t="s">
        <v>1240</v>
      </c>
      <c r="K317" s="9" t="s">
        <v>376</v>
      </c>
      <c r="L317" s="9" t="s">
        <v>426</v>
      </c>
      <c r="M317" s="9" t="s">
        <v>2998</v>
      </c>
      <c r="N317" s="9" t="s">
        <v>379</v>
      </c>
      <c r="O317" s="9" t="s">
        <v>6446</v>
      </c>
      <c r="P317" s="9" t="s">
        <v>381</v>
      </c>
      <c r="Q317" s="9" t="s">
        <v>862</v>
      </c>
      <c r="R317" s="9" t="s">
        <v>427</v>
      </c>
      <c r="S317" s="9" t="s">
        <v>384</v>
      </c>
      <c r="T317" s="9" t="s">
        <v>385</v>
      </c>
      <c r="U317" s="9" t="s">
        <v>1823</v>
      </c>
      <c r="V317" s="9" t="s">
        <v>1241</v>
      </c>
      <c r="W317" s="9" t="s">
        <v>386</v>
      </c>
      <c r="X317" s="9" t="s">
        <v>387</v>
      </c>
      <c r="Y317" s="9" t="s">
        <v>388</v>
      </c>
      <c r="Z317" s="9" t="s">
        <v>543</v>
      </c>
      <c r="AA317" s="9" t="s">
        <v>408</v>
      </c>
      <c r="AB317" s="9" t="s">
        <v>408</v>
      </c>
      <c r="AV317" s="9" t="s">
        <v>1242</v>
      </c>
      <c r="AW317" s="9" t="s">
        <v>675</v>
      </c>
      <c r="AX317" s="9" t="s">
        <v>675</v>
      </c>
      <c r="AY317" s="9">
        <v>4.0</v>
      </c>
      <c r="AZ317" s="9" t="s">
        <v>391</v>
      </c>
      <c r="BA317" s="9" t="s">
        <v>391</v>
      </c>
      <c r="BB317" s="9" t="s">
        <v>675</v>
      </c>
      <c r="BC317" s="9" t="s">
        <v>6447</v>
      </c>
      <c r="BD317" s="9" t="s">
        <v>6448</v>
      </c>
      <c r="BE317" s="9" t="s">
        <v>432</v>
      </c>
      <c r="BF317" s="9" t="s">
        <v>1095</v>
      </c>
      <c r="BG317" s="9" t="s">
        <v>434</v>
      </c>
      <c r="BH317" s="9" t="s">
        <v>6449</v>
      </c>
      <c r="BI317" s="9" t="s">
        <v>435</v>
      </c>
      <c r="BJ317" s="9" t="s">
        <v>6450</v>
      </c>
      <c r="BK317" s="9" t="s">
        <v>395</v>
      </c>
      <c r="BL317" s="9" t="s">
        <v>904</v>
      </c>
      <c r="BM317" s="9" t="s">
        <v>1314</v>
      </c>
      <c r="BN317" s="9" t="s">
        <v>513</v>
      </c>
      <c r="CL317" s="9" t="s">
        <v>682</v>
      </c>
      <c r="CM317" s="9" t="s">
        <v>604</v>
      </c>
      <c r="CN317" s="9" t="s">
        <v>6451</v>
      </c>
      <c r="CO317" s="9" t="s">
        <v>6452</v>
      </c>
      <c r="CT317" s="9" t="s">
        <v>6453</v>
      </c>
      <c r="CU317" s="9" t="s">
        <v>1961</v>
      </c>
      <c r="CV317" s="9" t="s">
        <v>959</v>
      </c>
      <c r="CW317" s="9" t="s">
        <v>6454</v>
      </c>
      <c r="CX317" s="9" t="s">
        <v>455</v>
      </c>
      <c r="CY317" s="9" t="s">
        <v>6455</v>
      </c>
      <c r="CZ317" s="9" t="s">
        <v>1962</v>
      </c>
      <c r="DA317" s="9" t="s">
        <v>6456</v>
      </c>
      <c r="DB317" s="9" t="s">
        <v>455</v>
      </c>
      <c r="DC317" s="9" t="s">
        <v>6457</v>
      </c>
      <c r="DG317" s="9" t="s">
        <v>990</v>
      </c>
      <c r="DH317" s="9" t="s">
        <v>1220</v>
      </c>
      <c r="DI317" s="9" t="s">
        <v>777</v>
      </c>
      <c r="DJ317" s="9" t="s">
        <v>460</v>
      </c>
      <c r="DK317" s="9" t="s">
        <v>6319</v>
      </c>
      <c r="ET317" s="9" t="s">
        <v>2747</v>
      </c>
      <c r="EU317" s="9" t="s">
        <v>887</v>
      </c>
      <c r="EV317" s="9" t="s">
        <v>1262</v>
      </c>
      <c r="EW317" s="9" t="s">
        <v>6458</v>
      </c>
      <c r="EX317" s="9" t="s">
        <v>6459</v>
      </c>
      <c r="EY317" s="9" t="s">
        <v>6460</v>
      </c>
      <c r="EZ317" s="9" t="s">
        <v>414</v>
      </c>
      <c r="FA317" s="9" t="s">
        <v>583</v>
      </c>
      <c r="FB317" s="9" t="s">
        <v>414</v>
      </c>
      <c r="FC317" s="9" t="s">
        <v>583</v>
      </c>
      <c r="FD317" s="9" t="s">
        <v>415</v>
      </c>
      <c r="FE317" s="9" t="s">
        <v>414</v>
      </c>
      <c r="FF317" s="9" t="s">
        <v>583</v>
      </c>
      <c r="FG317" s="9" t="s">
        <v>414</v>
      </c>
      <c r="FH317" s="9" t="s">
        <v>416</v>
      </c>
      <c r="FI317" s="9" t="s">
        <v>583</v>
      </c>
      <c r="FJ317" s="9" t="s">
        <v>583</v>
      </c>
      <c r="FK317" s="9" t="s">
        <v>414</v>
      </c>
      <c r="FL317" s="9" t="s">
        <v>583</v>
      </c>
      <c r="FM317" s="9" t="s">
        <v>416</v>
      </c>
      <c r="FN317" s="9" t="s">
        <v>415</v>
      </c>
      <c r="FO317" s="9" t="s">
        <v>1537</v>
      </c>
      <c r="FP317" s="9" t="s">
        <v>3218</v>
      </c>
      <c r="FQ317" s="9" t="s">
        <v>630</v>
      </c>
      <c r="FR317" s="9" t="s">
        <v>6461</v>
      </c>
      <c r="FS317" s="9" t="s">
        <v>1871</v>
      </c>
      <c r="FT317" s="9" t="s">
        <v>2750</v>
      </c>
      <c r="FU317" s="9" t="s">
        <v>533</v>
      </c>
      <c r="FV317" s="9" t="s">
        <v>490</v>
      </c>
      <c r="FW317" s="9" t="s">
        <v>491</v>
      </c>
      <c r="FX317" s="9" t="s">
        <v>6462</v>
      </c>
      <c r="FY317" s="9" t="s">
        <v>1020</v>
      </c>
      <c r="GB317" s="9" t="s">
        <v>408</v>
      </c>
      <c r="GG317" s="9" t="s">
        <v>1000</v>
      </c>
      <c r="GH317" s="9" t="s">
        <v>1000</v>
      </c>
      <c r="GI317" s="9" t="s">
        <v>817</v>
      </c>
      <c r="GQ317" s="9" t="s">
        <v>3208</v>
      </c>
      <c r="GT317" s="9" t="s">
        <v>4774</v>
      </c>
      <c r="GU317" s="9" t="s">
        <v>6463</v>
      </c>
      <c r="GV317" s="9" t="s">
        <v>5231</v>
      </c>
      <c r="GW317" s="9" t="s">
        <v>5232</v>
      </c>
      <c r="HO317" s="9" t="s">
        <v>5236</v>
      </c>
      <c r="HP317" s="9" t="s">
        <v>5264</v>
      </c>
      <c r="HQ317" s="9" t="s">
        <v>5238</v>
      </c>
      <c r="HR317" s="9" t="s">
        <v>5321</v>
      </c>
      <c r="HS317" s="9" t="s">
        <v>5987</v>
      </c>
      <c r="HU317" s="9" t="s">
        <v>5917</v>
      </c>
      <c r="HV317" s="9" t="s">
        <v>5918</v>
      </c>
      <c r="HX317" s="9" t="s">
        <v>5922</v>
      </c>
      <c r="HY317" s="9" t="s">
        <v>5921</v>
      </c>
      <c r="HZ317" s="9" t="s">
        <v>5920</v>
      </c>
      <c r="IA317" s="9" t="s">
        <v>6464</v>
      </c>
      <c r="IB317" s="9" t="s">
        <v>6464</v>
      </c>
      <c r="IC317" s="9" t="s">
        <v>5922</v>
      </c>
      <c r="ID317" s="9" t="s">
        <v>5500</v>
      </c>
      <c r="IE317" s="9" t="s">
        <v>5500</v>
      </c>
      <c r="IF317" s="9" t="s">
        <v>5500</v>
      </c>
      <c r="IG317" s="9" t="s">
        <v>5536</v>
      </c>
      <c r="IH317" s="9" t="s">
        <v>5536</v>
      </c>
      <c r="II317" s="9" t="s">
        <v>5500</v>
      </c>
      <c r="IJ317" s="9" t="s">
        <v>6465</v>
      </c>
      <c r="IK317" s="9" t="s">
        <v>5924</v>
      </c>
      <c r="IL317" s="9" t="s">
        <v>6466</v>
      </c>
      <c r="IM317" s="9" t="s">
        <v>6467</v>
      </c>
      <c r="MJ317" s="9" t="s">
        <v>6321</v>
      </c>
    </row>
    <row r="318" ht="24.75" customHeight="1">
      <c r="A318" s="8">
        <v>45920.635895983796</v>
      </c>
      <c r="B318" s="9" t="s">
        <v>368</v>
      </c>
      <c r="C318" s="9" t="s">
        <v>370</v>
      </c>
      <c r="D318" s="9" t="s">
        <v>370</v>
      </c>
      <c r="E318" s="9" t="s">
        <v>371</v>
      </c>
      <c r="F318" s="9" t="s">
        <v>371</v>
      </c>
      <c r="G318" s="9" t="s">
        <v>422</v>
      </c>
      <c r="H318" s="9" t="s">
        <v>373</v>
      </c>
      <c r="I318" s="9" t="s">
        <v>374</v>
      </c>
      <c r="J318" s="9" t="s">
        <v>375</v>
      </c>
      <c r="K318" s="9" t="s">
        <v>376</v>
      </c>
      <c r="L318" s="9" t="s">
        <v>379</v>
      </c>
      <c r="M318" s="9" t="s">
        <v>378</v>
      </c>
      <c r="N318" s="9" t="s">
        <v>591</v>
      </c>
      <c r="O318" s="9" t="s">
        <v>719</v>
      </c>
      <c r="P318" s="9" t="s">
        <v>592</v>
      </c>
      <c r="Q318" s="9" t="s">
        <v>382</v>
      </c>
      <c r="R318" s="9" t="s">
        <v>427</v>
      </c>
      <c r="S318" s="9" t="s">
        <v>384</v>
      </c>
      <c r="T318" s="9" t="s">
        <v>385</v>
      </c>
      <c r="ED318" s="9" t="s">
        <v>6468</v>
      </c>
      <c r="ER318" s="9" t="s">
        <v>6469</v>
      </c>
      <c r="ES318" s="9" t="s">
        <v>6170</v>
      </c>
      <c r="ET318" s="9" t="s">
        <v>526</v>
      </c>
      <c r="EU318" s="9" t="s">
        <v>479</v>
      </c>
      <c r="EV318" s="9" t="s">
        <v>527</v>
      </c>
      <c r="EW318" s="9" t="s">
        <v>6470</v>
      </c>
      <c r="EX318" s="9" t="s">
        <v>6471</v>
      </c>
      <c r="EY318" s="9" t="s">
        <v>6472</v>
      </c>
      <c r="EZ318" s="9" t="s">
        <v>414</v>
      </c>
      <c r="FA318" s="9" t="s">
        <v>414</v>
      </c>
      <c r="FB318" s="9" t="s">
        <v>414</v>
      </c>
      <c r="FC318" s="9" t="s">
        <v>414</v>
      </c>
      <c r="FD318" s="9" t="s">
        <v>415</v>
      </c>
      <c r="FE318" s="9" t="s">
        <v>583</v>
      </c>
      <c r="FF318" s="9" t="s">
        <v>414</v>
      </c>
      <c r="FG318" s="9" t="s">
        <v>414</v>
      </c>
      <c r="FH318" s="9" t="s">
        <v>414</v>
      </c>
      <c r="FI318" s="9" t="s">
        <v>414</v>
      </c>
      <c r="FJ318" s="9" t="s">
        <v>583</v>
      </c>
      <c r="FK318" s="9" t="s">
        <v>414</v>
      </c>
      <c r="FL318" s="9" t="s">
        <v>414</v>
      </c>
      <c r="FM318" s="9" t="s">
        <v>415</v>
      </c>
      <c r="FN318" s="9" t="s">
        <v>415</v>
      </c>
      <c r="FO318" s="9" t="s">
        <v>850</v>
      </c>
      <c r="FP318" s="9" t="s">
        <v>418</v>
      </c>
      <c r="FQ318" s="9" t="s">
        <v>749</v>
      </c>
      <c r="FR318" s="9" t="s">
        <v>6473</v>
      </c>
      <c r="FS318" s="9" t="s">
        <v>420</v>
      </c>
      <c r="FT318" s="9" t="s">
        <v>488</v>
      </c>
      <c r="FU318" s="9" t="s">
        <v>1235</v>
      </c>
      <c r="FV318" s="9" t="s">
        <v>490</v>
      </c>
      <c r="FW318" s="9" t="s">
        <v>491</v>
      </c>
      <c r="FX318" s="9" t="s">
        <v>6474</v>
      </c>
      <c r="FY318" s="9" t="s">
        <v>535</v>
      </c>
      <c r="FZ318" s="9" t="s">
        <v>6475</v>
      </c>
      <c r="GA318" s="9" t="s">
        <v>6170</v>
      </c>
      <c r="GB318" s="9" t="s">
        <v>455</v>
      </c>
      <c r="GC318" s="9"/>
      <c r="GE318" s="9" t="s">
        <v>855</v>
      </c>
      <c r="GF318" s="9" t="s">
        <v>754</v>
      </c>
      <c r="GQ318" s="9" t="s">
        <v>3208</v>
      </c>
      <c r="GV318" s="9" t="s">
        <v>5231</v>
      </c>
      <c r="GW318" s="9" t="s">
        <v>5232</v>
      </c>
      <c r="HK318" s="9" t="s">
        <v>6476</v>
      </c>
      <c r="HL318" s="9" t="s">
        <v>5734</v>
      </c>
      <c r="HM318" s="9" t="s">
        <v>5735</v>
      </c>
      <c r="HN318" s="9" t="s">
        <v>5678</v>
      </c>
      <c r="HO318" s="9" t="s">
        <v>5301</v>
      </c>
      <c r="HP318" s="9" t="s">
        <v>5237</v>
      </c>
      <c r="HQ318" s="9" t="s">
        <v>5238</v>
      </c>
      <c r="HR318" s="9" t="s">
        <v>5347</v>
      </c>
    </row>
    <row r="319" ht="24.75" customHeight="1">
      <c r="A319" s="8">
        <v>45920.67861195602</v>
      </c>
      <c r="B319" s="9" t="s">
        <v>368</v>
      </c>
      <c r="C319" s="9" t="s">
        <v>894</v>
      </c>
      <c r="D319" s="9" t="s">
        <v>894</v>
      </c>
      <c r="G319" s="9" t="s">
        <v>422</v>
      </c>
      <c r="H319" s="9" t="s">
        <v>637</v>
      </c>
      <c r="I319" s="9" t="s">
        <v>638</v>
      </c>
      <c r="J319" s="9" t="s">
        <v>1204</v>
      </c>
      <c r="K319" s="9" t="s">
        <v>376</v>
      </c>
      <c r="L319" s="9" t="s">
        <v>793</v>
      </c>
      <c r="M319" s="9" t="s">
        <v>720</v>
      </c>
      <c r="N319" s="9" t="s">
        <v>379</v>
      </c>
      <c r="O319" s="9" t="s">
        <v>1385</v>
      </c>
      <c r="P319" s="9" t="s">
        <v>381</v>
      </c>
      <c r="Q319" s="9" t="s">
        <v>382</v>
      </c>
      <c r="R319" s="9" t="s">
        <v>949</v>
      </c>
      <c r="S319" s="9" t="s">
        <v>384</v>
      </c>
      <c r="T319" s="9" t="s">
        <v>385</v>
      </c>
      <c r="U319" s="9" t="s">
        <v>1045</v>
      </c>
      <c r="V319" s="9" t="s">
        <v>1045</v>
      </c>
      <c r="W319" s="9" t="s">
        <v>386</v>
      </c>
      <c r="X319" s="9" t="s">
        <v>387</v>
      </c>
      <c r="Y319" s="9" t="s">
        <v>3353</v>
      </c>
      <c r="Z319" s="9" t="s">
        <v>389</v>
      </c>
      <c r="AA319" s="9" t="s">
        <v>6477</v>
      </c>
      <c r="AB319" s="9" t="s">
        <v>552</v>
      </c>
      <c r="AV319" s="9" t="s">
        <v>597</v>
      </c>
      <c r="AW319" s="9">
        <v>2.0</v>
      </c>
      <c r="AX319" s="9" t="s">
        <v>429</v>
      </c>
      <c r="AY319" s="9">
        <v>4.0</v>
      </c>
      <c r="AZ319" s="9" t="s">
        <v>391</v>
      </c>
      <c r="BA319" s="9" t="s">
        <v>429</v>
      </c>
      <c r="BB319" s="9" t="s">
        <v>391</v>
      </c>
      <c r="BC319" s="9" t="s">
        <v>6478</v>
      </c>
      <c r="BD319" s="9" t="s">
        <v>6479</v>
      </c>
      <c r="BE319" s="9" t="s">
        <v>432</v>
      </c>
      <c r="BF319" s="9" t="s">
        <v>433</v>
      </c>
      <c r="BG319" s="9" t="s">
        <v>394</v>
      </c>
      <c r="BH319" s="9" t="s">
        <v>6480</v>
      </c>
      <c r="BI319" s="9" t="s">
        <v>824</v>
      </c>
      <c r="BK319" s="9" t="s">
        <v>3700</v>
      </c>
      <c r="BL319" s="9" t="s">
        <v>438</v>
      </c>
      <c r="BM319" s="9" t="s">
        <v>549</v>
      </c>
      <c r="BN319" s="9" t="s">
        <v>398</v>
      </c>
      <c r="BO319" s="9" t="s">
        <v>6481</v>
      </c>
      <c r="BP319" s="9" t="s">
        <v>6482</v>
      </c>
      <c r="BQ319" s="9" t="s">
        <v>604</v>
      </c>
      <c r="BR319" s="9" t="s">
        <v>6483</v>
      </c>
      <c r="BS319" s="9" t="s">
        <v>1671</v>
      </c>
      <c r="BT319" s="9" t="s">
        <v>1994</v>
      </c>
      <c r="BU319" s="9" t="s">
        <v>405</v>
      </c>
      <c r="BW319" s="9" t="s">
        <v>457</v>
      </c>
      <c r="BY319" s="9" t="s">
        <v>733</v>
      </c>
      <c r="BZ319" s="9" t="s">
        <v>6484</v>
      </c>
      <c r="CA319" s="9" t="s">
        <v>6485</v>
      </c>
      <c r="CB319" s="9" t="s">
        <v>6486</v>
      </c>
      <c r="CC319" s="9" t="s">
        <v>6487</v>
      </c>
      <c r="CD319" s="9" t="s">
        <v>409</v>
      </c>
      <c r="CE319" s="9" t="s">
        <v>6488</v>
      </c>
      <c r="CF319" s="9" t="s">
        <v>2233</v>
      </c>
      <c r="CH319" s="9" t="s">
        <v>1751</v>
      </c>
      <c r="CI319" s="9" t="s">
        <v>833</v>
      </c>
      <c r="CJ319" s="9" t="s">
        <v>6489</v>
      </c>
      <c r="CK319" s="9" t="s">
        <v>6490</v>
      </c>
      <c r="DI319" s="9" t="s">
        <v>963</v>
      </c>
      <c r="DJ319" s="9" t="s">
        <v>460</v>
      </c>
      <c r="DK319" s="9" t="s">
        <v>6319</v>
      </c>
      <c r="ET319" s="9" t="s">
        <v>526</v>
      </c>
      <c r="EU319" s="9" t="s">
        <v>579</v>
      </c>
      <c r="EX319" s="9" t="s">
        <v>6491</v>
      </c>
      <c r="EY319" s="9" t="s">
        <v>6492</v>
      </c>
      <c r="EZ319" s="9" t="s">
        <v>414</v>
      </c>
      <c r="FA319" s="9" t="s">
        <v>583</v>
      </c>
      <c r="FB319" s="9" t="s">
        <v>416</v>
      </c>
      <c r="FC319" s="9" t="s">
        <v>413</v>
      </c>
      <c r="FD319" s="9" t="s">
        <v>413</v>
      </c>
      <c r="FE319" s="9" t="s">
        <v>583</v>
      </c>
      <c r="FF319" s="9" t="s">
        <v>416</v>
      </c>
      <c r="FG319" s="9" t="s">
        <v>484</v>
      </c>
      <c r="FH319" s="9" t="s">
        <v>583</v>
      </c>
      <c r="FI319" s="9" t="s">
        <v>413</v>
      </c>
      <c r="FJ319" s="9" t="s">
        <v>413</v>
      </c>
      <c r="FK319" s="9" t="s">
        <v>484</v>
      </c>
      <c r="FL319" s="9" t="s">
        <v>484</v>
      </c>
      <c r="FM319" s="9" t="s">
        <v>416</v>
      </c>
      <c r="FN319" s="9" t="s">
        <v>414</v>
      </c>
      <c r="FO319" s="9" t="s">
        <v>417</v>
      </c>
      <c r="FP319" s="9" t="s">
        <v>418</v>
      </c>
      <c r="FQ319" s="9" t="s">
        <v>712</v>
      </c>
      <c r="FS319" s="9" t="s">
        <v>420</v>
      </c>
      <c r="FT319" s="9" t="s">
        <v>488</v>
      </c>
      <c r="FU319" s="9" t="s">
        <v>1235</v>
      </c>
      <c r="FV319" s="9" t="s">
        <v>490</v>
      </c>
      <c r="FW319" s="9" t="s">
        <v>491</v>
      </c>
      <c r="FX319" s="9" t="s">
        <v>6493</v>
      </c>
      <c r="FY319" s="9" t="s">
        <v>493</v>
      </c>
      <c r="FZ319" s="9" t="s">
        <v>6494</v>
      </c>
      <c r="GA319" s="9" t="s">
        <v>6495</v>
      </c>
      <c r="GB319" s="9" t="s">
        <v>455</v>
      </c>
      <c r="GC319" s="9"/>
      <c r="GD319" s="9"/>
      <c r="GE319" s="9" t="s">
        <v>855</v>
      </c>
      <c r="GF319" s="9" t="s">
        <v>6496</v>
      </c>
      <c r="GJ319" s="9" t="s">
        <v>857</v>
      </c>
      <c r="GK319" s="9" t="s">
        <v>857</v>
      </c>
      <c r="GL319" s="9" t="s">
        <v>858</v>
      </c>
      <c r="GQ319" s="9" t="s">
        <v>3208</v>
      </c>
      <c r="GR319" s="9" t="s">
        <v>5318</v>
      </c>
      <c r="GV319" s="9" t="s">
        <v>5231</v>
      </c>
      <c r="GW319" s="9" t="s">
        <v>5232</v>
      </c>
      <c r="GX319" s="9" t="s">
        <v>5281</v>
      </c>
      <c r="GY319" s="9" t="s">
        <v>6497</v>
      </c>
      <c r="GZ319" s="9" t="s">
        <v>484</v>
      </c>
      <c r="HA319" s="9" t="s">
        <v>5960</v>
      </c>
      <c r="HB319" s="9" t="s">
        <v>6498</v>
      </c>
      <c r="HO319" s="9" t="s">
        <v>5346</v>
      </c>
      <c r="HP319" s="9" t="s">
        <v>5264</v>
      </c>
      <c r="HQ319" s="9" t="s">
        <v>5238</v>
      </c>
      <c r="HR319" s="9" t="s">
        <v>6499</v>
      </c>
      <c r="MJ319" s="9" t="s">
        <v>6321</v>
      </c>
    </row>
    <row r="320" ht="24.75" customHeight="1">
      <c r="A320" s="8">
        <v>45920.839198912035</v>
      </c>
      <c r="B320" s="9" t="s">
        <v>368</v>
      </c>
      <c r="C320" s="9" t="s">
        <v>370</v>
      </c>
      <c r="D320" s="9" t="s">
        <v>370</v>
      </c>
      <c r="E320" s="9" t="s">
        <v>3955</v>
      </c>
      <c r="F320" s="9" t="s">
        <v>6500</v>
      </c>
      <c r="G320" s="9" t="s">
        <v>422</v>
      </c>
      <c r="H320" s="9" t="s">
        <v>373</v>
      </c>
      <c r="I320" s="9" t="s">
        <v>374</v>
      </c>
      <c r="J320" s="9" t="s">
        <v>375</v>
      </c>
      <c r="K320" s="9" t="s">
        <v>376</v>
      </c>
      <c r="L320" s="9" t="s">
        <v>591</v>
      </c>
      <c r="M320" s="9" t="s">
        <v>378</v>
      </c>
      <c r="N320" s="9" t="s">
        <v>793</v>
      </c>
      <c r="O320" s="9" t="s">
        <v>719</v>
      </c>
      <c r="P320" s="9" t="s">
        <v>592</v>
      </c>
      <c r="Q320" s="9" t="s">
        <v>499</v>
      </c>
      <c r="R320" s="9" t="s">
        <v>427</v>
      </c>
      <c r="S320" s="9" t="s">
        <v>1785</v>
      </c>
      <c r="T320" s="9" t="s">
        <v>1786</v>
      </c>
      <c r="ED320" s="9" t="s">
        <v>5662</v>
      </c>
      <c r="EH320" s="9" t="s">
        <v>6501</v>
      </c>
      <c r="EI320" s="9" t="s">
        <v>5664</v>
      </c>
      <c r="ER320" s="9" t="s">
        <v>6502</v>
      </c>
      <c r="ES320" s="9" t="s">
        <v>6503</v>
      </c>
      <c r="ET320" s="9" t="s">
        <v>578</v>
      </c>
      <c r="EU320" s="9" t="s">
        <v>479</v>
      </c>
      <c r="EV320" s="9" t="s">
        <v>527</v>
      </c>
      <c r="EW320" s="9" t="s">
        <v>6504</v>
      </c>
      <c r="EX320" s="9" t="s">
        <v>6505</v>
      </c>
      <c r="EY320" s="9" t="s">
        <v>6506</v>
      </c>
      <c r="EZ320" s="9" t="s">
        <v>414</v>
      </c>
      <c r="FA320" s="9" t="s">
        <v>583</v>
      </c>
      <c r="FB320" s="9" t="s">
        <v>416</v>
      </c>
      <c r="FC320" s="9" t="s">
        <v>583</v>
      </c>
      <c r="FD320" s="9" t="s">
        <v>413</v>
      </c>
      <c r="FE320" s="9" t="s">
        <v>583</v>
      </c>
      <c r="FF320" s="9" t="s">
        <v>415</v>
      </c>
      <c r="FG320" s="9" t="s">
        <v>416</v>
      </c>
      <c r="FH320" s="9" t="s">
        <v>583</v>
      </c>
      <c r="FI320" s="9" t="s">
        <v>583</v>
      </c>
      <c r="FJ320" s="9" t="s">
        <v>414</v>
      </c>
      <c r="FK320" s="9" t="s">
        <v>414</v>
      </c>
      <c r="FL320" s="9" t="s">
        <v>583</v>
      </c>
      <c r="FM320" s="9" t="s">
        <v>416</v>
      </c>
      <c r="FN320" s="9" t="s">
        <v>583</v>
      </c>
      <c r="FO320" s="9" t="s">
        <v>417</v>
      </c>
      <c r="FP320" s="9" t="s">
        <v>486</v>
      </c>
      <c r="FQ320" s="9" t="s">
        <v>419</v>
      </c>
      <c r="FR320" s="9" t="s">
        <v>6507</v>
      </c>
      <c r="FS320" s="9" t="s">
        <v>1189</v>
      </c>
      <c r="FT320" s="9" t="s">
        <v>1462</v>
      </c>
      <c r="FU320" s="9" t="s">
        <v>489</v>
      </c>
      <c r="FV320" s="9" t="s">
        <v>490</v>
      </c>
      <c r="FW320" s="9" t="s">
        <v>491</v>
      </c>
      <c r="FX320" s="9" t="s">
        <v>6508</v>
      </c>
      <c r="FY320" s="9" t="s">
        <v>535</v>
      </c>
      <c r="FZ320" s="9" t="s">
        <v>6509</v>
      </c>
      <c r="GB320" s="9" t="s">
        <v>455</v>
      </c>
      <c r="GE320" s="9" t="s">
        <v>1420</v>
      </c>
      <c r="GF320" s="9" t="s">
        <v>408</v>
      </c>
      <c r="GQ320" s="9" t="s">
        <v>3208</v>
      </c>
      <c r="GV320" s="9" t="s">
        <v>5231</v>
      </c>
      <c r="GW320" s="9" t="s">
        <v>5232</v>
      </c>
      <c r="HK320" s="9" t="s">
        <v>6476</v>
      </c>
      <c r="HL320" s="9" t="s">
        <v>5734</v>
      </c>
      <c r="HM320" s="9" t="s">
        <v>6253</v>
      </c>
      <c r="HN320" s="9" t="s">
        <v>6152</v>
      </c>
      <c r="HO320" s="9" t="s">
        <v>5236</v>
      </c>
      <c r="HP320" s="9" t="s">
        <v>5264</v>
      </c>
      <c r="HQ320" s="9" t="s">
        <v>5238</v>
      </c>
      <c r="HR320" s="9" t="s">
        <v>5239</v>
      </c>
      <c r="JD320" s="9" t="s">
        <v>5679</v>
      </c>
      <c r="JG320" s="9" t="s">
        <v>5680</v>
      </c>
      <c r="JI320" s="9" t="s">
        <v>5231</v>
      </c>
      <c r="JJ320" s="9" t="s">
        <v>459</v>
      </c>
      <c r="JK320" s="9" t="s">
        <v>408</v>
      </c>
      <c r="JL320" s="9" t="s">
        <v>6510</v>
      </c>
      <c r="JN320" s="9" t="s">
        <v>6511</v>
      </c>
      <c r="JQ320" s="9" t="s">
        <v>5684</v>
      </c>
      <c r="JY320" s="9" t="s">
        <v>6512</v>
      </c>
      <c r="JZ320" s="9" t="s">
        <v>6513</v>
      </c>
      <c r="KA320" s="9" t="s">
        <v>6514</v>
      </c>
      <c r="KB320" s="9" t="s">
        <v>5687</v>
      </c>
      <c r="KC320" s="9" t="s">
        <v>6515</v>
      </c>
      <c r="KD320" s="9" t="s">
        <v>5689</v>
      </c>
      <c r="KE320" s="9" t="s">
        <v>6516</v>
      </c>
      <c r="KG320" s="9" t="s">
        <v>6517</v>
      </c>
      <c r="KM320" s="9" t="s">
        <v>6518</v>
      </c>
      <c r="KN320" s="9" t="s">
        <v>6519</v>
      </c>
      <c r="MJ320" s="9" t="s">
        <v>6383</v>
      </c>
    </row>
    <row r="321" ht="24.75" customHeight="1">
      <c r="A321" s="8">
        <v>45920.97316596065</v>
      </c>
      <c r="B321" s="9" t="s">
        <v>368</v>
      </c>
      <c r="C321" s="9" t="s">
        <v>1201</v>
      </c>
      <c r="D321" s="9" t="s">
        <v>1201</v>
      </c>
      <c r="G321" s="9" t="s">
        <v>422</v>
      </c>
      <c r="H321" s="9" t="s">
        <v>373</v>
      </c>
      <c r="I321" s="9" t="s">
        <v>374</v>
      </c>
      <c r="J321" s="9" t="s">
        <v>669</v>
      </c>
      <c r="K321" s="9" t="s">
        <v>376</v>
      </c>
      <c r="L321" s="9" t="s">
        <v>670</v>
      </c>
      <c r="M321" s="9" t="s">
        <v>720</v>
      </c>
      <c r="N321" s="9" t="s">
        <v>591</v>
      </c>
      <c r="O321" s="9" t="s">
        <v>497</v>
      </c>
      <c r="P321" s="9" t="s">
        <v>592</v>
      </c>
      <c r="Q321" s="9" t="s">
        <v>1156</v>
      </c>
      <c r="R321" s="9" t="s">
        <v>427</v>
      </c>
      <c r="S321" s="9" t="s">
        <v>384</v>
      </c>
      <c r="AV321" s="9" t="s">
        <v>1242</v>
      </c>
      <c r="BG321" s="9" t="s">
        <v>765</v>
      </c>
      <c r="BM321" s="9" t="s">
        <v>1247</v>
      </c>
      <c r="BN321" s="9" t="s">
        <v>513</v>
      </c>
      <c r="CL321" s="9" t="s">
        <v>953</v>
      </c>
      <c r="CM321" s="9" t="s">
        <v>401</v>
      </c>
      <c r="CU321" s="9" t="s">
        <v>519</v>
      </c>
      <c r="CV321" s="9" t="s">
        <v>959</v>
      </c>
      <c r="CX321" s="9" t="s">
        <v>455</v>
      </c>
      <c r="CZ321" s="9" t="s">
        <v>985</v>
      </c>
      <c r="DB321" s="9" t="s">
        <v>455</v>
      </c>
      <c r="DG321" s="9" t="s">
        <v>990</v>
      </c>
      <c r="DH321" s="9" t="s">
        <v>410</v>
      </c>
      <c r="DI321" s="9" t="s">
        <v>459</v>
      </c>
      <c r="DJ321" s="9" t="s">
        <v>460</v>
      </c>
      <c r="DK321" s="9" t="s">
        <v>6335</v>
      </c>
      <c r="ET321" s="9" t="s">
        <v>2747</v>
      </c>
      <c r="EU321" s="9" t="s">
        <v>887</v>
      </c>
      <c r="EV321" s="9" t="s">
        <v>1262</v>
      </c>
      <c r="FT321" s="9" t="s">
        <v>2398</v>
      </c>
      <c r="FU321" s="9" t="s">
        <v>533</v>
      </c>
      <c r="GB321" s="11"/>
      <c r="GG321" s="9" t="s">
        <v>755</v>
      </c>
      <c r="GH321" s="9" t="s">
        <v>755</v>
      </c>
      <c r="GI321" s="9" t="s">
        <v>946</v>
      </c>
      <c r="GN321" s="9" t="s">
        <v>6520</v>
      </c>
      <c r="GO321" s="9" t="s">
        <v>6520</v>
      </c>
      <c r="GT321" s="9" t="s">
        <v>4774</v>
      </c>
      <c r="GV321" s="9" t="s">
        <v>5231</v>
      </c>
      <c r="GW321" s="9" t="s">
        <v>5232</v>
      </c>
      <c r="HS321" s="9" t="s">
        <v>5987</v>
      </c>
      <c r="HU321" s="9" t="s">
        <v>5917</v>
      </c>
      <c r="HV321" s="9" t="s">
        <v>6521</v>
      </c>
      <c r="HX321" s="9" t="s">
        <v>5921</v>
      </c>
      <c r="HY321" s="9" t="s">
        <v>5921</v>
      </c>
      <c r="HZ321" s="9" t="s">
        <v>5921</v>
      </c>
      <c r="IA321" s="9" t="s">
        <v>6464</v>
      </c>
      <c r="IB321" s="9" t="s">
        <v>6464</v>
      </c>
      <c r="IC321" s="9" t="s">
        <v>5921</v>
      </c>
      <c r="ID321" s="9" t="s">
        <v>5500</v>
      </c>
      <c r="IE321" s="9" t="s">
        <v>6522</v>
      </c>
      <c r="IF321" s="9" t="s">
        <v>6522</v>
      </c>
      <c r="IG321" s="9" t="s">
        <v>6522</v>
      </c>
      <c r="IH321" s="9" t="s">
        <v>6522</v>
      </c>
      <c r="II321" s="9" t="s">
        <v>5500</v>
      </c>
      <c r="IK321" s="9" t="s">
        <v>6523</v>
      </c>
      <c r="MJ321" s="9" t="s">
        <v>6321</v>
      </c>
    </row>
    <row r="322" ht="24.75" customHeight="1">
      <c r="A322" s="8">
        <v>45921.55637546296</v>
      </c>
      <c r="B322" s="9" t="s">
        <v>368</v>
      </c>
      <c r="C322" s="9" t="s">
        <v>538</v>
      </c>
      <c r="D322" s="9" t="s">
        <v>538</v>
      </c>
      <c r="G322" s="9" t="s">
        <v>422</v>
      </c>
      <c r="H322" s="9" t="s">
        <v>496</v>
      </c>
      <c r="I322" s="9" t="s">
        <v>374</v>
      </c>
      <c r="J322" s="9" t="s">
        <v>375</v>
      </c>
      <c r="K322" s="9" t="s">
        <v>376</v>
      </c>
      <c r="L322" s="9" t="s">
        <v>379</v>
      </c>
      <c r="M322" s="9" t="s">
        <v>380</v>
      </c>
      <c r="N322" s="9" t="s">
        <v>379</v>
      </c>
      <c r="O322" s="9" t="s">
        <v>380</v>
      </c>
      <c r="P322" s="9" t="s">
        <v>381</v>
      </c>
      <c r="Q322" s="9" t="s">
        <v>382</v>
      </c>
      <c r="R322" s="9" t="s">
        <v>500</v>
      </c>
      <c r="S322" s="9" t="s">
        <v>384</v>
      </c>
      <c r="T322" s="9" t="s">
        <v>385</v>
      </c>
      <c r="W322" s="9" t="s">
        <v>3014</v>
      </c>
      <c r="AV322" s="9" t="s">
        <v>1242</v>
      </c>
      <c r="AW322" s="9">
        <v>4.0</v>
      </c>
      <c r="AX322" s="9">
        <v>4.0</v>
      </c>
      <c r="AY322" s="9" t="s">
        <v>391</v>
      </c>
      <c r="AZ322" s="9" t="s">
        <v>429</v>
      </c>
      <c r="BA322" s="9" t="s">
        <v>429</v>
      </c>
      <c r="BB322" s="9" t="s">
        <v>391</v>
      </c>
      <c r="BC322" s="9" t="s">
        <v>6524</v>
      </c>
      <c r="BD322" s="9" t="s">
        <v>6525</v>
      </c>
      <c r="BE322" s="9" t="s">
        <v>432</v>
      </c>
      <c r="BF322" s="9" t="s">
        <v>393</v>
      </c>
      <c r="BG322" s="9" t="s">
        <v>678</v>
      </c>
      <c r="BI322" s="9" t="s">
        <v>727</v>
      </c>
      <c r="BK322" s="9" t="s">
        <v>602</v>
      </c>
      <c r="BL322" s="9" t="s">
        <v>904</v>
      </c>
      <c r="BM322" s="9" t="s">
        <v>1314</v>
      </c>
      <c r="BN322" s="9" t="s">
        <v>513</v>
      </c>
      <c r="CL322" s="9" t="s">
        <v>682</v>
      </c>
      <c r="CM322" s="9" t="s">
        <v>442</v>
      </c>
      <c r="CN322" s="9" t="s">
        <v>6526</v>
      </c>
      <c r="CO322" s="9" t="s">
        <v>2675</v>
      </c>
      <c r="CT322" s="9" t="s">
        <v>6527</v>
      </c>
      <c r="CU322" s="9" t="s">
        <v>1961</v>
      </c>
      <c r="CV322" s="9" t="s">
        <v>2248</v>
      </c>
      <c r="CX322" s="9" t="s">
        <v>408</v>
      </c>
      <c r="CY322" s="9" t="s">
        <v>6528</v>
      </c>
      <c r="CZ322" s="9" t="s">
        <v>1962</v>
      </c>
      <c r="DB322" s="9" t="s">
        <v>408</v>
      </c>
      <c r="DG322" s="9" t="s">
        <v>990</v>
      </c>
      <c r="DH322" s="9" t="s">
        <v>410</v>
      </c>
      <c r="DI322" s="9" t="s">
        <v>963</v>
      </c>
      <c r="DJ322" s="9" t="s">
        <v>613</v>
      </c>
      <c r="ET322" s="9" t="s">
        <v>578</v>
      </c>
      <c r="EU322" s="9" t="s">
        <v>579</v>
      </c>
      <c r="EV322" s="9" t="s">
        <v>1534</v>
      </c>
      <c r="EX322" s="9" t="s">
        <v>6529</v>
      </c>
      <c r="EY322" s="9" t="s">
        <v>6530</v>
      </c>
      <c r="EZ322" s="9" t="s">
        <v>583</v>
      </c>
      <c r="FB322" s="9" t="s">
        <v>415</v>
      </c>
      <c r="FC322" s="9" t="s">
        <v>583</v>
      </c>
      <c r="FD322" s="9" t="s">
        <v>414</v>
      </c>
      <c r="FE322" s="9" t="s">
        <v>583</v>
      </c>
      <c r="FF322" s="9" t="s">
        <v>583</v>
      </c>
      <c r="FG322" s="9" t="s">
        <v>583</v>
      </c>
      <c r="FH322" s="9" t="s">
        <v>413</v>
      </c>
      <c r="FI322" s="9" t="s">
        <v>415</v>
      </c>
      <c r="FJ322" s="9" t="s">
        <v>583</v>
      </c>
      <c r="FK322" s="9" t="s">
        <v>583</v>
      </c>
      <c r="FL322" s="9" t="s">
        <v>583</v>
      </c>
      <c r="FM322" s="9" t="s">
        <v>414</v>
      </c>
      <c r="FN322" s="9" t="s">
        <v>583</v>
      </c>
      <c r="FO322" s="9" t="s">
        <v>1537</v>
      </c>
      <c r="FP322" s="9" t="s">
        <v>2524</v>
      </c>
      <c r="FQ322" s="9" t="s">
        <v>749</v>
      </c>
      <c r="FR322" s="9" t="s">
        <v>2386</v>
      </c>
      <c r="FS322" s="9" t="s">
        <v>1871</v>
      </c>
      <c r="FT322" s="9" t="s">
        <v>2750</v>
      </c>
      <c r="FU322" s="9" t="s">
        <v>1235</v>
      </c>
      <c r="FV322" s="9" t="s">
        <v>2399</v>
      </c>
      <c r="FW322" s="9" t="s">
        <v>1853</v>
      </c>
      <c r="FX322" s="9" t="s">
        <v>6531</v>
      </c>
      <c r="FY322" s="9" t="s">
        <v>1854</v>
      </c>
      <c r="FZ322" s="9" t="s">
        <v>6532</v>
      </c>
      <c r="GB322" s="9" t="s">
        <v>455</v>
      </c>
      <c r="GC322" s="9"/>
      <c r="GE322" s="9" t="s">
        <v>753</v>
      </c>
      <c r="GF322" s="9" t="s">
        <v>6533</v>
      </c>
      <c r="GG322" s="9" t="s">
        <v>755</v>
      </c>
      <c r="GH322" s="9" t="s">
        <v>755</v>
      </c>
      <c r="GI322" s="9" t="s">
        <v>946</v>
      </c>
      <c r="GN322" s="9" t="s">
        <v>3012</v>
      </c>
      <c r="GO322" s="9" t="s">
        <v>3012</v>
      </c>
      <c r="GQ322" s="9" t="s">
        <v>5656</v>
      </c>
      <c r="GT322" s="9" t="s">
        <v>4774</v>
      </c>
      <c r="GV322" s="9" t="s">
        <v>5231</v>
      </c>
      <c r="GW322" s="9" t="s">
        <v>5232</v>
      </c>
      <c r="HO322" s="9" t="s">
        <v>5236</v>
      </c>
      <c r="HP322" s="9" t="s">
        <v>5237</v>
      </c>
      <c r="HQ322" s="9" t="s">
        <v>5721</v>
      </c>
      <c r="HR322" s="9" t="s">
        <v>5239</v>
      </c>
      <c r="HS322" s="9" t="s">
        <v>6534</v>
      </c>
      <c r="HU322" s="9" t="s">
        <v>5988</v>
      </c>
      <c r="HV322" s="9" t="s">
        <v>5918</v>
      </c>
      <c r="HX322" s="9" t="s">
        <v>5922</v>
      </c>
      <c r="HY322" s="9" t="s">
        <v>5922</v>
      </c>
      <c r="HZ322" s="9" t="s">
        <v>5920</v>
      </c>
      <c r="IA322" s="9" t="s">
        <v>5920</v>
      </c>
      <c r="IB322" s="9" t="s">
        <v>5921</v>
      </c>
      <c r="IC322" s="9" t="s">
        <v>5919</v>
      </c>
      <c r="ID322" s="9" t="s">
        <v>5500</v>
      </c>
      <c r="IE322" s="9" t="s">
        <v>5500</v>
      </c>
      <c r="IF322" s="9" t="s">
        <v>5536</v>
      </c>
      <c r="IG322" s="9" t="s">
        <v>5536</v>
      </c>
      <c r="IH322" s="9" t="s">
        <v>5537</v>
      </c>
      <c r="II322" s="9" t="s">
        <v>5500</v>
      </c>
      <c r="IJ322" s="9" t="s">
        <v>6535</v>
      </c>
      <c r="IK322" s="9" t="s">
        <v>5924</v>
      </c>
      <c r="IL322" s="9" t="s">
        <v>6536</v>
      </c>
      <c r="IM322" s="9" t="s">
        <v>6537</v>
      </c>
      <c r="MJ322" s="9" t="s">
        <v>6321</v>
      </c>
    </row>
    <row r="323" ht="24.75" customHeight="1">
      <c r="A323" s="8">
        <v>45921.55864135417</v>
      </c>
      <c r="B323" s="9" t="s">
        <v>368</v>
      </c>
      <c r="C323" s="9" t="s">
        <v>370</v>
      </c>
      <c r="D323" s="9" t="s">
        <v>370</v>
      </c>
      <c r="E323" s="9" t="s">
        <v>1798</v>
      </c>
      <c r="F323" s="9" t="s">
        <v>2388</v>
      </c>
      <c r="G323" s="9" t="s">
        <v>422</v>
      </c>
      <c r="H323" s="9" t="s">
        <v>373</v>
      </c>
      <c r="I323" s="9" t="s">
        <v>374</v>
      </c>
      <c r="J323" s="9" t="s">
        <v>540</v>
      </c>
      <c r="K323" s="9" t="s">
        <v>376</v>
      </c>
      <c r="L323" s="9" t="s">
        <v>426</v>
      </c>
      <c r="M323" s="9" t="s">
        <v>6538</v>
      </c>
      <c r="N323" s="9" t="s">
        <v>793</v>
      </c>
      <c r="O323" s="9" t="s">
        <v>6539</v>
      </c>
      <c r="P323" s="9" t="s">
        <v>592</v>
      </c>
      <c r="Q323" s="9" t="s">
        <v>382</v>
      </c>
      <c r="R323" s="9" t="s">
        <v>795</v>
      </c>
      <c r="S323" s="9" t="s">
        <v>384</v>
      </c>
      <c r="T323" s="9" t="s">
        <v>385</v>
      </c>
      <c r="W323" s="9" t="s">
        <v>3231</v>
      </c>
      <c r="AV323" s="9" t="s">
        <v>1310</v>
      </c>
      <c r="AW323" s="9">
        <v>4.0</v>
      </c>
      <c r="AX323" s="9">
        <v>4.0</v>
      </c>
      <c r="AY323" s="9">
        <v>4.0</v>
      </c>
      <c r="AZ323" s="9">
        <v>4.0</v>
      </c>
      <c r="BA323" s="9">
        <v>4.0</v>
      </c>
      <c r="BB323" s="9">
        <v>4.0</v>
      </c>
      <c r="BE323" s="9" t="s">
        <v>902</v>
      </c>
      <c r="BF323" s="9" t="s">
        <v>393</v>
      </c>
      <c r="BG323" s="9" t="s">
        <v>678</v>
      </c>
      <c r="BI323" s="9" t="s">
        <v>435</v>
      </c>
      <c r="BK323" s="9" t="s">
        <v>681</v>
      </c>
      <c r="BL323" s="9" t="s">
        <v>438</v>
      </c>
      <c r="BM323" s="9" t="s">
        <v>1314</v>
      </c>
      <c r="BN323" s="9" t="s">
        <v>398</v>
      </c>
      <c r="BO323" s="9" t="s">
        <v>6540</v>
      </c>
      <c r="BP323" s="9" t="s">
        <v>6541</v>
      </c>
      <c r="BQ323" s="9" t="s">
        <v>401</v>
      </c>
      <c r="BR323" s="9" t="s">
        <v>913</v>
      </c>
      <c r="BS323" s="9" t="s">
        <v>1692</v>
      </c>
      <c r="BT323" s="9" t="s">
        <v>404</v>
      </c>
      <c r="BU323" s="9" t="s">
        <v>405</v>
      </c>
      <c r="BW323" s="9" t="s">
        <v>406</v>
      </c>
      <c r="BX323" s="9" t="s">
        <v>407</v>
      </c>
      <c r="BY323" s="9" t="s">
        <v>408</v>
      </c>
      <c r="CB323" s="9" t="s">
        <v>6542</v>
      </c>
      <c r="CC323" s="9" t="s">
        <v>6543</v>
      </c>
      <c r="CD323" s="9" t="s">
        <v>1931</v>
      </c>
      <c r="CF323" s="9" t="s">
        <v>1697</v>
      </c>
      <c r="CH323" s="9" t="s">
        <v>1259</v>
      </c>
      <c r="CI323" s="9" t="s">
        <v>1964</v>
      </c>
      <c r="CJ323" s="9" t="s">
        <v>6544</v>
      </c>
      <c r="DI323" s="9" t="s">
        <v>459</v>
      </c>
      <c r="DJ323" s="9" t="s">
        <v>460</v>
      </c>
      <c r="DK323" s="9" t="s">
        <v>6319</v>
      </c>
      <c r="ET323" s="9" t="s">
        <v>478</v>
      </c>
      <c r="EU323" s="9" t="s">
        <v>1037</v>
      </c>
      <c r="EV323" s="9" t="s">
        <v>1262</v>
      </c>
      <c r="EZ323" s="9" t="s">
        <v>416</v>
      </c>
      <c r="FA323" s="9" t="s">
        <v>416</v>
      </c>
      <c r="FB323" s="9" t="s">
        <v>413</v>
      </c>
      <c r="FC323" s="9" t="s">
        <v>413</v>
      </c>
      <c r="FD323" s="9" t="s">
        <v>413</v>
      </c>
      <c r="FE323" s="9" t="s">
        <v>416</v>
      </c>
      <c r="FF323" s="9" t="s">
        <v>413</v>
      </c>
      <c r="FG323" s="9" t="s">
        <v>413</v>
      </c>
      <c r="FH323" s="9" t="s">
        <v>413</v>
      </c>
      <c r="FI323" s="9" t="s">
        <v>413</v>
      </c>
      <c r="FJ323" s="9" t="s">
        <v>413</v>
      </c>
      <c r="FK323" s="9" t="s">
        <v>413</v>
      </c>
      <c r="FL323" s="9" t="s">
        <v>413</v>
      </c>
      <c r="FM323" s="9" t="s">
        <v>416</v>
      </c>
      <c r="FN323" s="9" t="s">
        <v>415</v>
      </c>
      <c r="FO323" s="9" t="s">
        <v>417</v>
      </c>
      <c r="FP323" s="9" t="s">
        <v>418</v>
      </c>
      <c r="FQ323" s="9" t="s">
        <v>712</v>
      </c>
      <c r="FS323" s="9" t="s">
        <v>420</v>
      </c>
      <c r="FT323" s="9" t="s">
        <v>488</v>
      </c>
      <c r="FU323" s="9" t="s">
        <v>918</v>
      </c>
      <c r="FV323" s="9" t="s">
        <v>1101</v>
      </c>
      <c r="FW323" s="9" t="s">
        <v>491</v>
      </c>
      <c r="FX323" s="9" t="s">
        <v>6545</v>
      </c>
      <c r="FY323" s="9" t="s">
        <v>535</v>
      </c>
      <c r="FZ323" s="9" t="s">
        <v>6546</v>
      </c>
      <c r="GB323" s="9" t="s">
        <v>455</v>
      </c>
      <c r="GC323" s="9"/>
      <c r="GE323" s="9" t="s">
        <v>944</v>
      </c>
      <c r="GJ323" s="9" t="s">
        <v>857</v>
      </c>
      <c r="GK323" s="9" t="s">
        <v>920</v>
      </c>
      <c r="GL323" s="9" t="s">
        <v>756</v>
      </c>
      <c r="GP323" s="9" t="s">
        <v>387</v>
      </c>
      <c r="GQ323" s="9" t="s">
        <v>3208</v>
      </c>
      <c r="GR323" s="9" t="s">
        <v>4774</v>
      </c>
      <c r="GV323" s="9" t="s">
        <v>5231</v>
      </c>
      <c r="GW323" s="9" t="s">
        <v>5232</v>
      </c>
      <c r="GX323" s="9" t="s">
        <v>5262</v>
      </c>
      <c r="GY323" s="9" t="s">
        <v>5233</v>
      </c>
      <c r="GZ323" s="9" t="s">
        <v>5234</v>
      </c>
      <c r="HA323" s="9" t="s">
        <v>484</v>
      </c>
      <c r="HB323" s="9" t="s">
        <v>6547</v>
      </c>
      <c r="HO323" s="9" t="s">
        <v>5383</v>
      </c>
      <c r="HP323" s="9" t="s">
        <v>5264</v>
      </c>
      <c r="HQ323" s="9" t="s">
        <v>5238</v>
      </c>
      <c r="HR323" s="9" t="s">
        <v>5347</v>
      </c>
      <c r="MJ323" s="9" t="s">
        <v>6321</v>
      </c>
    </row>
    <row r="324" ht="24.75" customHeight="1">
      <c r="A324" s="8">
        <v>45921.571817627315</v>
      </c>
      <c r="B324" s="9" t="s">
        <v>368</v>
      </c>
      <c r="C324" s="9" t="s">
        <v>370</v>
      </c>
      <c r="D324" s="9" t="s">
        <v>370</v>
      </c>
      <c r="E324" s="9" t="s">
        <v>1001</v>
      </c>
      <c r="F324" s="9" t="s">
        <v>1001</v>
      </c>
      <c r="G324" s="9" t="s">
        <v>422</v>
      </c>
      <c r="H324" s="9" t="s">
        <v>373</v>
      </c>
      <c r="I324" s="9" t="s">
        <v>638</v>
      </c>
      <c r="J324" s="9" t="s">
        <v>425</v>
      </c>
      <c r="K324" s="9" t="s">
        <v>376</v>
      </c>
      <c r="L324" s="9" t="s">
        <v>793</v>
      </c>
      <c r="M324" s="9" t="s">
        <v>2998</v>
      </c>
      <c r="N324" s="9" t="s">
        <v>793</v>
      </c>
      <c r="O324" s="9" t="s">
        <v>6548</v>
      </c>
      <c r="P324" s="9" t="s">
        <v>381</v>
      </c>
      <c r="Q324" s="9" t="s">
        <v>382</v>
      </c>
      <c r="R324" s="9" t="s">
        <v>6549</v>
      </c>
      <c r="S324" s="9" t="s">
        <v>3728</v>
      </c>
      <c r="T324" s="9" t="s">
        <v>385</v>
      </c>
      <c r="W324" s="9" t="s">
        <v>386</v>
      </c>
      <c r="X324" s="9" t="s">
        <v>387</v>
      </c>
      <c r="Y324" s="9" t="s">
        <v>388</v>
      </c>
      <c r="Z324" s="9" t="s">
        <v>543</v>
      </c>
      <c r="AA324" s="9" t="s">
        <v>6550</v>
      </c>
      <c r="AV324" s="9" t="s">
        <v>597</v>
      </c>
      <c r="AW324" s="9" t="s">
        <v>391</v>
      </c>
      <c r="AX324" s="9">
        <v>2.0</v>
      </c>
      <c r="AY324" s="9">
        <v>2.0</v>
      </c>
      <c r="AZ324" s="9">
        <v>2.0</v>
      </c>
      <c r="BA324" s="9">
        <v>2.0</v>
      </c>
      <c r="BB324" s="9" t="s">
        <v>391</v>
      </c>
      <c r="BE324" s="9" t="s">
        <v>432</v>
      </c>
      <c r="BF324" s="9" t="s">
        <v>433</v>
      </c>
      <c r="BG324" s="9" t="s">
        <v>725</v>
      </c>
      <c r="BI324" s="9" t="s">
        <v>727</v>
      </c>
      <c r="BK324" s="9" t="s">
        <v>395</v>
      </c>
      <c r="BL324" s="9" t="s">
        <v>904</v>
      </c>
      <c r="BM324" s="9" t="s">
        <v>549</v>
      </c>
      <c r="BN324" s="9" t="s">
        <v>440</v>
      </c>
      <c r="CL324" s="9" t="s">
        <v>441</v>
      </c>
      <c r="CM324" s="9" t="s">
        <v>604</v>
      </c>
      <c r="CN324" s="9" t="s">
        <v>6551</v>
      </c>
      <c r="CO324" s="9" t="s">
        <v>6552</v>
      </c>
      <c r="CP324" s="9" t="s">
        <v>403</v>
      </c>
      <c r="CQ324" s="9" t="s">
        <v>6553</v>
      </c>
      <c r="CR324" s="9" t="s">
        <v>447</v>
      </c>
      <c r="CS324" s="9" t="s">
        <v>6554</v>
      </c>
      <c r="CU324" s="9" t="s">
        <v>450</v>
      </c>
      <c r="CV324" s="9" t="s">
        <v>451</v>
      </c>
      <c r="CW324" s="9" t="s">
        <v>6555</v>
      </c>
      <c r="CX324" s="9" t="s">
        <v>408</v>
      </c>
      <c r="CZ324" s="9" t="s">
        <v>453</v>
      </c>
      <c r="DA324" s="9" t="s">
        <v>6556</v>
      </c>
      <c r="DB324" s="9" t="s">
        <v>455</v>
      </c>
      <c r="DC324" s="9" t="s">
        <v>6557</v>
      </c>
      <c r="DD324" s="9" t="s">
        <v>662</v>
      </c>
      <c r="DE324" s="9" t="s">
        <v>691</v>
      </c>
      <c r="DF324" s="9" t="s">
        <v>6558</v>
      </c>
      <c r="DG324" s="9" t="s">
        <v>524</v>
      </c>
      <c r="DH324" s="9" t="s">
        <v>410</v>
      </c>
      <c r="DI324" s="9" t="s">
        <v>459</v>
      </c>
      <c r="DJ324" s="9" t="s">
        <v>460</v>
      </c>
      <c r="DK324" s="9" t="s">
        <v>6335</v>
      </c>
      <c r="DM324" s="9" t="s">
        <v>6559</v>
      </c>
      <c r="DN324" s="9" t="s">
        <v>6560</v>
      </c>
      <c r="DO324" s="9" t="s">
        <v>464</v>
      </c>
      <c r="DP324" s="9" t="s">
        <v>6561</v>
      </c>
      <c r="DQ324" s="9" t="s">
        <v>466</v>
      </c>
      <c r="DR324" s="9" t="s">
        <v>6562</v>
      </c>
      <c r="DS324" s="9" t="s">
        <v>702</v>
      </c>
      <c r="DT324" s="9" t="s">
        <v>740</v>
      </c>
      <c r="DW324" s="9" t="s">
        <v>622</v>
      </c>
      <c r="DX324" s="9" t="s">
        <v>6563</v>
      </c>
      <c r="DY324" s="9" t="s">
        <v>6564</v>
      </c>
      <c r="DZ324" s="9" t="s">
        <v>6565</v>
      </c>
      <c r="EA324" s="9" t="s">
        <v>475</v>
      </c>
      <c r="ET324" s="9" t="s">
        <v>478</v>
      </c>
      <c r="EU324" s="9" t="s">
        <v>1037</v>
      </c>
      <c r="EV324" s="9" t="s">
        <v>480</v>
      </c>
      <c r="EX324" s="9" t="s">
        <v>6566</v>
      </c>
      <c r="EY324" s="9" t="s">
        <v>6567</v>
      </c>
      <c r="EZ324" s="9" t="s">
        <v>414</v>
      </c>
      <c r="FA324" s="9" t="s">
        <v>414</v>
      </c>
      <c r="FB324" s="9" t="s">
        <v>484</v>
      </c>
      <c r="FC324" s="9" t="s">
        <v>484</v>
      </c>
      <c r="FD324" s="9" t="s">
        <v>484</v>
      </c>
      <c r="FE324" s="9" t="s">
        <v>583</v>
      </c>
      <c r="FF324" s="9" t="s">
        <v>484</v>
      </c>
      <c r="FG324" s="9" t="s">
        <v>484</v>
      </c>
      <c r="FH324" s="9" t="s">
        <v>484</v>
      </c>
      <c r="FI324" s="9" t="s">
        <v>484</v>
      </c>
      <c r="FJ324" s="9" t="s">
        <v>414</v>
      </c>
      <c r="FK324" s="9" t="s">
        <v>484</v>
      </c>
      <c r="FL324" s="9" t="s">
        <v>484</v>
      </c>
      <c r="FM324" s="9" t="s">
        <v>484</v>
      </c>
      <c r="FN324" s="9" t="s">
        <v>484</v>
      </c>
      <c r="FO324" s="9" t="s">
        <v>417</v>
      </c>
      <c r="FP324" s="9" t="s">
        <v>418</v>
      </c>
      <c r="FQ324" s="9" t="s">
        <v>419</v>
      </c>
      <c r="FS324" s="9" t="s">
        <v>420</v>
      </c>
      <c r="FT324" s="9" t="s">
        <v>488</v>
      </c>
      <c r="FU324" s="9" t="s">
        <v>489</v>
      </c>
      <c r="FV324" s="9" t="s">
        <v>490</v>
      </c>
      <c r="FW324" s="9" t="s">
        <v>491</v>
      </c>
      <c r="FX324" s="9" t="s">
        <v>6568</v>
      </c>
      <c r="FY324" s="9" t="s">
        <v>535</v>
      </c>
      <c r="GB324" s="9" t="s">
        <v>455</v>
      </c>
      <c r="GC324" s="9"/>
      <c r="GD324" s="9"/>
      <c r="GE324" s="9" t="s">
        <v>1339</v>
      </c>
      <c r="GF324" s="9" t="s">
        <v>6569</v>
      </c>
      <c r="GG324" s="9" t="s">
        <v>789</v>
      </c>
      <c r="GH324" s="9" t="s">
        <v>789</v>
      </c>
      <c r="GI324" s="9" t="s">
        <v>817</v>
      </c>
      <c r="GM324" s="9" t="s">
        <v>1079</v>
      </c>
      <c r="GQ324" s="9" t="s">
        <v>3208</v>
      </c>
      <c r="GT324" s="9" t="s">
        <v>4774</v>
      </c>
      <c r="GV324" s="9" t="s">
        <v>5231</v>
      </c>
      <c r="GW324" s="9" t="s">
        <v>5232</v>
      </c>
      <c r="HC324" s="9" t="s">
        <v>5297</v>
      </c>
      <c r="HD324" s="9" t="s">
        <v>5282</v>
      </c>
      <c r="HE324" s="9" t="s">
        <v>5320</v>
      </c>
      <c r="HF324" s="9" t="s">
        <v>5493</v>
      </c>
      <c r="HG324" s="9" t="s">
        <v>6570</v>
      </c>
      <c r="HH324" s="9" t="s">
        <v>5495</v>
      </c>
      <c r="HJ324" s="9" t="s">
        <v>6571</v>
      </c>
      <c r="HO324" s="9" t="s">
        <v>5346</v>
      </c>
      <c r="HP324" s="9" t="s">
        <v>5264</v>
      </c>
      <c r="HQ324" s="9" t="s">
        <v>5238</v>
      </c>
      <c r="HR324" s="9" t="s">
        <v>5321</v>
      </c>
      <c r="IN324" s="9" t="s">
        <v>5536</v>
      </c>
      <c r="IO324" s="9" t="s">
        <v>5537</v>
      </c>
      <c r="IP324" s="9" t="s">
        <v>5500</v>
      </c>
      <c r="IQ324" s="9" t="s">
        <v>5500</v>
      </c>
      <c r="IR324" s="9" t="s">
        <v>5536</v>
      </c>
      <c r="IS324" s="9" t="s">
        <v>5536</v>
      </c>
      <c r="MJ324" s="9" t="s">
        <v>6321</v>
      </c>
    </row>
    <row r="325" ht="24.75" customHeight="1">
      <c r="A325" s="8">
        <v>45921.58873783565</v>
      </c>
      <c r="B325" s="9" t="s">
        <v>368</v>
      </c>
      <c r="C325" s="9" t="s">
        <v>370</v>
      </c>
      <c r="E325" s="9" t="s">
        <v>3172</v>
      </c>
      <c r="G325" s="9" t="s">
        <v>422</v>
      </c>
      <c r="H325" s="9" t="s">
        <v>1921</v>
      </c>
      <c r="I325" s="9" t="s">
        <v>668</v>
      </c>
      <c r="J325" s="9" t="s">
        <v>425</v>
      </c>
      <c r="K325" s="9" t="s">
        <v>376</v>
      </c>
      <c r="L325" s="9" t="s">
        <v>426</v>
      </c>
      <c r="M325" s="9" t="s">
        <v>639</v>
      </c>
      <c r="N325" s="9" t="s">
        <v>379</v>
      </c>
      <c r="O325" s="9" t="s">
        <v>6572</v>
      </c>
      <c r="P325" s="9" t="s">
        <v>592</v>
      </c>
      <c r="Q325" s="9" t="s">
        <v>862</v>
      </c>
      <c r="R325" s="9" t="s">
        <v>500</v>
      </c>
      <c r="S325" s="9" t="s">
        <v>384</v>
      </c>
      <c r="T325" s="9" t="s">
        <v>385</v>
      </c>
      <c r="W325" s="9" t="s">
        <v>3014</v>
      </c>
      <c r="AV325" s="9" t="s">
        <v>597</v>
      </c>
      <c r="AW325" s="9" t="s">
        <v>391</v>
      </c>
      <c r="BC325" s="9" t="s">
        <v>6573</v>
      </c>
      <c r="BD325" s="9" t="s">
        <v>6574</v>
      </c>
      <c r="BE325" s="9" t="s">
        <v>432</v>
      </c>
      <c r="BF325" s="9" t="s">
        <v>433</v>
      </c>
      <c r="BG325" s="9" t="s">
        <v>765</v>
      </c>
      <c r="BH325" s="9" t="s">
        <v>6575</v>
      </c>
      <c r="BI325" s="9" t="s">
        <v>435</v>
      </c>
      <c r="BJ325" s="9" t="s">
        <v>6576</v>
      </c>
      <c r="BK325" s="9" t="s">
        <v>437</v>
      </c>
      <c r="BL325" s="9" t="s">
        <v>904</v>
      </c>
      <c r="BM325" s="9" t="s">
        <v>1247</v>
      </c>
      <c r="BN325" s="9" t="s">
        <v>513</v>
      </c>
      <c r="CL325" s="9" t="s">
        <v>441</v>
      </c>
      <c r="CM325" s="9" t="s">
        <v>604</v>
      </c>
      <c r="CN325" s="9" t="s">
        <v>6577</v>
      </c>
      <c r="CO325" s="9" t="s">
        <v>6578</v>
      </c>
      <c r="CP325" s="9" t="s">
        <v>1008</v>
      </c>
      <c r="CQ325" s="9" t="s">
        <v>6579</v>
      </c>
      <c r="CR325" s="9" t="s">
        <v>447</v>
      </c>
      <c r="CS325" s="9" t="s">
        <v>871</v>
      </c>
      <c r="CT325" s="9" t="s">
        <v>6580</v>
      </c>
      <c r="CU325" s="9" t="s">
        <v>519</v>
      </c>
      <c r="CV325" s="9" t="s">
        <v>451</v>
      </c>
      <c r="CW325" s="9" t="s">
        <v>6581</v>
      </c>
      <c r="CX325" s="9" t="s">
        <v>408</v>
      </c>
      <c r="CZ325" s="9" t="s">
        <v>1398</v>
      </c>
      <c r="DA325" s="9" t="s">
        <v>6582</v>
      </c>
      <c r="DB325" s="9" t="s">
        <v>408</v>
      </c>
      <c r="DD325" s="9" t="s">
        <v>457</v>
      </c>
      <c r="DF325" s="9" t="s">
        <v>6583</v>
      </c>
      <c r="DG325" s="9" t="s">
        <v>776</v>
      </c>
      <c r="DH325" s="9" t="s">
        <v>833</v>
      </c>
      <c r="DI325" s="9" t="s">
        <v>777</v>
      </c>
      <c r="DJ325" s="9" t="s">
        <v>613</v>
      </c>
      <c r="ET325" s="9" t="s">
        <v>578</v>
      </c>
      <c r="EV325" s="9" t="s">
        <v>1262</v>
      </c>
      <c r="EW325" s="9" t="s">
        <v>6584</v>
      </c>
      <c r="EX325" s="9" t="s">
        <v>6585</v>
      </c>
      <c r="EY325" s="9" t="s">
        <v>6586</v>
      </c>
      <c r="EZ325" s="9" t="s">
        <v>413</v>
      </c>
      <c r="FA325" s="9" t="s">
        <v>413</v>
      </c>
      <c r="FB325" s="9" t="s">
        <v>413</v>
      </c>
      <c r="FC325" s="9" t="s">
        <v>413</v>
      </c>
      <c r="FD325" s="9" t="s">
        <v>413</v>
      </c>
      <c r="FE325" s="9" t="s">
        <v>413</v>
      </c>
      <c r="FF325" s="9" t="s">
        <v>413</v>
      </c>
      <c r="FG325" s="9" t="s">
        <v>413</v>
      </c>
      <c r="FH325" s="9" t="s">
        <v>413</v>
      </c>
      <c r="FI325" s="9" t="s">
        <v>413</v>
      </c>
      <c r="FJ325" s="9" t="s">
        <v>413</v>
      </c>
      <c r="FK325" s="9" t="s">
        <v>583</v>
      </c>
      <c r="FL325" s="9" t="s">
        <v>484</v>
      </c>
      <c r="FM325" s="9" t="s">
        <v>414</v>
      </c>
      <c r="FN325" s="9" t="s">
        <v>415</v>
      </c>
      <c r="FO325" s="9" t="s">
        <v>485</v>
      </c>
      <c r="FP325" s="9" t="s">
        <v>486</v>
      </c>
      <c r="FQ325" s="9" t="s">
        <v>1039</v>
      </c>
      <c r="FR325" s="9" t="s">
        <v>6587</v>
      </c>
      <c r="FS325" s="9" t="s">
        <v>420</v>
      </c>
      <c r="FT325" s="9" t="s">
        <v>488</v>
      </c>
      <c r="FU325" s="9" t="s">
        <v>585</v>
      </c>
      <c r="FV325" s="9" t="s">
        <v>490</v>
      </c>
      <c r="FW325" s="9" t="s">
        <v>491</v>
      </c>
      <c r="FX325" s="9" t="s">
        <v>6588</v>
      </c>
      <c r="FY325" s="9" t="s">
        <v>535</v>
      </c>
      <c r="FZ325" s="9" t="s">
        <v>6589</v>
      </c>
      <c r="GA325" s="9" t="s">
        <v>6590</v>
      </c>
      <c r="GB325" s="9" t="s">
        <v>455</v>
      </c>
      <c r="GC325" s="9"/>
      <c r="GE325" s="9" t="s">
        <v>753</v>
      </c>
      <c r="GF325" s="9" t="s">
        <v>6591</v>
      </c>
      <c r="GG325" s="9" t="s">
        <v>755</v>
      </c>
      <c r="GH325" s="9" t="s">
        <v>755</v>
      </c>
      <c r="GI325" s="9" t="s">
        <v>817</v>
      </c>
      <c r="GQ325" s="9" t="s">
        <v>3208</v>
      </c>
      <c r="GT325" s="9" t="s">
        <v>4741</v>
      </c>
      <c r="GU325" s="9" t="s">
        <v>6592</v>
      </c>
      <c r="GV325" s="9" t="s">
        <v>5231</v>
      </c>
      <c r="GW325" s="9" t="s">
        <v>5232</v>
      </c>
      <c r="HC325" s="9" t="s">
        <v>6053</v>
      </c>
      <c r="HD325" s="9" t="s">
        <v>5349</v>
      </c>
      <c r="HE325" s="9" t="s">
        <v>5492</v>
      </c>
      <c r="HF325" s="9" t="s">
        <v>5284</v>
      </c>
      <c r="HO325" s="9" t="s">
        <v>5236</v>
      </c>
      <c r="HP325" s="9" t="s">
        <v>5237</v>
      </c>
      <c r="HQ325" s="9" t="s">
        <v>5238</v>
      </c>
      <c r="HR325" s="9" t="s">
        <v>5321</v>
      </c>
      <c r="HW325" s="9" t="s">
        <v>5501</v>
      </c>
      <c r="MJ325" s="9" t="s">
        <v>6321</v>
      </c>
    </row>
    <row r="326" ht="24.75" customHeight="1">
      <c r="A326" s="8">
        <v>45922.126089375</v>
      </c>
      <c r="B326" s="9" t="s">
        <v>368</v>
      </c>
      <c r="C326" s="9" t="s">
        <v>370</v>
      </c>
      <c r="D326" s="9" t="s">
        <v>370</v>
      </c>
      <c r="E326" s="9" t="s">
        <v>3955</v>
      </c>
      <c r="F326" s="9" t="s">
        <v>667</v>
      </c>
      <c r="G326" s="9" t="s">
        <v>422</v>
      </c>
      <c r="H326" s="9" t="s">
        <v>637</v>
      </c>
      <c r="I326" s="9" t="s">
        <v>638</v>
      </c>
      <c r="J326" s="9" t="s">
        <v>375</v>
      </c>
      <c r="K326" s="9" t="s">
        <v>376</v>
      </c>
      <c r="L326" s="9" t="s">
        <v>793</v>
      </c>
      <c r="M326" s="9" t="s">
        <v>639</v>
      </c>
      <c r="N326" s="9" t="s">
        <v>591</v>
      </c>
      <c r="O326" s="9" t="s">
        <v>719</v>
      </c>
      <c r="P326" s="9" t="s">
        <v>592</v>
      </c>
      <c r="Q326" s="9" t="s">
        <v>862</v>
      </c>
      <c r="R326" s="9" t="s">
        <v>500</v>
      </c>
      <c r="S326" s="9" t="s">
        <v>384</v>
      </c>
      <c r="T326" s="9" t="s">
        <v>385</v>
      </c>
      <c r="W326" s="9" t="s">
        <v>386</v>
      </c>
      <c r="X326" s="9" t="s">
        <v>387</v>
      </c>
      <c r="Y326" s="9" t="s">
        <v>1966</v>
      </c>
      <c r="Z326" s="9" t="s">
        <v>543</v>
      </c>
      <c r="AV326" s="9" t="s">
        <v>1310</v>
      </c>
      <c r="AW326" s="9" t="s">
        <v>675</v>
      </c>
      <c r="AX326" s="9" t="s">
        <v>675</v>
      </c>
      <c r="AY326" s="9" t="s">
        <v>675</v>
      </c>
      <c r="AZ326" s="9">
        <v>4.0</v>
      </c>
      <c r="BA326" s="9" t="s">
        <v>675</v>
      </c>
      <c r="BB326" s="9" t="s">
        <v>675</v>
      </c>
      <c r="BE326" s="9" t="s">
        <v>432</v>
      </c>
      <c r="BF326" s="9" t="s">
        <v>1245</v>
      </c>
      <c r="BG326" s="9" t="s">
        <v>765</v>
      </c>
      <c r="BI326" s="9" t="s">
        <v>976</v>
      </c>
      <c r="BL326" s="9" t="s">
        <v>904</v>
      </c>
      <c r="BM326" s="9" t="s">
        <v>1247</v>
      </c>
      <c r="BN326" s="9" t="s">
        <v>513</v>
      </c>
      <c r="CL326" s="9" t="s">
        <v>682</v>
      </c>
      <c r="CM326" s="9" t="s">
        <v>401</v>
      </c>
      <c r="CN326" s="9" t="s">
        <v>6593</v>
      </c>
      <c r="CU326" s="9" t="s">
        <v>1852</v>
      </c>
      <c r="CV326" s="9" t="s">
        <v>959</v>
      </c>
      <c r="CX326" s="9" t="s">
        <v>455</v>
      </c>
      <c r="CY326" s="9" t="s">
        <v>6594</v>
      </c>
      <c r="CZ326" s="9" t="s">
        <v>1962</v>
      </c>
      <c r="DB326" s="9" t="s">
        <v>408</v>
      </c>
      <c r="DG326" s="9" t="s">
        <v>693</v>
      </c>
      <c r="DH326" s="9" t="s">
        <v>1220</v>
      </c>
      <c r="DI326" s="9" t="s">
        <v>459</v>
      </c>
      <c r="DJ326" s="9" t="s">
        <v>460</v>
      </c>
      <c r="DK326" s="9" t="s">
        <v>6319</v>
      </c>
      <c r="ET326" s="9" t="s">
        <v>478</v>
      </c>
      <c r="EU326" s="9" t="s">
        <v>479</v>
      </c>
      <c r="EV326" s="9" t="s">
        <v>527</v>
      </c>
      <c r="EZ326" s="9" t="s">
        <v>414</v>
      </c>
      <c r="FA326" s="9" t="s">
        <v>583</v>
      </c>
      <c r="FB326" s="9" t="s">
        <v>413</v>
      </c>
      <c r="FC326" s="9" t="s">
        <v>583</v>
      </c>
      <c r="FD326" s="9" t="s">
        <v>416</v>
      </c>
      <c r="FE326" s="9" t="s">
        <v>583</v>
      </c>
      <c r="FF326" s="9" t="s">
        <v>583</v>
      </c>
      <c r="FG326" s="9" t="s">
        <v>484</v>
      </c>
      <c r="FH326" s="9" t="s">
        <v>484</v>
      </c>
      <c r="FI326" s="9" t="s">
        <v>414</v>
      </c>
      <c r="FJ326" s="9" t="s">
        <v>583</v>
      </c>
      <c r="FK326" s="9" t="s">
        <v>414</v>
      </c>
      <c r="FL326" s="9" t="s">
        <v>414</v>
      </c>
      <c r="FM326" s="9" t="s">
        <v>416</v>
      </c>
      <c r="FN326" s="9" t="s">
        <v>414</v>
      </c>
      <c r="FO326" s="9" t="s">
        <v>1074</v>
      </c>
      <c r="FP326" s="9" t="s">
        <v>486</v>
      </c>
      <c r="FQ326" s="9" t="s">
        <v>712</v>
      </c>
      <c r="FS326" s="9" t="s">
        <v>1871</v>
      </c>
      <c r="FT326" s="9" t="s">
        <v>421</v>
      </c>
      <c r="FU326" s="9" t="s">
        <v>533</v>
      </c>
      <c r="FV326" s="9" t="s">
        <v>2399</v>
      </c>
      <c r="FW326" s="9" t="s">
        <v>1853</v>
      </c>
      <c r="FY326" s="9" t="s">
        <v>1854</v>
      </c>
      <c r="GB326" s="9" t="s">
        <v>408</v>
      </c>
      <c r="GG326" s="9" t="s">
        <v>1000</v>
      </c>
      <c r="GH326" s="9" t="s">
        <v>1000</v>
      </c>
      <c r="GI326" s="9" t="s">
        <v>756</v>
      </c>
      <c r="GQ326" s="9" t="s">
        <v>3208</v>
      </c>
      <c r="GT326" s="9" t="s">
        <v>4774</v>
      </c>
      <c r="GV326" s="9" t="s">
        <v>5231</v>
      </c>
      <c r="GW326" s="9" t="s">
        <v>484</v>
      </c>
      <c r="HO326" s="9" t="s">
        <v>5236</v>
      </c>
      <c r="HP326" s="9" t="s">
        <v>5264</v>
      </c>
      <c r="HQ326" s="9" t="s">
        <v>5801</v>
      </c>
      <c r="HR326" s="9" t="s">
        <v>5239</v>
      </c>
      <c r="HS326" s="9" t="s">
        <v>5916</v>
      </c>
      <c r="HU326" s="9" t="s">
        <v>5988</v>
      </c>
      <c r="HV326" s="9" t="s">
        <v>5918</v>
      </c>
      <c r="HX326" s="9" t="s">
        <v>5920</v>
      </c>
      <c r="HY326" s="9" t="s">
        <v>5919</v>
      </c>
      <c r="HZ326" s="9" t="s">
        <v>6464</v>
      </c>
      <c r="IA326" s="9" t="s">
        <v>6464</v>
      </c>
      <c r="IB326" s="9" t="s">
        <v>6464</v>
      </c>
      <c r="IC326" s="9" t="s">
        <v>5919</v>
      </c>
      <c r="ID326" s="9" t="s">
        <v>5500</v>
      </c>
      <c r="IE326" s="9" t="s">
        <v>5536</v>
      </c>
      <c r="IF326" s="9" t="s">
        <v>5536</v>
      </c>
      <c r="IG326" s="9" t="s">
        <v>5537</v>
      </c>
      <c r="IH326" s="9" t="s">
        <v>5537</v>
      </c>
      <c r="II326" s="9" t="s">
        <v>5500</v>
      </c>
      <c r="IK326" s="9" t="s">
        <v>6523</v>
      </c>
      <c r="MJ326" s="9" t="s">
        <v>6321</v>
      </c>
    </row>
    <row r="327" ht="24.75" customHeight="1">
      <c r="A327" s="8">
        <v>45922.53526744213</v>
      </c>
      <c r="B327" s="9" t="s">
        <v>368</v>
      </c>
      <c r="C327" s="9" t="s">
        <v>370</v>
      </c>
      <c r="D327" s="9" t="s">
        <v>370</v>
      </c>
      <c r="E327" s="9" t="s">
        <v>757</v>
      </c>
      <c r="F327" s="9" t="s">
        <v>757</v>
      </c>
      <c r="G327" s="9" t="s">
        <v>422</v>
      </c>
      <c r="H327" s="9" t="s">
        <v>1921</v>
      </c>
      <c r="I327" s="9" t="s">
        <v>668</v>
      </c>
      <c r="J327" s="9" t="s">
        <v>375</v>
      </c>
      <c r="K327" s="9" t="s">
        <v>376</v>
      </c>
      <c r="L327" s="9" t="s">
        <v>379</v>
      </c>
      <c r="M327" s="9" t="s">
        <v>860</v>
      </c>
      <c r="N327" s="9" t="s">
        <v>379</v>
      </c>
      <c r="O327" s="9" t="s">
        <v>671</v>
      </c>
      <c r="P327" s="9" t="s">
        <v>1760</v>
      </c>
      <c r="Q327" s="9" t="s">
        <v>499</v>
      </c>
      <c r="R327" s="9" t="s">
        <v>427</v>
      </c>
      <c r="S327" s="9" t="s">
        <v>384</v>
      </c>
      <c r="T327" s="9" t="s">
        <v>385</v>
      </c>
      <c r="W327" s="9" t="s">
        <v>3014</v>
      </c>
      <c r="AV327" s="9" t="s">
        <v>1310</v>
      </c>
      <c r="AW327" s="9" t="s">
        <v>391</v>
      </c>
      <c r="AX327" s="9" t="s">
        <v>391</v>
      </c>
      <c r="AY327" s="9" t="s">
        <v>391</v>
      </c>
      <c r="AZ327" s="9">
        <v>2.0</v>
      </c>
      <c r="BA327" s="9" t="s">
        <v>429</v>
      </c>
      <c r="BB327" s="9">
        <v>2.0</v>
      </c>
      <c r="BC327" s="9" t="s">
        <v>6595</v>
      </c>
      <c r="BD327" s="9" t="s">
        <v>6596</v>
      </c>
      <c r="BE327" s="9" t="s">
        <v>392</v>
      </c>
      <c r="BF327" s="9" t="s">
        <v>393</v>
      </c>
      <c r="BG327" s="9" t="s">
        <v>678</v>
      </c>
      <c r="BH327" s="9" t="s">
        <v>2675</v>
      </c>
      <c r="BI327" s="9" t="s">
        <v>435</v>
      </c>
      <c r="BJ327" s="9" t="s">
        <v>6597</v>
      </c>
      <c r="BK327" s="9" t="s">
        <v>511</v>
      </c>
      <c r="BL327" s="9" t="s">
        <v>512</v>
      </c>
      <c r="BM327" s="9" t="s">
        <v>549</v>
      </c>
      <c r="BN327" s="9" t="s">
        <v>513</v>
      </c>
      <c r="CL327" s="9" t="s">
        <v>441</v>
      </c>
      <c r="CM327" s="9" t="s">
        <v>442</v>
      </c>
      <c r="CN327" s="9" t="s">
        <v>1313</v>
      </c>
      <c r="CO327" s="9" t="s">
        <v>6598</v>
      </c>
      <c r="CP327" s="9" t="s">
        <v>685</v>
      </c>
      <c r="CQ327" s="9" t="s">
        <v>956</v>
      </c>
      <c r="CR327" s="9" t="s">
        <v>555</v>
      </c>
      <c r="CS327" s="9" t="s">
        <v>1346</v>
      </c>
      <c r="CT327" s="9" t="s">
        <v>6599</v>
      </c>
      <c r="CU327" s="9" t="s">
        <v>450</v>
      </c>
      <c r="CV327" s="9" t="s">
        <v>451</v>
      </c>
      <c r="CW327" s="9" t="s">
        <v>6600</v>
      </c>
      <c r="CX327" s="9" t="s">
        <v>408</v>
      </c>
      <c r="CZ327" s="9" t="s">
        <v>985</v>
      </c>
      <c r="DA327" s="9" t="s">
        <v>6601</v>
      </c>
      <c r="DB327" s="9" t="s">
        <v>408</v>
      </c>
      <c r="DD327" s="9" t="s">
        <v>988</v>
      </c>
      <c r="DE327" s="9" t="s">
        <v>1867</v>
      </c>
      <c r="DF327" s="9" t="s">
        <v>6602</v>
      </c>
      <c r="DG327" s="9" t="s">
        <v>776</v>
      </c>
      <c r="DH327" s="9" t="s">
        <v>1964</v>
      </c>
      <c r="DI327" s="9" t="s">
        <v>963</v>
      </c>
      <c r="DJ327" s="9" t="s">
        <v>1148</v>
      </c>
      <c r="DK327" s="9" t="s">
        <v>6603</v>
      </c>
      <c r="DL327" s="9" t="s">
        <v>6604</v>
      </c>
      <c r="ET327" s="9" t="s">
        <v>526</v>
      </c>
      <c r="EU327" s="9" t="s">
        <v>479</v>
      </c>
      <c r="EV327" s="9" t="s">
        <v>480</v>
      </c>
      <c r="EX327" s="9" t="s">
        <v>6605</v>
      </c>
      <c r="EY327" s="9" t="s">
        <v>6606</v>
      </c>
      <c r="EZ327" s="9" t="s">
        <v>415</v>
      </c>
      <c r="FA327" s="9" t="s">
        <v>415</v>
      </c>
      <c r="FB327" s="9" t="s">
        <v>413</v>
      </c>
      <c r="FC327" s="9" t="s">
        <v>413</v>
      </c>
      <c r="FD327" s="9" t="s">
        <v>413</v>
      </c>
      <c r="FE327" s="9" t="s">
        <v>415</v>
      </c>
      <c r="FF327" s="9" t="s">
        <v>413</v>
      </c>
      <c r="FG327" s="9" t="s">
        <v>413</v>
      </c>
      <c r="FH327" s="9" t="s">
        <v>416</v>
      </c>
      <c r="FI327" s="9" t="s">
        <v>414</v>
      </c>
      <c r="FJ327" s="9" t="s">
        <v>414</v>
      </c>
      <c r="FK327" s="9" t="s">
        <v>414</v>
      </c>
      <c r="FL327" s="9" t="s">
        <v>415</v>
      </c>
      <c r="FM327" s="9" t="s">
        <v>415</v>
      </c>
      <c r="FN327" s="9" t="s">
        <v>414</v>
      </c>
      <c r="FO327" s="9" t="s">
        <v>485</v>
      </c>
      <c r="FP327" s="9" t="s">
        <v>418</v>
      </c>
      <c r="FQ327" s="9" t="s">
        <v>419</v>
      </c>
      <c r="FS327" s="9" t="s">
        <v>1189</v>
      </c>
      <c r="FT327" s="9" t="s">
        <v>488</v>
      </c>
      <c r="FU327" s="9" t="s">
        <v>585</v>
      </c>
      <c r="FV327" s="9" t="s">
        <v>490</v>
      </c>
      <c r="FW327" s="9" t="s">
        <v>491</v>
      </c>
      <c r="FX327" s="9" t="s">
        <v>6607</v>
      </c>
      <c r="FY327" s="9" t="s">
        <v>493</v>
      </c>
      <c r="GB327" s="9" t="s">
        <v>408</v>
      </c>
      <c r="GG327" s="9" t="s">
        <v>920</v>
      </c>
      <c r="GH327" s="9" t="s">
        <v>920</v>
      </c>
      <c r="GI327" s="9" t="s">
        <v>756</v>
      </c>
      <c r="GQ327" s="9" t="s">
        <v>3273</v>
      </c>
      <c r="GT327" s="9" t="s">
        <v>4774</v>
      </c>
      <c r="GV327" s="9" t="s">
        <v>5381</v>
      </c>
      <c r="GW327" s="9" t="s">
        <v>5232</v>
      </c>
      <c r="HC327" s="9" t="s">
        <v>5281</v>
      </c>
      <c r="HD327" s="9" t="s">
        <v>5349</v>
      </c>
      <c r="HE327" s="9" t="s">
        <v>5320</v>
      </c>
      <c r="HF327" s="9" t="s">
        <v>5284</v>
      </c>
      <c r="HP327" s="9" t="s">
        <v>5264</v>
      </c>
      <c r="HQ327" s="9" t="s">
        <v>5238</v>
      </c>
      <c r="HR327" s="9" t="s">
        <v>5321</v>
      </c>
      <c r="HW327" s="9" t="s">
        <v>5628</v>
      </c>
      <c r="MJ327" s="9" t="s">
        <v>6321</v>
      </c>
    </row>
    <row r="328" ht="24.75" customHeight="1">
      <c r="A328" s="8">
        <v>45922.54085658565</v>
      </c>
      <c r="B328" s="9" t="s">
        <v>368</v>
      </c>
      <c r="C328" s="9" t="s">
        <v>370</v>
      </c>
      <c r="D328" s="9" t="s">
        <v>370</v>
      </c>
      <c r="E328" s="9" t="s">
        <v>922</v>
      </c>
      <c r="F328" s="9" t="s">
        <v>922</v>
      </c>
      <c r="G328" s="9" t="s">
        <v>422</v>
      </c>
      <c r="H328" s="9" t="s">
        <v>637</v>
      </c>
      <c r="I328" s="9" t="s">
        <v>638</v>
      </c>
      <c r="J328" s="9" t="s">
        <v>590</v>
      </c>
      <c r="K328" s="9" t="s">
        <v>376</v>
      </c>
      <c r="L328" s="9" t="s">
        <v>377</v>
      </c>
      <c r="M328" s="9" t="s">
        <v>1442</v>
      </c>
      <c r="N328" s="9" t="s">
        <v>379</v>
      </c>
      <c r="O328" s="9" t="s">
        <v>6608</v>
      </c>
      <c r="P328" s="9" t="s">
        <v>1760</v>
      </c>
      <c r="Q328" s="9" t="s">
        <v>499</v>
      </c>
      <c r="R328" s="9" t="s">
        <v>6609</v>
      </c>
      <c r="S328" s="9" t="s">
        <v>384</v>
      </c>
      <c r="T328" s="9" t="s">
        <v>385</v>
      </c>
      <c r="W328" s="9" t="s">
        <v>1023</v>
      </c>
      <c r="AV328" s="9" t="s">
        <v>504</v>
      </c>
      <c r="AW328" s="9">
        <v>2.0</v>
      </c>
      <c r="AX328" s="9" t="s">
        <v>429</v>
      </c>
      <c r="AY328" s="9">
        <v>2.0</v>
      </c>
      <c r="AZ328" s="9" t="s">
        <v>429</v>
      </c>
      <c r="BA328" s="9" t="s">
        <v>429</v>
      </c>
      <c r="BB328" s="9" t="s">
        <v>429</v>
      </c>
      <c r="BC328" s="9" t="s">
        <v>6610</v>
      </c>
      <c r="BD328" s="9" t="s">
        <v>6611</v>
      </c>
      <c r="BE328" s="9" t="s">
        <v>392</v>
      </c>
      <c r="BF328" s="9" t="s">
        <v>433</v>
      </c>
      <c r="BG328" s="9" t="s">
        <v>678</v>
      </c>
      <c r="BI328" s="9" t="s">
        <v>509</v>
      </c>
      <c r="BJ328" s="9" t="s">
        <v>6612</v>
      </c>
      <c r="BK328" s="9" t="s">
        <v>602</v>
      </c>
      <c r="BL328" s="9" t="s">
        <v>904</v>
      </c>
      <c r="BM328" s="9" t="s">
        <v>439</v>
      </c>
      <c r="BN328" s="9" t="s">
        <v>440</v>
      </c>
      <c r="DI328" s="9" t="s">
        <v>777</v>
      </c>
      <c r="DJ328" s="9" t="s">
        <v>613</v>
      </c>
      <c r="DM328" s="9" t="s">
        <v>6613</v>
      </c>
      <c r="DN328" s="9" t="s">
        <v>6614</v>
      </c>
      <c r="DO328" s="9" t="s">
        <v>464</v>
      </c>
      <c r="DP328" s="9" t="s">
        <v>6615</v>
      </c>
      <c r="DQ328" s="9" t="s">
        <v>1291</v>
      </c>
      <c r="DR328" s="9" t="s">
        <v>6616</v>
      </c>
      <c r="DS328" s="9" t="s">
        <v>6617</v>
      </c>
      <c r="DT328" s="9" t="s">
        <v>6618</v>
      </c>
      <c r="DU328" s="9" t="s">
        <v>6619</v>
      </c>
      <c r="DV328" s="9" t="s">
        <v>6620</v>
      </c>
      <c r="DW328" s="9" t="s">
        <v>622</v>
      </c>
      <c r="DX328" s="9" t="s">
        <v>6621</v>
      </c>
      <c r="DY328" s="9" t="s">
        <v>6622</v>
      </c>
      <c r="DZ328" s="9" t="s">
        <v>6623</v>
      </c>
      <c r="EA328" s="9" t="s">
        <v>475</v>
      </c>
      <c r="EB328" s="9" t="s">
        <v>845</v>
      </c>
      <c r="ET328" s="9" t="s">
        <v>526</v>
      </c>
      <c r="EU328" s="9" t="s">
        <v>479</v>
      </c>
      <c r="EV328" s="9" t="s">
        <v>663</v>
      </c>
      <c r="EX328" s="9" t="s">
        <v>6624</v>
      </c>
      <c r="EY328" s="9" t="s">
        <v>6625</v>
      </c>
      <c r="EZ328" s="9" t="s">
        <v>583</v>
      </c>
      <c r="FA328" s="9" t="s">
        <v>583</v>
      </c>
      <c r="FB328" s="9" t="s">
        <v>413</v>
      </c>
      <c r="FC328" s="9" t="s">
        <v>414</v>
      </c>
      <c r="FD328" s="9" t="s">
        <v>484</v>
      </c>
      <c r="FE328" s="9" t="s">
        <v>414</v>
      </c>
      <c r="FF328" s="9" t="s">
        <v>414</v>
      </c>
      <c r="FG328" s="9" t="s">
        <v>415</v>
      </c>
      <c r="FH328" s="9" t="s">
        <v>484</v>
      </c>
      <c r="FI328" s="9" t="s">
        <v>414</v>
      </c>
      <c r="FJ328" s="9" t="s">
        <v>415</v>
      </c>
      <c r="FK328" s="9" t="s">
        <v>414</v>
      </c>
      <c r="FL328" s="9" t="s">
        <v>414</v>
      </c>
      <c r="FM328" s="9" t="s">
        <v>484</v>
      </c>
      <c r="FN328" s="9" t="s">
        <v>414</v>
      </c>
      <c r="FO328" s="9" t="s">
        <v>485</v>
      </c>
      <c r="FP328" s="9" t="s">
        <v>486</v>
      </c>
      <c r="FQ328" s="9" t="s">
        <v>419</v>
      </c>
      <c r="FR328" s="9" t="s">
        <v>6626</v>
      </c>
      <c r="FS328" s="9" t="s">
        <v>420</v>
      </c>
      <c r="FT328" s="9" t="s">
        <v>488</v>
      </c>
      <c r="FU328" s="9" t="s">
        <v>585</v>
      </c>
      <c r="FV328" s="9" t="s">
        <v>490</v>
      </c>
      <c r="FW328" s="9" t="s">
        <v>491</v>
      </c>
      <c r="FX328" s="9" t="s">
        <v>6627</v>
      </c>
      <c r="FY328" s="9" t="s">
        <v>535</v>
      </c>
      <c r="FZ328" s="9" t="s">
        <v>6628</v>
      </c>
      <c r="GB328" s="9" t="s">
        <v>455</v>
      </c>
      <c r="GC328" s="9"/>
      <c r="GE328" s="9" t="s">
        <v>753</v>
      </c>
      <c r="GM328" s="9" t="s">
        <v>6629</v>
      </c>
      <c r="GQ328" s="9" t="s">
        <v>3208</v>
      </c>
      <c r="GV328" s="9" t="s">
        <v>5231</v>
      </c>
      <c r="GW328" s="9" t="s">
        <v>484</v>
      </c>
      <c r="HG328" s="9" t="s">
        <v>6630</v>
      </c>
      <c r="HH328" s="9" t="s">
        <v>6631</v>
      </c>
      <c r="HI328" s="9" t="s">
        <v>6632</v>
      </c>
      <c r="HJ328" s="9" t="s">
        <v>6633</v>
      </c>
      <c r="HO328" s="9" t="s">
        <v>5236</v>
      </c>
      <c r="HP328" s="9" t="s">
        <v>5237</v>
      </c>
      <c r="HQ328" s="9" t="s">
        <v>5238</v>
      </c>
      <c r="HR328" s="9" t="s">
        <v>5321</v>
      </c>
      <c r="IN328" s="9" t="s">
        <v>5536</v>
      </c>
      <c r="IO328" s="9" t="s">
        <v>5536</v>
      </c>
      <c r="IP328" s="9" t="s">
        <v>5500</v>
      </c>
      <c r="IQ328" s="9" t="s">
        <v>5500</v>
      </c>
      <c r="IR328" s="9" t="s">
        <v>5500</v>
      </c>
      <c r="IS328" s="9" t="s">
        <v>5500</v>
      </c>
      <c r="MJ328" s="9" t="s">
        <v>6321</v>
      </c>
    </row>
    <row r="329" ht="24.75" customHeight="1">
      <c r="A329" s="8">
        <v>45922.60076869213</v>
      </c>
      <c r="B329" s="9" t="s">
        <v>368</v>
      </c>
      <c r="C329" s="9" t="s">
        <v>370</v>
      </c>
      <c r="D329" s="9" t="s">
        <v>370</v>
      </c>
      <c r="E329" s="9" t="s">
        <v>5221</v>
      </c>
      <c r="F329" s="9" t="s">
        <v>6634</v>
      </c>
      <c r="G329" s="9" t="s">
        <v>422</v>
      </c>
      <c r="H329" s="9" t="s">
        <v>1921</v>
      </c>
      <c r="I329" s="9" t="s">
        <v>1022</v>
      </c>
      <c r="J329" s="9" t="s">
        <v>718</v>
      </c>
      <c r="K329" s="9" t="s">
        <v>376</v>
      </c>
      <c r="L329" s="9" t="s">
        <v>793</v>
      </c>
      <c r="M329" s="9" t="s">
        <v>639</v>
      </c>
      <c r="N329" s="9" t="s">
        <v>591</v>
      </c>
      <c r="O329" s="9" t="s">
        <v>2464</v>
      </c>
      <c r="P329" s="9" t="s">
        <v>498</v>
      </c>
      <c r="Q329" s="9" t="s">
        <v>759</v>
      </c>
      <c r="R329" s="9" t="s">
        <v>949</v>
      </c>
      <c r="S329" s="9" t="s">
        <v>384</v>
      </c>
      <c r="T329" s="9" t="s">
        <v>1023</v>
      </c>
      <c r="W329" s="9" t="s">
        <v>1023</v>
      </c>
      <c r="AV329" s="9" t="s">
        <v>597</v>
      </c>
      <c r="AW329" s="9" t="s">
        <v>675</v>
      </c>
      <c r="AX329" s="9">
        <v>4.0</v>
      </c>
      <c r="AY329" s="9">
        <v>4.0</v>
      </c>
      <c r="AZ329" s="9" t="s">
        <v>675</v>
      </c>
      <c r="BA329" s="9" t="s">
        <v>675</v>
      </c>
      <c r="BB329" s="9" t="s">
        <v>675</v>
      </c>
      <c r="BC329" s="9" t="s">
        <v>6635</v>
      </c>
      <c r="BD329" s="9" t="s">
        <v>6636</v>
      </c>
      <c r="BE329" s="9" t="s">
        <v>392</v>
      </c>
      <c r="BF329" s="9" t="s">
        <v>393</v>
      </c>
      <c r="BG329" s="9" t="s">
        <v>394</v>
      </c>
      <c r="BI329" s="9" t="s">
        <v>824</v>
      </c>
      <c r="BK329" s="9" t="s">
        <v>437</v>
      </c>
      <c r="BL329" s="9" t="s">
        <v>396</v>
      </c>
      <c r="BM329" s="9" t="s">
        <v>397</v>
      </c>
      <c r="BN329" s="9" t="s">
        <v>398</v>
      </c>
      <c r="BO329" s="9" t="s">
        <v>6637</v>
      </c>
      <c r="BP329" s="9" t="s">
        <v>6638</v>
      </c>
      <c r="BQ329" s="9" t="s">
        <v>604</v>
      </c>
      <c r="BR329" s="9" t="s">
        <v>1928</v>
      </c>
      <c r="BS329" s="9" t="s">
        <v>403</v>
      </c>
      <c r="BT329" s="9" t="s">
        <v>5175</v>
      </c>
      <c r="BU329" s="9" t="s">
        <v>405</v>
      </c>
      <c r="BW329" s="9" t="s">
        <v>406</v>
      </c>
      <c r="BY329" s="9" t="s">
        <v>408</v>
      </c>
      <c r="CB329" s="9" t="s">
        <v>6639</v>
      </c>
      <c r="CC329" s="9" t="s">
        <v>6640</v>
      </c>
      <c r="CD329" s="9" t="s">
        <v>1257</v>
      </c>
      <c r="CF329" s="9" t="s">
        <v>1258</v>
      </c>
      <c r="CH329" s="9" t="s">
        <v>1698</v>
      </c>
      <c r="CI329" s="9" t="s">
        <v>1220</v>
      </c>
      <c r="CJ329" s="9" t="s">
        <v>6641</v>
      </c>
      <c r="CK329" s="9" t="s">
        <v>6642</v>
      </c>
      <c r="DI329" s="9" t="s">
        <v>963</v>
      </c>
      <c r="DJ329" s="9" t="s">
        <v>562</v>
      </c>
      <c r="DK329" s="9" t="s">
        <v>6335</v>
      </c>
      <c r="ET329" s="9" t="s">
        <v>526</v>
      </c>
      <c r="EU329" s="9" t="s">
        <v>887</v>
      </c>
      <c r="EV329" s="9" t="s">
        <v>1262</v>
      </c>
      <c r="EX329" s="9" t="s">
        <v>6643</v>
      </c>
      <c r="EZ329" s="9" t="s">
        <v>414</v>
      </c>
      <c r="FA329" s="9" t="s">
        <v>583</v>
      </c>
      <c r="FB329" s="9" t="s">
        <v>414</v>
      </c>
      <c r="FC329" s="9" t="s">
        <v>414</v>
      </c>
      <c r="FD329" s="9" t="s">
        <v>415</v>
      </c>
      <c r="FE329" s="9" t="s">
        <v>415</v>
      </c>
      <c r="FF329" s="9" t="s">
        <v>414</v>
      </c>
      <c r="FG329" s="9" t="s">
        <v>416</v>
      </c>
      <c r="FH329" s="9" t="s">
        <v>416</v>
      </c>
      <c r="FI329" s="9" t="s">
        <v>414</v>
      </c>
      <c r="FJ329" s="9" t="s">
        <v>414</v>
      </c>
      <c r="FK329" s="9" t="s">
        <v>415</v>
      </c>
      <c r="FL329" s="9" t="s">
        <v>415</v>
      </c>
      <c r="FM329" s="9" t="s">
        <v>415</v>
      </c>
      <c r="FN329" s="9" t="s">
        <v>415</v>
      </c>
      <c r="FO329" s="9" t="s">
        <v>417</v>
      </c>
      <c r="FP329" s="9" t="s">
        <v>486</v>
      </c>
      <c r="FQ329" s="9" t="s">
        <v>712</v>
      </c>
      <c r="FS329" s="9" t="s">
        <v>995</v>
      </c>
      <c r="FT329" s="9" t="s">
        <v>421</v>
      </c>
      <c r="FU329" s="9" t="s">
        <v>533</v>
      </c>
      <c r="FV329" s="9" t="s">
        <v>490</v>
      </c>
      <c r="FW329" s="9" t="s">
        <v>491</v>
      </c>
      <c r="FX329" s="9" t="s">
        <v>6644</v>
      </c>
      <c r="FY329" s="9" t="s">
        <v>535</v>
      </c>
      <c r="GB329" s="9" t="s">
        <v>455</v>
      </c>
      <c r="GC329" s="9"/>
      <c r="GE329" s="9" t="s">
        <v>753</v>
      </c>
      <c r="GJ329" s="9" t="s">
        <v>755</v>
      </c>
      <c r="GK329" s="9" t="s">
        <v>755</v>
      </c>
      <c r="GL329" s="9" t="s">
        <v>946</v>
      </c>
      <c r="GQ329" s="9" t="s">
        <v>4653</v>
      </c>
      <c r="GR329" s="9" t="s">
        <v>4774</v>
      </c>
      <c r="GV329" s="9" t="s">
        <v>5231</v>
      </c>
      <c r="GW329" s="9" t="s">
        <v>5232</v>
      </c>
      <c r="GX329" s="9" t="s">
        <v>5281</v>
      </c>
      <c r="GY329" s="9" t="s">
        <v>5233</v>
      </c>
      <c r="GZ329" s="9" t="s">
        <v>484</v>
      </c>
      <c r="HA329" s="9" t="s">
        <v>5864</v>
      </c>
      <c r="HB329" s="9" t="s">
        <v>913</v>
      </c>
      <c r="HO329" s="9" t="s">
        <v>5236</v>
      </c>
      <c r="HP329" s="9" t="s">
        <v>5302</v>
      </c>
      <c r="HQ329" s="9" t="s">
        <v>5238</v>
      </c>
      <c r="HR329" s="9" t="s">
        <v>913</v>
      </c>
      <c r="MJ329" s="9" t="s">
        <v>6321</v>
      </c>
    </row>
    <row r="330" ht="24.75" customHeight="1">
      <c r="A330" s="8">
        <v>45922.616364236106</v>
      </c>
      <c r="B330" s="9" t="s">
        <v>368</v>
      </c>
      <c r="C330" s="9" t="s">
        <v>6645</v>
      </c>
      <c r="D330" s="9" t="s">
        <v>6645</v>
      </c>
      <c r="G330" s="9" t="s">
        <v>1140</v>
      </c>
      <c r="H330" s="9" t="s">
        <v>637</v>
      </c>
      <c r="I330" s="9" t="s">
        <v>638</v>
      </c>
      <c r="J330" s="9" t="s">
        <v>590</v>
      </c>
      <c r="K330" s="9" t="s">
        <v>376</v>
      </c>
      <c r="L330" s="9" t="s">
        <v>426</v>
      </c>
      <c r="M330" s="9" t="s">
        <v>720</v>
      </c>
      <c r="N330" s="9" t="s">
        <v>591</v>
      </c>
      <c r="O330" s="9" t="s">
        <v>639</v>
      </c>
      <c r="P330" s="9" t="s">
        <v>592</v>
      </c>
      <c r="Q330" s="9" t="s">
        <v>1156</v>
      </c>
      <c r="R330" s="9" t="s">
        <v>427</v>
      </c>
      <c r="S330" s="9" t="s">
        <v>384</v>
      </c>
      <c r="T330" s="9" t="s">
        <v>385</v>
      </c>
      <c r="W330" s="9" t="s">
        <v>593</v>
      </c>
      <c r="X330" s="9" t="s">
        <v>642</v>
      </c>
      <c r="AL330" s="9" t="s">
        <v>6646</v>
      </c>
      <c r="AM330" s="9" t="s">
        <v>644</v>
      </c>
      <c r="AN330" s="9" t="s">
        <v>455</v>
      </c>
      <c r="AO330" s="9" t="s">
        <v>6647</v>
      </c>
      <c r="AP330" s="9" t="s">
        <v>1144</v>
      </c>
      <c r="AQ330" s="9">
        <v>5.0</v>
      </c>
      <c r="AR330" s="9" t="s">
        <v>1145</v>
      </c>
      <c r="AS330" s="9" t="s">
        <v>6648</v>
      </c>
      <c r="AT330" s="9" t="s">
        <v>6649</v>
      </c>
      <c r="AU330" s="9" t="s">
        <v>6650</v>
      </c>
      <c r="AV330" s="9" t="s">
        <v>390</v>
      </c>
      <c r="AW330" s="9" t="s">
        <v>391</v>
      </c>
      <c r="AX330" s="9" t="s">
        <v>391</v>
      </c>
      <c r="AY330" s="9" t="s">
        <v>675</v>
      </c>
      <c r="AZ330" s="9">
        <v>2.0</v>
      </c>
      <c r="BA330" s="9" t="s">
        <v>391</v>
      </c>
      <c r="BB330" s="9" t="s">
        <v>675</v>
      </c>
      <c r="BC330" s="9" t="s">
        <v>6651</v>
      </c>
      <c r="BD330" s="9" t="s">
        <v>6652</v>
      </c>
      <c r="BE330" s="9" t="s">
        <v>392</v>
      </c>
      <c r="BF330" s="9" t="s">
        <v>433</v>
      </c>
      <c r="BG330" s="9" t="s">
        <v>678</v>
      </c>
      <c r="BH330" s="9" t="s">
        <v>6653</v>
      </c>
      <c r="BI330" s="9" t="s">
        <v>976</v>
      </c>
      <c r="BK330" s="9" t="s">
        <v>681</v>
      </c>
      <c r="BL330" s="9" t="s">
        <v>438</v>
      </c>
      <c r="BM330" s="9" t="s">
        <v>397</v>
      </c>
      <c r="BN330" s="9" t="s">
        <v>513</v>
      </c>
      <c r="CL330" s="9" t="s">
        <v>550</v>
      </c>
      <c r="CM330" s="9" t="s">
        <v>604</v>
      </c>
      <c r="CN330" s="9" t="s">
        <v>6654</v>
      </c>
      <c r="CO330" s="9" t="s">
        <v>6655</v>
      </c>
      <c r="CP330" s="9" t="s">
        <v>445</v>
      </c>
      <c r="CQ330" s="9" t="s">
        <v>6656</v>
      </c>
      <c r="CR330" s="9" t="s">
        <v>447</v>
      </c>
      <c r="CS330" s="9" t="s">
        <v>656</v>
      </c>
      <c r="CT330" s="9" t="s">
        <v>6657</v>
      </c>
      <c r="CU330" s="9" t="s">
        <v>450</v>
      </c>
      <c r="CV330" s="9" t="s">
        <v>451</v>
      </c>
      <c r="CW330" s="9" t="s">
        <v>6658</v>
      </c>
      <c r="CX330" s="9" t="s">
        <v>408</v>
      </c>
      <c r="CY330" s="9" t="s">
        <v>6659</v>
      </c>
      <c r="CZ330" s="9" t="s">
        <v>453</v>
      </c>
      <c r="DA330" s="9" t="s">
        <v>6660</v>
      </c>
      <c r="DB330" s="9" t="s">
        <v>408</v>
      </c>
      <c r="DD330" s="9" t="s">
        <v>457</v>
      </c>
      <c r="DF330" s="9" t="s">
        <v>6661</v>
      </c>
      <c r="DG330" s="9" t="s">
        <v>561</v>
      </c>
      <c r="DH330" s="9" t="s">
        <v>410</v>
      </c>
      <c r="DI330" s="9" t="s">
        <v>459</v>
      </c>
      <c r="DJ330" s="9" t="s">
        <v>562</v>
      </c>
      <c r="DK330" s="9" t="s">
        <v>6319</v>
      </c>
      <c r="ET330" s="9" t="s">
        <v>526</v>
      </c>
      <c r="EU330" s="9" t="s">
        <v>479</v>
      </c>
      <c r="EV330" s="9" t="s">
        <v>480</v>
      </c>
      <c r="EW330" s="9" t="s">
        <v>6662</v>
      </c>
      <c r="EX330" s="9" t="s">
        <v>6663</v>
      </c>
      <c r="EY330" s="9" t="s">
        <v>6664</v>
      </c>
      <c r="EZ330" s="9" t="s">
        <v>583</v>
      </c>
      <c r="FA330" s="9" t="s">
        <v>583</v>
      </c>
      <c r="FB330" s="9" t="s">
        <v>583</v>
      </c>
      <c r="FC330" s="9" t="s">
        <v>583</v>
      </c>
      <c r="FD330" s="9" t="s">
        <v>415</v>
      </c>
      <c r="FE330" s="9" t="s">
        <v>583</v>
      </c>
      <c r="FF330" s="9" t="s">
        <v>583</v>
      </c>
      <c r="FG330" s="9" t="s">
        <v>484</v>
      </c>
      <c r="FH330" s="9" t="s">
        <v>484</v>
      </c>
      <c r="FI330" s="9" t="s">
        <v>583</v>
      </c>
      <c r="FJ330" s="9" t="s">
        <v>414</v>
      </c>
      <c r="FK330" s="9" t="s">
        <v>484</v>
      </c>
      <c r="FL330" s="9" t="s">
        <v>484</v>
      </c>
      <c r="FM330" s="9" t="s">
        <v>484</v>
      </c>
      <c r="FN330" s="9" t="s">
        <v>583</v>
      </c>
      <c r="FO330" s="9" t="s">
        <v>417</v>
      </c>
      <c r="FP330" s="9" t="s">
        <v>418</v>
      </c>
      <c r="FQ330" s="9" t="s">
        <v>419</v>
      </c>
      <c r="FR330" s="9" t="s">
        <v>6665</v>
      </c>
      <c r="FS330" s="9" t="s">
        <v>995</v>
      </c>
      <c r="FT330" s="9" t="s">
        <v>488</v>
      </c>
      <c r="FU330" s="9" t="s">
        <v>533</v>
      </c>
      <c r="FV330" s="9" t="s">
        <v>490</v>
      </c>
      <c r="FW330" s="9" t="s">
        <v>491</v>
      </c>
      <c r="FX330" s="9" t="s">
        <v>6666</v>
      </c>
      <c r="FY330" s="9" t="s">
        <v>535</v>
      </c>
      <c r="FZ330" s="9" t="s">
        <v>6667</v>
      </c>
      <c r="GA330" s="9" t="s">
        <v>6668</v>
      </c>
      <c r="GB330" s="9" t="s">
        <v>455</v>
      </c>
      <c r="GC330" s="9"/>
      <c r="GD330" s="9"/>
      <c r="GE330" s="9" t="s">
        <v>753</v>
      </c>
      <c r="GF330" s="9" t="s">
        <v>6669</v>
      </c>
      <c r="GG330" s="9" t="s">
        <v>857</v>
      </c>
      <c r="GH330" s="9" t="s">
        <v>857</v>
      </c>
      <c r="GI330" s="9" t="s">
        <v>790</v>
      </c>
      <c r="GN330" s="9" t="s">
        <v>6645</v>
      </c>
      <c r="GO330" s="9" t="s">
        <v>6645</v>
      </c>
      <c r="GQ330" s="9" t="s">
        <v>3273</v>
      </c>
      <c r="GT330" s="9" t="s">
        <v>5081</v>
      </c>
      <c r="GU330" s="9" t="s">
        <v>6670</v>
      </c>
      <c r="GV330" s="9" t="s">
        <v>5231</v>
      </c>
      <c r="GW330" s="9" t="s">
        <v>5232</v>
      </c>
      <c r="HC330" s="9" t="s">
        <v>5297</v>
      </c>
      <c r="HD330" s="9" t="s">
        <v>5349</v>
      </c>
      <c r="HE330" s="9" t="s">
        <v>5718</v>
      </c>
      <c r="HF330" s="9" t="s">
        <v>5899</v>
      </c>
      <c r="HO330" s="9" t="s">
        <v>5383</v>
      </c>
      <c r="HP330" s="9" t="s">
        <v>5264</v>
      </c>
      <c r="HQ330" s="9" t="s">
        <v>5238</v>
      </c>
      <c r="HR330" s="9" t="s">
        <v>5321</v>
      </c>
      <c r="HW330" s="9" t="s">
        <v>5628</v>
      </c>
      <c r="MJ330" s="9" t="s">
        <v>6321</v>
      </c>
    </row>
    <row r="331" ht="24.75" customHeight="1">
      <c r="A331" s="8">
        <v>45923.83860096065</v>
      </c>
      <c r="B331" s="9" t="s">
        <v>368</v>
      </c>
      <c r="C331" s="9" t="s">
        <v>894</v>
      </c>
      <c r="D331" s="9" t="s">
        <v>894</v>
      </c>
      <c r="G331" s="9" t="s">
        <v>422</v>
      </c>
      <c r="H331" s="9" t="s">
        <v>496</v>
      </c>
      <c r="I331" s="9" t="s">
        <v>2578</v>
      </c>
      <c r="J331" s="9" t="s">
        <v>1240</v>
      </c>
      <c r="K331" s="9" t="s">
        <v>376</v>
      </c>
      <c r="L331" s="9" t="s">
        <v>591</v>
      </c>
      <c r="M331" s="9" t="s">
        <v>860</v>
      </c>
      <c r="N331" s="9" t="s">
        <v>591</v>
      </c>
      <c r="O331" s="9" t="s">
        <v>719</v>
      </c>
      <c r="P331" s="9" t="s">
        <v>592</v>
      </c>
      <c r="Q331" s="9" t="s">
        <v>499</v>
      </c>
      <c r="R331" s="9" t="s">
        <v>949</v>
      </c>
      <c r="S331" s="9" t="s">
        <v>384</v>
      </c>
      <c r="T331" s="9" t="s">
        <v>385</v>
      </c>
      <c r="U331" s="9" t="s">
        <v>896</v>
      </c>
      <c r="V331" s="9" t="s">
        <v>896</v>
      </c>
      <c r="W331" s="9" t="s">
        <v>3231</v>
      </c>
      <c r="AV331" s="9" t="s">
        <v>1310</v>
      </c>
      <c r="AW331" s="9" t="s">
        <v>675</v>
      </c>
      <c r="AX331" s="9">
        <v>4.0</v>
      </c>
      <c r="AY331" s="9" t="s">
        <v>675</v>
      </c>
      <c r="AZ331" s="9" t="s">
        <v>675</v>
      </c>
      <c r="BA331" s="9" t="s">
        <v>675</v>
      </c>
      <c r="BB331" s="9" t="s">
        <v>675</v>
      </c>
      <c r="BE331" s="9" t="s">
        <v>432</v>
      </c>
      <c r="BF331" s="9" t="s">
        <v>1047</v>
      </c>
      <c r="BG331" s="9" t="s">
        <v>394</v>
      </c>
      <c r="BI331" s="9" t="s">
        <v>976</v>
      </c>
      <c r="BK331" s="9" t="s">
        <v>681</v>
      </c>
      <c r="BL331" s="9" t="s">
        <v>603</v>
      </c>
      <c r="BM331" s="9" t="s">
        <v>1247</v>
      </c>
      <c r="BN331" s="9" t="s">
        <v>398</v>
      </c>
      <c r="BO331" s="9" t="s">
        <v>6671</v>
      </c>
      <c r="BP331" s="9" t="s">
        <v>408</v>
      </c>
      <c r="BQ331" s="9" t="s">
        <v>604</v>
      </c>
      <c r="BR331" s="9" t="s">
        <v>1740</v>
      </c>
      <c r="BS331" s="9" t="s">
        <v>403</v>
      </c>
      <c r="BT331" s="9" t="s">
        <v>1994</v>
      </c>
      <c r="BU331" s="9" t="s">
        <v>1772</v>
      </c>
      <c r="BV331" s="9" t="s">
        <v>6672</v>
      </c>
      <c r="BW331" s="9" t="s">
        <v>406</v>
      </c>
      <c r="BX331" s="9" t="s">
        <v>2503</v>
      </c>
      <c r="BY331" s="9" t="s">
        <v>408</v>
      </c>
      <c r="CB331" s="9" t="s">
        <v>6673</v>
      </c>
      <c r="CC331" s="9" t="s">
        <v>6674</v>
      </c>
      <c r="CD331" s="9" t="s">
        <v>409</v>
      </c>
      <c r="CE331" s="9" t="s">
        <v>6675</v>
      </c>
      <c r="CF331" s="9" t="s">
        <v>1749</v>
      </c>
      <c r="CG331" s="9" t="s">
        <v>6676</v>
      </c>
      <c r="CH331" s="9" t="s">
        <v>1259</v>
      </c>
      <c r="CI331" s="9" t="s">
        <v>833</v>
      </c>
      <c r="CJ331" s="9" t="s">
        <v>6677</v>
      </c>
      <c r="CK331" s="9" t="s">
        <v>6678</v>
      </c>
      <c r="DI331" s="9" t="s">
        <v>963</v>
      </c>
      <c r="DJ331" s="9" t="s">
        <v>613</v>
      </c>
      <c r="ET331" s="9" t="s">
        <v>578</v>
      </c>
      <c r="EU331" s="9" t="s">
        <v>579</v>
      </c>
      <c r="EV331" s="9" t="s">
        <v>1262</v>
      </c>
      <c r="EX331" s="9" t="s">
        <v>6679</v>
      </c>
      <c r="EY331" s="9" t="s">
        <v>6680</v>
      </c>
      <c r="EZ331" s="9" t="s">
        <v>413</v>
      </c>
      <c r="FA331" s="9" t="s">
        <v>415</v>
      </c>
      <c r="FB331" s="9" t="s">
        <v>413</v>
      </c>
      <c r="FC331" s="9" t="s">
        <v>413</v>
      </c>
      <c r="FD331" s="9" t="s">
        <v>413</v>
      </c>
      <c r="FE331" s="9" t="s">
        <v>415</v>
      </c>
      <c r="FF331" s="9" t="s">
        <v>415</v>
      </c>
      <c r="FG331" s="9" t="s">
        <v>413</v>
      </c>
      <c r="FH331" s="9" t="s">
        <v>583</v>
      </c>
      <c r="FI331" s="9" t="s">
        <v>415</v>
      </c>
      <c r="FJ331" s="9" t="s">
        <v>415</v>
      </c>
      <c r="FK331" s="9" t="s">
        <v>415</v>
      </c>
      <c r="FL331" s="9" t="s">
        <v>415</v>
      </c>
      <c r="FM331" s="9" t="s">
        <v>415</v>
      </c>
      <c r="FN331" s="9" t="s">
        <v>415</v>
      </c>
      <c r="FO331" s="9" t="s">
        <v>417</v>
      </c>
      <c r="FP331" s="9" t="s">
        <v>418</v>
      </c>
      <c r="FQ331" s="9" t="s">
        <v>749</v>
      </c>
      <c r="FS331" s="9" t="s">
        <v>420</v>
      </c>
      <c r="FT331" s="9" t="s">
        <v>488</v>
      </c>
      <c r="FU331" s="9" t="s">
        <v>585</v>
      </c>
      <c r="FV331" s="9" t="s">
        <v>490</v>
      </c>
      <c r="FW331" s="9" t="s">
        <v>491</v>
      </c>
      <c r="FY331" s="9" t="s">
        <v>535</v>
      </c>
      <c r="FZ331" s="9" t="s">
        <v>6681</v>
      </c>
      <c r="GB331" s="9" t="s">
        <v>455</v>
      </c>
      <c r="GE331" s="9" t="s">
        <v>1420</v>
      </c>
      <c r="GJ331" s="9" t="s">
        <v>1000</v>
      </c>
      <c r="GK331" s="9" t="s">
        <v>1000</v>
      </c>
      <c r="GL331" s="9" t="s">
        <v>817</v>
      </c>
      <c r="GP331" s="9" t="s">
        <v>387</v>
      </c>
      <c r="GQ331" s="9" t="s">
        <v>4653</v>
      </c>
      <c r="GR331" s="9" t="s">
        <v>4741</v>
      </c>
      <c r="GS331" s="9" t="s">
        <v>408</v>
      </c>
      <c r="GV331" s="9" t="s">
        <v>5231</v>
      </c>
      <c r="GW331" s="9" t="s">
        <v>5232</v>
      </c>
      <c r="GX331" s="9" t="s">
        <v>5281</v>
      </c>
      <c r="GY331" s="9" t="s">
        <v>6013</v>
      </c>
      <c r="GZ331" s="9" t="s">
        <v>5234</v>
      </c>
      <c r="HA331" s="9" t="s">
        <v>484</v>
      </c>
      <c r="HB331" s="9" t="s">
        <v>5370</v>
      </c>
      <c r="HO331" s="9" t="s">
        <v>5236</v>
      </c>
      <c r="HP331" s="9" t="s">
        <v>5371</v>
      </c>
      <c r="HQ331" s="9" t="s">
        <v>5238</v>
      </c>
      <c r="HR331" s="9" t="s">
        <v>5321</v>
      </c>
      <c r="MJ331" s="9" t="s">
        <v>6321</v>
      </c>
    </row>
    <row r="332" ht="24.75" customHeight="1">
      <c r="A332" s="8">
        <v>45923.88815709491</v>
      </c>
      <c r="B332" s="9" t="s">
        <v>368</v>
      </c>
      <c r="C332" s="9" t="s">
        <v>370</v>
      </c>
      <c r="D332" s="9" t="s">
        <v>370</v>
      </c>
      <c r="E332" s="9" t="s">
        <v>667</v>
      </c>
      <c r="F332" s="9" t="s">
        <v>3082</v>
      </c>
      <c r="G332" s="9" t="s">
        <v>422</v>
      </c>
      <c r="H332" s="9" t="s">
        <v>373</v>
      </c>
      <c r="I332" s="9" t="s">
        <v>638</v>
      </c>
      <c r="J332" s="9" t="s">
        <v>425</v>
      </c>
      <c r="K332" s="9" t="s">
        <v>376</v>
      </c>
      <c r="M332" s="9" t="s">
        <v>1270</v>
      </c>
      <c r="N332" s="9" t="s">
        <v>793</v>
      </c>
      <c r="O332" s="9" t="s">
        <v>1270</v>
      </c>
      <c r="P332" s="9" t="s">
        <v>381</v>
      </c>
      <c r="Q332" s="9" t="s">
        <v>499</v>
      </c>
      <c r="R332" s="9" t="s">
        <v>500</v>
      </c>
      <c r="S332" s="9" t="s">
        <v>384</v>
      </c>
      <c r="T332" s="9" t="s">
        <v>385</v>
      </c>
      <c r="ED332" s="9" t="s">
        <v>6356</v>
      </c>
      <c r="EK332" s="9" t="s">
        <v>6682</v>
      </c>
      <c r="EL332" s="9" t="s">
        <v>6683</v>
      </c>
      <c r="EM332" s="9" t="s">
        <v>6684</v>
      </c>
      <c r="EN332" s="9" t="s">
        <v>6685</v>
      </c>
      <c r="ER332" s="9" t="s">
        <v>6686</v>
      </c>
      <c r="ET332" s="9" t="s">
        <v>526</v>
      </c>
      <c r="EU332" s="9" t="s">
        <v>887</v>
      </c>
      <c r="EV332" s="9" t="s">
        <v>527</v>
      </c>
      <c r="EW332" s="9" t="s">
        <v>6687</v>
      </c>
      <c r="GA332" s="9" t="s">
        <v>6688</v>
      </c>
      <c r="GB332" s="9" t="s">
        <v>455</v>
      </c>
      <c r="GC332" s="9"/>
      <c r="GE332" s="9" t="s">
        <v>753</v>
      </c>
      <c r="GQ332" s="9" t="s">
        <v>5015</v>
      </c>
      <c r="GV332" s="9" t="s">
        <v>5231</v>
      </c>
      <c r="GW332" s="9" t="s">
        <v>5232</v>
      </c>
      <c r="HK332" s="9" t="s">
        <v>6369</v>
      </c>
      <c r="HL332" s="9" t="s">
        <v>5734</v>
      </c>
      <c r="HM332" s="9" t="s">
        <v>5735</v>
      </c>
      <c r="HN332" s="9" t="s">
        <v>5678</v>
      </c>
      <c r="HR332" s="9" t="s">
        <v>5321</v>
      </c>
      <c r="JG332" s="9" t="s">
        <v>5680</v>
      </c>
      <c r="KD332" s="9" t="s">
        <v>5689</v>
      </c>
      <c r="KV332" s="9" t="s">
        <v>6373</v>
      </c>
      <c r="KX332" s="9" t="s">
        <v>6682</v>
      </c>
      <c r="KY332" s="9" t="s">
        <v>6689</v>
      </c>
      <c r="KZ332" s="9" t="s">
        <v>6690</v>
      </c>
      <c r="LA332" s="9" t="s">
        <v>6691</v>
      </c>
      <c r="LB332" s="9" t="s">
        <v>6692</v>
      </c>
      <c r="LC332" s="9" t="s">
        <v>6693</v>
      </c>
      <c r="LD332" s="9" t="s">
        <v>6380</v>
      </c>
      <c r="LE332" s="9" t="s">
        <v>6694</v>
      </c>
      <c r="LF332" s="9" t="s">
        <v>6695</v>
      </c>
      <c r="MJ332" s="9" t="s">
        <v>6383</v>
      </c>
    </row>
    <row r="333" ht="24.75" customHeight="1">
      <c r="A333" s="8">
        <v>45924.3610935301</v>
      </c>
      <c r="B333" s="9" t="s">
        <v>368</v>
      </c>
      <c r="C333" s="9" t="s">
        <v>370</v>
      </c>
      <c r="D333" s="9" t="s">
        <v>370</v>
      </c>
      <c r="E333" s="9" t="s">
        <v>667</v>
      </c>
      <c r="F333" s="9" t="s">
        <v>667</v>
      </c>
      <c r="G333" s="9" t="s">
        <v>422</v>
      </c>
      <c r="H333" s="9" t="s">
        <v>373</v>
      </c>
      <c r="I333" s="9" t="s">
        <v>374</v>
      </c>
      <c r="J333" s="9" t="s">
        <v>540</v>
      </c>
      <c r="K333" s="9" t="s">
        <v>376</v>
      </c>
      <c r="L333" s="9" t="s">
        <v>426</v>
      </c>
      <c r="M333" s="9" t="s">
        <v>720</v>
      </c>
      <c r="N333" s="9" t="s">
        <v>793</v>
      </c>
      <c r="O333" s="9" t="s">
        <v>6696</v>
      </c>
      <c r="P333" s="9" t="s">
        <v>381</v>
      </c>
      <c r="Q333" s="9" t="s">
        <v>382</v>
      </c>
      <c r="R333" s="9" t="s">
        <v>427</v>
      </c>
      <c r="S333" s="9" t="s">
        <v>384</v>
      </c>
      <c r="T333" s="9" t="s">
        <v>385</v>
      </c>
      <c r="W333" s="9" t="s">
        <v>386</v>
      </c>
      <c r="X333" s="9" t="s">
        <v>387</v>
      </c>
      <c r="Y333" s="9" t="s">
        <v>388</v>
      </c>
      <c r="Z333" s="9" t="s">
        <v>543</v>
      </c>
      <c r="AA333" s="9" t="s">
        <v>6697</v>
      </c>
      <c r="AV333" s="9" t="s">
        <v>597</v>
      </c>
      <c r="AW333" s="9" t="s">
        <v>391</v>
      </c>
      <c r="AX333" s="9">
        <v>2.0</v>
      </c>
      <c r="AY333" s="9" t="s">
        <v>391</v>
      </c>
      <c r="AZ333" s="9" t="s">
        <v>391</v>
      </c>
      <c r="BA333" s="9" t="s">
        <v>429</v>
      </c>
      <c r="BB333" s="9">
        <v>2.0</v>
      </c>
      <c r="BC333" s="9" t="s">
        <v>6698</v>
      </c>
      <c r="BD333" s="9" t="s">
        <v>6699</v>
      </c>
      <c r="BE333" s="9" t="s">
        <v>392</v>
      </c>
      <c r="BF333" s="9" t="s">
        <v>393</v>
      </c>
      <c r="BG333" s="9" t="s">
        <v>765</v>
      </c>
      <c r="BH333" s="9" t="s">
        <v>6700</v>
      </c>
      <c r="BI333" s="9" t="s">
        <v>727</v>
      </c>
      <c r="BK333" s="9" t="s">
        <v>437</v>
      </c>
      <c r="BL333" s="9" t="s">
        <v>603</v>
      </c>
      <c r="BM333" s="9" t="s">
        <v>549</v>
      </c>
      <c r="BN333" s="9" t="s">
        <v>513</v>
      </c>
      <c r="CL333" s="9" t="s">
        <v>550</v>
      </c>
      <c r="CM333" s="9" t="s">
        <v>604</v>
      </c>
      <c r="CN333" s="9" t="s">
        <v>6701</v>
      </c>
      <c r="CO333" s="9" t="s">
        <v>6702</v>
      </c>
      <c r="CP333" s="9" t="s">
        <v>1008</v>
      </c>
      <c r="CQ333" s="9" t="s">
        <v>6703</v>
      </c>
      <c r="CR333" s="9" t="s">
        <v>404</v>
      </c>
      <c r="CS333" s="9" t="s">
        <v>5702</v>
      </c>
      <c r="CT333" s="9" t="s">
        <v>6704</v>
      </c>
      <c r="CU333" s="9" t="s">
        <v>519</v>
      </c>
      <c r="CV333" s="9" t="s">
        <v>451</v>
      </c>
      <c r="CW333" s="9" t="s">
        <v>6705</v>
      </c>
      <c r="CX333" s="9" t="s">
        <v>408</v>
      </c>
      <c r="CZ333" s="9" t="s">
        <v>453</v>
      </c>
      <c r="DA333" s="9" t="s">
        <v>6706</v>
      </c>
      <c r="DB333" s="9" t="s">
        <v>455</v>
      </c>
      <c r="DC333" s="9" t="s">
        <v>6707</v>
      </c>
      <c r="DD333" s="9" t="s">
        <v>662</v>
      </c>
      <c r="DF333" s="9" t="s">
        <v>6708</v>
      </c>
      <c r="DG333" s="9" t="s">
        <v>776</v>
      </c>
      <c r="DH333" s="9" t="s">
        <v>410</v>
      </c>
      <c r="DI333" s="9" t="s">
        <v>459</v>
      </c>
      <c r="DJ333" s="9" t="s">
        <v>562</v>
      </c>
      <c r="DK333" s="9" t="s">
        <v>6335</v>
      </c>
      <c r="ET333" s="9" t="s">
        <v>526</v>
      </c>
      <c r="EU333" s="9" t="s">
        <v>479</v>
      </c>
      <c r="EV333" s="9" t="s">
        <v>480</v>
      </c>
      <c r="EW333" s="9" t="s">
        <v>6709</v>
      </c>
      <c r="EX333" s="9" t="s">
        <v>6710</v>
      </c>
      <c r="EY333" s="9" t="s">
        <v>6711</v>
      </c>
      <c r="EZ333" s="9" t="s">
        <v>583</v>
      </c>
      <c r="FA333" s="9" t="s">
        <v>583</v>
      </c>
      <c r="FB333" s="9" t="s">
        <v>414</v>
      </c>
      <c r="FC333" s="9" t="s">
        <v>583</v>
      </c>
      <c r="FD333" s="9" t="s">
        <v>416</v>
      </c>
      <c r="FE333" s="9" t="s">
        <v>583</v>
      </c>
      <c r="FF333" s="9" t="s">
        <v>484</v>
      </c>
      <c r="FG333" s="9" t="s">
        <v>413</v>
      </c>
      <c r="FH333" s="9" t="s">
        <v>583</v>
      </c>
      <c r="FI333" s="9" t="s">
        <v>583</v>
      </c>
      <c r="FJ333" s="9" t="s">
        <v>583</v>
      </c>
      <c r="FK333" s="9" t="s">
        <v>583</v>
      </c>
      <c r="FL333" s="9" t="s">
        <v>583</v>
      </c>
      <c r="FM333" s="9" t="s">
        <v>484</v>
      </c>
      <c r="FN333" s="9" t="s">
        <v>484</v>
      </c>
      <c r="FO333" s="9" t="s">
        <v>850</v>
      </c>
      <c r="FP333" s="9" t="s">
        <v>418</v>
      </c>
      <c r="FQ333" s="9" t="s">
        <v>419</v>
      </c>
      <c r="FR333" s="9" t="s">
        <v>6712</v>
      </c>
      <c r="FS333" s="9" t="s">
        <v>420</v>
      </c>
      <c r="FT333" s="9" t="s">
        <v>488</v>
      </c>
      <c r="FU333" s="9" t="s">
        <v>533</v>
      </c>
      <c r="FV333" s="9" t="s">
        <v>490</v>
      </c>
      <c r="FW333" s="9" t="s">
        <v>491</v>
      </c>
      <c r="FX333" s="9" t="s">
        <v>6713</v>
      </c>
      <c r="FY333" s="9" t="s">
        <v>1020</v>
      </c>
      <c r="GA333" s="9" t="s">
        <v>6714</v>
      </c>
      <c r="GB333" s="9" t="s">
        <v>455</v>
      </c>
      <c r="GC333" s="9"/>
      <c r="GE333" s="9" t="s">
        <v>753</v>
      </c>
      <c r="GG333" s="9" t="s">
        <v>789</v>
      </c>
      <c r="GH333" s="9" t="s">
        <v>857</v>
      </c>
      <c r="GI333" s="9" t="s">
        <v>790</v>
      </c>
      <c r="GQ333" s="9" t="s">
        <v>3208</v>
      </c>
      <c r="GU333" s="9" t="s">
        <v>6170</v>
      </c>
      <c r="GV333" s="9" t="s">
        <v>5231</v>
      </c>
      <c r="GW333" s="9" t="s">
        <v>484</v>
      </c>
      <c r="HC333" s="9" t="s">
        <v>5297</v>
      </c>
      <c r="HD333" s="9" t="s">
        <v>5282</v>
      </c>
      <c r="HE333" s="9" t="s">
        <v>5320</v>
      </c>
      <c r="HF333" s="9" t="s">
        <v>5284</v>
      </c>
      <c r="HO333" s="9" t="s">
        <v>5236</v>
      </c>
      <c r="HP333" s="9" t="s">
        <v>5719</v>
      </c>
      <c r="HQ333" s="9" t="s">
        <v>5801</v>
      </c>
      <c r="HR333" s="9" t="s">
        <v>5321</v>
      </c>
      <c r="HW333" s="9" t="s">
        <v>6715</v>
      </c>
      <c r="MJ333" s="9" t="s">
        <v>6321</v>
      </c>
    </row>
    <row r="334" ht="24.75" customHeight="1">
      <c r="A334" s="8">
        <v>45924.626566273146</v>
      </c>
      <c r="B334" s="9" t="s">
        <v>368</v>
      </c>
      <c r="C334" s="9" t="s">
        <v>370</v>
      </c>
      <c r="D334" s="9" t="s">
        <v>370</v>
      </c>
      <c r="E334" s="9" t="s">
        <v>6716</v>
      </c>
      <c r="F334" s="9" t="s">
        <v>1421</v>
      </c>
      <c r="G334" s="9" t="s">
        <v>2295</v>
      </c>
      <c r="H334" s="9" t="s">
        <v>373</v>
      </c>
      <c r="I334" s="9" t="s">
        <v>374</v>
      </c>
      <c r="J334" s="9" t="s">
        <v>425</v>
      </c>
      <c r="K334" s="9" t="s">
        <v>376</v>
      </c>
      <c r="L334" s="9" t="s">
        <v>426</v>
      </c>
      <c r="M334" s="9" t="s">
        <v>720</v>
      </c>
      <c r="N334" s="9" t="s">
        <v>426</v>
      </c>
      <c r="O334" s="9" t="s">
        <v>380</v>
      </c>
      <c r="P334" s="9" t="s">
        <v>498</v>
      </c>
      <c r="Q334" s="9" t="s">
        <v>382</v>
      </c>
      <c r="R334" s="9" t="s">
        <v>949</v>
      </c>
      <c r="S334" s="9" t="s">
        <v>384</v>
      </c>
      <c r="T334" s="9" t="s">
        <v>385</v>
      </c>
      <c r="W334" s="9" t="s">
        <v>3231</v>
      </c>
      <c r="AV334" s="9" t="s">
        <v>1310</v>
      </c>
      <c r="AW334" s="9">
        <v>4.0</v>
      </c>
      <c r="AX334" s="9">
        <v>4.0</v>
      </c>
      <c r="AY334" s="9" t="s">
        <v>391</v>
      </c>
      <c r="AZ334" s="9">
        <v>2.0</v>
      </c>
      <c r="BA334" s="9" t="s">
        <v>391</v>
      </c>
      <c r="BB334" s="9" t="s">
        <v>391</v>
      </c>
      <c r="BC334" s="9" t="s">
        <v>6717</v>
      </c>
      <c r="BD334" s="9" t="s">
        <v>6718</v>
      </c>
      <c r="BE334" s="9" t="s">
        <v>902</v>
      </c>
      <c r="BF334" s="9" t="s">
        <v>393</v>
      </c>
      <c r="BG334" s="9" t="s">
        <v>678</v>
      </c>
      <c r="BH334" s="9" t="s">
        <v>6719</v>
      </c>
      <c r="BI334" s="9" t="s">
        <v>509</v>
      </c>
      <c r="BJ334" s="9" t="s">
        <v>6720</v>
      </c>
      <c r="BK334" s="9" t="s">
        <v>602</v>
      </c>
      <c r="BL334" s="9" t="s">
        <v>438</v>
      </c>
      <c r="BM334" s="9" t="s">
        <v>1247</v>
      </c>
      <c r="BN334" s="9" t="s">
        <v>440</v>
      </c>
      <c r="DI334" s="9" t="s">
        <v>777</v>
      </c>
      <c r="DJ334" s="9" t="s">
        <v>460</v>
      </c>
      <c r="DK334" s="9" t="s">
        <v>6335</v>
      </c>
      <c r="DM334" s="9" t="s">
        <v>3494</v>
      </c>
      <c r="DN334" s="9" t="s">
        <v>6721</v>
      </c>
      <c r="DO334" s="9" t="s">
        <v>567</v>
      </c>
      <c r="DP334" s="9" t="s">
        <v>6722</v>
      </c>
      <c r="DQ334" s="9" t="s">
        <v>1291</v>
      </c>
      <c r="DR334" s="9" t="s">
        <v>6723</v>
      </c>
      <c r="DS334" s="9" t="s">
        <v>702</v>
      </c>
      <c r="DT334" s="9" t="s">
        <v>570</v>
      </c>
      <c r="DU334" s="9" t="s">
        <v>6724</v>
      </c>
      <c r="DV334" s="9" t="s">
        <v>6725</v>
      </c>
      <c r="DW334" s="9" t="s">
        <v>622</v>
      </c>
      <c r="DX334" s="9" t="s">
        <v>6726</v>
      </c>
      <c r="DY334" s="9" t="s">
        <v>6727</v>
      </c>
      <c r="DZ334" s="9" t="s">
        <v>6728</v>
      </c>
      <c r="EA334" s="9" t="s">
        <v>475</v>
      </c>
      <c r="EB334" s="9" t="s">
        <v>845</v>
      </c>
      <c r="EC334" s="9" t="s">
        <v>6729</v>
      </c>
      <c r="ET334" s="9" t="s">
        <v>526</v>
      </c>
      <c r="EU334" s="9" t="s">
        <v>479</v>
      </c>
      <c r="EV334" s="9" t="s">
        <v>527</v>
      </c>
      <c r="EW334" s="9" t="s">
        <v>6730</v>
      </c>
      <c r="EX334" s="9" t="s">
        <v>5339</v>
      </c>
      <c r="EY334" s="9" t="s">
        <v>6731</v>
      </c>
      <c r="EZ334" s="9" t="s">
        <v>415</v>
      </c>
      <c r="FA334" s="9" t="s">
        <v>415</v>
      </c>
      <c r="FB334" s="9" t="s">
        <v>413</v>
      </c>
      <c r="FC334" s="9" t="s">
        <v>413</v>
      </c>
      <c r="FD334" s="9" t="s">
        <v>413</v>
      </c>
      <c r="FE334" s="9" t="s">
        <v>414</v>
      </c>
      <c r="FF334" s="9" t="s">
        <v>416</v>
      </c>
      <c r="FG334" s="9" t="s">
        <v>416</v>
      </c>
      <c r="FH334" s="9" t="s">
        <v>583</v>
      </c>
      <c r="FI334" s="9" t="s">
        <v>583</v>
      </c>
      <c r="FJ334" s="9" t="s">
        <v>415</v>
      </c>
      <c r="FK334" s="9" t="s">
        <v>415</v>
      </c>
      <c r="FL334" s="9" t="s">
        <v>415</v>
      </c>
      <c r="FM334" s="9" t="s">
        <v>416</v>
      </c>
      <c r="FN334" s="9" t="s">
        <v>414</v>
      </c>
      <c r="FO334" s="9" t="s">
        <v>850</v>
      </c>
      <c r="FP334" s="9" t="s">
        <v>418</v>
      </c>
      <c r="FQ334" s="9" t="s">
        <v>749</v>
      </c>
      <c r="FR334" s="9" t="s">
        <v>6732</v>
      </c>
      <c r="FS334" s="9" t="s">
        <v>420</v>
      </c>
      <c r="FT334" s="9" t="s">
        <v>488</v>
      </c>
      <c r="FU334" s="9" t="s">
        <v>533</v>
      </c>
      <c r="FV334" s="9" t="s">
        <v>490</v>
      </c>
      <c r="FW334" s="9" t="s">
        <v>491</v>
      </c>
      <c r="FX334" s="9" t="s">
        <v>6733</v>
      </c>
      <c r="FY334" s="9" t="s">
        <v>493</v>
      </c>
      <c r="FZ334" s="9" t="s">
        <v>6734</v>
      </c>
      <c r="GB334" s="9" t="s">
        <v>455</v>
      </c>
      <c r="GC334" s="9"/>
      <c r="GD334" s="9"/>
      <c r="GE334" s="9" t="s">
        <v>1339</v>
      </c>
      <c r="GF334" s="9" t="s">
        <v>6735</v>
      </c>
      <c r="GM334" s="9" t="s">
        <v>6629</v>
      </c>
      <c r="GP334" s="9" t="s">
        <v>387</v>
      </c>
      <c r="GQ334" s="9" t="s">
        <v>6736</v>
      </c>
      <c r="GV334" s="9" t="s">
        <v>5231</v>
      </c>
      <c r="GW334" s="9" t="s">
        <v>5232</v>
      </c>
      <c r="HG334" s="9" t="s">
        <v>6737</v>
      </c>
      <c r="HH334" s="9" t="s">
        <v>6242</v>
      </c>
      <c r="HI334" s="9" t="s">
        <v>6738</v>
      </c>
      <c r="HJ334" s="9" t="s">
        <v>6739</v>
      </c>
      <c r="HO334" s="9" t="s">
        <v>5236</v>
      </c>
      <c r="HP334" s="9" t="s">
        <v>5237</v>
      </c>
      <c r="HQ334" s="9" t="s">
        <v>5238</v>
      </c>
      <c r="HR334" s="9" t="s">
        <v>5321</v>
      </c>
      <c r="IN334" s="9" t="s">
        <v>5500</v>
      </c>
      <c r="IO334" s="9" t="s">
        <v>5500</v>
      </c>
      <c r="IP334" s="9" t="s">
        <v>5500</v>
      </c>
      <c r="IQ334" s="9" t="s">
        <v>5500</v>
      </c>
      <c r="IR334" s="9" t="s">
        <v>5500</v>
      </c>
      <c r="IS334" s="9" t="s">
        <v>5500</v>
      </c>
      <c r="MJ334" s="9" t="s">
        <v>6321</v>
      </c>
    </row>
    <row r="335" ht="22.5" customHeight="1">
      <c r="A335" s="8">
        <v>45926.09634458333</v>
      </c>
      <c r="B335" s="9" t="s">
        <v>368</v>
      </c>
      <c r="C335" s="9" t="s">
        <v>894</v>
      </c>
      <c r="D335" s="9" t="s">
        <v>894</v>
      </c>
      <c r="G335" s="9" t="s">
        <v>2295</v>
      </c>
      <c r="H335" s="9" t="s">
        <v>637</v>
      </c>
      <c r="I335" s="9" t="s">
        <v>638</v>
      </c>
      <c r="J335" s="9" t="s">
        <v>425</v>
      </c>
      <c r="K335" s="9" t="s">
        <v>376</v>
      </c>
      <c r="L335" s="9" t="s">
        <v>1526</v>
      </c>
      <c r="M335" s="9" t="s">
        <v>2464</v>
      </c>
      <c r="N335" s="9" t="s">
        <v>1526</v>
      </c>
      <c r="O335" s="9" t="s">
        <v>6740</v>
      </c>
      <c r="P335" s="9" t="s">
        <v>381</v>
      </c>
      <c r="Q335" s="9" t="s">
        <v>818</v>
      </c>
      <c r="R335" s="9" t="s">
        <v>500</v>
      </c>
      <c r="S335" s="9" t="s">
        <v>6741</v>
      </c>
      <c r="T335" s="9" t="s">
        <v>385</v>
      </c>
      <c r="U335" s="9" t="s">
        <v>1045</v>
      </c>
      <c r="V335" s="9" t="s">
        <v>1045</v>
      </c>
      <c r="W335" s="9" t="s">
        <v>593</v>
      </c>
      <c r="X335" s="9" t="s">
        <v>387</v>
      </c>
      <c r="Y335" s="9" t="s">
        <v>2115</v>
      </c>
      <c r="AA335" s="9" t="s">
        <v>6742</v>
      </c>
      <c r="AB335" s="9" t="s">
        <v>6743</v>
      </c>
      <c r="AV335" s="9" t="s">
        <v>390</v>
      </c>
      <c r="AW335" s="9">
        <v>2.0</v>
      </c>
      <c r="AX335" s="9" t="s">
        <v>429</v>
      </c>
      <c r="AY335" s="9" t="s">
        <v>429</v>
      </c>
      <c r="BA335" s="9" t="s">
        <v>429</v>
      </c>
      <c r="BB335" s="9" t="s">
        <v>429</v>
      </c>
      <c r="BC335" s="9" t="s">
        <v>6744</v>
      </c>
      <c r="BD335" s="9" t="s">
        <v>6745</v>
      </c>
      <c r="BE335" s="9" t="s">
        <v>1094</v>
      </c>
      <c r="BF335" s="9" t="s">
        <v>433</v>
      </c>
      <c r="BG335" s="9" t="s">
        <v>434</v>
      </c>
      <c r="BH335" s="9" t="s">
        <v>6746</v>
      </c>
      <c r="BI335" s="9" t="s">
        <v>435</v>
      </c>
      <c r="BK335" s="9" t="s">
        <v>511</v>
      </c>
      <c r="BL335" s="9" t="s">
        <v>396</v>
      </c>
      <c r="BM335" s="9" t="s">
        <v>439</v>
      </c>
      <c r="BN335" s="9" t="s">
        <v>513</v>
      </c>
      <c r="CL335" s="9" t="s">
        <v>441</v>
      </c>
      <c r="CM335" s="9" t="s">
        <v>401</v>
      </c>
      <c r="CN335" s="9" t="s">
        <v>6747</v>
      </c>
      <c r="CO335" s="9" t="s">
        <v>6748</v>
      </c>
      <c r="CP335" s="9" t="s">
        <v>1008</v>
      </c>
      <c r="CQ335" s="9" t="s">
        <v>6749</v>
      </c>
      <c r="CR335" s="9" t="s">
        <v>447</v>
      </c>
      <c r="CS335" s="9" t="s">
        <v>6750</v>
      </c>
      <c r="CT335" s="9" t="s">
        <v>6751</v>
      </c>
      <c r="CU335" s="9" t="s">
        <v>450</v>
      </c>
      <c r="CV335" s="9" t="s">
        <v>451</v>
      </c>
      <c r="CW335" s="9" t="s">
        <v>6752</v>
      </c>
      <c r="CX335" s="9" t="s">
        <v>733</v>
      </c>
      <c r="CZ335" s="9" t="s">
        <v>453</v>
      </c>
      <c r="DA335" s="9" t="s">
        <v>6753</v>
      </c>
      <c r="DB335" s="9" t="s">
        <v>913</v>
      </c>
      <c r="DD335" s="9" t="s">
        <v>457</v>
      </c>
      <c r="DG335" s="9" t="s">
        <v>776</v>
      </c>
      <c r="DH335" s="9" t="s">
        <v>410</v>
      </c>
      <c r="DI335" s="9" t="s">
        <v>459</v>
      </c>
      <c r="DJ335" s="9" t="s">
        <v>1403</v>
      </c>
      <c r="DK335" s="9" t="s">
        <v>6603</v>
      </c>
      <c r="DL335" s="9" t="s">
        <v>6754</v>
      </c>
      <c r="ET335" s="9" t="s">
        <v>526</v>
      </c>
      <c r="EU335" s="9" t="s">
        <v>1037</v>
      </c>
      <c r="EV335" s="9" t="s">
        <v>527</v>
      </c>
      <c r="EX335" s="9" t="s">
        <v>6755</v>
      </c>
      <c r="EZ335" s="9" t="s">
        <v>414</v>
      </c>
      <c r="FA335" s="9" t="s">
        <v>414</v>
      </c>
      <c r="FB335" s="9" t="s">
        <v>415</v>
      </c>
      <c r="FC335" s="9" t="s">
        <v>414</v>
      </c>
      <c r="FD335" s="9" t="s">
        <v>415</v>
      </c>
      <c r="FE335" s="9" t="s">
        <v>414</v>
      </c>
      <c r="FF335" s="9" t="s">
        <v>415</v>
      </c>
      <c r="FG335" s="9" t="s">
        <v>415</v>
      </c>
      <c r="FH335" s="9" t="s">
        <v>583</v>
      </c>
      <c r="FI335" s="9" t="s">
        <v>414</v>
      </c>
      <c r="FJ335" s="9" t="s">
        <v>583</v>
      </c>
      <c r="FK335" s="9" t="s">
        <v>484</v>
      </c>
      <c r="FL335" s="9" t="s">
        <v>484</v>
      </c>
      <c r="FM335" s="9" t="s">
        <v>484</v>
      </c>
      <c r="FN335" s="9" t="s">
        <v>484</v>
      </c>
      <c r="FO335" s="9" t="s">
        <v>417</v>
      </c>
      <c r="FP335" s="9" t="s">
        <v>418</v>
      </c>
      <c r="FQ335" s="9" t="s">
        <v>712</v>
      </c>
      <c r="FS335" s="9" t="s">
        <v>420</v>
      </c>
      <c r="FT335" s="9" t="s">
        <v>488</v>
      </c>
      <c r="FU335" s="9" t="s">
        <v>918</v>
      </c>
      <c r="FV335" s="9" t="s">
        <v>1101</v>
      </c>
      <c r="FW335" s="9" t="s">
        <v>491</v>
      </c>
      <c r="FX335" s="9" t="s">
        <v>6756</v>
      </c>
      <c r="FY335" s="9" t="s">
        <v>535</v>
      </c>
      <c r="FZ335" s="9" t="s">
        <v>6757</v>
      </c>
      <c r="GB335" s="9" t="s">
        <v>455</v>
      </c>
      <c r="GC335" s="9"/>
      <c r="GD335" s="9"/>
      <c r="GE335" s="9" t="s">
        <v>753</v>
      </c>
      <c r="GF335" s="9" t="s">
        <v>6758</v>
      </c>
      <c r="GG335" s="9" t="s">
        <v>920</v>
      </c>
      <c r="GH335" s="9" t="s">
        <v>755</v>
      </c>
      <c r="GI335" s="9" t="s">
        <v>946</v>
      </c>
      <c r="GQ335" s="9" t="s">
        <v>3208</v>
      </c>
      <c r="GT335" s="9" t="s">
        <v>4774</v>
      </c>
      <c r="GV335" s="9" t="s">
        <v>5231</v>
      </c>
      <c r="GW335" s="9" t="s">
        <v>484</v>
      </c>
      <c r="HC335" s="9" t="s">
        <v>6053</v>
      </c>
      <c r="HD335" s="9" t="s">
        <v>5349</v>
      </c>
      <c r="HE335" s="9" t="s">
        <v>5320</v>
      </c>
      <c r="HF335" s="9" t="s">
        <v>5300</v>
      </c>
      <c r="HO335" s="9" t="s">
        <v>5301</v>
      </c>
      <c r="HP335" s="9" t="s">
        <v>5237</v>
      </c>
      <c r="HQ335" s="9" t="s">
        <v>5238</v>
      </c>
      <c r="HR335" s="9" t="s">
        <v>6759</v>
      </c>
      <c r="HW335" s="9" t="s">
        <v>6760</v>
      </c>
      <c r="MJ335" s="9" t="s">
        <v>6321</v>
      </c>
    </row>
    <row r="336" ht="22.5" customHeight="1">
      <c r="A336" s="8">
        <v>45926.12340616898</v>
      </c>
      <c r="B336" s="9" t="s">
        <v>368</v>
      </c>
      <c r="C336" s="9" t="s">
        <v>370</v>
      </c>
      <c r="D336" s="9" t="s">
        <v>370</v>
      </c>
      <c r="E336" s="9" t="s">
        <v>2400</v>
      </c>
      <c r="F336" s="9" t="s">
        <v>2400</v>
      </c>
      <c r="G336" s="9" t="s">
        <v>422</v>
      </c>
      <c r="H336" s="9" t="s">
        <v>423</v>
      </c>
      <c r="I336" s="9" t="s">
        <v>668</v>
      </c>
      <c r="J336" s="9" t="s">
        <v>590</v>
      </c>
      <c r="K336" s="9" t="s">
        <v>376</v>
      </c>
      <c r="L336" s="9" t="s">
        <v>379</v>
      </c>
      <c r="M336" s="9" t="s">
        <v>6761</v>
      </c>
      <c r="N336" s="9" t="s">
        <v>379</v>
      </c>
      <c r="O336" s="9" t="s">
        <v>6762</v>
      </c>
      <c r="P336" s="9" t="s">
        <v>381</v>
      </c>
      <c r="Q336" s="9" t="s">
        <v>1156</v>
      </c>
      <c r="R336" s="9" t="s">
        <v>427</v>
      </c>
      <c r="S336" s="9" t="s">
        <v>384</v>
      </c>
      <c r="T336" s="9" t="s">
        <v>385</v>
      </c>
      <c r="W336" s="9" t="s">
        <v>593</v>
      </c>
      <c r="X336" s="9" t="s">
        <v>387</v>
      </c>
      <c r="Y336" s="9" t="s">
        <v>1157</v>
      </c>
      <c r="Z336" s="9" t="s">
        <v>502</v>
      </c>
      <c r="AA336" s="9" t="s">
        <v>408</v>
      </c>
      <c r="AV336" s="9" t="s">
        <v>597</v>
      </c>
      <c r="AW336" s="9" t="s">
        <v>675</v>
      </c>
      <c r="AX336" s="9" t="s">
        <v>391</v>
      </c>
      <c r="AY336" s="9" t="s">
        <v>429</v>
      </c>
      <c r="AZ336" s="9">
        <v>2.0</v>
      </c>
      <c r="BA336" s="9">
        <v>4.0</v>
      </c>
      <c r="BB336" s="9">
        <v>4.0</v>
      </c>
      <c r="BC336" s="9" t="s">
        <v>6763</v>
      </c>
      <c r="BD336" s="9" t="s">
        <v>6764</v>
      </c>
      <c r="BE336" s="9" t="s">
        <v>3114</v>
      </c>
      <c r="BF336" s="9" t="s">
        <v>1095</v>
      </c>
      <c r="BG336" s="9" t="s">
        <v>678</v>
      </c>
      <c r="BH336" s="9" t="s">
        <v>6765</v>
      </c>
      <c r="BI336" s="9" t="s">
        <v>435</v>
      </c>
      <c r="BK336" s="9" t="s">
        <v>681</v>
      </c>
      <c r="BL336" s="9" t="s">
        <v>603</v>
      </c>
      <c r="BM336" s="9" t="s">
        <v>549</v>
      </c>
      <c r="BN336" s="9" t="s">
        <v>513</v>
      </c>
      <c r="CL336" s="9" t="s">
        <v>441</v>
      </c>
      <c r="CM336" s="9" t="s">
        <v>401</v>
      </c>
      <c r="CN336" s="9" t="s">
        <v>6766</v>
      </c>
      <c r="CO336" s="9" t="s">
        <v>6767</v>
      </c>
      <c r="CP336" s="9" t="s">
        <v>445</v>
      </c>
      <c r="CQ336" s="9" t="s">
        <v>3090</v>
      </c>
      <c r="CR336" s="9" t="s">
        <v>804</v>
      </c>
      <c r="CS336" s="9" t="s">
        <v>1569</v>
      </c>
      <c r="CT336" s="9" t="s">
        <v>6768</v>
      </c>
      <c r="CU336" s="9" t="s">
        <v>1961</v>
      </c>
      <c r="CV336" s="9" t="s">
        <v>1931</v>
      </c>
      <c r="CW336" s="9" t="s">
        <v>6769</v>
      </c>
      <c r="CX336" s="9" t="s">
        <v>408</v>
      </c>
      <c r="CZ336" s="9" t="s">
        <v>1962</v>
      </c>
      <c r="DB336" s="9" t="s">
        <v>408</v>
      </c>
      <c r="DD336" s="9" t="s">
        <v>406</v>
      </c>
      <c r="DE336" s="9" t="s">
        <v>1058</v>
      </c>
      <c r="DF336" s="9" t="s">
        <v>6770</v>
      </c>
      <c r="DG336" s="9" t="s">
        <v>990</v>
      </c>
      <c r="DH336" s="9" t="s">
        <v>694</v>
      </c>
      <c r="DI336" s="9" t="s">
        <v>459</v>
      </c>
      <c r="DJ336" s="9" t="s">
        <v>613</v>
      </c>
      <c r="ET336" s="9" t="s">
        <v>2747</v>
      </c>
      <c r="EU336" s="9" t="s">
        <v>479</v>
      </c>
      <c r="EV336" s="9" t="s">
        <v>480</v>
      </c>
      <c r="EX336" s="9" t="s">
        <v>6771</v>
      </c>
      <c r="EY336" s="9" t="s">
        <v>6772</v>
      </c>
      <c r="FO336" s="9" t="s">
        <v>1074</v>
      </c>
      <c r="FP336" s="9" t="s">
        <v>2524</v>
      </c>
      <c r="FQ336" s="9" t="s">
        <v>630</v>
      </c>
      <c r="FS336" s="9" t="s">
        <v>1871</v>
      </c>
      <c r="FT336" s="9" t="s">
        <v>2750</v>
      </c>
      <c r="FU336" s="9" t="s">
        <v>533</v>
      </c>
      <c r="FV336" s="9" t="s">
        <v>2399</v>
      </c>
      <c r="FW336" s="9" t="s">
        <v>1853</v>
      </c>
      <c r="FY336" s="9" t="s">
        <v>1854</v>
      </c>
      <c r="GA336" s="9" t="s">
        <v>2675</v>
      </c>
      <c r="GB336" s="9" t="s">
        <v>408</v>
      </c>
      <c r="GG336" s="9" t="s">
        <v>857</v>
      </c>
      <c r="GH336" s="9" t="s">
        <v>857</v>
      </c>
      <c r="GI336" s="9" t="s">
        <v>921</v>
      </c>
      <c r="GQ336" s="9" t="s">
        <v>3208</v>
      </c>
      <c r="GT336" s="9" t="s">
        <v>4774</v>
      </c>
      <c r="GV336" s="9" t="s">
        <v>5231</v>
      </c>
      <c r="GW336" s="9" t="s">
        <v>5232</v>
      </c>
      <c r="HC336" s="9" t="s">
        <v>5297</v>
      </c>
      <c r="HD336" s="9" t="s">
        <v>5282</v>
      </c>
      <c r="HE336" s="9" t="s">
        <v>5718</v>
      </c>
      <c r="HF336" s="9" t="s">
        <v>5284</v>
      </c>
      <c r="HO336" s="9" t="s">
        <v>5236</v>
      </c>
      <c r="HP336" s="9" t="s">
        <v>5302</v>
      </c>
      <c r="HQ336" s="9" t="s">
        <v>5721</v>
      </c>
      <c r="HR336" s="9" t="s">
        <v>5239</v>
      </c>
      <c r="HW336" s="9" t="s">
        <v>5628</v>
      </c>
      <c r="MJ336" s="9" t="s">
        <v>6321</v>
      </c>
    </row>
    <row r="337" ht="22.5" customHeight="1">
      <c r="A337" s="8">
        <v>45927.602613229166</v>
      </c>
      <c r="B337" s="9" t="s">
        <v>368</v>
      </c>
      <c r="C337" s="9" t="s">
        <v>1341</v>
      </c>
      <c r="D337" s="9" t="s">
        <v>1341</v>
      </c>
      <c r="G337" s="9" t="s">
        <v>422</v>
      </c>
      <c r="H337" s="9" t="s">
        <v>1921</v>
      </c>
      <c r="I337" s="9" t="s">
        <v>668</v>
      </c>
      <c r="J337" s="9" t="s">
        <v>375</v>
      </c>
      <c r="K337" s="9" t="s">
        <v>1784</v>
      </c>
      <c r="L337" s="9" t="s">
        <v>377</v>
      </c>
      <c r="M337" s="9" t="s">
        <v>378</v>
      </c>
      <c r="O337" s="9" t="s">
        <v>497</v>
      </c>
      <c r="P337" s="9" t="s">
        <v>381</v>
      </c>
      <c r="Q337" s="9" t="s">
        <v>1156</v>
      </c>
      <c r="R337" s="9" t="s">
        <v>427</v>
      </c>
      <c r="S337" s="9" t="s">
        <v>384</v>
      </c>
      <c r="T337" s="9" t="s">
        <v>385</v>
      </c>
      <c r="W337" s="9" t="s">
        <v>593</v>
      </c>
      <c r="X337" s="9" t="s">
        <v>387</v>
      </c>
      <c r="Y337" s="9" t="s">
        <v>388</v>
      </c>
      <c r="Z337" s="9" t="s">
        <v>502</v>
      </c>
      <c r="AA337" s="9" t="s">
        <v>6773</v>
      </c>
      <c r="AV337" s="9" t="s">
        <v>597</v>
      </c>
      <c r="AW337" s="9" t="s">
        <v>391</v>
      </c>
      <c r="AX337" s="9">
        <v>4.0</v>
      </c>
      <c r="AY337" s="9">
        <v>4.0</v>
      </c>
      <c r="AZ337" s="9">
        <v>2.0</v>
      </c>
      <c r="BA337" s="9" t="s">
        <v>429</v>
      </c>
      <c r="BB337" s="9" t="s">
        <v>391</v>
      </c>
      <c r="BC337" s="9" t="s">
        <v>6774</v>
      </c>
      <c r="BD337" s="9" t="s">
        <v>6775</v>
      </c>
      <c r="BE337" s="9" t="s">
        <v>432</v>
      </c>
      <c r="BF337" s="9" t="s">
        <v>433</v>
      </c>
      <c r="BG337" s="9" t="s">
        <v>678</v>
      </c>
      <c r="BI337" s="9" t="s">
        <v>509</v>
      </c>
      <c r="BK337" s="9" t="s">
        <v>511</v>
      </c>
      <c r="BL337" s="9" t="s">
        <v>512</v>
      </c>
      <c r="BM337" s="9" t="s">
        <v>397</v>
      </c>
      <c r="BN337" s="9" t="s">
        <v>513</v>
      </c>
      <c r="CL337" s="9" t="s">
        <v>550</v>
      </c>
      <c r="CM337" s="9" t="s">
        <v>604</v>
      </c>
      <c r="CN337" s="9" t="s">
        <v>6776</v>
      </c>
      <c r="CO337" s="9" t="s">
        <v>6777</v>
      </c>
      <c r="CP337" s="9" t="s">
        <v>1008</v>
      </c>
      <c r="CQ337" s="9" t="s">
        <v>6778</v>
      </c>
      <c r="CR337" s="9" t="s">
        <v>404</v>
      </c>
      <c r="CS337" s="9" t="s">
        <v>6779</v>
      </c>
      <c r="CT337" s="9" t="s">
        <v>6780</v>
      </c>
      <c r="CU337" s="9" t="s">
        <v>450</v>
      </c>
      <c r="CV337" s="9" t="s">
        <v>451</v>
      </c>
      <c r="CW337" s="9" t="s">
        <v>6781</v>
      </c>
      <c r="CX337" s="9" t="s">
        <v>455</v>
      </c>
      <c r="CY337" s="9" t="s">
        <v>6782</v>
      </c>
      <c r="CZ337" s="9" t="s">
        <v>453</v>
      </c>
      <c r="DA337" s="9" t="s">
        <v>6783</v>
      </c>
      <c r="DB337" s="9" t="s">
        <v>455</v>
      </c>
      <c r="DD337" s="9" t="s">
        <v>662</v>
      </c>
      <c r="DF337" s="9" t="s">
        <v>6784</v>
      </c>
      <c r="DG337" s="9" t="s">
        <v>693</v>
      </c>
      <c r="DH337" s="9" t="s">
        <v>410</v>
      </c>
      <c r="DI337" s="9" t="s">
        <v>459</v>
      </c>
      <c r="DJ337" s="9" t="s">
        <v>1148</v>
      </c>
      <c r="DK337" s="9" t="s">
        <v>6335</v>
      </c>
      <c r="ET337" s="9" t="s">
        <v>578</v>
      </c>
      <c r="EU337" s="9" t="s">
        <v>579</v>
      </c>
      <c r="EV337" s="9" t="s">
        <v>580</v>
      </c>
      <c r="EX337" s="9" t="s">
        <v>6785</v>
      </c>
      <c r="EY337" s="9" t="s">
        <v>6786</v>
      </c>
      <c r="EZ337" s="9" t="s">
        <v>415</v>
      </c>
      <c r="FA337" s="9" t="s">
        <v>583</v>
      </c>
      <c r="FB337" s="9" t="s">
        <v>413</v>
      </c>
      <c r="FC337" s="9" t="s">
        <v>413</v>
      </c>
      <c r="FD337" s="9" t="s">
        <v>413</v>
      </c>
      <c r="FE337" s="9" t="s">
        <v>415</v>
      </c>
      <c r="FF337" s="9" t="s">
        <v>413</v>
      </c>
      <c r="FG337" s="9" t="s">
        <v>413</v>
      </c>
      <c r="FH337" s="9" t="s">
        <v>413</v>
      </c>
      <c r="FI337" s="9" t="s">
        <v>413</v>
      </c>
      <c r="FJ337" s="9" t="s">
        <v>416</v>
      </c>
      <c r="FK337" s="9" t="s">
        <v>415</v>
      </c>
      <c r="FL337" s="9" t="s">
        <v>415</v>
      </c>
      <c r="FM337" s="9" t="s">
        <v>415</v>
      </c>
      <c r="FN337" s="9" t="s">
        <v>414</v>
      </c>
      <c r="FO337" s="9" t="s">
        <v>850</v>
      </c>
      <c r="FP337" s="9" t="s">
        <v>486</v>
      </c>
      <c r="FQ337" s="9" t="s">
        <v>531</v>
      </c>
      <c r="FR337" s="9" t="s">
        <v>6787</v>
      </c>
      <c r="FS337" s="9" t="s">
        <v>420</v>
      </c>
      <c r="FT337" s="9" t="s">
        <v>488</v>
      </c>
      <c r="FU337" s="9" t="s">
        <v>1235</v>
      </c>
      <c r="FV337" s="9" t="s">
        <v>490</v>
      </c>
      <c r="FW337" s="9" t="s">
        <v>491</v>
      </c>
      <c r="FY337" s="9" t="s">
        <v>535</v>
      </c>
      <c r="GB337" s="9" t="s">
        <v>408</v>
      </c>
      <c r="GG337" s="9" t="s">
        <v>755</v>
      </c>
      <c r="GH337" s="9" t="s">
        <v>755</v>
      </c>
      <c r="GI337" s="9" t="s">
        <v>946</v>
      </c>
      <c r="GN337" s="9" t="s">
        <v>3220</v>
      </c>
      <c r="GO337" s="9" t="s">
        <v>6788</v>
      </c>
      <c r="GQ337" s="9" t="s">
        <v>3208</v>
      </c>
      <c r="GT337" s="9" t="s">
        <v>4774</v>
      </c>
      <c r="GV337" s="9" t="s">
        <v>484</v>
      </c>
      <c r="GW337" s="9" t="s">
        <v>484</v>
      </c>
      <c r="HC337" s="9" t="s">
        <v>5281</v>
      </c>
      <c r="HD337" s="9" t="s">
        <v>5298</v>
      </c>
      <c r="HE337" s="9" t="s">
        <v>5299</v>
      </c>
      <c r="HF337" s="9" t="s">
        <v>5284</v>
      </c>
      <c r="HO337" s="9" t="s">
        <v>5301</v>
      </c>
      <c r="HP337" s="9" t="s">
        <v>5237</v>
      </c>
      <c r="HQ337" s="9" t="s">
        <v>5238</v>
      </c>
      <c r="HR337" s="9" t="s">
        <v>5287</v>
      </c>
      <c r="HW337" s="9" t="s">
        <v>6789</v>
      </c>
      <c r="MJ337" s="9" t="s">
        <v>6321</v>
      </c>
    </row>
    <row r="338" ht="22.5" customHeight="1">
      <c r="A338" s="8">
        <v>45929.419320416666</v>
      </c>
      <c r="B338" s="9" t="s">
        <v>368</v>
      </c>
      <c r="C338" s="9" t="s">
        <v>370</v>
      </c>
      <c r="D338" s="9" t="s">
        <v>370</v>
      </c>
      <c r="E338" s="9" t="s">
        <v>1464</v>
      </c>
      <c r="F338" s="9" t="s">
        <v>2400</v>
      </c>
      <c r="G338" s="9" t="s">
        <v>422</v>
      </c>
      <c r="H338" s="9" t="s">
        <v>1307</v>
      </c>
      <c r="I338" s="9" t="s">
        <v>668</v>
      </c>
      <c r="J338" s="9" t="s">
        <v>718</v>
      </c>
      <c r="K338" s="9" t="s">
        <v>376</v>
      </c>
      <c r="L338" s="9" t="s">
        <v>379</v>
      </c>
      <c r="M338" s="9" t="s">
        <v>541</v>
      </c>
      <c r="N338" s="9" t="s">
        <v>426</v>
      </c>
      <c r="O338" s="9" t="s">
        <v>497</v>
      </c>
      <c r="P338" s="9" t="s">
        <v>498</v>
      </c>
      <c r="Q338" s="9" t="s">
        <v>382</v>
      </c>
      <c r="R338" s="9" t="s">
        <v>427</v>
      </c>
      <c r="S338" s="9" t="s">
        <v>384</v>
      </c>
      <c r="T338" s="9" t="s">
        <v>385</v>
      </c>
      <c r="W338" s="9" t="s">
        <v>593</v>
      </c>
      <c r="X338" s="9" t="s">
        <v>387</v>
      </c>
      <c r="Y338" s="9" t="s">
        <v>897</v>
      </c>
      <c r="Z338" s="9" t="s">
        <v>672</v>
      </c>
      <c r="AA338" s="9" t="s">
        <v>408</v>
      </c>
      <c r="AV338" s="9" t="s">
        <v>1242</v>
      </c>
      <c r="AW338" s="9" t="s">
        <v>391</v>
      </c>
      <c r="AX338" s="9" t="s">
        <v>391</v>
      </c>
      <c r="AY338" s="9">
        <v>2.0</v>
      </c>
      <c r="AZ338" s="9" t="s">
        <v>429</v>
      </c>
      <c r="BA338" s="9" t="s">
        <v>429</v>
      </c>
      <c r="BB338" s="9" t="s">
        <v>429</v>
      </c>
      <c r="BC338" s="9" t="s">
        <v>6790</v>
      </c>
      <c r="BE338" s="9" t="s">
        <v>432</v>
      </c>
      <c r="BF338" s="9" t="s">
        <v>433</v>
      </c>
      <c r="BG338" s="9" t="s">
        <v>678</v>
      </c>
      <c r="BI338" s="9" t="s">
        <v>509</v>
      </c>
      <c r="BK338" s="9" t="s">
        <v>511</v>
      </c>
      <c r="BL338" s="9" t="s">
        <v>438</v>
      </c>
      <c r="BM338" s="9" t="s">
        <v>439</v>
      </c>
      <c r="BN338" s="9" t="s">
        <v>513</v>
      </c>
      <c r="CL338" s="9" t="s">
        <v>441</v>
      </c>
      <c r="CM338" s="9" t="s">
        <v>442</v>
      </c>
      <c r="CN338" s="9" t="s">
        <v>6791</v>
      </c>
      <c r="CO338" s="9" t="s">
        <v>6792</v>
      </c>
      <c r="CQ338" s="9" t="s">
        <v>6793</v>
      </c>
      <c r="CR338" s="9" t="s">
        <v>447</v>
      </c>
      <c r="CS338" s="9" t="s">
        <v>6794</v>
      </c>
      <c r="CT338" s="9" t="s">
        <v>6795</v>
      </c>
      <c r="CU338" s="9" t="s">
        <v>982</v>
      </c>
      <c r="CV338" s="9" t="s">
        <v>451</v>
      </c>
      <c r="CW338" s="9" t="s">
        <v>6796</v>
      </c>
      <c r="CX338" s="9" t="s">
        <v>408</v>
      </c>
      <c r="CZ338" s="9" t="s">
        <v>453</v>
      </c>
      <c r="DA338" s="9" t="s">
        <v>6797</v>
      </c>
      <c r="DB338" s="9" t="s">
        <v>408</v>
      </c>
      <c r="DD338" s="9" t="s">
        <v>406</v>
      </c>
      <c r="DE338" s="9" t="s">
        <v>1058</v>
      </c>
      <c r="DF338" s="9" t="s">
        <v>6798</v>
      </c>
      <c r="DG338" s="9" t="s">
        <v>776</v>
      </c>
      <c r="DH338" s="9" t="s">
        <v>410</v>
      </c>
      <c r="DI338" s="9" t="s">
        <v>459</v>
      </c>
      <c r="DJ338" s="9" t="s">
        <v>460</v>
      </c>
      <c r="DK338" s="9" t="s">
        <v>6335</v>
      </c>
      <c r="EU338" s="9" t="s">
        <v>479</v>
      </c>
      <c r="EV338" s="9" t="s">
        <v>480</v>
      </c>
      <c r="EZ338" s="9" t="s">
        <v>414</v>
      </c>
      <c r="FA338" s="9" t="s">
        <v>414</v>
      </c>
      <c r="FB338" s="9" t="s">
        <v>413</v>
      </c>
      <c r="FC338" s="9" t="s">
        <v>414</v>
      </c>
      <c r="FD338" s="9" t="s">
        <v>415</v>
      </c>
      <c r="FE338" s="9" t="s">
        <v>414</v>
      </c>
      <c r="FF338" s="9" t="s">
        <v>484</v>
      </c>
      <c r="FG338" s="9" t="s">
        <v>484</v>
      </c>
      <c r="FH338" s="9" t="s">
        <v>413</v>
      </c>
      <c r="FI338" s="9" t="s">
        <v>414</v>
      </c>
      <c r="FJ338" s="9" t="s">
        <v>415</v>
      </c>
      <c r="FK338" s="9" t="s">
        <v>414</v>
      </c>
      <c r="FL338" s="9" t="s">
        <v>415</v>
      </c>
      <c r="FM338" s="9" t="s">
        <v>415</v>
      </c>
      <c r="FN338" s="9" t="s">
        <v>415</v>
      </c>
      <c r="FO338" s="9" t="s">
        <v>485</v>
      </c>
      <c r="FP338" s="9" t="s">
        <v>418</v>
      </c>
      <c r="FQ338" s="9" t="s">
        <v>712</v>
      </c>
      <c r="FS338" s="9" t="s">
        <v>420</v>
      </c>
      <c r="FT338" s="9" t="s">
        <v>488</v>
      </c>
      <c r="FU338" s="9" t="s">
        <v>533</v>
      </c>
      <c r="FV338" s="9" t="s">
        <v>490</v>
      </c>
      <c r="FW338" s="9" t="s">
        <v>491</v>
      </c>
      <c r="FX338" s="9" t="s">
        <v>6799</v>
      </c>
      <c r="FY338" s="9" t="s">
        <v>535</v>
      </c>
      <c r="FZ338" s="9" t="s">
        <v>6800</v>
      </c>
      <c r="GA338" s="9" t="s">
        <v>6801</v>
      </c>
      <c r="GB338" s="9" t="s">
        <v>455</v>
      </c>
      <c r="GE338" s="9" t="s">
        <v>1420</v>
      </c>
      <c r="GG338" s="9" t="s">
        <v>755</v>
      </c>
      <c r="GH338" s="9" t="s">
        <v>755</v>
      </c>
      <c r="GI338" s="9" t="s">
        <v>946</v>
      </c>
      <c r="GQ338" s="9" t="s">
        <v>4653</v>
      </c>
      <c r="GT338" s="9" t="s">
        <v>4774</v>
      </c>
      <c r="GV338" s="9" t="s">
        <v>5231</v>
      </c>
      <c r="GW338" s="9" t="s">
        <v>5232</v>
      </c>
      <c r="HC338" s="9" t="s">
        <v>5297</v>
      </c>
      <c r="HD338" s="9" t="s">
        <v>484</v>
      </c>
      <c r="HE338" s="9" t="s">
        <v>5320</v>
      </c>
      <c r="HF338" s="9" t="s">
        <v>5768</v>
      </c>
      <c r="HO338" s="9" t="s">
        <v>5236</v>
      </c>
      <c r="HP338" s="9" t="s">
        <v>5264</v>
      </c>
      <c r="HQ338" s="9" t="s">
        <v>5238</v>
      </c>
      <c r="HR338" s="9" t="s">
        <v>5321</v>
      </c>
      <c r="MJ338" s="9" t="s">
        <v>6321</v>
      </c>
    </row>
    <row r="339" ht="22.5" customHeight="1">
      <c r="A339" s="8">
        <v>45929.53502336805</v>
      </c>
      <c r="B339" s="9" t="s">
        <v>368</v>
      </c>
      <c r="C339" s="9" t="s">
        <v>635</v>
      </c>
      <c r="D339" s="9" t="s">
        <v>635</v>
      </c>
      <c r="G339" s="9" t="s">
        <v>422</v>
      </c>
      <c r="H339" s="9" t="s">
        <v>637</v>
      </c>
      <c r="I339" s="9" t="s">
        <v>638</v>
      </c>
      <c r="J339" s="9" t="s">
        <v>375</v>
      </c>
      <c r="K339" s="9" t="s">
        <v>376</v>
      </c>
      <c r="L339" s="9" t="s">
        <v>793</v>
      </c>
      <c r="M339" s="9" t="s">
        <v>720</v>
      </c>
      <c r="N339" s="9" t="s">
        <v>793</v>
      </c>
      <c r="O339" s="9" t="s">
        <v>380</v>
      </c>
      <c r="P339" s="9" t="s">
        <v>592</v>
      </c>
      <c r="Q339" s="9" t="s">
        <v>382</v>
      </c>
      <c r="R339" s="9" t="s">
        <v>500</v>
      </c>
      <c r="S339" s="9" t="s">
        <v>384</v>
      </c>
      <c r="T339" s="9" t="s">
        <v>385</v>
      </c>
      <c r="W339" s="9" t="s">
        <v>386</v>
      </c>
      <c r="X339" s="9" t="s">
        <v>387</v>
      </c>
      <c r="Y339" s="9" t="s">
        <v>388</v>
      </c>
      <c r="Z339" s="9" t="s">
        <v>543</v>
      </c>
      <c r="AV339" s="9" t="s">
        <v>1242</v>
      </c>
      <c r="AW339" s="9" t="s">
        <v>675</v>
      </c>
      <c r="AX339" s="9" t="s">
        <v>675</v>
      </c>
      <c r="AY339" s="9" t="s">
        <v>675</v>
      </c>
      <c r="AZ339" s="9" t="s">
        <v>675</v>
      </c>
      <c r="BA339" s="9" t="s">
        <v>675</v>
      </c>
      <c r="BB339" s="9" t="s">
        <v>675</v>
      </c>
      <c r="BE339" s="9" t="s">
        <v>432</v>
      </c>
      <c r="BF339" s="9" t="s">
        <v>1245</v>
      </c>
      <c r="BG339" s="9" t="s">
        <v>394</v>
      </c>
      <c r="BI339" s="9" t="s">
        <v>976</v>
      </c>
      <c r="BK339" s="9" t="s">
        <v>437</v>
      </c>
      <c r="BL339" s="9" t="s">
        <v>904</v>
      </c>
      <c r="BM339" s="9" t="s">
        <v>1314</v>
      </c>
      <c r="BN339" s="9" t="s">
        <v>398</v>
      </c>
      <c r="BQ339" s="9" t="s">
        <v>401</v>
      </c>
      <c r="BR339" s="9" t="s">
        <v>1740</v>
      </c>
      <c r="BS339" s="9" t="s">
        <v>1741</v>
      </c>
      <c r="BT339" s="9" t="s">
        <v>4072</v>
      </c>
      <c r="BU339" s="9" t="s">
        <v>405</v>
      </c>
      <c r="BW339" s="9" t="s">
        <v>406</v>
      </c>
      <c r="BX339" s="9" t="s">
        <v>1867</v>
      </c>
      <c r="BY339" s="9" t="s">
        <v>408</v>
      </c>
      <c r="CD339" s="9" t="s">
        <v>451</v>
      </c>
      <c r="CF339" s="9" t="s">
        <v>1697</v>
      </c>
      <c r="CH339" s="9" t="s">
        <v>1259</v>
      </c>
      <c r="CI339" s="9" t="s">
        <v>833</v>
      </c>
      <c r="DI339" s="9" t="s">
        <v>963</v>
      </c>
      <c r="DJ339" s="9" t="s">
        <v>460</v>
      </c>
      <c r="DK339" s="9" t="s">
        <v>6319</v>
      </c>
      <c r="ET339" s="9" t="s">
        <v>526</v>
      </c>
      <c r="EU339" s="9" t="s">
        <v>579</v>
      </c>
      <c r="EV339" s="9" t="s">
        <v>480</v>
      </c>
      <c r="EZ339" s="9" t="s">
        <v>413</v>
      </c>
      <c r="FA339" s="9" t="s">
        <v>415</v>
      </c>
      <c r="FB339" s="9" t="s">
        <v>413</v>
      </c>
      <c r="FC339" s="9" t="s">
        <v>413</v>
      </c>
      <c r="FD339" s="9" t="s">
        <v>413</v>
      </c>
      <c r="FE339" s="9" t="s">
        <v>413</v>
      </c>
      <c r="FF339" s="9" t="s">
        <v>413</v>
      </c>
      <c r="FG339" s="9" t="s">
        <v>413</v>
      </c>
      <c r="FH339" s="9" t="s">
        <v>415</v>
      </c>
      <c r="FI339" s="9" t="s">
        <v>413</v>
      </c>
      <c r="FJ339" s="9" t="s">
        <v>413</v>
      </c>
      <c r="FK339" s="9" t="s">
        <v>413</v>
      </c>
      <c r="FL339" s="9" t="s">
        <v>413</v>
      </c>
      <c r="FM339" s="9" t="s">
        <v>413</v>
      </c>
      <c r="FN339" s="9" t="s">
        <v>583</v>
      </c>
      <c r="FO339" s="9" t="s">
        <v>485</v>
      </c>
      <c r="FP339" s="9" t="s">
        <v>418</v>
      </c>
      <c r="FQ339" s="9" t="s">
        <v>1039</v>
      </c>
      <c r="FS339" s="9" t="s">
        <v>420</v>
      </c>
      <c r="FT339" s="9" t="s">
        <v>488</v>
      </c>
      <c r="FU339" s="9" t="s">
        <v>1235</v>
      </c>
      <c r="FV339" s="9" t="s">
        <v>490</v>
      </c>
      <c r="FW339" s="9" t="s">
        <v>491</v>
      </c>
      <c r="FY339" s="9" t="s">
        <v>535</v>
      </c>
      <c r="GB339" s="9" t="s">
        <v>408</v>
      </c>
      <c r="GJ339" s="9" t="s">
        <v>920</v>
      </c>
      <c r="GK339" s="9" t="s">
        <v>755</v>
      </c>
      <c r="GL339" s="9" t="s">
        <v>817</v>
      </c>
      <c r="GN339" s="9" t="s">
        <v>6802</v>
      </c>
      <c r="GO339" s="9" t="s">
        <v>6802</v>
      </c>
      <c r="GQ339" s="9" t="s">
        <v>5656</v>
      </c>
      <c r="GR339" s="9" t="s">
        <v>4774</v>
      </c>
      <c r="GV339" s="9" t="s">
        <v>5231</v>
      </c>
      <c r="GW339" s="9" t="s">
        <v>484</v>
      </c>
      <c r="GX339" s="9" t="s">
        <v>5281</v>
      </c>
      <c r="GY339" s="9" t="s">
        <v>6013</v>
      </c>
      <c r="HA339" s="9" t="s">
        <v>5960</v>
      </c>
      <c r="HB339" s="9" t="s">
        <v>5961</v>
      </c>
      <c r="HO339" s="9" t="s">
        <v>5236</v>
      </c>
      <c r="HP339" s="9" t="s">
        <v>5719</v>
      </c>
      <c r="HQ339" s="9" t="s">
        <v>5238</v>
      </c>
      <c r="HR339" s="9" t="s">
        <v>5347</v>
      </c>
      <c r="MJ339" s="9" t="s">
        <v>6321</v>
      </c>
    </row>
    <row r="340" ht="22.5" customHeight="1">
      <c r="A340" s="8">
        <v>45929.659956793985</v>
      </c>
      <c r="B340" s="9" t="s">
        <v>368</v>
      </c>
      <c r="C340" s="9" t="s">
        <v>370</v>
      </c>
      <c r="D340" s="9" t="s">
        <v>370</v>
      </c>
      <c r="E340" s="9" t="s">
        <v>6634</v>
      </c>
      <c r="F340" s="9" t="s">
        <v>3955</v>
      </c>
      <c r="G340" s="9" t="s">
        <v>422</v>
      </c>
      <c r="H340" s="9" t="s">
        <v>1203</v>
      </c>
      <c r="I340" s="9" t="s">
        <v>6803</v>
      </c>
      <c r="J340" s="9" t="s">
        <v>590</v>
      </c>
      <c r="K340" s="9" t="s">
        <v>376</v>
      </c>
      <c r="L340" s="9" t="s">
        <v>379</v>
      </c>
      <c r="M340" s="9" t="s">
        <v>6804</v>
      </c>
      <c r="N340" s="9" t="s">
        <v>379</v>
      </c>
      <c r="O340" s="9" t="s">
        <v>2966</v>
      </c>
      <c r="P340" s="9" t="s">
        <v>498</v>
      </c>
      <c r="Q340" s="9" t="s">
        <v>1156</v>
      </c>
      <c r="R340" s="9" t="s">
        <v>427</v>
      </c>
      <c r="S340" s="9" t="s">
        <v>384</v>
      </c>
      <c r="T340" s="9" t="s">
        <v>385</v>
      </c>
      <c r="W340" s="9" t="s">
        <v>3231</v>
      </c>
      <c r="AV340" s="9" t="s">
        <v>390</v>
      </c>
      <c r="AW340" s="9">
        <v>2.0</v>
      </c>
      <c r="AX340" s="9" t="s">
        <v>391</v>
      </c>
      <c r="AY340" s="9">
        <v>4.0</v>
      </c>
      <c r="AZ340" s="9">
        <v>2.0</v>
      </c>
      <c r="BA340" s="9">
        <v>2.0</v>
      </c>
      <c r="BB340" s="9">
        <v>2.0</v>
      </c>
      <c r="BG340" s="9" t="s">
        <v>507</v>
      </c>
      <c r="BK340" s="9" t="s">
        <v>511</v>
      </c>
      <c r="BM340" s="9" t="s">
        <v>549</v>
      </c>
      <c r="BN340" s="9" t="s">
        <v>513</v>
      </c>
      <c r="CL340" s="9" t="s">
        <v>441</v>
      </c>
      <c r="CM340" s="9" t="s">
        <v>401</v>
      </c>
      <c r="CN340" s="9" t="s">
        <v>6805</v>
      </c>
      <c r="CO340" s="9" t="s">
        <v>6806</v>
      </c>
      <c r="CP340" s="9" t="s">
        <v>445</v>
      </c>
      <c r="CQ340" s="9" t="s">
        <v>6807</v>
      </c>
      <c r="CS340" s="9" t="s">
        <v>6808</v>
      </c>
      <c r="CT340" s="9" t="s">
        <v>6809</v>
      </c>
      <c r="CU340" s="9" t="s">
        <v>1863</v>
      </c>
      <c r="CV340" s="9" t="s">
        <v>451</v>
      </c>
      <c r="CW340" s="9" t="s">
        <v>6810</v>
      </c>
      <c r="CX340" s="9" t="s">
        <v>733</v>
      </c>
      <c r="CZ340" s="9" t="s">
        <v>453</v>
      </c>
      <c r="DA340" s="9" t="s">
        <v>6811</v>
      </c>
      <c r="DB340" s="9" t="s">
        <v>913</v>
      </c>
      <c r="DD340" s="9" t="s">
        <v>406</v>
      </c>
      <c r="DE340" s="9" t="s">
        <v>407</v>
      </c>
      <c r="DF340" s="9" t="s">
        <v>6812</v>
      </c>
      <c r="DG340" s="9" t="s">
        <v>524</v>
      </c>
      <c r="DH340" s="9" t="s">
        <v>694</v>
      </c>
      <c r="DI340" s="9" t="s">
        <v>963</v>
      </c>
      <c r="DJ340" s="9" t="s">
        <v>562</v>
      </c>
      <c r="DK340" s="9" t="s">
        <v>6335</v>
      </c>
      <c r="ET340" s="9" t="s">
        <v>526</v>
      </c>
      <c r="EU340" s="9" t="s">
        <v>479</v>
      </c>
      <c r="EV340" s="9" t="s">
        <v>480</v>
      </c>
      <c r="EX340" s="9" t="s">
        <v>6813</v>
      </c>
      <c r="EY340" s="9" t="s">
        <v>6814</v>
      </c>
      <c r="EZ340" s="9" t="s">
        <v>583</v>
      </c>
      <c r="FA340" s="9" t="s">
        <v>583</v>
      </c>
      <c r="FB340" s="9" t="s">
        <v>415</v>
      </c>
      <c r="FC340" s="9" t="s">
        <v>583</v>
      </c>
      <c r="FD340" s="9" t="s">
        <v>414</v>
      </c>
      <c r="FE340" s="9" t="s">
        <v>583</v>
      </c>
      <c r="FF340" s="9" t="s">
        <v>583</v>
      </c>
      <c r="FG340" s="9" t="s">
        <v>583</v>
      </c>
      <c r="FH340" s="9" t="s">
        <v>414</v>
      </c>
      <c r="FI340" s="9" t="s">
        <v>583</v>
      </c>
      <c r="FJ340" s="9" t="s">
        <v>414</v>
      </c>
      <c r="FK340" s="9" t="s">
        <v>414</v>
      </c>
      <c r="FL340" s="9" t="s">
        <v>414</v>
      </c>
      <c r="FM340" s="9" t="s">
        <v>414</v>
      </c>
      <c r="FN340" s="9" t="s">
        <v>414</v>
      </c>
      <c r="FO340" s="9" t="s">
        <v>850</v>
      </c>
      <c r="FP340" s="9" t="s">
        <v>418</v>
      </c>
      <c r="FQ340" s="9" t="s">
        <v>630</v>
      </c>
      <c r="FR340" s="9" t="s">
        <v>6815</v>
      </c>
      <c r="FS340" s="9" t="s">
        <v>995</v>
      </c>
      <c r="FT340" s="9" t="s">
        <v>488</v>
      </c>
      <c r="FU340" s="9" t="s">
        <v>533</v>
      </c>
      <c r="FV340" s="9" t="s">
        <v>490</v>
      </c>
      <c r="FW340" s="9" t="s">
        <v>491</v>
      </c>
      <c r="FX340" s="9" t="s">
        <v>6816</v>
      </c>
      <c r="FY340" s="9" t="s">
        <v>535</v>
      </c>
      <c r="FZ340" s="9" t="s">
        <v>6817</v>
      </c>
      <c r="GA340" s="9" t="s">
        <v>6818</v>
      </c>
      <c r="GB340" s="9" t="s">
        <v>408</v>
      </c>
      <c r="GG340" s="9" t="s">
        <v>789</v>
      </c>
      <c r="GH340" s="9" t="s">
        <v>755</v>
      </c>
      <c r="GI340" s="9" t="s">
        <v>946</v>
      </c>
      <c r="GP340" s="9" t="s">
        <v>387</v>
      </c>
      <c r="GQ340" s="9" t="s">
        <v>3208</v>
      </c>
      <c r="GT340" s="9" t="s">
        <v>4774</v>
      </c>
      <c r="GV340" s="9" t="s">
        <v>5231</v>
      </c>
      <c r="GW340" s="9" t="s">
        <v>5261</v>
      </c>
      <c r="HC340" s="9" t="s">
        <v>5297</v>
      </c>
      <c r="HD340" s="9" t="s">
        <v>484</v>
      </c>
      <c r="HE340" s="9" t="s">
        <v>5492</v>
      </c>
      <c r="HF340" s="9" t="s">
        <v>5300</v>
      </c>
      <c r="HO340" s="9" t="s">
        <v>5236</v>
      </c>
      <c r="HP340" s="9" t="s">
        <v>5264</v>
      </c>
      <c r="HQ340" s="9" t="s">
        <v>5238</v>
      </c>
      <c r="HR340" s="9" t="s">
        <v>6819</v>
      </c>
      <c r="HW340" s="9" t="s">
        <v>6820</v>
      </c>
      <c r="MJ340" s="9" t="s">
        <v>6321</v>
      </c>
    </row>
    <row r="341" ht="22.5" customHeight="1">
      <c r="A341" s="8">
        <v>45929.82908622685</v>
      </c>
      <c r="B341" s="9" t="s">
        <v>368</v>
      </c>
      <c r="C341" s="9" t="s">
        <v>370</v>
      </c>
      <c r="D341" s="9" t="s">
        <v>370</v>
      </c>
      <c r="E341" s="9" t="s">
        <v>2400</v>
      </c>
      <c r="F341" s="9" t="s">
        <v>2400</v>
      </c>
      <c r="G341" s="9" t="s">
        <v>6821</v>
      </c>
      <c r="H341" s="9" t="s">
        <v>373</v>
      </c>
      <c r="I341" s="9" t="s">
        <v>374</v>
      </c>
      <c r="J341" s="9" t="s">
        <v>590</v>
      </c>
      <c r="K341" s="9" t="s">
        <v>376</v>
      </c>
      <c r="L341" s="9" t="s">
        <v>379</v>
      </c>
      <c r="M341" s="9" t="s">
        <v>2464</v>
      </c>
      <c r="N341" s="9" t="s">
        <v>591</v>
      </c>
      <c r="O341" s="9" t="s">
        <v>497</v>
      </c>
      <c r="P341" s="9" t="s">
        <v>1760</v>
      </c>
      <c r="Q341" s="9" t="s">
        <v>862</v>
      </c>
      <c r="R341" s="9" t="s">
        <v>1704</v>
      </c>
      <c r="S341" s="9" t="s">
        <v>1512</v>
      </c>
      <c r="T341" s="9" t="s">
        <v>385</v>
      </c>
      <c r="W341" s="9" t="s">
        <v>386</v>
      </c>
      <c r="X341" s="9" t="s">
        <v>387</v>
      </c>
      <c r="Y341" s="9" t="s">
        <v>6822</v>
      </c>
      <c r="Z341" s="9" t="s">
        <v>672</v>
      </c>
      <c r="AA341" s="9" t="s">
        <v>6823</v>
      </c>
      <c r="AV341" s="9" t="s">
        <v>504</v>
      </c>
      <c r="AW341" s="9" t="s">
        <v>429</v>
      </c>
      <c r="AX341" s="9" t="s">
        <v>429</v>
      </c>
      <c r="AY341" s="9" t="s">
        <v>429</v>
      </c>
      <c r="AZ341" s="9" t="s">
        <v>429</v>
      </c>
      <c r="BA341" s="9" t="s">
        <v>429</v>
      </c>
      <c r="BB341" s="9" t="s">
        <v>429</v>
      </c>
      <c r="BC341" s="9" t="s">
        <v>6824</v>
      </c>
      <c r="BD341" s="9" t="s">
        <v>6825</v>
      </c>
      <c r="BE341" s="9" t="s">
        <v>392</v>
      </c>
      <c r="BF341" s="9" t="s">
        <v>433</v>
      </c>
      <c r="BG341" s="9" t="s">
        <v>678</v>
      </c>
      <c r="BH341" s="9" t="s">
        <v>6826</v>
      </c>
      <c r="BI341" s="9" t="s">
        <v>509</v>
      </c>
      <c r="BJ341" s="9" t="s">
        <v>6827</v>
      </c>
      <c r="BK341" s="9" t="s">
        <v>681</v>
      </c>
      <c r="BL341" s="9" t="s">
        <v>512</v>
      </c>
      <c r="BM341" s="9" t="s">
        <v>439</v>
      </c>
      <c r="BN341" s="9" t="s">
        <v>513</v>
      </c>
      <c r="CL341" s="9" t="s">
        <v>441</v>
      </c>
      <c r="CM341" s="9" t="s">
        <v>604</v>
      </c>
      <c r="CN341" s="9" t="s">
        <v>6828</v>
      </c>
      <c r="CO341" s="9" t="s">
        <v>6829</v>
      </c>
      <c r="CP341" s="9" t="s">
        <v>1948</v>
      </c>
      <c r="CQ341" s="9" t="s">
        <v>6830</v>
      </c>
      <c r="CR341" s="9" t="s">
        <v>804</v>
      </c>
      <c r="CS341" s="9" t="s">
        <v>6831</v>
      </c>
      <c r="CT341" s="9" t="s">
        <v>6832</v>
      </c>
      <c r="CU341" s="9" t="s">
        <v>450</v>
      </c>
      <c r="CV341" s="9" t="s">
        <v>451</v>
      </c>
      <c r="CW341" s="9" t="s">
        <v>6833</v>
      </c>
      <c r="CX341" s="9" t="s">
        <v>408</v>
      </c>
      <c r="CZ341" s="9" t="s">
        <v>453</v>
      </c>
      <c r="DA341" s="9" t="s">
        <v>6834</v>
      </c>
      <c r="DB341" s="9" t="s">
        <v>455</v>
      </c>
      <c r="DC341" s="9" t="s">
        <v>6835</v>
      </c>
      <c r="DD341" s="9" t="s">
        <v>457</v>
      </c>
      <c r="DF341" s="9" t="s">
        <v>6836</v>
      </c>
      <c r="DG341" s="9" t="s">
        <v>524</v>
      </c>
      <c r="DH341" s="9" t="s">
        <v>410</v>
      </c>
      <c r="DI341" s="9" t="s">
        <v>459</v>
      </c>
      <c r="DJ341" s="9" t="s">
        <v>613</v>
      </c>
      <c r="ET341" s="9" t="s">
        <v>478</v>
      </c>
      <c r="EU341" s="9" t="s">
        <v>1127</v>
      </c>
      <c r="EV341" s="9" t="s">
        <v>480</v>
      </c>
      <c r="EW341" s="9" t="s">
        <v>6837</v>
      </c>
      <c r="EX341" s="9" t="s">
        <v>6838</v>
      </c>
      <c r="EY341" s="9" t="s">
        <v>2963</v>
      </c>
      <c r="EZ341" s="9" t="s">
        <v>484</v>
      </c>
      <c r="FA341" s="9" t="s">
        <v>484</v>
      </c>
      <c r="FB341" s="9" t="s">
        <v>484</v>
      </c>
      <c r="FC341" s="9" t="s">
        <v>484</v>
      </c>
      <c r="FD341" s="9" t="s">
        <v>484</v>
      </c>
      <c r="FE341" s="9" t="s">
        <v>484</v>
      </c>
      <c r="FF341" s="9" t="s">
        <v>484</v>
      </c>
      <c r="FG341" s="9" t="s">
        <v>484</v>
      </c>
      <c r="FH341" s="9" t="s">
        <v>484</v>
      </c>
      <c r="FI341" s="9" t="s">
        <v>484</v>
      </c>
      <c r="FJ341" s="9" t="s">
        <v>484</v>
      </c>
      <c r="FK341" s="9" t="s">
        <v>484</v>
      </c>
      <c r="FL341" s="9" t="s">
        <v>484</v>
      </c>
      <c r="FM341" s="9" t="s">
        <v>484</v>
      </c>
      <c r="FN341" s="9" t="s">
        <v>484</v>
      </c>
      <c r="FO341" s="9" t="s">
        <v>417</v>
      </c>
      <c r="FP341" s="9" t="s">
        <v>418</v>
      </c>
      <c r="FQ341" s="9" t="s">
        <v>419</v>
      </c>
      <c r="FR341" s="9" t="s">
        <v>6839</v>
      </c>
      <c r="FS341" s="9" t="s">
        <v>420</v>
      </c>
      <c r="FT341" s="9" t="s">
        <v>488</v>
      </c>
      <c r="FU341" s="9" t="s">
        <v>489</v>
      </c>
      <c r="FV341" s="9" t="s">
        <v>490</v>
      </c>
      <c r="FW341" s="9" t="s">
        <v>491</v>
      </c>
      <c r="FX341" s="9" t="s">
        <v>6840</v>
      </c>
      <c r="FY341" s="9" t="s">
        <v>535</v>
      </c>
      <c r="FZ341" s="9" t="s">
        <v>6841</v>
      </c>
      <c r="GB341" s="9" t="s">
        <v>455</v>
      </c>
      <c r="GC341" s="9"/>
      <c r="GD341" s="9"/>
      <c r="GE341" s="9" t="s">
        <v>753</v>
      </c>
      <c r="GF341" s="9" t="s">
        <v>455</v>
      </c>
      <c r="GG341" s="9" t="s">
        <v>755</v>
      </c>
      <c r="GH341" s="9" t="s">
        <v>755</v>
      </c>
      <c r="GI341" s="9" t="s">
        <v>858</v>
      </c>
      <c r="GQ341" s="9" t="s">
        <v>4653</v>
      </c>
      <c r="GV341" s="9" t="s">
        <v>5231</v>
      </c>
      <c r="GW341" s="9" t="s">
        <v>484</v>
      </c>
      <c r="HC341" s="9" t="s">
        <v>5281</v>
      </c>
      <c r="HD341" s="9" t="s">
        <v>5282</v>
      </c>
      <c r="HE341" s="9" t="s">
        <v>5320</v>
      </c>
      <c r="HF341" s="9" t="s">
        <v>5899</v>
      </c>
      <c r="HO341" s="9" t="s">
        <v>5236</v>
      </c>
      <c r="HP341" s="9" t="s">
        <v>5237</v>
      </c>
      <c r="HQ341" s="9" t="s">
        <v>5238</v>
      </c>
      <c r="HR341" s="9" t="s">
        <v>5347</v>
      </c>
      <c r="HW341" s="9" t="s">
        <v>5628</v>
      </c>
      <c r="MJ341" s="9" t="s">
        <v>6321</v>
      </c>
    </row>
    <row r="342" ht="22.5" customHeight="1">
      <c r="A342" s="8">
        <v>45931.496851261574</v>
      </c>
      <c r="B342" s="9" t="s">
        <v>368</v>
      </c>
      <c r="C342" s="9" t="s">
        <v>370</v>
      </c>
      <c r="D342" s="9" t="s">
        <v>370</v>
      </c>
      <c r="E342" s="9" t="s">
        <v>2114</v>
      </c>
      <c r="F342" s="9" t="s">
        <v>371</v>
      </c>
      <c r="G342" s="9" t="s">
        <v>1002</v>
      </c>
      <c r="H342" s="9" t="s">
        <v>496</v>
      </c>
      <c r="I342" s="9" t="s">
        <v>374</v>
      </c>
      <c r="J342" s="9" t="s">
        <v>375</v>
      </c>
      <c r="K342" s="9" t="s">
        <v>376</v>
      </c>
      <c r="L342" s="9" t="s">
        <v>591</v>
      </c>
      <c r="M342" s="9" t="s">
        <v>541</v>
      </c>
      <c r="N342" s="9" t="s">
        <v>379</v>
      </c>
      <c r="O342" s="9" t="s">
        <v>497</v>
      </c>
      <c r="P342" s="9" t="s">
        <v>498</v>
      </c>
      <c r="Q342" s="9" t="s">
        <v>818</v>
      </c>
      <c r="R342" s="9" t="s">
        <v>427</v>
      </c>
      <c r="S342" s="9" t="s">
        <v>1443</v>
      </c>
      <c r="T342" s="9" t="s">
        <v>385</v>
      </c>
      <c r="W342" s="9" t="s">
        <v>3014</v>
      </c>
      <c r="AV342" s="9" t="s">
        <v>504</v>
      </c>
      <c r="AW342" s="9" t="s">
        <v>429</v>
      </c>
      <c r="AX342" s="9" t="s">
        <v>429</v>
      </c>
      <c r="AY342" s="9" t="s">
        <v>429</v>
      </c>
      <c r="AZ342" s="9">
        <v>2.0</v>
      </c>
      <c r="BA342" s="9" t="s">
        <v>429</v>
      </c>
      <c r="BB342" s="9">
        <v>2.0</v>
      </c>
      <c r="BC342" s="9" t="s">
        <v>6842</v>
      </c>
      <c r="BD342" s="9" t="s">
        <v>6843</v>
      </c>
      <c r="BE342" s="9" t="s">
        <v>392</v>
      </c>
      <c r="BF342" s="9" t="s">
        <v>433</v>
      </c>
      <c r="BG342" s="9" t="s">
        <v>678</v>
      </c>
      <c r="BH342" s="9" t="s">
        <v>6844</v>
      </c>
      <c r="BI342" s="9" t="s">
        <v>509</v>
      </c>
      <c r="BJ342" s="9" t="s">
        <v>6845</v>
      </c>
      <c r="BK342" s="9" t="s">
        <v>437</v>
      </c>
      <c r="BL342" s="9" t="s">
        <v>512</v>
      </c>
      <c r="BM342" s="9" t="s">
        <v>439</v>
      </c>
      <c r="BN342" s="9" t="s">
        <v>513</v>
      </c>
      <c r="CL342" s="9" t="s">
        <v>441</v>
      </c>
      <c r="CM342" s="9" t="s">
        <v>442</v>
      </c>
      <c r="CN342" s="9" t="s">
        <v>6846</v>
      </c>
      <c r="CO342" s="9" t="s">
        <v>6847</v>
      </c>
      <c r="CP342" s="9" t="s">
        <v>685</v>
      </c>
      <c r="CQ342" s="9" t="s">
        <v>516</v>
      </c>
      <c r="CR342" s="9" t="s">
        <v>447</v>
      </c>
      <c r="CS342" s="9" t="s">
        <v>6848</v>
      </c>
      <c r="CT342" s="9" t="s">
        <v>6849</v>
      </c>
      <c r="CU342" s="9" t="s">
        <v>450</v>
      </c>
      <c r="CV342" s="9" t="s">
        <v>451</v>
      </c>
      <c r="CW342" s="9" t="s">
        <v>6850</v>
      </c>
      <c r="CX342" s="9" t="s">
        <v>408</v>
      </c>
      <c r="CZ342" s="9" t="s">
        <v>453</v>
      </c>
      <c r="DA342" s="9" t="s">
        <v>6851</v>
      </c>
      <c r="DB342" s="9" t="s">
        <v>455</v>
      </c>
      <c r="DC342" s="9" t="s">
        <v>6852</v>
      </c>
      <c r="DD342" s="9" t="s">
        <v>457</v>
      </c>
      <c r="DF342" s="9" t="s">
        <v>6853</v>
      </c>
      <c r="DG342" s="9" t="s">
        <v>561</v>
      </c>
      <c r="DH342" s="9" t="s">
        <v>410</v>
      </c>
      <c r="DI342" s="9" t="s">
        <v>459</v>
      </c>
      <c r="DJ342" s="9" t="s">
        <v>460</v>
      </c>
      <c r="DK342" s="9" t="s">
        <v>6335</v>
      </c>
      <c r="ET342" s="9" t="s">
        <v>478</v>
      </c>
      <c r="EU342" s="9" t="s">
        <v>479</v>
      </c>
      <c r="EV342" s="9" t="s">
        <v>663</v>
      </c>
      <c r="EX342" s="9" t="s">
        <v>6854</v>
      </c>
      <c r="EY342" s="9" t="s">
        <v>4254</v>
      </c>
      <c r="EZ342" s="9" t="s">
        <v>413</v>
      </c>
      <c r="FA342" s="9" t="s">
        <v>415</v>
      </c>
      <c r="FB342" s="9" t="s">
        <v>413</v>
      </c>
      <c r="FC342" s="9" t="s">
        <v>413</v>
      </c>
      <c r="FD342" s="9" t="s">
        <v>413</v>
      </c>
      <c r="FE342" s="9" t="s">
        <v>415</v>
      </c>
      <c r="FF342" s="9" t="s">
        <v>415</v>
      </c>
      <c r="FG342" s="9" t="s">
        <v>413</v>
      </c>
      <c r="FH342" s="9" t="s">
        <v>583</v>
      </c>
      <c r="FI342" s="9" t="s">
        <v>415</v>
      </c>
      <c r="FJ342" s="9" t="s">
        <v>413</v>
      </c>
      <c r="FK342" s="9" t="s">
        <v>413</v>
      </c>
      <c r="FL342" s="9" t="s">
        <v>413</v>
      </c>
      <c r="FM342" s="9" t="s">
        <v>413</v>
      </c>
      <c r="FN342" s="9" t="s">
        <v>583</v>
      </c>
      <c r="FO342" s="9" t="s">
        <v>417</v>
      </c>
      <c r="FP342" s="9" t="s">
        <v>418</v>
      </c>
      <c r="FQ342" s="9" t="s">
        <v>749</v>
      </c>
      <c r="FR342" s="9" t="s">
        <v>6855</v>
      </c>
      <c r="FS342" s="9" t="s">
        <v>420</v>
      </c>
      <c r="FT342" s="9" t="s">
        <v>488</v>
      </c>
      <c r="FU342" s="9" t="s">
        <v>918</v>
      </c>
      <c r="FV342" s="9" t="s">
        <v>490</v>
      </c>
      <c r="FW342" s="9" t="s">
        <v>491</v>
      </c>
      <c r="FX342" s="9" t="s">
        <v>6856</v>
      </c>
      <c r="FY342" s="9" t="s">
        <v>535</v>
      </c>
      <c r="FZ342" s="9" t="s">
        <v>6857</v>
      </c>
      <c r="GA342" s="9" t="s">
        <v>6858</v>
      </c>
      <c r="GB342" s="9" t="s">
        <v>455</v>
      </c>
      <c r="GC342" s="9"/>
      <c r="GE342" s="9" t="s">
        <v>1339</v>
      </c>
      <c r="GG342" s="9" t="s">
        <v>788</v>
      </c>
      <c r="GH342" s="9" t="s">
        <v>788</v>
      </c>
      <c r="GI342" s="9" t="s">
        <v>921</v>
      </c>
      <c r="GQ342" s="9" t="s">
        <v>3208</v>
      </c>
      <c r="GT342" s="9" t="s">
        <v>4774</v>
      </c>
      <c r="GV342" s="9" t="s">
        <v>5231</v>
      </c>
      <c r="GW342" s="9" t="s">
        <v>5232</v>
      </c>
      <c r="HC342" s="9" t="s">
        <v>5297</v>
      </c>
      <c r="HD342" s="9" t="s">
        <v>5298</v>
      </c>
      <c r="HE342" s="9" t="s">
        <v>5320</v>
      </c>
      <c r="HF342" s="9" t="s">
        <v>5899</v>
      </c>
      <c r="HO342" s="9" t="s">
        <v>5236</v>
      </c>
      <c r="HP342" s="9" t="s">
        <v>5237</v>
      </c>
      <c r="HQ342" s="9" t="s">
        <v>5238</v>
      </c>
      <c r="HR342" s="9" t="s">
        <v>5321</v>
      </c>
      <c r="HW342" s="9" t="s">
        <v>6859</v>
      </c>
      <c r="MJ342" s="9" t="s">
        <v>6321</v>
      </c>
    </row>
    <row r="343" ht="22.5" customHeight="1">
      <c r="A343" s="8">
        <v>45933.70498268519</v>
      </c>
      <c r="B343" s="9" t="s">
        <v>368</v>
      </c>
      <c r="C343" s="9" t="s">
        <v>370</v>
      </c>
      <c r="D343" s="9" t="s">
        <v>370</v>
      </c>
      <c r="E343" s="9" t="s">
        <v>1421</v>
      </c>
      <c r="F343" s="9" t="s">
        <v>1421</v>
      </c>
      <c r="G343" s="9" t="s">
        <v>422</v>
      </c>
      <c r="H343" s="9" t="s">
        <v>373</v>
      </c>
      <c r="I343" s="9" t="s">
        <v>638</v>
      </c>
      <c r="J343" s="9" t="s">
        <v>590</v>
      </c>
      <c r="K343" s="9" t="s">
        <v>376</v>
      </c>
      <c r="L343" s="9" t="s">
        <v>379</v>
      </c>
      <c r="M343" s="9" t="s">
        <v>2464</v>
      </c>
      <c r="N343" s="9" t="s">
        <v>377</v>
      </c>
      <c r="O343" s="9" t="s">
        <v>1024</v>
      </c>
      <c r="P343" s="9" t="s">
        <v>381</v>
      </c>
      <c r="Q343" s="9" t="s">
        <v>759</v>
      </c>
      <c r="R343" s="9" t="s">
        <v>1704</v>
      </c>
      <c r="S343" s="9" t="s">
        <v>3798</v>
      </c>
      <c r="T343" s="9" t="s">
        <v>385</v>
      </c>
      <c r="W343" s="9" t="s">
        <v>3014</v>
      </c>
      <c r="AV343" s="9" t="s">
        <v>390</v>
      </c>
      <c r="AW343" s="9" t="s">
        <v>391</v>
      </c>
      <c r="AX343" s="9">
        <v>2.0</v>
      </c>
      <c r="AY343" s="9">
        <v>4.0</v>
      </c>
      <c r="AZ343" s="9">
        <v>4.0</v>
      </c>
      <c r="BA343" s="9">
        <v>2.0</v>
      </c>
      <c r="BB343" s="9" t="s">
        <v>391</v>
      </c>
      <c r="BE343" s="9" t="s">
        <v>2259</v>
      </c>
      <c r="BF343" s="9" t="s">
        <v>1047</v>
      </c>
      <c r="BG343" s="9" t="s">
        <v>765</v>
      </c>
      <c r="BI343" s="9" t="s">
        <v>976</v>
      </c>
      <c r="BK343" s="9" t="s">
        <v>437</v>
      </c>
      <c r="BL343" s="9" t="s">
        <v>438</v>
      </c>
      <c r="BM343" s="9" t="s">
        <v>397</v>
      </c>
      <c r="BN343" s="9" t="s">
        <v>513</v>
      </c>
      <c r="CL343" s="9" t="s">
        <v>441</v>
      </c>
      <c r="CM343" s="9" t="s">
        <v>604</v>
      </c>
      <c r="CN343" s="9" t="s">
        <v>552</v>
      </c>
      <c r="CP343" s="9" t="s">
        <v>979</v>
      </c>
      <c r="CQ343" s="9" t="s">
        <v>1427</v>
      </c>
      <c r="CR343" s="9" t="s">
        <v>404</v>
      </c>
      <c r="CS343" s="9" t="s">
        <v>6860</v>
      </c>
      <c r="CU343" s="9" t="s">
        <v>450</v>
      </c>
      <c r="CV343" s="9" t="s">
        <v>451</v>
      </c>
      <c r="CX343" s="9" t="s">
        <v>408</v>
      </c>
      <c r="CZ343" s="9" t="s">
        <v>1398</v>
      </c>
      <c r="DB343" s="9" t="s">
        <v>408</v>
      </c>
      <c r="DD343" s="9" t="s">
        <v>662</v>
      </c>
      <c r="DE343" s="9" t="s">
        <v>407</v>
      </c>
      <c r="DG343" s="9" t="s">
        <v>561</v>
      </c>
      <c r="DH343" s="9" t="s">
        <v>833</v>
      </c>
      <c r="DI343" s="9" t="s">
        <v>777</v>
      </c>
      <c r="DJ343" s="9" t="s">
        <v>562</v>
      </c>
      <c r="DK343" s="9" t="s">
        <v>1434</v>
      </c>
      <c r="ET343" s="9" t="s">
        <v>578</v>
      </c>
      <c r="EU343" s="9" t="s">
        <v>1037</v>
      </c>
      <c r="EV343" s="9" t="s">
        <v>663</v>
      </c>
      <c r="FB343" s="9" t="s">
        <v>413</v>
      </c>
      <c r="FC343" s="9" t="s">
        <v>413</v>
      </c>
      <c r="FD343" s="9" t="s">
        <v>413</v>
      </c>
      <c r="FE343" s="9" t="s">
        <v>415</v>
      </c>
      <c r="FF343" s="9" t="s">
        <v>415</v>
      </c>
      <c r="FG343" s="9" t="s">
        <v>415</v>
      </c>
      <c r="FH343" s="9" t="s">
        <v>583</v>
      </c>
      <c r="FI343" s="9" t="s">
        <v>583</v>
      </c>
      <c r="FJ343" s="9" t="s">
        <v>415</v>
      </c>
      <c r="FK343" s="9" t="s">
        <v>484</v>
      </c>
      <c r="FL343" s="9" t="s">
        <v>484</v>
      </c>
      <c r="FM343" s="9" t="s">
        <v>415</v>
      </c>
      <c r="FN343" s="9" t="s">
        <v>583</v>
      </c>
      <c r="FO343" s="9" t="s">
        <v>3396</v>
      </c>
      <c r="FP343" s="9" t="s">
        <v>2524</v>
      </c>
      <c r="FQ343" s="9" t="s">
        <v>712</v>
      </c>
      <c r="FS343" s="9" t="s">
        <v>420</v>
      </c>
      <c r="FT343" s="9" t="s">
        <v>1476</v>
      </c>
      <c r="FU343" s="9" t="s">
        <v>489</v>
      </c>
      <c r="FV343" s="9" t="s">
        <v>490</v>
      </c>
      <c r="FW343" s="9" t="s">
        <v>491</v>
      </c>
      <c r="FY343" s="9" t="s">
        <v>535</v>
      </c>
      <c r="GB343" s="9" t="s">
        <v>408</v>
      </c>
      <c r="GG343" s="9" t="s">
        <v>788</v>
      </c>
      <c r="GH343" s="9" t="s">
        <v>1000</v>
      </c>
      <c r="GI343" s="9" t="s">
        <v>756</v>
      </c>
      <c r="GQ343" s="9" t="s">
        <v>3306</v>
      </c>
      <c r="GT343" s="9" t="s">
        <v>4774</v>
      </c>
      <c r="GV343" s="9" t="s">
        <v>5231</v>
      </c>
      <c r="GW343" s="9" t="s">
        <v>484</v>
      </c>
      <c r="HC343" s="9" t="s">
        <v>484</v>
      </c>
      <c r="HD343" s="9" t="s">
        <v>5282</v>
      </c>
      <c r="HE343" s="9" t="s">
        <v>484</v>
      </c>
      <c r="HF343" s="9" t="s">
        <v>5768</v>
      </c>
      <c r="HO343" s="9" t="s">
        <v>5383</v>
      </c>
      <c r="HP343" s="9" t="s">
        <v>5237</v>
      </c>
      <c r="HQ343" s="9" t="s">
        <v>5238</v>
      </c>
      <c r="HR343" s="9" t="s">
        <v>5347</v>
      </c>
      <c r="MJ343" s="9" t="s">
        <v>6321</v>
      </c>
    </row>
    <row r="344" ht="22.5" customHeight="1">
      <c r="A344" s="8">
        <v>45937.01626369213</v>
      </c>
      <c r="B344" s="9" t="s">
        <v>368</v>
      </c>
      <c r="C344" s="9" t="s">
        <v>370</v>
      </c>
      <c r="D344" s="9" t="s">
        <v>370</v>
      </c>
      <c r="E344" s="9" t="s">
        <v>371</v>
      </c>
      <c r="F344" s="9" t="s">
        <v>371</v>
      </c>
      <c r="G344" s="9" t="s">
        <v>1093</v>
      </c>
      <c r="H344" s="9" t="s">
        <v>539</v>
      </c>
      <c r="I344" s="9" t="s">
        <v>2578</v>
      </c>
      <c r="J344" s="9" t="s">
        <v>540</v>
      </c>
      <c r="K344" s="9" t="s">
        <v>376</v>
      </c>
      <c r="L344" s="9" t="s">
        <v>426</v>
      </c>
      <c r="M344" s="9" t="s">
        <v>720</v>
      </c>
      <c r="N344" s="9" t="s">
        <v>591</v>
      </c>
      <c r="O344" s="9" t="s">
        <v>719</v>
      </c>
      <c r="P344" s="9" t="s">
        <v>498</v>
      </c>
      <c r="Q344" s="9" t="s">
        <v>818</v>
      </c>
      <c r="R344" s="9" t="s">
        <v>1704</v>
      </c>
      <c r="S344" s="9" t="s">
        <v>384</v>
      </c>
      <c r="T344" s="9" t="s">
        <v>385</v>
      </c>
      <c r="W344" s="9" t="s">
        <v>386</v>
      </c>
      <c r="X344" s="9" t="s">
        <v>387</v>
      </c>
      <c r="Y344" s="9" t="s">
        <v>388</v>
      </c>
      <c r="Z344" s="9" t="s">
        <v>672</v>
      </c>
      <c r="AA344" s="9" t="s">
        <v>408</v>
      </c>
      <c r="AV344" s="9" t="s">
        <v>597</v>
      </c>
      <c r="AW344" s="9" t="s">
        <v>391</v>
      </c>
      <c r="AX344" s="9" t="s">
        <v>391</v>
      </c>
      <c r="AY344" s="9" t="s">
        <v>391</v>
      </c>
      <c r="AZ344" s="9" t="s">
        <v>391</v>
      </c>
      <c r="BA344" s="9" t="s">
        <v>429</v>
      </c>
      <c r="BB344" s="9">
        <v>2.0</v>
      </c>
      <c r="BC344" s="9" t="s">
        <v>6861</v>
      </c>
      <c r="BD344" s="9" t="s">
        <v>6862</v>
      </c>
      <c r="BE344" s="9" t="s">
        <v>392</v>
      </c>
      <c r="BF344" s="9" t="s">
        <v>393</v>
      </c>
      <c r="BG344" s="9" t="s">
        <v>765</v>
      </c>
      <c r="BH344" s="9" t="s">
        <v>6863</v>
      </c>
      <c r="BI344" s="9" t="s">
        <v>509</v>
      </c>
      <c r="BJ344" s="9" t="s">
        <v>6864</v>
      </c>
      <c r="BK344" s="9" t="s">
        <v>437</v>
      </c>
      <c r="BL344" s="9" t="s">
        <v>438</v>
      </c>
      <c r="BM344" s="9" t="s">
        <v>397</v>
      </c>
      <c r="BN344" s="9" t="s">
        <v>440</v>
      </c>
      <c r="CL344" s="9" t="s">
        <v>441</v>
      </c>
      <c r="CM344" s="9" t="s">
        <v>401</v>
      </c>
      <c r="CN344" s="9" t="s">
        <v>6865</v>
      </c>
      <c r="CO344" s="9" t="s">
        <v>6866</v>
      </c>
      <c r="CP344" s="9" t="s">
        <v>979</v>
      </c>
      <c r="CQ344" s="9" t="s">
        <v>1136</v>
      </c>
      <c r="CR344" s="9" t="s">
        <v>447</v>
      </c>
      <c r="CS344" s="9" t="s">
        <v>871</v>
      </c>
      <c r="CT344" s="9" t="s">
        <v>6867</v>
      </c>
      <c r="CU344" s="9" t="s">
        <v>450</v>
      </c>
      <c r="CV344" s="9" t="s">
        <v>451</v>
      </c>
      <c r="CW344" s="9" t="s">
        <v>6868</v>
      </c>
      <c r="CX344" s="9" t="s">
        <v>408</v>
      </c>
      <c r="CZ344" s="9" t="s">
        <v>985</v>
      </c>
      <c r="DA344" s="9" t="s">
        <v>6869</v>
      </c>
      <c r="DB344" s="9" t="s">
        <v>408</v>
      </c>
      <c r="DD344" s="9" t="s">
        <v>406</v>
      </c>
      <c r="DE344" s="9" t="s">
        <v>691</v>
      </c>
      <c r="DF344" s="9" t="s">
        <v>6870</v>
      </c>
      <c r="DG344" s="9" t="s">
        <v>561</v>
      </c>
      <c r="DH344" s="9" t="s">
        <v>410</v>
      </c>
      <c r="DI344" s="9" t="s">
        <v>459</v>
      </c>
      <c r="DJ344" s="9" t="s">
        <v>460</v>
      </c>
      <c r="DK344" s="9" t="s">
        <v>6335</v>
      </c>
      <c r="DM344" s="9" t="s">
        <v>6871</v>
      </c>
      <c r="DN344" s="9" t="s">
        <v>6872</v>
      </c>
      <c r="DO344" s="9" t="s">
        <v>464</v>
      </c>
      <c r="DP344" s="9" t="s">
        <v>6873</v>
      </c>
      <c r="DQ344" s="9" t="s">
        <v>466</v>
      </c>
      <c r="DR344" s="9" t="s">
        <v>408</v>
      </c>
      <c r="DS344" s="9" t="s">
        <v>839</v>
      </c>
      <c r="DT344" s="9" t="s">
        <v>1580</v>
      </c>
      <c r="DU344" s="9" t="s">
        <v>6874</v>
      </c>
      <c r="DV344" s="9" t="s">
        <v>6875</v>
      </c>
      <c r="DW344" s="9" t="s">
        <v>573</v>
      </c>
      <c r="DX344" s="9" t="s">
        <v>6876</v>
      </c>
      <c r="DY344" s="9" t="s">
        <v>6877</v>
      </c>
      <c r="DZ344" s="9" t="s">
        <v>6878</v>
      </c>
      <c r="EA344" s="9" t="s">
        <v>475</v>
      </c>
      <c r="EB344" s="9" t="s">
        <v>626</v>
      </c>
      <c r="EC344" s="9" t="s">
        <v>6879</v>
      </c>
      <c r="ET344" s="9" t="s">
        <v>578</v>
      </c>
      <c r="EU344" s="9" t="s">
        <v>479</v>
      </c>
      <c r="EV344" s="9" t="s">
        <v>1262</v>
      </c>
      <c r="EX344" s="9" t="s">
        <v>6880</v>
      </c>
      <c r="EY344" s="9" t="s">
        <v>6881</v>
      </c>
      <c r="EZ344" s="9" t="s">
        <v>414</v>
      </c>
      <c r="FA344" s="9" t="s">
        <v>583</v>
      </c>
      <c r="FB344" s="9" t="s">
        <v>583</v>
      </c>
      <c r="FC344" s="9" t="s">
        <v>414</v>
      </c>
      <c r="FD344" s="9" t="s">
        <v>415</v>
      </c>
      <c r="FE344" s="9" t="s">
        <v>583</v>
      </c>
      <c r="FF344" s="9" t="s">
        <v>583</v>
      </c>
      <c r="FG344" s="9" t="s">
        <v>583</v>
      </c>
      <c r="FH344" s="9" t="s">
        <v>583</v>
      </c>
      <c r="FI344" s="9" t="s">
        <v>583</v>
      </c>
      <c r="FJ344" s="9" t="s">
        <v>583</v>
      </c>
      <c r="FK344" s="9" t="s">
        <v>583</v>
      </c>
      <c r="FL344" s="9" t="s">
        <v>583</v>
      </c>
      <c r="FM344" s="9" t="s">
        <v>583</v>
      </c>
      <c r="FN344" s="9" t="s">
        <v>583</v>
      </c>
      <c r="FO344" s="9" t="s">
        <v>1537</v>
      </c>
      <c r="FP344" s="9" t="s">
        <v>1200</v>
      </c>
      <c r="FQ344" s="9" t="s">
        <v>630</v>
      </c>
      <c r="FR344" s="9" t="s">
        <v>6882</v>
      </c>
      <c r="FS344" s="9" t="s">
        <v>1871</v>
      </c>
      <c r="FT344" s="9" t="s">
        <v>421</v>
      </c>
      <c r="FU344" s="9" t="s">
        <v>533</v>
      </c>
      <c r="FV344" s="9" t="s">
        <v>490</v>
      </c>
      <c r="FW344" s="9" t="s">
        <v>491</v>
      </c>
      <c r="FX344" s="9" t="s">
        <v>6883</v>
      </c>
      <c r="FY344" s="9" t="s">
        <v>1337</v>
      </c>
      <c r="FZ344" s="9" t="s">
        <v>6884</v>
      </c>
      <c r="GB344" s="9" t="s">
        <v>455</v>
      </c>
      <c r="GC344" s="9"/>
      <c r="GE344" s="9" t="s">
        <v>944</v>
      </c>
      <c r="GF344" s="9" t="s">
        <v>6885</v>
      </c>
      <c r="GG344" s="9" t="s">
        <v>755</v>
      </c>
      <c r="GH344" s="9" t="s">
        <v>755</v>
      </c>
      <c r="GI344" s="9" t="s">
        <v>946</v>
      </c>
      <c r="GM344" s="9" t="s">
        <v>1079</v>
      </c>
      <c r="GQ344" s="9" t="s">
        <v>4653</v>
      </c>
      <c r="GT344" s="9" t="s">
        <v>4774</v>
      </c>
      <c r="GU344" s="9" t="s">
        <v>6886</v>
      </c>
      <c r="GV344" s="9" t="s">
        <v>5231</v>
      </c>
      <c r="GW344" s="9" t="s">
        <v>5232</v>
      </c>
      <c r="HC344" s="9" t="s">
        <v>5297</v>
      </c>
      <c r="HD344" s="9" t="s">
        <v>5282</v>
      </c>
      <c r="HE344" s="9" t="s">
        <v>5320</v>
      </c>
      <c r="HF344" s="9" t="s">
        <v>5284</v>
      </c>
      <c r="HG344" s="9" t="s">
        <v>6887</v>
      </c>
      <c r="HH344" s="9" t="s">
        <v>6631</v>
      </c>
      <c r="HI344" s="9" t="s">
        <v>6888</v>
      </c>
      <c r="HJ344" s="9" t="s">
        <v>6889</v>
      </c>
      <c r="HO344" s="9" t="s">
        <v>5236</v>
      </c>
      <c r="HP344" s="9" t="s">
        <v>5264</v>
      </c>
      <c r="HQ344" s="9" t="s">
        <v>5238</v>
      </c>
      <c r="HR344" s="9" t="s">
        <v>5321</v>
      </c>
      <c r="HW344" s="9" t="s">
        <v>5501</v>
      </c>
      <c r="IN344" s="9" t="s">
        <v>5537</v>
      </c>
      <c r="IO344" s="9" t="s">
        <v>5537</v>
      </c>
      <c r="IP344" s="9" t="s">
        <v>5536</v>
      </c>
      <c r="IQ344" s="9" t="s">
        <v>5537</v>
      </c>
      <c r="IR344" s="9" t="s">
        <v>5500</v>
      </c>
      <c r="IS344" s="9" t="s">
        <v>5536</v>
      </c>
      <c r="MJ344" s="9" t="s">
        <v>6321</v>
      </c>
    </row>
    <row r="345" ht="22.5" customHeight="1">
      <c r="A345" s="8">
        <v>45937.46064668981</v>
      </c>
      <c r="B345" s="9" t="s">
        <v>368</v>
      </c>
      <c r="C345" s="9" t="s">
        <v>5153</v>
      </c>
      <c r="D345" s="9" t="s">
        <v>5153</v>
      </c>
      <c r="G345" s="9" t="s">
        <v>422</v>
      </c>
      <c r="H345" s="9" t="s">
        <v>637</v>
      </c>
      <c r="I345" s="9" t="s">
        <v>638</v>
      </c>
      <c r="J345" s="9" t="s">
        <v>375</v>
      </c>
      <c r="K345" s="9" t="s">
        <v>376</v>
      </c>
      <c r="L345" s="9" t="s">
        <v>1526</v>
      </c>
      <c r="M345" s="9" t="s">
        <v>720</v>
      </c>
      <c r="N345" s="9" t="s">
        <v>1526</v>
      </c>
      <c r="O345" s="9" t="s">
        <v>497</v>
      </c>
      <c r="P345" s="9" t="s">
        <v>381</v>
      </c>
      <c r="Q345" s="9" t="s">
        <v>759</v>
      </c>
      <c r="R345" s="9" t="s">
        <v>427</v>
      </c>
      <c r="S345" s="9" t="s">
        <v>384</v>
      </c>
      <c r="T345" s="9" t="s">
        <v>385</v>
      </c>
      <c r="W345" s="9" t="s">
        <v>3014</v>
      </c>
      <c r="AV345" s="9" t="s">
        <v>1242</v>
      </c>
      <c r="AW345" s="9" t="s">
        <v>391</v>
      </c>
      <c r="AX345" s="9" t="s">
        <v>429</v>
      </c>
      <c r="AY345" s="9" t="s">
        <v>391</v>
      </c>
      <c r="AZ345" s="9" t="s">
        <v>429</v>
      </c>
      <c r="BA345" s="9" t="s">
        <v>429</v>
      </c>
      <c r="BB345" s="9" t="s">
        <v>429</v>
      </c>
      <c r="BE345" s="9" t="s">
        <v>392</v>
      </c>
      <c r="BF345" s="9" t="s">
        <v>433</v>
      </c>
      <c r="BG345" s="9" t="s">
        <v>394</v>
      </c>
      <c r="BI345" s="9" t="s">
        <v>976</v>
      </c>
      <c r="BK345" s="9" t="s">
        <v>681</v>
      </c>
      <c r="BL345" s="9" t="s">
        <v>603</v>
      </c>
      <c r="BM345" s="9" t="s">
        <v>1314</v>
      </c>
      <c r="BN345" s="9" t="s">
        <v>513</v>
      </c>
      <c r="CL345" s="9" t="s">
        <v>682</v>
      </c>
      <c r="CM345" s="9" t="s">
        <v>604</v>
      </c>
      <c r="CT345" s="9" t="s">
        <v>6890</v>
      </c>
      <c r="CU345" s="9" t="s">
        <v>1852</v>
      </c>
      <c r="CV345" s="9" t="s">
        <v>959</v>
      </c>
      <c r="CX345" s="9" t="s">
        <v>408</v>
      </c>
      <c r="CZ345" s="9" t="s">
        <v>1962</v>
      </c>
      <c r="DB345" s="9" t="s">
        <v>455</v>
      </c>
      <c r="DG345" s="9" t="s">
        <v>693</v>
      </c>
      <c r="DH345" s="9" t="s">
        <v>833</v>
      </c>
      <c r="DI345" s="9" t="s">
        <v>963</v>
      </c>
      <c r="DJ345" s="9" t="s">
        <v>613</v>
      </c>
      <c r="EU345" s="9" t="s">
        <v>579</v>
      </c>
      <c r="EV345" s="9" t="s">
        <v>1262</v>
      </c>
      <c r="EZ345" s="9" t="s">
        <v>413</v>
      </c>
      <c r="FA345" s="9" t="s">
        <v>416</v>
      </c>
      <c r="FB345" s="9" t="s">
        <v>413</v>
      </c>
      <c r="FC345" s="9" t="s">
        <v>413</v>
      </c>
      <c r="FD345" s="9" t="s">
        <v>413</v>
      </c>
      <c r="FE345" s="9" t="s">
        <v>416</v>
      </c>
      <c r="FF345" s="9" t="s">
        <v>413</v>
      </c>
      <c r="FG345" s="9" t="s">
        <v>413</v>
      </c>
      <c r="FH345" s="9" t="s">
        <v>413</v>
      </c>
      <c r="FI345" s="9" t="s">
        <v>413</v>
      </c>
      <c r="FJ345" s="9" t="s">
        <v>413</v>
      </c>
      <c r="FK345" s="9" t="s">
        <v>413</v>
      </c>
      <c r="FL345" s="9" t="s">
        <v>413</v>
      </c>
      <c r="FM345" s="9" t="s">
        <v>413</v>
      </c>
      <c r="FN345" s="9" t="s">
        <v>413</v>
      </c>
      <c r="FO345" s="9" t="s">
        <v>1537</v>
      </c>
      <c r="FP345" s="9" t="s">
        <v>2524</v>
      </c>
      <c r="FQ345" s="9" t="s">
        <v>1039</v>
      </c>
      <c r="FS345" s="9" t="s">
        <v>420</v>
      </c>
      <c r="GB345" s="9" t="s">
        <v>408</v>
      </c>
      <c r="GG345" s="9" t="s">
        <v>755</v>
      </c>
      <c r="GH345" s="9" t="s">
        <v>755</v>
      </c>
      <c r="GI345" s="9" t="s">
        <v>756</v>
      </c>
      <c r="GN345" s="9" t="s">
        <v>6891</v>
      </c>
      <c r="GO345" s="9" t="s">
        <v>6891</v>
      </c>
      <c r="GT345" s="9" t="s">
        <v>5170</v>
      </c>
      <c r="GV345" s="9" t="s">
        <v>5231</v>
      </c>
      <c r="GW345" s="9" t="s">
        <v>484</v>
      </c>
      <c r="HS345" s="9" t="s">
        <v>5987</v>
      </c>
      <c r="HU345" s="9" t="s">
        <v>5988</v>
      </c>
      <c r="HV345" s="9" t="s">
        <v>5918</v>
      </c>
      <c r="HX345" s="9" t="s">
        <v>5920</v>
      </c>
      <c r="HY345" s="9" t="s">
        <v>5921</v>
      </c>
      <c r="HZ345" s="9" t="s">
        <v>6464</v>
      </c>
      <c r="IA345" s="9" t="s">
        <v>5922</v>
      </c>
      <c r="IB345" s="9" t="s">
        <v>6464</v>
      </c>
      <c r="IC345" s="9" t="s">
        <v>5919</v>
      </c>
      <c r="ID345" s="9" t="s">
        <v>5500</v>
      </c>
      <c r="IE345" s="9" t="s">
        <v>5536</v>
      </c>
      <c r="IF345" s="9" t="s">
        <v>5989</v>
      </c>
      <c r="IG345" s="9" t="s">
        <v>5989</v>
      </c>
      <c r="IH345" s="9" t="s">
        <v>6522</v>
      </c>
      <c r="II345" s="9" t="s">
        <v>5500</v>
      </c>
      <c r="IK345" s="9" t="s">
        <v>5924</v>
      </c>
      <c r="MJ345" s="9" t="s">
        <v>6321</v>
      </c>
    </row>
    <row r="346" ht="22.5" customHeight="1">
      <c r="A346" s="8">
        <v>45938.7871534838</v>
      </c>
      <c r="B346" s="9" t="s">
        <v>368</v>
      </c>
      <c r="C346" s="9" t="s">
        <v>3570</v>
      </c>
      <c r="D346" s="9" t="s">
        <v>3570</v>
      </c>
      <c r="G346" s="9" t="s">
        <v>1783</v>
      </c>
      <c r="H346" s="9" t="s">
        <v>637</v>
      </c>
      <c r="I346" s="9" t="s">
        <v>638</v>
      </c>
      <c r="J346" s="9" t="s">
        <v>590</v>
      </c>
      <c r="K346" s="9" t="s">
        <v>376</v>
      </c>
      <c r="L346" s="9" t="s">
        <v>426</v>
      </c>
      <c r="M346" s="9" t="s">
        <v>719</v>
      </c>
      <c r="N346" s="9" t="s">
        <v>591</v>
      </c>
      <c r="O346" s="9" t="s">
        <v>719</v>
      </c>
      <c r="P346" s="9" t="s">
        <v>381</v>
      </c>
      <c r="Q346" s="9" t="s">
        <v>759</v>
      </c>
      <c r="R346" s="9" t="s">
        <v>427</v>
      </c>
      <c r="S346" s="9" t="s">
        <v>384</v>
      </c>
      <c r="T346" s="9" t="s">
        <v>385</v>
      </c>
      <c r="W346" s="9" t="s">
        <v>3014</v>
      </c>
      <c r="AV346" s="9" t="s">
        <v>504</v>
      </c>
      <c r="AW346" s="9" t="s">
        <v>429</v>
      </c>
      <c r="AX346" s="9" t="s">
        <v>429</v>
      </c>
      <c r="AY346" s="9" t="s">
        <v>429</v>
      </c>
      <c r="AZ346" s="9" t="s">
        <v>429</v>
      </c>
      <c r="BA346" s="9" t="s">
        <v>429</v>
      </c>
      <c r="BB346" s="9" t="s">
        <v>429</v>
      </c>
      <c r="BC346" s="9" t="s">
        <v>6892</v>
      </c>
      <c r="BE346" s="9" t="s">
        <v>392</v>
      </c>
      <c r="BF346" s="9" t="s">
        <v>433</v>
      </c>
      <c r="BG346" s="9" t="s">
        <v>678</v>
      </c>
      <c r="BI346" s="9" t="s">
        <v>509</v>
      </c>
      <c r="BK346" s="9" t="s">
        <v>511</v>
      </c>
      <c r="BL346" s="9" t="s">
        <v>512</v>
      </c>
      <c r="BM346" s="9" t="s">
        <v>439</v>
      </c>
      <c r="BN346" s="9" t="s">
        <v>513</v>
      </c>
      <c r="CL346" s="9" t="s">
        <v>441</v>
      </c>
      <c r="CM346" s="9" t="s">
        <v>401</v>
      </c>
      <c r="CN346" s="9" t="s">
        <v>6893</v>
      </c>
      <c r="CO346" s="9" t="s">
        <v>6894</v>
      </c>
      <c r="CP346" s="9" t="s">
        <v>685</v>
      </c>
      <c r="CQ346" s="9" t="s">
        <v>6895</v>
      </c>
      <c r="CR346" s="9" t="s">
        <v>404</v>
      </c>
      <c r="CS346" s="9" t="s">
        <v>1137</v>
      </c>
      <c r="CT346" s="9" t="s">
        <v>6896</v>
      </c>
      <c r="CU346" s="9" t="s">
        <v>450</v>
      </c>
      <c r="CV346" s="9" t="s">
        <v>451</v>
      </c>
      <c r="CW346" s="9" t="s">
        <v>6897</v>
      </c>
      <c r="CX346" s="9" t="s">
        <v>408</v>
      </c>
      <c r="CZ346" s="9" t="s">
        <v>453</v>
      </c>
      <c r="DA346" s="9" t="s">
        <v>6898</v>
      </c>
      <c r="DB346" s="9" t="s">
        <v>455</v>
      </c>
      <c r="DC346" s="9" t="s">
        <v>6899</v>
      </c>
      <c r="DD346" s="9" t="s">
        <v>988</v>
      </c>
      <c r="DF346" s="9" t="s">
        <v>6900</v>
      </c>
      <c r="DG346" s="9" t="s">
        <v>524</v>
      </c>
      <c r="DH346" s="9" t="s">
        <v>410</v>
      </c>
      <c r="DI346" s="9" t="s">
        <v>963</v>
      </c>
      <c r="DJ346" s="9" t="s">
        <v>613</v>
      </c>
      <c r="ET346" s="9" t="s">
        <v>578</v>
      </c>
      <c r="EU346" s="9" t="s">
        <v>579</v>
      </c>
      <c r="EV346" s="9" t="s">
        <v>580</v>
      </c>
      <c r="EX346" s="9" t="s">
        <v>6901</v>
      </c>
      <c r="EY346" s="9" t="s">
        <v>6902</v>
      </c>
      <c r="EZ346" s="9" t="s">
        <v>413</v>
      </c>
      <c r="FA346" s="9" t="s">
        <v>415</v>
      </c>
      <c r="FB346" s="9" t="s">
        <v>413</v>
      </c>
      <c r="FC346" s="9" t="s">
        <v>413</v>
      </c>
      <c r="FD346" s="9" t="s">
        <v>413</v>
      </c>
      <c r="FE346" s="9" t="s">
        <v>415</v>
      </c>
      <c r="FF346" s="9" t="s">
        <v>416</v>
      </c>
      <c r="FG346" s="9" t="s">
        <v>415</v>
      </c>
      <c r="FH346" s="9" t="s">
        <v>415</v>
      </c>
      <c r="FI346" s="9" t="s">
        <v>413</v>
      </c>
      <c r="FJ346" s="9" t="s">
        <v>413</v>
      </c>
      <c r="FK346" s="9" t="s">
        <v>413</v>
      </c>
      <c r="FL346" s="9" t="s">
        <v>413</v>
      </c>
      <c r="FM346" s="9" t="s">
        <v>415</v>
      </c>
      <c r="FN346" s="9" t="s">
        <v>415</v>
      </c>
      <c r="FO346" s="9" t="s">
        <v>850</v>
      </c>
      <c r="FP346" s="9" t="s">
        <v>418</v>
      </c>
      <c r="FQ346" s="9" t="s">
        <v>531</v>
      </c>
      <c r="FR346" s="9" t="s">
        <v>6903</v>
      </c>
      <c r="FS346" s="9" t="s">
        <v>420</v>
      </c>
      <c r="FT346" s="9" t="s">
        <v>488</v>
      </c>
      <c r="FU346" s="9" t="s">
        <v>1235</v>
      </c>
      <c r="FV346" s="9" t="s">
        <v>490</v>
      </c>
      <c r="FW346" s="9" t="s">
        <v>491</v>
      </c>
      <c r="FX346" s="9" t="s">
        <v>6904</v>
      </c>
      <c r="FY346" s="9" t="s">
        <v>535</v>
      </c>
      <c r="FZ346" s="9" t="s">
        <v>6905</v>
      </c>
      <c r="GA346" s="9" t="s">
        <v>6906</v>
      </c>
      <c r="GB346" s="9" t="s">
        <v>455</v>
      </c>
      <c r="GC346" s="9"/>
      <c r="GD346" s="9"/>
      <c r="GE346" s="9" t="s">
        <v>944</v>
      </c>
      <c r="GF346" s="9" t="s">
        <v>6907</v>
      </c>
      <c r="GG346" s="9" t="s">
        <v>755</v>
      </c>
      <c r="GH346" s="9" t="s">
        <v>755</v>
      </c>
      <c r="GI346" s="9" t="s">
        <v>946</v>
      </c>
      <c r="GN346" s="9" t="s">
        <v>6908</v>
      </c>
      <c r="GO346" s="9" t="s">
        <v>6909</v>
      </c>
      <c r="GQ346" s="9" t="s">
        <v>3208</v>
      </c>
      <c r="GT346" s="9" t="s">
        <v>4774</v>
      </c>
      <c r="GV346" s="9" t="s">
        <v>484</v>
      </c>
      <c r="GW346" s="9" t="s">
        <v>484</v>
      </c>
      <c r="HC346" s="9" t="s">
        <v>5281</v>
      </c>
      <c r="HD346" s="9" t="s">
        <v>5282</v>
      </c>
      <c r="HE346" s="9" t="s">
        <v>5320</v>
      </c>
      <c r="HF346" s="9" t="s">
        <v>5284</v>
      </c>
      <c r="HO346" s="9" t="s">
        <v>5285</v>
      </c>
      <c r="HP346" s="9" t="s">
        <v>5719</v>
      </c>
      <c r="HQ346" s="9" t="s">
        <v>5238</v>
      </c>
      <c r="HR346" s="9" t="s">
        <v>5321</v>
      </c>
      <c r="HW346" s="9" t="s">
        <v>5501</v>
      </c>
      <c r="MJ346" s="9" t="s">
        <v>6321</v>
      </c>
    </row>
    <row r="347" ht="22.5" customHeight="1">
      <c r="A347" s="8">
        <v>45939.365505891205</v>
      </c>
      <c r="B347" s="9" t="s">
        <v>368</v>
      </c>
      <c r="C347" s="9" t="s">
        <v>370</v>
      </c>
      <c r="D347" s="9" t="s">
        <v>370</v>
      </c>
      <c r="E347" s="9" t="s">
        <v>1480</v>
      </c>
      <c r="F347" s="9" t="s">
        <v>1875</v>
      </c>
      <c r="G347" s="9" t="s">
        <v>636</v>
      </c>
      <c r="H347" s="9" t="s">
        <v>373</v>
      </c>
      <c r="I347" s="9" t="s">
        <v>374</v>
      </c>
      <c r="J347" s="9" t="s">
        <v>425</v>
      </c>
      <c r="K347" s="9" t="s">
        <v>376</v>
      </c>
      <c r="L347" s="9" t="s">
        <v>426</v>
      </c>
      <c r="M347" s="9" t="s">
        <v>541</v>
      </c>
      <c r="N347" s="9" t="s">
        <v>793</v>
      </c>
      <c r="O347" s="9" t="s">
        <v>671</v>
      </c>
      <c r="P347" s="9" t="s">
        <v>498</v>
      </c>
      <c r="Q347" s="9" t="s">
        <v>862</v>
      </c>
      <c r="R347" s="9" t="s">
        <v>500</v>
      </c>
      <c r="S347" s="9" t="s">
        <v>384</v>
      </c>
      <c r="T347" s="9" t="s">
        <v>385</v>
      </c>
      <c r="W347" s="9" t="s">
        <v>386</v>
      </c>
      <c r="X347" s="9" t="s">
        <v>387</v>
      </c>
      <c r="Y347" s="9" t="s">
        <v>1444</v>
      </c>
      <c r="Z347" s="9" t="s">
        <v>502</v>
      </c>
      <c r="AA347" s="9" t="s">
        <v>408</v>
      </c>
      <c r="AB347" s="9" t="s">
        <v>408</v>
      </c>
      <c r="AV347" s="9" t="s">
        <v>1310</v>
      </c>
      <c r="AW347" s="9">
        <v>4.0</v>
      </c>
      <c r="AX347" s="9">
        <v>4.0</v>
      </c>
      <c r="AY347" s="9" t="s">
        <v>391</v>
      </c>
      <c r="AZ347" s="9">
        <v>4.0</v>
      </c>
      <c r="BA347" s="9">
        <v>4.0</v>
      </c>
      <c r="BB347" s="9">
        <v>4.0</v>
      </c>
      <c r="BC347" s="9" t="s">
        <v>6910</v>
      </c>
      <c r="BD347" s="9" t="s">
        <v>6911</v>
      </c>
      <c r="BE347" s="9" t="s">
        <v>2379</v>
      </c>
      <c r="BF347" s="9" t="s">
        <v>393</v>
      </c>
      <c r="BG347" s="9" t="s">
        <v>434</v>
      </c>
      <c r="BH347" s="9" t="s">
        <v>6912</v>
      </c>
      <c r="BI347" s="9" t="s">
        <v>976</v>
      </c>
      <c r="BJ347" s="9" t="s">
        <v>6170</v>
      </c>
      <c r="BK347" s="9" t="s">
        <v>437</v>
      </c>
      <c r="BL347" s="9" t="s">
        <v>603</v>
      </c>
      <c r="BM347" s="9" t="s">
        <v>1247</v>
      </c>
      <c r="BN347" s="9" t="s">
        <v>513</v>
      </c>
      <c r="CL347" s="9" t="s">
        <v>441</v>
      </c>
      <c r="CM347" s="9" t="s">
        <v>401</v>
      </c>
      <c r="CN347" s="9" t="s">
        <v>6913</v>
      </c>
      <c r="CO347" s="9" t="s">
        <v>6914</v>
      </c>
      <c r="CP347" s="9" t="s">
        <v>979</v>
      </c>
      <c r="CQ347" s="9" t="s">
        <v>6915</v>
      </c>
      <c r="CR347" s="9" t="s">
        <v>447</v>
      </c>
      <c r="CS347" s="9" t="s">
        <v>6916</v>
      </c>
      <c r="CT347" s="9" t="s">
        <v>6917</v>
      </c>
      <c r="CU347" s="9" t="s">
        <v>982</v>
      </c>
      <c r="CV347" s="9" t="s">
        <v>451</v>
      </c>
      <c r="CW347" s="9" t="s">
        <v>6918</v>
      </c>
      <c r="CX347" s="9" t="s">
        <v>408</v>
      </c>
      <c r="CZ347" s="9" t="s">
        <v>985</v>
      </c>
      <c r="DA347" s="9" t="s">
        <v>6919</v>
      </c>
      <c r="DB347" s="9" t="s">
        <v>408</v>
      </c>
      <c r="DD347" s="9" t="s">
        <v>406</v>
      </c>
      <c r="DE347" s="9" t="s">
        <v>691</v>
      </c>
      <c r="DF347" s="9" t="s">
        <v>6920</v>
      </c>
      <c r="DG347" s="9" t="s">
        <v>776</v>
      </c>
      <c r="DH347" s="9" t="s">
        <v>1220</v>
      </c>
      <c r="DI347" s="9" t="s">
        <v>459</v>
      </c>
      <c r="DJ347" s="9" t="s">
        <v>460</v>
      </c>
      <c r="DK347" s="9" t="s">
        <v>6335</v>
      </c>
      <c r="ET347" s="9" t="s">
        <v>526</v>
      </c>
      <c r="EU347" s="9" t="s">
        <v>887</v>
      </c>
      <c r="EV347" s="9" t="s">
        <v>527</v>
      </c>
      <c r="EW347" s="9" t="s">
        <v>6921</v>
      </c>
      <c r="EX347" s="9" t="s">
        <v>6922</v>
      </c>
      <c r="EZ347" s="9" t="s">
        <v>413</v>
      </c>
      <c r="FA347" s="9" t="s">
        <v>415</v>
      </c>
      <c r="FB347" s="9" t="s">
        <v>413</v>
      </c>
      <c r="FC347" s="9" t="s">
        <v>413</v>
      </c>
      <c r="FD347" s="9" t="s">
        <v>413</v>
      </c>
      <c r="FE347" s="9" t="s">
        <v>415</v>
      </c>
      <c r="FF347" s="9" t="s">
        <v>413</v>
      </c>
      <c r="FG347" s="9" t="s">
        <v>413</v>
      </c>
      <c r="FH347" s="9" t="s">
        <v>583</v>
      </c>
      <c r="FI347" s="9" t="s">
        <v>415</v>
      </c>
      <c r="FJ347" s="9" t="s">
        <v>413</v>
      </c>
      <c r="FK347" s="9" t="s">
        <v>413</v>
      </c>
      <c r="FL347" s="9" t="s">
        <v>416</v>
      </c>
      <c r="FM347" s="9" t="s">
        <v>413</v>
      </c>
      <c r="FN347" s="9" t="s">
        <v>414</v>
      </c>
      <c r="FO347" s="9" t="s">
        <v>850</v>
      </c>
      <c r="FP347" s="9" t="s">
        <v>486</v>
      </c>
      <c r="FQ347" s="9" t="s">
        <v>749</v>
      </c>
      <c r="FS347" s="9" t="s">
        <v>420</v>
      </c>
      <c r="FT347" s="9" t="s">
        <v>488</v>
      </c>
      <c r="FU347" s="9" t="s">
        <v>489</v>
      </c>
      <c r="FV347" s="9" t="s">
        <v>490</v>
      </c>
      <c r="FW347" s="9" t="s">
        <v>491</v>
      </c>
      <c r="FY347" s="9" t="s">
        <v>535</v>
      </c>
      <c r="GA347" s="9" t="s">
        <v>6923</v>
      </c>
      <c r="GB347" s="9" t="s">
        <v>408</v>
      </c>
      <c r="GG347" s="9" t="s">
        <v>755</v>
      </c>
      <c r="GH347" s="9" t="s">
        <v>755</v>
      </c>
      <c r="GI347" s="9" t="s">
        <v>756</v>
      </c>
      <c r="GQ347" s="9" t="s">
        <v>3208</v>
      </c>
      <c r="GT347" s="9" t="s">
        <v>4774</v>
      </c>
      <c r="GV347" s="9" t="s">
        <v>5231</v>
      </c>
      <c r="GW347" s="9" t="s">
        <v>5232</v>
      </c>
      <c r="HC347" s="9" t="s">
        <v>5297</v>
      </c>
      <c r="HD347" s="9" t="s">
        <v>5282</v>
      </c>
      <c r="HE347" s="9" t="s">
        <v>5492</v>
      </c>
      <c r="HF347" s="9" t="s">
        <v>5300</v>
      </c>
      <c r="HO347" s="9" t="s">
        <v>5285</v>
      </c>
      <c r="HP347" s="9" t="s">
        <v>5264</v>
      </c>
      <c r="HQ347" s="9" t="s">
        <v>5238</v>
      </c>
      <c r="HR347" s="9" t="s">
        <v>5321</v>
      </c>
      <c r="HW347" s="9" t="s">
        <v>5499</v>
      </c>
      <c r="MJ347" s="9" t="s">
        <v>6321</v>
      </c>
    </row>
    <row r="348" ht="22.5" customHeight="1">
      <c r="A348" s="8">
        <v>45939.628821273145</v>
      </c>
      <c r="B348" s="9" t="s">
        <v>368</v>
      </c>
      <c r="C348" s="9" t="s">
        <v>6924</v>
      </c>
      <c r="D348" s="9" t="s">
        <v>370</v>
      </c>
      <c r="F348" s="9" t="s">
        <v>371</v>
      </c>
      <c r="G348" s="9" t="s">
        <v>1093</v>
      </c>
      <c r="H348" s="9" t="s">
        <v>496</v>
      </c>
      <c r="I348" s="9" t="s">
        <v>374</v>
      </c>
      <c r="J348" s="9" t="s">
        <v>375</v>
      </c>
      <c r="K348" s="9" t="s">
        <v>376</v>
      </c>
      <c r="L348" s="9" t="s">
        <v>793</v>
      </c>
      <c r="M348" s="9" t="s">
        <v>6925</v>
      </c>
      <c r="N348" s="9" t="s">
        <v>670</v>
      </c>
      <c r="O348" s="9" t="s">
        <v>639</v>
      </c>
      <c r="P348" s="9" t="s">
        <v>498</v>
      </c>
      <c r="Q348" s="9" t="s">
        <v>862</v>
      </c>
      <c r="R348" s="9" t="s">
        <v>427</v>
      </c>
      <c r="S348" s="9" t="s">
        <v>384</v>
      </c>
      <c r="T348" s="9" t="s">
        <v>385</v>
      </c>
      <c r="W348" s="9" t="s">
        <v>3014</v>
      </c>
      <c r="AV348" s="9" t="s">
        <v>1310</v>
      </c>
      <c r="AW348" s="9" t="s">
        <v>675</v>
      </c>
      <c r="AX348" s="9" t="s">
        <v>675</v>
      </c>
      <c r="AY348" s="9" t="s">
        <v>429</v>
      </c>
      <c r="AZ348" s="9" t="s">
        <v>675</v>
      </c>
      <c r="BA348" s="9" t="s">
        <v>429</v>
      </c>
      <c r="BB348" s="9" t="s">
        <v>675</v>
      </c>
      <c r="BC348" s="9" t="s">
        <v>6926</v>
      </c>
      <c r="BD348" s="9" t="s">
        <v>6927</v>
      </c>
      <c r="BE348" s="9" t="s">
        <v>432</v>
      </c>
      <c r="BF348" s="9" t="s">
        <v>1245</v>
      </c>
      <c r="BH348" s="9" t="s">
        <v>6928</v>
      </c>
      <c r="BI348" s="9" t="s">
        <v>727</v>
      </c>
      <c r="BK348" s="9" t="s">
        <v>681</v>
      </c>
      <c r="BL348" s="9" t="s">
        <v>603</v>
      </c>
      <c r="BM348" s="9" t="s">
        <v>397</v>
      </c>
      <c r="BN348" s="9" t="s">
        <v>513</v>
      </c>
      <c r="CL348" s="9" t="s">
        <v>682</v>
      </c>
      <c r="CM348" s="9" t="s">
        <v>442</v>
      </c>
      <c r="CN348" s="9" t="s">
        <v>6929</v>
      </c>
      <c r="CO348" s="9" t="s">
        <v>6930</v>
      </c>
      <c r="CT348" s="9" t="s">
        <v>6931</v>
      </c>
      <c r="CU348" s="9" t="s">
        <v>450</v>
      </c>
      <c r="CV348" s="9" t="s">
        <v>959</v>
      </c>
      <c r="CX348" s="9" t="s">
        <v>408</v>
      </c>
      <c r="CZ348" s="9" t="s">
        <v>1962</v>
      </c>
      <c r="DB348" s="9" t="s">
        <v>408</v>
      </c>
      <c r="DH348" s="9" t="s">
        <v>410</v>
      </c>
      <c r="DI348" s="9" t="s">
        <v>963</v>
      </c>
      <c r="DJ348" s="9" t="s">
        <v>460</v>
      </c>
      <c r="DK348" s="9" t="s">
        <v>6319</v>
      </c>
      <c r="ET348" s="9" t="s">
        <v>578</v>
      </c>
      <c r="EU348" s="9" t="s">
        <v>479</v>
      </c>
      <c r="EV348" s="9" t="s">
        <v>480</v>
      </c>
      <c r="EX348" s="9" t="s">
        <v>6932</v>
      </c>
      <c r="EY348" s="9" t="s">
        <v>6933</v>
      </c>
      <c r="EZ348" s="9" t="s">
        <v>415</v>
      </c>
      <c r="FA348" s="9" t="s">
        <v>583</v>
      </c>
      <c r="FB348" s="9" t="s">
        <v>413</v>
      </c>
      <c r="FC348" s="9" t="s">
        <v>583</v>
      </c>
      <c r="FD348" s="9" t="s">
        <v>583</v>
      </c>
      <c r="FE348" s="9" t="s">
        <v>583</v>
      </c>
      <c r="FF348" s="9" t="s">
        <v>583</v>
      </c>
      <c r="FG348" s="9" t="s">
        <v>583</v>
      </c>
      <c r="FH348" s="9" t="s">
        <v>413</v>
      </c>
      <c r="FI348" s="9" t="s">
        <v>583</v>
      </c>
      <c r="FJ348" s="9" t="s">
        <v>583</v>
      </c>
      <c r="FK348" s="9" t="s">
        <v>415</v>
      </c>
      <c r="FL348" s="9" t="s">
        <v>415</v>
      </c>
      <c r="FM348" s="9" t="s">
        <v>415</v>
      </c>
      <c r="FN348" s="9" t="s">
        <v>415</v>
      </c>
      <c r="FO348" s="9" t="s">
        <v>1537</v>
      </c>
      <c r="FP348" s="9" t="s">
        <v>2524</v>
      </c>
      <c r="FQ348" s="9" t="s">
        <v>630</v>
      </c>
      <c r="FR348" s="9" t="s">
        <v>6934</v>
      </c>
      <c r="FS348" s="9" t="s">
        <v>1871</v>
      </c>
      <c r="FT348" s="9" t="s">
        <v>421</v>
      </c>
      <c r="FU348" s="9" t="s">
        <v>533</v>
      </c>
      <c r="FV348" s="9" t="s">
        <v>490</v>
      </c>
      <c r="FW348" s="9" t="s">
        <v>491</v>
      </c>
      <c r="FX348" s="9" t="s">
        <v>6935</v>
      </c>
      <c r="FY348" s="9" t="s">
        <v>493</v>
      </c>
      <c r="GB348" s="9" t="s">
        <v>455</v>
      </c>
      <c r="GE348" s="9" t="s">
        <v>753</v>
      </c>
      <c r="GG348" s="9" t="s">
        <v>755</v>
      </c>
      <c r="GH348" s="9" t="s">
        <v>755</v>
      </c>
      <c r="GI348" s="9" t="s">
        <v>946</v>
      </c>
      <c r="GN348" s="9" t="s">
        <v>6936</v>
      </c>
      <c r="GQ348" s="9" t="s">
        <v>3208</v>
      </c>
      <c r="GT348" s="9" t="s">
        <v>4741</v>
      </c>
      <c r="GU348" s="9" t="s">
        <v>6937</v>
      </c>
      <c r="GV348" s="9" t="s">
        <v>5231</v>
      </c>
      <c r="GW348" s="9" t="s">
        <v>484</v>
      </c>
      <c r="HO348" s="9" t="s">
        <v>5285</v>
      </c>
      <c r="HP348" s="9" t="s">
        <v>5264</v>
      </c>
      <c r="HQ348" s="9" t="s">
        <v>5286</v>
      </c>
      <c r="HR348" s="9" t="s">
        <v>5321</v>
      </c>
      <c r="HS348" s="9" t="s">
        <v>5987</v>
      </c>
      <c r="HU348" s="9" t="s">
        <v>5988</v>
      </c>
      <c r="HV348" s="9" t="s">
        <v>5918</v>
      </c>
      <c r="HX348" s="9" t="s">
        <v>5922</v>
      </c>
      <c r="HY348" s="9" t="s">
        <v>5922</v>
      </c>
      <c r="HZ348" s="9" t="s">
        <v>6464</v>
      </c>
      <c r="IA348" s="9" t="s">
        <v>6464</v>
      </c>
      <c r="IB348" s="9" t="s">
        <v>6464</v>
      </c>
      <c r="IC348" s="9" t="s">
        <v>5920</v>
      </c>
      <c r="ID348" s="9" t="s">
        <v>5500</v>
      </c>
      <c r="IE348" s="9" t="s">
        <v>5500</v>
      </c>
      <c r="IF348" s="9" t="s">
        <v>5500</v>
      </c>
      <c r="IG348" s="9" t="s">
        <v>5500</v>
      </c>
      <c r="IH348" s="9" t="s">
        <v>5500</v>
      </c>
      <c r="II348" s="9" t="s">
        <v>5500</v>
      </c>
      <c r="IJ348" s="9" t="s">
        <v>6938</v>
      </c>
      <c r="IK348" s="9" t="s">
        <v>5924</v>
      </c>
      <c r="IL348" s="9" t="s">
        <v>6939</v>
      </c>
      <c r="IM348" s="9" t="s">
        <v>6940</v>
      </c>
      <c r="MJ348" s="9" t="s">
        <v>6321</v>
      </c>
    </row>
    <row r="349" ht="22.5" customHeight="1">
      <c r="A349" s="8">
        <v>45939.66269103009</v>
      </c>
      <c r="B349" s="9" t="s">
        <v>368</v>
      </c>
      <c r="C349" s="9" t="s">
        <v>370</v>
      </c>
      <c r="D349" s="9" t="s">
        <v>370</v>
      </c>
      <c r="E349" s="9" t="s">
        <v>791</v>
      </c>
      <c r="F349" s="9" t="s">
        <v>791</v>
      </c>
      <c r="G349" s="9" t="s">
        <v>422</v>
      </c>
      <c r="H349" s="9" t="s">
        <v>373</v>
      </c>
      <c r="I349" s="9" t="s">
        <v>374</v>
      </c>
      <c r="J349" s="9" t="s">
        <v>375</v>
      </c>
      <c r="K349" s="9" t="s">
        <v>376</v>
      </c>
      <c r="L349" s="9" t="s">
        <v>591</v>
      </c>
      <c r="M349" s="9" t="s">
        <v>6941</v>
      </c>
      <c r="N349" s="9" t="s">
        <v>591</v>
      </c>
      <c r="O349" s="9" t="s">
        <v>6942</v>
      </c>
      <c r="P349" s="9" t="s">
        <v>498</v>
      </c>
      <c r="Q349" s="9" t="s">
        <v>382</v>
      </c>
      <c r="R349" s="9" t="s">
        <v>1704</v>
      </c>
      <c r="S349" s="9" t="s">
        <v>6943</v>
      </c>
      <c r="T349" s="9" t="s">
        <v>385</v>
      </c>
      <c r="W349" s="9" t="s">
        <v>386</v>
      </c>
      <c r="X349" s="9" t="s">
        <v>387</v>
      </c>
      <c r="Y349" s="9" t="s">
        <v>388</v>
      </c>
      <c r="Z349" s="9" t="s">
        <v>543</v>
      </c>
      <c r="AA349" s="9" t="s">
        <v>408</v>
      </c>
      <c r="AV349" s="9" t="s">
        <v>504</v>
      </c>
      <c r="AW349" s="9" t="s">
        <v>429</v>
      </c>
      <c r="AX349" s="9" t="s">
        <v>429</v>
      </c>
      <c r="AY349" s="9">
        <v>2.0</v>
      </c>
      <c r="AZ349" s="9" t="s">
        <v>429</v>
      </c>
      <c r="BA349" s="9" t="s">
        <v>429</v>
      </c>
      <c r="BB349" s="9" t="s">
        <v>429</v>
      </c>
      <c r="BC349" s="9" t="s">
        <v>6944</v>
      </c>
      <c r="BD349" s="9" t="s">
        <v>6945</v>
      </c>
      <c r="BE349" s="9" t="s">
        <v>392</v>
      </c>
      <c r="BF349" s="9" t="s">
        <v>433</v>
      </c>
      <c r="BG349" s="9" t="s">
        <v>678</v>
      </c>
      <c r="BH349" s="9" t="s">
        <v>6946</v>
      </c>
      <c r="BI349" s="9" t="s">
        <v>509</v>
      </c>
      <c r="BJ349" s="9" t="s">
        <v>6947</v>
      </c>
      <c r="BK349" s="9" t="s">
        <v>437</v>
      </c>
      <c r="BL349" s="9" t="s">
        <v>438</v>
      </c>
      <c r="BM349" s="9" t="s">
        <v>439</v>
      </c>
      <c r="BN349" s="9" t="s">
        <v>513</v>
      </c>
      <c r="CL349" s="9" t="s">
        <v>441</v>
      </c>
      <c r="CM349" s="9" t="s">
        <v>401</v>
      </c>
      <c r="CN349" s="9" t="s">
        <v>552</v>
      </c>
      <c r="CO349" s="9" t="s">
        <v>6948</v>
      </c>
      <c r="CP349" s="9" t="s">
        <v>445</v>
      </c>
      <c r="CQ349" s="9" t="s">
        <v>6949</v>
      </c>
      <c r="CR349" s="9" t="s">
        <v>447</v>
      </c>
      <c r="CS349" s="9" t="s">
        <v>6950</v>
      </c>
      <c r="CT349" s="9" t="s">
        <v>6951</v>
      </c>
      <c r="CU349" s="9" t="s">
        <v>450</v>
      </c>
      <c r="CV349" s="9" t="s">
        <v>451</v>
      </c>
      <c r="CW349" s="9" t="s">
        <v>6952</v>
      </c>
      <c r="CX349" s="9" t="s">
        <v>408</v>
      </c>
      <c r="CZ349" s="9" t="s">
        <v>453</v>
      </c>
      <c r="DA349" s="9" t="s">
        <v>6953</v>
      </c>
      <c r="DB349" s="9" t="s">
        <v>913</v>
      </c>
      <c r="DD349" s="9" t="s">
        <v>457</v>
      </c>
      <c r="DF349" s="9" t="s">
        <v>3463</v>
      </c>
      <c r="DG349" s="9" t="s">
        <v>524</v>
      </c>
      <c r="DH349" s="9" t="s">
        <v>410</v>
      </c>
      <c r="DI349" s="9" t="s">
        <v>459</v>
      </c>
      <c r="DJ349" s="9" t="s">
        <v>613</v>
      </c>
      <c r="ET349" s="9" t="s">
        <v>526</v>
      </c>
      <c r="EU349" s="9" t="s">
        <v>479</v>
      </c>
      <c r="EV349" s="9" t="s">
        <v>778</v>
      </c>
      <c r="EW349" s="9" t="s">
        <v>6954</v>
      </c>
      <c r="EX349" s="9" t="s">
        <v>6955</v>
      </c>
      <c r="EY349" s="9" t="s">
        <v>6956</v>
      </c>
      <c r="EZ349" s="9" t="s">
        <v>413</v>
      </c>
      <c r="FA349" s="9" t="s">
        <v>413</v>
      </c>
      <c r="FB349" s="9" t="s">
        <v>413</v>
      </c>
      <c r="FC349" s="9" t="s">
        <v>413</v>
      </c>
      <c r="FD349" s="9" t="s">
        <v>413</v>
      </c>
      <c r="FE349" s="9" t="s">
        <v>413</v>
      </c>
      <c r="FF349" s="9" t="s">
        <v>413</v>
      </c>
      <c r="FG349" s="9" t="s">
        <v>413</v>
      </c>
      <c r="FH349" s="9" t="s">
        <v>484</v>
      </c>
      <c r="FI349" s="9" t="s">
        <v>413</v>
      </c>
      <c r="FJ349" s="9" t="s">
        <v>413</v>
      </c>
      <c r="FK349" s="9" t="s">
        <v>413</v>
      </c>
      <c r="FL349" s="9" t="s">
        <v>413</v>
      </c>
      <c r="FM349" s="9" t="s">
        <v>413</v>
      </c>
      <c r="FN349" s="9" t="s">
        <v>484</v>
      </c>
      <c r="FO349" s="9" t="s">
        <v>417</v>
      </c>
      <c r="FP349" s="9" t="s">
        <v>418</v>
      </c>
      <c r="FQ349" s="9" t="s">
        <v>531</v>
      </c>
      <c r="FR349" s="9" t="s">
        <v>6957</v>
      </c>
      <c r="FS349" s="9" t="s">
        <v>420</v>
      </c>
      <c r="FT349" s="9" t="s">
        <v>488</v>
      </c>
      <c r="FU349" s="9" t="s">
        <v>489</v>
      </c>
      <c r="FV349" s="9" t="s">
        <v>490</v>
      </c>
      <c r="FW349" s="9" t="s">
        <v>491</v>
      </c>
      <c r="FX349" s="9" t="s">
        <v>6958</v>
      </c>
      <c r="FY349" s="9" t="s">
        <v>535</v>
      </c>
      <c r="FZ349" s="9" t="s">
        <v>6959</v>
      </c>
      <c r="GA349" s="9" t="s">
        <v>6960</v>
      </c>
      <c r="GB349" s="9" t="s">
        <v>455</v>
      </c>
      <c r="GC349" s="9"/>
      <c r="GE349" s="9" t="s">
        <v>1339</v>
      </c>
      <c r="GF349" s="9" t="s">
        <v>6961</v>
      </c>
      <c r="GG349" s="9" t="s">
        <v>1000</v>
      </c>
      <c r="GH349" s="9" t="s">
        <v>920</v>
      </c>
      <c r="GI349" s="9" t="s">
        <v>946</v>
      </c>
      <c r="GQ349" s="9" t="s">
        <v>3208</v>
      </c>
      <c r="GT349" s="9" t="s">
        <v>4774</v>
      </c>
      <c r="GV349" s="9" t="s">
        <v>5231</v>
      </c>
      <c r="GW349" s="9" t="s">
        <v>5232</v>
      </c>
      <c r="HC349" s="9" t="s">
        <v>484</v>
      </c>
      <c r="HD349" s="9" t="s">
        <v>5282</v>
      </c>
      <c r="HE349" s="9" t="s">
        <v>5320</v>
      </c>
      <c r="HF349" s="9" t="s">
        <v>5284</v>
      </c>
      <c r="HO349" s="9" t="s">
        <v>5236</v>
      </c>
      <c r="HP349" s="9" t="s">
        <v>5264</v>
      </c>
      <c r="HQ349" s="9" t="s">
        <v>5238</v>
      </c>
      <c r="HR349" s="9" t="s">
        <v>5347</v>
      </c>
      <c r="HW349" s="9" t="s">
        <v>6274</v>
      </c>
      <c r="MJ349" s="9" t="s">
        <v>6321</v>
      </c>
    </row>
    <row r="350" ht="22.5" customHeight="1">
      <c r="A350" s="8">
        <v>45939.87349773148</v>
      </c>
      <c r="B350" s="9" t="s">
        <v>368</v>
      </c>
      <c r="C350" s="9" t="s">
        <v>370</v>
      </c>
      <c r="D350" s="9" t="s">
        <v>370</v>
      </c>
      <c r="E350" s="9" t="s">
        <v>371</v>
      </c>
      <c r="F350" s="9" t="s">
        <v>371</v>
      </c>
      <c r="G350" s="9" t="s">
        <v>1093</v>
      </c>
      <c r="H350" s="9" t="s">
        <v>637</v>
      </c>
      <c r="I350" s="9" t="s">
        <v>638</v>
      </c>
      <c r="J350" s="9" t="s">
        <v>590</v>
      </c>
      <c r="K350" s="9" t="s">
        <v>376</v>
      </c>
      <c r="L350" s="9" t="s">
        <v>591</v>
      </c>
      <c r="M350" s="9" t="s">
        <v>2464</v>
      </c>
      <c r="N350" s="9" t="s">
        <v>379</v>
      </c>
      <c r="O350" s="9" t="s">
        <v>2464</v>
      </c>
      <c r="P350" s="9" t="s">
        <v>498</v>
      </c>
      <c r="Q350" s="9" t="s">
        <v>818</v>
      </c>
      <c r="R350" s="9" t="s">
        <v>949</v>
      </c>
      <c r="S350" s="9" t="s">
        <v>384</v>
      </c>
      <c r="T350" s="9" t="s">
        <v>385</v>
      </c>
      <c r="W350" s="9" t="s">
        <v>593</v>
      </c>
      <c r="X350" s="9" t="s">
        <v>387</v>
      </c>
      <c r="Y350" s="9" t="s">
        <v>2115</v>
      </c>
      <c r="Z350" s="9" t="s">
        <v>672</v>
      </c>
      <c r="AA350" s="9" t="s">
        <v>6962</v>
      </c>
      <c r="AB350" s="9" t="s">
        <v>6963</v>
      </c>
      <c r="AV350" s="9" t="s">
        <v>390</v>
      </c>
      <c r="AW350" s="9" t="s">
        <v>429</v>
      </c>
      <c r="AX350" s="9" t="s">
        <v>429</v>
      </c>
      <c r="AY350" s="9" t="s">
        <v>675</v>
      </c>
      <c r="AZ350" s="9" t="s">
        <v>391</v>
      </c>
      <c r="BA350" s="9">
        <v>2.0</v>
      </c>
      <c r="BB350" s="9" t="s">
        <v>429</v>
      </c>
      <c r="BC350" s="9" t="s">
        <v>6964</v>
      </c>
      <c r="BD350" s="9" t="s">
        <v>6965</v>
      </c>
      <c r="BE350" s="9" t="s">
        <v>392</v>
      </c>
      <c r="BF350" s="9" t="s">
        <v>433</v>
      </c>
      <c r="BG350" s="9" t="s">
        <v>678</v>
      </c>
      <c r="BI350" s="9" t="s">
        <v>824</v>
      </c>
      <c r="BK350" s="9" t="s">
        <v>681</v>
      </c>
      <c r="BL350" s="9" t="s">
        <v>904</v>
      </c>
      <c r="BM350" s="9" t="s">
        <v>439</v>
      </c>
      <c r="BN350" s="9" t="s">
        <v>513</v>
      </c>
      <c r="CL350" s="9" t="s">
        <v>441</v>
      </c>
      <c r="CM350" s="9" t="s">
        <v>682</v>
      </c>
      <c r="CN350" s="9" t="s">
        <v>552</v>
      </c>
      <c r="CO350" s="9" t="s">
        <v>6966</v>
      </c>
      <c r="CP350" s="9" t="s">
        <v>1008</v>
      </c>
      <c r="CQ350" s="9" t="s">
        <v>2383</v>
      </c>
      <c r="CR350" s="9" t="s">
        <v>447</v>
      </c>
      <c r="CS350" s="9" t="s">
        <v>6967</v>
      </c>
      <c r="CT350" s="9" t="s">
        <v>6968</v>
      </c>
      <c r="CU350" s="9" t="s">
        <v>450</v>
      </c>
      <c r="CV350" s="9" t="s">
        <v>451</v>
      </c>
      <c r="CW350" s="9" t="s">
        <v>6969</v>
      </c>
      <c r="CX350" s="9" t="s">
        <v>408</v>
      </c>
      <c r="CZ350" s="9" t="s">
        <v>985</v>
      </c>
      <c r="DA350" s="9" t="s">
        <v>6970</v>
      </c>
      <c r="DB350" s="9" t="s">
        <v>455</v>
      </c>
      <c r="DC350" s="9" t="s">
        <v>6971</v>
      </c>
      <c r="DD350" s="9" t="s">
        <v>988</v>
      </c>
      <c r="DF350" s="9" t="s">
        <v>6972</v>
      </c>
      <c r="DG350" s="9" t="s">
        <v>561</v>
      </c>
      <c r="DH350" s="9" t="s">
        <v>694</v>
      </c>
      <c r="DI350" s="9" t="s">
        <v>459</v>
      </c>
      <c r="DJ350" s="9" t="s">
        <v>460</v>
      </c>
      <c r="DK350" s="9" t="s">
        <v>6335</v>
      </c>
      <c r="ET350" s="9" t="s">
        <v>526</v>
      </c>
      <c r="EU350" s="9" t="s">
        <v>479</v>
      </c>
      <c r="EV350" s="9" t="s">
        <v>527</v>
      </c>
      <c r="EW350" s="9" t="s">
        <v>6973</v>
      </c>
      <c r="EX350" s="9" t="s">
        <v>6974</v>
      </c>
      <c r="EY350" s="9" t="s">
        <v>6975</v>
      </c>
      <c r="EZ350" s="9" t="s">
        <v>414</v>
      </c>
      <c r="FA350" s="9" t="s">
        <v>414</v>
      </c>
      <c r="FB350" s="9" t="s">
        <v>414</v>
      </c>
      <c r="FC350" s="9" t="s">
        <v>414</v>
      </c>
      <c r="FD350" s="9" t="s">
        <v>414</v>
      </c>
      <c r="FE350" s="9" t="s">
        <v>414</v>
      </c>
      <c r="FF350" s="9" t="s">
        <v>414</v>
      </c>
      <c r="FG350" s="9" t="s">
        <v>414</v>
      </c>
      <c r="FH350" s="9" t="s">
        <v>414</v>
      </c>
      <c r="FI350" s="9" t="s">
        <v>414</v>
      </c>
      <c r="FJ350" s="9" t="s">
        <v>414</v>
      </c>
      <c r="FK350" s="9" t="s">
        <v>414</v>
      </c>
      <c r="FL350" s="9" t="s">
        <v>414</v>
      </c>
      <c r="FM350" s="9" t="s">
        <v>414</v>
      </c>
      <c r="FN350" s="9" t="s">
        <v>414</v>
      </c>
      <c r="FO350" s="9" t="s">
        <v>850</v>
      </c>
      <c r="FP350" s="9" t="s">
        <v>486</v>
      </c>
      <c r="FQ350" s="9" t="s">
        <v>419</v>
      </c>
      <c r="FR350" s="9" t="s">
        <v>6976</v>
      </c>
      <c r="FS350" s="9" t="s">
        <v>1189</v>
      </c>
      <c r="FT350" s="9" t="s">
        <v>488</v>
      </c>
      <c r="FU350" s="9" t="s">
        <v>489</v>
      </c>
      <c r="FV350" s="9" t="s">
        <v>490</v>
      </c>
      <c r="FW350" s="9" t="s">
        <v>491</v>
      </c>
      <c r="FX350" s="9" t="s">
        <v>6977</v>
      </c>
      <c r="FY350" s="9" t="s">
        <v>535</v>
      </c>
      <c r="FZ350" s="9" t="s">
        <v>6978</v>
      </c>
      <c r="GA350" s="9" t="s">
        <v>6979</v>
      </c>
      <c r="GB350" s="9" t="s">
        <v>455</v>
      </c>
      <c r="GC350" s="9"/>
      <c r="GE350" s="9" t="s">
        <v>855</v>
      </c>
      <c r="GF350" s="9" t="s">
        <v>6980</v>
      </c>
      <c r="GG350" s="9" t="s">
        <v>1000</v>
      </c>
      <c r="GH350" s="9" t="s">
        <v>1000</v>
      </c>
      <c r="GI350" s="9" t="s">
        <v>817</v>
      </c>
      <c r="GQ350" s="9" t="s">
        <v>3208</v>
      </c>
      <c r="GT350" s="9" t="s">
        <v>5170</v>
      </c>
      <c r="GU350" s="9" t="s">
        <v>6981</v>
      </c>
      <c r="GV350" s="9" t="s">
        <v>5231</v>
      </c>
      <c r="GW350" s="9" t="s">
        <v>484</v>
      </c>
      <c r="HC350" s="9" t="s">
        <v>5297</v>
      </c>
      <c r="HD350" s="9" t="s">
        <v>5282</v>
      </c>
      <c r="HE350" s="9" t="s">
        <v>5320</v>
      </c>
      <c r="HF350" s="9" t="s">
        <v>5284</v>
      </c>
      <c r="HO350" s="9" t="s">
        <v>5383</v>
      </c>
      <c r="HP350" s="9" t="s">
        <v>5264</v>
      </c>
      <c r="HQ350" s="9" t="s">
        <v>5238</v>
      </c>
      <c r="HR350" s="9" t="s">
        <v>5321</v>
      </c>
      <c r="HW350" s="9" t="s">
        <v>6789</v>
      </c>
      <c r="MJ350" s="9" t="s">
        <v>6321</v>
      </c>
    </row>
    <row r="351" ht="22.5" customHeight="1">
      <c r="A351" s="8">
        <v>45940.273669965274</v>
      </c>
      <c r="B351" s="9" t="s">
        <v>368</v>
      </c>
      <c r="C351" s="9" t="s">
        <v>538</v>
      </c>
      <c r="D351" s="9" t="s">
        <v>538</v>
      </c>
      <c r="G351" s="9" t="s">
        <v>422</v>
      </c>
      <c r="H351" s="9" t="s">
        <v>539</v>
      </c>
      <c r="I351" s="9" t="s">
        <v>424</v>
      </c>
      <c r="K351" s="9" t="s">
        <v>376</v>
      </c>
      <c r="L351" s="9" t="s">
        <v>379</v>
      </c>
      <c r="M351" s="9" t="s">
        <v>720</v>
      </c>
      <c r="N351" s="9" t="s">
        <v>591</v>
      </c>
      <c r="O351" s="9" t="s">
        <v>671</v>
      </c>
      <c r="P351" s="9" t="s">
        <v>592</v>
      </c>
      <c r="Q351" s="9" t="s">
        <v>499</v>
      </c>
      <c r="R351" s="9" t="s">
        <v>427</v>
      </c>
      <c r="S351" s="9" t="s">
        <v>384</v>
      </c>
      <c r="T351" s="9" t="s">
        <v>385</v>
      </c>
      <c r="W351" s="9" t="s">
        <v>3231</v>
      </c>
      <c r="AV351" s="9" t="s">
        <v>1310</v>
      </c>
      <c r="AW351" s="9">
        <v>4.0</v>
      </c>
      <c r="AX351" s="9">
        <v>4.0</v>
      </c>
      <c r="AY351" s="9">
        <v>4.0</v>
      </c>
      <c r="AZ351" s="9" t="s">
        <v>675</v>
      </c>
      <c r="BA351" s="9" t="s">
        <v>675</v>
      </c>
      <c r="BB351" s="9">
        <v>4.0</v>
      </c>
      <c r="BC351" s="9" t="s">
        <v>6982</v>
      </c>
      <c r="BD351" s="9" t="s">
        <v>6983</v>
      </c>
      <c r="BE351" s="9" t="s">
        <v>2259</v>
      </c>
      <c r="BF351" s="9" t="s">
        <v>1095</v>
      </c>
      <c r="BG351" s="9" t="s">
        <v>394</v>
      </c>
      <c r="BH351" s="9" t="s">
        <v>6984</v>
      </c>
      <c r="BI351" s="9" t="s">
        <v>435</v>
      </c>
      <c r="BJ351" s="9" t="s">
        <v>6985</v>
      </c>
      <c r="BK351" s="9" t="s">
        <v>602</v>
      </c>
      <c r="BL351" s="9" t="s">
        <v>603</v>
      </c>
      <c r="BM351" s="9" t="s">
        <v>1247</v>
      </c>
      <c r="BN351" s="9" t="s">
        <v>398</v>
      </c>
      <c r="BO351" s="9" t="s">
        <v>6986</v>
      </c>
      <c r="BP351" s="9" t="s">
        <v>6987</v>
      </c>
      <c r="BQ351" s="9" t="s">
        <v>442</v>
      </c>
      <c r="BR351" s="9" t="s">
        <v>6988</v>
      </c>
      <c r="BS351" s="9" t="s">
        <v>1671</v>
      </c>
      <c r="BU351" s="9" t="s">
        <v>1693</v>
      </c>
      <c r="BV351" s="9" t="s">
        <v>6989</v>
      </c>
      <c r="BW351" s="9" t="s">
        <v>457</v>
      </c>
      <c r="BY351" s="9" t="s">
        <v>455</v>
      </c>
      <c r="BZ351" s="9" t="s">
        <v>6990</v>
      </c>
      <c r="CA351" s="9" t="s">
        <v>6991</v>
      </c>
      <c r="CB351" s="9" t="s">
        <v>6992</v>
      </c>
      <c r="CC351" s="9" t="s">
        <v>6993</v>
      </c>
      <c r="CD351" s="9" t="s">
        <v>409</v>
      </c>
      <c r="CE351" s="9" t="s">
        <v>6994</v>
      </c>
      <c r="CF351" s="9" t="s">
        <v>1749</v>
      </c>
      <c r="CG351" s="9" t="s">
        <v>6995</v>
      </c>
      <c r="CH351" s="9" t="s">
        <v>1679</v>
      </c>
      <c r="CI351" s="9" t="s">
        <v>833</v>
      </c>
      <c r="CJ351" s="9" t="s">
        <v>6996</v>
      </c>
      <c r="CK351" s="9" t="s">
        <v>6997</v>
      </c>
      <c r="DI351" s="9" t="s">
        <v>459</v>
      </c>
      <c r="DJ351" s="9" t="s">
        <v>613</v>
      </c>
      <c r="ET351" s="9" t="s">
        <v>578</v>
      </c>
      <c r="EU351" s="9" t="s">
        <v>579</v>
      </c>
      <c r="EV351" s="9" t="s">
        <v>527</v>
      </c>
      <c r="EW351" s="9" t="s">
        <v>6998</v>
      </c>
      <c r="EX351" s="9" t="s">
        <v>6999</v>
      </c>
      <c r="EY351" s="9" t="s">
        <v>7000</v>
      </c>
      <c r="EZ351" s="9" t="s">
        <v>415</v>
      </c>
      <c r="FA351" s="9" t="s">
        <v>415</v>
      </c>
      <c r="FB351" s="9" t="s">
        <v>413</v>
      </c>
      <c r="FC351" s="9" t="s">
        <v>415</v>
      </c>
      <c r="FD351" s="9" t="s">
        <v>416</v>
      </c>
      <c r="FE351" s="9" t="s">
        <v>415</v>
      </c>
      <c r="FF351" s="9" t="s">
        <v>416</v>
      </c>
      <c r="FG351" s="9" t="s">
        <v>415</v>
      </c>
      <c r="FH351" s="9" t="s">
        <v>415</v>
      </c>
      <c r="FI351" s="9" t="s">
        <v>416</v>
      </c>
      <c r="FJ351" s="9" t="s">
        <v>415</v>
      </c>
      <c r="FK351" s="9" t="s">
        <v>415</v>
      </c>
      <c r="FL351" s="9" t="s">
        <v>415</v>
      </c>
      <c r="FM351" s="9" t="s">
        <v>415</v>
      </c>
      <c r="FN351" s="9" t="s">
        <v>415</v>
      </c>
      <c r="FO351" s="9" t="s">
        <v>485</v>
      </c>
      <c r="FP351" s="9" t="s">
        <v>418</v>
      </c>
      <c r="FQ351" s="9" t="s">
        <v>749</v>
      </c>
      <c r="FR351" s="9" t="s">
        <v>7001</v>
      </c>
      <c r="FS351" s="9" t="s">
        <v>1189</v>
      </c>
      <c r="FT351" s="9" t="s">
        <v>1462</v>
      </c>
      <c r="FU351" s="9" t="s">
        <v>585</v>
      </c>
      <c r="FW351" s="9" t="s">
        <v>491</v>
      </c>
      <c r="FX351" s="9" t="s">
        <v>7002</v>
      </c>
      <c r="FY351" s="9" t="s">
        <v>535</v>
      </c>
      <c r="FZ351" s="9" t="s">
        <v>7003</v>
      </c>
      <c r="GA351" s="9" t="s">
        <v>7004</v>
      </c>
      <c r="GB351" s="9" t="s">
        <v>455</v>
      </c>
      <c r="GC351" s="9"/>
      <c r="GE351" s="9" t="s">
        <v>753</v>
      </c>
      <c r="GF351" s="9" t="s">
        <v>7005</v>
      </c>
      <c r="GJ351" s="9" t="s">
        <v>1000</v>
      </c>
      <c r="GK351" s="9" t="s">
        <v>1000</v>
      </c>
      <c r="GL351" s="9" t="s">
        <v>817</v>
      </c>
      <c r="GN351" s="9" t="s">
        <v>7006</v>
      </c>
      <c r="GP351" s="9" t="s">
        <v>387</v>
      </c>
      <c r="GQ351" s="9" t="s">
        <v>3208</v>
      </c>
      <c r="GR351" s="9" t="s">
        <v>4774</v>
      </c>
      <c r="GV351" s="9" t="s">
        <v>5231</v>
      </c>
      <c r="GW351" s="9" t="s">
        <v>5261</v>
      </c>
      <c r="GX351" s="9" t="s">
        <v>7007</v>
      </c>
      <c r="GY351" s="9" t="s">
        <v>5233</v>
      </c>
      <c r="GZ351" s="9" t="s">
        <v>5234</v>
      </c>
      <c r="HA351" s="9" t="s">
        <v>5369</v>
      </c>
      <c r="HB351" s="9" t="s">
        <v>7008</v>
      </c>
      <c r="HO351" s="9" t="s">
        <v>5285</v>
      </c>
      <c r="HP351" s="9" t="s">
        <v>5264</v>
      </c>
      <c r="HQ351" s="9" t="s">
        <v>5286</v>
      </c>
      <c r="HR351" s="9" t="s">
        <v>5239</v>
      </c>
      <c r="MJ351" s="9" t="s">
        <v>6321</v>
      </c>
    </row>
    <row r="352" ht="22.5" customHeight="1">
      <c r="A352" s="8">
        <v>45940.32423372685</v>
      </c>
      <c r="B352" s="9" t="s">
        <v>368</v>
      </c>
      <c r="C352" s="9" t="s">
        <v>538</v>
      </c>
      <c r="D352" s="9" t="s">
        <v>538</v>
      </c>
      <c r="G352" s="9" t="s">
        <v>422</v>
      </c>
      <c r="H352" s="9" t="s">
        <v>637</v>
      </c>
      <c r="I352" s="9" t="s">
        <v>638</v>
      </c>
      <c r="J352" s="9" t="s">
        <v>590</v>
      </c>
      <c r="K352" s="9" t="s">
        <v>376</v>
      </c>
      <c r="L352" s="9" t="s">
        <v>793</v>
      </c>
      <c r="M352" s="9" t="s">
        <v>2539</v>
      </c>
      <c r="N352" s="9" t="s">
        <v>591</v>
      </c>
      <c r="O352" s="9" t="s">
        <v>6033</v>
      </c>
      <c r="P352" s="9" t="s">
        <v>498</v>
      </c>
      <c r="Q352" s="9" t="s">
        <v>862</v>
      </c>
      <c r="R352" s="9" t="s">
        <v>500</v>
      </c>
      <c r="S352" s="9" t="s">
        <v>1443</v>
      </c>
      <c r="T352" s="9" t="s">
        <v>385</v>
      </c>
      <c r="W352" s="9" t="s">
        <v>3014</v>
      </c>
      <c r="AV352" s="9" t="s">
        <v>597</v>
      </c>
      <c r="AW352" s="9">
        <v>4.0</v>
      </c>
      <c r="AX352" s="9" t="s">
        <v>391</v>
      </c>
      <c r="AY352" s="9" t="s">
        <v>675</v>
      </c>
      <c r="AZ352" s="9">
        <v>4.0</v>
      </c>
      <c r="BA352" s="9" t="s">
        <v>675</v>
      </c>
      <c r="BB352" s="9">
        <v>4.0</v>
      </c>
      <c r="BC352" s="9" t="s">
        <v>7009</v>
      </c>
      <c r="BD352" s="9" t="s">
        <v>7010</v>
      </c>
      <c r="BE352" s="9" t="s">
        <v>432</v>
      </c>
      <c r="BF352" s="9" t="s">
        <v>1095</v>
      </c>
      <c r="BG352" s="9" t="s">
        <v>765</v>
      </c>
      <c r="BH352" s="9" t="s">
        <v>7011</v>
      </c>
      <c r="BI352" s="9" t="s">
        <v>727</v>
      </c>
      <c r="BK352" s="9" t="s">
        <v>395</v>
      </c>
      <c r="BM352" s="9" t="s">
        <v>1247</v>
      </c>
      <c r="BN352" s="9" t="s">
        <v>398</v>
      </c>
      <c r="BO352" s="9" t="s">
        <v>7012</v>
      </c>
      <c r="BP352" s="9" t="s">
        <v>741</v>
      </c>
      <c r="BQ352" s="9" t="s">
        <v>401</v>
      </c>
      <c r="BR352" s="9" t="s">
        <v>4070</v>
      </c>
      <c r="BS352" s="9" t="s">
        <v>4071</v>
      </c>
      <c r="BT352" s="9" t="s">
        <v>1994</v>
      </c>
      <c r="BU352" s="9" t="s">
        <v>405</v>
      </c>
      <c r="BW352" s="9" t="s">
        <v>406</v>
      </c>
      <c r="BX352" s="9" t="s">
        <v>2503</v>
      </c>
      <c r="BY352" s="9" t="s">
        <v>455</v>
      </c>
      <c r="BZ352" s="9" t="s">
        <v>7013</v>
      </c>
      <c r="CB352" s="9" t="s">
        <v>7014</v>
      </c>
      <c r="CC352" s="9" t="s">
        <v>7015</v>
      </c>
      <c r="CD352" s="9" t="s">
        <v>451</v>
      </c>
      <c r="CE352" s="9" t="s">
        <v>7016</v>
      </c>
      <c r="CH352" s="9" t="s">
        <v>1751</v>
      </c>
      <c r="CI352" s="9" t="s">
        <v>410</v>
      </c>
      <c r="CJ352" s="9" t="s">
        <v>7017</v>
      </c>
      <c r="CK352" s="9" t="s">
        <v>7018</v>
      </c>
      <c r="DI352" s="9" t="s">
        <v>963</v>
      </c>
      <c r="DJ352" s="9" t="s">
        <v>460</v>
      </c>
      <c r="DK352" s="9" t="s">
        <v>6319</v>
      </c>
      <c r="ET352" s="9" t="s">
        <v>526</v>
      </c>
      <c r="EU352" s="9" t="s">
        <v>579</v>
      </c>
      <c r="EV352" s="9" t="s">
        <v>1534</v>
      </c>
      <c r="EZ352" s="9" t="s">
        <v>415</v>
      </c>
      <c r="FA352" s="9" t="s">
        <v>414</v>
      </c>
      <c r="FB352" s="9" t="s">
        <v>413</v>
      </c>
      <c r="FC352" s="9" t="s">
        <v>416</v>
      </c>
      <c r="FD352" s="9" t="s">
        <v>413</v>
      </c>
      <c r="FE352" s="9" t="s">
        <v>583</v>
      </c>
      <c r="FF352" s="9" t="s">
        <v>416</v>
      </c>
      <c r="FG352" s="9" t="s">
        <v>413</v>
      </c>
      <c r="FH352" s="9" t="s">
        <v>583</v>
      </c>
      <c r="FI352" s="9" t="s">
        <v>413</v>
      </c>
      <c r="FJ352" s="9" t="s">
        <v>413</v>
      </c>
      <c r="FK352" s="9" t="s">
        <v>484</v>
      </c>
      <c r="FL352" s="9" t="s">
        <v>414</v>
      </c>
      <c r="FM352" s="9" t="s">
        <v>413</v>
      </c>
      <c r="FN352" s="9" t="s">
        <v>583</v>
      </c>
      <c r="FO352" s="9" t="s">
        <v>417</v>
      </c>
      <c r="FP352" s="9" t="s">
        <v>486</v>
      </c>
      <c r="FQ352" s="9" t="s">
        <v>1039</v>
      </c>
      <c r="FS352" s="9" t="s">
        <v>420</v>
      </c>
      <c r="FT352" s="9" t="s">
        <v>488</v>
      </c>
      <c r="FU352" s="9" t="s">
        <v>1235</v>
      </c>
      <c r="FV352" s="9" t="s">
        <v>490</v>
      </c>
      <c r="FW352" s="9" t="s">
        <v>491</v>
      </c>
      <c r="FX352" s="9" t="s">
        <v>7019</v>
      </c>
      <c r="FY352" s="9" t="s">
        <v>493</v>
      </c>
      <c r="GB352" s="9" t="s">
        <v>455</v>
      </c>
      <c r="GD352" s="9" t="s">
        <v>7020</v>
      </c>
      <c r="GE352" s="9" t="s">
        <v>855</v>
      </c>
      <c r="GF352" s="9" t="s">
        <v>7021</v>
      </c>
      <c r="GJ352" s="9" t="s">
        <v>857</v>
      </c>
      <c r="GL352" s="9" t="s">
        <v>946</v>
      </c>
      <c r="GN352" s="9" t="s">
        <v>3012</v>
      </c>
      <c r="GO352" s="9" t="s">
        <v>3012</v>
      </c>
      <c r="GQ352" s="9" t="s">
        <v>3208</v>
      </c>
      <c r="GR352" s="9" t="s">
        <v>5318</v>
      </c>
      <c r="GV352" s="9" t="s">
        <v>5231</v>
      </c>
      <c r="GW352" s="9" t="s">
        <v>5261</v>
      </c>
      <c r="GX352" s="9" t="s">
        <v>5281</v>
      </c>
      <c r="GY352" s="9" t="s">
        <v>5233</v>
      </c>
      <c r="GZ352" s="9" t="s">
        <v>5234</v>
      </c>
      <c r="HB352" s="9" t="s">
        <v>7022</v>
      </c>
      <c r="HO352" s="9" t="s">
        <v>5285</v>
      </c>
      <c r="HP352" s="9" t="s">
        <v>5237</v>
      </c>
      <c r="HQ352" s="9" t="s">
        <v>5286</v>
      </c>
      <c r="HR352" s="9" t="s">
        <v>913</v>
      </c>
      <c r="MJ352" s="9" t="s">
        <v>6321</v>
      </c>
    </row>
    <row r="353" ht="22.5" customHeight="1">
      <c r="A353" s="8">
        <v>45940.5685471412</v>
      </c>
      <c r="B353" s="9" t="s">
        <v>368</v>
      </c>
      <c r="C353" s="9" t="s">
        <v>947</v>
      </c>
      <c r="D353" s="9" t="s">
        <v>370</v>
      </c>
      <c r="F353" s="9" t="s">
        <v>371</v>
      </c>
      <c r="G353" s="9" t="s">
        <v>422</v>
      </c>
      <c r="H353" s="9" t="s">
        <v>539</v>
      </c>
      <c r="I353" s="9" t="s">
        <v>424</v>
      </c>
      <c r="J353" s="9" t="s">
        <v>718</v>
      </c>
      <c r="K353" s="9" t="s">
        <v>376</v>
      </c>
      <c r="L353" s="9" t="s">
        <v>379</v>
      </c>
      <c r="M353" s="9" t="s">
        <v>541</v>
      </c>
      <c r="N353" s="9" t="s">
        <v>377</v>
      </c>
      <c r="O353" s="9" t="s">
        <v>497</v>
      </c>
      <c r="P353" s="9" t="s">
        <v>592</v>
      </c>
      <c r="Q353" s="9" t="s">
        <v>382</v>
      </c>
      <c r="R353" s="9" t="s">
        <v>427</v>
      </c>
      <c r="S353" s="9" t="s">
        <v>384</v>
      </c>
      <c r="T353" s="9" t="s">
        <v>385</v>
      </c>
      <c r="W353" s="9" t="s">
        <v>3014</v>
      </c>
      <c r="AV353" s="9" t="s">
        <v>390</v>
      </c>
      <c r="AW353" s="9">
        <v>2.0</v>
      </c>
      <c r="AX353" s="9">
        <v>2.0</v>
      </c>
      <c r="AY353" s="9" t="s">
        <v>429</v>
      </c>
      <c r="AZ353" s="9" t="s">
        <v>429</v>
      </c>
      <c r="BA353" s="9" t="s">
        <v>391</v>
      </c>
      <c r="BB353" s="9" t="s">
        <v>429</v>
      </c>
      <c r="BC353" s="9" t="s">
        <v>7023</v>
      </c>
      <c r="BD353" s="9" t="s">
        <v>7024</v>
      </c>
      <c r="BE353" s="9" t="s">
        <v>432</v>
      </c>
      <c r="BF353" s="9" t="s">
        <v>433</v>
      </c>
      <c r="BG353" s="9" t="s">
        <v>765</v>
      </c>
      <c r="BH353" s="9" t="s">
        <v>7025</v>
      </c>
      <c r="BI353" s="9" t="s">
        <v>509</v>
      </c>
      <c r="BK353" s="9" t="s">
        <v>511</v>
      </c>
      <c r="BL353" s="9" t="s">
        <v>512</v>
      </c>
      <c r="BM353" s="9" t="s">
        <v>549</v>
      </c>
      <c r="BN353" s="9" t="s">
        <v>440</v>
      </c>
      <c r="CL353" s="9" t="s">
        <v>550</v>
      </c>
      <c r="CM353" s="9" t="s">
        <v>682</v>
      </c>
      <c r="CN353" s="9" t="s">
        <v>7026</v>
      </c>
      <c r="CO353" s="9" t="s">
        <v>7027</v>
      </c>
      <c r="CP353" s="9" t="s">
        <v>685</v>
      </c>
      <c r="CQ353" s="9" t="s">
        <v>956</v>
      </c>
      <c r="CR353" s="9" t="s">
        <v>804</v>
      </c>
      <c r="CS353" s="9" t="s">
        <v>7028</v>
      </c>
      <c r="CT353" s="9" t="s">
        <v>7029</v>
      </c>
      <c r="CU353" s="9" t="s">
        <v>519</v>
      </c>
      <c r="CV353" s="9" t="s">
        <v>451</v>
      </c>
      <c r="CW353" s="9" t="s">
        <v>7030</v>
      </c>
      <c r="CX353" s="9" t="s">
        <v>408</v>
      </c>
      <c r="CZ353" s="9" t="s">
        <v>453</v>
      </c>
      <c r="DA353" s="9" t="s">
        <v>7031</v>
      </c>
      <c r="DB353" s="9" t="s">
        <v>455</v>
      </c>
      <c r="DC353" s="9" t="s">
        <v>7032</v>
      </c>
      <c r="DD353" s="9" t="s">
        <v>457</v>
      </c>
      <c r="DF353" s="9" t="s">
        <v>7033</v>
      </c>
      <c r="DG353" s="9" t="s">
        <v>524</v>
      </c>
      <c r="DH353" s="9" t="s">
        <v>410</v>
      </c>
      <c r="DI353" s="9" t="s">
        <v>963</v>
      </c>
      <c r="DJ353" s="9" t="s">
        <v>613</v>
      </c>
      <c r="DM353" s="9" t="s">
        <v>7034</v>
      </c>
      <c r="DN353" s="9" t="s">
        <v>7035</v>
      </c>
      <c r="DO353" s="9" t="s">
        <v>3496</v>
      </c>
      <c r="DP353" s="9" t="s">
        <v>7036</v>
      </c>
      <c r="DQ353" s="9" t="s">
        <v>837</v>
      </c>
      <c r="DR353" s="9" t="s">
        <v>7037</v>
      </c>
      <c r="DS353" s="9" t="s">
        <v>468</v>
      </c>
      <c r="DT353" s="9" t="s">
        <v>703</v>
      </c>
      <c r="DU353" s="9" t="s">
        <v>7038</v>
      </c>
      <c r="DV353" s="9" t="s">
        <v>7039</v>
      </c>
      <c r="DW353" s="9" t="s">
        <v>1328</v>
      </c>
      <c r="DX353" s="9" t="s">
        <v>7040</v>
      </c>
      <c r="DY353" s="9" t="s">
        <v>7041</v>
      </c>
      <c r="DZ353" s="9" t="s">
        <v>7042</v>
      </c>
      <c r="EA353" s="9" t="s">
        <v>475</v>
      </c>
      <c r="EB353" s="9" t="s">
        <v>845</v>
      </c>
      <c r="EC353" s="9" t="s">
        <v>7043</v>
      </c>
      <c r="ET353" s="9" t="s">
        <v>526</v>
      </c>
      <c r="EU353" s="9" t="s">
        <v>579</v>
      </c>
      <c r="EV353" s="9" t="s">
        <v>480</v>
      </c>
      <c r="EX353" s="9" t="s">
        <v>7044</v>
      </c>
      <c r="EY353" s="9" t="s">
        <v>7045</v>
      </c>
      <c r="EZ353" s="9" t="s">
        <v>583</v>
      </c>
      <c r="FA353" s="9" t="s">
        <v>583</v>
      </c>
      <c r="FB353" s="9" t="s">
        <v>413</v>
      </c>
      <c r="FC353" s="9" t="s">
        <v>583</v>
      </c>
      <c r="FD353" s="9" t="s">
        <v>413</v>
      </c>
      <c r="FE353" s="9" t="s">
        <v>484</v>
      </c>
      <c r="FF353" s="9" t="s">
        <v>414</v>
      </c>
      <c r="FG353" s="9" t="s">
        <v>414</v>
      </c>
      <c r="FH353" s="9" t="s">
        <v>414</v>
      </c>
      <c r="FI353" s="9" t="s">
        <v>414</v>
      </c>
      <c r="FJ353" s="9" t="s">
        <v>583</v>
      </c>
      <c r="FK353" s="9" t="s">
        <v>414</v>
      </c>
      <c r="FL353" s="9" t="s">
        <v>414</v>
      </c>
      <c r="FM353" s="9" t="s">
        <v>414</v>
      </c>
      <c r="FN353" s="9" t="s">
        <v>414</v>
      </c>
      <c r="FO353" s="9" t="s">
        <v>417</v>
      </c>
      <c r="FP353" s="9" t="s">
        <v>418</v>
      </c>
      <c r="FQ353" s="9" t="s">
        <v>630</v>
      </c>
      <c r="FR353" s="9" t="s">
        <v>7046</v>
      </c>
      <c r="FS353" s="9" t="s">
        <v>420</v>
      </c>
      <c r="FT353" s="9" t="s">
        <v>488</v>
      </c>
      <c r="FU353" s="9" t="s">
        <v>533</v>
      </c>
      <c r="FV353" s="9" t="s">
        <v>490</v>
      </c>
      <c r="FW353" s="9" t="s">
        <v>491</v>
      </c>
      <c r="FX353" s="9" t="s">
        <v>7047</v>
      </c>
      <c r="FY353" s="9" t="s">
        <v>535</v>
      </c>
      <c r="FZ353" s="9" t="s">
        <v>7048</v>
      </c>
      <c r="GA353" s="9" t="s">
        <v>7049</v>
      </c>
      <c r="GB353" s="9" t="s">
        <v>455</v>
      </c>
      <c r="GC353" s="9"/>
      <c r="GE353" s="9" t="s">
        <v>1339</v>
      </c>
      <c r="GF353" s="9" t="s">
        <v>7050</v>
      </c>
      <c r="GG353" s="9" t="s">
        <v>755</v>
      </c>
      <c r="GH353" s="9" t="s">
        <v>755</v>
      </c>
      <c r="GI353" s="9" t="s">
        <v>946</v>
      </c>
      <c r="GM353" s="9" t="s">
        <v>1079</v>
      </c>
      <c r="GQ353" s="9" t="s">
        <v>3208</v>
      </c>
      <c r="GT353" s="9" t="s">
        <v>4774</v>
      </c>
      <c r="GV353" s="9" t="s">
        <v>5231</v>
      </c>
      <c r="GW353" s="9" t="s">
        <v>484</v>
      </c>
      <c r="HC353" s="9" t="s">
        <v>5281</v>
      </c>
      <c r="HD353" s="9" t="s">
        <v>5282</v>
      </c>
      <c r="HE353" s="9" t="s">
        <v>5320</v>
      </c>
      <c r="HF353" s="9" t="s">
        <v>5300</v>
      </c>
      <c r="HG353" s="9" t="s">
        <v>7051</v>
      </c>
      <c r="HH353" s="9" t="s">
        <v>5343</v>
      </c>
      <c r="HI353" s="9" t="s">
        <v>7052</v>
      </c>
      <c r="HJ353" s="9" t="s">
        <v>7053</v>
      </c>
      <c r="HO353" s="9" t="s">
        <v>5236</v>
      </c>
      <c r="HP353" s="9" t="s">
        <v>5237</v>
      </c>
      <c r="HQ353" s="9" t="s">
        <v>5238</v>
      </c>
      <c r="HR353" s="9" t="s">
        <v>5347</v>
      </c>
      <c r="HW353" s="9" t="s">
        <v>5597</v>
      </c>
      <c r="IN353" s="9" t="s">
        <v>5500</v>
      </c>
      <c r="IO353" s="9" t="s">
        <v>5500</v>
      </c>
      <c r="IP353" s="9" t="s">
        <v>5536</v>
      </c>
      <c r="IQ353" s="9" t="s">
        <v>5536</v>
      </c>
      <c r="IR353" s="9" t="s">
        <v>5537</v>
      </c>
      <c r="IS353" s="9" t="s">
        <v>5536</v>
      </c>
      <c r="MJ353" s="9" t="s">
        <v>6321</v>
      </c>
    </row>
    <row r="354" ht="22.5" customHeight="1">
      <c r="A354" s="8">
        <v>45941.29232648148</v>
      </c>
      <c r="B354" s="9" t="s">
        <v>368</v>
      </c>
      <c r="C354" s="9" t="s">
        <v>370</v>
      </c>
      <c r="D354" s="9" t="s">
        <v>5694</v>
      </c>
      <c r="E354" s="9" t="s">
        <v>1592</v>
      </c>
      <c r="G354" s="9" t="s">
        <v>422</v>
      </c>
      <c r="H354" s="9" t="s">
        <v>373</v>
      </c>
      <c r="I354" s="9" t="s">
        <v>638</v>
      </c>
      <c r="J354" s="9" t="s">
        <v>375</v>
      </c>
      <c r="K354" s="9" t="s">
        <v>376</v>
      </c>
      <c r="L354" s="9" t="s">
        <v>591</v>
      </c>
      <c r="M354" s="9" t="s">
        <v>7054</v>
      </c>
      <c r="N354" s="9" t="s">
        <v>793</v>
      </c>
      <c r="O354" s="9" t="s">
        <v>7055</v>
      </c>
      <c r="P354" s="9" t="s">
        <v>592</v>
      </c>
      <c r="Q354" s="9" t="s">
        <v>862</v>
      </c>
      <c r="R354" s="9" t="s">
        <v>500</v>
      </c>
      <c r="S354" s="9" t="s">
        <v>7056</v>
      </c>
      <c r="T354" s="9" t="s">
        <v>385</v>
      </c>
      <c r="W354" s="9" t="s">
        <v>386</v>
      </c>
      <c r="X354" s="9" t="s">
        <v>387</v>
      </c>
      <c r="Y354" s="9" t="s">
        <v>388</v>
      </c>
      <c r="Z354" s="9" t="s">
        <v>543</v>
      </c>
      <c r="AA354" s="9" t="s">
        <v>7057</v>
      </c>
      <c r="AB354" s="9" t="s">
        <v>7058</v>
      </c>
      <c r="AV354" s="9" t="s">
        <v>504</v>
      </c>
      <c r="AW354" s="9" t="s">
        <v>391</v>
      </c>
      <c r="AX354" s="9" t="s">
        <v>391</v>
      </c>
      <c r="AY354" s="9" t="s">
        <v>391</v>
      </c>
      <c r="AZ354" s="9">
        <v>2.0</v>
      </c>
      <c r="BA354" s="9" t="s">
        <v>429</v>
      </c>
      <c r="BB354" s="9" t="s">
        <v>429</v>
      </c>
      <c r="BC354" s="9" t="s">
        <v>7059</v>
      </c>
      <c r="BD354" s="9" t="s">
        <v>7060</v>
      </c>
      <c r="BE354" s="9" t="s">
        <v>392</v>
      </c>
      <c r="BF354" s="9" t="s">
        <v>433</v>
      </c>
      <c r="BG354" s="9" t="s">
        <v>434</v>
      </c>
      <c r="BH354" s="9" t="s">
        <v>7061</v>
      </c>
      <c r="BI354" s="9" t="s">
        <v>509</v>
      </c>
      <c r="BJ354" s="9" t="s">
        <v>7062</v>
      </c>
      <c r="BK354" s="9" t="s">
        <v>511</v>
      </c>
      <c r="BL354" s="9" t="s">
        <v>438</v>
      </c>
      <c r="BM354" s="9" t="s">
        <v>439</v>
      </c>
      <c r="BN354" s="9" t="s">
        <v>513</v>
      </c>
      <c r="CL354" s="9" t="s">
        <v>441</v>
      </c>
      <c r="CM354" s="9" t="s">
        <v>401</v>
      </c>
      <c r="CN354" s="9" t="s">
        <v>7063</v>
      </c>
      <c r="CO354" s="9" t="s">
        <v>7064</v>
      </c>
      <c r="CP354" s="9" t="s">
        <v>979</v>
      </c>
      <c r="CQ354" s="9" t="s">
        <v>7065</v>
      </c>
      <c r="CR354" s="9" t="s">
        <v>828</v>
      </c>
      <c r="CS354" s="9" t="s">
        <v>1626</v>
      </c>
      <c r="CT354" s="9" t="s">
        <v>7066</v>
      </c>
      <c r="CU354" s="9" t="s">
        <v>450</v>
      </c>
      <c r="CV354" s="9" t="s">
        <v>451</v>
      </c>
      <c r="CW354" s="9" t="s">
        <v>7067</v>
      </c>
      <c r="CX354" s="9" t="s">
        <v>408</v>
      </c>
      <c r="CZ354" s="9" t="s">
        <v>453</v>
      </c>
      <c r="DA354" s="9" t="s">
        <v>7068</v>
      </c>
      <c r="DB354" s="9" t="s">
        <v>455</v>
      </c>
      <c r="DC354" s="9" t="s">
        <v>7069</v>
      </c>
      <c r="DD354" s="9" t="s">
        <v>457</v>
      </c>
      <c r="DF354" s="9" t="s">
        <v>7070</v>
      </c>
      <c r="DG354" s="9" t="s">
        <v>524</v>
      </c>
      <c r="DH354" s="9" t="s">
        <v>410</v>
      </c>
      <c r="DI354" s="9" t="s">
        <v>459</v>
      </c>
      <c r="DJ354" s="9" t="s">
        <v>613</v>
      </c>
      <c r="ET354" s="9" t="s">
        <v>478</v>
      </c>
      <c r="EU354" s="9" t="s">
        <v>887</v>
      </c>
      <c r="EV354" s="9" t="s">
        <v>480</v>
      </c>
      <c r="EX354" s="9" t="s">
        <v>7071</v>
      </c>
      <c r="EY354" s="9" t="s">
        <v>7072</v>
      </c>
      <c r="EZ354" s="9" t="s">
        <v>414</v>
      </c>
      <c r="FA354" s="9" t="s">
        <v>583</v>
      </c>
      <c r="FB354" s="9" t="s">
        <v>416</v>
      </c>
      <c r="FC354" s="9" t="s">
        <v>414</v>
      </c>
      <c r="FD354" s="9" t="s">
        <v>484</v>
      </c>
      <c r="FE354" s="9" t="s">
        <v>583</v>
      </c>
      <c r="FF354" s="9" t="s">
        <v>414</v>
      </c>
      <c r="FG354" s="9" t="s">
        <v>413</v>
      </c>
      <c r="FH354" s="9" t="s">
        <v>414</v>
      </c>
      <c r="FI354" s="9" t="s">
        <v>414</v>
      </c>
      <c r="FJ354" s="9" t="s">
        <v>414</v>
      </c>
      <c r="FK354" s="9" t="s">
        <v>484</v>
      </c>
      <c r="FL354" s="9" t="s">
        <v>484</v>
      </c>
      <c r="FM354" s="9" t="s">
        <v>413</v>
      </c>
      <c r="FN354" s="9" t="s">
        <v>583</v>
      </c>
      <c r="FO354" s="9" t="s">
        <v>485</v>
      </c>
      <c r="FP354" s="9" t="s">
        <v>486</v>
      </c>
      <c r="FQ354" s="9" t="s">
        <v>712</v>
      </c>
      <c r="FS354" s="9" t="s">
        <v>420</v>
      </c>
      <c r="FT354" s="9" t="s">
        <v>488</v>
      </c>
      <c r="FU354" s="9" t="s">
        <v>918</v>
      </c>
      <c r="FV354" s="9" t="s">
        <v>490</v>
      </c>
      <c r="FW354" s="9" t="s">
        <v>491</v>
      </c>
      <c r="FX354" s="9" t="s">
        <v>7073</v>
      </c>
      <c r="FY354" s="9" t="s">
        <v>535</v>
      </c>
      <c r="FZ354" s="9" t="s">
        <v>7074</v>
      </c>
      <c r="GA354" s="9" t="s">
        <v>7075</v>
      </c>
      <c r="GB354" s="9" t="s">
        <v>455</v>
      </c>
      <c r="GC354" s="9"/>
      <c r="GE354" s="9" t="s">
        <v>753</v>
      </c>
      <c r="GG354" s="9" t="s">
        <v>1000</v>
      </c>
      <c r="GH354" s="9" t="s">
        <v>755</v>
      </c>
      <c r="GI354" s="9" t="s">
        <v>817</v>
      </c>
      <c r="GO354" s="9" t="s">
        <v>7076</v>
      </c>
      <c r="GQ354" s="9" t="s">
        <v>3208</v>
      </c>
      <c r="GT354" s="9" t="s">
        <v>4774</v>
      </c>
      <c r="GV354" s="9" t="s">
        <v>5231</v>
      </c>
      <c r="GW354" s="9" t="s">
        <v>5232</v>
      </c>
      <c r="HC354" s="9" t="s">
        <v>484</v>
      </c>
      <c r="HD354" s="9" t="s">
        <v>5282</v>
      </c>
      <c r="HE354" s="9" t="s">
        <v>5283</v>
      </c>
      <c r="HF354" s="9" t="s">
        <v>5493</v>
      </c>
      <c r="HO354" s="9" t="s">
        <v>5236</v>
      </c>
      <c r="HP354" s="9" t="s">
        <v>5371</v>
      </c>
      <c r="HQ354" s="9" t="s">
        <v>5238</v>
      </c>
      <c r="HR354" s="9" t="s">
        <v>913</v>
      </c>
      <c r="HW354" s="9" t="s">
        <v>7077</v>
      </c>
      <c r="MJ354" s="9" t="s">
        <v>6321</v>
      </c>
    </row>
    <row r="355" ht="22.5" customHeight="1">
      <c r="A355" s="8">
        <v>45941.37621672454</v>
      </c>
      <c r="B355" s="9" t="s">
        <v>368</v>
      </c>
      <c r="C355" s="9" t="s">
        <v>370</v>
      </c>
      <c r="D355" s="9" t="s">
        <v>370</v>
      </c>
      <c r="E355" s="9" t="s">
        <v>2114</v>
      </c>
      <c r="F355" s="9" t="s">
        <v>6634</v>
      </c>
      <c r="G355" s="9" t="s">
        <v>422</v>
      </c>
      <c r="H355" s="9" t="s">
        <v>496</v>
      </c>
      <c r="I355" s="9" t="s">
        <v>424</v>
      </c>
      <c r="J355" s="9" t="s">
        <v>375</v>
      </c>
      <c r="K355" s="9" t="s">
        <v>1383</v>
      </c>
      <c r="L355" s="9" t="s">
        <v>670</v>
      </c>
      <c r="M355" s="9" t="s">
        <v>720</v>
      </c>
      <c r="N355" s="9" t="s">
        <v>591</v>
      </c>
      <c r="O355" s="9" t="s">
        <v>719</v>
      </c>
      <c r="P355" s="9" t="s">
        <v>498</v>
      </c>
      <c r="Q355" s="9" t="s">
        <v>499</v>
      </c>
      <c r="R355" s="9" t="s">
        <v>500</v>
      </c>
      <c r="S355" s="9" t="s">
        <v>384</v>
      </c>
      <c r="T355" s="9" t="s">
        <v>385</v>
      </c>
      <c r="W355" s="9" t="s">
        <v>593</v>
      </c>
      <c r="X355" s="9" t="s">
        <v>387</v>
      </c>
      <c r="Y355" s="9" t="s">
        <v>897</v>
      </c>
      <c r="Z355" s="9" t="s">
        <v>672</v>
      </c>
      <c r="AA355" s="9" t="s">
        <v>7078</v>
      </c>
      <c r="AB355" s="9" t="s">
        <v>7079</v>
      </c>
      <c r="AV355" s="9" t="s">
        <v>504</v>
      </c>
      <c r="AW355" s="9" t="s">
        <v>429</v>
      </c>
      <c r="AX355" s="9" t="s">
        <v>429</v>
      </c>
      <c r="AY355" s="9" t="s">
        <v>429</v>
      </c>
      <c r="AZ355" s="9" t="s">
        <v>429</v>
      </c>
      <c r="BA355" s="9" t="s">
        <v>429</v>
      </c>
      <c r="BB355" s="9" t="s">
        <v>429</v>
      </c>
      <c r="BC355" s="9" t="s">
        <v>7080</v>
      </c>
      <c r="BD355" s="9" t="s">
        <v>7081</v>
      </c>
      <c r="BE355" s="9" t="s">
        <v>392</v>
      </c>
      <c r="BF355" s="9" t="s">
        <v>433</v>
      </c>
      <c r="BG355" s="9" t="s">
        <v>678</v>
      </c>
      <c r="BI355" s="9" t="s">
        <v>509</v>
      </c>
      <c r="BJ355" s="9" t="s">
        <v>7082</v>
      </c>
      <c r="BK355" s="9" t="s">
        <v>511</v>
      </c>
      <c r="BL355" s="9" t="s">
        <v>396</v>
      </c>
      <c r="BM355" s="9" t="s">
        <v>439</v>
      </c>
      <c r="BN355" s="9" t="s">
        <v>440</v>
      </c>
      <c r="CL355" s="9" t="s">
        <v>441</v>
      </c>
      <c r="CM355" s="9" t="s">
        <v>604</v>
      </c>
      <c r="CN355" s="9" t="s">
        <v>552</v>
      </c>
      <c r="CO355" s="9" t="s">
        <v>7083</v>
      </c>
      <c r="CP355" s="9" t="s">
        <v>979</v>
      </c>
      <c r="CQ355" s="9" t="s">
        <v>7084</v>
      </c>
      <c r="CR355" s="9" t="s">
        <v>447</v>
      </c>
      <c r="CS355" s="9" t="s">
        <v>448</v>
      </c>
      <c r="CT355" s="9" t="s">
        <v>7085</v>
      </c>
      <c r="CU355" s="9" t="s">
        <v>519</v>
      </c>
      <c r="CV355" s="9" t="s">
        <v>451</v>
      </c>
      <c r="CW355" s="9" t="s">
        <v>7086</v>
      </c>
      <c r="CX355" s="9" t="s">
        <v>408</v>
      </c>
      <c r="CZ355" s="9" t="s">
        <v>453</v>
      </c>
      <c r="DA355" s="9" t="s">
        <v>7087</v>
      </c>
      <c r="DB355" s="9" t="s">
        <v>455</v>
      </c>
      <c r="DC355" s="9" t="s">
        <v>7088</v>
      </c>
      <c r="DD355" s="9" t="s">
        <v>457</v>
      </c>
      <c r="DF355" s="9" t="s">
        <v>7089</v>
      </c>
      <c r="DG355" s="9" t="s">
        <v>561</v>
      </c>
      <c r="DH355" s="9" t="s">
        <v>410</v>
      </c>
      <c r="DI355" s="9" t="s">
        <v>459</v>
      </c>
      <c r="DJ355" s="9" t="s">
        <v>460</v>
      </c>
      <c r="DK355" s="9" t="s">
        <v>6335</v>
      </c>
      <c r="DM355" s="9" t="s">
        <v>7090</v>
      </c>
      <c r="DN355" s="9" t="s">
        <v>7091</v>
      </c>
      <c r="DO355" s="9" t="s">
        <v>2956</v>
      </c>
      <c r="DP355" s="9" t="s">
        <v>7092</v>
      </c>
      <c r="DQ355" s="9" t="s">
        <v>837</v>
      </c>
      <c r="DR355" s="9" t="s">
        <v>7093</v>
      </c>
      <c r="DS355" s="9" t="s">
        <v>702</v>
      </c>
      <c r="DT355" s="9" t="s">
        <v>570</v>
      </c>
      <c r="DU355" s="9" t="s">
        <v>7094</v>
      </c>
      <c r="DV355" s="9" t="s">
        <v>3613</v>
      </c>
      <c r="DW355" s="9" t="s">
        <v>1328</v>
      </c>
      <c r="DX355" s="9" t="s">
        <v>7095</v>
      </c>
      <c r="DY355" s="9" t="s">
        <v>7096</v>
      </c>
      <c r="DZ355" s="9" t="s">
        <v>7097</v>
      </c>
      <c r="EA355" s="9" t="s">
        <v>475</v>
      </c>
      <c r="EB355" s="9" t="s">
        <v>626</v>
      </c>
      <c r="EC355" s="9" t="s">
        <v>7098</v>
      </c>
      <c r="ET355" s="9" t="s">
        <v>526</v>
      </c>
      <c r="EU355" s="9" t="s">
        <v>479</v>
      </c>
      <c r="EV355" s="9" t="s">
        <v>663</v>
      </c>
      <c r="EW355" s="9" t="s">
        <v>7099</v>
      </c>
      <c r="EX355" s="9" t="s">
        <v>7100</v>
      </c>
      <c r="EY355" s="9" t="s">
        <v>7101</v>
      </c>
      <c r="EZ355" s="9" t="s">
        <v>583</v>
      </c>
      <c r="FA355" s="9" t="s">
        <v>583</v>
      </c>
      <c r="FB355" s="9" t="s">
        <v>413</v>
      </c>
      <c r="FC355" s="9" t="s">
        <v>415</v>
      </c>
      <c r="FD355" s="9" t="s">
        <v>413</v>
      </c>
      <c r="FE355" s="9" t="s">
        <v>414</v>
      </c>
      <c r="FF355" s="9" t="s">
        <v>484</v>
      </c>
      <c r="FG355" s="9" t="s">
        <v>484</v>
      </c>
      <c r="FH355" s="9" t="s">
        <v>484</v>
      </c>
      <c r="FI355" s="9" t="s">
        <v>583</v>
      </c>
      <c r="FJ355" s="9" t="s">
        <v>583</v>
      </c>
      <c r="FK355" s="9" t="s">
        <v>484</v>
      </c>
      <c r="FL355" s="9" t="s">
        <v>484</v>
      </c>
      <c r="FM355" s="9" t="s">
        <v>484</v>
      </c>
      <c r="FN355" s="9" t="s">
        <v>583</v>
      </c>
      <c r="FO355" s="9" t="s">
        <v>417</v>
      </c>
      <c r="FP355" s="9" t="s">
        <v>486</v>
      </c>
      <c r="FQ355" s="9" t="s">
        <v>712</v>
      </c>
      <c r="FR355" s="9" t="s">
        <v>7102</v>
      </c>
      <c r="FS355" s="9" t="s">
        <v>420</v>
      </c>
      <c r="FT355" s="9" t="s">
        <v>488</v>
      </c>
      <c r="FU355" s="9" t="s">
        <v>533</v>
      </c>
      <c r="FV355" s="9" t="s">
        <v>490</v>
      </c>
      <c r="FW355" s="9" t="s">
        <v>491</v>
      </c>
      <c r="FX355" s="9" t="s">
        <v>7103</v>
      </c>
      <c r="FY355" s="9" t="s">
        <v>535</v>
      </c>
      <c r="FZ355" s="9" t="s">
        <v>7104</v>
      </c>
      <c r="GB355" s="9" t="s">
        <v>455</v>
      </c>
      <c r="GC355" s="9"/>
      <c r="GD355" s="9"/>
      <c r="GE355" s="9" t="s">
        <v>1339</v>
      </c>
      <c r="GF355" s="9" t="s">
        <v>7105</v>
      </c>
      <c r="GG355" s="9" t="s">
        <v>755</v>
      </c>
      <c r="GH355" s="9" t="s">
        <v>755</v>
      </c>
      <c r="GI355" s="9" t="s">
        <v>817</v>
      </c>
      <c r="GM355" s="9" t="s">
        <v>1079</v>
      </c>
      <c r="GQ355" s="9" t="s">
        <v>3273</v>
      </c>
      <c r="GT355" s="9" t="s">
        <v>5170</v>
      </c>
      <c r="GU355" s="9" t="s">
        <v>408</v>
      </c>
      <c r="GV355" s="9" t="s">
        <v>5231</v>
      </c>
      <c r="GW355" s="9" t="s">
        <v>5232</v>
      </c>
      <c r="HC355" s="9" t="s">
        <v>5297</v>
      </c>
      <c r="HD355" s="9" t="s">
        <v>5349</v>
      </c>
      <c r="HE355" s="9" t="s">
        <v>5320</v>
      </c>
      <c r="HF355" s="9" t="s">
        <v>5284</v>
      </c>
      <c r="HG355" s="9" t="s">
        <v>7106</v>
      </c>
      <c r="HH355" s="9" t="s">
        <v>5343</v>
      </c>
      <c r="HI355" s="9" t="s">
        <v>7107</v>
      </c>
      <c r="HJ355" s="9" t="s">
        <v>7108</v>
      </c>
      <c r="HO355" s="9" t="s">
        <v>5236</v>
      </c>
      <c r="HP355" s="9" t="s">
        <v>5302</v>
      </c>
      <c r="HQ355" s="9" t="s">
        <v>5238</v>
      </c>
      <c r="HR355" s="9" t="s">
        <v>5239</v>
      </c>
      <c r="HW355" s="9" t="s">
        <v>7109</v>
      </c>
      <c r="IN355" s="9" t="s">
        <v>5537</v>
      </c>
      <c r="IO355" s="9" t="s">
        <v>5537</v>
      </c>
      <c r="IP355" s="9" t="s">
        <v>5500</v>
      </c>
      <c r="IQ355" s="9" t="s">
        <v>5500</v>
      </c>
      <c r="IR355" s="9" t="s">
        <v>5536</v>
      </c>
      <c r="IS355" s="9" t="s">
        <v>5536</v>
      </c>
      <c r="MJ355" s="9" t="s">
        <v>6321</v>
      </c>
    </row>
    <row r="356" ht="22.5" customHeight="1">
      <c r="A356" s="8">
        <v>45945.13833958333</v>
      </c>
      <c r="B356" s="9" t="s">
        <v>368</v>
      </c>
      <c r="C356" s="9" t="s">
        <v>3013</v>
      </c>
      <c r="D356" s="9" t="s">
        <v>370</v>
      </c>
      <c r="F356" s="9" t="s">
        <v>371</v>
      </c>
      <c r="G356" s="9" t="s">
        <v>1093</v>
      </c>
      <c r="H356" s="9" t="s">
        <v>496</v>
      </c>
      <c r="I356" s="9" t="s">
        <v>374</v>
      </c>
      <c r="J356" s="9" t="s">
        <v>375</v>
      </c>
      <c r="K356" s="9" t="s">
        <v>376</v>
      </c>
      <c r="L356" s="9" t="s">
        <v>377</v>
      </c>
      <c r="M356" s="9" t="s">
        <v>2966</v>
      </c>
      <c r="N356" s="9" t="s">
        <v>379</v>
      </c>
      <c r="O356" s="9" t="s">
        <v>541</v>
      </c>
      <c r="P356" s="9" t="s">
        <v>381</v>
      </c>
      <c r="Q356" s="9" t="s">
        <v>382</v>
      </c>
      <c r="R356" s="9" t="s">
        <v>500</v>
      </c>
      <c r="S356" s="9" t="s">
        <v>384</v>
      </c>
      <c r="T356" s="9" t="s">
        <v>385</v>
      </c>
      <c r="W356" s="9" t="s">
        <v>593</v>
      </c>
      <c r="X356" s="9" t="s">
        <v>387</v>
      </c>
      <c r="Y356" s="9" t="s">
        <v>4171</v>
      </c>
      <c r="Z356" s="9" t="s">
        <v>502</v>
      </c>
      <c r="AA356" s="9" t="s">
        <v>7110</v>
      </c>
      <c r="AV356" s="9" t="s">
        <v>1310</v>
      </c>
      <c r="AW356" s="9">
        <v>4.0</v>
      </c>
      <c r="AX356" s="9" t="s">
        <v>391</v>
      </c>
      <c r="AY356" s="9">
        <v>2.0</v>
      </c>
      <c r="AZ356" s="9">
        <v>2.0</v>
      </c>
      <c r="BA356" s="9" t="s">
        <v>429</v>
      </c>
      <c r="BB356" s="9" t="s">
        <v>429</v>
      </c>
      <c r="BC356" s="9" t="s">
        <v>7111</v>
      </c>
      <c r="BD356" s="9" t="s">
        <v>7112</v>
      </c>
      <c r="BE356" s="9" t="s">
        <v>432</v>
      </c>
      <c r="BF356" s="9" t="s">
        <v>393</v>
      </c>
      <c r="BG356" s="9" t="s">
        <v>678</v>
      </c>
      <c r="BH356" s="9" t="s">
        <v>7113</v>
      </c>
      <c r="BI356" s="9" t="s">
        <v>509</v>
      </c>
      <c r="BJ356" s="9" t="s">
        <v>7114</v>
      </c>
      <c r="BK356" s="9" t="s">
        <v>681</v>
      </c>
      <c r="BL356" s="9" t="s">
        <v>438</v>
      </c>
      <c r="BM356" s="9" t="s">
        <v>1247</v>
      </c>
      <c r="BN356" s="9" t="s">
        <v>513</v>
      </c>
      <c r="CL356" s="9" t="s">
        <v>682</v>
      </c>
      <c r="CM356" s="9" t="s">
        <v>604</v>
      </c>
      <c r="CN356" s="9" t="s">
        <v>7115</v>
      </c>
      <c r="CO356" s="9" t="s">
        <v>7116</v>
      </c>
      <c r="CT356" s="9" t="s">
        <v>7117</v>
      </c>
      <c r="CU356" s="9" t="s">
        <v>450</v>
      </c>
      <c r="CV356" s="9" t="s">
        <v>959</v>
      </c>
      <c r="CX356" s="9" t="s">
        <v>455</v>
      </c>
      <c r="CY356" s="9" t="s">
        <v>7118</v>
      </c>
      <c r="CZ356" s="9" t="s">
        <v>1398</v>
      </c>
      <c r="DA356" s="9" t="s">
        <v>7119</v>
      </c>
      <c r="DB356" s="9" t="s">
        <v>408</v>
      </c>
      <c r="DG356" s="9" t="s">
        <v>776</v>
      </c>
      <c r="DH356" s="9" t="s">
        <v>410</v>
      </c>
      <c r="DI356" s="9" t="s">
        <v>459</v>
      </c>
      <c r="DJ356" s="9" t="s">
        <v>460</v>
      </c>
      <c r="DK356" s="9" t="s">
        <v>6319</v>
      </c>
      <c r="ET356" s="9" t="s">
        <v>478</v>
      </c>
      <c r="EU356" s="9" t="s">
        <v>579</v>
      </c>
      <c r="EV356" s="9" t="s">
        <v>480</v>
      </c>
      <c r="EX356" s="9" t="s">
        <v>7120</v>
      </c>
      <c r="EY356" s="9" t="s">
        <v>7121</v>
      </c>
      <c r="EZ356" s="9" t="s">
        <v>415</v>
      </c>
      <c r="FA356" s="9" t="s">
        <v>583</v>
      </c>
      <c r="FB356" s="9" t="s">
        <v>413</v>
      </c>
      <c r="FC356" s="9" t="s">
        <v>415</v>
      </c>
      <c r="FD356" s="9" t="s">
        <v>413</v>
      </c>
      <c r="FE356" s="9" t="s">
        <v>583</v>
      </c>
      <c r="FF356" s="9" t="s">
        <v>415</v>
      </c>
      <c r="FG356" s="9" t="s">
        <v>415</v>
      </c>
      <c r="FH356" s="9" t="s">
        <v>583</v>
      </c>
      <c r="FI356" s="9" t="s">
        <v>413</v>
      </c>
      <c r="FJ356" s="9" t="s">
        <v>583</v>
      </c>
      <c r="FK356" s="9" t="s">
        <v>583</v>
      </c>
      <c r="FL356" s="9" t="s">
        <v>583</v>
      </c>
      <c r="FM356" s="9" t="s">
        <v>413</v>
      </c>
      <c r="FN356" s="9" t="s">
        <v>583</v>
      </c>
      <c r="FO356" s="9" t="s">
        <v>850</v>
      </c>
      <c r="FQ356" s="9" t="s">
        <v>630</v>
      </c>
      <c r="FR356" s="9" t="s">
        <v>4416</v>
      </c>
      <c r="FS356" s="9" t="s">
        <v>1871</v>
      </c>
      <c r="FT356" s="9" t="s">
        <v>1462</v>
      </c>
      <c r="FU356" s="9" t="s">
        <v>489</v>
      </c>
      <c r="FV356" s="9" t="s">
        <v>490</v>
      </c>
      <c r="FW356" s="9" t="s">
        <v>491</v>
      </c>
      <c r="FX356" s="9" t="s">
        <v>7122</v>
      </c>
      <c r="FY356" s="9" t="s">
        <v>493</v>
      </c>
      <c r="FZ356" s="9" t="s">
        <v>7123</v>
      </c>
      <c r="GB356" s="9" t="s">
        <v>455</v>
      </c>
      <c r="GC356" s="9"/>
      <c r="GD356" s="9"/>
      <c r="GE356" s="9" t="s">
        <v>855</v>
      </c>
      <c r="GG356" s="9" t="s">
        <v>755</v>
      </c>
      <c r="GH356" s="9" t="s">
        <v>755</v>
      </c>
      <c r="GI356" s="9" t="s">
        <v>817</v>
      </c>
      <c r="GN356" s="9" t="s">
        <v>7124</v>
      </c>
      <c r="GQ356" s="9" t="s">
        <v>3208</v>
      </c>
      <c r="GT356" s="9" t="s">
        <v>4774</v>
      </c>
      <c r="GV356" s="9" t="s">
        <v>5231</v>
      </c>
      <c r="GW356" s="9" t="s">
        <v>5261</v>
      </c>
      <c r="HO356" s="9" t="s">
        <v>5236</v>
      </c>
      <c r="HP356" s="9" t="s">
        <v>5237</v>
      </c>
      <c r="HQ356" s="9" t="s">
        <v>5238</v>
      </c>
      <c r="HR356" s="9" t="s">
        <v>5347</v>
      </c>
      <c r="HS356" s="9" t="s">
        <v>5916</v>
      </c>
      <c r="HU356" s="9" t="s">
        <v>5917</v>
      </c>
      <c r="HV356" s="9" t="s">
        <v>5918</v>
      </c>
      <c r="HX356" s="9" t="s">
        <v>5919</v>
      </c>
      <c r="HY356" s="9" t="s">
        <v>6464</v>
      </c>
      <c r="HZ356" s="9" t="s">
        <v>6464</v>
      </c>
      <c r="IA356" s="9" t="s">
        <v>6464</v>
      </c>
      <c r="IB356" s="9" t="s">
        <v>6464</v>
      </c>
      <c r="IC356" s="9" t="s">
        <v>5921</v>
      </c>
      <c r="ID356" s="9" t="s">
        <v>5536</v>
      </c>
      <c r="IE356" s="9" t="s">
        <v>6522</v>
      </c>
      <c r="IF356" s="9" t="s">
        <v>5989</v>
      </c>
      <c r="IG356" s="9" t="s">
        <v>6522</v>
      </c>
      <c r="IH356" s="9" t="s">
        <v>6522</v>
      </c>
      <c r="II356" s="9" t="s">
        <v>5500</v>
      </c>
      <c r="IJ356" s="9" t="s">
        <v>7125</v>
      </c>
      <c r="IK356" s="9" t="s">
        <v>7126</v>
      </c>
      <c r="IL356" s="9" t="s">
        <v>7127</v>
      </c>
      <c r="IM356" s="9" t="s">
        <v>7128</v>
      </c>
      <c r="MJ356" s="9" t="s">
        <v>6321</v>
      </c>
    </row>
    <row r="357" ht="22.5" customHeight="1">
      <c r="A357" s="8">
        <v>45945.52582347222</v>
      </c>
      <c r="B357" s="9" t="s">
        <v>368</v>
      </c>
      <c r="C357" s="9" t="s">
        <v>370</v>
      </c>
      <c r="D357" s="9" t="s">
        <v>370</v>
      </c>
      <c r="E357" s="9" t="s">
        <v>589</v>
      </c>
      <c r="F357" s="9" t="s">
        <v>589</v>
      </c>
      <c r="G357" s="9" t="s">
        <v>422</v>
      </c>
      <c r="H357" s="9" t="s">
        <v>423</v>
      </c>
      <c r="I357" s="9" t="s">
        <v>424</v>
      </c>
      <c r="J357" s="9" t="s">
        <v>425</v>
      </c>
      <c r="K357" s="9" t="s">
        <v>376</v>
      </c>
      <c r="L357" s="9" t="s">
        <v>379</v>
      </c>
      <c r="M357" s="9" t="s">
        <v>7129</v>
      </c>
      <c r="N357" s="9" t="s">
        <v>377</v>
      </c>
      <c r="O357" s="9" t="s">
        <v>7130</v>
      </c>
      <c r="P357" s="9" t="s">
        <v>381</v>
      </c>
      <c r="Q357" s="9" t="s">
        <v>499</v>
      </c>
      <c r="R357" s="9" t="s">
        <v>949</v>
      </c>
      <c r="S357" s="9" t="s">
        <v>384</v>
      </c>
      <c r="T357" s="9" t="s">
        <v>385</v>
      </c>
      <c r="W357" s="9" t="s">
        <v>386</v>
      </c>
      <c r="X357" s="9" t="s">
        <v>387</v>
      </c>
      <c r="Y357" s="9" t="s">
        <v>897</v>
      </c>
      <c r="Z357" s="9" t="s">
        <v>502</v>
      </c>
      <c r="AA357" s="9" t="s">
        <v>7131</v>
      </c>
      <c r="AB357" s="9" t="s">
        <v>7132</v>
      </c>
      <c r="AV357" s="9" t="s">
        <v>1242</v>
      </c>
      <c r="AW357" s="9">
        <v>4.0</v>
      </c>
      <c r="AX357" s="9">
        <v>4.0</v>
      </c>
      <c r="AY357" s="9">
        <v>4.0</v>
      </c>
      <c r="AZ357" s="9">
        <v>4.0</v>
      </c>
      <c r="BA357" s="9">
        <v>4.0</v>
      </c>
      <c r="BB357" s="9">
        <v>4.0</v>
      </c>
      <c r="BC357" s="9" t="s">
        <v>7133</v>
      </c>
      <c r="BD357" s="9" t="s">
        <v>7134</v>
      </c>
      <c r="BE357" s="9" t="s">
        <v>902</v>
      </c>
      <c r="BF357" s="9" t="s">
        <v>1095</v>
      </c>
      <c r="BG357" s="9" t="s">
        <v>394</v>
      </c>
      <c r="BH357" s="9" t="s">
        <v>7135</v>
      </c>
      <c r="BI357" s="9" t="s">
        <v>976</v>
      </c>
      <c r="BJ357" s="9" t="s">
        <v>2675</v>
      </c>
      <c r="BK357" s="9" t="s">
        <v>602</v>
      </c>
      <c r="BL357" s="9" t="s">
        <v>603</v>
      </c>
      <c r="BM357" s="9" t="s">
        <v>1314</v>
      </c>
      <c r="BN357" s="9" t="s">
        <v>398</v>
      </c>
      <c r="BO357" s="9" t="s">
        <v>7136</v>
      </c>
      <c r="BP357" s="9" t="s">
        <v>7137</v>
      </c>
      <c r="BQ357" s="9" t="s">
        <v>604</v>
      </c>
      <c r="BR357" s="9" t="s">
        <v>7138</v>
      </c>
      <c r="BS357" s="9" t="s">
        <v>403</v>
      </c>
      <c r="BT357" s="9" t="s">
        <v>4368</v>
      </c>
      <c r="BU357" s="9" t="s">
        <v>1772</v>
      </c>
      <c r="BV357" s="9" t="s">
        <v>7139</v>
      </c>
      <c r="BW357" s="9" t="s">
        <v>988</v>
      </c>
      <c r="BX357" s="9" t="s">
        <v>407</v>
      </c>
      <c r="BY357" s="9" t="s">
        <v>408</v>
      </c>
      <c r="BZ357" s="9" t="s">
        <v>7140</v>
      </c>
      <c r="CA357" s="9" t="s">
        <v>7141</v>
      </c>
      <c r="CB357" s="9" t="s">
        <v>7142</v>
      </c>
      <c r="CC357" s="9" t="s">
        <v>7143</v>
      </c>
      <c r="CD357" s="9" t="s">
        <v>409</v>
      </c>
      <c r="CE357" s="9" t="s">
        <v>7144</v>
      </c>
      <c r="CF357" s="9" t="s">
        <v>1749</v>
      </c>
      <c r="CG357" s="9" t="s">
        <v>7145</v>
      </c>
      <c r="CH357" s="9" t="s">
        <v>1679</v>
      </c>
      <c r="CI357" s="9" t="s">
        <v>410</v>
      </c>
      <c r="CJ357" s="9" t="s">
        <v>7146</v>
      </c>
      <c r="CK357" s="9" t="s">
        <v>7147</v>
      </c>
      <c r="DI357" s="9" t="s">
        <v>963</v>
      </c>
      <c r="DJ357" s="9" t="s">
        <v>562</v>
      </c>
      <c r="DK357" s="9" t="s">
        <v>6335</v>
      </c>
      <c r="ET357" s="9" t="s">
        <v>526</v>
      </c>
      <c r="EU357" s="9" t="s">
        <v>479</v>
      </c>
      <c r="EV357" s="9" t="s">
        <v>527</v>
      </c>
      <c r="EX357" s="9" t="s">
        <v>7148</v>
      </c>
      <c r="EY357" s="9" t="s">
        <v>7149</v>
      </c>
      <c r="EZ357" s="9" t="s">
        <v>415</v>
      </c>
      <c r="FA357" s="9" t="s">
        <v>415</v>
      </c>
      <c r="FB357" s="9" t="s">
        <v>413</v>
      </c>
      <c r="FC357" s="9" t="s">
        <v>413</v>
      </c>
      <c r="FD357" s="9" t="s">
        <v>413</v>
      </c>
      <c r="FE357" s="9" t="s">
        <v>415</v>
      </c>
      <c r="FF357" s="9" t="s">
        <v>415</v>
      </c>
      <c r="FG357" s="9" t="s">
        <v>413</v>
      </c>
      <c r="FH357" s="9" t="s">
        <v>413</v>
      </c>
      <c r="FI357" s="9" t="s">
        <v>414</v>
      </c>
      <c r="FJ357" s="9" t="s">
        <v>414</v>
      </c>
      <c r="FK357" s="9" t="s">
        <v>413</v>
      </c>
      <c r="FL357" s="9" t="s">
        <v>413</v>
      </c>
      <c r="FM357" s="9" t="s">
        <v>413</v>
      </c>
      <c r="FN357" s="9" t="s">
        <v>414</v>
      </c>
      <c r="FO357" s="9" t="s">
        <v>485</v>
      </c>
      <c r="FP357" s="9" t="s">
        <v>418</v>
      </c>
      <c r="FQ357" s="9" t="s">
        <v>419</v>
      </c>
      <c r="FR357" s="9" t="s">
        <v>7150</v>
      </c>
      <c r="FS357" s="9" t="s">
        <v>420</v>
      </c>
      <c r="FT357" s="9" t="s">
        <v>488</v>
      </c>
      <c r="FU357" s="9" t="s">
        <v>533</v>
      </c>
      <c r="FV357" s="9" t="s">
        <v>490</v>
      </c>
      <c r="FW357" s="9" t="s">
        <v>491</v>
      </c>
      <c r="FX357" s="9" t="s">
        <v>7151</v>
      </c>
      <c r="FY357" s="9" t="s">
        <v>535</v>
      </c>
      <c r="GB357" s="9" t="s">
        <v>455</v>
      </c>
      <c r="GC357" s="9"/>
      <c r="GD357" s="9"/>
      <c r="GE357" s="9" t="s">
        <v>753</v>
      </c>
      <c r="GF357" s="9" t="s">
        <v>7152</v>
      </c>
      <c r="GJ357" s="9" t="s">
        <v>755</v>
      </c>
      <c r="GK357" s="9" t="s">
        <v>755</v>
      </c>
      <c r="GL357" s="9" t="s">
        <v>946</v>
      </c>
      <c r="GQ357" s="9" t="s">
        <v>3208</v>
      </c>
      <c r="GR357" s="9" t="s">
        <v>4741</v>
      </c>
      <c r="GS357" s="9" t="s">
        <v>7153</v>
      </c>
      <c r="GV357" s="9" t="s">
        <v>5231</v>
      </c>
      <c r="GW357" s="9" t="s">
        <v>5232</v>
      </c>
      <c r="GX357" s="9" t="s">
        <v>5262</v>
      </c>
      <c r="GY357" s="9" t="s">
        <v>5233</v>
      </c>
      <c r="GZ357" s="9" t="s">
        <v>484</v>
      </c>
      <c r="HA357" s="9" t="s">
        <v>484</v>
      </c>
      <c r="HB357" s="9" t="s">
        <v>5370</v>
      </c>
      <c r="HO357" s="9" t="s">
        <v>5236</v>
      </c>
      <c r="HP357" s="9" t="s">
        <v>5237</v>
      </c>
      <c r="HQ357" s="9" t="s">
        <v>5238</v>
      </c>
      <c r="HR357" s="9" t="s">
        <v>5321</v>
      </c>
      <c r="MJ357" s="9" t="s">
        <v>6321</v>
      </c>
    </row>
    <row r="358" ht="22.5" customHeight="1">
      <c r="A358" s="8">
        <v>45947.59925792824</v>
      </c>
      <c r="B358" s="9" t="s">
        <v>368</v>
      </c>
      <c r="C358" s="9" t="s">
        <v>370</v>
      </c>
      <c r="D358" s="9" t="s">
        <v>370</v>
      </c>
      <c r="E358" s="9" t="s">
        <v>1480</v>
      </c>
      <c r="F358" s="9" t="s">
        <v>1480</v>
      </c>
      <c r="G358" s="9" t="s">
        <v>422</v>
      </c>
      <c r="H358" s="9" t="s">
        <v>496</v>
      </c>
      <c r="I358" s="9" t="s">
        <v>374</v>
      </c>
      <c r="J358" s="9" t="s">
        <v>375</v>
      </c>
      <c r="K358" s="9" t="s">
        <v>376</v>
      </c>
      <c r="L358" s="9" t="s">
        <v>591</v>
      </c>
      <c r="M358" s="9" t="s">
        <v>719</v>
      </c>
      <c r="N358" s="9" t="s">
        <v>591</v>
      </c>
      <c r="O358" s="9" t="s">
        <v>671</v>
      </c>
      <c r="P358" s="9" t="s">
        <v>1504</v>
      </c>
      <c r="Q358" s="9" t="s">
        <v>1156</v>
      </c>
      <c r="R358" s="9" t="s">
        <v>427</v>
      </c>
      <c r="S358" s="9" t="s">
        <v>384</v>
      </c>
      <c r="T358" s="9" t="s">
        <v>385</v>
      </c>
      <c r="W358" s="9" t="s">
        <v>593</v>
      </c>
      <c r="X358" s="9" t="s">
        <v>387</v>
      </c>
      <c r="Y358" s="9" t="s">
        <v>1444</v>
      </c>
      <c r="AA358" s="9" t="s">
        <v>7154</v>
      </c>
      <c r="AV358" s="9" t="s">
        <v>1310</v>
      </c>
      <c r="AW358" s="9">
        <v>4.0</v>
      </c>
      <c r="AX358" s="9">
        <v>4.0</v>
      </c>
      <c r="AY358" s="9">
        <v>4.0</v>
      </c>
      <c r="AZ358" s="9">
        <v>4.0</v>
      </c>
      <c r="BA358" s="9">
        <v>4.0</v>
      </c>
      <c r="BB358" s="9">
        <v>4.0</v>
      </c>
      <c r="BC358" s="9" t="s">
        <v>7155</v>
      </c>
      <c r="BD358" s="9" t="s">
        <v>7156</v>
      </c>
      <c r="BE358" s="9" t="s">
        <v>902</v>
      </c>
      <c r="BF358" s="9" t="s">
        <v>433</v>
      </c>
      <c r="BG358" s="9" t="s">
        <v>765</v>
      </c>
      <c r="BI358" s="9" t="s">
        <v>509</v>
      </c>
      <c r="BK358" s="9" t="s">
        <v>395</v>
      </c>
      <c r="BL358" s="9" t="s">
        <v>438</v>
      </c>
      <c r="BM358" s="9" t="s">
        <v>1314</v>
      </c>
      <c r="BN358" s="9" t="s">
        <v>440</v>
      </c>
      <c r="CL358" s="9" t="s">
        <v>441</v>
      </c>
      <c r="CM358" s="9" t="s">
        <v>442</v>
      </c>
      <c r="CO358" s="9" t="s">
        <v>7157</v>
      </c>
      <c r="CP358" s="9" t="s">
        <v>445</v>
      </c>
      <c r="CQ358" s="9" t="s">
        <v>7158</v>
      </c>
      <c r="CR358" s="9" t="s">
        <v>447</v>
      </c>
      <c r="CS358" s="9" t="s">
        <v>1137</v>
      </c>
      <c r="CT358" s="9" t="s">
        <v>7159</v>
      </c>
      <c r="CU358" s="9" t="s">
        <v>450</v>
      </c>
      <c r="CV358" s="9" t="s">
        <v>451</v>
      </c>
      <c r="CW358" s="9" t="s">
        <v>7160</v>
      </c>
      <c r="CX358" s="9" t="s">
        <v>408</v>
      </c>
      <c r="CZ358" s="9" t="s">
        <v>453</v>
      </c>
      <c r="DA358" s="9" t="s">
        <v>7161</v>
      </c>
      <c r="DB358" s="9" t="s">
        <v>455</v>
      </c>
      <c r="DC358" s="9" t="s">
        <v>7162</v>
      </c>
      <c r="DD358" s="9" t="s">
        <v>662</v>
      </c>
      <c r="DF358" s="9" t="s">
        <v>1549</v>
      </c>
      <c r="DG358" s="9" t="s">
        <v>524</v>
      </c>
      <c r="DH358" s="9" t="s">
        <v>410</v>
      </c>
      <c r="DI358" s="9" t="s">
        <v>459</v>
      </c>
      <c r="DJ358" s="9" t="s">
        <v>613</v>
      </c>
      <c r="DM358" s="9" t="s">
        <v>7163</v>
      </c>
      <c r="DN358" s="9" t="s">
        <v>7164</v>
      </c>
      <c r="DO358" s="9" t="s">
        <v>464</v>
      </c>
      <c r="DP358" s="9" t="s">
        <v>7165</v>
      </c>
      <c r="DQ358" s="9" t="s">
        <v>466</v>
      </c>
      <c r="DR358" s="9" t="s">
        <v>7166</v>
      </c>
      <c r="DS358" s="9" t="s">
        <v>6617</v>
      </c>
      <c r="DT358" s="9" t="s">
        <v>469</v>
      </c>
      <c r="DU358" s="9" t="s">
        <v>455</v>
      </c>
      <c r="DW358" s="9" t="s">
        <v>622</v>
      </c>
      <c r="DZ358" s="9" t="s">
        <v>7167</v>
      </c>
      <c r="EA358" s="9" t="s">
        <v>475</v>
      </c>
      <c r="EB358" s="9" t="s">
        <v>845</v>
      </c>
      <c r="ET358" s="9" t="s">
        <v>478</v>
      </c>
      <c r="EU358" s="9" t="s">
        <v>479</v>
      </c>
      <c r="EV358" s="9" t="s">
        <v>480</v>
      </c>
      <c r="EZ358" s="9" t="s">
        <v>414</v>
      </c>
      <c r="FA358" s="9" t="s">
        <v>583</v>
      </c>
      <c r="FB358" s="9" t="s">
        <v>484</v>
      </c>
      <c r="FC358" s="9" t="s">
        <v>414</v>
      </c>
      <c r="FD358" s="9" t="s">
        <v>484</v>
      </c>
      <c r="FE358" s="9" t="s">
        <v>583</v>
      </c>
      <c r="FF358" s="9" t="s">
        <v>484</v>
      </c>
      <c r="FG358" s="9" t="s">
        <v>484</v>
      </c>
      <c r="FH358" s="9" t="s">
        <v>484</v>
      </c>
      <c r="FI358" s="9" t="s">
        <v>414</v>
      </c>
      <c r="FJ358" s="9" t="s">
        <v>414</v>
      </c>
      <c r="FK358" s="9" t="s">
        <v>414</v>
      </c>
      <c r="FL358" s="9" t="s">
        <v>414</v>
      </c>
      <c r="FM358" s="9" t="s">
        <v>484</v>
      </c>
      <c r="FN358" s="9" t="s">
        <v>414</v>
      </c>
      <c r="FO358" s="9" t="s">
        <v>417</v>
      </c>
      <c r="FP358" s="9" t="s">
        <v>418</v>
      </c>
      <c r="FQ358" s="9" t="s">
        <v>419</v>
      </c>
      <c r="FR358" s="9" t="s">
        <v>4416</v>
      </c>
      <c r="FS358" s="9" t="s">
        <v>420</v>
      </c>
      <c r="FT358" s="9" t="s">
        <v>488</v>
      </c>
      <c r="FU358" s="9" t="s">
        <v>489</v>
      </c>
      <c r="FV358" s="9" t="s">
        <v>490</v>
      </c>
      <c r="FW358" s="9" t="s">
        <v>491</v>
      </c>
      <c r="FX358" s="9" t="s">
        <v>7168</v>
      </c>
      <c r="FY358" s="9" t="s">
        <v>535</v>
      </c>
      <c r="FZ358" s="9" t="s">
        <v>7169</v>
      </c>
      <c r="GA358" s="9" t="s">
        <v>7170</v>
      </c>
      <c r="GB358" s="9" t="s">
        <v>455</v>
      </c>
      <c r="GC358" s="9"/>
      <c r="GE358" s="9" t="s">
        <v>753</v>
      </c>
      <c r="GG358" s="9" t="s">
        <v>755</v>
      </c>
      <c r="GH358" s="9" t="s">
        <v>755</v>
      </c>
      <c r="GI358" s="9" t="s">
        <v>946</v>
      </c>
      <c r="GM358" s="9" t="s">
        <v>1079</v>
      </c>
      <c r="GQ358" s="9" t="s">
        <v>3208</v>
      </c>
      <c r="GT358" s="9" t="s">
        <v>5170</v>
      </c>
      <c r="GU358" s="9" t="s">
        <v>408</v>
      </c>
      <c r="GV358" s="9" t="s">
        <v>5231</v>
      </c>
      <c r="GW358" s="9" t="s">
        <v>5232</v>
      </c>
      <c r="HC358" s="9" t="s">
        <v>5297</v>
      </c>
      <c r="HD358" s="9" t="s">
        <v>5282</v>
      </c>
      <c r="HE358" s="9" t="s">
        <v>5320</v>
      </c>
      <c r="HF358" s="9" t="s">
        <v>5284</v>
      </c>
      <c r="HG358" s="9" t="s">
        <v>7171</v>
      </c>
      <c r="HH358" s="9" t="s">
        <v>6242</v>
      </c>
      <c r="HJ358" s="9" t="s">
        <v>7172</v>
      </c>
      <c r="HO358" s="9" t="s">
        <v>5236</v>
      </c>
      <c r="HP358" s="9" t="s">
        <v>5302</v>
      </c>
      <c r="HQ358" s="9" t="s">
        <v>5238</v>
      </c>
      <c r="HR358" s="9" t="s">
        <v>5321</v>
      </c>
      <c r="IN358" s="9" t="s">
        <v>5500</v>
      </c>
      <c r="IO358" s="9" t="s">
        <v>5629</v>
      </c>
      <c r="IP358" s="9" t="s">
        <v>5500</v>
      </c>
      <c r="IQ358" s="9" t="s">
        <v>5500</v>
      </c>
      <c r="IR358" s="9" t="s">
        <v>5500</v>
      </c>
      <c r="IS358" s="9" t="s">
        <v>5500</v>
      </c>
      <c r="MJ358" s="9" t="s">
        <v>6321</v>
      </c>
    </row>
    <row r="359" ht="22.5" customHeight="1">
      <c r="A359" s="8">
        <v>45948.43710914352</v>
      </c>
      <c r="B359" s="9" t="s">
        <v>368</v>
      </c>
      <c r="C359" s="9" t="s">
        <v>1201</v>
      </c>
      <c r="D359" s="9" t="s">
        <v>1201</v>
      </c>
      <c r="G359" s="9" t="s">
        <v>422</v>
      </c>
      <c r="H359" s="9" t="s">
        <v>373</v>
      </c>
      <c r="I359" s="9" t="s">
        <v>374</v>
      </c>
      <c r="J359" s="9" t="s">
        <v>718</v>
      </c>
      <c r="K359" s="9" t="s">
        <v>376</v>
      </c>
      <c r="L359" s="9" t="s">
        <v>1526</v>
      </c>
      <c r="M359" s="9" t="s">
        <v>541</v>
      </c>
      <c r="N359" s="9" t="s">
        <v>1526</v>
      </c>
      <c r="O359" s="9" t="s">
        <v>380</v>
      </c>
      <c r="P359" s="9" t="s">
        <v>381</v>
      </c>
      <c r="Q359" s="9" t="s">
        <v>499</v>
      </c>
      <c r="R359" s="9" t="s">
        <v>427</v>
      </c>
      <c r="S359" s="9" t="s">
        <v>384</v>
      </c>
      <c r="T359" s="9" t="s">
        <v>385</v>
      </c>
      <c r="W359" s="9" t="s">
        <v>3231</v>
      </c>
      <c r="AV359" s="9" t="s">
        <v>1242</v>
      </c>
      <c r="AW359" s="9" t="s">
        <v>675</v>
      </c>
      <c r="AX359" s="9" t="s">
        <v>675</v>
      </c>
      <c r="AY359" s="9" t="s">
        <v>675</v>
      </c>
      <c r="AZ359" s="9" t="s">
        <v>675</v>
      </c>
      <c r="BA359" s="9" t="s">
        <v>429</v>
      </c>
      <c r="BB359" s="9" t="s">
        <v>675</v>
      </c>
      <c r="BD359" s="9" t="s">
        <v>7173</v>
      </c>
      <c r="BE359" s="9" t="s">
        <v>902</v>
      </c>
      <c r="BF359" s="9" t="s">
        <v>1245</v>
      </c>
      <c r="BG359" s="9" t="s">
        <v>678</v>
      </c>
      <c r="BH359" s="9" t="s">
        <v>7174</v>
      </c>
      <c r="BI359" s="9" t="s">
        <v>976</v>
      </c>
      <c r="BK359" s="9" t="s">
        <v>681</v>
      </c>
      <c r="BL359" s="9" t="s">
        <v>603</v>
      </c>
      <c r="BM359" s="9" t="s">
        <v>1247</v>
      </c>
      <c r="BN359" s="9" t="s">
        <v>513</v>
      </c>
      <c r="CL359" s="9" t="s">
        <v>682</v>
      </c>
      <c r="CM359" s="9" t="s">
        <v>442</v>
      </c>
      <c r="CN359" s="9" t="s">
        <v>7175</v>
      </c>
      <c r="CO359" s="9" t="s">
        <v>7176</v>
      </c>
      <c r="CT359" s="9" t="s">
        <v>7177</v>
      </c>
      <c r="CU359" s="9" t="s">
        <v>1863</v>
      </c>
      <c r="CV359" s="9" t="s">
        <v>959</v>
      </c>
      <c r="CX359" s="9" t="s">
        <v>408</v>
      </c>
      <c r="CZ359" s="9" t="s">
        <v>1962</v>
      </c>
      <c r="DB359" s="9" t="s">
        <v>913</v>
      </c>
      <c r="DC359" s="9" t="s">
        <v>7178</v>
      </c>
      <c r="DG359" s="9" t="s">
        <v>990</v>
      </c>
      <c r="DH359" s="9" t="s">
        <v>1220</v>
      </c>
      <c r="DI359" s="9" t="s">
        <v>777</v>
      </c>
      <c r="DJ359" s="9" t="s">
        <v>460</v>
      </c>
      <c r="DK359" s="9" t="s">
        <v>6319</v>
      </c>
      <c r="ET359" s="9" t="s">
        <v>478</v>
      </c>
      <c r="EU359" s="9" t="s">
        <v>1127</v>
      </c>
      <c r="EV359" s="9" t="s">
        <v>527</v>
      </c>
      <c r="EX359" s="9" t="s">
        <v>7179</v>
      </c>
      <c r="EZ359" s="9" t="s">
        <v>583</v>
      </c>
      <c r="FA359" s="9" t="s">
        <v>583</v>
      </c>
      <c r="FB359" s="9" t="s">
        <v>583</v>
      </c>
      <c r="FC359" s="9" t="s">
        <v>583</v>
      </c>
      <c r="FD359" s="9" t="s">
        <v>484</v>
      </c>
      <c r="FE359" s="9" t="s">
        <v>583</v>
      </c>
      <c r="FF359" s="9" t="s">
        <v>583</v>
      </c>
      <c r="FG359" s="9" t="s">
        <v>583</v>
      </c>
      <c r="FH359" s="9" t="s">
        <v>583</v>
      </c>
      <c r="FI359" s="9" t="s">
        <v>484</v>
      </c>
      <c r="FJ359" s="9" t="s">
        <v>583</v>
      </c>
      <c r="FK359" s="9" t="s">
        <v>484</v>
      </c>
      <c r="FL359" s="9" t="s">
        <v>484</v>
      </c>
      <c r="FM359" s="9" t="s">
        <v>484</v>
      </c>
      <c r="FN359" s="9" t="s">
        <v>484</v>
      </c>
      <c r="FO359" s="9" t="s">
        <v>1074</v>
      </c>
      <c r="FP359" s="9" t="s">
        <v>1200</v>
      </c>
      <c r="FQ359" s="9" t="s">
        <v>419</v>
      </c>
      <c r="FR359" s="9" t="s">
        <v>7180</v>
      </c>
      <c r="FS359" s="9" t="s">
        <v>1871</v>
      </c>
      <c r="FT359" s="9" t="s">
        <v>421</v>
      </c>
      <c r="FU359" s="9" t="s">
        <v>918</v>
      </c>
      <c r="FV359" s="9" t="s">
        <v>2399</v>
      </c>
      <c r="FW359" s="9" t="s">
        <v>1853</v>
      </c>
      <c r="FY359" s="9" t="s">
        <v>1020</v>
      </c>
      <c r="FZ359" s="9" t="s">
        <v>7181</v>
      </c>
      <c r="GB359" s="11"/>
      <c r="GG359" s="9" t="s">
        <v>920</v>
      </c>
      <c r="GH359" s="9" t="s">
        <v>920</v>
      </c>
      <c r="GI359" s="9" t="s">
        <v>790</v>
      </c>
      <c r="GN359" s="9" t="s">
        <v>7182</v>
      </c>
      <c r="GO359" s="9" t="s">
        <v>7182</v>
      </c>
      <c r="GP359" s="9" t="s">
        <v>387</v>
      </c>
      <c r="GQ359" s="9" t="s">
        <v>3208</v>
      </c>
      <c r="GU359" s="9" t="s">
        <v>1252</v>
      </c>
      <c r="GV359" s="9" t="s">
        <v>5231</v>
      </c>
      <c r="GW359" s="9" t="s">
        <v>484</v>
      </c>
      <c r="HO359" s="9" t="s">
        <v>5285</v>
      </c>
      <c r="HP359" s="9" t="s">
        <v>5371</v>
      </c>
      <c r="HQ359" s="9" t="s">
        <v>5721</v>
      </c>
      <c r="HR359" s="9" t="s">
        <v>5287</v>
      </c>
      <c r="HS359" s="9" t="s">
        <v>5916</v>
      </c>
      <c r="HU359" s="9" t="s">
        <v>5917</v>
      </c>
      <c r="HV359" s="9" t="s">
        <v>5918</v>
      </c>
      <c r="HX359" s="9" t="s">
        <v>5920</v>
      </c>
      <c r="HY359" s="9" t="s">
        <v>5920</v>
      </c>
      <c r="HZ359" s="9" t="s">
        <v>5920</v>
      </c>
      <c r="IA359" s="9" t="s">
        <v>5920</v>
      </c>
      <c r="IB359" s="9" t="s">
        <v>5920</v>
      </c>
      <c r="IC359" s="9" t="s">
        <v>5919</v>
      </c>
      <c r="ID359" s="9" t="s">
        <v>5500</v>
      </c>
      <c r="IE359" s="9" t="s">
        <v>6522</v>
      </c>
      <c r="IF359" s="9" t="s">
        <v>5536</v>
      </c>
      <c r="IG359" s="9" t="s">
        <v>5537</v>
      </c>
      <c r="IH359" s="9" t="s">
        <v>5537</v>
      </c>
      <c r="II359" s="9" t="s">
        <v>5500</v>
      </c>
      <c r="IJ359" s="9" t="s">
        <v>7183</v>
      </c>
      <c r="IK359" s="9" t="s">
        <v>6523</v>
      </c>
      <c r="IL359" s="9" t="s">
        <v>7184</v>
      </c>
      <c r="MJ359" s="9" t="s">
        <v>6321</v>
      </c>
    </row>
    <row r="360" ht="22.5" customHeight="1">
      <c r="A360" s="8">
        <v>45951.28084502315</v>
      </c>
      <c r="B360" s="9" t="s">
        <v>368</v>
      </c>
      <c r="C360" s="9" t="s">
        <v>538</v>
      </c>
      <c r="D360" s="9" t="s">
        <v>538</v>
      </c>
      <c r="G360" s="9" t="s">
        <v>422</v>
      </c>
      <c r="H360" s="9" t="s">
        <v>637</v>
      </c>
      <c r="I360" s="9" t="s">
        <v>638</v>
      </c>
      <c r="J360" s="9" t="s">
        <v>425</v>
      </c>
      <c r="K360" s="9" t="s">
        <v>376</v>
      </c>
      <c r="L360" s="9" t="s">
        <v>793</v>
      </c>
      <c r="M360" s="9" t="s">
        <v>639</v>
      </c>
      <c r="N360" s="9" t="s">
        <v>793</v>
      </c>
      <c r="O360" s="9" t="s">
        <v>2579</v>
      </c>
      <c r="P360" s="9" t="s">
        <v>381</v>
      </c>
      <c r="Q360" s="9" t="s">
        <v>862</v>
      </c>
      <c r="R360" s="9" t="s">
        <v>2360</v>
      </c>
      <c r="S360" s="9" t="s">
        <v>1512</v>
      </c>
      <c r="T360" s="9" t="s">
        <v>385</v>
      </c>
      <c r="W360" s="9" t="s">
        <v>3014</v>
      </c>
      <c r="AV360" s="9" t="s">
        <v>390</v>
      </c>
      <c r="AW360" s="9" t="s">
        <v>391</v>
      </c>
      <c r="AX360" s="9" t="s">
        <v>429</v>
      </c>
      <c r="AY360" s="9">
        <v>2.0</v>
      </c>
      <c r="AZ360" s="9" t="s">
        <v>429</v>
      </c>
      <c r="BA360" s="9" t="s">
        <v>429</v>
      </c>
      <c r="BB360" s="9" t="s">
        <v>391</v>
      </c>
      <c r="BC360" s="9" t="s">
        <v>7185</v>
      </c>
      <c r="BD360" s="9" t="s">
        <v>7186</v>
      </c>
      <c r="BE360" s="9" t="s">
        <v>432</v>
      </c>
      <c r="BF360" s="9" t="s">
        <v>433</v>
      </c>
      <c r="BG360" s="9" t="s">
        <v>678</v>
      </c>
      <c r="BH360" s="9" t="s">
        <v>7187</v>
      </c>
      <c r="BI360" s="9" t="s">
        <v>509</v>
      </c>
      <c r="BJ360" s="9" t="s">
        <v>7188</v>
      </c>
      <c r="BK360" s="9" t="s">
        <v>437</v>
      </c>
      <c r="BL360" s="9" t="s">
        <v>603</v>
      </c>
      <c r="BM360" s="9" t="s">
        <v>439</v>
      </c>
      <c r="BN360" s="9" t="s">
        <v>513</v>
      </c>
      <c r="CL360" s="9" t="s">
        <v>550</v>
      </c>
      <c r="CM360" s="9" t="s">
        <v>604</v>
      </c>
      <c r="CN360" s="9" t="s">
        <v>7189</v>
      </c>
      <c r="CO360" s="9" t="s">
        <v>7190</v>
      </c>
      <c r="CP360" s="9" t="s">
        <v>685</v>
      </c>
      <c r="CQ360" s="9" t="s">
        <v>7191</v>
      </c>
      <c r="CR360" s="9" t="s">
        <v>804</v>
      </c>
      <c r="CS360" s="9" t="s">
        <v>7192</v>
      </c>
      <c r="CT360" s="9" t="s">
        <v>7193</v>
      </c>
      <c r="CU360" s="9" t="s">
        <v>450</v>
      </c>
      <c r="CV360" s="9" t="s">
        <v>451</v>
      </c>
      <c r="CW360" s="9" t="s">
        <v>7194</v>
      </c>
      <c r="CX360" s="9" t="s">
        <v>408</v>
      </c>
      <c r="CZ360" s="9" t="s">
        <v>453</v>
      </c>
      <c r="DA360" s="9" t="s">
        <v>7195</v>
      </c>
      <c r="DB360" s="9" t="s">
        <v>455</v>
      </c>
      <c r="DC360" s="9" t="s">
        <v>7196</v>
      </c>
      <c r="DD360" s="9" t="s">
        <v>988</v>
      </c>
      <c r="DF360" s="9" t="s">
        <v>7197</v>
      </c>
      <c r="DG360" s="9" t="s">
        <v>524</v>
      </c>
      <c r="DH360" s="9" t="s">
        <v>410</v>
      </c>
      <c r="DI360" s="9" t="s">
        <v>963</v>
      </c>
      <c r="DJ360" s="9" t="s">
        <v>613</v>
      </c>
      <c r="ET360" s="9" t="s">
        <v>526</v>
      </c>
      <c r="EU360" s="9" t="s">
        <v>579</v>
      </c>
      <c r="EV360" s="9" t="s">
        <v>527</v>
      </c>
      <c r="EW360" s="9" t="s">
        <v>7198</v>
      </c>
      <c r="EX360" s="9" t="s">
        <v>7199</v>
      </c>
      <c r="EY360" s="9" t="s">
        <v>7200</v>
      </c>
      <c r="EZ360" s="9" t="s">
        <v>416</v>
      </c>
      <c r="FA360" s="9" t="s">
        <v>414</v>
      </c>
      <c r="FB360" s="9" t="s">
        <v>413</v>
      </c>
      <c r="FC360" s="9" t="s">
        <v>414</v>
      </c>
      <c r="FD360" s="9" t="s">
        <v>413</v>
      </c>
      <c r="FE360" s="9" t="s">
        <v>583</v>
      </c>
      <c r="FF360" s="9" t="s">
        <v>415</v>
      </c>
      <c r="FG360" s="9" t="s">
        <v>414</v>
      </c>
      <c r="FH360" s="9" t="s">
        <v>413</v>
      </c>
      <c r="FI360" s="9" t="s">
        <v>415</v>
      </c>
      <c r="FJ360" s="9" t="s">
        <v>414</v>
      </c>
      <c r="FK360" s="9" t="s">
        <v>415</v>
      </c>
      <c r="FL360" s="9" t="s">
        <v>415</v>
      </c>
      <c r="FM360" s="9" t="s">
        <v>415</v>
      </c>
      <c r="FN360" s="9" t="s">
        <v>415</v>
      </c>
      <c r="FO360" s="9" t="s">
        <v>417</v>
      </c>
      <c r="FP360" s="9" t="s">
        <v>418</v>
      </c>
      <c r="FQ360" s="9" t="s">
        <v>749</v>
      </c>
      <c r="FR360" s="9" t="s">
        <v>7201</v>
      </c>
      <c r="FS360" s="9" t="s">
        <v>420</v>
      </c>
      <c r="FT360" s="9" t="s">
        <v>488</v>
      </c>
      <c r="FU360" s="9" t="s">
        <v>585</v>
      </c>
      <c r="FV360" s="9" t="s">
        <v>490</v>
      </c>
      <c r="FW360" s="9" t="s">
        <v>491</v>
      </c>
      <c r="FX360" s="9" t="s">
        <v>7202</v>
      </c>
      <c r="FY360" s="9" t="s">
        <v>493</v>
      </c>
      <c r="FZ360" s="9" t="s">
        <v>7203</v>
      </c>
      <c r="GA360" s="9" t="s">
        <v>7204</v>
      </c>
      <c r="GB360" s="9" t="s">
        <v>408</v>
      </c>
      <c r="GG360" s="9" t="s">
        <v>857</v>
      </c>
      <c r="GH360" s="9" t="s">
        <v>1000</v>
      </c>
      <c r="GI360" s="9" t="s">
        <v>946</v>
      </c>
      <c r="GN360" s="9" t="s">
        <v>3012</v>
      </c>
      <c r="GO360" s="9" t="s">
        <v>3012</v>
      </c>
      <c r="GQ360" s="9" t="s">
        <v>5656</v>
      </c>
      <c r="GT360" s="9" t="s">
        <v>4774</v>
      </c>
      <c r="GV360" s="9" t="s">
        <v>5231</v>
      </c>
      <c r="GW360" s="9" t="s">
        <v>5261</v>
      </c>
      <c r="HC360" s="9" t="s">
        <v>5281</v>
      </c>
      <c r="HD360" s="9" t="s">
        <v>5349</v>
      </c>
      <c r="HE360" s="9" t="s">
        <v>5718</v>
      </c>
      <c r="HF360" s="9" t="s">
        <v>5899</v>
      </c>
      <c r="HO360" s="9" t="s">
        <v>5285</v>
      </c>
      <c r="HP360" s="9" t="s">
        <v>5264</v>
      </c>
      <c r="HQ360" s="9" t="s">
        <v>5238</v>
      </c>
      <c r="HR360" s="9" t="s">
        <v>5321</v>
      </c>
      <c r="HW360" s="9" t="s">
        <v>7205</v>
      </c>
      <c r="MJ360" s="9" t="s">
        <v>6321</v>
      </c>
    </row>
    <row r="361" ht="22.5" customHeight="1">
      <c r="A361" s="8">
        <v>45953.03296401621</v>
      </c>
      <c r="B361" s="9" t="s">
        <v>368</v>
      </c>
      <c r="C361" s="9" t="s">
        <v>370</v>
      </c>
      <c r="D361" s="9" t="s">
        <v>370</v>
      </c>
      <c r="E361" s="9" t="s">
        <v>1849</v>
      </c>
      <c r="F361" s="9" t="s">
        <v>1421</v>
      </c>
      <c r="G361" s="9" t="s">
        <v>1269</v>
      </c>
      <c r="H361" s="9" t="s">
        <v>496</v>
      </c>
      <c r="I361" s="9" t="s">
        <v>2578</v>
      </c>
      <c r="J361" s="9" t="s">
        <v>425</v>
      </c>
      <c r="K361" s="9" t="s">
        <v>376</v>
      </c>
      <c r="L361" s="9" t="s">
        <v>379</v>
      </c>
      <c r="M361" s="9" t="s">
        <v>378</v>
      </c>
      <c r="N361" s="9" t="s">
        <v>379</v>
      </c>
      <c r="O361" s="9" t="s">
        <v>497</v>
      </c>
      <c r="P361" s="9" t="s">
        <v>592</v>
      </c>
      <c r="Q361" s="9" t="s">
        <v>499</v>
      </c>
      <c r="R361" s="9" t="s">
        <v>500</v>
      </c>
      <c r="S361" s="9" t="s">
        <v>7206</v>
      </c>
      <c r="T361" s="9" t="s">
        <v>385</v>
      </c>
      <c r="W361" s="9" t="s">
        <v>386</v>
      </c>
      <c r="X361" s="9" t="s">
        <v>387</v>
      </c>
      <c r="Y361" s="9" t="s">
        <v>2115</v>
      </c>
      <c r="Z361" s="9" t="s">
        <v>543</v>
      </c>
      <c r="AA361" s="9" t="s">
        <v>7207</v>
      </c>
      <c r="AB361" s="9" t="s">
        <v>7208</v>
      </c>
      <c r="AV361" s="9" t="s">
        <v>1242</v>
      </c>
      <c r="AW361" s="9" t="s">
        <v>391</v>
      </c>
      <c r="AX361" s="9" t="s">
        <v>391</v>
      </c>
      <c r="AY361" s="9" t="s">
        <v>391</v>
      </c>
      <c r="AZ361" s="9" t="s">
        <v>391</v>
      </c>
      <c r="BA361" s="9" t="s">
        <v>391</v>
      </c>
      <c r="BB361" s="9" t="s">
        <v>391</v>
      </c>
      <c r="BC361" s="9" t="s">
        <v>3584</v>
      </c>
      <c r="BD361" s="9" t="s">
        <v>7209</v>
      </c>
      <c r="BE361" s="9" t="s">
        <v>392</v>
      </c>
      <c r="BF361" s="9" t="s">
        <v>1047</v>
      </c>
      <c r="BG361" s="9" t="s">
        <v>434</v>
      </c>
      <c r="BI361" s="9" t="s">
        <v>976</v>
      </c>
      <c r="BK361" s="9" t="s">
        <v>511</v>
      </c>
      <c r="BL361" s="9" t="s">
        <v>438</v>
      </c>
      <c r="BM361" s="9" t="s">
        <v>1247</v>
      </c>
      <c r="BN361" s="9" t="s">
        <v>398</v>
      </c>
      <c r="BO361" s="9" t="s">
        <v>7210</v>
      </c>
      <c r="BQ361" s="9" t="s">
        <v>401</v>
      </c>
      <c r="BR361" s="9" t="s">
        <v>7211</v>
      </c>
      <c r="BS361" s="9" t="s">
        <v>403</v>
      </c>
      <c r="BT361" s="9" t="s">
        <v>404</v>
      </c>
      <c r="BU361" s="9" t="s">
        <v>405</v>
      </c>
      <c r="BW361" s="9" t="s">
        <v>406</v>
      </c>
      <c r="BX361" s="9" t="s">
        <v>1867</v>
      </c>
      <c r="BY361" s="9" t="s">
        <v>408</v>
      </c>
      <c r="CA361" s="9" t="s">
        <v>7212</v>
      </c>
      <c r="CB361" s="9" t="s">
        <v>7213</v>
      </c>
      <c r="CC361" s="9" t="s">
        <v>7214</v>
      </c>
      <c r="CD361" s="9" t="s">
        <v>1931</v>
      </c>
      <c r="CE361" s="9" t="s">
        <v>7215</v>
      </c>
      <c r="CF361" s="9" t="s">
        <v>1749</v>
      </c>
      <c r="CG361" s="9" t="s">
        <v>7216</v>
      </c>
      <c r="CH361" s="9" t="s">
        <v>1259</v>
      </c>
      <c r="CI361" s="9" t="s">
        <v>833</v>
      </c>
      <c r="CJ361" s="9" t="s">
        <v>7217</v>
      </c>
      <c r="CK361" s="9" t="s">
        <v>7218</v>
      </c>
      <c r="DI361" s="9" t="s">
        <v>963</v>
      </c>
      <c r="DJ361" s="9" t="s">
        <v>460</v>
      </c>
      <c r="DK361" s="9" t="s">
        <v>6319</v>
      </c>
      <c r="ET361" s="9" t="s">
        <v>526</v>
      </c>
      <c r="EU361" s="9" t="s">
        <v>579</v>
      </c>
      <c r="EV361" s="9" t="s">
        <v>663</v>
      </c>
      <c r="EW361" s="9" t="s">
        <v>7219</v>
      </c>
      <c r="EX361" s="9" t="s">
        <v>7220</v>
      </c>
      <c r="EY361" s="9" t="s">
        <v>7221</v>
      </c>
      <c r="EZ361" s="9" t="s">
        <v>415</v>
      </c>
      <c r="FA361" s="9" t="s">
        <v>414</v>
      </c>
      <c r="FB361" s="9" t="s">
        <v>413</v>
      </c>
      <c r="FC361" s="9" t="s">
        <v>415</v>
      </c>
      <c r="FD361" s="9" t="s">
        <v>413</v>
      </c>
      <c r="FE361" s="9" t="s">
        <v>414</v>
      </c>
      <c r="FF361" s="9" t="s">
        <v>415</v>
      </c>
      <c r="FG361" s="9" t="s">
        <v>413</v>
      </c>
      <c r="FH361" s="9" t="s">
        <v>415</v>
      </c>
      <c r="FI361" s="9" t="s">
        <v>415</v>
      </c>
      <c r="FJ361" s="9" t="s">
        <v>415</v>
      </c>
      <c r="FK361" s="9" t="s">
        <v>416</v>
      </c>
      <c r="FL361" s="9" t="s">
        <v>416</v>
      </c>
      <c r="FM361" s="9" t="s">
        <v>413</v>
      </c>
      <c r="FN361" s="9" t="s">
        <v>583</v>
      </c>
      <c r="FO361" s="9" t="s">
        <v>850</v>
      </c>
      <c r="FP361" s="9" t="s">
        <v>418</v>
      </c>
      <c r="FQ361" s="9" t="s">
        <v>749</v>
      </c>
      <c r="FR361" s="9" t="s">
        <v>7222</v>
      </c>
      <c r="FS361" s="9" t="s">
        <v>1189</v>
      </c>
      <c r="FT361" s="9" t="s">
        <v>488</v>
      </c>
      <c r="FU361" s="9" t="s">
        <v>918</v>
      </c>
      <c r="FV361" s="9" t="s">
        <v>490</v>
      </c>
      <c r="FW361" s="9" t="s">
        <v>491</v>
      </c>
      <c r="FX361" s="9" t="s">
        <v>7223</v>
      </c>
      <c r="FY361" s="9" t="s">
        <v>535</v>
      </c>
      <c r="GA361" s="9" t="s">
        <v>7224</v>
      </c>
      <c r="GB361" s="9" t="s">
        <v>408</v>
      </c>
      <c r="GJ361" s="9" t="s">
        <v>755</v>
      </c>
      <c r="GK361" s="9" t="s">
        <v>755</v>
      </c>
      <c r="GL361" s="9" t="s">
        <v>756</v>
      </c>
      <c r="GQ361" s="9" t="s">
        <v>3306</v>
      </c>
      <c r="GR361" s="9" t="s">
        <v>4741</v>
      </c>
      <c r="GS361" s="9" t="s">
        <v>408</v>
      </c>
      <c r="GV361" s="9" t="s">
        <v>5231</v>
      </c>
      <c r="GW361" s="9" t="s">
        <v>5232</v>
      </c>
      <c r="GX361" s="9" t="s">
        <v>484</v>
      </c>
      <c r="GY361" s="9" t="s">
        <v>5233</v>
      </c>
      <c r="GZ361" s="9" t="s">
        <v>5234</v>
      </c>
      <c r="HA361" s="9" t="s">
        <v>484</v>
      </c>
      <c r="HB361" s="9" t="s">
        <v>6031</v>
      </c>
      <c r="HO361" s="9" t="s">
        <v>5346</v>
      </c>
      <c r="HP361" s="9" t="s">
        <v>5302</v>
      </c>
      <c r="HQ361" s="9" t="s">
        <v>5238</v>
      </c>
      <c r="HR361" s="9" t="s">
        <v>5321</v>
      </c>
      <c r="MJ361" s="9" t="s">
        <v>6321</v>
      </c>
    </row>
    <row r="362" ht="22.5" customHeight="1">
      <c r="A362" s="8">
        <v>45953.438401666666</v>
      </c>
      <c r="B362" s="9" t="s">
        <v>368</v>
      </c>
      <c r="C362" s="9" t="s">
        <v>370</v>
      </c>
      <c r="D362" s="9" t="s">
        <v>370</v>
      </c>
      <c r="E362" s="9" t="s">
        <v>4170</v>
      </c>
      <c r="F362" s="9" t="s">
        <v>1421</v>
      </c>
      <c r="G362" s="9" t="s">
        <v>422</v>
      </c>
      <c r="H362" s="9" t="s">
        <v>373</v>
      </c>
      <c r="I362" s="9" t="s">
        <v>374</v>
      </c>
      <c r="J362" s="9" t="s">
        <v>718</v>
      </c>
      <c r="K362" s="9" t="s">
        <v>376</v>
      </c>
      <c r="L362" s="9" t="s">
        <v>670</v>
      </c>
      <c r="M362" s="9" t="s">
        <v>1270</v>
      </c>
      <c r="N362" s="9" t="s">
        <v>793</v>
      </c>
      <c r="O362" s="9" t="s">
        <v>1270</v>
      </c>
      <c r="P362" s="9" t="s">
        <v>381</v>
      </c>
      <c r="Q362" s="9" t="s">
        <v>862</v>
      </c>
      <c r="R362" s="9" t="s">
        <v>427</v>
      </c>
      <c r="S362" s="9" t="s">
        <v>384</v>
      </c>
      <c r="T362" s="9" t="s">
        <v>385</v>
      </c>
      <c r="W362" s="9" t="s">
        <v>386</v>
      </c>
      <c r="X362" s="9" t="s">
        <v>1706</v>
      </c>
      <c r="AC362" s="9" t="s">
        <v>2055</v>
      </c>
      <c r="AD362" s="9" t="s">
        <v>7225</v>
      </c>
      <c r="AE362" s="9" t="s">
        <v>408</v>
      </c>
      <c r="AG362" s="9">
        <v>5.0</v>
      </c>
      <c r="AH362" s="9" t="s">
        <v>7226</v>
      </c>
      <c r="AJ362" s="9" t="s">
        <v>7227</v>
      </c>
      <c r="AK362" s="9" t="s">
        <v>7228</v>
      </c>
      <c r="AV362" s="9" t="s">
        <v>390</v>
      </c>
      <c r="AW362" s="9" t="s">
        <v>391</v>
      </c>
      <c r="AX362" s="9" t="s">
        <v>391</v>
      </c>
      <c r="AY362" s="9" t="s">
        <v>675</v>
      </c>
      <c r="AZ362" s="9" t="s">
        <v>675</v>
      </c>
      <c r="BA362" s="9">
        <v>4.0</v>
      </c>
      <c r="BB362" s="9" t="s">
        <v>391</v>
      </c>
      <c r="BC362" s="9" t="s">
        <v>7229</v>
      </c>
      <c r="BD362" s="9" t="s">
        <v>7230</v>
      </c>
      <c r="BE362" s="9" t="s">
        <v>392</v>
      </c>
      <c r="BF362" s="9" t="s">
        <v>1047</v>
      </c>
      <c r="BG362" s="9" t="s">
        <v>434</v>
      </c>
      <c r="BH362" s="9" t="s">
        <v>7231</v>
      </c>
      <c r="BI362" s="9" t="s">
        <v>509</v>
      </c>
      <c r="BJ362" s="9" t="s">
        <v>7232</v>
      </c>
      <c r="BK362" s="9" t="s">
        <v>511</v>
      </c>
      <c r="BL362" s="9" t="s">
        <v>512</v>
      </c>
      <c r="BM362" s="9" t="s">
        <v>549</v>
      </c>
      <c r="BN362" s="9" t="s">
        <v>398</v>
      </c>
      <c r="BO362" s="9" t="s">
        <v>7233</v>
      </c>
      <c r="BP362" s="9" t="s">
        <v>7234</v>
      </c>
      <c r="BQ362" s="9" t="s">
        <v>401</v>
      </c>
      <c r="BR362" s="9" t="s">
        <v>7235</v>
      </c>
      <c r="BS362" s="9" t="s">
        <v>1671</v>
      </c>
      <c r="BT362" s="9" t="s">
        <v>1771</v>
      </c>
      <c r="BU362" s="9" t="s">
        <v>1831</v>
      </c>
      <c r="BV362" s="9" t="s">
        <v>7236</v>
      </c>
      <c r="BW362" s="9" t="s">
        <v>406</v>
      </c>
      <c r="BX362" s="9" t="s">
        <v>407</v>
      </c>
      <c r="BY362" s="9" t="s">
        <v>408</v>
      </c>
      <c r="CA362" s="9" t="s">
        <v>7237</v>
      </c>
      <c r="CB362" s="9" t="s">
        <v>7238</v>
      </c>
      <c r="CC362" s="9" t="s">
        <v>7239</v>
      </c>
      <c r="CD362" s="9" t="s">
        <v>451</v>
      </c>
      <c r="CE362" s="9" t="s">
        <v>7240</v>
      </c>
      <c r="CF362" s="9" t="s">
        <v>1258</v>
      </c>
      <c r="CH362" s="9" t="s">
        <v>1679</v>
      </c>
      <c r="CI362" s="9" t="s">
        <v>410</v>
      </c>
      <c r="CJ362" s="9" t="s">
        <v>7241</v>
      </c>
      <c r="CK362" s="9" t="s">
        <v>7242</v>
      </c>
      <c r="DI362" s="9" t="s">
        <v>459</v>
      </c>
      <c r="DJ362" s="9" t="s">
        <v>562</v>
      </c>
      <c r="DK362" s="9" t="s">
        <v>1434</v>
      </c>
      <c r="ET362" s="9" t="s">
        <v>526</v>
      </c>
      <c r="EU362" s="9" t="s">
        <v>479</v>
      </c>
      <c r="EV362" s="9" t="s">
        <v>1534</v>
      </c>
      <c r="EX362" s="9" t="s">
        <v>7243</v>
      </c>
      <c r="EY362" s="9" t="s">
        <v>7244</v>
      </c>
      <c r="EZ362" s="9" t="s">
        <v>413</v>
      </c>
      <c r="FA362" s="9" t="s">
        <v>583</v>
      </c>
      <c r="FB362" s="9" t="s">
        <v>583</v>
      </c>
      <c r="FC362" s="9" t="s">
        <v>583</v>
      </c>
      <c r="FD362" s="9" t="s">
        <v>583</v>
      </c>
      <c r="FE362" s="9" t="s">
        <v>583</v>
      </c>
      <c r="FF362" s="9" t="s">
        <v>583</v>
      </c>
      <c r="FG362" s="9" t="s">
        <v>413</v>
      </c>
      <c r="FH362" s="9" t="s">
        <v>583</v>
      </c>
      <c r="FI362" s="9" t="s">
        <v>583</v>
      </c>
      <c r="FJ362" s="9" t="s">
        <v>583</v>
      </c>
      <c r="FK362" s="9" t="s">
        <v>415</v>
      </c>
      <c r="FL362" s="9" t="s">
        <v>583</v>
      </c>
      <c r="FM362" s="9" t="s">
        <v>416</v>
      </c>
      <c r="FN362" s="9" t="s">
        <v>583</v>
      </c>
      <c r="FO362" s="9" t="s">
        <v>485</v>
      </c>
      <c r="FP362" s="9" t="s">
        <v>2651</v>
      </c>
      <c r="FQ362" s="9" t="s">
        <v>630</v>
      </c>
      <c r="FR362" s="9" t="s">
        <v>7245</v>
      </c>
      <c r="FS362" s="9" t="s">
        <v>1871</v>
      </c>
      <c r="FT362" s="9" t="s">
        <v>1462</v>
      </c>
      <c r="FU362" s="9" t="s">
        <v>533</v>
      </c>
      <c r="FV362" s="9" t="s">
        <v>490</v>
      </c>
      <c r="FW362" s="9" t="s">
        <v>491</v>
      </c>
      <c r="FX362" s="9" t="s">
        <v>7246</v>
      </c>
      <c r="FY362" s="9" t="s">
        <v>493</v>
      </c>
      <c r="FZ362" s="9" t="s">
        <v>7247</v>
      </c>
      <c r="GA362" s="9" t="s">
        <v>7248</v>
      </c>
      <c r="GB362" s="9" t="s">
        <v>408</v>
      </c>
      <c r="GJ362" s="9" t="s">
        <v>789</v>
      </c>
      <c r="GK362" s="9" t="s">
        <v>789</v>
      </c>
      <c r="GL362" s="9" t="s">
        <v>858</v>
      </c>
      <c r="GQ362" s="9" t="s">
        <v>3208</v>
      </c>
      <c r="GR362" s="9" t="s">
        <v>4840</v>
      </c>
      <c r="GS362" s="9" t="s">
        <v>7249</v>
      </c>
      <c r="GV362" s="9" t="s">
        <v>5260</v>
      </c>
      <c r="GW362" s="9" t="s">
        <v>5261</v>
      </c>
      <c r="GX362" s="9" t="s">
        <v>5262</v>
      </c>
      <c r="GY362" s="9" t="s">
        <v>5233</v>
      </c>
      <c r="GZ362" s="9" t="s">
        <v>5234</v>
      </c>
      <c r="HA362" s="9" t="s">
        <v>5369</v>
      </c>
      <c r="HB362" s="9" t="s">
        <v>7250</v>
      </c>
      <c r="HO362" s="9" t="s">
        <v>5236</v>
      </c>
      <c r="HP362" s="9" t="s">
        <v>5237</v>
      </c>
      <c r="HQ362" s="9" t="s">
        <v>5238</v>
      </c>
      <c r="HR362" s="9" t="s">
        <v>7251</v>
      </c>
      <c r="MJ362" s="9" t="s">
        <v>6321</v>
      </c>
    </row>
    <row r="363" ht="22.5" customHeight="1">
      <c r="A363" s="8">
        <v>45956.00984539352</v>
      </c>
      <c r="B363" s="9" t="s">
        <v>368</v>
      </c>
      <c r="C363" s="9" t="s">
        <v>370</v>
      </c>
      <c r="D363" s="9" t="s">
        <v>370</v>
      </c>
      <c r="E363" s="9" t="s">
        <v>6500</v>
      </c>
      <c r="F363" s="9" t="s">
        <v>2559</v>
      </c>
      <c r="G363" s="9" t="s">
        <v>422</v>
      </c>
      <c r="H363" s="9" t="s">
        <v>539</v>
      </c>
      <c r="I363" s="9" t="s">
        <v>424</v>
      </c>
      <c r="J363" s="9" t="s">
        <v>718</v>
      </c>
      <c r="K363" s="9" t="s">
        <v>376</v>
      </c>
      <c r="L363" s="9" t="s">
        <v>591</v>
      </c>
      <c r="M363" s="9" t="s">
        <v>860</v>
      </c>
      <c r="N363" s="9" t="s">
        <v>591</v>
      </c>
      <c r="O363" s="9" t="s">
        <v>671</v>
      </c>
      <c r="P363" s="9" t="s">
        <v>498</v>
      </c>
      <c r="Q363" s="9" t="s">
        <v>499</v>
      </c>
      <c r="R363" s="9" t="s">
        <v>949</v>
      </c>
      <c r="S363" s="9" t="s">
        <v>384</v>
      </c>
      <c r="T363" s="9" t="s">
        <v>385</v>
      </c>
      <c r="W363" s="9" t="s">
        <v>593</v>
      </c>
      <c r="X363" s="9" t="s">
        <v>387</v>
      </c>
      <c r="Y363" s="9" t="s">
        <v>2115</v>
      </c>
      <c r="Z363" s="9" t="s">
        <v>672</v>
      </c>
      <c r="AA363" s="9" t="s">
        <v>7252</v>
      </c>
      <c r="AB363" s="9" t="s">
        <v>7253</v>
      </c>
      <c r="AV363" s="9" t="s">
        <v>1310</v>
      </c>
      <c r="AW363" s="9" t="s">
        <v>391</v>
      </c>
      <c r="AX363" s="9">
        <v>2.0</v>
      </c>
      <c r="AY363" s="9" t="s">
        <v>429</v>
      </c>
      <c r="AZ363" s="9">
        <v>2.0</v>
      </c>
      <c r="BA363" s="9">
        <v>2.0</v>
      </c>
      <c r="BB363" s="9" t="s">
        <v>429</v>
      </c>
      <c r="BC363" s="9" t="s">
        <v>7254</v>
      </c>
      <c r="BD363" s="9" t="s">
        <v>7255</v>
      </c>
      <c r="BE363" s="9" t="s">
        <v>392</v>
      </c>
      <c r="BF363" s="9" t="s">
        <v>433</v>
      </c>
      <c r="BG363" s="9" t="s">
        <v>725</v>
      </c>
      <c r="BH363" s="9" t="s">
        <v>7256</v>
      </c>
      <c r="BI363" s="9" t="s">
        <v>509</v>
      </c>
      <c r="BJ363" s="9" t="s">
        <v>7257</v>
      </c>
      <c r="BK363" s="9" t="s">
        <v>602</v>
      </c>
      <c r="BL363" s="9" t="s">
        <v>512</v>
      </c>
      <c r="BM363" s="9" t="s">
        <v>1247</v>
      </c>
      <c r="BN363" s="9" t="s">
        <v>513</v>
      </c>
      <c r="CL363" s="9" t="s">
        <v>441</v>
      </c>
      <c r="CM363" s="9" t="s">
        <v>682</v>
      </c>
      <c r="CN363" s="9" t="s">
        <v>7258</v>
      </c>
      <c r="CO363" s="9" t="s">
        <v>7259</v>
      </c>
      <c r="CP363" s="9" t="s">
        <v>979</v>
      </c>
      <c r="CQ363" s="9" t="s">
        <v>7260</v>
      </c>
      <c r="CR363" s="9" t="s">
        <v>804</v>
      </c>
      <c r="CS363" s="9" t="s">
        <v>1346</v>
      </c>
      <c r="CT363" s="9" t="s">
        <v>7261</v>
      </c>
      <c r="CU363" s="9" t="s">
        <v>982</v>
      </c>
      <c r="CV363" s="9" t="s">
        <v>409</v>
      </c>
      <c r="CW363" s="9" t="s">
        <v>7262</v>
      </c>
      <c r="CX363" s="9" t="s">
        <v>408</v>
      </c>
      <c r="CZ363" s="9" t="s">
        <v>1398</v>
      </c>
      <c r="DA363" s="9" t="s">
        <v>7263</v>
      </c>
      <c r="DB363" s="9" t="s">
        <v>408</v>
      </c>
      <c r="DD363" s="9" t="s">
        <v>406</v>
      </c>
      <c r="DE363" s="9" t="s">
        <v>407</v>
      </c>
      <c r="DF363" s="9" t="s">
        <v>7264</v>
      </c>
      <c r="DG363" s="9" t="s">
        <v>4899</v>
      </c>
      <c r="DH363" s="9" t="s">
        <v>1964</v>
      </c>
      <c r="DI363" s="9" t="s">
        <v>459</v>
      </c>
      <c r="DJ363" s="9" t="s">
        <v>613</v>
      </c>
      <c r="ET363" s="9" t="s">
        <v>526</v>
      </c>
      <c r="EU363" s="9" t="s">
        <v>579</v>
      </c>
      <c r="EV363" s="9" t="s">
        <v>480</v>
      </c>
      <c r="EW363" s="9" t="s">
        <v>7265</v>
      </c>
      <c r="EX363" s="9" t="s">
        <v>7266</v>
      </c>
      <c r="EY363" s="9" t="s">
        <v>7267</v>
      </c>
      <c r="EZ363" s="9" t="s">
        <v>583</v>
      </c>
      <c r="FA363" s="9" t="s">
        <v>583</v>
      </c>
      <c r="FB363" s="9" t="s">
        <v>416</v>
      </c>
      <c r="FC363" s="9" t="s">
        <v>583</v>
      </c>
      <c r="FD363" s="9" t="s">
        <v>484</v>
      </c>
      <c r="FE363" s="9" t="s">
        <v>583</v>
      </c>
      <c r="FF363" s="9" t="s">
        <v>484</v>
      </c>
      <c r="FG363" s="9" t="s">
        <v>583</v>
      </c>
      <c r="FH363" s="9" t="s">
        <v>484</v>
      </c>
      <c r="FI363" s="9" t="s">
        <v>583</v>
      </c>
      <c r="FJ363" s="9" t="s">
        <v>583</v>
      </c>
      <c r="FK363" s="9" t="s">
        <v>583</v>
      </c>
      <c r="FL363" s="9" t="s">
        <v>583</v>
      </c>
      <c r="FM363" s="9" t="s">
        <v>484</v>
      </c>
      <c r="FN363" s="9" t="s">
        <v>583</v>
      </c>
      <c r="FO363" s="9" t="s">
        <v>1537</v>
      </c>
      <c r="FP363" s="9" t="s">
        <v>2651</v>
      </c>
      <c r="FQ363" s="9" t="s">
        <v>419</v>
      </c>
      <c r="FR363" s="9" t="s">
        <v>6934</v>
      </c>
      <c r="FS363" s="9" t="s">
        <v>1871</v>
      </c>
      <c r="FT363" s="9" t="s">
        <v>1476</v>
      </c>
      <c r="FU363" s="9" t="s">
        <v>533</v>
      </c>
      <c r="FV363" s="9" t="s">
        <v>2399</v>
      </c>
      <c r="FW363" s="9" t="s">
        <v>1853</v>
      </c>
      <c r="FX363" s="9" t="s">
        <v>7268</v>
      </c>
      <c r="FY363" s="9" t="s">
        <v>1020</v>
      </c>
      <c r="FZ363" s="9" t="s">
        <v>7269</v>
      </c>
      <c r="GA363" s="9" t="s">
        <v>7270</v>
      </c>
      <c r="GB363" s="9" t="s">
        <v>455</v>
      </c>
      <c r="GC363" s="9"/>
      <c r="GE363" s="9" t="s">
        <v>944</v>
      </c>
      <c r="GF363" s="9" t="s">
        <v>7271</v>
      </c>
      <c r="GG363" s="9" t="s">
        <v>755</v>
      </c>
      <c r="GH363" s="9" t="s">
        <v>1000</v>
      </c>
      <c r="GI363" s="9" t="s">
        <v>817</v>
      </c>
      <c r="GQ363" s="9" t="s">
        <v>5656</v>
      </c>
      <c r="GT363" s="9" t="s">
        <v>5081</v>
      </c>
      <c r="GU363" s="9" t="s">
        <v>7272</v>
      </c>
      <c r="GV363" s="9" t="s">
        <v>5231</v>
      </c>
      <c r="GW363" s="9" t="s">
        <v>5232</v>
      </c>
      <c r="HC363" s="9" t="s">
        <v>5297</v>
      </c>
      <c r="HD363" s="9" t="s">
        <v>5382</v>
      </c>
      <c r="HE363" s="9" t="s">
        <v>484</v>
      </c>
      <c r="HF363" s="9" t="s">
        <v>5300</v>
      </c>
      <c r="HO363" s="9" t="s">
        <v>5236</v>
      </c>
      <c r="HP363" s="9" t="s">
        <v>5237</v>
      </c>
      <c r="HQ363" s="9" t="s">
        <v>5801</v>
      </c>
      <c r="HR363" s="9" t="s">
        <v>913</v>
      </c>
      <c r="HW363" s="9" t="s">
        <v>6859</v>
      </c>
      <c r="MJ363" s="9" t="s">
        <v>6321</v>
      </c>
    </row>
    <row r="364" ht="22.5" customHeight="1">
      <c r="A364" s="8">
        <v>45956.86146025463</v>
      </c>
      <c r="B364" s="9" t="s">
        <v>368</v>
      </c>
      <c r="C364" s="9" t="s">
        <v>370</v>
      </c>
      <c r="D364" s="9" t="s">
        <v>370</v>
      </c>
      <c r="E364" s="9" t="s">
        <v>1001</v>
      </c>
      <c r="F364" s="9" t="s">
        <v>371</v>
      </c>
      <c r="G364" s="9" t="s">
        <v>422</v>
      </c>
      <c r="H364" s="9" t="s">
        <v>373</v>
      </c>
      <c r="I364" s="9" t="s">
        <v>374</v>
      </c>
      <c r="J364" s="9" t="s">
        <v>375</v>
      </c>
      <c r="K364" s="9" t="s">
        <v>376</v>
      </c>
      <c r="L364" s="9" t="s">
        <v>591</v>
      </c>
      <c r="M364" s="9" t="s">
        <v>1270</v>
      </c>
      <c r="N364" s="9" t="s">
        <v>591</v>
      </c>
      <c r="O364" s="9" t="s">
        <v>1270</v>
      </c>
      <c r="P364" s="9" t="s">
        <v>592</v>
      </c>
      <c r="Q364" s="9" t="s">
        <v>382</v>
      </c>
      <c r="R364" s="9" t="s">
        <v>500</v>
      </c>
      <c r="S364" s="9" t="s">
        <v>384</v>
      </c>
      <c r="T364" s="9" t="s">
        <v>385</v>
      </c>
      <c r="W364" s="9" t="s">
        <v>3014</v>
      </c>
      <c r="AV364" s="9" t="s">
        <v>504</v>
      </c>
      <c r="AW364" s="9" t="s">
        <v>391</v>
      </c>
      <c r="AX364" s="9" t="s">
        <v>391</v>
      </c>
      <c r="AY364" s="9" t="s">
        <v>391</v>
      </c>
      <c r="AZ364" s="9" t="s">
        <v>429</v>
      </c>
      <c r="BA364" s="9">
        <v>2.0</v>
      </c>
      <c r="BB364" s="9">
        <v>2.0</v>
      </c>
      <c r="BE364" s="9" t="s">
        <v>392</v>
      </c>
      <c r="BF364" s="9" t="s">
        <v>433</v>
      </c>
      <c r="BG364" s="9" t="s">
        <v>725</v>
      </c>
      <c r="BI364" s="9" t="s">
        <v>509</v>
      </c>
      <c r="BK364" s="9" t="s">
        <v>395</v>
      </c>
      <c r="BL364" s="9" t="s">
        <v>438</v>
      </c>
      <c r="BM364" s="9" t="s">
        <v>439</v>
      </c>
      <c r="BN364" s="9" t="s">
        <v>513</v>
      </c>
      <c r="CL364" s="9" t="s">
        <v>441</v>
      </c>
      <c r="CM364" s="9" t="s">
        <v>401</v>
      </c>
      <c r="CP364" s="9" t="s">
        <v>403</v>
      </c>
      <c r="CQ364" s="9" t="s">
        <v>7273</v>
      </c>
      <c r="CR364" s="9" t="s">
        <v>447</v>
      </c>
      <c r="CS364" s="9" t="s">
        <v>1137</v>
      </c>
      <c r="CU364" s="9" t="s">
        <v>450</v>
      </c>
      <c r="CV364" s="9" t="s">
        <v>451</v>
      </c>
      <c r="CX364" s="9" t="s">
        <v>408</v>
      </c>
      <c r="CZ364" s="9" t="s">
        <v>453</v>
      </c>
      <c r="DB364" s="9" t="s">
        <v>913</v>
      </c>
      <c r="DD364" s="9" t="s">
        <v>406</v>
      </c>
      <c r="DE364" s="9" t="s">
        <v>407</v>
      </c>
      <c r="DG364" s="9" t="s">
        <v>561</v>
      </c>
      <c r="DH364" s="9" t="s">
        <v>410</v>
      </c>
      <c r="DI364" s="9" t="s">
        <v>459</v>
      </c>
      <c r="DJ364" s="9" t="s">
        <v>613</v>
      </c>
      <c r="ET364" s="9" t="s">
        <v>526</v>
      </c>
      <c r="EU364" s="9" t="s">
        <v>479</v>
      </c>
      <c r="EV364" s="9" t="s">
        <v>480</v>
      </c>
      <c r="EZ364" s="9" t="s">
        <v>415</v>
      </c>
      <c r="FA364" s="9" t="s">
        <v>415</v>
      </c>
      <c r="FB364" s="9" t="s">
        <v>413</v>
      </c>
      <c r="FC364" s="9" t="s">
        <v>413</v>
      </c>
      <c r="FD364" s="9" t="s">
        <v>413</v>
      </c>
      <c r="FE364" s="9" t="s">
        <v>415</v>
      </c>
      <c r="FF364" s="9" t="s">
        <v>415</v>
      </c>
      <c r="FG364" s="9" t="s">
        <v>413</v>
      </c>
      <c r="FH364" s="9" t="s">
        <v>583</v>
      </c>
      <c r="FI364" s="9" t="s">
        <v>415</v>
      </c>
      <c r="FJ364" s="9" t="s">
        <v>413</v>
      </c>
      <c r="FK364" s="9" t="s">
        <v>415</v>
      </c>
      <c r="FL364" s="9" t="s">
        <v>415</v>
      </c>
      <c r="FM364" s="9" t="s">
        <v>413</v>
      </c>
      <c r="FN364" s="9" t="s">
        <v>583</v>
      </c>
      <c r="FO364" s="9" t="s">
        <v>850</v>
      </c>
      <c r="FP364" s="9" t="s">
        <v>418</v>
      </c>
      <c r="FQ364" s="9" t="s">
        <v>1039</v>
      </c>
      <c r="FS364" s="9" t="s">
        <v>420</v>
      </c>
      <c r="FT364" s="9" t="s">
        <v>488</v>
      </c>
      <c r="FU364" s="9" t="s">
        <v>533</v>
      </c>
      <c r="FV364" s="9" t="s">
        <v>490</v>
      </c>
      <c r="FW364" s="9" t="s">
        <v>491</v>
      </c>
      <c r="FY364" s="9" t="s">
        <v>535</v>
      </c>
      <c r="GB364" s="9" t="s">
        <v>408</v>
      </c>
      <c r="GG364" s="9" t="s">
        <v>755</v>
      </c>
      <c r="GH364" s="9" t="s">
        <v>755</v>
      </c>
      <c r="GI364" s="9" t="s">
        <v>946</v>
      </c>
      <c r="GQ364" s="9" t="s">
        <v>3208</v>
      </c>
      <c r="GT364" s="9" t="s">
        <v>4774</v>
      </c>
      <c r="GV364" s="9" t="s">
        <v>5231</v>
      </c>
      <c r="GW364" s="9" t="s">
        <v>484</v>
      </c>
      <c r="HC364" s="9" t="s">
        <v>5297</v>
      </c>
      <c r="HD364" s="9" t="s">
        <v>5349</v>
      </c>
      <c r="HE364" s="9" t="s">
        <v>5320</v>
      </c>
      <c r="HF364" s="9" t="s">
        <v>5300</v>
      </c>
      <c r="HO364" s="9" t="s">
        <v>5236</v>
      </c>
      <c r="HP364" s="9" t="s">
        <v>5264</v>
      </c>
      <c r="HQ364" s="9" t="s">
        <v>5238</v>
      </c>
      <c r="HR364" s="9" t="s">
        <v>5287</v>
      </c>
      <c r="HW364" s="9" t="s">
        <v>6274</v>
      </c>
      <c r="MJ364" s="9" t="s">
        <v>6321</v>
      </c>
    </row>
    <row r="365" ht="22.5" customHeight="1">
      <c r="A365" s="8">
        <v>45956.90730827546</v>
      </c>
      <c r="B365" s="9" t="s">
        <v>368</v>
      </c>
      <c r="C365" s="9" t="s">
        <v>894</v>
      </c>
      <c r="D365" s="9" t="s">
        <v>894</v>
      </c>
      <c r="G365" s="9" t="s">
        <v>422</v>
      </c>
      <c r="H365" s="9" t="s">
        <v>373</v>
      </c>
      <c r="I365" s="9" t="s">
        <v>374</v>
      </c>
      <c r="J365" s="9" t="s">
        <v>375</v>
      </c>
      <c r="K365" s="9" t="s">
        <v>376</v>
      </c>
      <c r="L365" s="9" t="s">
        <v>793</v>
      </c>
      <c r="M365" s="9" t="s">
        <v>7274</v>
      </c>
      <c r="N365" s="9" t="s">
        <v>793</v>
      </c>
      <c r="O365" s="9" t="s">
        <v>719</v>
      </c>
      <c r="P365" s="9" t="s">
        <v>592</v>
      </c>
      <c r="Q365" s="9" t="s">
        <v>499</v>
      </c>
      <c r="R365" s="9" t="s">
        <v>500</v>
      </c>
      <c r="S365" s="9" t="s">
        <v>384</v>
      </c>
      <c r="T365" s="9" t="s">
        <v>385</v>
      </c>
      <c r="U365" s="9" t="s">
        <v>896</v>
      </c>
      <c r="V365" s="9" t="s">
        <v>896</v>
      </c>
      <c r="W365" s="9" t="s">
        <v>3231</v>
      </c>
      <c r="AV365" s="9" t="s">
        <v>390</v>
      </c>
      <c r="AW365" s="9" t="s">
        <v>391</v>
      </c>
      <c r="AX365" s="9" t="s">
        <v>391</v>
      </c>
      <c r="AY365" s="9">
        <v>2.0</v>
      </c>
      <c r="AZ365" s="9" t="s">
        <v>429</v>
      </c>
      <c r="BA365" s="9" t="s">
        <v>429</v>
      </c>
      <c r="BB365" s="9" t="s">
        <v>391</v>
      </c>
      <c r="BC365" s="9" t="s">
        <v>7275</v>
      </c>
      <c r="BD365" s="9" t="s">
        <v>7276</v>
      </c>
      <c r="BE365" s="9" t="s">
        <v>902</v>
      </c>
      <c r="BF365" s="9" t="s">
        <v>1047</v>
      </c>
      <c r="BG365" s="9" t="s">
        <v>678</v>
      </c>
      <c r="BH365" s="9" t="s">
        <v>7277</v>
      </c>
      <c r="BI365" s="9" t="s">
        <v>509</v>
      </c>
      <c r="BJ365" s="9" t="s">
        <v>7278</v>
      </c>
      <c r="BK365" s="9" t="s">
        <v>437</v>
      </c>
      <c r="BL365" s="9" t="s">
        <v>603</v>
      </c>
      <c r="BM365" s="9" t="s">
        <v>549</v>
      </c>
      <c r="BN365" s="9" t="s">
        <v>513</v>
      </c>
      <c r="CL365" s="9" t="s">
        <v>441</v>
      </c>
      <c r="CM365" s="9" t="s">
        <v>604</v>
      </c>
      <c r="CN365" s="9" t="s">
        <v>552</v>
      </c>
      <c r="CO365" s="9" t="s">
        <v>7279</v>
      </c>
      <c r="CP365" s="9" t="s">
        <v>685</v>
      </c>
      <c r="CQ365" s="9" t="s">
        <v>7280</v>
      </c>
      <c r="CR365" s="9" t="s">
        <v>447</v>
      </c>
      <c r="CS365" s="9" t="s">
        <v>6848</v>
      </c>
      <c r="CT365" s="9" t="s">
        <v>7281</v>
      </c>
      <c r="CU365" s="9" t="s">
        <v>519</v>
      </c>
      <c r="CV365" s="9" t="s">
        <v>451</v>
      </c>
      <c r="CW365" s="9" t="s">
        <v>7282</v>
      </c>
      <c r="CX365" s="9" t="s">
        <v>408</v>
      </c>
      <c r="CZ365" s="9" t="s">
        <v>453</v>
      </c>
      <c r="DA365" s="9" t="s">
        <v>7283</v>
      </c>
      <c r="DB365" s="9" t="s">
        <v>455</v>
      </c>
      <c r="DC365" s="9" t="s">
        <v>7284</v>
      </c>
      <c r="DD365" s="9" t="s">
        <v>457</v>
      </c>
      <c r="DF365" s="9" t="s">
        <v>7285</v>
      </c>
      <c r="DG365" s="9" t="s">
        <v>561</v>
      </c>
      <c r="DH365" s="9" t="s">
        <v>410</v>
      </c>
      <c r="DI365" s="9" t="s">
        <v>459</v>
      </c>
      <c r="DJ365" s="9" t="s">
        <v>460</v>
      </c>
      <c r="DK365" s="9" t="s">
        <v>6335</v>
      </c>
      <c r="ET365" s="9" t="s">
        <v>526</v>
      </c>
      <c r="EU365" s="9" t="s">
        <v>887</v>
      </c>
      <c r="EV365" s="9" t="s">
        <v>1262</v>
      </c>
      <c r="EX365" s="9" t="s">
        <v>7286</v>
      </c>
      <c r="EZ365" s="9" t="s">
        <v>415</v>
      </c>
      <c r="FA365" s="9" t="s">
        <v>415</v>
      </c>
      <c r="FB365" s="9" t="s">
        <v>413</v>
      </c>
      <c r="FC365" s="9" t="s">
        <v>413</v>
      </c>
      <c r="FD365" s="9" t="s">
        <v>413</v>
      </c>
      <c r="FE365" s="9" t="s">
        <v>415</v>
      </c>
      <c r="FF365" s="9" t="s">
        <v>413</v>
      </c>
      <c r="FG365" s="9" t="s">
        <v>413</v>
      </c>
      <c r="FH365" s="9" t="s">
        <v>583</v>
      </c>
      <c r="FI365" s="9" t="s">
        <v>416</v>
      </c>
      <c r="FJ365" s="9" t="s">
        <v>416</v>
      </c>
      <c r="FK365" s="9" t="s">
        <v>413</v>
      </c>
      <c r="FL365" s="9" t="s">
        <v>415</v>
      </c>
      <c r="FM365" s="9" t="s">
        <v>413</v>
      </c>
      <c r="FN365" s="9" t="s">
        <v>583</v>
      </c>
      <c r="FO365" s="9" t="s">
        <v>485</v>
      </c>
      <c r="FP365" s="9" t="s">
        <v>486</v>
      </c>
      <c r="FQ365" s="9" t="s">
        <v>531</v>
      </c>
      <c r="FR365" s="9" t="s">
        <v>7287</v>
      </c>
      <c r="FS365" s="9" t="s">
        <v>420</v>
      </c>
      <c r="FT365" s="9" t="s">
        <v>488</v>
      </c>
      <c r="FU365" s="9" t="s">
        <v>918</v>
      </c>
      <c r="FV365" s="9" t="s">
        <v>490</v>
      </c>
      <c r="FW365" s="9" t="s">
        <v>491</v>
      </c>
      <c r="FX365" s="9" t="s">
        <v>7288</v>
      </c>
      <c r="FY365" s="9" t="s">
        <v>535</v>
      </c>
      <c r="GB365" s="9" t="s">
        <v>408</v>
      </c>
      <c r="GG365" s="9" t="s">
        <v>755</v>
      </c>
      <c r="GH365" s="9" t="s">
        <v>755</v>
      </c>
      <c r="GI365" s="9" t="s">
        <v>946</v>
      </c>
      <c r="GP365" s="9" t="s">
        <v>387</v>
      </c>
      <c r="GQ365" s="9" t="s">
        <v>3208</v>
      </c>
      <c r="GT365" s="9" t="s">
        <v>4774</v>
      </c>
      <c r="GV365" s="9" t="s">
        <v>5231</v>
      </c>
      <c r="GW365" s="9" t="s">
        <v>5232</v>
      </c>
      <c r="HC365" s="9" t="s">
        <v>6053</v>
      </c>
      <c r="HD365" s="9" t="s">
        <v>5282</v>
      </c>
      <c r="HE365" s="9" t="s">
        <v>5492</v>
      </c>
      <c r="HF365" s="9" t="s">
        <v>5899</v>
      </c>
      <c r="HO365" s="9" t="s">
        <v>5346</v>
      </c>
      <c r="HP365" s="9" t="s">
        <v>5302</v>
      </c>
      <c r="HQ365" s="9" t="s">
        <v>5238</v>
      </c>
      <c r="HR365" s="9" t="s">
        <v>5321</v>
      </c>
      <c r="HW365" s="9" t="s">
        <v>5501</v>
      </c>
      <c r="MJ365" s="9" t="s">
        <v>6321</v>
      </c>
    </row>
    <row r="366" ht="22.5" customHeight="1">
      <c r="A366" s="8">
        <v>45956.91186146991</v>
      </c>
      <c r="B366" s="9" t="s">
        <v>368</v>
      </c>
      <c r="C366" s="9" t="s">
        <v>370</v>
      </c>
      <c r="D366" s="9" t="s">
        <v>370</v>
      </c>
      <c r="E366" s="9" t="s">
        <v>2359</v>
      </c>
      <c r="F366" s="9" t="s">
        <v>4905</v>
      </c>
      <c r="G366" s="9" t="s">
        <v>2657</v>
      </c>
      <c r="H366" s="9" t="s">
        <v>373</v>
      </c>
      <c r="I366" s="9" t="s">
        <v>638</v>
      </c>
      <c r="J366" s="9" t="s">
        <v>718</v>
      </c>
      <c r="K366" s="9" t="s">
        <v>376</v>
      </c>
      <c r="L366" s="9" t="s">
        <v>591</v>
      </c>
      <c r="M366" s="9" t="s">
        <v>378</v>
      </c>
      <c r="N366" s="9" t="s">
        <v>591</v>
      </c>
      <c r="O366" s="9" t="s">
        <v>497</v>
      </c>
      <c r="P366" s="9" t="s">
        <v>498</v>
      </c>
      <c r="Q366" s="9" t="s">
        <v>1004</v>
      </c>
      <c r="R366" s="9" t="s">
        <v>949</v>
      </c>
      <c r="S366" s="9" t="s">
        <v>7289</v>
      </c>
      <c r="T366" s="9" t="s">
        <v>385</v>
      </c>
      <c r="W366" s="9" t="s">
        <v>3014</v>
      </c>
      <c r="AV366" s="9" t="s">
        <v>390</v>
      </c>
      <c r="AW366" s="9" t="s">
        <v>391</v>
      </c>
      <c r="AX366" s="9">
        <v>2.0</v>
      </c>
      <c r="AY366" s="9" t="s">
        <v>391</v>
      </c>
      <c r="AZ366" s="9">
        <v>2.0</v>
      </c>
      <c r="BA366" s="9" t="s">
        <v>391</v>
      </c>
      <c r="BB366" s="9">
        <v>2.0</v>
      </c>
      <c r="BC366" s="9" t="s">
        <v>7290</v>
      </c>
      <c r="BD366" s="9" t="s">
        <v>7291</v>
      </c>
      <c r="BE366" s="9" t="s">
        <v>392</v>
      </c>
      <c r="BF366" s="9" t="s">
        <v>433</v>
      </c>
      <c r="BG366" s="9" t="s">
        <v>725</v>
      </c>
      <c r="BH366" s="9" t="s">
        <v>7292</v>
      </c>
      <c r="BI366" s="9" t="s">
        <v>824</v>
      </c>
      <c r="BK366" s="9" t="s">
        <v>511</v>
      </c>
      <c r="BL366" s="9" t="s">
        <v>396</v>
      </c>
      <c r="BM366" s="9" t="s">
        <v>439</v>
      </c>
      <c r="BN366" s="9" t="s">
        <v>440</v>
      </c>
      <c r="CL366" s="9" t="s">
        <v>441</v>
      </c>
      <c r="CM366" s="9" t="s">
        <v>401</v>
      </c>
      <c r="CN366" s="9" t="s">
        <v>552</v>
      </c>
      <c r="CO366" s="9" t="s">
        <v>7293</v>
      </c>
      <c r="CP366" s="9" t="s">
        <v>685</v>
      </c>
      <c r="CQ366" s="9" t="s">
        <v>3703</v>
      </c>
      <c r="CR366" s="9" t="s">
        <v>447</v>
      </c>
      <c r="CS366" s="9" t="s">
        <v>5348</v>
      </c>
      <c r="CT366" s="9" t="s">
        <v>7294</v>
      </c>
      <c r="CU366" s="9" t="s">
        <v>450</v>
      </c>
      <c r="CV366" s="9" t="s">
        <v>451</v>
      </c>
      <c r="CW366" s="9" t="s">
        <v>7295</v>
      </c>
      <c r="CX366" s="9" t="s">
        <v>408</v>
      </c>
      <c r="CZ366" s="9" t="s">
        <v>453</v>
      </c>
      <c r="DA366" s="9" t="s">
        <v>7296</v>
      </c>
      <c r="DB366" s="9" t="s">
        <v>408</v>
      </c>
      <c r="DD366" s="9" t="s">
        <v>457</v>
      </c>
      <c r="DF366" s="9" t="s">
        <v>7297</v>
      </c>
      <c r="DG366" s="9" t="s">
        <v>561</v>
      </c>
      <c r="DH366" s="9" t="s">
        <v>1964</v>
      </c>
      <c r="DI366" s="9" t="s">
        <v>459</v>
      </c>
      <c r="DJ366" s="9" t="s">
        <v>562</v>
      </c>
      <c r="DK366" s="9" t="s">
        <v>6603</v>
      </c>
      <c r="DL366" s="9" t="s">
        <v>7298</v>
      </c>
      <c r="DM366" s="9" t="s">
        <v>7299</v>
      </c>
      <c r="DN366" s="9" t="s">
        <v>3469</v>
      </c>
      <c r="DO366" s="9" t="s">
        <v>464</v>
      </c>
      <c r="DP366" s="9" t="s">
        <v>7300</v>
      </c>
      <c r="DQ366" s="9" t="s">
        <v>1578</v>
      </c>
      <c r="DR366" s="9" t="s">
        <v>7301</v>
      </c>
      <c r="DS366" s="9" t="s">
        <v>839</v>
      </c>
      <c r="DT366" s="9" t="s">
        <v>619</v>
      </c>
      <c r="DU366" s="9" t="s">
        <v>7302</v>
      </c>
      <c r="DV366" s="9" t="s">
        <v>7303</v>
      </c>
      <c r="DW366" s="9" t="s">
        <v>1328</v>
      </c>
      <c r="DX366" s="9" t="s">
        <v>7304</v>
      </c>
      <c r="DY366" s="9" t="s">
        <v>7305</v>
      </c>
      <c r="DZ366" s="9" t="s">
        <v>7306</v>
      </c>
      <c r="EA366" s="9" t="s">
        <v>475</v>
      </c>
      <c r="EB366" s="9" t="s">
        <v>626</v>
      </c>
      <c r="EC366" s="9" t="s">
        <v>7307</v>
      </c>
      <c r="ET366" s="9" t="s">
        <v>526</v>
      </c>
      <c r="EU366" s="9" t="s">
        <v>479</v>
      </c>
      <c r="EV366" s="9" t="s">
        <v>480</v>
      </c>
      <c r="EX366" s="9" t="s">
        <v>7308</v>
      </c>
      <c r="EY366" s="9" t="s">
        <v>7309</v>
      </c>
      <c r="EZ366" s="9" t="s">
        <v>413</v>
      </c>
      <c r="FA366" s="9" t="s">
        <v>415</v>
      </c>
      <c r="FB366" s="9" t="s">
        <v>413</v>
      </c>
      <c r="FC366" s="9" t="s">
        <v>484</v>
      </c>
      <c r="FD366" s="9" t="s">
        <v>413</v>
      </c>
      <c r="FE366" s="9" t="s">
        <v>415</v>
      </c>
      <c r="FF366" s="9" t="s">
        <v>484</v>
      </c>
      <c r="FG366" s="9" t="s">
        <v>484</v>
      </c>
      <c r="FH366" s="9" t="s">
        <v>484</v>
      </c>
      <c r="FI366" s="9" t="s">
        <v>484</v>
      </c>
      <c r="FJ366" s="9" t="s">
        <v>484</v>
      </c>
      <c r="FK366" s="9" t="s">
        <v>484</v>
      </c>
      <c r="FL366" s="9" t="s">
        <v>484</v>
      </c>
      <c r="FM366" s="9" t="s">
        <v>484</v>
      </c>
      <c r="FN366" s="9" t="s">
        <v>484</v>
      </c>
      <c r="FO366" s="9" t="s">
        <v>417</v>
      </c>
      <c r="FP366" s="9" t="s">
        <v>418</v>
      </c>
      <c r="FQ366" s="9" t="s">
        <v>712</v>
      </c>
      <c r="FR366" s="9" t="s">
        <v>7310</v>
      </c>
      <c r="FS366" s="9" t="s">
        <v>420</v>
      </c>
      <c r="FT366" s="9" t="s">
        <v>488</v>
      </c>
      <c r="FU366" s="9" t="s">
        <v>489</v>
      </c>
      <c r="FV366" s="9" t="s">
        <v>490</v>
      </c>
      <c r="FW366" s="9" t="s">
        <v>491</v>
      </c>
      <c r="FX366" s="9" t="s">
        <v>7311</v>
      </c>
      <c r="FY366" s="9" t="s">
        <v>535</v>
      </c>
      <c r="FZ366" s="9" t="s">
        <v>7312</v>
      </c>
      <c r="GA366" s="9" t="s">
        <v>7313</v>
      </c>
      <c r="GB366" s="9" t="s">
        <v>455</v>
      </c>
      <c r="GC366" s="9"/>
      <c r="GE366" s="9" t="s">
        <v>753</v>
      </c>
      <c r="GF366" s="9" t="s">
        <v>7314</v>
      </c>
      <c r="GG366" s="9" t="s">
        <v>857</v>
      </c>
      <c r="GH366" s="9" t="s">
        <v>857</v>
      </c>
      <c r="GI366" s="9" t="s">
        <v>946</v>
      </c>
      <c r="GM366" s="9" t="s">
        <v>1079</v>
      </c>
      <c r="GQ366" s="9" t="s">
        <v>3208</v>
      </c>
      <c r="GT366" s="9" t="s">
        <v>5318</v>
      </c>
      <c r="GU366" s="9" t="s">
        <v>408</v>
      </c>
      <c r="GV366" s="9" t="s">
        <v>5231</v>
      </c>
      <c r="GW366" s="9" t="s">
        <v>484</v>
      </c>
      <c r="HC366" s="9" t="s">
        <v>5297</v>
      </c>
      <c r="HD366" s="9" t="s">
        <v>5349</v>
      </c>
      <c r="HE366" s="9" t="s">
        <v>5283</v>
      </c>
      <c r="HF366" s="9" t="s">
        <v>5899</v>
      </c>
      <c r="HG366" s="9" t="s">
        <v>7315</v>
      </c>
      <c r="HH366" s="9" t="s">
        <v>6242</v>
      </c>
      <c r="HI366" s="9" t="s">
        <v>7316</v>
      </c>
      <c r="HJ366" s="9" t="s">
        <v>7317</v>
      </c>
      <c r="HO366" s="9" t="s">
        <v>5301</v>
      </c>
      <c r="HP366" s="9" t="s">
        <v>5371</v>
      </c>
      <c r="HQ366" s="9" t="s">
        <v>5238</v>
      </c>
      <c r="HR366" s="9" t="s">
        <v>913</v>
      </c>
      <c r="HW366" s="9" t="s">
        <v>6274</v>
      </c>
      <c r="IN366" s="9" t="s">
        <v>5536</v>
      </c>
      <c r="IO366" s="9" t="s">
        <v>5537</v>
      </c>
      <c r="IP366" s="9" t="s">
        <v>5500</v>
      </c>
      <c r="IQ366" s="9" t="s">
        <v>5500</v>
      </c>
      <c r="IR366" s="9" t="s">
        <v>5536</v>
      </c>
      <c r="IS366" s="9" t="s">
        <v>5536</v>
      </c>
      <c r="MJ366" s="9" t="s">
        <v>6321</v>
      </c>
    </row>
    <row r="367" ht="22.5" customHeight="1">
      <c r="A367" s="8">
        <v>45957.408709270836</v>
      </c>
      <c r="B367" s="9" t="s">
        <v>368</v>
      </c>
      <c r="C367" s="9" t="s">
        <v>370</v>
      </c>
      <c r="D367" s="9" t="s">
        <v>370</v>
      </c>
      <c r="E367" s="9" t="s">
        <v>371</v>
      </c>
      <c r="F367" s="9" t="s">
        <v>7318</v>
      </c>
      <c r="G367" s="9" t="s">
        <v>422</v>
      </c>
      <c r="H367" s="9" t="s">
        <v>637</v>
      </c>
      <c r="I367" s="9" t="s">
        <v>638</v>
      </c>
      <c r="J367" s="9" t="s">
        <v>590</v>
      </c>
      <c r="K367" s="9" t="s">
        <v>376</v>
      </c>
      <c r="L367" s="9" t="s">
        <v>591</v>
      </c>
      <c r="M367" s="9" t="s">
        <v>860</v>
      </c>
      <c r="N367" s="9" t="s">
        <v>591</v>
      </c>
      <c r="O367" s="9" t="s">
        <v>671</v>
      </c>
      <c r="P367" s="9" t="s">
        <v>592</v>
      </c>
      <c r="Q367" s="9" t="s">
        <v>1004</v>
      </c>
      <c r="R367" s="9" t="s">
        <v>500</v>
      </c>
      <c r="S367" s="9" t="s">
        <v>384</v>
      </c>
      <c r="T367" s="9" t="s">
        <v>385</v>
      </c>
      <c r="W367" s="9" t="s">
        <v>3014</v>
      </c>
      <c r="AV367" s="9" t="s">
        <v>1242</v>
      </c>
      <c r="AW367" s="9" t="s">
        <v>675</v>
      </c>
      <c r="AX367" s="9" t="s">
        <v>675</v>
      </c>
      <c r="AY367" s="9" t="s">
        <v>675</v>
      </c>
      <c r="AZ367" s="9" t="s">
        <v>675</v>
      </c>
      <c r="BA367" s="9" t="s">
        <v>675</v>
      </c>
      <c r="BB367" s="9" t="s">
        <v>675</v>
      </c>
      <c r="BC367" s="9" t="s">
        <v>7319</v>
      </c>
      <c r="BD367" s="9" t="s">
        <v>7320</v>
      </c>
      <c r="BE367" s="9" t="s">
        <v>2379</v>
      </c>
      <c r="BF367" s="9" t="s">
        <v>1245</v>
      </c>
      <c r="BG367" s="9" t="s">
        <v>394</v>
      </c>
      <c r="BH367" s="9" t="s">
        <v>7321</v>
      </c>
      <c r="BI367" s="9" t="s">
        <v>976</v>
      </c>
      <c r="BK367" s="9" t="s">
        <v>602</v>
      </c>
      <c r="BL367" s="9" t="s">
        <v>904</v>
      </c>
      <c r="BM367" s="9" t="s">
        <v>1314</v>
      </c>
      <c r="BN367" s="9" t="s">
        <v>398</v>
      </c>
      <c r="BO367" s="9" t="s">
        <v>7322</v>
      </c>
      <c r="BP367" s="9" t="s">
        <v>7323</v>
      </c>
      <c r="BQ367" s="9" t="s">
        <v>401</v>
      </c>
      <c r="BR367" s="9" t="s">
        <v>7324</v>
      </c>
      <c r="BS367" s="9" t="s">
        <v>1741</v>
      </c>
      <c r="BT367" s="9" t="s">
        <v>4368</v>
      </c>
      <c r="BU367" s="9" t="s">
        <v>405</v>
      </c>
      <c r="BW367" s="9" t="s">
        <v>457</v>
      </c>
      <c r="BY367" s="9" t="s">
        <v>408</v>
      </c>
      <c r="CA367" s="9" t="s">
        <v>7325</v>
      </c>
      <c r="CB367" s="9" t="s">
        <v>7326</v>
      </c>
      <c r="CC367" s="9" t="s">
        <v>7327</v>
      </c>
      <c r="CD367" s="9" t="s">
        <v>451</v>
      </c>
      <c r="CE367" s="9" t="s">
        <v>7328</v>
      </c>
      <c r="CF367" s="9" t="s">
        <v>1722</v>
      </c>
      <c r="CG367" s="9" t="s">
        <v>7329</v>
      </c>
      <c r="CH367" s="9" t="s">
        <v>1259</v>
      </c>
      <c r="CI367" s="9" t="s">
        <v>833</v>
      </c>
      <c r="CJ367" s="9" t="s">
        <v>7330</v>
      </c>
      <c r="CK367" s="9" t="s">
        <v>7331</v>
      </c>
      <c r="DI367" s="9" t="s">
        <v>459</v>
      </c>
      <c r="DJ367" s="9" t="s">
        <v>460</v>
      </c>
      <c r="DK367" s="9" t="s">
        <v>6319</v>
      </c>
      <c r="ET367" s="9" t="s">
        <v>578</v>
      </c>
      <c r="EU367" s="9" t="s">
        <v>479</v>
      </c>
      <c r="EV367" s="9" t="s">
        <v>778</v>
      </c>
      <c r="EW367" s="9" t="s">
        <v>7332</v>
      </c>
      <c r="EX367" s="9" t="s">
        <v>7333</v>
      </c>
      <c r="EY367" s="9" t="s">
        <v>7334</v>
      </c>
      <c r="EZ367" s="9" t="s">
        <v>413</v>
      </c>
      <c r="FA367" s="9" t="s">
        <v>415</v>
      </c>
      <c r="FB367" s="9" t="s">
        <v>413</v>
      </c>
      <c r="FC367" s="9" t="s">
        <v>413</v>
      </c>
      <c r="FD367" s="9" t="s">
        <v>413</v>
      </c>
      <c r="FE367" s="9" t="s">
        <v>416</v>
      </c>
      <c r="FF367" s="9" t="s">
        <v>413</v>
      </c>
      <c r="FG367" s="9" t="s">
        <v>413</v>
      </c>
      <c r="FH367" s="9" t="s">
        <v>484</v>
      </c>
      <c r="FI367" s="9" t="s">
        <v>583</v>
      </c>
      <c r="FJ367" s="9" t="s">
        <v>416</v>
      </c>
      <c r="FK367" s="9" t="s">
        <v>413</v>
      </c>
      <c r="FL367" s="9" t="s">
        <v>415</v>
      </c>
      <c r="FM367" s="9" t="s">
        <v>415</v>
      </c>
      <c r="FN367" s="9" t="s">
        <v>415</v>
      </c>
      <c r="FO367" s="9" t="s">
        <v>417</v>
      </c>
      <c r="FP367" s="9" t="s">
        <v>486</v>
      </c>
      <c r="FQ367" s="9" t="s">
        <v>749</v>
      </c>
      <c r="FR367" s="9" t="s">
        <v>7335</v>
      </c>
      <c r="FS367" s="9" t="s">
        <v>420</v>
      </c>
      <c r="FT367" s="9" t="s">
        <v>488</v>
      </c>
      <c r="FU367" s="9" t="s">
        <v>489</v>
      </c>
      <c r="FV367" s="9" t="s">
        <v>490</v>
      </c>
      <c r="FW367" s="9" t="s">
        <v>491</v>
      </c>
      <c r="FX367" s="9" t="s">
        <v>7336</v>
      </c>
      <c r="FY367" s="9" t="s">
        <v>535</v>
      </c>
      <c r="FZ367" s="9" t="s">
        <v>7337</v>
      </c>
      <c r="GB367" s="11"/>
      <c r="GJ367" s="9" t="s">
        <v>755</v>
      </c>
      <c r="GK367" s="9" t="s">
        <v>755</v>
      </c>
      <c r="GL367" s="9" t="s">
        <v>946</v>
      </c>
      <c r="GQ367" s="9" t="s">
        <v>3208</v>
      </c>
      <c r="GR367" s="9" t="s">
        <v>4774</v>
      </c>
      <c r="GV367" s="9" t="s">
        <v>5231</v>
      </c>
      <c r="GW367" s="9" t="s">
        <v>5232</v>
      </c>
      <c r="GX367" s="9" t="s">
        <v>5262</v>
      </c>
      <c r="GY367" s="9" t="s">
        <v>7338</v>
      </c>
      <c r="GZ367" s="9" t="s">
        <v>5234</v>
      </c>
      <c r="HA367" s="9" t="s">
        <v>5864</v>
      </c>
      <c r="HB367" s="9" t="s">
        <v>7008</v>
      </c>
      <c r="HO367" s="9" t="s">
        <v>5236</v>
      </c>
      <c r="HP367" s="9" t="s">
        <v>5237</v>
      </c>
      <c r="HQ367" s="9" t="s">
        <v>5238</v>
      </c>
      <c r="HR367" s="9" t="s">
        <v>5321</v>
      </c>
      <c r="MJ367" s="9" t="s">
        <v>6321</v>
      </c>
    </row>
    <row r="368" ht="22.5" customHeight="1">
      <c r="A368" s="8">
        <v>45957.66729241898</v>
      </c>
      <c r="B368" s="9" t="s">
        <v>368</v>
      </c>
      <c r="C368" s="9" t="s">
        <v>370</v>
      </c>
      <c r="D368" s="9" t="s">
        <v>370</v>
      </c>
      <c r="E368" s="9" t="s">
        <v>1480</v>
      </c>
      <c r="F368" s="9" t="s">
        <v>4170</v>
      </c>
      <c r="G368" s="9" t="s">
        <v>422</v>
      </c>
      <c r="H368" s="9" t="s">
        <v>539</v>
      </c>
      <c r="I368" s="9" t="s">
        <v>424</v>
      </c>
      <c r="J368" s="9" t="s">
        <v>375</v>
      </c>
      <c r="K368" s="9" t="s">
        <v>376</v>
      </c>
      <c r="L368" s="9" t="s">
        <v>591</v>
      </c>
      <c r="M368" s="9" t="s">
        <v>1690</v>
      </c>
      <c r="N368" s="9" t="s">
        <v>793</v>
      </c>
      <c r="O368" s="9" t="s">
        <v>719</v>
      </c>
      <c r="P368" s="9" t="s">
        <v>498</v>
      </c>
      <c r="Q368" s="9" t="s">
        <v>1156</v>
      </c>
      <c r="R368" s="9" t="s">
        <v>949</v>
      </c>
      <c r="S368" s="9" t="s">
        <v>384</v>
      </c>
      <c r="T368" s="9" t="s">
        <v>385</v>
      </c>
      <c r="W368" s="9" t="s">
        <v>593</v>
      </c>
      <c r="X368" s="9" t="s">
        <v>387</v>
      </c>
      <c r="Y368" s="9" t="s">
        <v>4171</v>
      </c>
      <c r="Z368" s="9" t="s">
        <v>672</v>
      </c>
      <c r="AA368" s="9" t="s">
        <v>7339</v>
      </c>
      <c r="AB368" s="9" t="s">
        <v>7340</v>
      </c>
      <c r="AV368" s="9" t="s">
        <v>1310</v>
      </c>
      <c r="AW368" s="9">
        <v>2.0</v>
      </c>
      <c r="AX368" s="9">
        <v>2.0</v>
      </c>
      <c r="AY368" s="9" t="s">
        <v>429</v>
      </c>
      <c r="AZ368" s="9" t="s">
        <v>429</v>
      </c>
      <c r="BA368" s="9" t="s">
        <v>429</v>
      </c>
      <c r="BB368" s="9" t="s">
        <v>429</v>
      </c>
      <c r="BC368" s="9" t="s">
        <v>7341</v>
      </c>
      <c r="BD368" s="9" t="s">
        <v>7342</v>
      </c>
      <c r="BE368" s="9" t="s">
        <v>902</v>
      </c>
      <c r="BF368" s="9" t="s">
        <v>393</v>
      </c>
      <c r="BG368" s="9" t="s">
        <v>678</v>
      </c>
      <c r="BH368" s="9" t="s">
        <v>7343</v>
      </c>
      <c r="BI368" s="9" t="s">
        <v>509</v>
      </c>
      <c r="BJ368" s="9" t="s">
        <v>7344</v>
      </c>
      <c r="BK368" s="9" t="s">
        <v>602</v>
      </c>
      <c r="BL368" s="9" t="s">
        <v>438</v>
      </c>
      <c r="BM368" s="9" t="s">
        <v>1247</v>
      </c>
      <c r="BN368" s="9" t="s">
        <v>440</v>
      </c>
      <c r="DI368" s="9" t="s">
        <v>459</v>
      </c>
      <c r="DJ368" s="9" t="s">
        <v>1148</v>
      </c>
      <c r="DK368" s="9" t="s">
        <v>6335</v>
      </c>
      <c r="DM368" s="9" t="s">
        <v>7345</v>
      </c>
      <c r="DN368" s="9" t="s">
        <v>7346</v>
      </c>
      <c r="DO368" s="9" t="s">
        <v>567</v>
      </c>
      <c r="DP368" s="9" t="s">
        <v>7347</v>
      </c>
      <c r="DQ368" s="9" t="s">
        <v>466</v>
      </c>
      <c r="DR368" s="9" t="s">
        <v>7348</v>
      </c>
      <c r="DS368" s="9" t="s">
        <v>468</v>
      </c>
      <c r="DT368" s="9" t="s">
        <v>570</v>
      </c>
      <c r="DU368" s="9" t="s">
        <v>7349</v>
      </c>
      <c r="DV368" s="9" t="s">
        <v>7350</v>
      </c>
      <c r="DW368" s="9" t="s">
        <v>622</v>
      </c>
      <c r="DX368" s="9" t="s">
        <v>7351</v>
      </c>
      <c r="DY368" s="9" t="s">
        <v>7352</v>
      </c>
      <c r="DZ368" s="9" t="s">
        <v>7353</v>
      </c>
      <c r="EA368" s="9" t="s">
        <v>475</v>
      </c>
      <c r="EB368" s="9" t="s">
        <v>626</v>
      </c>
      <c r="ET368" s="9" t="s">
        <v>526</v>
      </c>
      <c r="EU368" s="9" t="s">
        <v>479</v>
      </c>
      <c r="EV368" s="9" t="s">
        <v>527</v>
      </c>
      <c r="EW368" s="9" t="s">
        <v>7354</v>
      </c>
      <c r="EX368" s="9" t="s">
        <v>7355</v>
      </c>
      <c r="EY368" s="9" t="s">
        <v>7356</v>
      </c>
      <c r="EZ368" s="9" t="s">
        <v>414</v>
      </c>
      <c r="FA368" s="9" t="s">
        <v>583</v>
      </c>
      <c r="FB368" s="9" t="s">
        <v>414</v>
      </c>
      <c r="FC368" s="9" t="s">
        <v>414</v>
      </c>
      <c r="FD368" s="9" t="s">
        <v>413</v>
      </c>
      <c r="FE368" s="9" t="s">
        <v>583</v>
      </c>
      <c r="FF368" s="9" t="s">
        <v>414</v>
      </c>
      <c r="FG368" s="9" t="s">
        <v>416</v>
      </c>
      <c r="FH368" s="9" t="s">
        <v>414</v>
      </c>
      <c r="FI368" s="9" t="s">
        <v>414</v>
      </c>
      <c r="FJ368" s="9" t="s">
        <v>416</v>
      </c>
      <c r="FK368" s="9" t="s">
        <v>414</v>
      </c>
      <c r="FL368" s="9" t="s">
        <v>414</v>
      </c>
      <c r="FM368" s="9" t="s">
        <v>416</v>
      </c>
      <c r="FN368" s="9" t="s">
        <v>414</v>
      </c>
      <c r="FO368" s="9" t="s">
        <v>417</v>
      </c>
      <c r="FP368" s="9" t="s">
        <v>418</v>
      </c>
      <c r="FQ368" s="9" t="s">
        <v>419</v>
      </c>
      <c r="FR368" s="9" t="s">
        <v>7357</v>
      </c>
      <c r="FS368" s="9" t="s">
        <v>420</v>
      </c>
      <c r="FT368" s="9" t="s">
        <v>1462</v>
      </c>
      <c r="FU368" s="9" t="s">
        <v>489</v>
      </c>
      <c r="FV368" s="9" t="s">
        <v>490</v>
      </c>
      <c r="FW368" s="9" t="s">
        <v>491</v>
      </c>
      <c r="FX368" s="9" t="s">
        <v>7358</v>
      </c>
      <c r="FY368" s="9" t="s">
        <v>535</v>
      </c>
      <c r="GB368" s="9" t="s">
        <v>455</v>
      </c>
      <c r="GC368" s="9"/>
      <c r="GD368" s="9"/>
      <c r="GE368" s="9" t="s">
        <v>944</v>
      </c>
      <c r="GM368" s="9" t="s">
        <v>6629</v>
      </c>
      <c r="GQ368" s="9" t="s">
        <v>3208</v>
      </c>
      <c r="GV368" s="9" t="s">
        <v>5231</v>
      </c>
      <c r="GW368" s="9" t="s">
        <v>484</v>
      </c>
      <c r="HG368" s="9" t="s">
        <v>7359</v>
      </c>
      <c r="HH368" s="9" t="s">
        <v>6242</v>
      </c>
      <c r="HI368" s="9" t="s">
        <v>7360</v>
      </c>
      <c r="HJ368" s="9" t="s">
        <v>7361</v>
      </c>
      <c r="HO368" s="9" t="s">
        <v>5383</v>
      </c>
      <c r="HP368" s="9" t="s">
        <v>5237</v>
      </c>
      <c r="HQ368" s="9" t="s">
        <v>5238</v>
      </c>
      <c r="HR368" s="9" t="s">
        <v>5321</v>
      </c>
      <c r="IN368" s="9" t="s">
        <v>5500</v>
      </c>
      <c r="IO368" s="9" t="s">
        <v>5500</v>
      </c>
      <c r="IP368" s="9" t="s">
        <v>5536</v>
      </c>
      <c r="IQ368" s="9" t="s">
        <v>5500</v>
      </c>
      <c r="IR368" s="9" t="s">
        <v>5536</v>
      </c>
      <c r="IS368" s="9" t="s">
        <v>5500</v>
      </c>
      <c r="MJ368" s="9" t="s">
        <v>6321</v>
      </c>
    </row>
    <row r="369" ht="22.5" customHeight="1">
      <c r="A369" s="8">
        <v>45958.85487414352</v>
      </c>
      <c r="B369" s="9" t="s">
        <v>368</v>
      </c>
      <c r="C369" s="9" t="s">
        <v>1023</v>
      </c>
      <c r="D369" s="9" t="s">
        <v>1023</v>
      </c>
      <c r="G369" s="9" t="s">
        <v>1783</v>
      </c>
      <c r="H369" s="9" t="s">
        <v>637</v>
      </c>
      <c r="I369" s="9" t="s">
        <v>374</v>
      </c>
      <c r="J369" s="9" t="s">
        <v>425</v>
      </c>
      <c r="K369" s="9" t="s">
        <v>376</v>
      </c>
      <c r="L369" s="9" t="s">
        <v>426</v>
      </c>
      <c r="M369" s="9" t="s">
        <v>1024</v>
      </c>
      <c r="N369" s="9" t="s">
        <v>426</v>
      </c>
      <c r="O369" s="9" t="s">
        <v>1024</v>
      </c>
      <c r="P369" s="9" t="s">
        <v>381</v>
      </c>
      <c r="Q369" s="9" t="s">
        <v>818</v>
      </c>
      <c r="R369" s="9" t="s">
        <v>3976</v>
      </c>
      <c r="S369" s="9" t="s">
        <v>501</v>
      </c>
      <c r="T369" s="9" t="s">
        <v>385</v>
      </c>
      <c r="W369" s="9" t="s">
        <v>3014</v>
      </c>
      <c r="AV369" s="9" t="s">
        <v>504</v>
      </c>
      <c r="AZ369" s="9" t="s">
        <v>429</v>
      </c>
      <c r="BC369" s="9" t="s">
        <v>7362</v>
      </c>
      <c r="BM369" s="9" t="s">
        <v>439</v>
      </c>
      <c r="BN369" s="9" t="s">
        <v>440</v>
      </c>
      <c r="CL369" s="9" t="s">
        <v>441</v>
      </c>
      <c r="CM369" s="9" t="s">
        <v>442</v>
      </c>
      <c r="CN369" s="9" t="s">
        <v>3117</v>
      </c>
      <c r="CO369" s="9" t="s">
        <v>7363</v>
      </c>
      <c r="CP369" s="9" t="s">
        <v>1008</v>
      </c>
      <c r="CQ369" s="9" t="s">
        <v>7364</v>
      </c>
      <c r="CR369" s="9" t="s">
        <v>828</v>
      </c>
      <c r="CS369" s="9" t="s">
        <v>1861</v>
      </c>
      <c r="CT369" s="9" t="s">
        <v>7365</v>
      </c>
      <c r="CU369" s="9" t="s">
        <v>519</v>
      </c>
      <c r="CV369" s="9" t="s">
        <v>409</v>
      </c>
      <c r="CW369" s="9" t="s">
        <v>7366</v>
      </c>
      <c r="CX369" s="9" t="s">
        <v>408</v>
      </c>
      <c r="CZ369" s="9" t="s">
        <v>453</v>
      </c>
      <c r="DA369" s="9" t="s">
        <v>7367</v>
      </c>
      <c r="DB369" s="9" t="s">
        <v>408</v>
      </c>
      <c r="DD369" s="9" t="s">
        <v>406</v>
      </c>
      <c r="DF369" s="9" t="s">
        <v>7368</v>
      </c>
      <c r="DG369" s="9" t="s">
        <v>561</v>
      </c>
      <c r="DH369" s="9" t="s">
        <v>410</v>
      </c>
      <c r="DI369" s="9" t="s">
        <v>459</v>
      </c>
      <c r="DJ369" s="9" t="s">
        <v>460</v>
      </c>
      <c r="DK369" s="9" t="s">
        <v>6335</v>
      </c>
      <c r="DM369" s="9" t="s">
        <v>3169</v>
      </c>
      <c r="DN369" s="9" t="s">
        <v>7369</v>
      </c>
      <c r="DO369" s="9" t="s">
        <v>464</v>
      </c>
      <c r="DP369" s="9" t="s">
        <v>7370</v>
      </c>
      <c r="DQ369" s="9" t="s">
        <v>1553</v>
      </c>
      <c r="DR369" s="9" t="s">
        <v>2927</v>
      </c>
      <c r="DS369" s="9" t="s">
        <v>618</v>
      </c>
      <c r="DT369" s="9" t="s">
        <v>740</v>
      </c>
      <c r="DU369" s="9" t="s">
        <v>7371</v>
      </c>
      <c r="DX369" s="9" t="s">
        <v>7372</v>
      </c>
      <c r="DY369" s="9" t="s">
        <v>7373</v>
      </c>
      <c r="DZ369" s="9" t="s">
        <v>7374</v>
      </c>
      <c r="EA369" s="9" t="s">
        <v>475</v>
      </c>
      <c r="EB369" s="9" t="s">
        <v>626</v>
      </c>
      <c r="EC369" s="9" t="s">
        <v>7375</v>
      </c>
      <c r="ET369" s="9" t="s">
        <v>526</v>
      </c>
      <c r="EU369" s="9" t="s">
        <v>1037</v>
      </c>
      <c r="EV369" s="9" t="s">
        <v>580</v>
      </c>
      <c r="EX369" s="9" t="s">
        <v>7376</v>
      </c>
      <c r="EY369" s="9" t="s">
        <v>7377</v>
      </c>
      <c r="EZ369" s="9" t="s">
        <v>484</v>
      </c>
      <c r="FA369" s="9" t="s">
        <v>484</v>
      </c>
      <c r="FB369" s="9" t="s">
        <v>484</v>
      </c>
      <c r="FC369" s="9" t="s">
        <v>484</v>
      </c>
      <c r="FD369" s="9" t="s">
        <v>484</v>
      </c>
      <c r="FE369" s="9" t="s">
        <v>484</v>
      </c>
      <c r="FF369" s="9" t="s">
        <v>484</v>
      </c>
      <c r="FG369" s="9" t="s">
        <v>484</v>
      </c>
      <c r="FH369" s="9" t="s">
        <v>484</v>
      </c>
      <c r="FI369" s="9" t="s">
        <v>484</v>
      </c>
      <c r="FJ369" s="9" t="s">
        <v>484</v>
      </c>
      <c r="FK369" s="9" t="s">
        <v>484</v>
      </c>
      <c r="FL369" s="9" t="s">
        <v>484</v>
      </c>
      <c r="FM369" s="9" t="s">
        <v>484</v>
      </c>
      <c r="FN369" s="9" t="s">
        <v>484</v>
      </c>
      <c r="FO369" s="9" t="s">
        <v>850</v>
      </c>
      <c r="FP369" s="9" t="s">
        <v>418</v>
      </c>
      <c r="FQ369" s="9" t="s">
        <v>630</v>
      </c>
      <c r="FR369" s="9" t="s">
        <v>7378</v>
      </c>
      <c r="FS369" s="9" t="s">
        <v>420</v>
      </c>
      <c r="FT369" s="9" t="s">
        <v>1476</v>
      </c>
      <c r="FU369" s="9" t="s">
        <v>918</v>
      </c>
      <c r="FV369" s="9" t="s">
        <v>490</v>
      </c>
      <c r="FW369" s="9" t="s">
        <v>491</v>
      </c>
      <c r="FX369" s="9" t="s">
        <v>7379</v>
      </c>
      <c r="FY369" s="9" t="s">
        <v>535</v>
      </c>
      <c r="FZ369" s="9" t="s">
        <v>7380</v>
      </c>
      <c r="GB369" s="9" t="s">
        <v>455</v>
      </c>
      <c r="GC369" s="9"/>
      <c r="GE369" s="9" t="s">
        <v>1339</v>
      </c>
      <c r="GG369" s="9" t="s">
        <v>857</v>
      </c>
      <c r="GH369" s="9" t="s">
        <v>857</v>
      </c>
      <c r="GI369" s="9" t="s">
        <v>790</v>
      </c>
      <c r="GM369" s="9" t="s">
        <v>1079</v>
      </c>
      <c r="GQ369" s="9" t="s">
        <v>3306</v>
      </c>
      <c r="GT369" s="9" t="s">
        <v>4774</v>
      </c>
      <c r="GV369" s="9" t="s">
        <v>5231</v>
      </c>
      <c r="GW369" s="9" t="s">
        <v>5232</v>
      </c>
      <c r="HC369" s="9" t="s">
        <v>6053</v>
      </c>
      <c r="HD369" s="9" t="s">
        <v>5349</v>
      </c>
      <c r="HE369" s="9" t="s">
        <v>5320</v>
      </c>
      <c r="HF369" s="9" t="s">
        <v>5284</v>
      </c>
      <c r="HG369" s="9" t="s">
        <v>2675</v>
      </c>
      <c r="HH369" s="9" t="s">
        <v>6631</v>
      </c>
      <c r="HI369" s="9" t="s">
        <v>7381</v>
      </c>
      <c r="HJ369" s="9" t="s">
        <v>7382</v>
      </c>
      <c r="HO369" s="9" t="s">
        <v>5301</v>
      </c>
      <c r="HP369" s="9" t="s">
        <v>5302</v>
      </c>
      <c r="HQ369" s="9" t="s">
        <v>5801</v>
      </c>
      <c r="HR369" s="9" t="s">
        <v>5321</v>
      </c>
      <c r="HW369" s="9" t="s">
        <v>7383</v>
      </c>
      <c r="IQ369" s="9" t="s">
        <v>5537</v>
      </c>
      <c r="IR369" s="9" t="s">
        <v>5537</v>
      </c>
      <c r="IS369" s="9" t="s">
        <v>5537</v>
      </c>
      <c r="MJ369" s="9" t="s">
        <v>6321</v>
      </c>
    </row>
    <row r="370" ht="22.5" customHeight="1">
      <c r="A370" s="8">
        <v>45959.10253167824</v>
      </c>
      <c r="B370" s="9" t="s">
        <v>368</v>
      </c>
      <c r="C370" s="9" t="s">
        <v>370</v>
      </c>
      <c r="D370" s="9" t="s">
        <v>370</v>
      </c>
      <c r="E370" s="9" t="s">
        <v>2359</v>
      </c>
      <c r="F370" s="9" t="s">
        <v>2359</v>
      </c>
      <c r="G370" s="9" t="s">
        <v>422</v>
      </c>
      <c r="H370" s="9" t="s">
        <v>496</v>
      </c>
      <c r="I370" s="9" t="s">
        <v>374</v>
      </c>
      <c r="J370" s="9" t="s">
        <v>375</v>
      </c>
      <c r="K370" s="9" t="s">
        <v>376</v>
      </c>
      <c r="L370" s="9" t="s">
        <v>426</v>
      </c>
      <c r="M370" s="9" t="s">
        <v>719</v>
      </c>
      <c r="N370" s="9" t="s">
        <v>426</v>
      </c>
      <c r="O370" s="9" t="s">
        <v>497</v>
      </c>
      <c r="P370" s="9" t="s">
        <v>498</v>
      </c>
      <c r="Q370" s="9" t="s">
        <v>382</v>
      </c>
      <c r="R370" s="9" t="s">
        <v>500</v>
      </c>
      <c r="S370" s="9" t="s">
        <v>384</v>
      </c>
      <c r="T370" s="9" t="s">
        <v>385</v>
      </c>
      <c r="W370" s="9" t="s">
        <v>386</v>
      </c>
      <c r="X370" s="9" t="s">
        <v>387</v>
      </c>
      <c r="Y370" s="9" t="s">
        <v>388</v>
      </c>
      <c r="Z370" s="9" t="s">
        <v>502</v>
      </c>
      <c r="AA370" s="9" t="s">
        <v>408</v>
      </c>
      <c r="AB370" s="9" t="s">
        <v>7384</v>
      </c>
      <c r="AV370" s="9" t="s">
        <v>504</v>
      </c>
      <c r="AW370" s="9" t="s">
        <v>429</v>
      </c>
      <c r="AX370" s="9" t="s">
        <v>429</v>
      </c>
      <c r="AY370" s="9">
        <v>2.0</v>
      </c>
      <c r="AZ370" s="9">
        <v>2.0</v>
      </c>
      <c r="BA370" s="9">
        <v>2.0</v>
      </c>
      <c r="BB370" s="9" t="s">
        <v>429</v>
      </c>
      <c r="BD370" s="9" t="s">
        <v>7385</v>
      </c>
      <c r="BE370" s="9" t="s">
        <v>392</v>
      </c>
      <c r="BF370" s="9" t="s">
        <v>433</v>
      </c>
      <c r="BG370" s="9" t="s">
        <v>678</v>
      </c>
      <c r="BH370" s="9" t="s">
        <v>7386</v>
      </c>
      <c r="BI370" s="9" t="s">
        <v>509</v>
      </c>
      <c r="BJ370" s="9" t="s">
        <v>7387</v>
      </c>
      <c r="BK370" s="9" t="s">
        <v>395</v>
      </c>
      <c r="BL370" s="9" t="s">
        <v>603</v>
      </c>
      <c r="BM370" s="9" t="s">
        <v>439</v>
      </c>
      <c r="BN370" s="9" t="s">
        <v>513</v>
      </c>
      <c r="CL370" s="9" t="s">
        <v>441</v>
      </c>
      <c r="CM370" s="9" t="s">
        <v>604</v>
      </c>
      <c r="CN370" s="9" t="s">
        <v>7388</v>
      </c>
      <c r="CO370" s="9" t="s">
        <v>7389</v>
      </c>
      <c r="CP370" s="9" t="s">
        <v>979</v>
      </c>
      <c r="CQ370" s="9" t="s">
        <v>7390</v>
      </c>
      <c r="CR370" s="9" t="s">
        <v>447</v>
      </c>
      <c r="CS370" s="9" t="s">
        <v>7391</v>
      </c>
      <c r="CU370" s="9" t="s">
        <v>450</v>
      </c>
      <c r="CV370" s="9" t="s">
        <v>451</v>
      </c>
      <c r="CW370" s="9" t="s">
        <v>7392</v>
      </c>
      <c r="CX370" s="9" t="s">
        <v>733</v>
      </c>
      <c r="CZ370" s="9" t="s">
        <v>453</v>
      </c>
      <c r="DA370" s="9" t="s">
        <v>7393</v>
      </c>
      <c r="DB370" s="9" t="s">
        <v>455</v>
      </c>
      <c r="DC370" s="9" t="s">
        <v>7394</v>
      </c>
      <c r="DD370" s="9" t="s">
        <v>662</v>
      </c>
      <c r="DE370" s="9" t="s">
        <v>407</v>
      </c>
      <c r="DF370" s="9" t="s">
        <v>7395</v>
      </c>
      <c r="DG370" s="9" t="s">
        <v>524</v>
      </c>
      <c r="DH370" s="9" t="s">
        <v>410</v>
      </c>
      <c r="DI370" s="9" t="s">
        <v>459</v>
      </c>
      <c r="DJ370" s="9" t="s">
        <v>613</v>
      </c>
      <c r="ET370" s="9" t="s">
        <v>526</v>
      </c>
      <c r="EU370" s="9" t="s">
        <v>479</v>
      </c>
      <c r="EV370" s="9" t="s">
        <v>663</v>
      </c>
      <c r="EZ370" s="9" t="s">
        <v>413</v>
      </c>
      <c r="FA370" s="9" t="s">
        <v>413</v>
      </c>
      <c r="FB370" s="9" t="s">
        <v>413</v>
      </c>
      <c r="FC370" s="9" t="s">
        <v>413</v>
      </c>
      <c r="FD370" s="9" t="s">
        <v>413</v>
      </c>
      <c r="FE370" s="9" t="s">
        <v>413</v>
      </c>
      <c r="FF370" s="9" t="s">
        <v>413</v>
      </c>
      <c r="FG370" s="9" t="s">
        <v>413</v>
      </c>
      <c r="FH370" s="9" t="s">
        <v>413</v>
      </c>
      <c r="FI370" s="9" t="s">
        <v>415</v>
      </c>
      <c r="FJ370" s="9" t="s">
        <v>413</v>
      </c>
      <c r="FK370" s="9" t="s">
        <v>413</v>
      </c>
      <c r="FL370" s="9" t="s">
        <v>413</v>
      </c>
      <c r="FM370" s="9" t="s">
        <v>413</v>
      </c>
      <c r="FN370" s="9" t="s">
        <v>414</v>
      </c>
      <c r="FO370" s="9" t="s">
        <v>417</v>
      </c>
      <c r="FP370" s="9" t="s">
        <v>486</v>
      </c>
      <c r="FQ370" s="9" t="s">
        <v>531</v>
      </c>
      <c r="FR370" s="9" t="s">
        <v>7396</v>
      </c>
      <c r="FS370" s="9" t="s">
        <v>420</v>
      </c>
      <c r="FT370" s="9" t="s">
        <v>488</v>
      </c>
      <c r="FU370" s="9" t="s">
        <v>918</v>
      </c>
      <c r="FV370" s="9" t="s">
        <v>490</v>
      </c>
      <c r="FW370" s="9" t="s">
        <v>491</v>
      </c>
      <c r="FY370" s="9" t="s">
        <v>535</v>
      </c>
      <c r="FZ370" s="9" t="s">
        <v>7397</v>
      </c>
      <c r="GB370" s="9" t="s">
        <v>455</v>
      </c>
      <c r="GC370" s="9"/>
      <c r="GD370" s="9"/>
      <c r="GE370" s="9" t="s">
        <v>753</v>
      </c>
      <c r="GF370" s="9" t="s">
        <v>7398</v>
      </c>
      <c r="GG370" s="9" t="s">
        <v>1000</v>
      </c>
      <c r="GH370" s="9" t="s">
        <v>1000</v>
      </c>
      <c r="GI370" s="9" t="s">
        <v>946</v>
      </c>
      <c r="GQ370" s="9" t="s">
        <v>4653</v>
      </c>
      <c r="GT370" s="9" t="s">
        <v>4741</v>
      </c>
      <c r="GU370" s="9" t="s">
        <v>7399</v>
      </c>
      <c r="GV370" s="9" t="s">
        <v>5231</v>
      </c>
      <c r="GW370" s="9" t="s">
        <v>5232</v>
      </c>
      <c r="HC370" s="9" t="s">
        <v>5297</v>
      </c>
      <c r="HD370" s="9" t="s">
        <v>5298</v>
      </c>
      <c r="HE370" s="9" t="s">
        <v>5492</v>
      </c>
      <c r="HF370" s="9" t="s">
        <v>5493</v>
      </c>
      <c r="HO370" s="9" t="s">
        <v>5236</v>
      </c>
      <c r="HP370" s="9" t="s">
        <v>5264</v>
      </c>
      <c r="HQ370" s="9" t="s">
        <v>5238</v>
      </c>
      <c r="HR370" s="9" t="s">
        <v>7400</v>
      </c>
      <c r="HW370" s="9" t="s">
        <v>5501</v>
      </c>
      <c r="MJ370" s="9" t="s">
        <v>6321</v>
      </c>
    </row>
    <row r="371" ht="22.5" customHeight="1">
      <c r="A371" s="8">
        <v>45959.17554484954</v>
      </c>
      <c r="B371" s="9" t="s">
        <v>368</v>
      </c>
      <c r="C371" s="9" t="s">
        <v>370</v>
      </c>
      <c r="D371" s="9" t="s">
        <v>370</v>
      </c>
      <c r="E371" s="9" t="s">
        <v>859</v>
      </c>
      <c r="F371" s="9" t="s">
        <v>859</v>
      </c>
      <c r="G371" s="9" t="s">
        <v>422</v>
      </c>
      <c r="H371" s="9" t="s">
        <v>637</v>
      </c>
      <c r="I371" s="9" t="s">
        <v>638</v>
      </c>
      <c r="J371" s="9" t="s">
        <v>425</v>
      </c>
      <c r="K371" s="9" t="s">
        <v>376</v>
      </c>
      <c r="L371" s="9" t="s">
        <v>793</v>
      </c>
      <c r="M371" s="9" t="s">
        <v>639</v>
      </c>
      <c r="N371" s="9" t="s">
        <v>793</v>
      </c>
      <c r="O371" s="9" t="s">
        <v>719</v>
      </c>
      <c r="P371" s="9" t="s">
        <v>592</v>
      </c>
      <c r="Q371" s="9" t="s">
        <v>862</v>
      </c>
      <c r="R371" s="9" t="s">
        <v>500</v>
      </c>
      <c r="S371" s="9" t="s">
        <v>384</v>
      </c>
      <c r="T371" s="9" t="s">
        <v>385</v>
      </c>
      <c r="W371" s="9" t="s">
        <v>3014</v>
      </c>
      <c r="AV371" s="9" t="s">
        <v>504</v>
      </c>
      <c r="AW371" s="9">
        <v>2.0</v>
      </c>
      <c r="AX371" s="9">
        <v>2.0</v>
      </c>
      <c r="AY371" s="9" t="s">
        <v>429</v>
      </c>
      <c r="AZ371" s="9" t="s">
        <v>429</v>
      </c>
      <c r="BA371" s="9" t="s">
        <v>391</v>
      </c>
      <c r="BB371" s="9">
        <v>2.0</v>
      </c>
      <c r="BC371" s="9" t="s">
        <v>7401</v>
      </c>
      <c r="BE371" s="9" t="s">
        <v>432</v>
      </c>
      <c r="BF371" s="9" t="s">
        <v>433</v>
      </c>
      <c r="BG371" s="9" t="s">
        <v>507</v>
      </c>
      <c r="BH371" s="9" t="s">
        <v>7402</v>
      </c>
      <c r="BI371" s="9" t="s">
        <v>509</v>
      </c>
      <c r="BJ371" s="9" t="s">
        <v>7403</v>
      </c>
      <c r="BK371" s="9" t="s">
        <v>437</v>
      </c>
      <c r="BL371" s="9" t="s">
        <v>396</v>
      </c>
      <c r="BM371" s="9" t="s">
        <v>439</v>
      </c>
      <c r="BN371" s="9" t="s">
        <v>513</v>
      </c>
      <c r="CL371" s="9" t="s">
        <v>441</v>
      </c>
      <c r="CM371" s="9" t="s">
        <v>401</v>
      </c>
      <c r="CN371" s="9" t="s">
        <v>552</v>
      </c>
      <c r="CO371" s="9" t="s">
        <v>7404</v>
      </c>
      <c r="CP371" s="9" t="s">
        <v>979</v>
      </c>
      <c r="CQ371" s="9" t="s">
        <v>7405</v>
      </c>
      <c r="CR371" s="9" t="s">
        <v>447</v>
      </c>
      <c r="CS371" s="9" t="s">
        <v>3479</v>
      </c>
      <c r="CT371" s="9" t="s">
        <v>7406</v>
      </c>
      <c r="CU371" s="9" t="s">
        <v>450</v>
      </c>
      <c r="CV371" s="9" t="s">
        <v>451</v>
      </c>
      <c r="CW371" s="9" t="s">
        <v>7407</v>
      </c>
      <c r="CX371" s="9" t="s">
        <v>408</v>
      </c>
      <c r="CZ371" s="9" t="s">
        <v>453</v>
      </c>
      <c r="DA371" s="9" t="s">
        <v>7408</v>
      </c>
      <c r="DB371" s="9" t="s">
        <v>408</v>
      </c>
      <c r="DD371" s="9" t="s">
        <v>457</v>
      </c>
      <c r="DG371" s="9" t="s">
        <v>561</v>
      </c>
      <c r="DH371" s="9" t="s">
        <v>1220</v>
      </c>
      <c r="DI371" s="9" t="s">
        <v>459</v>
      </c>
      <c r="DJ371" s="9" t="s">
        <v>613</v>
      </c>
      <c r="ET371" s="9" t="s">
        <v>478</v>
      </c>
      <c r="EU371" s="9" t="s">
        <v>479</v>
      </c>
      <c r="EV371" s="9" t="s">
        <v>527</v>
      </c>
      <c r="EW371" s="9" t="s">
        <v>7409</v>
      </c>
      <c r="EZ371" s="9" t="s">
        <v>583</v>
      </c>
      <c r="FA371" s="9" t="s">
        <v>583</v>
      </c>
      <c r="FB371" s="9" t="s">
        <v>583</v>
      </c>
      <c r="FC371" s="9" t="s">
        <v>583</v>
      </c>
      <c r="FD371" s="9" t="s">
        <v>416</v>
      </c>
      <c r="FE371" s="9" t="s">
        <v>583</v>
      </c>
      <c r="FF371" s="9" t="s">
        <v>484</v>
      </c>
      <c r="FG371" s="9" t="s">
        <v>416</v>
      </c>
      <c r="FH371" s="9" t="s">
        <v>583</v>
      </c>
      <c r="FI371" s="9" t="s">
        <v>414</v>
      </c>
      <c r="FJ371" s="9" t="s">
        <v>414</v>
      </c>
      <c r="FK371" s="9" t="s">
        <v>484</v>
      </c>
      <c r="FL371" s="9" t="s">
        <v>484</v>
      </c>
      <c r="FM371" s="9" t="s">
        <v>484</v>
      </c>
      <c r="FN371" s="9" t="s">
        <v>484</v>
      </c>
      <c r="FO371" s="9" t="s">
        <v>850</v>
      </c>
      <c r="FP371" s="9" t="s">
        <v>418</v>
      </c>
      <c r="FQ371" s="9" t="s">
        <v>419</v>
      </c>
      <c r="FR371" s="9" t="s">
        <v>627</v>
      </c>
      <c r="FS371" s="9" t="s">
        <v>420</v>
      </c>
      <c r="FT371" s="9" t="s">
        <v>488</v>
      </c>
      <c r="FU371" s="9" t="s">
        <v>533</v>
      </c>
      <c r="FV371" s="9" t="s">
        <v>490</v>
      </c>
      <c r="FW371" s="9" t="s">
        <v>491</v>
      </c>
      <c r="FX371" s="9" t="s">
        <v>7410</v>
      </c>
      <c r="FY371" s="9" t="s">
        <v>535</v>
      </c>
      <c r="FZ371" s="9" t="s">
        <v>7411</v>
      </c>
      <c r="GB371" s="9" t="s">
        <v>408</v>
      </c>
      <c r="GG371" s="9" t="s">
        <v>920</v>
      </c>
      <c r="GH371" s="9" t="s">
        <v>920</v>
      </c>
      <c r="GI371" s="9" t="s">
        <v>817</v>
      </c>
      <c r="GQ371" s="9" t="s">
        <v>3208</v>
      </c>
      <c r="GT371" s="9" t="s">
        <v>4774</v>
      </c>
      <c r="GV371" s="9" t="s">
        <v>5231</v>
      </c>
      <c r="GW371" s="9" t="s">
        <v>484</v>
      </c>
      <c r="HC371" s="9" t="s">
        <v>5297</v>
      </c>
      <c r="HD371" s="9" t="s">
        <v>5282</v>
      </c>
      <c r="HE371" s="9" t="s">
        <v>5320</v>
      </c>
      <c r="HF371" s="9" t="s">
        <v>5284</v>
      </c>
      <c r="HO371" s="9" t="s">
        <v>5236</v>
      </c>
      <c r="HP371" s="9" t="s">
        <v>5264</v>
      </c>
      <c r="HQ371" s="9" t="s">
        <v>5238</v>
      </c>
      <c r="HR371" s="9" t="s">
        <v>5321</v>
      </c>
      <c r="MJ371" s="9" t="s">
        <v>6321</v>
      </c>
    </row>
    <row r="372" ht="22.5" customHeight="1">
      <c r="A372" s="8">
        <v>45959.82985317129</v>
      </c>
      <c r="B372" s="9" t="s">
        <v>368</v>
      </c>
      <c r="C372" s="9" t="s">
        <v>370</v>
      </c>
      <c r="D372" s="9" t="s">
        <v>370</v>
      </c>
      <c r="E372" s="9" t="s">
        <v>371</v>
      </c>
      <c r="F372" s="9" t="s">
        <v>371</v>
      </c>
      <c r="G372" s="9" t="s">
        <v>1269</v>
      </c>
      <c r="H372" s="9" t="s">
        <v>373</v>
      </c>
      <c r="I372" s="9" t="s">
        <v>374</v>
      </c>
      <c r="J372" s="9" t="s">
        <v>590</v>
      </c>
      <c r="K372" s="9" t="s">
        <v>376</v>
      </c>
      <c r="L372" s="9" t="s">
        <v>591</v>
      </c>
      <c r="M372" s="9" t="s">
        <v>1024</v>
      </c>
      <c r="N372" s="9" t="s">
        <v>426</v>
      </c>
      <c r="O372" s="9" t="s">
        <v>1270</v>
      </c>
      <c r="P372" s="9" t="s">
        <v>1760</v>
      </c>
      <c r="Q372" s="9" t="s">
        <v>499</v>
      </c>
      <c r="R372" s="9" t="s">
        <v>7412</v>
      </c>
      <c r="S372" s="9" t="s">
        <v>384</v>
      </c>
      <c r="T372" s="9" t="s">
        <v>385</v>
      </c>
      <c r="W372" s="9" t="s">
        <v>386</v>
      </c>
      <c r="X372" s="9" t="s">
        <v>387</v>
      </c>
      <c r="Y372" s="9" t="s">
        <v>1966</v>
      </c>
      <c r="Z372" s="9" t="s">
        <v>543</v>
      </c>
      <c r="AA372" s="9" t="s">
        <v>7413</v>
      </c>
      <c r="AB372" s="9" t="s">
        <v>7414</v>
      </c>
      <c r="AV372" s="9" t="s">
        <v>1310</v>
      </c>
      <c r="AW372" s="9" t="s">
        <v>429</v>
      </c>
      <c r="AX372" s="9">
        <v>4.0</v>
      </c>
      <c r="AY372" s="9" t="s">
        <v>429</v>
      </c>
      <c r="AZ372" s="9" t="s">
        <v>675</v>
      </c>
      <c r="BA372" s="9" t="s">
        <v>675</v>
      </c>
      <c r="BB372" s="9" t="s">
        <v>391</v>
      </c>
      <c r="BC372" s="9" t="s">
        <v>7415</v>
      </c>
      <c r="BD372" s="9" t="s">
        <v>7416</v>
      </c>
      <c r="BE372" s="9" t="s">
        <v>432</v>
      </c>
      <c r="BF372" s="9" t="s">
        <v>433</v>
      </c>
      <c r="BG372" s="9" t="s">
        <v>725</v>
      </c>
      <c r="BH372" s="9" t="s">
        <v>7417</v>
      </c>
      <c r="BI372" s="9" t="s">
        <v>509</v>
      </c>
      <c r="BJ372" s="9" t="s">
        <v>7418</v>
      </c>
      <c r="BK372" s="9" t="s">
        <v>681</v>
      </c>
      <c r="BL372" s="9" t="s">
        <v>904</v>
      </c>
      <c r="BM372" s="9" t="s">
        <v>439</v>
      </c>
      <c r="BN372" s="9" t="s">
        <v>440</v>
      </c>
      <c r="CL372" s="9" t="s">
        <v>441</v>
      </c>
      <c r="CM372" s="9" t="s">
        <v>604</v>
      </c>
      <c r="CN372" s="9" t="s">
        <v>7419</v>
      </c>
      <c r="CO372" s="9" t="s">
        <v>7420</v>
      </c>
      <c r="CP372" s="9" t="s">
        <v>979</v>
      </c>
      <c r="CQ372" s="9" t="s">
        <v>7421</v>
      </c>
      <c r="CR372" s="9" t="s">
        <v>447</v>
      </c>
      <c r="CS372" s="9" t="s">
        <v>7422</v>
      </c>
      <c r="CT372" s="9" t="s">
        <v>7423</v>
      </c>
      <c r="CU372" s="9" t="s">
        <v>450</v>
      </c>
      <c r="CV372" s="9" t="s">
        <v>451</v>
      </c>
      <c r="CW372" s="9" t="s">
        <v>7424</v>
      </c>
      <c r="CX372" s="9" t="s">
        <v>408</v>
      </c>
      <c r="CZ372" s="9" t="s">
        <v>453</v>
      </c>
      <c r="DA372" s="9" t="s">
        <v>7425</v>
      </c>
      <c r="DB372" s="9" t="s">
        <v>455</v>
      </c>
      <c r="DC372" s="9" t="s">
        <v>7426</v>
      </c>
      <c r="DD372" s="9" t="s">
        <v>457</v>
      </c>
      <c r="DF372" s="9" t="s">
        <v>7427</v>
      </c>
      <c r="DG372" s="9" t="s">
        <v>524</v>
      </c>
      <c r="DH372" s="9" t="s">
        <v>410</v>
      </c>
      <c r="DI372" s="9" t="s">
        <v>459</v>
      </c>
      <c r="DJ372" s="9" t="s">
        <v>613</v>
      </c>
      <c r="DM372" s="9" t="s">
        <v>7428</v>
      </c>
      <c r="DN372" s="9" t="s">
        <v>7429</v>
      </c>
      <c r="DO372" s="9" t="s">
        <v>567</v>
      </c>
      <c r="DP372" s="9" t="s">
        <v>7430</v>
      </c>
      <c r="DQ372" s="9" t="s">
        <v>1553</v>
      </c>
      <c r="DR372" s="9" t="s">
        <v>7431</v>
      </c>
      <c r="DS372" s="9" t="s">
        <v>839</v>
      </c>
      <c r="DT372" s="9" t="s">
        <v>619</v>
      </c>
      <c r="DU372" s="9" t="s">
        <v>7432</v>
      </c>
      <c r="DV372" s="9" t="s">
        <v>7433</v>
      </c>
      <c r="DW372" s="9" t="s">
        <v>573</v>
      </c>
      <c r="DX372" s="9" t="s">
        <v>7434</v>
      </c>
      <c r="DY372" s="9" t="s">
        <v>7435</v>
      </c>
      <c r="DZ372" s="9" t="s">
        <v>7436</v>
      </c>
      <c r="EA372" s="9" t="s">
        <v>475</v>
      </c>
      <c r="EB372" s="9" t="s">
        <v>626</v>
      </c>
      <c r="EC372" s="9" t="s">
        <v>7437</v>
      </c>
      <c r="ET372" s="9" t="s">
        <v>478</v>
      </c>
      <c r="EU372" s="9" t="s">
        <v>479</v>
      </c>
      <c r="EV372" s="9" t="s">
        <v>480</v>
      </c>
      <c r="EW372" s="9" t="s">
        <v>7438</v>
      </c>
      <c r="EX372" s="9" t="s">
        <v>7439</v>
      </c>
      <c r="EY372" s="9" t="s">
        <v>7440</v>
      </c>
      <c r="EZ372" s="9" t="s">
        <v>583</v>
      </c>
      <c r="FA372" s="9" t="s">
        <v>583</v>
      </c>
      <c r="FB372" s="9" t="s">
        <v>583</v>
      </c>
      <c r="FC372" s="9" t="s">
        <v>583</v>
      </c>
      <c r="FD372" s="9" t="s">
        <v>416</v>
      </c>
      <c r="FE372" s="9" t="s">
        <v>583</v>
      </c>
      <c r="FF372" s="9" t="s">
        <v>583</v>
      </c>
      <c r="FG372" s="9" t="s">
        <v>583</v>
      </c>
      <c r="FH372" s="9" t="s">
        <v>415</v>
      </c>
      <c r="FI372" s="9" t="s">
        <v>583</v>
      </c>
      <c r="FJ372" s="9" t="s">
        <v>583</v>
      </c>
      <c r="FK372" s="9" t="s">
        <v>415</v>
      </c>
      <c r="FL372" s="9" t="s">
        <v>415</v>
      </c>
      <c r="FM372" s="9" t="s">
        <v>413</v>
      </c>
      <c r="FN372" s="9" t="s">
        <v>583</v>
      </c>
      <c r="FO372" s="9" t="s">
        <v>485</v>
      </c>
      <c r="FP372" s="9" t="s">
        <v>486</v>
      </c>
      <c r="FQ372" s="9" t="s">
        <v>419</v>
      </c>
      <c r="FR372" s="9" t="s">
        <v>7441</v>
      </c>
      <c r="FS372" s="9" t="s">
        <v>420</v>
      </c>
      <c r="FT372" s="9" t="s">
        <v>488</v>
      </c>
      <c r="FU372" s="9" t="s">
        <v>533</v>
      </c>
      <c r="FV372" s="9" t="s">
        <v>490</v>
      </c>
      <c r="FW372" s="9" t="s">
        <v>491</v>
      </c>
      <c r="FX372" s="9" t="s">
        <v>7442</v>
      </c>
      <c r="FY372" s="9" t="s">
        <v>535</v>
      </c>
      <c r="FZ372" s="9" t="s">
        <v>7443</v>
      </c>
      <c r="GA372" s="9" t="s">
        <v>7444</v>
      </c>
      <c r="GB372" s="9" t="s">
        <v>455</v>
      </c>
      <c r="GC372" s="9"/>
      <c r="GD372" s="9"/>
      <c r="GE372" s="9" t="s">
        <v>753</v>
      </c>
      <c r="GF372" s="9" t="s">
        <v>7445</v>
      </c>
      <c r="GG372" s="9" t="s">
        <v>920</v>
      </c>
      <c r="GH372" s="9" t="s">
        <v>755</v>
      </c>
      <c r="GI372" s="9" t="s">
        <v>946</v>
      </c>
      <c r="GM372" s="9" t="s">
        <v>1079</v>
      </c>
      <c r="GQ372" s="9" t="s">
        <v>3273</v>
      </c>
      <c r="GT372" s="9" t="s">
        <v>5170</v>
      </c>
      <c r="GU372" s="9" t="s">
        <v>7446</v>
      </c>
      <c r="GV372" s="9" t="s">
        <v>5231</v>
      </c>
      <c r="GW372" s="9" t="s">
        <v>484</v>
      </c>
      <c r="HC372" s="9" t="s">
        <v>5297</v>
      </c>
      <c r="HD372" s="9" t="s">
        <v>5282</v>
      </c>
      <c r="HE372" s="9" t="s">
        <v>5492</v>
      </c>
      <c r="HF372" s="9" t="s">
        <v>5899</v>
      </c>
      <c r="HG372" s="9" t="s">
        <v>7447</v>
      </c>
      <c r="HH372" s="9" t="s">
        <v>5495</v>
      </c>
      <c r="HI372" s="9" t="s">
        <v>7448</v>
      </c>
      <c r="HJ372" s="9" t="s">
        <v>7449</v>
      </c>
      <c r="HO372" s="9" t="s">
        <v>5236</v>
      </c>
      <c r="HP372" s="9" t="s">
        <v>5302</v>
      </c>
      <c r="HQ372" s="9" t="s">
        <v>5238</v>
      </c>
      <c r="HR372" s="9" t="s">
        <v>7450</v>
      </c>
      <c r="HW372" s="9" t="s">
        <v>5578</v>
      </c>
      <c r="IN372" s="9" t="s">
        <v>5536</v>
      </c>
      <c r="IO372" s="9" t="s">
        <v>5537</v>
      </c>
      <c r="IP372" s="9" t="s">
        <v>5536</v>
      </c>
      <c r="IQ372" s="9" t="s">
        <v>5629</v>
      </c>
      <c r="IR372" s="9" t="s">
        <v>5536</v>
      </c>
      <c r="IS372" s="9" t="s">
        <v>5537</v>
      </c>
      <c r="MJ372" s="9" t="s">
        <v>6321</v>
      </c>
    </row>
    <row r="373" ht="22.5" customHeight="1">
      <c r="A373" s="8">
        <v>45960.6216075</v>
      </c>
      <c r="B373" s="9" t="s">
        <v>368</v>
      </c>
      <c r="C373" s="9" t="s">
        <v>370</v>
      </c>
      <c r="D373" s="9" t="s">
        <v>370</v>
      </c>
      <c r="E373" s="9" t="s">
        <v>2195</v>
      </c>
      <c r="F373" s="9" t="s">
        <v>2195</v>
      </c>
      <c r="G373" s="9" t="s">
        <v>422</v>
      </c>
      <c r="H373" s="9" t="s">
        <v>373</v>
      </c>
      <c r="I373" s="9" t="s">
        <v>638</v>
      </c>
      <c r="J373" s="9" t="s">
        <v>590</v>
      </c>
      <c r="K373" s="9" t="s">
        <v>376</v>
      </c>
      <c r="L373" s="9" t="s">
        <v>379</v>
      </c>
      <c r="M373" s="9" t="s">
        <v>378</v>
      </c>
      <c r="N373" s="9" t="s">
        <v>591</v>
      </c>
      <c r="O373" s="9" t="s">
        <v>1385</v>
      </c>
      <c r="P373" s="9" t="s">
        <v>498</v>
      </c>
      <c r="Q373" s="9" t="s">
        <v>499</v>
      </c>
      <c r="R373" s="9" t="s">
        <v>1704</v>
      </c>
      <c r="S373" s="9" t="s">
        <v>384</v>
      </c>
      <c r="T373" s="9" t="s">
        <v>385</v>
      </c>
      <c r="W373" s="9" t="s">
        <v>386</v>
      </c>
      <c r="X373" s="9" t="s">
        <v>387</v>
      </c>
      <c r="Y373" s="9" t="s">
        <v>897</v>
      </c>
      <c r="Z373" s="9" t="s">
        <v>502</v>
      </c>
      <c r="AA373" s="9" t="s">
        <v>7451</v>
      </c>
      <c r="AV373" s="9" t="s">
        <v>597</v>
      </c>
      <c r="AW373" s="9" t="s">
        <v>391</v>
      </c>
      <c r="AX373" s="9" t="s">
        <v>391</v>
      </c>
      <c r="AY373" s="9" t="s">
        <v>391</v>
      </c>
      <c r="AZ373" s="9" t="s">
        <v>391</v>
      </c>
      <c r="BA373" s="9" t="s">
        <v>391</v>
      </c>
      <c r="BB373" s="9" t="s">
        <v>391</v>
      </c>
      <c r="BE373" s="9" t="s">
        <v>432</v>
      </c>
      <c r="BF373" s="9" t="s">
        <v>393</v>
      </c>
      <c r="BG373" s="9" t="s">
        <v>434</v>
      </c>
      <c r="BI373" s="9" t="s">
        <v>435</v>
      </c>
      <c r="BK373" s="9" t="s">
        <v>437</v>
      </c>
      <c r="BL373" s="9" t="s">
        <v>438</v>
      </c>
      <c r="BM373" s="9" t="s">
        <v>397</v>
      </c>
      <c r="BN373" s="9" t="s">
        <v>513</v>
      </c>
      <c r="CL373" s="9" t="s">
        <v>441</v>
      </c>
      <c r="CM373" s="9" t="s">
        <v>401</v>
      </c>
      <c r="CN373" s="9" t="s">
        <v>7452</v>
      </c>
      <c r="CO373" s="9" t="s">
        <v>7453</v>
      </c>
      <c r="CP373" s="9" t="s">
        <v>403</v>
      </c>
      <c r="CQ373" s="9" t="s">
        <v>7454</v>
      </c>
      <c r="CR373" s="9" t="s">
        <v>404</v>
      </c>
      <c r="CS373" s="9" t="s">
        <v>7455</v>
      </c>
      <c r="CT373" s="9" t="s">
        <v>7456</v>
      </c>
      <c r="CU373" s="9" t="s">
        <v>450</v>
      </c>
      <c r="CV373" s="9" t="s">
        <v>451</v>
      </c>
      <c r="CW373" s="9" t="s">
        <v>7457</v>
      </c>
      <c r="CX373" s="9" t="s">
        <v>733</v>
      </c>
      <c r="CZ373" s="9" t="s">
        <v>453</v>
      </c>
      <c r="DA373" s="9" t="s">
        <v>7458</v>
      </c>
      <c r="DB373" s="9" t="s">
        <v>913</v>
      </c>
      <c r="DD373" s="9" t="s">
        <v>662</v>
      </c>
      <c r="DE373" s="9" t="s">
        <v>1867</v>
      </c>
      <c r="DG373" s="9" t="s">
        <v>524</v>
      </c>
      <c r="DH373" s="9" t="s">
        <v>833</v>
      </c>
      <c r="DI373" s="9" t="s">
        <v>459</v>
      </c>
      <c r="DJ373" s="9" t="s">
        <v>562</v>
      </c>
      <c r="DK373" s="9" t="s">
        <v>6335</v>
      </c>
      <c r="ET373" s="9" t="s">
        <v>526</v>
      </c>
      <c r="EU373" s="9" t="s">
        <v>479</v>
      </c>
      <c r="EV373" s="9" t="s">
        <v>1534</v>
      </c>
      <c r="EX373" s="9" t="s">
        <v>7459</v>
      </c>
      <c r="EY373" s="9" t="s">
        <v>7460</v>
      </c>
      <c r="EZ373" s="9" t="s">
        <v>413</v>
      </c>
      <c r="FA373" s="9" t="s">
        <v>416</v>
      </c>
      <c r="FB373" s="9" t="s">
        <v>415</v>
      </c>
      <c r="FC373" s="9" t="s">
        <v>414</v>
      </c>
      <c r="FD373" s="9" t="s">
        <v>413</v>
      </c>
      <c r="FE373" s="9" t="s">
        <v>415</v>
      </c>
      <c r="FF373" s="9" t="s">
        <v>415</v>
      </c>
      <c r="FG373" s="9" t="s">
        <v>416</v>
      </c>
      <c r="FH373" s="9" t="s">
        <v>583</v>
      </c>
      <c r="FI373" s="9" t="s">
        <v>414</v>
      </c>
      <c r="FJ373" s="9" t="s">
        <v>415</v>
      </c>
      <c r="FK373" s="9" t="s">
        <v>416</v>
      </c>
      <c r="FL373" s="9" t="s">
        <v>415</v>
      </c>
      <c r="FM373" s="9" t="s">
        <v>416</v>
      </c>
      <c r="FN373" s="9" t="s">
        <v>583</v>
      </c>
      <c r="FO373" s="9" t="s">
        <v>417</v>
      </c>
      <c r="FP373" s="9" t="s">
        <v>418</v>
      </c>
      <c r="FQ373" s="9" t="s">
        <v>712</v>
      </c>
      <c r="FS373" s="9" t="s">
        <v>420</v>
      </c>
      <c r="FT373" s="9" t="s">
        <v>488</v>
      </c>
      <c r="FU373" s="9" t="s">
        <v>489</v>
      </c>
      <c r="FV373" s="9" t="s">
        <v>490</v>
      </c>
      <c r="FW373" s="9" t="s">
        <v>491</v>
      </c>
      <c r="FX373" s="9" t="s">
        <v>7461</v>
      </c>
      <c r="FY373" s="9" t="s">
        <v>535</v>
      </c>
      <c r="FZ373" s="9" t="s">
        <v>7462</v>
      </c>
      <c r="GB373" s="9" t="s">
        <v>408</v>
      </c>
      <c r="GG373" s="9" t="s">
        <v>788</v>
      </c>
      <c r="GH373" s="9" t="s">
        <v>1000</v>
      </c>
      <c r="GI373" s="9" t="s">
        <v>817</v>
      </c>
      <c r="GQ373" s="9" t="s">
        <v>3306</v>
      </c>
      <c r="GT373" s="9" t="s">
        <v>5318</v>
      </c>
      <c r="GV373" s="9" t="s">
        <v>5231</v>
      </c>
      <c r="GW373" s="9" t="s">
        <v>484</v>
      </c>
      <c r="HC373" s="9" t="s">
        <v>5297</v>
      </c>
      <c r="HD373" s="9" t="s">
        <v>5298</v>
      </c>
      <c r="HE373" s="9" t="s">
        <v>5299</v>
      </c>
      <c r="HF373" s="9" t="s">
        <v>5768</v>
      </c>
      <c r="HO373" s="9" t="s">
        <v>5285</v>
      </c>
      <c r="HP373" s="9" t="s">
        <v>5264</v>
      </c>
      <c r="HQ373" s="9" t="s">
        <v>5238</v>
      </c>
      <c r="HR373" s="9" t="s">
        <v>913</v>
      </c>
      <c r="HW373" s="9" t="s">
        <v>7463</v>
      </c>
      <c r="MJ373" s="9" t="s">
        <v>6321</v>
      </c>
    </row>
    <row r="374" ht="22.5" customHeight="1">
      <c r="A374" s="8">
        <v>45960.99731127315</v>
      </c>
      <c r="B374" s="9" t="s">
        <v>368</v>
      </c>
      <c r="C374" s="9" t="s">
        <v>370</v>
      </c>
      <c r="D374" s="9" t="s">
        <v>370</v>
      </c>
      <c r="E374" s="9" t="s">
        <v>5384</v>
      </c>
      <c r="F374" s="9" t="s">
        <v>495</v>
      </c>
      <c r="G374" s="9" t="s">
        <v>422</v>
      </c>
      <c r="H374" s="9" t="s">
        <v>373</v>
      </c>
      <c r="I374" s="9" t="s">
        <v>374</v>
      </c>
      <c r="J374" s="9" t="s">
        <v>375</v>
      </c>
      <c r="K374" s="9" t="s">
        <v>376</v>
      </c>
      <c r="L374" s="9" t="s">
        <v>591</v>
      </c>
      <c r="M374" s="9" t="s">
        <v>639</v>
      </c>
      <c r="N374" s="9" t="s">
        <v>793</v>
      </c>
      <c r="O374" s="9" t="s">
        <v>1270</v>
      </c>
      <c r="P374" s="9" t="s">
        <v>498</v>
      </c>
      <c r="Q374" s="9" t="s">
        <v>499</v>
      </c>
      <c r="R374" s="9" t="s">
        <v>500</v>
      </c>
      <c r="S374" s="9" t="s">
        <v>384</v>
      </c>
      <c r="T374" s="9" t="s">
        <v>385</v>
      </c>
      <c r="W374" s="9" t="s">
        <v>593</v>
      </c>
      <c r="X374" s="9" t="s">
        <v>387</v>
      </c>
      <c r="Y374" s="9" t="s">
        <v>388</v>
      </c>
      <c r="Z374" s="9" t="s">
        <v>502</v>
      </c>
      <c r="AA374" s="9" t="s">
        <v>7464</v>
      </c>
      <c r="AB374" s="9" t="s">
        <v>7465</v>
      </c>
      <c r="AV374" s="9" t="s">
        <v>504</v>
      </c>
      <c r="AW374" s="9" t="s">
        <v>391</v>
      </c>
      <c r="AX374" s="9" t="s">
        <v>391</v>
      </c>
      <c r="AY374" s="9">
        <v>2.0</v>
      </c>
      <c r="AZ374" s="9">
        <v>4.0</v>
      </c>
      <c r="BA374" s="9">
        <v>2.0</v>
      </c>
      <c r="BB374" s="9">
        <v>2.0</v>
      </c>
      <c r="BC374" s="9" t="s">
        <v>7466</v>
      </c>
      <c r="BD374" s="9" t="s">
        <v>7467</v>
      </c>
      <c r="BE374" s="9" t="s">
        <v>902</v>
      </c>
      <c r="BF374" s="9" t="s">
        <v>393</v>
      </c>
      <c r="BG374" s="9" t="s">
        <v>765</v>
      </c>
      <c r="BH374" s="9" t="s">
        <v>7468</v>
      </c>
      <c r="BI374" s="9" t="s">
        <v>824</v>
      </c>
      <c r="BJ374" s="9" t="s">
        <v>1211</v>
      </c>
      <c r="BK374" s="9" t="s">
        <v>437</v>
      </c>
      <c r="BL374" s="9" t="s">
        <v>396</v>
      </c>
      <c r="BM374" s="9" t="s">
        <v>439</v>
      </c>
      <c r="BN374" s="9" t="s">
        <v>440</v>
      </c>
      <c r="CL374" s="9" t="s">
        <v>441</v>
      </c>
      <c r="CM374" s="9" t="s">
        <v>401</v>
      </c>
      <c r="CN374" s="9" t="s">
        <v>7469</v>
      </c>
      <c r="CO374" s="9" t="s">
        <v>7470</v>
      </c>
      <c r="CP374" s="9" t="s">
        <v>1008</v>
      </c>
      <c r="CQ374" s="9" t="s">
        <v>7471</v>
      </c>
      <c r="CR374" s="9" t="s">
        <v>804</v>
      </c>
      <c r="CS374" s="9" t="s">
        <v>5192</v>
      </c>
      <c r="CT374" s="9" t="s">
        <v>7472</v>
      </c>
      <c r="CU374" s="9" t="s">
        <v>519</v>
      </c>
      <c r="CV374" s="9" t="s">
        <v>451</v>
      </c>
      <c r="CW374" s="9" t="s">
        <v>7473</v>
      </c>
      <c r="CX374" s="9" t="s">
        <v>455</v>
      </c>
      <c r="CY374" s="9" t="s">
        <v>7474</v>
      </c>
      <c r="CZ374" s="9" t="s">
        <v>453</v>
      </c>
      <c r="DA374" s="9" t="s">
        <v>7475</v>
      </c>
      <c r="DB374" s="9" t="s">
        <v>455</v>
      </c>
      <c r="DC374" s="9" t="s">
        <v>7476</v>
      </c>
      <c r="DD374" s="9" t="s">
        <v>662</v>
      </c>
      <c r="DF374" s="9" t="s">
        <v>7477</v>
      </c>
      <c r="DG374" s="9" t="s">
        <v>524</v>
      </c>
      <c r="DH374" s="9" t="s">
        <v>410</v>
      </c>
      <c r="DI374" s="9" t="s">
        <v>459</v>
      </c>
      <c r="DJ374" s="9" t="s">
        <v>460</v>
      </c>
      <c r="DK374" s="9" t="s">
        <v>6335</v>
      </c>
      <c r="DM374" s="9" t="s">
        <v>7478</v>
      </c>
      <c r="DN374" s="9" t="s">
        <v>7479</v>
      </c>
      <c r="DO374" s="9" t="s">
        <v>464</v>
      </c>
      <c r="DP374" s="9" t="s">
        <v>7480</v>
      </c>
      <c r="DQ374" s="9" t="s">
        <v>466</v>
      </c>
      <c r="DR374" s="9" t="s">
        <v>7481</v>
      </c>
      <c r="DS374" s="9" t="s">
        <v>468</v>
      </c>
      <c r="DT374" s="9" t="s">
        <v>703</v>
      </c>
      <c r="DU374" s="9" t="s">
        <v>7482</v>
      </c>
      <c r="DV374" s="9" t="s">
        <v>7483</v>
      </c>
      <c r="DW374" s="9" t="s">
        <v>622</v>
      </c>
      <c r="DX374" s="9" t="s">
        <v>7484</v>
      </c>
      <c r="DY374" s="9" t="s">
        <v>7485</v>
      </c>
      <c r="DZ374" s="9" t="s">
        <v>7486</v>
      </c>
      <c r="EA374" s="9" t="s">
        <v>475</v>
      </c>
      <c r="EB374" s="9" t="s">
        <v>845</v>
      </c>
      <c r="EC374" s="9" t="s">
        <v>7487</v>
      </c>
      <c r="ET374" s="9" t="s">
        <v>526</v>
      </c>
      <c r="EU374" s="9" t="s">
        <v>479</v>
      </c>
      <c r="EV374" s="9" t="s">
        <v>527</v>
      </c>
      <c r="EW374" s="9" t="s">
        <v>7488</v>
      </c>
      <c r="EX374" s="9" t="s">
        <v>7489</v>
      </c>
      <c r="EY374" s="9" t="s">
        <v>7490</v>
      </c>
      <c r="EZ374" s="9" t="s">
        <v>414</v>
      </c>
      <c r="FA374" s="9" t="s">
        <v>414</v>
      </c>
      <c r="FB374" s="9" t="s">
        <v>415</v>
      </c>
      <c r="FC374" s="9" t="s">
        <v>414</v>
      </c>
      <c r="FD374" s="9" t="s">
        <v>415</v>
      </c>
      <c r="FE374" s="9" t="s">
        <v>414</v>
      </c>
      <c r="FF374" s="9" t="s">
        <v>414</v>
      </c>
      <c r="FG374" s="9" t="s">
        <v>415</v>
      </c>
      <c r="FH374" s="9" t="s">
        <v>415</v>
      </c>
      <c r="FI374" s="9" t="s">
        <v>414</v>
      </c>
      <c r="FJ374" s="9" t="s">
        <v>414</v>
      </c>
      <c r="FK374" s="9" t="s">
        <v>415</v>
      </c>
      <c r="FL374" s="9" t="s">
        <v>415</v>
      </c>
      <c r="FM374" s="9" t="s">
        <v>415</v>
      </c>
      <c r="FN374" s="9" t="s">
        <v>415</v>
      </c>
      <c r="FO374" s="9" t="s">
        <v>417</v>
      </c>
      <c r="FP374" s="9" t="s">
        <v>418</v>
      </c>
      <c r="FQ374" s="9" t="s">
        <v>630</v>
      </c>
      <c r="FR374" s="9" t="s">
        <v>7491</v>
      </c>
      <c r="FS374" s="9" t="s">
        <v>420</v>
      </c>
      <c r="FT374" s="9" t="s">
        <v>488</v>
      </c>
      <c r="FU374" s="9" t="s">
        <v>533</v>
      </c>
      <c r="FV374" s="9" t="s">
        <v>490</v>
      </c>
      <c r="FW374" s="9" t="s">
        <v>491</v>
      </c>
      <c r="FX374" s="9" t="s">
        <v>7492</v>
      </c>
      <c r="FY374" s="9" t="s">
        <v>535</v>
      </c>
      <c r="FZ374" s="9" t="s">
        <v>7493</v>
      </c>
      <c r="GB374" s="9" t="s">
        <v>455</v>
      </c>
      <c r="GC374" s="9"/>
      <c r="GE374" s="9" t="s">
        <v>753</v>
      </c>
      <c r="GG374" s="9" t="s">
        <v>857</v>
      </c>
      <c r="GH374" s="9" t="s">
        <v>857</v>
      </c>
      <c r="GI374" s="9" t="s">
        <v>790</v>
      </c>
      <c r="GM374" s="9" t="s">
        <v>1079</v>
      </c>
      <c r="GQ374" s="9" t="s">
        <v>5656</v>
      </c>
      <c r="GT374" s="9" t="s">
        <v>4774</v>
      </c>
      <c r="GU374" s="9" t="s">
        <v>1211</v>
      </c>
      <c r="GV374" s="9" t="s">
        <v>5231</v>
      </c>
      <c r="GW374" s="9" t="s">
        <v>5232</v>
      </c>
      <c r="HC374" s="9" t="s">
        <v>5297</v>
      </c>
      <c r="HD374" s="9" t="s">
        <v>5282</v>
      </c>
      <c r="HE374" s="9" t="s">
        <v>5492</v>
      </c>
      <c r="HF374" s="9" t="s">
        <v>5899</v>
      </c>
      <c r="HG374" s="9" t="s">
        <v>7494</v>
      </c>
      <c r="HH374" s="9" t="s">
        <v>5343</v>
      </c>
      <c r="HI374" s="9" t="s">
        <v>7495</v>
      </c>
      <c r="HJ374" s="9" t="s">
        <v>7496</v>
      </c>
      <c r="HO374" s="9" t="s">
        <v>5236</v>
      </c>
      <c r="HP374" s="9" t="s">
        <v>5237</v>
      </c>
      <c r="HQ374" s="9" t="s">
        <v>5238</v>
      </c>
      <c r="HR374" s="9" t="s">
        <v>913</v>
      </c>
      <c r="HW374" s="9" t="s">
        <v>6274</v>
      </c>
      <c r="IN374" s="9" t="s">
        <v>5500</v>
      </c>
      <c r="IO374" s="9" t="s">
        <v>5500</v>
      </c>
      <c r="IP374" s="9" t="s">
        <v>5536</v>
      </c>
      <c r="IQ374" s="9" t="s">
        <v>5536</v>
      </c>
      <c r="IR374" s="9" t="s">
        <v>5536</v>
      </c>
      <c r="IS374" s="9" t="s">
        <v>5536</v>
      </c>
      <c r="MJ374" s="9" t="s">
        <v>6321</v>
      </c>
    </row>
    <row r="375" ht="22.5" customHeight="1">
      <c r="A375" s="8">
        <v>45963.67673798611</v>
      </c>
      <c r="B375" s="9" t="s">
        <v>368</v>
      </c>
      <c r="C375" s="9" t="s">
        <v>370</v>
      </c>
      <c r="D375" s="9" t="s">
        <v>370</v>
      </c>
      <c r="E375" s="9" t="s">
        <v>371</v>
      </c>
      <c r="F375" s="9" t="s">
        <v>371</v>
      </c>
      <c r="G375" s="9" t="s">
        <v>422</v>
      </c>
      <c r="H375" s="9" t="s">
        <v>539</v>
      </c>
      <c r="I375" s="9" t="s">
        <v>374</v>
      </c>
      <c r="J375" s="9" t="s">
        <v>425</v>
      </c>
      <c r="K375" s="9" t="s">
        <v>376</v>
      </c>
      <c r="L375" s="9" t="s">
        <v>591</v>
      </c>
      <c r="M375" s="9" t="s">
        <v>3109</v>
      </c>
      <c r="N375" s="9" t="s">
        <v>426</v>
      </c>
      <c r="O375" s="9" t="s">
        <v>2464</v>
      </c>
      <c r="P375" s="9" t="s">
        <v>381</v>
      </c>
      <c r="Q375" s="9" t="s">
        <v>862</v>
      </c>
      <c r="R375" s="9" t="s">
        <v>427</v>
      </c>
      <c r="S375" s="9" t="s">
        <v>384</v>
      </c>
      <c r="T375" s="9" t="s">
        <v>385</v>
      </c>
      <c r="W375" s="9" t="s">
        <v>3231</v>
      </c>
      <c r="AV375" s="9" t="s">
        <v>390</v>
      </c>
      <c r="AW375" s="9" t="s">
        <v>391</v>
      </c>
      <c r="AX375" s="9" t="s">
        <v>391</v>
      </c>
      <c r="AY375" s="9" t="s">
        <v>429</v>
      </c>
      <c r="AZ375" s="9" t="s">
        <v>429</v>
      </c>
      <c r="BA375" s="9" t="s">
        <v>429</v>
      </c>
      <c r="BB375" s="9">
        <v>2.0</v>
      </c>
      <c r="BC375" s="9" t="s">
        <v>7497</v>
      </c>
      <c r="BD375" s="9" t="s">
        <v>7498</v>
      </c>
      <c r="BE375" s="9" t="s">
        <v>392</v>
      </c>
      <c r="BF375" s="9" t="s">
        <v>433</v>
      </c>
      <c r="BG375" s="9" t="s">
        <v>678</v>
      </c>
      <c r="BI375" s="9" t="s">
        <v>435</v>
      </c>
      <c r="BJ375" s="9" t="s">
        <v>7499</v>
      </c>
      <c r="BK375" s="9" t="s">
        <v>511</v>
      </c>
      <c r="BL375" s="9" t="s">
        <v>904</v>
      </c>
      <c r="BM375" s="9" t="s">
        <v>439</v>
      </c>
      <c r="BN375" s="9" t="s">
        <v>440</v>
      </c>
      <c r="CL375" s="9" t="s">
        <v>441</v>
      </c>
      <c r="CM375" s="9" t="s">
        <v>442</v>
      </c>
      <c r="CN375" s="9" t="s">
        <v>552</v>
      </c>
      <c r="CO375" s="9" t="s">
        <v>7500</v>
      </c>
      <c r="CP375" s="9" t="s">
        <v>685</v>
      </c>
      <c r="CQ375" s="9" t="s">
        <v>956</v>
      </c>
      <c r="CR375" s="9" t="s">
        <v>447</v>
      </c>
      <c r="CS375" s="9" t="s">
        <v>1881</v>
      </c>
      <c r="CT375" s="9" t="s">
        <v>7501</v>
      </c>
      <c r="CU375" s="9" t="s">
        <v>450</v>
      </c>
      <c r="CV375" s="9" t="s">
        <v>451</v>
      </c>
      <c r="CW375" s="9" t="s">
        <v>7502</v>
      </c>
      <c r="CX375" s="9" t="s">
        <v>408</v>
      </c>
      <c r="CZ375" s="9" t="s">
        <v>453</v>
      </c>
      <c r="DA375" s="9" t="s">
        <v>7503</v>
      </c>
      <c r="DB375" s="9" t="s">
        <v>455</v>
      </c>
      <c r="DC375" s="9" t="s">
        <v>7504</v>
      </c>
      <c r="DD375" s="9" t="s">
        <v>406</v>
      </c>
      <c r="DE375" s="9" t="s">
        <v>407</v>
      </c>
      <c r="DF375" s="9" t="s">
        <v>7505</v>
      </c>
      <c r="DG375" s="9" t="s">
        <v>524</v>
      </c>
      <c r="DH375" s="9" t="s">
        <v>410</v>
      </c>
      <c r="DI375" s="9" t="s">
        <v>459</v>
      </c>
      <c r="DJ375" s="9" t="s">
        <v>460</v>
      </c>
      <c r="DK375" s="9" t="s">
        <v>6319</v>
      </c>
      <c r="DM375" s="9" t="s">
        <v>5483</v>
      </c>
      <c r="DN375" s="9" t="s">
        <v>7506</v>
      </c>
      <c r="DO375" s="9" t="s">
        <v>1063</v>
      </c>
      <c r="DP375" s="9" t="s">
        <v>4445</v>
      </c>
      <c r="DQ375" s="9" t="s">
        <v>1176</v>
      </c>
      <c r="DR375" s="9" t="s">
        <v>7507</v>
      </c>
      <c r="DS375" s="9" t="s">
        <v>702</v>
      </c>
      <c r="DT375" s="9" t="s">
        <v>703</v>
      </c>
      <c r="DU375" s="9" t="s">
        <v>7508</v>
      </c>
      <c r="DV375" s="9" t="s">
        <v>7509</v>
      </c>
      <c r="DW375" s="9" t="s">
        <v>573</v>
      </c>
      <c r="DX375" s="9" t="s">
        <v>7510</v>
      </c>
      <c r="DY375" s="9" t="s">
        <v>7511</v>
      </c>
      <c r="DZ375" s="9" t="s">
        <v>7512</v>
      </c>
      <c r="EA375" s="9" t="s">
        <v>475</v>
      </c>
      <c r="EB375" s="9" t="s">
        <v>845</v>
      </c>
      <c r="EC375" s="9" t="s">
        <v>7513</v>
      </c>
      <c r="ET375" s="9" t="s">
        <v>578</v>
      </c>
      <c r="EU375" s="9" t="s">
        <v>479</v>
      </c>
      <c r="EV375" s="9" t="s">
        <v>480</v>
      </c>
      <c r="EX375" s="9" t="s">
        <v>7514</v>
      </c>
      <c r="EY375" s="9" t="s">
        <v>7515</v>
      </c>
      <c r="EZ375" s="9" t="s">
        <v>413</v>
      </c>
      <c r="FA375" s="9" t="s">
        <v>413</v>
      </c>
      <c r="FB375" s="9" t="s">
        <v>413</v>
      </c>
      <c r="FC375" s="9" t="s">
        <v>413</v>
      </c>
      <c r="FD375" s="9" t="s">
        <v>413</v>
      </c>
      <c r="FE375" s="9" t="s">
        <v>415</v>
      </c>
      <c r="FF375" s="9" t="s">
        <v>415</v>
      </c>
      <c r="FG375" s="9" t="s">
        <v>415</v>
      </c>
      <c r="FH375" s="9" t="s">
        <v>415</v>
      </c>
      <c r="FI375" s="9" t="s">
        <v>415</v>
      </c>
      <c r="FJ375" s="9" t="s">
        <v>415</v>
      </c>
      <c r="FK375" s="9" t="s">
        <v>415</v>
      </c>
      <c r="FL375" s="9" t="s">
        <v>415</v>
      </c>
      <c r="FM375" s="9" t="s">
        <v>415</v>
      </c>
      <c r="FN375" s="9" t="s">
        <v>415</v>
      </c>
      <c r="FO375" s="9" t="s">
        <v>417</v>
      </c>
      <c r="FP375" s="9" t="s">
        <v>418</v>
      </c>
      <c r="FQ375" s="9" t="s">
        <v>419</v>
      </c>
      <c r="FR375" s="9" t="s">
        <v>7516</v>
      </c>
      <c r="FS375" s="9" t="s">
        <v>995</v>
      </c>
      <c r="FT375" s="9" t="s">
        <v>488</v>
      </c>
      <c r="FU375" s="9" t="s">
        <v>533</v>
      </c>
      <c r="FV375" s="9" t="s">
        <v>490</v>
      </c>
      <c r="FW375" s="9" t="s">
        <v>491</v>
      </c>
      <c r="FX375" s="9" t="s">
        <v>7517</v>
      </c>
      <c r="FY375" s="9" t="s">
        <v>535</v>
      </c>
      <c r="GA375" s="9" t="s">
        <v>7518</v>
      </c>
      <c r="GB375" s="9" t="s">
        <v>455</v>
      </c>
      <c r="GC375" s="9"/>
      <c r="GD375" s="9"/>
      <c r="GE375" s="9" t="s">
        <v>753</v>
      </c>
      <c r="GF375" s="9" t="s">
        <v>7519</v>
      </c>
      <c r="GG375" s="9" t="s">
        <v>788</v>
      </c>
      <c r="GH375" s="9" t="s">
        <v>788</v>
      </c>
      <c r="GI375" s="9" t="s">
        <v>858</v>
      </c>
      <c r="GM375" s="9" t="s">
        <v>1079</v>
      </c>
      <c r="GP375" s="9" t="s">
        <v>1706</v>
      </c>
      <c r="GQ375" s="9" t="s">
        <v>3208</v>
      </c>
      <c r="GT375" s="9" t="s">
        <v>4774</v>
      </c>
      <c r="GV375" s="9" t="s">
        <v>5231</v>
      </c>
      <c r="GW375" s="9" t="s">
        <v>5261</v>
      </c>
      <c r="HC375" s="9" t="s">
        <v>5297</v>
      </c>
      <c r="HD375" s="9" t="s">
        <v>5349</v>
      </c>
      <c r="HE375" s="9" t="s">
        <v>5718</v>
      </c>
      <c r="HF375" s="9" t="s">
        <v>5300</v>
      </c>
      <c r="HG375" s="9" t="s">
        <v>7520</v>
      </c>
      <c r="HH375" s="9" t="s">
        <v>5625</v>
      </c>
      <c r="HI375" s="9" t="s">
        <v>7521</v>
      </c>
      <c r="HJ375" s="9" t="s">
        <v>7522</v>
      </c>
      <c r="HO375" s="9" t="s">
        <v>5236</v>
      </c>
      <c r="HP375" s="9" t="s">
        <v>5264</v>
      </c>
      <c r="HQ375" s="9" t="s">
        <v>5238</v>
      </c>
      <c r="HR375" s="9" t="s">
        <v>5321</v>
      </c>
      <c r="IN375" s="9" t="s">
        <v>5536</v>
      </c>
      <c r="IO375" s="9" t="s">
        <v>5536</v>
      </c>
      <c r="IP375" s="9" t="s">
        <v>5536</v>
      </c>
      <c r="IQ375" s="9" t="s">
        <v>5500</v>
      </c>
      <c r="IR375" s="9" t="s">
        <v>5537</v>
      </c>
      <c r="IS375" s="9" t="s">
        <v>5536</v>
      </c>
      <c r="MJ375" s="9" t="s">
        <v>6321</v>
      </c>
    </row>
    <row r="376" ht="22.5" customHeight="1">
      <c r="A376" s="8">
        <v>45969.3909524537</v>
      </c>
      <c r="B376" s="9" t="s">
        <v>368</v>
      </c>
      <c r="C376" s="9" t="s">
        <v>1201</v>
      </c>
      <c r="D376" s="9" t="s">
        <v>1201</v>
      </c>
      <c r="G376" s="9" t="s">
        <v>422</v>
      </c>
      <c r="H376" s="9" t="s">
        <v>637</v>
      </c>
      <c r="I376" s="9" t="s">
        <v>638</v>
      </c>
      <c r="J376" s="9" t="s">
        <v>590</v>
      </c>
      <c r="K376" s="9" t="s">
        <v>376</v>
      </c>
      <c r="L376" s="9" t="s">
        <v>591</v>
      </c>
      <c r="M376" s="9" t="s">
        <v>720</v>
      </c>
      <c r="N376" s="9" t="s">
        <v>591</v>
      </c>
      <c r="O376" s="9" t="s">
        <v>639</v>
      </c>
      <c r="P376" s="9" t="s">
        <v>498</v>
      </c>
      <c r="Q376" s="9" t="s">
        <v>862</v>
      </c>
      <c r="R376" s="9" t="s">
        <v>949</v>
      </c>
      <c r="S376" s="9" t="s">
        <v>384</v>
      </c>
      <c r="T376" s="9" t="s">
        <v>385</v>
      </c>
      <c r="W376" s="9" t="s">
        <v>3014</v>
      </c>
      <c r="AV376" s="9" t="s">
        <v>1310</v>
      </c>
      <c r="AW376" s="9" t="s">
        <v>675</v>
      </c>
      <c r="AX376" s="9" t="s">
        <v>675</v>
      </c>
      <c r="AY376" s="9" t="s">
        <v>675</v>
      </c>
      <c r="AZ376" s="9" t="s">
        <v>675</v>
      </c>
      <c r="BA376" s="9">
        <v>4.0</v>
      </c>
      <c r="BB376" s="9" t="s">
        <v>675</v>
      </c>
      <c r="BC376" s="9" t="s">
        <v>7523</v>
      </c>
      <c r="BD376" s="9" t="s">
        <v>7524</v>
      </c>
      <c r="BE376" s="9" t="s">
        <v>432</v>
      </c>
      <c r="BF376" s="9" t="s">
        <v>1245</v>
      </c>
      <c r="BG376" s="9" t="s">
        <v>434</v>
      </c>
      <c r="BH376" s="9" t="s">
        <v>7525</v>
      </c>
      <c r="BI376" s="9" t="s">
        <v>976</v>
      </c>
      <c r="BK376" s="9" t="s">
        <v>602</v>
      </c>
      <c r="BL376" s="9" t="s">
        <v>904</v>
      </c>
      <c r="BM376" s="9" t="s">
        <v>1314</v>
      </c>
      <c r="BN376" s="9" t="s">
        <v>513</v>
      </c>
      <c r="CL376" s="9" t="s">
        <v>441</v>
      </c>
      <c r="CM376" s="9" t="s">
        <v>604</v>
      </c>
      <c r="CN376" s="9" t="s">
        <v>7526</v>
      </c>
      <c r="CO376" s="9" t="s">
        <v>7527</v>
      </c>
      <c r="CP376" s="9" t="s">
        <v>1008</v>
      </c>
      <c r="CQ376" s="9" t="s">
        <v>7528</v>
      </c>
      <c r="CR376" s="9" t="s">
        <v>828</v>
      </c>
      <c r="CS376" s="9" t="s">
        <v>1851</v>
      </c>
      <c r="CT376" s="9" t="s">
        <v>7529</v>
      </c>
      <c r="CU376" s="9" t="s">
        <v>1961</v>
      </c>
      <c r="CV376" s="9" t="s">
        <v>409</v>
      </c>
      <c r="CW376" s="9" t="s">
        <v>7530</v>
      </c>
      <c r="CX376" s="9" t="s">
        <v>408</v>
      </c>
      <c r="CZ376" s="9" t="s">
        <v>1962</v>
      </c>
      <c r="DB376" s="9" t="s">
        <v>408</v>
      </c>
      <c r="DD376" s="9" t="s">
        <v>457</v>
      </c>
      <c r="DF376" s="9" t="s">
        <v>7531</v>
      </c>
      <c r="DG376" s="9" t="s">
        <v>990</v>
      </c>
      <c r="DH376" s="9" t="s">
        <v>833</v>
      </c>
      <c r="DI376" s="9" t="s">
        <v>963</v>
      </c>
      <c r="DJ376" s="9" t="s">
        <v>613</v>
      </c>
      <c r="ET376" s="9" t="s">
        <v>2747</v>
      </c>
      <c r="EU376" s="9" t="s">
        <v>1127</v>
      </c>
      <c r="EV376" s="9" t="s">
        <v>527</v>
      </c>
      <c r="EW376" s="9" t="s">
        <v>7532</v>
      </c>
      <c r="EX376" s="9" t="s">
        <v>7533</v>
      </c>
      <c r="EY376" s="9" t="s">
        <v>7534</v>
      </c>
      <c r="EZ376" s="9" t="s">
        <v>414</v>
      </c>
      <c r="FA376" s="9" t="s">
        <v>414</v>
      </c>
      <c r="FB376" s="9" t="s">
        <v>416</v>
      </c>
      <c r="FC376" s="9" t="s">
        <v>583</v>
      </c>
      <c r="FD376" s="9" t="s">
        <v>415</v>
      </c>
      <c r="FE376" s="9" t="s">
        <v>583</v>
      </c>
      <c r="FF376" s="9" t="s">
        <v>414</v>
      </c>
      <c r="FG376" s="9" t="s">
        <v>415</v>
      </c>
      <c r="FH376" s="9" t="s">
        <v>414</v>
      </c>
      <c r="FI376" s="9" t="s">
        <v>415</v>
      </c>
      <c r="FJ376" s="9" t="s">
        <v>583</v>
      </c>
      <c r="FK376" s="9" t="s">
        <v>415</v>
      </c>
      <c r="FL376" s="9" t="s">
        <v>414</v>
      </c>
      <c r="FM376" s="9" t="s">
        <v>415</v>
      </c>
      <c r="FN376" s="9" t="s">
        <v>414</v>
      </c>
      <c r="FO376" s="9" t="s">
        <v>1074</v>
      </c>
      <c r="FP376" s="9" t="s">
        <v>1200</v>
      </c>
      <c r="FQ376" s="9" t="s">
        <v>419</v>
      </c>
      <c r="FR376" s="9" t="s">
        <v>7535</v>
      </c>
      <c r="FS376" s="9" t="s">
        <v>1871</v>
      </c>
      <c r="FT376" s="9" t="s">
        <v>421</v>
      </c>
      <c r="FU376" s="9" t="s">
        <v>918</v>
      </c>
      <c r="FV376" s="9" t="s">
        <v>2136</v>
      </c>
      <c r="FW376" s="9" t="s">
        <v>491</v>
      </c>
      <c r="FX376" s="9" t="s">
        <v>7536</v>
      </c>
      <c r="FY376" s="9" t="s">
        <v>1854</v>
      </c>
      <c r="FZ376" s="9" t="s">
        <v>7537</v>
      </c>
      <c r="GB376" s="9" t="s">
        <v>408</v>
      </c>
      <c r="GG376" s="9" t="s">
        <v>920</v>
      </c>
      <c r="GH376" s="9" t="s">
        <v>1000</v>
      </c>
      <c r="GI376" s="9" t="s">
        <v>756</v>
      </c>
      <c r="GN376" s="9" t="s">
        <v>4084</v>
      </c>
      <c r="GO376" s="9" t="s">
        <v>4084</v>
      </c>
      <c r="GQ376" s="9" t="s">
        <v>3273</v>
      </c>
      <c r="GT376" s="9" t="s">
        <v>4774</v>
      </c>
      <c r="GV376" s="9" t="s">
        <v>5231</v>
      </c>
      <c r="GW376" s="9" t="s">
        <v>484</v>
      </c>
      <c r="HC376" s="9" t="s">
        <v>6053</v>
      </c>
      <c r="HD376" s="9" t="s">
        <v>5382</v>
      </c>
      <c r="HE376" s="9" t="s">
        <v>5283</v>
      </c>
      <c r="HF376" s="9" t="s">
        <v>5284</v>
      </c>
      <c r="HO376" s="9" t="s">
        <v>5301</v>
      </c>
      <c r="HP376" s="9" t="s">
        <v>5302</v>
      </c>
      <c r="HQ376" s="9" t="s">
        <v>5286</v>
      </c>
      <c r="HR376" s="9" t="s">
        <v>5239</v>
      </c>
      <c r="HW376" s="9" t="s">
        <v>7538</v>
      </c>
      <c r="MJ376" s="9" t="s">
        <v>6321</v>
      </c>
    </row>
    <row r="377" ht="22.5" customHeight="1">
      <c r="A377" s="8">
        <v>45969.767506539356</v>
      </c>
      <c r="B377" s="9" t="s">
        <v>368</v>
      </c>
      <c r="C377" s="9" t="s">
        <v>370</v>
      </c>
      <c r="D377" s="9" t="s">
        <v>370</v>
      </c>
      <c r="E377" s="9" t="s">
        <v>1421</v>
      </c>
      <c r="F377" s="9" t="s">
        <v>1421</v>
      </c>
      <c r="G377" s="9" t="s">
        <v>422</v>
      </c>
      <c r="H377" s="9" t="s">
        <v>539</v>
      </c>
      <c r="I377" s="9" t="s">
        <v>424</v>
      </c>
      <c r="J377" s="9" t="s">
        <v>425</v>
      </c>
      <c r="K377" s="9" t="s">
        <v>376</v>
      </c>
      <c r="L377" s="9" t="s">
        <v>379</v>
      </c>
      <c r="M377" s="9" t="s">
        <v>378</v>
      </c>
      <c r="N377" s="9" t="s">
        <v>379</v>
      </c>
      <c r="O377" s="9" t="s">
        <v>497</v>
      </c>
      <c r="P377" s="9" t="s">
        <v>498</v>
      </c>
      <c r="Q377" s="9" t="s">
        <v>499</v>
      </c>
      <c r="R377" s="9" t="s">
        <v>427</v>
      </c>
      <c r="S377" s="9" t="s">
        <v>7539</v>
      </c>
      <c r="T377" s="9" t="s">
        <v>385</v>
      </c>
      <c r="ED377" s="9" t="s">
        <v>5662</v>
      </c>
      <c r="EH377" s="9" t="s">
        <v>7540</v>
      </c>
      <c r="EI377" s="9" t="s">
        <v>7541</v>
      </c>
      <c r="ER377" s="9" t="s">
        <v>7542</v>
      </c>
      <c r="ES377" s="9" t="s">
        <v>7543</v>
      </c>
      <c r="ET377" s="9" t="s">
        <v>578</v>
      </c>
      <c r="EU377" s="9" t="s">
        <v>479</v>
      </c>
      <c r="EV377" s="9" t="s">
        <v>527</v>
      </c>
      <c r="EW377" s="9" t="s">
        <v>7544</v>
      </c>
      <c r="EX377" s="9" t="s">
        <v>7545</v>
      </c>
      <c r="EY377" s="9" t="s">
        <v>7546</v>
      </c>
      <c r="EZ377" s="9" t="s">
        <v>413</v>
      </c>
      <c r="FA377" s="9" t="s">
        <v>415</v>
      </c>
      <c r="FB377" s="9" t="s">
        <v>413</v>
      </c>
      <c r="FC377" s="9" t="s">
        <v>413</v>
      </c>
      <c r="FD377" s="9" t="s">
        <v>413</v>
      </c>
      <c r="FE377" s="9" t="s">
        <v>415</v>
      </c>
      <c r="FF377" s="9" t="s">
        <v>413</v>
      </c>
      <c r="FG377" s="9" t="s">
        <v>413</v>
      </c>
      <c r="FH377" s="9" t="s">
        <v>415</v>
      </c>
      <c r="FI377" s="9" t="s">
        <v>583</v>
      </c>
      <c r="FJ377" s="9" t="s">
        <v>414</v>
      </c>
      <c r="FK377" s="9" t="s">
        <v>415</v>
      </c>
      <c r="FL377" s="9" t="s">
        <v>415</v>
      </c>
      <c r="FM377" s="9" t="s">
        <v>415</v>
      </c>
      <c r="FN377" s="9" t="s">
        <v>415</v>
      </c>
      <c r="FO377" s="9" t="s">
        <v>417</v>
      </c>
      <c r="FP377" s="9" t="s">
        <v>418</v>
      </c>
      <c r="FQ377" s="9" t="s">
        <v>630</v>
      </c>
      <c r="FR377" s="9" t="s">
        <v>7547</v>
      </c>
      <c r="FS377" s="9" t="s">
        <v>420</v>
      </c>
      <c r="FT377" s="9" t="s">
        <v>488</v>
      </c>
      <c r="FU377" s="9" t="s">
        <v>489</v>
      </c>
      <c r="FV377" s="9" t="s">
        <v>490</v>
      </c>
      <c r="FW377" s="9" t="s">
        <v>491</v>
      </c>
      <c r="FX377" s="9" t="s">
        <v>7548</v>
      </c>
      <c r="FY377" s="9" t="s">
        <v>535</v>
      </c>
      <c r="FZ377" s="9" t="s">
        <v>7549</v>
      </c>
      <c r="GA377" s="9" t="s">
        <v>7550</v>
      </c>
      <c r="GB377" s="9" t="s">
        <v>455</v>
      </c>
      <c r="GC377" s="9"/>
      <c r="GE377" s="9" t="s">
        <v>1339</v>
      </c>
      <c r="GF377" s="9" t="s">
        <v>7551</v>
      </c>
      <c r="GQ377" s="9" t="s">
        <v>7552</v>
      </c>
      <c r="GV377" s="9" t="s">
        <v>6434</v>
      </c>
      <c r="GW377" s="9" t="s">
        <v>5232</v>
      </c>
      <c r="HK377" s="9" t="s">
        <v>6476</v>
      </c>
      <c r="HL377" s="9" t="s">
        <v>6151</v>
      </c>
      <c r="HM377" s="9" t="s">
        <v>5735</v>
      </c>
      <c r="HN377" s="9" t="s">
        <v>5678</v>
      </c>
      <c r="HO377" s="9" t="s">
        <v>5383</v>
      </c>
      <c r="HP377" s="9" t="s">
        <v>5264</v>
      </c>
      <c r="HQ377" s="9" t="s">
        <v>5238</v>
      </c>
      <c r="HR377" s="9" t="s">
        <v>5321</v>
      </c>
      <c r="JD377" s="9" t="s">
        <v>5679</v>
      </c>
      <c r="JG377" s="9" t="s">
        <v>5680</v>
      </c>
      <c r="JI377" s="9" t="s">
        <v>5260</v>
      </c>
      <c r="JJ377" s="9" t="s">
        <v>459</v>
      </c>
      <c r="JK377" s="9" t="s">
        <v>408</v>
      </c>
      <c r="JL377" s="9" t="s">
        <v>6510</v>
      </c>
      <c r="JN377" s="9" t="s">
        <v>7553</v>
      </c>
      <c r="JQ377" s="9" t="s">
        <v>5684</v>
      </c>
      <c r="JY377" s="9" t="s">
        <v>7554</v>
      </c>
      <c r="JZ377" s="9" t="s">
        <v>6513</v>
      </c>
      <c r="KA377" s="9" t="s">
        <v>5686</v>
      </c>
      <c r="KB377" s="9" t="s">
        <v>5687</v>
      </c>
      <c r="KC377" s="9" t="s">
        <v>7555</v>
      </c>
      <c r="KD377" s="9" t="s">
        <v>5689</v>
      </c>
      <c r="KE377" s="9" t="s">
        <v>7556</v>
      </c>
      <c r="KG377" s="9" t="s">
        <v>7557</v>
      </c>
      <c r="KM377" s="9" t="s">
        <v>7558</v>
      </c>
      <c r="KN377" s="9" t="s">
        <v>7559</v>
      </c>
      <c r="KO377" s="9" t="s">
        <v>7560</v>
      </c>
      <c r="MJ377" s="9" t="s">
        <v>6383</v>
      </c>
    </row>
    <row r="378" ht="22.5" customHeight="1">
      <c r="A378" s="8">
        <v>45969.84953577546</v>
      </c>
      <c r="B378" s="9" t="s">
        <v>368</v>
      </c>
      <c r="C378" s="9" t="s">
        <v>370</v>
      </c>
      <c r="D378" s="9" t="s">
        <v>370</v>
      </c>
      <c r="E378" s="9" t="s">
        <v>1464</v>
      </c>
      <c r="F378" s="9" t="s">
        <v>4905</v>
      </c>
      <c r="G378" s="9" t="s">
        <v>422</v>
      </c>
      <c r="I378" s="9" t="s">
        <v>7561</v>
      </c>
      <c r="J378" s="9" t="s">
        <v>425</v>
      </c>
      <c r="K378" s="9" t="s">
        <v>376</v>
      </c>
      <c r="L378" s="9" t="s">
        <v>379</v>
      </c>
      <c r="M378" s="9" t="s">
        <v>378</v>
      </c>
      <c r="N378" s="9" t="s">
        <v>379</v>
      </c>
      <c r="O378" s="9" t="s">
        <v>2464</v>
      </c>
      <c r="P378" s="9" t="s">
        <v>498</v>
      </c>
      <c r="Q378" s="9" t="s">
        <v>818</v>
      </c>
      <c r="R378" s="9" t="s">
        <v>500</v>
      </c>
      <c r="S378" s="9" t="s">
        <v>384</v>
      </c>
      <c r="W378" s="9" t="s">
        <v>386</v>
      </c>
      <c r="X378" s="9" t="s">
        <v>387</v>
      </c>
      <c r="Y378" s="9" t="s">
        <v>388</v>
      </c>
      <c r="Z378" s="9" t="s">
        <v>672</v>
      </c>
      <c r="AA378" s="9" t="s">
        <v>7562</v>
      </c>
      <c r="AB378" s="9" t="s">
        <v>7563</v>
      </c>
      <c r="AV378" s="9" t="s">
        <v>1310</v>
      </c>
      <c r="AW378" s="9">
        <v>4.0</v>
      </c>
      <c r="AX378" s="9" t="s">
        <v>391</v>
      </c>
      <c r="AY378" s="9" t="s">
        <v>391</v>
      </c>
      <c r="AZ378" s="9" t="s">
        <v>391</v>
      </c>
      <c r="BA378" s="9">
        <v>4.0</v>
      </c>
      <c r="BB378" s="9" t="s">
        <v>391</v>
      </c>
      <c r="BD378" s="9" t="s">
        <v>7564</v>
      </c>
      <c r="BE378" s="9" t="s">
        <v>392</v>
      </c>
      <c r="BF378" s="9" t="s">
        <v>433</v>
      </c>
      <c r="BG378" s="9" t="s">
        <v>434</v>
      </c>
      <c r="BH378" s="9" t="s">
        <v>7565</v>
      </c>
      <c r="BI378" s="9" t="s">
        <v>824</v>
      </c>
      <c r="BJ378" s="9" t="s">
        <v>7566</v>
      </c>
      <c r="BK378" s="9" t="s">
        <v>395</v>
      </c>
      <c r="BL378" s="9" t="s">
        <v>512</v>
      </c>
      <c r="BM378" s="9" t="s">
        <v>397</v>
      </c>
      <c r="BN378" s="9" t="s">
        <v>440</v>
      </c>
      <c r="CL378" s="9" t="s">
        <v>441</v>
      </c>
      <c r="CM378" s="9" t="s">
        <v>604</v>
      </c>
      <c r="CN378" s="9" t="s">
        <v>7567</v>
      </c>
      <c r="CO378" s="9" t="s">
        <v>7568</v>
      </c>
      <c r="CP378" s="9" t="s">
        <v>445</v>
      </c>
      <c r="CQ378" s="9" t="s">
        <v>7569</v>
      </c>
      <c r="CR378" s="9" t="s">
        <v>447</v>
      </c>
      <c r="CS378" s="9" t="s">
        <v>1137</v>
      </c>
      <c r="CT378" s="9" t="s">
        <v>7570</v>
      </c>
      <c r="CU378" s="9" t="s">
        <v>450</v>
      </c>
      <c r="CV378" s="9" t="s">
        <v>409</v>
      </c>
      <c r="CW378" s="9" t="s">
        <v>7571</v>
      </c>
      <c r="CX378" s="9" t="s">
        <v>408</v>
      </c>
      <c r="CZ378" s="9" t="s">
        <v>453</v>
      </c>
      <c r="DA378" s="9" t="s">
        <v>7572</v>
      </c>
      <c r="DB378" s="9" t="s">
        <v>408</v>
      </c>
      <c r="DD378" s="9" t="s">
        <v>406</v>
      </c>
      <c r="DE378" s="9" t="s">
        <v>407</v>
      </c>
      <c r="DF378" s="9" t="s">
        <v>7573</v>
      </c>
      <c r="DG378" s="9" t="s">
        <v>524</v>
      </c>
      <c r="DH378" s="9" t="s">
        <v>410</v>
      </c>
      <c r="DI378" s="9" t="s">
        <v>459</v>
      </c>
      <c r="DJ378" s="9" t="s">
        <v>460</v>
      </c>
      <c r="DK378" s="9" t="s">
        <v>6335</v>
      </c>
      <c r="DM378" s="9" t="s">
        <v>7574</v>
      </c>
      <c r="DN378" s="9" t="s">
        <v>7575</v>
      </c>
      <c r="DO378" s="9" t="s">
        <v>2956</v>
      </c>
      <c r="DP378" s="9" t="s">
        <v>7576</v>
      </c>
      <c r="DQ378" s="9" t="s">
        <v>1324</v>
      </c>
      <c r="DR378" s="9" t="s">
        <v>796</v>
      </c>
      <c r="DS378" s="9" t="s">
        <v>618</v>
      </c>
      <c r="DT378" s="9" t="s">
        <v>7577</v>
      </c>
      <c r="DU378" s="9" t="s">
        <v>7578</v>
      </c>
      <c r="DW378" s="9" t="s">
        <v>573</v>
      </c>
      <c r="DX378" s="9" t="s">
        <v>7579</v>
      </c>
      <c r="DY378" s="9" t="s">
        <v>7580</v>
      </c>
      <c r="DZ378" s="9" t="s">
        <v>7581</v>
      </c>
      <c r="EA378" s="9" t="s">
        <v>475</v>
      </c>
      <c r="EB378" s="9" t="s">
        <v>626</v>
      </c>
      <c r="EC378" s="9" t="s">
        <v>7582</v>
      </c>
      <c r="ET378" s="9" t="s">
        <v>526</v>
      </c>
      <c r="EU378" s="9" t="s">
        <v>479</v>
      </c>
      <c r="EV378" s="9" t="s">
        <v>527</v>
      </c>
      <c r="EW378" s="9" t="s">
        <v>7583</v>
      </c>
      <c r="EX378" s="9" t="s">
        <v>7584</v>
      </c>
      <c r="EY378" s="9" t="s">
        <v>7585</v>
      </c>
      <c r="EZ378" s="9" t="s">
        <v>413</v>
      </c>
      <c r="FA378" s="9" t="s">
        <v>413</v>
      </c>
      <c r="FB378" s="9" t="s">
        <v>413</v>
      </c>
      <c r="FC378" s="9" t="s">
        <v>413</v>
      </c>
      <c r="FD378" s="9" t="s">
        <v>413</v>
      </c>
      <c r="FE378" s="9" t="s">
        <v>416</v>
      </c>
      <c r="FF378" s="9" t="s">
        <v>413</v>
      </c>
      <c r="FG378" s="9" t="s">
        <v>413</v>
      </c>
      <c r="FH378" s="9" t="s">
        <v>413</v>
      </c>
      <c r="FI378" s="9" t="s">
        <v>583</v>
      </c>
      <c r="FJ378" s="9" t="s">
        <v>414</v>
      </c>
      <c r="FK378" s="9" t="s">
        <v>413</v>
      </c>
      <c r="FL378" s="9" t="s">
        <v>415</v>
      </c>
      <c r="FM378" s="9" t="s">
        <v>416</v>
      </c>
      <c r="FN378" s="9" t="s">
        <v>583</v>
      </c>
      <c r="FO378" s="9" t="s">
        <v>1537</v>
      </c>
      <c r="FP378" s="9" t="s">
        <v>418</v>
      </c>
      <c r="FQ378" s="9" t="s">
        <v>712</v>
      </c>
      <c r="FR378" s="9" t="s">
        <v>7586</v>
      </c>
      <c r="FS378" s="9" t="s">
        <v>420</v>
      </c>
      <c r="FT378" s="9" t="s">
        <v>488</v>
      </c>
      <c r="FU378" s="9" t="s">
        <v>489</v>
      </c>
      <c r="FV378" s="9" t="s">
        <v>490</v>
      </c>
      <c r="FW378" s="9" t="s">
        <v>491</v>
      </c>
      <c r="FX378" s="9" t="s">
        <v>7587</v>
      </c>
      <c r="FY378" s="9" t="s">
        <v>535</v>
      </c>
      <c r="FZ378" s="9" t="s">
        <v>7588</v>
      </c>
      <c r="GB378" s="9" t="s">
        <v>455</v>
      </c>
      <c r="GC378" s="9"/>
      <c r="GD378" s="9"/>
      <c r="GE378" s="9" t="s">
        <v>1339</v>
      </c>
      <c r="GG378" s="9" t="s">
        <v>755</v>
      </c>
      <c r="GH378" s="9" t="s">
        <v>755</v>
      </c>
      <c r="GI378" s="9" t="s">
        <v>946</v>
      </c>
      <c r="GM378" s="9" t="s">
        <v>1079</v>
      </c>
      <c r="GQ378" s="9" t="s">
        <v>7589</v>
      </c>
      <c r="GT378" s="9" t="s">
        <v>4774</v>
      </c>
      <c r="GU378" s="9" t="s">
        <v>7590</v>
      </c>
      <c r="GV378" s="9" t="s">
        <v>5231</v>
      </c>
      <c r="GW378" s="9" t="s">
        <v>5232</v>
      </c>
      <c r="HC378" s="9" t="s">
        <v>5297</v>
      </c>
      <c r="HD378" s="9" t="s">
        <v>5349</v>
      </c>
      <c r="HE378" s="9" t="s">
        <v>5492</v>
      </c>
      <c r="HF378" s="9" t="s">
        <v>5300</v>
      </c>
      <c r="HG378" s="9" t="s">
        <v>7591</v>
      </c>
      <c r="HH378" s="9" t="s">
        <v>6631</v>
      </c>
      <c r="HI378" s="9" t="s">
        <v>7592</v>
      </c>
      <c r="HJ378" s="9" t="s">
        <v>7593</v>
      </c>
      <c r="HO378" s="9" t="s">
        <v>5236</v>
      </c>
      <c r="HP378" s="9" t="s">
        <v>5264</v>
      </c>
      <c r="HQ378" s="9" t="s">
        <v>5238</v>
      </c>
      <c r="HR378" s="9" t="s">
        <v>5347</v>
      </c>
      <c r="HW378" s="9" t="s">
        <v>5578</v>
      </c>
      <c r="IN378" s="9" t="s">
        <v>5629</v>
      </c>
      <c r="IO378" s="9" t="s">
        <v>5629</v>
      </c>
      <c r="IP378" s="9" t="s">
        <v>5536</v>
      </c>
      <c r="IQ378" s="9" t="s">
        <v>5537</v>
      </c>
      <c r="IR378" s="9" t="s">
        <v>5629</v>
      </c>
      <c r="IS378" s="9" t="s">
        <v>5500</v>
      </c>
      <c r="MJ378" s="9" t="s">
        <v>6321</v>
      </c>
    </row>
    <row r="379" ht="22.5" customHeight="1">
      <c r="A379" s="8">
        <v>45969.8978412963</v>
      </c>
      <c r="B379" s="9" t="s">
        <v>368</v>
      </c>
      <c r="C379" s="9" t="s">
        <v>370</v>
      </c>
      <c r="D379" s="9" t="s">
        <v>370</v>
      </c>
      <c r="E379" s="9" t="s">
        <v>371</v>
      </c>
      <c r="F379" s="9" t="s">
        <v>6014</v>
      </c>
      <c r="G379" s="9" t="s">
        <v>422</v>
      </c>
      <c r="H379" s="9" t="s">
        <v>496</v>
      </c>
      <c r="I379" s="9" t="s">
        <v>374</v>
      </c>
      <c r="J379" s="9" t="s">
        <v>375</v>
      </c>
      <c r="K379" s="9" t="s">
        <v>376</v>
      </c>
      <c r="L379" s="9" t="s">
        <v>793</v>
      </c>
      <c r="M379" s="9" t="s">
        <v>719</v>
      </c>
      <c r="N379" s="9" t="s">
        <v>1526</v>
      </c>
      <c r="O379" s="9" t="s">
        <v>7594</v>
      </c>
      <c r="P379" s="9" t="s">
        <v>498</v>
      </c>
      <c r="Q379" s="9" t="s">
        <v>382</v>
      </c>
      <c r="R379" s="9" t="s">
        <v>500</v>
      </c>
      <c r="S379" s="9" t="s">
        <v>384</v>
      </c>
      <c r="T379" s="9" t="s">
        <v>385</v>
      </c>
      <c r="W379" s="9" t="s">
        <v>386</v>
      </c>
      <c r="X379" s="9" t="s">
        <v>387</v>
      </c>
      <c r="Y379" s="9" t="s">
        <v>1966</v>
      </c>
      <c r="Z379" s="9" t="s">
        <v>672</v>
      </c>
      <c r="AA379" s="9" t="s">
        <v>7595</v>
      </c>
      <c r="AB379" s="9" t="s">
        <v>7596</v>
      </c>
      <c r="AV379" s="9" t="s">
        <v>504</v>
      </c>
      <c r="AW379" s="9" t="s">
        <v>429</v>
      </c>
      <c r="AX379" s="9" t="s">
        <v>429</v>
      </c>
      <c r="AY379" s="9" t="s">
        <v>429</v>
      </c>
      <c r="AZ379" s="9">
        <v>2.0</v>
      </c>
      <c r="BA379" s="9">
        <v>2.0</v>
      </c>
      <c r="BB379" s="9">
        <v>2.0</v>
      </c>
      <c r="BC379" s="9" t="s">
        <v>7597</v>
      </c>
      <c r="BD379" s="9" t="s">
        <v>7598</v>
      </c>
      <c r="BE379" s="9" t="s">
        <v>432</v>
      </c>
      <c r="BF379" s="9" t="s">
        <v>433</v>
      </c>
      <c r="BG379" s="9" t="s">
        <v>678</v>
      </c>
      <c r="BI379" s="9" t="s">
        <v>509</v>
      </c>
      <c r="BJ379" s="9" t="s">
        <v>7599</v>
      </c>
      <c r="BK379" s="9" t="s">
        <v>511</v>
      </c>
      <c r="BL379" s="9" t="s">
        <v>512</v>
      </c>
      <c r="BM379" s="9" t="s">
        <v>439</v>
      </c>
      <c r="BN379" s="9" t="s">
        <v>440</v>
      </c>
      <c r="CL379" s="9" t="s">
        <v>441</v>
      </c>
      <c r="CM379" s="9" t="s">
        <v>401</v>
      </c>
      <c r="CN379" s="9" t="s">
        <v>7600</v>
      </c>
      <c r="CO379" s="9" t="s">
        <v>7601</v>
      </c>
      <c r="CP379" s="9" t="s">
        <v>1008</v>
      </c>
      <c r="CQ379" s="9" t="s">
        <v>7602</v>
      </c>
      <c r="CR379" s="9" t="s">
        <v>447</v>
      </c>
      <c r="CS379" s="9" t="s">
        <v>7603</v>
      </c>
      <c r="CT379" s="9" t="s">
        <v>7604</v>
      </c>
      <c r="CU379" s="9" t="s">
        <v>450</v>
      </c>
      <c r="CV379" s="9" t="s">
        <v>451</v>
      </c>
      <c r="CW379" s="9" t="s">
        <v>7605</v>
      </c>
      <c r="CX379" s="9" t="s">
        <v>408</v>
      </c>
      <c r="CY379" s="9" t="s">
        <v>7606</v>
      </c>
      <c r="CZ379" s="9" t="s">
        <v>453</v>
      </c>
      <c r="DA379" s="9" t="s">
        <v>7607</v>
      </c>
      <c r="DB379" s="9" t="s">
        <v>455</v>
      </c>
      <c r="DC379" s="9" t="s">
        <v>7608</v>
      </c>
      <c r="DD379" s="9" t="s">
        <v>457</v>
      </c>
      <c r="DF379" s="9" t="s">
        <v>7609</v>
      </c>
      <c r="DG379" s="9" t="s">
        <v>524</v>
      </c>
      <c r="DH379" s="9" t="s">
        <v>833</v>
      </c>
      <c r="DI379" s="9" t="s">
        <v>777</v>
      </c>
      <c r="DJ379" s="9" t="s">
        <v>613</v>
      </c>
      <c r="DM379" s="9" t="s">
        <v>7610</v>
      </c>
      <c r="DN379" s="9" t="s">
        <v>7611</v>
      </c>
      <c r="DO379" s="9" t="s">
        <v>1063</v>
      </c>
      <c r="DP379" s="9" t="s">
        <v>7612</v>
      </c>
      <c r="DQ379" s="9" t="s">
        <v>837</v>
      </c>
      <c r="DR379" s="9" t="s">
        <v>7613</v>
      </c>
      <c r="DS379" s="9" t="s">
        <v>839</v>
      </c>
      <c r="DT379" s="9" t="s">
        <v>570</v>
      </c>
      <c r="DU379" s="9" t="s">
        <v>7614</v>
      </c>
      <c r="DV379" s="9" t="s">
        <v>7615</v>
      </c>
      <c r="DW379" s="9" t="s">
        <v>573</v>
      </c>
      <c r="DX379" s="9" t="s">
        <v>7616</v>
      </c>
      <c r="DY379" s="9" t="s">
        <v>7617</v>
      </c>
      <c r="DZ379" s="9" t="s">
        <v>7618</v>
      </c>
      <c r="EA379" s="9" t="s">
        <v>475</v>
      </c>
      <c r="EB379" s="9" t="s">
        <v>476</v>
      </c>
      <c r="EC379" s="9" t="s">
        <v>7619</v>
      </c>
      <c r="ET379" s="9" t="s">
        <v>526</v>
      </c>
      <c r="EU379" s="9" t="s">
        <v>887</v>
      </c>
      <c r="EV379" s="9" t="s">
        <v>527</v>
      </c>
      <c r="EW379" s="9" t="s">
        <v>7620</v>
      </c>
      <c r="EX379" s="9" t="s">
        <v>7621</v>
      </c>
      <c r="EY379" s="9" t="s">
        <v>813</v>
      </c>
      <c r="EZ379" s="9" t="s">
        <v>414</v>
      </c>
      <c r="FA379" s="9" t="s">
        <v>414</v>
      </c>
      <c r="FB379" s="9" t="s">
        <v>413</v>
      </c>
      <c r="FC379" s="9" t="s">
        <v>414</v>
      </c>
      <c r="FD379" s="9" t="s">
        <v>416</v>
      </c>
      <c r="FE379" s="9" t="s">
        <v>414</v>
      </c>
      <c r="FF379" s="9" t="s">
        <v>484</v>
      </c>
      <c r="FG379" s="9" t="s">
        <v>484</v>
      </c>
      <c r="FH379" s="9" t="s">
        <v>583</v>
      </c>
      <c r="FI379" s="9" t="s">
        <v>414</v>
      </c>
      <c r="FJ379" s="9" t="s">
        <v>414</v>
      </c>
      <c r="FK379" s="9" t="s">
        <v>484</v>
      </c>
      <c r="FL379" s="9" t="s">
        <v>484</v>
      </c>
      <c r="FM379" s="9" t="s">
        <v>416</v>
      </c>
      <c r="FN379" s="9" t="s">
        <v>583</v>
      </c>
      <c r="FO379" s="9" t="s">
        <v>485</v>
      </c>
      <c r="FP379" s="9" t="s">
        <v>418</v>
      </c>
      <c r="FQ379" s="9" t="s">
        <v>419</v>
      </c>
      <c r="FR379" s="9" t="s">
        <v>7622</v>
      </c>
      <c r="FS379" s="9" t="s">
        <v>420</v>
      </c>
      <c r="FT379" s="9" t="s">
        <v>488</v>
      </c>
      <c r="FU379" s="9" t="s">
        <v>489</v>
      </c>
      <c r="FV379" s="9" t="s">
        <v>490</v>
      </c>
      <c r="FW379" s="9" t="s">
        <v>491</v>
      </c>
      <c r="FX379" s="9" t="s">
        <v>7623</v>
      </c>
      <c r="FY379" s="9" t="s">
        <v>535</v>
      </c>
      <c r="FZ379" s="9" t="s">
        <v>7624</v>
      </c>
      <c r="GA379" s="9" t="s">
        <v>7625</v>
      </c>
      <c r="GB379" s="9" t="s">
        <v>455</v>
      </c>
      <c r="GC379" s="9"/>
      <c r="GE379" s="9" t="s">
        <v>1339</v>
      </c>
      <c r="GF379" s="9" t="s">
        <v>7626</v>
      </c>
      <c r="GG379" s="9" t="s">
        <v>920</v>
      </c>
      <c r="GH379" s="9" t="s">
        <v>920</v>
      </c>
      <c r="GI379" s="9" t="s">
        <v>756</v>
      </c>
      <c r="GM379" s="9" t="s">
        <v>1079</v>
      </c>
      <c r="GQ379" s="9" t="s">
        <v>3208</v>
      </c>
      <c r="GT379" s="9" t="s">
        <v>4774</v>
      </c>
      <c r="GV379" s="9" t="s">
        <v>5231</v>
      </c>
      <c r="GW379" s="9" t="s">
        <v>5232</v>
      </c>
      <c r="HC379" s="9" t="s">
        <v>5297</v>
      </c>
      <c r="HD379" s="9" t="s">
        <v>5349</v>
      </c>
      <c r="HE379" s="9" t="s">
        <v>5320</v>
      </c>
      <c r="HF379" s="9" t="s">
        <v>5284</v>
      </c>
      <c r="HG379" s="9" t="s">
        <v>7627</v>
      </c>
      <c r="HH379" s="9" t="s">
        <v>7628</v>
      </c>
      <c r="HI379" s="9" t="s">
        <v>7629</v>
      </c>
      <c r="HJ379" s="9" t="s">
        <v>7630</v>
      </c>
      <c r="HO379" s="9" t="s">
        <v>5383</v>
      </c>
      <c r="HP379" s="9" t="s">
        <v>5237</v>
      </c>
      <c r="HQ379" s="9" t="s">
        <v>5238</v>
      </c>
      <c r="HR379" s="9" t="s">
        <v>5321</v>
      </c>
      <c r="HW379" s="9" t="s">
        <v>7631</v>
      </c>
      <c r="IN379" s="9" t="s">
        <v>5536</v>
      </c>
      <c r="IO379" s="9" t="s">
        <v>5537</v>
      </c>
      <c r="IP379" s="9" t="s">
        <v>5536</v>
      </c>
      <c r="IQ379" s="9" t="s">
        <v>5536</v>
      </c>
      <c r="IR379" s="9" t="s">
        <v>5536</v>
      </c>
      <c r="IS379" s="9" t="s">
        <v>5536</v>
      </c>
      <c r="MJ379" s="9" t="s">
        <v>6321</v>
      </c>
    </row>
    <row r="380" ht="22.5" customHeight="1">
      <c r="A380" s="8">
        <v>45969.90605799769</v>
      </c>
      <c r="B380" s="9" t="s">
        <v>368</v>
      </c>
      <c r="C380" s="9" t="s">
        <v>370</v>
      </c>
      <c r="D380" s="9" t="s">
        <v>370</v>
      </c>
      <c r="E380" s="9" t="s">
        <v>1562</v>
      </c>
      <c r="F380" s="9" t="s">
        <v>1562</v>
      </c>
      <c r="G380" s="9" t="s">
        <v>422</v>
      </c>
      <c r="H380" s="9" t="s">
        <v>637</v>
      </c>
      <c r="I380" s="9" t="s">
        <v>638</v>
      </c>
      <c r="J380" s="9" t="s">
        <v>590</v>
      </c>
      <c r="K380" s="9" t="s">
        <v>376</v>
      </c>
      <c r="L380" s="9" t="s">
        <v>426</v>
      </c>
      <c r="M380" s="9" t="s">
        <v>3109</v>
      </c>
      <c r="N380" s="9" t="s">
        <v>426</v>
      </c>
      <c r="O380" s="9" t="s">
        <v>719</v>
      </c>
      <c r="P380" s="9" t="s">
        <v>381</v>
      </c>
      <c r="Q380" s="9" t="s">
        <v>1342</v>
      </c>
      <c r="R380" s="9" t="s">
        <v>3976</v>
      </c>
      <c r="S380" s="9" t="s">
        <v>1594</v>
      </c>
      <c r="T380" s="9" t="s">
        <v>385</v>
      </c>
      <c r="W380" s="9" t="s">
        <v>3014</v>
      </c>
      <c r="AV380" s="9" t="s">
        <v>504</v>
      </c>
      <c r="AW380" s="9">
        <v>2.0</v>
      </c>
      <c r="AX380" s="9" t="s">
        <v>429</v>
      </c>
      <c r="AY380" s="9" t="s">
        <v>429</v>
      </c>
      <c r="AZ380" s="9" t="s">
        <v>429</v>
      </c>
      <c r="BA380" s="9">
        <v>2.0</v>
      </c>
      <c r="BB380" s="9">
        <v>2.0</v>
      </c>
      <c r="BC380" s="9" t="s">
        <v>7632</v>
      </c>
      <c r="BD380" s="9" t="s">
        <v>7633</v>
      </c>
      <c r="BE380" s="9" t="s">
        <v>392</v>
      </c>
      <c r="BF380" s="9" t="s">
        <v>433</v>
      </c>
      <c r="BG380" s="9" t="s">
        <v>678</v>
      </c>
      <c r="BH380" s="9" t="s">
        <v>7634</v>
      </c>
      <c r="BI380" s="9" t="s">
        <v>727</v>
      </c>
      <c r="BJ380" s="9" t="s">
        <v>7635</v>
      </c>
      <c r="BK380" s="9" t="s">
        <v>437</v>
      </c>
      <c r="BL380" s="9" t="s">
        <v>396</v>
      </c>
      <c r="BM380" s="9" t="s">
        <v>439</v>
      </c>
      <c r="BN380" s="9" t="s">
        <v>513</v>
      </c>
      <c r="CL380" s="9" t="s">
        <v>441</v>
      </c>
      <c r="CM380" s="9" t="s">
        <v>604</v>
      </c>
      <c r="CN380" s="9" t="s">
        <v>7636</v>
      </c>
      <c r="CO380" s="9" t="s">
        <v>7637</v>
      </c>
      <c r="CP380" s="9" t="s">
        <v>445</v>
      </c>
      <c r="CQ380" s="9" t="s">
        <v>7638</v>
      </c>
      <c r="CR380" s="9" t="s">
        <v>804</v>
      </c>
      <c r="CS380" s="9" t="s">
        <v>3194</v>
      </c>
      <c r="CT380" s="9" t="s">
        <v>7639</v>
      </c>
      <c r="CU380" s="9" t="s">
        <v>519</v>
      </c>
      <c r="CV380" s="9" t="s">
        <v>409</v>
      </c>
      <c r="CW380" s="9" t="s">
        <v>7640</v>
      </c>
      <c r="CX380" s="9" t="s">
        <v>408</v>
      </c>
      <c r="CY380" s="9" t="s">
        <v>7641</v>
      </c>
      <c r="CZ380" s="9" t="s">
        <v>453</v>
      </c>
      <c r="DA380" s="9" t="s">
        <v>7642</v>
      </c>
      <c r="DB380" s="9" t="s">
        <v>455</v>
      </c>
      <c r="DC380" s="9" t="s">
        <v>7643</v>
      </c>
      <c r="DD380" s="9" t="s">
        <v>457</v>
      </c>
      <c r="DF380" s="9" t="s">
        <v>7644</v>
      </c>
      <c r="DG380" s="9" t="s">
        <v>524</v>
      </c>
      <c r="DH380" s="9" t="s">
        <v>410</v>
      </c>
      <c r="DI380" s="9" t="s">
        <v>459</v>
      </c>
      <c r="DJ380" s="9" t="s">
        <v>562</v>
      </c>
      <c r="DK380" s="9" t="s">
        <v>1434</v>
      </c>
      <c r="ET380" s="9" t="s">
        <v>478</v>
      </c>
      <c r="EU380" s="9" t="s">
        <v>479</v>
      </c>
      <c r="EV380" s="9" t="s">
        <v>1262</v>
      </c>
      <c r="EW380" s="9" t="s">
        <v>7645</v>
      </c>
      <c r="EX380" s="9" t="s">
        <v>7646</v>
      </c>
      <c r="EY380" s="9" t="s">
        <v>7647</v>
      </c>
      <c r="EZ380" s="9" t="s">
        <v>414</v>
      </c>
      <c r="FA380" s="9" t="s">
        <v>583</v>
      </c>
      <c r="FB380" s="9" t="s">
        <v>416</v>
      </c>
      <c r="FC380" s="9" t="s">
        <v>583</v>
      </c>
      <c r="FD380" s="9" t="s">
        <v>415</v>
      </c>
      <c r="FE380" s="9" t="s">
        <v>583</v>
      </c>
      <c r="FF380" s="9" t="s">
        <v>583</v>
      </c>
      <c r="FG380" s="9" t="s">
        <v>416</v>
      </c>
      <c r="FH380" s="9" t="s">
        <v>583</v>
      </c>
      <c r="FI380" s="9" t="s">
        <v>414</v>
      </c>
      <c r="FJ380" s="9" t="s">
        <v>414</v>
      </c>
      <c r="FK380" s="9" t="s">
        <v>415</v>
      </c>
      <c r="FL380" s="9" t="s">
        <v>415</v>
      </c>
      <c r="FM380" s="9" t="s">
        <v>413</v>
      </c>
      <c r="FN380" s="9" t="s">
        <v>414</v>
      </c>
      <c r="FO380" s="9" t="s">
        <v>417</v>
      </c>
      <c r="FP380" s="9" t="s">
        <v>418</v>
      </c>
      <c r="FQ380" s="9" t="s">
        <v>630</v>
      </c>
      <c r="FR380" s="9" t="s">
        <v>7648</v>
      </c>
      <c r="FS380" s="9" t="s">
        <v>420</v>
      </c>
      <c r="FT380" s="9" t="s">
        <v>488</v>
      </c>
      <c r="FU380" s="9" t="s">
        <v>533</v>
      </c>
      <c r="FV380" s="9" t="s">
        <v>1101</v>
      </c>
      <c r="FW380" s="9" t="s">
        <v>491</v>
      </c>
      <c r="FX380" s="9" t="s">
        <v>7649</v>
      </c>
      <c r="FY380" s="9" t="s">
        <v>535</v>
      </c>
      <c r="GA380" s="9" t="s">
        <v>7650</v>
      </c>
      <c r="GB380" s="9" t="s">
        <v>455</v>
      </c>
      <c r="GC380" s="9" t="s">
        <v>7651</v>
      </c>
      <c r="GD380" s="9" t="s">
        <v>7652</v>
      </c>
      <c r="GE380" s="9" t="s">
        <v>1339</v>
      </c>
      <c r="GF380" s="9" t="s">
        <v>7653</v>
      </c>
      <c r="GG380" s="9" t="s">
        <v>857</v>
      </c>
      <c r="GH380" s="9" t="s">
        <v>788</v>
      </c>
      <c r="GI380" s="9" t="s">
        <v>858</v>
      </c>
      <c r="GQ380" s="9" t="s">
        <v>3273</v>
      </c>
      <c r="GT380" s="9" t="s">
        <v>4774</v>
      </c>
      <c r="GV380" s="9" t="s">
        <v>5231</v>
      </c>
      <c r="GW380" s="9" t="s">
        <v>5232</v>
      </c>
      <c r="HC380" s="9" t="s">
        <v>5297</v>
      </c>
      <c r="HD380" s="9" t="s">
        <v>5349</v>
      </c>
      <c r="HE380" s="9" t="s">
        <v>5320</v>
      </c>
      <c r="HF380" s="9" t="s">
        <v>5899</v>
      </c>
      <c r="HO380" s="9" t="s">
        <v>5346</v>
      </c>
      <c r="HP380" s="9" t="s">
        <v>5264</v>
      </c>
      <c r="HQ380" s="9" t="s">
        <v>5238</v>
      </c>
      <c r="HR380" s="9" t="s">
        <v>913</v>
      </c>
      <c r="HW380" s="9" t="s">
        <v>5628</v>
      </c>
      <c r="MJ380" s="9" t="s">
        <v>6321</v>
      </c>
    </row>
    <row r="381" ht="22.5" customHeight="1">
      <c r="A381" s="8">
        <v>45970.06699965278</v>
      </c>
      <c r="B381" s="9" t="s">
        <v>368</v>
      </c>
      <c r="C381" s="9" t="s">
        <v>1341</v>
      </c>
      <c r="D381" s="9" t="s">
        <v>1341</v>
      </c>
      <c r="G381" s="9" t="s">
        <v>422</v>
      </c>
      <c r="H381" s="9" t="s">
        <v>373</v>
      </c>
      <c r="I381" s="9" t="s">
        <v>638</v>
      </c>
      <c r="J381" s="9" t="s">
        <v>718</v>
      </c>
      <c r="K381" s="9" t="s">
        <v>376</v>
      </c>
      <c r="L381" s="9" t="s">
        <v>591</v>
      </c>
      <c r="M381" s="9" t="s">
        <v>378</v>
      </c>
      <c r="N381" s="9" t="s">
        <v>793</v>
      </c>
      <c r="O381" s="9" t="s">
        <v>671</v>
      </c>
      <c r="Q381" s="9" t="s">
        <v>862</v>
      </c>
      <c r="R381" s="9" t="s">
        <v>427</v>
      </c>
      <c r="S381" s="9" t="s">
        <v>384</v>
      </c>
      <c r="T381" s="9" t="s">
        <v>385</v>
      </c>
      <c r="W381" s="9" t="s">
        <v>3014</v>
      </c>
      <c r="AV381" s="9" t="s">
        <v>1310</v>
      </c>
      <c r="AW381" s="9">
        <v>4.0</v>
      </c>
      <c r="AX381" s="9">
        <v>4.0</v>
      </c>
      <c r="AY381" s="9" t="s">
        <v>391</v>
      </c>
      <c r="AZ381" s="9">
        <v>2.0</v>
      </c>
      <c r="BA381" s="9">
        <v>2.0</v>
      </c>
      <c r="BB381" s="9">
        <v>4.0</v>
      </c>
      <c r="BC381" s="9" t="s">
        <v>7654</v>
      </c>
      <c r="BD381" s="9" t="s">
        <v>7655</v>
      </c>
      <c r="BE381" s="9" t="s">
        <v>902</v>
      </c>
      <c r="BG381" s="9" t="s">
        <v>765</v>
      </c>
      <c r="BH381" s="9" t="s">
        <v>7656</v>
      </c>
      <c r="BI381" s="9" t="s">
        <v>976</v>
      </c>
      <c r="BK381" s="9" t="s">
        <v>681</v>
      </c>
      <c r="BL381" s="9" t="s">
        <v>603</v>
      </c>
      <c r="BM381" s="9" t="s">
        <v>1247</v>
      </c>
      <c r="BN381" s="9" t="s">
        <v>513</v>
      </c>
      <c r="CL381" s="9" t="s">
        <v>682</v>
      </c>
      <c r="CM381" s="9" t="s">
        <v>401</v>
      </c>
      <c r="CN381" s="9" t="s">
        <v>7657</v>
      </c>
      <c r="CO381" s="9" t="s">
        <v>7658</v>
      </c>
      <c r="CT381" s="9" t="s">
        <v>7659</v>
      </c>
      <c r="CU381" s="9" t="s">
        <v>1852</v>
      </c>
      <c r="CV381" s="9" t="s">
        <v>959</v>
      </c>
      <c r="CX381" s="9" t="s">
        <v>408</v>
      </c>
      <c r="CZ381" s="9" t="s">
        <v>1962</v>
      </c>
      <c r="DB381" s="9" t="s">
        <v>408</v>
      </c>
      <c r="DG381" s="9" t="s">
        <v>990</v>
      </c>
      <c r="DH381" s="9" t="s">
        <v>410</v>
      </c>
      <c r="DI381" s="9" t="s">
        <v>963</v>
      </c>
      <c r="DJ381" s="9" t="s">
        <v>460</v>
      </c>
      <c r="DK381" s="9" t="s">
        <v>6603</v>
      </c>
      <c r="ET381" s="9" t="s">
        <v>478</v>
      </c>
      <c r="EU381" s="9" t="s">
        <v>579</v>
      </c>
      <c r="EV381" s="9" t="s">
        <v>480</v>
      </c>
      <c r="EX381" s="9" t="s">
        <v>7660</v>
      </c>
      <c r="EY381" s="9" t="s">
        <v>7661</v>
      </c>
      <c r="EZ381" s="9" t="s">
        <v>583</v>
      </c>
      <c r="FA381" s="9" t="s">
        <v>583</v>
      </c>
      <c r="FB381" s="9" t="s">
        <v>413</v>
      </c>
      <c r="FC381" s="9" t="s">
        <v>414</v>
      </c>
      <c r="FD381" s="9" t="s">
        <v>413</v>
      </c>
      <c r="FE381" s="9" t="s">
        <v>414</v>
      </c>
      <c r="FF381" s="9" t="s">
        <v>583</v>
      </c>
      <c r="FG381" s="9" t="s">
        <v>583</v>
      </c>
      <c r="FH381" s="9" t="s">
        <v>416</v>
      </c>
      <c r="FI381" s="9" t="s">
        <v>413</v>
      </c>
      <c r="FJ381" s="9" t="s">
        <v>414</v>
      </c>
      <c r="FK381" s="9" t="s">
        <v>583</v>
      </c>
      <c r="FL381" s="9" t="s">
        <v>583</v>
      </c>
      <c r="FM381" s="9" t="s">
        <v>414</v>
      </c>
      <c r="FN381" s="9" t="s">
        <v>413</v>
      </c>
      <c r="FO381" s="9" t="s">
        <v>1074</v>
      </c>
      <c r="FP381" s="9" t="s">
        <v>486</v>
      </c>
      <c r="FQ381" s="9" t="s">
        <v>749</v>
      </c>
      <c r="FS381" s="9" t="s">
        <v>1076</v>
      </c>
      <c r="FT381" s="9" t="s">
        <v>2398</v>
      </c>
      <c r="FU381" s="9" t="s">
        <v>1235</v>
      </c>
      <c r="FV381" s="9" t="s">
        <v>2399</v>
      </c>
      <c r="FW381" s="9" t="s">
        <v>1853</v>
      </c>
      <c r="FY381" s="9" t="s">
        <v>1854</v>
      </c>
      <c r="GB381" s="9" t="s">
        <v>455</v>
      </c>
      <c r="GC381" s="9"/>
      <c r="GE381" s="9" t="s">
        <v>1339</v>
      </c>
      <c r="GF381" s="9" t="s">
        <v>7662</v>
      </c>
      <c r="GG381" s="9" t="s">
        <v>1000</v>
      </c>
      <c r="GH381" s="9" t="s">
        <v>755</v>
      </c>
      <c r="GI381" s="9" t="s">
        <v>946</v>
      </c>
      <c r="GN381" s="9" t="s">
        <v>7663</v>
      </c>
      <c r="GO381" s="9" t="s">
        <v>7663</v>
      </c>
      <c r="GQ381" s="9" t="s">
        <v>3208</v>
      </c>
      <c r="GT381" s="9" t="s">
        <v>4774</v>
      </c>
      <c r="GV381" s="9" t="s">
        <v>5231</v>
      </c>
      <c r="GW381" s="9" t="s">
        <v>5232</v>
      </c>
      <c r="HO381" s="9" t="s">
        <v>5285</v>
      </c>
      <c r="HP381" s="9" t="s">
        <v>5302</v>
      </c>
      <c r="HQ381" s="9" t="s">
        <v>5286</v>
      </c>
      <c r="HR381" s="9" t="s">
        <v>5239</v>
      </c>
      <c r="HS381" s="9" t="s">
        <v>5987</v>
      </c>
      <c r="HU381" s="9" t="s">
        <v>5988</v>
      </c>
      <c r="HV381" s="9" t="s">
        <v>5918</v>
      </c>
      <c r="HX381" s="9" t="s">
        <v>5920</v>
      </c>
      <c r="HY381" s="9" t="s">
        <v>5921</v>
      </c>
      <c r="HZ381" s="9" t="s">
        <v>5921</v>
      </c>
      <c r="IA381" s="9" t="s">
        <v>6464</v>
      </c>
      <c r="IB381" s="9" t="s">
        <v>5921</v>
      </c>
      <c r="IC381" s="9" t="s">
        <v>5922</v>
      </c>
      <c r="ID381" s="9" t="s">
        <v>5536</v>
      </c>
      <c r="IE381" s="9" t="s">
        <v>5500</v>
      </c>
      <c r="IF381" s="9" t="s">
        <v>5537</v>
      </c>
      <c r="IG381" s="9" t="s">
        <v>5537</v>
      </c>
      <c r="IH381" s="9" t="s">
        <v>5989</v>
      </c>
      <c r="II381" s="9" t="s">
        <v>5500</v>
      </c>
      <c r="IJ381" s="9" t="s">
        <v>7664</v>
      </c>
      <c r="IK381" s="9" t="s">
        <v>5924</v>
      </c>
      <c r="IL381" s="9" t="s">
        <v>7665</v>
      </c>
      <c r="IM381" s="9" t="s">
        <v>7666</v>
      </c>
      <c r="MJ381" s="9" t="s">
        <v>6321</v>
      </c>
    </row>
    <row r="382" ht="22.5" customHeight="1">
      <c r="A382" s="8">
        <v>45970.38046627315</v>
      </c>
      <c r="B382" s="9" t="s">
        <v>368</v>
      </c>
      <c r="C382" s="9" t="s">
        <v>370</v>
      </c>
      <c r="D382" s="9" t="s">
        <v>370</v>
      </c>
      <c r="E382" s="9" t="s">
        <v>922</v>
      </c>
      <c r="F382" s="9" t="s">
        <v>922</v>
      </c>
      <c r="G382" s="9" t="s">
        <v>422</v>
      </c>
      <c r="H382" s="9" t="s">
        <v>637</v>
      </c>
      <c r="I382" s="9" t="s">
        <v>638</v>
      </c>
      <c r="J382" s="9" t="s">
        <v>1204</v>
      </c>
      <c r="K382" s="9" t="s">
        <v>2560</v>
      </c>
      <c r="L382" s="9" t="s">
        <v>379</v>
      </c>
      <c r="M382" s="9" t="s">
        <v>1442</v>
      </c>
      <c r="N382" s="9" t="s">
        <v>377</v>
      </c>
      <c r="O382" s="9" t="s">
        <v>1024</v>
      </c>
      <c r="P382" s="9" t="s">
        <v>381</v>
      </c>
      <c r="Q382" s="9" t="s">
        <v>818</v>
      </c>
      <c r="R382" s="9" t="s">
        <v>427</v>
      </c>
      <c r="S382" s="9" t="s">
        <v>384</v>
      </c>
      <c r="T382" s="9" t="s">
        <v>385</v>
      </c>
      <c r="W382" s="9" t="s">
        <v>386</v>
      </c>
      <c r="X382" s="9" t="s">
        <v>387</v>
      </c>
      <c r="Y382" s="9" t="s">
        <v>6822</v>
      </c>
      <c r="Z382" s="9" t="s">
        <v>543</v>
      </c>
      <c r="AV382" s="9" t="s">
        <v>597</v>
      </c>
      <c r="AW382" s="9" t="s">
        <v>391</v>
      </c>
      <c r="AX382" s="9" t="s">
        <v>429</v>
      </c>
      <c r="AY382" s="9" t="s">
        <v>429</v>
      </c>
      <c r="AZ382" s="9" t="s">
        <v>429</v>
      </c>
      <c r="BA382" s="9" t="s">
        <v>429</v>
      </c>
      <c r="BB382" s="9" t="s">
        <v>391</v>
      </c>
      <c r="BC382" s="9" t="s">
        <v>7667</v>
      </c>
      <c r="BD382" s="9" t="s">
        <v>7668</v>
      </c>
      <c r="BE382" s="9" t="s">
        <v>392</v>
      </c>
      <c r="BF382" s="9" t="s">
        <v>433</v>
      </c>
      <c r="BG382" s="9" t="s">
        <v>678</v>
      </c>
      <c r="BH382" s="9" t="s">
        <v>7669</v>
      </c>
      <c r="BI382" s="9" t="s">
        <v>727</v>
      </c>
      <c r="BK382" s="9" t="s">
        <v>437</v>
      </c>
      <c r="BL382" s="9" t="s">
        <v>396</v>
      </c>
      <c r="BM382" s="9" t="s">
        <v>549</v>
      </c>
      <c r="BN382" s="9" t="s">
        <v>513</v>
      </c>
      <c r="CL382" s="9" t="s">
        <v>441</v>
      </c>
      <c r="CM382" s="9" t="s">
        <v>442</v>
      </c>
      <c r="CN382" s="9" t="s">
        <v>552</v>
      </c>
      <c r="CO382" s="9" t="s">
        <v>7670</v>
      </c>
      <c r="CP382" s="9" t="s">
        <v>403</v>
      </c>
      <c r="CQ382" s="9" t="s">
        <v>7671</v>
      </c>
      <c r="CR382" s="9" t="s">
        <v>447</v>
      </c>
      <c r="CS382" s="9" t="s">
        <v>448</v>
      </c>
      <c r="CT382" s="9" t="s">
        <v>7672</v>
      </c>
      <c r="CU382" s="9" t="s">
        <v>450</v>
      </c>
      <c r="CV382" s="9" t="s">
        <v>451</v>
      </c>
      <c r="CW382" s="9" t="s">
        <v>7673</v>
      </c>
      <c r="CX382" s="9" t="s">
        <v>408</v>
      </c>
      <c r="CZ382" s="9" t="s">
        <v>453</v>
      </c>
      <c r="DA382" s="9" t="s">
        <v>7674</v>
      </c>
      <c r="DB382" s="9" t="s">
        <v>913</v>
      </c>
      <c r="DD382" s="9" t="s">
        <v>457</v>
      </c>
      <c r="DF382" s="9" t="s">
        <v>7675</v>
      </c>
      <c r="DG382" s="9" t="s">
        <v>524</v>
      </c>
      <c r="DH382" s="9" t="s">
        <v>410</v>
      </c>
      <c r="DI382" s="9" t="s">
        <v>777</v>
      </c>
      <c r="DJ382" s="9" t="s">
        <v>562</v>
      </c>
      <c r="DK382" s="9" t="s">
        <v>6335</v>
      </c>
      <c r="ET382" s="9" t="s">
        <v>526</v>
      </c>
      <c r="EU382" s="9" t="s">
        <v>479</v>
      </c>
      <c r="EV382" s="9" t="s">
        <v>480</v>
      </c>
      <c r="FO382" s="9" t="s">
        <v>417</v>
      </c>
      <c r="FP382" s="9" t="s">
        <v>486</v>
      </c>
      <c r="FQ382" s="9" t="s">
        <v>419</v>
      </c>
      <c r="FR382" s="9" t="s">
        <v>7676</v>
      </c>
      <c r="FS382" s="9" t="s">
        <v>420</v>
      </c>
      <c r="FT382" s="9" t="s">
        <v>488</v>
      </c>
      <c r="FU382" s="9" t="s">
        <v>533</v>
      </c>
      <c r="FV382" s="9" t="s">
        <v>490</v>
      </c>
      <c r="FW382" s="9" t="s">
        <v>491</v>
      </c>
      <c r="FX382" s="9" t="s">
        <v>7677</v>
      </c>
      <c r="FY382" s="9" t="s">
        <v>535</v>
      </c>
      <c r="GB382" s="9" t="s">
        <v>455</v>
      </c>
      <c r="GC382" s="9"/>
      <c r="GE382" s="9" t="s">
        <v>753</v>
      </c>
      <c r="GF382" s="9" t="s">
        <v>7678</v>
      </c>
      <c r="GG382" s="9" t="s">
        <v>857</v>
      </c>
      <c r="GH382" s="9" t="s">
        <v>857</v>
      </c>
      <c r="GI382" s="9" t="s">
        <v>790</v>
      </c>
      <c r="GQ382" s="9" t="s">
        <v>3208</v>
      </c>
      <c r="GT382" s="9" t="s">
        <v>4774</v>
      </c>
      <c r="GV382" s="9" t="s">
        <v>5231</v>
      </c>
      <c r="GW382" s="9" t="s">
        <v>5818</v>
      </c>
      <c r="HC382" s="9" t="s">
        <v>5297</v>
      </c>
      <c r="HD382" s="9" t="s">
        <v>5349</v>
      </c>
      <c r="HE382" s="9" t="s">
        <v>5320</v>
      </c>
      <c r="HF382" s="9" t="s">
        <v>5284</v>
      </c>
      <c r="HO382" s="9" t="s">
        <v>5346</v>
      </c>
      <c r="HP382" s="9" t="s">
        <v>5264</v>
      </c>
      <c r="HQ382" s="9" t="s">
        <v>5238</v>
      </c>
      <c r="HR382" s="9" t="s">
        <v>5321</v>
      </c>
      <c r="MJ382" s="9" t="s">
        <v>6321</v>
      </c>
    </row>
    <row r="383" ht="22.5" customHeight="1">
      <c r="A383" s="8">
        <v>45970.48485820602</v>
      </c>
      <c r="B383" s="9" t="s">
        <v>368</v>
      </c>
      <c r="C383" s="9" t="s">
        <v>370</v>
      </c>
      <c r="D383" s="9" t="s">
        <v>370</v>
      </c>
      <c r="E383" s="9" t="s">
        <v>2400</v>
      </c>
      <c r="F383" s="9" t="s">
        <v>2400</v>
      </c>
      <c r="G383" s="9" t="s">
        <v>422</v>
      </c>
      <c r="H383" s="9" t="s">
        <v>373</v>
      </c>
      <c r="I383" s="9" t="s">
        <v>638</v>
      </c>
      <c r="J383" s="9" t="s">
        <v>375</v>
      </c>
      <c r="K383" s="9" t="s">
        <v>376</v>
      </c>
      <c r="L383" s="9" t="s">
        <v>591</v>
      </c>
      <c r="M383" s="9" t="s">
        <v>3109</v>
      </c>
      <c r="N383" s="9" t="s">
        <v>793</v>
      </c>
      <c r="O383" s="9" t="s">
        <v>3453</v>
      </c>
      <c r="P383" s="9" t="s">
        <v>498</v>
      </c>
      <c r="Q383" s="9" t="s">
        <v>499</v>
      </c>
      <c r="R383" s="9" t="s">
        <v>427</v>
      </c>
      <c r="S383" s="9" t="s">
        <v>384</v>
      </c>
      <c r="T383" s="9" t="s">
        <v>385</v>
      </c>
      <c r="W383" s="9" t="s">
        <v>593</v>
      </c>
      <c r="X383" s="9" t="s">
        <v>387</v>
      </c>
      <c r="Y383" s="9" t="s">
        <v>594</v>
      </c>
      <c r="Z383" s="9" t="s">
        <v>543</v>
      </c>
      <c r="AA383" s="9" t="s">
        <v>7679</v>
      </c>
      <c r="AV383" s="9" t="s">
        <v>1242</v>
      </c>
      <c r="AW383" s="9" t="s">
        <v>675</v>
      </c>
      <c r="AX383" s="9">
        <v>4.0</v>
      </c>
      <c r="AY383" s="9" t="s">
        <v>675</v>
      </c>
      <c r="AZ383" s="9" t="s">
        <v>675</v>
      </c>
      <c r="BA383" s="9" t="s">
        <v>675</v>
      </c>
      <c r="BB383" s="9" t="s">
        <v>675</v>
      </c>
      <c r="BE383" s="9" t="s">
        <v>1094</v>
      </c>
      <c r="BF383" s="9" t="s">
        <v>1095</v>
      </c>
      <c r="BG383" s="9" t="s">
        <v>394</v>
      </c>
      <c r="BI383" s="9" t="s">
        <v>824</v>
      </c>
      <c r="BK383" s="9" t="s">
        <v>602</v>
      </c>
      <c r="BL383" s="9" t="s">
        <v>396</v>
      </c>
      <c r="BM383" s="9" t="s">
        <v>1314</v>
      </c>
      <c r="BN383" s="9" t="s">
        <v>398</v>
      </c>
      <c r="BO383" s="9" t="s">
        <v>7680</v>
      </c>
      <c r="BP383" s="9" t="s">
        <v>7681</v>
      </c>
      <c r="BQ383" s="9" t="s">
        <v>604</v>
      </c>
      <c r="BR383" s="9" t="s">
        <v>6313</v>
      </c>
      <c r="BS383" s="9" t="s">
        <v>403</v>
      </c>
      <c r="BT383" s="9" t="s">
        <v>404</v>
      </c>
      <c r="BU383" s="9" t="s">
        <v>405</v>
      </c>
      <c r="BW383" s="9" t="s">
        <v>406</v>
      </c>
      <c r="BX383" s="9" t="s">
        <v>2503</v>
      </c>
      <c r="BY383" s="9" t="s">
        <v>408</v>
      </c>
      <c r="CB383" s="9" t="s">
        <v>7682</v>
      </c>
      <c r="CC383" s="9" t="s">
        <v>7683</v>
      </c>
      <c r="CD383" s="9" t="s">
        <v>409</v>
      </c>
      <c r="CE383" s="9" t="s">
        <v>7684</v>
      </c>
      <c r="CF383" s="9" t="s">
        <v>1258</v>
      </c>
      <c r="CH383" s="9" t="s">
        <v>1751</v>
      </c>
      <c r="CI383" s="9" t="s">
        <v>833</v>
      </c>
      <c r="CJ383" s="9" t="s">
        <v>7685</v>
      </c>
      <c r="CK383" s="9" t="s">
        <v>7686</v>
      </c>
      <c r="DI383" s="9" t="s">
        <v>963</v>
      </c>
      <c r="DJ383" s="9" t="s">
        <v>460</v>
      </c>
      <c r="DK383" s="9" t="s">
        <v>6319</v>
      </c>
      <c r="ET383" s="9" t="s">
        <v>526</v>
      </c>
      <c r="EU383" s="9" t="s">
        <v>1037</v>
      </c>
      <c r="EV383" s="9" t="s">
        <v>527</v>
      </c>
      <c r="EW383" s="9" t="s">
        <v>7687</v>
      </c>
      <c r="EZ383" s="9" t="s">
        <v>413</v>
      </c>
      <c r="FA383" s="9" t="s">
        <v>415</v>
      </c>
      <c r="FB383" s="9" t="s">
        <v>413</v>
      </c>
      <c r="FC383" s="9" t="s">
        <v>413</v>
      </c>
      <c r="FD383" s="9" t="s">
        <v>413</v>
      </c>
      <c r="FE383" s="9" t="s">
        <v>414</v>
      </c>
      <c r="FF383" s="9" t="s">
        <v>413</v>
      </c>
      <c r="FG383" s="9" t="s">
        <v>413</v>
      </c>
      <c r="FH383" s="9" t="s">
        <v>413</v>
      </c>
      <c r="FI383" s="9" t="s">
        <v>415</v>
      </c>
      <c r="FJ383" s="9" t="s">
        <v>415</v>
      </c>
      <c r="FK383" s="9" t="s">
        <v>413</v>
      </c>
      <c r="FL383" s="9" t="s">
        <v>413</v>
      </c>
      <c r="FM383" s="9" t="s">
        <v>415</v>
      </c>
      <c r="FN383" s="9" t="s">
        <v>415</v>
      </c>
      <c r="FO383" s="9" t="s">
        <v>485</v>
      </c>
      <c r="FP383" s="9" t="s">
        <v>418</v>
      </c>
      <c r="FQ383" s="9" t="s">
        <v>749</v>
      </c>
      <c r="FS383" s="9" t="s">
        <v>420</v>
      </c>
      <c r="FT383" s="9" t="s">
        <v>488</v>
      </c>
      <c r="FU383" s="9" t="s">
        <v>489</v>
      </c>
      <c r="FV383" s="9" t="s">
        <v>490</v>
      </c>
      <c r="FW383" s="9" t="s">
        <v>491</v>
      </c>
      <c r="FY383" s="9" t="s">
        <v>493</v>
      </c>
      <c r="GB383" s="9" t="s">
        <v>408</v>
      </c>
      <c r="GJ383" s="9" t="s">
        <v>857</v>
      </c>
      <c r="GK383" s="9" t="s">
        <v>857</v>
      </c>
      <c r="GL383" s="9" t="s">
        <v>790</v>
      </c>
      <c r="GQ383" s="9" t="s">
        <v>5656</v>
      </c>
      <c r="GR383" s="9" t="s">
        <v>4774</v>
      </c>
      <c r="GV383" s="9" t="s">
        <v>5231</v>
      </c>
      <c r="GW383" s="9" t="s">
        <v>484</v>
      </c>
      <c r="GX383" s="9" t="s">
        <v>484</v>
      </c>
      <c r="GY383" s="9" t="s">
        <v>5233</v>
      </c>
      <c r="GZ383" s="9" t="s">
        <v>5234</v>
      </c>
      <c r="HA383" s="9" t="s">
        <v>484</v>
      </c>
      <c r="HB383" s="9" t="s">
        <v>6031</v>
      </c>
      <c r="HO383" s="9" t="s">
        <v>5285</v>
      </c>
      <c r="HP383" s="9" t="s">
        <v>5302</v>
      </c>
      <c r="HQ383" s="9" t="s">
        <v>5238</v>
      </c>
      <c r="HR383" s="9" t="s">
        <v>5321</v>
      </c>
      <c r="MJ383" s="9" t="s">
        <v>6321</v>
      </c>
    </row>
    <row r="384" ht="22.5" customHeight="1">
      <c r="A384" s="8">
        <v>45970.66629606481</v>
      </c>
      <c r="B384" s="9" t="s">
        <v>368</v>
      </c>
      <c r="C384" s="9" t="s">
        <v>370</v>
      </c>
      <c r="D384" s="9" t="s">
        <v>370</v>
      </c>
      <c r="E384" s="9" t="s">
        <v>922</v>
      </c>
      <c r="F384" s="9" t="s">
        <v>2114</v>
      </c>
      <c r="G384" s="9" t="s">
        <v>422</v>
      </c>
      <c r="H384" s="9" t="s">
        <v>496</v>
      </c>
      <c r="I384" s="9" t="s">
        <v>374</v>
      </c>
      <c r="J384" s="9" t="s">
        <v>758</v>
      </c>
      <c r="K384" s="9" t="s">
        <v>376</v>
      </c>
      <c r="L384" s="9" t="s">
        <v>793</v>
      </c>
      <c r="M384" s="9" t="s">
        <v>720</v>
      </c>
      <c r="N384" s="9" t="s">
        <v>793</v>
      </c>
      <c r="O384" s="9" t="s">
        <v>720</v>
      </c>
      <c r="P384" s="9" t="s">
        <v>498</v>
      </c>
      <c r="Q384" s="9" t="s">
        <v>382</v>
      </c>
      <c r="R384" s="9" t="s">
        <v>500</v>
      </c>
      <c r="S384" s="9" t="s">
        <v>384</v>
      </c>
      <c r="T384" s="9" t="s">
        <v>385</v>
      </c>
      <c r="W384" s="9" t="s">
        <v>3231</v>
      </c>
      <c r="AV384" s="9" t="s">
        <v>390</v>
      </c>
      <c r="AW384" s="9">
        <v>2.0</v>
      </c>
      <c r="AX384" s="9">
        <v>2.0</v>
      </c>
      <c r="AY384" s="9" t="s">
        <v>391</v>
      </c>
      <c r="AZ384" s="9">
        <v>2.0</v>
      </c>
      <c r="BA384" s="9" t="s">
        <v>391</v>
      </c>
      <c r="BB384" s="9" t="s">
        <v>391</v>
      </c>
      <c r="BE384" s="9" t="s">
        <v>432</v>
      </c>
      <c r="BF384" s="9" t="s">
        <v>433</v>
      </c>
      <c r="BG384" s="9" t="s">
        <v>678</v>
      </c>
      <c r="BI384" s="9" t="s">
        <v>435</v>
      </c>
      <c r="BK384" s="9" t="s">
        <v>437</v>
      </c>
      <c r="BL384" s="9" t="s">
        <v>603</v>
      </c>
      <c r="BM384" s="9" t="s">
        <v>549</v>
      </c>
      <c r="BN384" s="9" t="s">
        <v>513</v>
      </c>
      <c r="CL384" s="9" t="s">
        <v>441</v>
      </c>
      <c r="CM384" s="9" t="s">
        <v>682</v>
      </c>
      <c r="CN384" s="9" t="s">
        <v>7688</v>
      </c>
      <c r="CO384" s="9" t="s">
        <v>7689</v>
      </c>
      <c r="CP384" s="9" t="s">
        <v>445</v>
      </c>
      <c r="CQ384" s="9" t="s">
        <v>2064</v>
      </c>
      <c r="CR384" s="9" t="s">
        <v>447</v>
      </c>
      <c r="CS384" s="9" t="s">
        <v>1509</v>
      </c>
      <c r="CU384" s="9" t="s">
        <v>1863</v>
      </c>
      <c r="CV384" s="9" t="s">
        <v>451</v>
      </c>
      <c r="CX384" s="9" t="s">
        <v>408</v>
      </c>
      <c r="CZ384" s="9" t="s">
        <v>453</v>
      </c>
      <c r="DB384" s="9" t="s">
        <v>913</v>
      </c>
      <c r="DD384" s="9" t="s">
        <v>988</v>
      </c>
      <c r="DG384" s="9" t="s">
        <v>561</v>
      </c>
      <c r="DH384" s="9" t="s">
        <v>410</v>
      </c>
      <c r="DI384" s="9" t="s">
        <v>459</v>
      </c>
      <c r="DJ384" s="9" t="s">
        <v>460</v>
      </c>
      <c r="DK384" s="9" t="s">
        <v>6335</v>
      </c>
      <c r="ET384" s="9" t="s">
        <v>478</v>
      </c>
      <c r="EU384" s="9" t="s">
        <v>479</v>
      </c>
      <c r="EV384" s="9" t="s">
        <v>480</v>
      </c>
      <c r="EZ384" s="9" t="s">
        <v>416</v>
      </c>
      <c r="FA384" s="9" t="s">
        <v>414</v>
      </c>
      <c r="FB384" s="9" t="s">
        <v>413</v>
      </c>
      <c r="FC384" s="9" t="s">
        <v>414</v>
      </c>
      <c r="FD384" s="9" t="s">
        <v>413</v>
      </c>
      <c r="FE384" s="9" t="s">
        <v>414</v>
      </c>
      <c r="FF384" s="9" t="s">
        <v>484</v>
      </c>
      <c r="FG384" s="9" t="s">
        <v>414</v>
      </c>
      <c r="FH384" s="9" t="s">
        <v>583</v>
      </c>
      <c r="FI384" s="9" t="s">
        <v>414</v>
      </c>
      <c r="FJ384" s="9" t="s">
        <v>484</v>
      </c>
      <c r="FK384" s="9" t="s">
        <v>484</v>
      </c>
      <c r="FL384" s="9" t="s">
        <v>484</v>
      </c>
      <c r="FM384" s="9" t="s">
        <v>416</v>
      </c>
      <c r="FN384" s="9" t="s">
        <v>583</v>
      </c>
      <c r="FO384" s="9" t="s">
        <v>417</v>
      </c>
      <c r="FP384" s="9" t="s">
        <v>418</v>
      </c>
      <c r="FQ384" s="9" t="s">
        <v>712</v>
      </c>
      <c r="FS384" s="9" t="s">
        <v>995</v>
      </c>
      <c r="FT384" s="9" t="s">
        <v>488</v>
      </c>
      <c r="FU384" s="9" t="s">
        <v>489</v>
      </c>
      <c r="FV384" s="9" t="s">
        <v>490</v>
      </c>
      <c r="FW384" s="9" t="s">
        <v>491</v>
      </c>
      <c r="FY384" s="9" t="s">
        <v>535</v>
      </c>
      <c r="GB384" s="9" t="s">
        <v>408</v>
      </c>
      <c r="GG384" s="9" t="s">
        <v>788</v>
      </c>
      <c r="GH384" s="9" t="s">
        <v>788</v>
      </c>
      <c r="GI384" s="9" t="s">
        <v>858</v>
      </c>
      <c r="GP384" s="9" t="s">
        <v>7690</v>
      </c>
      <c r="GQ384" s="9" t="s">
        <v>5656</v>
      </c>
      <c r="GT384" s="9" t="s">
        <v>4774</v>
      </c>
      <c r="GV384" s="9" t="s">
        <v>5231</v>
      </c>
      <c r="GW384" s="9" t="s">
        <v>484</v>
      </c>
      <c r="HC384" s="9" t="s">
        <v>5297</v>
      </c>
      <c r="HD384" s="9" t="s">
        <v>5282</v>
      </c>
      <c r="HE384" s="9" t="s">
        <v>5299</v>
      </c>
      <c r="HF384" s="9" t="s">
        <v>5284</v>
      </c>
      <c r="HO384" s="9" t="s">
        <v>5301</v>
      </c>
      <c r="HP384" s="9" t="s">
        <v>5302</v>
      </c>
      <c r="HQ384" s="9" t="s">
        <v>5238</v>
      </c>
      <c r="HR384" s="9" t="s">
        <v>5239</v>
      </c>
      <c r="HW384" s="9" t="s">
        <v>5541</v>
      </c>
      <c r="MJ384" s="9" t="s">
        <v>6321</v>
      </c>
    </row>
    <row r="385" ht="22.5" customHeight="1">
      <c r="A385" s="8">
        <v>45971.329971886575</v>
      </c>
      <c r="B385" s="9" t="s">
        <v>368</v>
      </c>
      <c r="C385" s="9" t="s">
        <v>370</v>
      </c>
      <c r="D385" s="9" t="s">
        <v>370</v>
      </c>
      <c r="E385" s="9" t="s">
        <v>589</v>
      </c>
      <c r="F385" s="9" t="s">
        <v>589</v>
      </c>
      <c r="G385" s="9" t="s">
        <v>422</v>
      </c>
      <c r="H385" s="9" t="s">
        <v>373</v>
      </c>
      <c r="I385" s="9" t="s">
        <v>374</v>
      </c>
      <c r="J385" s="9" t="s">
        <v>425</v>
      </c>
      <c r="K385" s="9" t="s">
        <v>376</v>
      </c>
      <c r="L385" s="9" t="s">
        <v>426</v>
      </c>
      <c r="M385" s="9" t="s">
        <v>719</v>
      </c>
      <c r="N385" s="9" t="s">
        <v>426</v>
      </c>
      <c r="O385" s="9" t="s">
        <v>497</v>
      </c>
      <c r="P385" s="9" t="s">
        <v>498</v>
      </c>
      <c r="Q385" s="9" t="s">
        <v>1342</v>
      </c>
      <c r="R385" s="9" t="s">
        <v>427</v>
      </c>
      <c r="S385" s="9" t="s">
        <v>1785</v>
      </c>
      <c r="T385" s="9" t="s">
        <v>1786</v>
      </c>
      <c r="ED385" s="9" t="s">
        <v>6205</v>
      </c>
      <c r="EE385" s="9" t="s">
        <v>7691</v>
      </c>
      <c r="EO385" s="9" t="s">
        <v>7692</v>
      </c>
      <c r="EP385" s="9" t="s">
        <v>7693</v>
      </c>
      <c r="ER385" s="9" t="s">
        <v>7694</v>
      </c>
      <c r="ES385" s="9" t="s">
        <v>7695</v>
      </c>
      <c r="ET385" s="9" t="s">
        <v>526</v>
      </c>
      <c r="EU385" s="9" t="s">
        <v>479</v>
      </c>
      <c r="EV385" s="9" t="s">
        <v>527</v>
      </c>
      <c r="EW385" s="9" t="s">
        <v>7696</v>
      </c>
      <c r="EX385" s="9" t="s">
        <v>7697</v>
      </c>
      <c r="EY385" s="9" t="s">
        <v>7698</v>
      </c>
      <c r="EZ385" s="9" t="s">
        <v>413</v>
      </c>
      <c r="FA385" s="9" t="s">
        <v>413</v>
      </c>
      <c r="FB385" s="9" t="s">
        <v>413</v>
      </c>
      <c r="FC385" s="9" t="s">
        <v>413</v>
      </c>
      <c r="FD385" s="9" t="s">
        <v>413</v>
      </c>
      <c r="FE385" s="9" t="s">
        <v>413</v>
      </c>
      <c r="FF385" s="9" t="s">
        <v>413</v>
      </c>
      <c r="FG385" s="9" t="s">
        <v>484</v>
      </c>
      <c r="FH385" s="9" t="s">
        <v>484</v>
      </c>
      <c r="FI385" s="9" t="s">
        <v>583</v>
      </c>
      <c r="FJ385" s="9" t="s">
        <v>414</v>
      </c>
      <c r="FK385" s="9" t="s">
        <v>413</v>
      </c>
      <c r="FL385" s="9" t="s">
        <v>413</v>
      </c>
      <c r="FM385" s="9" t="s">
        <v>484</v>
      </c>
      <c r="FN385" s="9" t="s">
        <v>416</v>
      </c>
      <c r="FO385" s="9" t="s">
        <v>417</v>
      </c>
      <c r="FP385" s="9" t="s">
        <v>486</v>
      </c>
      <c r="FQ385" s="9" t="s">
        <v>419</v>
      </c>
      <c r="FR385" s="9" t="s">
        <v>7699</v>
      </c>
      <c r="FS385" s="9" t="s">
        <v>1189</v>
      </c>
      <c r="FT385" s="9" t="s">
        <v>1476</v>
      </c>
      <c r="FU385" s="9" t="s">
        <v>533</v>
      </c>
      <c r="FV385" s="9" t="s">
        <v>490</v>
      </c>
      <c r="FW385" s="9" t="s">
        <v>491</v>
      </c>
      <c r="FX385" s="9" t="s">
        <v>7700</v>
      </c>
      <c r="FY385" s="9" t="s">
        <v>535</v>
      </c>
      <c r="FZ385" s="9" t="s">
        <v>7701</v>
      </c>
      <c r="GA385" s="9" t="s">
        <v>7702</v>
      </c>
      <c r="GB385" s="9" t="s">
        <v>408</v>
      </c>
      <c r="GQ385" s="9" t="s">
        <v>4653</v>
      </c>
      <c r="GV385" s="9" t="s">
        <v>5231</v>
      </c>
      <c r="GW385" s="9" t="s">
        <v>5261</v>
      </c>
      <c r="HK385" s="9" t="s">
        <v>7703</v>
      </c>
      <c r="HL385" s="9" t="s">
        <v>6151</v>
      </c>
      <c r="HM385" s="9" t="s">
        <v>5735</v>
      </c>
      <c r="HN385" s="9" t="s">
        <v>5678</v>
      </c>
      <c r="HO385" s="9" t="s">
        <v>5236</v>
      </c>
      <c r="HP385" s="9" t="s">
        <v>5264</v>
      </c>
      <c r="HQ385" s="9" t="s">
        <v>5238</v>
      </c>
      <c r="HR385" s="9" t="s">
        <v>5321</v>
      </c>
      <c r="IV385" s="9" t="s">
        <v>7704</v>
      </c>
      <c r="JG385" s="9" t="s">
        <v>5680</v>
      </c>
      <c r="JM385" s="9" t="s">
        <v>5736</v>
      </c>
      <c r="KD385" s="9" t="s">
        <v>5689</v>
      </c>
      <c r="KQ385" s="9" t="s">
        <v>6220</v>
      </c>
      <c r="KR385" s="9" t="s">
        <v>7705</v>
      </c>
      <c r="KS385" s="9" t="s">
        <v>7706</v>
      </c>
      <c r="KT385" s="9" t="s">
        <v>5740</v>
      </c>
      <c r="KU385" s="9" t="s">
        <v>7707</v>
      </c>
      <c r="LG385" s="9" t="s">
        <v>7708</v>
      </c>
      <c r="LH385" s="9" t="s">
        <v>7709</v>
      </c>
      <c r="LI385" s="9" t="s">
        <v>6155</v>
      </c>
      <c r="LJ385" s="9" t="s">
        <v>7710</v>
      </c>
      <c r="MJ385" s="9" t="s">
        <v>6383</v>
      </c>
    </row>
    <row r="386" ht="22.5" customHeight="1">
      <c r="A386" s="8">
        <v>45971.65164621528</v>
      </c>
      <c r="B386" s="9" t="s">
        <v>368</v>
      </c>
      <c r="C386" s="9" t="s">
        <v>370</v>
      </c>
      <c r="D386" s="9" t="s">
        <v>370</v>
      </c>
      <c r="E386" s="9" t="s">
        <v>757</v>
      </c>
      <c r="F386" s="9" t="s">
        <v>1562</v>
      </c>
      <c r="G386" s="9" t="s">
        <v>422</v>
      </c>
      <c r="H386" s="9" t="s">
        <v>373</v>
      </c>
      <c r="I386" s="9" t="s">
        <v>638</v>
      </c>
      <c r="J386" s="9" t="s">
        <v>425</v>
      </c>
      <c r="K386" s="9" t="s">
        <v>376</v>
      </c>
      <c r="L386" s="9" t="s">
        <v>591</v>
      </c>
      <c r="M386" s="9" t="s">
        <v>7711</v>
      </c>
      <c r="N386" s="9" t="s">
        <v>591</v>
      </c>
      <c r="O386" s="9" t="s">
        <v>7712</v>
      </c>
      <c r="P386" s="9" t="s">
        <v>592</v>
      </c>
      <c r="Q386" s="9" t="s">
        <v>1342</v>
      </c>
      <c r="R386" s="9" t="s">
        <v>427</v>
      </c>
      <c r="S386" s="9" t="s">
        <v>384</v>
      </c>
      <c r="T386" s="9" t="s">
        <v>385</v>
      </c>
      <c r="W386" s="9" t="s">
        <v>593</v>
      </c>
      <c r="X386" s="9" t="s">
        <v>387</v>
      </c>
      <c r="Y386" s="9" t="s">
        <v>594</v>
      </c>
      <c r="Z386" s="9" t="s">
        <v>672</v>
      </c>
      <c r="AA386" s="9" t="s">
        <v>7713</v>
      </c>
      <c r="AB386" s="9" t="s">
        <v>7714</v>
      </c>
      <c r="AV386" s="9" t="s">
        <v>1310</v>
      </c>
      <c r="AW386" s="9" t="s">
        <v>391</v>
      </c>
      <c r="AX386" s="9" t="s">
        <v>391</v>
      </c>
      <c r="AY386" s="9">
        <v>4.0</v>
      </c>
      <c r="AZ386" s="9">
        <v>2.0</v>
      </c>
      <c r="BA386" s="9">
        <v>2.0</v>
      </c>
      <c r="BB386" s="9" t="s">
        <v>391</v>
      </c>
      <c r="BC386" s="9" t="s">
        <v>7715</v>
      </c>
      <c r="BD386" s="9" t="s">
        <v>7716</v>
      </c>
      <c r="BE386" s="9" t="s">
        <v>432</v>
      </c>
      <c r="BF386" s="9" t="s">
        <v>1047</v>
      </c>
      <c r="BG386" s="9" t="s">
        <v>725</v>
      </c>
      <c r="BH386" s="9" t="s">
        <v>5169</v>
      </c>
      <c r="BI386" s="9" t="s">
        <v>976</v>
      </c>
      <c r="BJ386" s="9" t="s">
        <v>1211</v>
      </c>
      <c r="BK386" s="9" t="s">
        <v>437</v>
      </c>
      <c r="BL386" s="9" t="s">
        <v>904</v>
      </c>
      <c r="BM386" s="9" t="s">
        <v>1247</v>
      </c>
      <c r="BN386" s="9" t="s">
        <v>513</v>
      </c>
      <c r="CL386" s="9" t="s">
        <v>441</v>
      </c>
      <c r="CM386" s="9" t="s">
        <v>551</v>
      </c>
      <c r="CN386" s="9" t="s">
        <v>7717</v>
      </c>
      <c r="CO386" s="9" t="s">
        <v>408</v>
      </c>
      <c r="CP386" s="9" t="s">
        <v>445</v>
      </c>
      <c r="CQ386" s="9" t="s">
        <v>1467</v>
      </c>
      <c r="CR386" s="9" t="s">
        <v>828</v>
      </c>
      <c r="CS386" s="9" t="s">
        <v>1626</v>
      </c>
      <c r="CT386" s="9" t="s">
        <v>7718</v>
      </c>
      <c r="CU386" s="9" t="s">
        <v>1863</v>
      </c>
      <c r="CV386" s="9" t="s">
        <v>1931</v>
      </c>
      <c r="CW386" s="9" t="s">
        <v>1211</v>
      </c>
      <c r="CX386" s="9" t="s">
        <v>408</v>
      </c>
      <c r="CY386" s="9" t="s">
        <v>1211</v>
      </c>
      <c r="CZ386" s="9" t="s">
        <v>1962</v>
      </c>
      <c r="DA386" s="9" t="s">
        <v>1211</v>
      </c>
      <c r="DB386" s="9" t="s">
        <v>408</v>
      </c>
      <c r="DC386" s="9" t="s">
        <v>1211</v>
      </c>
      <c r="DD386" s="9" t="s">
        <v>406</v>
      </c>
      <c r="DE386" s="9" t="s">
        <v>1867</v>
      </c>
      <c r="DF386" s="9" t="s">
        <v>7719</v>
      </c>
      <c r="DG386" s="9" t="s">
        <v>990</v>
      </c>
      <c r="DH386" s="9" t="s">
        <v>1220</v>
      </c>
      <c r="DI386" s="9" t="s">
        <v>777</v>
      </c>
      <c r="DJ386" s="9" t="s">
        <v>613</v>
      </c>
      <c r="ET386" s="9" t="s">
        <v>2747</v>
      </c>
      <c r="EU386" s="9" t="s">
        <v>1037</v>
      </c>
      <c r="EV386" s="9" t="s">
        <v>580</v>
      </c>
      <c r="EX386" s="9" t="s">
        <v>7720</v>
      </c>
      <c r="EY386" s="9" t="s">
        <v>7721</v>
      </c>
      <c r="EZ386" s="9" t="s">
        <v>414</v>
      </c>
      <c r="FA386" s="9" t="s">
        <v>583</v>
      </c>
      <c r="FB386" s="9" t="s">
        <v>416</v>
      </c>
      <c r="FC386" s="9" t="s">
        <v>414</v>
      </c>
      <c r="FD386" s="9" t="s">
        <v>413</v>
      </c>
      <c r="FE386" s="9" t="s">
        <v>583</v>
      </c>
      <c r="FF386" s="9" t="s">
        <v>416</v>
      </c>
      <c r="FG386" s="9" t="s">
        <v>416</v>
      </c>
      <c r="FH386" s="9" t="s">
        <v>583</v>
      </c>
      <c r="FI386" s="9" t="s">
        <v>414</v>
      </c>
      <c r="FJ386" s="9" t="s">
        <v>416</v>
      </c>
      <c r="FK386" s="9" t="s">
        <v>415</v>
      </c>
      <c r="FL386" s="9" t="s">
        <v>583</v>
      </c>
      <c r="FM386" s="9" t="s">
        <v>413</v>
      </c>
      <c r="FN386" s="9" t="s">
        <v>583</v>
      </c>
      <c r="FO386" s="9" t="s">
        <v>1074</v>
      </c>
      <c r="FP386" s="9" t="s">
        <v>418</v>
      </c>
      <c r="FQ386" s="9" t="s">
        <v>712</v>
      </c>
      <c r="FR386" s="9" t="s">
        <v>1211</v>
      </c>
      <c r="FS386" s="9" t="s">
        <v>1871</v>
      </c>
      <c r="FT386" s="9" t="s">
        <v>1462</v>
      </c>
      <c r="FU386" s="9" t="s">
        <v>918</v>
      </c>
      <c r="FV386" s="9" t="s">
        <v>2387</v>
      </c>
      <c r="FW386" s="9" t="s">
        <v>1853</v>
      </c>
      <c r="FX386" s="9" t="s">
        <v>7722</v>
      </c>
      <c r="FY386" s="9" t="s">
        <v>1020</v>
      </c>
      <c r="FZ386" s="9" t="s">
        <v>7723</v>
      </c>
      <c r="GB386" s="9" t="s">
        <v>408</v>
      </c>
      <c r="GG386" s="9" t="s">
        <v>789</v>
      </c>
      <c r="GH386" s="9" t="s">
        <v>789</v>
      </c>
      <c r="GI386" s="9" t="s">
        <v>921</v>
      </c>
      <c r="GQ386" s="9" t="s">
        <v>3306</v>
      </c>
      <c r="GT386" s="9" t="s">
        <v>4774</v>
      </c>
      <c r="GU386" s="9" t="s">
        <v>1211</v>
      </c>
      <c r="GV386" s="9" t="s">
        <v>5231</v>
      </c>
      <c r="GW386" s="9" t="s">
        <v>5232</v>
      </c>
      <c r="HC386" s="9" t="s">
        <v>484</v>
      </c>
      <c r="HD386" s="9" t="s">
        <v>5382</v>
      </c>
      <c r="HE386" s="9" t="s">
        <v>484</v>
      </c>
      <c r="HF386" s="9" t="s">
        <v>5768</v>
      </c>
      <c r="HO386" s="9" t="s">
        <v>5383</v>
      </c>
      <c r="HP386" s="9" t="s">
        <v>5371</v>
      </c>
      <c r="HQ386" s="9" t="s">
        <v>5801</v>
      </c>
      <c r="HR386" s="9" t="s">
        <v>913</v>
      </c>
      <c r="HW386" s="9" t="s">
        <v>1131</v>
      </c>
      <c r="MJ386" s="9" t="s">
        <v>6321</v>
      </c>
    </row>
    <row r="387" ht="22.5" customHeight="1">
      <c r="A387" s="8">
        <v>45971.66754105324</v>
      </c>
      <c r="B387" s="9" t="s">
        <v>368</v>
      </c>
      <c r="C387" s="9" t="s">
        <v>370</v>
      </c>
      <c r="D387" s="9" t="s">
        <v>370</v>
      </c>
      <c r="E387" s="9" t="s">
        <v>495</v>
      </c>
      <c r="F387" s="9" t="s">
        <v>495</v>
      </c>
      <c r="G387" s="9" t="s">
        <v>422</v>
      </c>
      <c r="H387" s="9" t="s">
        <v>496</v>
      </c>
      <c r="I387" s="9" t="s">
        <v>2578</v>
      </c>
      <c r="J387" s="9" t="s">
        <v>590</v>
      </c>
      <c r="K387" s="9" t="s">
        <v>376</v>
      </c>
      <c r="L387" s="9" t="s">
        <v>591</v>
      </c>
      <c r="M387" s="9" t="s">
        <v>541</v>
      </c>
      <c r="N387" s="9" t="s">
        <v>793</v>
      </c>
      <c r="O387" s="9" t="s">
        <v>719</v>
      </c>
      <c r="P387" s="9" t="s">
        <v>592</v>
      </c>
      <c r="Q387" s="9" t="s">
        <v>862</v>
      </c>
      <c r="R387" s="9" t="s">
        <v>427</v>
      </c>
      <c r="S387" s="9" t="s">
        <v>384</v>
      </c>
      <c r="T387" s="9" t="s">
        <v>385</v>
      </c>
      <c r="W387" s="9" t="s">
        <v>3014</v>
      </c>
      <c r="AV387" s="9" t="s">
        <v>1242</v>
      </c>
      <c r="AW387" s="9" t="s">
        <v>675</v>
      </c>
      <c r="AX387" s="9" t="s">
        <v>675</v>
      </c>
      <c r="AY387" s="9" t="s">
        <v>675</v>
      </c>
      <c r="AZ387" s="9" t="s">
        <v>675</v>
      </c>
      <c r="BA387" s="9" t="s">
        <v>675</v>
      </c>
      <c r="BB387" s="9" t="s">
        <v>675</v>
      </c>
      <c r="BC387" s="9" t="s">
        <v>7724</v>
      </c>
      <c r="BD387" s="9" t="s">
        <v>7725</v>
      </c>
      <c r="BE387" s="9" t="s">
        <v>902</v>
      </c>
      <c r="BF387" s="9" t="s">
        <v>1095</v>
      </c>
      <c r="BG387" s="9" t="s">
        <v>394</v>
      </c>
      <c r="BH387" s="9" t="s">
        <v>7726</v>
      </c>
      <c r="BI387" s="9" t="s">
        <v>976</v>
      </c>
      <c r="BJ387" s="9" t="s">
        <v>1211</v>
      </c>
      <c r="BK387" s="9" t="s">
        <v>602</v>
      </c>
      <c r="BL387" s="9" t="s">
        <v>904</v>
      </c>
      <c r="BM387" s="9" t="s">
        <v>1314</v>
      </c>
      <c r="BN387" s="9" t="s">
        <v>398</v>
      </c>
      <c r="BO387" s="9" t="s">
        <v>7727</v>
      </c>
      <c r="BP387" s="9" t="s">
        <v>796</v>
      </c>
      <c r="BQ387" s="9" t="s">
        <v>604</v>
      </c>
      <c r="BR387" s="9" t="s">
        <v>2662</v>
      </c>
      <c r="BS387" s="9" t="s">
        <v>1741</v>
      </c>
      <c r="BT387" s="9" t="s">
        <v>4368</v>
      </c>
      <c r="BU387" s="9" t="s">
        <v>405</v>
      </c>
      <c r="BV387" s="9" t="s">
        <v>1211</v>
      </c>
      <c r="BW387" s="9" t="s">
        <v>406</v>
      </c>
      <c r="BX387" s="9" t="s">
        <v>2503</v>
      </c>
      <c r="BY387" s="9" t="s">
        <v>408</v>
      </c>
      <c r="BZ387" s="9" t="s">
        <v>1211</v>
      </c>
      <c r="CA387" s="9" t="s">
        <v>7728</v>
      </c>
      <c r="CB387" s="9" t="s">
        <v>7729</v>
      </c>
      <c r="CC387" s="9" t="s">
        <v>7730</v>
      </c>
      <c r="CD387" s="9" t="s">
        <v>1257</v>
      </c>
      <c r="CE387" s="9" t="s">
        <v>1211</v>
      </c>
      <c r="CF387" s="9" t="s">
        <v>1258</v>
      </c>
      <c r="CG387" s="9" t="s">
        <v>1211</v>
      </c>
      <c r="CH387" s="9" t="s">
        <v>1259</v>
      </c>
      <c r="CI387" s="9" t="s">
        <v>410</v>
      </c>
      <c r="CJ387" s="9" t="s">
        <v>7731</v>
      </c>
      <c r="CK387" s="9" t="s">
        <v>7732</v>
      </c>
      <c r="DI387" s="9" t="s">
        <v>459</v>
      </c>
      <c r="DJ387" s="9" t="s">
        <v>460</v>
      </c>
      <c r="DK387" s="9" t="s">
        <v>6319</v>
      </c>
      <c r="ET387" s="9" t="s">
        <v>478</v>
      </c>
      <c r="EU387" s="9" t="s">
        <v>479</v>
      </c>
      <c r="EV387" s="9" t="s">
        <v>580</v>
      </c>
      <c r="EW387" s="9" t="s">
        <v>7733</v>
      </c>
      <c r="EX387" s="9" t="s">
        <v>7734</v>
      </c>
      <c r="EY387" s="9" t="s">
        <v>7735</v>
      </c>
      <c r="EZ387" s="9" t="s">
        <v>414</v>
      </c>
      <c r="FA387" s="9" t="s">
        <v>414</v>
      </c>
      <c r="FB387" s="9" t="s">
        <v>416</v>
      </c>
      <c r="FC387" s="9" t="s">
        <v>414</v>
      </c>
      <c r="FD387" s="9" t="s">
        <v>416</v>
      </c>
      <c r="FE387" s="9" t="s">
        <v>414</v>
      </c>
      <c r="FF387" s="9" t="s">
        <v>415</v>
      </c>
      <c r="FG387" s="9" t="s">
        <v>416</v>
      </c>
      <c r="FH387" s="9" t="s">
        <v>414</v>
      </c>
      <c r="FI387" s="9" t="s">
        <v>414</v>
      </c>
      <c r="FJ387" s="9" t="s">
        <v>414</v>
      </c>
      <c r="FK387" s="9" t="s">
        <v>416</v>
      </c>
      <c r="FL387" s="9" t="s">
        <v>416</v>
      </c>
      <c r="FM387" s="9" t="s">
        <v>416</v>
      </c>
      <c r="FN387" s="9" t="s">
        <v>414</v>
      </c>
      <c r="FO387" s="9" t="s">
        <v>417</v>
      </c>
      <c r="FP387" s="9" t="s">
        <v>418</v>
      </c>
      <c r="FQ387" s="9" t="s">
        <v>749</v>
      </c>
      <c r="FR387" s="9" t="s">
        <v>7736</v>
      </c>
      <c r="FS387" s="9" t="s">
        <v>420</v>
      </c>
      <c r="FT387" s="9" t="s">
        <v>2750</v>
      </c>
      <c r="FU387" s="9" t="s">
        <v>918</v>
      </c>
      <c r="FV387" s="9" t="s">
        <v>490</v>
      </c>
      <c r="FW387" s="9" t="s">
        <v>491</v>
      </c>
      <c r="FX387" s="9" t="s">
        <v>7737</v>
      </c>
      <c r="FY387" s="9" t="s">
        <v>535</v>
      </c>
      <c r="GB387" s="9" t="s">
        <v>455</v>
      </c>
      <c r="GC387" s="9"/>
      <c r="GE387" s="9" t="s">
        <v>753</v>
      </c>
      <c r="GF387" s="9" t="s">
        <v>7738</v>
      </c>
      <c r="GJ387" s="9" t="s">
        <v>755</v>
      </c>
      <c r="GK387" s="9" t="s">
        <v>755</v>
      </c>
      <c r="GL387" s="9" t="s">
        <v>946</v>
      </c>
      <c r="GQ387" s="9" t="s">
        <v>3208</v>
      </c>
      <c r="GR387" s="9" t="s">
        <v>4741</v>
      </c>
      <c r="GS387" s="9" t="s">
        <v>7739</v>
      </c>
      <c r="GV387" s="9" t="s">
        <v>5231</v>
      </c>
      <c r="GW387" s="9" t="s">
        <v>5232</v>
      </c>
      <c r="GX387" s="9" t="s">
        <v>5262</v>
      </c>
      <c r="GY387" s="9" t="s">
        <v>5233</v>
      </c>
      <c r="GZ387" s="9" t="s">
        <v>5234</v>
      </c>
      <c r="HA387" s="9" t="s">
        <v>484</v>
      </c>
      <c r="HB387" s="9" t="s">
        <v>7740</v>
      </c>
      <c r="HO387" s="9" t="s">
        <v>5236</v>
      </c>
      <c r="HP387" s="9" t="s">
        <v>5302</v>
      </c>
      <c r="HQ387" s="9" t="s">
        <v>5238</v>
      </c>
      <c r="HR387" s="9" t="s">
        <v>7741</v>
      </c>
      <c r="MJ387" s="9" t="s">
        <v>6321</v>
      </c>
    </row>
    <row r="388" ht="22.5" customHeight="1">
      <c r="A388" s="8">
        <v>45972.193447893515</v>
      </c>
      <c r="C388" s="9" t="s">
        <v>370</v>
      </c>
      <c r="D388" s="9" t="s">
        <v>370</v>
      </c>
      <c r="E388" s="9" t="s">
        <v>6634</v>
      </c>
      <c r="F388" s="9" t="s">
        <v>371</v>
      </c>
      <c r="G388" s="9" t="s">
        <v>422</v>
      </c>
      <c r="H388" s="9" t="s">
        <v>373</v>
      </c>
      <c r="I388" s="9" t="s">
        <v>638</v>
      </c>
      <c r="J388" s="9" t="s">
        <v>375</v>
      </c>
      <c r="K388" s="9" t="s">
        <v>376</v>
      </c>
      <c r="L388" s="9" t="s">
        <v>426</v>
      </c>
      <c r="M388" s="9" t="s">
        <v>2464</v>
      </c>
      <c r="N388" s="9" t="s">
        <v>591</v>
      </c>
      <c r="O388" s="9" t="s">
        <v>719</v>
      </c>
      <c r="P388" s="9" t="s">
        <v>498</v>
      </c>
      <c r="Q388" s="9" t="s">
        <v>499</v>
      </c>
      <c r="R388" s="9" t="s">
        <v>949</v>
      </c>
      <c r="S388" s="9" t="s">
        <v>384</v>
      </c>
      <c r="T388" s="9" t="s">
        <v>385</v>
      </c>
      <c r="W388" s="9" t="s">
        <v>3014</v>
      </c>
      <c r="AV388" s="9" t="s">
        <v>1242</v>
      </c>
      <c r="AW388" s="9" t="s">
        <v>675</v>
      </c>
      <c r="AX388" s="9" t="s">
        <v>675</v>
      </c>
      <c r="AY388" s="9">
        <v>2.0</v>
      </c>
      <c r="AZ388" s="9">
        <v>4.0</v>
      </c>
      <c r="BA388" s="9" t="s">
        <v>675</v>
      </c>
      <c r="BB388" s="9" t="s">
        <v>675</v>
      </c>
      <c r="BD388" s="9" t="s">
        <v>7742</v>
      </c>
      <c r="BE388" s="9" t="s">
        <v>2379</v>
      </c>
      <c r="BF388" s="9" t="s">
        <v>1095</v>
      </c>
      <c r="BG388" s="9" t="s">
        <v>434</v>
      </c>
      <c r="BI388" s="9" t="s">
        <v>976</v>
      </c>
      <c r="BK388" s="9" t="s">
        <v>681</v>
      </c>
      <c r="BL388" s="9" t="s">
        <v>904</v>
      </c>
      <c r="BM388" s="9" t="s">
        <v>1314</v>
      </c>
      <c r="BN388" s="9" t="s">
        <v>398</v>
      </c>
      <c r="BO388" s="9" t="s">
        <v>7743</v>
      </c>
      <c r="BP388" s="9" t="s">
        <v>7744</v>
      </c>
      <c r="BQ388" s="9" t="s">
        <v>401</v>
      </c>
      <c r="BR388" s="9" t="s">
        <v>3763</v>
      </c>
      <c r="BS388" s="9" t="s">
        <v>1741</v>
      </c>
      <c r="BT388" s="9" t="s">
        <v>1771</v>
      </c>
      <c r="BU388" s="9" t="s">
        <v>405</v>
      </c>
      <c r="BW388" s="9" t="s">
        <v>406</v>
      </c>
      <c r="BX388" s="9" t="s">
        <v>2503</v>
      </c>
      <c r="BY388" s="9" t="s">
        <v>408</v>
      </c>
      <c r="CB388" s="9" t="s">
        <v>7745</v>
      </c>
      <c r="CC388" s="9" t="s">
        <v>2586</v>
      </c>
      <c r="CD388" s="9" t="s">
        <v>1257</v>
      </c>
      <c r="CF388" s="9" t="s">
        <v>1258</v>
      </c>
      <c r="CH388" s="9" t="s">
        <v>1751</v>
      </c>
      <c r="CI388" s="9" t="s">
        <v>1964</v>
      </c>
      <c r="CJ388" s="9" t="s">
        <v>7746</v>
      </c>
      <c r="CK388" s="9" t="s">
        <v>7747</v>
      </c>
      <c r="DI388" s="9" t="s">
        <v>963</v>
      </c>
      <c r="DJ388" s="9" t="s">
        <v>460</v>
      </c>
      <c r="DK388" s="9" t="s">
        <v>6319</v>
      </c>
      <c r="ET388" s="9" t="s">
        <v>478</v>
      </c>
      <c r="EU388" s="9" t="s">
        <v>1127</v>
      </c>
      <c r="EV388" s="9" t="s">
        <v>580</v>
      </c>
      <c r="EX388" s="9" t="s">
        <v>7748</v>
      </c>
      <c r="EY388" s="9" t="s">
        <v>7749</v>
      </c>
      <c r="EZ388" s="9" t="s">
        <v>415</v>
      </c>
      <c r="FA388" s="9" t="s">
        <v>415</v>
      </c>
      <c r="FB388" s="9" t="s">
        <v>413</v>
      </c>
      <c r="FC388" s="9" t="s">
        <v>413</v>
      </c>
      <c r="FD388" s="9" t="s">
        <v>413</v>
      </c>
      <c r="FE388" s="9" t="s">
        <v>415</v>
      </c>
      <c r="FF388" s="9" t="s">
        <v>415</v>
      </c>
      <c r="FG388" s="9" t="s">
        <v>413</v>
      </c>
      <c r="FH388" s="9" t="s">
        <v>413</v>
      </c>
      <c r="FI388" s="9" t="s">
        <v>413</v>
      </c>
      <c r="FJ388" s="9" t="s">
        <v>413</v>
      </c>
      <c r="FK388" s="9" t="s">
        <v>413</v>
      </c>
      <c r="FL388" s="9" t="s">
        <v>413</v>
      </c>
      <c r="FM388" s="9" t="s">
        <v>415</v>
      </c>
      <c r="FN388" s="9" t="s">
        <v>415</v>
      </c>
      <c r="FO388" s="9" t="s">
        <v>485</v>
      </c>
      <c r="FP388" s="9" t="s">
        <v>418</v>
      </c>
      <c r="FQ388" s="9" t="s">
        <v>749</v>
      </c>
      <c r="FR388" s="9" t="s">
        <v>7750</v>
      </c>
      <c r="FS388" s="9" t="s">
        <v>420</v>
      </c>
      <c r="FT388" s="9" t="s">
        <v>488</v>
      </c>
      <c r="FU388" s="9" t="s">
        <v>918</v>
      </c>
      <c r="FV388" s="9" t="s">
        <v>1101</v>
      </c>
      <c r="FW388" s="9" t="s">
        <v>491</v>
      </c>
      <c r="FX388" s="9" t="s">
        <v>7751</v>
      </c>
      <c r="FY388" s="9" t="s">
        <v>535</v>
      </c>
      <c r="FZ388" s="9" t="s">
        <v>7752</v>
      </c>
      <c r="GB388" s="9" t="s">
        <v>408</v>
      </c>
      <c r="GJ388" s="9" t="s">
        <v>857</v>
      </c>
      <c r="GK388" s="9" t="s">
        <v>789</v>
      </c>
      <c r="GL388" s="9" t="s">
        <v>921</v>
      </c>
      <c r="GQ388" s="9" t="s">
        <v>7753</v>
      </c>
      <c r="GR388" s="9" t="s">
        <v>4774</v>
      </c>
      <c r="GV388" s="9" t="s">
        <v>5231</v>
      </c>
      <c r="GW388" s="9" t="s">
        <v>484</v>
      </c>
      <c r="GX388" s="9" t="s">
        <v>484</v>
      </c>
      <c r="GY388" s="9" t="s">
        <v>6013</v>
      </c>
      <c r="GZ388" s="9" t="s">
        <v>5234</v>
      </c>
      <c r="HA388" s="9" t="s">
        <v>5369</v>
      </c>
      <c r="HB388" s="9" t="s">
        <v>7754</v>
      </c>
      <c r="HO388" s="9" t="s">
        <v>5285</v>
      </c>
      <c r="HP388" s="9" t="s">
        <v>5719</v>
      </c>
      <c r="HQ388" s="9" t="s">
        <v>5238</v>
      </c>
      <c r="HR388" s="9" t="s">
        <v>5347</v>
      </c>
      <c r="MJ388" s="9" t="s">
        <v>6321</v>
      </c>
    </row>
    <row r="389" ht="22.5" customHeight="1">
      <c r="A389" s="8">
        <v>45972.51577721065</v>
      </c>
      <c r="B389" s="9" t="s">
        <v>368</v>
      </c>
      <c r="C389" s="9" t="s">
        <v>370</v>
      </c>
      <c r="D389" s="9" t="s">
        <v>370</v>
      </c>
      <c r="E389" s="9" t="s">
        <v>1562</v>
      </c>
      <c r="F389" s="9" t="s">
        <v>1562</v>
      </c>
      <c r="G389" s="9" t="s">
        <v>422</v>
      </c>
      <c r="H389" s="9" t="s">
        <v>637</v>
      </c>
      <c r="I389" s="9" t="s">
        <v>638</v>
      </c>
      <c r="J389" s="9" t="s">
        <v>590</v>
      </c>
      <c r="K389" s="9" t="s">
        <v>7755</v>
      </c>
      <c r="L389" s="9" t="s">
        <v>591</v>
      </c>
      <c r="M389" s="9" t="s">
        <v>7756</v>
      </c>
      <c r="N389" s="9" t="s">
        <v>426</v>
      </c>
      <c r="O389" s="9" t="s">
        <v>497</v>
      </c>
      <c r="P389" s="9" t="s">
        <v>498</v>
      </c>
      <c r="Q389" s="9" t="s">
        <v>382</v>
      </c>
      <c r="R389" s="9" t="s">
        <v>795</v>
      </c>
      <c r="S389" s="9" t="s">
        <v>7757</v>
      </c>
      <c r="T389" s="9" t="s">
        <v>1786</v>
      </c>
      <c r="ED389" s="9" t="s">
        <v>5723</v>
      </c>
      <c r="EO389" s="9" t="s">
        <v>7758</v>
      </c>
      <c r="EP389" s="9" t="s">
        <v>7759</v>
      </c>
      <c r="ER389" s="9" t="s">
        <v>7760</v>
      </c>
      <c r="ET389" s="9" t="s">
        <v>526</v>
      </c>
      <c r="EU389" s="9" t="s">
        <v>479</v>
      </c>
      <c r="EV389" s="9" t="s">
        <v>663</v>
      </c>
      <c r="EX389" s="9" t="s">
        <v>7761</v>
      </c>
      <c r="EY389" s="9" t="s">
        <v>7762</v>
      </c>
      <c r="EZ389" s="9" t="s">
        <v>583</v>
      </c>
      <c r="FA389" s="9" t="s">
        <v>583</v>
      </c>
      <c r="FB389" s="9" t="s">
        <v>583</v>
      </c>
      <c r="FC389" s="9" t="s">
        <v>583</v>
      </c>
      <c r="FD389" s="9" t="s">
        <v>416</v>
      </c>
      <c r="FE389" s="9" t="s">
        <v>583</v>
      </c>
      <c r="FF389" s="9" t="s">
        <v>583</v>
      </c>
      <c r="FG389" s="9" t="s">
        <v>414</v>
      </c>
      <c r="FH389" s="9" t="s">
        <v>413</v>
      </c>
      <c r="FI389" s="9" t="s">
        <v>413</v>
      </c>
      <c r="FJ389" s="9" t="s">
        <v>416</v>
      </c>
      <c r="FK389" s="9" t="s">
        <v>583</v>
      </c>
      <c r="FL389" s="9" t="s">
        <v>583</v>
      </c>
      <c r="FM389" s="9" t="s">
        <v>583</v>
      </c>
      <c r="FN389" s="9" t="s">
        <v>583</v>
      </c>
      <c r="FO389" s="9" t="s">
        <v>3396</v>
      </c>
      <c r="FP389" s="9" t="s">
        <v>418</v>
      </c>
      <c r="FQ389" s="9" t="s">
        <v>419</v>
      </c>
      <c r="FR389" s="9" t="s">
        <v>7763</v>
      </c>
      <c r="FS389" s="9" t="s">
        <v>1076</v>
      </c>
      <c r="FT389" s="9" t="s">
        <v>1462</v>
      </c>
      <c r="FU389" s="9" t="s">
        <v>533</v>
      </c>
      <c r="FV389" s="9" t="s">
        <v>490</v>
      </c>
      <c r="FW389" s="9" t="s">
        <v>491</v>
      </c>
      <c r="FX389" s="9" t="s">
        <v>7764</v>
      </c>
      <c r="FY389" s="9" t="s">
        <v>493</v>
      </c>
      <c r="GB389" s="9" t="s">
        <v>408</v>
      </c>
      <c r="GQ389" s="9" t="s">
        <v>3306</v>
      </c>
      <c r="GV389" s="9" t="s">
        <v>5231</v>
      </c>
      <c r="GW389" s="9" t="s">
        <v>484</v>
      </c>
      <c r="HK389" s="9" t="s">
        <v>7765</v>
      </c>
      <c r="HL389" s="9" t="s">
        <v>7766</v>
      </c>
      <c r="HM389" s="9" t="s">
        <v>5735</v>
      </c>
      <c r="HN389" s="9" t="s">
        <v>6152</v>
      </c>
      <c r="HO389" s="9" t="s">
        <v>5346</v>
      </c>
      <c r="HP389" s="9" t="s">
        <v>5264</v>
      </c>
      <c r="HQ389" s="9" t="s">
        <v>5801</v>
      </c>
      <c r="HR389" s="9" t="s">
        <v>913</v>
      </c>
      <c r="JG389" s="9" t="s">
        <v>5680</v>
      </c>
      <c r="KD389" s="9" t="s">
        <v>5689</v>
      </c>
      <c r="LG389" s="9" t="s">
        <v>7708</v>
      </c>
      <c r="LH389" s="9" t="s">
        <v>6154</v>
      </c>
      <c r="LI389" s="9" t="s">
        <v>7767</v>
      </c>
      <c r="LJ389" s="9" t="s">
        <v>7768</v>
      </c>
      <c r="MJ389" s="9" t="s">
        <v>6383</v>
      </c>
    </row>
    <row r="390" ht="22.5" customHeight="1">
      <c r="A390" s="8">
        <v>45972.63994190972</v>
      </c>
      <c r="B390" s="9" t="s">
        <v>368</v>
      </c>
      <c r="C390" s="9" t="s">
        <v>370</v>
      </c>
      <c r="D390" s="9" t="s">
        <v>370</v>
      </c>
      <c r="E390" s="9" t="s">
        <v>757</v>
      </c>
      <c r="F390" s="9" t="s">
        <v>2708</v>
      </c>
      <c r="G390" s="9" t="s">
        <v>422</v>
      </c>
      <c r="H390" s="9" t="s">
        <v>373</v>
      </c>
      <c r="I390" s="9" t="s">
        <v>374</v>
      </c>
      <c r="J390" s="9" t="s">
        <v>669</v>
      </c>
      <c r="K390" s="9" t="s">
        <v>376</v>
      </c>
      <c r="L390" s="9" t="s">
        <v>591</v>
      </c>
      <c r="M390" s="9" t="s">
        <v>639</v>
      </c>
      <c r="N390" s="9" t="s">
        <v>793</v>
      </c>
      <c r="O390" s="9" t="s">
        <v>719</v>
      </c>
      <c r="P390" s="9" t="s">
        <v>1504</v>
      </c>
      <c r="Q390" s="9" t="s">
        <v>499</v>
      </c>
      <c r="R390" s="9" t="s">
        <v>427</v>
      </c>
      <c r="S390" s="9" t="s">
        <v>384</v>
      </c>
      <c r="T390" s="9" t="s">
        <v>385</v>
      </c>
      <c r="W390" s="9" t="s">
        <v>386</v>
      </c>
      <c r="X390" s="9" t="s">
        <v>387</v>
      </c>
      <c r="Y390" s="9" t="s">
        <v>897</v>
      </c>
      <c r="Z390" s="9" t="s">
        <v>672</v>
      </c>
      <c r="AA390" s="9" t="s">
        <v>7769</v>
      </c>
      <c r="AB390" s="9" t="s">
        <v>7770</v>
      </c>
      <c r="AV390" s="9" t="s">
        <v>1242</v>
      </c>
      <c r="AW390" s="9" t="s">
        <v>675</v>
      </c>
      <c r="AX390" s="9" t="s">
        <v>675</v>
      </c>
      <c r="AY390" s="9" t="s">
        <v>675</v>
      </c>
      <c r="AZ390" s="9" t="s">
        <v>675</v>
      </c>
      <c r="BA390" s="9" t="s">
        <v>391</v>
      </c>
      <c r="BB390" s="9" t="s">
        <v>675</v>
      </c>
      <c r="BC390" s="9" t="s">
        <v>7771</v>
      </c>
      <c r="BD390" s="9" t="s">
        <v>7772</v>
      </c>
      <c r="BE390" s="9" t="s">
        <v>902</v>
      </c>
      <c r="BF390" s="9" t="s">
        <v>1245</v>
      </c>
      <c r="BG390" s="9" t="s">
        <v>434</v>
      </c>
      <c r="BH390" s="9" t="s">
        <v>7773</v>
      </c>
      <c r="BI390" s="9" t="s">
        <v>976</v>
      </c>
      <c r="BJ390" s="9" t="s">
        <v>6791</v>
      </c>
      <c r="BK390" s="9" t="s">
        <v>681</v>
      </c>
      <c r="BL390" s="9" t="s">
        <v>904</v>
      </c>
      <c r="BM390" s="9" t="s">
        <v>1314</v>
      </c>
      <c r="BN390" s="9" t="s">
        <v>513</v>
      </c>
      <c r="CL390" s="9" t="s">
        <v>441</v>
      </c>
      <c r="CM390" s="9" t="s">
        <v>442</v>
      </c>
      <c r="CN390" s="9" t="s">
        <v>7774</v>
      </c>
      <c r="CO390" s="9" t="s">
        <v>7775</v>
      </c>
      <c r="CP390" s="9" t="s">
        <v>445</v>
      </c>
      <c r="CQ390" s="9" t="s">
        <v>7776</v>
      </c>
      <c r="CR390" s="9" t="s">
        <v>447</v>
      </c>
      <c r="CS390" s="9" t="s">
        <v>7777</v>
      </c>
      <c r="CT390" s="9" t="s">
        <v>7778</v>
      </c>
      <c r="CU390" s="9" t="s">
        <v>1961</v>
      </c>
      <c r="CV390" s="9" t="s">
        <v>2393</v>
      </c>
      <c r="CW390" s="9" t="s">
        <v>7779</v>
      </c>
      <c r="CX390" s="9" t="s">
        <v>455</v>
      </c>
      <c r="CY390" s="9" t="s">
        <v>7780</v>
      </c>
      <c r="CZ390" s="9" t="s">
        <v>1962</v>
      </c>
      <c r="DA390" s="9" t="s">
        <v>7781</v>
      </c>
      <c r="DB390" s="9" t="s">
        <v>408</v>
      </c>
      <c r="DC390" s="9" t="s">
        <v>7782</v>
      </c>
      <c r="DD390" s="9" t="s">
        <v>406</v>
      </c>
      <c r="DE390" s="9" t="s">
        <v>1058</v>
      </c>
      <c r="DF390" s="9" t="s">
        <v>7783</v>
      </c>
      <c r="DG390" s="9" t="s">
        <v>693</v>
      </c>
      <c r="DH390" s="9" t="s">
        <v>694</v>
      </c>
      <c r="DI390" s="9" t="s">
        <v>459</v>
      </c>
      <c r="DJ390" s="9" t="s">
        <v>1403</v>
      </c>
      <c r="DK390" s="9" t="s">
        <v>6335</v>
      </c>
      <c r="ET390" s="9" t="s">
        <v>2747</v>
      </c>
      <c r="EU390" s="9" t="s">
        <v>479</v>
      </c>
      <c r="EV390" s="9" t="s">
        <v>527</v>
      </c>
      <c r="EW390" s="9" t="s">
        <v>7784</v>
      </c>
      <c r="EX390" s="9" t="s">
        <v>7785</v>
      </c>
      <c r="EY390" s="9" t="s">
        <v>455</v>
      </c>
      <c r="EZ390" s="9" t="s">
        <v>583</v>
      </c>
      <c r="FA390" s="9" t="s">
        <v>583</v>
      </c>
      <c r="FB390" s="9" t="s">
        <v>414</v>
      </c>
      <c r="FC390" s="9" t="s">
        <v>583</v>
      </c>
      <c r="FD390" s="9" t="s">
        <v>583</v>
      </c>
      <c r="FE390" s="9" t="s">
        <v>583</v>
      </c>
      <c r="FF390" s="9" t="s">
        <v>583</v>
      </c>
      <c r="FG390" s="9" t="s">
        <v>484</v>
      </c>
      <c r="FH390" s="9" t="s">
        <v>583</v>
      </c>
      <c r="FI390" s="9" t="s">
        <v>583</v>
      </c>
      <c r="FJ390" s="9" t="s">
        <v>583</v>
      </c>
      <c r="FK390" s="9" t="s">
        <v>583</v>
      </c>
      <c r="FL390" s="9" t="s">
        <v>583</v>
      </c>
      <c r="FM390" s="9" t="s">
        <v>484</v>
      </c>
      <c r="FN390" s="9" t="s">
        <v>583</v>
      </c>
      <c r="FO390" s="9" t="s">
        <v>1537</v>
      </c>
      <c r="FP390" s="9" t="s">
        <v>2524</v>
      </c>
      <c r="FQ390" s="9" t="s">
        <v>630</v>
      </c>
      <c r="FR390" s="9" t="s">
        <v>7786</v>
      </c>
      <c r="FS390" s="9" t="s">
        <v>1871</v>
      </c>
      <c r="FT390" s="9" t="s">
        <v>2750</v>
      </c>
      <c r="FU390" s="9" t="s">
        <v>533</v>
      </c>
      <c r="FV390" s="9" t="s">
        <v>2399</v>
      </c>
      <c r="FW390" s="9" t="s">
        <v>1853</v>
      </c>
      <c r="FX390" s="9" t="s">
        <v>7787</v>
      </c>
      <c r="FY390" s="9" t="s">
        <v>1854</v>
      </c>
      <c r="FZ390" s="9" t="s">
        <v>7788</v>
      </c>
      <c r="GA390" s="9" t="s">
        <v>7789</v>
      </c>
      <c r="GB390" s="9" t="s">
        <v>455</v>
      </c>
      <c r="GC390" s="9"/>
      <c r="GD390" s="9"/>
      <c r="GE390" s="9" t="s">
        <v>944</v>
      </c>
      <c r="GF390" s="9" t="s">
        <v>7790</v>
      </c>
      <c r="GG390" s="9" t="s">
        <v>920</v>
      </c>
      <c r="GH390" s="9" t="s">
        <v>920</v>
      </c>
      <c r="GI390" s="9" t="s">
        <v>756</v>
      </c>
      <c r="GQ390" s="9" t="s">
        <v>3208</v>
      </c>
      <c r="GT390" s="9" t="s">
        <v>4774</v>
      </c>
      <c r="GU390" s="9" t="s">
        <v>7791</v>
      </c>
      <c r="GV390" s="9" t="s">
        <v>5231</v>
      </c>
      <c r="GW390" s="9" t="s">
        <v>5232</v>
      </c>
      <c r="HC390" s="9" t="s">
        <v>5297</v>
      </c>
      <c r="HD390" s="9" t="s">
        <v>5282</v>
      </c>
      <c r="HE390" s="9" t="s">
        <v>5492</v>
      </c>
      <c r="HF390" s="9" t="s">
        <v>5284</v>
      </c>
      <c r="HO390" s="9" t="s">
        <v>5346</v>
      </c>
      <c r="HP390" s="9" t="s">
        <v>5264</v>
      </c>
      <c r="HQ390" s="9" t="s">
        <v>5801</v>
      </c>
      <c r="HR390" s="9" t="s">
        <v>5239</v>
      </c>
      <c r="HW390" s="9" t="s">
        <v>5628</v>
      </c>
      <c r="MJ390" s="9" t="s">
        <v>6321</v>
      </c>
    </row>
    <row r="391" ht="22.5" customHeight="1">
      <c r="A391" s="8">
        <v>45978.17339207176</v>
      </c>
      <c r="B391" s="9" t="s">
        <v>368</v>
      </c>
      <c r="C391" s="9" t="s">
        <v>370</v>
      </c>
      <c r="D391" s="9" t="s">
        <v>370</v>
      </c>
      <c r="E391" s="9" t="s">
        <v>2388</v>
      </c>
      <c r="F391" s="9" t="s">
        <v>2388</v>
      </c>
      <c r="G391" s="9" t="s">
        <v>422</v>
      </c>
      <c r="H391" s="9" t="s">
        <v>496</v>
      </c>
      <c r="I391" s="9" t="s">
        <v>2578</v>
      </c>
      <c r="J391" s="9" t="s">
        <v>375</v>
      </c>
      <c r="K391" s="9" t="s">
        <v>376</v>
      </c>
      <c r="L391" s="9" t="s">
        <v>793</v>
      </c>
      <c r="M391" s="9" t="s">
        <v>639</v>
      </c>
      <c r="N391" s="9" t="s">
        <v>793</v>
      </c>
      <c r="O391" s="9" t="s">
        <v>639</v>
      </c>
      <c r="P391" s="9" t="s">
        <v>498</v>
      </c>
      <c r="Q391" s="9" t="s">
        <v>862</v>
      </c>
      <c r="R391" s="9" t="s">
        <v>1197</v>
      </c>
      <c r="S391" s="9" t="s">
        <v>384</v>
      </c>
      <c r="T391" s="9" t="s">
        <v>385</v>
      </c>
      <c r="W391" s="9" t="s">
        <v>3231</v>
      </c>
      <c r="AV391" s="9" t="s">
        <v>1242</v>
      </c>
      <c r="AW391" s="9" t="s">
        <v>675</v>
      </c>
      <c r="AX391" s="9" t="s">
        <v>675</v>
      </c>
      <c r="AY391" s="9" t="s">
        <v>391</v>
      </c>
      <c r="AZ391" s="9" t="s">
        <v>391</v>
      </c>
      <c r="BA391" s="9" t="s">
        <v>675</v>
      </c>
      <c r="BB391" s="9" t="s">
        <v>391</v>
      </c>
      <c r="BC391" s="9" t="s">
        <v>7792</v>
      </c>
      <c r="BD391" s="9" t="s">
        <v>7793</v>
      </c>
      <c r="BE391" s="9" t="s">
        <v>432</v>
      </c>
      <c r="BF391" s="9" t="s">
        <v>1047</v>
      </c>
      <c r="BG391" s="9" t="s">
        <v>765</v>
      </c>
      <c r="BH391" s="9" t="s">
        <v>7794</v>
      </c>
      <c r="BI391" s="9" t="s">
        <v>435</v>
      </c>
      <c r="BJ391" s="9" t="s">
        <v>7795</v>
      </c>
      <c r="BK391" s="9" t="s">
        <v>511</v>
      </c>
      <c r="BL391" s="9" t="s">
        <v>438</v>
      </c>
      <c r="BM391" s="9" t="s">
        <v>1314</v>
      </c>
      <c r="BN391" s="9" t="s">
        <v>398</v>
      </c>
      <c r="BO391" s="9" t="s">
        <v>7796</v>
      </c>
      <c r="BP391" s="9" t="s">
        <v>7797</v>
      </c>
      <c r="BQ391" s="9" t="s">
        <v>401</v>
      </c>
      <c r="BR391" s="9" t="s">
        <v>1691</v>
      </c>
      <c r="BS391" s="9" t="s">
        <v>403</v>
      </c>
      <c r="BT391" s="9" t="s">
        <v>4368</v>
      </c>
      <c r="BU391" s="9" t="s">
        <v>405</v>
      </c>
      <c r="BW391" s="9" t="s">
        <v>406</v>
      </c>
      <c r="BX391" s="9" t="s">
        <v>407</v>
      </c>
      <c r="BY391" s="9" t="s">
        <v>408</v>
      </c>
      <c r="CA391" s="9" t="s">
        <v>7798</v>
      </c>
      <c r="CB391" s="9" t="s">
        <v>7799</v>
      </c>
      <c r="CC391" s="9" t="s">
        <v>7800</v>
      </c>
      <c r="CD391" s="9" t="s">
        <v>409</v>
      </c>
      <c r="CE391" s="9" t="s">
        <v>7801</v>
      </c>
      <c r="CF391" s="9" t="s">
        <v>1749</v>
      </c>
      <c r="CG391" s="9" t="s">
        <v>7802</v>
      </c>
      <c r="CH391" s="9" t="s">
        <v>1259</v>
      </c>
      <c r="CI391" s="9" t="s">
        <v>833</v>
      </c>
      <c r="CJ391" s="9" t="s">
        <v>7803</v>
      </c>
      <c r="CK391" s="9" t="s">
        <v>7804</v>
      </c>
      <c r="DI391" s="9" t="s">
        <v>459</v>
      </c>
      <c r="DJ391" s="9" t="s">
        <v>562</v>
      </c>
      <c r="DK391" s="9" t="s">
        <v>7805</v>
      </c>
      <c r="DL391" s="9" t="s">
        <v>7806</v>
      </c>
      <c r="ET391" s="9" t="s">
        <v>478</v>
      </c>
      <c r="EU391" s="9" t="s">
        <v>887</v>
      </c>
      <c r="EV391" s="9" t="s">
        <v>527</v>
      </c>
      <c r="EW391" s="9" t="s">
        <v>7807</v>
      </c>
      <c r="EX391" s="9" t="s">
        <v>7808</v>
      </c>
      <c r="EY391" s="9" t="s">
        <v>7808</v>
      </c>
      <c r="EZ391" s="9" t="s">
        <v>415</v>
      </c>
      <c r="FA391" s="9" t="s">
        <v>415</v>
      </c>
      <c r="FB391" s="9" t="s">
        <v>413</v>
      </c>
      <c r="FC391" s="9" t="s">
        <v>414</v>
      </c>
      <c r="FD391" s="9" t="s">
        <v>413</v>
      </c>
      <c r="FE391" s="9" t="s">
        <v>414</v>
      </c>
      <c r="FF391" s="9" t="s">
        <v>415</v>
      </c>
      <c r="FG391" s="9" t="s">
        <v>413</v>
      </c>
      <c r="FH391" s="9" t="s">
        <v>583</v>
      </c>
      <c r="FI391" s="9" t="s">
        <v>415</v>
      </c>
      <c r="FJ391" s="9" t="s">
        <v>415</v>
      </c>
      <c r="FK391" s="9" t="s">
        <v>416</v>
      </c>
      <c r="FL391" s="9" t="s">
        <v>415</v>
      </c>
      <c r="FM391" s="9" t="s">
        <v>413</v>
      </c>
      <c r="FN391" s="9" t="s">
        <v>583</v>
      </c>
      <c r="FO391" s="9" t="s">
        <v>485</v>
      </c>
      <c r="FP391" s="9" t="s">
        <v>486</v>
      </c>
      <c r="FQ391" s="9" t="s">
        <v>749</v>
      </c>
      <c r="FR391" s="9" t="s">
        <v>7809</v>
      </c>
      <c r="FS391" s="9" t="s">
        <v>420</v>
      </c>
      <c r="FT391" s="9" t="s">
        <v>1462</v>
      </c>
      <c r="FU391" s="9" t="s">
        <v>489</v>
      </c>
      <c r="FV391" s="9" t="s">
        <v>490</v>
      </c>
      <c r="FW391" s="9" t="s">
        <v>491</v>
      </c>
      <c r="FX391" s="9" t="s">
        <v>7810</v>
      </c>
      <c r="FY391" s="9" t="s">
        <v>535</v>
      </c>
      <c r="FZ391" s="9" t="s">
        <v>7811</v>
      </c>
      <c r="GB391" s="9" t="s">
        <v>455</v>
      </c>
      <c r="GC391" s="9"/>
      <c r="GE391" s="9" t="s">
        <v>855</v>
      </c>
      <c r="GF391" s="9" t="s">
        <v>7812</v>
      </c>
      <c r="GJ391" s="9" t="s">
        <v>755</v>
      </c>
      <c r="GK391" s="9" t="s">
        <v>755</v>
      </c>
      <c r="GL391" s="9" t="s">
        <v>946</v>
      </c>
      <c r="GP391" s="9" t="s">
        <v>387</v>
      </c>
      <c r="GQ391" s="9" t="s">
        <v>3208</v>
      </c>
      <c r="GR391" s="9" t="s">
        <v>4774</v>
      </c>
      <c r="GV391" s="9" t="s">
        <v>5231</v>
      </c>
      <c r="GW391" s="9" t="s">
        <v>5232</v>
      </c>
      <c r="GX391" s="9" t="s">
        <v>5262</v>
      </c>
      <c r="GY391" s="9" t="s">
        <v>5233</v>
      </c>
      <c r="GZ391" s="9" t="s">
        <v>484</v>
      </c>
      <c r="HA391" s="9" t="s">
        <v>484</v>
      </c>
      <c r="HB391" s="9" t="s">
        <v>7008</v>
      </c>
      <c r="HO391" s="9" t="s">
        <v>5346</v>
      </c>
      <c r="HP391" s="9" t="s">
        <v>5302</v>
      </c>
      <c r="HQ391" s="9" t="s">
        <v>5238</v>
      </c>
      <c r="HR391" s="9" t="s">
        <v>5287</v>
      </c>
      <c r="MJ391" s="9" t="s">
        <v>6321</v>
      </c>
    </row>
    <row r="392" ht="22.5" customHeight="1">
      <c r="A392" s="8">
        <v>45979.000607615744</v>
      </c>
      <c r="B392" s="9" t="s">
        <v>368</v>
      </c>
      <c r="C392" s="9" t="s">
        <v>370</v>
      </c>
      <c r="D392" s="9" t="s">
        <v>370</v>
      </c>
      <c r="E392" s="9" t="s">
        <v>2388</v>
      </c>
      <c r="F392" s="9" t="s">
        <v>2388</v>
      </c>
      <c r="G392" s="9" t="s">
        <v>422</v>
      </c>
      <c r="H392" s="9" t="s">
        <v>496</v>
      </c>
      <c r="I392" s="9" t="s">
        <v>424</v>
      </c>
      <c r="J392" s="9" t="s">
        <v>425</v>
      </c>
      <c r="K392" s="9" t="s">
        <v>376</v>
      </c>
      <c r="L392" s="9" t="s">
        <v>379</v>
      </c>
      <c r="M392" s="9" t="s">
        <v>378</v>
      </c>
      <c r="N392" s="9" t="s">
        <v>379</v>
      </c>
      <c r="O392" s="9" t="s">
        <v>380</v>
      </c>
      <c r="P392" s="9" t="s">
        <v>381</v>
      </c>
      <c r="Q392" s="9" t="s">
        <v>382</v>
      </c>
      <c r="R392" s="9" t="s">
        <v>949</v>
      </c>
      <c r="S392" s="9" t="s">
        <v>384</v>
      </c>
      <c r="T392" s="9" t="s">
        <v>385</v>
      </c>
      <c r="W392" s="9" t="s">
        <v>593</v>
      </c>
      <c r="X392" s="9" t="s">
        <v>387</v>
      </c>
      <c r="Y392" s="9" t="s">
        <v>388</v>
      </c>
      <c r="Z392" s="9" t="s">
        <v>502</v>
      </c>
      <c r="AA392" s="9" t="s">
        <v>7813</v>
      </c>
      <c r="AB392" s="9" t="s">
        <v>7814</v>
      </c>
      <c r="AV392" s="9" t="s">
        <v>504</v>
      </c>
      <c r="AW392" s="9" t="s">
        <v>429</v>
      </c>
      <c r="AX392" s="9" t="s">
        <v>429</v>
      </c>
      <c r="AY392" s="9">
        <v>2.0</v>
      </c>
      <c r="AZ392" s="9" t="s">
        <v>429</v>
      </c>
      <c r="BA392" s="9" t="s">
        <v>429</v>
      </c>
      <c r="BB392" s="9" t="s">
        <v>429</v>
      </c>
      <c r="BC392" s="9" t="s">
        <v>7815</v>
      </c>
      <c r="BD392" s="9" t="s">
        <v>7816</v>
      </c>
      <c r="BE392" s="9" t="s">
        <v>432</v>
      </c>
      <c r="BF392" s="9" t="s">
        <v>433</v>
      </c>
      <c r="BG392" s="9" t="s">
        <v>678</v>
      </c>
      <c r="BI392" s="9" t="s">
        <v>509</v>
      </c>
      <c r="BJ392" s="9" t="s">
        <v>7817</v>
      </c>
      <c r="BK392" s="9" t="s">
        <v>511</v>
      </c>
      <c r="BL392" s="9" t="s">
        <v>512</v>
      </c>
      <c r="BM392" s="9" t="s">
        <v>549</v>
      </c>
      <c r="BN392" s="9" t="s">
        <v>513</v>
      </c>
      <c r="CL392" s="9" t="s">
        <v>441</v>
      </c>
      <c r="CM392" s="9" t="s">
        <v>604</v>
      </c>
      <c r="CN392" s="9" t="s">
        <v>7818</v>
      </c>
      <c r="CO392" s="9" t="s">
        <v>7819</v>
      </c>
      <c r="CP392" s="9" t="s">
        <v>445</v>
      </c>
      <c r="CQ392" s="9" t="s">
        <v>7820</v>
      </c>
      <c r="CR392" s="9" t="s">
        <v>447</v>
      </c>
      <c r="CS392" s="9" t="s">
        <v>7821</v>
      </c>
      <c r="CT392" s="9" t="s">
        <v>7822</v>
      </c>
      <c r="CU392" s="9" t="s">
        <v>519</v>
      </c>
      <c r="CV392" s="9" t="s">
        <v>451</v>
      </c>
      <c r="CW392" s="9" t="s">
        <v>7823</v>
      </c>
      <c r="CX392" s="9" t="s">
        <v>408</v>
      </c>
      <c r="CZ392" s="9" t="s">
        <v>453</v>
      </c>
      <c r="DA392" s="9" t="s">
        <v>7824</v>
      </c>
      <c r="DB392" s="9" t="s">
        <v>455</v>
      </c>
      <c r="DC392" s="9" t="s">
        <v>7825</v>
      </c>
      <c r="DD392" s="9" t="s">
        <v>662</v>
      </c>
      <c r="DF392" s="9" t="s">
        <v>7826</v>
      </c>
      <c r="DG392" s="9" t="s">
        <v>776</v>
      </c>
      <c r="DH392" s="9" t="s">
        <v>410</v>
      </c>
      <c r="DI392" s="9" t="s">
        <v>459</v>
      </c>
      <c r="DJ392" s="9" t="s">
        <v>460</v>
      </c>
      <c r="DK392" s="9" t="s">
        <v>6335</v>
      </c>
      <c r="ET392" s="9" t="s">
        <v>578</v>
      </c>
      <c r="EU392" s="9" t="s">
        <v>479</v>
      </c>
      <c r="EV392" s="9" t="s">
        <v>527</v>
      </c>
      <c r="EW392" s="9" t="s">
        <v>7827</v>
      </c>
      <c r="EX392" s="9" t="s">
        <v>4414</v>
      </c>
      <c r="EY392" s="9" t="s">
        <v>7828</v>
      </c>
      <c r="EZ392" s="9" t="s">
        <v>583</v>
      </c>
      <c r="FA392" s="9" t="s">
        <v>415</v>
      </c>
      <c r="FB392" s="9" t="s">
        <v>415</v>
      </c>
      <c r="FC392" s="9" t="s">
        <v>583</v>
      </c>
      <c r="FD392" s="9" t="s">
        <v>414</v>
      </c>
      <c r="FE392" s="9" t="s">
        <v>583</v>
      </c>
      <c r="FF392" s="9" t="s">
        <v>583</v>
      </c>
      <c r="FG392" s="9" t="s">
        <v>413</v>
      </c>
      <c r="FH392" s="9" t="s">
        <v>583</v>
      </c>
      <c r="FI392" s="9" t="s">
        <v>583</v>
      </c>
      <c r="FJ392" s="9" t="s">
        <v>583</v>
      </c>
      <c r="FK392" s="9" t="s">
        <v>414</v>
      </c>
      <c r="FL392" s="9" t="s">
        <v>583</v>
      </c>
      <c r="FM392" s="9" t="s">
        <v>413</v>
      </c>
      <c r="FN392" s="9" t="s">
        <v>583</v>
      </c>
      <c r="FO392" s="9" t="s">
        <v>850</v>
      </c>
      <c r="FP392" s="9" t="s">
        <v>486</v>
      </c>
      <c r="FQ392" s="9" t="s">
        <v>630</v>
      </c>
      <c r="FR392" s="9" t="s">
        <v>7829</v>
      </c>
      <c r="FS392" s="9" t="s">
        <v>1189</v>
      </c>
      <c r="FT392" s="9" t="s">
        <v>488</v>
      </c>
      <c r="FU392" s="9" t="s">
        <v>533</v>
      </c>
      <c r="FV392" s="9" t="s">
        <v>490</v>
      </c>
      <c r="FW392" s="9" t="s">
        <v>491</v>
      </c>
      <c r="FX392" s="9" t="s">
        <v>7830</v>
      </c>
      <c r="FY392" s="9" t="s">
        <v>535</v>
      </c>
      <c r="FZ392" s="9" t="s">
        <v>7831</v>
      </c>
      <c r="GB392" s="9" t="s">
        <v>455</v>
      </c>
      <c r="GC392" s="9"/>
      <c r="GD392" s="9"/>
      <c r="GE392" s="9" t="s">
        <v>1339</v>
      </c>
      <c r="GF392" s="9" t="s">
        <v>7832</v>
      </c>
      <c r="GG392" s="9" t="s">
        <v>788</v>
      </c>
      <c r="GH392" s="9" t="s">
        <v>788</v>
      </c>
      <c r="GI392" s="9" t="s">
        <v>790</v>
      </c>
      <c r="GQ392" s="9" t="s">
        <v>4653</v>
      </c>
      <c r="GT392" s="9" t="s">
        <v>5039</v>
      </c>
      <c r="GU392" s="9" t="s">
        <v>7833</v>
      </c>
      <c r="GV392" s="9" t="s">
        <v>5231</v>
      </c>
      <c r="GW392" s="9" t="s">
        <v>5232</v>
      </c>
      <c r="HC392" s="9" t="s">
        <v>5297</v>
      </c>
      <c r="HD392" s="9" t="s">
        <v>5298</v>
      </c>
      <c r="HE392" s="9" t="s">
        <v>5320</v>
      </c>
      <c r="HF392" s="9" t="s">
        <v>5284</v>
      </c>
      <c r="HO392" s="9" t="s">
        <v>5236</v>
      </c>
      <c r="HP392" s="9" t="s">
        <v>5237</v>
      </c>
      <c r="HQ392" s="9" t="s">
        <v>5238</v>
      </c>
      <c r="HR392" s="9" t="s">
        <v>7834</v>
      </c>
      <c r="HW392" s="9" t="s">
        <v>7835</v>
      </c>
      <c r="MJ392" s="9" t="s">
        <v>6321</v>
      </c>
    </row>
    <row r="393" ht="22.5" customHeight="1">
      <c r="A393" s="8">
        <v>45979.79978149306</v>
      </c>
      <c r="B393" s="9" t="s">
        <v>368</v>
      </c>
      <c r="C393" s="9" t="s">
        <v>370</v>
      </c>
      <c r="D393" s="9" t="s">
        <v>370</v>
      </c>
      <c r="E393" s="9" t="s">
        <v>1480</v>
      </c>
      <c r="F393" s="9" t="s">
        <v>1480</v>
      </c>
      <c r="G393" s="9" t="s">
        <v>422</v>
      </c>
      <c r="H393" s="9" t="s">
        <v>373</v>
      </c>
      <c r="I393" s="9" t="s">
        <v>374</v>
      </c>
      <c r="J393" s="9" t="s">
        <v>718</v>
      </c>
      <c r="K393" s="9" t="s">
        <v>376</v>
      </c>
      <c r="L393" s="9" t="s">
        <v>591</v>
      </c>
      <c r="M393" s="9" t="s">
        <v>541</v>
      </c>
      <c r="N393" s="9" t="s">
        <v>591</v>
      </c>
      <c r="O393" s="9" t="s">
        <v>2464</v>
      </c>
      <c r="P393" s="9" t="s">
        <v>498</v>
      </c>
      <c r="Q393" s="9" t="s">
        <v>382</v>
      </c>
      <c r="R393" s="9" t="s">
        <v>427</v>
      </c>
      <c r="S393" s="9" t="s">
        <v>384</v>
      </c>
      <c r="T393" s="9" t="s">
        <v>385</v>
      </c>
      <c r="W393" s="9" t="s">
        <v>3231</v>
      </c>
      <c r="AV393" s="9" t="s">
        <v>1242</v>
      </c>
      <c r="AW393" s="9" t="s">
        <v>675</v>
      </c>
      <c r="AX393" s="9" t="s">
        <v>675</v>
      </c>
      <c r="AY393" s="9" t="s">
        <v>675</v>
      </c>
      <c r="AZ393" s="9" t="s">
        <v>675</v>
      </c>
      <c r="BA393" s="9" t="s">
        <v>675</v>
      </c>
      <c r="BB393" s="9" t="s">
        <v>675</v>
      </c>
      <c r="BE393" s="9" t="s">
        <v>902</v>
      </c>
      <c r="BF393" s="9" t="s">
        <v>1245</v>
      </c>
      <c r="BG393" s="9" t="s">
        <v>394</v>
      </c>
      <c r="BI393" s="9" t="s">
        <v>435</v>
      </c>
      <c r="BL393" s="9" t="s">
        <v>438</v>
      </c>
      <c r="BM393" s="9" t="s">
        <v>1314</v>
      </c>
      <c r="BN393" s="9" t="s">
        <v>440</v>
      </c>
      <c r="CL393" s="9" t="s">
        <v>441</v>
      </c>
      <c r="CM393" s="9" t="s">
        <v>401</v>
      </c>
      <c r="CN393" s="9" t="s">
        <v>7836</v>
      </c>
      <c r="CO393" s="9" t="s">
        <v>7837</v>
      </c>
      <c r="CP393" s="9" t="s">
        <v>445</v>
      </c>
      <c r="CQ393" s="9" t="s">
        <v>1427</v>
      </c>
      <c r="CR393" s="9" t="s">
        <v>447</v>
      </c>
      <c r="CS393" s="9" t="s">
        <v>7838</v>
      </c>
      <c r="CU393" s="9" t="s">
        <v>519</v>
      </c>
      <c r="CV393" s="9" t="s">
        <v>451</v>
      </c>
      <c r="CX393" s="9" t="s">
        <v>455</v>
      </c>
      <c r="CY393" s="9" t="s">
        <v>7839</v>
      </c>
      <c r="CZ393" s="9" t="s">
        <v>453</v>
      </c>
      <c r="DA393" s="9" t="s">
        <v>7840</v>
      </c>
      <c r="DB393" s="9" t="s">
        <v>455</v>
      </c>
      <c r="DC393" s="9" t="s">
        <v>7841</v>
      </c>
      <c r="DD393" s="9" t="s">
        <v>406</v>
      </c>
      <c r="DE393" s="9" t="s">
        <v>691</v>
      </c>
      <c r="DF393" s="9" t="s">
        <v>7842</v>
      </c>
      <c r="DG393" s="9" t="s">
        <v>524</v>
      </c>
      <c r="DH393" s="9" t="s">
        <v>410</v>
      </c>
      <c r="DI393" s="9" t="s">
        <v>459</v>
      </c>
      <c r="DJ393" s="9" t="s">
        <v>613</v>
      </c>
      <c r="DM393" s="9" t="s">
        <v>7843</v>
      </c>
      <c r="DN393" s="9" t="s">
        <v>7844</v>
      </c>
      <c r="DO393" s="9" t="s">
        <v>567</v>
      </c>
      <c r="DP393" s="9" t="s">
        <v>7845</v>
      </c>
      <c r="DQ393" s="9" t="s">
        <v>1553</v>
      </c>
      <c r="DR393" s="9" t="s">
        <v>7846</v>
      </c>
      <c r="DS393" s="9" t="s">
        <v>618</v>
      </c>
      <c r="DT393" s="9" t="s">
        <v>1580</v>
      </c>
      <c r="DU393" s="9" t="s">
        <v>7847</v>
      </c>
      <c r="DV393" s="9" t="s">
        <v>7848</v>
      </c>
      <c r="DW393" s="9" t="s">
        <v>1328</v>
      </c>
      <c r="DX393" s="9" t="s">
        <v>7849</v>
      </c>
      <c r="DZ393" s="9" t="s">
        <v>7850</v>
      </c>
      <c r="EA393" s="9" t="s">
        <v>1413</v>
      </c>
      <c r="EB393" s="9" t="s">
        <v>626</v>
      </c>
      <c r="ET393" s="9" t="s">
        <v>526</v>
      </c>
      <c r="EU393" s="9" t="s">
        <v>479</v>
      </c>
      <c r="EV393" s="9" t="s">
        <v>480</v>
      </c>
      <c r="EX393" s="9" t="s">
        <v>7851</v>
      </c>
      <c r="EY393" s="9" t="s">
        <v>7852</v>
      </c>
      <c r="EZ393" s="9" t="s">
        <v>413</v>
      </c>
      <c r="FA393" s="9" t="s">
        <v>415</v>
      </c>
      <c r="FB393" s="9" t="s">
        <v>413</v>
      </c>
      <c r="FC393" s="9" t="s">
        <v>415</v>
      </c>
      <c r="FD393" s="9" t="s">
        <v>413</v>
      </c>
      <c r="FE393" s="9" t="s">
        <v>415</v>
      </c>
      <c r="FG393" s="9" t="s">
        <v>413</v>
      </c>
      <c r="FH393" s="9" t="s">
        <v>583</v>
      </c>
      <c r="FI393" s="9" t="s">
        <v>583</v>
      </c>
      <c r="FJ393" s="9" t="s">
        <v>415</v>
      </c>
      <c r="FK393" s="9" t="s">
        <v>415</v>
      </c>
      <c r="FL393" s="9" t="s">
        <v>583</v>
      </c>
      <c r="FM393" s="9" t="s">
        <v>413</v>
      </c>
      <c r="FN393" s="9" t="s">
        <v>415</v>
      </c>
      <c r="FO393" s="9" t="s">
        <v>417</v>
      </c>
      <c r="FP393" s="9" t="s">
        <v>418</v>
      </c>
      <c r="FQ393" s="9" t="s">
        <v>749</v>
      </c>
      <c r="FR393" s="9" t="s">
        <v>7853</v>
      </c>
      <c r="FS393" s="9" t="s">
        <v>420</v>
      </c>
      <c r="FT393" s="9" t="s">
        <v>488</v>
      </c>
      <c r="FU393" s="9" t="s">
        <v>533</v>
      </c>
      <c r="FV393" s="9" t="s">
        <v>490</v>
      </c>
      <c r="FW393" s="9" t="s">
        <v>491</v>
      </c>
      <c r="FX393" s="9" t="s">
        <v>7854</v>
      </c>
      <c r="FY393" s="9" t="s">
        <v>535</v>
      </c>
      <c r="FZ393" s="9" t="s">
        <v>7855</v>
      </c>
      <c r="GB393" s="9" t="s">
        <v>455</v>
      </c>
      <c r="GC393" s="9"/>
      <c r="GE393" s="9" t="s">
        <v>944</v>
      </c>
      <c r="GG393" s="9" t="s">
        <v>755</v>
      </c>
      <c r="GH393" s="9" t="s">
        <v>1000</v>
      </c>
      <c r="GI393" s="9" t="s">
        <v>946</v>
      </c>
      <c r="GM393" s="9" t="s">
        <v>1079</v>
      </c>
      <c r="GP393" s="9" t="s">
        <v>387</v>
      </c>
      <c r="GQ393" s="9" t="s">
        <v>3208</v>
      </c>
      <c r="GT393" s="9" t="s">
        <v>4774</v>
      </c>
      <c r="GV393" s="9" t="s">
        <v>5231</v>
      </c>
      <c r="GW393" s="9" t="s">
        <v>5232</v>
      </c>
      <c r="HC393" s="9" t="s">
        <v>5297</v>
      </c>
      <c r="HD393" s="9" t="s">
        <v>5282</v>
      </c>
      <c r="HE393" s="9" t="s">
        <v>5718</v>
      </c>
      <c r="HF393" s="9" t="s">
        <v>5493</v>
      </c>
      <c r="HG393" s="9" t="s">
        <v>7856</v>
      </c>
      <c r="HH393" s="9" t="s">
        <v>5495</v>
      </c>
      <c r="HI393" s="9" t="s">
        <v>7857</v>
      </c>
      <c r="HJ393" s="9" t="s">
        <v>7858</v>
      </c>
      <c r="HO393" s="9" t="s">
        <v>5346</v>
      </c>
      <c r="HP393" s="9" t="s">
        <v>5237</v>
      </c>
      <c r="HQ393" s="9" t="s">
        <v>5238</v>
      </c>
      <c r="HR393" s="9" t="s">
        <v>5321</v>
      </c>
      <c r="HW393" s="9" t="s">
        <v>6274</v>
      </c>
      <c r="IN393" s="9" t="s">
        <v>5500</v>
      </c>
      <c r="IO393" s="9" t="s">
        <v>5500</v>
      </c>
      <c r="IP393" s="9" t="s">
        <v>5500</v>
      </c>
      <c r="IQ393" s="9" t="s">
        <v>5500</v>
      </c>
      <c r="IR393" s="9" t="s">
        <v>5500</v>
      </c>
      <c r="IS393" s="9" t="s">
        <v>5500</v>
      </c>
      <c r="MJ393" s="9" t="s">
        <v>6321</v>
      </c>
    </row>
    <row r="394" ht="22.5" customHeight="1">
      <c r="A394" s="8">
        <v>45979.966553935184</v>
      </c>
      <c r="B394" s="9" t="s">
        <v>368</v>
      </c>
      <c r="C394" s="9" t="s">
        <v>1703</v>
      </c>
      <c r="D394" s="9" t="s">
        <v>370</v>
      </c>
      <c r="F394" s="9" t="s">
        <v>1421</v>
      </c>
      <c r="G394" s="9" t="s">
        <v>422</v>
      </c>
      <c r="H394" s="9" t="s">
        <v>373</v>
      </c>
      <c r="I394" s="9" t="s">
        <v>374</v>
      </c>
      <c r="J394" s="9" t="s">
        <v>375</v>
      </c>
      <c r="K394" s="9" t="s">
        <v>376</v>
      </c>
      <c r="L394" s="9" t="s">
        <v>670</v>
      </c>
      <c r="M394" s="9" t="s">
        <v>378</v>
      </c>
      <c r="N394" s="9" t="s">
        <v>670</v>
      </c>
      <c r="O394" s="9" t="s">
        <v>1270</v>
      </c>
      <c r="P394" s="9" t="s">
        <v>498</v>
      </c>
      <c r="Q394" s="9" t="s">
        <v>1004</v>
      </c>
      <c r="R394" s="9" t="s">
        <v>500</v>
      </c>
      <c r="S394" s="9" t="s">
        <v>1705</v>
      </c>
      <c r="T394" s="9" t="s">
        <v>385</v>
      </c>
      <c r="W394" s="9" t="s">
        <v>3231</v>
      </c>
      <c r="AV394" s="9" t="s">
        <v>1310</v>
      </c>
      <c r="AW394" s="9" t="s">
        <v>675</v>
      </c>
      <c r="AX394" s="9" t="s">
        <v>675</v>
      </c>
      <c r="AY394" s="9" t="s">
        <v>675</v>
      </c>
      <c r="AZ394" s="9" t="s">
        <v>391</v>
      </c>
      <c r="BA394" s="9">
        <v>4.0</v>
      </c>
      <c r="BB394" s="9" t="s">
        <v>675</v>
      </c>
      <c r="BE394" s="9" t="s">
        <v>432</v>
      </c>
      <c r="BF394" s="9" t="s">
        <v>1095</v>
      </c>
      <c r="BG394" s="9" t="s">
        <v>765</v>
      </c>
      <c r="BH394" s="9" t="s">
        <v>7859</v>
      </c>
      <c r="BI394" s="9" t="s">
        <v>976</v>
      </c>
      <c r="BK394" s="9" t="s">
        <v>681</v>
      </c>
      <c r="BL394" s="9" t="s">
        <v>603</v>
      </c>
      <c r="BM394" s="9" t="s">
        <v>1247</v>
      </c>
      <c r="BN394" s="9" t="s">
        <v>513</v>
      </c>
      <c r="CL394" s="9" t="s">
        <v>441</v>
      </c>
      <c r="CM394" s="9" t="s">
        <v>604</v>
      </c>
      <c r="CN394" s="9" t="s">
        <v>1313</v>
      </c>
      <c r="CO394" s="9" t="s">
        <v>7860</v>
      </c>
      <c r="CP394" s="9" t="s">
        <v>1008</v>
      </c>
      <c r="CQ394" s="9" t="s">
        <v>1649</v>
      </c>
      <c r="CR394" s="9" t="s">
        <v>404</v>
      </c>
      <c r="CS394" s="9" t="s">
        <v>1147</v>
      </c>
      <c r="CT394" s="9" t="s">
        <v>7861</v>
      </c>
      <c r="CU394" s="9" t="s">
        <v>1852</v>
      </c>
      <c r="CV394" s="9" t="s">
        <v>1931</v>
      </c>
      <c r="CX394" s="9" t="s">
        <v>408</v>
      </c>
      <c r="CZ394" s="9" t="s">
        <v>1962</v>
      </c>
      <c r="DB394" s="9" t="s">
        <v>408</v>
      </c>
      <c r="DD394" s="9" t="s">
        <v>406</v>
      </c>
      <c r="DF394" s="9" t="s">
        <v>7862</v>
      </c>
      <c r="DG394" s="9" t="s">
        <v>693</v>
      </c>
      <c r="DH394" s="9" t="s">
        <v>833</v>
      </c>
      <c r="DI394" s="9" t="s">
        <v>459</v>
      </c>
      <c r="DJ394" s="9" t="s">
        <v>613</v>
      </c>
      <c r="ET394" s="9" t="s">
        <v>578</v>
      </c>
      <c r="EU394" s="9" t="s">
        <v>479</v>
      </c>
      <c r="EV394" s="9" t="s">
        <v>1534</v>
      </c>
      <c r="EX394" s="9" t="s">
        <v>1313</v>
      </c>
      <c r="EY394" s="9" t="s">
        <v>1313</v>
      </c>
      <c r="EZ394" s="9" t="s">
        <v>416</v>
      </c>
      <c r="FA394" s="9" t="s">
        <v>415</v>
      </c>
      <c r="FB394" s="9" t="s">
        <v>415</v>
      </c>
      <c r="FC394" s="9" t="s">
        <v>415</v>
      </c>
      <c r="FD394" s="9" t="s">
        <v>416</v>
      </c>
      <c r="FE394" s="9" t="s">
        <v>414</v>
      </c>
      <c r="FF394" s="9" t="s">
        <v>415</v>
      </c>
      <c r="FG394" s="9" t="s">
        <v>413</v>
      </c>
      <c r="FH394" s="9" t="s">
        <v>583</v>
      </c>
      <c r="FI394" s="9" t="s">
        <v>583</v>
      </c>
      <c r="FJ394" s="9" t="s">
        <v>415</v>
      </c>
      <c r="FK394" s="9" t="s">
        <v>415</v>
      </c>
      <c r="FL394" s="9" t="s">
        <v>415</v>
      </c>
      <c r="FM394" s="9" t="s">
        <v>416</v>
      </c>
      <c r="FN394" s="9" t="s">
        <v>414</v>
      </c>
      <c r="FO394" s="9" t="s">
        <v>850</v>
      </c>
      <c r="FP394" s="9" t="s">
        <v>418</v>
      </c>
      <c r="FQ394" s="9" t="s">
        <v>749</v>
      </c>
      <c r="FS394" s="9" t="s">
        <v>995</v>
      </c>
      <c r="FT394" s="9" t="s">
        <v>1462</v>
      </c>
      <c r="FU394" s="9" t="s">
        <v>918</v>
      </c>
      <c r="FV394" s="9" t="s">
        <v>490</v>
      </c>
      <c r="FW394" s="9" t="s">
        <v>1853</v>
      </c>
      <c r="FY394" s="9" t="s">
        <v>493</v>
      </c>
      <c r="GB394" s="9" t="s">
        <v>408</v>
      </c>
      <c r="GG394" s="9" t="s">
        <v>788</v>
      </c>
      <c r="GH394" s="9" t="s">
        <v>920</v>
      </c>
      <c r="GI394" s="9" t="s">
        <v>858</v>
      </c>
      <c r="GP394" s="9" t="s">
        <v>1706</v>
      </c>
      <c r="GQ394" s="9" t="s">
        <v>3306</v>
      </c>
      <c r="GT394" s="9" t="s">
        <v>4774</v>
      </c>
      <c r="GV394" s="9" t="s">
        <v>5231</v>
      </c>
      <c r="GW394" s="9" t="s">
        <v>5232</v>
      </c>
      <c r="HC394" s="9" t="s">
        <v>5297</v>
      </c>
      <c r="HD394" s="9" t="s">
        <v>5298</v>
      </c>
      <c r="HE394" s="9" t="s">
        <v>5492</v>
      </c>
      <c r="HF394" s="9" t="s">
        <v>5493</v>
      </c>
      <c r="HO394" s="9" t="s">
        <v>5383</v>
      </c>
      <c r="HP394" s="9" t="s">
        <v>5302</v>
      </c>
      <c r="HQ394" s="9" t="s">
        <v>5801</v>
      </c>
      <c r="HR394" s="9" t="s">
        <v>5321</v>
      </c>
      <c r="HW394" s="9" t="s">
        <v>5971</v>
      </c>
      <c r="MJ394" s="9" t="s">
        <v>6321</v>
      </c>
    </row>
    <row r="395" ht="22.5" customHeight="1">
      <c r="A395" s="8">
        <v>45980.70007561342</v>
      </c>
      <c r="B395" s="9" t="s">
        <v>368</v>
      </c>
      <c r="C395" s="9" t="s">
        <v>370</v>
      </c>
      <c r="D395" s="9" t="s">
        <v>370</v>
      </c>
      <c r="E395" s="9" t="s">
        <v>3955</v>
      </c>
      <c r="F395" s="9" t="s">
        <v>1480</v>
      </c>
      <c r="G395" s="9" t="s">
        <v>422</v>
      </c>
      <c r="H395" s="9" t="s">
        <v>373</v>
      </c>
      <c r="I395" s="9" t="s">
        <v>374</v>
      </c>
      <c r="J395" s="9" t="s">
        <v>375</v>
      </c>
      <c r="K395" s="9" t="s">
        <v>376</v>
      </c>
      <c r="L395" s="9" t="s">
        <v>793</v>
      </c>
      <c r="M395" s="9" t="s">
        <v>719</v>
      </c>
      <c r="N395" s="9" t="s">
        <v>793</v>
      </c>
      <c r="O395" s="9" t="s">
        <v>719</v>
      </c>
      <c r="P395" s="9" t="s">
        <v>592</v>
      </c>
      <c r="Q395" s="9" t="s">
        <v>382</v>
      </c>
      <c r="R395" s="9" t="s">
        <v>427</v>
      </c>
      <c r="S395" s="9" t="s">
        <v>384</v>
      </c>
      <c r="T395" s="9" t="s">
        <v>385</v>
      </c>
      <c r="W395" s="9" t="s">
        <v>1023</v>
      </c>
      <c r="AV395" s="9" t="s">
        <v>597</v>
      </c>
      <c r="AW395" s="9">
        <v>4.0</v>
      </c>
      <c r="AX395" s="9">
        <v>2.0</v>
      </c>
      <c r="AY395" s="9" t="s">
        <v>391</v>
      </c>
      <c r="AZ395" s="9" t="s">
        <v>391</v>
      </c>
      <c r="BA395" s="9">
        <v>2.0</v>
      </c>
      <c r="BB395" s="9" t="s">
        <v>391</v>
      </c>
      <c r="BC395" s="9" t="s">
        <v>7863</v>
      </c>
      <c r="BD395" s="9" t="s">
        <v>7864</v>
      </c>
      <c r="BE395" s="9" t="s">
        <v>432</v>
      </c>
      <c r="BF395" s="9" t="s">
        <v>393</v>
      </c>
      <c r="BG395" s="9" t="s">
        <v>765</v>
      </c>
      <c r="BH395" s="9" t="s">
        <v>7865</v>
      </c>
      <c r="BI395" s="9" t="s">
        <v>509</v>
      </c>
      <c r="BJ395" s="9" t="s">
        <v>7866</v>
      </c>
      <c r="BK395" s="9" t="s">
        <v>681</v>
      </c>
      <c r="BL395" s="9" t="s">
        <v>438</v>
      </c>
      <c r="BM395" s="9" t="s">
        <v>397</v>
      </c>
      <c r="BN395" s="9" t="s">
        <v>440</v>
      </c>
      <c r="CL395" s="9" t="s">
        <v>441</v>
      </c>
      <c r="CM395" s="9" t="s">
        <v>401</v>
      </c>
      <c r="CN395" s="9" t="s">
        <v>7867</v>
      </c>
      <c r="CO395" s="9" t="s">
        <v>7868</v>
      </c>
      <c r="CP395" s="9" t="s">
        <v>403</v>
      </c>
      <c r="CQ395" s="9" t="s">
        <v>1427</v>
      </c>
      <c r="CR395" s="9" t="s">
        <v>447</v>
      </c>
      <c r="CS395" s="9" t="s">
        <v>1137</v>
      </c>
      <c r="CT395" s="9" t="s">
        <v>7869</v>
      </c>
      <c r="CU395" s="9" t="s">
        <v>519</v>
      </c>
      <c r="CV395" s="9" t="s">
        <v>451</v>
      </c>
      <c r="CW395" s="9" t="s">
        <v>7870</v>
      </c>
      <c r="CX395" s="9" t="s">
        <v>408</v>
      </c>
      <c r="CZ395" s="9" t="s">
        <v>453</v>
      </c>
      <c r="DA395" s="9" t="s">
        <v>7871</v>
      </c>
      <c r="DB395" s="9" t="s">
        <v>455</v>
      </c>
      <c r="DC395" s="9" t="s">
        <v>7872</v>
      </c>
      <c r="DD395" s="9" t="s">
        <v>406</v>
      </c>
      <c r="DE395" s="9" t="s">
        <v>691</v>
      </c>
      <c r="DF395" s="9" t="s">
        <v>7873</v>
      </c>
      <c r="DG395" s="9" t="s">
        <v>524</v>
      </c>
      <c r="DH395" s="9" t="s">
        <v>1964</v>
      </c>
      <c r="DI395" s="9" t="s">
        <v>459</v>
      </c>
      <c r="DJ395" s="9" t="s">
        <v>613</v>
      </c>
      <c r="DM395" s="9" t="s">
        <v>7874</v>
      </c>
      <c r="DN395" s="9" t="s">
        <v>7875</v>
      </c>
      <c r="DO395" s="9" t="s">
        <v>567</v>
      </c>
      <c r="DP395" s="9" t="s">
        <v>7876</v>
      </c>
      <c r="DQ395" s="9" t="s">
        <v>1291</v>
      </c>
      <c r="DR395" s="9" t="s">
        <v>7877</v>
      </c>
      <c r="DS395" s="9" t="s">
        <v>702</v>
      </c>
      <c r="DT395" s="9" t="s">
        <v>570</v>
      </c>
      <c r="DU395" s="9" t="s">
        <v>7878</v>
      </c>
      <c r="DV395" s="9" t="s">
        <v>7879</v>
      </c>
      <c r="DW395" s="9" t="s">
        <v>622</v>
      </c>
      <c r="DX395" s="9" t="s">
        <v>7880</v>
      </c>
      <c r="DY395" s="9" t="s">
        <v>7881</v>
      </c>
      <c r="DZ395" s="9" t="s">
        <v>7882</v>
      </c>
      <c r="EA395" s="9" t="s">
        <v>475</v>
      </c>
      <c r="EB395" s="9" t="s">
        <v>845</v>
      </c>
      <c r="EC395" s="9" t="s">
        <v>7883</v>
      </c>
      <c r="ET395" s="9" t="s">
        <v>526</v>
      </c>
      <c r="EU395" s="9" t="s">
        <v>479</v>
      </c>
      <c r="EV395" s="9" t="s">
        <v>663</v>
      </c>
      <c r="EX395" s="9" t="s">
        <v>7884</v>
      </c>
      <c r="EZ395" s="9" t="s">
        <v>413</v>
      </c>
      <c r="FA395" s="9" t="s">
        <v>413</v>
      </c>
      <c r="FB395" s="9" t="s">
        <v>413</v>
      </c>
      <c r="FC395" s="9" t="s">
        <v>413</v>
      </c>
      <c r="FD395" s="9" t="s">
        <v>413</v>
      </c>
      <c r="FE395" s="9" t="s">
        <v>413</v>
      </c>
      <c r="FF395" s="9" t="s">
        <v>413</v>
      </c>
      <c r="FG395" s="9" t="s">
        <v>415</v>
      </c>
      <c r="FH395" s="9" t="s">
        <v>583</v>
      </c>
      <c r="FI395" s="9" t="s">
        <v>583</v>
      </c>
      <c r="FJ395" s="9" t="s">
        <v>484</v>
      </c>
      <c r="FK395" s="9" t="s">
        <v>484</v>
      </c>
      <c r="FL395" s="9" t="s">
        <v>484</v>
      </c>
      <c r="FM395" s="9" t="s">
        <v>484</v>
      </c>
      <c r="FN395" s="9" t="s">
        <v>484</v>
      </c>
      <c r="FO395" s="9" t="s">
        <v>417</v>
      </c>
      <c r="FP395" s="9" t="s">
        <v>418</v>
      </c>
      <c r="FQ395" s="9" t="s">
        <v>712</v>
      </c>
      <c r="FS395" s="9" t="s">
        <v>420</v>
      </c>
      <c r="FT395" s="9" t="s">
        <v>488</v>
      </c>
      <c r="FU395" s="9" t="s">
        <v>918</v>
      </c>
      <c r="FV395" s="9" t="s">
        <v>490</v>
      </c>
      <c r="FW395" s="9" t="s">
        <v>491</v>
      </c>
      <c r="FX395" s="9" t="s">
        <v>7885</v>
      </c>
      <c r="FY395" s="9" t="s">
        <v>493</v>
      </c>
      <c r="GB395" s="9" t="s">
        <v>408</v>
      </c>
      <c r="GG395" s="9" t="s">
        <v>857</v>
      </c>
      <c r="GH395" s="9" t="s">
        <v>857</v>
      </c>
      <c r="GI395" s="9" t="s">
        <v>756</v>
      </c>
      <c r="GM395" s="9" t="s">
        <v>1079</v>
      </c>
      <c r="GQ395" s="9" t="s">
        <v>3208</v>
      </c>
      <c r="GT395" s="9" t="s">
        <v>4774</v>
      </c>
      <c r="GU395" s="9" t="s">
        <v>7886</v>
      </c>
      <c r="GV395" s="9" t="s">
        <v>5231</v>
      </c>
      <c r="GW395" s="9" t="s">
        <v>484</v>
      </c>
      <c r="HC395" s="9" t="s">
        <v>5297</v>
      </c>
      <c r="HD395" s="9" t="s">
        <v>5282</v>
      </c>
      <c r="HE395" s="9" t="s">
        <v>5492</v>
      </c>
      <c r="HF395" s="9" t="s">
        <v>5768</v>
      </c>
      <c r="HG395" s="9" t="s">
        <v>7887</v>
      </c>
      <c r="HH395" s="9" t="s">
        <v>6631</v>
      </c>
      <c r="HI395" s="9" t="s">
        <v>7888</v>
      </c>
      <c r="HJ395" s="9" t="s">
        <v>7889</v>
      </c>
      <c r="HO395" s="9" t="s">
        <v>5285</v>
      </c>
      <c r="HP395" s="9" t="s">
        <v>5371</v>
      </c>
      <c r="HQ395" s="9" t="s">
        <v>5238</v>
      </c>
      <c r="HR395" s="9" t="s">
        <v>5321</v>
      </c>
      <c r="HW395" s="9" t="s">
        <v>6859</v>
      </c>
      <c r="IN395" s="9" t="s">
        <v>5500</v>
      </c>
      <c r="IO395" s="9" t="s">
        <v>5536</v>
      </c>
      <c r="IP395" s="9" t="s">
        <v>5536</v>
      </c>
      <c r="IQ395" s="9" t="s">
        <v>5500</v>
      </c>
      <c r="IR395" s="9" t="s">
        <v>5500</v>
      </c>
      <c r="IS395" s="9" t="s">
        <v>5536</v>
      </c>
      <c r="MJ395" s="9" t="s">
        <v>6321</v>
      </c>
    </row>
    <row r="396" ht="22.5" customHeight="1">
      <c r="A396" s="8">
        <v>45983.2148534375</v>
      </c>
      <c r="B396" s="9" t="s">
        <v>368</v>
      </c>
      <c r="C396" s="9" t="s">
        <v>2025</v>
      </c>
      <c r="D396" s="9" t="s">
        <v>2025</v>
      </c>
      <c r="G396" s="9" t="s">
        <v>422</v>
      </c>
      <c r="H396" s="9" t="s">
        <v>423</v>
      </c>
      <c r="I396" s="9" t="s">
        <v>668</v>
      </c>
      <c r="J396" s="9" t="s">
        <v>1240</v>
      </c>
      <c r="K396" s="9" t="s">
        <v>376</v>
      </c>
      <c r="L396" s="9" t="s">
        <v>426</v>
      </c>
      <c r="M396" s="9" t="s">
        <v>378</v>
      </c>
      <c r="N396" s="9" t="s">
        <v>591</v>
      </c>
      <c r="O396" s="9" t="s">
        <v>541</v>
      </c>
      <c r="P396" s="9" t="s">
        <v>498</v>
      </c>
      <c r="Q396" s="9" t="s">
        <v>818</v>
      </c>
      <c r="R396" s="9" t="s">
        <v>427</v>
      </c>
      <c r="S396" s="9" t="s">
        <v>384</v>
      </c>
      <c r="T396" s="9" t="s">
        <v>385</v>
      </c>
      <c r="W396" s="9" t="s">
        <v>593</v>
      </c>
      <c r="X396" s="9" t="s">
        <v>387</v>
      </c>
      <c r="Y396" s="9" t="s">
        <v>388</v>
      </c>
      <c r="Z396" s="9" t="s">
        <v>543</v>
      </c>
      <c r="AV396" s="9" t="s">
        <v>390</v>
      </c>
      <c r="AW396" s="9">
        <v>2.0</v>
      </c>
      <c r="AX396" s="9">
        <v>2.0</v>
      </c>
      <c r="AY396" s="9">
        <v>2.0</v>
      </c>
      <c r="AZ396" s="9">
        <v>2.0</v>
      </c>
      <c r="BA396" s="9" t="s">
        <v>429</v>
      </c>
      <c r="BB396" s="9" t="s">
        <v>429</v>
      </c>
      <c r="BE396" s="9" t="s">
        <v>392</v>
      </c>
      <c r="BF396" s="9" t="s">
        <v>433</v>
      </c>
      <c r="BG396" s="9" t="s">
        <v>725</v>
      </c>
      <c r="BI396" s="9" t="s">
        <v>727</v>
      </c>
      <c r="BK396" s="9" t="s">
        <v>437</v>
      </c>
      <c r="BL396" s="9" t="s">
        <v>512</v>
      </c>
      <c r="BM396" s="9" t="s">
        <v>549</v>
      </c>
      <c r="BN396" s="9" t="s">
        <v>513</v>
      </c>
      <c r="CL396" s="9" t="s">
        <v>441</v>
      </c>
      <c r="CM396" s="9" t="s">
        <v>401</v>
      </c>
      <c r="CN396" s="9" t="s">
        <v>552</v>
      </c>
      <c r="CO396" s="9" t="s">
        <v>7890</v>
      </c>
      <c r="CP396" s="9" t="s">
        <v>979</v>
      </c>
      <c r="CQ396" s="9" t="s">
        <v>7891</v>
      </c>
      <c r="CR396" s="9" t="s">
        <v>804</v>
      </c>
      <c r="CS396" s="9" t="s">
        <v>7892</v>
      </c>
      <c r="CT396" s="9" t="s">
        <v>7893</v>
      </c>
      <c r="CU396" s="9" t="s">
        <v>519</v>
      </c>
      <c r="CV396" s="9" t="s">
        <v>451</v>
      </c>
      <c r="CX396" s="9" t="s">
        <v>408</v>
      </c>
      <c r="CZ396" s="9" t="s">
        <v>453</v>
      </c>
      <c r="DB396" s="9" t="s">
        <v>455</v>
      </c>
      <c r="DC396" s="9" t="s">
        <v>7894</v>
      </c>
      <c r="DD396" s="9" t="s">
        <v>406</v>
      </c>
      <c r="DE396" s="9" t="s">
        <v>407</v>
      </c>
      <c r="DF396" s="9" t="s">
        <v>7895</v>
      </c>
      <c r="DG396" s="9" t="s">
        <v>524</v>
      </c>
      <c r="DH396" s="9" t="s">
        <v>410</v>
      </c>
      <c r="DI396" s="9" t="s">
        <v>459</v>
      </c>
      <c r="DJ396" s="9" t="s">
        <v>613</v>
      </c>
      <c r="ET396" s="9" t="s">
        <v>526</v>
      </c>
      <c r="EU396" s="9" t="s">
        <v>579</v>
      </c>
      <c r="EV396" s="9" t="s">
        <v>480</v>
      </c>
      <c r="EZ396" s="9" t="s">
        <v>413</v>
      </c>
      <c r="FA396" s="9" t="s">
        <v>414</v>
      </c>
      <c r="FB396" s="9" t="s">
        <v>413</v>
      </c>
      <c r="FC396" s="9" t="s">
        <v>413</v>
      </c>
      <c r="FD396" s="9" t="s">
        <v>413</v>
      </c>
      <c r="FE396" s="9" t="s">
        <v>414</v>
      </c>
      <c r="FF396" s="9" t="s">
        <v>416</v>
      </c>
      <c r="FG396" s="9" t="s">
        <v>416</v>
      </c>
      <c r="FH396" s="9" t="s">
        <v>583</v>
      </c>
      <c r="FI396" s="9" t="s">
        <v>416</v>
      </c>
      <c r="FJ396" s="9" t="s">
        <v>414</v>
      </c>
      <c r="FK396" s="9" t="s">
        <v>414</v>
      </c>
      <c r="FL396" s="9" t="s">
        <v>583</v>
      </c>
      <c r="FM396" s="9" t="s">
        <v>414</v>
      </c>
      <c r="FN396" s="9" t="s">
        <v>414</v>
      </c>
      <c r="FO396" s="9" t="s">
        <v>417</v>
      </c>
      <c r="FP396" s="9" t="s">
        <v>486</v>
      </c>
      <c r="FQ396" s="9" t="s">
        <v>712</v>
      </c>
      <c r="FS396" s="9" t="s">
        <v>420</v>
      </c>
      <c r="FT396" s="9" t="s">
        <v>488</v>
      </c>
      <c r="FU396" s="9" t="s">
        <v>1235</v>
      </c>
      <c r="FV396" s="9" t="s">
        <v>490</v>
      </c>
      <c r="FY396" s="9" t="s">
        <v>493</v>
      </c>
      <c r="GB396" s="9" t="s">
        <v>408</v>
      </c>
      <c r="GG396" s="9" t="s">
        <v>755</v>
      </c>
      <c r="GH396" s="9" t="s">
        <v>755</v>
      </c>
      <c r="GI396" s="9" t="s">
        <v>946</v>
      </c>
      <c r="GQ396" s="9" t="s">
        <v>3208</v>
      </c>
      <c r="GV396" s="9" t="s">
        <v>5231</v>
      </c>
      <c r="GW396" s="9" t="s">
        <v>5232</v>
      </c>
      <c r="HC396" s="9" t="s">
        <v>5281</v>
      </c>
      <c r="HD396" s="9" t="s">
        <v>5282</v>
      </c>
      <c r="HE396" s="9" t="s">
        <v>484</v>
      </c>
      <c r="HF396" s="9" t="s">
        <v>5300</v>
      </c>
      <c r="HO396" s="9" t="s">
        <v>5285</v>
      </c>
      <c r="HP396" s="9" t="s">
        <v>5371</v>
      </c>
      <c r="HQ396" s="9" t="s">
        <v>5238</v>
      </c>
      <c r="HR396" s="9" t="s">
        <v>5239</v>
      </c>
      <c r="HW396" s="9" t="s">
        <v>5628</v>
      </c>
      <c r="MJ396" s="9" t="s">
        <v>6321</v>
      </c>
    </row>
    <row r="397" ht="22.5" customHeight="1">
      <c r="A397" s="8">
        <v>45983.6917247338</v>
      </c>
      <c r="B397" s="9" t="s">
        <v>368</v>
      </c>
      <c r="C397" s="9" t="s">
        <v>370</v>
      </c>
      <c r="D397" s="9" t="s">
        <v>370</v>
      </c>
      <c r="E397" s="9" t="s">
        <v>2400</v>
      </c>
      <c r="F397" s="9" t="s">
        <v>2400</v>
      </c>
      <c r="G397" s="9" t="s">
        <v>422</v>
      </c>
      <c r="H397" s="9" t="s">
        <v>373</v>
      </c>
      <c r="I397" s="9" t="s">
        <v>374</v>
      </c>
      <c r="J397" s="9" t="s">
        <v>375</v>
      </c>
      <c r="K397" s="9" t="s">
        <v>376</v>
      </c>
      <c r="L397" s="9" t="s">
        <v>426</v>
      </c>
      <c r="M397" s="9" t="s">
        <v>541</v>
      </c>
      <c r="N397" s="9" t="s">
        <v>379</v>
      </c>
      <c r="O397" s="9" t="s">
        <v>497</v>
      </c>
      <c r="P397" s="9" t="s">
        <v>381</v>
      </c>
      <c r="Q397" s="9" t="s">
        <v>862</v>
      </c>
      <c r="R397" s="9" t="s">
        <v>949</v>
      </c>
      <c r="S397" s="9" t="s">
        <v>384</v>
      </c>
      <c r="T397" s="9" t="s">
        <v>385</v>
      </c>
      <c r="W397" s="9" t="s">
        <v>3014</v>
      </c>
      <c r="AV397" s="9" t="s">
        <v>504</v>
      </c>
      <c r="AW397" s="9" t="s">
        <v>391</v>
      </c>
      <c r="AX397" s="9" t="s">
        <v>391</v>
      </c>
      <c r="AY397" s="9" t="s">
        <v>391</v>
      </c>
      <c r="AZ397" s="9" t="s">
        <v>429</v>
      </c>
      <c r="BA397" s="9" t="s">
        <v>429</v>
      </c>
      <c r="BB397" s="9">
        <v>2.0</v>
      </c>
      <c r="BC397" s="9" t="s">
        <v>7896</v>
      </c>
      <c r="BE397" s="9" t="s">
        <v>392</v>
      </c>
      <c r="BF397" s="9" t="s">
        <v>433</v>
      </c>
      <c r="BG397" s="9" t="s">
        <v>678</v>
      </c>
      <c r="BI397" s="9" t="s">
        <v>435</v>
      </c>
      <c r="BK397" s="9" t="s">
        <v>511</v>
      </c>
      <c r="BL397" s="9" t="s">
        <v>438</v>
      </c>
      <c r="BM397" s="9" t="s">
        <v>549</v>
      </c>
      <c r="BN397" s="9" t="s">
        <v>440</v>
      </c>
      <c r="CL397" s="9" t="s">
        <v>441</v>
      </c>
      <c r="CM397" s="9" t="s">
        <v>604</v>
      </c>
      <c r="CN397" s="9" t="s">
        <v>7897</v>
      </c>
      <c r="CO397" s="9" t="s">
        <v>7898</v>
      </c>
      <c r="CP397" s="9" t="s">
        <v>979</v>
      </c>
      <c r="CQ397" s="9" t="s">
        <v>7899</v>
      </c>
      <c r="CR397" s="9" t="s">
        <v>447</v>
      </c>
      <c r="CS397" s="9" t="s">
        <v>7900</v>
      </c>
      <c r="CT397" s="9" t="s">
        <v>7901</v>
      </c>
      <c r="CU397" s="9" t="s">
        <v>450</v>
      </c>
      <c r="CV397" s="9" t="s">
        <v>451</v>
      </c>
      <c r="CW397" s="9" t="s">
        <v>7902</v>
      </c>
      <c r="CX397" s="9" t="s">
        <v>408</v>
      </c>
      <c r="CZ397" s="9" t="s">
        <v>453</v>
      </c>
      <c r="DA397" s="9" t="s">
        <v>7903</v>
      </c>
      <c r="DD397" s="9" t="s">
        <v>988</v>
      </c>
      <c r="DG397" s="9" t="s">
        <v>524</v>
      </c>
      <c r="DH397" s="9" t="s">
        <v>410</v>
      </c>
      <c r="DI397" s="9" t="s">
        <v>459</v>
      </c>
      <c r="DJ397" s="9" t="s">
        <v>460</v>
      </c>
      <c r="DK397" s="9" t="s">
        <v>6335</v>
      </c>
      <c r="DM397" s="9" t="s">
        <v>7904</v>
      </c>
      <c r="DN397" s="9" t="s">
        <v>7905</v>
      </c>
      <c r="DO397" s="9" t="s">
        <v>567</v>
      </c>
      <c r="DP397" s="9" t="s">
        <v>7906</v>
      </c>
      <c r="DQ397" s="9" t="s">
        <v>1578</v>
      </c>
      <c r="DS397" s="9" t="s">
        <v>702</v>
      </c>
      <c r="DT397" s="9" t="s">
        <v>703</v>
      </c>
      <c r="DU397" s="9" t="s">
        <v>7907</v>
      </c>
      <c r="DW397" s="9" t="s">
        <v>622</v>
      </c>
      <c r="DX397" s="9" t="s">
        <v>7908</v>
      </c>
      <c r="DY397" s="9" t="s">
        <v>7909</v>
      </c>
      <c r="DZ397" s="9" t="s">
        <v>7910</v>
      </c>
      <c r="EA397" s="9" t="s">
        <v>1413</v>
      </c>
      <c r="EB397" s="9" t="s">
        <v>1183</v>
      </c>
      <c r="ET397" s="9" t="s">
        <v>526</v>
      </c>
      <c r="EU397" s="9" t="s">
        <v>479</v>
      </c>
      <c r="EV397" s="9" t="s">
        <v>527</v>
      </c>
      <c r="EW397" s="9" t="s">
        <v>7911</v>
      </c>
      <c r="EX397" s="9" t="s">
        <v>7912</v>
      </c>
      <c r="EY397" s="9" t="s">
        <v>7913</v>
      </c>
      <c r="EZ397" s="9" t="s">
        <v>413</v>
      </c>
      <c r="FA397" s="9" t="s">
        <v>415</v>
      </c>
      <c r="FB397" s="9" t="s">
        <v>413</v>
      </c>
      <c r="FC397" s="9" t="s">
        <v>413</v>
      </c>
      <c r="FD397" s="9" t="s">
        <v>413</v>
      </c>
      <c r="FE397" s="9" t="s">
        <v>415</v>
      </c>
      <c r="FF397" s="9" t="s">
        <v>413</v>
      </c>
      <c r="FG397" s="9" t="s">
        <v>413</v>
      </c>
      <c r="FH397" s="9" t="s">
        <v>583</v>
      </c>
      <c r="FI397" s="9" t="s">
        <v>416</v>
      </c>
      <c r="FJ397" s="9" t="s">
        <v>416</v>
      </c>
      <c r="FK397" s="9" t="s">
        <v>413</v>
      </c>
      <c r="FL397" s="9" t="s">
        <v>416</v>
      </c>
      <c r="FM397" s="9" t="s">
        <v>413</v>
      </c>
      <c r="FN397" s="9" t="s">
        <v>583</v>
      </c>
      <c r="FO397" s="9" t="s">
        <v>417</v>
      </c>
      <c r="FP397" s="9" t="s">
        <v>418</v>
      </c>
      <c r="FQ397" s="9" t="s">
        <v>531</v>
      </c>
      <c r="FR397" s="9" t="s">
        <v>7914</v>
      </c>
      <c r="FS397" s="9" t="s">
        <v>420</v>
      </c>
      <c r="FT397" s="9" t="s">
        <v>488</v>
      </c>
      <c r="FU397" s="9" t="s">
        <v>489</v>
      </c>
      <c r="FV397" s="9" t="s">
        <v>490</v>
      </c>
      <c r="FW397" s="9" t="s">
        <v>491</v>
      </c>
      <c r="FX397" s="9" t="s">
        <v>7915</v>
      </c>
      <c r="FY397" s="9" t="s">
        <v>535</v>
      </c>
      <c r="FZ397" s="9" t="s">
        <v>7916</v>
      </c>
      <c r="GA397" s="9" t="s">
        <v>7917</v>
      </c>
      <c r="GB397" s="9" t="s">
        <v>408</v>
      </c>
      <c r="GG397" s="9" t="s">
        <v>755</v>
      </c>
      <c r="GH397" s="9" t="s">
        <v>755</v>
      </c>
      <c r="GI397" s="9" t="s">
        <v>946</v>
      </c>
      <c r="GM397" s="9" t="s">
        <v>1079</v>
      </c>
      <c r="GQ397" s="9" t="s">
        <v>5656</v>
      </c>
      <c r="GT397" s="9" t="s">
        <v>4774</v>
      </c>
      <c r="GV397" s="9" t="s">
        <v>5231</v>
      </c>
      <c r="GW397" s="9" t="s">
        <v>5232</v>
      </c>
      <c r="HC397" s="9" t="s">
        <v>5297</v>
      </c>
      <c r="HD397" s="9" t="s">
        <v>5282</v>
      </c>
      <c r="HE397" s="9" t="s">
        <v>5320</v>
      </c>
      <c r="HF397" s="9" t="s">
        <v>5899</v>
      </c>
      <c r="HG397" s="9" t="s">
        <v>7918</v>
      </c>
      <c r="HH397" s="9" t="s">
        <v>6242</v>
      </c>
      <c r="HI397" s="9" t="s">
        <v>7919</v>
      </c>
      <c r="HJ397" s="9" t="s">
        <v>6403</v>
      </c>
      <c r="HO397" s="9" t="s">
        <v>5346</v>
      </c>
      <c r="HP397" s="9" t="s">
        <v>5264</v>
      </c>
      <c r="HQ397" s="9" t="s">
        <v>5238</v>
      </c>
      <c r="HR397" s="9" t="s">
        <v>5321</v>
      </c>
      <c r="IN397" s="9" t="s">
        <v>5536</v>
      </c>
      <c r="IO397" s="9" t="s">
        <v>5536</v>
      </c>
      <c r="IP397" s="9" t="s">
        <v>5500</v>
      </c>
      <c r="IQ397" s="9" t="s">
        <v>5500</v>
      </c>
      <c r="IR397" s="9" t="s">
        <v>5536</v>
      </c>
      <c r="IS397" s="9" t="s">
        <v>5536</v>
      </c>
      <c r="MJ397" s="9" t="s">
        <v>6321</v>
      </c>
    </row>
    <row r="398" ht="22.5" customHeight="1">
      <c r="A398" s="8">
        <v>45983.925561076394</v>
      </c>
      <c r="B398" s="9" t="s">
        <v>368</v>
      </c>
      <c r="C398" s="9" t="s">
        <v>7920</v>
      </c>
      <c r="D398" s="9" t="s">
        <v>7920</v>
      </c>
      <c r="G398" s="9" t="s">
        <v>1093</v>
      </c>
      <c r="H398" s="9" t="s">
        <v>637</v>
      </c>
      <c r="I398" s="9" t="s">
        <v>638</v>
      </c>
      <c r="J398" s="9" t="s">
        <v>590</v>
      </c>
      <c r="K398" s="9" t="s">
        <v>376</v>
      </c>
      <c r="L398" s="9" t="s">
        <v>379</v>
      </c>
      <c r="M398" s="9" t="s">
        <v>1024</v>
      </c>
      <c r="N398" s="9" t="s">
        <v>793</v>
      </c>
      <c r="O398" s="9" t="s">
        <v>1024</v>
      </c>
      <c r="P398" s="9" t="s">
        <v>759</v>
      </c>
      <c r="Q398" s="9" t="s">
        <v>759</v>
      </c>
      <c r="R398" s="9" t="s">
        <v>949</v>
      </c>
      <c r="S398" s="9" t="s">
        <v>384</v>
      </c>
      <c r="T398" s="9" t="s">
        <v>385</v>
      </c>
      <c r="W398" s="9" t="s">
        <v>3231</v>
      </c>
      <c r="AV398" s="9" t="s">
        <v>1310</v>
      </c>
      <c r="AW398" s="9">
        <v>4.0</v>
      </c>
      <c r="AX398" s="9" t="s">
        <v>675</v>
      </c>
      <c r="AY398" s="9">
        <v>4.0</v>
      </c>
      <c r="AZ398" s="9" t="s">
        <v>675</v>
      </c>
      <c r="BA398" s="9" t="s">
        <v>675</v>
      </c>
      <c r="BB398" s="9" t="s">
        <v>675</v>
      </c>
      <c r="BC398" s="9" t="s">
        <v>7921</v>
      </c>
      <c r="BD398" s="9" t="s">
        <v>7922</v>
      </c>
      <c r="BE398" s="9" t="s">
        <v>432</v>
      </c>
      <c r="BF398" s="9" t="s">
        <v>1095</v>
      </c>
      <c r="BG398" s="9" t="s">
        <v>394</v>
      </c>
      <c r="BI398" s="9" t="s">
        <v>824</v>
      </c>
      <c r="BK398" s="9" t="s">
        <v>602</v>
      </c>
      <c r="BL398" s="9" t="s">
        <v>396</v>
      </c>
      <c r="BM398" s="9" t="s">
        <v>1247</v>
      </c>
      <c r="BN398" s="9" t="s">
        <v>398</v>
      </c>
      <c r="BO398" s="9" t="s">
        <v>7923</v>
      </c>
      <c r="BP398" s="9" t="s">
        <v>408</v>
      </c>
      <c r="BQ398" s="9" t="s">
        <v>7924</v>
      </c>
      <c r="BR398" s="9" t="s">
        <v>7925</v>
      </c>
      <c r="BS398" s="9" t="s">
        <v>4071</v>
      </c>
      <c r="BT398" s="9" t="s">
        <v>1994</v>
      </c>
      <c r="BU398" s="9" t="s">
        <v>405</v>
      </c>
      <c r="BW398" s="9" t="s">
        <v>406</v>
      </c>
      <c r="BX398" s="9" t="s">
        <v>1867</v>
      </c>
      <c r="BY398" s="9" t="s">
        <v>733</v>
      </c>
      <c r="CB398" s="9" t="s">
        <v>7926</v>
      </c>
      <c r="CC398" s="9" t="s">
        <v>7927</v>
      </c>
      <c r="CD398" s="9" t="s">
        <v>409</v>
      </c>
      <c r="CE398" s="9" t="s">
        <v>7928</v>
      </c>
      <c r="CF398" s="9" t="s">
        <v>1258</v>
      </c>
      <c r="CH398" s="9" t="s">
        <v>1751</v>
      </c>
      <c r="CI398" s="9" t="s">
        <v>833</v>
      </c>
      <c r="CK398" s="9" t="s">
        <v>7929</v>
      </c>
      <c r="DI398" s="9" t="s">
        <v>777</v>
      </c>
      <c r="DJ398" s="9" t="s">
        <v>613</v>
      </c>
      <c r="ET398" s="9" t="s">
        <v>478</v>
      </c>
      <c r="EU398" s="9" t="s">
        <v>579</v>
      </c>
      <c r="EV398" s="9" t="s">
        <v>1262</v>
      </c>
      <c r="EW398" s="9" t="s">
        <v>7930</v>
      </c>
      <c r="EX398" s="9" t="s">
        <v>7931</v>
      </c>
      <c r="EY398" s="9" t="s">
        <v>7932</v>
      </c>
      <c r="EZ398" s="9" t="s">
        <v>416</v>
      </c>
      <c r="FA398" s="9" t="s">
        <v>415</v>
      </c>
      <c r="FB398" s="9" t="s">
        <v>413</v>
      </c>
      <c r="FC398" s="9" t="s">
        <v>413</v>
      </c>
      <c r="FD398" s="9" t="s">
        <v>413</v>
      </c>
      <c r="FE398" s="9" t="s">
        <v>416</v>
      </c>
      <c r="FF398" s="9" t="s">
        <v>415</v>
      </c>
      <c r="FG398" s="9" t="s">
        <v>484</v>
      </c>
      <c r="FH398" s="9" t="s">
        <v>484</v>
      </c>
      <c r="FI398" s="9" t="s">
        <v>413</v>
      </c>
      <c r="FJ398" s="9" t="s">
        <v>484</v>
      </c>
      <c r="FK398" s="9" t="s">
        <v>484</v>
      </c>
      <c r="FL398" s="9" t="s">
        <v>484</v>
      </c>
      <c r="FM398" s="9" t="s">
        <v>484</v>
      </c>
      <c r="FN398" s="9" t="s">
        <v>484</v>
      </c>
      <c r="FO398" s="9" t="s">
        <v>3396</v>
      </c>
      <c r="FP398" s="9" t="s">
        <v>418</v>
      </c>
      <c r="FQ398" s="9" t="s">
        <v>712</v>
      </c>
      <c r="FR398" s="9" t="s">
        <v>7933</v>
      </c>
      <c r="FS398" s="9" t="s">
        <v>420</v>
      </c>
      <c r="FT398" s="9" t="s">
        <v>1462</v>
      </c>
      <c r="FU398" s="9" t="s">
        <v>1235</v>
      </c>
      <c r="FV398" s="9" t="s">
        <v>490</v>
      </c>
      <c r="FW398" s="9" t="s">
        <v>491</v>
      </c>
      <c r="FX398" s="9" t="s">
        <v>7934</v>
      </c>
      <c r="FY398" s="9" t="s">
        <v>535</v>
      </c>
      <c r="FZ398" s="9" t="s">
        <v>7935</v>
      </c>
      <c r="GB398" s="9" t="s">
        <v>408</v>
      </c>
      <c r="GJ398" s="9" t="s">
        <v>857</v>
      </c>
      <c r="GK398" s="9" t="s">
        <v>857</v>
      </c>
      <c r="GL398" s="9" t="s">
        <v>858</v>
      </c>
      <c r="GN398" s="9" t="s">
        <v>7920</v>
      </c>
      <c r="GO398" s="9" t="s">
        <v>7936</v>
      </c>
      <c r="GP398" s="9" t="s">
        <v>2729</v>
      </c>
      <c r="GQ398" s="9" t="s">
        <v>3208</v>
      </c>
      <c r="GR398" s="9" t="s">
        <v>4774</v>
      </c>
      <c r="GV398" s="9" t="s">
        <v>5231</v>
      </c>
      <c r="GW398" s="9" t="s">
        <v>484</v>
      </c>
      <c r="GX398" s="9" t="s">
        <v>5281</v>
      </c>
      <c r="GY398" s="9" t="s">
        <v>6013</v>
      </c>
      <c r="GZ398" s="9" t="s">
        <v>5234</v>
      </c>
      <c r="HA398" s="9" t="s">
        <v>5369</v>
      </c>
      <c r="HB398" s="9" t="s">
        <v>913</v>
      </c>
      <c r="HO398" s="9" t="s">
        <v>5236</v>
      </c>
      <c r="HP398" s="9" t="s">
        <v>5264</v>
      </c>
      <c r="HQ398" s="9" t="s">
        <v>5238</v>
      </c>
      <c r="HR398" s="9" t="s">
        <v>913</v>
      </c>
      <c r="MJ398" s="9" t="s">
        <v>6321</v>
      </c>
    </row>
    <row r="399" ht="22.5" customHeight="1">
      <c r="A399" s="8">
        <v>45983.95113446759</v>
      </c>
      <c r="B399" s="9" t="s">
        <v>368</v>
      </c>
      <c r="C399" s="9" t="s">
        <v>7937</v>
      </c>
      <c r="D399" s="9" t="s">
        <v>7937</v>
      </c>
      <c r="G399" s="9" t="s">
        <v>1093</v>
      </c>
      <c r="H399" s="9" t="s">
        <v>373</v>
      </c>
      <c r="I399" s="9" t="s">
        <v>374</v>
      </c>
      <c r="J399" s="9" t="s">
        <v>375</v>
      </c>
      <c r="K399" s="9" t="s">
        <v>376</v>
      </c>
      <c r="L399" s="9" t="s">
        <v>379</v>
      </c>
      <c r="M399" s="9" t="s">
        <v>497</v>
      </c>
      <c r="N399" s="9" t="s">
        <v>591</v>
      </c>
      <c r="O399" s="9" t="s">
        <v>671</v>
      </c>
      <c r="P399" s="9" t="s">
        <v>592</v>
      </c>
      <c r="Q399" s="9" t="s">
        <v>818</v>
      </c>
      <c r="R399" s="9" t="s">
        <v>427</v>
      </c>
      <c r="S399" s="9" t="s">
        <v>384</v>
      </c>
      <c r="T399" s="9" t="s">
        <v>385</v>
      </c>
      <c r="W399" s="9" t="s">
        <v>3231</v>
      </c>
      <c r="AV399" s="9" t="s">
        <v>1310</v>
      </c>
      <c r="AW399" s="9" t="s">
        <v>675</v>
      </c>
      <c r="AX399" s="9" t="s">
        <v>675</v>
      </c>
      <c r="AY399" s="9" t="s">
        <v>675</v>
      </c>
      <c r="AZ399" s="9" t="s">
        <v>675</v>
      </c>
      <c r="BA399" s="9" t="s">
        <v>675</v>
      </c>
      <c r="BB399" s="9" t="s">
        <v>675</v>
      </c>
      <c r="BC399" s="9" t="s">
        <v>7938</v>
      </c>
      <c r="BE399" s="9" t="s">
        <v>902</v>
      </c>
      <c r="BF399" s="9" t="s">
        <v>1245</v>
      </c>
      <c r="BG399" s="9" t="s">
        <v>394</v>
      </c>
      <c r="BI399" s="9" t="s">
        <v>976</v>
      </c>
      <c r="BK399" s="9" t="s">
        <v>602</v>
      </c>
      <c r="BL399" s="9" t="s">
        <v>603</v>
      </c>
      <c r="BN399" s="9" t="s">
        <v>398</v>
      </c>
      <c r="BO399" s="9" t="s">
        <v>7939</v>
      </c>
      <c r="BP399" s="9" t="s">
        <v>7940</v>
      </c>
      <c r="BQ399" s="9" t="s">
        <v>682</v>
      </c>
      <c r="BR399" s="9" t="s">
        <v>7925</v>
      </c>
      <c r="BS399" s="9" t="s">
        <v>4071</v>
      </c>
      <c r="BT399" s="9" t="s">
        <v>4072</v>
      </c>
      <c r="BU399" s="9" t="s">
        <v>405</v>
      </c>
      <c r="BW399" s="9" t="s">
        <v>406</v>
      </c>
      <c r="BX399" s="9" t="s">
        <v>2503</v>
      </c>
      <c r="BY399" s="9" t="s">
        <v>455</v>
      </c>
      <c r="BZ399" s="9" t="s">
        <v>7941</v>
      </c>
      <c r="CB399" s="9" t="s">
        <v>7942</v>
      </c>
      <c r="CC399" s="9" t="s">
        <v>7943</v>
      </c>
      <c r="CD399" s="9" t="s">
        <v>1931</v>
      </c>
      <c r="CE399" s="9" t="s">
        <v>7944</v>
      </c>
      <c r="CF399" s="9" t="s">
        <v>1258</v>
      </c>
      <c r="CH399" s="9" t="s">
        <v>1259</v>
      </c>
      <c r="CI399" s="9" t="s">
        <v>1964</v>
      </c>
      <c r="CK399" s="9" t="s">
        <v>7945</v>
      </c>
      <c r="DI399" s="9" t="s">
        <v>963</v>
      </c>
      <c r="DJ399" s="9" t="s">
        <v>1148</v>
      </c>
      <c r="DK399" s="9" t="s">
        <v>6319</v>
      </c>
      <c r="ET399" s="9" t="s">
        <v>526</v>
      </c>
      <c r="EU399" s="9" t="s">
        <v>579</v>
      </c>
      <c r="EV399" s="9" t="s">
        <v>778</v>
      </c>
      <c r="EW399" s="9" t="s">
        <v>7946</v>
      </c>
      <c r="EX399" s="9" t="s">
        <v>7947</v>
      </c>
      <c r="EY399" s="9" t="s">
        <v>7948</v>
      </c>
      <c r="EZ399" s="9" t="s">
        <v>416</v>
      </c>
      <c r="FA399" s="9" t="s">
        <v>415</v>
      </c>
      <c r="FB399" s="9" t="s">
        <v>413</v>
      </c>
      <c r="FC399" s="9" t="s">
        <v>413</v>
      </c>
      <c r="FD399" s="9" t="s">
        <v>413</v>
      </c>
      <c r="FE399" s="9" t="s">
        <v>413</v>
      </c>
      <c r="FF399" s="9" t="s">
        <v>415</v>
      </c>
      <c r="FH399" s="9" t="s">
        <v>413</v>
      </c>
      <c r="FI399" s="9" t="s">
        <v>413</v>
      </c>
      <c r="FJ399" s="9" t="s">
        <v>414</v>
      </c>
      <c r="FK399" s="9" t="s">
        <v>415</v>
      </c>
      <c r="FL399" s="9" t="s">
        <v>415</v>
      </c>
      <c r="FM399" s="9" t="s">
        <v>415</v>
      </c>
      <c r="FN399" s="9" t="s">
        <v>413</v>
      </c>
      <c r="FO399" s="9" t="s">
        <v>485</v>
      </c>
      <c r="FP399" s="9" t="s">
        <v>418</v>
      </c>
      <c r="FQ399" s="9" t="s">
        <v>419</v>
      </c>
      <c r="FR399" s="9" t="s">
        <v>7949</v>
      </c>
      <c r="FS399" s="9" t="s">
        <v>420</v>
      </c>
      <c r="FT399" s="9" t="s">
        <v>488</v>
      </c>
      <c r="FU399" s="9" t="s">
        <v>1235</v>
      </c>
      <c r="FV399" s="9" t="s">
        <v>490</v>
      </c>
      <c r="FW399" s="9" t="s">
        <v>491</v>
      </c>
      <c r="FY399" s="9" t="s">
        <v>535</v>
      </c>
      <c r="GA399" s="9" t="s">
        <v>7950</v>
      </c>
      <c r="GB399" s="9" t="s">
        <v>408</v>
      </c>
      <c r="GJ399" s="9" t="s">
        <v>788</v>
      </c>
      <c r="GK399" s="9" t="s">
        <v>789</v>
      </c>
      <c r="GL399" s="9" t="s">
        <v>858</v>
      </c>
      <c r="GN399" s="9" t="s">
        <v>7951</v>
      </c>
      <c r="GO399" s="9" t="s">
        <v>7952</v>
      </c>
      <c r="GP399" s="9" t="s">
        <v>7953</v>
      </c>
      <c r="GQ399" s="9" t="s">
        <v>3208</v>
      </c>
      <c r="GR399" s="9" t="s">
        <v>4774</v>
      </c>
      <c r="GV399" s="9" t="s">
        <v>5231</v>
      </c>
      <c r="GW399" s="9" t="s">
        <v>484</v>
      </c>
      <c r="GX399" s="9" t="s">
        <v>5281</v>
      </c>
      <c r="GY399" s="9" t="s">
        <v>6013</v>
      </c>
      <c r="GZ399" s="9" t="s">
        <v>5234</v>
      </c>
      <c r="HA399" s="9" t="s">
        <v>5369</v>
      </c>
      <c r="HO399" s="9" t="s">
        <v>5301</v>
      </c>
      <c r="HP399" s="9" t="s">
        <v>5371</v>
      </c>
      <c r="HQ399" s="9" t="s">
        <v>5238</v>
      </c>
      <c r="HR399" s="9" t="s">
        <v>5287</v>
      </c>
      <c r="MJ399" s="9" t="s">
        <v>6321</v>
      </c>
    </row>
    <row r="400" ht="22.5" customHeight="1">
      <c r="A400" s="8">
        <v>45992.05210868055</v>
      </c>
      <c r="B400" s="9" t="s">
        <v>368</v>
      </c>
      <c r="C400" s="9" t="s">
        <v>7954</v>
      </c>
      <c r="D400" s="9" t="s">
        <v>1201</v>
      </c>
      <c r="G400" s="9" t="s">
        <v>422</v>
      </c>
      <c r="H400" s="9" t="s">
        <v>637</v>
      </c>
      <c r="I400" s="9" t="s">
        <v>638</v>
      </c>
      <c r="J400" s="9" t="s">
        <v>590</v>
      </c>
      <c r="K400" s="9" t="s">
        <v>1784</v>
      </c>
      <c r="L400" s="9" t="s">
        <v>1526</v>
      </c>
      <c r="M400" s="9" t="s">
        <v>1024</v>
      </c>
      <c r="N400" s="9" t="s">
        <v>1526</v>
      </c>
      <c r="O400" s="9" t="s">
        <v>1024</v>
      </c>
      <c r="P400" s="9" t="s">
        <v>1760</v>
      </c>
      <c r="Q400" s="9" t="s">
        <v>818</v>
      </c>
      <c r="R400" s="9" t="s">
        <v>1704</v>
      </c>
      <c r="S400" s="9" t="s">
        <v>2837</v>
      </c>
      <c r="T400" s="9" t="s">
        <v>385</v>
      </c>
      <c r="W400" s="9" t="s">
        <v>3014</v>
      </c>
      <c r="AV400" s="9" t="s">
        <v>1310</v>
      </c>
      <c r="AW400" s="9">
        <v>2.0</v>
      </c>
      <c r="AX400" s="9">
        <v>2.0</v>
      </c>
      <c r="AY400" s="9" t="s">
        <v>391</v>
      </c>
      <c r="AZ400" s="9">
        <v>4.0</v>
      </c>
      <c r="BA400" s="9" t="s">
        <v>429</v>
      </c>
      <c r="BB400" s="9">
        <v>4.0</v>
      </c>
      <c r="BM400" s="9" t="s">
        <v>1247</v>
      </c>
      <c r="BN400" s="9" t="s">
        <v>513</v>
      </c>
      <c r="CL400" s="9" t="s">
        <v>953</v>
      </c>
      <c r="CM400" s="9" t="s">
        <v>551</v>
      </c>
      <c r="CO400" s="9" t="s">
        <v>408</v>
      </c>
      <c r="CU400" s="9" t="s">
        <v>1852</v>
      </c>
      <c r="CV400" s="9" t="s">
        <v>2393</v>
      </c>
      <c r="CX400" s="9" t="s">
        <v>408</v>
      </c>
      <c r="CZ400" s="9" t="s">
        <v>1962</v>
      </c>
      <c r="DB400" s="9" t="s">
        <v>408</v>
      </c>
      <c r="DG400" s="9" t="s">
        <v>990</v>
      </c>
      <c r="DH400" s="9" t="s">
        <v>1220</v>
      </c>
      <c r="DI400" s="9" t="s">
        <v>963</v>
      </c>
      <c r="DJ400" s="9" t="s">
        <v>460</v>
      </c>
      <c r="DK400" s="9" t="s">
        <v>6603</v>
      </c>
      <c r="ET400" s="9" t="s">
        <v>2747</v>
      </c>
      <c r="EU400" s="9" t="s">
        <v>579</v>
      </c>
      <c r="EV400" s="9" t="s">
        <v>580</v>
      </c>
      <c r="EZ400" s="9" t="s">
        <v>414</v>
      </c>
      <c r="FA400" s="9" t="s">
        <v>414</v>
      </c>
      <c r="FB400" s="9" t="s">
        <v>416</v>
      </c>
      <c r="FC400" s="9" t="s">
        <v>583</v>
      </c>
      <c r="FD400" s="9" t="s">
        <v>415</v>
      </c>
      <c r="FE400" s="9" t="s">
        <v>414</v>
      </c>
      <c r="FF400" s="9" t="s">
        <v>414</v>
      </c>
      <c r="FG400" s="9" t="s">
        <v>414</v>
      </c>
      <c r="FH400" s="9" t="s">
        <v>414</v>
      </c>
      <c r="FI400" s="9" t="s">
        <v>413</v>
      </c>
      <c r="FJ400" s="9" t="s">
        <v>414</v>
      </c>
      <c r="FK400" s="9" t="s">
        <v>415</v>
      </c>
      <c r="FL400" s="9" t="s">
        <v>415</v>
      </c>
      <c r="FM400" s="9" t="s">
        <v>415</v>
      </c>
      <c r="FN400" s="9" t="s">
        <v>415</v>
      </c>
      <c r="FO400" s="9" t="s">
        <v>1074</v>
      </c>
      <c r="FP400" s="9" t="s">
        <v>2651</v>
      </c>
      <c r="FQ400" s="9" t="s">
        <v>749</v>
      </c>
      <c r="FS400" s="9" t="s">
        <v>1871</v>
      </c>
      <c r="FT400" s="9" t="s">
        <v>1476</v>
      </c>
      <c r="FU400" s="9" t="s">
        <v>1235</v>
      </c>
      <c r="FV400" s="9" t="s">
        <v>1101</v>
      </c>
      <c r="FW400" s="9" t="s">
        <v>1853</v>
      </c>
      <c r="FY400" s="9" t="s">
        <v>1020</v>
      </c>
      <c r="GB400" s="9" t="s">
        <v>408</v>
      </c>
      <c r="GG400" s="9" t="s">
        <v>920</v>
      </c>
      <c r="GH400" s="9" t="s">
        <v>920</v>
      </c>
      <c r="GI400" s="9" t="s">
        <v>756</v>
      </c>
      <c r="GQ400" s="9" t="s">
        <v>3208</v>
      </c>
      <c r="GT400" s="9" t="s">
        <v>5039</v>
      </c>
      <c r="GV400" s="9" t="s">
        <v>484</v>
      </c>
      <c r="GW400" s="9" t="s">
        <v>484</v>
      </c>
      <c r="HO400" s="9" t="s">
        <v>5301</v>
      </c>
      <c r="HP400" s="9" t="s">
        <v>5302</v>
      </c>
      <c r="HQ400" s="9" t="s">
        <v>5721</v>
      </c>
      <c r="HR400" s="9" t="s">
        <v>913</v>
      </c>
      <c r="HS400" s="9" t="s">
        <v>5987</v>
      </c>
      <c r="HU400" s="9" t="s">
        <v>7955</v>
      </c>
      <c r="HV400" s="9" t="s">
        <v>6521</v>
      </c>
      <c r="HX400" s="9" t="s">
        <v>5920</v>
      </c>
      <c r="HY400" s="9" t="s">
        <v>5920</v>
      </c>
      <c r="HZ400" s="9" t="s">
        <v>5920</v>
      </c>
      <c r="IA400" s="9" t="s">
        <v>5921</v>
      </c>
      <c r="IB400" s="9" t="s">
        <v>5920</v>
      </c>
      <c r="IC400" s="9" t="s">
        <v>5919</v>
      </c>
      <c r="ID400" s="9" t="s">
        <v>5536</v>
      </c>
      <c r="IE400" s="9" t="s">
        <v>5989</v>
      </c>
      <c r="IF400" s="9" t="s">
        <v>5536</v>
      </c>
      <c r="IG400" s="9" t="s">
        <v>5989</v>
      </c>
      <c r="IH400" s="9" t="s">
        <v>5536</v>
      </c>
      <c r="II400" s="9" t="s">
        <v>5536</v>
      </c>
      <c r="IK400" s="9" t="s">
        <v>6523</v>
      </c>
      <c r="MJ400" s="9" t="s">
        <v>6321</v>
      </c>
    </row>
    <row r="401" ht="22.5" customHeight="1">
      <c r="A401" s="8">
        <v>45992.67591680556</v>
      </c>
      <c r="B401" s="9" t="s">
        <v>368</v>
      </c>
      <c r="C401" s="9" t="s">
        <v>6924</v>
      </c>
      <c r="D401" s="9" t="s">
        <v>370</v>
      </c>
      <c r="F401" s="9" t="s">
        <v>371</v>
      </c>
      <c r="G401" s="9" t="s">
        <v>1093</v>
      </c>
      <c r="H401" s="9" t="s">
        <v>496</v>
      </c>
      <c r="I401" s="9" t="s">
        <v>374</v>
      </c>
      <c r="J401" s="9" t="s">
        <v>375</v>
      </c>
      <c r="K401" s="9" t="s">
        <v>376</v>
      </c>
      <c r="L401" s="9" t="s">
        <v>793</v>
      </c>
      <c r="M401" s="9" t="s">
        <v>7956</v>
      </c>
      <c r="N401" s="9" t="s">
        <v>670</v>
      </c>
      <c r="O401" s="9" t="s">
        <v>1270</v>
      </c>
      <c r="P401" s="9" t="s">
        <v>498</v>
      </c>
      <c r="Q401" s="9" t="s">
        <v>862</v>
      </c>
      <c r="R401" s="9" t="s">
        <v>427</v>
      </c>
      <c r="S401" s="9" t="s">
        <v>384</v>
      </c>
      <c r="T401" s="9" t="s">
        <v>385</v>
      </c>
      <c r="W401" s="9" t="s">
        <v>3014</v>
      </c>
      <c r="AV401" s="9" t="s">
        <v>1310</v>
      </c>
      <c r="AW401" s="9" t="s">
        <v>675</v>
      </c>
      <c r="AX401" s="9" t="s">
        <v>675</v>
      </c>
      <c r="AY401" s="9" t="s">
        <v>391</v>
      </c>
      <c r="AZ401" s="9" t="s">
        <v>675</v>
      </c>
      <c r="BA401" s="9" t="s">
        <v>429</v>
      </c>
      <c r="BB401" s="9" t="s">
        <v>675</v>
      </c>
      <c r="BC401" s="9" t="s">
        <v>7957</v>
      </c>
      <c r="BD401" s="9" t="s">
        <v>7958</v>
      </c>
      <c r="BE401" s="9" t="s">
        <v>432</v>
      </c>
      <c r="BF401" s="9" t="s">
        <v>1245</v>
      </c>
      <c r="BG401" s="9" t="s">
        <v>394</v>
      </c>
      <c r="BH401" s="9" t="s">
        <v>7959</v>
      </c>
      <c r="BI401" s="9" t="s">
        <v>727</v>
      </c>
      <c r="BK401" s="9" t="s">
        <v>681</v>
      </c>
      <c r="BL401" s="9" t="s">
        <v>438</v>
      </c>
      <c r="BM401" s="9" t="s">
        <v>397</v>
      </c>
      <c r="BN401" s="9" t="s">
        <v>513</v>
      </c>
      <c r="CL401" s="9" t="s">
        <v>682</v>
      </c>
      <c r="CM401" s="9" t="s">
        <v>604</v>
      </c>
      <c r="CN401" s="9" t="s">
        <v>7960</v>
      </c>
      <c r="CO401" s="9" t="s">
        <v>7961</v>
      </c>
      <c r="CT401" s="9" t="s">
        <v>7962</v>
      </c>
      <c r="CU401" s="9" t="s">
        <v>450</v>
      </c>
      <c r="CV401" s="9" t="s">
        <v>959</v>
      </c>
      <c r="CX401" s="9" t="s">
        <v>408</v>
      </c>
      <c r="CZ401" s="9" t="s">
        <v>1962</v>
      </c>
      <c r="DG401" s="9" t="s">
        <v>990</v>
      </c>
      <c r="DH401" s="9" t="s">
        <v>410</v>
      </c>
      <c r="DI401" s="9" t="s">
        <v>963</v>
      </c>
      <c r="DJ401" s="9" t="s">
        <v>460</v>
      </c>
      <c r="DK401" s="9" t="s">
        <v>6319</v>
      </c>
      <c r="ET401" s="9" t="s">
        <v>578</v>
      </c>
      <c r="EU401" s="9" t="s">
        <v>1127</v>
      </c>
      <c r="EV401" s="9" t="s">
        <v>1262</v>
      </c>
      <c r="EX401" s="9" t="s">
        <v>7963</v>
      </c>
      <c r="EY401" s="9" t="s">
        <v>7964</v>
      </c>
      <c r="EZ401" s="9" t="s">
        <v>583</v>
      </c>
      <c r="FA401" s="9" t="s">
        <v>583</v>
      </c>
      <c r="FB401" s="9" t="s">
        <v>413</v>
      </c>
      <c r="FC401" s="9" t="s">
        <v>583</v>
      </c>
      <c r="FD401" s="9" t="s">
        <v>583</v>
      </c>
      <c r="FE401" s="9" t="s">
        <v>583</v>
      </c>
      <c r="FF401" s="9" t="s">
        <v>583</v>
      </c>
      <c r="FG401" s="9" t="s">
        <v>414</v>
      </c>
      <c r="FH401" s="9" t="s">
        <v>416</v>
      </c>
      <c r="FI401" s="9" t="s">
        <v>583</v>
      </c>
      <c r="FJ401" s="9" t="s">
        <v>583</v>
      </c>
      <c r="FK401" s="9" t="s">
        <v>414</v>
      </c>
      <c r="FL401" s="9" t="s">
        <v>414</v>
      </c>
      <c r="FM401" s="9" t="s">
        <v>413</v>
      </c>
      <c r="FN401" s="9" t="s">
        <v>583</v>
      </c>
      <c r="FO401" s="9" t="s">
        <v>1537</v>
      </c>
      <c r="FP401" s="9" t="s">
        <v>2524</v>
      </c>
      <c r="FQ401" s="9" t="s">
        <v>419</v>
      </c>
      <c r="FR401" s="9" t="s">
        <v>7965</v>
      </c>
      <c r="FS401" s="9" t="s">
        <v>1871</v>
      </c>
      <c r="FT401" s="9" t="s">
        <v>2750</v>
      </c>
      <c r="FU401" s="9" t="s">
        <v>489</v>
      </c>
      <c r="FV401" s="9" t="s">
        <v>490</v>
      </c>
      <c r="FW401" s="9" t="s">
        <v>491</v>
      </c>
      <c r="FX401" s="9" t="s">
        <v>7966</v>
      </c>
      <c r="FY401" s="9" t="s">
        <v>1020</v>
      </c>
      <c r="FZ401" s="9" t="s">
        <v>7967</v>
      </c>
      <c r="GB401" s="9" t="s">
        <v>455</v>
      </c>
      <c r="GC401" s="9"/>
      <c r="GE401" s="9" t="s">
        <v>753</v>
      </c>
      <c r="GF401" s="9" t="s">
        <v>7968</v>
      </c>
      <c r="GG401" s="9" t="s">
        <v>755</v>
      </c>
      <c r="GH401" s="9" t="s">
        <v>755</v>
      </c>
      <c r="GI401" s="9" t="s">
        <v>946</v>
      </c>
      <c r="GN401" s="9" t="s">
        <v>7969</v>
      </c>
      <c r="GQ401" s="9" t="s">
        <v>3208</v>
      </c>
      <c r="GT401" s="9" t="s">
        <v>4741</v>
      </c>
      <c r="GU401" s="9" t="s">
        <v>7970</v>
      </c>
      <c r="GV401" s="9" t="s">
        <v>5231</v>
      </c>
      <c r="GW401" s="9" t="s">
        <v>484</v>
      </c>
      <c r="HO401" s="9" t="s">
        <v>5383</v>
      </c>
      <c r="HP401" s="9" t="s">
        <v>5302</v>
      </c>
      <c r="HQ401" s="9" t="s">
        <v>5286</v>
      </c>
      <c r="HR401" s="9" t="s">
        <v>5287</v>
      </c>
      <c r="HS401" s="9" t="s">
        <v>5987</v>
      </c>
      <c r="HU401" s="9" t="s">
        <v>5988</v>
      </c>
      <c r="HV401" s="9" t="s">
        <v>5918</v>
      </c>
      <c r="HX401" s="9" t="s">
        <v>5922</v>
      </c>
      <c r="HY401" s="9" t="s">
        <v>5919</v>
      </c>
      <c r="HZ401" s="9" t="s">
        <v>6464</v>
      </c>
      <c r="IA401" s="9" t="s">
        <v>6464</v>
      </c>
      <c r="IB401" s="9" t="s">
        <v>6464</v>
      </c>
      <c r="IC401" s="9" t="s">
        <v>5922</v>
      </c>
      <c r="ID401" s="9" t="s">
        <v>5536</v>
      </c>
      <c r="IE401" s="9" t="s">
        <v>5500</v>
      </c>
      <c r="IF401" s="9" t="s">
        <v>5500</v>
      </c>
      <c r="IG401" s="9" t="s">
        <v>5500</v>
      </c>
      <c r="IH401" s="9" t="s">
        <v>5500</v>
      </c>
      <c r="II401" s="9" t="s">
        <v>5500</v>
      </c>
      <c r="IJ401" s="9" t="s">
        <v>7971</v>
      </c>
      <c r="IK401" s="9" t="s">
        <v>5924</v>
      </c>
      <c r="IL401" s="9" t="s">
        <v>7972</v>
      </c>
      <c r="IM401" s="9" t="s">
        <v>7973</v>
      </c>
      <c r="MJ401" s="9" t="s">
        <v>6321</v>
      </c>
    </row>
    <row r="402" ht="22.5" customHeight="1">
      <c r="A402" s="8">
        <v>45996.37980859954</v>
      </c>
      <c r="B402" s="9" t="s">
        <v>368</v>
      </c>
      <c r="C402" s="9" t="s">
        <v>4958</v>
      </c>
      <c r="D402" s="9" t="s">
        <v>1267</v>
      </c>
      <c r="G402" s="9" t="s">
        <v>422</v>
      </c>
      <c r="H402" s="9" t="s">
        <v>423</v>
      </c>
      <c r="I402" s="9" t="s">
        <v>668</v>
      </c>
      <c r="J402" s="9" t="s">
        <v>718</v>
      </c>
      <c r="K402" s="9" t="s">
        <v>376</v>
      </c>
      <c r="L402" s="9" t="s">
        <v>670</v>
      </c>
      <c r="M402" s="9" t="s">
        <v>639</v>
      </c>
      <c r="N402" s="9" t="s">
        <v>670</v>
      </c>
      <c r="O402" s="9" t="s">
        <v>720</v>
      </c>
      <c r="P402" s="9" t="s">
        <v>1504</v>
      </c>
      <c r="Q402" s="9" t="s">
        <v>1342</v>
      </c>
      <c r="R402" s="9" t="s">
        <v>427</v>
      </c>
      <c r="S402" s="9" t="s">
        <v>1512</v>
      </c>
      <c r="T402" s="9" t="s">
        <v>385</v>
      </c>
      <c r="W402" s="9" t="s">
        <v>3014</v>
      </c>
      <c r="AV402" s="9" t="s">
        <v>597</v>
      </c>
      <c r="AW402" s="9" t="s">
        <v>391</v>
      </c>
      <c r="AX402" s="9" t="s">
        <v>391</v>
      </c>
      <c r="AY402" s="9" t="s">
        <v>391</v>
      </c>
      <c r="AZ402" s="9">
        <v>2.0</v>
      </c>
      <c r="BA402" s="9">
        <v>2.0</v>
      </c>
      <c r="BB402" s="9" t="s">
        <v>391</v>
      </c>
      <c r="BC402" s="9" t="s">
        <v>7974</v>
      </c>
      <c r="BD402" s="9" t="s">
        <v>7975</v>
      </c>
      <c r="BE402" s="9" t="s">
        <v>1094</v>
      </c>
      <c r="BF402" s="9" t="s">
        <v>433</v>
      </c>
      <c r="BG402" s="9" t="s">
        <v>678</v>
      </c>
      <c r="BH402" s="9" t="s">
        <v>7976</v>
      </c>
      <c r="BI402" s="9" t="s">
        <v>509</v>
      </c>
      <c r="BJ402" s="9" t="s">
        <v>7977</v>
      </c>
      <c r="BK402" s="9" t="s">
        <v>511</v>
      </c>
      <c r="BL402" s="9" t="s">
        <v>512</v>
      </c>
      <c r="BM402" s="9" t="s">
        <v>549</v>
      </c>
      <c r="BN402" s="9" t="s">
        <v>513</v>
      </c>
      <c r="CL402" s="9" t="s">
        <v>953</v>
      </c>
      <c r="CM402" s="9" t="s">
        <v>401</v>
      </c>
      <c r="CN402" s="9" t="s">
        <v>7978</v>
      </c>
      <c r="CO402" s="9" t="s">
        <v>552</v>
      </c>
      <c r="CT402" s="9" t="s">
        <v>7979</v>
      </c>
      <c r="CU402" s="9" t="s">
        <v>1852</v>
      </c>
      <c r="CV402" s="9" t="s">
        <v>959</v>
      </c>
      <c r="CW402" s="9" t="s">
        <v>552</v>
      </c>
      <c r="CX402" s="9" t="s">
        <v>455</v>
      </c>
      <c r="CY402" s="9" t="s">
        <v>7980</v>
      </c>
      <c r="CZ402" s="9" t="s">
        <v>453</v>
      </c>
      <c r="DA402" s="9" t="s">
        <v>7981</v>
      </c>
      <c r="DB402" s="9" t="s">
        <v>408</v>
      </c>
      <c r="DC402" s="9" t="s">
        <v>7982</v>
      </c>
      <c r="DG402" s="9" t="s">
        <v>990</v>
      </c>
      <c r="DH402" s="9" t="s">
        <v>410</v>
      </c>
      <c r="DI402" s="9" t="s">
        <v>459</v>
      </c>
      <c r="DJ402" s="9" t="s">
        <v>460</v>
      </c>
      <c r="DK402" s="9" t="s">
        <v>6319</v>
      </c>
      <c r="ET402" s="9" t="s">
        <v>478</v>
      </c>
      <c r="EU402" s="9" t="s">
        <v>579</v>
      </c>
      <c r="EV402" s="9" t="s">
        <v>580</v>
      </c>
      <c r="EW402" s="9" t="s">
        <v>7982</v>
      </c>
      <c r="EX402" s="9" t="s">
        <v>7982</v>
      </c>
      <c r="EY402" s="9" t="s">
        <v>7982</v>
      </c>
      <c r="EZ402" s="9" t="s">
        <v>415</v>
      </c>
      <c r="FA402" s="9" t="s">
        <v>583</v>
      </c>
      <c r="FB402" s="9" t="s">
        <v>413</v>
      </c>
      <c r="FC402" s="9" t="s">
        <v>413</v>
      </c>
      <c r="FD402" s="9" t="s">
        <v>413</v>
      </c>
      <c r="FE402" s="9" t="s">
        <v>583</v>
      </c>
      <c r="FF402" s="9" t="s">
        <v>413</v>
      </c>
      <c r="FG402" s="9" t="s">
        <v>413</v>
      </c>
      <c r="FH402" s="9" t="s">
        <v>413</v>
      </c>
      <c r="FI402" s="9" t="s">
        <v>413</v>
      </c>
      <c r="FJ402" s="9" t="s">
        <v>413</v>
      </c>
      <c r="FK402" s="9" t="s">
        <v>413</v>
      </c>
      <c r="FL402" s="9" t="s">
        <v>413</v>
      </c>
      <c r="FM402" s="9" t="s">
        <v>413</v>
      </c>
      <c r="FN402" s="9" t="s">
        <v>413</v>
      </c>
      <c r="FO402" s="9" t="s">
        <v>485</v>
      </c>
      <c r="FP402" s="9" t="s">
        <v>418</v>
      </c>
      <c r="FQ402" s="9" t="s">
        <v>1039</v>
      </c>
      <c r="FR402" s="9" t="s">
        <v>7982</v>
      </c>
      <c r="FS402" s="9" t="s">
        <v>1076</v>
      </c>
      <c r="FT402" s="9" t="s">
        <v>488</v>
      </c>
      <c r="FU402" s="9" t="s">
        <v>585</v>
      </c>
      <c r="FV402" s="9" t="s">
        <v>490</v>
      </c>
      <c r="FW402" s="9" t="s">
        <v>491</v>
      </c>
      <c r="FX402" s="9" t="s">
        <v>7982</v>
      </c>
      <c r="FY402" s="9" t="s">
        <v>535</v>
      </c>
      <c r="FZ402" s="9" t="s">
        <v>7983</v>
      </c>
      <c r="GA402" s="9" t="s">
        <v>7982</v>
      </c>
      <c r="GB402" s="9" t="s">
        <v>455</v>
      </c>
      <c r="GC402" s="9"/>
      <c r="GE402" s="9" t="s">
        <v>1339</v>
      </c>
      <c r="GF402" s="9" t="s">
        <v>7984</v>
      </c>
      <c r="GG402" s="9" t="s">
        <v>857</v>
      </c>
      <c r="GH402" s="9" t="s">
        <v>789</v>
      </c>
      <c r="GI402" s="9" t="s">
        <v>921</v>
      </c>
      <c r="GN402" s="9" t="s">
        <v>4958</v>
      </c>
      <c r="GO402" s="9" t="s">
        <v>7985</v>
      </c>
      <c r="GQ402" s="9" t="s">
        <v>3208</v>
      </c>
      <c r="GT402" s="9" t="s">
        <v>4774</v>
      </c>
      <c r="GU402" s="9" t="s">
        <v>7986</v>
      </c>
      <c r="GV402" s="9" t="s">
        <v>5231</v>
      </c>
      <c r="GW402" s="9" t="s">
        <v>5232</v>
      </c>
      <c r="HO402" s="9" t="s">
        <v>5301</v>
      </c>
      <c r="HP402" s="9" t="s">
        <v>5264</v>
      </c>
      <c r="HQ402" s="9" t="s">
        <v>5238</v>
      </c>
      <c r="HR402" s="9" t="s">
        <v>5321</v>
      </c>
      <c r="HS402" s="9" t="s">
        <v>7987</v>
      </c>
      <c r="HU402" s="9" t="s">
        <v>7955</v>
      </c>
      <c r="HV402" s="9" t="s">
        <v>7988</v>
      </c>
      <c r="HX402" s="9" t="s">
        <v>5922</v>
      </c>
      <c r="HY402" s="9" t="s">
        <v>5919</v>
      </c>
      <c r="HZ402" s="9" t="s">
        <v>5919</v>
      </c>
      <c r="IA402" s="9" t="s">
        <v>5919</v>
      </c>
      <c r="IB402" s="9" t="s">
        <v>5919</v>
      </c>
      <c r="IC402" s="9" t="s">
        <v>5922</v>
      </c>
      <c r="ID402" s="9" t="s">
        <v>5989</v>
      </c>
      <c r="IE402" s="9" t="s">
        <v>6522</v>
      </c>
      <c r="IF402" s="9" t="s">
        <v>6522</v>
      </c>
      <c r="IG402" s="9" t="s">
        <v>6522</v>
      </c>
      <c r="IH402" s="9" t="s">
        <v>6522</v>
      </c>
      <c r="II402" s="9" t="s">
        <v>5989</v>
      </c>
      <c r="IJ402" s="9" t="s">
        <v>7989</v>
      </c>
      <c r="IK402" s="9" t="s">
        <v>7990</v>
      </c>
      <c r="IL402" s="9" t="s">
        <v>7991</v>
      </c>
      <c r="IM402" s="9" t="s">
        <v>552</v>
      </c>
      <c r="MJ402" s="9" t="s">
        <v>6321</v>
      </c>
    </row>
    <row r="403" ht="22.5" customHeight="1">
      <c r="A403" s="8">
        <v>45996.56378877314</v>
      </c>
      <c r="B403" s="9" t="s">
        <v>368</v>
      </c>
      <c r="C403" s="9" t="s">
        <v>370</v>
      </c>
      <c r="D403" s="9" t="s">
        <v>370</v>
      </c>
      <c r="E403" s="9" t="s">
        <v>1421</v>
      </c>
      <c r="F403" s="9" t="s">
        <v>1421</v>
      </c>
      <c r="G403" s="9" t="s">
        <v>422</v>
      </c>
      <c r="H403" s="9" t="s">
        <v>373</v>
      </c>
      <c r="I403" s="9" t="s">
        <v>374</v>
      </c>
      <c r="J403" s="9" t="s">
        <v>669</v>
      </c>
      <c r="K403" s="9" t="s">
        <v>376</v>
      </c>
      <c r="L403" s="9" t="s">
        <v>591</v>
      </c>
      <c r="M403" s="9" t="s">
        <v>3453</v>
      </c>
      <c r="N403" s="9" t="s">
        <v>793</v>
      </c>
      <c r="O403" s="9" t="s">
        <v>7992</v>
      </c>
      <c r="P403" s="9" t="s">
        <v>592</v>
      </c>
      <c r="Q403" s="9" t="s">
        <v>382</v>
      </c>
      <c r="R403" s="9" t="s">
        <v>1197</v>
      </c>
      <c r="S403" s="9" t="s">
        <v>384</v>
      </c>
      <c r="T403" s="9" t="s">
        <v>385</v>
      </c>
      <c r="W403" s="9" t="s">
        <v>386</v>
      </c>
      <c r="X403" s="9" t="s">
        <v>387</v>
      </c>
      <c r="Y403" s="9" t="s">
        <v>388</v>
      </c>
      <c r="Z403" s="9" t="s">
        <v>543</v>
      </c>
      <c r="AV403" s="9" t="s">
        <v>1242</v>
      </c>
      <c r="AW403" s="9" t="s">
        <v>675</v>
      </c>
      <c r="AX403" s="9" t="s">
        <v>675</v>
      </c>
      <c r="AY403" s="9" t="s">
        <v>391</v>
      </c>
      <c r="AZ403" s="9">
        <v>4.0</v>
      </c>
      <c r="BA403" s="9">
        <v>4.0</v>
      </c>
      <c r="BB403" s="9" t="s">
        <v>675</v>
      </c>
      <c r="BE403" s="9" t="s">
        <v>432</v>
      </c>
      <c r="BF403" s="9" t="s">
        <v>1047</v>
      </c>
      <c r="BG403" s="9" t="s">
        <v>434</v>
      </c>
      <c r="BI403" s="9" t="s">
        <v>976</v>
      </c>
      <c r="BK403" s="9" t="s">
        <v>395</v>
      </c>
      <c r="BL403" s="9" t="s">
        <v>904</v>
      </c>
      <c r="BM403" s="9" t="s">
        <v>1314</v>
      </c>
      <c r="BN403" s="9" t="s">
        <v>513</v>
      </c>
      <c r="CL403" s="9" t="s">
        <v>441</v>
      </c>
      <c r="CM403" s="9" t="s">
        <v>604</v>
      </c>
      <c r="CP403" s="9" t="s">
        <v>445</v>
      </c>
      <c r="CQ403" s="9" t="s">
        <v>6915</v>
      </c>
      <c r="CR403" s="9" t="s">
        <v>404</v>
      </c>
      <c r="CS403" s="9" t="s">
        <v>7993</v>
      </c>
      <c r="CU403" s="9" t="s">
        <v>982</v>
      </c>
      <c r="CV403" s="9" t="s">
        <v>409</v>
      </c>
      <c r="CX403" s="9" t="s">
        <v>408</v>
      </c>
      <c r="CZ403" s="9" t="s">
        <v>1398</v>
      </c>
      <c r="DB403" s="9" t="s">
        <v>408</v>
      </c>
      <c r="DD403" s="9" t="s">
        <v>988</v>
      </c>
      <c r="DG403" s="9" t="s">
        <v>776</v>
      </c>
      <c r="DH403" s="9" t="s">
        <v>1220</v>
      </c>
      <c r="DI403" s="9" t="s">
        <v>459</v>
      </c>
      <c r="DJ403" s="9" t="s">
        <v>460</v>
      </c>
      <c r="DK403" s="9" t="s">
        <v>6335</v>
      </c>
      <c r="ET403" s="9" t="s">
        <v>478</v>
      </c>
      <c r="EU403" s="9" t="s">
        <v>887</v>
      </c>
      <c r="EV403" s="9" t="s">
        <v>580</v>
      </c>
      <c r="EZ403" s="9" t="s">
        <v>414</v>
      </c>
      <c r="FA403" s="9" t="s">
        <v>414</v>
      </c>
      <c r="FB403" s="9" t="s">
        <v>414</v>
      </c>
      <c r="FC403" s="9" t="s">
        <v>414</v>
      </c>
      <c r="FD403" s="9" t="s">
        <v>415</v>
      </c>
      <c r="FE403" s="9" t="s">
        <v>414</v>
      </c>
      <c r="FF403" s="9" t="s">
        <v>414</v>
      </c>
      <c r="FG403" s="9" t="s">
        <v>415</v>
      </c>
      <c r="FH403" s="9" t="s">
        <v>415</v>
      </c>
      <c r="FI403" s="9" t="s">
        <v>414</v>
      </c>
      <c r="FJ403" s="9" t="s">
        <v>414</v>
      </c>
      <c r="FK403" s="9" t="s">
        <v>583</v>
      </c>
      <c r="FL403" s="9" t="s">
        <v>583</v>
      </c>
      <c r="FM403" s="9" t="s">
        <v>416</v>
      </c>
      <c r="FN403" s="9" t="s">
        <v>414</v>
      </c>
      <c r="FO403" s="9" t="s">
        <v>1074</v>
      </c>
      <c r="FP403" s="9" t="s">
        <v>1200</v>
      </c>
      <c r="FQ403" s="9" t="s">
        <v>419</v>
      </c>
      <c r="FS403" s="9" t="s">
        <v>1076</v>
      </c>
      <c r="FT403" s="9" t="s">
        <v>421</v>
      </c>
      <c r="FU403" s="9" t="s">
        <v>489</v>
      </c>
      <c r="FV403" s="9" t="s">
        <v>2387</v>
      </c>
      <c r="FW403" s="9" t="s">
        <v>1853</v>
      </c>
      <c r="FY403" s="9" t="s">
        <v>1854</v>
      </c>
      <c r="GB403" s="9" t="s">
        <v>408</v>
      </c>
      <c r="GG403" s="9" t="s">
        <v>1000</v>
      </c>
      <c r="GH403" s="9" t="s">
        <v>1000</v>
      </c>
      <c r="GI403" s="9" t="s">
        <v>756</v>
      </c>
      <c r="GQ403" s="9" t="s">
        <v>3208</v>
      </c>
      <c r="GT403" s="9" t="s">
        <v>4774</v>
      </c>
      <c r="GV403" s="9" t="s">
        <v>5231</v>
      </c>
      <c r="GW403" s="9" t="s">
        <v>5232</v>
      </c>
      <c r="HC403" s="9" t="s">
        <v>5297</v>
      </c>
      <c r="HD403" s="9" t="s">
        <v>484</v>
      </c>
      <c r="HE403" s="9" t="s">
        <v>5320</v>
      </c>
      <c r="HF403" s="9" t="s">
        <v>5284</v>
      </c>
      <c r="HO403" s="9" t="s">
        <v>5346</v>
      </c>
      <c r="HP403" s="9" t="s">
        <v>5302</v>
      </c>
      <c r="HQ403" s="9" t="s">
        <v>5801</v>
      </c>
      <c r="HR403" s="9" t="s">
        <v>5239</v>
      </c>
      <c r="HW403" s="9" t="s">
        <v>6274</v>
      </c>
      <c r="MJ403" s="9" t="s">
        <v>6321</v>
      </c>
    </row>
    <row r="404" ht="22.5" customHeight="1">
      <c r="A404" s="8">
        <v>45999.3960019213</v>
      </c>
      <c r="B404" s="9" t="s">
        <v>368</v>
      </c>
      <c r="C404" s="9" t="s">
        <v>370</v>
      </c>
      <c r="D404" s="9" t="s">
        <v>370</v>
      </c>
      <c r="E404" s="9" t="s">
        <v>371</v>
      </c>
      <c r="F404" s="9" t="s">
        <v>371</v>
      </c>
      <c r="G404" s="9" t="s">
        <v>1783</v>
      </c>
      <c r="H404" s="9" t="s">
        <v>373</v>
      </c>
      <c r="I404" s="9" t="s">
        <v>374</v>
      </c>
      <c r="J404" s="9" t="s">
        <v>718</v>
      </c>
      <c r="K404" s="9" t="s">
        <v>376</v>
      </c>
      <c r="L404" s="9" t="s">
        <v>379</v>
      </c>
      <c r="M404" s="9" t="s">
        <v>1442</v>
      </c>
      <c r="N404" s="9" t="s">
        <v>379</v>
      </c>
      <c r="O404" s="9" t="s">
        <v>497</v>
      </c>
      <c r="P404" s="9" t="s">
        <v>381</v>
      </c>
      <c r="Q404" s="9" t="s">
        <v>499</v>
      </c>
      <c r="R404" s="9" t="s">
        <v>427</v>
      </c>
      <c r="S404" s="9" t="s">
        <v>384</v>
      </c>
      <c r="T404" s="9" t="s">
        <v>385</v>
      </c>
      <c r="W404" s="9" t="s">
        <v>386</v>
      </c>
      <c r="X404" s="9" t="s">
        <v>387</v>
      </c>
      <c r="Y404" s="9" t="s">
        <v>388</v>
      </c>
      <c r="Z404" s="9" t="s">
        <v>672</v>
      </c>
      <c r="AA404" s="9" t="s">
        <v>7994</v>
      </c>
      <c r="AB404" s="9" t="s">
        <v>4148</v>
      </c>
      <c r="AV404" s="9" t="s">
        <v>1310</v>
      </c>
      <c r="AW404" s="9">
        <v>4.0</v>
      </c>
      <c r="AX404" s="9">
        <v>4.0</v>
      </c>
      <c r="AY404" s="9">
        <v>4.0</v>
      </c>
      <c r="AZ404" s="9" t="s">
        <v>391</v>
      </c>
      <c r="BA404" s="9">
        <v>2.0</v>
      </c>
      <c r="BB404" s="9" t="s">
        <v>391</v>
      </c>
      <c r="BC404" s="9" t="s">
        <v>7995</v>
      </c>
      <c r="BD404" s="9" t="s">
        <v>7996</v>
      </c>
      <c r="BE404" s="9" t="s">
        <v>432</v>
      </c>
      <c r="BF404" s="9" t="s">
        <v>393</v>
      </c>
      <c r="BG404" s="9" t="s">
        <v>434</v>
      </c>
      <c r="BH404" s="9" t="s">
        <v>7997</v>
      </c>
      <c r="BI404" s="9" t="s">
        <v>509</v>
      </c>
      <c r="BJ404" s="9" t="s">
        <v>7998</v>
      </c>
      <c r="BK404" s="9" t="s">
        <v>681</v>
      </c>
      <c r="BL404" s="9" t="s">
        <v>438</v>
      </c>
      <c r="BM404" s="9" t="s">
        <v>1247</v>
      </c>
      <c r="BN404" s="9" t="s">
        <v>513</v>
      </c>
      <c r="CL404" s="9" t="s">
        <v>441</v>
      </c>
      <c r="CM404" s="9" t="s">
        <v>442</v>
      </c>
      <c r="CN404" s="9" t="s">
        <v>7999</v>
      </c>
      <c r="CO404" s="9" t="s">
        <v>8000</v>
      </c>
      <c r="CP404" s="9" t="s">
        <v>445</v>
      </c>
      <c r="CQ404" s="9" t="s">
        <v>8001</v>
      </c>
      <c r="CR404" s="9" t="s">
        <v>447</v>
      </c>
      <c r="CS404" s="9" t="s">
        <v>8002</v>
      </c>
      <c r="CT404" s="9" t="s">
        <v>8003</v>
      </c>
      <c r="CU404" s="9" t="s">
        <v>519</v>
      </c>
      <c r="CV404" s="9" t="s">
        <v>451</v>
      </c>
      <c r="CW404" s="9" t="s">
        <v>8004</v>
      </c>
      <c r="CX404" s="9" t="s">
        <v>455</v>
      </c>
      <c r="CY404" s="9" t="s">
        <v>8005</v>
      </c>
      <c r="CZ404" s="9" t="s">
        <v>985</v>
      </c>
      <c r="DA404" s="9" t="s">
        <v>8006</v>
      </c>
      <c r="DB404" s="9" t="s">
        <v>455</v>
      </c>
      <c r="DC404" s="9" t="s">
        <v>8007</v>
      </c>
      <c r="DD404" s="9" t="s">
        <v>988</v>
      </c>
      <c r="DG404" s="9" t="s">
        <v>776</v>
      </c>
      <c r="DH404" s="9" t="s">
        <v>410</v>
      </c>
      <c r="DI404" s="9" t="s">
        <v>459</v>
      </c>
      <c r="DJ404" s="9" t="s">
        <v>460</v>
      </c>
      <c r="DK404" s="9" t="s">
        <v>6335</v>
      </c>
      <c r="ET404" s="9" t="s">
        <v>578</v>
      </c>
      <c r="EU404" s="9" t="s">
        <v>887</v>
      </c>
      <c r="EV404" s="9" t="s">
        <v>527</v>
      </c>
      <c r="EZ404" s="9" t="s">
        <v>583</v>
      </c>
      <c r="FA404" s="9" t="s">
        <v>583</v>
      </c>
      <c r="FB404" s="9" t="s">
        <v>416</v>
      </c>
      <c r="FC404" s="9" t="s">
        <v>583</v>
      </c>
      <c r="FD404" s="9" t="s">
        <v>416</v>
      </c>
      <c r="FE404" s="9" t="s">
        <v>583</v>
      </c>
      <c r="FF404" s="9" t="s">
        <v>583</v>
      </c>
      <c r="FG404" s="9" t="s">
        <v>413</v>
      </c>
      <c r="FH404" s="9" t="s">
        <v>583</v>
      </c>
      <c r="FI404" s="9" t="s">
        <v>583</v>
      </c>
      <c r="FJ404" s="9" t="s">
        <v>583</v>
      </c>
      <c r="FK404" s="9" t="s">
        <v>416</v>
      </c>
      <c r="FL404" s="9" t="s">
        <v>416</v>
      </c>
      <c r="FM404" s="9" t="s">
        <v>416</v>
      </c>
      <c r="FN404" s="9" t="s">
        <v>583</v>
      </c>
      <c r="FO404" s="9" t="s">
        <v>3396</v>
      </c>
      <c r="FP404" s="9" t="s">
        <v>418</v>
      </c>
      <c r="FQ404" s="9" t="s">
        <v>531</v>
      </c>
      <c r="FS404" s="9" t="s">
        <v>995</v>
      </c>
      <c r="FT404" s="9" t="s">
        <v>488</v>
      </c>
      <c r="FU404" s="9" t="s">
        <v>489</v>
      </c>
      <c r="FV404" s="9" t="s">
        <v>490</v>
      </c>
      <c r="FW404" s="9" t="s">
        <v>1853</v>
      </c>
      <c r="GB404" s="9" t="s">
        <v>455</v>
      </c>
      <c r="GG404" s="9" t="s">
        <v>755</v>
      </c>
      <c r="GH404" s="9" t="s">
        <v>755</v>
      </c>
      <c r="GI404" s="9" t="s">
        <v>946</v>
      </c>
      <c r="GQ404" s="9" t="s">
        <v>3208</v>
      </c>
      <c r="GT404" s="9" t="s">
        <v>4774</v>
      </c>
      <c r="GV404" s="9" t="s">
        <v>5381</v>
      </c>
      <c r="GW404" s="9" t="s">
        <v>5232</v>
      </c>
      <c r="HC404" s="9" t="s">
        <v>5297</v>
      </c>
      <c r="HD404" s="9" t="s">
        <v>5349</v>
      </c>
      <c r="HE404" s="9" t="s">
        <v>5320</v>
      </c>
      <c r="HF404" s="9" t="s">
        <v>5284</v>
      </c>
      <c r="HO404" s="9" t="s">
        <v>5236</v>
      </c>
      <c r="HP404" s="9" t="s">
        <v>5264</v>
      </c>
      <c r="HQ404" s="9" t="s">
        <v>5286</v>
      </c>
      <c r="HW404" s="9" t="s">
        <v>5578</v>
      </c>
      <c r="MJ404" s="9" t="s">
        <v>6321</v>
      </c>
    </row>
    <row r="405" ht="22.5" customHeight="1">
      <c r="A405" s="8">
        <v>46001.23924292824</v>
      </c>
      <c r="B405" s="9" t="s">
        <v>368</v>
      </c>
      <c r="C405" s="9" t="s">
        <v>1341</v>
      </c>
      <c r="D405" s="9" t="s">
        <v>1341</v>
      </c>
      <c r="G405" s="9" t="s">
        <v>422</v>
      </c>
      <c r="H405" s="9" t="s">
        <v>496</v>
      </c>
      <c r="I405" s="9" t="s">
        <v>374</v>
      </c>
      <c r="J405" s="9" t="s">
        <v>375</v>
      </c>
      <c r="K405" s="9" t="s">
        <v>376</v>
      </c>
      <c r="L405" s="9" t="s">
        <v>377</v>
      </c>
      <c r="M405" s="9" t="s">
        <v>541</v>
      </c>
      <c r="N405" s="9" t="s">
        <v>379</v>
      </c>
      <c r="O405" s="9" t="s">
        <v>1024</v>
      </c>
      <c r="P405" s="9" t="s">
        <v>1760</v>
      </c>
      <c r="Q405" s="9" t="s">
        <v>499</v>
      </c>
      <c r="R405" s="9" t="s">
        <v>427</v>
      </c>
      <c r="S405" s="9" t="s">
        <v>384</v>
      </c>
      <c r="W405" s="9" t="s">
        <v>386</v>
      </c>
      <c r="X405" s="9" t="s">
        <v>387</v>
      </c>
      <c r="Y405" s="9" t="s">
        <v>1444</v>
      </c>
      <c r="Z405" s="9" t="s">
        <v>389</v>
      </c>
      <c r="AV405" s="9" t="s">
        <v>390</v>
      </c>
      <c r="AW405" s="9" t="s">
        <v>391</v>
      </c>
      <c r="AX405" s="9" t="s">
        <v>391</v>
      </c>
      <c r="AY405" s="9">
        <v>2.0</v>
      </c>
      <c r="AZ405" s="9" t="s">
        <v>429</v>
      </c>
      <c r="BA405" s="9" t="s">
        <v>429</v>
      </c>
      <c r="BB405" s="9">
        <v>2.0</v>
      </c>
      <c r="BC405" s="9" t="s">
        <v>8008</v>
      </c>
      <c r="BD405" s="9" t="s">
        <v>8009</v>
      </c>
      <c r="BE405" s="9" t="s">
        <v>392</v>
      </c>
      <c r="BF405" s="9" t="s">
        <v>393</v>
      </c>
      <c r="BG405" s="9" t="s">
        <v>434</v>
      </c>
      <c r="BH405" s="9" t="s">
        <v>8010</v>
      </c>
      <c r="BI405" s="9" t="s">
        <v>509</v>
      </c>
      <c r="BK405" s="9" t="s">
        <v>437</v>
      </c>
      <c r="BL405" s="9" t="s">
        <v>512</v>
      </c>
      <c r="BM405" s="9" t="s">
        <v>549</v>
      </c>
      <c r="BN405" s="9" t="s">
        <v>513</v>
      </c>
      <c r="CL405" s="9" t="s">
        <v>682</v>
      </c>
      <c r="CM405" s="9" t="s">
        <v>401</v>
      </c>
      <c r="CN405" s="9" t="s">
        <v>8011</v>
      </c>
      <c r="CO405" s="9" t="s">
        <v>8012</v>
      </c>
      <c r="CT405" s="9" t="s">
        <v>8013</v>
      </c>
      <c r="CU405" s="9" t="s">
        <v>450</v>
      </c>
      <c r="CV405" s="9" t="s">
        <v>959</v>
      </c>
      <c r="CX405" s="9" t="s">
        <v>408</v>
      </c>
      <c r="CZ405" s="9" t="s">
        <v>985</v>
      </c>
      <c r="DA405" s="9" t="s">
        <v>8014</v>
      </c>
      <c r="DB405" s="9" t="s">
        <v>455</v>
      </c>
      <c r="DG405" s="9" t="s">
        <v>4899</v>
      </c>
      <c r="DH405" s="9" t="s">
        <v>1220</v>
      </c>
      <c r="DI405" s="9" t="s">
        <v>1402</v>
      </c>
      <c r="DJ405" s="9" t="s">
        <v>613</v>
      </c>
      <c r="ET405" s="9" t="s">
        <v>578</v>
      </c>
      <c r="EU405" s="9" t="s">
        <v>579</v>
      </c>
      <c r="EV405" s="9" t="s">
        <v>580</v>
      </c>
      <c r="EX405" s="9" t="s">
        <v>8015</v>
      </c>
      <c r="EY405" s="9" t="s">
        <v>8016</v>
      </c>
      <c r="EZ405" s="9" t="s">
        <v>414</v>
      </c>
      <c r="FA405" s="9" t="s">
        <v>414</v>
      </c>
      <c r="FB405" s="9" t="s">
        <v>413</v>
      </c>
      <c r="FC405" s="9" t="s">
        <v>414</v>
      </c>
      <c r="FD405" s="9" t="s">
        <v>416</v>
      </c>
      <c r="FE405" s="9" t="s">
        <v>414</v>
      </c>
      <c r="FF405" s="9" t="s">
        <v>414</v>
      </c>
      <c r="FG405" s="9" t="s">
        <v>414</v>
      </c>
      <c r="FH405" s="9" t="s">
        <v>416</v>
      </c>
      <c r="FI405" s="9" t="s">
        <v>415</v>
      </c>
      <c r="FJ405" s="9" t="s">
        <v>414</v>
      </c>
      <c r="FK405" s="9" t="s">
        <v>415</v>
      </c>
      <c r="FL405" s="9" t="s">
        <v>415</v>
      </c>
      <c r="FM405" s="9" t="s">
        <v>415</v>
      </c>
      <c r="FN405" s="9" t="s">
        <v>415</v>
      </c>
      <c r="FO405" s="9" t="s">
        <v>417</v>
      </c>
      <c r="FP405" s="9" t="s">
        <v>486</v>
      </c>
      <c r="FQ405" s="9" t="s">
        <v>419</v>
      </c>
      <c r="FR405" s="9" t="s">
        <v>8017</v>
      </c>
      <c r="FS405" s="9" t="s">
        <v>1076</v>
      </c>
      <c r="FT405" s="9" t="s">
        <v>1462</v>
      </c>
      <c r="FU405" s="9" t="s">
        <v>918</v>
      </c>
      <c r="FV405" s="9" t="s">
        <v>490</v>
      </c>
      <c r="FW405" s="9" t="s">
        <v>491</v>
      </c>
      <c r="FY405" s="9" t="s">
        <v>493</v>
      </c>
      <c r="FZ405" s="9" t="s">
        <v>8018</v>
      </c>
      <c r="GB405" s="9" t="s">
        <v>408</v>
      </c>
      <c r="GG405" s="9" t="s">
        <v>789</v>
      </c>
      <c r="GI405" s="9" t="s">
        <v>921</v>
      </c>
      <c r="GQ405" s="9" t="s">
        <v>3208</v>
      </c>
      <c r="GT405" s="9" t="s">
        <v>5039</v>
      </c>
      <c r="GV405" s="9" t="s">
        <v>5231</v>
      </c>
      <c r="GW405" s="9" t="s">
        <v>5261</v>
      </c>
      <c r="HO405" s="9" t="s">
        <v>5236</v>
      </c>
      <c r="HP405" s="9" t="s">
        <v>5237</v>
      </c>
      <c r="HQ405" s="9" t="s">
        <v>5238</v>
      </c>
      <c r="HR405" s="9" t="s">
        <v>8019</v>
      </c>
      <c r="HS405" s="9" t="s">
        <v>6534</v>
      </c>
      <c r="HU405" s="9" t="s">
        <v>7955</v>
      </c>
      <c r="HV405" s="9" t="s">
        <v>5918</v>
      </c>
      <c r="HX405" s="9" t="s">
        <v>5920</v>
      </c>
      <c r="HY405" s="9" t="s">
        <v>5920</v>
      </c>
      <c r="HZ405" s="9" t="s">
        <v>5921</v>
      </c>
      <c r="IA405" s="9" t="s">
        <v>5921</v>
      </c>
      <c r="IB405" s="9" t="s">
        <v>6464</v>
      </c>
      <c r="ID405" s="9" t="s">
        <v>6522</v>
      </c>
      <c r="IE405" s="9" t="s">
        <v>5989</v>
      </c>
      <c r="IF405" s="9" t="s">
        <v>5537</v>
      </c>
      <c r="IG405" s="9" t="s">
        <v>5989</v>
      </c>
      <c r="IH405" s="9" t="s">
        <v>6522</v>
      </c>
      <c r="II405" s="9" t="s">
        <v>5537</v>
      </c>
      <c r="IJ405" s="9" t="s">
        <v>8020</v>
      </c>
      <c r="IK405" s="9" t="s">
        <v>7126</v>
      </c>
      <c r="IL405" s="9" t="s">
        <v>8021</v>
      </c>
      <c r="MJ405" s="9" t="s">
        <v>6321</v>
      </c>
    </row>
    <row r="406" ht="22.5" customHeight="1">
      <c r="A406" s="8">
        <v>46003.78513780092</v>
      </c>
      <c r="B406" s="9" t="s">
        <v>368</v>
      </c>
      <c r="C406" s="9" t="s">
        <v>370</v>
      </c>
      <c r="D406" s="9" t="s">
        <v>370</v>
      </c>
      <c r="E406" s="9" t="s">
        <v>6014</v>
      </c>
      <c r="F406" s="9" t="s">
        <v>371</v>
      </c>
      <c r="G406" s="9" t="s">
        <v>422</v>
      </c>
      <c r="H406" s="9" t="s">
        <v>373</v>
      </c>
      <c r="I406" s="9" t="s">
        <v>374</v>
      </c>
      <c r="J406" s="9" t="s">
        <v>425</v>
      </c>
      <c r="K406" s="9" t="s">
        <v>376</v>
      </c>
      <c r="L406" s="9" t="s">
        <v>793</v>
      </c>
      <c r="M406" s="9" t="s">
        <v>639</v>
      </c>
      <c r="N406" s="9" t="s">
        <v>426</v>
      </c>
      <c r="O406" s="9" t="s">
        <v>2464</v>
      </c>
      <c r="P406" s="9" t="s">
        <v>592</v>
      </c>
      <c r="Q406" s="9" t="s">
        <v>382</v>
      </c>
      <c r="R406" s="9" t="s">
        <v>427</v>
      </c>
      <c r="S406" s="9" t="s">
        <v>384</v>
      </c>
      <c r="T406" s="9" t="s">
        <v>385</v>
      </c>
      <c r="W406" s="9" t="s">
        <v>3231</v>
      </c>
      <c r="AV406" s="9" t="s">
        <v>504</v>
      </c>
      <c r="AW406" s="9" t="s">
        <v>429</v>
      </c>
      <c r="AX406" s="9" t="s">
        <v>429</v>
      </c>
      <c r="AY406" s="9" t="s">
        <v>429</v>
      </c>
      <c r="AZ406" s="9" t="s">
        <v>429</v>
      </c>
      <c r="BA406" s="9" t="s">
        <v>429</v>
      </c>
      <c r="BB406" s="9" t="s">
        <v>429</v>
      </c>
      <c r="BC406" s="9" t="s">
        <v>8022</v>
      </c>
      <c r="BD406" s="9" t="s">
        <v>8023</v>
      </c>
      <c r="BE406" s="9" t="s">
        <v>392</v>
      </c>
      <c r="BF406" s="9" t="s">
        <v>433</v>
      </c>
      <c r="BG406" s="9" t="s">
        <v>434</v>
      </c>
      <c r="BH406" s="9" t="s">
        <v>8024</v>
      </c>
      <c r="BI406" s="9" t="s">
        <v>435</v>
      </c>
      <c r="BK406" s="9" t="s">
        <v>437</v>
      </c>
      <c r="BL406" s="9" t="s">
        <v>904</v>
      </c>
      <c r="BM406" s="9" t="s">
        <v>439</v>
      </c>
      <c r="BN406" s="9" t="s">
        <v>513</v>
      </c>
      <c r="CL406" s="9" t="s">
        <v>441</v>
      </c>
      <c r="CM406" s="9" t="s">
        <v>682</v>
      </c>
      <c r="CN406" s="9" t="s">
        <v>8025</v>
      </c>
      <c r="CO406" s="9" t="s">
        <v>8026</v>
      </c>
      <c r="CP406" s="9" t="s">
        <v>445</v>
      </c>
      <c r="CQ406" s="9" t="s">
        <v>8027</v>
      </c>
      <c r="CR406" s="9" t="s">
        <v>447</v>
      </c>
      <c r="CS406" s="9" t="s">
        <v>8028</v>
      </c>
      <c r="CT406" s="9" t="s">
        <v>8029</v>
      </c>
      <c r="CU406" s="9" t="s">
        <v>450</v>
      </c>
      <c r="CV406" s="9" t="s">
        <v>451</v>
      </c>
      <c r="CW406" s="9" t="s">
        <v>1604</v>
      </c>
      <c r="CX406" s="9" t="s">
        <v>408</v>
      </c>
      <c r="CZ406" s="9" t="s">
        <v>453</v>
      </c>
      <c r="DA406" s="9" t="s">
        <v>8030</v>
      </c>
      <c r="DB406" s="9" t="s">
        <v>455</v>
      </c>
      <c r="DD406" s="9" t="s">
        <v>662</v>
      </c>
      <c r="DF406" s="9" t="s">
        <v>8031</v>
      </c>
      <c r="DG406" s="9" t="s">
        <v>524</v>
      </c>
      <c r="DH406" s="9" t="s">
        <v>410</v>
      </c>
      <c r="DI406" s="9" t="s">
        <v>777</v>
      </c>
      <c r="DJ406" s="9" t="s">
        <v>460</v>
      </c>
      <c r="DK406" s="9" t="s">
        <v>1434</v>
      </c>
      <c r="ET406" s="9" t="s">
        <v>526</v>
      </c>
      <c r="EU406" s="9" t="s">
        <v>579</v>
      </c>
      <c r="EV406" s="9" t="s">
        <v>778</v>
      </c>
      <c r="EW406" s="9" t="s">
        <v>8032</v>
      </c>
      <c r="EX406" s="9" t="s">
        <v>8033</v>
      </c>
      <c r="EY406" s="9" t="s">
        <v>8034</v>
      </c>
      <c r="EZ406" s="9" t="s">
        <v>413</v>
      </c>
      <c r="FA406" s="9" t="s">
        <v>413</v>
      </c>
      <c r="FB406" s="9" t="s">
        <v>413</v>
      </c>
      <c r="FC406" s="9" t="s">
        <v>413</v>
      </c>
      <c r="FD406" s="9" t="s">
        <v>413</v>
      </c>
      <c r="FE406" s="9" t="s">
        <v>413</v>
      </c>
      <c r="FF406" s="9" t="s">
        <v>413</v>
      </c>
      <c r="FG406" s="9" t="s">
        <v>413</v>
      </c>
      <c r="FH406" s="9" t="s">
        <v>413</v>
      </c>
      <c r="FI406" s="9" t="s">
        <v>413</v>
      </c>
      <c r="FJ406" s="9" t="s">
        <v>413</v>
      </c>
      <c r="FK406" s="9" t="s">
        <v>413</v>
      </c>
      <c r="FL406" s="9" t="s">
        <v>413</v>
      </c>
      <c r="FM406" s="9" t="s">
        <v>583</v>
      </c>
      <c r="FN406" s="9" t="s">
        <v>413</v>
      </c>
      <c r="FO406" s="9" t="s">
        <v>417</v>
      </c>
      <c r="FP406" s="9" t="s">
        <v>418</v>
      </c>
      <c r="FQ406" s="9" t="s">
        <v>531</v>
      </c>
      <c r="FR406" s="9" t="s">
        <v>8035</v>
      </c>
      <c r="FS406" s="9" t="s">
        <v>420</v>
      </c>
      <c r="FT406" s="9" t="s">
        <v>488</v>
      </c>
      <c r="FU406" s="9" t="s">
        <v>585</v>
      </c>
      <c r="FV406" s="9" t="s">
        <v>490</v>
      </c>
      <c r="FW406" s="9" t="s">
        <v>491</v>
      </c>
      <c r="FX406" s="9" t="s">
        <v>8036</v>
      </c>
      <c r="FY406" s="9" t="s">
        <v>535</v>
      </c>
      <c r="FZ406" s="9" t="s">
        <v>8037</v>
      </c>
      <c r="GB406" s="9" t="s">
        <v>455</v>
      </c>
      <c r="GG406" s="9" t="s">
        <v>755</v>
      </c>
      <c r="GH406" s="9" t="s">
        <v>755</v>
      </c>
      <c r="GI406" s="9" t="s">
        <v>946</v>
      </c>
      <c r="GP406" s="9" t="s">
        <v>387</v>
      </c>
      <c r="GQ406" s="9" t="s">
        <v>3273</v>
      </c>
      <c r="GT406" s="9" t="s">
        <v>5318</v>
      </c>
      <c r="GV406" s="9" t="s">
        <v>5231</v>
      </c>
      <c r="GW406" s="9" t="s">
        <v>5232</v>
      </c>
      <c r="HC406" s="9" t="s">
        <v>5281</v>
      </c>
      <c r="HD406" s="9" t="s">
        <v>5282</v>
      </c>
      <c r="HE406" s="9" t="s">
        <v>5299</v>
      </c>
      <c r="HF406" s="9" t="s">
        <v>5284</v>
      </c>
      <c r="HO406" s="9" t="s">
        <v>5301</v>
      </c>
      <c r="HP406" s="9" t="s">
        <v>5237</v>
      </c>
      <c r="HQ406" s="9" t="s">
        <v>5238</v>
      </c>
      <c r="HR406" s="9" t="s">
        <v>8038</v>
      </c>
      <c r="HW406" s="9" t="s">
        <v>8039</v>
      </c>
      <c r="MJ406" s="9" t="s">
        <v>6321</v>
      </c>
    </row>
    <row r="407" ht="22.5" customHeight="1">
      <c r="A407" s="8">
        <v>46009.5123213426</v>
      </c>
      <c r="B407" s="9" t="s">
        <v>368</v>
      </c>
      <c r="C407" s="9" t="s">
        <v>370</v>
      </c>
      <c r="D407" s="9" t="s">
        <v>370</v>
      </c>
      <c r="E407" s="9" t="s">
        <v>1510</v>
      </c>
      <c r="F407" s="9" t="s">
        <v>6716</v>
      </c>
      <c r="G407" s="9" t="s">
        <v>422</v>
      </c>
      <c r="H407" s="9" t="s">
        <v>1307</v>
      </c>
      <c r="I407" s="9" t="s">
        <v>668</v>
      </c>
      <c r="J407" s="9" t="s">
        <v>375</v>
      </c>
      <c r="K407" s="9" t="s">
        <v>376</v>
      </c>
      <c r="L407" s="9" t="s">
        <v>379</v>
      </c>
      <c r="M407" s="9" t="s">
        <v>378</v>
      </c>
      <c r="N407" s="9" t="s">
        <v>426</v>
      </c>
      <c r="O407" s="9" t="s">
        <v>497</v>
      </c>
      <c r="P407" s="9" t="s">
        <v>592</v>
      </c>
      <c r="Q407" s="9" t="s">
        <v>1156</v>
      </c>
      <c r="R407" s="9" t="s">
        <v>427</v>
      </c>
      <c r="S407" s="9" t="s">
        <v>384</v>
      </c>
      <c r="T407" s="9" t="s">
        <v>385</v>
      </c>
      <c r="W407" s="9" t="s">
        <v>593</v>
      </c>
      <c r="X407" s="9" t="s">
        <v>387</v>
      </c>
      <c r="Y407" s="9" t="s">
        <v>761</v>
      </c>
      <c r="Z407" s="9" t="s">
        <v>543</v>
      </c>
      <c r="AA407" s="9" t="s">
        <v>8040</v>
      </c>
      <c r="AB407" s="9" t="s">
        <v>8041</v>
      </c>
      <c r="AV407" s="9" t="s">
        <v>390</v>
      </c>
      <c r="AW407" s="9" t="s">
        <v>391</v>
      </c>
      <c r="AX407" s="9" t="s">
        <v>391</v>
      </c>
      <c r="AY407" s="9" t="s">
        <v>391</v>
      </c>
      <c r="AZ407" s="9">
        <v>4.0</v>
      </c>
      <c r="BA407" s="9">
        <v>2.0</v>
      </c>
      <c r="BB407" s="9">
        <v>2.0</v>
      </c>
      <c r="BC407" s="9" t="s">
        <v>8042</v>
      </c>
      <c r="BD407" s="9" t="s">
        <v>8043</v>
      </c>
      <c r="BE407" s="9" t="s">
        <v>2259</v>
      </c>
      <c r="BF407" s="9" t="s">
        <v>433</v>
      </c>
      <c r="BG407" s="9" t="s">
        <v>725</v>
      </c>
      <c r="BH407" s="9" t="s">
        <v>8044</v>
      </c>
      <c r="BI407" s="9" t="s">
        <v>509</v>
      </c>
      <c r="BJ407" s="9" t="s">
        <v>8045</v>
      </c>
      <c r="BK407" s="9" t="s">
        <v>511</v>
      </c>
      <c r="BL407" s="9" t="s">
        <v>512</v>
      </c>
      <c r="BM407" s="9" t="s">
        <v>549</v>
      </c>
      <c r="BN407" s="9" t="s">
        <v>513</v>
      </c>
      <c r="CL407" s="9" t="s">
        <v>441</v>
      </c>
      <c r="CM407" s="9" t="s">
        <v>442</v>
      </c>
      <c r="CN407" s="9" t="s">
        <v>8046</v>
      </c>
      <c r="CO407" s="9" t="s">
        <v>8047</v>
      </c>
      <c r="CP407" s="9" t="s">
        <v>1008</v>
      </c>
      <c r="CQ407" s="9" t="s">
        <v>5701</v>
      </c>
      <c r="CR407" s="9" t="s">
        <v>804</v>
      </c>
      <c r="CS407" s="9" t="s">
        <v>6081</v>
      </c>
      <c r="CT407" s="9" t="s">
        <v>8048</v>
      </c>
      <c r="CU407" s="9" t="s">
        <v>519</v>
      </c>
      <c r="CV407" s="9" t="s">
        <v>451</v>
      </c>
      <c r="CW407" s="9" t="s">
        <v>8049</v>
      </c>
      <c r="CX407" s="9" t="s">
        <v>408</v>
      </c>
      <c r="CZ407" s="9" t="s">
        <v>453</v>
      </c>
      <c r="DA407" s="9" t="s">
        <v>8050</v>
      </c>
      <c r="DB407" s="9" t="s">
        <v>408</v>
      </c>
      <c r="DD407" s="9" t="s">
        <v>988</v>
      </c>
      <c r="DE407" s="9" t="s">
        <v>1368</v>
      </c>
      <c r="DF407" s="9" t="s">
        <v>8051</v>
      </c>
      <c r="DG407" s="9" t="s">
        <v>561</v>
      </c>
      <c r="DH407" s="9" t="s">
        <v>410</v>
      </c>
      <c r="DI407" s="9" t="s">
        <v>963</v>
      </c>
      <c r="DJ407" s="9" t="s">
        <v>460</v>
      </c>
      <c r="DK407" s="9" t="s">
        <v>6335</v>
      </c>
      <c r="ET407" s="9" t="s">
        <v>526</v>
      </c>
      <c r="EU407" s="9" t="s">
        <v>887</v>
      </c>
      <c r="EV407" s="9" t="s">
        <v>527</v>
      </c>
      <c r="EW407" s="9" t="s">
        <v>8052</v>
      </c>
      <c r="EX407" s="9" t="s">
        <v>8053</v>
      </c>
      <c r="EY407" s="9" t="s">
        <v>8054</v>
      </c>
      <c r="EZ407" s="9" t="s">
        <v>413</v>
      </c>
      <c r="FA407" s="9" t="s">
        <v>415</v>
      </c>
      <c r="FB407" s="9" t="s">
        <v>413</v>
      </c>
      <c r="FC407" s="9" t="s">
        <v>413</v>
      </c>
      <c r="FD407" s="9" t="s">
        <v>415</v>
      </c>
      <c r="FE407" s="9" t="s">
        <v>415</v>
      </c>
      <c r="FF407" s="9" t="s">
        <v>413</v>
      </c>
      <c r="FG407" s="9" t="s">
        <v>413</v>
      </c>
      <c r="FH407" s="9" t="s">
        <v>413</v>
      </c>
      <c r="FI407" s="9" t="s">
        <v>415</v>
      </c>
      <c r="FJ407" s="9" t="s">
        <v>415</v>
      </c>
      <c r="FK407" s="9" t="s">
        <v>413</v>
      </c>
      <c r="FL407" s="9" t="s">
        <v>413</v>
      </c>
      <c r="FM407" s="9" t="s">
        <v>413</v>
      </c>
      <c r="FN407" s="9" t="s">
        <v>413</v>
      </c>
      <c r="FO407" s="9" t="s">
        <v>485</v>
      </c>
      <c r="FP407" s="9" t="s">
        <v>418</v>
      </c>
      <c r="FQ407" s="9" t="s">
        <v>419</v>
      </c>
      <c r="FR407" s="9" t="s">
        <v>8055</v>
      </c>
      <c r="FS407" s="9" t="s">
        <v>420</v>
      </c>
      <c r="FT407" s="9" t="s">
        <v>488</v>
      </c>
      <c r="FU407" s="9" t="s">
        <v>918</v>
      </c>
      <c r="FV407" s="9" t="s">
        <v>490</v>
      </c>
      <c r="FW407" s="9" t="s">
        <v>491</v>
      </c>
      <c r="FX407" s="9" t="s">
        <v>8056</v>
      </c>
      <c r="FY407" s="9" t="s">
        <v>535</v>
      </c>
      <c r="FZ407" s="9" t="s">
        <v>8057</v>
      </c>
      <c r="GB407" s="9" t="s">
        <v>408</v>
      </c>
      <c r="GG407" s="9" t="s">
        <v>1000</v>
      </c>
      <c r="GH407" s="9" t="s">
        <v>755</v>
      </c>
      <c r="GI407" s="9" t="s">
        <v>817</v>
      </c>
      <c r="GQ407" s="9" t="s">
        <v>5656</v>
      </c>
      <c r="GT407" s="9" t="s">
        <v>4774</v>
      </c>
      <c r="GV407" s="9" t="s">
        <v>5231</v>
      </c>
      <c r="GW407" s="9" t="s">
        <v>5232</v>
      </c>
      <c r="HC407" s="9" t="s">
        <v>6053</v>
      </c>
      <c r="HD407" s="9" t="s">
        <v>5282</v>
      </c>
      <c r="HE407" s="9" t="s">
        <v>5320</v>
      </c>
      <c r="HF407" s="9" t="s">
        <v>5493</v>
      </c>
      <c r="HO407" s="9" t="s">
        <v>5236</v>
      </c>
      <c r="HP407" s="9" t="s">
        <v>5264</v>
      </c>
      <c r="HQ407" s="9" t="s">
        <v>5238</v>
      </c>
      <c r="HR407" s="9" t="s">
        <v>5321</v>
      </c>
      <c r="HW407" s="9" t="s">
        <v>6274</v>
      </c>
      <c r="MJ407" s="9" t="s">
        <v>6321</v>
      </c>
    </row>
    <row r="408" ht="22.5" customHeight="1">
      <c r="A408" s="8">
        <v>46012.8221040162</v>
      </c>
      <c r="B408" s="9" t="s">
        <v>368</v>
      </c>
      <c r="C408" s="9" t="s">
        <v>370</v>
      </c>
      <c r="D408" s="9" t="s">
        <v>370</v>
      </c>
      <c r="E408" s="9" t="s">
        <v>589</v>
      </c>
      <c r="F408" s="9" t="s">
        <v>589</v>
      </c>
      <c r="G408" s="9" t="s">
        <v>422</v>
      </c>
      <c r="H408" s="9" t="s">
        <v>373</v>
      </c>
      <c r="I408" s="9" t="s">
        <v>374</v>
      </c>
      <c r="J408" s="9" t="s">
        <v>425</v>
      </c>
      <c r="K408" s="9" t="s">
        <v>376</v>
      </c>
      <c r="L408" s="9" t="s">
        <v>379</v>
      </c>
      <c r="M408" s="9" t="s">
        <v>2464</v>
      </c>
      <c r="N408" s="9" t="s">
        <v>377</v>
      </c>
      <c r="O408" s="9" t="s">
        <v>497</v>
      </c>
      <c r="P408" s="9" t="s">
        <v>1760</v>
      </c>
      <c r="Q408" s="9" t="s">
        <v>862</v>
      </c>
      <c r="R408" s="9" t="s">
        <v>949</v>
      </c>
      <c r="S408" s="9" t="s">
        <v>4742</v>
      </c>
      <c r="T408" s="9" t="s">
        <v>385</v>
      </c>
      <c r="W408" s="9" t="s">
        <v>3231</v>
      </c>
      <c r="AV408" s="9" t="s">
        <v>1242</v>
      </c>
      <c r="AW408" s="9" t="s">
        <v>675</v>
      </c>
      <c r="AX408" s="9" t="s">
        <v>675</v>
      </c>
      <c r="AY408" s="9" t="s">
        <v>675</v>
      </c>
      <c r="AZ408" s="9" t="s">
        <v>675</v>
      </c>
      <c r="BA408" s="9" t="s">
        <v>675</v>
      </c>
      <c r="BB408" s="9" t="s">
        <v>675</v>
      </c>
      <c r="BC408" s="9" t="s">
        <v>8058</v>
      </c>
      <c r="BD408" s="9" t="s">
        <v>8059</v>
      </c>
      <c r="BE408" s="9" t="s">
        <v>2379</v>
      </c>
      <c r="BF408" s="9" t="s">
        <v>393</v>
      </c>
      <c r="BG408" s="9" t="s">
        <v>678</v>
      </c>
      <c r="BH408" s="9" t="s">
        <v>8060</v>
      </c>
      <c r="BI408" s="9" t="s">
        <v>976</v>
      </c>
      <c r="BJ408" s="9" t="s">
        <v>8061</v>
      </c>
      <c r="BK408" s="9" t="s">
        <v>395</v>
      </c>
      <c r="BL408" s="9" t="s">
        <v>904</v>
      </c>
      <c r="BM408" s="9" t="s">
        <v>1314</v>
      </c>
      <c r="BN408" s="9" t="s">
        <v>440</v>
      </c>
      <c r="CL408" s="9" t="s">
        <v>441</v>
      </c>
      <c r="CM408" s="9" t="s">
        <v>682</v>
      </c>
      <c r="CN408" s="9" t="s">
        <v>6791</v>
      </c>
      <c r="CO408" s="9" t="s">
        <v>8062</v>
      </c>
      <c r="CP408" s="9" t="s">
        <v>445</v>
      </c>
      <c r="CQ408" s="9" t="s">
        <v>8063</v>
      </c>
      <c r="CS408" s="9" t="s">
        <v>8064</v>
      </c>
      <c r="CT408" s="9" t="s">
        <v>8065</v>
      </c>
      <c r="CU408" s="9" t="s">
        <v>519</v>
      </c>
      <c r="CV408" s="9" t="s">
        <v>451</v>
      </c>
      <c r="CW408" s="9" t="s">
        <v>8066</v>
      </c>
      <c r="CX408" s="9" t="s">
        <v>455</v>
      </c>
      <c r="CY408" s="9" t="s">
        <v>8067</v>
      </c>
      <c r="CZ408" s="9" t="s">
        <v>453</v>
      </c>
      <c r="DA408" s="9" t="s">
        <v>8068</v>
      </c>
      <c r="DB408" s="9" t="s">
        <v>455</v>
      </c>
      <c r="DC408" s="9" t="s">
        <v>8069</v>
      </c>
      <c r="DD408" s="9" t="s">
        <v>457</v>
      </c>
      <c r="DF408" s="9" t="s">
        <v>8070</v>
      </c>
      <c r="DG408" s="9" t="s">
        <v>524</v>
      </c>
      <c r="DH408" s="9" t="s">
        <v>694</v>
      </c>
      <c r="DI408" s="9" t="s">
        <v>459</v>
      </c>
      <c r="DJ408" s="9" t="s">
        <v>460</v>
      </c>
      <c r="DK408" s="9" t="s">
        <v>6335</v>
      </c>
      <c r="DM408" s="9" t="s">
        <v>8071</v>
      </c>
      <c r="DN408" s="9" t="s">
        <v>8072</v>
      </c>
      <c r="DO408" s="9" t="s">
        <v>567</v>
      </c>
      <c r="DP408" s="9" t="s">
        <v>8073</v>
      </c>
      <c r="DQ408" s="9" t="s">
        <v>1152</v>
      </c>
      <c r="DR408" s="9" t="s">
        <v>455</v>
      </c>
      <c r="DS408" s="9" t="s">
        <v>839</v>
      </c>
      <c r="DT408" s="9" t="s">
        <v>619</v>
      </c>
      <c r="DU408" s="9" t="s">
        <v>8074</v>
      </c>
      <c r="DV408" s="9" t="s">
        <v>8075</v>
      </c>
      <c r="DW408" s="9" t="s">
        <v>1328</v>
      </c>
      <c r="DX408" s="9" t="s">
        <v>8076</v>
      </c>
      <c r="DY408" s="9" t="s">
        <v>8077</v>
      </c>
      <c r="DZ408" s="9" t="s">
        <v>8078</v>
      </c>
      <c r="EA408" s="9" t="s">
        <v>475</v>
      </c>
      <c r="EB408" s="9" t="s">
        <v>845</v>
      </c>
      <c r="EC408" s="9" t="s">
        <v>8079</v>
      </c>
      <c r="ET408" s="9" t="s">
        <v>526</v>
      </c>
      <c r="EU408" s="9" t="s">
        <v>887</v>
      </c>
      <c r="EV408" s="9" t="s">
        <v>527</v>
      </c>
      <c r="EW408" s="9" t="s">
        <v>8080</v>
      </c>
      <c r="EX408" s="9" t="s">
        <v>8081</v>
      </c>
      <c r="EY408" s="9" t="s">
        <v>8082</v>
      </c>
      <c r="EZ408" s="9" t="s">
        <v>413</v>
      </c>
      <c r="FA408" s="9" t="s">
        <v>413</v>
      </c>
      <c r="FB408" s="9" t="s">
        <v>413</v>
      </c>
      <c r="FC408" s="9" t="s">
        <v>413</v>
      </c>
      <c r="FD408" s="9" t="s">
        <v>413</v>
      </c>
      <c r="FE408" s="9" t="s">
        <v>413</v>
      </c>
      <c r="FF408" s="9" t="s">
        <v>413</v>
      </c>
      <c r="FG408" s="9" t="s">
        <v>413</v>
      </c>
      <c r="FH408" s="9" t="s">
        <v>413</v>
      </c>
      <c r="FI408" s="9" t="s">
        <v>413</v>
      </c>
      <c r="FJ408" s="9" t="s">
        <v>413</v>
      </c>
      <c r="FK408" s="9" t="s">
        <v>413</v>
      </c>
      <c r="FL408" s="9" t="s">
        <v>413</v>
      </c>
      <c r="FM408" s="9" t="s">
        <v>413</v>
      </c>
      <c r="FN408" s="9" t="s">
        <v>583</v>
      </c>
      <c r="FO408" s="9" t="s">
        <v>850</v>
      </c>
      <c r="FP408" s="9" t="s">
        <v>1200</v>
      </c>
      <c r="FQ408" s="9" t="s">
        <v>419</v>
      </c>
      <c r="FR408" s="9" t="s">
        <v>8083</v>
      </c>
      <c r="FS408" s="9" t="s">
        <v>420</v>
      </c>
      <c r="FT408" s="9" t="s">
        <v>488</v>
      </c>
      <c r="FU408" s="9" t="s">
        <v>489</v>
      </c>
      <c r="FV408" s="9" t="s">
        <v>490</v>
      </c>
      <c r="FW408" s="9" t="s">
        <v>491</v>
      </c>
      <c r="FX408" s="9" t="s">
        <v>8084</v>
      </c>
      <c r="FY408" s="9" t="s">
        <v>535</v>
      </c>
      <c r="FZ408" s="9" t="s">
        <v>8085</v>
      </c>
      <c r="GA408" s="9" t="s">
        <v>8086</v>
      </c>
      <c r="GB408" s="9" t="s">
        <v>455</v>
      </c>
      <c r="GC408" s="9"/>
      <c r="GD408" s="9"/>
      <c r="GE408" s="9" t="s">
        <v>786</v>
      </c>
      <c r="GF408" s="9" t="s">
        <v>8087</v>
      </c>
      <c r="GG408" s="9" t="s">
        <v>755</v>
      </c>
      <c r="GH408" s="9" t="s">
        <v>755</v>
      </c>
      <c r="GI408" s="9" t="s">
        <v>946</v>
      </c>
      <c r="GM408" s="9" t="s">
        <v>1079</v>
      </c>
      <c r="GP408" s="9" t="s">
        <v>387</v>
      </c>
      <c r="GQ408" s="9" t="s">
        <v>3306</v>
      </c>
      <c r="GT408" s="9" t="s">
        <v>5170</v>
      </c>
      <c r="GU408" s="9" t="s">
        <v>8088</v>
      </c>
      <c r="GV408" s="9" t="s">
        <v>5231</v>
      </c>
      <c r="GW408" s="9" t="s">
        <v>5232</v>
      </c>
      <c r="HC408" s="9" t="s">
        <v>5297</v>
      </c>
      <c r="HD408" s="9" t="s">
        <v>5349</v>
      </c>
      <c r="HE408" s="9" t="s">
        <v>5320</v>
      </c>
      <c r="HF408" s="9" t="s">
        <v>5899</v>
      </c>
      <c r="HG408" s="9" t="s">
        <v>8089</v>
      </c>
      <c r="HH408" s="9" t="s">
        <v>5495</v>
      </c>
      <c r="HI408" s="9" t="s">
        <v>8090</v>
      </c>
      <c r="HJ408" s="9" t="s">
        <v>8091</v>
      </c>
      <c r="HO408" s="9" t="s">
        <v>5236</v>
      </c>
      <c r="HP408" s="9" t="s">
        <v>5264</v>
      </c>
      <c r="HQ408" s="9" t="s">
        <v>5238</v>
      </c>
      <c r="HR408" s="9" t="s">
        <v>8092</v>
      </c>
      <c r="HW408" s="9" t="s">
        <v>5578</v>
      </c>
      <c r="IN408" s="9" t="s">
        <v>5500</v>
      </c>
      <c r="IO408" s="9" t="s">
        <v>5500</v>
      </c>
      <c r="IP408" s="9" t="s">
        <v>5500</v>
      </c>
      <c r="IQ408" s="9" t="s">
        <v>5500</v>
      </c>
      <c r="IR408" s="9" t="s">
        <v>5500</v>
      </c>
      <c r="IS408" s="9" t="s">
        <v>5500</v>
      </c>
      <c r="MJ408" s="9" t="s">
        <v>6321</v>
      </c>
    </row>
    <row r="409" ht="22.5" customHeight="1">
      <c r="A409" s="8">
        <v>46012.99766703704</v>
      </c>
      <c r="B409" s="9" t="s">
        <v>368</v>
      </c>
      <c r="C409" s="9" t="s">
        <v>370</v>
      </c>
      <c r="D409" s="9" t="s">
        <v>370</v>
      </c>
      <c r="E409" s="9" t="s">
        <v>2620</v>
      </c>
      <c r="F409" s="9" t="s">
        <v>371</v>
      </c>
      <c r="G409" s="9" t="s">
        <v>422</v>
      </c>
      <c r="H409" s="9" t="s">
        <v>496</v>
      </c>
      <c r="I409" s="9" t="s">
        <v>374</v>
      </c>
      <c r="J409" s="9" t="s">
        <v>375</v>
      </c>
      <c r="K409" s="9" t="s">
        <v>376</v>
      </c>
      <c r="L409" s="9" t="s">
        <v>379</v>
      </c>
      <c r="M409" s="9" t="s">
        <v>378</v>
      </c>
      <c r="N409" s="9" t="s">
        <v>426</v>
      </c>
      <c r="O409" s="9" t="s">
        <v>640</v>
      </c>
      <c r="P409" s="9" t="s">
        <v>592</v>
      </c>
      <c r="Q409" s="9" t="s">
        <v>382</v>
      </c>
      <c r="R409" s="9" t="s">
        <v>427</v>
      </c>
      <c r="S409" s="9" t="s">
        <v>384</v>
      </c>
      <c r="T409" s="9" t="s">
        <v>385</v>
      </c>
      <c r="W409" s="9" t="s">
        <v>3014</v>
      </c>
      <c r="AV409" s="9" t="s">
        <v>390</v>
      </c>
      <c r="AW409" s="9">
        <v>2.0</v>
      </c>
      <c r="AX409" s="9">
        <v>2.0</v>
      </c>
      <c r="AY409" s="9">
        <v>2.0</v>
      </c>
      <c r="AZ409" s="9">
        <v>2.0</v>
      </c>
      <c r="BA409" s="9">
        <v>2.0</v>
      </c>
      <c r="BB409" s="9">
        <v>2.0</v>
      </c>
      <c r="BC409" s="9" t="s">
        <v>8093</v>
      </c>
      <c r="BD409" s="9" t="s">
        <v>8094</v>
      </c>
      <c r="BE409" s="9" t="s">
        <v>392</v>
      </c>
      <c r="BF409" s="9" t="s">
        <v>433</v>
      </c>
      <c r="BG409" s="9" t="s">
        <v>394</v>
      </c>
      <c r="BH409" s="9" t="s">
        <v>2675</v>
      </c>
      <c r="BI409" s="9" t="s">
        <v>976</v>
      </c>
      <c r="BJ409" s="9" t="s">
        <v>8095</v>
      </c>
      <c r="BK409" s="9" t="s">
        <v>437</v>
      </c>
      <c r="BL409" s="9" t="s">
        <v>603</v>
      </c>
      <c r="BM409" s="9" t="s">
        <v>549</v>
      </c>
      <c r="BN409" s="9" t="s">
        <v>513</v>
      </c>
      <c r="CL409" s="9" t="s">
        <v>441</v>
      </c>
      <c r="CM409" s="9" t="s">
        <v>682</v>
      </c>
      <c r="CN409" s="9" t="s">
        <v>6270</v>
      </c>
      <c r="CO409" s="9" t="s">
        <v>8096</v>
      </c>
      <c r="CP409" s="9" t="s">
        <v>685</v>
      </c>
      <c r="CQ409" s="9" t="s">
        <v>8097</v>
      </c>
      <c r="CR409" s="9" t="s">
        <v>804</v>
      </c>
      <c r="CS409" s="9" t="s">
        <v>8098</v>
      </c>
      <c r="CT409" s="9" t="s">
        <v>8099</v>
      </c>
      <c r="CU409" s="9" t="s">
        <v>450</v>
      </c>
      <c r="CV409" s="9" t="s">
        <v>451</v>
      </c>
      <c r="CW409" s="9" t="s">
        <v>8100</v>
      </c>
      <c r="CX409" s="9" t="s">
        <v>408</v>
      </c>
      <c r="CZ409" s="9" t="s">
        <v>985</v>
      </c>
      <c r="DA409" s="9" t="s">
        <v>8101</v>
      </c>
      <c r="DB409" s="9" t="s">
        <v>913</v>
      </c>
      <c r="DC409" s="9" t="s">
        <v>8102</v>
      </c>
      <c r="DD409" s="9" t="s">
        <v>457</v>
      </c>
      <c r="DF409" s="9" t="s">
        <v>8103</v>
      </c>
      <c r="DG409" s="9" t="s">
        <v>524</v>
      </c>
      <c r="DH409" s="9" t="s">
        <v>1220</v>
      </c>
      <c r="DI409" s="9" t="s">
        <v>459</v>
      </c>
      <c r="DJ409" s="9" t="s">
        <v>460</v>
      </c>
      <c r="DK409" s="9" t="s">
        <v>6335</v>
      </c>
      <c r="ET409" s="9" t="s">
        <v>478</v>
      </c>
      <c r="EU409" s="9" t="s">
        <v>887</v>
      </c>
      <c r="EV409" s="9" t="s">
        <v>527</v>
      </c>
      <c r="EW409" s="9" t="s">
        <v>8104</v>
      </c>
      <c r="EX409" s="9" t="s">
        <v>8105</v>
      </c>
      <c r="EY409" s="9" t="s">
        <v>8106</v>
      </c>
      <c r="EZ409" s="9" t="s">
        <v>414</v>
      </c>
      <c r="FA409" s="9" t="s">
        <v>414</v>
      </c>
      <c r="FB409" s="9" t="s">
        <v>415</v>
      </c>
      <c r="FC409" s="9" t="s">
        <v>414</v>
      </c>
      <c r="FD409" s="9" t="s">
        <v>416</v>
      </c>
      <c r="FE409" s="9" t="s">
        <v>583</v>
      </c>
      <c r="FF409" s="9" t="s">
        <v>484</v>
      </c>
      <c r="FG409" s="9" t="s">
        <v>484</v>
      </c>
      <c r="FH409" s="9" t="s">
        <v>414</v>
      </c>
      <c r="FI409" s="9" t="s">
        <v>414</v>
      </c>
      <c r="FJ409" s="9" t="s">
        <v>414</v>
      </c>
      <c r="FK409" s="9" t="s">
        <v>484</v>
      </c>
      <c r="FL409" s="9" t="s">
        <v>414</v>
      </c>
      <c r="FM409" s="9" t="s">
        <v>416</v>
      </c>
      <c r="FN409" s="9" t="s">
        <v>415</v>
      </c>
      <c r="FO409" s="9" t="s">
        <v>850</v>
      </c>
      <c r="FP409" s="9" t="s">
        <v>418</v>
      </c>
      <c r="FQ409" s="9" t="s">
        <v>419</v>
      </c>
      <c r="FR409" s="9" t="s">
        <v>8107</v>
      </c>
      <c r="FS409" s="9" t="s">
        <v>420</v>
      </c>
      <c r="FT409" s="9" t="s">
        <v>488</v>
      </c>
      <c r="FU409" s="9" t="s">
        <v>489</v>
      </c>
      <c r="FV409" s="9" t="s">
        <v>490</v>
      </c>
      <c r="FW409" s="9" t="s">
        <v>491</v>
      </c>
      <c r="FX409" s="9" t="s">
        <v>8108</v>
      </c>
      <c r="FY409" s="9" t="s">
        <v>535</v>
      </c>
      <c r="FZ409" s="9" t="s">
        <v>8109</v>
      </c>
      <c r="GA409" s="9" t="s">
        <v>8110</v>
      </c>
      <c r="GB409" s="9" t="s">
        <v>455</v>
      </c>
      <c r="GD409" s="12" t="s">
        <v>8111</v>
      </c>
      <c r="GE409" s="9" t="s">
        <v>1339</v>
      </c>
      <c r="GF409" s="9" t="s">
        <v>8112</v>
      </c>
      <c r="GG409" s="9" t="s">
        <v>857</v>
      </c>
      <c r="GH409" s="9" t="s">
        <v>857</v>
      </c>
      <c r="GI409" s="9" t="s">
        <v>756</v>
      </c>
      <c r="GQ409" s="9" t="s">
        <v>8113</v>
      </c>
      <c r="GT409" s="9" t="s">
        <v>4774</v>
      </c>
      <c r="GV409" s="9" t="s">
        <v>6434</v>
      </c>
      <c r="GW409" s="9" t="s">
        <v>5232</v>
      </c>
      <c r="HC409" s="9" t="s">
        <v>5297</v>
      </c>
      <c r="HD409" s="9" t="s">
        <v>5282</v>
      </c>
      <c r="HE409" s="9" t="s">
        <v>5320</v>
      </c>
      <c r="HF409" s="9" t="s">
        <v>5899</v>
      </c>
      <c r="HO409" s="9" t="s">
        <v>5383</v>
      </c>
      <c r="HP409" s="9" t="s">
        <v>5264</v>
      </c>
      <c r="HQ409" s="9" t="s">
        <v>5238</v>
      </c>
      <c r="HR409" s="9" t="s">
        <v>5321</v>
      </c>
      <c r="HW409" s="9" t="s">
        <v>5628</v>
      </c>
      <c r="MJ409" s="9" t="s">
        <v>6321</v>
      </c>
    </row>
    <row r="410" ht="22.5" customHeight="1">
      <c r="A410" s="8">
        <v>46019.43110707176</v>
      </c>
      <c r="B410" s="9" t="s">
        <v>368</v>
      </c>
      <c r="C410" s="9" t="s">
        <v>370</v>
      </c>
      <c r="D410" s="9" t="s">
        <v>370</v>
      </c>
      <c r="E410" s="9" t="s">
        <v>1875</v>
      </c>
      <c r="F410" s="9" t="s">
        <v>1023</v>
      </c>
      <c r="G410" s="9" t="s">
        <v>422</v>
      </c>
      <c r="H410" s="9" t="s">
        <v>373</v>
      </c>
      <c r="I410" s="9" t="s">
        <v>374</v>
      </c>
      <c r="J410" s="9" t="s">
        <v>375</v>
      </c>
      <c r="K410" s="9" t="s">
        <v>376</v>
      </c>
      <c r="L410" s="9" t="s">
        <v>379</v>
      </c>
      <c r="M410" s="9" t="s">
        <v>541</v>
      </c>
      <c r="N410" s="9" t="s">
        <v>426</v>
      </c>
      <c r="O410" s="9" t="s">
        <v>497</v>
      </c>
      <c r="P410" s="9" t="s">
        <v>381</v>
      </c>
      <c r="Q410" s="9" t="s">
        <v>382</v>
      </c>
      <c r="R410" s="9" t="s">
        <v>427</v>
      </c>
      <c r="S410" s="9" t="s">
        <v>384</v>
      </c>
      <c r="T410" s="9" t="s">
        <v>385</v>
      </c>
      <c r="W410" s="9" t="s">
        <v>386</v>
      </c>
      <c r="X410" s="9" t="s">
        <v>387</v>
      </c>
      <c r="Y410" s="9" t="s">
        <v>594</v>
      </c>
      <c r="Z410" s="9" t="s">
        <v>543</v>
      </c>
      <c r="AB410" s="9" t="s">
        <v>8114</v>
      </c>
      <c r="AV410" s="9" t="s">
        <v>504</v>
      </c>
      <c r="AW410" s="9" t="s">
        <v>429</v>
      </c>
      <c r="AX410" s="9" t="s">
        <v>429</v>
      </c>
      <c r="AY410" s="9" t="s">
        <v>429</v>
      </c>
      <c r="AZ410" s="9" t="s">
        <v>429</v>
      </c>
      <c r="BA410" s="9" t="s">
        <v>429</v>
      </c>
      <c r="BB410" s="9" t="s">
        <v>429</v>
      </c>
      <c r="BC410" s="9" t="s">
        <v>8115</v>
      </c>
      <c r="BD410" s="9" t="s">
        <v>8116</v>
      </c>
      <c r="BE410" s="9" t="s">
        <v>392</v>
      </c>
      <c r="BF410" s="9" t="s">
        <v>433</v>
      </c>
      <c r="BG410" s="9" t="s">
        <v>678</v>
      </c>
      <c r="BI410" s="9" t="s">
        <v>509</v>
      </c>
      <c r="BK410" s="9" t="s">
        <v>511</v>
      </c>
      <c r="BL410" s="9" t="s">
        <v>438</v>
      </c>
      <c r="BM410" s="9" t="s">
        <v>439</v>
      </c>
      <c r="BN410" s="9" t="s">
        <v>513</v>
      </c>
      <c r="CL410" s="9" t="s">
        <v>441</v>
      </c>
      <c r="CM410" s="9" t="s">
        <v>401</v>
      </c>
      <c r="CN410" s="9" t="s">
        <v>552</v>
      </c>
      <c r="CO410" s="9" t="s">
        <v>8117</v>
      </c>
      <c r="CP410" s="9" t="s">
        <v>1008</v>
      </c>
      <c r="CQ410" s="9" t="s">
        <v>8118</v>
      </c>
      <c r="CR410" s="9" t="s">
        <v>404</v>
      </c>
      <c r="CS410" s="9" t="s">
        <v>8119</v>
      </c>
      <c r="CT410" s="9" t="s">
        <v>8120</v>
      </c>
      <c r="CU410" s="9" t="s">
        <v>450</v>
      </c>
      <c r="CV410" s="9" t="s">
        <v>451</v>
      </c>
      <c r="CW410" s="9" t="s">
        <v>8121</v>
      </c>
      <c r="CX410" s="9" t="s">
        <v>733</v>
      </c>
      <c r="CZ410" s="9" t="s">
        <v>453</v>
      </c>
      <c r="DA410" s="9" t="s">
        <v>8122</v>
      </c>
      <c r="DB410" s="9" t="s">
        <v>455</v>
      </c>
      <c r="DC410" s="9" t="s">
        <v>8123</v>
      </c>
      <c r="DD410" s="9" t="s">
        <v>988</v>
      </c>
      <c r="DE410" s="9" t="s">
        <v>407</v>
      </c>
      <c r="DF410" s="9" t="s">
        <v>8124</v>
      </c>
      <c r="DG410" s="9" t="s">
        <v>524</v>
      </c>
      <c r="DH410" s="9" t="s">
        <v>410</v>
      </c>
      <c r="DI410" s="9" t="s">
        <v>459</v>
      </c>
      <c r="DJ410" s="9" t="s">
        <v>460</v>
      </c>
      <c r="DK410" s="9" t="s">
        <v>6335</v>
      </c>
      <c r="ET410" s="9" t="s">
        <v>526</v>
      </c>
      <c r="EU410" s="9" t="s">
        <v>1037</v>
      </c>
      <c r="EV410" s="9" t="s">
        <v>580</v>
      </c>
      <c r="EZ410" s="9" t="s">
        <v>413</v>
      </c>
      <c r="FA410" s="9" t="s">
        <v>415</v>
      </c>
      <c r="FB410" s="9" t="s">
        <v>413</v>
      </c>
      <c r="FC410" s="9" t="s">
        <v>413</v>
      </c>
      <c r="FD410" s="9" t="s">
        <v>413</v>
      </c>
      <c r="FE410" s="9" t="s">
        <v>414</v>
      </c>
      <c r="FF410" s="9" t="s">
        <v>413</v>
      </c>
      <c r="FG410" s="9" t="s">
        <v>413</v>
      </c>
      <c r="FH410" s="9" t="s">
        <v>583</v>
      </c>
      <c r="FI410" s="9" t="s">
        <v>415</v>
      </c>
      <c r="FJ410" s="9" t="s">
        <v>413</v>
      </c>
      <c r="FK410" s="9" t="s">
        <v>413</v>
      </c>
      <c r="FL410" s="9" t="s">
        <v>413</v>
      </c>
      <c r="FM410" s="9" t="s">
        <v>413</v>
      </c>
      <c r="FN410" s="9" t="s">
        <v>583</v>
      </c>
      <c r="FO410" s="9" t="s">
        <v>417</v>
      </c>
      <c r="FP410" s="9" t="s">
        <v>486</v>
      </c>
      <c r="FQ410" s="9" t="s">
        <v>712</v>
      </c>
      <c r="FS410" s="9" t="s">
        <v>420</v>
      </c>
      <c r="FT410" s="9" t="s">
        <v>488</v>
      </c>
      <c r="FU410" s="9" t="s">
        <v>918</v>
      </c>
      <c r="FV410" s="9" t="s">
        <v>490</v>
      </c>
      <c r="FW410" s="9" t="s">
        <v>491</v>
      </c>
      <c r="FX410" s="9" t="s">
        <v>8125</v>
      </c>
      <c r="FY410" s="9" t="s">
        <v>535</v>
      </c>
      <c r="GB410" s="9" t="s">
        <v>408</v>
      </c>
      <c r="GG410" s="9" t="s">
        <v>857</v>
      </c>
      <c r="GH410" s="9" t="s">
        <v>857</v>
      </c>
      <c r="GI410" s="9" t="s">
        <v>790</v>
      </c>
      <c r="GQ410" s="9" t="s">
        <v>3208</v>
      </c>
      <c r="GT410" s="9" t="s">
        <v>4774</v>
      </c>
      <c r="GV410" s="9" t="s">
        <v>5231</v>
      </c>
      <c r="GW410" s="9" t="s">
        <v>484</v>
      </c>
      <c r="HC410" s="9" t="s">
        <v>484</v>
      </c>
      <c r="HD410" s="9" t="s">
        <v>5298</v>
      </c>
      <c r="HE410" s="9" t="s">
        <v>5320</v>
      </c>
      <c r="HF410" s="9" t="s">
        <v>5284</v>
      </c>
      <c r="HO410" s="9" t="s">
        <v>5383</v>
      </c>
      <c r="HP410" s="9" t="s">
        <v>5371</v>
      </c>
      <c r="HQ410" s="9" t="s">
        <v>5238</v>
      </c>
      <c r="HR410" s="9" t="s">
        <v>5321</v>
      </c>
      <c r="MJ410" s="9" t="s">
        <v>6321</v>
      </c>
    </row>
    <row r="411" ht="22.5" customHeight="1">
      <c r="A411" s="8">
        <v>46019.70274966436</v>
      </c>
      <c r="B411" s="9" t="s">
        <v>368</v>
      </c>
      <c r="C411" s="9" t="s">
        <v>370</v>
      </c>
      <c r="D411" s="9" t="s">
        <v>370</v>
      </c>
      <c r="E411" s="9" t="s">
        <v>2195</v>
      </c>
      <c r="F411" s="9" t="s">
        <v>1510</v>
      </c>
      <c r="G411" s="9" t="s">
        <v>1023</v>
      </c>
      <c r="H411" s="9" t="s">
        <v>496</v>
      </c>
      <c r="I411" s="9" t="s">
        <v>2578</v>
      </c>
      <c r="J411" s="9" t="s">
        <v>375</v>
      </c>
      <c r="K411" s="9" t="s">
        <v>376</v>
      </c>
      <c r="L411" s="9" t="s">
        <v>379</v>
      </c>
      <c r="M411" s="9" t="s">
        <v>541</v>
      </c>
      <c r="N411" s="9" t="s">
        <v>591</v>
      </c>
      <c r="O411" s="9" t="s">
        <v>719</v>
      </c>
      <c r="P411" s="9" t="s">
        <v>498</v>
      </c>
      <c r="Q411" s="9" t="s">
        <v>499</v>
      </c>
      <c r="R411" s="9" t="s">
        <v>427</v>
      </c>
      <c r="S411" s="9" t="s">
        <v>384</v>
      </c>
      <c r="T411" s="9" t="s">
        <v>385</v>
      </c>
      <c r="W411" s="9" t="s">
        <v>3231</v>
      </c>
      <c r="AV411" s="9" t="s">
        <v>1310</v>
      </c>
      <c r="AW411" s="9">
        <v>4.0</v>
      </c>
      <c r="AX411" s="9">
        <v>4.0</v>
      </c>
      <c r="AY411" s="9">
        <v>4.0</v>
      </c>
      <c r="AZ411" s="9">
        <v>4.0</v>
      </c>
      <c r="BA411" s="9" t="s">
        <v>391</v>
      </c>
      <c r="BB411" s="9">
        <v>4.0</v>
      </c>
      <c r="BC411" s="9" t="s">
        <v>8126</v>
      </c>
      <c r="BD411" s="9" t="s">
        <v>8127</v>
      </c>
      <c r="BE411" s="9" t="s">
        <v>432</v>
      </c>
      <c r="BF411" s="9" t="s">
        <v>1095</v>
      </c>
      <c r="BG411" s="9" t="s">
        <v>765</v>
      </c>
      <c r="BH411" s="9" t="s">
        <v>8128</v>
      </c>
      <c r="BI411" s="9" t="s">
        <v>976</v>
      </c>
      <c r="BK411" s="9" t="s">
        <v>395</v>
      </c>
      <c r="BL411" s="9" t="s">
        <v>603</v>
      </c>
      <c r="BM411" s="9" t="s">
        <v>1247</v>
      </c>
      <c r="BN411" s="9" t="s">
        <v>513</v>
      </c>
      <c r="CL411" s="9" t="s">
        <v>441</v>
      </c>
      <c r="CM411" s="9" t="s">
        <v>401</v>
      </c>
      <c r="CN411" s="9" t="s">
        <v>8129</v>
      </c>
      <c r="CO411" s="9" t="s">
        <v>8130</v>
      </c>
      <c r="CP411" s="9" t="s">
        <v>403</v>
      </c>
      <c r="CQ411" s="9" t="s">
        <v>2519</v>
      </c>
      <c r="CR411" s="9" t="s">
        <v>447</v>
      </c>
      <c r="CS411" s="9" t="s">
        <v>2104</v>
      </c>
      <c r="CT411" s="9" t="s">
        <v>8131</v>
      </c>
      <c r="CU411" s="9" t="s">
        <v>1852</v>
      </c>
      <c r="CV411" s="9" t="s">
        <v>451</v>
      </c>
      <c r="CW411" s="9" t="s">
        <v>8132</v>
      </c>
      <c r="CX411" s="9" t="s">
        <v>408</v>
      </c>
      <c r="CZ411" s="9" t="s">
        <v>453</v>
      </c>
      <c r="DA411" s="9" t="s">
        <v>8133</v>
      </c>
      <c r="DB411" s="9" t="s">
        <v>408</v>
      </c>
      <c r="DD411" s="9" t="s">
        <v>406</v>
      </c>
      <c r="DE411" s="9" t="s">
        <v>691</v>
      </c>
      <c r="DF411" s="9" t="s">
        <v>8134</v>
      </c>
      <c r="DG411" s="9" t="s">
        <v>776</v>
      </c>
      <c r="DH411" s="9" t="s">
        <v>410</v>
      </c>
      <c r="DI411" s="9" t="s">
        <v>459</v>
      </c>
      <c r="DJ411" s="9" t="s">
        <v>613</v>
      </c>
      <c r="ET411" s="9" t="s">
        <v>526</v>
      </c>
      <c r="EU411" s="9" t="s">
        <v>1037</v>
      </c>
      <c r="EV411" s="9" t="s">
        <v>527</v>
      </c>
      <c r="EX411" s="9" t="s">
        <v>8135</v>
      </c>
      <c r="EY411" s="9" t="s">
        <v>8136</v>
      </c>
      <c r="EZ411" s="9" t="s">
        <v>414</v>
      </c>
      <c r="FA411" s="9" t="s">
        <v>583</v>
      </c>
      <c r="FB411" s="9" t="s">
        <v>413</v>
      </c>
      <c r="FC411" s="9" t="s">
        <v>414</v>
      </c>
      <c r="FD411" s="9" t="s">
        <v>416</v>
      </c>
      <c r="FE411" s="9" t="s">
        <v>583</v>
      </c>
      <c r="FF411" s="9" t="s">
        <v>414</v>
      </c>
      <c r="FG411" s="9" t="s">
        <v>415</v>
      </c>
      <c r="FH411" s="9" t="s">
        <v>583</v>
      </c>
      <c r="FI411" s="9" t="s">
        <v>414</v>
      </c>
      <c r="FJ411" s="9" t="s">
        <v>414</v>
      </c>
      <c r="FK411" s="9" t="s">
        <v>415</v>
      </c>
      <c r="FL411" s="9" t="s">
        <v>414</v>
      </c>
      <c r="FM411" s="9" t="s">
        <v>415</v>
      </c>
      <c r="FN411" s="9" t="s">
        <v>414</v>
      </c>
      <c r="FO411" s="9" t="s">
        <v>485</v>
      </c>
      <c r="FP411" s="9" t="s">
        <v>1200</v>
      </c>
      <c r="FQ411" s="9" t="s">
        <v>419</v>
      </c>
      <c r="FR411" s="9" t="s">
        <v>8137</v>
      </c>
      <c r="FS411" s="9" t="s">
        <v>1189</v>
      </c>
      <c r="FT411" s="9" t="s">
        <v>421</v>
      </c>
      <c r="FU411" s="9" t="s">
        <v>585</v>
      </c>
      <c r="FV411" s="9" t="s">
        <v>490</v>
      </c>
      <c r="FW411" s="9" t="s">
        <v>491</v>
      </c>
      <c r="FX411" s="9" t="s">
        <v>8138</v>
      </c>
      <c r="FY411" s="9" t="s">
        <v>535</v>
      </c>
      <c r="FZ411" s="9" t="s">
        <v>8139</v>
      </c>
      <c r="GA411" s="9" t="s">
        <v>8140</v>
      </c>
      <c r="GB411" s="9" t="s">
        <v>408</v>
      </c>
      <c r="GG411" s="9" t="s">
        <v>755</v>
      </c>
      <c r="GH411" s="9" t="s">
        <v>755</v>
      </c>
      <c r="GI411" s="9" t="s">
        <v>946</v>
      </c>
      <c r="GP411" s="9" t="s">
        <v>387</v>
      </c>
      <c r="GQ411" s="9" t="s">
        <v>3208</v>
      </c>
      <c r="GT411" s="9" t="s">
        <v>4774</v>
      </c>
      <c r="GV411" s="9" t="s">
        <v>5231</v>
      </c>
      <c r="GW411" s="9" t="s">
        <v>484</v>
      </c>
      <c r="HC411" s="9" t="s">
        <v>5297</v>
      </c>
      <c r="HD411" s="9" t="s">
        <v>5349</v>
      </c>
      <c r="HE411" s="9" t="s">
        <v>5320</v>
      </c>
      <c r="HF411" s="9" t="s">
        <v>5300</v>
      </c>
      <c r="HO411" s="9" t="s">
        <v>5236</v>
      </c>
      <c r="HP411" s="9" t="s">
        <v>5302</v>
      </c>
      <c r="HQ411" s="9" t="s">
        <v>5238</v>
      </c>
      <c r="HR411" s="9" t="s">
        <v>5321</v>
      </c>
      <c r="HW411" s="9" t="s">
        <v>5501</v>
      </c>
      <c r="MJ411" s="9" t="s">
        <v>6321</v>
      </c>
    </row>
    <row r="412" ht="22.5" customHeight="1">
      <c r="A412" s="8">
        <v>46025.157875034725</v>
      </c>
      <c r="B412" s="9" t="s">
        <v>368</v>
      </c>
      <c r="C412" s="9" t="s">
        <v>370</v>
      </c>
      <c r="D412" s="9" t="s">
        <v>370</v>
      </c>
      <c r="E412" s="9" t="s">
        <v>371</v>
      </c>
      <c r="F412" s="9" t="s">
        <v>371</v>
      </c>
      <c r="G412" s="9" t="s">
        <v>372</v>
      </c>
      <c r="H412" s="9" t="s">
        <v>373</v>
      </c>
      <c r="I412" s="9" t="s">
        <v>374</v>
      </c>
      <c r="R412" s="9" t="s">
        <v>427</v>
      </c>
      <c r="S412" s="9" t="s">
        <v>384</v>
      </c>
      <c r="AV412" s="9" t="s">
        <v>390</v>
      </c>
      <c r="AW412" s="9">
        <v>4.0</v>
      </c>
      <c r="AX412" s="9" t="s">
        <v>391</v>
      </c>
      <c r="AY412" s="9">
        <v>2.0</v>
      </c>
      <c r="AZ412" s="9">
        <v>2.0</v>
      </c>
      <c r="BA412" s="9" t="s">
        <v>391</v>
      </c>
      <c r="BB412" s="9" t="s">
        <v>391</v>
      </c>
      <c r="BE412" s="9" t="s">
        <v>2379</v>
      </c>
      <c r="BF412" s="9" t="s">
        <v>1095</v>
      </c>
      <c r="BG412" s="9" t="s">
        <v>725</v>
      </c>
      <c r="BI412" s="9" t="s">
        <v>435</v>
      </c>
      <c r="BK412" s="9" t="s">
        <v>437</v>
      </c>
      <c r="BL412" s="9" t="s">
        <v>438</v>
      </c>
      <c r="BM412" s="9" t="s">
        <v>549</v>
      </c>
      <c r="BN412" s="9" t="s">
        <v>513</v>
      </c>
      <c r="CL412" s="9" t="s">
        <v>441</v>
      </c>
      <c r="CM412" s="9" t="s">
        <v>442</v>
      </c>
      <c r="CP412" s="9" t="s">
        <v>403</v>
      </c>
      <c r="CQ412" s="9" t="s">
        <v>1467</v>
      </c>
      <c r="CS412" s="9" t="s">
        <v>1137</v>
      </c>
      <c r="CU412" s="9" t="s">
        <v>1852</v>
      </c>
      <c r="CV412" s="9" t="s">
        <v>409</v>
      </c>
      <c r="CX412" s="9" t="s">
        <v>408</v>
      </c>
      <c r="CZ412" s="9" t="s">
        <v>453</v>
      </c>
      <c r="DD412" s="9" t="s">
        <v>988</v>
      </c>
      <c r="DH412" s="9" t="s">
        <v>410</v>
      </c>
      <c r="EV412" s="9" t="s">
        <v>1262</v>
      </c>
      <c r="EZ412" s="9" t="s">
        <v>413</v>
      </c>
      <c r="FA412" s="9" t="s">
        <v>583</v>
      </c>
      <c r="FB412" s="9" t="s">
        <v>413</v>
      </c>
      <c r="FC412" s="9" t="s">
        <v>413</v>
      </c>
      <c r="FD412" s="9" t="s">
        <v>413</v>
      </c>
      <c r="FE412" s="9" t="s">
        <v>484</v>
      </c>
      <c r="FF412" s="9" t="s">
        <v>413</v>
      </c>
      <c r="FG412" s="9" t="s">
        <v>413</v>
      </c>
      <c r="FH412" s="9" t="s">
        <v>484</v>
      </c>
      <c r="FI412" s="9" t="s">
        <v>413</v>
      </c>
      <c r="FJ412" s="9" t="s">
        <v>413</v>
      </c>
      <c r="FK412" s="9" t="s">
        <v>413</v>
      </c>
      <c r="FL412" s="9" t="s">
        <v>413</v>
      </c>
      <c r="FM412" s="9" t="s">
        <v>413</v>
      </c>
      <c r="GB412" s="11"/>
      <c r="GG412" s="9" t="s">
        <v>755</v>
      </c>
      <c r="GH412" s="9" t="s">
        <v>755</v>
      </c>
      <c r="GI412" s="9" t="s">
        <v>946</v>
      </c>
      <c r="GT412" s="9" t="s">
        <v>5039</v>
      </c>
      <c r="GV412" s="9" t="s">
        <v>5231</v>
      </c>
      <c r="HC412" s="9" t="s">
        <v>5297</v>
      </c>
      <c r="HE412" s="9" t="s">
        <v>5320</v>
      </c>
      <c r="MJ412" s="9" t="s">
        <v>6321</v>
      </c>
    </row>
    <row r="413" ht="22.5" customHeight="1">
      <c r="A413" s="8">
        <v>46025.18449309027</v>
      </c>
      <c r="B413" s="9" t="s">
        <v>368</v>
      </c>
      <c r="C413" s="9" t="s">
        <v>8141</v>
      </c>
      <c r="D413" s="9" t="s">
        <v>8141</v>
      </c>
      <c r="G413" s="9" t="s">
        <v>422</v>
      </c>
      <c r="H413" s="9" t="s">
        <v>373</v>
      </c>
      <c r="I413" s="9" t="s">
        <v>374</v>
      </c>
      <c r="J413" s="9" t="s">
        <v>590</v>
      </c>
      <c r="K413" s="9" t="s">
        <v>376</v>
      </c>
      <c r="L413" s="9" t="s">
        <v>426</v>
      </c>
      <c r="M413" s="9" t="s">
        <v>8142</v>
      </c>
      <c r="N413" s="9" t="s">
        <v>793</v>
      </c>
      <c r="O413" s="9" t="s">
        <v>2579</v>
      </c>
      <c r="P413" s="9" t="s">
        <v>1760</v>
      </c>
      <c r="Q413" s="9" t="s">
        <v>499</v>
      </c>
      <c r="R413" s="9" t="s">
        <v>500</v>
      </c>
      <c r="S413" s="9" t="s">
        <v>384</v>
      </c>
      <c r="T413" s="9" t="s">
        <v>385</v>
      </c>
      <c r="W413" s="9" t="s">
        <v>3231</v>
      </c>
      <c r="AV413" s="9" t="s">
        <v>1310</v>
      </c>
      <c r="AW413" s="9" t="s">
        <v>675</v>
      </c>
      <c r="AX413" s="9" t="s">
        <v>675</v>
      </c>
      <c r="AY413" s="9" t="s">
        <v>675</v>
      </c>
      <c r="AZ413" s="9" t="s">
        <v>675</v>
      </c>
      <c r="BA413" s="9" t="s">
        <v>675</v>
      </c>
      <c r="BB413" s="9" t="s">
        <v>675</v>
      </c>
      <c r="BC413" s="9" t="s">
        <v>8143</v>
      </c>
      <c r="BD413" s="9" t="s">
        <v>8144</v>
      </c>
      <c r="BE413" s="9" t="s">
        <v>432</v>
      </c>
      <c r="BF413" s="9" t="s">
        <v>1095</v>
      </c>
      <c r="BG413" s="9" t="s">
        <v>394</v>
      </c>
      <c r="BH413" s="9" t="s">
        <v>8145</v>
      </c>
      <c r="BI413" s="9" t="s">
        <v>435</v>
      </c>
      <c r="BJ413" s="9" t="s">
        <v>8146</v>
      </c>
      <c r="BK413" s="9" t="s">
        <v>681</v>
      </c>
      <c r="BL413" s="9" t="s">
        <v>603</v>
      </c>
      <c r="BM413" s="9" t="s">
        <v>1247</v>
      </c>
      <c r="BN413" s="9" t="s">
        <v>398</v>
      </c>
      <c r="BO413" s="9" t="s">
        <v>8147</v>
      </c>
      <c r="BP413" s="9" t="s">
        <v>8148</v>
      </c>
      <c r="BQ413" s="9" t="s">
        <v>401</v>
      </c>
      <c r="BR413" s="9" t="s">
        <v>5999</v>
      </c>
      <c r="BS413" s="9" t="s">
        <v>1671</v>
      </c>
      <c r="BT413" s="9" t="s">
        <v>1771</v>
      </c>
      <c r="BU413" s="9" t="s">
        <v>405</v>
      </c>
      <c r="BV413" s="9" t="s">
        <v>8149</v>
      </c>
      <c r="BW413" s="9" t="s">
        <v>988</v>
      </c>
      <c r="BX413" s="9" t="s">
        <v>2503</v>
      </c>
      <c r="BY413" s="9" t="s">
        <v>408</v>
      </c>
      <c r="BZ413" s="9" t="s">
        <v>8150</v>
      </c>
      <c r="CA413" s="9" t="s">
        <v>8151</v>
      </c>
      <c r="CB413" s="9" t="s">
        <v>8152</v>
      </c>
      <c r="CC413" s="9" t="s">
        <v>8153</v>
      </c>
      <c r="CD413" s="9" t="s">
        <v>451</v>
      </c>
      <c r="CE413" s="9" t="s">
        <v>8154</v>
      </c>
      <c r="CF413" s="9" t="s">
        <v>1722</v>
      </c>
      <c r="CG413" s="9" t="s">
        <v>8155</v>
      </c>
      <c r="CH413" s="9" t="s">
        <v>1751</v>
      </c>
      <c r="CI413" s="9" t="s">
        <v>1220</v>
      </c>
      <c r="CJ413" s="9" t="s">
        <v>8156</v>
      </c>
      <c r="CK413" s="9" t="s">
        <v>8157</v>
      </c>
      <c r="DI413" s="9" t="s">
        <v>963</v>
      </c>
      <c r="DJ413" s="9" t="s">
        <v>562</v>
      </c>
      <c r="DK413" s="9" t="s">
        <v>6319</v>
      </c>
      <c r="ET413" s="9" t="s">
        <v>526</v>
      </c>
      <c r="EU413" s="9" t="s">
        <v>579</v>
      </c>
      <c r="EV413" s="9" t="s">
        <v>480</v>
      </c>
      <c r="EW413" s="9" t="s">
        <v>8158</v>
      </c>
      <c r="EX413" s="9" t="s">
        <v>8159</v>
      </c>
      <c r="EY413" s="9" t="s">
        <v>8160</v>
      </c>
      <c r="EZ413" s="9" t="s">
        <v>415</v>
      </c>
      <c r="FA413" s="9" t="s">
        <v>414</v>
      </c>
      <c r="FB413" s="9" t="s">
        <v>413</v>
      </c>
      <c r="FC413" s="9" t="s">
        <v>414</v>
      </c>
      <c r="FD413" s="9" t="s">
        <v>416</v>
      </c>
      <c r="FE413" s="9" t="s">
        <v>583</v>
      </c>
      <c r="FF413" s="9" t="s">
        <v>583</v>
      </c>
      <c r="FG413" s="9" t="s">
        <v>415</v>
      </c>
      <c r="FH413" s="9" t="s">
        <v>414</v>
      </c>
      <c r="FI413" s="9" t="s">
        <v>413</v>
      </c>
      <c r="FJ413" s="9" t="s">
        <v>414</v>
      </c>
      <c r="FK413" s="9" t="s">
        <v>413</v>
      </c>
      <c r="FL413" s="9" t="s">
        <v>415</v>
      </c>
      <c r="FM413" s="9" t="s">
        <v>413</v>
      </c>
      <c r="FN413" s="9" t="s">
        <v>415</v>
      </c>
      <c r="FO413" s="9" t="s">
        <v>485</v>
      </c>
      <c r="FP413" s="9" t="s">
        <v>486</v>
      </c>
      <c r="FQ413" s="9" t="s">
        <v>1039</v>
      </c>
      <c r="FR413" s="9" t="s">
        <v>8161</v>
      </c>
      <c r="FS413" s="9" t="s">
        <v>1871</v>
      </c>
      <c r="FT413" s="9" t="s">
        <v>1462</v>
      </c>
      <c r="FU413" s="9" t="s">
        <v>1235</v>
      </c>
      <c r="FV413" s="9" t="s">
        <v>490</v>
      </c>
      <c r="FW413" s="9" t="s">
        <v>491</v>
      </c>
      <c r="FX413" s="9" t="s">
        <v>8162</v>
      </c>
      <c r="FY413" s="9" t="s">
        <v>535</v>
      </c>
      <c r="FZ413" s="9" t="s">
        <v>8163</v>
      </c>
      <c r="GA413" s="9" t="s">
        <v>8164</v>
      </c>
      <c r="GB413" s="9" t="s">
        <v>455</v>
      </c>
      <c r="GC413" s="9"/>
      <c r="GD413" s="9"/>
      <c r="GE413" s="9" t="s">
        <v>753</v>
      </c>
      <c r="GF413" s="9" t="s">
        <v>8165</v>
      </c>
      <c r="GJ413" s="9" t="s">
        <v>755</v>
      </c>
      <c r="GK413" s="9" t="s">
        <v>755</v>
      </c>
      <c r="GL413" s="9" t="s">
        <v>946</v>
      </c>
      <c r="GN413" s="9" t="s">
        <v>8166</v>
      </c>
      <c r="GO413" s="9" t="s">
        <v>8166</v>
      </c>
      <c r="GP413" s="9" t="s">
        <v>387</v>
      </c>
      <c r="GQ413" s="9" t="s">
        <v>3208</v>
      </c>
      <c r="GR413" s="9" t="s">
        <v>4774</v>
      </c>
      <c r="GS413" s="9" t="s">
        <v>8167</v>
      </c>
      <c r="GV413" s="9" t="s">
        <v>5231</v>
      </c>
      <c r="GW413" s="9" t="s">
        <v>5261</v>
      </c>
      <c r="GX413" s="9" t="s">
        <v>5281</v>
      </c>
      <c r="GY413" s="9" t="s">
        <v>6013</v>
      </c>
      <c r="GZ413" s="9" t="s">
        <v>5234</v>
      </c>
      <c r="HA413" s="9" t="s">
        <v>5369</v>
      </c>
      <c r="HB413" s="9" t="s">
        <v>8168</v>
      </c>
      <c r="HO413" s="9" t="s">
        <v>5285</v>
      </c>
      <c r="HP413" s="9" t="s">
        <v>5237</v>
      </c>
      <c r="HQ413" s="9" t="s">
        <v>5238</v>
      </c>
      <c r="HR413" s="9" t="s">
        <v>5239</v>
      </c>
      <c r="MJ413" s="9" t="s">
        <v>6321</v>
      </c>
    </row>
    <row r="414" ht="22.5" customHeight="1">
      <c r="A414" s="8">
        <v>46026.3173584375</v>
      </c>
      <c r="B414" s="9" t="s">
        <v>368</v>
      </c>
      <c r="C414" s="9" t="s">
        <v>1341</v>
      </c>
      <c r="D414" s="9" t="s">
        <v>635</v>
      </c>
      <c r="G414" s="9" t="s">
        <v>422</v>
      </c>
      <c r="H414" s="9" t="s">
        <v>423</v>
      </c>
      <c r="I414" s="9" t="s">
        <v>424</v>
      </c>
      <c r="J414" s="9" t="s">
        <v>669</v>
      </c>
      <c r="K414" s="9" t="s">
        <v>376</v>
      </c>
      <c r="L414" s="9" t="s">
        <v>379</v>
      </c>
      <c r="M414" s="9" t="s">
        <v>720</v>
      </c>
      <c r="N414" s="9" t="s">
        <v>793</v>
      </c>
      <c r="O414" s="9" t="s">
        <v>380</v>
      </c>
      <c r="P414" s="9" t="s">
        <v>592</v>
      </c>
      <c r="Q414" s="9" t="s">
        <v>499</v>
      </c>
      <c r="R414" s="9" t="s">
        <v>427</v>
      </c>
      <c r="S414" s="9" t="s">
        <v>384</v>
      </c>
      <c r="T414" s="9" t="s">
        <v>385</v>
      </c>
      <c r="W414" s="9" t="s">
        <v>3231</v>
      </c>
      <c r="AV414" s="9" t="s">
        <v>1310</v>
      </c>
      <c r="AW414" s="9" t="s">
        <v>391</v>
      </c>
      <c r="AX414" s="9" t="s">
        <v>391</v>
      </c>
      <c r="AY414" s="9" t="s">
        <v>391</v>
      </c>
      <c r="AZ414" s="9" t="s">
        <v>391</v>
      </c>
      <c r="BA414" s="9" t="s">
        <v>391</v>
      </c>
      <c r="BB414" s="9" t="s">
        <v>391</v>
      </c>
      <c r="BC414" s="9" t="s">
        <v>8169</v>
      </c>
      <c r="BD414" s="9" t="s">
        <v>8170</v>
      </c>
      <c r="BE414" s="9" t="s">
        <v>392</v>
      </c>
      <c r="BF414" s="9" t="s">
        <v>393</v>
      </c>
      <c r="BG414" s="9" t="s">
        <v>725</v>
      </c>
      <c r="BI414" s="9" t="s">
        <v>976</v>
      </c>
      <c r="BK414" s="9" t="s">
        <v>437</v>
      </c>
      <c r="BL414" s="9" t="s">
        <v>603</v>
      </c>
      <c r="BM414" s="9" t="s">
        <v>1247</v>
      </c>
      <c r="BN414" s="9" t="s">
        <v>440</v>
      </c>
      <c r="CL414" s="9" t="s">
        <v>550</v>
      </c>
      <c r="CM414" s="9" t="s">
        <v>604</v>
      </c>
      <c r="CN414" s="9" t="s">
        <v>1315</v>
      </c>
      <c r="CO414" s="9" t="s">
        <v>8171</v>
      </c>
      <c r="CP414" s="9" t="s">
        <v>403</v>
      </c>
      <c r="CQ414" s="9" t="s">
        <v>8172</v>
      </c>
      <c r="CR414" s="9" t="s">
        <v>404</v>
      </c>
      <c r="CS414" s="9" t="s">
        <v>1346</v>
      </c>
      <c r="CT414" s="9" t="s">
        <v>8173</v>
      </c>
      <c r="CU414" s="9" t="s">
        <v>450</v>
      </c>
      <c r="CV414" s="9" t="s">
        <v>409</v>
      </c>
      <c r="CW414" s="9" t="s">
        <v>8174</v>
      </c>
      <c r="CX414" s="9" t="s">
        <v>408</v>
      </c>
      <c r="CZ414" s="9" t="s">
        <v>1398</v>
      </c>
      <c r="DA414" s="9" t="s">
        <v>8175</v>
      </c>
      <c r="DB414" s="9" t="s">
        <v>455</v>
      </c>
      <c r="DC414" s="9" t="s">
        <v>8176</v>
      </c>
      <c r="DD414" s="9" t="s">
        <v>988</v>
      </c>
      <c r="DF414" s="9" t="s">
        <v>8177</v>
      </c>
      <c r="DG414" s="9" t="s">
        <v>524</v>
      </c>
      <c r="DH414" s="9" t="s">
        <v>410</v>
      </c>
      <c r="DI414" s="9" t="s">
        <v>963</v>
      </c>
      <c r="DJ414" s="9" t="s">
        <v>460</v>
      </c>
      <c r="DK414" s="9" t="s">
        <v>6319</v>
      </c>
      <c r="DM414" s="9" t="s">
        <v>3096</v>
      </c>
      <c r="DN414" s="9" t="s">
        <v>8178</v>
      </c>
      <c r="DO414" s="9" t="s">
        <v>3496</v>
      </c>
      <c r="DP414" s="9" t="s">
        <v>8179</v>
      </c>
      <c r="DQ414" s="9" t="s">
        <v>1291</v>
      </c>
      <c r="DR414" s="9" t="s">
        <v>597</v>
      </c>
      <c r="DS414" s="9" t="s">
        <v>839</v>
      </c>
      <c r="DT414" s="9" t="s">
        <v>469</v>
      </c>
      <c r="DU414" s="9" t="s">
        <v>8180</v>
      </c>
      <c r="DV414" s="9" t="s">
        <v>8181</v>
      </c>
      <c r="DW414" s="9" t="s">
        <v>573</v>
      </c>
      <c r="DX414" s="9" t="s">
        <v>8182</v>
      </c>
      <c r="DY414" s="9" t="s">
        <v>8183</v>
      </c>
      <c r="DZ414" s="9" t="s">
        <v>8184</v>
      </c>
      <c r="EA414" s="9" t="s">
        <v>475</v>
      </c>
      <c r="EB414" s="9" t="s">
        <v>626</v>
      </c>
      <c r="EC414" s="9" t="s">
        <v>8185</v>
      </c>
      <c r="ET414" s="9" t="s">
        <v>526</v>
      </c>
      <c r="EU414" s="9" t="s">
        <v>579</v>
      </c>
      <c r="EV414" s="9" t="s">
        <v>778</v>
      </c>
      <c r="EW414" s="9" t="s">
        <v>8186</v>
      </c>
      <c r="EX414" s="9" t="s">
        <v>8187</v>
      </c>
      <c r="EY414" s="9" t="s">
        <v>8188</v>
      </c>
      <c r="EZ414" s="9" t="s">
        <v>413</v>
      </c>
      <c r="FA414" s="9" t="s">
        <v>415</v>
      </c>
      <c r="FB414" s="9" t="s">
        <v>413</v>
      </c>
      <c r="FC414" s="9" t="s">
        <v>413</v>
      </c>
      <c r="FD414" s="9" t="s">
        <v>413</v>
      </c>
      <c r="FE414" s="9" t="s">
        <v>415</v>
      </c>
      <c r="FF414" s="9" t="s">
        <v>413</v>
      </c>
      <c r="FG414" s="9" t="s">
        <v>413</v>
      </c>
      <c r="FH414" s="9" t="s">
        <v>413</v>
      </c>
      <c r="FI414" s="9" t="s">
        <v>413</v>
      </c>
      <c r="FJ414" s="9" t="s">
        <v>413</v>
      </c>
      <c r="FK414" s="9" t="s">
        <v>415</v>
      </c>
      <c r="FL414" s="9" t="s">
        <v>415</v>
      </c>
      <c r="FM414" s="9" t="s">
        <v>415</v>
      </c>
      <c r="FN414" s="9" t="s">
        <v>415</v>
      </c>
      <c r="FO414" s="9" t="s">
        <v>850</v>
      </c>
      <c r="FP414" s="9" t="s">
        <v>418</v>
      </c>
      <c r="FQ414" s="9" t="s">
        <v>712</v>
      </c>
      <c r="FR414" s="9" t="s">
        <v>8189</v>
      </c>
      <c r="FS414" s="9" t="s">
        <v>420</v>
      </c>
      <c r="FT414" s="9" t="s">
        <v>488</v>
      </c>
      <c r="FU414" s="9" t="s">
        <v>918</v>
      </c>
      <c r="FV414" s="9" t="s">
        <v>490</v>
      </c>
      <c r="FW414" s="9" t="s">
        <v>491</v>
      </c>
      <c r="FX414" s="9" t="s">
        <v>8190</v>
      </c>
      <c r="FY414" s="9" t="s">
        <v>535</v>
      </c>
      <c r="FZ414" s="9" t="s">
        <v>8191</v>
      </c>
      <c r="GA414" s="9" t="s">
        <v>8192</v>
      </c>
      <c r="GB414" s="9" t="s">
        <v>408</v>
      </c>
      <c r="GG414" s="9" t="s">
        <v>755</v>
      </c>
      <c r="GH414" s="9" t="s">
        <v>755</v>
      </c>
      <c r="GI414" s="9" t="s">
        <v>756</v>
      </c>
      <c r="GM414" s="9" t="s">
        <v>1079</v>
      </c>
      <c r="GN414" s="9" t="s">
        <v>8193</v>
      </c>
      <c r="GO414" s="9" t="s">
        <v>8194</v>
      </c>
      <c r="GP414" s="9" t="s">
        <v>387</v>
      </c>
      <c r="GQ414" s="9" t="s">
        <v>8195</v>
      </c>
      <c r="GU414" s="9" t="s">
        <v>597</v>
      </c>
      <c r="GV414" s="9" t="s">
        <v>5231</v>
      </c>
      <c r="GW414" s="9" t="s">
        <v>484</v>
      </c>
      <c r="HC414" s="9" t="s">
        <v>5281</v>
      </c>
      <c r="HD414" s="9" t="s">
        <v>484</v>
      </c>
      <c r="HE414" s="9" t="s">
        <v>484</v>
      </c>
      <c r="HF414" s="9" t="s">
        <v>5493</v>
      </c>
      <c r="HG414" s="9" t="s">
        <v>8196</v>
      </c>
      <c r="HH414" s="9" t="s">
        <v>5495</v>
      </c>
      <c r="HI414" s="9" t="s">
        <v>8197</v>
      </c>
      <c r="HJ414" s="9" t="s">
        <v>8198</v>
      </c>
      <c r="HO414" s="9" t="s">
        <v>5301</v>
      </c>
      <c r="HP414" s="9" t="s">
        <v>5237</v>
      </c>
      <c r="HQ414" s="9" t="s">
        <v>5238</v>
      </c>
      <c r="HR414" s="9" t="s">
        <v>5321</v>
      </c>
      <c r="HW414" s="9" t="s">
        <v>5802</v>
      </c>
      <c r="IN414" s="9" t="s">
        <v>5536</v>
      </c>
      <c r="IO414" s="9" t="s">
        <v>5537</v>
      </c>
      <c r="IP414" s="9" t="s">
        <v>5536</v>
      </c>
      <c r="IQ414" s="9" t="s">
        <v>5500</v>
      </c>
      <c r="IR414" s="9" t="s">
        <v>5500</v>
      </c>
      <c r="IS414" s="9" t="s">
        <v>5500</v>
      </c>
      <c r="MJ414" s="9" t="s">
        <v>6321</v>
      </c>
    </row>
    <row r="415" ht="22.5" customHeight="1">
      <c r="A415" s="8">
        <v>46028.958640625</v>
      </c>
      <c r="B415" s="9" t="s">
        <v>368</v>
      </c>
      <c r="C415" s="9" t="s">
        <v>370</v>
      </c>
      <c r="D415" s="9" t="s">
        <v>370</v>
      </c>
      <c r="E415" s="9" t="s">
        <v>791</v>
      </c>
      <c r="G415" s="9" t="s">
        <v>422</v>
      </c>
      <c r="H415" s="9" t="s">
        <v>373</v>
      </c>
      <c r="I415" s="9" t="s">
        <v>374</v>
      </c>
      <c r="J415" s="9" t="s">
        <v>590</v>
      </c>
      <c r="K415" s="9" t="s">
        <v>1383</v>
      </c>
      <c r="L415" s="9" t="s">
        <v>1526</v>
      </c>
      <c r="M415" s="9" t="s">
        <v>1024</v>
      </c>
      <c r="N415" s="9" t="s">
        <v>1526</v>
      </c>
      <c r="O415" s="9" t="s">
        <v>1024</v>
      </c>
      <c r="P415" s="9" t="s">
        <v>498</v>
      </c>
      <c r="Q415" s="9" t="s">
        <v>382</v>
      </c>
      <c r="R415" s="9" t="s">
        <v>427</v>
      </c>
      <c r="S415" s="9" t="s">
        <v>384</v>
      </c>
      <c r="T415" s="9" t="s">
        <v>385</v>
      </c>
      <c r="W415" s="9" t="s">
        <v>593</v>
      </c>
      <c r="X415" s="9" t="s">
        <v>387</v>
      </c>
      <c r="Y415" s="9" t="s">
        <v>1444</v>
      </c>
      <c r="Z415" s="9" t="s">
        <v>672</v>
      </c>
      <c r="AA415" s="9" t="s">
        <v>408</v>
      </c>
      <c r="AV415" s="9" t="s">
        <v>597</v>
      </c>
      <c r="AW415" s="9">
        <v>2.0</v>
      </c>
      <c r="AX415" s="9" t="s">
        <v>429</v>
      </c>
      <c r="AY415" s="9" t="s">
        <v>429</v>
      </c>
      <c r="AZ415" s="9" t="s">
        <v>429</v>
      </c>
      <c r="BA415" s="9" t="s">
        <v>429</v>
      </c>
      <c r="BB415" s="9" t="s">
        <v>429</v>
      </c>
      <c r="BC415" s="9" t="s">
        <v>8199</v>
      </c>
      <c r="BD415" s="9" t="s">
        <v>8200</v>
      </c>
      <c r="BE415" s="9" t="s">
        <v>432</v>
      </c>
      <c r="BF415" s="9" t="s">
        <v>433</v>
      </c>
      <c r="BG415" s="9" t="s">
        <v>678</v>
      </c>
      <c r="BH415" s="9" t="s">
        <v>8201</v>
      </c>
      <c r="BI415" s="9" t="s">
        <v>976</v>
      </c>
      <c r="BK415" s="9" t="s">
        <v>681</v>
      </c>
      <c r="BL415" s="9" t="s">
        <v>904</v>
      </c>
      <c r="BM415" s="9" t="s">
        <v>549</v>
      </c>
      <c r="BN415" s="9" t="s">
        <v>513</v>
      </c>
      <c r="CL415" s="9" t="s">
        <v>441</v>
      </c>
      <c r="CM415" s="9" t="s">
        <v>682</v>
      </c>
      <c r="CN415" s="9" t="s">
        <v>8202</v>
      </c>
      <c r="CO415" s="9" t="s">
        <v>8202</v>
      </c>
      <c r="CP415" s="9" t="s">
        <v>685</v>
      </c>
      <c r="CQ415" s="9" t="s">
        <v>1467</v>
      </c>
      <c r="CR415" s="9" t="s">
        <v>447</v>
      </c>
      <c r="CS415" s="9" t="s">
        <v>8203</v>
      </c>
      <c r="CT415" s="9" t="s">
        <v>8204</v>
      </c>
      <c r="CU415" s="9" t="s">
        <v>450</v>
      </c>
      <c r="CV415" s="9" t="s">
        <v>451</v>
      </c>
      <c r="CW415" s="9" t="s">
        <v>8205</v>
      </c>
      <c r="CX415" s="9" t="s">
        <v>408</v>
      </c>
      <c r="CZ415" s="9" t="s">
        <v>453</v>
      </c>
      <c r="DA415" s="9" t="s">
        <v>8206</v>
      </c>
      <c r="DB415" s="9" t="s">
        <v>913</v>
      </c>
      <c r="DD415" s="9" t="s">
        <v>988</v>
      </c>
      <c r="DG415" s="9" t="s">
        <v>524</v>
      </c>
      <c r="DH415" s="9" t="s">
        <v>410</v>
      </c>
      <c r="DI415" s="9" t="s">
        <v>459</v>
      </c>
      <c r="DJ415" s="9" t="s">
        <v>460</v>
      </c>
      <c r="DK415" s="9" t="s">
        <v>6319</v>
      </c>
      <c r="ET415" s="9" t="s">
        <v>526</v>
      </c>
      <c r="EU415" s="9" t="s">
        <v>887</v>
      </c>
      <c r="EV415" s="9" t="s">
        <v>527</v>
      </c>
      <c r="EW415" s="9" t="s">
        <v>8207</v>
      </c>
      <c r="EX415" s="9" t="s">
        <v>8208</v>
      </c>
      <c r="EY415" s="9" t="s">
        <v>8209</v>
      </c>
      <c r="EZ415" s="9" t="s">
        <v>413</v>
      </c>
      <c r="FA415" s="9" t="s">
        <v>415</v>
      </c>
      <c r="FB415" s="9" t="s">
        <v>413</v>
      </c>
      <c r="FC415" s="9" t="s">
        <v>415</v>
      </c>
      <c r="FD415" s="9" t="s">
        <v>413</v>
      </c>
      <c r="FE415" s="9" t="s">
        <v>415</v>
      </c>
      <c r="FF415" s="9" t="s">
        <v>415</v>
      </c>
      <c r="FG415" s="9" t="s">
        <v>413</v>
      </c>
      <c r="FH415" s="9" t="s">
        <v>413</v>
      </c>
      <c r="FI415" s="9" t="s">
        <v>414</v>
      </c>
      <c r="FJ415" s="9" t="s">
        <v>414</v>
      </c>
      <c r="FK415" s="9" t="s">
        <v>413</v>
      </c>
      <c r="FL415" s="9" t="s">
        <v>413</v>
      </c>
      <c r="FM415" s="9" t="s">
        <v>416</v>
      </c>
      <c r="FN415" s="9" t="s">
        <v>414</v>
      </c>
      <c r="FO415" s="9" t="s">
        <v>417</v>
      </c>
      <c r="FP415" s="9" t="s">
        <v>418</v>
      </c>
      <c r="FQ415" s="9" t="s">
        <v>419</v>
      </c>
      <c r="FR415" s="9" t="s">
        <v>8210</v>
      </c>
      <c r="FS415" s="9" t="s">
        <v>420</v>
      </c>
      <c r="FT415" s="9" t="s">
        <v>488</v>
      </c>
      <c r="FU415" s="9" t="s">
        <v>489</v>
      </c>
      <c r="FV415" s="9" t="s">
        <v>490</v>
      </c>
      <c r="FW415" s="9" t="s">
        <v>491</v>
      </c>
      <c r="FX415" s="9" t="s">
        <v>8211</v>
      </c>
      <c r="FY415" s="9" t="s">
        <v>493</v>
      </c>
      <c r="FZ415" s="9" t="s">
        <v>8212</v>
      </c>
      <c r="GB415" s="9" t="s">
        <v>408</v>
      </c>
      <c r="GG415" s="9" t="s">
        <v>1000</v>
      </c>
      <c r="GH415" s="9" t="s">
        <v>1000</v>
      </c>
      <c r="GI415" s="9" t="s">
        <v>817</v>
      </c>
      <c r="GQ415" s="9" t="s">
        <v>3273</v>
      </c>
      <c r="GT415" s="9" t="s">
        <v>4774</v>
      </c>
      <c r="GV415" s="9" t="s">
        <v>5231</v>
      </c>
      <c r="GW415" s="9" t="s">
        <v>5232</v>
      </c>
      <c r="HC415" s="9" t="s">
        <v>5297</v>
      </c>
      <c r="HD415" s="9" t="s">
        <v>5349</v>
      </c>
      <c r="HE415" s="9" t="s">
        <v>5718</v>
      </c>
      <c r="HF415" s="9" t="s">
        <v>5768</v>
      </c>
      <c r="HO415" s="9" t="s">
        <v>5236</v>
      </c>
      <c r="HP415" s="9" t="s">
        <v>5264</v>
      </c>
      <c r="HQ415" s="9" t="s">
        <v>5238</v>
      </c>
      <c r="HR415" s="9" t="s">
        <v>8213</v>
      </c>
      <c r="HW415" s="9" t="s">
        <v>5628</v>
      </c>
      <c r="MJ415" s="9" t="s">
        <v>6321</v>
      </c>
    </row>
    <row r="416" ht="22.5" customHeight="1">
      <c r="A416" s="8">
        <v>46029.12269635417</v>
      </c>
      <c r="B416" s="9" t="s">
        <v>368</v>
      </c>
      <c r="C416" s="9" t="s">
        <v>2727</v>
      </c>
      <c r="D416" s="9" t="s">
        <v>2727</v>
      </c>
      <c r="G416" s="9" t="s">
        <v>2657</v>
      </c>
      <c r="H416" s="9" t="s">
        <v>373</v>
      </c>
      <c r="I416" s="9" t="s">
        <v>374</v>
      </c>
      <c r="J416" s="9" t="s">
        <v>375</v>
      </c>
      <c r="K416" s="9" t="s">
        <v>376</v>
      </c>
      <c r="L416" s="9" t="s">
        <v>591</v>
      </c>
      <c r="M416" s="9" t="s">
        <v>8214</v>
      </c>
      <c r="N416" s="9" t="s">
        <v>793</v>
      </c>
      <c r="O416" s="9" t="s">
        <v>719</v>
      </c>
      <c r="P416" s="9" t="s">
        <v>592</v>
      </c>
      <c r="Q416" s="9" t="s">
        <v>382</v>
      </c>
      <c r="R416" s="9" t="s">
        <v>500</v>
      </c>
      <c r="S416" s="9" t="s">
        <v>384</v>
      </c>
      <c r="T416" s="9" t="s">
        <v>385</v>
      </c>
      <c r="W416" s="9" t="s">
        <v>3014</v>
      </c>
      <c r="AV416" s="9" t="s">
        <v>597</v>
      </c>
      <c r="AW416" s="9">
        <v>4.0</v>
      </c>
      <c r="AX416" s="9">
        <v>4.0</v>
      </c>
      <c r="AY416" s="9">
        <v>4.0</v>
      </c>
      <c r="AZ416" s="9" t="s">
        <v>675</v>
      </c>
      <c r="BA416" s="9" t="s">
        <v>675</v>
      </c>
      <c r="BB416" s="9" t="s">
        <v>675</v>
      </c>
      <c r="BC416" s="9" t="s">
        <v>8215</v>
      </c>
      <c r="BD416" s="9" t="s">
        <v>8216</v>
      </c>
      <c r="BE416" s="9" t="s">
        <v>432</v>
      </c>
      <c r="BF416" s="9" t="s">
        <v>1095</v>
      </c>
      <c r="BG416" s="9" t="s">
        <v>725</v>
      </c>
      <c r="BH416" s="9" t="s">
        <v>8217</v>
      </c>
      <c r="BI416" s="9" t="s">
        <v>435</v>
      </c>
      <c r="BJ416" s="9" t="s">
        <v>8218</v>
      </c>
      <c r="BK416" s="9" t="s">
        <v>511</v>
      </c>
      <c r="BL416" s="9" t="s">
        <v>603</v>
      </c>
      <c r="BM416" s="9" t="s">
        <v>1314</v>
      </c>
      <c r="BN416" s="9" t="s">
        <v>398</v>
      </c>
      <c r="BO416" s="9" t="s">
        <v>8219</v>
      </c>
      <c r="BP416" s="9" t="s">
        <v>8220</v>
      </c>
      <c r="BQ416" s="9" t="s">
        <v>401</v>
      </c>
      <c r="BR416" s="9" t="s">
        <v>8221</v>
      </c>
      <c r="BS416" s="9" t="s">
        <v>4071</v>
      </c>
      <c r="BT416" s="9" t="s">
        <v>1994</v>
      </c>
      <c r="BU416" s="9" t="s">
        <v>405</v>
      </c>
      <c r="BV416" s="9" t="s">
        <v>8222</v>
      </c>
      <c r="BW416" s="9" t="s">
        <v>988</v>
      </c>
      <c r="BY416" s="9" t="s">
        <v>733</v>
      </c>
      <c r="BZ416" s="9" t="s">
        <v>8223</v>
      </c>
      <c r="CA416" s="9" t="s">
        <v>8224</v>
      </c>
      <c r="CB416" s="9" t="s">
        <v>8225</v>
      </c>
      <c r="CC416" s="9" t="s">
        <v>8226</v>
      </c>
      <c r="CD416" s="9" t="s">
        <v>1257</v>
      </c>
      <c r="CF416" s="9" t="s">
        <v>1722</v>
      </c>
      <c r="CG416" s="9" t="s">
        <v>8227</v>
      </c>
      <c r="CH416" s="9" t="s">
        <v>1259</v>
      </c>
      <c r="CI416" s="9" t="s">
        <v>410</v>
      </c>
      <c r="CJ416" s="9" t="s">
        <v>8228</v>
      </c>
      <c r="CK416" s="9" t="s">
        <v>8229</v>
      </c>
      <c r="DI416" s="9" t="s">
        <v>777</v>
      </c>
      <c r="DJ416" s="9" t="s">
        <v>460</v>
      </c>
      <c r="DK416" s="9" t="s">
        <v>6319</v>
      </c>
      <c r="ET416" s="9" t="s">
        <v>526</v>
      </c>
      <c r="EU416" s="9" t="s">
        <v>579</v>
      </c>
      <c r="EV416" s="9" t="s">
        <v>1534</v>
      </c>
      <c r="EX416" s="9" t="s">
        <v>8230</v>
      </c>
      <c r="EY416" s="9" t="s">
        <v>8231</v>
      </c>
      <c r="EZ416" s="9" t="s">
        <v>415</v>
      </c>
      <c r="FA416" s="9" t="s">
        <v>415</v>
      </c>
      <c r="FB416" s="9" t="s">
        <v>413</v>
      </c>
      <c r="FC416" s="9" t="s">
        <v>413</v>
      </c>
      <c r="FD416" s="9" t="s">
        <v>413</v>
      </c>
      <c r="FE416" s="9" t="s">
        <v>414</v>
      </c>
      <c r="FF416" s="9" t="s">
        <v>415</v>
      </c>
      <c r="FG416" s="9" t="s">
        <v>413</v>
      </c>
      <c r="FH416" s="9" t="s">
        <v>414</v>
      </c>
      <c r="FI416" s="9" t="s">
        <v>416</v>
      </c>
      <c r="FJ416" s="9" t="s">
        <v>415</v>
      </c>
      <c r="FK416" s="9" t="s">
        <v>415</v>
      </c>
      <c r="FL416" s="9" t="s">
        <v>415</v>
      </c>
      <c r="FM416" s="9" t="s">
        <v>415</v>
      </c>
      <c r="FN416" s="9" t="s">
        <v>583</v>
      </c>
      <c r="FO416" s="9" t="s">
        <v>485</v>
      </c>
      <c r="FP416" s="9" t="s">
        <v>486</v>
      </c>
      <c r="FQ416" s="9" t="s">
        <v>712</v>
      </c>
      <c r="FR416" s="9" t="s">
        <v>8232</v>
      </c>
      <c r="FS416" s="9" t="s">
        <v>420</v>
      </c>
      <c r="FT416" s="9" t="s">
        <v>1476</v>
      </c>
      <c r="FU416" s="9" t="s">
        <v>1235</v>
      </c>
      <c r="FV416" s="9" t="s">
        <v>490</v>
      </c>
      <c r="FW416" s="9" t="s">
        <v>491</v>
      </c>
      <c r="FX416" s="9" t="s">
        <v>8233</v>
      </c>
      <c r="FY416" s="9" t="s">
        <v>535</v>
      </c>
      <c r="GA416" s="9" t="s">
        <v>8234</v>
      </c>
      <c r="GB416" s="9" t="s">
        <v>455</v>
      </c>
      <c r="GC416" s="9"/>
      <c r="GE416" s="9" t="s">
        <v>855</v>
      </c>
      <c r="GF416" s="9" t="s">
        <v>8235</v>
      </c>
      <c r="GJ416" s="9" t="s">
        <v>755</v>
      </c>
      <c r="GK416" s="9" t="s">
        <v>755</v>
      </c>
      <c r="GL416" s="9" t="s">
        <v>817</v>
      </c>
      <c r="GN416" s="9" t="s">
        <v>2727</v>
      </c>
      <c r="GO416" s="9" t="s">
        <v>8236</v>
      </c>
      <c r="GQ416" s="9" t="s">
        <v>8237</v>
      </c>
      <c r="GR416" s="9" t="s">
        <v>4774</v>
      </c>
      <c r="GV416" s="9" t="s">
        <v>5231</v>
      </c>
      <c r="GW416" s="9" t="s">
        <v>5232</v>
      </c>
      <c r="GX416" s="9" t="s">
        <v>5281</v>
      </c>
      <c r="GY416" s="9" t="s">
        <v>5233</v>
      </c>
      <c r="GZ416" s="9" t="s">
        <v>5234</v>
      </c>
      <c r="HA416" s="9" t="s">
        <v>5369</v>
      </c>
      <c r="HB416" s="9" t="s">
        <v>5370</v>
      </c>
      <c r="HO416" s="9" t="s">
        <v>5383</v>
      </c>
      <c r="HP416" s="9" t="s">
        <v>5264</v>
      </c>
      <c r="HQ416" s="9" t="s">
        <v>5238</v>
      </c>
      <c r="HR416" s="9" t="s">
        <v>8238</v>
      </c>
      <c r="MJ416" s="9" t="s">
        <v>6321</v>
      </c>
    </row>
    <row r="417" ht="22.5" customHeight="1">
      <c r="A417" s="8">
        <v>46032.64016930555</v>
      </c>
      <c r="B417" s="9" t="s">
        <v>368</v>
      </c>
      <c r="C417" s="9" t="s">
        <v>370</v>
      </c>
      <c r="D417" s="9" t="s">
        <v>370</v>
      </c>
      <c r="E417" s="9" t="s">
        <v>1480</v>
      </c>
      <c r="F417" s="9" t="s">
        <v>2708</v>
      </c>
      <c r="G417" s="9" t="s">
        <v>422</v>
      </c>
      <c r="H417" s="9" t="s">
        <v>423</v>
      </c>
      <c r="I417" s="9" t="s">
        <v>668</v>
      </c>
      <c r="K417" s="9" t="s">
        <v>376</v>
      </c>
      <c r="L417" s="9" t="s">
        <v>426</v>
      </c>
      <c r="M417" s="9" t="s">
        <v>8239</v>
      </c>
      <c r="O417" s="9" t="s">
        <v>1270</v>
      </c>
      <c r="P417" s="9" t="s">
        <v>498</v>
      </c>
      <c r="Q417" s="9" t="s">
        <v>382</v>
      </c>
      <c r="R417" s="9" t="s">
        <v>427</v>
      </c>
      <c r="S417" s="9" t="s">
        <v>384</v>
      </c>
      <c r="T417" s="9" t="s">
        <v>385</v>
      </c>
      <c r="W417" s="9" t="s">
        <v>386</v>
      </c>
      <c r="X417" s="9" t="s">
        <v>387</v>
      </c>
      <c r="Y417" s="9" t="s">
        <v>594</v>
      </c>
      <c r="Z417" s="9" t="s">
        <v>543</v>
      </c>
      <c r="AA417" s="9" t="s">
        <v>796</v>
      </c>
      <c r="AB417" s="9" t="s">
        <v>8240</v>
      </c>
      <c r="AV417" s="9" t="s">
        <v>1310</v>
      </c>
      <c r="AW417" s="9">
        <v>4.0</v>
      </c>
      <c r="AX417" s="9">
        <v>4.0</v>
      </c>
      <c r="AY417" s="9">
        <v>4.0</v>
      </c>
      <c r="AZ417" s="9">
        <v>4.0</v>
      </c>
      <c r="BA417" s="9" t="s">
        <v>675</v>
      </c>
      <c r="BB417" s="9">
        <v>4.0</v>
      </c>
      <c r="BC417" s="9" t="s">
        <v>8241</v>
      </c>
      <c r="BD417" s="9" t="s">
        <v>8242</v>
      </c>
      <c r="BE417" s="9" t="s">
        <v>432</v>
      </c>
      <c r="BF417" s="9" t="s">
        <v>433</v>
      </c>
      <c r="BG417" s="9" t="s">
        <v>434</v>
      </c>
      <c r="BH417" s="9" t="s">
        <v>8243</v>
      </c>
      <c r="BI417" s="9" t="s">
        <v>435</v>
      </c>
      <c r="BJ417" s="9" t="s">
        <v>8244</v>
      </c>
      <c r="BK417" s="9" t="s">
        <v>681</v>
      </c>
      <c r="BL417" s="9" t="s">
        <v>904</v>
      </c>
      <c r="BM417" s="9" t="s">
        <v>397</v>
      </c>
      <c r="BN417" s="9" t="s">
        <v>440</v>
      </c>
      <c r="CL417" s="9" t="s">
        <v>441</v>
      </c>
      <c r="CM417" s="9" t="s">
        <v>401</v>
      </c>
      <c r="CN417" s="9" t="s">
        <v>552</v>
      </c>
      <c r="CO417" s="9" t="s">
        <v>8245</v>
      </c>
      <c r="CP417" s="9" t="s">
        <v>1008</v>
      </c>
      <c r="CQ417" s="9" t="s">
        <v>2683</v>
      </c>
      <c r="CR417" s="9" t="s">
        <v>447</v>
      </c>
      <c r="CS417" s="9" t="s">
        <v>8246</v>
      </c>
      <c r="CT417" s="9" t="s">
        <v>8247</v>
      </c>
      <c r="CU417" s="9" t="s">
        <v>519</v>
      </c>
      <c r="CW417" s="9" t="s">
        <v>8248</v>
      </c>
      <c r="CX417" s="9" t="s">
        <v>408</v>
      </c>
      <c r="CZ417" s="9" t="s">
        <v>985</v>
      </c>
      <c r="DA417" s="9" t="s">
        <v>8249</v>
      </c>
      <c r="DB417" s="9" t="s">
        <v>408</v>
      </c>
      <c r="DD417" s="9" t="s">
        <v>457</v>
      </c>
      <c r="DF417" s="9" t="s">
        <v>8250</v>
      </c>
      <c r="DG417" s="9" t="s">
        <v>561</v>
      </c>
      <c r="DH417" s="9" t="s">
        <v>410</v>
      </c>
      <c r="DI417" s="9" t="s">
        <v>963</v>
      </c>
      <c r="DJ417" s="9" t="s">
        <v>613</v>
      </c>
      <c r="DM417" s="9" t="s">
        <v>462</v>
      </c>
      <c r="DN417" s="9" t="s">
        <v>8251</v>
      </c>
      <c r="DO417" s="9" t="s">
        <v>1063</v>
      </c>
      <c r="DP417" s="9" t="s">
        <v>8252</v>
      </c>
      <c r="DQ417" s="9" t="s">
        <v>1291</v>
      </c>
      <c r="DR417" s="9" t="s">
        <v>8253</v>
      </c>
      <c r="DS417" s="9" t="s">
        <v>839</v>
      </c>
      <c r="DT417" s="9" t="s">
        <v>469</v>
      </c>
      <c r="DU417" s="9" t="s">
        <v>8254</v>
      </c>
      <c r="DV417" s="9" t="s">
        <v>8255</v>
      </c>
      <c r="DW417" s="9" t="s">
        <v>573</v>
      </c>
      <c r="DX417" s="9" t="s">
        <v>8256</v>
      </c>
      <c r="DY417" s="9" t="s">
        <v>8257</v>
      </c>
      <c r="DZ417" s="9" t="s">
        <v>8258</v>
      </c>
      <c r="EA417" s="9" t="s">
        <v>475</v>
      </c>
      <c r="EB417" s="9" t="s">
        <v>626</v>
      </c>
      <c r="EC417" s="9" t="s">
        <v>8259</v>
      </c>
      <c r="ET417" s="9" t="s">
        <v>526</v>
      </c>
      <c r="EU417" s="9" t="s">
        <v>479</v>
      </c>
      <c r="EV417" s="9" t="s">
        <v>480</v>
      </c>
      <c r="EX417" s="9" t="s">
        <v>4872</v>
      </c>
      <c r="EY417" s="9" t="s">
        <v>8260</v>
      </c>
      <c r="EZ417" s="9" t="s">
        <v>413</v>
      </c>
      <c r="FA417" s="9" t="s">
        <v>416</v>
      </c>
      <c r="FB417" s="9" t="s">
        <v>413</v>
      </c>
      <c r="FC417" s="9" t="s">
        <v>413</v>
      </c>
      <c r="FD417" s="9" t="s">
        <v>413</v>
      </c>
      <c r="FE417" s="9" t="s">
        <v>415</v>
      </c>
      <c r="FF417" s="9" t="s">
        <v>413</v>
      </c>
      <c r="FG417" s="9" t="s">
        <v>413</v>
      </c>
      <c r="FH417" s="9" t="s">
        <v>413</v>
      </c>
      <c r="FI417" s="9" t="s">
        <v>415</v>
      </c>
      <c r="FJ417" s="9" t="s">
        <v>415</v>
      </c>
      <c r="FK417" s="9" t="s">
        <v>416</v>
      </c>
      <c r="FL417" s="9" t="s">
        <v>416</v>
      </c>
      <c r="FM417" s="9" t="s">
        <v>416</v>
      </c>
      <c r="FN417" s="9" t="s">
        <v>414</v>
      </c>
      <c r="FO417" s="9" t="s">
        <v>417</v>
      </c>
      <c r="FP417" s="9" t="s">
        <v>418</v>
      </c>
      <c r="FQ417" s="9" t="s">
        <v>749</v>
      </c>
      <c r="FS417" s="9" t="s">
        <v>420</v>
      </c>
      <c r="FT417" s="9" t="s">
        <v>488</v>
      </c>
      <c r="FU417" s="9" t="s">
        <v>918</v>
      </c>
      <c r="FV417" s="9" t="s">
        <v>490</v>
      </c>
      <c r="FW417" s="9" t="s">
        <v>491</v>
      </c>
      <c r="FX417" s="9" t="s">
        <v>8261</v>
      </c>
      <c r="FY417" s="9" t="s">
        <v>1020</v>
      </c>
      <c r="FZ417" s="9" t="s">
        <v>8262</v>
      </c>
      <c r="GA417" s="9" t="s">
        <v>8263</v>
      </c>
      <c r="GB417" s="9" t="s">
        <v>455</v>
      </c>
      <c r="GC417" s="9"/>
      <c r="GE417" s="9" t="s">
        <v>786</v>
      </c>
      <c r="GF417" s="9" t="s">
        <v>8264</v>
      </c>
      <c r="GG417" s="9" t="s">
        <v>1000</v>
      </c>
      <c r="GH417" s="9" t="s">
        <v>1000</v>
      </c>
      <c r="GI417" s="9" t="s">
        <v>756</v>
      </c>
      <c r="GM417" s="9" t="s">
        <v>1079</v>
      </c>
      <c r="GQ417" s="9" t="s">
        <v>3273</v>
      </c>
      <c r="GT417" s="9" t="s">
        <v>4774</v>
      </c>
      <c r="GV417" s="9" t="s">
        <v>5231</v>
      </c>
      <c r="GW417" s="9" t="s">
        <v>5232</v>
      </c>
      <c r="HC417" s="9" t="s">
        <v>6053</v>
      </c>
      <c r="HD417" s="9" t="s">
        <v>5349</v>
      </c>
      <c r="HE417" s="9" t="s">
        <v>5320</v>
      </c>
      <c r="HF417" s="9" t="s">
        <v>5284</v>
      </c>
      <c r="HG417" s="9" t="s">
        <v>8265</v>
      </c>
      <c r="HH417" s="9" t="s">
        <v>6242</v>
      </c>
      <c r="HI417" s="9" t="s">
        <v>8266</v>
      </c>
      <c r="HJ417" s="9" t="s">
        <v>8267</v>
      </c>
      <c r="HO417" s="9" t="s">
        <v>5236</v>
      </c>
      <c r="HP417" s="9" t="s">
        <v>5264</v>
      </c>
      <c r="HQ417" s="9" t="s">
        <v>5238</v>
      </c>
      <c r="HR417" s="9" t="s">
        <v>5347</v>
      </c>
      <c r="IN417" s="9" t="s">
        <v>5500</v>
      </c>
      <c r="IO417" s="9" t="s">
        <v>5536</v>
      </c>
      <c r="IP417" s="9" t="s">
        <v>5500</v>
      </c>
      <c r="IQ417" s="9" t="s">
        <v>5500</v>
      </c>
      <c r="IR417" s="9" t="s">
        <v>5536</v>
      </c>
      <c r="IS417" s="9" t="s">
        <v>5536</v>
      </c>
      <c r="MJ417" s="9" t="s">
        <v>6321</v>
      </c>
    </row>
    <row r="418" ht="22.5" customHeight="1">
      <c r="A418" s="8">
        <v>46037.4918693287</v>
      </c>
      <c r="B418" s="9" t="s">
        <v>368</v>
      </c>
      <c r="C418" s="9" t="s">
        <v>370</v>
      </c>
      <c r="D418" s="9" t="s">
        <v>370</v>
      </c>
      <c r="E418" s="9" t="s">
        <v>2294</v>
      </c>
      <c r="F418" s="9" t="s">
        <v>2294</v>
      </c>
      <c r="G418" s="9" t="s">
        <v>422</v>
      </c>
      <c r="H418" s="9" t="s">
        <v>539</v>
      </c>
      <c r="I418" s="9" t="s">
        <v>2578</v>
      </c>
      <c r="J418" s="9" t="s">
        <v>669</v>
      </c>
      <c r="K418" s="9" t="s">
        <v>376</v>
      </c>
      <c r="L418" s="9" t="s">
        <v>426</v>
      </c>
      <c r="M418" s="9" t="s">
        <v>378</v>
      </c>
      <c r="N418" s="9" t="s">
        <v>426</v>
      </c>
      <c r="O418" s="9" t="s">
        <v>380</v>
      </c>
      <c r="P418" s="9" t="s">
        <v>498</v>
      </c>
      <c r="Q418" s="9" t="s">
        <v>1156</v>
      </c>
      <c r="R418" s="9" t="s">
        <v>500</v>
      </c>
      <c r="S418" s="9" t="s">
        <v>384</v>
      </c>
      <c r="T418" s="9" t="s">
        <v>385</v>
      </c>
      <c r="W418" s="9" t="s">
        <v>593</v>
      </c>
      <c r="X418" s="9" t="s">
        <v>387</v>
      </c>
      <c r="Y418" s="9" t="s">
        <v>897</v>
      </c>
      <c r="Z418" s="9" t="s">
        <v>502</v>
      </c>
      <c r="AV418" s="9" t="s">
        <v>504</v>
      </c>
      <c r="AW418" s="9">
        <v>2.0</v>
      </c>
      <c r="AX418" s="9">
        <v>2.0</v>
      </c>
      <c r="AY418" s="9" t="s">
        <v>675</v>
      </c>
      <c r="AZ418" s="9" t="s">
        <v>429</v>
      </c>
      <c r="BA418" s="9" t="s">
        <v>429</v>
      </c>
      <c r="BB418" s="9" t="s">
        <v>429</v>
      </c>
      <c r="BE418" s="9" t="s">
        <v>392</v>
      </c>
      <c r="BF418" s="9" t="s">
        <v>433</v>
      </c>
      <c r="BG418" s="9" t="s">
        <v>678</v>
      </c>
      <c r="BI418" s="9" t="s">
        <v>976</v>
      </c>
      <c r="BK418" s="9" t="s">
        <v>602</v>
      </c>
      <c r="BL418" s="9" t="s">
        <v>904</v>
      </c>
      <c r="BM418" s="9" t="s">
        <v>549</v>
      </c>
      <c r="BN418" s="9" t="s">
        <v>440</v>
      </c>
      <c r="CL418" s="9" t="s">
        <v>441</v>
      </c>
      <c r="CM418" s="9" t="s">
        <v>401</v>
      </c>
      <c r="CP418" s="9" t="s">
        <v>445</v>
      </c>
      <c r="CQ418" s="9" t="s">
        <v>2383</v>
      </c>
      <c r="CR418" s="9" t="s">
        <v>447</v>
      </c>
      <c r="CS418" s="9" t="s">
        <v>6081</v>
      </c>
      <c r="CU418" s="9" t="s">
        <v>450</v>
      </c>
      <c r="CV418" s="9" t="s">
        <v>451</v>
      </c>
      <c r="CX418" s="9" t="s">
        <v>455</v>
      </c>
      <c r="CY418" s="9" t="s">
        <v>8268</v>
      </c>
      <c r="CZ418" s="9" t="s">
        <v>453</v>
      </c>
      <c r="DB418" s="9" t="s">
        <v>455</v>
      </c>
      <c r="DC418" s="9" t="s">
        <v>8269</v>
      </c>
      <c r="DD418" s="9" t="s">
        <v>988</v>
      </c>
      <c r="DE418" s="9" t="s">
        <v>1368</v>
      </c>
      <c r="DF418" s="9" t="s">
        <v>6084</v>
      </c>
      <c r="DG418" s="9" t="s">
        <v>524</v>
      </c>
      <c r="DH418" s="9" t="s">
        <v>410</v>
      </c>
      <c r="DI418" s="9" t="s">
        <v>459</v>
      </c>
      <c r="DJ418" s="9" t="s">
        <v>613</v>
      </c>
      <c r="DM418" s="9" t="s">
        <v>8270</v>
      </c>
      <c r="DN418" s="9" t="s">
        <v>8271</v>
      </c>
      <c r="DO418" s="9" t="s">
        <v>464</v>
      </c>
      <c r="DP418" s="9" t="s">
        <v>8272</v>
      </c>
      <c r="DQ418" s="9" t="s">
        <v>1152</v>
      </c>
      <c r="DS418" s="9" t="s">
        <v>468</v>
      </c>
      <c r="DT418" s="9" t="s">
        <v>3171</v>
      </c>
      <c r="DW418" s="9" t="s">
        <v>573</v>
      </c>
      <c r="EA418" s="9" t="s">
        <v>475</v>
      </c>
      <c r="EB418" s="9" t="s">
        <v>845</v>
      </c>
      <c r="ET418" s="9" t="s">
        <v>2747</v>
      </c>
      <c r="EU418" s="9" t="s">
        <v>479</v>
      </c>
      <c r="EV418" s="9" t="s">
        <v>480</v>
      </c>
      <c r="EZ418" s="9" t="s">
        <v>414</v>
      </c>
      <c r="FA418" s="9" t="s">
        <v>583</v>
      </c>
      <c r="FB418" s="9" t="s">
        <v>583</v>
      </c>
      <c r="FC418" s="9" t="s">
        <v>583</v>
      </c>
      <c r="FD418" s="9" t="s">
        <v>415</v>
      </c>
      <c r="FE418" s="9" t="s">
        <v>583</v>
      </c>
      <c r="FF418" s="9" t="s">
        <v>415</v>
      </c>
      <c r="FG418" s="9" t="s">
        <v>415</v>
      </c>
      <c r="FH418" s="9" t="s">
        <v>415</v>
      </c>
      <c r="FI418" s="9" t="s">
        <v>583</v>
      </c>
      <c r="FJ418" s="9" t="s">
        <v>583</v>
      </c>
      <c r="FK418" s="9" t="s">
        <v>415</v>
      </c>
      <c r="FL418" s="9" t="s">
        <v>415</v>
      </c>
      <c r="FM418" s="9" t="s">
        <v>415</v>
      </c>
      <c r="FN418" s="9" t="s">
        <v>415</v>
      </c>
      <c r="FO418" s="9" t="s">
        <v>417</v>
      </c>
      <c r="FP418" s="9" t="s">
        <v>418</v>
      </c>
      <c r="FQ418" s="9" t="s">
        <v>630</v>
      </c>
      <c r="FS418" s="9" t="s">
        <v>1076</v>
      </c>
      <c r="FT418" s="9" t="s">
        <v>488</v>
      </c>
      <c r="FU418" s="9" t="s">
        <v>533</v>
      </c>
      <c r="FV418" s="9" t="s">
        <v>490</v>
      </c>
      <c r="FW418" s="9" t="s">
        <v>491</v>
      </c>
      <c r="FY418" s="9" t="s">
        <v>535</v>
      </c>
      <c r="GB418" s="9" t="s">
        <v>408</v>
      </c>
      <c r="GG418" s="9" t="s">
        <v>755</v>
      </c>
      <c r="GH418" s="9" t="s">
        <v>755</v>
      </c>
      <c r="GI418" s="9" t="s">
        <v>946</v>
      </c>
      <c r="GM418" s="9" t="s">
        <v>1079</v>
      </c>
      <c r="GQ418" s="9" t="s">
        <v>5656</v>
      </c>
      <c r="GT418" s="9" t="s">
        <v>4774</v>
      </c>
      <c r="GV418" s="9" t="s">
        <v>5231</v>
      </c>
      <c r="GW418" s="9" t="s">
        <v>5232</v>
      </c>
      <c r="HC418" s="9" t="s">
        <v>5297</v>
      </c>
      <c r="HD418" s="9" t="s">
        <v>5349</v>
      </c>
      <c r="HE418" s="9" t="s">
        <v>5320</v>
      </c>
      <c r="HF418" s="9" t="s">
        <v>5300</v>
      </c>
      <c r="HH418" s="9" t="s">
        <v>5343</v>
      </c>
      <c r="HJ418" s="9" t="s">
        <v>8273</v>
      </c>
      <c r="HO418" s="9" t="s">
        <v>5236</v>
      </c>
      <c r="HP418" s="9" t="s">
        <v>5371</v>
      </c>
      <c r="HQ418" s="9" t="s">
        <v>5238</v>
      </c>
      <c r="HR418" s="9" t="s">
        <v>5321</v>
      </c>
      <c r="HW418" s="9" t="s">
        <v>5628</v>
      </c>
      <c r="IN418" s="9" t="s">
        <v>5537</v>
      </c>
      <c r="IO418" s="9" t="s">
        <v>5537</v>
      </c>
      <c r="IP418" s="9" t="s">
        <v>5536</v>
      </c>
      <c r="IQ418" s="9" t="s">
        <v>5536</v>
      </c>
      <c r="IR418" s="9" t="s">
        <v>5537</v>
      </c>
      <c r="IS418" s="9" t="s">
        <v>5537</v>
      </c>
      <c r="MJ418" s="9" t="s">
        <v>6321</v>
      </c>
    </row>
    <row r="419" ht="22.5" customHeight="1">
      <c r="A419" s="8">
        <v>46037.5570009375</v>
      </c>
      <c r="B419" s="9" t="s">
        <v>368</v>
      </c>
      <c r="C419" s="9" t="s">
        <v>894</v>
      </c>
      <c r="D419" s="9" t="s">
        <v>894</v>
      </c>
      <c r="G419" s="9" t="s">
        <v>3187</v>
      </c>
      <c r="H419" s="9" t="s">
        <v>539</v>
      </c>
      <c r="I419" s="9" t="s">
        <v>2578</v>
      </c>
      <c r="J419" s="9" t="s">
        <v>425</v>
      </c>
      <c r="K419" s="9" t="s">
        <v>376</v>
      </c>
      <c r="L419" s="9" t="s">
        <v>379</v>
      </c>
      <c r="M419" s="9" t="s">
        <v>541</v>
      </c>
      <c r="N419" s="9" t="s">
        <v>377</v>
      </c>
      <c r="O419" s="9" t="s">
        <v>497</v>
      </c>
      <c r="P419" s="9" t="s">
        <v>1760</v>
      </c>
      <c r="Q419" s="9" t="s">
        <v>382</v>
      </c>
      <c r="R419" s="9" t="s">
        <v>949</v>
      </c>
      <c r="S419" s="9" t="s">
        <v>384</v>
      </c>
      <c r="T419" s="9" t="s">
        <v>385</v>
      </c>
      <c r="U419" s="9" t="s">
        <v>896</v>
      </c>
      <c r="V419" s="9" t="s">
        <v>896</v>
      </c>
      <c r="W419" s="9" t="s">
        <v>386</v>
      </c>
      <c r="X419" s="9" t="s">
        <v>387</v>
      </c>
      <c r="Y419" s="9" t="s">
        <v>388</v>
      </c>
      <c r="Z419" s="9" t="s">
        <v>502</v>
      </c>
      <c r="AA419" s="9" t="s">
        <v>8274</v>
      </c>
      <c r="AB419" s="9" t="s">
        <v>8275</v>
      </c>
      <c r="AV419" s="9" t="s">
        <v>1310</v>
      </c>
      <c r="AW419" s="9">
        <v>4.0</v>
      </c>
      <c r="AX419" s="9">
        <v>4.0</v>
      </c>
      <c r="AY419" s="9">
        <v>4.0</v>
      </c>
      <c r="AZ419" s="9">
        <v>4.0</v>
      </c>
      <c r="BA419" s="9" t="s">
        <v>675</v>
      </c>
      <c r="BB419" s="9" t="s">
        <v>391</v>
      </c>
      <c r="BC419" s="9" t="s">
        <v>8276</v>
      </c>
      <c r="BD419" s="9" t="s">
        <v>8277</v>
      </c>
      <c r="BE419" s="9" t="s">
        <v>902</v>
      </c>
      <c r="BF419" s="9" t="s">
        <v>1095</v>
      </c>
      <c r="BG419" s="9" t="s">
        <v>434</v>
      </c>
      <c r="BH419" s="9" t="s">
        <v>8278</v>
      </c>
      <c r="BI419" s="9" t="s">
        <v>976</v>
      </c>
      <c r="BJ419" s="9" t="s">
        <v>8279</v>
      </c>
      <c r="BK419" s="9" t="s">
        <v>395</v>
      </c>
      <c r="BL419" s="9" t="s">
        <v>603</v>
      </c>
      <c r="BM419" s="9" t="s">
        <v>1247</v>
      </c>
      <c r="BN419" s="9" t="s">
        <v>398</v>
      </c>
      <c r="BO419" s="9" t="s">
        <v>8280</v>
      </c>
      <c r="BP419" s="9" t="s">
        <v>8281</v>
      </c>
      <c r="BQ419" s="9" t="s">
        <v>604</v>
      </c>
      <c r="BR419" s="9" t="s">
        <v>2203</v>
      </c>
      <c r="BS419" s="9" t="s">
        <v>403</v>
      </c>
      <c r="BT419" s="9" t="s">
        <v>4368</v>
      </c>
      <c r="BU419" s="9" t="s">
        <v>405</v>
      </c>
      <c r="BV419" s="9" t="s">
        <v>8282</v>
      </c>
      <c r="BW419" s="9" t="s">
        <v>988</v>
      </c>
      <c r="BY419" s="9" t="s">
        <v>455</v>
      </c>
      <c r="BZ419" s="9" t="s">
        <v>8283</v>
      </c>
      <c r="CA419" s="9" t="s">
        <v>8284</v>
      </c>
      <c r="CB419" s="9" t="s">
        <v>8285</v>
      </c>
      <c r="CC419" s="9" t="s">
        <v>8286</v>
      </c>
      <c r="CD419" s="9" t="s">
        <v>409</v>
      </c>
      <c r="CE419" s="9" t="s">
        <v>8287</v>
      </c>
      <c r="CF419" s="9" t="s">
        <v>2233</v>
      </c>
      <c r="CH419" s="9" t="s">
        <v>1698</v>
      </c>
      <c r="CI419" s="9" t="s">
        <v>410</v>
      </c>
      <c r="CJ419" s="9" t="s">
        <v>8288</v>
      </c>
      <c r="CK419" s="9" t="s">
        <v>8289</v>
      </c>
      <c r="DI419" s="9" t="s">
        <v>459</v>
      </c>
      <c r="DJ419" s="9" t="s">
        <v>613</v>
      </c>
      <c r="ET419" s="9" t="s">
        <v>578</v>
      </c>
      <c r="EU419" s="9" t="s">
        <v>479</v>
      </c>
      <c r="EV419" s="9" t="s">
        <v>663</v>
      </c>
      <c r="EW419" s="9" t="s">
        <v>8290</v>
      </c>
      <c r="EX419" s="9" t="s">
        <v>8291</v>
      </c>
      <c r="EY419" s="9" t="s">
        <v>8292</v>
      </c>
      <c r="EZ419" s="9" t="s">
        <v>415</v>
      </c>
      <c r="FA419" s="9" t="s">
        <v>415</v>
      </c>
      <c r="FB419" s="9" t="s">
        <v>413</v>
      </c>
      <c r="FC419" s="9" t="s">
        <v>415</v>
      </c>
      <c r="FD419" s="9" t="s">
        <v>413</v>
      </c>
      <c r="FE419" s="9" t="s">
        <v>414</v>
      </c>
      <c r="FF419" s="9" t="s">
        <v>414</v>
      </c>
      <c r="FG419" s="9" t="s">
        <v>415</v>
      </c>
      <c r="FH419" s="9" t="s">
        <v>414</v>
      </c>
      <c r="FI419" s="9" t="s">
        <v>414</v>
      </c>
      <c r="FJ419" s="9" t="s">
        <v>416</v>
      </c>
      <c r="FK419" s="9" t="s">
        <v>415</v>
      </c>
      <c r="FL419" s="9" t="s">
        <v>415</v>
      </c>
      <c r="FM419" s="9" t="s">
        <v>415</v>
      </c>
      <c r="FN419" s="9" t="s">
        <v>414</v>
      </c>
      <c r="FO419" s="9" t="s">
        <v>3396</v>
      </c>
      <c r="FP419" s="9" t="s">
        <v>2524</v>
      </c>
      <c r="FQ419" s="9" t="s">
        <v>531</v>
      </c>
      <c r="FR419" s="9" t="s">
        <v>8293</v>
      </c>
      <c r="FS419" s="9" t="s">
        <v>420</v>
      </c>
      <c r="FT419" s="9" t="s">
        <v>488</v>
      </c>
      <c r="FU419" s="9" t="s">
        <v>489</v>
      </c>
      <c r="FV419" s="9" t="s">
        <v>490</v>
      </c>
      <c r="FW419" s="9" t="s">
        <v>491</v>
      </c>
      <c r="FX419" s="9" t="s">
        <v>8294</v>
      </c>
      <c r="FY419" s="9" t="s">
        <v>493</v>
      </c>
      <c r="FZ419" s="9" t="s">
        <v>8295</v>
      </c>
      <c r="GA419" s="9" t="s">
        <v>8296</v>
      </c>
      <c r="GB419" s="9" t="s">
        <v>455</v>
      </c>
      <c r="GC419" s="9"/>
      <c r="GE419" s="9" t="s">
        <v>753</v>
      </c>
      <c r="GF419" s="9" t="s">
        <v>8297</v>
      </c>
      <c r="GJ419" s="9" t="s">
        <v>920</v>
      </c>
      <c r="GK419" s="9" t="s">
        <v>920</v>
      </c>
      <c r="GL419" s="9" t="s">
        <v>817</v>
      </c>
      <c r="GQ419" s="9" t="s">
        <v>3208</v>
      </c>
      <c r="GR419" s="9" t="s">
        <v>4840</v>
      </c>
      <c r="GS419" s="9" t="s">
        <v>8298</v>
      </c>
      <c r="GV419" s="9" t="s">
        <v>5231</v>
      </c>
      <c r="GW419" s="9" t="s">
        <v>484</v>
      </c>
      <c r="GX419" s="9" t="s">
        <v>5262</v>
      </c>
      <c r="GY419" s="9" t="s">
        <v>8299</v>
      </c>
      <c r="GZ419" s="9" t="s">
        <v>8300</v>
      </c>
      <c r="HA419" s="9" t="s">
        <v>484</v>
      </c>
      <c r="HB419" s="9" t="s">
        <v>5370</v>
      </c>
      <c r="HO419" s="9" t="s">
        <v>5236</v>
      </c>
      <c r="HP419" s="9" t="s">
        <v>5237</v>
      </c>
      <c r="HQ419" s="9" t="s">
        <v>5238</v>
      </c>
      <c r="HR419" s="9" t="s">
        <v>5321</v>
      </c>
      <c r="MJ419" s="9" t="s">
        <v>6321</v>
      </c>
    </row>
    <row r="420" ht="22.5" customHeight="1">
      <c r="A420" s="8">
        <v>46041.44147427083</v>
      </c>
      <c r="B420" s="9" t="s">
        <v>368</v>
      </c>
      <c r="C420" s="9" t="s">
        <v>2025</v>
      </c>
      <c r="D420" s="9" t="s">
        <v>1201</v>
      </c>
      <c r="G420" s="9" t="s">
        <v>8301</v>
      </c>
      <c r="H420" s="9" t="s">
        <v>1203</v>
      </c>
      <c r="I420" s="9" t="s">
        <v>638</v>
      </c>
      <c r="J420" s="9" t="s">
        <v>1204</v>
      </c>
      <c r="K420" s="9" t="s">
        <v>376</v>
      </c>
      <c r="L420" s="9" t="s">
        <v>793</v>
      </c>
      <c r="M420" s="9" t="s">
        <v>719</v>
      </c>
      <c r="N420" s="9" t="s">
        <v>793</v>
      </c>
      <c r="O420" s="9" t="s">
        <v>719</v>
      </c>
      <c r="P420" s="9" t="s">
        <v>498</v>
      </c>
      <c r="Q420" s="9" t="s">
        <v>1004</v>
      </c>
      <c r="R420" s="9" t="s">
        <v>427</v>
      </c>
      <c r="S420" s="9" t="s">
        <v>384</v>
      </c>
      <c r="T420" s="9" t="s">
        <v>385</v>
      </c>
      <c r="W420" s="9" t="s">
        <v>386</v>
      </c>
      <c r="X420" s="9" t="s">
        <v>5993</v>
      </c>
      <c r="AV420" s="9" t="s">
        <v>390</v>
      </c>
      <c r="AY420" s="9" t="s">
        <v>429</v>
      </c>
      <c r="AZ420" s="9" t="s">
        <v>429</v>
      </c>
      <c r="BA420" s="9" t="s">
        <v>429</v>
      </c>
      <c r="BC420" s="9" t="s">
        <v>8302</v>
      </c>
      <c r="BD420" s="9" t="s">
        <v>8303</v>
      </c>
      <c r="BE420" s="9" t="s">
        <v>1094</v>
      </c>
      <c r="BF420" s="9" t="s">
        <v>433</v>
      </c>
      <c r="BG420" s="9" t="s">
        <v>507</v>
      </c>
      <c r="BI420" s="9" t="s">
        <v>824</v>
      </c>
      <c r="BK420" s="9" t="s">
        <v>511</v>
      </c>
      <c r="BL420" s="9" t="s">
        <v>396</v>
      </c>
      <c r="BM420" s="9" t="s">
        <v>549</v>
      </c>
      <c r="BN420" s="9" t="s">
        <v>440</v>
      </c>
      <c r="CL420" s="9" t="s">
        <v>441</v>
      </c>
      <c r="CM420" s="9" t="s">
        <v>401</v>
      </c>
      <c r="CN420" s="9" t="s">
        <v>8304</v>
      </c>
      <c r="CO420" s="9" t="s">
        <v>8305</v>
      </c>
      <c r="CP420" s="9" t="s">
        <v>685</v>
      </c>
      <c r="CQ420" s="9" t="s">
        <v>8306</v>
      </c>
      <c r="CR420" s="9" t="s">
        <v>828</v>
      </c>
      <c r="CS420" s="9" t="s">
        <v>8307</v>
      </c>
      <c r="CT420" s="9" t="s">
        <v>8308</v>
      </c>
      <c r="CU420" s="9" t="s">
        <v>450</v>
      </c>
      <c r="CV420" s="9" t="s">
        <v>451</v>
      </c>
      <c r="CW420" s="9" t="s">
        <v>1348</v>
      </c>
      <c r="CX420" s="9" t="s">
        <v>408</v>
      </c>
      <c r="CZ420" s="9" t="s">
        <v>453</v>
      </c>
      <c r="DA420" s="9" t="s">
        <v>8309</v>
      </c>
      <c r="DB420" s="9" t="s">
        <v>455</v>
      </c>
      <c r="DC420" s="9" t="s">
        <v>8310</v>
      </c>
      <c r="DD420" s="9" t="s">
        <v>988</v>
      </c>
      <c r="DE420" s="9" t="s">
        <v>407</v>
      </c>
      <c r="DF420" s="9" t="s">
        <v>8311</v>
      </c>
      <c r="DG420" s="9" t="s">
        <v>561</v>
      </c>
      <c r="DH420" s="9" t="s">
        <v>410</v>
      </c>
      <c r="DI420" s="9" t="s">
        <v>963</v>
      </c>
      <c r="DJ420" s="9" t="s">
        <v>613</v>
      </c>
      <c r="DM420" s="9" t="s">
        <v>8312</v>
      </c>
      <c r="DN420" s="9" t="s">
        <v>8313</v>
      </c>
      <c r="DO420" s="9" t="s">
        <v>464</v>
      </c>
      <c r="DP420" s="9" t="s">
        <v>8314</v>
      </c>
      <c r="DQ420" s="9" t="s">
        <v>1176</v>
      </c>
      <c r="DR420" s="9" t="s">
        <v>8315</v>
      </c>
      <c r="DS420" s="9" t="s">
        <v>702</v>
      </c>
      <c r="DT420" s="9" t="s">
        <v>3611</v>
      </c>
      <c r="DU420" s="9" t="s">
        <v>2675</v>
      </c>
      <c r="DV420" s="9" t="s">
        <v>2675</v>
      </c>
      <c r="DW420" s="9" t="s">
        <v>573</v>
      </c>
      <c r="DX420" s="9" t="s">
        <v>8316</v>
      </c>
      <c r="DY420" s="9" t="s">
        <v>8317</v>
      </c>
      <c r="DZ420" s="9" t="s">
        <v>8318</v>
      </c>
      <c r="EA420" s="9" t="s">
        <v>475</v>
      </c>
      <c r="EB420" s="9" t="s">
        <v>845</v>
      </c>
      <c r="EC420" s="9" t="s">
        <v>8319</v>
      </c>
      <c r="ET420" s="9" t="s">
        <v>526</v>
      </c>
      <c r="EU420" s="9" t="s">
        <v>579</v>
      </c>
      <c r="EV420" s="9" t="s">
        <v>778</v>
      </c>
      <c r="EW420" s="9" t="s">
        <v>8320</v>
      </c>
      <c r="EX420" s="9" t="s">
        <v>8321</v>
      </c>
      <c r="EY420" s="9" t="s">
        <v>8322</v>
      </c>
      <c r="EZ420" s="9" t="s">
        <v>413</v>
      </c>
      <c r="FA420" s="9" t="s">
        <v>416</v>
      </c>
      <c r="FB420" s="9" t="s">
        <v>413</v>
      </c>
      <c r="FC420" s="9" t="s">
        <v>416</v>
      </c>
      <c r="FD420" s="9" t="s">
        <v>413</v>
      </c>
      <c r="FE420" s="9" t="s">
        <v>413</v>
      </c>
      <c r="FF420" s="9" t="s">
        <v>413</v>
      </c>
      <c r="FG420" s="9" t="s">
        <v>414</v>
      </c>
      <c r="FH420" s="9" t="s">
        <v>413</v>
      </c>
      <c r="FI420" s="9" t="s">
        <v>413</v>
      </c>
      <c r="FJ420" s="9" t="s">
        <v>413</v>
      </c>
      <c r="FK420" s="9" t="s">
        <v>484</v>
      </c>
      <c r="FL420" s="9" t="s">
        <v>484</v>
      </c>
      <c r="FM420" s="9" t="s">
        <v>414</v>
      </c>
      <c r="FN420" s="9" t="s">
        <v>416</v>
      </c>
      <c r="FO420" s="9" t="s">
        <v>485</v>
      </c>
      <c r="FP420" s="9" t="s">
        <v>418</v>
      </c>
      <c r="FQ420" s="9" t="s">
        <v>531</v>
      </c>
      <c r="FS420" s="9" t="s">
        <v>420</v>
      </c>
      <c r="FT420" s="9" t="s">
        <v>488</v>
      </c>
      <c r="FU420" s="9" t="s">
        <v>1235</v>
      </c>
      <c r="FV420" s="9" t="s">
        <v>490</v>
      </c>
      <c r="FW420" s="9" t="s">
        <v>491</v>
      </c>
      <c r="FX420" s="9" t="s">
        <v>8323</v>
      </c>
      <c r="FY420" s="9" t="s">
        <v>535</v>
      </c>
      <c r="FZ420" s="9" t="s">
        <v>8324</v>
      </c>
      <c r="GA420" s="9" t="s">
        <v>8325</v>
      </c>
      <c r="GB420" s="9" t="s">
        <v>408</v>
      </c>
      <c r="GG420" s="9" t="s">
        <v>789</v>
      </c>
      <c r="GH420" s="9" t="s">
        <v>789</v>
      </c>
      <c r="GI420" s="9" t="s">
        <v>790</v>
      </c>
      <c r="GM420" s="9" t="s">
        <v>1079</v>
      </c>
      <c r="GN420" s="9" t="s">
        <v>8326</v>
      </c>
      <c r="GO420" s="9" t="s">
        <v>8327</v>
      </c>
      <c r="GQ420" s="9" t="s">
        <v>3208</v>
      </c>
      <c r="GT420" s="9" t="s">
        <v>5081</v>
      </c>
      <c r="GU420" s="9" t="s">
        <v>8328</v>
      </c>
      <c r="GV420" s="9" t="s">
        <v>5231</v>
      </c>
      <c r="GW420" s="9" t="s">
        <v>8329</v>
      </c>
      <c r="HC420" s="9" t="s">
        <v>5281</v>
      </c>
      <c r="HD420" s="9" t="s">
        <v>5298</v>
      </c>
      <c r="HE420" s="9" t="s">
        <v>5320</v>
      </c>
      <c r="HF420" s="9" t="s">
        <v>5300</v>
      </c>
      <c r="HG420" s="9" t="s">
        <v>8330</v>
      </c>
      <c r="HH420" s="9" t="s">
        <v>6631</v>
      </c>
      <c r="HI420" s="9" t="s">
        <v>8331</v>
      </c>
      <c r="HJ420" s="9" t="s">
        <v>8332</v>
      </c>
      <c r="HO420" s="9" t="s">
        <v>5301</v>
      </c>
      <c r="HP420" s="9" t="s">
        <v>5719</v>
      </c>
      <c r="HQ420" s="9" t="s">
        <v>5238</v>
      </c>
      <c r="HR420" s="9" t="s">
        <v>5347</v>
      </c>
      <c r="IN420" s="9" t="s">
        <v>5537</v>
      </c>
      <c r="IO420" s="9" t="s">
        <v>5537</v>
      </c>
      <c r="IP420" s="9" t="s">
        <v>5537</v>
      </c>
      <c r="IQ420" s="9" t="s">
        <v>5536</v>
      </c>
      <c r="IR420" s="9" t="s">
        <v>5536</v>
      </c>
      <c r="IS420" s="9" t="s">
        <v>5537</v>
      </c>
      <c r="MJ420" s="9" t="s">
        <v>6321</v>
      </c>
    </row>
    <row r="421" ht="22.5" customHeight="1">
      <c r="A421" s="8">
        <v>46053.61221619213</v>
      </c>
      <c r="B421" s="9" t="s">
        <v>368</v>
      </c>
      <c r="C421" s="9" t="s">
        <v>370</v>
      </c>
      <c r="D421" s="9" t="s">
        <v>370</v>
      </c>
      <c r="E421" s="9" t="s">
        <v>371</v>
      </c>
      <c r="F421" s="9" t="s">
        <v>371</v>
      </c>
      <c r="G421" s="9" t="s">
        <v>372</v>
      </c>
      <c r="H421" s="9" t="s">
        <v>539</v>
      </c>
      <c r="I421" s="9" t="s">
        <v>424</v>
      </c>
      <c r="J421" s="9" t="s">
        <v>425</v>
      </c>
      <c r="K421" s="9" t="s">
        <v>376</v>
      </c>
      <c r="L421" s="9" t="s">
        <v>591</v>
      </c>
      <c r="M421" s="9" t="s">
        <v>2482</v>
      </c>
      <c r="N421" s="9" t="s">
        <v>793</v>
      </c>
      <c r="O421" s="9" t="s">
        <v>1270</v>
      </c>
      <c r="P421" s="9" t="s">
        <v>498</v>
      </c>
      <c r="Q421" s="9" t="s">
        <v>818</v>
      </c>
      <c r="R421" s="9" t="s">
        <v>500</v>
      </c>
      <c r="S421" s="9" t="s">
        <v>384</v>
      </c>
      <c r="T421" s="9" t="s">
        <v>385</v>
      </c>
      <c r="W421" s="9" t="s">
        <v>593</v>
      </c>
      <c r="X421" s="9" t="s">
        <v>387</v>
      </c>
      <c r="Z421" s="9" t="s">
        <v>543</v>
      </c>
      <c r="AA421" s="9" t="s">
        <v>8333</v>
      </c>
      <c r="AB421" s="9" t="s">
        <v>8334</v>
      </c>
      <c r="AV421" s="9" t="s">
        <v>1310</v>
      </c>
      <c r="AW421" s="9" t="s">
        <v>675</v>
      </c>
      <c r="AX421" s="9" t="s">
        <v>675</v>
      </c>
      <c r="AY421" s="9">
        <v>4.0</v>
      </c>
      <c r="AZ421" s="9">
        <v>4.0</v>
      </c>
      <c r="BA421" s="9" t="s">
        <v>429</v>
      </c>
      <c r="BB421" s="9">
        <v>4.0</v>
      </c>
      <c r="BC421" s="9" t="s">
        <v>8335</v>
      </c>
      <c r="BD421" s="9" t="s">
        <v>8336</v>
      </c>
      <c r="BE421" s="9" t="s">
        <v>902</v>
      </c>
      <c r="BF421" s="9" t="s">
        <v>1095</v>
      </c>
      <c r="BG421" s="9" t="s">
        <v>725</v>
      </c>
      <c r="BH421" s="9" t="s">
        <v>8337</v>
      </c>
      <c r="BI421" s="9" t="s">
        <v>976</v>
      </c>
      <c r="BK421" s="9" t="s">
        <v>395</v>
      </c>
      <c r="BL421" s="9" t="s">
        <v>603</v>
      </c>
      <c r="BM421" s="9" t="s">
        <v>1247</v>
      </c>
      <c r="BN421" s="9" t="s">
        <v>513</v>
      </c>
      <c r="CL421" s="9" t="s">
        <v>441</v>
      </c>
      <c r="CM421" s="9" t="s">
        <v>682</v>
      </c>
      <c r="CN421" s="9" t="s">
        <v>8338</v>
      </c>
      <c r="CO421" s="9" t="s">
        <v>8339</v>
      </c>
      <c r="CP421" s="9" t="s">
        <v>1008</v>
      </c>
      <c r="CQ421" s="9" t="s">
        <v>4388</v>
      </c>
      <c r="CR421" s="9" t="s">
        <v>555</v>
      </c>
      <c r="CS421" s="9" t="s">
        <v>2801</v>
      </c>
      <c r="CT421" s="9" t="s">
        <v>8340</v>
      </c>
      <c r="CU421" s="9" t="s">
        <v>982</v>
      </c>
      <c r="CV421" s="9" t="s">
        <v>451</v>
      </c>
      <c r="CW421" s="9" t="s">
        <v>8341</v>
      </c>
      <c r="CX421" s="9" t="s">
        <v>408</v>
      </c>
      <c r="CZ421" s="9" t="s">
        <v>1398</v>
      </c>
      <c r="DA421" s="9" t="s">
        <v>8342</v>
      </c>
      <c r="DB421" s="9" t="s">
        <v>408</v>
      </c>
      <c r="DD421" s="9" t="s">
        <v>988</v>
      </c>
      <c r="DF421" s="9" t="s">
        <v>8343</v>
      </c>
      <c r="DG421" s="9" t="s">
        <v>524</v>
      </c>
      <c r="DH421" s="9" t="s">
        <v>833</v>
      </c>
      <c r="DI421" s="9" t="s">
        <v>459</v>
      </c>
      <c r="DJ421" s="9" t="s">
        <v>460</v>
      </c>
      <c r="DK421" s="9" t="s">
        <v>6335</v>
      </c>
      <c r="ET421" s="9" t="s">
        <v>526</v>
      </c>
      <c r="EU421" s="9" t="s">
        <v>887</v>
      </c>
      <c r="EV421" s="9" t="s">
        <v>480</v>
      </c>
      <c r="EW421" s="9" t="s">
        <v>8344</v>
      </c>
      <c r="EX421" s="9" t="s">
        <v>8345</v>
      </c>
      <c r="EY421" s="9" t="s">
        <v>8346</v>
      </c>
      <c r="EZ421" s="9" t="s">
        <v>414</v>
      </c>
      <c r="FA421" s="9" t="s">
        <v>414</v>
      </c>
      <c r="FB421" s="9" t="s">
        <v>416</v>
      </c>
      <c r="FC421" s="9" t="s">
        <v>415</v>
      </c>
      <c r="FD421" s="9" t="s">
        <v>413</v>
      </c>
      <c r="FE421" s="9" t="s">
        <v>583</v>
      </c>
      <c r="FF421" s="9" t="s">
        <v>415</v>
      </c>
      <c r="FG421" s="9" t="s">
        <v>415</v>
      </c>
      <c r="FH421" s="9" t="s">
        <v>413</v>
      </c>
      <c r="FI421" s="9" t="s">
        <v>416</v>
      </c>
      <c r="FJ421" s="9" t="s">
        <v>583</v>
      </c>
      <c r="FK421" s="9" t="s">
        <v>413</v>
      </c>
      <c r="FL421" s="9" t="s">
        <v>484</v>
      </c>
      <c r="FM421" s="9" t="s">
        <v>583</v>
      </c>
      <c r="FN421" s="9" t="s">
        <v>484</v>
      </c>
      <c r="FO421" s="9" t="s">
        <v>1074</v>
      </c>
      <c r="FP421" s="9" t="s">
        <v>2524</v>
      </c>
      <c r="FQ421" s="9" t="s">
        <v>531</v>
      </c>
      <c r="FR421" s="9" t="s">
        <v>8347</v>
      </c>
      <c r="FS421" s="9" t="s">
        <v>1189</v>
      </c>
      <c r="FT421" s="9" t="s">
        <v>488</v>
      </c>
      <c r="FU421" s="9" t="s">
        <v>918</v>
      </c>
      <c r="FV421" s="9" t="s">
        <v>490</v>
      </c>
      <c r="FW421" s="9" t="s">
        <v>491</v>
      </c>
      <c r="FX421" s="9" t="s">
        <v>8348</v>
      </c>
      <c r="FY421" s="9" t="s">
        <v>535</v>
      </c>
      <c r="FZ421" s="9" t="s">
        <v>8349</v>
      </c>
      <c r="GA421" s="9" t="s">
        <v>8350</v>
      </c>
      <c r="GB421" s="9" t="s">
        <v>455</v>
      </c>
      <c r="GC421" s="9"/>
      <c r="GD421" s="9"/>
      <c r="GE421" s="9" t="s">
        <v>1339</v>
      </c>
      <c r="GF421" s="9" t="s">
        <v>8351</v>
      </c>
      <c r="GG421" s="9" t="s">
        <v>1000</v>
      </c>
      <c r="GH421" s="9" t="s">
        <v>1000</v>
      </c>
      <c r="GI421" s="9" t="s">
        <v>946</v>
      </c>
      <c r="GQ421" s="9" t="s">
        <v>3208</v>
      </c>
      <c r="GT421" s="9" t="s">
        <v>4774</v>
      </c>
      <c r="GV421" s="9" t="s">
        <v>5231</v>
      </c>
      <c r="GW421" s="9" t="s">
        <v>5232</v>
      </c>
      <c r="HC421" s="9" t="s">
        <v>6053</v>
      </c>
      <c r="HD421" s="9" t="s">
        <v>5349</v>
      </c>
      <c r="HE421" s="9" t="s">
        <v>5492</v>
      </c>
      <c r="HF421" s="9" t="s">
        <v>5899</v>
      </c>
      <c r="HO421" s="9" t="s">
        <v>5236</v>
      </c>
      <c r="HP421" s="9" t="s">
        <v>5264</v>
      </c>
      <c r="HQ421" s="9" t="s">
        <v>5238</v>
      </c>
      <c r="HR421" s="9" t="s">
        <v>5321</v>
      </c>
      <c r="HW421" s="9" t="s">
        <v>5628</v>
      </c>
      <c r="MJ421" s="9" t="s">
        <v>6321</v>
      </c>
    </row>
    <row r="422" ht="22.5" customHeight="1">
      <c r="A422" s="8">
        <v>46053.776607708336</v>
      </c>
      <c r="B422" s="9" t="s">
        <v>368</v>
      </c>
      <c r="C422" s="9" t="s">
        <v>370</v>
      </c>
      <c r="D422" s="9" t="s">
        <v>370</v>
      </c>
      <c r="E422" s="9" t="s">
        <v>2114</v>
      </c>
      <c r="F422" s="9" t="s">
        <v>1421</v>
      </c>
      <c r="G422" s="9" t="s">
        <v>422</v>
      </c>
      <c r="H422" s="9" t="s">
        <v>373</v>
      </c>
      <c r="I422" s="9" t="s">
        <v>638</v>
      </c>
      <c r="J422" s="9" t="s">
        <v>425</v>
      </c>
      <c r="K422" s="9" t="s">
        <v>376</v>
      </c>
      <c r="L422" s="9" t="s">
        <v>426</v>
      </c>
      <c r="M422" s="9" t="s">
        <v>639</v>
      </c>
      <c r="N422" s="9" t="s">
        <v>591</v>
      </c>
      <c r="O422" s="9" t="s">
        <v>639</v>
      </c>
      <c r="P422" s="9" t="s">
        <v>498</v>
      </c>
      <c r="Q422" s="9" t="s">
        <v>862</v>
      </c>
      <c r="R422" s="9" t="s">
        <v>949</v>
      </c>
      <c r="S422" s="9" t="s">
        <v>384</v>
      </c>
      <c r="T422" s="9" t="s">
        <v>385</v>
      </c>
      <c r="W422" s="9" t="s">
        <v>3014</v>
      </c>
      <c r="AV422" s="9" t="s">
        <v>1310</v>
      </c>
      <c r="AW422" s="9" t="s">
        <v>675</v>
      </c>
      <c r="AX422" s="9">
        <v>4.0</v>
      </c>
      <c r="AY422" s="9" t="s">
        <v>675</v>
      </c>
      <c r="AZ422" s="9">
        <v>4.0</v>
      </c>
      <c r="BA422" s="9" t="s">
        <v>391</v>
      </c>
      <c r="BB422" s="9" t="s">
        <v>391</v>
      </c>
      <c r="BE422" s="9" t="s">
        <v>432</v>
      </c>
      <c r="BF422" s="9" t="s">
        <v>1095</v>
      </c>
      <c r="BG422" s="9" t="s">
        <v>394</v>
      </c>
      <c r="BI422" s="9" t="s">
        <v>435</v>
      </c>
      <c r="BJ422" s="9" t="s">
        <v>8352</v>
      </c>
      <c r="BK422" s="9" t="s">
        <v>681</v>
      </c>
      <c r="BL422" s="9" t="s">
        <v>603</v>
      </c>
      <c r="BM422" s="9" t="s">
        <v>1247</v>
      </c>
      <c r="BN422" s="9" t="s">
        <v>513</v>
      </c>
      <c r="CL422" s="9" t="s">
        <v>441</v>
      </c>
      <c r="CM422" s="9" t="s">
        <v>604</v>
      </c>
      <c r="CN422" s="9" t="s">
        <v>8353</v>
      </c>
      <c r="CO422" s="9" t="s">
        <v>8354</v>
      </c>
      <c r="CP422" s="9" t="s">
        <v>979</v>
      </c>
      <c r="CQ422" s="9" t="s">
        <v>8355</v>
      </c>
      <c r="CR422" s="9" t="s">
        <v>404</v>
      </c>
      <c r="CS422" s="9" t="s">
        <v>8356</v>
      </c>
      <c r="CT422" s="9" t="s">
        <v>8357</v>
      </c>
      <c r="CU422" s="9" t="s">
        <v>1863</v>
      </c>
      <c r="CV422" s="9" t="s">
        <v>409</v>
      </c>
      <c r="CW422" s="9" t="s">
        <v>8358</v>
      </c>
      <c r="CX422" s="9" t="s">
        <v>408</v>
      </c>
      <c r="CZ422" s="9" t="s">
        <v>1962</v>
      </c>
      <c r="DB422" s="9" t="s">
        <v>408</v>
      </c>
      <c r="DD422" s="9" t="s">
        <v>988</v>
      </c>
      <c r="DE422" s="9" t="s">
        <v>1058</v>
      </c>
      <c r="DF422" s="9" t="s">
        <v>8359</v>
      </c>
      <c r="DG422" s="9" t="s">
        <v>990</v>
      </c>
      <c r="DH422" s="9" t="s">
        <v>1964</v>
      </c>
      <c r="DI422" s="9" t="s">
        <v>459</v>
      </c>
      <c r="DJ422" s="9" t="s">
        <v>460</v>
      </c>
      <c r="DK422" s="9" t="s">
        <v>6335</v>
      </c>
      <c r="ET422" s="9" t="s">
        <v>478</v>
      </c>
      <c r="EU422" s="9" t="s">
        <v>887</v>
      </c>
      <c r="EV422" s="9" t="s">
        <v>580</v>
      </c>
      <c r="EZ422" s="9" t="s">
        <v>414</v>
      </c>
      <c r="FA422" s="9" t="s">
        <v>414</v>
      </c>
      <c r="FB422" s="9" t="s">
        <v>416</v>
      </c>
      <c r="FC422" s="9" t="s">
        <v>414</v>
      </c>
      <c r="FH422" s="9" t="s">
        <v>414</v>
      </c>
      <c r="FJ422" s="9" t="s">
        <v>414</v>
      </c>
      <c r="FO422" s="9" t="s">
        <v>3396</v>
      </c>
      <c r="FP422" s="9" t="s">
        <v>2651</v>
      </c>
      <c r="FS422" s="9" t="s">
        <v>1076</v>
      </c>
      <c r="FT422" s="9" t="s">
        <v>1476</v>
      </c>
      <c r="FU422" s="9" t="s">
        <v>489</v>
      </c>
      <c r="FV422" s="9" t="s">
        <v>2387</v>
      </c>
      <c r="FW422" s="9" t="s">
        <v>1853</v>
      </c>
      <c r="FY422" s="9" t="s">
        <v>1854</v>
      </c>
      <c r="FZ422" s="9" t="s">
        <v>8360</v>
      </c>
      <c r="GB422" s="9" t="s">
        <v>408</v>
      </c>
      <c r="GG422" s="9" t="s">
        <v>857</v>
      </c>
      <c r="GH422" s="9" t="s">
        <v>857</v>
      </c>
      <c r="GI422" s="9" t="s">
        <v>858</v>
      </c>
      <c r="GQ422" s="9" t="s">
        <v>3273</v>
      </c>
      <c r="GT422" s="9" t="s">
        <v>4774</v>
      </c>
      <c r="GV422" s="9" t="s">
        <v>5231</v>
      </c>
      <c r="GW422" s="9" t="s">
        <v>5232</v>
      </c>
      <c r="HC422" s="9" t="s">
        <v>5297</v>
      </c>
      <c r="HD422" s="9" t="s">
        <v>5349</v>
      </c>
      <c r="HE422" s="9" t="s">
        <v>5320</v>
      </c>
      <c r="HF422" s="9" t="s">
        <v>5284</v>
      </c>
      <c r="HO422" s="9" t="s">
        <v>5236</v>
      </c>
      <c r="HP422" s="9" t="s">
        <v>5264</v>
      </c>
      <c r="HQ422" s="9" t="s">
        <v>5286</v>
      </c>
      <c r="HR422" s="9" t="s">
        <v>913</v>
      </c>
      <c r="HW422" s="9" t="s">
        <v>5501</v>
      </c>
      <c r="MJ422" s="9" t="s">
        <v>6321</v>
      </c>
    </row>
    <row r="423" ht="22.5" customHeight="1">
      <c r="A423" s="8">
        <v>46055.72980008102</v>
      </c>
      <c r="B423" s="9" t="s">
        <v>368</v>
      </c>
      <c r="C423" s="9" t="s">
        <v>370</v>
      </c>
      <c r="D423" s="9" t="s">
        <v>370</v>
      </c>
      <c r="E423" s="9" t="s">
        <v>371</v>
      </c>
      <c r="F423" s="9" t="s">
        <v>2114</v>
      </c>
      <c r="G423" s="9" t="s">
        <v>422</v>
      </c>
      <c r="H423" s="9" t="s">
        <v>423</v>
      </c>
      <c r="I423" s="9" t="s">
        <v>668</v>
      </c>
      <c r="J423" s="9" t="s">
        <v>375</v>
      </c>
      <c r="K423" s="9" t="s">
        <v>376</v>
      </c>
      <c r="L423" s="9" t="s">
        <v>379</v>
      </c>
      <c r="M423" s="9" t="s">
        <v>378</v>
      </c>
      <c r="N423" s="9" t="s">
        <v>377</v>
      </c>
      <c r="O423" s="9" t="s">
        <v>1442</v>
      </c>
      <c r="P423" s="9" t="s">
        <v>381</v>
      </c>
      <c r="Q423" s="9" t="s">
        <v>818</v>
      </c>
      <c r="R423" s="9" t="s">
        <v>427</v>
      </c>
      <c r="S423" s="9" t="s">
        <v>384</v>
      </c>
      <c r="T423" s="9" t="s">
        <v>385</v>
      </c>
      <c r="W423" s="9" t="s">
        <v>593</v>
      </c>
      <c r="X423" s="9" t="s">
        <v>387</v>
      </c>
      <c r="Y423" s="9" t="s">
        <v>8361</v>
      </c>
      <c r="Z423" s="9" t="s">
        <v>543</v>
      </c>
      <c r="AA423" s="9" t="s">
        <v>8362</v>
      </c>
      <c r="AB423" s="9" t="s">
        <v>8363</v>
      </c>
      <c r="AV423" s="9" t="s">
        <v>390</v>
      </c>
      <c r="AW423" s="9">
        <v>2.0</v>
      </c>
      <c r="AX423" s="9" t="s">
        <v>429</v>
      </c>
      <c r="AY423" s="9" t="s">
        <v>429</v>
      </c>
      <c r="AZ423" s="9" t="s">
        <v>429</v>
      </c>
      <c r="BA423" s="9" t="s">
        <v>429</v>
      </c>
      <c r="BB423" s="9" t="s">
        <v>429</v>
      </c>
      <c r="BC423" s="9" t="s">
        <v>8364</v>
      </c>
      <c r="BD423" s="9" t="s">
        <v>8365</v>
      </c>
      <c r="BE423" s="9" t="s">
        <v>392</v>
      </c>
      <c r="BF423" s="9" t="s">
        <v>1047</v>
      </c>
      <c r="BG423" s="9" t="s">
        <v>678</v>
      </c>
      <c r="BH423" s="9" t="s">
        <v>8366</v>
      </c>
      <c r="BI423" s="9" t="s">
        <v>509</v>
      </c>
      <c r="BJ423" s="9" t="s">
        <v>8367</v>
      </c>
      <c r="BK423" s="9" t="s">
        <v>395</v>
      </c>
      <c r="BL423" s="9" t="s">
        <v>512</v>
      </c>
      <c r="BM423" s="9" t="s">
        <v>439</v>
      </c>
      <c r="BN423" s="9" t="s">
        <v>513</v>
      </c>
      <c r="CL423" s="9" t="s">
        <v>441</v>
      </c>
      <c r="CM423" s="9" t="s">
        <v>682</v>
      </c>
      <c r="CN423" s="9" t="s">
        <v>8368</v>
      </c>
      <c r="CO423" s="9" t="s">
        <v>8369</v>
      </c>
      <c r="CP423" s="9" t="s">
        <v>685</v>
      </c>
      <c r="CQ423" s="9" t="s">
        <v>1427</v>
      </c>
      <c r="CR423" s="9" t="s">
        <v>447</v>
      </c>
      <c r="CS423" s="9" t="s">
        <v>8370</v>
      </c>
      <c r="CT423" s="9" t="s">
        <v>8371</v>
      </c>
      <c r="CU423" s="9" t="s">
        <v>519</v>
      </c>
      <c r="CV423" s="9" t="s">
        <v>451</v>
      </c>
      <c r="CW423" s="9" t="s">
        <v>8372</v>
      </c>
      <c r="CX423" s="9" t="s">
        <v>408</v>
      </c>
      <c r="CZ423" s="9" t="s">
        <v>985</v>
      </c>
      <c r="DA423" s="9" t="s">
        <v>8373</v>
      </c>
      <c r="DB423" s="9" t="s">
        <v>455</v>
      </c>
      <c r="DC423" s="9" t="s">
        <v>8374</v>
      </c>
      <c r="DD423" s="9" t="s">
        <v>662</v>
      </c>
      <c r="DF423" s="9" t="s">
        <v>8375</v>
      </c>
      <c r="DG423" s="9" t="s">
        <v>776</v>
      </c>
      <c r="DH423" s="9" t="s">
        <v>410</v>
      </c>
      <c r="DI423" s="9" t="s">
        <v>963</v>
      </c>
      <c r="DJ423" s="9" t="s">
        <v>613</v>
      </c>
      <c r="ET423" s="9" t="s">
        <v>526</v>
      </c>
      <c r="EU423" s="9" t="s">
        <v>479</v>
      </c>
      <c r="EV423" s="9" t="s">
        <v>527</v>
      </c>
      <c r="EW423" s="9" t="s">
        <v>8376</v>
      </c>
      <c r="EX423" s="9" t="s">
        <v>8377</v>
      </c>
      <c r="EY423" s="9" t="s">
        <v>8378</v>
      </c>
      <c r="FO423" s="9" t="s">
        <v>485</v>
      </c>
      <c r="FP423" s="9" t="s">
        <v>418</v>
      </c>
      <c r="FQ423" s="9" t="s">
        <v>1039</v>
      </c>
      <c r="FR423" s="9" t="s">
        <v>8379</v>
      </c>
      <c r="FS423" s="9" t="s">
        <v>420</v>
      </c>
      <c r="FT423" s="9" t="s">
        <v>488</v>
      </c>
      <c r="FV423" s="9" t="s">
        <v>490</v>
      </c>
      <c r="FW423" s="9" t="s">
        <v>491</v>
      </c>
      <c r="FX423" s="9" t="s">
        <v>8380</v>
      </c>
      <c r="FY423" s="9" t="s">
        <v>535</v>
      </c>
      <c r="FZ423" s="9" t="s">
        <v>8381</v>
      </c>
      <c r="GA423" s="9" t="s">
        <v>8382</v>
      </c>
      <c r="GB423" s="9" t="s">
        <v>455</v>
      </c>
      <c r="GC423" s="9"/>
      <c r="GD423" s="9"/>
      <c r="GE423" s="9" t="s">
        <v>786</v>
      </c>
      <c r="GF423" s="9" t="s">
        <v>8383</v>
      </c>
      <c r="GG423" s="9" t="s">
        <v>857</v>
      </c>
      <c r="GH423" s="9" t="s">
        <v>789</v>
      </c>
      <c r="GI423" s="9" t="s">
        <v>858</v>
      </c>
      <c r="GQ423" s="9" t="s">
        <v>3273</v>
      </c>
      <c r="GT423" s="9" t="s">
        <v>5081</v>
      </c>
      <c r="GU423" s="9" t="s">
        <v>8384</v>
      </c>
      <c r="GV423" s="9" t="s">
        <v>5231</v>
      </c>
      <c r="HC423" s="9" t="s">
        <v>5297</v>
      </c>
      <c r="HD423" s="9" t="s">
        <v>5282</v>
      </c>
      <c r="HE423" s="9" t="s">
        <v>5320</v>
      </c>
      <c r="HF423" s="9" t="s">
        <v>5300</v>
      </c>
      <c r="HO423" s="9" t="s">
        <v>5301</v>
      </c>
      <c r="HP423" s="9" t="s">
        <v>5237</v>
      </c>
      <c r="HQ423" s="9" t="s">
        <v>5238</v>
      </c>
      <c r="HR423" s="9" t="s">
        <v>5347</v>
      </c>
      <c r="HW423" s="9" t="s">
        <v>5628</v>
      </c>
      <c r="MJ423" s="9" t="s">
        <v>6321</v>
      </c>
    </row>
    <row r="424" ht="22.5" customHeight="1">
      <c r="A424" s="8">
        <v>46060.45633940972</v>
      </c>
      <c r="B424" s="9" t="s">
        <v>368</v>
      </c>
      <c r="C424" s="9" t="s">
        <v>538</v>
      </c>
      <c r="D424" s="9" t="s">
        <v>538</v>
      </c>
      <c r="G424" s="9" t="s">
        <v>1093</v>
      </c>
      <c r="H424" s="9" t="s">
        <v>1203</v>
      </c>
      <c r="I424" s="9" t="s">
        <v>638</v>
      </c>
      <c r="J424" s="9" t="s">
        <v>1023</v>
      </c>
      <c r="K424" s="9" t="s">
        <v>376</v>
      </c>
      <c r="L424" s="9" t="s">
        <v>793</v>
      </c>
      <c r="M424" s="9" t="s">
        <v>719</v>
      </c>
      <c r="N424" s="9" t="s">
        <v>793</v>
      </c>
      <c r="O424" s="9" t="s">
        <v>720</v>
      </c>
      <c r="P424" s="9" t="s">
        <v>592</v>
      </c>
      <c r="Q424" s="9" t="s">
        <v>382</v>
      </c>
      <c r="R424" s="9" t="s">
        <v>949</v>
      </c>
      <c r="S424" s="9" t="s">
        <v>384</v>
      </c>
      <c r="T424" s="9" t="s">
        <v>385</v>
      </c>
      <c r="W424" s="9" t="s">
        <v>593</v>
      </c>
      <c r="X424" s="9" t="s">
        <v>642</v>
      </c>
      <c r="AL424" s="9" t="s">
        <v>1141</v>
      </c>
      <c r="AM424" s="9" t="s">
        <v>1142</v>
      </c>
      <c r="AN424" s="9" t="s">
        <v>408</v>
      </c>
      <c r="AP424" s="9" t="s">
        <v>913</v>
      </c>
      <c r="AQ424" s="9">
        <v>5.0</v>
      </c>
      <c r="AR424" s="9" t="s">
        <v>1507</v>
      </c>
      <c r="AS424" s="9" t="s">
        <v>8385</v>
      </c>
      <c r="AT424" s="9" t="s">
        <v>8386</v>
      </c>
      <c r="AU424" s="9" t="s">
        <v>8387</v>
      </c>
      <c r="AV424" s="9" t="s">
        <v>390</v>
      </c>
      <c r="AW424" s="9" t="s">
        <v>391</v>
      </c>
      <c r="AX424" s="9" t="s">
        <v>391</v>
      </c>
      <c r="AY424" s="9">
        <v>2.0</v>
      </c>
      <c r="AZ424" s="9">
        <v>2.0</v>
      </c>
      <c r="BA424" s="9">
        <v>2.0</v>
      </c>
      <c r="BB424" s="9">
        <v>2.0</v>
      </c>
      <c r="BC424" s="9" t="s">
        <v>8388</v>
      </c>
      <c r="BD424" s="9" t="s">
        <v>8389</v>
      </c>
      <c r="BE424" s="9" t="s">
        <v>432</v>
      </c>
      <c r="BF424" s="9" t="s">
        <v>393</v>
      </c>
      <c r="BG424" s="9" t="s">
        <v>765</v>
      </c>
      <c r="BH424" s="9" t="s">
        <v>8390</v>
      </c>
      <c r="BI424" s="9" t="s">
        <v>824</v>
      </c>
      <c r="BK424" s="9" t="s">
        <v>437</v>
      </c>
      <c r="BL424" s="9" t="s">
        <v>438</v>
      </c>
      <c r="BM424" s="9" t="s">
        <v>549</v>
      </c>
      <c r="BN424" s="9" t="s">
        <v>513</v>
      </c>
      <c r="CL424" s="9" t="s">
        <v>441</v>
      </c>
      <c r="CM424" s="9" t="s">
        <v>401</v>
      </c>
      <c r="CN424" s="9" t="s">
        <v>8391</v>
      </c>
      <c r="CO424" s="9" t="s">
        <v>8392</v>
      </c>
      <c r="CP424" s="9" t="s">
        <v>445</v>
      </c>
      <c r="CQ424" s="9" t="s">
        <v>1649</v>
      </c>
      <c r="CR424" s="9" t="s">
        <v>555</v>
      </c>
      <c r="CS424" s="9" t="s">
        <v>8393</v>
      </c>
      <c r="CT424" s="9" t="s">
        <v>8394</v>
      </c>
      <c r="CU424" s="9" t="s">
        <v>450</v>
      </c>
      <c r="CV424" s="9" t="s">
        <v>451</v>
      </c>
      <c r="CW424" s="9" t="s">
        <v>8395</v>
      </c>
      <c r="CX424" s="9" t="s">
        <v>408</v>
      </c>
      <c r="CZ424" s="9" t="s">
        <v>453</v>
      </c>
      <c r="DA424" s="9" t="s">
        <v>8396</v>
      </c>
      <c r="DB424" s="9" t="s">
        <v>408</v>
      </c>
      <c r="DD424" s="9" t="s">
        <v>406</v>
      </c>
      <c r="DE424" s="9" t="s">
        <v>691</v>
      </c>
      <c r="DF424" s="9" t="s">
        <v>8397</v>
      </c>
      <c r="DG424" s="9" t="s">
        <v>561</v>
      </c>
      <c r="DH424" s="9" t="s">
        <v>833</v>
      </c>
      <c r="DI424" s="9" t="s">
        <v>459</v>
      </c>
      <c r="DJ424" s="9" t="s">
        <v>613</v>
      </c>
      <c r="ET424" s="9" t="s">
        <v>578</v>
      </c>
      <c r="EU424" s="9" t="s">
        <v>479</v>
      </c>
      <c r="EV424" s="9" t="s">
        <v>1534</v>
      </c>
      <c r="EW424" s="9" t="s">
        <v>8398</v>
      </c>
      <c r="EX424" s="9" t="s">
        <v>8399</v>
      </c>
      <c r="EY424" s="9" t="s">
        <v>8400</v>
      </c>
      <c r="EZ424" s="9" t="s">
        <v>413</v>
      </c>
      <c r="FA424" s="9" t="s">
        <v>413</v>
      </c>
      <c r="FB424" s="9" t="s">
        <v>413</v>
      </c>
      <c r="FC424" s="9" t="s">
        <v>413</v>
      </c>
      <c r="FD424" s="9" t="s">
        <v>413</v>
      </c>
      <c r="FE424" s="9" t="s">
        <v>413</v>
      </c>
      <c r="FF424" s="9" t="s">
        <v>413</v>
      </c>
      <c r="FG424" s="9" t="s">
        <v>413</v>
      </c>
      <c r="FH424" s="9" t="s">
        <v>583</v>
      </c>
      <c r="FI424" s="9" t="s">
        <v>413</v>
      </c>
      <c r="FJ424" s="9" t="s">
        <v>413</v>
      </c>
      <c r="FK424" s="9" t="s">
        <v>413</v>
      </c>
      <c r="FL424" s="9" t="s">
        <v>413</v>
      </c>
      <c r="FM424" s="9" t="s">
        <v>413</v>
      </c>
      <c r="FN424" s="9" t="s">
        <v>583</v>
      </c>
      <c r="FO424" s="9" t="s">
        <v>417</v>
      </c>
      <c r="FP424" s="9" t="s">
        <v>418</v>
      </c>
      <c r="FQ424" s="9" t="s">
        <v>1039</v>
      </c>
      <c r="FR424" s="9" t="s">
        <v>8401</v>
      </c>
      <c r="FS424" s="9" t="s">
        <v>420</v>
      </c>
      <c r="FT424" s="9" t="s">
        <v>488</v>
      </c>
      <c r="FU424" s="9" t="s">
        <v>585</v>
      </c>
      <c r="FV424" s="9" t="s">
        <v>490</v>
      </c>
      <c r="FW424" s="9" t="s">
        <v>491</v>
      </c>
      <c r="FX424" s="9" t="s">
        <v>8402</v>
      </c>
      <c r="FY424" s="9" t="s">
        <v>535</v>
      </c>
      <c r="FZ424" s="9" t="s">
        <v>8403</v>
      </c>
      <c r="GB424" s="9" t="s">
        <v>408</v>
      </c>
      <c r="GG424" s="9" t="s">
        <v>857</v>
      </c>
      <c r="GH424" s="9" t="s">
        <v>857</v>
      </c>
      <c r="GI424" s="9" t="s">
        <v>790</v>
      </c>
      <c r="GN424" s="9" t="s">
        <v>538</v>
      </c>
      <c r="GO424" s="9" t="s">
        <v>538</v>
      </c>
      <c r="GQ424" s="9" t="s">
        <v>3208</v>
      </c>
      <c r="GT424" s="9" t="s">
        <v>5170</v>
      </c>
      <c r="GU424" s="9" t="s">
        <v>8404</v>
      </c>
      <c r="GV424" s="9" t="s">
        <v>5231</v>
      </c>
      <c r="GW424" s="9" t="s">
        <v>484</v>
      </c>
      <c r="HC424" s="9" t="s">
        <v>5297</v>
      </c>
      <c r="HD424" s="9" t="s">
        <v>5298</v>
      </c>
      <c r="HE424" s="9" t="s">
        <v>5299</v>
      </c>
      <c r="HF424" s="9" t="s">
        <v>5284</v>
      </c>
      <c r="HO424" s="9" t="s">
        <v>5301</v>
      </c>
      <c r="HP424" s="9" t="s">
        <v>5371</v>
      </c>
      <c r="HQ424" s="9" t="s">
        <v>5238</v>
      </c>
      <c r="HR424" s="9" t="s">
        <v>5239</v>
      </c>
      <c r="HW424" s="9" t="s">
        <v>5971</v>
      </c>
      <c r="MJ424" s="9" t="s">
        <v>6321</v>
      </c>
    </row>
    <row r="425" ht="22.5" customHeight="1">
      <c r="A425" s="8">
        <v>46061.44789758102</v>
      </c>
      <c r="B425" s="9" t="s">
        <v>368</v>
      </c>
      <c r="C425" s="9" t="s">
        <v>370</v>
      </c>
      <c r="D425" s="9" t="s">
        <v>370</v>
      </c>
      <c r="G425" s="9" t="s">
        <v>422</v>
      </c>
      <c r="H425" s="9" t="s">
        <v>496</v>
      </c>
      <c r="I425" s="9" t="s">
        <v>374</v>
      </c>
      <c r="J425" s="9" t="s">
        <v>718</v>
      </c>
      <c r="K425" s="9" t="s">
        <v>376</v>
      </c>
      <c r="L425" s="9" t="s">
        <v>426</v>
      </c>
      <c r="M425" s="9" t="s">
        <v>378</v>
      </c>
      <c r="N425" s="9" t="s">
        <v>426</v>
      </c>
      <c r="O425" s="9" t="s">
        <v>1196</v>
      </c>
      <c r="P425" s="9" t="s">
        <v>381</v>
      </c>
      <c r="Q425" s="9" t="s">
        <v>759</v>
      </c>
      <c r="R425" s="9" t="s">
        <v>949</v>
      </c>
      <c r="S425" s="9" t="s">
        <v>1785</v>
      </c>
      <c r="T425" s="9" t="s">
        <v>1786</v>
      </c>
      <c r="ED425" s="9" t="s">
        <v>5662</v>
      </c>
      <c r="EH425" s="9" t="s">
        <v>8405</v>
      </c>
      <c r="EI425" s="9" t="s">
        <v>5664</v>
      </c>
      <c r="ER425" s="9" t="s">
        <v>8406</v>
      </c>
      <c r="ET425" s="9" t="s">
        <v>578</v>
      </c>
      <c r="EU425" s="9" t="s">
        <v>887</v>
      </c>
      <c r="EV425" s="9" t="s">
        <v>480</v>
      </c>
      <c r="EX425" s="9" t="s">
        <v>8407</v>
      </c>
      <c r="EY425" s="9" t="s">
        <v>8408</v>
      </c>
      <c r="EZ425" s="9" t="s">
        <v>415</v>
      </c>
      <c r="FA425" s="9" t="s">
        <v>415</v>
      </c>
      <c r="FB425" s="9" t="s">
        <v>416</v>
      </c>
      <c r="FC425" s="9" t="s">
        <v>415</v>
      </c>
      <c r="FD425" s="9" t="s">
        <v>416</v>
      </c>
      <c r="FE425" s="9" t="s">
        <v>414</v>
      </c>
      <c r="FF425" s="9" t="s">
        <v>416</v>
      </c>
      <c r="FG425" s="9" t="s">
        <v>416</v>
      </c>
      <c r="FH425" s="9" t="s">
        <v>414</v>
      </c>
      <c r="FI425" s="9" t="s">
        <v>583</v>
      </c>
      <c r="FJ425" s="9" t="s">
        <v>414</v>
      </c>
      <c r="FK425" s="9" t="s">
        <v>415</v>
      </c>
      <c r="FL425" s="9" t="s">
        <v>484</v>
      </c>
      <c r="FM425" s="9" t="s">
        <v>413</v>
      </c>
      <c r="FN425" s="9" t="s">
        <v>583</v>
      </c>
      <c r="FO425" s="9" t="s">
        <v>850</v>
      </c>
      <c r="FP425" s="9" t="s">
        <v>486</v>
      </c>
      <c r="FQ425" s="9" t="s">
        <v>712</v>
      </c>
      <c r="FS425" s="9" t="s">
        <v>995</v>
      </c>
      <c r="FT425" s="9" t="s">
        <v>1476</v>
      </c>
      <c r="FU425" s="9" t="s">
        <v>489</v>
      </c>
      <c r="FV425" s="9" t="s">
        <v>490</v>
      </c>
      <c r="FW425" s="9" t="s">
        <v>491</v>
      </c>
      <c r="FY425" s="9" t="s">
        <v>1854</v>
      </c>
      <c r="GB425" s="9" t="s">
        <v>408</v>
      </c>
      <c r="GV425" s="9" t="s">
        <v>5231</v>
      </c>
      <c r="GW425" s="9" t="s">
        <v>484</v>
      </c>
      <c r="HK425" s="9" t="s">
        <v>8409</v>
      </c>
      <c r="HL425" s="9" t="s">
        <v>6151</v>
      </c>
      <c r="HM425" s="9" t="s">
        <v>5735</v>
      </c>
      <c r="HN425" s="9" t="s">
        <v>6152</v>
      </c>
      <c r="HO425" s="9" t="s">
        <v>5236</v>
      </c>
      <c r="HP425" s="9" t="s">
        <v>5264</v>
      </c>
      <c r="HQ425" s="9" t="s">
        <v>5238</v>
      </c>
      <c r="HR425" s="9" t="s">
        <v>5321</v>
      </c>
      <c r="JD425" s="9" t="s">
        <v>8410</v>
      </c>
      <c r="JI425" s="9" t="s">
        <v>5231</v>
      </c>
      <c r="JJ425" s="9" t="s">
        <v>459</v>
      </c>
      <c r="JK425" s="9" t="s">
        <v>408</v>
      </c>
      <c r="JL425" s="9" t="s">
        <v>5682</v>
      </c>
      <c r="MJ425" s="9" t="s">
        <v>6383</v>
      </c>
    </row>
    <row r="426" ht="22.5" customHeight="1">
      <c r="A426" s="8">
        <v>46061.530180625</v>
      </c>
      <c r="B426" s="9" t="s">
        <v>368</v>
      </c>
      <c r="C426" s="9" t="s">
        <v>370</v>
      </c>
      <c r="D426" s="9" t="s">
        <v>370</v>
      </c>
      <c r="E426" s="9" t="s">
        <v>791</v>
      </c>
      <c r="F426" s="9" t="s">
        <v>371</v>
      </c>
      <c r="G426" s="9" t="s">
        <v>422</v>
      </c>
      <c r="H426" s="9" t="s">
        <v>373</v>
      </c>
      <c r="I426" s="9" t="s">
        <v>374</v>
      </c>
      <c r="J426" s="9" t="s">
        <v>375</v>
      </c>
      <c r="K426" s="9" t="s">
        <v>376</v>
      </c>
      <c r="L426" s="9" t="s">
        <v>426</v>
      </c>
      <c r="M426" s="9" t="s">
        <v>541</v>
      </c>
      <c r="N426" s="9" t="s">
        <v>670</v>
      </c>
      <c r="O426" s="9" t="s">
        <v>1270</v>
      </c>
      <c r="P426" s="9" t="s">
        <v>381</v>
      </c>
      <c r="Q426" s="9" t="s">
        <v>862</v>
      </c>
      <c r="R426" s="9" t="s">
        <v>427</v>
      </c>
      <c r="S426" s="9" t="s">
        <v>384</v>
      </c>
      <c r="T426" s="9" t="s">
        <v>385</v>
      </c>
      <c r="W426" s="9" t="s">
        <v>3014</v>
      </c>
      <c r="AV426" s="9" t="s">
        <v>1242</v>
      </c>
      <c r="AW426" s="9" t="s">
        <v>675</v>
      </c>
      <c r="AX426" s="9" t="s">
        <v>675</v>
      </c>
      <c r="AY426" s="9">
        <v>4.0</v>
      </c>
      <c r="AZ426" s="9" t="s">
        <v>675</v>
      </c>
      <c r="BA426" s="9" t="s">
        <v>675</v>
      </c>
      <c r="BB426" s="9" t="s">
        <v>675</v>
      </c>
      <c r="BC426" s="9" t="s">
        <v>8411</v>
      </c>
      <c r="BD426" s="9" t="s">
        <v>8412</v>
      </c>
      <c r="BE426" s="9" t="s">
        <v>902</v>
      </c>
      <c r="BF426" s="9" t="s">
        <v>1245</v>
      </c>
      <c r="BG426" s="9" t="s">
        <v>725</v>
      </c>
      <c r="BH426" s="9" t="s">
        <v>8413</v>
      </c>
      <c r="BI426" s="9" t="s">
        <v>976</v>
      </c>
      <c r="BK426" s="9" t="s">
        <v>437</v>
      </c>
      <c r="BL426" s="9" t="s">
        <v>603</v>
      </c>
      <c r="BM426" s="9" t="s">
        <v>1314</v>
      </c>
      <c r="BN426" s="9" t="s">
        <v>398</v>
      </c>
      <c r="BO426" s="9" t="s">
        <v>8414</v>
      </c>
      <c r="BP426" s="9" t="s">
        <v>8415</v>
      </c>
      <c r="BQ426" s="9" t="s">
        <v>442</v>
      </c>
      <c r="BR426" s="9" t="s">
        <v>8416</v>
      </c>
      <c r="BS426" s="9" t="s">
        <v>1741</v>
      </c>
      <c r="BT426" s="9" t="s">
        <v>4072</v>
      </c>
      <c r="BU426" s="9" t="s">
        <v>1831</v>
      </c>
      <c r="BV426" s="9" t="s">
        <v>8417</v>
      </c>
      <c r="BW426" s="9" t="s">
        <v>457</v>
      </c>
      <c r="BY426" s="9" t="s">
        <v>408</v>
      </c>
      <c r="CA426" s="9" t="s">
        <v>8418</v>
      </c>
      <c r="CB426" s="9" t="s">
        <v>8419</v>
      </c>
      <c r="CC426" s="9" t="s">
        <v>8420</v>
      </c>
      <c r="CD426" s="9" t="s">
        <v>409</v>
      </c>
      <c r="CE426" s="9" t="s">
        <v>8421</v>
      </c>
      <c r="CF426" s="9" t="s">
        <v>1258</v>
      </c>
      <c r="CH426" s="9" t="s">
        <v>2744</v>
      </c>
      <c r="CI426" s="9" t="s">
        <v>410</v>
      </c>
      <c r="CJ426" s="9" t="s">
        <v>8422</v>
      </c>
      <c r="CK426" s="9" t="s">
        <v>8423</v>
      </c>
      <c r="DI426" s="9" t="s">
        <v>963</v>
      </c>
      <c r="DJ426" s="9" t="s">
        <v>613</v>
      </c>
      <c r="ET426" s="9" t="s">
        <v>526</v>
      </c>
      <c r="EU426" s="9" t="s">
        <v>479</v>
      </c>
      <c r="EV426" s="9" t="s">
        <v>1262</v>
      </c>
      <c r="EW426" s="9" t="s">
        <v>8424</v>
      </c>
      <c r="EX426" s="9" t="s">
        <v>8425</v>
      </c>
      <c r="EY426" s="9" t="s">
        <v>8426</v>
      </c>
      <c r="EZ426" s="9" t="s">
        <v>415</v>
      </c>
      <c r="FA426" s="9" t="s">
        <v>415</v>
      </c>
      <c r="FB426" s="9" t="s">
        <v>413</v>
      </c>
      <c r="FC426" s="9" t="s">
        <v>416</v>
      </c>
      <c r="FD426" s="9" t="s">
        <v>413</v>
      </c>
      <c r="FE426" s="9" t="s">
        <v>414</v>
      </c>
      <c r="FF426" s="9" t="s">
        <v>414</v>
      </c>
      <c r="FG426" s="9" t="s">
        <v>413</v>
      </c>
      <c r="FH426" s="9" t="s">
        <v>484</v>
      </c>
      <c r="FI426" s="9" t="s">
        <v>484</v>
      </c>
      <c r="FJ426" s="9" t="s">
        <v>583</v>
      </c>
      <c r="FL426" s="9" t="s">
        <v>415</v>
      </c>
      <c r="FM426" s="9" t="s">
        <v>416</v>
      </c>
      <c r="FN426" s="9" t="s">
        <v>414</v>
      </c>
      <c r="FO426" s="9" t="s">
        <v>485</v>
      </c>
      <c r="FP426" s="9" t="s">
        <v>418</v>
      </c>
      <c r="FQ426" s="9" t="s">
        <v>419</v>
      </c>
      <c r="FR426" s="9" t="s">
        <v>8427</v>
      </c>
      <c r="FS426" s="9" t="s">
        <v>420</v>
      </c>
      <c r="FT426" s="9" t="s">
        <v>488</v>
      </c>
      <c r="FU426" s="9" t="s">
        <v>533</v>
      </c>
      <c r="FV426" s="9" t="s">
        <v>490</v>
      </c>
      <c r="FW426" s="9" t="s">
        <v>491</v>
      </c>
      <c r="FX426" s="9" t="s">
        <v>8428</v>
      </c>
      <c r="FY426" s="9" t="s">
        <v>535</v>
      </c>
      <c r="GB426" s="9" t="s">
        <v>455</v>
      </c>
      <c r="GC426" s="9"/>
      <c r="GD426" s="9"/>
      <c r="GE426" s="9" t="s">
        <v>753</v>
      </c>
      <c r="GF426" s="9" t="s">
        <v>3337</v>
      </c>
      <c r="GJ426" s="9" t="s">
        <v>755</v>
      </c>
      <c r="GK426" s="9" t="s">
        <v>755</v>
      </c>
      <c r="GL426" s="9" t="s">
        <v>946</v>
      </c>
      <c r="GQ426" s="9" t="s">
        <v>3208</v>
      </c>
      <c r="GR426" s="9" t="s">
        <v>4741</v>
      </c>
      <c r="GS426" s="9" t="s">
        <v>8429</v>
      </c>
      <c r="GV426" s="9" t="s">
        <v>5231</v>
      </c>
      <c r="GW426" s="9" t="s">
        <v>484</v>
      </c>
      <c r="GX426" s="9" t="s">
        <v>5281</v>
      </c>
      <c r="GY426" s="9" t="s">
        <v>6013</v>
      </c>
      <c r="GZ426" s="9" t="s">
        <v>484</v>
      </c>
      <c r="HA426" s="9" t="s">
        <v>5864</v>
      </c>
      <c r="HB426" s="9" t="s">
        <v>5370</v>
      </c>
      <c r="HO426" s="9" t="s">
        <v>5236</v>
      </c>
      <c r="HP426" s="9" t="s">
        <v>5237</v>
      </c>
      <c r="HQ426" s="9" t="s">
        <v>5238</v>
      </c>
      <c r="HR426" s="9" t="s">
        <v>5347</v>
      </c>
      <c r="MJ426" s="9" t="s">
        <v>6321</v>
      </c>
    </row>
    <row r="427" ht="22.5" customHeight="1">
      <c r="A427" s="8">
        <v>46064.86387719907</v>
      </c>
      <c r="B427" s="9" t="s">
        <v>368</v>
      </c>
      <c r="C427" s="9" t="s">
        <v>370</v>
      </c>
      <c r="D427" s="9" t="s">
        <v>370</v>
      </c>
      <c r="E427" s="9" t="s">
        <v>1001</v>
      </c>
      <c r="F427" s="9" t="s">
        <v>1001</v>
      </c>
      <c r="G427" s="9" t="s">
        <v>422</v>
      </c>
      <c r="H427" s="9" t="s">
        <v>496</v>
      </c>
      <c r="I427" s="9" t="s">
        <v>374</v>
      </c>
      <c r="J427" s="9" t="s">
        <v>375</v>
      </c>
      <c r="K427" s="9" t="s">
        <v>376</v>
      </c>
      <c r="L427" s="9" t="s">
        <v>379</v>
      </c>
      <c r="M427" s="9" t="s">
        <v>2966</v>
      </c>
      <c r="N427" s="9" t="s">
        <v>379</v>
      </c>
      <c r="O427" s="9" t="s">
        <v>8430</v>
      </c>
      <c r="P427" s="9" t="s">
        <v>381</v>
      </c>
      <c r="Q427" s="9" t="s">
        <v>382</v>
      </c>
      <c r="R427" s="9" t="s">
        <v>427</v>
      </c>
      <c r="S427" s="9" t="s">
        <v>1785</v>
      </c>
      <c r="T427" s="9" t="s">
        <v>1786</v>
      </c>
      <c r="ED427" s="9" t="s">
        <v>5723</v>
      </c>
      <c r="EO427" s="9" t="s">
        <v>8431</v>
      </c>
      <c r="EP427" s="9" t="s">
        <v>8432</v>
      </c>
      <c r="ER427" s="9" t="s">
        <v>8433</v>
      </c>
      <c r="ES427" s="9" t="s">
        <v>8434</v>
      </c>
      <c r="ET427" s="9" t="s">
        <v>526</v>
      </c>
      <c r="EU427" s="9" t="s">
        <v>479</v>
      </c>
      <c r="EV427" s="9" t="s">
        <v>778</v>
      </c>
      <c r="EW427" s="9" t="s">
        <v>8435</v>
      </c>
      <c r="EX427" s="9" t="s">
        <v>8436</v>
      </c>
      <c r="EY427" s="9" t="s">
        <v>8437</v>
      </c>
      <c r="EZ427" s="9" t="s">
        <v>413</v>
      </c>
      <c r="FA427" s="9" t="s">
        <v>413</v>
      </c>
      <c r="FB427" s="9" t="s">
        <v>413</v>
      </c>
      <c r="FC427" s="9" t="s">
        <v>413</v>
      </c>
      <c r="FD427" s="9" t="s">
        <v>413</v>
      </c>
      <c r="FE427" s="9" t="s">
        <v>413</v>
      </c>
      <c r="FF427" s="9" t="s">
        <v>413</v>
      </c>
      <c r="FG427" s="9" t="s">
        <v>413</v>
      </c>
      <c r="FJ427" s="9" t="s">
        <v>413</v>
      </c>
      <c r="FK427" s="9" t="s">
        <v>413</v>
      </c>
      <c r="FL427" s="9" t="s">
        <v>413</v>
      </c>
      <c r="FM427" s="9" t="s">
        <v>413</v>
      </c>
      <c r="FO427" s="9" t="s">
        <v>417</v>
      </c>
      <c r="FP427" s="9" t="s">
        <v>486</v>
      </c>
      <c r="FQ427" s="9" t="s">
        <v>419</v>
      </c>
      <c r="FR427" s="9" t="s">
        <v>8438</v>
      </c>
      <c r="FS427" s="9" t="s">
        <v>420</v>
      </c>
      <c r="FT427" s="9" t="s">
        <v>488</v>
      </c>
      <c r="FU427" s="9" t="s">
        <v>489</v>
      </c>
      <c r="FV427" s="9" t="s">
        <v>490</v>
      </c>
      <c r="FW427" s="9" t="s">
        <v>491</v>
      </c>
      <c r="FX427" s="9" t="s">
        <v>8439</v>
      </c>
      <c r="FY427" s="9" t="s">
        <v>535</v>
      </c>
      <c r="FZ427" s="9" t="s">
        <v>8440</v>
      </c>
      <c r="GA427" s="9" t="s">
        <v>8441</v>
      </c>
      <c r="GB427" s="9" t="s">
        <v>455</v>
      </c>
      <c r="GC427" s="9"/>
      <c r="GE427" s="9" t="s">
        <v>1339</v>
      </c>
      <c r="GF427" s="9" t="s">
        <v>8442</v>
      </c>
      <c r="GQ427" s="9" t="s">
        <v>8443</v>
      </c>
      <c r="GV427" s="9" t="s">
        <v>5231</v>
      </c>
      <c r="GW427" s="9" t="s">
        <v>8444</v>
      </c>
      <c r="HK427" s="9" t="s">
        <v>8445</v>
      </c>
      <c r="HL427" s="9" t="s">
        <v>6217</v>
      </c>
      <c r="HM427" s="9" t="s">
        <v>5735</v>
      </c>
      <c r="HN427" s="9" t="s">
        <v>5678</v>
      </c>
      <c r="HO427" s="9" t="s">
        <v>5236</v>
      </c>
      <c r="HP427" s="9" t="s">
        <v>5264</v>
      </c>
      <c r="HQ427" s="9" t="s">
        <v>5238</v>
      </c>
      <c r="HR427" s="9" t="s">
        <v>5347</v>
      </c>
      <c r="JG427" s="9" t="s">
        <v>5680</v>
      </c>
      <c r="KD427" s="9" t="s">
        <v>5689</v>
      </c>
      <c r="LG427" s="9" t="s">
        <v>8446</v>
      </c>
      <c r="LH427" s="9" t="s">
        <v>8447</v>
      </c>
      <c r="LI427" s="9" t="s">
        <v>8448</v>
      </c>
      <c r="LJ427" s="9" t="s">
        <v>5745</v>
      </c>
      <c r="MJ427" s="9" t="s">
        <v>6383</v>
      </c>
    </row>
    <row r="428" ht="22.5" customHeight="1">
      <c r="A428" s="8">
        <v>46064.888075104165</v>
      </c>
      <c r="B428" s="9" t="s">
        <v>368</v>
      </c>
      <c r="C428" s="9" t="s">
        <v>370</v>
      </c>
      <c r="D428" s="9" t="s">
        <v>370</v>
      </c>
      <c r="E428" s="9" t="s">
        <v>667</v>
      </c>
      <c r="F428" s="9" t="s">
        <v>371</v>
      </c>
      <c r="G428" s="9" t="s">
        <v>422</v>
      </c>
      <c r="H428" s="9" t="s">
        <v>1307</v>
      </c>
      <c r="I428" s="9" t="s">
        <v>668</v>
      </c>
      <c r="J428" s="9" t="s">
        <v>669</v>
      </c>
      <c r="K428" s="9" t="s">
        <v>376</v>
      </c>
      <c r="L428" s="9" t="s">
        <v>426</v>
      </c>
      <c r="M428" s="9" t="s">
        <v>2539</v>
      </c>
      <c r="N428" s="9" t="s">
        <v>591</v>
      </c>
      <c r="O428" s="9" t="s">
        <v>2579</v>
      </c>
      <c r="P428" s="9" t="s">
        <v>592</v>
      </c>
      <c r="Q428" s="9" t="s">
        <v>862</v>
      </c>
      <c r="R428" s="9" t="s">
        <v>427</v>
      </c>
      <c r="S428" s="9" t="s">
        <v>1785</v>
      </c>
      <c r="T428" s="9" t="s">
        <v>1786</v>
      </c>
      <c r="ED428" s="9" t="s">
        <v>5723</v>
      </c>
      <c r="EH428" s="9" t="s">
        <v>5663</v>
      </c>
      <c r="EI428" s="9" t="s">
        <v>5664</v>
      </c>
      <c r="EO428" s="9" t="s">
        <v>8449</v>
      </c>
      <c r="EP428" s="9" t="s">
        <v>8450</v>
      </c>
      <c r="ER428" s="9" t="s">
        <v>8451</v>
      </c>
      <c r="ES428" s="9" t="s">
        <v>8452</v>
      </c>
      <c r="ET428" s="9" t="s">
        <v>526</v>
      </c>
      <c r="EU428" s="9" t="s">
        <v>479</v>
      </c>
      <c r="EV428" s="9" t="s">
        <v>778</v>
      </c>
      <c r="EW428" s="9" t="s">
        <v>8453</v>
      </c>
      <c r="EX428" s="9" t="s">
        <v>8454</v>
      </c>
      <c r="EY428" s="9" t="s">
        <v>8455</v>
      </c>
      <c r="GB428" s="9" t="s">
        <v>455</v>
      </c>
      <c r="GC428" s="9"/>
      <c r="GD428" s="9"/>
      <c r="GE428" s="9" t="s">
        <v>786</v>
      </c>
      <c r="GF428" s="9" t="s">
        <v>8456</v>
      </c>
      <c r="GV428" s="9" t="s">
        <v>5231</v>
      </c>
      <c r="GW428" s="9" t="s">
        <v>5232</v>
      </c>
      <c r="HK428" s="9" t="s">
        <v>8457</v>
      </c>
      <c r="HL428" s="9" t="s">
        <v>6151</v>
      </c>
      <c r="HM428" s="9" t="s">
        <v>5735</v>
      </c>
      <c r="HN428" s="9" t="s">
        <v>5678</v>
      </c>
      <c r="JD428" s="9" t="s">
        <v>5679</v>
      </c>
      <c r="JG428" s="9" t="s">
        <v>5680</v>
      </c>
      <c r="JI428" s="9" t="s">
        <v>5260</v>
      </c>
      <c r="JJ428" s="9" t="s">
        <v>8458</v>
      </c>
      <c r="JK428" s="9" t="s">
        <v>455</v>
      </c>
      <c r="JL428" s="9" t="s">
        <v>8459</v>
      </c>
      <c r="JN428" s="9" t="s">
        <v>8460</v>
      </c>
      <c r="JQ428" s="9" t="s">
        <v>5684</v>
      </c>
      <c r="JY428" s="9" t="s">
        <v>6512</v>
      </c>
      <c r="JZ428" s="9" t="s">
        <v>8461</v>
      </c>
      <c r="KA428" s="9" t="s">
        <v>8462</v>
      </c>
      <c r="KB428" s="9" t="s">
        <v>5687</v>
      </c>
      <c r="KC428" s="9" t="s">
        <v>8463</v>
      </c>
      <c r="KD428" s="9" t="s">
        <v>5689</v>
      </c>
      <c r="KE428" s="9" t="s">
        <v>8464</v>
      </c>
      <c r="KG428" s="9" t="s">
        <v>6517</v>
      </c>
      <c r="KM428" s="9" t="s">
        <v>6518</v>
      </c>
      <c r="KN428" s="9" t="s">
        <v>7559</v>
      </c>
      <c r="KO428" s="9" t="s">
        <v>8465</v>
      </c>
      <c r="LG428" s="9" t="s">
        <v>8466</v>
      </c>
      <c r="LH428" s="9" t="s">
        <v>8467</v>
      </c>
      <c r="LI428" s="9" t="s">
        <v>8463</v>
      </c>
      <c r="LJ428" s="9" t="s">
        <v>8468</v>
      </c>
      <c r="MJ428" s="9" t="s">
        <v>6383</v>
      </c>
    </row>
    <row r="429" ht="22.5" customHeight="1">
      <c r="A429" s="8">
        <v>46064.90010012731</v>
      </c>
      <c r="B429" s="9" t="s">
        <v>368</v>
      </c>
      <c r="C429" s="9" t="s">
        <v>1201</v>
      </c>
      <c r="D429" s="9" t="s">
        <v>1201</v>
      </c>
      <c r="G429" s="9" t="s">
        <v>422</v>
      </c>
      <c r="H429" s="9" t="s">
        <v>373</v>
      </c>
      <c r="I429" s="9" t="s">
        <v>374</v>
      </c>
      <c r="J429" s="9" t="s">
        <v>718</v>
      </c>
      <c r="K429" s="9" t="s">
        <v>376</v>
      </c>
      <c r="L429" s="9" t="s">
        <v>396</v>
      </c>
      <c r="N429" s="9" t="s">
        <v>377</v>
      </c>
      <c r="P429" s="9" t="s">
        <v>759</v>
      </c>
      <c r="Q429" s="9" t="s">
        <v>818</v>
      </c>
      <c r="R429" s="9" t="s">
        <v>427</v>
      </c>
      <c r="S429" s="9" t="s">
        <v>384</v>
      </c>
      <c r="T429" s="9" t="s">
        <v>385</v>
      </c>
      <c r="W429" s="9" t="s">
        <v>3014</v>
      </c>
      <c r="AV429" s="9" t="s">
        <v>1242</v>
      </c>
      <c r="AW429" s="9" t="s">
        <v>675</v>
      </c>
      <c r="AX429" s="9" t="s">
        <v>675</v>
      </c>
      <c r="AY429" s="9" t="s">
        <v>675</v>
      </c>
      <c r="AZ429" s="9" t="s">
        <v>675</v>
      </c>
      <c r="BA429" s="9" t="s">
        <v>675</v>
      </c>
      <c r="BB429" s="9" t="s">
        <v>675</v>
      </c>
      <c r="BE429" s="9" t="s">
        <v>1094</v>
      </c>
      <c r="BF429" s="9" t="s">
        <v>1245</v>
      </c>
      <c r="BG429" s="9" t="s">
        <v>394</v>
      </c>
      <c r="BI429" s="9" t="s">
        <v>976</v>
      </c>
      <c r="BL429" s="9" t="s">
        <v>603</v>
      </c>
      <c r="BM429" s="9" t="s">
        <v>1314</v>
      </c>
      <c r="BN429" s="9" t="s">
        <v>398</v>
      </c>
      <c r="BQ429" s="9" t="s">
        <v>401</v>
      </c>
      <c r="BU429" s="9" t="s">
        <v>405</v>
      </c>
      <c r="BW429" s="9" t="s">
        <v>988</v>
      </c>
      <c r="BY429" s="9" t="s">
        <v>408</v>
      </c>
      <c r="CD429" s="9" t="s">
        <v>1257</v>
      </c>
      <c r="CH429" s="9" t="s">
        <v>1259</v>
      </c>
      <c r="DI429" s="9" t="s">
        <v>459</v>
      </c>
      <c r="DJ429" s="9" t="s">
        <v>460</v>
      </c>
      <c r="DK429" s="9" t="s">
        <v>6319</v>
      </c>
      <c r="ET429" s="9" t="s">
        <v>526</v>
      </c>
      <c r="EU429" s="9" t="s">
        <v>579</v>
      </c>
      <c r="EV429" s="9" t="s">
        <v>778</v>
      </c>
      <c r="EW429" s="9" t="s">
        <v>8469</v>
      </c>
      <c r="FO429" s="9" t="s">
        <v>417</v>
      </c>
      <c r="FP429" s="9" t="s">
        <v>418</v>
      </c>
      <c r="FQ429" s="9" t="s">
        <v>531</v>
      </c>
      <c r="FS429" s="9" t="s">
        <v>420</v>
      </c>
      <c r="FY429" s="9" t="s">
        <v>535</v>
      </c>
      <c r="GB429" s="9" t="s">
        <v>408</v>
      </c>
      <c r="GJ429" s="9" t="s">
        <v>755</v>
      </c>
      <c r="GK429" s="9" t="s">
        <v>755</v>
      </c>
      <c r="GO429" s="9" t="s">
        <v>8470</v>
      </c>
      <c r="GQ429" s="9" t="s">
        <v>8471</v>
      </c>
      <c r="GV429" s="9" t="s">
        <v>5231</v>
      </c>
      <c r="GW429" s="9" t="s">
        <v>484</v>
      </c>
      <c r="HA429" s="9" t="s">
        <v>5369</v>
      </c>
      <c r="HR429" s="9" t="s">
        <v>5347</v>
      </c>
      <c r="MJ429" s="9" t="s">
        <v>6321</v>
      </c>
    </row>
    <row r="430" ht="22.5" customHeight="1">
      <c r="A430" s="8">
        <v>46064.914614050926</v>
      </c>
      <c r="B430" s="9" t="s">
        <v>368</v>
      </c>
      <c r="C430" s="9" t="s">
        <v>370</v>
      </c>
      <c r="D430" s="9" t="s">
        <v>370</v>
      </c>
      <c r="E430" s="9" t="s">
        <v>667</v>
      </c>
      <c r="F430" s="9" t="s">
        <v>667</v>
      </c>
      <c r="G430" s="9" t="s">
        <v>422</v>
      </c>
      <c r="H430" s="9" t="s">
        <v>373</v>
      </c>
      <c r="I430" s="9" t="s">
        <v>374</v>
      </c>
      <c r="J430" s="9" t="s">
        <v>1240</v>
      </c>
      <c r="K430" s="9" t="s">
        <v>7755</v>
      </c>
      <c r="L430" s="9" t="s">
        <v>379</v>
      </c>
      <c r="M430" s="9" t="s">
        <v>1024</v>
      </c>
      <c r="N430" s="9" t="s">
        <v>591</v>
      </c>
      <c r="O430" s="9" t="s">
        <v>640</v>
      </c>
      <c r="P430" s="9" t="s">
        <v>1760</v>
      </c>
      <c r="Q430" s="9" t="s">
        <v>759</v>
      </c>
      <c r="R430" s="9" t="s">
        <v>949</v>
      </c>
      <c r="S430" s="9" t="s">
        <v>1785</v>
      </c>
      <c r="T430" s="9" t="s">
        <v>1786</v>
      </c>
      <c r="ED430" s="9" t="s">
        <v>5723</v>
      </c>
      <c r="EH430" s="9" t="s">
        <v>7540</v>
      </c>
      <c r="EI430" s="9" t="s">
        <v>5142</v>
      </c>
      <c r="EO430" s="9" t="s">
        <v>8472</v>
      </c>
      <c r="EP430" s="9" t="s">
        <v>8473</v>
      </c>
      <c r="ER430" s="9" t="s">
        <v>8474</v>
      </c>
      <c r="ES430" s="9" t="s">
        <v>8475</v>
      </c>
      <c r="ET430" s="9" t="s">
        <v>478</v>
      </c>
      <c r="EU430" s="9" t="s">
        <v>479</v>
      </c>
      <c r="EV430" s="9" t="s">
        <v>480</v>
      </c>
      <c r="EW430" s="9" t="s">
        <v>8476</v>
      </c>
      <c r="EX430" s="9" t="s">
        <v>8477</v>
      </c>
      <c r="EY430" s="9" t="s">
        <v>8478</v>
      </c>
      <c r="EZ430" s="9" t="s">
        <v>413</v>
      </c>
      <c r="FA430" s="9" t="s">
        <v>413</v>
      </c>
      <c r="FB430" s="9" t="s">
        <v>413</v>
      </c>
      <c r="FC430" s="9" t="s">
        <v>413</v>
      </c>
      <c r="FD430" s="9" t="s">
        <v>413</v>
      </c>
      <c r="FE430" s="9" t="s">
        <v>413</v>
      </c>
      <c r="FF430" s="9" t="s">
        <v>413</v>
      </c>
      <c r="FH430" s="9" t="s">
        <v>413</v>
      </c>
      <c r="FI430" s="9" t="s">
        <v>583</v>
      </c>
      <c r="FJ430" s="9" t="s">
        <v>583</v>
      </c>
      <c r="FK430" s="9" t="s">
        <v>413</v>
      </c>
      <c r="FL430" s="9" t="s">
        <v>413</v>
      </c>
      <c r="FM430" s="9" t="s">
        <v>413</v>
      </c>
      <c r="FN430" s="9" t="s">
        <v>413</v>
      </c>
      <c r="FO430" s="9" t="s">
        <v>417</v>
      </c>
      <c r="FP430" s="9" t="s">
        <v>418</v>
      </c>
      <c r="FQ430" s="9" t="s">
        <v>630</v>
      </c>
      <c r="FR430" s="9" t="s">
        <v>8479</v>
      </c>
      <c r="FS430" s="9" t="s">
        <v>420</v>
      </c>
      <c r="FT430" s="9" t="s">
        <v>488</v>
      </c>
      <c r="FU430" s="9" t="s">
        <v>533</v>
      </c>
      <c r="FV430" s="9" t="s">
        <v>490</v>
      </c>
      <c r="FW430" s="9" t="s">
        <v>491</v>
      </c>
      <c r="FX430" s="9" t="s">
        <v>8480</v>
      </c>
      <c r="FY430" s="9" t="s">
        <v>535</v>
      </c>
      <c r="FZ430" s="9" t="s">
        <v>8481</v>
      </c>
      <c r="GA430" s="9" t="s">
        <v>8482</v>
      </c>
      <c r="GB430" s="9" t="s">
        <v>455</v>
      </c>
      <c r="GC430" s="9"/>
      <c r="GD430" s="9"/>
      <c r="GE430" s="9" t="s">
        <v>753</v>
      </c>
      <c r="GF430" s="9" t="s">
        <v>8483</v>
      </c>
      <c r="GQ430" s="9" t="s">
        <v>3306</v>
      </c>
      <c r="GV430" s="9" t="s">
        <v>5231</v>
      </c>
      <c r="GW430" s="9" t="s">
        <v>5232</v>
      </c>
      <c r="HK430" s="9" t="s">
        <v>6476</v>
      </c>
      <c r="HL430" s="9" t="s">
        <v>7766</v>
      </c>
      <c r="HM430" s="9" t="s">
        <v>5735</v>
      </c>
      <c r="HN430" s="9" t="s">
        <v>5678</v>
      </c>
      <c r="HO430" s="9" t="s">
        <v>5236</v>
      </c>
      <c r="HP430" s="9" t="s">
        <v>5237</v>
      </c>
      <c r="HQ430" s="9" t="s">
        <v>5238</v>
      </c>
      <c r="HR430" s="9" t="s">
        <v>5321</v>
      </c>
      <c r="JD430" s="9" t="s">
        <v>5679</v>
      </c>
      <c r="JG430" s="9" t="s">
        <v>5680</v>
      </c>
      <c r="JI430" s="9" t="s">
        <v>5231</v>
      </c>
      <c r="JJ430" s="9" t="s">
        <v>963</v>
      </c>
      <c r="JK430" s="9" t="s">
        <v>455</v>
      </c>
      <c r="JL430" s="9" t="s">
        <v>6510</v>
      </c>
      <c r="JN430" s="9" t="s">
        <v>8484</v>
      </c>
      <c r="JQ430" s="9" t="s">
        <v>5684</v>
      </c>
      <c r="JY430" s="9" t="s">
        <v>8485</v>
      </c>
      <c r="JZ430" s="9" t="s">
        <v>6513</v>
      </c>
      <c r="KA430" s="9" t="s">
        <v>8486</v>
      </c>
      <c r="KB430" s="9" t="s">
        <v>5687</v>
      </c>
      <c r="KC430" s="9" t="s">
        <v>8487</v>
      </c>
      <c r="KD430" s="9" t="s">
        <v>5689</v>
      </c>
      <c r="KE430" s="9" t="s">
        <v>8488</v>
      </c>
      <c r="KG430" s="9" t="s">
        <v>8489</v>
      </c>
      <c r="KM430" s="9" t="s">
        <v>6518</v>
      </c>
      <c r="KN430" s="9" t="s">
        <v>8490</v>
      </c>
      <c r="KO430" s="9" t="s">
        <v>8491</v>
      </c>
      <c r="LG430" s="9" t="s">
        <v>8492</v>
      </c>
      <c r="LH430" s="9" t="s">
        <v>8493</v>
      </c>
      <c r="LI430" s="9" t="s">
        <v>6155</v>
      </c>
      <c r="LJ430" s="9" t="s">
        <v>8494</v>
      </c>
      <c r="MJ430" s="9" t="s">
        <v>6383</v>
      </c>
    </row>
    <row r="431" ht="22.5" customHeight="1">
      <c r="A431" s="8">
        <v>46064.99989840278</v>
      </c>
      <c r="B431" s="9" t="s">
        <v>368</v>
      </c>
      <c r="C431" s="9" t="s">
        <v>370</v>
      </c>
      <c r="D431" s="9" t="s">
        <v>8495</v>
      </c>
      <c r="E431" s="9" t="s">
        <v>371</v>
      </c>
      <c r="G431" s="9" t="s">
        <v>1023</v>
      </c>
      <c r="H431" s="9" t="s">
        <v>1921</v>
      </c>
      <c r="I431" s="9" t="s">
        <v>1022</v>
      </c>
      <c r="J431" s="9" t="s">
        <v>718</v>
      </c>
      <c r="K431" s="9" t="s">
        <v>376</v>
      </c>
      <c r="L431" s="9" t="s">
        <v>379</v>
      </c>
      <c r="M431" s="9" t="s">
        <v>541</v>
      </c>
      <c r="N431" s="9" t="s">
        <v>379</v>
      </c>
      <c r="O431" s="9" t="s">
        <v>719</v>
      </c>
      <c r="P431" s="9" t="s">
        <v>498</v>
      </c>
      <c r="Q431" s="9" t="s">
        <v>382</v>
      </c>
      <c r="R431" s="9" t="s">
        <v>427</v>
      </c>
      <c r="S431" s="9" t="s">
        <v>384</v>
      </c>
      <c r="T431" s="9" t="s">
        <v>385</v>
      </c>
      <c r="W431" s="9" t="s">
        <v>386</v>
      </c>
      <c r="X431" s="9" t="s">
        <v>387</v>
      </c>
      <c r="Y431" s="9" t="s">
        <v>388</v>
      </c>
      <c r="Z431" s="9" t="s">
        <v>672</v>
      </c>
      <c r="AA431" s="9" t="s">
        <v>8496</v>
      </c>
      <c r="AV431" s="9" t="s">
        <v>597</v>
      </c>
      <c r="AW431" s="9">
        <v>2.0</v>
      </c>
      <c r="AX431" s="9">
        <v>4.0</v>
      </c>
      <c r="AY431" s="9">
        <v>2.0</v>
      </c>
      <c r="AZ431" s="9" t="s">
        <v>675</v>
      </c>
      <c r="BA431" s="9" t="s">
        <v>429</v>
      </c>
      <c r="BB431" s="9">
        <v>2.0</v>
      </c>
      <c r="BC431" s="9" t="s">
        <v>8497</v>
      </c>
      <c r="BD431" s="9" t="s">
        <v>8498</v>
      </c>
      <c r="BE431" s="9" t="s">
        <v>2259</v>
      </c>
      <c r="BF431" s="9" t="s">
        <v>1047</v>
      </c>
      <c r="BG431" s="9" t="s">
        <v>434</v>
      </c>
      <c r="BH431" s="9" t="s">
        <v>8499</v>
      </c>
      <c r="BI431" s="9" t="s">
        <v>976</v>
      </c>
      <c r="BK431" s="9" t="s">
        <v>395</v>
      </c>
      <c r="BL431" s="9" t="s">
        <v>603</v>
      </c>
      <c r="BM431" s="9" t="s">
        <v>397</v>
      </c>
      <c r="BN431" s="9" t="s">
        <v>513</v>
      </c>
      <c r="CL431" s="9" t="s">
        <v>441</v>
      </c>
      <c r="CM431" s="9" t="s">
        <v>401</v>
      </c>
      <c r="CN431" s="9" t="s">
        <v>552</v>
      </c>
      <c r="CO431" s="9" t="s">
        <v>8500</v>
      </c>
      <c r="CP431" s="9" t="s">
        <v>445</v>
      </c>
      <c r="CQ431" s="9" t="s">
        <v>8501</v>
      </c>
      <c r="CR431" s="9" t="s">
        <v>447</v>
      </c>
      <c r="CS431" s="9" t="s">
        <v>8502</v>
      </c>
      <c r="CT431" s="9" t="s">
        <v>8503</v>
      </c>
      <c r="CU431" s="9" t="s">
        <v>519</v>
      </c>
      <c r="CV431" s="9" t="s">
        <v>451</v>
      </c>
      <c r="CW431" s="9" t="s">
        <v>8504</v>
      </c>
      <c r="CX431" s="9" t="s">
        <v>408</v>
      </c>
      <c r="CZ431" s="9" t="s">
        <v>453</v>
      </c>
      <c r="DA431" s="9" t="s">
        <v>8505</v>
      </c>
      <c r="DB431" s="9" t="s">
        <v>455</v>
      </c>
      <c r="DC431" s="9" t="s">
        <v>8506</v>
      </c>
      <c r="DD431" s="9" t="s">
        <v>457</v>
      </c>
      <c r="DF431" s="9" t="s">
        <v>8507</v>
      </c>
      <c r="DG431" s="9" t="s">
        <v>776</v>
      </c>
      <c r="DH431" s="9" t="s">
        <v>410</v>
      </c>
      <c r="DI431" s="9" t="s">
        <v>459</v>
      </c>
      <c r="DJ431" s="9" t="s">
        <v>1403</v>
      </c>
      <c r="DK431" s="9" t="s">
        <v>6335</v>
      </c>
      <c r="ET431" s="9" t="s">
        <v>526</v>
      </c>
      <c r="EU431" s="9" t="s">
        <v>479</v>
      </c>
      <c r="EV431" s="9" t="s">
        <v>778</v>
      </c>
      <c r="EW431" s="9" t="s">
        <v>8508</v>
      </c>
      <c r="EX431" s="9" t="s">
        <v>8509</v>
      </c>
      <c r="EY431" s="9" t="s">
        <v>8510</v>
      </c>
      <c r="EZ431" s="9" t="s">
        <v>416</v>
      </c>
      <c r="FA431" s="9" t="s">
        <v>416</v>
      </c>
      <c r="FB431" s="9" t="s">
        <v>416</v>
      </c>
      <c r="FC431" s="9" t="s">
        <v>416</v>
      </c>
      <c r="FD431" s="9" t="s">
        <v>416</v>
      </c>
      <c r="FE431" s="9" t="s">
        <v>416</v>
      </c>
      <c r="FF431" s="9" t="s">
        <v>416</v>
      </c>
      <c r="FG431" s="9" t="s">
        <v>416</v>
      </c>
      <c r="FH431" s="9" t="s">
        <v>413</v>
      </c>
      <c r="FI431" s="9" t="s">
        <v>413</v>
      </c>
      <c r="FJ431" s="9" t="s">
        <v>416</v>
      </c>
      <c r="FK431" s="9" t="s">
        <v>416</v>
      </c>
      <c r="FL431" s="9" t="s">
        <v>413</v>
      </c>
      <c r="FM431" s="9" t="s">
        <v>416</v>
      </c>
      <c r="FN431" s="9" t="s">
        <v>413</v>
      </c>
      <c r="FO431" s="9" t="s">
        <v>417</v>
      </c>
      <c r="FP431" s="9" t="s">
        <v>418</v>
      </c>
      <c r="FQ431" s="9" t="s">
        <v>749</v>
      </c>
      <c r="FR431" s="9" t="s">
        <v>8511</v>
      </c>
      <c r="FS431" s="9" t="s">
        <v>1189</v>
      </c>
      <c r="FT431" s="9" t="s">
        <v>488</v>
      </c>
      <c r="FU431" s="9" t="s">
        <v>585</v>
      </c>
      <c r="FV431" s="9" t="s">
        <v>490</v>
      </c>
      <c r="FW431" s="9" t="s">
        <v>491</v>
      </c>
      <c r="FX431" s="9" t="s">
        <v>8512</v>
      </c>
      <c r="FY431" s="9" t="s">
        <v>535</v>
      </c>
      <c r="FZ431" s="9" t="s">
        <v>8513</v>
      </c>
      <c r="GA431" s="9" t="s">
        <v>8514</v>
      </c>
      <c r="GB431" s="9" t="s">
        <v>455</v>
      </c>
      <c r="GC431" s="9"/>
      <c r="GE431" s="9" t="s">
        <v>786</v>
      </c>
      <c r="GF431" s="9" t="s">
        <v>8515</v>
      </c>
      <c r="GG431" s="9" t="s">
        <v>755</v>
      </c>
      <c r="GH431" s="9" t="s">
        <v>755</v>
      </c>
      <c r="GI431" s="9" t="s">
        <v>946</v>
      </c>
      <c r="GO431" s="9" t="s">
        <v>8495</v>
      </c>
      <c r="GQ431" s="9" t="s">
        <v>3306</v>
      </c>
      <c r="GT431" s="9" t="s">
        <v>5170</v>
      </c>
      <c r="GU431" s="9" t="s">
        <v>8516</v>
      </c>
      <c r="GV431" s="9" t="s">
        <v>5231</v>
      </c>
      <c r="GW431" s="9" t="s">
        <v>5232</v>
      </c>
      <c r="HC431" s="9" t="s">
        <v>5297</v>
      </c>
      <c r="HD431" s="9" t="s">
        <v>5282</v>
      </c>
      <c r="HE431" s="9" t="s">
        <v>5320</v>
      </c>
      <c r="HF431" s="9" t="s">
        <v>5284</v>
      </c>
      <c r="HO431" s="9" t="s">
        <v>5236</v>
      </c>
      <c r="HP431" s="9" t="s">
        <v>5264</v>
      </c>
      <c r="HQ431" s="9" t="s">
        <v>5238</v>
      </c>
      <c r="HR431" s="9" t="s">
        <v>5347</v>
      </c>
      <c r="HW431" s="9" t="s">
        <v>5628</v>
      </c>
      <c r="MJ431" s="9" t="s">
        <v>6321</v>
      </c>
    </row>
    <row r="432" ht="22.5" customHeight="1">
      <c r="A432" s="8">
        <v>46065.31308600694</v>
      </c>
      <c r="B432" s="9" t="s">
        <v>368</v>
      </c>
      <c r="C432" s="9" t="s">
        <v>1341</v>
      </c>
      <c r="D432" s="9" t="s">
        <v>1341</v>
      </c>
      <c r="G432" s="9" t="s">
        <v>422</v>
      </c>
      <c r="H432" s="9" t="s">
        <v>1921</v>
      </c>
      <c r="I432" s="9" t="s">
        <v>668</v>
      </c>
      <c r="J432" s="9" t="s">
        <v>375</v>
      </c>
      <c r="K432" s="9" t="s">
        <v>376</v>
      </c>
      <c r="L432" s="9" t="s">
        <v>591</v>
      </c>
      <c r="M432" s="9" t="s">
        <v>720</v>
      </c>
      <c r="N432" s="9" t="s">
        <v>670</v>
      </c>
      <c r="O432" s="9" t="s">
        <v>720</v>
      </c>
      <c r="P432" s="9" t="s">
        <v>592</v>
      </c>
      <c r="Q432" s="9" t="s">
        <v>862</v>
      </c>
      <c r="R432" s="9" t="s">
        <v>427</v>
      </c>
      <c r="S432" s="9" t="s">
        <v>384</v>
      </c>
      <c r="T432" s="9" t="s">
        <v>385</v>
      </c>
      <c r="W432" s="9" t="s">
        <v>593</v>
      </c>
      <c r="X432" s="9" t="s">
        <v>387</v>
      </c>
      <c r="Y432" s="9" t="s">
        <v>388</v>
      </c>
      <c r="Z432" s="9" t="s">
        <v>543</v>
      </c>
      <c r="AA432" s="9" t="s">
        <v>2675</v>
      </c>
      <c r="AB432" s="9" t="s">
        <v>8517</v>
      </c>
      <c r="AV432" s="9" t="s">
        <v>390</v>
      </c>
      <c r="AW432" s="9" t="s">
        <v>429</v>
      </c>
      <c r="AX432" s="9" t="s">
        <v>429</v>
      </c>
      <c r="AY432" s="9" t="s">
        <v>429</v>
      </c>
      <c r="AZ432" s="9" t="s">
        <v>429</v>
      </c>
      <c r="BA432" s="9" t="s">
        <v>429</v>
      </c>
      <c r="BB432" s="9" t="s">
        <v>429</v>
      </c>
      <c r="BC432" s="9" t="s">
        <v>8518</v>
      </c>
      <c r="BD432" s="9" t="s">
        <v>8519</v>
      </c>
      <c r="BE432" s="9" t="s">
        <v>392</v>
      </c>
      <c r="BF432" s="9" t="s">
        <v>433</v>
      </c>
      <c r="BH432" s="9" t="s">
        <v>8520</v>
      </c>
      <c r="BI432" s="9" t="s">
        <v>509</v>
      </c>
      <c r="BJ432" s="9" t="s">
        <v>8521</v>
      </c>
      <c r="BK432" s="9" t="s">
        <v>437</v>
      </c>
      <c r="BL432" s="9" t="s">
        <v>512</v>
      </c>
      <c r="BM432" s="9" t="s">
        <v>439</v>
      </c>
      <c r="BN432" s="9" t="s">
        <v>513</v>
      </c>
      <c r="CL432" s="9" t="s">
        <v>550</v>
      </c>
      <c r="CM432" s="9" t="s">
        <v>682</v>
      </c>
      <c r="CN432" s="9" t="s">
        <v>8522</v>
      </c>
      <c r="CO432" s="9" t="s">
        <v>8523</v>
      </c>
      <c r="CP432" s="9" t="s">
        <v>685</v>
      </c>
      <c r="CQ432" s="9" t="s">
        <v>8524</v>
      </c>
      <c r="CR432" s="9" t="s">
        <v>804</v>
      </c>
      <c r="CS432" s="9" t="s">
        <v>8525</v>
      </c>
      <c r="CT432" s="9" t="s">
        <v>8526</v>
      </c>
      <c r="CU432" s="9" t="s">
        <v>450</v>
      </c>
      <c r="CV432" s="9" t="s">
        <v>451</v>
      </c>
      <c r="CW432" s="9" t="s">
        <v>8527</v>
      </c>
      <c r="CX432" s="9" t="s">
        <v>455</v>
      </c>
      <c r="CY432" s="9" t="s">
        <v>8528</v>
      </c>
      <c r="CZ432" s="9" t="s">
        <v>453</v>
      </c>
      <c r="DA432" s="9" t="s">
        <v>8529</v>
      </c>
      <c r="DB432" s="9" t="s">
        <v>455</v>
      </c>
      <c r="DC432" s="9" t="s">
        <v>8530</v>
      </c>
      <c r="DD432" s="9" t="s">
        <v>1400</v>
      </c>
      <c r="DF432" s="9" t="s">
        <v>8531</v>
      </c>
      <c r="DG432" s="9" t="s">
        <v>776</v>
      </c>
      <c r="DH432" s="9" t="s">
        <v>410</v>
      </c>
      <c r="DI432" s="9" t="s">
        <v>459</v>
      </c>
      <c r="DJ432" s="9" t="s">
        <v>460</v>
      </c>
      <c r="DK432" s="9" t="s">
        <v>6319</v>
      </c>
      <c r="ET432" s="9" t="s">
        <v>526</v>
      </c>
      <c r="EU432" s="9" t="s">
        <v>579</v>
      </c>
      <c r="EV432" s="9" t="s">
        <v>480</v>
      </c>
      <c r="EW432" s="9" t="s">
        <v>8532</v>
      </c>
      <c r="EX432" s="9" t="s">
        <v>8533</v>
      </c>
      <c r="EY432" s="9" t="s">
        <v>8534</v>
      </c>
      <c r="EZ432" s="9" t="s">
        <v>416</v>
      </c>
      <c r="FA432" s="9" t="s">
        <v>416</v>
      </c>
      <c r="FB432" s="9" t="s">
        <v>413</v>
      </c>
      <c r="FC432" s="9" t="s">
        <v>416</v>
      </c>
      <c r="FD432" s="9" t="s">
        <v>413</v>
      </c>
      <c r="FE432" s="9" t="s">
        <v>416</v>
      </c>
      <c r="FF432" s="9" t="s">
        <v>413</v>
      </c>
      <c r="FG432" s="9" t="s">
        <v>413</v>
      </c>
      <c r="FH432" s="9" t="s">
        <v>413</v>
      </c>
      <c r="FI432" s="9" t="s">
        <v>413</v>
      </c>
      <c r="FJ432" s="9" t="s">
        <v>416</v>
      </c>
      <c r="FK432" s="9" t="s">
        <v>416</v>
      </c>
      <c r="FL432" s="9" t="s">
        <v>416</v>
      </c>
      <c r="FM432" s="9" t="s">
        <v>413</v>
      </c>
      <c r="FN432" s="9" t="s">
        <v>416</v>
      </c>
      <c r="FO432" s="9" t="s">
        <v>417</v>
      </c>
      <c r="FP432" s="9" t="s">
        <v>418</v>
      </c>
      <c r="FQ432" s="9" t="s">
        <v>1039</v>
      </c>
      <c r="FR432" s="9" t="s">
        <v>8535</v>
      </c>
      <c r="FS432" s="9" t="s">
        <v>420</v>
      </c>
      <c r="FT432" s="9" t="s">
        <v>488</v>
      </c>
      <c r="FU432" s="9" t="s">
        <v>1235</v>
      </c>
      <c r="FV432" s="9" t="s">
        <v>490</v>
      </c>
      <c r="FW432" s="9" t="s">
        <v>491</v>
      </c>
      <c r="FX432" s="9" t="s">
        <v>8536</v>
      </c>
      <c r="FY432" s="9" t="s">
        <v>1020</v>
      </c>
      <c r="FZ432" s="9" t="s">
        <v>8537</v>
      </c>
      <c r="GA432" s="9" t="s">
        <v>8538</v>
      </c>
      <c r="GB432" s="9" t="s">
        <v>455</v>
      </c>
      <c r="GC432" s="9"/>
      <c r="GE432" s="9" t="s">
        <v>855</v>
      </c>
      <c r="GF432" s="9" t="s">
        <v>8539</v>
      </c>
      <c r="GG432" s="9" t="s">
        <v>857</v>
      </c>
      <c r="GH432" s="9" t="s">
        <v>755</v>
      </c>
      <c r="GI432" s="9" t="s">
        <v>946</v>
      </c>
      <c r="GN432" s="9" t="s">
        <v>1341</v>
      </c>
      <c r="GO432" s="9" t="s">
        <v>1341</v>
      </c>
      <c r="GQ432" s="9" t="s">
        <v>8540</v>
      </c>
      <c r="GT432" s="9" t="s">
        <v>4774</v>
      </c>
      <c r="GV432" s="9" t="s">
        <v>5231</v>
      </c>
      <c r="GW432" s="9" t="s">
        <v>8541</v>
      </c>
      <c r="HD432" s="9" t="s">
        <v>5282</v>
      </c>
      <c r="HE432" s="9" t="s">
        <v>5718</v>
      </c>
      <c r="HF432" s="9" t="s">
        <v>5768</v>
      </c>
      <c r="HP432" s="9" t="s">
        <v>5719</v>
      </c>
      <c r="HQ432" s="9" t="s">
        <v>5238</v>
      </c>
      <c r="HR432" s="9" t="s">
        <v>5321</v>
      </c>
      <c r="HW432" s="9" t="s">
        <v>8542</v>
      </c>
      <c r="MJ432" s="9" t="s">
        <v>6321</v>
      </c>
    </row>
    <row r="433" ht="22.5" customHeight="1">
      <c r="A433" s="8">
        <v>46065.436726342596</v>
      </c>
      <c r="B433" s="9" t="s">
        <v>368</v>
      </c>
      <c r="C433" s="9" t="s">
        <v>370</v>
      </c>
      <c r="D433" s="9" t="s">
        <v>370</v>
      </c>
      <c r="E433" s="9" t="s">
        <v>3955</v>
      </c>
      <c r="F433" s="9" t="s">
        <v>2114</v>
      </c>
      <c r="G433" s="9" t="s">
        <v>422</v>
      </c>
      <c r="I433" s="9" t="s">
        <v>2578</v>
      </c>
      <c r="J433" s="9" t="s">
        <v>375</v>
      </c>
      <c r="K433" s="9" t="s">
        <v>376</v>
      </c>
      <c r="L433" s="9" t="s">
        <v>591</v>
      </c>
      <c r="M433" s="9" t="s">
        <v>378</v>
      </c>
      <c r="N433" s="9" t="s">
        <v>670</v>
      </c>
      <c r="O433" s="9" t="s">
        <v>719</v>
      </c>
      <c r="P433" s="9" t="s">
        <v>1504</v>
      </c>
      <c r="Q433" s="9" t="s">
        <v>499</v>
      </c>
      <c r="R433" s="9" t="s">
        <v>427</v>
      </c>
      <c r="S433" s="9" t="s">
        <v>1785</v>
      </c>
      <c r="T433" s="9" t="s">
        <v>1786</v>
      </c>
      <c r="ED433" s="9" t="s">
        <v>5662</v>
      </c>
      <c r="EH433" s="9" t="s">
        <v>5663</v>
      </c>
      <c r="EI433" s="9" t="s">
        <v>5664</v>
      </c>
      <c r="EO433" s="9" t="s">
        <v>8543</v>
      </c>
      <c r="ER433" s="9" t="s">
        <v>8544</v>
      </c>
      <c r="ET433" s="9" t="s">
        <v>526</v>
      </c>
      <c r="EU433" s="9" t="s">
        <v>479</v>
      </c>
      <c r="EV433" s="9" t="s">
        <v>480</v>
      </c>
      <c r="EX433" s="9" t="s">
        <v>8545</v>
      </c>
      <c r="EY433" s="9" t="s">
        <v>8546</v>
      </c>
      <c r="EZ433" s="9" t="s">
        <v>414</v>
      </c>
      <c r="FA433" s="9" t="s">
        <v>414</v>
      </c>
      <c r="FB433" s="9" t="s">
        <v>416</v>
      </c>
      <c r="FC433" s="9" t="s">
        <v>414</v>
      </c>
      <c r="FD433" s="9" t="s">
        <v>413</v>
      </c>
      <c r="FE433" s="9" t="s">
        <v>583</v>
      </c>
      <c r="FF433" s="9" t="s">
        <v>583</v>
      </c>
      <c r="FG433" s="9" t="s">
        <v>413</v>
      </c>
      <c r="FH433" s="9" t="s">
        <v>414</v>
      </c>
      <c r="FI433" s="9" t="s">
        <v>414</v>
      </c>
      <c r="FJ433" s="9" t="s">
        <v>415</v>
      </c>
      <c r="FK433" s="9" t="s">
        <v>413</v>
      </c>
      <c r="FL433" s="9" t="s">
        <v>413</v>
      </c>
      <c r="FM433" s="9" t="s">
        <v>413</v>
      </c>
      <c r="FN433" s="9" t="s">
        <v>415</v>
      </c>
      <c r="FO433" s="9" t="s">
        <v>417</v>
      </c>
      <c r="FP433" s="9" t="s">
        <v>418</v>
      </c>
      <c r="FQ433" s="9" t="s">
        <v>712</v>
      </c>
      <c r="FR433" s="9" t="s">
        <v>8547</v>
      </c>
      <c r="FS433" s="9" t="s">
        <v>420</v>
      </c>
      <c r="FT433" s="9" t="s">
        <v>488</v>
      </c>
      <c r="FU433" s="9" t="s">
        <v>489</v>
      </c>
      <c r="FV433" s="9" t="s">
        <v>490</v>
      </c>
      <c r="FW433" s="9" t="s">
        <v>491</v>
      </c>
      <c r="FX433" s="9" t="s">
        <v>8548</v>
      </c>
      <c r="FY433" s="9" t="s">
        <v>535</v>
      </c>
      <c r="GA433" s="9" t="s">
        <v>8549</v>
      </c>
      <c r="GB433" s="9" t="s">
        <v>455</v>
      </c>
      <c r="GC433" s="9"/>
      <c r="GE433" s="9" t="s">
        <v>753</v>
      </c>
      <c r="GF433" s="9" t="s">
        <v>455</v>
      </c>
      <c r="GQ433" s="9" t="s">
        <v>3306</v>
      </c>
      <c r="GV433" s="9" t="s">
        <v>5231</v>
      </c>
      <c r="GW433" s="9" t="s">
        <v>5232</v>
      </c>
      <c r="HK433" s="9" t="s">
        <v>5935</v>
      </c>
      <c r="HL433" s="9" t="s">
        <v>6217</v>
      </c>
      <c r="HM433" s="9" t="s">
        <v>5735</v>
      </c>
      <c r="HN433" s="9" t="s">
        <v>5678</v>
      </c>
      <c r="HO433" s="9" t="s">
        <v>5236</v>
      </c>
      <c r="HP433" s="9" t="s">
        <v>5237</v>
      </c>
      <c r="HQ433" s="9" t="s">
        <v>5238</v>
      </c>
      <c r="HR433" s="9" t="s">
        <v>5321</v>
      </c>
      <c r="JC433" s="9" t="s">
        <v>8550</v>
      </c>
      <c r="JD433" s="9" t="s">
        <v>5679</v>
      </c>
      <c r="JG433" s="9" t="s">
        <v>5680</v>
      </c>
      <c r="JI433" s="9" t="s">
        <v>5260</v>
      </c>
      <c r="JJ433" s="9" t="s">
        <v>459</v>
      </c>
      <c r="JK433" s="9" t="s">
        <v>455</v>
      </c>
      <c r="JL433" s="9" t="s">
        <v>6510</v>
      </c>
      <c r="JN433" s="9" t="s">
        <v>5683</v>
      </c>
      <c r="JQ433" s="9" t="s">
        <v>5684</v>
      </c>
      <c r="JY433" s="9" t="s">
        <v>8551</v>
      </c>
      <c r="JZ433" s="9" t="s">
        <v>8552</v>
      </c>
      <c r="KA433" s="9" t="s">
        <v>5686</v>
      </c>
      <c r="KC433" s="9" t="s">
        <v>8553</v>
      </c>
      <c r="KD433" s="9" t="s">
        <v>5689</v>
      </c>
      <c r="KE433" s="9" t="s">
        <v>8554</v>
      </c>
      <c r="KG433" s="9" t="s">
        <v>6517</v>
      </c>
      <c r="KM433" s="9" t="s">
        <v>5692</v>
      </c>
      <c r="KN433" s="9" t="s">
        <v>7559</v>
      </c>
      <c r="KO433" s="9" t="s">
        <v>8555</v>
      </c>
      <c r="LG433" s="9" t="s">
        <v>8556</v>
      </c>
      <c r="LH433" s="9" t="s">
        <v>6154</v>
      </c>
      <c r="LI433" s="9" t="s">
        <v>8557</v>
      </c>
      <c r="LJ433" s="9" t="s">
        <v>8558</v>
      </c>
      <c r="LK433" s="9" t="s">
        <v>8559</v>
      </c>
      <c r="LL433" s="9" t="s">
        <v>8560</v>
      </c>
      <c r="LM433" s="9" t="s">
        <v>8561</v>
      </c>
      <c r="LN433" s="9" t="s">
        <v>8562</v>
      </c>
      <c r="LO433" s="9" t="s">
        <v>8563</v>
      </c>
      <c r="MJ433" s="9" t="s">
        <v>6383</v>
      </c>
    </row>
    <row r="434" ht="22.5" customHeight="1">
      <c r="A434" s="8">
        <v>46065.52200550926</v>
      </c>
      <c r="B434" s="9" t="s">
        <v>368</v>
      </c>
      <c r="C434" s="9" t="s">
        <v>370</v>
      </c>
      <c r="D434" s="9" t="s">
        <v>370</v>
      </c>
      <c r="E434" s="9" t="s">
        <v>3955</v>
      </c>
      <c r="F434" s="9" t="s">
        <v>3955</v>
      </c>
      <c r="G434" s="9" t="s">
        <v>422</v>
      </c>
      <c r="H434" s="9" t="s">
        <v>496</v>
      </c>
      <c r="I434" s="9" t="s">
        <v>374</v>
      </c>
      <c r="J434" s="9" t="s">
        <v>425</v>
      </c>
      <c r="K434" s="9" t="s">
        <v>2560</v>
      </c>
      <c r="L434" s="9" t="s">
        <v>591</v>
      </c>
      <c r="M434" s="9" t="s">
        <v>720</v>
      </c>
      <c r="N434" s="9" t="s">
        <v>396</v>
      </c>
      <c r="P434" s="9" t="s">
        <v>498</v>
      </c>
      <c r="Q434" s="9" t="s">
        <v>499</v>
      </c>
      <c r="R434" s="9" t="s">
        <v>427</v>
      </c>
      <c r="S434" s="9" t="s">
        <v>384</v>
      </c>
      <c r="T434" s="9" t="s">
        <v>385</v>
      </c>
      <c r="W434" s="9" t="s">
        <v>593</v>
      </c>
      <c r="X434" s="9" t="s">
        <v>387</v>
      </c>
      <c r="Y434" s="9" t="s">
        <v>897</v>
      </c>
      <c r="Z434" s="9" t="s">
        <v>502</v>
      </c>
      <c r="AA434" s="9" t="s">
        <v>8564</v>
      </c>
      <c r="AB434" s="9" t="s">
        <v>8565</v>
      </c>
      <c r="AV434" s="9" t="s">
        <v>390</v>
      </c>
      <c r="AW434" s="9">
        <v>2.0</v>
      </c>
      <c r="AX434" s="9">
        <v>2.0</v>
      </c>
      <c r="AY434" s="9" t="s">
        <v>429</v>
      </c>
      <c r="AZ434" s="9" t="s">
        <v>429</v>
      </c>
      <c r="BA434" s="9" t="s">
        <v>429</v>
      </c>
      <c r="BB434" s="9" t="s">
        <v>429</v>
      </c>
      <c r="BC434" s="9" t="s">
        <v>8566</v>
      </c>
      <c r="BD434" s="9" t="s">
        <v>8567</v>
      </c>
      <c r="BE434" s="9" t="s">
        <v>392</v>
      </c>
      <c r="BF434" s="9" t="s">
        <v>433</v>
      </c>
      <c r="BG434" s="9" t="s">
        <v>678</v>
      </c>
      <c r="BH434" s="9" t="s">
        <v>8568</v>
      </c>
      <c r="BI434" s="9" t="s">
        <v>509</v>
      </c>
      <c r="BJ434" s="9" t="s">
        <v>8569</v>
      </c>
      <c r="BK434" s="9" t="s">
        <v>511</v>
      </c>
      <c r="BL434" s="9" t="s">
        <v>396</v>
      </c>
      <c r="BM434" s="9" t="s">
        <v>439</v>
      </c>
      <c r="BN434" s="9" t="s">
        <v>513</v>
      </c>
      <c r="CL434" s="9" t="s">
        <v>441</v>
      </c>
      <c r="CM434" s="9" t="s">
        <v>682</v>
      </c>
      <c r="CN434" s="9" t="s">
        <v>8570</v>
      </c>
      <c r="CO434" s="9" t="s">
        <v>8571</v>
      </c>
      <c r="CP434" s="9" t="s">
        <v>1008</v>
      </c>
      <c r="CQ434" s="9" t="s">
        <v>8572</v>
      </c>
      <c r="CR434" s="9" t="s">
        <v>447</v>
      </c>
      <c r="CS434" s="9" t="s">
        <v>1147</v>
      </c>
      <c r="CT434" s="9" t="s">
        <v>8573</v>
      </c>
      <c r="CU434" s="9" t="s">
        <v>450</v>
      </c>
      <c r="CV434" s="9" t="s">
        <v>451</v>
      </c>
      <c r="CW434" s="9" t="s">
        <v>8574</v>
      </c>
      <c r="CX434" s="9" t="s">
        <v>455</v>
      </c>
      <c r="CY434" s="9" t="s">
        <v>8575</v>
      </c>
      <c r="CZ434" s="9" t="s">
        <v>453</v>
      </c>
      <c r="DA434" s="9" t="s">
        <v>8576</v>
      </c>
      <c r="DB434" s="9" t="s">
        <v>455</v>
      </c>
      <c r="DC434" s="9" t="s">
        <v>8577</v>
      </c>
      <c r="DD434" s="9" t="s">
        <v>457</v>
      </c>
      <c r="DF434" s="9" t="s">
        <v>8578</v>
      </c>
      <c r="DG434" s="9" t="s">
        <v>561</v>
      </c>
      <c r="DH434" s="9" t="s">
        <v>410</v>
      </c>
      <c r="DI434" s="9" t="s">
        <v>1402</v>
      </c>
      <c r="DJ434" s="9" t="s">
        <v>613</v>
      </c>
      <c r="ET434" s="9" t="s">
        <v>526</v>
      </c>
      <c r="EU434" s="9" t="s">
        <v>1127</v>
      </c>
      <c r="EV434" s="9" t="s">
        <v>778</v>
      </c>
      <c r="EW434" s="9" t="s">
        <v>8579</v>
      </c>
      <c r="EX434" s="9" t="s">
        <v>8580</v>
      </c>
      <c r="EY434" s="9" t="s">
        <v>8581</v>
      </c>
      <c r="EZ434" s="9" t="s">
        <v>413</v>
      </c>
      <c r="FA434" s="9" t="s">
        <v>413</v>
      </c>
      <c r="FB434" s="9" t="s">
        <v>413</v>
      </c>
      <c r="FC434" s="9" t="s">
        <v>413</v>
      </c>
      <c r="FD434" s="9" t="s">
        <v>413</v>
      </c>
      <c r="FE434" s="9" t="s">
        <v>413</v>
      </c>
      <c r="FF434" s="9" t="s">
        <v>413</v>
      </c>
      <c r="FG434" s="9" t="s">
        <v>484</v>
      </c>
      <c r="FH434" s="9" t="s">
        <v>413</v>
      </c>
      <c r="FI434" s="9" t="s">
        <v>413</v>
      </c>
      <c r="FJ434" s="9" t="s">
        <v>413</v>
      </c>
      <c r="FK434" s="9" t="s">
        <v>413</v>
      </c>
      <c r="FL434" s="9" t="s">
        <v>484</v>
      </c>
      <c r="FM434" s="9" t="s">
        <v>484</v>
      </c>
      <c r="FN434" s="9" t="s">
        <v>484</v>
      </c>
      <c r="FO434" s="9" t="s">
        <v>417</v>
      </c>
      <c r="FP434" s="9" t="s">
        <v>418</v>
      </c>
      <c r="FQ434" s="9" t="s">
        <v>531</v>
      </c>
      <c r="FR434" s="9" t="s">
        <v>8582</v>
      </c>
      <c r="FS434" s="9" t="s">
        <v>420</v>
      </c>
      <c r="FT434" s="9" t="s">
        <v>488</v>
      </c>
      <c r="FU434" s="9" t="s">
        <v>918</v>
      </c>
      <c r="FV434" s="9" t="s">
        <v>490</v>
      </c>
      <c r="FW434" s="9" t="s">
        <v>491</v>
      </c>
      <c r="FX434" s="9" t="s">
        <v>8583</v>
      </c>
      <c r="FY434" s="9" t="s">
        <v>535</v>
      </c>
      <c r="FZ434" s="9" t="s">
        <v>8584</v>
      </c>
      <c r="GA434" s="9" t="s">
        <v>8585</v>
      </c>
      <c r="GB434" s="9" t="s">
        <v>455</v>
      </c>
      <c r="GC434" s="9"/>
      <c r="GD434" s="9"/>
      <c r="GE434" s="9" t="s">
        <v>1339</v>
      </c>
      <c r="GF434" s="9" t="s">
        <v>8586</v>
      </c>
      <c r="GG434" s="9" t="s">
        <v>789</v>
      </c>
      <c r="GH434" s="9" t="s">
        <v>857</v>
      </c>
      <c r="GI434" s="9" t="s">
        <v>790</v>
      </c>
      <c r="GQ434" s="9" t="s">
        <v>4653</v>
      </c>
      <c r="GT434" s="9" t="s">
        <v>4774</v>
      </c>
      <c r="GV434" s="9" t="s">
        <v>5231</v>
      </c>
      <c r="GW434" s="9" t="s">
        <v>5232</v>
      </c>
      <c r="HC434" s="9" t="s">
        <v>6053</v>
      </c>
      <c r="HD434" s="9" t="s">
        <v>5282</v>
      </c>
      <c r="HE434" s="9" t="s">
        <v>5299</v>
      </c>
      <c r="HF434" s="9" t="s">
        <v>5284</v>
      </c>
      <c r="HO434" s="9" t="s">
        <v>5346</v>
      </c>
      <c r="HP434" s="9" t="s">
        <v>5237</v>
      </c>
      <c r="HQ434" s="9" t="s">
        <v>5238</v>
      </c>
      <c r="HR434" s="9" t="s">
        <v>5347</v>
      </c>
      <c r="HW434" s="9" t="s">
        <v>8587</v>
      </c>
      <c r="MJ434" s="9" t="s">
        <v>6321</v>
      </c>
    </row>
    <row r="435" ht="22.5" customHeight="1">
      <c r="A435" s="8">
        <v>46065.61208627315</v>
      </c>
      <c r="B435" s="9" t="s">
        <v>368</v>
      </c>
      <c r="C435" s="9" t="s">
        <v>894</v>
      </c>
      <c r="D435" s="9" t="s">
        <v>894</v>
      </c>
      <c r="G435" s="9" t="s">
        <v>422</v>
      </c>
      <c r="H435" s="9" t="s">
        <v>539</v>
      </c>
      <c r="I435" s="9" t="s">
        <v>374</v>
      </c>
      <c r="J435" s="9" t="s">
        <v>425</v>
      </c>
      <c r="K435" s="9" t="s">
        <v>376</v>
      </c>
      <c r="L435" s="9" t="s">
        <v>426</v>
      </c>
      <c r="M435" s="9" t="s">
        <v>8588</v>
      </c>
      <c r="N435" s="9" t="s">
        <v>426</v>
      </c>
      <c r="O435" s="9" t="s">
        <v>8589</v>
      </c>
      <c r="P435" s="9" t="s">
        <v>592</v>
      </c>
      <c r="Q435" s="9" t="s">
        <v>759</v>
      </c>
      <c r="R435" s="9" t="s">
        <v>8590</v>
      </c>
      <c r="S435" s="9" t="s">
        <v>384</v>
      </c>
      <c r="T435" s="9" t="s">
        <v>385</v>
      </c>
      <c r="U435" s="9" t="s">
        <v>896</v>
      </c>
      <c r="V435" s="9" t="s">
        <v>896</v>
      </c>
      <c r="W435" s="9" t="s">
        <v>593</v>
      </c>
      <c r="X435" s="9" t="s">
        <v>387</v>
      </c>
      <c r="Y435" s="9" t="s">
        <v>2115</v>
      </c>
      <c r="Z435" s="9" t="s">
        <v>543</v>
      </c>
      <c r="AA435" s="9" t="s">
        <v>2675</v>
      </c>
      <c r="AB435" s="9" t="s">
        <v>8591</v>
      </c>
      <c r="AV435" s="9" t="s">
        <v>1242</v>
      </c>
      <c r="AW435" s="9" t="s">
        <v>391</v>
      </c>
      <c r="AX435" s="9" t="s">
        <v>391</v>
      </c>
      <c r="AY435" s="9" t="s">
        <v>391</v>
      </c>
      <c r="AZ435" s="9">
        <v>4.0</v>
      </c>
      <c r="BA435" s="9" t="s">
        <v>391</v>
      </c>
      <c r="BB435" s="9" t="s">
        <v>391</v>
      </c>
      <c r="BC435" s="9" t="s">
        <v>8592</v>
      </c>
      <c r="BD435" s="9" t="s">
        <v>8593</v>
      </c>
      <c r="BE435" s="9" t="s">
        <v>1094</v>
      </c>
      <c r="BF435" s="9" t="s">
        <v>1095</v>
      </c>
      <c r="BG435" s="9" t="s">
        <v>725</v>
      </c>
      <c r="BI435" s="9" t="s">
        <v>976</v>
      </c>
      <c r="BK435" s="9" t="s">
        <v>602</v>
      </c>
      <c r="BL435" s="9" t="s">
        <v>512</v>
      </c>
      <c r="BM435" s="9" t="s">
        <v>1247</v>
      </c>
      <c r="BN435" s="9" t="s">
        <v>398</v>
      </c>
      <c r="BO435" s="9" t="s">
        <v>8594</v>
      </c>
      <c r="BP435" s="9" t="s">
        <v>408</v>
      </c>
      <c r="BQ435" s="9" t="s">
        <v>442</v>
      </c>
      <c r="BR435" s="9" t="s">
        <v>5002</v>
      </c>
      <c r="BS435" s="9" t="s">
        <v>1741</v>
      </c>
      <c r="BT435" s="9" t="s">
        <v>404</v>
      </c>
      <c r="BU435" s="9" t="s">
        <v>405</v>
      </c>
      <c r="BW435" s="9" t="s">
        <v>406</v>
      </c>
      <c r="BX435" s="9" t="s">
        <v>1867</v>
      </c>
      <c r="BY435" s="9" t="s">
        <v>408</v>
      </c>
      <c r="CA435" s="9" t="s">
        <v>2675</v>
      </c>
      <c r="CB435" s="9" t="s">
        <v>8595</v>
      </c>
      <c r="CC435" s="9" t="s">
        <v>8596</v>
      </c>
      <c r="CD435" s="9" t="s">
        <v>1257</v>
      </c>
      <c r="CF435" s="9" t="s">
        <v>1697</v>
      </c>
      <c r="CH435" s="9" t="s">
        <v>1751</v>
      </c>
      <c r="CI435" s="9" t="s">
        <v>1220</v>
      </c>
      <c r="CJ435" s="9" t="s">
        <v>4841</v>
      </c>
      <c r="CK435" s="9" t="s">
        <v>8597</v>
      </c>
      <c r="DI435" s="9" t="s">
        <v>963</v>
      </c>
      <c r="DJ435" s="9" t="s">
        <v>613</v>
      </c>
      <c r="ET435" s="9" t="s">
        <v>578</v>
      </c>
      <c r="EU435" s="9" t="s">
        <v>579</v>
      </c>
      <c r="EV435" s="9" t="s">
        <v>580</v>
      </c>
      <c r="EX435" s="9" t="s">
        <v>8598</v>
      </c>
      <c r="EY435" s="9" t="s">
        <v>8599</v>
      </c>
      <c r="EZ435" s="9" t="s">
        <v>413</v>
      </c>
      <c r="FA435" s="9" t="s">
        <v>413</v>
      </c>
      <c r="FB435" s="9" t="s">
        <v>413</v>
      </c>
      <c r="FC435" s="9" t="s">
        <v>413</v>
      </c>
      <c r="FD435" s="9" t="s">
        <v>413</v>
      </c>
      <c r="FE435" s="9" t="s">
        <v>413</v>
      </c>
      <c r="FF435" s="9" t="s">
        <v>413</v>
      </c>
      <c r="FG435" s="9" t="s">
        <v>413</v>
      </c>
      <c r="FH435" s="9" t="s">
        <v>413</v>
      </c>
      <c r="FI435" s="9" t="s">
        <v>484</v>
      </c>
      <c r="FJ435" s="9" t="s">
        <v>415</v>
      </c>
      <c r="FK435" s="9" t="s">
        <v>484</v>
      </c>
      <c r="FL435" s="9" t="s">
        <v>484</v>
      </c>
      <c r="FM435" s="9" t="s">
        <v>484</v>
      </c>
      <c r="FN435" s="9" t="s">
        <v>484</v>
      </c>
      <c r="FO435" s="9" t="s">
        <v>417</v>
      </c>
      <c r="FP435" s="9" t="s">
        <v>2524</v>
      </c>
      <c r="FQ435" s="9" t="s">
        <v>712</v>
      </c>
      <c r="FR435" s="9" t="s">
        <v>8599</v>
      </c>
      <c r="FS435" s="9" t="s">
        <v>1076</v>
      </c>
      <c r="FT435" s="9" t="s">
        <v>488</v>
      </c>
      <c r="FU435" s="9" t="s">
        <v>585</v>
      </c>
      <c r="FV435" s="9" t="s">
        <v>490</v>
      </c>
      <c r="FW435" s="9" t="s">
        <v>491</v>
      </c>
      <c r="FX435" s="9" t="s">
        <v>8600</v>
      </c>
      <c r="FY435" s="9" t="s">
        <v>493</v>
      </c>
      <c r="FZ435" s="9" t="s">
        <v>8601</v>
      </c>
      <c r="GA435" s="9" t="s">
        <v>408</v>
      </c>
      <c r="GB435" s="9" t="s">
        <v>455</v>
      </c>
      <c r="GC435" s="9"/>
      <c r="GE435" s="9" t="s">
        <v>1339</v>
      </c>
      <c r="GJ435" s="9" t="s">
        <v>920</v>
      </c>
      <c r="GK435" s="9" t="s">
        <v>789</v>
      </c>
      <c r="GL435" s="9" t="s">
        <v>817</v>
      </c>
      <c r="GQ435" s="9" t="s">
        <v>4653</v>
      </c>
      <c r="GR435" s="9" t="s">
        <v>4774</v>
      </c>
      <c r="GV435" s="9" t="s">
        <v>5231</v>
      </c>
      <c r="GW435" s="9" t="s">
        <v>5232</v>
      </c>
      <c r="GX435" s="9" t="s">
        <v>484</v>
      </c>
      <c r="GY435" s="9" t="s">
        <v>5233</v>
      </c>
      <c r="GZ435" s="9" t="s">
        <v>484</v>
      </c>
      <c r="HA435" s="9" t="s">
        <v>5369</v>
      </c>
      <c r="HB435" s="9" t="s">
        <v>5468</v>
      </c>
      <c r="HO435" s="9" t="s">
        <v>5301</v>
      </c>
      <c r="HP435" s="9" t="s">
        <v>5302</v>
      </c>
      <c r="HQ435" s="9" t="s">
        <v>5238</v>
      </c>
      <c r="HR435" s="9" t="s">
        <v>913</v>
      </c>
      <c r="MJ435" s="9" t="s">
        <v>6321</v>
      </c>
    </row>
    <row r="436" ht="22.5" customHeight="1">
      <c r="A436" s="8">
        <v>46066.35949877315</v>
      </c>
      <c r="B436" s="9" t="s">
        <v>368</v>
      </c>
      <c r="C436" s="9" t="s">
        <v>370</v>
      </c>
      <c r="D436" s="9" t="s">
        <v>370</v>
      </c>
      <c r="E436" s="9" t="s">
        <v>2359</v>
      </c>
      <c r="F436" s="9" t="s">
        <v>2359</v>
      </c>
      <c r="G436" s="9" t="s">
        <v>422</v>
      </c>
      <c r="H436" s="9" t="s">
        <v>496</v>
      </c>
      <c r="I436" s="9" t="s">
        <v>374</v>
      </c>
      <c r="J436" s="9" t="s">
        <v>375</v>
      </c>
      <c r="K436" s="9" t="s">
        <v>376</v>
      </c>
      <c r="L436" s="9" t="s">
        <v>591</v>
      </c>
      <c r="M436" s="9" t="s">
        <v>719</v>
      </c>
      <c r="N436" s="9" t="s">
        <v>591</v>
      </c>
      <c r="O436" s="9" t="s">
        <v>380</v>
      </c>
      <c r="P436" s="9" t="s">
        <v>498</v>
      </c>
      <c r="Q436" s="9" t="s">
        <v>818</v>
      </c>
      <c r="R436" s="9" t="s">
        <v>500</v>
      </c>
      <c r="S436" s="9" t="s">
        <v>384</v>
      </c>
      <c r="T436" s="9" t="s">
        <v>385</v>
      </c>
      <c r="W436" s="9" t="s">
        <v>3231</v>
      </c>
      <c r="AV436" s="9" t="s">
        <v>390</v>
      </c>
      <c r="AW436" s="9" t="s">
        <v>429</v>
      </c>
      <c r="AX436" s="9" t="s">
        <v>429</v>
      </c>
      <c r="AY436" s="9">
        <v>2.0</v>
      </c>
      <c r="AZ436" s="9" t="s">
        <v>429</v>
      </c>
      <c r="BA436" s="9" t="s">
        <v>429</v>
      </c>
      <c r="BB436" s="9" t="s">
        <v>429</v>
      </c>
      <c r="BC436" s="9" t="s">
        <v>8602</v>
      </c>
      <c r="BD436" s="9" t="s">
        <v>8603</v>
      </c>
      <c r="BE436" s="9" t="s">
        <v>392</v>
      </c>
      <c r="BF436" s="9" t="s">
        <v>433</v>
      </c>
      <c r="BG436" s="9" t="s">
        <v>678</v>
      </c>
      <c r="BH436" s="9" t="s">
        <v>8604</v>
      </c>
      <c r="BI436" s="9" t="s">
        <v>509</v>
      </c>
      <c r="BJ436" s="9" t="s">
        <v>8605</v>
      </c>
      <c r="BK436" s="9" t="s">
        <v>437</v>
      </c>
      <c r="BL436" s="9" t="s">
        <v>438</v>
      </c>
      <c r="BM436" s="9" t="s">
        <v>439</v>
      </c>
      <c r="BN436" s="9" t="s">
        <v>513</v>
      </c>
      <c r="CL436" s="9" t="s">
        <v>441</v>
      </c>
      <c r="CM436" s="9" t="s">
        <v>442</v>
      </c>
      <c r="CN436" s="9" t="s">
        <v>6551</v>
      </c>
      <c r="CO436" s="9" t="s">
        <v>8606</v>
      </c>
      <c r="CP436" s="9" t="s">
        <v>979</v>
      </c>
      <c r="CQ436" s="9" t="s">
        <v>8607</v>
      </c>
      <c r="CR436" s="9" t="s">
        <v>447</v>
      </c>
      <c r="CS436" s="9" t="s">
        <v>8608</v>
      </c>
      <c r="CU436" s="9" t="s">
        <v>519</v>
      </c>
      <c r="CV436" s="9" t="s">
        <v>451</v>
      </c>
      <c r="CW436" s="9" t="s">
        <v>8609</v>
      </c>
      <c r="CX436" s="9" t="s">
        <v>408</v>
      </c>
      <c r="CZ436" s="9" t="s">
        <v>453</v>
      </c>
      <c r="DA436" s="9" t="s">
        <v>8610</v>
      </c>
      <c r="DB436" s="9" t="s">
        <v>455</v>
      </c>
      <c r="DC436" s="9" t="s">
        <v>8611</v>
      </c>
      <c r="DD436" s="9" t="s">
        <v>662</v>
      </c>
      <c r="DE436" s="9" t="s">
        <v>691</v>
      </c>
      <c r="DF436" s="9" t="s">
        <v>8612</v>
      </c>
      <c r="DG436" s="9" t="s">
        <v>776</v>
      </c>
      <c r="DH436" s="9" t="s">
        <v>410</v>
      </c>
      <c r="DI436" s="9" t="s">
        <v>459</v>
      </c>
      <c r="DJ436" s="9" t="s">
        <v>613</v>
      </c>
      <c r="ET436" s="9" t="s">
        <v>526</v>
      </c>
      <c r="EU436" s="9" t="s">
        <v>479</v>
      </c>
      <c r="EV436" s="9" t="s">
        <v>663</v>
      </c>
      <c r="EX436" s="9" t="s">
        <v>8613</v>
      </c>
      <c r="EY436" s="9" t="s">
        <v>8614</v>
      </c>
      <c r="EZ436" s="9" t="s">
        <v>413</v>
      </c>
      <c r="FA436" s="9" t="s">
        <v>413</v>
      </c>
      <c r="FB436" s="9" t="s">
        <v>413</v>
      </c>
      <c r="FC436" s="9" t="s">
        <v>413</v>
      </c>
      <c r="FD436" s="9" t="s">
        <v>413</v>
      </c>
      <c r="FE436" s="9" t="s">
        <v>413</v>
      </c>
      <c r="FF436" s="9" t="s">
        <v>413</v>
      </c>
      <c r="FG436" s="9" t="s">
        <v>413</v>
      </c>
      <c r="FH436" s="9" t="s">
        <v>413</v>
      </c>
      <c r="FI436" s="9" t="s">
        <v>416</v>
      </c>
      <c r="FJ436" s="9" t="s">
        <v>416</v>
      </c>
      <c r="FK436" s="9" t="s">
        <v>583</v>
      </c>
      <c r="FL436" s="9" t="s">
        <v>583</v>
      </c>
      <c r="FM436" s="9" t="s">
        <v>583</v>
      </c>
      <c r="FN436" s="9" t="s">
        <v>583</v>
      </c>
      <c r="FO436" s="9" t="s">
        <v>485</v>
      </c>
      <c r="FP436" s="9" t="s">
        <v>418</v>
      </c>
      <c r="FQ436" s="9" t="s">
        <v>1039</v>
      </c>
      <c r="FR436" s="9" t="s">
        <v>8615</v>
      </c>
      <c r="FS436" s="9" t="s">
        <v>420</v>
      </c>
      <c r="FT436" s="9" t="s">
        <v>488</v>
      </c>
      <c r="FU436" s="9" t="s">
        <v>918</v>
      </c>
      <c r="FV436" s="9" t="s">
        <v>490</v>
      </c>
      <c r="FW436" s="9" t="s">
        <v>491</v>
      </c>
      <c r="FX436" s="9" t="s">
        <v>8616</v>
      </c>
      <c r="FY436" s="9" t="s">
        <v>535</v>
      </c>
      <c r="FZ436" s="9" t="s">
        <v>8617</v>
      </c>
      <c r="GB436" s="9" t="s">
        <v>408</v>
      </c>
      <c r="GG436" s="9" t="s">
        <v>1000</v>
      </c>
      <c r="GH436" s="9" t="s">
        <v>1000</v>
      </c>
      <c r="GI436" s="9" t="s">
        <v>946</v>
      </c>
      <c r="GP436" s="9" t="s">
        <v>387</v>
      </c>
      <c r="GQ436" s="9" t="s">
        <v>3208</v>
      </c>
      <c r="GT436" s="9" t="s">
        <v>4741</v>
      </c>
      <c r="GU436" s="9" t="s">
        <v>8618</v>
      </c>
      <c r="GV436" s="9" t="s">
        <v>5231</v>
      </c>
      <c r="GW436" s="9" t="s">
        <v>5232</v>
      </c>
      <c r="HC436" s="9" t="s">
        <v>5297</v>
      </c>
      <c r="HD436" s="9" t="s">
        <v>5298</v>
      </c>
      <c r="HE436" s="9" t="s">
        <v>5492</v>
      </c>
      <c r="HF436" s="9" t="s">
        <v>5300</v>
      </c>
      <c r="HO436" s="9" t="s">
        <v>5346</v>
      </c>
      <c r="HP436" s="9" t="s">
        <v>5237</v>
      </c>
      <c r="HQ436" s="9" t="s">
        <v>5238</v>
      </c>
      <c r="HR436" s="9" t="s">
        <v>5347</v>
      </c>
      <c r="HW436" s="9" t="s">
        <v>8619</v>
      </c>
      <c r="MJ436" s="9" t="s">
        <v>6321</v>
      </c>
    </row>
    <row r="437" ht="22.5" customHeight="1">
      <c r="A437" s="8">
        <v>46066.93613185185</v>
      </c>
      <c r="B437" s="9" t="s">
        <v>368</v>
      </c>
      <c r="C437" s="9" t="s">
        <v>370</v>
      </c>
      <c r="D437" s="9" t="s">
        <v>370</v>
      </c>
      <c r="E437" s="9" t="s">
        <v>371</v>
      </c>
      <c r="F437" s="9" t="s">
        <v>371</v>
      </c>
      <c r="G437" s="9" t="s">
        <v>422</v>
      </c>
      <c r="H437" s="9" t="s">
        <v>373</v>
      </c>
      <c r="I437" s="9" t="s">
        <v>374</v>
      </c>
      <c r="J437" s="9" t="s">
        <v>375</v>
      </c>
      <c r="K437" s="9" t="s">
        <v>376</v>
      </c>
      <c r="L437" s="9" t="s">
        <v>793</v>
      </c>
      <c r="M437" s="9" t="s">
        <v>639</v>
      </c>
      <c r="N437" s="9" t="s">
        <v>591</v>
      </c>
      <c r="O437" s="9" t="s">
        <v>671</v>
      </c>
      <c r="P437" s="9" t="s">
        <v>381</v>
      </c>
      <c r="Q437" s="9" t="s">
        <v>499</v>
      </c>
      <c r="R437" s="9" t="s">
        <v>949</v>
      </c>
      <c r="S437" s="9" t="s">
        <v>384</v>
      </c>
      <c r="T437" s="9" t="s">
        <v>385</v>
      </c>
      <c r="W437" s="9" t="s">
        <v>593</v>
      </c>
      <c r="X437" s="9" t="s">
        <v>387</v>
      </c>
      <c r="Y437" s="9" t="s">
        <v>897</v>
      </c>
      <c r="Z437" s="9" t="s">
        <v>502</v>
      </c>
      <c r="AA437" s="9" t="s">
        <v>8620</v>
      </c>
      <c r="AB437" s="9" t="s">
        <v>8621</v>
      </c>
      <c r="AV437" s="9" t="s">
        <v>1310</v>
      </c>
      <c r="AW437" s="9">
        <v>4.0</v>
      </c>
      <c r="AX437" s="9" t="s">
        <v>391</v>
      </c>
      <c r="AY437" s="9">
        <v>4.0</v>
      </c>
      <c r="AZ437" s="9" t="s">
        <v>391</v>
      </c>
      <c r="BA437" s="9" t="s">
        <v>391</v>
      </c>
      <c r="BB437" s="9">
        <v>4.0</v>
      </c>
      <c r="BC437" s="9" t="s">
        <v>8622</v>
      </c>
      <c r="BD437" s="9" t="s">
        <v>8623</v>
      </c>
      <c r="BE437" s="9" t="s">
        <v>2379</v>
      </c>
      <c r="BF437" s="9" t="s">
        <v>393</v>
      </c>
      <c r="BG437" s="9" t="s">
        <v>725</v>
      </c>
      <c r="BH437" s="9" t="s">
        <v>8624</v>
      </c>
      <c r="BI437" s="9" t="s">
        <v>509</v>
      </c>
      <c r="BJ437" s="9" t="s">
        <v>8625</v>
      </c>
      <c r="BK437" s="9" t="s">
        <v>681</v>
      </c>
      <c r="BL437" s="9" t="s">
        <v>512</v>
      </c>
      <c r="BM437" s="9" t="s">
        <v>1247</v>
      </c>
      <c r="BN437" s="9" t="s">
        <v>513</v>
      </c>
      <c r="CL437" s="9" t="s">
        <v>441</v>
      </c>
      <c r="CM437" s="9" t="s">
        <v>604</v>
      </c>
      <c r="CN437" s="9" t="s">
        <v>8626</v>
      </c>
      <c r="CO437" s="9" t="s">
        <v>8627</v>
      </c>
      <c r="CP437" s="9" t="s">
        <v>445</v>
      </c>
      <c r="CQ437" s="9" t="s">
        <v>8628</v>
      </c>
      <c r="CR437" s="9" t="s">
        <v>447</v>
      </c>
      <c r="CS437" s="9" t="s">
        <v>8629</v>
      </c>
      <c r="CT437" s="9" t="s">
        <v>8630</v>
      </c>
      <c r="CU437" s="9" t="s">
        <v>982</v>
      </c>
      <c r="CV437" s="9" t="s">
        <v>1931</v>
      </c>
      <c r="CX437" s="9" t="s">
        <v>408</v>
      </c>
      <c r="CZ437" s="9" t="s">
        <v>1962</v>
      </c>
      <c r="DB437" s="9" t="s">
        <v>408</v>
      </c>
      <c r="DD437" s="9" t="s">
        <v>406</v>
      </c>
      <c r="DE437" s="9" t="s">
        <v>1058</v>
      </c>
      <c r="DF437" s="9" t="s">
        <v>8631</v>
      </c>
      <c r="DG437" s="9" t="s">
        <v>693</v>
      </c>
      <c r="DH437" s="9" t="s">
        <v>694</v>
      </c>
      <c r="DI437" s="9" t="s">
        <v>459</v>
      </c>
      <c r="DJ437" s="9" t="s">
        <v>460</v>
      </c>
      <c r="DK437" s="9" t="s">
        <v>6335</v>
      </c>
      <c r="ET437" s="9" t="s">
        <v>478</v>
      </c>
      <c r="EU437" s="9" t="s">
        <v>479</v>
      </c>
      <c r="EV437" s="9" t="s">
        <v>1534</v>
      </c>
      <c r="EW437" s="9" t="s">
        <v>8632</v>
      </c>
      <c r="EX437" s="9" t="s">
        <v>8633</v>
      </c>
      <c r="EY437" s="9" t="s">
        <v>6933</v>
      </c>
      <c r="EZ437" s="9" t="s">
        <v>583</v>
      </c>
      <c r="FA437" s="9" t="s">
        <v>583</v>
      </c>
      <c r="FB437" s="9" t="s">
        <v>415</v>
      </c>
      <c r="FC437" s="9" t="s">
        <v>583</v>
      </c>
      <c r="FD437" s="9" t="s">
        <v>416</v>
      </c>
      <c r="FE437" s="9" t="s">
        <v>583</v>
      </c>
      <c r="FF437" s="9" t="s">
        <v>414</v>
      </c>
      <c r="FG437" s="9" t="s">
        <v>484</v>
      </c>
      <c r="FH437" s="9" t="s">
        <v>414</v>
      </c>
      <c r="FI437" s="9" t="s">
        <v>583</v>
      </c>
      <c r="FJ437" s="9" t="s">
        <v>583</v>
      </c>
      <c r="FK437" s="9" t="s">
        <v>484</v>
      </c>
      <c r="FL437" s="9" t="s">
        <v>414</v>
      </c>
      <c r="FM437" s="9" t="s">
        <v>484</v>
      </c>
      <c r="FN437" s="9" t="s">
        <v>484</v>
      </c>
      <c r="FO437" s="9" t="s">
        <v>850</v>
      </c>
      <c r="FP437" s="9" t="s">
        <v>486</v>
      </c>
      <c r="FQ437" s="9" t="s">
        <v>419</v>
      </c>
      <c r="FR437" s="9" t="s">
        <v>8634</v>
      </c>
      <c r="FS437" s="9" t="s">
        <v>1871</v>
      </c>
      <c r="FT437" s="9" t="s">
        <v>421</v>
      </c>
      <c r="FU437" s="9" t="s">
        <v>489</v>
      </c>
      <c r="FV437" s="9" t="s">
        <v>1101</v>
      </c>
      <c r="FW437" s="9" t="s">
        <v>491</v>
      </c>
      <c r="FX437" s="9" t="s">
        <v>8635</v>
      </c>
      <c r="FY437" s="9" t="s">
        <v>493</v>
      </c>
      <c r="FZ437" s="9" t="s">
        <v>8636</v>
      </c>
      <c r="GB437" s="9" t="s">
        <v>455</v>
      </c>
      <c r="GC437" s="9"/>
      <c r="GE437" s="9" t="s">
        <v>944</v>
      </c>
      <c r="GF437" s="9" t="s">
        <v>8637</v>
      </c>
      <c r="GG437" s="9" t="s">
        <v>920</v>
      </c>
      <c r="GH437" s="9" t="s">
        <v>920</v>
      </c>
      <c r="GI437" s="9" t="s">
        <v>756</v>
      </c>
      <c r="GQ437" s="9" t="s">
        <v>4653</v>
      </c>
      <c r="GT437" s="9" t="s">
        <v>5039</v>
      </c>
      <c r="GU437" s="9" t="s">
        <v>8638</v>
      </c>
      <c r="GV437" s="9" t="s">
        <v>5231</v>
      </c>
      <c r="GW437" s="9" t="s">
        <v>5232</v>
      </c>
      <c r="HC437" s="9" t="s">
        <v>5297</v>
      </c>
      <c r="HD437" s="9" t="s">
        <v>5282</v>
      </c>
      <c r="HE437" s="9" t="s">
        <v>5320</v>
      </c>
      <c r="HF437" s="9" t="s">
        <v>5284</v>
      </c>
      <c r="HO437" s="9" t="s">
        <v>5236</v>
      </c>
      <c r="HP437" s="9" t="s">
        <v>5719</v>
      </c>
      <c r="HQ437" s="9" t="s">
        <v>5286</v>
      </c>
      <c r="HR437" s="9" t="s">
        <v>5321</v>
      </c>
      <c r="HW437" s="9" t="s">
        <v>5971</v>
      </c>
      <c r="MJ437" s="9" t="s">
        <v>6321</v>
      </c>
    </row>
    <row r="438" ht="22.5" customHeight="1">
      <c r="A438" s="8">
        <v>46067.17601916667</v>
      </c>
      <c r="B438" s="9" t="s">
        <v>368</v>
      </c>
      <c r="C438" s="9" t="s">
        <v>894</v>
      </c>
      <c r="D438" s="9" t="s">
        <v>894</v>
      </c>
      <c r="G438" s="9" t="s">
        <v>422</v>
      </c>
      <c r="H438" s="9" t="s">
        <v>539</v>
      </c>
      <c r="I438" s="9" t="s">
        <v>424</v>
      </c>
      <c r="J438" s="9" t="s">
        <v>758</v>
      </c>
      <c r="K438" s="9" t="s">
        <v>376</v>
      </c>
      <c r="L438" s="9" t="s">
        <v>377</v>
      </c>
      <c r="N438" s="9" t="s">
        <v>377</v>
      </c>
      <c r="P438" s="9" t="s">
        <v>381</v>
      </c>
      <c r="R438" s="9" t="s">
        <v>427</v>
      </c>
      <c r="S438" s="9" t="s">
        <v>384</v>
      </c>
      <c r="T438" s="9" t="s">
        <v>385</v>
      </c>
      <c r="U438" s="9" t="s">
        <v>8639</v>
      </c>
      <c r="V438" s="9" t="s">
        <v>8639</v>
      </c>
      <c r="W438" s="9" t="s">
        <v>386</v>
      </c>
      <c r="X438" s="9" t="s">
        <v>387</v>
      </c>
      <c r="Y438" s="9" t="s">
        <v>388</v>
      </c>
      <c r="Z438" s="9" t="s">
        <v>543</v>
      </c>
      <c r="AV438" s="9" t="s">
        <v>1242</v>
      </c>
      <c r="AW438" s="9" t="s">
        <v>391</v>
      </c>
      <c r="AX438" s="9" t="s">
        <v>391</v>
      </c>
      <c r="AY438" s="9">
        <v>2.0</v>
      </c>
      <c r="AZ438" s="9" t="s">
        <v>391</v>
      </c>
      <c r="BA438" s="9" t="s">
        <v>391</v>
      </c>
      <c r="BB438" s="9" t="s">
        <v>391</v>
      </c>
      <c r="BE438" s="9" t="s">
        <v>432</v>
      </c>
      <c r="BF438" s="9" t="s">
        <v>1095</v>
      </c>
      <c r="BG438" s="9" t="s">
        <v>394</v>
      </c>
      <c r="BI438" s="9" t="s">
        <v>976</v>
      </c>
      <c r="BK438" s="9" t="s">
        <v>511</v>
      </c>
      <c r="BL438" s="9" t="s">
        <v>904</v>
      </c>
      <c r="BM438" s="9" t="s">
        <v>1314</v>
      </c>
      <c r="BN438" s="9" t="s">
        <v>398</v>
      </c>
      <c r="BQ438" s="9" t="s">
        <v>442</v>
      </c>
      <c r="BR438" s="9" t="s">
        <v>3323</v>
      </c>
      <c r="BS438" s="9" t="s">
        <v>403</v>
      </c>
      <c r="BT438" s="9" t="s">
        <v>1771</v>
      </c>
      <c r="BU438" s="9" t="s">
        <v>1772</v>
      </c>
      <c r="BW438" s="9" t="s">
        <v>406</v>
      </c>
      <c r="BY438" s="9" t="s">
        <v>408</v>
      </c>
      <c r="CD438" s="9" t="s">
        <v>409</v>
      </c>
      <c r="CF438" s="9" t="s">
        <v>1258</v>
      </c>
      <c r="CH438" s="9" t="s">
        <v>1259</v>
      </c>
      <c r="CI438" s="9" t="s">
        <v>410</v>
      </c>
      <c r="CJ438" s="9" t="s">
        <v>8640</v>
      </c>
      <c r="DI438" s="9" t="s">
        <v>459</v>
      </c>
      <c r="DJ438" s="9" t="s">
        <v>562</v>
      </c>
      <c r="DK438" s="9" t="s">
        <v>6319</v>
      </c>
      <c r="ET438" s="9" t="s">
        <v>526</v>
      </c>
      <c r="EU438" s="9" t="s">
        <v>887</v>
      </c>
      <c r="EV438" s="9" t="s">
        <v>527</v>
      </c>
      <c r="EZ438" s="9" t="s">
        <v>413</v>
      </c>
      <c r="FA438" s="9" t="s">
        <v>413</v>
      </c>
      <c r="FB438" s="9" t="s">
        <v>413</v>
      </c>
      <c r="FC438" s="9" t="s">
        <v>413</v>
      </c>
      <c r="FD438" s="9" t="s">
        <v>413</v>
      </c>
      <c r="FE438" s="9" t="s">
        <v>413</v>
      </c>
      <c r="FF438" s="9" t="s">
        <v>413</v>
      </c>
      <c r="FG438" s="9" t="s">
        <v>413</v>
      </c>
      <c r="FH438" s="9" t="s">
        <v>413</v>
      </c>
      <c r="FI438" s="9" t="s">
        <v>413</v>
      </c>
      <c r="FJ438" s="9" t="s">
        <v>413</v>
      </c>
      <c r="FK438" s="9" t="s">
        <v>413</v>
      </c>
      <c r="FL438" s="9" t="s">
        <v>413</v>
      </c>
      <c r="FM438" s="9" t="s">
        <v>413</v>
      </c>
      <c r="FN438" s="9" t="s">
        <v>413</v>
      </c>
      <c r="FO438" s="9" t="s">
        <v>485</v>
      </c>
      <c r="FP438" s="9" t="s">
        <v>418</v>
      </c>
      <c r="FQ438" s="9" t="s">
        <v>1039</v>
      </c>
      <c r="FS438" s="9" t="s">
        <v>420</v>
      </c>
      <c r="FT438" s="9" t="s">
        <v>488</v>
      </c>
      <c r="FU438" s="9" t="s">
        <v>585</v>
      </c>
      <c r="FV438" s="9" t="s">
        <v>490</v>
      </c>
      <c r="FW438" s="9" t="s">
        <v>491</v>
      </c>
      <c r="FY438" s="9" t="s">
        <v>1854</v>
      </c>
      <c r="GB438" s="9" t="s">
        <v>455</v>
      </c>
      <c r="GC438" s="9"/>
      <c r="GE438" s="9" t="s">
        <v>786</v>
      </c>
      <c r="GJ438" s="9" t="s">
        <v>755</v>
      </c>
      <c r="GK438" s="9" t="s">
        <v>755</v>
      </c>
      <c r="GL438" s="9" t="s">
        <v>946</v>
      </c>
      <c r="GQ438" s="9" t="s">
        <v>4653</v>
      </c>
      <c r="GR438" s="9" t="s">
        <v>5170</v>
      </c>
      <c r="GV438" s="9" t="s">
        <v>5231</v>
      </c>
      <c r="GW438" s="9" t="s">
        <v>5232</v>
      </c>
      <c r="GX438" s="9" t="s">
        <v>7007</v>
      </c>
      <c r="GY438" s="9" t="s">
        <v>5233</v>
      </c>
      <c r="GZ438" s="9" t="s">
        <v>484</v>
      </c>
      <c r="HA438" s="9" t="s">
        <v>484</v>
      </c>
      <c r="HB438" s="9" t="s">
        <v>913</v>
      </c>
      <c r="HO438" s="9" t="s">
        <v>5285</v>
      </c>
      <c r="HP438" s="9" t="s">
        <v>5264</v>
      </c>
      <c r="HQ438" s="9" t="s">
        <v>5238</v>
      </c>
      <c r="HR438" s="9" t="s">
        <v>5347</v>
      </c>
      <c r="MJ438" s="9" t="s">
        <v>6321</v>
      </c>
    </row>
    <row r="439" ht="22.5" customHeight="1">
      <c r="A439" s="8">
        <v>46069.69560907407</v>
      </c>
      <c r="B439" s="9" t="s">
        <v>368</v>
      </c>
      <c r="C439" s="9" t="s">
        <v>8641</v>
      </c>
      <c r="G439" s="9" t="s">
        <v>636</v>
      </c>
      <c r="H439" s="9" t="s">
        <v>1921</v>
      </c>
      <c r="I439" s="9" t="s">
        <v>668</v>
      </c>
      <c r="J439" s="9" t="s">
        <v>540</v>
      </c>
      <c r="L439" s="9" t="s">
        <v>670</v>
      </c>
      <c r="M439" s="9" t="s">
        <v>3352</v>
      </c>
      <c r="N439" s="9" t="s">
        <v>670</v>
      </c>
      <c r="O439" s="9" t="s">
        <v>671</v>
      </c>
      <c r="P439" s="9" t="s">
        <v>1504</v>
      </c>
      <c r="Q439" s="9" t="s">
        <v>382</v>
      </c>
      <c r="R439" s="9" t="s">
        <v>427</v>
      </c>
      <c r="S439" s="9" t="s">
        <v>384</v>
      </c>
      <c r="T439" s="9" t="s">
        <v>385</v>
      </c>
      <c r="W439" s="9" t="s">
        <v>3014</v>
      </c>
      <c r="AV439" s="9" t="s">
        <v>390</v>
      </c>
      <c r="AW439" s="9">
        <v>4.0</v>
      </c>
      <c r="AX439" s="9">
        <v>4.0</v>
      </c>
      <c r="AY439" s="9" t="s">
        <v>429</v>
      </c>
      <c r="AZ439" s="9">
        <v>2.0</v>
      </c>
      <c r="BA439" s="9" t="s">
        <v>675</v>
      </c>
      <c r="BB439" s="9" t="s">
        <v>675</v>
      </c>
      <c r="BC439" s="9" t="s">
        <v>8642</v>
      </c>
      <c r="BD439" s="9" t="s">
        <v>8643</v>
      </c>
      <c r="BE439" s="9" t="s">
        <v>392</v>
      </c>
      <c r="BF439" s="9" t="s">
        <v>433</v>
      </c>
      <c r="BG439" s="9" t="s">
        <v>434</v>
      </c>
      <c r="BH439" s="9" t="s">
        <v>8644</v>
      </c>
      <c r="BI439" s="9" t="s">
        <v>976</v>
      </c>
      <c r="BK439" s="9" t="s">
        <v>602</v>
      </c>
      <c r="BL439" s="9" t="s">
        <v>438</v>
      </c>
      <c r="BM439" s="9" t="s">
        <v>549</v>
      </c>
      <c r="BN439" s="9" t="s">
        <v>513</v>
      </c>
      <c r="CL439" s="9" t="s">
        <v>550</v>
      </c>
      <c r="CM439" s="9" t="s">
        <v>442</v>
      </c>
      <c r="CN439" s="9" t="s">
        <v>8645</v>
      </c>
      <c r="CO439" s="9" t="s">
        <v>8646</v>
      </c>
      <c r="CP439" s="9" t="s">
        <v>1948</v>
      </c>
      <c r="CR439" s="9" t="s">
        <v>404</v>
      </c>
      <c r="CS439" s="9" t="s">
        <v>8647</v>
      </c>
      <c r="CT439" s="9" t="s">
        <v>8648</v>
      </c>
      <c r="CU439" s="9" t="s">
        <v>450</v>
      </c>
      <c r="CV439" s="9" t="s">
        <v>959</v>
      </c>
      <c r="CW439" s="9" t="s">
        <v>8649</v>
      </c>
      <c r="CX439" s="9" t="s">
        <v>408</v>
      </c>
      <c r="CZ439" s="9" t="s">
        <v>453</v>
      </c>
      <c r="DA439" s="9" t="s">
        <v>8650</v>
      </c>
      <c r="DB439" s="9" t="s">
        <v>455</v>
      </c>
      <c r="DC439" s="9" t="s">
        <v>8651</v>
      </c>
      <c r="DD439" s="9" t="s">
        <v>662</v>
      </c>
      <c r="DE439" s="9" t="s">
        <v>407</v>
      </c>
      <c r="DF439" s="9" t="s">
        <v>8652</v>
      </c>
      <c r="DG439" s="9" t="s">
        <v>524</v>
      </c>
      <c r="DH439" s="9" t="s">
        <v>410</v>
      </c>
      <c r="DI439" s="9" t="s">
        <v>963</v>
      </c>
      <c r="ET439" s="9" t="s">
        <v>526</v>
      </c>
      <c r="EU439" s="9" t="s">
        <v>887</v>
      </c>
      <c r="EV439" s="9" t="s">
        <v>1534</v>
      </c>
      <c r="EW439" s="9" t="s">
        <v>8653</v>
      </c>
      <c r="EX439" s="9" t="s">
        <v>8654</v>
      </c>
      <c r="EY439" s="9" t="s">
        <v>8655</v>
      </c>
      <c r="EZ439" s="9" t="s">
        <v>413</v>
      </c>
      <c r="FA439" s="9" t="s">
        <v>413</v>
      </c>
      <c r="FB439" s="9" t="s">
        <v>413</v>
      </c>
      <c r="FC439" s="9" t="s">
        <v>413</v>
      </c>
      <c r="FD439" s="9" t="s">
        <v>413</v>
      </c>
      <c r="FE439" s="9" t="s">
        <v>416</v>
      </c>
      <c r="FF439" s="9" t="s">
        <v>413</v>
      </c>
      <c r="FG439" s="9" t="s">
        <v>413</v>
      </c>
      <c r="FH439" s="9" t="s">
        <v>413</v>
      </c>
      <c r="FI439" s="9" t="s">
        <v>416</v>
      </c>
      <c r="FJ439" s="9" t="s">
        <v>413</v>
      </c>
      <c r="FK439" s="9" t="s">
        <v>416</v>
      </c>
      <c r="FL439" s="9" t="s">
        <v>413</v>
      </c>
      <c r="FM439" s="9" t="s">
        <v>413</v>
      </c>
      <c r="FN439" s="9" t="s">
        <v>416</v>
      </c>
      <c r="FO439" s="9" t="s">
        <v>485</v>
      </c>
      <c r="FP439" s="9" t="s">
        <v>418</v>
      </c>
      <c r="FQ439" s="9" t="s">
        <v>531</v>
      </c>
      <c r="FR439" s="9" t="s">
        <v>8656</v>
      </c>
      <c r="FS439" s="9" t="s">
        <v>420</v>
      </c>
      <c r="FT439" s="9" t="s">
        <v>488</v>
      </c>
      <c r="FU439" s="9" t="s">
        <v>918</v>
      </c>
      <c r="FV439" s="9" t="s">
        <v>490</v>
      </c>
      <c r="FW439" s="9" t="s">
        <v>491</v>
      </c>
      <c r="FX439" s="9" t="s">
        <v>8657</v>
      </c>
      <c r="FY439" s="9" t="s">
        <v>535</v>
      </c>
      <c r="FZ439" s="9" t="s">
        <v>8658</v>
      </c>
      <c r="GA439" s="9" t="s">
        <v>8659</v>
      </c>
      <c r="GB439" s="9" t="s">
        <v>455</v>
      </c>
      <c r="GC439" s="9"/>
      <c r="GE439" s="9" t="s">
        <v>753</v>
      </c>
      <c r="GF439" s="9" t="s">
        <v>8660</v>
      </c>
      <c r="GG439" s="9" t="s">
        <v>1000</v>
      </c>
      <c r="GH439" s="9" t="s">
        <v>1000</v>
      </c>
      <c r="GI439" s="9" t="s">
        <v>946</v>
      </c>
      <c r="GQ439" s="9" t="s">
        <v>4653</v>
      </c>
      <c r="GT439" s="9" t="s">
        <v>5081</v>
      </c>
      <c r="GU439" s="9" t="s">
        <v>8661</v>
      </c>
      <c r="GV439" s="9" t="s">
        <v>5231</v>
      </c>
      <c r="GW439" s="9" t="s">
        <v>484</v>
      </c>
      <c r="HC439" s="9" t="s">
        <v>6053</v>
      </c>
      <c r="HD439" s="9" t="s">
        <v>5349</v>
      </c>
      <c r="HE439" s="9" t="s">
        <v>5492</v>
      </c>
      <c r="HF439" s="9" t="s">
        <v>5768</v>
      </c>
      <c r="HO439" s="9" t="s">
        <v>5236</v>
      </c>
      <c r="HP439" s="9" t="s">
        <v>5264</v>
      </c>
      <c r="HQ439" s="9" t="s">
        <v>5238</v>
      </c>
      <c r="HR439" s="9" t="s">
        <v>913</v>
      </c>
      <c r="HW439" s="9" t="s">
        <v>5541</v>
      </c>
      <c r="MJ439" s="9" t="s">
        <v>6321</v>
      </c>
    </row>
    <row r="440" ht="22.5" customHeight="1">
      <c r="A440" s="8">
        <v>46069.74153994213</v>
      </c>
      <c r="B440" s="9" t="s">
        <v>368</v>
      </c>
      <c r="C440" s="9" t="s">
        <v>370</v>
      </c>
      <c r="D440" s="9" t="s">
        <v>370</v>
      </c>
      <c r="E440" s="9" t="s">
        <v>6634</v>
      </c>
      <c r="F440" s="9" t="s">
        <v>6634</v>
      </c>
      <c r="G440" s="9" t="s">
        <v>422</v>
      </c>
      <c r="H440" s="9" t="s">
        <v>373</v>
      </c>
      <c r="I440" s="9" t="s">
        <v>374</v>
      </c>
      <c r="J440" s="9" t="s">
        <v>540</v>
      </c>
      <c r="K440" s="9" t="s">
        <v>376</v>
      </c>
      <c r="L440" s="9" t="s">
        <v>591</v>
      </c>
      <c r="M440" s="9" t="s">
        <v>639</v>
      </c>
      <c r="N440" s="9" t="s">
        <v>670</v>
      </c>
      <c r="O440" s="9" t="s">
        <v>719</v>
      </c>
      <c r="P440" s="9" t="s">
        <v>498</v>
      </c>
      <c r="Q440" s="9" t="s">
        <v>499</v>
      </c>
      <c r="R440" s="9" t="s">
        <v>427</v>
      </c>
      <c r="S440" s="9" t="s">
        <v>384</v>
      </c>
      <c r="T440" s="9" t="s">
        <v>385</v>
      </c>
      <c r="W440" s="9" t="s">
        <v>386</v>
      </c>
      <c r="X440" s="9" t="s">
        <v>387</v>
      </c>
      <c r="Y440" s="9" t="s">
        <v>897</v>
      </c>
      <c r="Z440" s="9" t="s">
        <v>543</v>
      </c>
      <c r="AA440" s="9" t="s">
        <v>8662</v>
      </c>
      <c r="AB440" s="9" t="s">
        <v>8663</v>
      </c>
      <c r="AV440" s="9" t="s">
        <v>1310</v>
      </c>
      <c r="AW440" s="9">
        <v>4.0</v>
      </c>
      <c r="AX440" s="9">
        <v>4.0</v>
      </c>
      <c r="AY440" s="9">
        <v>4.0</v>
      </c>
      <c r="AZ440" s="9">
        <v>4.0</v>
      </c>
      <c r="BA440" s="9">
        <v>4.0</v>
      </c>
      <c r="BB440" s="9">
        <v>4.0</v>
      </c>
      <c r="BC440" s="9" t="s">
        <v>8664</v>
      </c>
      <c r="BD440" s="9" t="s">
        <v>8665</v>
      </c>
      <c r="BE440" s="9" t="s">
        <v>902</v>
      </c>
      <c r="BF440" s="9" t="s">
        <v>1245</v>
      </c>
      <c r="BG440" s="9" t="s">
        <v>725</v>
      </c>
      <c r="BH440" s="9" t="s">
        <v>8666</v>
      </c>
      <c r="BI440" s="9" t="s">
        <v>435</v>
      </c>
      <c r="BJ440" s="9" t="s">
        <v>8667</v>
      </c>
      <c r="BK440" s="9" t="s">
        <v>681</v>
      </c>
      <c r="BL440" s="9" t="s">
        <v>603</v>
      </c>
      <c r="BM440" s="9" t="s">
        <v>1247</v>
      </c>
      <c r="BN440" s="9" t="s">
        <v>440</v>
      </c>
      <c r="CL440" s="9" t="s">
        <v>441</v>
      </c>
      <c r="CM440" s="9" t="s">
        <v>604</v>
      </c>
      <c r="CN440" s="9" t="s">
        <v>8668</v>
      </c>
      <c r="CO440" s="9" t="s">
        <v>8669</v>
      </c>
      <c r="CP440" s="9" t="s">
        <v>1948</v>
      </c>
      <c r="CQ440" s="9" t="s">
        <v>1568</v>
      </c>
      <c r="CR440" s="9" t="s">
        <v>804</v>
      </c>
      <c r="CS440" s="9" t="s">
        <v>8670</v>
      </c>
      <c r="CT440" s="9" t="s">
        <v>8671</v>
      </c>
      <c r="CU440" s="9" t="s">
        <v>450</v>
      </c>
      <c r="CV440" s="9" t="s">
        <v>2248</v>
      </c>
      <c r="CX440" s="9" t="s">
        <v>455</v>
      </c>
      <c r="CY440" s="9" t="s">
        <v>8672</v>
      </c>
      <c r="CZ440" s="9" t="s">
        <v>1398</v>
      </c>
      <c r="DB440" s="9" t="s">
        <v>408</v>
      </c>
      <c r="DD440" s="9" t="s">
        <v>457</v>
      </c>
      <c r="DF440" s="9" t="s">
        <v>8673</v>
      </c>
      <c r="DG440" s="9" t="s">
        <v>524</v>
      </c>
      <c r="DH440" s="9" t="s">
        <v>1964</v>
      </c>
      <c r="DI440" s="9" t="s">
        <v>459</v>
      </c>
      <c r="DJ440" s="9" t="s">
        <v>1403</v>
      </c>
      <c r="DK440" s="9" t="s">
        <v>6335</v>
      </c>
      <c r="DM440" s="9" t="s">
        <v>8674</v>
      </c>
      <c r="DN440" s="9" t="s">
        <v>8675</v>
      </c>
      <c r="DO440" s="9" t="s">
        <v>1063</v>
      </c>
      <c r="DP440" s="9" t="s">
        <v>8676</v>
      </c>
      <c r="DQ440" s="9" t="s">
        <v>837</v>
      </c>
      <c r="DR440" s="9" t="s">
        <v>8677</v>
      </c>
      <c r="DS440" s="9" t="s">
        <v>839</v>
      </c>
      <c r="DT440" s="9" t="s">
        <v>740</v>
      </c>
      <c r="DU440" s="9" t="s">
        <v>8678</v>
      </c>
      <c r="DV440" s="9" t="s">
        <v>8679</v>
      </c>
      <c r="DW440" s="9" t="s">
        <v>1328</v>
      </c>
      <c r="DX440" s="9" t="s">
        <v>8680</v>
      </c>
      <c r="DY440" s="9" t="s">
        <v>8681</v>
      </c>
      <c r="DZ440" s="9" t="s">
        <v>8682</v>
      </c>
      <c r="EA440" s="9" t="s">
        <v>475</v>
      </c>
      <c r="EB440" s="9" t="s">
        <v>476</v>
      </c>
      <c r="ET440" s="9" t="s">
        <v>526</v>
      </c>
      <c r="EU440" s="9" t="s">
        <v>479</v>
      </c>
      <c r="EV440" s="9" t="s">
        <v>527</v>
      </c>
      <c r="EW440" s="9" t="s">
        <v>8683</v>
      </c>
      <c r="EX440" s="9" t="s">
        <v>8684</v>
      </c>
      <c r="EY440" s="9" t="s">
        <v>8685</v>
      </c>
      <c r="EZ440" s="9" t="s">
        <v>414</v>
      </c>
      <c r="FA440" s="9" t="s">
        <v>414</v>
      </c>
      <c r="FB440" s="9" t="s">
        <v>415</v>
      </c>
      <c r="FC440" s="9" t="s">
        <v>414</v>
      </c>
      <c r="FD440" s="9" t="s">
        <v>415</v>
      </c>
      <c r="FE440" s="9" t="s">
        <v>415</v>
      </c>
      <c r="FF440" s="9" t="s">
        <v>414</v>
      </c>
      <c r="FG440" s="9" t="s">
        <v>414</v>
      </c>
      <c r="FH440" s="9" t="s">
        <v>414</v>
      </c>
      <c r="FI440" s="9" t="s">
        <v>414</v>
      </c>
      <c r="FJ440" s="9" t="s">
        <v>414</v>
      </c>
      <c r="FK440" s="9" t="s">
        <v>414</v>
      </c>
      <c r="FL440" s="9" t="s">
        <v>414</v>
      </c>
      <c r="FM440" s="9" t="s">
        <v>414</v>
      </c>
      <c r="FN440" s="9" t="s">
        <v>414</v>
      </c>
      <c r="FO440" s="9" t="s">
        <v>1074</v>
      </c>
      <c r="FP440" s="9" t="s">
        <v>1200</v>
      </c>
      <c r="FQ440" s="9" t="s">
        <v>419</v>
      </c>
      <c r="FR440" s="9" t="s">
        <v>8686</v>
      </c>
      <c r="FS440" s="9" t="s">
        <v>420</v>
      </c>
      <c r="FT440" s="9" t="s">
        <v>488</v>
      </c>
      <c r="FU440" s="9" t="s">
        <v>918</v>
      </c>
      <c r="FV440" s="9" t="s">
        <v>490</v>
      </c>
      <c r="FW440" s="9" t="s">
        <v>491</v>
      </c>
      <c r="FX440" s="9" t="s">
        <v>8687</v>
      </c>
      <c r="FY440" s="9" t="s">
        <v>535</v>
      </c>
      <c r="FZ440" s="9" t="s">
        <v>8688</v>
      </c>
      <c r="GB440" s="9" t="s">
        <v>455</v>
      </c>
      <c r="GC440" s="9"/>
      <c r="GE440" s="9" t="s">
        <v>1339</v>
      </c>
      <c r="GF440" s="9" t="s">
        <v>8689</v>
      </c>
      <c r="GG440" s="9" t="s">
        <v>788</v>
      </c>
      <c r="GH440" s="9" t="s">
        <v>857</v>
      </c>
      <c r="GI440" s="9" t="s">
        <v>790</v>
      </c>
      <c r="GM440" s="9" t="s">
        <v>1079</v>
      </c>
      <c r="GQ440" s="9" t="s">
        <v>8690</v>
      </c>
      <c r="GT440" s="9" t="s">
        <v>4774</v>
      </c>
      <c r="GV440" s="9" t="s">
        <v>5231</v>
      </c>
      <c r="GW440" s="9" t="s">
        <v>5232</v>
      </c>
      <c r="HC440" s="9" t="s">
        <v>5297</v>
      </c>
      <c r="HD440" s="9" t="s">
        <v>5282</v>
      </c>
      <c r="HE440" s="9" t="s">
        <v>5320</v>
      </c>
      <c r="HF440" s="9" t="s">
        <v>5899</v>
      </c>
      <c r="HG440" s="9" t="s">
        <v>8691</v>
      </c>
      <c r="HH440" s="9" t="s">
        <v>6242</v>
      </c>
      <c r="HI440" s="9" t="s">
        <v>8692</v>
      </c>
      <c r="HJ440" s="9" t="s">
        <v>8693</v>
      </c>
      <c r="HO440" s="9" t="s">
        <v>5236</v>
      </c>
      <c r="HP440" s="9" t="s">
        <v>5302</v>
      </c>
      <c r="HQ440" s="9" t="s">
        <v>5238</v>
      </c>
      <c r="HR440" s="9" t="s">
        <v>5321</v>
      </c>
      <c r="HW440" s="9" t="s">
        <v>5501</v>
      </c>
      <c r="IN440" s="9" t="s">
        <v>5629</v>
      </c>
      <c r="IO440" s="9" t="s">
        <v>5629</v>
      </c>
      <c r="IP440" s="9" t="s">
        <v>5629</v>
      </c>
      <c r="IQ440" s="9" t="s">
        <v>5629</v>
      </c>
      <c r="IR440" s="9" t="s">
        <v>5629</v>
      </c>
      <c r="IS440" s="9" t="s">
        <v>5629</v>
      </c>
      <c r="MJ440" s="9" t="s">
        <v>6321</v>
      </c>
    </row>
    <row r="441" ht="22.5" customHeight="1">
      <c r="A441" s="8">
        <v>46070.524625185186</v>
      </c>
      <c r="B441" s="9" t="s">
        <v>368</v>
      </c>
      <c r="C441" s="9" t="s">
        <v>370</v>
      </c>
      <c r="D441" s="9" t="s">
        <v>8694</v>
      </c>
      <c r="E441" s="9" t="s">
        <v>1875</v>
      </c>
      <c r="G441" s="9" t="s">
        <v>422</v>
      </c>
      <c r="H441" s="9" t="s">
        <v>539</v>
      </c>
      <c r="I441" s="9" t="s">
        <v>424</v>
      </c>
      <c r="J441" s="9" t="s">
        <v>669</v>
      </c>
      <c r="K441" s="9" t="s">
        <v>376</v>
      </c>
      <c r="L441" s="9" t="s">
        <v>793</v>
      </c>
      <c r="M441" s="9" t="s">
        <v>1690</v>
      </c>
      <c r="N441" s="9" t="s">
        <v>670</v>
      </c>
      <c r="O441" s="9" t="s">
        <v>719</v>
      </c>
      <c r="P441" s="9" t="s">
        <v>592</v>
      </c>
      <c r="Q441" s="9" t="s">
        <v>499</v>
      </c>
      <c r="R441" s="9" t="s">
        <v>427</v>
      </c>
      <c r="S441" s="9" t="s">
        <v>384</v>
      </c>
      <c r="T441" s="9" t="s">
        <v>385</v>
      </c>
      <c r="W441" s="9" t="s">
        <v>386</v>
      </c>
      <c r="X441" s="9" t="s">
        <v>387</v>
      </c>
      <c r="Y441" s="9" t="s">
        <v>542</v>
      </c>
      <c r="Z441" s="9" t="s">
        <v>543</v>
      </c>
      <c r="AA441" s="9" t="s">
        <v>8695</v>
      </c>
      <c r="AB441" s="9" t="s">
        <v>8696</v>
      </c>
      <c r="AV441" s="9" t="s">
        <v>1242</v>
      </c>
      <c r="AW441" s="9" t="s">
        <v>675</v>
      </c>
      <c r="AX441" s="9" t="s">
        <v>675</v>
      </c>
      <c r="AY441" s="9" t="s">
        <v>675</v>
      </c>
      <c r="AZ441" s="9" t="s">
        <v>675</v>
      </c>
      <c r="BA441" s="9" t="s">
        <v>675</v>
      </c>
      <c r="BB441" s="9" t="s">
        <v>675</v>
      </c>
      <c r="BC441" s="9" t="s">
        <v>8697</v>
      </c>
      <c r="BD441" s="9" t="s">
        <v>8698</v>
      </c>
      <c r="BE441" s="9" t="s">
        <v>432</v>
      </c>
      <c r="BF441" s="9" t="s">
        <v>1095</v>
      </c>
      <c r="BG441" s="9" t="s">
        <v>394</v>
      </c>
      <c r="BI441" s="9" t="s">
        <v>976</v>
      </c>
      <c r="BJ441" s="9" t="s">
        <v>408</v>
      </c>
      <c r="BK441" s="9" t="s">
        <v>681</v>
      </c>
      <c r="BL441" s="9" t="s">
        <v>603</v>
      </c>
      <c r="BM441" s="9" t="s">
        <v>1314</v>
      </c>
      <c r="BN441" s="9" t="s">
        <v>398</v>
      </c>
      <c r="BO441" s="9" t="s">
        <v>8699</v>
      </c>
      <c r="BP441" s="9" t="s">
        <v>552</v>
      </c>
      <c r="BQ441" s="9" t="s">
        <v>604</v>
      </c>
      <c r="BR441" s="9" t="s">
        <v>1830</v>
      </c>
      <c r="BS441" s="9" t="s">
        <v>1741</v>
      </c>
      <c r="BT441" s="9" t="s">
        <v>4368</v>
      </c>
      <c r="BU441" s="9" t="s">
        <v>405</v>
      </c>
      <c r="BW441" s="9" t="s">
        <v>457</v>
      </c>
      <c r="BY441" s="9" t="s">
        <v>408</v>
      </c>
      <c r="CB441" s="9" t="s">
        <v>8700</v>
      </c>
      <c r="CC441" s="9" t="s">
        <v>8701</v>
      </c>
      <c r="CD441" s="9" t="s">
        <v>409</v>
      </c>
      <c r="CE441" s="9" t="s">
        <v>8702</v>
      </c>
      <c r="CH441" s="9" t="s">
        <v>1259</v>
      </c>
      <c r="CI441" s="9" t="s">
        <v>410</v>
      </c>
      <c r="CJ441" s="9" t="s">
        <v>8703</v>
      </c>
      <c r="CK441" s="9" t="s">
        <v>8704</v>
      </c>
      <c r="DI441" s="9" t="s">
        <v>963</v>
      </c>
      <c r="DJ441" s="9" t="s">
        <v>613</v>
      </c>
      <c r="ET441" s="9" t="s">
        <v>526</v>
      </c>
      <c r="EU441" s="9" t="s">
        <v>887</v>
      </c>
      <c r="EV441" s="9" t="s">
        <v>480</v>
      </c>
      <c r="EX441" s="9" t="s">
        <v>8705</v>
      </c>
      <c r="EZ441" s="9" t="s">
        <v>413</v>
      </c>
      <c r="FA441" s="9" t="s">
        <v>413</v>
      </c>
      <c r="FB441" s="9" t="s">
        <v>413</v>
      </c>
      <c r="FC441" s="9" t="s">
        <v>413</v>
      </c>
      <c r="FD441" s="9" t="s">
        <v>413</v>
      </c>
      <c r="FE441" s="9" t="s">
        <v>413</v>
      </c>
      <c r="FF441" s="9" t="s">
        <v>413</v>
      </c>
      <c r="FG441" s="9" t="s">
        <v>413</v>
      </c>
      <c r="FH441" s="9" t="s">
        <v>413</v>
      </c>
      <c r="FI441" s="9" t="s">
        <v>415</v>
      </c>
      <c r="FJ441" s="9" t="s">
        <v>416</v>
      </c>
      <c r="FK441" s="9" t="s">
        <v>413</v>
      </c>
      <c r="FL441" s="9" t="s">
        <v>415</v>
      </c>
      <c r="FM441" s="9" t="s">
        <v>416</v>
      </c>
      <c r="FN441" s="9" t="s">
        <v>415</v>
      </c>
      <c r="FO441" s="9" t="s">
        <v>485</v>
      </c>
      <c r="FP441" s="9" t="s">
        <v>486</v>
      </c>
      <c r="FS441" s="9" t="s">
        <v>420</v>
      </c>
      <c r="FT441" s="9" t="s">
        <v>488</v>
      </c>
      <c r="FU441" s="9" t="s">
        <v>918</v>
      </c>
      <c r="FV441" s="9" t="s">
        <v>490</v>
      </c>
      <c r="FW441" s="9" t="s">
        <v>491</v>
      </c>
      <c r="FX441" s="9" t="s">
        <v>8706</v>
      </c>
      <c r="FY441" s="9" t="s">
        <v>493</v>
      </c>
      <c r="GB441" s="9" t="s">
        <v>455</v>
      </c>
      <c r="GC441" s="9"/>
      <c r="GE441" s="9" t="s">
        <v>786</v>
      </c>
      <c r="GJ441" s="9" t="s">
        <v>920</v>
      </c>
      <c r="GK441" s="9" t="s">
        <v>920</v>
      </c>
      <c r="GL441" s="9" t="s">
        <v>817</v>
      </c>
      <c r="GO441" s="9" t="s">
        <v>8707</v>
      </c>
      <c r="GQ441" s="9" t="s">
        <v>3306</v>
      </c>
      <c r="GR441" s="9" t="s">
        <v>5039</v>
      </c>
      <c r="GS441" s="9" t="s">
        <v>408</v>
      </c>
      <c r="GV441" s="9" t="s">
        <v>5231</v>
      </c>
      <c r="GW441" s="9" t="s">
        <v>5232</v>
      </c>
      <c r="GX441" s="9" t="s">
        <v>7007</v>
      </c>
      <c r="GY441" s="9" t="s">
        <v>6013</v>
      </c>
      <c r="GZ441" s="9" t="s">
        <v>5234</v>
      </c>
      <c r="HA441" s="9" t="s">
        <v>5369</v>
      </c>
      <c r="HB441" s="9" t="s">
        <v>5370</v>
      </c>
      <c r="HO441" s="9" t="s">
        <v>5383</v>
      </c>
      <c r="HP441" s="9" t="s">
        <v>5237</v>
      </c>
      <c r="HQ441" s="9" t="s">
        <v>5238</v>
      </c>
      <c r="HR441" s="9" t="s">
        <v>5321</v>
      </c>
      <c r="MJ441" s="9" t="s">
        <v>6321</v>
      </c>
    </row>
    <row r="442" ht="22.5" customHeight="1">
      <c r="A442" s="8">
        <v>46076.66878359954</v>
      </c>
      <c r="B442" s="9" t="s">
        <v>368</v>
      </c>
      <c r="C442" s="9" t="s">
        <v>538</v>
      </c>
      <c r="D442" s="9" t="s">
        <v>538</v>
      </c>
      <c r="G442" s="9" t="s">
        <v>422</v>
      </c>
      <c r="H442" s="9" t="s">
        <v>637</v>
      </c>
      <c r="I442" s="9" t="s">
        <v>638</v>
      </c>
      <c r="J442" s="9" t="s">
        <v>425</v>
      </c>
      <c r="K442" s="9" t="s">
        <v>376</v>
      </c>
      <c r="L442" s="9" t="s">
        <v>591</v>
      </c>
      <c r="M442" s="9" t="s">
        <v>497</v>
      </c>
      <c r="N442" s="9" t="s">
        <v>1526</v>
      </c>
      <c r="O442" s="9" t="s">
        <v>1024</v>
      </c>
      <c r="P442" s="9" t="s">
        <v>1760</v>
      </c>
      <c r="Q442" s="9" t="s">
        <v>1156</v>
      </c>
      <c r="R442" s="9" t="s">
        <v>3976</v>
      </c>
      <c r="S442" s="9" t="s">
        <v>384</v>
      </c>
      <c r="T442" s="9" t="s">
        <v>385</v>
      </c>
      <c r="W442" s="9" t="s">
        <v>593</v>
      </c>
      <c r="X442" s="9" t="s">
        <v>387</v>
      </c>
      <c r="Y442" s="9" t="s">
        <v>4171</v>
      </c>
      <c r="Z442" s="9" t="s">
        <v>389</v>
      </c>
      <c r="AA442" s="9" t="s">
        <v>8708</v>
      </c>
      <c r="AB442" s="9" t="s">
        <v>8709</v>
      </c>
      <c r="AV442" s="9" t="s">
        <v>504</v>
      </c>
      <c r="AW442" s="9" t="s">
        <v>429</v>
      </c>
      <c r="AX442" s="9" t="s">
        <v>429</v>
      </c>
      <c r="AY442" s="9" t="s">
        <v>391</v>
      </c>
      <c r="AZ442" s="9" t="s">
        <v>429</v>
      </c>
      <c r="BA442" s="9" t="s">
        <v>429</v>
      </c>
      <c r="BB442" s="9" t="s">
        <v>429</v>
      </c>
      <c r="BC442" s="9" t="s">
        <v>8710</v>
      </c>
      <c r="BD442" s="9" t="s">
        <v>8711</v>
      </c>
      <c r="BE442" s="9" t="s">
        <v>432</v>
      </c>
      <c r="BF442" s="9" t="s">
        <v>433</v>
      </c>
      <c r="BG442" s="9" t="s">
        <v>725</v>
      </c>
      <c r="BH442" s="9" t="s">
        <v>8712</v>
      </c>
      <c r="BI442" s="9" t="s">
        <v>824</v>
      </c>
      <c r="BJ442" s="9" t="s">
        <v>8713</v>
      </c>
      <c r="BK442" s="9" t="s">
        <v>681</v>
      </c>
      <c r="BL442" s="9" t="s">
        <v>396</v>
      </c>
      <c r="BM442" s="9" t="s">
        <v>439</v>
      </c>
      <c r="BN442" s="9" t="s">
        <v>513</v>
      </c>
      <c r="CL442" s="9" t="s">
        <v>441</v>
      </c>
      <c r="CM442" s="9" t="s">
        <v>401</v>
      </c>
      <c r="CN442" s="9" t="s">
        <v>1315</v>
      </c>
      <c r="CO442" s="9" t="s">
        <v>8714</v>
      </c>
      <c r="CP442" s="9" t="s">
        <v>1008</v>
      </c>
      <c r="CQ442" s="9" t="s">
        <v>8715</v>
      </c>
      <c r="CR442" s="9" t="s">
        <v>804</v>
      </c>
      <c r="CS442" s="9" t="s">
        <v>8716</v>
      </c>
      <c r="CT442" s="9" t="s">
        <v>8717</v>
      </c>
      <c r="CU442" s="9" t="s">
        <v>519</v>
      </c>
      <c r="CV442" s="9" t="s">
        <v>451</v>
      </c>
      <c r="CW442" s="9" t="s">
        <v>8718</v>
      </c>
      <c r="CX442" s="9" t="s">
        <v>733</v>
      </c>
      <c r="CZ442" s="9" t="s">
        <v>453</v>
      </c>
      <c r="DA442" s="9" t="s">
        <v>8719</v>
      </c>
      <c r="DB442" s="9" t="s">
        <v>455</v>
      </c>
      <c r="DC442" s="9" t="s">
        <v>8720</v>
      </c>
      <c r="DD442" s="9" t="s">
        <v>457</v>
      </c>
      <c r="DF442" s="9" t="s">
        <v>8721</v>
      </c>
      <c r="DG442" s="9" t="s">
        <v>561</v>
      </c>
      <c r="DH442" s="9" t="s">
        <v>410</v>
      </c>
      <c r="DI442" s="9" t="s">
        <v>459</v>
      </c>
      <c r="DJ442" s="9" t="s">
        <v>613</v>
      </c>
      <c r="ET442" s="9" t="s">
        <v>526</v>
      </c>
      <c r="EU442" s="9" t="s">
        <v>579</v>
      </c>
      <c r="EV442" s="9" t="s">
        <v>778</v>
      </c>
      <c r="EW442" s="9" t="s">
        <v>8722</v>
      </c>
      <c r="EX442" s="9" t="s">
        <v>8723</v>
      </c>
      <c r="EY442" s="9" t="s">
        <v>8724</v>
      </c>
      <c r="EZ442" s="9" t="s">
        <v>413</v>
      </c>
      <c r="FA442" s="9" t="s">
        <v>413</v>
      </c>
      <c r="FB442" s="9" t="s">
        <v>413</v>
      </c>
      <c r="FC442" s="9" t="s">
        <v>413</v>
      </c>
      <c r="FD442" s="9" t="s">
        <v>413</v>
      </c>
      <c r="FE442" s="9" t="s">
        <v>413</v>
      </c>
      <c r="FF442" s="9" t="s">
        <v>413</v>
      </c>
      <c r="FG442" s="9" t="s">
        <v>413</v>
      </c>
      <c r="FH442" s="9" t="s">
        <v>413</v>
      </c>
      <c r="FI442" s="9" t="s">
        <v>413</v>
      </c>
      <c r="FJ442" s="9" t="s">
        <v>413</v>
      </c>
      <c r="FK442" s="9" t="s">
        <v>413</v>
      </c>
      <c r="FL442" s="9" t="s">
        <v>413</v>
      </c>
      <c r="FM442" s="9" t="s">
        <v>413</v>
      </c>
      <c r="FN442" s="9" t="s">
        <v>413</v>
      </c>
      <c r="FO442" s="9" t="s">
        <v>417</v>
      </c>
      <c r="FP442" s="9" t="s">
        <v>418</v>
      </c>
      <c r="FQ442" s="9" t="s">
        <v>531</v>
      </c>
      <c r="FR442" s="9" t="s">
        <v>8725</v>
      </c>
      <c r="FS442" s="9" t="s">
        <v>420</v>
      </c>
      <c r="FT442" s="9" t="s">
        <v>488</v>
      </c>
      <c r="FU442" s="9" t="s">
        <v>1235</v>
      </c>
      <c r="FV442" s="9" t="s">
        <v>490</v>
      </c>
      <c r="FW442" s="9" t="s">
        <v>491</v>
      </c>
      <c r="FX442" s="9" t="s">
        <v>8726</v>
      </c>
      <c r="FY442" s="9" t="s">
        <v>535</v>
      </c>
      <c r="FZ442" s="9" t="s">
        <v>8727</v>
      </c>
      <c r="GA442" s="9" t="s">
        <v>8728</v>
      </c>
      <c r="GB442" s="9" t="s">
        <v>408</v>
      </c>
      <c r="GG442" s="9" t="s">
        <v>755</v>
      </c>
      <c r="GH442" s="9" t="s">
        <v>755</v>
      </c>
      <c r="GI442" s="9" t="s">
        <v>946</v>
      </c>
      <c r="GN442" s="9" t="s">
        <v>3012</v>
      </c>
      <c r="GO442" s="9" t="s">
        <v>3012</v>
      </c>
      <c r="GQ442" s="9" t="s">
        <v>3208</v>
      </c>
      <c r="GT442" s="9" t="s">
        <v>5081</v>
      </c>
      <c r="GU442" s="9" t="s">
        <v>8729</v>
      </c>
      <c r="GV442" s="9" t="s">
        <v>5231</v>
      </c>
      <c r="GW442" s="9" t="s">
        <v>484</v>
      </c>
      <c r="HC442" s="9" t="s">
        <v>5281</v>
      </c>
      <c r="HD442" s="9" t="s">
        <v>5282</v>
      </c>
      <c r="HE442" s="9" t="s">
        <v>5283</v>
      </c>
      <c r="HF442" s="9" t="s">
        <v>5284</v>
      </c>
      <c r="HO442" s="9" t="s">
        <v>5285</v>
      </c>
      <c r="HP442" s="9" t="s">
        <v>5264</v>
      </c>
      <c r="HQ442" s="9" t="s">
        <v>5238</v>
      </c>
      <c r="HR442" s="9" t="s">
        <v>5239</v>
      </c>
      <c r="HW442" s="9" t="s">
        <v>8730</v>
      </c>
      <c r="MJ442" s="9" t="s">
        <v>6321</v>
      </c>
    </row>
    <row r="443" ht="22.5" customHeight="1">
      <c r="A443" s="8">
        <v>46078.59408679398</v>
      </c>
      <c r="B443" s="9" t="s">
        <v>368</v>
      </c>
      <c r="C443" s="9" t="s">
        <v>1201</v>
      </c>
      <c r="D443" s="9" t="s">
        <v>1201</v>
      </c>
      <c r="G443" s="9" t="s">
        <v>422</v>
      </c>
      <c r="H443" s="9" t="s">
        <v>423</v>
      </c>
      <c r="I443" s="9" t="s">
        <v>424</v>
      </c>
      <c r="J443" s="9" t="s">
        <v>375</v>
      </c>
      <c r="K443" s="9" t="s">
        <v>376</v>
      </c>
      <c r="L443" s="9" t="s">
        <v>377</v>
      </c>
      <c r="M443" s="9" t="s">
        <v>2464</v>
      </c>
      <c r="N443" s="9" t="s">
        <v>379</v>
      </c>
      <c r="O443" s="9" t="s">
        <v>2464</v>
      </c>
      <c r="P443" s="9" t="s">
        <v>498</v>
      </c>
      <c r="Q443" s="9" t="s">
        <v>499</v>
      </c>
      <c r="R443" s="9" t="s">
        <v>500</v>
      </c>
      <c r="S443" s="9" t="s">
        <v>384</v>
      </c>
      <c r="T443" s="9" t="s">
        <v>385</v>
      </c>
      <c r="W443" s="9" t="s">
        <v>3014</v>
      </c>
      <c r="AV443" s="9" t="s">
        <v>1242</v>
      </c>
      <c r="AW443" s="9" t="s">
        <v>391</v>
      </c>
      <c r="AX443" s="9" t="s">
        <v>391</v>
      </c>
      <c r="AY443" s="9">
        <v>4.0</v>
      </c>
      <c r="AZ443" s="9" t="s">
        <v>391</v>
      </c>
      <c r="BA443" s="9" t="s">
        <v>391</v>
      </c>
      <c r="BB443" s="9" t="s">
        <v>391</v>
      </c>
      <c r="BC443" s="9" t="s">
        <v>8731</v>
      </c>
      <c r="BD443" s="9" t="s">
        <v>8732</v>
      </c>
      <c r="BE443" s="9" t="s">
        <v>432</v>
      </c>
      <c r="BF443" s="9" t="s">
        <v>1095</v>
      </c>
      <c r="BG443" s="9" t="s">
        <v>678</v>
      </c>
      <c r="BH443" s="9" t="s">
        <v>8733</v>
      </c>
      <c r="BI443" s="9" t="s">
        <v>509</v>
      </c>
      <c r="BJ443" s="9" t="s">
        <v>8734</v>
      </c>
      <c r="BK443" s="9" t="s">
        <v>602</v>
      </c>
      <c r="BL443" s="9" t="s">
        <v>438</v>
      </c>
      <c r="BM443" s="9" t="s">
        <v>1247</v>
      </c>
      <c r="BN443" s="9" t="s">
        <v>513</v>
      </c>
      <c r="CL443" s="9" t="s">
        <v>441</v>
      </c>
      <c r="CM443" s="9" t="s">
        <v>604</v>
      </c>
      <c r="CN443" s="9" t="s">
        <v>8735</v>
      </c>
      <c r="CO443" s="9" t="s">
        <v>8736</v>
      </c>
      <c r="CP443" s="9" t="s">
        <v>1008</v>
      </c>
      <c r="CQ443" s="9" t="s">
        <v>8737</v>
      </c>
      <c r="CR443" s="9" t="s">
        <v>447</v>
      </c>
      <c r="CS443" s="9" t="s">
        <v>8738</v>
      </c>
      <c r="CT443" s="9" t="s">
        <v>8739</v>
      </c>
      <c r="CU443" s="9" t="s">
        <v>519</v>
      </c>
      <c r="CV443" s="9" t="s">
        <v>451</v>
      </c>
      <c r="CW443" s="9" t="s">
        <v>8740</v>
      </c>
      <c r="CX443" s="9" t="s">
        <v>408</v>
      </c>
      <c r="CZ443" s="9" t="s">
        <v>985</v>
      </c>
      <c r="DA443" s="9" t="s">
        <v>8741</v>
      </c>
      <c r="DB443" s="9" t="s">
        <v>408</v>
      </c>
      <c r="DD443" s="9" t="s">
        <v>457</v>
      </c>
      <c r="DF443" s="9" t="s">
        <v>8742</v>
      </c>
      <c r="DG443" s="9" t="s">
        <v>776</v>
      </c>
      <c r="DH443" s="9" t="s">
        <v>410</v>
      </c>
      <c r="DI443" s="9" t="s">
        <v>963</v>
      </c>
      <c r="DJ443" s="9" t="s">
        <v>562</v>
      </c>
      <c r="DK443" s="9" t="s">
        <v>6335</v>
      </c>
      <c r="ET443" s="9" t="s">
        <v>526</v>
      </c>
      <c r="EU443" s="9" t="s">
        <v>887</v>
      </c>
      <c r="EV443" s="9" t="s">
        <v>480</v>
      </c>
      <c r="EW443" s="9" t="s">
        <v>8743</v>
      </c>
      <c r="EX443" s="9" t="s">
        <v>8744</v>
      </c>
      <c r="EY443" s="9" t="s">
        <v>8745</v>
      </c>
      <c r="EZ443" s="9" t="s">
        <v>583</v>
      </c>
      <c r="FA443" s="9" t="s">
        <v>583</v>
      </c>
      <c r="FB443" s="9" t="s">
        <v>414</v>
      </c>
      <c r="FC443" s="9" t="s">
        <v>583</v>
      </c>
      <c r="FD443" s="9" t="s">
        <v>413</v>
      </c>
      <c r="FE443" s="9" t="s">
        <v>583</v>
      </c>
      <c r="FF443" s="9" t="s">
        <v>583</v>
      </c>
      <c r="FG443" s="9" t="s">
        <v>413</v>
      </c>
      <c r="FH443" s="9" t="s">
        <v>583</v>
      </c>
      <c r="FI443" s="9" t="s">
        <v>415</v>
      </c>
      <c r="FJ443" s="9" t="s">
        <v>414</v>
      </c>
      <c r="FK443" s="9" t="s">
        <v>415</v>
      </c>
      <c r="FL443" s="9" t="s">
        <v>583</v>
      </c>
      <c r="FM443" s="9" t="s">
        <v>413</v>
      </c>
      <c r="FN443" s="9" t="s">
        <v>583</v>
      </c>
      <c r="FO443" s="9" t="s">
        <v>1537</v>
      </c>
      <c r="FP443" s="9" t="s">
        <v>418</v>
      </c>
      <c r="FQ443" s="9" t="s">
        <v>749</v>
      </c>
      <c r="FR443" s="9" t="s">
        <v>8746</v>
      </c>
      <c r="FS443" s="9" t="s">
        <v>1871</v>
      </c>
      <c r="FT443" s="9" t="s">
        <v>1462</v>
      </c>
      <c r="FU443" s="9" t="s">
        <v>1235</v>
      </c>
      <c r="FV443" s="9" t="s">
        <v>490</v>
      </c>
      <c r="FW443" s="9" t="s">
        <v>491</v>
      </c>
      <c r="FX443" s="9" t="s">
        <v>8747</v>
      </c>
      <c r="FY443" s="9" t="s">
        <v>535</v>
      </c>
      <c r="GB443" s="9" t="s">
        <v>455</v>
      </c>
      <c r="GC443" s="9"/>
      <c r="GE443" s="9" t="s">
        <v>753</v>
      </c>
      <c r="GF443" s="9" t="s">
        <v>8748</v>
      </c>
      <c r="GG443" s="9" t="s">
        <v>755</v>
      </c>
      <c r="GH443" s="9" t="s">
        <v>755</v>
      </c>
      <c r="GI443" s="9" t="s">
        <v>946</v>
      </c>
      <c r="GN443" s="9" t="s">
        <v>4084</v>
      </c>
      <c r="GO443" s="9" t="s">
        <v>4084</v>
      </c>
      <c r="GQ443" s="9" t="s">
        <v>5015</v>
      </c>
      <c r="GT443" s="9" t="s">
        <v>4774</v>
      </c>
      <c r="GU443" s="9" t="s">
        <v>8749</v>
      </c>
      <c r="GV443" s="9" t="s">
        <v>5231</v>
      </c>
      <c r="GW443" s="9" t="s">
        <v>5232</v>
      </c>
      <c r="HC443" s="9" t="s">
        <v>5297</v>
      </c>
      <c r="HD443" s="9" t="s">
        <v>5349</v>
      </c>
      <c r="HE443" s="9" t="s">
        <v>5320</v>
      </c>
      <c r="HF443" s="9" t="s">
        <v>5284</v>
      </c>
      <c r="HO443" s="9" t="s">
        <v>5236</v>
      </c>
      <c r="HP443" s="9" t="s">
        <v>5237</v>
      </c>
      <c r="HQ443" s="9" t="s">
        <v>5238</v>
      </c>
      <c r="HR443" s="9" t="s">
        <v>5321</v>
      </c>
      <c r="HW443" s="9" t="s">
        <v>7383</v>
      </c>
      <c r="MJ443" s="9" t="s">
        <v>6321</v>
      </c>
    </row>
    <row r="444" ht="22.5" customHeight="1">
      <c r="A444" s="8">
        <v>46089.89088146991</v>
      </c>
      <c r="B444" s="9" t="s">
        <v>368</v>
      </c>
      <c r="C444" s="9" t="s">
        <v>894</v>
      </c>
      <c r="D444" s="9" t="s">
        <v>894</v>
      </c>
      <c r="G444" s="9" t="s">
        <v>422</v>
      </c>
      <c r="H444" s="9" t="s">
        <v>496</v>
      </c>
      <c r="I444" s="9" t="s">
        <v>374</v>
      </c>
      <c r="J444" s="9" t="s">
        <v>375</v>
      </c>
      <c r="K444" s="9" t="s">
        <v>376</v>
      </c>
      <c r="L444" s="9" t="s">
        <v>379</v>
      </c>
      <c r="M444" s="9" t="s">
        <v>378</v>
      </c>
      <c r="N444" s="9" t="s">
        <v>591</v>
      </c>
      <c r="O444" s="9" t="s">
        <v>639</v>
      </c>
      <c r="P444" s="9" t="s">
        <v>498</v>
      </c>
      <c r="Q444" s="9" t="s">
        <v>862</v>
      </c>
      <c r="R444" s="9" t="s">
        <v>427</v>
      </c>
      <c r="S444" s="9" t="s">
        <v>384</v>
      </c>
      <c r="T444" s="9" t="s">
        <v>385</v>
      </c>
      <c r="U444" s="9" t="s">
        <v>896</v>
      </c>
      <c r="V444" s="9" t="s">
        <v>896</v>
      </c>
      <c r="W444" s="9" t="s">
        <v>3231</v>
      </c>
      <c r="AV444" s="9" t="s">
        <v>1310</v>
      </c>
      <c r="AW444" s="9">
        <v>4.0</v>
      </c>
      <c r="AX444" s="9">
        <v>4.0</v>
      </c>
      <c r="AY444" s="9">
        <v>4.0</v>
      </c>
      <c r="AZ444" s="9">
        <v>4.0</v>
      </c>
      <c r="BA444" s="9" t="s">
        <v>675</v>
      </c>
      <c r="BB444" s="9" t="s">
        <v>675</v>
      </c>
      <c r="BC444" s="9" t="s">
        <v>8750</v>
      </c>
      <c r="BD444" s="9" t="s">
        <v>8751</v>
      </c>
      <c r="BE444" s="9" t="s">
        <v>2379</v>
      </c>
      <c r="BF444" s="9" t="s">
        <v>433</v>
      </c>
      <c r="BG444" s="9" t="s">
        <v>725</v>
      </c>
      <c r="BH444" s="9" t="s">
        <v>8752</v>
      </c>
      <c r="BI444" s="9" t="s">
        <v>435</v>
      </c>
      <c r="BJ444" s="9" t="s">
        <v>8753</v>
      </c>
      <c r="BK444" s="9" t="s">
        <v>602</v>
      </c>
      <c r="BL444" s="9" t="s">
        <v>603</v>
      </c>
      <c r="BM444" s="9" t="s">
        <v>549</v>
      </c>
      <c r="BN444" s="9" t="s">
        <v>440</v>
      </c>
      <c r="CL444" s="9" t="s">
        <v>441</v>
      </c>
      <c r="CM444" s="9" t="s">
        <v>551</v>
      </c>
      <c r="CN444" s="9" t="s">
        <v>8754</v>
      </c>
      <c r="CO444" s="9" t="s">
        <v>8755</v>
      </c>
      <c r="CP444" s="9" t="s">
        <v>1008</v>
      </c>
      <c r="CQ444" s="9" t="s">
        <v>908</v>
      </c>
      <c r="CR444" s="9" t="s">
        <v>447</v>
      </c>
      <c r="CS444" s="9" t="s">
        <v>8756</v>
      </c>
      <c r="CT444" s="9" t="s">
        <v>8757</v>
      </c>
      <c r="CU444" s="9" t="s">
        <v>450</v>
      </c>
      <c r="CV444" s="9" t="s">
        <v>451</v>
      </c>
      <c r="CW444" s="9" t="s">
        <v>8758</v>
      </c>
      <c r="CX444" s="9" t="s">
        <v>408</v>
      </c>
      <c r="CZ444" s="9" t="s">
        <v>453</v>
      </c>
      <c r="DA444" s="9" t="s">
        <v>8759</v>
      </c>
      <c r="DB444" s="9" t="s">
        <v>408</v>
      </c>
      <c r="DD444" s="9" t="s">
        <v>457</v>
      </c>
      <c r="DF444" s="9" t="s">
        <v>8760</v>
      </c>
      <c r="DG444" s="9" t="s">
        <v>524</v>
      </c>
      <c r="DH444" s="9" t="s">
        <v>410</v>
      </c>
      <c r="DI444" s="9" t="s">
        <v>459</v>
      </c>
      <c r="DJ444" s="9" t="s">
        <v>460</v>
      </c>
      <c r="DK444" s="9" t="s">
        <v>6335</v>
      </c>
      <c r="DM444" s="9" t="s">
        <v>8761</v>
      </c>
      <c r="DN444" s="9" t="s">
        <v>8762</v>
      </c>
      <c r="DO444" s="9" t="s">
        <v>567</v>
      </c>
      <c r="DP444" s="9" t="s">
        <v>8763</v>
      </c>
      <c r="DQ444" s="9" t="s">
        <v>1324</v>
      </c>
      <c r="DR444" s="9" t="s">
        <v>8764</v>
      </c>
      <c r="DS444" s="9" t="s">
        <v>6617</v>
      </c>
      <c r="DT444" s="9" t="s">
        <v>619</v>
      </c>
      <c r="DU444" s="9" t="s">
        <v>8765</v>
      </c>
      <c r="DV444" s="9" t="s">
        <v>8766</v>
      </c>
      <c r="DW444" s="9" t="s">
        <v>396</v>
      </c>
      <c r="DX444" s="9" t="s">
        <v>8767</v>
      </c>
      <c r="EA444" s="9" t="s">
        <v>475</v>
      </c>
      <c r="EB444" s="9" t="s">
        <v>845</v>
      </c>
      <c r="ET444" s="9" t="s">
        <v>526</v>
      </c>
      <c r="EU444" s="9" t="s">
        <v>579</v>
      </c>
      <c r="EV444" s="9" t="s">
        <v>1534</v>
      </c>
      <c r="EW444" s="9" t="s">
        <v>8768</v>
      </c>
      <c r="EZ444" s="9" t="s">
        <v>415</v>
      </c>
      <c r="FA444" s="9" t="s">
        <v>414</v>
      </c>
      <c r="FB444" s="9" t="s">
        <v>413</v>
      </c>
      <c r="FC444" s="9" t="s">
        <v>415</v>
      </c>
      <c r="FD444" s="9" t="s">
        <v>413</v>
      </c>
      <c r="FE444" s="9" t="s">
        <v>414</v>
      </c>
      <c r="FF444" s="9" t="s">
        <v>484</v>
      </c>
      <c r="FG444" s="9" t="s">
        <v>413</v>
      </c>
      <c r="FH444" s="9" t="s">
        <v>414</v>
      </c>
      <c r="FI444" s="9" t="s">
        <v>413</v>
      </c>
      <c r="FJ444" s="9" t="s">
        <v>415</v>
      </c>
      <c r="FK444" s="9" t="s">
        <v>413</v>
      </c>
      <c r="FL444" s="9" t="s">
        <v>413</v>
      </c>
      <c r="FM444" s="9" t="s">
        <v>413</v>
      </c>
      <c r="FN444" s="9" t="s">
        <v>414</v>
      </c>
      <c r="FO444" s="9" t="s">
        <v>485</v>
      </c>
      <c r="FP444" s="9" t="s">
        <v>418</v>
      </c>
      <c r="FQ444" s="9" t="s">
        <v>712</v>
      </c>
      <c r="FS444" s="9" t="s">
        <v>420</v>
      </c>
      <c r="FT444" s="9" t="s">
        <v>488</v>
      </c>
      <c r="FU444" s="9" t="s">
        <v>585</v>
      </c>
      <c r="FV444" s="9" t="s">
        <v>490</v>
      </c>
      <c r="FW444" s="9" t="s">
        <v>491</v>
      </c>
      <c r="FX444" s="9" t="s">
        <v>8769</v>
      </c>
      <c r="FY444" s="9" t="s">
        <v>535</v>
      </c>
      <c r="GA444" s="9" t="s">
        <v>8770</v>
      </c>
      <c r="GB444" s="9" t="s">
        <v>408</v>
      </c>
      <c r="GG444" s="9" t="s">
        <v>1000</v>
      </c>
      <c r="GH444" s="9" t="s">
        <v>1000</v>
      </c>
      <c r="GI444" s="9" t="s">
        <v>756</v>
      </c>
      <c r="GM444" s="9" t="s">
        <v>1079</v>
      </c>
      <c r="GP444" s="9" t="s">
        <v>387</v>
      </c>
      <c r="GQ444" s="9" t="s">
        <v>3208</v>
      </c>
      <c r="GT444" s="9" t="s">
        <v>5170</v>
      </c>
      <c r="GU444" s="9" t="s">
        <v>8771</v>
      </c>
      <c r="GV444" s="9" t="s">
        <v>5231</v>
      </c>
      <c r="GW444" s="9" t="s">
        <v>5232</v>
      </c>
      <c r="HC444" s="9" t="s">
        <v>484</v>
      </c>
      <c r="HD444" s="9" t="s">
        <v>5349</v>
      </c>
      <c r="HE444" s="9" t="s">
        <v>5718</v>
      </c>
      <c r="HF444" s="9" t="s">
        <v>5284</v>
      </c>
      <c r="HG444" s="9" t="s">
        <v>8772</v>
      </c>
      <c r="HH444" s="9" t="s">
        <v>5343</v>
      </c>
      <c r="HI444" s="9" t="s">
        <v>8773</v>
      </c>
      <c r="HJ444" s="9" t="s">
        <v>8774</v>
      </c>
      <c r="HO444" s="9" t="s">
        <v>5346</v>
      </c>
      <c r="HP444" s="9" t="s">
        <v>5237</v>
      </c>
      <c r="HQ444" s="9" t="s">
        <v>5238</v>
      </c>
      <c r="HR444" s="9" t="s">
        <v>913</v>
      </c>
      <c r="HW444" s="9" t="s">
        <v>8775</v>
      </c>
      <c r="IN444" s="9" t="s">
        <v>5536</v>
      </c>
      <c r="IO444" s="9" t="s">
        <v>5536</v>
      </c>
      <c r="IP444" s="9" t="s">
        <v>5629</v>
      </c>
      <c r="IQ444" s="9" t="s">
        <v>5536</v>
      </c>
      <c r="IR444" s="9" t="s">
        <v>5536</v>
      </c>
      <c r="IS444" s="9" t="s">
        <v>5537</v>
      </c>
      <c r="MJ444" s="9" t="s">
        <v>6321</v>
      </c>
    </row>
    <row r="445" ht="22.5" customHeight="1">
      <c r="A445" s="8">
        <v>46091.30222179398</v>
      </c>
      <c r="B445" s="9" t="s">
        <v>368</v>
      </c>
      <c r="C445" s="9" t="s">
        <v>370</v>
      </c>
      <c r="D445" s="9" t="s">
        <v>370</v>
      </c>
      <c r="E445" s="9" t="s">
        <v>791</v>
      </c>
      <c r="F445" s="9" t="s">
        <v>791</v>
      </c>
      <c r="G445" s="9" t="s">
        <v>422</v>
      </c>
      <c r="H445" s="9" t="s">
        <v>539</v>
      </c>
      <c r="I445" s="9" t="s">
        <v>424</v>
      </c>
      <c r="J445" s="9" t="s">
        <v>375</v>
      </c>
      <c r="K445" s="9" t="s">
        <v>376</v>
      </c>
      <c r="L445" s="9" t="s">
        <v>591</v>
      </c>
      <c r="M445" s="9" t="s">
        <v>719</v>
      </c>
      <c r="N445" s="9" t="s">
        <v>426</v>
      </c>
      <c r="O445" s="9" t="s">
        <v>8776</v>
      </c>
      <c r="P445" s="9" t="s">
        <v>1504</v>
      </c>
      <c r="Q445" s="9" t="s">
        <v>862</v>
      </c>
      <c r="R445" s="9" t="s">
        <v>1901</v>
      </c>
      <c r="S445" s="9" t="s">
        <v>384</v>
      </c>
      <c r="T445" s="9" t="s">
        <v>385</v>
      </c>
      <c r="W445" s="9" t="s">
        <v>386</v>
      </c>
      <c r="X445" s="9" t="s">
        <v>387</v>
      </c>
      <c r="Y445" s="9" t="s">
        <v>1444</v>
      </c>
      <c r="Z445" s="9" t="s">
        <v>543</v>
      </c>
      <c r="AA445" s="9" t="s">
        <v>8777</v>
      </c>
      <c r="AB445" s="9" t="s">
        <v>8778</v>
      </c>
      <c r="AV445" s="9" t="s">
        <v>597</v>
      </c>
      <c r="AW445" s="9" t="s">
        <v>391</v>
      </c>
      <c r="AX445" s="9" t="s">
        <v>675</v>
      </c>
      <c r="AY445" s="9" t="s">
        <v>429</v>
      </c>
      <c r="AZ445" s="9">
        <v>2.0</v>
      </c>
      <c r="BA445" s="9">
        <v>2.0</v>
      </c>
      <c r="BB445" s="9" t="s">
        <v>391</v>
      </c>
      <c r="BC445" s="9" t="s">
        <v>8779</v>
      </c>
      <c r="BD445" s="9" t="s">
        <v>8780</v>
      </c>
      <c r="BE445" s="9" t="s">
        <v>2379</v>
      </c>
      <c r="BF445" s="9" t="s">
        <v>393</v>
      </c>
      <c r="BG445" s="9" t="s">
        <v>678</v>
      </c>
      <c r="BH445" s="9" t="s">
        <v>8781</v>
      </c>
      <c r="BI445" s="9" t="s">
        <v>509</v>
      </c>
      <c r="BJ445" s="9" t="s">
        <v>8782</v>
      </c>
      <c r="BK445" s="9" t="s">
        <v>395</v>
      </c>
      <c r="BL445" s="9" t="s">
        <v>603</v>
      </c>
      <c r="BM445" s="9" t="s">
        <v>397</v>
      </c>
      <c r="BN445" s="9" t="s">
        <v>513</v>
      </c>
      <c r="CL445" s="9" t="s">
        <v>441</v>
      </c>
      <c r="CM445" s="9" t="s">
        <v>401</v>
      </c>
      <c r="CN445" s="9" t="s">
        <v>8783</v>
      </c>
      <c r="CO445" s="9" t="s">
        <v>8784</v>
      </c>
      <c r="CP445" s="9" t="s">
        <v>445</v>
      </c>
      <c r="CQ445" s="9" t="s">
        <v>8785</v>
      </c>
      <c r="CR445" s="9" t="s">
        <v>447</v>
      </c>
      <c r="CS445" s="9" t="s">
        <v>4349</v>
      </c>
      <c r="CT445" s="9" t="s">
        <v>8786</v>
      </c>
      <c r="CU445" s="9" t="s">
        <v>1852</v>
      </c>
      <c r="CV445" s="9" t="s">
        <v>451</v>
      </c>
      <c r="CW445" s="9" t="s">
        <v>8787</v>
      </c>
      <c r="CX445" s="9" t="s">
        <v>408</v>
      </c>
      <c r="CZ445" s="9" t="s">
        <v>985</v>
      </c>
      <c r="DA445" s="9" t="s">
        <v>8788</v>
      </c>
      <c r="DB445" s="9" t="s">
        <v>408</v>
      </c>
      <c r="DD445" s="9" t="s">
        <v>988</v>
      </c>
      <c r="DF445" s="9" t="s">
        <v>8789</v>
      </c>
      <c r="DG445" s="9" t="s">
        <v>561</v>
      </c>
      <c r="DH445" s="9" t="s">
        <v>1220</v>
      </c>
      <c r="DI445" s="9" t="s">
        <v>459</v>
      </c>
      <c r="DJ445" s="9" t="s">
        <v>613</v>
      </c>
      <c r="ET445" s="9" t="s">
        <v>478</v>
      </c>
      <c r="EU445" s="9" t="s">
        <v>887</v>
      </c>
      <c r="EV445" s="9" t="s">
        <v>527</v>
      </c>
      <c r="EW445" s="9" t="s">
        <v>8790</v>
      </c>
      <c r="EX445" s="9" t="s">
        <v>8791</v>
      </c>
      <c r="EY445" s="9" t="s">
        <v>8792</v>
      </c>
      <c r="EZ445" s="9" t="s">
        <v>414</v>
      </c>
      <c r="FA445" s="9" t="s">
        <v>583</v>
      </c>
      <c r="FB445" s="9" t="s">
        <v>416</v>
      </c>
      <c r="FC445" s="9" t="s">
        <v>414</v>
      </c>
      <c r="FD445" s="9" t="s">
        <v>415</v>
      </c>
      <c r="FE445" s="9" t="s">
        <v>583</v>
      </c>
      <c r="FF445" s="9" t="s">
        <v>415</v>
      </c>
      <c r="FG445" s="9" t="s">
        <v>416</v>
      </c>
      <c r="FH445" s="9" t="s">
        <v>414</v>
      </c>
      <c r="FI445" s="9" t="s">
        <v>414</v>
      </c>
      <c r="FJ445" s="9" t="s">
        <v>484</v>
      </c>
      <c r="FK445" s="9" t="s">
        <v>484</v>
      </c>
      <c r="FL445" s="9" t="s">
        <v>484</v>
      </c>
      <c r="FM445" s="9" t="s">
        <v>416</v>
      </c>
      <c r="FN445" s="9" t="s">
        <v>414</v>
      </c>
      <c r="FO445" s="9" t="s">
        <v>485</v>
      </c>
      <c r="FP445" s="9" t="s">
        <v>418</v>
      </c>
      <c r="FQ445" s="9" t="s">
        <v>419</v>
      </c>
      <c r="FR445" s="9" t="s">
        <v>8793</v>
      </c>
      <c r="FS445" s="9" t="s">
        <v>1189</v>
      </c>
      <c r="FT445" s="9" t="s">
        <v>488</v>
      </c>
      <c r="FU445" s="9" t="s">
        <v>489</v>
      </c>
      <c r="FV445" s="9" t="s">
        <v>490</v>
      </c>
      <c r="FW445" s="9" t="s">
        <v>491</v>
      </c>
      <c r="FX445" s="9" t="s">
        <v>8794</v>
      </c>
      <c r="FY445" s="9" t="s">
        <v>535</v>
      </c>
      <c r="FZ445" s="9" t="s">
        <v>8795</v>
      </c>
      <c r="GB445" s="9" t="s">
        <v>455</v>
      </c>
      <c r="GC445" s="9"/>
      <c r="GE445" s="9" t="s">
        <v>786</v>
      </c>
      <c r="GF445" s="9" t="s">
        <v>8796</v>
      </c>
      <c r="GG445" s="9" t="s">
        <v>920</v>
      </c>
      <c r="GH445" s="9" t="s">
        <v>920</v>
      </c>
      <c r="GI445" s="9" t="s">
        <v>858</v>
      </c>
      <c r="GQ445" s="9" t="s">
        <v>3306</v>
      </c>
      <c r="GU445" s="9" t="s">
        <v>8797</v>
      </c>
      <c r="GV445" s="9" t="s">
        <v>5231</v>
      </c>
      <c r="GW445" s="9" t="s">
        <v>484</v>
      </c>
      <c r="HC445" s="9" t="s">
        <v>5297</v>
      </c>
      <c r="HD445" s="9" t="s">
        <v>5349</v>
      </c>
      <c r="HE445" s="9" t="s">
        <v>5320</v>
      </c>
      <c r="HF445" s="9" t="s">
        <v>5493</v>
      </c>
      <c r="HO445" s="9" t="s">
        <v>5346</v>
      </c>
      <c r="HP445" s="9" t="s">
        <v>5264</v>
      </c>
      <c r="HQ445" s="9" t="s">
        <v>5238</v>
      </c>
      <c r="HR445" s="9" t="s">
        <v>5321</v>
      </c>
      <c r="HW445" s="9" t="s">
        <v>5501</v>
      </c>
      <c r="MJ445" s="9" t="s">
        <v>6321</v>
      </c>
    </row>
    <row r="446" ht="22.5" customHeight="1">
      <c r="A446" s="8">
        <v>46091.744138333335</v>
      </c>
      <c r="B446" s="9" t="s">
        <v>368</v>
      </c>
      <c r="C446" s="9" t="s">
        <v>894</v>
      </c>
      <c r="D446" s="9" t="s">
        <v>894</v>
      </c>
      <c r="G446" s="9" t="s">
        <v>422</v>
      </c>
      <c r="H446" s="9" t="s">
        <v>1307</v>
      </c>
      <c r="I446" s="9" t="s">
        <v>7561</v>
      </c>
      <c r="J446" s="9" t="s">
        <v>425</v>
      </c>
      <c r="K446" s="9" t="s">
        <v>376</v>
      </c>
      <c r="L446" s="9" t="s">
        <v>377</v>
      </c>
      <c r="M446" s="9" t="s">
        <v>378</v>
      </c>
      <c r="O446" s="9" t="s">
        <v>719</v>
      </c>
      <c r="P446" s="9" t="s">
        <v>498</v>
      </c>
      <c r="Q446" s="9" t="s">
        <v>499</v>
      </c>
      <c r="R446" s="9" t="s">
        <v>795</v>
      </c>
      <c r="S446" s="9" t="s">
        <v>384</v>
      </c>
      <c r="T446" s="9" t="s">
        <v>385</v>
      </c>
      <c r="U446" s="9" t="s">
        <v>896</v>
      </c>
      <c r="V446" s="9" t="s">
        <v>1025</v>
      </c>
      <c r="W446" s="9" t="s">
        <v>386</v>
      </c>
      <c r="X446" s="9" t="s">
        <v>387</v>
      </c>
      <c r="Y446" s="9" t="s">
        <v>542</v>
      </c>
      <c r="Z446" s="9" t="s">
        <v>543</v>
      </c>
      <c r="AA446" s="9" t="s">
        <v>2675</v>
      </c>
      <c r="AV446" s="9" t="s">
        <v>390</v>
      </c>
      <c r="AW446" s="9" t="s">
        <v>391</v>
      </c>
      <c r="AX446" s="9" t="s">
        <v>391</v>
      </c>
      <c r="AY446" s="9" t="s">
        <v>391</v>
      </c>
      <c r="AZ446" s="9">
        <v>4.0</v>
      </c>
      <c r="BA446" s="9" t="s">
        <v>429</v>
      </c>
      <c r="BB446" s="9">
        <v>2.0</v>
      </c>
      <c r="BN446" s="9" t="s">
        <v>513</v>
      </c>
      <c r="CL446" s="9" t="s">
        <v>441</v>
      </c>
      <c r="CM446" s="9" t="s">
        <v>401</v>
      </c>
      <c r="CP446" s="9" t="s">
        <v>403</v>
      </c>
      <c r="CQ446" s="9" t="s">
        <v>931</v>
      </c>
      <c r="CR446" s="9" t="s">
        <v>447</v>
      </c>
      <c r="CS446" s="9" t="s">
        <v>2801</v>
      </c>
      <c r="CU446" s="9" t="s">
        <v>1863</v>
      </c>
      <c r="CV446" s="9" t="s">
        <v>451</v>
      </c>
      <c r="CW446" s="9" t="s">
        <v>2834</v>
      </c>
      <c r="CX446" s="9" t="s">
        <v>408</v>
      </c>
      <c r="CZ446" s="9" t="s">
        <v>453</v>
      </c>
      <c r="DA446" s="9" t="s">
        <v>8798</v>
      </c>
      <c r="DB446" s="9" t="s">
        <v>408</v>
      </c>
      <c r="DD446" s="9" t="s">
        <v>406</v>
      </c>
      <c r="DE446" s="9" t="s">
        <v>407</v>
      </c>
      <c r="DF446" s="9" t="s">
        <v>8789</v>
      </c>
      <c r="DG446" s="9" t="s">
        <v>776</v>
      </c>
      <c r="DH446" s="9" t="s">
        <v>833</v>
      </c>
      <c r="DI446" s="9" t="s">
        <v>459</v>
      </c>
      <c r="DJ446" s="9" t="s">
        <v>613</v>
      </c>
      <c r="ET446" s="9" t="s">
        <v>526</v>
      </c>
      <c r="EU446" s="9" t="s">
        <v>479</v>
      </c>
      <c r="EV446" s="9" t="s">
        <v>580</v>
      </c>
      <c r="EW446" s="9" t="s">
        <v>8799</v>
      </c>
      <c r="EX446" s="9" t="s">
        <v>1232</v>
      </c>
      <c r="EZ446" s="9" t="s">
        <v>416</v>
      </c>
      <c r="FA446" s="9" t="s">
        <v>415</v>
      </c>
      <c r="FB446" s="9" t="s">
        <v>413</v>
      </c>
      <c r="FC446" s="9" t="s">
        <v>413</v>
      </c>
      <c r="FD446" s="9" t="s">
        <v>413</v>
      </c>
      <c r="FE446" s="9" t="s">
        <v>414</v>
      </c>
      <c r="FF446" s="9" t="s">
        <v>415</v>
      </c>
      <c r="FG446" s="9" t="s">
        <v>413</v>
      </c>
      <c r="FH446" s="9" t="s">
        <v>484</v>
      </c>
      <c r="FI446" s="9" t="s">
        <v>415</v>
      </c>
      <c r="FJ446" s="9" t="s">
        <v>415</v>
      </c>
      <c r="FK446" s="9" t="s">
        <v>413</v>
      </c>
      <c r="FL446" s="9" t="s">
        <v>415</v>
      </c>
      <c r="FM446" s="9" t="s">
        <v>413</v>
      </c>
      <c r="FN446" s="9" t="s">
        <v>583</v>
      </c>
      <c r="FO446" s="9" t="s">
        <v>485</v>
      </c>
      <c r="FP446" s="9" t="s">
        <v>418</v>
      </c>
      <c r="FQ446" s="9" t="s">
        <v>749</v>
      </c>
      <c r="FR446" s="9" t="s">
        <v>8800</v>
      </c>
      <c r="FS446" s="9" t="s">
        <v>420</v>
      </c>
      <c r="FT446" s="9" t="s">
        <v>1462</v>
      </c>
      <c r="FU446" s="9" t="s">
        <v>918</v>
      </c>
      <c r="FV446" s="9" t="s">
        <v>490</v>
      </c>
      <c r="FW446" s="9" t="s">
        <v>491</v>
      </c>
      <c r="FX446" s="9" t="s">
        <v>8801</v>
      </c>
      <c r="FY446" s="9" t="s">
        <v>535</v>
      </c>
      <c r="GB446" s="9" t="s">
        <v>455</v>
      </c>
      <c r="GC446" s="9"/>
      <c r="GE446" s="9" t="s">
        <v>753</v>
      </c>
      <c r="GG446" s="9" t="s">
        <v>755</v>
      </c>
      <c r="GH446" s="9" t="s">
        <v>755</v>
      </c>
      <c r="GI446" s="9" t="s">
        <v>946</v>
      </c>
      <c r="GQ446" s="9" t="s">
        <v>6251</v>
      </c>
      <c r="GV446" s="9" t="s">
        <v>5231</v>
      </c>
      <c r="GW446" s="9" t="s">
        <v>5232</v>
      </c>
      <c r="HC446" s="9" t="s">
        <v>5297</v>
      </c>
      <c r="HD446" s="9" t="s">
        <v>5349</v>
      </c>
      <c r="HE446" s="9" t="s">
        <v>5320</v>
      </c>
      <c r="HF446" s="9" t="s">
        <v>5300</v>
      </c>
      <c r="HO446" s="9" t="s">
        <v>5383</v>
      </c>
      <c r="HP446" s="9" t="s">
        <v>5264</v>
      </c>
      <c r="HQ446" s="9" t="s">
        <v>5238</v>
      </c>
      <c r="HR446" s="9" t="s">
        <v>5321</v>
      </c>
      <c r="HW446" s="9" t="s">
        <v>5501</v>
      </c>
      <c r="MJ446" s="9" t="s">
        <v>6321</v>
      </c>
    </row>
    <row r="447" ht="22.5" customHeight="1">
      <c r="A447" s="8">
        <v>46093.8116130787</v>
      </c>
      <c r="B447" s="9" t="s">
        <v>368</v>
      </c>
      <c r="C447" s="9" t="s">
        <v>370</v>
      </c>
      <c r="D447" s="9" t="s">
        <v>370</v>
      </c>
      <c r="E447" s="9" t="s">
        <v>1510</v>
      </c>
      <c r="F447" s="9" t="s">
        <v>1421</v>
      </c>
      <c r="G447" s="9" t="s">
        <v>422</v>
      </c>
      <c r="H447" s="9" t="s">
        <v>539</v>
      </c>
      <c r="I447" s="9" t="s">
        <v>424</v>
      </c>
      <c r="J447" s="9" t="s">
        <v>375</v>
      </c>
      <c r="K447" s="9" t="s">
        <v>376</v>
      </c>
      <c r="L447" s="9" t="s">
        <v>379</v>
      </c>
      <c r="M447" s="9" t="s">
        <v>720</v>
      </c>
      <c r="N447" s="9" t="s">
        <v>591</v>
      </c>
      <c r="O447" s="9" t="s">
        <v>719</v>
      </c>
      <c r="P447" s="9" t="s">
        <v>381</v>
      </c>
      <c r="Q447" s="9" t="s">
        <v>499</v>
      </c>
      <c r="R447" s="9" t="s">
        <v>500</v>
      </c>
      <c r="S447" s="9" t="s">
        <v>384</v>
      </c>
      <c r="T447" s="9" t="s">
        <v>385</v>
      </c>
      <c r="W447" s="9" t="s">
        <v>593</v>
      </c>
      <c r="X447" s="9" t="s">
        <v>387</v>
      </c>
      <c r="Y447" s="9" t="s">
        <v>897</v>
      </c>
      <c r="Z447" s="9" t="s">
        <v>672</v>
      </c>
      <c r="AA447" s="9" t="s">
        <v>408</v>
      </c>
      <c r="AV447" s="9" t="s">
        <v>1310</v>
      </c>
      <c r="AW447" s="9" t="s">
        <v>391</v>
      </c>
      <c r="AX447" s="9" t="s">
        <v>391</v>
      </c>
      <c r="AY447" s="9" t="s">
        <v>429</v>
      </c>
      <c r="AZ447" s="9" t="s">
        <v>391</v>
      </c>
      <c r="BA447" s="9" t="s">
        <v>391</v>
      </c>
      <c r="BB447" s="9" t="s">
        <v>391</v>
      </c>
      <c r="BC447" s="9" t="s">
        <v>8802</v>
      </c>
      <c r="BD447" s="9" t="s">
        <v>8803</v>
      </c>
      <c r="BE447" s="9" t="s">
        <v>2379</v>
      </c>
      <c r="BF447" s="9" t="s">
        <v>393</v>
      </c>
      <c r="BG447" s="9" t="s">
        <v>765</v>
      </c>
      <c r="BI447" s="9" t="s">
        <v>976</v>
      </c>
      <c r="BK447" s="9" t="s">
        <v>681</v>
      </c>
      <c r="BL447" s="9" t="s">
        <v>603</v>
      </c>
      <c r="BM447" s="9" t="s">
        <v>1247</v>
      </c>
      <c r="BN447" s="9" t="s">
        <v>513</v>
      </c>
      <c r="CL447" s="9" t="s">
        <v>441</v>
      </c>
      <c r="CM447" s="9" t="s">
        <v>401</v>
      </c>
      <c r="CN447" s="9" t="s">
        <v>8804</v>
      </c>
      <c r="CO447" s="9" t="s">
        <v>8805</v>
      </c>
      <c r="CP447" s="9" t="s">
        <v>979</v>
      </c>
      <c r="CQ447" s="9" t="s">
        <v>1568</v>
      </c>
      <c r="CR447" s="9" t="s">
        <v>447</v>
      </c>
      <c r="CS447" s="9" t="s">
        <v>8806</v>
      </c>
      <c r="CT447" s="9" t="s">
        <v>8807</v>
      </c>
      <c r="CU447" s="9" t="s">
        <v>1852</v>
      </c>
      <c r="CV447" s="9" t="s">
        <v>451</v>
      </c>
      <c r="CW447" s="9" t="s">
        <v>8808</v>
      </c>
      <c r="CX447" s="9" t="s">
        <v>455</v>
      </c>
      <c r="CY447" s="9" t="s">
        <v>8809</v>
      </c>
      <c r="CZ447" s="9" t="s">
        <v>1962</v>
      </c>
      <c r="DB447" s="9" t="s">
        <v>408</v>
      </c>
      <c r="DD447" s="9" t="s">
        <v>406</v>
      </c>
      <c r="DE447" s="9" t="s">
        <v>1058</v>
      </c>
      <c r="DF447" s="9" t="s">
        <v>8810</v>
      </c>
      <c r="DG447" s="9" t="s">
        <v>693</v>
      </c>
      <c r="DH447" s="9" t="s">
        <v>1220</v>
      </c>
      <c r="DI447" s="9" t="s">
        <v>459</v>
      </c>
      <c r="DJ447" s="9" t="s">
        <v>460</v>
      </c>
      <c r="DK447" s="9" t="s">
        <v>6335</v>
      </c>
      <c r="ET447" s="9" t="s">
        <v>526</v>
      </c>
      <c r="EU447" s="9" t="s">
        <v>479</v>
      </c>
      <c r="EV447" s="9" t="s">
        <v>480</v>
      </c>
      <c r="EX447" s="9" t="s">
        <v>6247</v>
      </c>
      <c r="EY447" s="9" t="s">
        <v>1380</v>
      </c>
      <c r="EZ447" s="9" t="s">
        <v>415</v>
      </c>
      <c r="FA447" s="9" t="s">
        <v>415</v>
      </c>
      <c r="FB447" s="9" t="s">
        <v>413</v>
      </c>
      <c r="FC447" s="9" t="s">
        <v>413</v>
      </c>
      <c r="FD447" s="9" t="s">
        <v>413</v>
      </c>
      <c r="FE447" s="9" t="s">
        <v>415</v>
      </c>
      <c r="FF447" s="9" t="s">
        <v>415</v>
      </c>
      <c r="FG447" s="9" t="s">
        <v>413</v>
      </c>
      <c r="FH447" s="9" t="s">
        <v>415</v>
      </c>
      <c r="FI447" s="9" t="s">
        <v>415</v>
      </c>
      <c r="FJ447" s="9" t="s">
        <v>413</v>
      </c>
      <c r="FK447" s="9" t="s">
        <v>415</v>
      </c>
      <c r="FL447" s="9" t="s">
        <v>415</v>
      </c>
      <c r="FM447" s="9" t="s">
        <v>413</v>
      </c>
      <c r="FN447" s="9" t="s">
        <v>416</v>
      </c>
      <c r="FO447" s="9" t="s">
        <v>850</v>
      </c>
      <c r="FP447" s="9" t="s">
        <v>418</v>
      </c>
      <c r="FQ447" s="9" t="s">
        <v>749</v>
      </c>
      <c r="FR447" s="9" t="s">
        <v>6201</v>
      </c>
      <c r="FS447" s="9" t="s">
        <v>995</v>
      </c>
      <c r="FT447" s="9" t="s">
        <v>1462</v>
      </c>
      <c r="FU447" s="9" t="s">
        <v>489</v>
      </c>
      <c r="FV447" s="9" t="s">
        <v>490</v>
      </c>
      <c r="FW447" s="9" t="s">
        <v>491</v>
      </c>
      <c r="FX447" s="9" t="s">
        <v>8811</v>
      </c>
      <c r="FY447" s="9" t="s">
        <v>1854</v>
      </c>
      <c r="FZ447" s="9" t="s">
        <v>8812</v>
      </c>
      <c r="GB447" s="9" t="s">
        <v>455</v>
      </c>
      <c r="GC447" s="9"/>
      <c r="GD447" s="9"/>
      <c r="GE447" s="9" t="s">
        <v>1339</v>
      </c>
      <c r="GG447" s="9" t="s">
        <v>755</v>
      </c>
      <c r="GH447" s="9" t="s">
        <v>755</v>
      </c>
      <c r="GI447" s="9" t="s">
        <v>817</v>
      </c>
      <c r="GQ447" s="9" t="s">
        <v>8813</v>
      </c>
      <c r="GT447" s="9" t="s">
        <v>5170</v>
      </c>
      <c r="GU447" s="9" t="s">
        <v>8814</v>
      </c>
      <c r="GV447" s="9" t="s">
        <v>6434</v>
      </c>
      <c r="GW447" s="9" t="s">
        <v>5232</v>
      </c>
      <c r="HC447" s="9" t="s">
        <v>5297</v>
      </c>
      <c r="HD447" s="9" t="s">
        <v>5282</v>
      </c>
      <c r="HE447" s="9" t="s">
        <v>5492</v>
      </c>
      <c r="HF447" s="9" t="s">
        <v>5300</v>
      </c>
      <c r="HO447" s="9" t="s">
        <v>5383</v>
      </c>
      <c r="HP447" s="9" t="s">
        <v>5302</v>
      </c>
      <c r="HQ447" s="9" t="s">
        <v>5286</v>
      </c>
      <c r="HR447" s="9" t="s">
        <v>913</v>
      </c>
      <c r="HW447" s="9" t="s">
        <v>5628</v>
      </c>
      <c r="MJ447" s="9" t="s">
        <v>6321</v>
      </c>
    </row>
    <row r="448" ht="22.5" customHeight="1">
      <c r="A448" s="8">
        <v>46095.51932767361</v>
      </c>
      <c r="B448" s="9" t="s">
        <v>368</v>
      </c>
      <c r="C448" s="9" t="s">
        <v>370</v>
      </c>
      <c r="D448" s="9" t="s">
        <v>370</v>
      </c>
      <c r="E448" s="9" t="s">
        <v>1875</v>
      </c>
      <c r="F448" s="9" t="s">
        <v>1875</v>
      </c>
      <c r="G448" s="9" t="s">
        <v>422</v>
      </c>
      <c r="H448" s="9" t="s">
        <v>373</v>
      </c>
      <c r="I448" s="9" t="s">
        <v>374</v>
      </c>
      <c r="J448" s="9" t="s">
        <v>375</v>
      </c>
      <c r="K448" s="9" t="s">
        <v>376</v>
      </c>
      <c r="L448" s="9" t="s">
        <v>793</v>
      </c>
      <c r="M448" s="9" t="s">
        <v>378</v>
      </c>
      <c r="N448" s="9" t="s">
        <v>793</v>
      </c>
      <c r="O448" s="9" t="s">
        <v>8815</v>
      </c>
      <c r="P448" s="9" t="s">
        <v>381</v>
      </c>
      <c r="Q448" s="9" t="s">
        <v>1156</v>
      </c>
      <c r="R448" s="9" t="s">
        <v>8816</v>
      </c>
      <c r="S448" s="9" t="s">
        <v>384</v>
      </c>
      <c r="T448" s="9" t="s">
        <v>385</v>
      </c>
      <c r="W448" s="9" t="s">
        <v>593</v>
      </c>
      <c r="X448" s="9" t="s">
        <v>387</v>
      </c>
      <c r="Y448" s="9" t="s">
        <v>897</v>
      </c>
      <c r="Z448" s="9" t="s">
        <v>502</v>
      </c>
      <c r="AA448" s="9" t="s">
        <v>8817</v>
      </c>
      <c r="AB448" s="9" t="s">
        <v>8818</v>
      </c>
      <c r="AV448" s="9" t="s">
        <v>390</v>
      </c>
      <c r="AW448" s="9" t="s">
        <v>429</v>
      </c>
      <c r="AX448" s="9" t="s">
        <v>429</v>
      </c>
      <c r="AY448" s="9" t="s">
        <v>429</v>
      </c>
      <c r="AZ448" s="9" t="s">
        <v>429</v>
      </c>
      <c r="BA448" s="9" t="s">
        <v>429</v>
      </c>
      <c r="BB448" s="9" t="s">
        <v>429</v>
      </c>
      <c r="BC448" s="9" t="s">
        <v>8819</v>
      </c>
      <c r="BD448" s="9" t="s">
        <v>8820</v>
      </c>
      <c r="BE448" s="9" t="s">
        <v>392</v>
      </c>
      <c r="BF448" s="9" t="s">
        <v>433</v>
      </c>
      <c r="BG448" s="9" t="s">
        <v>507</v>
      </c>
      <c r="BH448" s="9" t="s">
        <v>8821</v>
      </c>
      <c r="BI448" s="9" t="s">
        <v>509</v>
      </c>
      <c r="BJ448" s="9" t="s">
        <v>8822</v>
      </c>
      <c r="BK448" s="9" t="s">
        <v>681</v>
      </c>
      <c r="BL448" s="9" t="s">
        <v>512</v>
      </c>
      <c r="BM448" s="9" t="s">
        <v>439</v>
      </c>
      <c r="BN448" s="9" t="s">
        <v>513</v>
      </c>
      <c r="CL448" s="9" t="s">
        <v>441</v>
      </c>
      <c r="CM448" s="9" t="s">
        <v>682</v>
      </c>
      <c r="CN448" s="9" t="s">
        <v>8823</v>
      </c>
      <c r="CO448" s="9" t="s">
        <v>8824</v>
      </c>
      <c r="CP448" s="9" t="s">
        <v>445</v>
      </c>
      <c r="CQ448" s="9" t="s">
        <v>8825</v>
      </c>
      <c r="CR448" s="9" t="s">
        <v>404</v>
      </c>
      <c r="CS448" s="9" t="s">
        <v>1137</v>
      </c>
      <c r="CT448" s="9" t="s">
        <v>8826</v>
      </c>
      <c r="CU448" s="9" t="s">
        <v>450</v>
      </c>
      <c r="CV448" s="9" t="s">
        <v>451</v>
      </c>
      <c r="CW448" s="9" t="s">
        <v>8827</v>
      </c>
      <c r="CX448" s="9" t="s">
        <v>408</v>
      </c>
      <c r="CY448" s="9" t="s">
        <v>8828</v>
      </c>
      <c r="CZ448" s="9" t="s">
        <v>453</v>
      </c>
      <c r="DA448" s="9" t="s">
        <v>8829</v>
      </c>
      <c r="DB448" s="9" t="s">
        <v>455</v>
      </c>
      <c r="DC448" s="9" t="s">
        <v>8830</v>
      </c>
      <c r="DD448" s="9" t="s">
        <v>406</v>
      </c>
      <c r="DE448" s="9" t="s">
        <v>1867</v>
      </c>
      <c r="DF448" s="9" t="s">
        <v>8831</v>
      </c>
      <c r="DG448" s="9" t="s">
        <v>561</v>
      </c>
      <c r="DH448" s="9" t="s">
        <v>410</v>
      </c>
      <c r="DI448" s="9" t="s">
        <v>459</v>
      </c>
      <c r="DJ448" s="9" t="s">
        <v>613</v>
      </c>
      <c r="ET448" s="9" t="s">
        <v>578</v>
      </c>
      <c r="EU448" s="9" t="s">
        <v>479</v>
      </c>
      <c r="EV448" s="9" t="s">
        <v>527</v>
      </c>
      <c r="EW448" s="9" t="s">
        <v>8832</v>
      </c>
      <c r="EX448" s="9" t="s">
        <v>8833</v>
      </c>
      <c r="EY448" s="9" t="s">
        <v>8834</v>
      </c>
      <c r="EZ448" s="9" t="s">
        <v>583</v>
      </c>
      <c r="FA448" s="9" t="s">
        <v>583</v>
      </c>
      <c r="FB448" s="9" t="s">
        <v>414</v>
      </c>
      <c r="FC448" s="9" t="s">
        <v>583</v>
      </c>
      <c r="FD448" s="9" t="s">
        <v>414</v>
      </c>
      <c r="FE448" s="9" t="s">
        <v>583</v>
      </c>
      <c r="FF448" s="9" t="s">
        <v>583</v>
      </c>
      <c r="FG448" s="9" t="s">
        <v>413</v>
      </c>
      <c r="FH448" s="9" t="s">
        <v>583</v>
      </c>
      <c r="FI448" s="9" t="s">
        <v>583</v>
      </c>
      <c r="FJ448" s="9" t="s">
        <v>583</v>
      </c>
      <c r="FK448" s="9" t="s">
        <v>583</v>
      </c>
      <c r="FL448" s="9" t="s">
        <v>414</v>
      </c>
      <c r="FM448" s="9" t="s">
        <v>413</v>
      </c>
      <c r="FN448" s="9" t="s">
        <v>583</v>
      </c>
      <c r="FO448" s="9" t="s">
        <v>417</v>
      </c>
      <c r="FP448" s="9" t="s">
        <v>418</v>
      </c>
      <c r="FQ448" s="9" t="s">
        <v>419</v>
      </c>
      <c r="FR448" s="9" t="s">
        <v>8835</v>
      </c>
      <c r="FS448" s="9" t="s">
        <v>995</v>
      </c>
      <c r="FT448" s="9" t="s">
        <v>488</v>
      </c>
      <c r="FU448" s="9" t="s">
        <v>489</v>
      </c>
      <c r="FV448" s="9" t="s">
        <v>490</v>
      </c>
      <c r="FW448" s="9" t="s">
        <v>491</v>
      </c>
      <c r="FX448" s="9" t="s">
        <v>8836</v>
      </c>
      <c r="FY448" s="9" t="s">
        <v>493</v>
      </c>
      <c r="FZ448" s="9" t="s">
        <v>8837</v>
      </c>
      <c r="GA448" s="9" t="s">
        <v>8838</v>
      </c>
      <c r="GB448" s="9" t="s">
        <v>455</v>
      </c>
      <c r="GC448" s="9"/>
      <c r="GD448" s="9"/>
      <c r="GE448" s="9" t="s">
        <v>1339</v>
      </c>
      <c r="GF448" s="9" t="s">
        <v>8839</v>
      </c>
      <c r="GG448" s="9" t="s">
        <v>857</v>
      </c>
      <c r="GH448" s="9" t="s">
        <v>857</v>
      </c>
      <c r="GI448" s="9" t="s">
        <v>790</v>
      </c>
      <c r="GQ448" s="9" t="s">
        <v>3208</v>
      </c>
      <c r="GT448" s="9" t="s">
        <v>5081</v>
      </c>
      <c r="GU448" s="9" t="s">
        <v>8729</v>
      </c>
      <c r="GV448" s="9" t="s">
        <v>5231</v>
      </c>
      <c r="GW448" s="9" t="s">
        <v>484</v>
      </c>
      <c r="HC448" s="9" t="s">
        <v>5297</v>
      </c>
      <c r="HD448" s="9" t="s">
        <v>484</v>
      </c>
      <c r="HE448" s="9" t="s">
        <v>5320</v>
      </c>
      <c r="HF448" s="9" t="s">
        <v>5300</v>
      </c>
      <c r="HO448" s="9" t="s">
        <v>5301</v>
      </c>
      <c r="HP448" s="9" t="s">
        <v>5264</v>
      </c>
      <c r="HQ448" s="9" t="s">
        <v>5238</v>
      </c>
      <c r="HR448" s="9" t="s">
        <v>5239</v>
      </c>
      <c r="HW448" s="9" t="s">
        <v>8840</v>
      </c>
      <c r="MJ448" s="9" t="s">
        <v>6321</v>
      </c>
    </row>
    <row r="449" ht="22.5" customHeight="1">
      <c r="A449" s="8">
        <v>46098.99564787037</v>
      </c>
      <c r="B449" s="9" t="s">
        <v>368</v>
      </c>
      <c r="C449" s="9" t="s">
        <v>370</v>
      </c>
      <c r="D449" s="9" t="s">
        <v>370</v>
      </c>
      <c r="E449" s="9" t="s">
        <v>2388</v>
      </c>
      <c r="F449" s="9" t="s">
        <v>1441</v>
      </c>
      <c r="G449" s="9" t="s">
        <v>422</v>
      </c>
      <c r="H449" s="9" t="s">
        <v>373</v>
      </c>
      <c r="I449" s="9" t="s">
        <v>374</v>
      </c>
      <c r="J449" s="9" t="s">
        <v>425</v>
      </c>
      <c r="K449" s="9" t="s">
        <v>376</v>
      </c>
      <c r="L449" s="9" t="s">
        <v>426</v>
      </c>
      <c r="M449" s="9" t="s">
        <v>8841</v>
      </c>
      <c r="N449" s="9" t="s">
        <v>426</v>
      </c>
      <c r="O449" s="9" t="s">
        <v>497</v>
      </c>
      <c r="P449" s="9" t="s">
        <v>381</v>
      </c>
      <c r="Q449" s="9" t="s">
        <v>499</v>
      </c>
      <c r="R449" s="9" t="s">
        <v>427</v>
      </c>
      <c r="S449" s="9" t="s">
        <v>384</v>
      </c>
      <c r="T449" s="9" t="s">
        <v>385</v>
      </c>
      <c r="W449" s="9" t="s">
        <v>3014</v>
      </c>
      <c r="AV449" s="9" t="s">
        <v>390</v>
      </c>
      <c r="AW449" s="9" t="s">
        <v>675</v>
      </c>
      <c r="AX449" s="9" t="s">
        <v>675</v>
      </c>
      <c r="AY449" s="9">
        <v>2.0</v>
      </c>
      <c r="AZ449" s="9">
        <v>2.0</v>
      </c>
      <c r="BA449" s="9" t="s">
        <v>391</v>
      </c>
      <c r="BB449" s="9">
        <v>2.0</v>
      </c>
      <c r="BC449" s="9" t="s">
        <v>8842</v>
      </c>
      <c r="BD449" s="9" t="s">
        <v>8843</v>
      </c>
      <c r="BE449" s="9" t="s">
        <v>432</v>
      </c>
      <c r="BF449" s="9" t="s">
        <v>1095</v>
      </c>
      <c r="BG449" s="9" t="s">
        <v>678</v>
      </c>
      <c r="BH449" s="9" t="s">
        <v>8844</v>
      </c>
      <c r="BI449" s="9" t="s">
        <v>727</v>
      </c>
      <c r="BJ449" s="9" t="s">
        <v>1211</v>
      </c>
      <c r="BK449" s="9" t="s">
        <v>437</v>
      </c>
      <c r="BL449" s="9" t="s">
        <v>438</v>
      </c>
      <c r="BM449" s="9" t="s">
        <v>439</v>
      </c>
      <c r="BN449" s="9" t="s">
        <v>440</v>
      </c>
      <c r="CL449" s="9" t="s">
        <v>441</v>
      </c>
      <c r="CM449" s="9" t="s">
        <v>442</v>
      </c>
      <c r="CN449" s="9" t="s">
        <v>1315</v>
      </c>
      <c r="CO449" s="9" t="s">
        <v>8845</v>
      </c>
      <c r="CP449" s="9" t="s">
        <v>445</v>
      </c>
      <c r="CQ449" s="9" t="s">
        <v>8846</v>
      </c>
      <c r="CR449" s="9" t="s">
        <v>447</v>
      </c>
      <c r="CS449" s="9" t="s">
        <v>8847</v>
      </c>
      <c r="CT449" s="9" t="s">
        <v>8848</v>
      </c>
      <c r="CU449" s="9" t="s">
        <v>519</v>
      </c>
      <c r="CV449" s="9" t="s">
        <v>451</v>
      </c>
      <c r="CW449" s="9" t="s">
        <v>8849</v>
      </c>
      <c r="CX449" s="9" t="s">
        <v>408</v>
      </c>
      <c r="CZ449" s="9" t="s">
        <v>453</v>
      </c>
      <c r="DA449" s="9" t="s">
        <v>8850</v>
      </c>
      <c r="DB449" s="9" t="s">
        <v>455</v>
      </c>
      <c r="DC449" s="9" t="s">
        <v>8851</v>
      </c>
      <c r="DD449" s="9" t="s">
        <v>988</v>
      </c>
      <c r="DF449" s="9" t="s">
        <v>8852</v>
      </c>
      <c r="DG449" s="9" t="s">
        <v>524</v>
      </c>
      <c r="DH449" s="9" t="s">
        <v>410</v>
      </c>
      <c r="DI449" s="9" t="s">
        <v>459</v>
      </c>
      <c r="DJ449" s="9" t="s">
        <v>613</v>
      </c>
      <c r="DM449" s="9" t="s">
        <v>8853</v>
      </c>
      <c r="DN449" s="9" t="s">
        <v>8854</v>
      </c>
      <c r="DO449" s="9" t="s">
        <v>1063</v>
      </c>
      <c r="DP449" s="9" t="s">
        <v>8855</v>
      </c>
      <c r="DQ449" s="9" t="s">
        <v>1176</v>
      </c>
      <c r="DR449" s="9" t="s">
        <v>8856</v>
      </c>
      <c r="DS449" s="9" t="s">
        <v>839</v>
      </c>
      <c r="DT449" s="9" t="s">
        <v>703</v>
      </c>
      <c r="DU449" s="9" t="s">
        <v>8857</v>
      </c>
      <c r="DV449" s="9" t="s">
        <v>8858</v>
      </c>
      <c r="DW449" s="9" t="s">
        <v>573</v>
      </c>
      <c r="DX449" s="9" t="s">
        <v>8859</v>
      </c>
      <c r="DY449" s="9" t="s">
        <v>8860</v>
      </c>
      <c r="DZ449" s="9" t="s">
        <v>8861</v>
      </c>
      <c r="EA449" s="9" t="s">
        <v>475</v>
      </c>
      <c r="EB449" s="9" t="s">
        <v>845</v>
      </c>
      <c r="EC449" s="9" t="s">
        <v>8862</v>
      </c>
      <c r="ET449" s="9" t="s">
        <v>526</v>
      </c>
      <c r="EU449" s="9" t="s">
        <v>479</v>
      </c>
      <c r="EV449" s="9" t="s">
        <v>527</v>
      </c>
      <c r="EW449" s="9" t="s">
        <v>8863</v>
      </c>
      <c r="EX449" s="9" t="s">
        <v>8864</v>
      </c>
      <c r="EY449" s="9" t="s">
        <v>8865</v>
      </c>
      <c r="EZ449" s="9" t="s">
        <v>413</v>
      </c>
      <c r="FA449" s="9" t="s">
        <v>415</v>
      </c>
      <c r="FB449" s="9" t="s">
        <v>413</v>
      </c>
      <c r="FC449" s="9" t="s">
        <v>413</v>
      </c>
      <c r="FD449" s="9" t="s">
        <v>413</v>
      </c>
      <c r="FE449" s="9" t="s">
        <v>415</v>
      </c>
      <c r="FF449" s="9" t="s">
        <v>413</v>
      </c>
      <c r="FG449" s="9" t="s">
        <v>413</v>
      </c>
      <c r="FH449" s="9" t="s">
        <v>583</v>
      </c>
      <c r="FI449" s="9" t="s">
        <v>583</v>
      </c>
      <c r="FJ449" s="9" t="s">
        <v>414</v>
      </c>
      <c r="FK449" s="9" t="s">
        <v>413</v>
      </c>
      <c r="FL449" s="9" t="s">
        <v>415</v>
      </c>
      <c r="FM449" s="9" t="s">
        <v>413</v>
      </c>
      <c r="FN449" s="9" t="s">
        <v>583</v>
      </c>
      <c r="FO449" s="9" t="s">
        <v>417</v>
      </c>
      <c r="FP449" s="9" t="s">
        <v>418</v>
      </c>
      <c r="FQ449" s="9" t="s">
        <v>712</v>
      </c>
      <c r="FR449" s="9" t="s">
        <v>8866</v>
      </c>
      <c r="FS449" s="9" t="s">
        <v>420</v>
      </c>
      <c r="FT449" s="9" t="s">
        <v>488</v>
      </c>
      <c r="FU449" s="9" t="s">
        <v>533</v>
      </c>
      <c r="FV449" s="9" t="s">
        <v>490</v>
      </c>
      <c r="FW449" s="9" t="s">
        <v>491</v>
      </c>
      <c r="FX449" s="9" t="s">
        <v>8867</v>
      </c>
      <c r="FY449" s="9" t="s">
        <v>535</v>
      </c>
      <c r="FZ449" s="9" t="s">
        <v>8868</v>
      </c>
      <c r="GA449" s="9" t="s">
        <v>8869</v>
      </c>
      <c r="GB449" s="9" t="s">
        <v>408</v>
      </c>
      <c r="GG449" s="9" t="s">
        <v>755</v>
      </c>
      <c r="GH449" s="9" t="s">
        <v>755</v>
      </c>
      <c r="GI449" s="9" t="s">
        <v>817</v>
      </c>
      <c r="GM449" s="9" t="s">
        <v>1079</v>
      </c>
      <c r="GQ449" s="9" t="s">
        <v>3208</v>
      </c>
      <c r="GT449" s="9" t="s">
        <v>4774</v>
      </c>
      <c r="GV449" s="9" t="s">
        <v>5231</v>
      </c>
      <c r="GW449" s="9" t="s">
        <v>5232</v>
      </c>
      <c r="HC449" s="9" t="s">
        <v>5297</v>
      </c>
      <c r="HD449" s="9" t="s">
        <v>5349</v>
      </c>
      <c r="HE449" s="9" t="s">
        <v>5718</v>
      </c>
      <c r="HF449" s="9" t="s">
        <v>5899</v>
      </c>
      <c r="HG449" s="9" t="s">
        <v>8870</v>
      </c>
      <c r="HH449" s="9" t="s">
        <v>6631</v>
      </c>
      <c r="HI449" s="9" t="s">
        <v>8871</v>
      </c>
      <c r="HJ449" s="9" t="s">
        <v>8872</v>
      </c>
      <c r="HO449" s="9" t="s">
        <v>5346</v>
      </c>
      <c r="HP449" s="9" t="s">
        <v>5237</v>
      </c>
      <c r="HQ449" s="9" t="s">
        <v>5238</v>
      </c>
      <c r="HR449" s="9" t="s">
        <v>5321</v>
      </c>
      <c r="HW449" s="9" t="s">
        <v>8873</v>
      </c>
      <c r="IN449" s="9" t="s">
        <v>5536</v>
      </c>
      <c r="IO449" s="9" t="s">
        <v>5536</v>
      </c>
      <c r="IP449" s="9" t="s">
        <v>5537</v>
      </c>
      <c r="IQ449" s="9" t="s">
        <v>5537</v>
      </c>
      <c r="IR449" s="9" t="s">
        <v>5537</v>
      </c>
      <c r="IS449" s="9" t="s">
        <v>5536</v>
      </c>
      <c r="MJ449" s="9" t="s">
        <v>6321</v>
      </c>
    </row>
    <row r="450" ht="22.5" customHeight="1">
      <c r="A450" s="8">
        <v>46100.791488020834</v>
      </c>
      <c r="B450" s="9" t="s">
        <v>368</v>
      </c>
      <c r="C450" s="9" t="s">
        <v>370</v>
      </c>
      <c r="D450" s="9" t="s">
        <v>370</v>
      </c>
      <c r="E450" s="9" t="s">
        <v>667</v>
      </c>
      <c r="F450" s="9" t="s">
        <v>2114</v>
      </c>
      <c r="G450" s="9" t="s">
        <v>422</v>
      </c>
      <c r="H450" s="9" t="s">
        <v>1307</v>
      </c>
      <c r="I450" s="9" t="s">
        <v>668</v>
      </c>
      <c r="J450" s="9" t="s">
        <v>375</v>
      </c>
      <c r="K450" s="9" t="s">
        <v>376</v>
      </c>
      <c r="L450" s="9" t="s">
        <v>379</v>
      </c>
      <c r="M450" s="9" t="s">
        <v>541</v>
      </c>
      <c r="N450" s="9" t="s">
        <v>379</v>
      </c>
      <c r="O450" s="9" t="s">
        <v>497</v>
      </c>
      <c r="P450" s="9" t="s">
        <v>381</v>
      </c>
      <c r="Q450" s="9" t="s">
        <v>499</v>
      </c>
      <c r="R450" s="9" t="s">
        <v>500</v>
      </c>
      <c r="S450" s="9" t="s">
        <v>384</v>
      </c>
      <c r="T450" s="9" t="s">
        <v>385</v>
      </c>
      <c r="W450" s="9" t="s">
        <v>3231</v>
      </c>
      <c r="AV450" s="9" t="s">
        <v>1310</v>
      </c>
      <c r="AW450" s="9" t="s">
        <v>675</v>
      </c>
      <c r="AX450" s="9">
        <v>2.0</v>
      </c>
      <c r="AY450" s="9">
        <v>2.0</v>
      </c>
      <c r="AZ450" s="9" t="s">
        <v>391</v>
      </c>
      <c r="BA450" s="9">
        <v>4.0</v>
      </c>
      <c r="BB450" s="9">
        <v>4.0</v>
      </c>
      <c r="BC450" s="9" t="s">
        <v>8874</v>
      </c>
      <c r="BD450" s="9" t="s">
        <v>8875</v>
      </c>
      <c r="BE450" s="9" t="s">
        <v>2259</v>
      </c>
      <c r="BF450" s="9" t="s">
        <v>1047</v>
      </c>
      <c r="BG450" s="9" t="s">
        <v>434</v>
      </c>
      <c r="BH450" s="9" t="s">
        <v>8876</v>
      </c>
      <c r="BI450" s="9" t="s">
        <v>435</v>
      </c>
      <c r="BJ450" s="9" t="s">
        <v>8877</v>
      </c>
      <c r="BK450" s="9" t="s">
        <v>395</v>
      </c>
      <c r="BL450" s="9" t="s">
        <v>438</v>
      </c>
      <c r="BM450" s="9" t="s">
        <v>1247</v>
      </c>
      <c r="BN450" s="9" t="s">
        <v>440</v>
      </c>
      <c r="CL450" s="9" t="s">
        <v>550</v>
      </c>
      <c r="CM450" s="9" t="s">
        <v>551</v>
      </c>
      <c r="CN450" s="9" t="s">
        <v>8878</v>
      </c>
      <c r="CO450" s="9" t="s">
        <v>8879</v>
      </c>
      <c r="CP450" s="9" t="s">
        <v>445</v>
      </c>
      <c r="CQ450" s="9" t="s">
        <v>8880</v>
      </c>
      <c r="CR450" s="9" t="s">
        <v>447</v>
      </c>
      <c r="CS450" s="9" t="s">
        <v>2801</v>
      </c>
      <c r="CT450" s="9" t="s">
        <v>8881</v>
      </c>
      <c r="CU450" s="9" t="s">
        <v>1863</v>
      </c>
      <c r="CV450" s="9" t="s">
        <v>451</v>
      </c>
      <c r="CW450" s="9" t="s">
        <v>8609</v>
      </c>
      <c r="CX450" s="9" t="s">
        <v>408</v>
      </c>
      <c r="CZ450" s="9" t="s">
        <v>453</v>
      </c>
      <c r="DA450" s="9" t="s">
        <v>8882</v>
      </c>
      <c r="DB450" s="9" t="s">
        <v>408</v>
      </c>
      <c r="DD450" s="9" t="s">
        <v>1400</v>
      </c>
      <c r="DF450" s="9" t="s">
        <v>8883</v>
      </c>
      <c r="DH450" s="9" t="s">
        <v>410</v>
      </c>
      <c r="DI450" s="9" t="s">
        <v>963</v>
      </c>
      <c r="DJ450" s="9" t="s">
        <v>460</v>
      </c>
      <c r="DK450" s="9" t="s">
        <v>6335</v>
      </c>
      <c r="DM450" s="9" t="s">
        <v>8884</v>
      </c>
      <c r="DN450" s="9" t="s">
        <v>8885</v>
      </c>
      <c r="DO450" s="9" t="s">
        <v>1063</v>
      </c>
      <c r="DP450" s="9" t="s">
        <v>8886</v>
      </c>
      <c r="DQ450" s="9" t="s">
        <v>1578</v>
      </c>
      <c r="DR450" s="9" t="s">
        <v>8887</v>
      </c>
      <c r="DS450" s="9" t="s">
        <v>618</v>
      </c>
      <c r="DT450" s="9" t="s">
        <v>1580</v>
      </c>
      <c r="DU450" s="9" t="s">
        <v>8888</v>
      </c>
      <c r="DV450" s="9" t="s">
        <v>8889</v>
      </c>
      <c r="DW450" s="9" t="s">
        <v>573</v>
      </c>
      <c r="DX450" s="9" t="s">
        <v>8890</v>
      </c>
      <c r="DY450" s="9" t="s">
        <v>8891</v>
      </c>
      <c r="DZ450" s="9" t="s">
        <v>8892</v>
      </c>
      <c r="EA450" s="9" t="s">
        <v>475</v>
      </c>
      <c r="EB450" s="9" t="s">
        <v>626</v>
      </c>
      <c r="EC450" s="9" t="s">
        <v>8893</v>
      </c>
      <c r="ET450" s="9" t="s">
        <v>526</v>
      </c>
      <c r="EU450" s="9" t="s">
        <v>479</v>
      </c>
      <c r="EV450" s="9" t="s">
        <v>480</v>
      </c>
      <c r="EW450" s="9" t="s">
        <v>8894</v>
      </c>
      <c r="EX450" s="9" t="s">
        <v>8895</v>
      </c>
      <c r="EY450" s="9" t="s">
        <v>8896</v>
      </c>
      <c r="EZ450" s="9" t="s">
        <v>583</v>
      </c>
      <c r="FA450" s="9" t="s">
        <v>583</v>
      </c>
      <c r="FB450" s="9" t="s">
        <v>414</v>
      </c>
      <c r="FC450" s="9" t="s">
        <v>414</v>
      </c>
      <c r="FD450" s="9" t="s">
        <v>484</v>
      </c>
      <c r="FE450" s="9" t="s">
        <v>583</v>
      </c>
      <c r="FF450" s="9" t="s">
        <v>414</v>
      </c>
      <c r="FG450" s="9" t="s">
        <v>583</v>
      </c>
      <c r="FH450" s="9" t="s">
        <v>416</v>
      </c>
      <c r="FI450" s="9" t="s">
        <v>583</v>
      </c>
      <c r="FJ450" s="9" t="s">
        <v>583</v>
      </c>
      <c r="FK450" s="9" t="s">
        <v>583</v>
      </c>
      <c r="FL450" s="9" t="s">
        <v>583</v>
      </c>
      <c r="FM450" s="9" t="s">
        <v>484</v>
      </c>
      <c r="FN450" s="9" t="s">
        <v>583</v>
      </c>
      <c r="FO450" s="9" t="s">
        <v>417</v>
      </c>
      <c r="FP450" s="9" t="s">
        <v>418</v>
      </c>
      <c r="FQ450" s="9" t="s">
        <v>419</v>
      </c>
      <c r="FR450" s="9" t="s">
        <v>8897</v>
      </c>
      <c r="FS450" s="9" t="s">
        <v>420</v>
      </c>
      <c r="FT450" s="9" t="s">
        <v>488</v>
      </c>
      <c r="FU450" s="9" t="s">
        <v>489</v>
      </c>
      <c r="FV450" s="9" t="s">
        <v>490</v>
      </c>
      <c r="FW450" s="9" t="s">
        <v>491</v>
      </c>
      <c r="FX450" s="9" t="s">
        <v>8898</v>
      </c>
      <c r="FY450" s="9" t="s">
        <v>493</v>
      </c>
      <c r="FZ450" s="9" t="s">
        <v>8899</v>
      </c>
      <c r="GA450" s="9" t="s">
        <v>8900</v>
      </c>
      <c r="GB450" s="9" t="s">
        <v>455</v>
      </c>
      <c r="GC450" s="9"/>
      <c r="GE450" s="9" t="s">
        <v>1339</v>
      </c>
      <c r="GF450" s="9" t="s">
        <v>8901</v>
      </c>
      <c r="GG450" s="9" t="s">
        <v>755</v>
      </c>
      <c r="GH450" s="9" t="s">
        <v>755</v>
      </c>
      <c r="GI450" s="9" t="s">
        <v>817</v>
      </c>
      <c r="GM450" s="9" t="s">
        <v>1079</v>
      </c>
      <c r="GP450" s="9" t="s">
        <v>387</v>
      </c>
      <c r="GQ450" s="9" t="s">
        <v>6251</v>
      </c>
      <c r="GT450" s="9" t="s">
        <v>4774</v>
      </c>
      <c r="GV450" s="9" t="s">
        <v>5231</v>
      </c>
      <c r="GW450" s="9" t="s">
        <v>5232</v>
      </c>
      <c r="HC450" s="9" t="s">
        <v>6053</v>
      </c>
      <c r="HD450" s="9" t="s">
        <v>5282</v>
      </c>
      <c r="HE450" s="9" t="s">
        <v>5492</v>
      </c>
      <c r="HF450" s="9" t="s">
        <v>5284</v>
      </c>
      <c r="HG450" s="9" t="s">
        <v>8902</v>
      </c>
      <c r="HH450" s="9" t="s">
        <v>5625</v>
      </c>
      <c r="HI450" s="9" t="s">
        <v>8903</v>
      </c>
      <c r="HJ450" s="9" t="s">
        <v>8904</v>
      </c>
      <c r="HO450" s="9" t="s">
        <v>5236</v>
      </c>
      <c r="HP450" s="9" t="s">
        <v>5264</v>
      </c>
      <c r="HQ450" s="9" t="s">
        <v>5238</v>
      </c>
      <c r="HR450" s="9" t="s">
        <v>8905</v>
      </c>
      <c r="HW450" s="9" t="s">
        <v>8906</v>
      </c>
      <c r="IN450" s="9" t="s">
        <v>5500</v>
      </c>
      <c r="IO450" s="9" t="s">
        <v>5536</v>
      </c>
      <c r="IP450" s="9" t="s">
        <v>5536</v>
      </c>
      <c r="IQ450" s="9" t="s">
        <v>5500</v>
      </c>
      <c r="IR450" s="9" t="s">
        <v>5500</v>
      </c>
      <c r="IS450" s="9" t="s">
        <v>5629</v>
      </c>
      <c r="MJ450" s="9" t="s">
        <v>6321</v>
      </c>
    </row>
    <row r="451" ht="22.5" customHeight="1">
      <c r="A451" s="8">
        <v>46104.68932258102</v>
      </c>
      <c r="B451" s="9" t="s">
        <v>368</v>
      </c>
      <c r="C451" s="9" t="s">
        <v>2796</v>
      </c>
      <c r="D451" s="9" t="s">
        <v>2796</v>
      </c>
      <c r="G451" s="9" t="s">
        <v>422</v>
      </c>
      <c r="H451" s="9" t="s">
        <v>637</v>
      </c>
      <c r="I451" s="9" t="s">
        <v>638</v>
      </c>
      <c r="J451" s="9" t="s">
        <v>590</v>
      </c>
      <c r="K451" s="9" t="s">
        <v>376</v>
      </c>
      <c r="L451" s="9" t="s">
        <v>793</v>
      </c>
      <c r="M451" s="9" t="s">
        <v>720</v>
      </c>
      <c r="N451" s="9" t="s">
        <v>793</v>
      </c>
      <c r="O451" s="9" t="s">
        <v>720</v>
      </c>
      <c r="P451" s="9" t="s">
        <v>498</v>
      </c>
      <c r="Q451" s="9" t="s">
        <v>382</v>
      </c>
      <c r="R451" s="9" t="s">
        <v>949</v>
      </c>
      <c r="S451" s="9" t="s">
        <v>384</v>
      </c>
      <c r="T451" s="9" t="s">
        <v>385</v>
      </c>
      <c r="W451" s="9" t="s">
        <v>386</v>
      </c>
      <c r="X451" s="9" t="s">
        <v>387</v>
      </c>
      <c r="Y451" s="9" t="s">
        <v>388</v>
      </c>
      <c r="Z451" s="9" t="s">
        <v>543</v>
      </c>
      <c r="AA451" s="9" t="s">
        <v>8907</v>
      </c>
      <c r="AV451" s="9" t="s">
        <v>390</v>
      </c>
      <c r="AW451" s="9">
        <v>2.0</v>
      </c>
      <c r="AX451" s="9" t="s">
        <v>429</v>
      </c>
      <c r="AY451" s="9" t="s">
        <v>675</v>
      </c>
      <c r="AZ451" s="9">
        <v>4.0</v>
      </c>
      <c r="BA451" s="9" t="s">
        <v>391</v>
      </c>
      <c r="BB451" s="9">
        <v>4.0</v>
      </c>
      <c r="BC451" s="9" t="s">
        <v>8908</v>
      </c>
      <c r="BD451" s="9" t="s">
        <v>8909</v>
      </c>
      <c r="BE451" s="9" t="s">
        <v>392</v>
      </c>
      <c r="BF451" s="9" t="s">
        <v>393</v>
      </c>
      <c r="BG451" s="9" t="s">
        <v>394</v>
      </c>
      <c r="BI451" s="9" t="s">
        <v>509</v>
      </c>
      <c r="BJ451" s="9" t="s">
        <v>8910</v>
      </c>
      <c r="BK451" s="9" t="s">
        <v>437</v>
      </c>
      <c r="BL451" s="9" t="s">
        <v>512</v>
      </c>
      <c r="BM451" s="9" t="s">
        <v>549</v>
      </c>
      <c r="BN451" s="9" t="s">
        <v>398</v>
      </c>
      <c r="BO451" s="9" t="s">
        <v>8911</v>
      </c>
      <c r="BP451" s="9" t="s">
        <v>8912</v>
      </c>
      <c r="BQ451" s="9" t="s">
        <v>604</v>
      </c>
      <c r="BR451" s="9" t="s">
        <v>8913</v>
      </c>
      <c r="BS451" s="9" t="s">
        <v>4071</v>
      </c>
      <c r="BT451" s="9" t="s">
        <v>1994</v>
      </c>
      <c r="BU451" s="9" t="s">
        <v>1693</v>
      </c>
      <c r="BW451" s="9" t="s">
        <v>406</v>
      </c>
      <c r="BX451" s="9" t="s">
        <v>407</v>
      </c>
      <c r="BY451" s="9" t="s">
        <v>408</v>
      </c>
      <c r="CB451" s="9" t="s">
        <v>8914</v>
      </c>
      <c r="CC451" s="9" t="s">
        <v>8915</v>
      </c>
      <c r="CD451" s="9" t="s">
        <v>451</v>
      </c>
      <c r="CE451" s="9" t="s">
        <v>8916</v>
      </c>
      <c r="CF451" s="9" t="s">
        <v>1258</v>
      </c>
      <c r="CH451" s="9" t="s">
        <v>1259</v>
      </c>
      <c r="CI451" s="9" t="s">
        <v>1220</v>
      </c>
      <c r="DI451" s="9" t="s">
        <v>963</v>
      </c>
      <c r="DJ451" s="9" t="s">
        <v>613</v>
      </c>
      <c r="ET451" s="9" t="s">
        <v>526</v>
      </c>
      <c r="EU451" s="9" t="s">
        <v>1037</v>
      </c>
      <c r="EV451" s="9" t="s">
        <v>1262</v>
      </c>
      <c r="EZ451" s="9" t="s">
        <v>583</v>
      </c>
      <c r="FA451" s="9" t="s">
        <v>583</v>
      </c>
      <c r="FB451" s="9" t="s">
        <v>413</v>
      </c>
      <c r="FC451" s="9" t="s">
        <v>583</v>
      </c>
      <c r="FD451" s="9" t="s">
        <v>413</v>
      </c>
      <c r="FE451" s="9" t="s">
        <v>583</v>
      </c>
      <c r="FF451" s="9" t="s">
        <v>583</v>
      </c>
      <c r="FG451" s="9" t="s">
        <v>583</v>
      </c>
      <c r="FH451" s="9" t="s">
        <v>413</v>
      </c>
      <c r="FI451" s="9" t="s">
        <v>415</v>
      </c>
      <c r="FJ451" s="9" t="s">
        <v>414</v>
      </c>
      <c r="FK451" s="9" t="s">
        <v>415</v>
      </c>
      <c r="FL451" s="9" t="s">
        <v>415</v>
      </c>
      <c r="FM451" s="9" t="s">
        <v>415</v>
      </c>
      <c r="FN451" s="9" t="s">
        <v>415</v>
      </c>
      <c r="FO451" s="9" t="s">
        <v>1074</v>
      </c>
      <c r="FP451" s="9" t="s">
        <v>3218</v>
      </c>
      <c r="FQ451" s="9" t="s">
        <v>749</v>
      </c>
      <c r="FS451" s="9" t="s">
        <v>1871</v>
      </c>
      <c r="FT451" s="9" t="s">
        <v>421</v>
      </c>
      <c r="FU451" s="9" t="s">
        <v>918</v>
      </c>
      <c r="FV451" s="9" t="s">
        <v>2136</v>
      </c>
      <c r="FW451" s="9" t="s">
        <v>491</v>
      </c>
      <c r="FY451" s="9" t="s">
        <v>1854</v>
      </c>
      <c r="GB451" s="9" t="s">
        <v>408</v>
      </c>
      <c r="GJ451" s="9" t="s">
        <v>857</v>
      </c>
      <c r="GK451" s="9" t="s">
        <v>788</v>
      </c>
      <c r="GL451" s="9" t="s">
        <v>790</v>
      </c>
      <c r="GN451" s="9" t="s">
        <v>8917</v>
      </c>
      <c r="GO451" s="9" t="s">
        <v>8917</v>
      </c>
      <c r="GQ451" s="9" t="s">
        <v>3208</v>
      </c>
      <c r="GR451" s="9" t="s">
        <v>4840</v>
      </c>
      <c r="GV451" s="9" t="s">
        <v>5231</v>
      </c>
      <c r="GW451" s="9" t="s">
        <v>484</v>
      </c>
      <c r="GX451" s="9" t="s">
        <v>5281</v>
      </c>
      <c r="GY451" s="9" t="s">
        <v>8918</v>
      </c>
      <c r="GZ451" s="9" t="s">
        <v>484</v>
      </c>
      <c r="HA451" s="9" t="s">
        <v>484</v>
      </c>
      <c r="HB451" s="9" t="s">
        <v>6031</v>
      </c>
      <c r="HO451" s="9" t="s">
        <v>5236</v>
      </c>
      <c r="HP451" s="9" t="s">
        <v>5371</v>
      </c>
      <c r="HQ451" s="9" t="s">
        <v>5721</v>
      </c>
      <c r="HR451" s="9" t="s">
        <v>5239</v>
      </c>
      <c r="MJ451" s="9" t="s">
        <v>6321</v>
      </c>
    </row>
    <row r="452" ht="22.5" customHeight="1">
      <c r="A452" s="8">
        <v>46111.22171283565</v>
      </c>
      <c r="B452" s="9" t="s">
        <v>368</v>
      </c>
      <c r="C452" s="9" t="s">
        <v>1341</v>
      </c>
      <c r="D452" s="9" t="s">
        <v>1341</v>
      </c>
      <c r="G452" s="9" t="s">
        <v>422</v>
      </c>
      <c r="H452" s="9" t="s">
        <v>373</v>
      </c>
      <c r="I452" s="9" t="s">
        <v>638</v>
      </c>
      <c r="J452" s="9" t="s">
        <v>590</v>
      </c>
      <c r="K452" s="9" t="s">
        <v>376</v>
      </c>
      <c r="L452" s="9" t="s">
        <v>379</v>
      </c>
      <c r="M452" s="9" t="s">
        <v>2464</v>
      </c>
      <c r="N452" s="9" t="s">
        <v>379</v>
      </c>
      <c r="O452" s="9" t="s">
        <v>541</v>
      </c>
      <c r="P452" s="9" t="s">
        <v>498</v>
      </c>
      <c r="Q452" s="9" t="s">
        <v>818</v>
      </c>
      <c r="R452" s="9" t="s">
        <v>500</v>
      </c>
      <c r="S452" s="9" t="s">
        <v>384</v>
      </c>
      <c r="T452" s="9" t="s">
        <v>385</v>
      </c>
      <c r="W452" s="9" t="s">
        <v>3231</v>
      </c>
      <c r="AV452" s="9" t="s">
        <v>1310</v>
      </c>
      <c r="AW452" s="9" t="s">
        <v>391</v>
      </c>
      <c r="AX452" s="9" t="s">
        <v>391</v>
      </c>
      <c r="AY452" s="9" t="s">
        <v>391</v>
      </c>
      <c r="AZ452" s="9">
        <v>2.0</v>
      </c>
      <c r="BA452" s="9">
        <v>2.0</v>
      </c>
      <c r="BB452" s="9">
        <v>2.0</v>
      </c>
      <c r="BC452" s="9" t="s">
        <v>8919</v>
      </c>
      <c r="BD452" s="9" t="s">
        <v>8919</v>
      </c>
      <c r="BE452" s="9" t="s">
        <v>3114</v>
      </c>
      <c r="BF452" s="9" t="s">
        <v>1095</v>
      </c>
      <c r="BG452" s="9" t="s">
        <v>765</v>
      </c>
      <c r="BI452" s="9" t="s">
        <v>435</v>
      </c>
      <c r="BK452" s="9" t="s">
        <v>681</v>
      </c>
      <c r="BM452" s="9" t="s">
        <v>397</v>
      </c>
      <c r="BN452" s="9" t="s">
        <v>513</v>
      </c>
      <c r="CL452" s="9" t="s">
        <v>953</v>
      </c>
      <c r="CM452" s="9" t="s">
        <v>401</v>
      </c>
      <c r="CN452" s="9" t="s">
        <v>8920</v>
      </c>
      <c r="CO452" s="9" t="s">
        <v>8921</v>
      </c>
      <c r="CU452" s="9" t="s">
        <v>982</v>
      </c>
      <c r="CX452" s="9" t="s">
        <v>408</v>
      </c>
      <c r="CZ452" s="9" t="s">
        <v>985</v>
      </c>
      <c r="DB452" s="9" t="s">
        <v>455</v>
      </c>
      <c r="DG452" s="9" t="s">
        <v>561</v>
      </c>
      <c r="DH452" s="9" t="s">
        <v>833</v>
      </c>
      <c r="DI452" s="9" t="s">
        <v>963</v>
      </c>
      <c r="DJ452" s="9" t="s">
        <v>613</v>
      </c>
      <c r="ET452" s="9" t="s">
        <v>578</v>
      </c>
      <c r="EU452" s="9" t="s">
        <v>579</v>
      </c>
      <c r="EV452" s="9" t="s">
        <v>480</v>
      </c>
      <c r="EZ452" s="9" t="s">
        <v>415</v>
      </c>
      <c r="FA452" s="9" t="s">
        <v>414</v>
      </c>
      <c r="FB452" s="9" t="s">
        <v>413</v>
      </c>
      <c r="FC452" s="9" t="s">
        <v>415</v>
      </c>
      <c r="FD452" s="9" t="s">
        <v>413</v>
      </c>
      <c r="FE452" s="9" t="s">
        <v>414</v>
      </c>
      <c r="FF452" s="9" t="s">
        <v>415</v>
      </c>
      <c r="FG452" s="9" t="s">
        <v>415</v>
      </c>
      <c r="FH452" s="9" t="s">
        <v>415</v>
      </c>
      <c r="FI452" s="9" t="s">
        <v>415</v>
      </c>
      <c r="FJ452" s="9" t="s">
        <v>414</v>
      </c>
      <c r="FK452" s="9" t="s">
        <v>415</v>
      </c>
      <c r="FL452" s="9" t="s">
        <v>415</v>
      </c>
      <c r="FM452" s="9" t="s">
        <v>415</v>
      </c>
      <c r="FN452" s="9" t="s">
        <v>415</v>
      </c>
      <c r="FO452" s="9" t="s">
        <v>1074</v>
      </c>
      <c r="FP452" s="9" t="s">
        <v>418</v>
      </c>
      <c r="FQ452" s="9" t="s">
        <v>419</v>
      </c>
      <c r="FS452" s="9" t="s">
        <v>1076</v>
      </c>
      <c r="FT452" s="9" t="s">
        <v>488</v>
      </c>
      <c r="FU452" s="9" t="s">
        <v>918</v>
      </c>
      <c r="FV452" s="9" t="s">
        <v>1101</v>
      </c>
      <c r="FW452" s="9" t="s">
        <v>491</v>
      </c>
      <c r="FY452" s="9" t="s">
        <v>535</v>
      </c>
      <c r="GB452" s="9" t="s">
        <v>408</v>
      </c>
      <c r="GG452" s="9" t="s">
        <v>1000</v>
      </c>
      <c r="GH452" s="9" t="s">
        <v>1000</v>
      </c>
      <c r="GI452" s="9" t="s">
        <v>946</v>
      </c>
      <c r="GN452" s="9" t="s">
        <v>1341</v>
      </c>
      <c r="GP452" s="9" t="s">
        <v>387</v>
      </c>
      <c r="GQ452" s="9" t="s">
        <v>5015</v>
      </c>
      <c r="GT452" s="9" t="s">
        <v>4774</v>
      </c>
      <c r="GV452" s="9" t="s">
        <v>5231</v>
      </c>
      <c r="GW452" s="9" t="s">
        <v>5261</v>
      </c>
      <c r="HO452" s="9" t="s">
        <v>5285</v>
      </c>
      <c r="HP452" s="9" t="s">
        <v>5264</v>
      </c>
      <c r="HQ452" s="9" t="s">
        <v>5238</v>
      </c>
      <c r="HR452" s="9" t="s">
        <v>5321</v>
      </c>
      <c r="HS452" s="9" t="s">
        <v>6534</v>
      </c>
      <c r="HU452" s="9" t="s">
        <v>5917</v>
      </c>
      <c r="HV452" s="9" t="s">
        <v>8922</v>
      </c>
      <c r="HX452" s="9" t="s">
        <v>5920</v>
      </c>
      <c r="HY452" s="9" t="s">
        <v>5920</v>
      </c>
      <c r="HZ452" s="9" t="s">
        <v>5920</v>
      </c>
      <c r="IA452" s="9" t="s">
        <v>5920</v>
      </c>
      <c r="IB452" s="9" t="s">
        <v>5920</v>
      </c>
      <c r="IC452" s="9" t="s">
        <v>5922</v>
      </c>
      <c r="ID452" s="9" t="s">
        <v>5537</v>
      </c>
      <c r="IE452" s="9" t="s">
        <v>5537</v>
      </c>
      <c r="IF452" s="9" t="s">
        <v>5989</v>
      </c>
      <c r="IG452" s="9" t="s">
        <v>5989</v>
      </c>
      <c r="IH452" s="9" t="s">
        <v>5989</v>
      </c>
      <c r="II452" s="9" t="s">
        <v>5989</v>
      </c>
      <c r="IK452" s="9" t="s">
        <v>6523</v>
      </c>
      <c r="MJ452" s="9" t="s">
        <v>6321</v>
      </c>
    </row>
    <row r="453" ht="22.5" customHeight="1">
      <c r="A453" s="8">
        <v>46114.45798623843</v>
      </c>
      <c r="B453" s="9" t="s">
        <v>368</v>
      </c>
      <c r="C453" s="9" t="s">
        <v>370</v>
      </c>
      <c r="D453" s="9" t="s">
        <v>370</v>
      </c>
      <c r="E453" s="9" t="s">
        <v>922</v>
      </c>
      <c r="F453" s="9" t="s">
        <v>922</v>
      </c>
      <c r="G453" s="9" t="s">
        <v>636</v>
      </c>
      <c r="H453" s="9" t="s">
        <v>373</v>
      </c>
      <c r="I453" s="9" t="s">
        <v>638</v>
      </c>
      <c r="J453" s="9" t="s">
        <v>375</v>
      </c>
      <c r="K453" s="9" t="s">
        <v>376</v>
      </c>
      <c r="L453" s="9" t="s">
        <v>591</v>
      </c>
      <c r="N453" s="9" t="s">
        <v>591</v>
      </c>
      <c r="P453" s="9" t="s">
        <v>498</v>
      </c>
      <c r="Q453" s="9" t="s">
        <v>382</v>
      </c>
      <c r="R453" s="9" t="s">
        <v>1197</v>
      </c>
      <c r="S453" s="9" t="s">
        <v>384</v>
      </c>
      <c r="T453" s="9" t="s">
        <v>385</v>
      </c>
      <c r="W453" s="9" t="s">
        <v>386</v>
      </c>
      <c r="X453" s="9" t="s">
        <v>1706</v>
      </c>
      <c r="AC453" s="9" t="s">
        <v>8923</v>
      </c>
      <c r="AD453" s="9" t="s">
        <v>2968</v>
      </c>
      <c r="AE453" s="9" t="s">
        <v>455</v>
      </c>
      <c r="AG453" s="9">
        <v>1.0</v>
      </c>
      <c r="AH453" s="9" t="s">
        <v>7226</v>
      </c>
      <c r="AK453" s="9" t="s">
        <v>7228</v>
      </c>
      <c r="AV453" s="9" t="s">
        <v>1242</v>
      </c>
      <c r="AW453" s="9" t="s">
        <v>675</v>
      </c>
      <c r="AX453" s="9" t="s">
        <v>675</v>
      </c>
      <c r="AY453" s="9" t="s">
        <v>391</v>
      </c>
      <c r="AZ453" s="9" t="s">
        <v>391</v>
      </c>
      <c r="BA453" s="9" t="s">
        <v>675</v>
      </c>
      <c r="BB453" s="9">
        <v>4.0</v>
      </c>
      <c r="BE453" s="9" t="s">
        <v>432</v>
      </c>
      <c r="BF453" s="9" t="s">
        <v>1095</v>
      </c>
      <c r="BG453" s="9" t="s">
        <v>434</v>
      </c>
      <c r="BI453" s="9" t="s">
        <v>435</v>
      </c>
      <c r="BK453" s="9" t="s">
        <v>395</v>
      </c>
      <c r="BL453" s="9" t="s">
        <v>904</v>
      </c>
      <c r="BM453" s="9" t="s">
        <v>1314</v>
      </c>
      <c r="BN453" s="9" t="s">
        <v>513</v>
      </c>
      <c r="CL453" s="9" t="s">
        <v>441</v>
      </c>
      <c r="CM453" s="9" t="s">
        <v>604</v>
      </c>
      <c r="CP453" s="9" t="s">
        <v>445</v>
      </c>
      <c r="CQ453" s="9" t="s">
        <v>8924</v>
      </c>
      <c r="CR453" s="9" t="s">
        <v>404</v>
      </c>
      <c r="CS453" s="9" t="s">
        <v>8925</v>
      </c>
      <c r="CU453" s="9" t="s">
        <v>982</v>
      </c>
      <c r="CV453" s="9" t="s">
        <v>451</v>
      </c>
      <c r="CX453" s="9" t="s">
        <v>408</v>
      </c>
      <c r="CZ453" s="9" t="s">
        <v>1962</v>
      </c>
      <c r="DB453" s="9" t="s">
        <v>408</v>
      </c>
      <c r="DD453" s="9" t="s">
        <v>406</v>
      </c>
      <c r="DE453" s="9" t="s">
        <v>1058</v>
      </c>
      <c r="DG453" s="9" t="s">
        <v>524</v>
      </c>
      <c r="DH453" s="9" t="s">
        <v>833</v>
      </c>
      <c r="DI453" s="9" t="s">
        <v>459</v>
      </c>
      <c r="DJ453" s="9" t="s">
        <v>613</v>
      </c>
      <c r="ET453" s="9" t="s">
        <v>578</v>
      </c>
      <c r="EU453" s="9" t="s">
        <v>479</v>
      </c>
      <c r="EV453" s="9" t="s">
        <v>1534</v>
      </c>
      <c r="EZ453" s="9" t="s">
        <v>414</v>
      </c>
      <c r="FA453" s="9" t="s">
        <v>583</v>
      </c>
      <c r="FB453" s="9" t="s">
        <v>413</v>
      </c>
      <c r="FC453" s="9" t="s">
        <v>414</v>
      </c>
      <c r="FD453" s="9" t="s">
        <v>413</v>
      </c>
      <c r="FE453" s="9" t="s">
        <v>583</v>
      </c>
      <c r="FF453" s="9" t="s">
        <v>413</v>
      </c>
      <c r="FG453" s="9" t="s">
        <v>415</v>
      </c>
      <c r="FH453" s="9" t="s">
        <v>414</v>
      </c>
      <c r="FI453" s="9" t="s">
        <v>583</v>
      </c>
      <c r="FJ453" s="9" t="s">
        <v>583</v>
      </c>
      <c r="FK453" s="9" t="s">
        <v>415</v>
      </c>
      <c r="FL453" s="9" t="s">
        <v>414</v>
      </c>
      <c r="FM453" s="9" t="s">
        <v>484</v>
      </c>
      <c r="FN453" s="9" t="s">
        <v>484</v>
      </c>
      <c r="FO453" s="9" t="s">
        <v>1537</v>
      </c>
      <c r="FP453" s="9" t="s">
        <v>486</v>
      </c>
      <c r="FQ453" s="9" t="s">
        <v>630</v>
      </c>
      <c r="FS453" s="9" t="s">
        <v>420</v>
      </c>
      <c r="FT453" s="9" t="s">
        <v>1462</v>
      </c>
      <c r="FU453" s="9" t="s">
        <v>533</v>
      </c>
      <c r="FV453" s="9" t="s">
        <v>2399</v>
      </c>
      <c r="FW453" s="9" t="s">
        <v>1853</v>
      </c>
      <c r="FY453" s="9" t="s">
        <v>1854</v>
      </c>
      <c r="GB453" s="9" t="s">
        <v>408</v>
      </c>
      <c r="GG453" s="9" t="s">
        <v>755</v>
      </c>
      <c r="GH453" s="9" t="s">
        <v>755</v>
      </c>
      <c r="GI453" s="9" t="s">
        <v>946</v>
      </c>
      <c r="GQ453" s="9" t="s">
        <v>3208</v>
      </c>
      <c r="GT453" s="9" t="s">
        <v>4774</v>
      </c>
      <c r="GV453" s="9" t="s">
        <v>5231</v>
      </c>
      <c r="GW453" s="9" t="s">
        <v>5232</v>
      </c>
      <c r="HC453" s="9" t="s">
        <v>5297</v>
      </c>
      <c r="HD453" s="9" t="s">
        <v>5282</v>
      </c>
      <c r="HE453" s="9" t="s">
        <v>5299</v>
      </c>
      <c r="HF453" s="9" t="s">
        <v>5284</v>
      </c>
      <c r="HO453" s="9" t="s">
        <v>5346</v>
      </c>
      <c r="HP453" s="9" t="s">
        <v>5302</v>
      </c>
      <c r="HQ453" s="9" t="s">
        <v>5721</v>
      </c>
      <c r="HR453" s="9" t="s">
        <v>5239</v>
      </c>
      <c r="HW453" s="9" t="s">
        <v>5971</v>
      </c>
      <c r="MJ453" s="9" t="s">
        <v>6321</v>
      </c>
    </row>
    <row r="454" ht="22.5" customHeight="1">
      <c r="A454" s="8">
        <v>46116.70468314815</v>
      </c>
      <c r="B454" s="9" t="s">
        <v>368</v>
      </c>
      <c r="C454" s="9" t="s">
        <v>370</v>
      </c>
      <c r="D454" s="9" t="s">
        <v>370</v>
      </c>
      <c r="E454" s="9" t="s">
        <v>922</v>
      </c>
      <c r="F454" s="9" t="s">
        <v>5064</v>
      </c>
      <c r="G454" s="9" t="s">
        <v>422</v>
      </c>
      <c r="H454" s="9" t="s">
        <v>496</v>
      </c>
      <c r="I454" s="9" t="s">
        <v>374</v>
      </c>
      <c r="J454" s="9" t="s">
        <v>375</v>
      </c>
      <c r="K454" s="9" t="s">
        <v>376</v>
      </c>
      <c r="L454" s="9" t="s">
        <v>379</v>
      </c>
      <c r="M454" s="9" t="s">
        <v>378</v>
      </c>
      <c r="N454" s="9" t="s">
        <v>379</v>
      </c>
      <c r="O454" s="9" t="s">
        <v>497</v>
      </c>
      <c r="P454" s="9" t="s">
        <v>498</v>
      </c>
      <c r="Q454" s="9" t="s">
        <v>499</v>
      </c>
      <c r="R454" s="9" t="s">
        <v>427</v>
      </c>
      <c r="S454" s="9" t="s">
        <v>384</v>
      </c>
      <c r="T454" s="9" t="s">
        <v>385</v>
      </c>
      <c r="W454" s="9" t="s">
        <v>3231</v>
      </c>
      <c r="AV454" s="9" t="s">
        <v>504</v>
      </c>
      <c r="AW454" s="9" t="s">
        <v>429</v>
      </c>
      <c r="AX454" s="9" t="s">
        <v>429</v>
      </c>
      <c r="AY454" s="9" t="s">
        <v>429</v>
      </c>
      <c r="AZ454" s="9" t="s">
        <v>429</v>
      </c>
      <c r="BA454" s="9" t="s">
        <v>429</v>
      </c>
      <c r="BB454" s="9" t="s">
        <v>429</v>
      </c>
      <c r="BC454" s="9" t="s">
        <v>8926</v>
      </c>
      <c r="BD454" s="9" t="s">
        <v>8927</v>
      </c>
      <c r="BE454" s="9" t="s">
        <v>392</v>
      </c>
      <c r="BF454" s="9" t="s">
        <v>433</v>
      </c>
      <c r="BG454" s="9" t="s">
        <v>434</v>
      </c>
      <c r="BI454" s="9" t="s">
        <v>509</v>
      </c>
      <c r="BJ454" s="9" t="s">
        <v>8928</v>
      </c>
      <c r="BK454" s="9" t="s">
        <v>437</v>
      </c>
      <c r="BL454" s="9" t="s">
        <v>438</v>
      </c>
      <c r="BM454" s="9" t="s">
        <v>439</v>
      </c>
      <c r="BN454" s="9" t="s">
        <v>513</v>
      </c>
      <c r="CL454" s="9" t="s">
        <v>441</v>
      </c>
      <c r="CM454" s="9" t="s">
        <v>604</v>
      </c>
      <c r="CN454" s="9" t="s">
        <v>1600</v>
      </c>
      <c r="CO454" s="9" t="s">
        <v>8929</v>
      </c>
      <c r="CP454" s="9" t="s">
        <v>445</v>
      </c>
      <c r="CQ454" s="9" t="s">
        <v>7891</v>
      </c>
      <c r="CR454" s="9" t="s">
        <v>447</v>
      </c>
      <c r="CS454" s="9" t="s">
        <v>608</v>
      </c>
      <c r="CT454" s="9" t="s">
        <v>8930</v>
      </c>
      <c r="CU454" s="9" t="s">
        <v>450</v>
      </c>
      <c r="CV454" s="9" t="s">
        <v>451</v>
      </c>
      <c r="CW454" s="9" t="s">
        <v>8931</v>
      </c>
      <c r="CX454" s="9" t="s">
        <v>408</v>
      </c>
      <c r="CZ454" s="9" t="s">
        <v>453</v>
      </c>
      <c r="DA454" s="9" t="s">
        <v>8932</v>
      </c>
      <c r="DB454" s="9" t="s">
        <v>455</v>
      </c>
      <c r="DC454" s="9" t="s">
        <v>8933</v>
      </c>
      <c r="DD454" s="9" t="s">
        <v>406</v>
      </c>
      <c r="DE454" s="9" t="s">
        <v>407</v>
      </c>
      <c r="DF454" s="9" t="s">
        <v>8934</v>
      </c>
      <c r="DG454" s="9" t="s">
        <v>524</v>
      </c>
      <c r="DH454" s="9" t="s">
        <v>410</v>
      </c>
      <c r="DI454" s="9" t="s">
        <v>459</v>
      </c>
      <c r="DJ454" s="9" t="s">
        <v>613</v>
      </c>
      <c r="ET454" s="9" t="s">
        <v>526</v>
      </c>
      <c r="EU454" s="9" t="s">
        <v>479</v>
      </c>
      <c r="EV454" s="9" t="s">
        <v>527</v>
      </c>
      <c r="EW454" s="9" t="s">
        <v>8935</v>
      </c>
      <c r="EX454" s="9" t="s">
        <v>8936</v>
      </c>
      <c r="EY454" s="9" t="s">
        <v>8937</v>
      </c>
      <c r="EZ454" s="9" t="s">
        <v>413</v>
      </c>
      <c r="FA454" s="9" t="s">
        <v>413</v>
      </c>
      <c r="FB454" s="9" t="s">
        <v>413</v>
      </c>
      <c r="FC454" s="9" t="s">
        <v>413</v>
      </c>
      <c r="FD454" s="9" t="s">
        <v>413</v>
      </c>
      <c r="FE454" s="9" t="s">
        <v>413</v>
      </c>
      <c r="FF454" s="9" t="s">
        <v>413</v>
      </c>
      <c r="FG454" s="9" t="s">
        <v>413</v>
      </c>
      <c r="FH454" s="9" t="s">
        <v>413</v>
      </c>
      <c r="FI454" s="9" t="s">
        <v>583</v>
      </c>
      <c r="FJ454" s="9" t="s">
        <v>416</v>
      </c>
      <c r="FK454" s="9" t="s">
        <v>416</v>
      </c>
      <c r="FL454" s="9" t="s">
        <v>416</v>
      </c>
      <c r="FM454" s="9" t="s">
        <v>416</v>
      </c>
      <c r="FN454" s="9" t="s">
        <v>414</v>
      </c>
      <c r="FO454" s="9" t="s">
        <v>485</v>
      </c>
      <c r="FP454" s="9" t="s">
        <v>418</v>
      </c>
      <c r="FQ454" s="9" t="s">
        <v>712</v>
      </c>
      <c r="FR454" s="9" t="s">
        <v>8938</v>
      </c>
      <c r="FS454" s="9" t="s">
        <v>420</v>
      </c>
      <c r="FT454" s="9" t="s">
        <v>488</v>
      </c>
      <c r="FU454" s="9" t="s">
        <v>533</v>
      </c>
      <c r="FV454" s="9" t="s">
        <v>490</v>
      </c>
      <c r="FW454" s="9" t="s">
        <v>491</v>
      </c>
      <c r="FX454" s="9" t="s">
        <v>8939</v>
      </c>
      <c r="FY454" s="9" t="s">
        <v>535</v>
      </c>
      <c r="GA454" s="9" t="s">
        <v>8940</v>
      </c>
      <c r="GB454" s="9" t="s">
        <v>455</v>
      </c>
      <c r="GC454" s="9"/>
      <c r="GD454" s="9"/>
      <c r="GE454" s="9" t="s">
        <v>944</v>
      </c>
      <c r="GF454" s="9" t="s">
        <v>8941</v>
      </c>
      <c r="GG454" s="9" t="s">
        <v>755</v>
      </c>
      <c r="GH454" s="9" t="s">
        <v>755</v>
      </c>
      <c r="GI454" s="9" t="s">
        <v>946</v>
      </c>
      <c r="GP454" s="9" t="s">
        <v>387</v>
      </c>
      <c r="GQ454" s="9" t="s">
        <v>3208</v>
      </c>
      <c r="GT454" s="9" t="s">
        <v>4774</v>
      </c>
      <c r="GU454" s="9" t="s">
        <v>1211</v>
      </c>
      <c r="GV454" s="9" t="s">
        <v>5231</v>
      </c>
      <c r="GW454" s="9" t="s">
        <v>5232</v>
      </c>
      <c r="HC454" s="9" t="s">
        <v>5297</v>
      </c>
      <c r="HD454" s="9" t="s">
        <v>5349</v>
      </c>
      <c r="HE454" s="9" t="s">
        <v>5320</v>
      </c>
      <c r="HF454" s="9" t="s">
        <v>5300</v>
      </c>
      <c r="HO454" s="9" t="s">
        <v>5236</v>
      </c>
      <c r="HP454" s="9" t="s">
        <v>5264</v>
      </c>
      <c r="HQ454" s="9" t="s">
        <v>5238</v>
      </c>
      <c r="HR454" s="9" t="s">
        <v>5321</v>
      </c>
      <c r="HW454" s="9" t="s">
        <v>5501</v>
      </c>
      <c r="MJ454" s="9" t="s">
        <v>6321</v>
      </c>
    </row>
    <row r="455" ht="22.5" customHeight="1">
      <c r="A455" s="8">
        <v>46116.71896637732</v>
      </c>
      <c r="B455" s="9" t="s">
        <v>368</v>
      </c>
      <c r="C455" s="9" t="s">
        <v>8942</v>
      </c>
      <c r="D455" s="9" t="s">
        <v>538</v>
      </c>
      <c r="G455" s="9" t="s">
        <v>422</v>
      </c>
      <c r="H455" s="9" t="s">
        <v>423</v>
      </c>
      <c r="I455" s="9" t="s">
        <v>668</v>
      </c>
      <c r="J455" s="9" t="s">
        <v>540</v>
      </c>
      <c r="K455" s="9" t="s">
        <v>376</v>
      </c>
      <c r="L455" s="9" t="s">
        <v>379</v>
      </c>
      <c r="M455" s="9" t="s">
        <v>378</v>
      </c>
      <c r="N455" s="9" t="s">
        <v>426</v>
      </c>
      <c r="O455" s="9" t="s">
        <v>719</v>
      </c>
      <c r="P455" s="9" t="s">
        <v>592</v>
      </c>
      <c r="Q455" s="9" t="s">
        <v>499</v>
      </c>
      <c r="R455" s="9" t="s">
        <v>949</v>
      </c>
      <c r="S455" s="9" t="s">
        <v>384</v>
      </c>
      <c r="T455" s="9" t="s">
        <v>385</v>
      </c>
      <c r="W455" s="9" t="s">
        <v>386</v>
      </c>
      <c r="X455" s="9" t="s">
        <v>387</v>
      </c>
      <c r="Y455" s="9" t="s">
        <v>388</v>
      </c>
      <c r="Z455" s="9" t="s">
        <v>543</v>
      </c>
      <c r="AA455" s="9" t="s">
        <v>8943</v>
      </c>
      <c r="AV455" s="9" t="s">
        <v>1242</v>
      </c>
      <c r="AW455" s="9" t="s">
        <v>675</v>
      </c>
      <c r="AX455" s="9">
        <v>4.0</v>
      </c>
      <c r="AY455" s="9">
        <v>4.0</v>
      </c>
      <c r="AZ455" s="9">
        <v>4.0</v>
      </c>
      <c r="BA455" s="9" t="s">
        <v>675</v>
      </c>
      <c r="BB455" s="9">
        <v>4.0</v>
      </c>
      <c r="BC455" s="9" t="s">
        <v>8944</v>
      </c>
      <c r="BD455" s="9" t="s">
        <v>8945</v>
      </c>
      <c r="BE455" s="9" t="s">
        <v>2379</v>
      </c>
      <c r="BF455" s="9" t="s">
        <v>1245</v>
      </c>
      <c r="BG455" s="9" t="s">
        <v>725</v>
      </c>
      <c r="BH455" s="9" t="s">
        <v>8946</v>
      </c>
      <c r="BI455" s="9" t="s">
        <v>976</v>
      </c>
      <c r="BK455" s="9" t="s">
        <v>437</v>
      </c>
      <c r="BL455" s="9" t="s">
        <v>438</v>
      </c>
      <c r="BM455" s="9" t="s">
        <v>1247</v>
      </c>
      <c r="BN455" s="9" t="s">
        <v>398</v>
      </c>
      <c r="BO455" s="9" t="s">
        <v>8947</v>
      </c>
      <c r="BP455" s="9" t="s">
        <v>2675</v>
      </c>
      <c r="BQ455" s="9" t="s">
        <v>604</v>
      </c>
      <c r="BR455" s="9" t="s">
        <v>4781</v>
      </c>
      <c r="BS455" s="9" t="s">
        <v>4071</v>
      </c>
      <c r="BT455" s="9" t="s">
        <v>1994</v>
      </c>
      <c r="BU455" s="9" t="s">
        <v>405</v>
      </c>
      <c r="BW455" s="9" t="s">
        <v>406</v>
      </c>
      <c r="BX455" s="9" t="s">
        <v>1867</v>
      </c>
      <c r="BY455" s="9" t="s">
        <v>408</v>
      </c>
      <c r="CB455" s="9" t="s">
        <v>8948</v>
      </c>
      <c r="CC455" s="9" t="s">
        <v>8949</v>
      </c>
      <c r="CD455" s="9" t="s">
        <v>409</v>
      </c>
      <c r="CE455" s="9" t="s">
        <v>8950</v>
      </c>
      <c r="CF455" s="9" t="s">
        <v>1749</v>
      </c>
      <c r="CG455" s="9" t="s">
        <v>8951</v>
      </c>
      <c r="CH455" s="9" t="s">
        <v>1259</v>
      </c>
      <c r="CI455" s="9" t="s">
        <v>833</v>
      </c>
      <c r="CJ455" s="9" t="s">
        <v>8952</v>
      </c>
      <c r="CK455" s="9" t="s">
        <v>8953</v>
      </c>
      <c r="DI455" s="9" t="s">
        <v>963</v>
      </c>
      <c r="DJ455" s="9" t="s">
        <v>460</v>
      </c>
      <c r="DK455" s="9" t="s">
        <v>6319</v>
      </c>
      <c r="ET455" s="9" t="s">
        <v>526</v>
      </c>
      <c r="EU455" s="9" t="s">
        <v>579</v>
      </c>
      <c r="EV455" s="9" t="s">
        <v>1534</v>
      </c>
      <c r="EW455" s="9" t="s">
        <v>8954</v>
      </c>
      <c r="EX455" s="9" t="s">
        <v>8955</v>
      </c>
      <c r="EZ455" s="9" t="s">
        <v>415</v>
      </c>
      <c r="FA455" s="9" t="s">
        <v>414</v>
      </c>
      <c r="FB455" s="9" t="s">
        <v>413</v>
      </c>
      <c r="FC455" s="9" t="s">
        <v>416</v>
      </c>
      <c r="FD455" s="9" t="s">
        <v>413</v>
      </c>
      <c r="FE455" s="9" t="s">
        <v>414</v>
      </c>
      <c r="FF455" s="9" t="s">
        <v>415</v>
      </c>
      <c r="FG455" s="9" t="s">
        <v>416</v>
      </c>
      <c r="FH455" s="9" t="s">
        <v>414</v>
      </c>
      <c r="FI455" s="9" t="s">
        <v>413</v>
      </c>
      <c r="FJ455" s="9" t="s">
        <v>413</v>
      </c>
      <c r="FK455" s="9" t="s">
        <v>415</v>
      </c>
      <c r="FL455" s="9" t="s">
        <v>415</v>
      </c>
      <c r="FM455" s="9" t="s">
        <v>416</v>
      </c>
      <c r="FN455" s="9" t="s">
        <v>414</v>
      </c>
      <c r="FO455" s="9" t="s">
        <v>850</v>
      </c>
      <c r="FP455" s="9" t="s">
        <v>418</v>
      </c>
      <c r="FQ455" s="9" t="s">
        <v>531</v>
      </c>
      <c r="FR455" s="9" t="s">
        <v>8956</v>
      </c>
      <c r="FS455" s="9" t="s">
        <v>420</v>
      </c>
      <c r="FT455" s="9" t="s">
        <v>488</v>
      </c>
      <c r="FU455" s="9" t="s">
        <v>1235</v>
      </c>
      <c r="FV455" s="9" t="s">
        <v>490</v>
      </c>
      <c r="FW455" s="9" t="s">
        <v>491</v>
      </c>
      <c r="FX455" s="9" t="s">
        <v>8957</v>
      </c>
      <c r="FY455" s="9" t="s">
        <v>535</v>
      </c>
      <c r="GB455" s="9" t="s">
        <v>408</v>
      </c>
      <c r="GJ455" s="9" t="s">
        <v>755</v>
      </c>
      <c r="GK455" s="9" t="s">
        <v>755</v>
      </c>
      <c r="GL455" s="9" t="s">
        <v>946</v>
      </c>
      <c r="GN455" s="9" t="s">
        <v>8942</v>
      </c>
      <c r="GO455" s="9" t="s">
        <v>8958</v>
      </c>
      <c r="GQ455" s="9" t="s">
        <v>3208</v>
      </c>
      <c r="GR455" s="9" t="s">
        <v>4741</v>
      </c>
      <c r="GS455" s="9" t="s">
        <v>8959</v>
      </c>
      <c r="GV455" s="9" t="s">
        <v>5231</v>
      </c>
      <c r="GW455" s="9" t="s">
        <v>5232</v>
      </c>
      <c r="GX455" s="9" t="s">
        <v>5281</v>
      </c>
      <c r="GY455" s="9" t="s">
        <v>5233</v>
      </c>
      <c r="GZ455" s="9" t="s">
        <v>484</v>
      </c>
      <c r="HA455" s="9" t="s">
        <v>5960</v>
      </c>
      <c r="HB455" s="9" t="s">
        <v>5370</v>
      </c>
      <c r="HO455" s="9" t="s">
        <v>5383</v>
      </c>
      <c r="HP455" s="9" t="s">
        <v>5719</v>
      </c>
      <c r="HQ455" s="9" t="s">
        <v>5238</v>
      </c>
      <c r="HR455" s="9" t="s">
        <v>8960</v>
      </c>
      <c r="MJ455" s="9" t="s">
        <v>6321</v>
      </c>
    </row>
    <row r="456" ht="22.5" customHeight="1">
      <c r="A456" s="8">
        <v>46116.793567546294</v>
      </c>
      <c r="B456" s="9" t="s">
        <v>368</v>
      </c>
      <c r="C456" s="9" t="s">
        <v>370</v>
      </c>
      <c r="D456" s="9" t="s">
        <v>370</v>
      </c>
      <c r="E456" s="9" t="s">
        <v>1562</v>
      </c>
      <c r="F456" s="9" t="s">
        <v>1562</v>
      </c>
      <c r="G456" s="9" t="s">
        <v>792</v>
      </c>
      <c r="H456" s="9" t="s">
        <v>373</v>
      </c>
      <c r="I456" s="9" t="s">
        <v>374</v>
      </c>
      <c r="J456" s="9" t="s">
        <v>375</v>
      </c>
      <c r="K456" s="9" t="s">
        <v>376</v>
      </c>
      <c r="L456" s="9" t="s">
        <v>379</v>
      </c>
      <c r="M456" s="9" t="s">
        <v>2464</v>
      </c>
      <c r="N456" s="9" t="s">
        <v>379</v>
      </c>
      <c r="O456" s="9" t="s">
        <v>2579</v>
      </c>
      <c r="P456" s="9" t="s">
        <v>381</v>
      </c>
      <c r="Q456" s="9" t="s">
        <v>499</v>
      </c>
      <c r="R456" s="9" t="s">
        <v>8961</v>
      </c>
      <c r="S456" s="9" t="s">
        <v>1785</v>
      </c>
      <c r="T456" s="9" t="s">
        <v>1786</v>
      </c>
      <c r="ED456" s="9" t="s">
        <v>5723</v>
      </c>
      <c r="EO456" s="9" t="s">
        <v>8962</v>
      </c>
      <c r="EP456" s="9" t="s">
        <v>8963</v>
      </c>
      <c r="ET456" s="9" t="s">
        <v>578</v>
      </c>
      <c r="EU456" s="9" t="s">
        <v>479</v>
      </c>
      <c r="EV456" s="9" t="s">
        <v>480</v>
      </c>
      <c r="EX456" s="9" t="s">
        <v>8964</v>
      </c>
      <c r="EY456" s="9" t="s">
        <v>8965</v>
      </c>
      <c r="EZ456" s="9" t="s">
        <v>413</v>
      </c>
      <c r="FA456" s="9" t="s">
        <v>416</v>
      </c>
      <c r="FB456" s="9" t="s">
        <v>413</v>
      </c>
      <c r="FC456" s="9" t="s">
        <v>413</v>
      </c>
      <c r="FD456" s="9" t="s">
        <v>413</v>
      </c>
      <c r="FE456" s="9" t="s">
        <v>415</v>
      </c>
      <c r="FF456" s="9" t="s">
        <v>413</v>
      </c>
      <c r="FG456" s="9" t="s">
        <v>413</v>
      </c>
      <c r="FH456" s="9" t="s">
        <v>583</v>
      </c>
      <c r="FI456" s="9" t="s">
        <v>583</v>
      </c>
      <c r="FJ456" s="9" t="s">
        <v>415</v>
      </c>
      <c r="FK456" s="9" t="s">
        <v>413</v>
      </c>
      <c r="FL456" s="9" t="s">
        <v>414</v>
      </c>
      <c r="FM456" s="9" t="s">
        <v>416</v>
      </c>
      <c r="FN456" s="9" t="s">
        <v>583</v>
      </c>
      <c r="FO456" s="9" t="s">
        <v>417</v>
      </c>
      <c r="FP456" s="9" t="s">
        <v>418</v>
      </c>
      <c r="FQ456" s="9" t="s">
        <v>419</v>
      </c>
      <c r="FR456" s="9" t="s">
        <v>8966</v>
      </c>
      <c r="FS456" s="9" t="s">
        <v>420</v>
      </c>
      <c r="FT456" s="9" t="s">
        <v>488</v>
      </c>
      <c r="FU456" s="9" t="s">
        <v>533</v>
      </c>
      <c r="FV456" s="9" t="s">
        <v>490</v>
      </c>
      <c r="FW456" s="9" t="s">
        <v>491</v>
      </c>
      <c r="FX456" s="9" t="s">
        <v>8967</v>
      </c>
      <c r="FY456" s="9" t="s">
        <v>535</v>
      </c>
      <c r="GA456" s="9" t="s">
        <v>8968</v>
      </c>
      <c r="GB456" s="9" t="s">
        <v>455</v>
      </c>
      <c r="GC456" s="9"/>
      <c r="GE456" s="9" t="s">
        <v>753</v>
      </c>
      <c r="GQ456" s="9" t="s">
        <v>3208</v>
      </c>
      <c r="GV456" s="9" t="s">
        <v>5231</v>
      </c>
      <c r="GW456" s="9" t="s">
        <v>5232</v>
      </c>
      <c r="HK456" s="9" t="s">
        <v>6476</v>
      </c>
      <c r="HL456" s="9" t="s">
        <v>8969</v>
      </c>
      <c r="HM456" s="9" t="s">
        <v>5735</v>
      </c>
      <c r="HN456" s="9" t="s">
        <v>5678</v>
      </c>
      <c r="HO456" s="9" t="s">
        <v>5346</v>
      </c>
      <c r="HP456" s="9" t="s">
        <v>5264</v>
      </c>
      <c r="HQ456" s="9" t="s">
        <v>5238</v>
      </c>
      <c r="HR456" s="9" t="s">
        <v>5321</v>
      </c>
      <c r="JC456" s="9" t="s">
        <v>8970</v>
      </c>
      <c r="JG456" s="9" t="s">
        <v>5680</v>
      </c>
      <c r="KD456" s="9" t="s">
        <v>5689</v>
      </c>
      <c r="LG456" s="9" t="s">
        <v>7708</v>
      </c>
      <c r="LH456" s="9" t="s">
        <v>6154</v>
      </c>
      <c r="LI456" s="9" t="s">
        <v>8557</v>
      </c>
      <c r="LJ456" s="9" t="s">
        <v>8971</v>
      </c>
      <c r="LK456" s="9" t="s">
        <v>8559</v>
      </c>
      <c r="LL456" s="9" t="s">
        <v>7755</v>
      </c>
      <c r="LN456" s="9" t="s">
        <v>8972</v>
      </c>
      <c r="LO456" s="9" t="s">
        <v>8973</v>
      </c>
      <c r="MJ456" s="9" t="s">
        <v>6383</v>
      </c>
    </row>
    <row r="457" ht="22.5" customHeight="1">
      <c r="A457" s="8">
        <v>46116.83796020833</v>
      </c>
      <c r="B457" s="9" t="s">
        <v>368</v>
      </c>
      <c r="C457" s="9" t="s">
        <v>370</v>
      </c>
      <c r="D457" s="9" t="s">
        <v>370</v>
      </c>
      <c r="E457" s="9" t="s">
        <v>4114</v>
      </c>
      <c r="F457" s="9" t="s">
        <v>4114</v>
      </c>
      <c r="G457" s="9" t="s">
        <v>422</v>
      </c>
      <c r="H457" s="9" t="s">
        <v>373</v>
      </c>
      <c r="I457" s="9" t="s">
        <v>638</v>
      </c>
      <c r="J457" s="9" t="s">
        <v>590</v>
      </c>
      <c r="K457" s="9" t="s">
        <v>376</v>
      </c>
      <c r="L457" s="9" t="s">
        <v>426</v>
      </c>
      <c r="M457" s="9" t="s">
        <v>639</v>
      </c>
      <c r="N457" s="9" t="s">
        <v>377</v>
      </c>
      <c r="O457" s="9" t="s">
        <v>497</v>
      </c>
      <c r="P457" s="9" t="s">
        <v>1760</v>
      </c>
      <c r="Q457" s="9" t="s">
        <v>382</v>
      </c>
      <c r="R457" s="9" t="s">
        <v>427</v>
      </c>
      <c r="S457" s="9" t="s">
        <v>384</v>
      </c>
      <c r="T457" s="9" t="s">
        <v>385</v>
      </c>
      <c r="W457" s="9" t="s">
        <v>3014</v>
      </c>
      <c r="AV457" s="9" t="s">
        <v>1310</v>
      </c>
      <c r="AW457" s="9" t="s">
        <v>391</v>
      </c>
      <c r="AX457" s="9" t="s">
        <v>391</v>
      </c>
      <c r="AY457" s="9">
        <v>2.0</v>
      </c>
      <c r="AZ457" s="9">
        <v>2.0</v>
      </c>
      <c r="BA457" s="9" t="s">
        <v>391</v>
      </c>
      <c r="BB457" s="9">
        <v>2.0</v>
      </c>
      <c r="BC457" s="9" t="s">
        <v>8974</v>
      </c>
      <c r="BD457" s="9" t="s">
        <v>8975</v>
      </c>
      <c r="BE457" s="9" t="s">
        <v>432</v>
      </c>
      <c r="BF457" s="9" t="s">
        <v>433</v>
      </c>
      <c r="BG457" s="9" t="s">
        <v>765</v>
      </c>
      <c r="BH457" s="9" t="s">
        <v>8976</v>
      </c>
      <c r="BI457" s="9" t="s">
        <v>435</v>
      </c>
      <c r="BJ457" s="9" t="s">
        <v>8977</v>
      </c>
      <c r="BK457" s="9" t="s">
        <v>681</v>
      </c>
      <c r="BL457" s="9" t="s">
        <v>438</v>
      </c>
      <c r="BM457" s="9" t="s">
        <v>1276</v>
      </c>
      <c r="BN457" s="9" t="s">
        <v>513</v>
      </c>
      <c r="CL457" s="9" t="s">
        <v>441</v>
      </c>
      <c r="CM457" s="9" t="s">
        <v>401</v>
      </c>
      <c r="CN457" s="9" t="s">
        <v>552</v>
      </c>
      <c r="CO457" s="9" t="s">
        <v>8978</v>
      </c>
      <c r="CP457" s="9" t="s">
        <v>685</v>
      </c>
      <c r="CQ457" s="9" t="s">
        <v>8979</v>
      </c>
      <c r="CR457" s="9" t="s">
        <v>447</v>
      </c>
      <c r="CS457" s="9" t="s">
        <v>805</v>
      </c>
      <c r="CT457" s="9" t="s">
        <v>8980</v>
      </c>
      <c r="CU457" s="9" t="s">
        <v>450</v>
      </c>
      <c r="CV457" s="9" t="s">
        <v>451</v>
      </c>
      <c r="CW457" s="9" t="s">
        <v>8981</v>
      </c>
      <c r="CX457" s="9" t="s">
        <v>408</v>
      </c>
      <c r="CZ457" s="9" t="s">
        <v>985</v>
      </c>
      <c r="DA457" s="9" t="s">
        <v>8982</v>
      </c>
      <c r="DB457" s="9" t="s">
        <v>913</v>
      </c>
      <c r="DD457" s="9" t="s">
        <v>457</v>
      </c>
      <c r="DE457" s="9" t="s">
        <v>407</v>
      </c>
      <c r="DF457" s="9" t="s">
        <v>8983</v>
      </c>
      <c r="DG457" s="9" t="s">
        <v>561</v>
      </c>
      <c r="DH457" s="9" t="s">
        <v>410</v>
      </c>
      <c r="DI457" s="9" t="s">
        <v>459</v>
      </c>
      <c r="DJ457" s="9" t="s">
        <v>613</v>
      </c>
      <c r="ET457" s="9" t="s">
        <v>526</v>
      </c>
      <c r="EU457" s="9" t="s">
        <v>479</v>
      </c>
      <c r="EV457" s="9" t="s">
        <v>527</v>
      </c>
      <c r="EW457" s="9" t="s">
        <v>8984</v>
      </c>
      <c r="EX457" s="9" t="s">
        <v>8985</v>
      </c>
      <c r="EY457" s="9" t="s">
        <v>8986</v>
      </c>
      <c r="EZ457" s="9" t="s">
        <v>414</v>
      </c>
      <c r="FA457" s="9" t="s">
        <v>583</v>
      </c>
      <c r="FB457" s="9" t="s">
        <v>414</v>
      </c>
      <c r="FC457" s="9" t="s">
        <v>414</v>
      </c>
      <c r="FD457" s="9" t="s">
        <v>416</v>
      </c>
      <c r="FE457" s="9" t="s">
        <v>583</v>
      </c>
      <c r="FF457" s="9" t="s">
        <v>415</v>
      </c>
      <c r="FG457" s="9" t="s">
        <v>414</v>
      </c>
      <c r="FH457" s="9" t="s">
        <v>416</v>
      </c>
      <c r="FI457" s="9" t="s">
        <v>583</v>
      </c>
      <c r="FJ457" s="9" t="s">
        <v>414</v>
      </c>
      <c r="FK457" s="9" t="s">
        <v>583</v>
      </c>
      <c r="FL457" s="9" t="s">
        <v>484</v>
      </c>
      <c r="FM457" s="9" t="s">
        <v>414</v>
      </c>
      <c r="FN457" s="9" t="s">
        <v>583</v>
      </c>
      <c r="FO457" s="9" t="s">
        <v>485</v>
      </c>
      <c r="FP457" s="9" t="s">
        <v>486</v>
      </c>
      <c r="FQ457" s="9" t="s">
        <v>419</v>
      </c>
      <c r="FR457" s="9" t="s">
        <v>8987</v>
      </c>
      <c r="FS457" s="9" t="s">
        <v>1189</v>
      </c>
      <c r="FT457" s="9" t="s">
        <v>1462</v>
      </c>
      <c r="FU457" s="9" t="s">
        <v>533</v>
      </c>
      <c r="FV457" s="9" t="s">
        <v>490</v>
      </c>
      <c r="FW457" s="9" t="s">
        <v>491</v>
      </c>
      <c r="FX457" s="9" t="s">
        <v>8988</v>
      </c>
      <c r="FY457" s="9" t="s">
        <v>493</v>
      </c>
      <c r="FZ457" s="9" t="s">
        <v>8989</v>
      </c>
      <c r="GA457" s="9" t="s">
        <v>8990</v>
      </c>
      <c r="GB457" s="9" t="s">
        <v>408</v>
      </c>
      <c r="GG457" s="9" t="s">
        <v>857</v>
      </c>
      <c r="GH457" s="9" t="s">
        <v>857</v>
      </c>
      <c r="GI457" s="9" t="s">
        <v>817</v>
      </c>
      <c r="GQ457" s="9" t="s">
        <v>3208</v>
      </c>
      <c r="GT457" s="9" t="s">
        <v>4774</v>
      </c>
      <c r="GV457" s="9" t="s">
        <v>5231</v>
      </c>
      <c r="GW457" s="9" t="s">
        <v>5232</v>
      </c>
      <c r="HC457" s="9" t="s">
        <v>5297</v>
      </c>
      <c r="HD457" s="9" t="s">
        <v>5282</v>
      </c>
      <c r="HE457" s="9" t="s">
        <v>5320</v>
      </c>
      <c r="HF457" s="9" t="s">
        <v>5284</v>
      </c>
      <c r="HO457" s="9" t="s">
        <v>5346</v>
      </c>
      <c r="HP457" s="9" t="s">
        <v>5264</v>
      </c>
      <c r="HQ457" s="9" t="s">
        <v>5238</v>
      </c>
      <c r="HR457" s="9" t="s">
        <v>5321</v>
      </c>
      <c r="HW457" s="9" t="s">
        <v>6274</v>
      </c>
      <c r="MJ457" s="9" t="s">
        <v>6321</v>
      </c>
    </row>
    <row r="458" ht="22.5" customHeight="1">
      <c r="A458" s="8">
        <v>46117.02418079861</v>
      </c>
      <c r="B458" s="9" t="s">
        <v>368</v>
      </c>
      <c r="C458" s="9" t="s">
        <v>538</v>
      </c>
      <c r="D458" s="9" t="s">
        <v>538</v>
      </c>
      <c r="G458" s="9" t="s">
        <v>422</v>
      </c>
      <c r="H458" s="9" t="s">
        <v>539</v>
      </c>
      <c r="I458" s="9" t="s">
        <v>424</v>
      </c>
      <c r="J458" s="9" t="s">
        <v>375</v>
      </c>
      <c r="K458" s="9" t="s">
        <v>376</v>
      </c>
      <c r="L458" s="9" t="s">
        <v>379</v>
      </c>
      <c r="M458" s="9" t="s">
        <v>378</v>
      </c>
      <c r="N458" s="9" t="s">
        <v>426</v>
      </c>
      <c r="O458" s="9" t="s">
        <v>719</v>
      </c>
      <c r="P458" s="9" t="s">
        <v>592</v>
      </c>
      <c r="Q458" s="9" t="s">
        <v>499</v>
      </c>
      <c r="R458" s="9" t="s">
        <v>427</v>
      </c>
      <c r="S458" s="9" t="s">
        <v>384</v>
      </c>
      <c r="T458" s="9" t="s">
        <v>385</v>
      </c>
      <c r="W458" s="9" t="s">
        <v>386</v>
      </c>
      <c r="X458" s="9" t="s">
        <v>387</v>
      </c>
      <c r="Y458" s="9" t="s">
        <v>388</v>
      </c>
      <c r="Z458" s="9" t="s">
        <v>389</v>
      </c>
      <c r="AA458" s="9" t="s">
        <v>8991</v>
      </c>
      <c r="AV458" s="9" t="s">
        <v>1310</v>
      </c>
      <c r="AW458" s="9" t="s">
        <v>675</v>
      </c>
      <c r="AX458" s="9" t="s">
        <v>675</v>
      </c>
      <c r="AY458" s="9" t="s">
        <v>675</v>
      </c>
      <c r="AZ458" s="9" t="s">
        <v>675</v>
      </c>
      <c r="BA458" s="9" t="s">
        <v>675</v>
      </c>
      <c r="BB458" s="9" t="s">
        <v>675</v>
      </c>
      <c r="BC458" s="9" t="s">
        <v>8992</v>
      </c>
      <c r="BD458" s="9" t="s">
        <v>8993</v>
      </c>
      <c r="BE458" s="9" t="s">
        <v>902</v>
      </c>
      <c r="BF458" s="9" t="s">
        <v>1095</v>
      </c>
      <c r="BG458" s="9" t="s">
        <v>394</v>
      </c>
      <c r="BI458" s="9" t="s">
        <v>976</v>
      </c>
      <c r="BK458" s="9" t="s">
        <v>602</v>
      </c>
      <c r="BL458" s="9" t="s">
        <v>904</v>
      </c>
      <c r="BM458" s="9" t="s">
        <v>1247</v>
      </c>
      <c r="BN458" s="9" t="s">
        <v>398</v>
      </c>
      <c r="BO458" s="9" t="s">
        <v>8994</v>
      </c>
      <c r="BP458" s="9" t="s">
        <v>8995</v>
      </c>
      <c r="BQ458" s="9" t="s">
        <v>442</v>
      </c>
      <c r="BR458" s="9" t="s">
        <v>4462</v>
      </c>
      <c r="BS458" s="9" t="s">
        <v>4071</v>
      </c>
      <c r="BT458" s="9" t="s">
        <v>1994</v>
      </c>
      <c r="BU458" s="9" t="s">
        <v>405</v>
      </c>
      <c r="BW458" s="9" t="s">
        <v>406</v>
      </c>
      <c r="BX458" s="9" t="s">
        <v>1867</v>
      </c>
      <c r="BY458" s="9" t="s">
        <v>408</v>
      </c>
      <c r="CB458" s="9" t="s">
        <v>8996</v>
      </c>
      <c r="CC458" s="9" t="s">
        <v>8997</v>
      </c>
      <c r="CD458" s="9" t="s">
        <v>1931</v>
      </c>
      <c r="CF458" s="9" t="s">
        <v>1258</v>
      </c>
      <c r="CH458" s="9" t="s">
        <v>1259</v>
      </c>
      <c r="CI458" s="9" t="s">
        <v>1964</v>
      </c>
      <c r="CJ458" s="9" t="s">
        <v>8998</v>
      </c>
      <c r="CK458" s="9" t="s">
        <v>8999</v>
      </c>
      <c r="DI458" s="9" t="s">
        <v>459</v>
      </c>
      <c r="DJ458" s="9" t="s">
        <v>562</v>
      </c>
      <c r="DK458" s="9" t="s">
        <v>7805</v>
      </c>
      <c r="DL458" s="9" t="s">
        <v>9000</v>
      </c>
      <c r="ET458" s="9" t="s">
        <v>526</v>
      </c>
      <c r="EU458" s="9" t="s">
        <v>579</v>
      </c>
      <c r="EV458" s="9" t="s">
        <v>580</v>
      </c>
      <c r="EZ458" s="9" t="s">
        <v>413</v>
      </c>
      <c r="FA458" s="9" t="s">
        <v>415</v>
      </c>
      <c r="FB458" s="9" t="s">
        <v>413</v>
      </c>
      <c r="FC458" s="9" t="s">
        <v>413</v>
      </c>
      <c r="FD458" s="9" t="s">
        <v>413</v>
      </c>
      <c r="FE458" s="9" t="s">
        <v>413</v>
      </c>
      <c r="FF458" s="9" t="s">
        <v>413</v>
      </c>
      <c r="FG458" s="9" t="s">
        <v>413</v>
      </c>
      <c r="FH458" s="9" t="s">
        <v>414</v>
      </c>
      <c r="FI458" s="9" t="s">
        <v>413</v>
      </c>
      <c r="FJ458" s="9" t="s">
        <v>413</v>
      </c>
      <c r="FK458" s="9" t="s">
        <v>413</v>
      </c>
      <c r="FL458" s="9" t="s">
        <v>413</v>
      </c>
      <c r="FM458" s="9" t="s">
        <v>413</v>
      </c>
      <c r="FN458" s="9" t="s">
        <v>416</v>
      </c>
      <c r="FO458" s="9" t="s">
        <v>417</v>
      </c>
      <c r="FP458" s="9" t="s">
        <v>418</v>
      </c>
      <c r="FQ458" s="9" t="s">
        <v>1039</v>
      </c>
      <c r="FS458" s="9" t="s">
        <v>420</v>
      </c>
      <c r="FT458" s="9" t="s">
        <v>488</v>
      </c>
      <c r="FU458" s="9" t="s">
        <v>1235</v>
      </c>
      <c r="FV458" s="9" t="s">
        <v>490</v>
      </c>
      <c r="FW458" s="9" t="s">
        <v>491</v>
      </c>
      <c r="FX458" s="9" t="s">
        <v>9001</v>
      </c>
      <c r="FY458" s="9" t="s">
        <v>493</v>
      </c>
      <c r="GB458" s="9" t="s">
        <v>408</v>
      </c>
      <c r="GJ458" s="9" t="s">
        <v>920</v>
      </c>
      <c r="GK458" s="9" t="s">
        <v>920</v>
      </c>
      <c r="GL458" s="9" t="s">
        <v>858</v>
      </c>
      <c r="GN458" s="9" t="s">
        <v>5767</v>
      </c>
      <c r="GO458" s="9" t="s">
        <v>5767</v>
      </c>
      <c r="GQ458" s="9" t="s">
        <v>3208</v>
      </c>
      <c r="GR458" s="9" t="s">
        <v>4741</v>
      </c>
      <c r="GV458" s="9" t="s">
        <v>5260</v>
      </c>
      <c r="GW458" s="9" t="s">
        <v>5261</v>
      </c>
      <c r="GX458" s="9" t="s">
        <v>5281</v>
      </c>
      <c r="GY458" s="9" t="s">
        <v>6013</v>
      </c>
      <c r="GZ458" s="9" t="s">
        <v>5234</v>
      </c>
      <c r="HA458" s="9" t="s">
        <v>484</v>
      </c>
      <c r="HB458" s="9" t="s">
        <v>5370</v>
      </c>
      <c r="HO458" s="9" t="s">
        <v>5383</v>
      </c>
      <c r="HP458" s="9" t="s">
        <v>5371</v>
      </c>
      <c r="HQ458" s="9" t="s">
        <v>5238</v>
      </c>
      <c r="HR458" s="9" t="s">
        <v>5321</v>
      </c>
      <c r="MJ458" s="9" t="s">
        <v>6321</v>
      </c>
    </row>
    <row r="459" ht="22.5" customHeight="1">
      <c r="A459" s="8">
        <v>46117.10372409722</v>
      </c>
      <c r="B459" s="9" t="s">
        <v>368</v>
      </c>
      <c r="C459" s="9" t="s">
        <v>2025</v>
      </c>
      <c r="D459" s="9" t="s">
        <v>538</v>
      </c>
      <c r="G459" s="9" t="s">
        <v>422</v>
      </c>
      <c r="H459" s="9" t="s">
        <v>496</v>
      </c>
      <c r="I459" s="9" t="s">
        <v>374</v>
      </c>
      <c r="J459" s="9" t="s">
        <v>669</v>
      </c>
      <c r="K459" s="9" t="s">
        <v>376</v>
      </c>
      <c r="L459" s="9" t="s">
        <v>379</v>
      </c>
      <c r="M459" s="9" t="s">
        <v>639</v>
      </c>
      <c r="N459" s="9" t="s">
        <v>426</v>
      </c>
      <c r="O459" s="9" t="s">
        <v>639</v>
      </c>
      <c r="P459" s="9" t="s">
        <v>381</v>
      </c>
      <c r="Q459" s="9" t="s">
        <v>499</v>
      </c>
      <c r="R459" s="9" t="s">
        <v>500</v>
      </c>
      <c r="S459" s="9" t="s">
        <v>384</v>
      </c>
      <c r="T459" s="9" t="s">
        <v>385</v>
      </c>
      <c r="W459" s="9" t="s">
        <v>593</v>
      </c>
      <c r="X459" s="9" t="s">
        <v>387</v>
      </c>
      <c r="Y459" s="9" t="s">
        <v>897</v>
      </c>
      <c r="Z459" s="9" t="s">
        <v>543</v>
      </c>
      <c r="AA459" s="9" t="s">
        <v>9002</v>
      </c>
      <c r="AB459" s="9" t="s">
        <v>9003</v>
      </c>
      <c r="AV459" s="9" t="s">
        <v>1310</v>
      </c>
      <c r="AW459" s="9">
        <v>4.0</v>
      </c>
      <c r="AX459" s="9" t="s">
        <v>675</v>
      </c>
      <c r="AY459" s="9">
        <v>4.0</v>
      </c>
      <c r="AZ459" s="9">
        <v>4.0</v>
      </c>
      <c r="BA459" s="9" t="s">
        <v>675</v>
      </c>
      <c r="BB459" s="9" t="s">
        <v>675</v>
      </c>
      <c r="BC459" s="9" t="s">
        <v>9004</v>
      </c>
      <c r="BD459" s="9" t="s">
        <v>9005</v>
      </c>
      <c r="BE459" s="9" t="s">
        <v>902</v>
      </c>
      <c r="BF459" s="9" t="s">
        <v>1095</v>
      </c>
      <c r="BG459" s="9" t="s">
        <v>394</v>
      </c>
      <c r="BH459" s="9" t="s">
        <v>9006</v>
      </c>
      <c r="BI459" s="9" t="s">
        <v>727</v>
      </c>
      <c r="BK459" s="9" t="s">
        <v>511</v>
      </c>
      <c r="BL459" s="9" t="s">
        <v>603</v>
      </c>
      <c r="BM459" s="9" t="s">
        <v>1247</v>
      </c>
      <c r="BN459" s="9" t="s">
        <v>398</v>
      </c>
      <c r="BO459" s="9" t="s">
        <v>9007</v>
      </c>
      <c r="BP459" s="9" t="s">
        <v>9008</v>
      </c>
      <c r="BQ459" s="9" t="s">
        <v>604</v>
      </c>
      <c r="BR459" s="9" t="s">
        <v>9009</v>
      </c>
      <c r="BS459" s="9" t="s">
        <v>403</v>
      </c>
      <c r="BT459" s="9" t="s">
        <v>404</v>
      </c>
      <c r="BU459" s="9" t="s">
        <v>1693</v>
      </c>
      <c r="BV459" s="9" t="s">
        <v>9010</v>
      </c>
      <c r="BW459" s="9" t="s">
        <v>406</v>
      </c>
      <c r="BX459" s="9" t="s">
        <v>2503</v>
      </c>
      <c r="BY459" s="9" t="s">
        <v>408</v>
      </c>
      <c r="CA459" s="9" t="s">
        <v>9011</v>
      </c>
      <c r="CB459" s="9" t="s">
        <v>9012</v>
      </c>
      <c r="CC459" s="9" t="s">
        <v>9013</v>
      </c>
      <c r="CD459" s="9" t="s">
        <v>451</v>
      </c>
      <c r="CE459" s="9" t="s">
        <v>9014</v>
      </c>
      <c r="CF459" s="9" t="s">
        <v>1722</v>
      </c>
      <c r="CG459" s="9" t="s">
        <v>9015</v>
      </c>
      <c r="CH459" s="9" t="s">
        <v>1679</v>
      </c>
      <c r="CI459" s="9" t="s">
        <v>1220</v>
      </c>
      <c r="CJ459" s="9" t="s">
        <v>9016</v>
      </c>
      <c r="CK459" s="9" t="s">
        <v>9017</v>
      </c>
      <c r="DI459" s="9" t="s">
        <v>459</v>
      </c>
      <c r="DJ459" s="9" t="s">
        <v>613</v>
      </c>
      <c r="ET459" s="9" t="s">
        <v>478</v>
      </c>
      <c r="EU459" s="9" t="s">
        <v>1037</v>
      </c>
      <c r="EV459" s="9" t="s">
        <v>1262</v>
      </c>
      <c r="EX459" s="9" t="s">
        <v>9018</v>
      </c>
      <c r="EY459" s="9" t="s">
        <v>9019</v>
      </c>
      <c r="EZ459" s="9" t="s">
        <v>415</v>
      </c>
      <c r="FA459" s="9" t="s">
        <v>414</v>
      </c>
      <c r="FB459" s="9" t="s">
        <v>413</v>
      </c>
      <c r="FC459" s="9" t="s">
        <v>413</v>
      </c>
      <c r="FD459" s="9" t="s">
        <v>413</v>
      </c>
      <c r="FE459" s="9" t="s">
        <v>414</v>
      </c>
      <c r="FF459" s="9" t="s">
        <v>416</v>
      </c>
      <c r="FG459" s="9" t="s">
        <v>416</v>
      </c>
      <c r="FH459" s="9" t="s">
        <v>583</v>
      </c>
      <c r="FI459" s="9" t="s">
        <v>415</v>
      </c>
      <c r="FJ459" s="9" t="s">
        <v>415</v>
      </c>
      <c r="FK459" s="9" t="s">
        <v>416</v>
      </c>
      <c r="FL459" s="9" t="s">
        <v>415</v>
      </c>
      <c r="FM459" s="9" t="s">
        <v>416</v>
      </c>
      <c r="FN459" s="9" t="s">
        <v>414</v>
      </c>
      <c r="FO459" s="9" t="s">
        <v>417</v>
      </c>
      <c r="FP459" s="9" t="s">
        <v>418</v>
      </c>
      <c r="FQ459" s="9" t="s">
        <v>749</v>
      </c>
      <c r="FR459" s="9" t="s">
        <v>9020</v>
      </c>
      <c r="FS459" s="9" t="s">
        <v>1189</v>
      </c>
      <c r="FT459" s="9" t="s">
        <v>488</v>
      </c>
      <c r="FU459" s="9" t="s">
        <v>918</v>
      </c>
      <c r="FV459" s="9" t="s">
        <v>490</v>
      </c>
      <c r="FW459" s="9" t="s">
        <v>491</v>
      </c>
      <c r="FX459" s="9" t="s">
        <v>9021</v>
      </c>
      <c r="FY459" s="9" t="s">
        <v>493</v>
      </c>
      <c r="GB459" s="9" t="s">
        <v>455</v>
      </c>
      <c r="GC459" s="9"/>
      <c r="GE459" s="9" t="s">
        <v>855</v>
      </c>
      <c r="GJ459" s="9" t="s">
        <v>1000</v>
      </c>
      <c r="GK459" s="9" t="s">
        <v>755</v>
      </c>
      <c r="GL459" s="9" t="s">
        <v>756</v>
      </c>
      <c r="GN459" s="9" t="s">
        <v>2025</v>
      </c>
      <c r="GO459" s="9" t="s">
        <v>538</v>
      </c>
      <c r="GQ459" s="9" t="s">
        <v>3208</v>
      </c>
      <c r="GR459" s="9" t="s">
        <v>4774</v>
      </c>
      <c r="GV459" s="9" t="s">
        <v>5231</v>
      </c>
      <c r="GW459" s="9" t="s">
        <v>5232</v>
      </c>
      <c r="GX459" s="9" t="s">
        <v>5262</v>
      </c>
      <c r="GY459" s="9" t="s">
        <v>5233</v>
      </c>
      <c r="GZ459" s="9" t="s">
        <v>484</v>
      </c>
      <c r="HA459" s="9" t="s">
        <v>484</v>
      </c>
      <c r="HB459" s="9" t="s">
        <v>9022</v>
      </c>
      <c r="HO459" s="9" t="s">
        <v>5236</v>
      </c>
      <c r="HP459" s="9" t="s">
        <v>5264</v>
      </c>
      <c r="HQ459" s="9" t="s">
        <v>5238</v>
      </c>
      <c r="HR459" s="9" t="s">
        <v>9023</v>
      </c>
      <c r="MJ459" s="9" t="s">
        <v>6321</v>
      </c>
    </row>
    <row r="460" ht="22.5" customHeight="1">
      <c r="A460" s="8">
        <v>46117.11012297454</v>
      </c>
      <c r="B460" s="9" t="s">
        <v>368</v>
      </c>
      <c r="C460" s="9" t="s">
        <v>1201</v>
      </c>
      <c r="D460" s="9" t="s">
        <v>1201</v>
      </c>
      <c r="G460" s="9" t="s">
        <v>422</v>
      </c>
      <c r="H460" s="9" t="s">
        <v>496</v>
      </c>
      <c r="J460" s="9" t="s">
        <v>718</v>
      </c>
      <c r="K460" s="9" t="s">
        <v>376</v>
      </c>
      <c r="L460" s="9" t="s">
        <v>377</v>
      </c>
      <c r="M460" s="9" t="s">
        <v>541</v>
      </c>
      <c r="N460" s="9" t="s">
        <v>379</v>
      </c>
      <c r="O460" s="9" t="s">
        <v>671</v>
      </c>
      <c r="P460" s="9" t="s">
        <v>592</v>
      </c>
      <c r="Q460" s="9" t="s">
        <v>1156</v>
      </c>
      <c r="R460" s="9" t="s">
        <v>3976</v>
      </c>
      <c r="S460" s="9" t="s">
        <v>384</v>
      </c>
      <c r="T460" s="9" t="s">
        <v>385</v>
      </c>
      <c r="W460" s="9" t="s">
        <v>593</v>
      </c>
      <c r="X460" s="9" t="s">
        <v>387</v>
      </c>
      <c r="Y460" s="9" t="s">
        <v>594</v>
      </c>
      <c r="Z460" s="9" t="s">
        <v>672</v>
      </c>
      <c r="AA460" s="9" t="s">
        <v>9024</v>
      </c>
      <c r="AB460" s="9" t="s">
        <v>9025</v>
      </c>
      <c r="AV460" s="9" t="s">
        <v>1310</v>
      </c>
      <c r="AW460" s="9" t="s">
        <v>391</v>
      </c>
      <c r="AX460" s="9">
        <v>2.0</v>
      </c>
      <c r="AY460" s="9">
        <v>2.0</v>
      </c>
      <c r="AZ460" s="9" t="s">
        <v>391</v>
      </c>
      <c r="BA460" s="9" t="s">
        <v>429</v>
      </c>
      <c r="BB460" s="9">
        <v>2.0</v>
      </c>
      <c r="BC460" s="9" t="s">
        <v>9026</v>
      </c>
      <c r="BD460" s="9" t="s">
        <v>9027</v>
      </c>
      <c r="BE460" s="9" t="s">
        <v>432</v>
      </c>
      <c r="BF460" s="9" t="s">
        <v>393</v>
      </c>
      <c r="BG460" s="9" t="s">
        <v>678</v>
      </c>
      <c r="BH460" s="9" t="s">
        <v>9028</v>
      </c>
      <c r="BI460" s="9" t="s">
        <v>976</v>
      </c>
      <c r="BK460" s="9" t="s">
        <v>437</v>
      </c>
      <c r="BL460" s="9" t="s">
        <v>904</v>
      </c>
      <c r="BM460" s="9" t="s">
        <v>1247</v>
      </c>
      <c r="BN460" s="9" t="s">
        <v>513</v>
      </c>
      <c r="CL460" s="9" t="s">
        <v>550</v>
      </c>
      <c r="CM460" s="9" t="s">
        <v>442</v>
      </c>
      <c r="CN460" s="9" t="s">
        <v>9029</v>
      </c>
      <c r="CO460" s="9" t="s">
        <v>9030</v>
      </c>
      <c r="CP460" s="9" t="s">
        <v>685</v>
      </c>
      <c r="CQ460" s="9" t="s">
        <v>4908</v>
      </c>
      <c r="CR460" s="9" t="s">
        <v>804</v>
      </c>
      <c r="CS460" s="9" t="s">
        <v>8203</v>
      </c>
      <c r="CT460" s="9" t="s">
        <v>9031</v>
      </c>
      <c r="CU460" s="9" t="s">
        <v>519</v>
      </c>
      <c r="CV460" s="9" t="s">
        <v>2393</v>
      </c>
      <c r="CX460" s="9" t="s">
        <v>408</v>
      </c>
      <c r="CZ460" s="9" t="s">
        <v>1962</v>
      </c>
      <c r="DB460" s="9" t="s">
        <v>408</v>
      </c>
      <c r="DD460" s="9" t="s">
        <v>457</v>
      </c>
      <c r="DF460" s="9" t="s">
        <v>9032</v>
      </c>
      <c r="DG460" s="9" t="s">
        <v>990</v>
      </c>
      <c r="DH460" s="9" t="s">
        <v>410</v>
      </c>
      <c r="DI460" s="9" t="s">
        <v>963</v>
      </c>
      <c r="DJ460" s="9" t="s">
        <v>613</v>
      </c>
      <c r="ET460" s="9" t="s">
        <v>478</v>
      </c>
      <c r="EU460" s="9" t="s">
        <v>479</v>
      </c>
      <c r="EV460" s="9" t="s">
        <v>527</v>
      </c>
      <c r="EW460" s="9" t="s">
        <v>9033</v>
      </c>
      <c r="EX460" s="9" t="s">
        <v>9034</v>
      </c>
      <c r="EY460" s="9" t="s">
        <v>9035</v>
      </c>
      <c r="EZ460" s="9" t="s">
        <v>583</v>
      </c>
      <c r="FA460" s="9" t="s">
        <v>583</v>
      </c>
      <c r="FB460" s="9" t="s">
        <v>416</v>
      </c>
      <c r="FC460" s="9" t="s">
        <v>583</v>
      </c>
      <c r="FD460" s="9" t="s">
        <v>415</v>
      </c>
      <c r="FE460" s="9" t="s">
        <v>583</v>
      </c>
      <c r="FF460" s="9" t="s">
        <v>583</v>
      </c>
      <c r="FG460" s="9" t="s">
        <v>415</v>
      </c>
      <c r="FH460" s="9" t="s">
        <v>415</v>
      </c>
      <c r="FI460" s="9" t="s">
        <v>414</v>
      </c>
      <c r="FJ460" s="9" t="s">
        <v>414</v>
      </c>
      <c r="FK460" s="9" t="s">
        <v>414</v>
      </c>
      <c r="FL460" s="9" t="s">
        <v>414</v>
      </c>
      <c r="FM460" s="9" t="s">
        <v>415</v>
      </c>
      <c r="FN460" s="9" t="s">
        <v>415</v>
      </c>
      <c r="FO460" s="9" t="s">
        <v>1074</v>
      </c>
      <c r="FP460" s="9" t="s">
        <v>3218</v>
      </c>
      <c r="FQ460" s="9" t="s">
        <v>419</v>
      </c>
      <c r="FR460" s="9" t="s">
        <v>9036</v>
      </c>
      <c r="FS460" s="9" t="s">
        <v>1871</v>
      </c>
      <c r="FT460" s="9" t="s">
        <v>421</v>
      </c>
      <c r="FU460" s="9" t="s">
        <v>533</v>
      </c>
      <c r="FV460" s="9" t="s">
        <v>2387</v>
      </c>
      <c r="FX460" s="9" t="s">
        <v>9037</v>
      </c>
      <c r="FY460" s="9" t="s">
        <v>1020</v>
      </c>
      <c r="FZ460" s="9" t="s">
        <v>9038</v>
      </c>
      <c r="GB460" s="9" t="s">
        <v>455</v>
      </c>
      <c r="GC460" s="9"/>
      <c r="GE460" s="9" t="s">
        <v>753</v>
      </c>
      <c r="GF460" s="9" t="s">
        <v>9039</v>
      </c>
      <c r="GG460" s="9" t="s">
        <v>1000</v>
      </c>
      <c r="GH460" s="9" t="s">
        <v>788</v>
      </c>
      <c r="GI460" s="9" t="s">
        <v>756</v>
      </c>
      <c r="GO460" s="9" t="s">
        <v>9040</v>
      </c>
      <c r="GQ460" s="9" t="s">
        <v>3208</v>
      </c>
      <c r="GT460" s="9" t="s">
        <v>4774</v>
      </c>
      <c r="GV460" s="9" t="s">
        <v>5231</v>
      </c>
      <c r="GW460" s="9" t="s">
        <v>5232</v>
      </c>
      <c r="HC460" s="9" t="s">
        <v>5281</v>
      </c>
      <c r="HD460" s="9" t="s">
        <v>484</v>
      </c>
      <c r="HE460" s="9" t="s">
        <v>5283</v>
      </c>
      <c r="HF460" s="9" t="s">
        <v>5284</v>
      </c>
      <c r="HO460" s="9" t="s">
        <v>5236</v>
      </c>
      <c r="HP460" s="9" t="s">
        <v>5264</v>
      </c>
      <c r="HQ460" s="9" t="s">
        <v>5801</v>
      </c>
      <c r="HR460" s="9" t="s">
        <v>5239</v>
      </c>
      <c r="HW460" s="9" t="s">
        <v>9041</v>
      </c>
      <c r="MJ460" s="9" t="s">
        <v>6321</v>
      </c>
    </row>
    <row r="461" ht="22.5" customHeight="1">
      <c r="A461" s="8">
        <v>46117.37274850694</v>
      </c>
      <c r="B461" s="9" t="s">
        <v>368</v>
      </c>
      <c r="C461" s="9" t="s">
        <v>370</v>
      </c>
      <c r="D461" s="9" t="s">
        <v>370</v>
      </c>
      <c r="E461" s="9" t="s">
        <v>371</v>
      </c>
      <c r="F461" s="9" t="s">
        <v>371</v>
      </c>
      <c r="G461" s="9" t="s">
        <v>1093</v>
      </c>
      <c r="H461" s="9" t="s">
        <v>373</v>
      </c>
      <c r="I461" s="9" t="s">
        <v>638</v>
      </c>
      <c r="J461" s="9" t="s">
        <v>425</v>
      </c>
      <c r="K461" s="9" t="s">
        <v>376</v>
      </c>
      <c r="L461" s="9" t="s">
        <v>379</v>
      </c>
      <c r="M461" s="9" t="s">
        <v>2464</v>
      </c>
      <c r="N461" s="9" t="s">
        <v>426</v>
      </c>
      <c r="O461" s="9" t="s">
        <v>719</v>
      </c>
      <c r="P461" s="9" t="s">
        <v>592</v>
      </c>
      <c r="Q461" s="9" t="s">
        <v>862</v>
      </c>
      <c r="R461" s="9" t="s">
        <v>427</v>
      </c>
      <c r="S461" s="9" t="s">
        <v>384</v>
      </c>
      <c r="T461" s="9" t="s">
        <v>385</v>
      </c>
      <c r="W461" s="9" t="s">
        <v>3231</v>
      </c>
      <c r="AV461" s="9" t="s">
        <v>1310</v>
      </c>
      <c r="AW461" s="9" t="s">
        <v>391</v>
      </c>
      <c r="AX461" s="9">
        <v>2.0</v>
      </c>
      <c r="AY461" s="9">
        <v>2.0</v>
      </c>
      <c r="AZ461" s="9" t="s">
        <v>429</v>
      </c>
      <c r="BA461" s="9" t="s">
        <v>429</v>
      </c>
      <c r="BB461" s="9">
        <v>2.0</v>
      </c>
      <c r="BC461" s="9" t="s">
        <v>9042</v>
      </c>
      <c r="BD461" s="9" t="s">
        <v>9043</v>
      </c>
      <c r="BE461" s="9" t="s">
        <v>392</v>
      </c>
      <c r="BF461" s="9" t="s">
        <v>433</v>
      </c>
      <c r="BG461" s="9" t="s">
        <v>765</v>
      </c>
      <c r="BI461" s="9" t="s">
        <v>976</v>
      </c>
      <c r="BK461" s="9" t="s">
        <v>681</v>
      </c>
      <c r="BL461" s="9" t="s">
        <v>904</v>
      </c>
      <c r="BM461" s="9" t="s">
        <v>1247</v>
      </c>
      <c r="BN461" s="9" t="s">
        <v>513</v>
      </c>
      <c r="CL461" s="9" t="s">
        <v>682</v>
      </c>
      <c r="CM461" s="9" t="s">
        <v>401</v>
      </c>
      <c r="CN461" s="9" t="s">
        <v>9044</v>
      </c>
      <c r="CO461" s="9" t="s">
        <v>9045</v>
      </c>
      <c r="CT461" s="9" t="s">
        <v>9046</v>
      </c>
      <c r="CU461" s="9" t="s">
        <v>982</v>
      </c>
      <c r="CV461" s="9" t="s">
        <v>959</v>
      </c>
      <c r="CX461" s="9" t="s">
        <v>408</v>
      </c>
      <c r="CZ461" s="9" t="s">
        <v>1962</v>
      </c>
      <c r="DB461" s="9" t="s">
        <v>913</v>
      </c>
      <c r="DG461" s="9" t="s">
        <v>693</v>
      </c>
      <c r="DH461" s="9" t="s">
        <v>1964</v>
      </c>
      <c r="DI461" s="9" t="s">
        <v>963</v>
      </c>
      <c r="DJ461" s="9" t="s">
        <v>613</v>
      </c>
      <c r="ET461" s="9" t="s">
        <v>526</v>
      </c>
      <c r="EU461" s="9" t="s">
        <v>1127</v>
      </c>
      <c r="EV461" s="9" t="s">
        <v>480</v>
      </c>
      <c r="EX461" s="9" t="s">
        <v>6932</v>
      </c>
      <c r="EY461" s="9" t="s">
        <v>1380</v>
      </c>
      <c r="EZ461" s="9" t="s">
        <v>414</v>
      </c>
      <c r="FA461" s="9" t="s">
        <v>414</v>
      </c>
      <c r="FB461" s="9" t="s">
        <v>416</v>
      </c>
      <c r="FC461" s="9" t="s">
        <v>415</v>
      </c>
      <c r="FD461" s="9" t="s">
        <v>413</v>
      </c>
      <c r="FE461" s="9" t="s">
        <v>583</v>
      </c>
      <c r="FF461" s="9" t="s">
        <v>414</v>
      </c>
      <c r="FG461" s="9" t="s">
        <v>413</v>
      </c>
      <c r="FH461" s="9" t="s">
        <v>583</v>
      </c>
      <c r="FI461" s="9" t="s">
        <v>583</v>
      </c>
      <c r="FJ461" s="9" t="s">
        <v>583</v>
      </c>
      <c r="FK461" s="9" t="s">
        <v>414</v>
      </c>
      <c r="FL461" s="9" t="s">
        <v>583</v>
      </c>
      <c r="FM461" s="9" t="s">
        <v>413</v>
      </c>
      <c r="FN461" s="9" t="s">
        <v>583</v>
      </c>
      <c r="FO461" s="9" t="s">
        <v>1074</v>
      </c>
      <c r="FP461" s="9" t="s">
        <v>418</v>
      </c>
      <c r="FQ461" s="9" t="s">
        <v>630</v>
      </c>
      <c r="FR461" s="9" t="s">
        <v>9047</v>
      </c>
      <c r="FS461" s="9" t="s">
        <v>1076</v>
      </c>
      <c r="FT461" s="9" t="s">
        <v>488</v>
      </c>
      <c r="FU461" s="9" t="s">
        <v>489</v>
      </c>
      <c r="FV461" s="9" t="s">
        <v>490</v>
      </c>
      <c r="FW461" s="9" t="s">
        <v>491</v>
      </c>
      <c r="FX461" s="9" t="s">
        <v>9048</v>
      </c>
      <c r="FY461" s="9" t="s">
        <v>493</v>
      </c>
      <c r="FZ461" s="9" t="s">
        <v>9049</v>
      </c>
      <c r="GB461" s="9" t="s">
        <v>408</v>
      </c>
      <c r="GG461" s="9" t="s">
        <v>920</v>
      </c>
      <c r="GH461" s="9" t="s">
        <v>920</v>
      </c>
      <c r="GI461" s="9" t="s">
        <v>817</v>
      </c>
      <c r="GP461" s="9" t="s">
        <v>387</v>
      </c>
      <c r="GQ461" s="9" t="s">
        <v>3208</v>
      </c>
      <c r="GT461" s="9" t="s">
        <v>4774</v>
      </c>
      <c r="GV461" s="9" t="s">
        <v>5231</v>
      </c>
      <c r="GW461" s="9" t="s">
        <v>484</v>
      </c>
      <c r="HO461" s="9" t="s">
        <v>5236</v>
      </c>
      <c r="HP461" s="9" t="s">
        <v>5264</v>
      </c>
      <c r="HQ461" s="9" t="s">
        <v>5238</v>
      </c>
      <c r="HR461" s="9" t="s">
        <v>5321</v>
      </c>
      <c r="HS461" s="9" t="s">
        <v>6534</v>
      </c>
      <c r="HU461" s="9" t="s">
        <v>7955</v>
      </c>
      <c r="HV461" s="9" t="s">
        <v>5918</v>
      </c>
      <c r="HX461" s="9" t="s">
        <v>5920</v>
      </c>
      <c r="HY461" s="9" t="s">
        <v>5921</v>
      </c>
      <c r="HZ461" s="9" t="s">
        <v>5921</v>
      </c>
      <c r="IA461" s="9" t="s">
        <v>6464</v>
      </c>
      <c r="IB461" s="9" t="s">
        <v>6464</v>
      </c>
      <c r="IC461" s="9" t="s">
        <v>5920</v>
      </c>
      <c r="ID461" s="9" t="s">
        <v>5536</v>
      </c>
      <c r="IE461" s="9" t="s">
        <v>6522</v>
      </c>
      <c r="IF461" s="9" t="s">
        <v>6522</v>
      </c>
      <c r="IG461" s="9" t="s">
        <v>6522</v>
      </c>
      <c r="IH461" s="9" t="s">
        <v>6522</v>
      </c>
      <c r="II461" s="9" t="s">
        <v>5500</v>
      </c>
      <c r="IJ461" s="9" t="s">
        <v>9050</v>
      </c>
      <c r="IK461" s="9" t="s">
        <v>7126</v>
      </c>
      <c r="IL461" s="9" t="s">
        <v>9051</v>
      </c>
      <c r="MJ461" s="9" t="s">
        <v>6321</v>
      </c>
    </row>
    <row r="462" ht="22.5" customHeight="1">
      <c r="A462" s="8">
        <v>46117.402412662035</v>
      </c>
      <c r="B462" s="9" t="s">
        <v>368</v>
      </c>
      <c r="C462" s="9" t="s">
        <v>370</v>
      </c>
      <c r="D462" s="9" t="s">
        <v>370</v>
      </c>
      <c r="E462" s="9" t="s">
        <v>859</v>
      </c>
      <c r="F462" s="9" t="s">
        <v>859</v>
      </c>
      <c r="G462" s="9" t="s">
        <v>422</v>
      </c>
      <c r="H462" s="9" t="s">
        <v>637</v>
      </c>
      <c r="I462" s="9" t="s">
        <v>638</v>
      </c>
      <c r="J462" s="9" t="s">
        <v>1023</v>
      </c>
      <c r="K462" s="9" t="s">
        <v>376</v>
      </c>
      <c r="L462" s="9" t="s">
        <v>793</v>
      </c>
      <c r="M462" s="9" t="s">
        <v>1024</v>
      </c>
      <c r="N462" s="9" t="s">
        <v>1526</v>
      </c>
      <c r="O462" s="9" t="s">
        <v>1024</v>
      </c>
      <c r="P462" s="9" t="s">
        <v>381</v>
      </c>
      <c r="Q462" s="9" t="s">
        <v>862</v>
      </c>
      <c r="R462" s="9" t="s">
        <v>795</v>
      </c>
      <c r="S462" s="9" t="s">
        <v>384</v>
      </c>
      <c r="T462" s="9" t="s">
        <v>385</v>
      </c>
      <c r="W462" s="9" t="s">
        <v>3014</v>
      </c>
      <c r="AV462" s="9" t="s">
        <v>1310</v>
      </c>
      <c r="AW462" s="9" t="s">
        <v>675</v>
      </c>
      <c r="AX462" s="9" t="s">
        <v>675</v>
      </c>
      <c r="AY462" s="9" t="s">
        <v>391</v>
      </c>
      <c r="AZ462" s="9">
        <v>4.0</v>
      </c>
      <c r="BA462" s="9">
        <v>4.0</v>
      </c>
      <c r="BB462" s="9" t="s">
        <v>675</v>
      </c>
      <c r="BE462" s="9" t="s">
        <v>3114</v>
      </c>
      <c r="BF462" s="9" t="s">
        <v>1245</v>
      </c>
      <c r="BG462" s="9" t="s">
        <v>434</v>
      </c>
      <c r="BI462" s="9" t="s">
        <v>976</v>
      </c>
      <c r="BK462" s="9" t="s">
        <v>395</v>
      </c>
      <c r="BL462" s="9" t="s">
        <v>904</v>
      </c>
      <c r="BM462" s="9" t="s">
        <v>1247</v>
      </c>
      <c r="BN462" s="9" t="s">
        <v>513</v>
      </c>
      <c r="CL462" s="9" t="s">
        <v>441</v>
      </c>
      <c r="CM462" s="9" t="s">
        <v>442</v>
      </c>
      <c r="CP462" s="9" t="s">
        <v>403</v>
      </c>
      <c r="CQ462" s="9" t="s">
        <v>1427</v>
      </c>
      <c r="CR462" s="9" t="s">
        <v>404</v>
      </c>
      <c r="CS462" s="9" t="s">
        <v>9052</v>
      </c>
      <c r="CU462" s="9" t="s">
        <v>1852</v>
      </c>
      <c r="CV462" s="9" t="s">
        <v>451</v>
      </c>
      <c r="CX462" s="9" t="s">
        <v>408</v>
      </c>
      <c r="CZ462" s="9" t="s">
        <v>1398</v>
      </c>
      <c r="DB462" s="9" t="s">
        <v>408</v>
      </c>
      <c r="DD462" s="9" t="s">
        <v>406</v>
      </c>
      <c r="DE462" s="9" t="s">
        <v>1058</v>
      </c>
      <c r="DG462" s="9" t="s">
        <v>561</v>
      </c>
      <c r="DH462" s="9" t="s">
        <v>1220</v>
      </c>
      <c r="DI462" s="9" t="s">
        <v>777</v>
      </c>
      <c r="DJ462" s="9" t="s">
        <v>460</v>
      </c>
      <c r="DK462" s="9" t="s">
        <v>1434</v>
      </c>
      <c r="EV462" s="9" t="s">
        <v>580</v>
      </c>
      <c r="GB462" s="11"/>
      <c r="GG462" s="9" t="s">
        <v>920</v>
      </c>
      <c r="GH462" s="9" t="s">
        <v>789</v>
      </c>
      <c r="GI462" s="9" t="s">
        <v>817</v>
      </c>
      <c r="GT462" s="9" t="s">
        <v>5318</v>
      </c>
      <c r="GV462" s="9" t="s">
        <v>5231</v>
      </c>
      <c r="GW462" s="9" t="s">
        <v>1023</v>
      </c>
      <c r="HC462" s="9" t="s">
        <v>484</v>
      </c>
      <c r="HD462" s="9" t="s">
        <v>484</v>
      </c>
      <c r="HE462" s="9" t="s">
        <v>484</v>
      </c>
      <c r="HF462" s="9" t="s">
        <v>5768</v>
      </c>
      <c r="MJ462" s="9" t="s">
        <v>6321</v>
      </c>
    </row>
    <row r="463" ht="22.5" customHeight="1">
      <c r="A463" s="8">
        <v>46117.406726597226</v>
      </c>
      <c r="B463" s="9" t="s">
        <v>368</v>
      </c>
      <c r="C463" s="9" t="s">
        <v>370</v>
      </c>
      <c r="D463" s="9" t="s">
        <v>370</v>
      </c>
      <c r="E463" s="9" t="s">
        <v>2359</v>
      </c>
      <c r="F463" s="9" t="s">
        <v>1510</v>
      </c>
      <c r="G463" s="9" t="s">
        <v>422</v>
      </c>
      <c r="H463" s="9" t="s">
        <v>373</v>
      </c>
      <c r="I463" s="9" t="s">
        <v>374</v>
      </c>
      <c r="J463" s="9" t="s">
        <v>718</v>
      </c>
      <c r="K463" s="9" t="s">
        <v>376</v>
      </c>
      <c r="L463" s="9" t="s">
        <v>426</v>
      </c>
      <c r="M463" s="9" t="s">
        <v>378</v>
      </c>
      <c r="N463" s="9" t="s">
        <v>793</v>
      </c>
      <c r="O463" s="9" t="s">
        <v>2464</v>
      </c>
      <c r="P463" s="9" t="s">
        <v>498</v>
      </c>
      <c r="Q463" s="9" t="s">
        <v>382</v>
      </c>
      <c r="R463" s="9" t="s">
        <v>1594</v>
      </c>
      <c r="S463" s="9" t="s">
        <v>384</v>
      </c>
      <c r="T463" s="9" t="s">
        <v>385</v>
      </c>
      <c r="W463" s="9" t="s">
        <v>386</v>
      </c>
      <c r="X463" s="9" t="s">
        <v>1706</v>
      </c>
      <c r="AC463" s="9" t="s">
        <v>1707</v>
      </c>
      <c r="AD463" s="9" t="s">
        <v>1938</v>
      </c>
      <c r="AE463" s="9" t="s">
        <v>408</v>
      </c>
      <c r="AG463" s="9">
        <v>5.0</v>
      </c>
      <c r="AH463" s="9" t="s">
        <v>1639</v>
      </c>
      <c r="AI463" s="9" t="s">
        <v>9053</v>
      </c>
      <c r="AJ463" s="9" t="s">
        <v>9054</v>
      </c>
      <c r="AK463" s="9" t="s">
        <v>396</v>
      </c>
      <c r="AV463" s="9" t="s">
        <v>390</v>
      </c>
      <c r="AW463" s="9" t="s">
        <v>391</v>
      </c>
      <c r="AX463" s="9" t="s">
        <v>391</v>
      </c>
      <c r="AY463" s="9" t="s">
        <v>391</v>
      </c>
      <c r="AZ463" s="9">
        <v>2.0</v>
      </c>
      <c r="BA463" s="9">
        <v>2.0</v>
      </c>
      <c r="BB463" s="9">
        <v>2.0</v>
      </c>
      <c r="BE463" s="9" t="s">
        <v>432</v>
      </c>
      <c r="BF463" s="9" t="s">
        <v>393</v>
      </c>
      <c r="BG463" s="9" t="s">
        <v>434</v>
      </c>
      <c r="BI463" s="9" t="s">
        <v>824</v>
      </c>
      <c r="BK463" s="9" t="s">
        <v>511</v>
      </c>
      <c r="BL463" s="9" t="s">
        <v>396</v>
      </c>
      <c r="BM463" s="9" t="s">
        <v>549</v>
      </c>
      <c r="BN463" s="9" t="s">
        <v>440</v>
      </c>
      <c r="CL463" s="9" t="s">
        <v>441</v>
      </c>
      <c r="CM463" s="9" t="s">
        <v>682</v>
      </c>
      <c r="CN463" s="9" t="s">
        <v>552</v>
      </c>
      <c r="CO463" s="9" t="s">
        <v>9055</v>
      </c>
      <c r="CP463" s="9" t="s">
        <v>685</v>
      </c>
      <c r="CQ463" s="9" t="s">
        <v>9056</v>
      </c>
      <c r="CR463" s="9" t="s">
        <v>447</v>
      </c>
      <c r="CS463" s="9" t="s">
        <v>9057</v>
      </c>
      <c r="CT463" s="9" t="s">
        <v>9058</v>
      </c>
      <c r="CU463" s="9" t="s">
        <v>450</v>
      </c>
      <c r="CV463" s="9" t="s">
        <v>451</v>
      </c>
      <c r="CW463" s="9" t="s">
        <v>9059</v>
      </c>
      <c r="CX463" s="9" t="s">
        <v>408</v>
      </c>
      <c r="CZ463" s="9" t="s">
        <v>453</v>
      </c>
      <c r="DB463" s="9" t="s">
        <v>455</v>
      </c>
      <c r="DC463" s="9" t="s">
        <v>9060</v>
      </c>
      <c r="DD463" s="9" t="s">
        <v>988</v>
      </c>
      <c r="DF463" s="9" t="s">
        <v>9061</v>
      </c>
      <c r="DG463" s="9" t="s">
        <v>524</v>
      </c>
      <c r="DH463" s="9" t="s">
        <v>410</v>
      </c>
      <c r="DI463" s="9" t="s">
        <v>459</v>
      </c>
      <c r="DJ463" s="9" t="s">
        <v>613</v>
      </c>
      <c r="DM463" s="9" t="s">
        <v>9062</v>
      </c>
      <c r="DN463" s="9" t="s">
        <v>9063</v>
      </c>
      <c r="DO463" s="9" t="s">
        <v>1063</v>
      </c>
      <c r="DP463" s="9" t="s">
        <v>8073</v>
      </c>
      <c r="DQ463" s="9" t="s">
        <v>1152</v>
      </c>
      <c r="DR463" s="9" t="s">
        <v>9064</v>
      </c>
      <c r="DS463" s="9" t="s">
        <v>702</v>
      </c>
      <c r="DT463" s="9" t="s">
        <v>3611</v>
      </c>
      <c r="DW463" s="9" t="s">
        <v>396</v>
      </c>
      <c r="DX463" s="9" t="s">
        <v>9065</v>
      </c>
      <c r="DY463" s="9" t="s">
        <v>9066</v>
      </c>
      <c r="EA463" s="9" t="s">
        <v>1413</v>
      </c>
      <c r="EB463" s="9" t="s">
        <v>626</v>
      </c>
      <c r="EC463" s="9" t="s">
        <v>9067</v>
      </c>
      <c r="ET463" s="9" t="s">
        <v>526</v>
      </c>
      <c r="EU463" s="9" t="s">
        <v>479</v>
      </c>
      <c r="EV463" s="9" t="s">
        <v>480</v>
      </c>
      <c r="EZ463" s="9" t="s">
        <v>414</v>
      </c>
      <c r="FA463" s="9" t="s">
        <v>583</v>
      </c>
      <c r="FB463" s="9" t="s">
        <v>415</v>
      </c>
      <c r="FC463" s="9" t="s">
        <v>414</v>
      </c>
      <c r="FD463" s="9" t="s">
        <v>413</v>
      </c>
      <c r="FE463" s="9" t="s">
        <v>415</v>
      </c>
      <c r="FF463" s="9" t="s">
        <v>415</v>
      </c>
      <c r="FG463" s="9" t="s">
        <v>415</v>
      </c>
      <c r="FH463" s="9" t="s">
        <v>415</v>
      </c>
      <c r="FI463" s="9" t="s">
        <v>583</v>
      </c>
      <c r="FJ463" s="9" t="s">
        <v>413</v>
      </c>
      <c r="FK463" s="9" t="s">
        <v>416</v>
      </c>
      <c r="FL463" s="9" t="s">
        <v>416</v>
      </c>
      <c r="FM463" s="9" t="s">
        <v>413</v>
      </c>
      <c r="FN463" s="9" t="s">
        <v>583</v>
      </c>
      <c r="FO463" s="9" t="s">
        <v>417</v>
      </c>
      <c r="FP463" s="9" t="s">
        <v>418</v>
      </c>
      <c r="FQ463" s="9" t="s">
        <v>1039</v>
      </c>
      <c r="FS463" s="9" t="s">
        <v>420</v>
      </c>
      <c r="FT463" s="9" t="s">
        <v>488</v>
      </c>
      <c r="FU463" s="9" t="s">
        <v>533</v>
      </c>
      <c r="FV463" s="9" t="s">
        <v>490</v>
      </c>
      <c r="FW463" s="9" t="s">
        <v>491</v>
      </c>
      <c r="FX463" s="9" t="s">
        <v>9068</v>
      </c>
      <c r="FY463" s="9" t="s">
        <v>535</v>
      </c>
      <c r="GA463" s="9" t="s">
        <v>9069</v>
      </c>
      <c r="GB463" s="9" t="s">
        <v>408</v>
      </c>
      <c r="GG463" s="9" t="s">
        <v>920</v>
      </c>
      <c r="GH463" s="9" t="s">
        <v>857</v>
      </c>
      <c r="GI463" s="9" t="s">
        <v>858</v>
      </c>
      <c r="GM463" s="9" t="s">
        <v>1079</v>
      </c>
      <c r="GQ463" s="9" t="s">
        <v>3208</v>
      </c>
      <c r="GT463" s="9" t="s">
        <v>4774</v>
      </c>
      <c r="GV463" s="9" t="s">
        <v>5231</v>
      </c>
      <c r="GW463" s="9" t="s">
        <v>5232</v>
      </c>
      <c r="HC463" s="9" t="s">
        <v>5297</v>
      </c>
      <c r="HD463" s="9" t="s">
        <v>5349</v>
      </c>
      <c r="HE463" s="9" t="s">
        <v>5492</v>
      </c>
      <c r="HF463" s="9" t="s">
        <v>5284</v>
      </c>
      <c r="HG463" s="9" t="s">
        <v>9070</v>
      </c>
      <c r="HH463" s="9" t="s">
        <v>6631</v>
      </c>
      <c r="HJ463" s="9" t="s">
        <v>9071</v>
      </c>
      <c r="HO463" s="9" t="s">
        <v>5236</v>
      </c>
      <c r="HP463" s="9" t="s">
        <v>5264</v>
      </c>
      <c r="HQ463" s="9" t="s">
        <v>5238</v>
      </c>
      <c r="HR463" s="9" t="s">
        <v>5321</v>
      </c>
      <c r="HW463" s="9" t="s">
        <v>9072</v>
      </c>
      <c r="IN463" s="9" t="s">
        <v>5536</v>
      </c>
      <c r="IO463" s="9" t="s">
        <v>5537</v>
      </c>
      <c r="IP463" s="9" t="s">
        <v>5500</v>
      </c>
      <c r="IQ463" s="9" t="s">
        <v>5536</v>
      </c>
      <c r="IR463" s="9" t="s">
        <v>5537</v>
      </c>
      <c r="IS463" s="9" t="s">
        <v>5537</v>
      </c>
      <c r="MJ463" s="9" t="s">
        <v>6321</v>
      </c>
    </row>
    <row r="464" ht="22.5" customHeight="1">
      <c r="A464" s="8">
        <v>46117.43835497685</v>
      </c>
      <c r="B464" s="9" t="s">
        <v>368</v>
      </c>
      <c r="C464" s="9" t="s">
        <v>1341</v>
      </c>
      <c r="D464" s="9" t="s">
        <v>1341</v>
      </c>
      <c r="G464" s="9" t="s">
        <v>422</v>
      </c>
      <c r="H464" s="9" t="s">
        <v>637</v>
      </c>
      <c r="I464" s="9" t="s">
        <v>638</v>
      </c>
      <c r="J464" s="9" t="s">
        <v>1204</v>
      </c>
      <c r="K464" s="9" t="s">
        <v>376</v>
      </c>
      <c r="L464" s="9" t="s">
        <v>377</v>
      </c>
      <c r="M464" s="9" t="s">
        <v>2464</v>
      </c>
      <c r="N464" s="9" t="s">
        <v>377</v>
      </c>
      <c r="O464" s="9" t="s">
        <v>497</v>
      </c>
      <c r="P464" s="9" t="s">
        <v>381</v>
      </c>
      <c r="Q464" s="9" t="s">
        <v>499</v>
      </c>
      <c r="R464" s="9" t="s">
        <v>500</v>
      </c>
      <c r="S464" s="9" t="s">
        <v>1512</v>
      </c>
      <c r="T464" s="9" t="s">
        <v>385</v>
      </c>
      <c r="W464" s="9" t="s">
        <v>3014</v>
      </c>
      <c r="AV464" s="9" t="s">
        <v>1242</v>
      </c>
      <c r="AW464" s="9" t="s">
        <v>391</v>
      </c>
      <c r="AX464" s="9">
        <v>2.0</v>
      </c>
      <c r="AY464" s="9" t="s">
        <v>391</v>
      </c>
      <c r="AZ464" s="9">
        <v>2.0</v>
      </c>
      <c r="BA464" s="9">
        <v>2.0</v>
      </c>
      <c r="BB464" s="9">
        <v>2.0</v>
      </c>
      <c r="BE464" s="9" t="s">
        <v>392</v>
      </c>
      <c r="BF464" s="9" t="s">
        <v>433</v>
      </c>
      <c r="BG464" s="9" t="s">
        <v>394</v>
      </c>
      <c r="BI464" s="9" t="s">
        <v>509</v>
      </c>
      <c r="BK464" s="9" t="s">
        <v>681</v>
      </c>
      <c r="BL464" s="9" t="s">
        <v>603</v>
      </c>
      <c r="BM464" s="9" t="s">
        <v>397</v>
      </c>
      <c r="BN464" s="9" t="s">
        <v>513</v>
      </c>
      <c r="CL464" s="9" t="s">
        <v>550</v>
      </c>
      <c r="CM464" s="9" t="s">
        <v>604</v>
      </c>
      <c r="CP464" s="9" t="s">
        <v>445</v>
      </c>
      <c r="CQ464" s="9" t="s">
        <v>9073</v>
      </c>
      <c r="CR464" s="9" t="s">
        <v>555</v>
      </c>
      <c r="CS464" s="9" t="s">
        <v>8028</v>
      </c>
      <c r="CU464" s="9" t="s">
        <v>1863</v>
      </c>
      <c r="CV464" s="9" t="s">
        <v>451</v>
      </c>
      <c r="CX464" s="9" t="s">
        <v>408</v>
      </c>
      <c r="CZ464" s="9" t="s">
        <v>985</v>
      </c>
      <c r="DB464" s="9" t="s">
        <v>913</v>
      </c>
      <c r="DD464" s="9" t="s">
        <v>988</v>
      </c>
      <c r="DG464" s="9" t="s">
        <v>776</v>
      </c>
      <c r="DH464" s="9" t="s">
        <v>1220</v>
      </c>
      <c r="DI464" s="9" t="s">
        <v>963</v>
      </c>
      <c r="DJ464" s="9" t="s">
        <v>460</v>
      </c>
      <c r="DK464" s="9" t="s">
        <v>6319</v>
      </c>
      <c r="ET464" s="9" t="s">
        <v>526</v>
      </c>
      <c r="EU464" s="9" t="s">
        <v>579</v>
      </c>
      <c r="EV464" s="9" t="s">
        <v>480</v>
      </c>
      <c r="EZ464" s="9" t="s">
        <v>415</v>
      </c>
      <c r="FA464" s="9" t="s">
        <v>414</v>
      </c>
      <c r="FB464" s="9" t="s">
        <v>414</v>
      </c>
      <c r="FC464" s="9" t="s">
        <v>414</v>
      </c>
      <c r="FD464" s="9" t="s">
        <v>416</v>
      </c>
      <c r="FE464" s="9" t="s">
        <v>484</v>
      </c>
      <c r="FF464" s="9" t="s">
        <v>484</v>
      </c>
      <c r="FG464" s="9" t="s">
        <v>413</v>
      </c>
      <c r="FH464" s="9" t="s">
        <v>484</v>
      </c>
      <c r="FI464" s="9" t="s">
        <v>413</v>
      </c>
      <c r="FJ464" s="9" t="s">
        <v>583</v>
      </c>
      <c r="FK464" s="9" t="s">
        <v>413</v>
      </c>
      <c r="FL464" s="9" t="s">
        <v>413</v>
      </c>
      <c r="FM464" s="9" t="s">
        <v>413</v>
      </c>
      <c r="FN464" s="9" t="s">
        <v>484</v>
      </c>
      <c r="FO464" s="9" t="s">
        <v>1537</v>
      </c>
      <c r="FP464" s="9" t="s">
        <v>486</v>
      </c>
      <c r="FQ464" s="9" t="s">
        <v>419</v>
      </c>
      <c r="FS464" s="9" t="s">
        <v>1871</v>
      </c>
      <c r="FT464" s="9" t="s">
        <v>488</v>
      </c>
      <c r="FU464" s="9" t="s">
        <v>585</v>
      </c>
      <c r="FV464" s="9" t="s">
        <v>490</v>
      </c>
      <c r="FW464" s="9" t="s">
        <v>491</v>
      </c>
      <c r="FY464" s="9" t="s">
        <v>535</v>
      </c>
      <c r="GB464" s="9" t="s">
        <v>408</v>
      </c>
      <c r="GG464" s="9" t="s">
        <v>920</v>
      </c>
      <c r="GH464" s="9" t="s">
        <v>1000</v>
      </c>
      <c r="GI464" s="9" t="s">
        <v>817</v>
      </c>
      <c r="GQ464" s="9" t="s">
        <v>3208</v>
      </c>
      <c r="GT464" s="9" t="s">
        <v>5170</v>
      </c>
      <c r="GV464" s="9" t="s">
        <v>5231</v>
      </c>
      <c r="GW464" s="9" t="s">
        <v>5818</v>
      </c>
      <c r="HC464" s="9" t="s">
        <v>5281</v>
      </c>
      <c r="HD464" s="9" t="s">
        <v>5349</v>
      </c>
      <c r="HE464" s="9" t="s">
        <v>5299</v>
      </c>
      <c r="HF464" s="9" t="s">
        <v>5284</v>
      </c>
      <c r="HO464" s="9" t="s">
        <v>5285</v>
      </c>
      <c r="HP464" s="9" t="s">
        <v>5264</v>
      </c>
      <c r="HQ464" s="9" t="s">
        <v>5238</v>
      </c>
      <c r="HR464" s="9" t="s">
        <v>5287</v>
      </c>
      <c r="MJ464" s="9" t="s">
        <v>6321</v>
      </c>
    </row>
    <row r="465" ht="22.5" customHeight="1">
      <c r="A465" s="8">
        <v>46117.52108172454</v>
      </c>
      <c r="B465" s="9" t="s">
        <v>368</v>
      </c>
      <c r="C465" s="9" t="s">
        <v>370</v>
      </c>
      <c r="D465" s="9" t="s">
        <v>370</v>
      </c>
      <c r="E465" s="9" t="s">
        <v>1441</v>
      </c>
      <c r="F465" s="9" t="s">
        <v>2708</v>
      </c>
      <c r="G465" s="9" t="s">
        <v>422</v>
      </c>
      <c r="H465" s="9" t="s">
        <v>496</v>
      </c>
      <c r="I465" s="9" t="s">
        <v>374</v>
      </c>
      <c r="J465" s="9" t="s">
        <v>590</v>
      </c>
      <c r="K465" s="9" t="s">
        <v>376</v>
      </c>
      <c r="L465" s="9" t="s">
        <v>379</v>
      </c>
      <c r="M465" s="9" t="s">
        <v>541</v>
      </c>
      <c r="N465" s="9" t="s">
        <v>426</v>
      </c>
      <c r="O465" s="9" t="s">
        <v>9074</v>
      </c>
      <c r="P465" s="9" t="s">
        <v>381</v>
      </c>
      <c r="Q465" s="9" t="s">
        <v>499</v>
      </c>
      <c r="R465" s="9" t="s">
        <v>949</v>
      </c>
      <c r="S465" s="9" t="s">
        <v>384</v>
      </c>
      <c r="T465" s="9" t="s">
        <v>385</v>
      </c>
      <c r="W465" s="9" t="s">
        <v>3231</v>
      </c>
      <c r="AV465" s="9" t="s">
        <v>1310</v>
      </c>
      <c r="AW465" s="9">
        <v>4.0</v>
      </c>
      <c r="AX465" s="9">
        <v>4.0</v>
      </c>
      <c r="AY465" s="9" t="s">
        <v>391</v>
      </c>
      <c r="AZ465" s="9" t="s">
        <v>391</v>
      </c>
      <c r="BA465" s="9" t="s">
        <v>429</v>
      </c>
      <c r="BB465" s="9">
        <v>2.0</v>
      </c>
      <c r="BC465" s="9" t="s">
        <v>9075</v>
      </c>
      <c r="BD465" s="9" t="s">
        <v>9076</v>
      </c>
      <c r="BE465" s="9" t="s">
        <v>432</v>
      </c>
      <c r="BF465" s="9" t="s">
        <v>393</v>
      </c>
      <c r="BG465" s="9" t="s">
        <v>678</v>
      </c>
      <c r="BH465" s="9" t="s">
        <v>9077</v>
      </c>
      <c r="BI465" s="9" t="s">
        <v>509</v>
      </c>
      <c r="BJ465" s="9" t="s">
        <v>9078</v>
      </c>
      <c r="BK465" s="9" t="s">
        <v>681</v>
      </c>
      <c r="BL465" s="9" t="s">
        <v>904</v>
      </c>
      <c r="BM465" s="9" t="s">
        <v>549</v>
      </c>
      <c r="BN465" s="9" t="s">
        <v>440</v>
      </c>
      <c r="CL465" s="9" t="s">
        <v>441</v>
      </c>
      <c r="CM465" s="9" t="s">
        <v>401</v>
      </c>
      <c r="CN465" s="9" t="s">
        <v>9079</v>
      </c>
      <c r="CO465" s="9" t="s">
        <v>9080</v>
      </c>
      <c r="CP465" s="9" t="s">
        <v>979</v>
      </c>
      <c r="CQ465" s="9" t="s">
        <v>516</v>
      </c>
      <c r="CR465" s="9" t="s">
        <v>447</v>
      </c>
      <c r="CS465" s="9" t="s">
        <v>9081</v>
      </c>
      <c r="CT465" s="9" t="s">
        <v>9082</v>
      </c>
      <c r="CU465" s="9" t="s">
        <v>519</v>
      </c>
      <c r="CV465" s="9" t="s">
        <v>451</v>
      </c>
      <c r="CW465" s="9" t="s">
        <v>9083</v>
      </c>
      <c r="CX465" s="9" t="s">
        <v>408</v>
      </c>
      <c r="CZ465" s="9" t="s">
        <v>453</v>
      </c>
      <c r="DA465" s="9" t="s">
        <v>9084</v>
      </c>
      <c r="DB465" s="9" t="s">
        <v>455</v>
      </c>
      <c r="DC465" s="9" t="s">
        <v>1866</v>
      </c>
      <c r="DD465" s="9" t="s">
        <v>988</v>
      </c>
      <c r="DE465" s="9" t="s">
        <v>691</v>
      </c>
      <c r="DF465" s="9" t="s">
        <v>9085</v>
      </c>
      <c r="DG465" s="9" t="s">
        <v>561</v>
      </c>
      <c r="DH465" s="9" t="s">
        <v>410</v>
      </c>
      <c r="DI465" s="9" t="s">
        <v>459</v>
      </c>
      <c r="DJ465" s="9" t="s">
        <v>460</v>
      </c>
      <c r="DK465" s="9" t="s">
        <v>6335</v>
      </c>
      <c r="DM465" s="9" t="s">
        <v>9086</v>
      </c>
      <c r="DN465" s="9" t="s">
        <v>9087</v>
      </c>
      <c r="DO465" s="9" t="s">
        <v>1063</v>
      </c>
      <c r="DP465" s="9" t="s">
        <v>9088</v>
      </c>
      <c r="DQ465" s="9" t="s">
        <v>1553</v>
      </c>
      <c r="DR465" s="9" t="s">
        <v>9089</v>
      </c>
      <c r="DS465" s="9" t="s">
        <v>839</v>
      </c>
      <c r="DT465" s="9" t="s">
        <v>740</v>
      </c>
      <c r="DU465" s="9" t="s">
        <v>9090</v>
      </c>
      <c r="DV465" s="9" t="s">
        <v>9091</v>
      </c>
      <c r="DW465" s="9" t="s">
        <v>573</v>
      </c>
      <c r="DX465" s="9" t="s">
        <v>9092</v>
      </c>
      <c r="DY465" s="9" t="s">
        <v>9093</v>
      </c>
      <c r="DZ465" s="9" t="s">
        <v>9094</v>
      </c>
      <c r="EA465" s="9" t="s">
        <v>475</v>
      </c>
      <c r="EB465" s="9" t="s">
        <v>845</v>
      </c>
      <c r="ET465" s="9" t="s">
        <v>526</v>
      </c>
      <c r="EU465" s="9" t="s">
        <v>887</v>
      </c>
      <c r="EV465" s="9" t="s">
        <v>480</v>
      </c>
      <c r="EX465" s="9" t="s">
        <v>9095</v>
      </c>
      <c r="EY465" s="9" t="s">
        <v>9096</v>
      </c>
      <c r="EZ465" s="9" t="s">
        <v>414</v>
      </c>
      <c r="FA465" s="9" t="s">
        <v>414</v>
      </c>
      <c r="FB465" s="9" t="s">
        <v>414</v>
      </c>
      <c r="FC465" s="9" t="s">
        <v>414</v>
      </c>
      <c r="FD465" s="9" t="s">
        <v>415</v>
      </c>
      <c r="FE465" s="9" t="s">
        <v>414</v>
      </c>
      <c r="FF465" s="9" t="s">
        <v>414</v>
      </c>
      <c r="FG465" s="9" t="s">
        <v>414</v>
      </c>
      <c r="FH465" s="9" t="s">
        <v>414</v>
      </c>
      <c r="FI465" s="9" t="s">
        <v>583</v>
      </c>
      <c r="FJ465" s="9" t="s">
        <v>583</v>
      </c>
      <c r="FK465" s="9" t="s">
        <v>415</v>
      </c>
      <c r="FL465" s="9" t="s">
        <v>415</v>
      </c>
      <c r="FM465" s="9" t="s">
        <v>415</v>
      </c>
      <c r="FN465" s="9" t="s">
        <v>414</v>
      </c>
      <c r="FO465" s="9" t="s">
        <v>850</v>
      </c>
      <c r="FP465" s="9" t="s">
        <v>486</v>
      </c>
      <c r="FQ465" s="9" t="s">
        <v>630</v>
      </c>
      <c r="FR465" s="9" t="s">
        <v>9097</v>
      </c>
      <c r="FS465" s="9" t="s">
        <v>420</v>
      </c>
      <c r="FT465" s="9" t="s">
        <v>488</v>
      </c>
      <c r="FU465" s="9" t="s">
        <v>533</v>
      </c>
      <c r="FV465" s="9" t="s">
        <v>490</v>
      </c>
      <c r="FW465" s="9" t="s">
        <v>491</v>
      </c>
      <c r="FX465" s="9" t="s">
        <v>9098</v>
      </c>
      <c r="FY465" s="9" t="s">
        <v>535</v>
      </c>
      <c r="GB465" s="9" t="s">
        <v>455</v>
      </c>
      <c r="GC465" s="9"/>
      <c r="GE465" s="9" t="s">
        <v>753</v>
      </c>
      <c r="GF465" s="9" t="s">
        <v>9099</v>
      </c>
      <c r="GG465" s="9" t="s">
        <v>755</v>
      </c>
      <c r="GH465" s="9" t="s">
        <v>755</v>
      </c>
      <c r="GI465" s="9" t="s">
        <v>946</v>
      </c>
      <c r="GM465" s="9" t="s">
        <v>1079</v>
      </c>
      <c r="GP465" s="9" t="s">
        <v>387</v>
      </c>
      <c r="GQ465" s="9" t="s">
        <v>3208</v>
      </c>
      <c r="GT465" s="9" t="s">
        <v>5170</v>
      </c>
      <c r="GU465" s="9" t="s">
        <v>408</v>
      </c>
      <c r="GV465" s="9" t="s">
        <v>5231</v>
      </c>
      <c r="GW465" s="9" t="s">
        <v>484</v>
      </c>
      <c r="HC465" s="9" t="s">
        <v>5297</v>
      </c>
      <c r="HD465" s="9" t="s">
        <v>5282</v>
      </c>
      <c r="HE465" s="9" t="s">
        <v>5320</v>
      </c>
      <c r="HF465" s="9" t="s">
        <v>5899</v>
      </c>
      <c r="HG465" s="9" t="s">
        <v>9100</v>
      </c>
      <c r="HH465" s="9" t="s">
        <v>5495</v>
      </c>
      <c r="HI465" s="9" t="s">
        <v>9101</v>
      </c>
      <c r="HJ465" s="9" t="s">
        <v>9102</v>
      </c>
      <c r="HO465" s="9" t="s">
        <v>5236</v>
      </c>
      <c r="HP465" s="9" t="s">
        <v>5264</v>
      </c>
      <c r="HQ465" s="9" t="s">
        <v>5238</v>
      </c>
      <c r="HR465" s="9" t="s">
        <v>5321</v>
      </c>
      <c r="HW465" s="9" t="s">
        <v>5578</v>
      </c>
      <c r="IN465" s="9" t="s">
        <v>5500</v>
      </c>
      <c r="IO465" s="9" t="s">
        <v>5500</v>
      </c>
      <c r="IP465" s="9" t="s">
        <v>5536</v>
      </c>
      <c r="IQ465" s="9" t="s">
        <v>5500</v>
      </c>
      <c r="IR465" s="9" t="s">
        <v>5537</v>
      </c>
      <c r="IS465" s="9" t="s">
        <v>5537</v>
      </c>
      <c r="MJ465" s="9" t="s">
        <v>6321</v>
      </c>
    </row>
    <row r="466" ht="22.5" customHeight="1">
      <c r="A466" s="8">
        <v>46117.65196458333</v>
      </c>
      <c r="B466" s="9" t="s">
        <v>368</v>
      </c>
      <c r="C466" s="9" t="s">
        <v>370</v>
      </c>
      <c r="D466" s="9" t="s">
        <v>370</v>
      </c>
      <c r="E466" s="9" t="s">
        <v>371</v>
      </c>
      <c r="F466" s="9" t="s">
        <v>371</v>
      </c>
      <c r="G466" s="9" t="s">
        <v>9103</v>
      </c>
      <c r="H466" s="9" t="s">
        <v>637</v>
      </c>
      <c r="I466" s="9" t="s">
        <v>638</v>
      </c>
      <c r="J466" s="9" t="s">
        <v>425</v>
      </c>
      <c r="K466" s="9" t="s">
        <v>376</v>
      </c>
      <c r="L466" s="9" t="s">
        <v>793</v>
      </c>
      <c r="M466" s="9" t="s">
        <v>720</v>
      </c>
      <c r="N466" s="9" t="s">
        <v>793</v>
      </c>
      <c r="O466" s="9" t="s">
        <v>378</v>
      </c>
      <c r="P466" s="9" t="s">
        <v>498</v>
      </c>
      <c r="Q466" s="9" t="s">
        <v>499</v>
      </c>
      <c r="R466" s="9" t="s">
        <v>427</v>
      </c>
      <c r="S466" s="9" t="s">
        <v>384</v>
      </c>
      <c r="T466" s="9" t="s">
        <v>385</v>
      </c>
      <c r="W466" s="9" t="s">
        <v>3231</v>
      </c>
      <c r="AV466" s="9" t="s">
        <v>390</v>
      </c>
      <c r="AW466" s="9" t="s">
        <v>429</v>
      </c>
      <c r="AX466" s="9">
        <v>2.0</v>
      </c>
      <c r="AY466" s="9">
        <v>2.0</v>
      </c>
      <c r="AZ466" s="9" t="s">
        <v>429</v>
      </c>
      <c r="BA466" s="9" t="s">
        <v>429</v>
      </c>
      <c r="BB466" s="9" t="s">
        <v>429</v>
      </c>
      <c r="BE466" s="9" t="s">
        <v>392</v>
      </c>
      <c r="BF466" s="9" t="s">
        <v>433</v>
      </c>
      <c r="BG466" s="9" t="s">
        <v>678</v>
      </c>
      <c r="BI466" s="9" t="s">
        <v>824</v>
      </c>
      <c r="BK466" s="9" t="s">
        <v>511</v>
      </c>
      <c r="BL466" s="9" t="s">
        <v>396</v>
      </c>
      <c r="BM466" s="9" t="s">
        <v>439</v>
      </c>
      <c r="BN466" s="9" t="s">
        <v>440</v>
      </c>
      <c r="DI466" s="9" t="s">
        <v>459</v>
      </c>
      <c r="DJ466" s="9" t="s">
        <v>460</v>
      </c>
      <c r="DK466" s="9" t="s">
        <v>6335</v>
      </c>
      <c r="DM466" s="9" t="s">
        <v>9104</v>
      </c>
      <c r="DN466" s="9" t="s">
        <v>9105</v>
      </c>
      <c r="DO466" s="9" t="s">
        <v>567</v>
      </c>
      <c r="DQ466" s="9" t="s">
        <v>837</v>
      </c>
      <c r="DS466" s="9" t="s">
        <v>702</v>
      </c>
      <c r="DT466" s="9" t="s">
        <v>3171</v>
      </c>
      <c r="DW466" s="9" t="s">
        <v>573</v>
      </c>
      <c r="EA466" s="9" t="s">
        <v>1413</v>
      </c>
      <c r="EB466" s="9" t="s">
        <v>626</v>
      </c>
      <c r="ET466" s="9" t="s">
        <v>526</v>
      </c>
      <c r="EU466" s="9" t="s">
        <v>1037</v>
      </c>
      <c r="EV466" s="9" t="s">
        <v>480</v>
      </c>
      <c r="EZ466" s="9" t="s">
        <v>413</v>
      </c>
      <c r="FA466" s="9" t="s">
        <v>415</v>
      </c>
      <c r="FB466" s="9" t="s">
        <v>416</v>
      </c>
      <c r="FC466" s="9" t="s">
        <v>415</v>
      </c>
      <c r="FD466" s="9" t="s">
        <v>413</v>
      </c>
      <c r="FE466" s="9" t="s">
        <v>414</v>
      </c>
      <c r="FF466" s="9" t="s">
        <v>416</v>
      </c>
      <c r="FG466" s="9" t="s">
        <v>413</v>
      </c>
      <c r="FH466" s="9" t="s">
        <v>583</v>
      </c>
      <c r="FI466" s="9" t="s">
        <v>415</v>
      </c>
      <c r="FJ466" s="9" t="s">
        <v>413</v>
      </c>
      <c r="FK466" s="9" t="s">
        <v>415</v>
      </c>
      <c r="FL466" s="9" t="s">
        <v>415</v>
      </c>
      <c r="FM466" s="9" t="s">
        <v>416</v>
      </c>
      <c r="FN466" s="9" t="s">
        <v>583</v>
      </c>
      <c r="FO466" s="9" t="s">
        <v>417</v>
      </c>
      <c r="FP466" s="9" t="s">
        <v>418</v>
      </c>
      <c r="FQ466" s="9" t="s">
        <v>1039</v>
      </c>
      <c r="FS466" s="9" t="s">
        <v>420</v>
      </c>
      <c r="FT466" s="9" t="s">
        <v>488</v>
      </c>
      <c r="FU466" s="9" t="s">
        <v>918</v>
      </c>
      <c r="FV466" s="9" t="s">
        <v>490</v>
      </c>
      <c r="FW466" s="9" t="s">
        <v>491</v>
      </c>
      <c r="FY466" s="9" t="s">
        <v>535</v>
      </c>
      <c r="GB466" s="9" t="s">
        <v>408</v>
      </c>
      <c r="GM466" s="9" t="s">
        <v>6629</v>
      </c>
      <c r="GP466" s="9" t="s">
        <v>9106</v>
      </c>
      <c r="GQ466" s="9" t="s">
        <v>3208</v>
      </c>
      <c r="GV466" s="9" t="s">
        <v>5231</v>
      </c>
      <c r="GW466" s="9" t="s">
        <v>484</v>
      </c>
      <c r="HH466" s="9" t="s">
        <v>5625</v>
      </c>
      <c r="HO466" s="9" t="s">
        <v>5236</v>
      </c>
      <c r="HP466" s="9" t="s">
        <v>5302</v>
      </c>
      <c r="HQ466" s="9" t="s">
        <v>5238</v>
      </c>
      <c r="HR466" s="9" t="s">
        <v>9107</v>
      </c>
      <c r="IN466" s="9" t="s">
        <v>5537</v>
      </c>
      <c r="IO466" s="9" t="s">
        <v>5537</v>
      </c>
      <c r="IP466" s="9" t="s">
        <v>5537</v>
      </c>
      <c r="IQ466" s="9" t="s">
        <v>5537</v>
      </c>
      <c r="IR466" s="9" t="s">
        <v>5537</v>
      </c>
      <c r="IS466" s="9" t="s">
        <v>5537</v>
      </c>
      <c r="MJ466" s="9" t="s">
        <v>6321</v>
      </c>
    </row>
    <row r="467" ht="22.5" customHeight="1">
      <c r="A467" s="8">
        <v>46117.68275197917</v>
      </c>
      <c r="B467" s="9" t="s">
        <v>368</v>
      </c>
      <c r="C467" s="9" t="s">
        <v>370</v>
      </c>
      <c r="D467" s="9" t="s">
        <v>370</v>
      </c>
      <c r="E467" s="9" t="s">
        <v>2620</v>
      </c>
      <c r="F467" s="9" t="s">
        <v>1421</v>
      </c>
      <c r="G467" s="9" t="s">
        <v>422</v>
      </c>
      <c r="H467" s="9" t="s">
        <v>496</v>
      </c>
      <c r="I467" s="9" t="s">
        <v>374</v>
      </c>
      <c r="J467" s="9" t="s">
        <v>425</v>
      </c>
      <c r="K467" s="9" t="s">
        <v>376</v>
      </c>
      <c r="L467" s="9" t="s">
        <v>591</v>
      </c>
      <c r="M467" s="9" t="s">
        <v>1270</v>
      </c>
      <c r="N467" s="9" t="s">
        <v>426</v>
      </c>
      <c r="O467" s="9" t="s">
        <v>9108</v>
      </c>
      <c r="P467" s="9" t="s">
        <v>592</v>
      </c>
      <c r="Q467" s="9" t="s">
        <v>382</v>
      </c>
      <c r="R467" s="9" t="s">
        <v>949</v>
      </c>
      <c r="S467" s="9" t="s">
        <v>384</v>
      </c>
      <c r="T467" s="9" t="s">
        <v>385</v>
      </c>
      <c r="W467" s="9" t="s">
        <v>3231</v>
      </c>
      <c r="AV467" s="9" t="s">
        <v>390</v>
      </c>
      <c r="AW467" s="9" t="s">
        <v>391</v>
      </c>
      <c r="AX467" s="9" t="s">
        <v>391</v>
      </c>
      <c r="AY467" s="9" t="s">
        <v>429</v>
      </c>
      <c r="AZ467" s="9">
        <v>2.0</v>
      </c>
      <c r="BA467" s="9">
        <v>2.0</v>
      </c>
      <c r="BB467" s="9" t="s">
        <v>391</v>
      </c>
      <c r="BC467" s="9" t="s">
        <v>9109</v>
      </c>
      <c r="BD467" s="9" t="s">
        <v>9110</v>
      </c>
      <c r="BE467" s="9" t="s">
        <v>2259</v>
      </c>
      <c r="BF467" s="9" t="s">
        <v>393</v>
      </c>
      <c r="BG467" s="9" t="s">
        <v>678</v>
      </c>
      <c r="BH467" s="9" t="s">
        <v>9111</v>
      </c>
      <c r="BI467" s="9" t="s">
        <v>509</v>
      </c>
      <c r="BJ467" s="9" t="s">
        <v>9112</v>
      </c>
      <c r="BK467" s="9" t="s">
        <v>437</v>
      </c>
      <c r="BL467" s="9" t="s">
        <v>438</v>
      </c>
      <c r="BM467" s="9" t="s">
        <v>549</v>
      </c>
      <c r="BN467" s="9" t="s">
        <v>513</v>
      </c>
      <c r="CL467" s="9" t="s">
        <v>441</v>
      </c>
      <c r="CM467" s="9" t="s">
        <v>401</v>
      </c>
      <c r="CN467" s="9" t="s">
        <v>9113</v>
      </c>
      <c r="CO467" s="9" t="s">
        <v>9114</v>
      </c>
      <c r="CP467" s="9" t="s">
        <v>1008</v>
      </c>
      <c r="CQ467" s="9" t="s">
        <v>9115</v>
      </c>
      <c r="CR467" s="9" t="s">
        <v>447</v>
      </c>
      <c r="CS467" s="9" t="s">
        <v>2564</v>
      </c>
      <c r="CT467" s="9" t="s">
        <v>9116</v>
      </c>
      <c r="CU467" s="9" t="s">
        <v>450</v>
      </c>
      <c r="CV467" s="9" t="s">
        <v>451</v>
      </c>
      <c r="CW467" s="9" t="s">
        <v>9117</v>
      </c>
      <c r="CX467" s="9" t="s">
        <v>408</v>
      </c>
      <c r="CZ467" s="9" t="s">
        <v>453</v>
      </c>
      <c r="DA467" s="9" t="s">
        <v>9118</v>
      </c>
      <c r="DB467" s="9" t="s">
        <v>408</v>
      </c>
      <c r="DD467" s="9" t="s">
        <v>988</v>
      </c>
      <c r="DE467" s="9" t="s">
        <v>691</v>
      </c>
      <c r="DF467" s="9" t="s">
        <v>9119</v>
      </c>
      <c r="DG467" s="9" t="s">
        <v>776</v>
      </c>
      <c r="DH467" s="9" t="s">
        <v>410</v>
      </c>
      <c r="DI467" s="9" t="s">
        <v>459</v>
      </c>
      <c r="DJ467" s="9" t="s">
        <v>613</v>
      </c>
      <c r="ET467" s="9" t="s">
        <v>526</v>
      </c>
      <c r="EU467" s="9" t="s">
        <v>1037</v>
      </c>
      <c r="EV467" s="9" t="s">
        <v>527</v>
      </c>
      <c r="EW467" s="9" t="s">
        <v>3371</v>
      </c>
      <c r="EX467" s="9" t="s">
        <v>9120</v>
      </c>
      <c r="EY467" s="9" t="s">
        <v>9121</v>
      </c>
      <c r="EZ467" s="9" t="s">
        <v>413</v>
      </c>
      <c r="FA467" s="9" t="s">
        <v>413</v>
      </c>
      <c r="FB467" s="9" t="s">
        <v>413</v>
      </c>
      <c r="FC467" s="9" t="s">
        <v>413</v>
      </c>
      <c r="FD467" s="9" t="s">
        <v>413</v>
      </c>
      <c r="FE467" s="9" t="s">
        <v>413</v>
      </c>
      <c r="FF467" s="9" t="s">
        <v>413</v>
      </c>
      <c r="FG467" s="9" t="s">
        <v>413</v>
      </c>
      <c r="FH467" s="9" t="s">
        <v>414</v>
      </c>
      <c r="FI467" s="9" t="s">
        <v>414</v>
      </c>
      <c r="FJ467" s="9" t="s">
        <v>413</v>
      </c>
      <c r="FK467" s="9" t="s">
        <v>413</v>
      </c>
      <c r="FL467" s="9" t="s">
        <v>413</v>
      </c>
      <c r="FM467" s="9" t="s">
        <v>413</v>
      </c>
      <c r="FN467" s="9" t="s">
        <v>583</v>
      </c>
      <c r="FO467" s="9" t="s">
        <v>485</v>
      </c>
      <c r="FP467" s="9" t="s">
        <v>418</v>
      </c>
      <c r="FQ467" s="9" t="s">
        <v>749</v>
      </c>
      <c r="FR467" s="9" t="s">
        <v>9122</v>
      </c>
      <c r="FS467" s="9" t="s">
        <v>1189</v>
      </c>
      <c r="FT467" s="9" t="s">
        <v>1462</v>
      </c>
      <c r="FU467" s="9" t="s">
        <v>489</v>
      </c>
      <c r="FV467" s="9" t="s">
        <v>490</v>
      </c>
      <c r="FW467" s="9" t="s">
        <v>491</v>
      </c>
      <c r="FX467" s="9" t="s">
        <v>9123</v>
      </c>
      <c r="FY467" s="9" t="s">
        <v>535</v>
      </c>
      <c r="FZ467" s="9" t="s">
        <v>9124</v>
      </c>
      <c r="GA467" s="9" t="s">
        <v>9125</v>
      </c>
      <c r="GB467" s="9" t="s">
        <v>408</v>
      </c>
      <c r="GG467" s="9" t="s">
        <v>920</v>
      </c>
      <c r="GH467" s="9" t="s">
        <v>1000</v>
      </c>
      <c r="GI467" s="9" t="s">
        <v>946</v>
      </c>
      <c r="GP467" s="9" t="s">
        <v>387</v>
      </c>
      <c r="GQ467" s="9" t="s">
        <v>3208</v>
      </c>
      <c r="GT467" s="9" t="s">
        <v>5081</v>
      </c>
      <c r="GU467" s="9" t="s">
        <v>9126</v>
      </c>
      <c r="GV467" s="9" t="s">
        <v>5231</v>
      </c>
      <c r="GW467" s="9" t="s">
        <v>5232</v>
      </c>
      <c r="HC467" s="9" t="s">
        <v>5297</v>
      </c>
      <c r="HD467" s="9" t="s">
        <v>5349</v>
      </c>
      <c r="HE467" s="9" t="s">
        <v>5718</v>
      </c>
      <c r="HF467" s="9" t="s">
        <v>5493</v>
      </c>
      <c r="HO467" s="9" t="s">
        <v>5236</v>
      </c>
      <c r="HP467" s="9" t="s">
        <v>5237</v>
      </c>
      <c r="HQ467" s="9" t="s">
        <v>5238</v>
      </c>
      <c r="HR467" s="9" t="s">
        <v>5347</v>
      </c>
      <c r="HW467" s="9" t="s">
        <v>7383</v>
      </c>
      <c r="MJ467" s="9" t="s">
        <v>6321</v>
      </c>
    </row>
    <row r="468" ht="22.5" customHeight="1">
      <c r="A468" s="8">
        <v>46117.68807715278</v>
      </c>
      <c r="B468" s="9" t="s">
        <v>368</v>
      </c>
      <c r="C468" s="9" t="s">
        <v>370</v>
      </c>
      <c r="D468" s="9" t="s">
        <v>370</v>
      </c>
      <c r="E468" s="9" t="s">
        <v>371</v>
      </c>
      <c r="F468" s="9" t="s">
        <v>371</v>
      </c>
      <c r="G468" s="9" t="s">
        <v>792</v>
      </c>
      <c r="H468" s="9" t="s">
        <v>637</v>
      </c>
      <c r="I468" s="9" t="s">
        <v>638</v>
      </c>
      <c r="J468" s="9" t="s">
        <v>718</v>
      </c>
      <c r="K468" s="9" t="s">
        <v>376</v>
      </c>
      <c r="L468" s="9" t="s">
        <v>591</v>
      </c>
      <c r="M468" s="9" t="s">
        <v>9127</v>
      </c>
      <c r="N468" s="9" t="s">
        <v>670</v>
      </c>
      <c r="O468" s="9" t="s">
        <v>9128</v>
      </c>
      <c r="P468" s="9" t="s">
        <v>592</v>
      </c>
      <c r="Q468" s="9" t="s">
        <v>862</v>
      </c>
      <c r="R468" s="9" t="s">
        <v>427</v>
      </c>
      <c r="S468" s="9" t="s">
        <v>384</v>
      </c>
      <c r="T468" s="9" t="s">
        <v>385</v>
      </c>
      <c r="W468" s="9" t="s">
        <v>3231</v>
      </c>
      <c r="AV468" s="9" t="s">
        <v>1310</v>
      </c>
      <c r="AW468" s="9">
        <v>4.0</v>
      </c>
      <c r="AX468" s="9">
        <v>2.0</v>
      </c>
      <c r="AY468" s="9" t="s">
        <v>391</v>
      </c>
      <c r="AZ468" s="9">
        <v>2.0</v>
      </c>
      <c r="BA468" s="9">
        <v>4.0</v>
      </c>
      <c r="BB468" s="9" t="s">
        <v>391</v>
      </c>
      <c r="BC468" s="9" t="s">
        <v>9129</v>
      </c>
      <c r="BD468" s="9" t="s">
        <v>9130</v>
      </c>
      <c r="BE468" s="9" t="s">
        <v>432</v>
      </c>
      <c r="BF468" s="9" t="s">
        <v>433</v>
      </c>
      <c r="BG468" s="9" t="s">
        <v>434</v>
      </c>
      <c r="BH468" s="9" t="s">
        <v>9131</v>
      </c>
      <c r="BI468" s="9" t="s">
        <v>727</v>
      </c>
      <c r="BK468" s="9" t="s">
        <v>437</v>
      </c>
      <c r="BL468" s="9" t="s">
        <v>438</v>
      </c>
      <c r="BM468" s="9" t="s">
        <v>549</v>
      </c>
      <c r="BN468" s="9" t="s">
        <v>440</v>
      </c>
      <c r="CL468" s="9" t="s">
        <v>441</v>
      </c>
      <c r="CM468" s="9" t="s">
        <v>442</v>
      </c>
      <c r="CN468" s="9" t="s">
        <v>9132</v>
      </c>
      <c r="CO468" s="9" t="s">
        <v>9133</v>
      </c>
      <c r="CP468" s="9" t="s">
        <v>445</v>
      </c>
      <c r="CQ468" s="9" t="s">
        <v>9134</v>
      </c>
      <c r="CR468" s="9" t="s">
        <v>447</v>
      </c>
      <c r="CS468" s="9" t="s">
        <v>980</v>
      </c>
      <c r="CT468" s="9" t="s">
        <v>9135</v>
      </c>
      <c r="CU468" s="9" t="s">
        <v>519</v>
      </c>
      <c r="CV468" s="9" t="s">
        <v>451</v>
      </c>
      <c r="CW468" s="9" t="s">
        <v>9136</v>
      </c>
      <c r="CX468" s="9" t="s">
        <v>408</v>
      </c>
      <c r="CZ468" s="9" t="s">
        <v>985</v>
      </c>
      <c r="DA468" s="9" t="s">
        <v>9137</v>
      </c>
      <c r="DB468" s="9" t="s">
        <v>455</v>
      </c>
      <c r="DC468" s="9" t="s">
        <v>9138</v>
      </c>
      <c r="DD468" s="9" t="s">
        <v>406</v>
      </c>
      <c r="DE468" s="9" t="s">
        <v>407</v>
      </c>
      <c r="DF468" s="9" t="s">
        <v>9139</v>
      </c>
      <c r="DG468" s="9" t="s">
        <v>524</v>
      </c>
      <c r="DH468" s="9" t="s">
        <v>410</v>
      </c>
      <c r="DI468" s="9" t="s">
        <v>459</v>
      </c>
      <c r="DJ468" s="9" t="s">
        <v>460</v>
      </c>
      <c r="DK468" s="9" t="s">
        <v>6335</v>
      </c>
      <c r="DM468" s="9" t="s">
        <v>9140</v>
      </c>
      <c r="DN468" s="9" t="s">
        <v>9141</v>
      </c>
      <c r="DO468" s="9" t="s">
        <v>464</v>
      </c>
      <c r="DP468" s="9" t="s">
        <v>9142</v>
      </c>
      <c r="DQ468" s="9" t="s">
        <v>700</v>
      </c>
      <c r="DR468" s="9" t="s">
        <v>9143</v>
      </c>
      <c r="DS468" s="9" t="s">
        <v>618</v>
      </c>
      <c r="DT468" s="9" t="s">
        <v>570</v>
      </c>
      <c r="DU468" s="9" t="s">
        <v>9144</v>
      </c>
      <c r="DV468" s="9" t="s">
        <v>9145</v>
      </c>
      <c r="DW468" s="9" t="s">
        <v>1328</v>
      </c>
      <c r="DX468" s="9" t="s">
        <v>9146</v>
      </c>
      <c r="DY468" s="9" t="s">
        <v>9147</v>
      </c>
      <c r="DZ468" s="9" t="s">
        <v>9148</v>
      </c>
      <c r="EA468" s="9" t="s">
        <v>475</v>
      </c>
      <c r="EB468" s="9" t="s">
        <v>476</v>
      </c>
      <c r="EC468" s="9" t="s">
        <v>9149</v>
      </c>
      <c r="ET468" s="9" t="s">
        <v>526</v>
      </c>
      <c r="EU468" s="9" t="s">
        <v>887</v>
      </c>
      <c r="EV468" s="9" t="s">
        <v>480</v>
      </c>
      <c r="EX468" s="9" t="s">
        <v>9150</v>
      </c>
      <c r="EY468" s="9" t="s">
        <v>9151</v>
      </c>
      <c r="EZ468" s="9" t="s">
        <v>415</v>
      </c>
      <c r="FA468" s="9" t="s">
        <v>415</v>
      </c>
      <c r="FB468" s="9" t="s">
        <v>413</v>
      </c>
      <c r="FC468" s="9" t="s">
        <v>413</v>
      </c>
      <c r="FD468" s="9" t="s">
        <v>413</v>
      </c>
      <c r="FE468" s="9" t="s">
        <v>415</v>
      </c>
      <c r="FF468" s="9" t="s">
        <v>413</v>
      </c>
      <c r="FG468" s="9" t="s">
        <v>413</v>
      </c>
      <c r="FH468" s="9" t="s">
        <v>583</v>
      </c>
      <c r="FI468" s="9" t="s">
        <v>414</v>
      </c>
      <c r="FJ468" s="9" t="s">
        <v>416</v>
      </c>
      <c r="FK468" s="9" t="s">
        <v>413</v>
      </c>
      <c r="FL468" s="9" t="s">
        <v>416</v>
      </c>
      <c r="FM468" s="9" t="s">
        <v>413</v>
      </c>
      <c r="FN468" s="9" t="s">
        <v>583</v>
      </c>
      <c r="FO468" s="9" t="s">
        <v>485</v>
      </c>
      <c r="FP468" s="9" t="s">
        <v>418</v>
      </c>
      <c r="FQ468" s="9" t="s">
        <v>419</v>
      </c>
      <c r="FS468" s="9" t="s">
        <v>420</v>
      </c>
      <c r="FT468" s="9" t="s">
        <v>488</v>
      </c>
      <c r="FU468" s="9" t="s">
        <v>489</v>
      </c>
      <c r="FV468" s="9" t="s">
        <v>490</v>
      </c>
      <c r="FW468" s="9" t="s">
        <v>491</v>
      </c>
      <c r="FY468" s="9" t="s">
        <v>493</v>
      </c>
      <c r="GB468" s="9" t="s">
        <v>455</v>
      </c>
      <c r="GD468" s="9" t="s">
        <v>9152</v>
      </c>
      <c r="GE468" s="9" t="s">
        <v>855</v>
      </c>
      <c r="GG468" s="9" t="s">
        <v>755</v>
      </c>
      <c r="GH468" s="9" t="s">
        <v>755</v>
      </c>
      <c r="GI468" s="9" t="s">
        <v>946</v>
      </c>
      <c r="GM468" s="9" t="s">
        <v>1079</v>
      </c>
      <c r="GP468" s="9" t="s">
        <v>387</v>
      </c>
      <c r="GQ468" s="9" t="s">
        <v>3208</v>
      </c>
      <c r="GT468" s="9" t="s">
        <v>4774</v>
      </c>
      <c r="GV468" s="9" t="s">
        <v>5231</v>
      </c>
      <c r="GW468" s="9" t="s">
        <v>5232</v>
      </c>
      <c r="HC468" s="9" t="s">
        <v>5297</v>
      </c>
      <c r="HD468" s="9" t="s">
        <v>5282</v>
      </c>
      <c r="HE468" s="9" t="s">
        <v>5320</v>
      </c>
      <c r="HF468" s="9" t="s">
        <v>5300</v>
      </c>
      <c r="HG468" s="9" t="s">
        <v>9153</v>
      </c>
      <c r="HH468" s="9" t="s">
        <v>6631</v>
      </c>
      <c r="HI468" s="9" t="s">
        <v>9154</v>
      </c>
      <c r="HJ468" s="9" t="s">
        <v>9155</v>
      </c>
      <c r="HO468" s="9" t="s">
        <v>5236</v>
      </c>
      <c r="HP468" s="9" t="s">
        <v>5264</v>
      </c>
      <c r="HQ468" s="9" t="s">
        <v>5238</v>
      </c>
      <c r="HR468" s="9" t="s">
        <v>5347</v>
      </c>
      <c r="HW468" s="9" t="s">
        <v>6274</v>
      </c>
      <c r="IN468" s="9" t="s">
        <v>5536</v>
      </c>
      <c r="IO468" s="9" t="s">
        <v>5536</v>
      </c>
      <c r="IP468" s="9" t="s">
        <v>5536</v>
      </c>
      <c r="IQ468" s="9" t="s">
        <v>5537</v>
      </c>
      <c r="IR468" s="9" t="s">
        <v>5536</v>
      </c>
      <c r="IS468" s="9" t="s">
        <v>5536</v>
      </c>
      <c r="MJ468" s="9" t="s">
        <v>6321</v>
      </c>
    </row>
    <row r="469" ht="22.5" customHeight="1">
      <c r="A469" s="8">
        <v>46118.064871678245</v>
      </c>
      <c r="B469" s="9" t="s">
        <v>368</v>
      </c>
      <c r="C469" s="9" t="s">
        <v>370</v>
      </c>
      <c r="D469" s="9" t="s">
        <v>370</v>
      </c>
      <c r="E469" s="9" t="s">
        <v>3955</v>
      </c>
      <c r="F469" s="9" t="s">
        <v>667</v>
      </c>
      <c r="G469" s="9" t="s">
        <v>422</v>
      </c>
      <c r="H469" s="9" t="s">
        <v>373</v>
      </c>
      <c r="I469" s="9" t="s">
        <v>374</v>
      </c>
      <c r="J469" s="9" t="s">
        <v>375</v>
      </c>
      <c r="K469" s="9" t="s">
        <v>376</v>
      </c>
      <c r="L469" s="9" t="s">
        <v>426</v>
      </c>
      <c r="M469" s="9" t="s">
        <v>541</v>
      </c>
      <c r="N469" s="9" t="s">
        <v>426</v>
      </c>
      <c r="O469" s="9" t="s">
        <v>671</v>
      </c>
      <c r="P469" s="9" t="s">
        <v>498</v>
      </c>
      <c r="Q469" s="9" t="s">
        <v>759</v>
      </c>
      <c r="R469" s="9" t="s">
        <v>949</v>
      </c>
      <c r="S469" s="9" t="s">
        <v>384</v>
      </c>
      <c r="T469" s="9" t="s">
        <v>385</v>
      </c>
      <c r="W469" s="9" t="s">
        <v>593</v>
      </c>
      <c r="X469" s="9" t="s">
        <v>387</v>
      </c>
      <c r="Y469" s="9" t="s">
        <v>388</v>
      </c>
      <c r="Z469" s="9" t="s">
        <v>502</v>
      </c>
      <c r="AA469" s="9" t="s">
        <v>408</v>
      </c>
      <c r="AB469" s="9" t="s">
        <v>9156</v>
      </c>
      <c r="AV469" s="9" t="s">
        <v>1310</v>
      </c>
      <c r="AW469" s="9" t="s">
        <v>391</v>
      </c>
      <c r="AX469" s="9">
        <v>2.0</v>
      </c>
      <c r="AY469" s="9" t="s">
        <v>391</v>
      </c>
      <c r="AZ469" s="9">
        <v>2.0</v>
      </c>
      <c r="BA469" s="9" t="s">
        <v>391</v>
      </c>
      <c r="BB469" s="9">
        <v>2.0</v>
      </c>
      <c r="BC469" s="9" t="s">
        <v>9157</v>
      </c>
      <c r="BD469" s="9" t="s">
        <v>9158</v>
      </c>
      <c r="BE469" s="9" t="s">
        <v>392</v>
      </c>
      <c r="BF469" s="9" t="s">
        <v>433</v>
      </c>
      <c r="BG469" s="9" t="s">
        <v>725</v>
      </c>
      <c r="BH469" s="9" t="s">
        <v>9159</v>
      </c>
      <c r="BI469" s="9" t="s">
        <v>435</v>
      </c>
      <c r="BJ469" s="9" t="s">
        <v>9160</v>
      </c>
      <c r="BK469" s="9" t="s">
        <v>511</v>
      </c>
      <c r="BL469" s="9" t="s">
        <v>904</v>
      </c>
      <c r="BM469" s="9" t="s">
        <v>1247</v>
      </c>
      <c r="BN469" s="9" t="s">
        <v>440</v>
      </c>
      <c r="CL469" s="9" t="s">
        <v>441</v>
      </c>
      <c r="CM469" s="9" t="s">
        <v>442</v>
      </c>
      <c r="CN469" s="9" t="s">
        <v>9161</v>
      </c>
      <c r="CO469" s="9" t="s">
        <v>9162</v>
      </c>
      <c r="CP469" s="9" t="s">
        <v>979</v>
      </c>
      <c r="CQ469" s="9" t="s">
        <v>9163</v>
      </c>
      <c r="CR469" s="9" t="s">
        <v>447</v>
      </c>
      <c r="CS469" s="9" t="s">
        <v>6848</v>
      </c>
      <c r="CT469" s="9" t="s">
        <v>9164</v>
      </c>
      <c r="CU469" s="9" t="s">
        <v>450</v>
      </c>
      <c r="CV469" s="9" t="s">
        <v>451</v>
      </c>
      <c r="CW469" s="9" t="s">
        <v>9165</v>
      </c>
      <c r="CX469" s="9" t="s">
        <v>408</v>
      </c>
      <c r="CZ469" s="9" t="s">
        <v>453</v>
      </c>
      <c r="DA469" s="9" t="s">
        <v>9166</v>
      </c>
      <c r="DB469" s="9" t="s">
        <v>455</v>
      </c>
      <c r="DC469" s="9" t="s">
        <v>9167</v>
      </c>
      <c r="DD469" s="9" t="s">
        <v>988</v>
      </c>
      <c r="DF469" s="9" t="s">
        <v>9168</v>
      </c>
      <c r="DG469" s="9" t="s">
        <v>524</v>
      </c>
      <c r="DH469" s="9" t="s">
        <v>833</v>
      </c>
      <c r="DI469" s="9" t="s">
        <v>459</v>
      </c>
      <c r="DJ469" s="9" t="s">
        <v>460</v>
      </c>
      <c r="DK469" s="9" t="s">
        <v>6335</v>
      </c>
      <c r="DM469" s="9" t="s">
        <v>9169</v>
      </c>
      <c r="DN469" s="9" t="s">
        <v>9170</v>
      </c>
      <c r="DO469" s="9" t="s">
        <v>567</v>
      </c>
      <c r="DP469" s="9" t="s">
        <v>9171</v>
      </c>
      <c r="DQ469" s="9" t="s">
        <v>1291</v>
      </c>
      <c r="DR469" s="9" t="s">
        <v>9172</v>
      </c>
      <c r="DS469" s="9" t="s">
        <v>839</v>
      </c>
      <c r="DT469" s="9" t="s">
        <v>570</v>
      </c>
      <c r="DU469" s="9" t="s">
        <v>9173</v>
      </c>
      <c r="DV469" s="9" t="s">
        <v>9174</v>
      </c>
      <c r="DW469" s="9" t="s">
        <v>622</v>
      </c>
      <c r="DX469" s="9" t="s">
        <v>9175</v>
      </c>
      <c r="DY469" s="9" t="s">
        <v>9176</v>
      </c>
      <c r="DZ469" s="9" t="s">
        <v>9177</v>
      </c>
      <c r="EA469" s="9" t="s">
        <v>475</v>
      </c>
      <c r="EB469" s="9" t="s">
        <v>626</v>
      </c>
      <c r="ET469" s="9" t="s">
        <v>526</v>
      </c>
      <c r="EU469" s="9" t="s">
        <v>479</v>
      </c>
      <c r="EV469" s="9" t="s">
        <v>480</v>
      </c>
      <c r="EX469" s="9" t="s">
        <v>9178</v>
      </c>
      <c r="EY469" s="9" t="s">
        <v>9179</v>
      </c>
      <c r="EZ469" s="9" t="s">
        <v>413</v>
      </c>
      <c r="FA469" s="9" t="s">
        <v>415</v>
      </c>
      <c r="FB469" s="9" t="s">
        <v>413</v>
      </c>
      <c r="FC469" s="9" t="s">
        <v>415</v>
      </c>
      <c r="FD469" s="9" t="s">
        <v>413</v>
      </c>
      <c r="FE469" s="9" t="s">
        <v>415</v>
      </c>
      <c r="FF469" s="9" t="s">
        <v>413</v>
      </c>
      <c r="FG469" s="9" t="s">
        <v>416</v>
      </c>
      <c r="FH469" s="9" t="s">
        <v>484</v>
      </c>
      <c r="FI469" s="9" t="s">
        <v>583</v>
      </c>
      <c r="FJ469" s="9" t="s">
        <v>415</v>
      </c>
      <c r="FK469" s="9" t="s">
        <v>415</v>
      </c>
      <c r="FL469" s="9" t="s">
        <v>415</v>
      </c>
      <c r="FM469" s="9" t="s">
        <v>484</v>
      </c>
      <c r="FN469" s="9" t="s">
        <v>484</v>
      </c>
      <c r="FO469" s="9" t="s">
        <v>485</v>
      </c>
      <c r="FP469" s="9" t="s">
        <v>486</v>
      </c>
      <c r="FQ469" s="9" t="s">
        <v>630</v>
      </c>
      <c r="FR469" s="9" t="s">
        <v>9180</v>
      </c>
      <c r="FS469" s="9" t="s">
        <v>420</v>
      </c>
      <c r="FT469" s="9" t="s">
        <v>488</v>
      </c>
      <c r="FU469" s="9" t="s">
        <v>533</v>
      </c>
      <c r="FV469" s="9" t="s">
        <v>490</v>
      </c>
      <c r="FW469" s="9" t="s">
        <v>491</v>
      </c>
      <c r="FX469" s="9" t="s">
        <v>9181</v>
      </c>
      <c r="FY469" s="9" t="s">
        <v>535</v>
      </c>
      <c r="FZ469" s="9" t="s">
        <v>9182</v>
      </c>
      <c r="GB469" s="9" t="s">
        <v>408</v>
      </c>
      <c r="GG469" s="9" t="s">
        <v>788</v>
      </c>
      <c r="GH469" s="9" t="s">
        <v>788</v>
      </c>
      <c r="GI469" s="9" t="s">
        <v>858</v>
      </c>
      <c r="GM469" s="9" t="s">
        <v>1079</v>
      </c>
      <c r="GQ469" s="9" t="s">
        <v>3208</v>
      </c>
      <c r="GT469" s="9" t="s">
        <v>5170</v>
      </c>
      <c r="GU469" s="9" t="s">
        <v>9183</v>
      </c>
      <c r="GV469" s="9" t="s">
        <v>5231</v>
      </c>
      <c r="GW469" s="9" t="s">
        <v>484</v>
      </c>
      <c r="HC469" s="9" t="s">
        <v>5297</v>
      </c>
      <c r="HD469" s="9" t="s">
        <v>5282</v>
      </c>
      <c r="HE469" s="9" t="s">
        <v>5492</v>
      </c>
      <c r="HF469" s="9" t="s">
        <v>5300</v>
      </c>
      <c r="HG469" s="9" t="s">
        <v>9184</v>
      </c>
      <c r="HH469" s="9" t="s">
        <v>5343</v>
      </c>
      <c r="HI469" s="9" t="s">
        <v>9185</v>
      </c>
      <c r="HJ469" s="9" t="s">
        <v>9186</v>
      </c>
      <c r="HO469" s="9" t="s">
        <v>5236</v>
      </c>
      <c r="HP469" s="9" t="s">
        <v>5237</v>
      </c>
      <c r="HQ469" s="9" t="s">
        <v>5238</v>
      </c>
      <c r="HR469" s="9" t="s">
        <v>5321</v>
      </c>
      <c r="HW469" s="9" t="s">
        <v>6274</v>
      </c>
      <c r="IN469" s="9" t="s">
        <v>5536</v>
      </c>
      <c r="IO469" s="9" t="s">
        <v>5536</v>
      </c>
      <c r="IP469" s="9" t="s">
        <v>5500</v>
      </c>
      <c r="IQ469" s="9" t="s">
        <v>5500</v>
      </c>
      <c r="IR469" s="9" t="s">
        <v>5500</v>
      </c>
      <c r="IS469" s="9" t="s">
        <v>5500</v>
      </c>
      <c r="MJ469" s="9" t="s">
        <v>6321</v>
      </c>
    </row>
    <row r="470" ht="22.5" customHeight="1">
      <c r="A470" s="8">
        <v>46118.1994543287</v>
      </c>
      <c r="B470" s="9" t="s">
        <v>368</v>
      </c>
      <c r="C470" s="9" t="s">
        <v>1201</v>
      </c>
      <c r="D470" s="9" t="s">
        <v>1201</v>
      </c>
      <c r="G470" s="9" t="s">
        <v>3187</v>
      </c>
      <c r="H470" s="9" t="s">
        <v>373</v>
      </c>
      <c r="I470" s="9" t="s">
        <v>374</v>
      </c>
      <c r="J470" s="9" t="s">
        <v>375</v>
      </c>
      <c r="K470" s="9" t="s">
        <v>376</v>
      </c>
      <c r="L470" s="9" t="s">
        <v>426</v>
      </c>
      <c r="M470" s="9" t="s">
        <v>378</v>
      </c>
      <c r="N470" s="9" t="s">
        <v>426</v>
      </c>
      <c r="O470" s="9" t="s">
        <v>497</v>
      </c>
      <c r="P470" s="9" t="s">
        <v>498</v>
      </c>
      <c r="Q470" s="9" t="s">
        <v>382</v>
      </c>
      <c r="R470" s="9" t="s">
        <v>500</v>
      </c>
      <c r="S470" s="9" t="s">
        <v>384</v>
      </c>
      <c r="T470" s="9" t="s">
        <v>385</v>
      </c>
      <c r="W470" s="9" t="s">
        <v>3231</v>
      </c>
      <c r="AV470" s="9" t="s">
        <v>597</v>
      </c>
      <c r="AW470" s="9">
        <v>2.0</v>
      </c>
      <c r="AX470" s="9" t="s">
        <v>429</v>
      </c>
      <c r="AY470" s="9" t="s">
        <v>429</v>
      </c>
      <c r="AZ470" s="9">
        <v>2.0</v>
      </c>
      <c r="BA470" s="9">
        <v>4.0</v>
      </c>
      <c r="BB470" s="9" t="s">
        <v>391</v>
      </c>
      <c r="BC470" s="9" t="s">
        <v>9187</v>
      </c>
      <c r="BD470" s="9" t="s">
        <v>9188</v>
      </c>
      <c r="BE470" s="9" t="s">
        <v>392</v>
      </c>
      <c r="BF470" s="9" t="s">
        <v>433</v>
      </c>
      <c r="BG470" s="9" t="s">
        <v>765</v>
      </c>
      <c r="BH470" s="9" t="s">
        <v>9189</v>
      </c>
      <c r="BI470" s="9" t="s">
        <v>727</v>
      </c>
      <c r="BJ470" s="9" t="s">
        <v>9190</v>
      </c>
      <c r="BK470" s="9" t="s">
        <v>395</v>
      </c>
      <c r="BL470" s="9" t="s">
        <v>603</v>
      </c>
      <c r="BM470" s="9" t="s">
        <v>549</v>
      </c>
      <c r="BN470" s="9" t="s">
        <v>440</v>
      </c>
      <c r="CL470" s="9" t="s">
        <v>550</v>
      </c>
      <c r="CM470" s="9" t="s">
        <v>604</v>
      </c>
      <c r="CN470" s="9" t="s">
        <v>9191</v>
      </c>
      <c r="CO470" s="9" t="s">
        <v>9192</v>
      </c>
      <c r="CP470" s="9" t="s">
        <v>685</v>
      </c>
      <c r="CQ470" s="9" t="s">
        <v>9193</v>
      </c>
      <c r="CR470" s="9" t="s">
        <v>804</v>
      </c>
      <c r="CS470" s="9" t="s">
        <v>6041</v>
      </c>
      <c r="CT470" s="9" t="s">
        <v>9194</v>
      </c>
      <c r="CU470" s="9" t="s">
        <v>450</v>
      </c>
      <c r="CV470" s="9" t="s">
        <v>451</v>
      </c>
      <c r="CW470" s="9" t="s">
        <v>9195</v>
      </c>
      <c r="CX470" s="9" t="s">
        <v>408</v>
      </c>
      <c r="CZ470" s="9" t="s">
        <v>453</v>
      </c>
      <c r="DA470" s="9" t="s">
        <v>9196</v>
      </c>
      <c r="DB470" s="9" t="s">
        <v>455</v>
      </c>
      <c r="DC470" s="9" t="s">
        <v>9197</v>
      </c>
      <c r="DD470" s="9" t="s">
        <v>662</v>
      </c>
      <c r="DE470" s="9" t="s">
        <v>691</v>
      </c>
      <c r="DF470" s="9" t="s">
        <v>9198</v>
      </c>
      <c r="DG470" s="9" t="s">
        <v>561</v>
      </c>
      <c r="DH470" s="9" t="s">
        <v>833</v>
      </c>
      <c r="DI470" s="9" t="s">
        <v>459</v>
      </c>
      <c r="DJ470" s="9" t="s">
        <v>562</v>
      </c>
      <c r="DK470" s="9" t="s">
        <v>6319</v>
      </c>
      <c r="DM470" s="9" t="s">
        <v>9199</v>
      </c>
      <c r="DN470" s="9" t="s">
        <v>9200</v>
      </c>
      <c r="DO470" s="9" t="s">
        <v>567</v>
      </c>
      <c r="DP470" s="9" t="s">
        <v>9201</v>
      </c>
      <c r="DQ470" s="9" t="s">
        <v>1176</v>
      </c>
      <c r="DR470" s="9" t="s">
        <v>9202</v>
      </c>
      <c r="DS470" s="9" t="s">
        <v>468</v>
      </c>
      <c r="DT470" s="9" t="s">
        <v>703</v>
      </c>
      <c r="DU470" s="9" t="s">
        <v>9203</v>
      </c>
      <c r="DV470" s="9" t="s">
        <v>9204</v>
      </c>
      <c r="DW470" s="9" t="s">
        <v>622</v>
      </c>
      <c r="DX470" s="9" t="s">
        <v>9205</v>
      </c>
      <c r="DY470" s="9" t="s">
        <v>9206</v>
      </c>
      <c r="DZ470" s="9" t="s">
        <v>9207</v>
      </c>
      <c r="EA470" s="9" t="s">
        <v>1413</v>
      </c>
      <c r="EB470" s="9" t="s">
        <v>626</v>
      </c>
      <c r="EC470" s="9" t="s">
        <v>9208</v>
      </c>
      <c r="ET470" s="9" t="s">
        <v>478</v>
      </c>
      <c r="EU470" s="9" t="s">
        <v>579</v>
      </c>
      <c r="EV470" s="9" t="s">
        <v>527</v>
      </c>
      <c r="EW470" s="9" t="s">
        <v>9209</v>
      </c>
      <c r="EX470" s="9" t="s">
        <v>9210</v>
      </c>
      <c r="EY470" s="9" t="s">
        <v>9211</v>
      </c>
      <c r="EZ470" s="9" t="s">
        <v>415</v>
      </c>
      <c r="FA470" s="9" t="s">
        <v>414</v>
      </c>
      <c r="FB470" s="9" t="s">
        <v>413</v>
      </c>
      <c r="FC470" s="9" t="s">
        <v>416</v>
      </c>
      <c r="FD470" s="9" t="s">
        <v>413</v>
      </c>
      <c r="FE470" s="9" t="s">
        <v>415</v>
      </c>
      <c r="FF470" s="9" t="s">
        <v>413</v>
      </c>
      <c r="FG470" s="9" t="s">
        <v>413</v>
      </c>
      <c r="FH470" s="9" t="s">
        <v>414</v>
      </c>
      <c r="FI470" s="9" t="s">
        <v>416</v>
      </c>
      <c r="FJ470" s="9" t="s">
        <v>415</v>
      </c>
      <c r="FK470" s="9" t="s">
        <v>413</v>
      </c>
      <c r="FL470" s="9" t="s">
        <v>416</v>
      </c>
      <c r="FM470" s="9" t="s">
        <v>413</v>
      </c>
      <c r="FN470" s="9" t="s">
        <v>583</v>
      </c>
      <c r="FO470" s="9" t="s">
        <v>485</v>
      </c>
      <c r="FP470" s="9" t="s">
        <v>418</v>
      </c>
      <c r="FQ470" s="9" t="s">
        <v>712</v>
      </c>
      <c r="FR470" s="9" t="s">
        <v>9212</v>
      </c>
      <c r="FS470" s="9" t="s">
        <v>1189</v>
      </c>
      <c r="FT470" s="9" t="s">
        <v>488</v>
      </c>
      <c r="FU470" s="9" t="s">
        <v>585</v>
      </c>
      <c r="FV470" s="9" t="s">
        <v>490</v>
      </c>
      <c r="FW470" s="9" t="s">
        <v>491</v>
      </c>
      <c r="FX470" s="9" t="s">
        <v>9213</v>
      </c>
      <c r="FY470" s="9" t="s">
        <v>493</v>
      </c>
      <c r="FZ470" s="9" t="s">
        <v>9214</v>
      </c>
      <c r="GB470" s="9" t="s">
        <v>408</v>
      </c>
      <c r="GG470" s="9" t="s">
        <v>1000</v>
      </c>
      <c r="GH470" s="9" t="s">
        <v>1000</v>
      </c>
      <c r="GI470" s="9" t="s">
        <v>858</v>
      </c>
      <c r="GM470" s="9" t="s">
        <v>1079</v>
      </c>
      <c r="GN470" s="9" t="s">
        <v>9215</v>
      </c>
      <c r="GO470" s="9" t="s">
        <v>9215</v>
      </c>
      <c r="GP470" s="9" t="s">
        <v>387</v>
      </c>
      <c r="GQ470" s="9" t="s">
        <v>3208</v>
      </c>
      <c r="GT470" s="9" t="s">
        <v>4774</v>
      </c>
      <c r="GV470" s="9" t="s">
        <v>5231</v>
      </c>
      <c r="GW470" s="9" t="s">
        <v>5232</v>
      </c>
      <c r="HC470" s="9" t="s">
        <v>5281</v>
      </c>
      <c r="HD470" s="9" t="s">
        <v>5282</v>
      </c>
      <c r="HE470" s="9" t="s">
        <v>5320</v>
      </c>
      <c r="HF470" s="9" t="s">
        <v>5284</v>
      </c>
      <c r="HG470" s="9" t="s">
        <v>9216</v>
      </c>
      <c r="HH470" s="9" t="s">
        <v>6631</v>
      </c>
      <c r="HI470" s="9" t="s">
        <v>9217</v>
      </c>
      <c r="HJ470" s="9" t="s">
        <v>9218</v>
      </c>
      <c r="HO470" s="9" t="s">
        <v>5346</v>
      </c>
      <c r="HP470" s="9" t="s">
        <v>5302</v>
      </c>
      <c r="HQ470" s="9" t="s">
        <v>5238</v>
      </c>
      <c r="HR470" s="9" t="s">
        <v>5321</v>
      </c>
      <c r="HW470" s="9" t="s">
        <v>5597</v>
      </c>
      <c r="IN470" s="9" t="s">
        <v>5537</v>
      </c>
      <c r="IO470" s="9" t="s">
        <v>5537</v>
      </c>
      <c r="IP470" s="9" t="s">
        <v>5536</v>
      </c>
      <c r="IQ470" s="9" t="s">
        <v>5536</v>
      </c>
      <c r="IR470" s="9" t="s">
        <v>5537</v>
      </c>
      <c r="IS470" s="9" t="s">
        <v>5537</v>
      </c>
      <c r="MJ470" s="9" t="s">
        <v>6321</v>
      </c>
    </row>
    <row r="471" ht="22.5" customHeight="1">
      <c r="A471" s="8">
        <v>46118.532824270835</v>
      </c>
      <c r="B471" s="9" t="s">
        <v>368</v>
      </c>
      <c r="C471" s="9" t="s">
        <v>370</v>
      </c>
      <c r="D471" s="9" t="s">
        <v>370</v>
      </c>
      <c r="E471" s="9" t="s">
        <v>3955</v>
      </c>
      <c r="F471" s="9" t="s">
        <v>3955</v>
      </c>
      <c r="G471" s="9" t="s">
        <v>422</v>
      </c>
      <c r="H471" s="9" t="s">
        <v>1307</v>
      </c>
      <c r="I471" s="9" t="s">
        <v>7561</v>
      </c>
      <c r="J471" s="9" t="s">
        <v>1204</v>
      </c>
      <c r="K471" s="9" t="s">
        <v>376</v>
      </c>
      <c r="L471" s="9" t="s">
        <v>379</v>
      </c>
      <c r="M471" s="9" t="s">
        <v>380</v>
      </c>
      <c r="N471" s="9" t="s">
        <v>377</v>
      </c>
      <c r="O471" s="9" t="s">
        <v>9219</v>
      </c>
      <c r="P471" s="9" t="s">
        <v>1760</v>
      </c>
      <c r="Q471" s="9" t="s">
        <v>1156</v>
      </c>
      <c r="R471" s="9" t="s">
        <v>427</v>
      </c>
      <c r="S471" s="9" t="s">
        <v>384</v>
      </c>
      <c r="T471" s="9" t="s">
        <v>385</v>
      </c>
      <c r="W471" s="9" t="s">
        <v>3231</v>
      </c>
      <c r="AV471" s="9" t="s">
        <v>1242</v>
      </c>
      <c r="AW471" s="9">
        <v>4.0</v>
      </c>
      <c r="AX471" s="9">
        <v>4.0</v>
      </c>
      <c r="AY471" s="9">
        <v>2.0</v>
      </c>
      <c r="AZ471" s="9">
        <v>4.0</v>
      </c>
      <c r="BA471" s="9">
        <v>4.0</v>
      </c>
      <c r="BB471" s="9" t="s">
        <v>675</v>
      </c>
      <c r="BC471" s="9" t="s">
        <v>9220</v>
      </c>
      <c r="BD471" s="9" t="s">
        <v>9221</v>
      </c>
      <c r="BE471" s="9" t="s">
        <v>432</v>
      </c>
      <c r="BF471" s="9" t="s">
        <v>1047</v>
      </c>
      <c r="BG471" s="9" t="s">
        <v>394</v>
      </c>
      <c r="BH471" s="9" t="s">
        <v>9222</v>
      </c>
      <c r="BI471" s="9" t="s">
        <v>435</v>
      </c>
      <c r="BJ471" s="9" t="s">
        <v>9223</v>
      </c>
      <c r="BK471" s="9" t="s">
        <v>681</v>
      </c>
      <c r="BL471" s="9" t="s">
        <v>904</v>
      </c>
      <c r="BM471" s="9" t="s">
        <v>1314</v>
      </c>
      <c r="BN471" s="9" t="s">
        <v>440</v>
      </c>
      <c r="CL471" s="9" t="s">
        <v>441</v>
      </c>
      <c r="CM471" s="9" t="s">
        <v>442</v>
      </c>
      <c r="CN471" s="9" t="s">
        <v>9224</v>
      </c>
      <c r="CO471" s="9" t="s">
        <v>9225</v>
      </c>
      <c r="CP471" s="9" t="s">
        <v>685</v>
      </c>
      <c r="CQ471" s="9" t="s">
        <v>9226</v>
      </c>
      <c r="CT471" s="9" t="s">
        <v>9227</v>
      </c>
      <c r="CX471" s="9" t="s">
        <v>408</v>
      </c>
      <c r="CZ471" s="9" t="s">
        <v>453</v>
      </c>
      <c r="DA471" s="9" t="s">
        <v>9228</v>
      </c>
      <c r="DB471" s="9" t="s">
        <v>408</v>
      </c>
      <c r="DD471" s="9" t="s">
        <v>457</v>
      </c>
      <c r="DI471" s="9" t="s">
        <v>963</v>
      </c>
      <c r="DJ471" s="9" t="s">
        <v>460</v>
      </c>
      <c r="DK471" s="9" t="s">
        <v>6319</v>
      </c>
      <c r="DM471" s="9" t="s">
        <v>462</v>
      </c>
      <c r="DN471" s="9" t="s">
        <v>9229</v>
      </c>
      <c r="DO471" s="9" t="s">
        <v>3496</v>
      </c>
      <c r="DP471" s="9" t="s">
        <v>9230</v>
      </c>
      <c r="DQ471" s="9" t="s">
        <v>466</v>
      </c>
      <c r="DR471" s="9" t="s">
        <v>9231</v>
      </c>
      <c r="DS471" s="9" t="s">
        <v>839</v>
      </c>
      <c r="DT471" s="9" t="s">
        <v>5486</v>
      </c>
      <c r="DU471" s="9" t="s">
        <v>9232</v>
      </c>
      <c r="DV471" s="9" t="s">
        <v>9233</v>
      </c>
      <c r="DW471" s="9" t="s">
        <v>1328</v>
      </c>
      <c r="DX471" s="9" t="s">
        <v>9234</v>
      </c>
      <c r="DY471" s="9" t="s">
        <v>9235</v>
      </c>
      <c r="DZ471" s="9" t="s">
        <v>9236</v>
      </c>
      <c r="EA471" s="9" t="s">
        <v>475</v>
      </c>
      <c r="EB471" s="9" t="s">
        <v>626</v>
      </c>
      <c r="EC471" s="9" t="s">
        <v>9237</v>
      </c>
      <c r="ET471" s="9" t="s">
        <v>526</v>
      </c>
      <c r="EU471" s="9" t="s">
        <v>1037</v>
      </c>
      <c r="EV471" s="9" t="s">
        <v>778</v>
      </c>
      <c r="EX471" s="9" t="s">
        <v>9238</v>
      </c>
      <c r="EY471" s="9" t="s">
        <v>9239</v>
      </c>
      <c r="EZ471" s="9" t="s">
        <v>413</v>
      </c>
      <c r="FA471" s="9" t="s">
        <v>413</v>
      </c>
      <c r="FB471" s="9" t="s">
        <v>413</v>
      </c>
      <c r="FC471" s="9" t="s">
        <v>413</v>
      </c>
      <c r="FD471" s="9" t="s">
        <v>413</v>
      </c>
      <c r="FE471" s="9" t="s">
        <v>413</v>
      </c>
      <c r="FF471" s="9" t="s">
        <v>413</v>
      </c>
      <c r="FG471" s="9" t="s">
        <v>413</v>
      </c>
      <c r="FH471" s="9" t="s">
        <v>414</v>
      </c>
      <c r="FI471" s="9" t="s">
        <v>414</v>
      </c>
      <c r="FJ471" s="9" t="s">
        <v>415</v>
      </c>
      <c r="FK471" s="9" t="s">
        <v>413</v>
      </c>
      <c r="FL471" s="9" t="s">
        <v>413</v>
      </c>
      <c r="FM471" s="9" t="s">
        <v>413</v>
      </c>
      <c r="FN471" s="9" t="s">
        <v>414</v>
      </c>
      <c r="FO471" s="9" t="s">
        <v>417</v>
      </c>
      <c r="FP471" s="9" t="s">
        <v>418</v>
      </c>
      <c r="FQ471" s="9" t="s">
        <v>531</v>
      </c>
      <c r="FR471" s="9" t="s">
        <v>9240</v>
      </c>
      <c r="FS471" s="9" t="s">
        <v>420</v>
      </c>
      <c r="FT471" s="9" t="s">
        <v>488</v>
      </c>
      <c r="FU471" s="9" t="s">
        <v>585</v>
      </c>
      <c r="FV471" s="9" t="s">
        <v>490</v>
      </c>
      <c r="FW471" s="9" t="s">
        <v>491</v>
      </c>
      <c r="FX471" s="9" t="s">
        <v>9241</v>
      </c>
      <c r="FY471" s="9" t="s">
        <v>535</v>
      </c>
      <c r="FZ471" s="9" t="s">
        <v>9242</v>
      </c>
      <c r="GA471" s="9" t="s">
        <v>9243</v>
      </c>
      <c r="GB471" s="9" t="s">
        <v>455</v>
      </c>
      <c r="GC471" s="9"/>
      <c r="GD471" s="9"/>
      <c r="GE471" s="9" t="s">
        <v>1339</v>
      </c>
      <c r="GI471" s="9" t="s">
        <v>817</v>
      </c>
      <c r="GM471" s="9" t="s">
        <v>1079</v>
      </c>
      <c r="GP471" s="9" t="s">
        <v>387</v>
      </c>
      <c r="GQ471" s="9" t="s">
        <v>3208</v>
      </c>
      <c r="GT471" s="9" t="s">
        <v>4741</v>
      </c>
      <c r="GU471" s="9" t="s">
        <v>9244</v>
      </c>
      <c r="GV471" s="9" t="s">
        <v>5231</v>
      </c>
      <c r="GW471" s="9" t="s">
        <v>5232</v>
      </c>
      <c r="HC471" s="9" t="s">
        <v>6053</v>
      </c>
      <c r="HG471" s="9" t="s">
        <v>9245</v>
      </c>
      <c r="HH471" s="9" t="s">
        <v>5343</v>
      </c>
      <c r="HI471" s="9" t="s">
        <v>9246</v>
      </c>
      <c r="HJ471" s="9" t="s">
        <v>9247</v>
      </c>
      <c r="HO471" s="9" t="s">
        <v>5383</v>
      </c>
      <c r="HP471" s="9" t="s">
        <v>5719</v>
      </c>
      <c r="HQ471" s="9" t="s">
        <v>5238</v>
      </c>
      <c r="HR471" s="9" t="s">
        <v>5321</v>
      </c>
      <c r="HW471" s="9" t="s">
        <v>9248</v>
      </c>
      <c r="IN471" s="9" t="s">
        <v>5500</v>
      </c>
      <c r="IO471" s="9" t="s">
        <v>5500</v>
      </c>
      <c r="IP471" s="9" t="s">
        <v>5500</v>
      </c>
      <c r="IQ471" s="9" t="s">
        <v>5500</v>
      </c>
      <c r="IR471" s="9" t="s">
        <v>5500</v>
      </c>
      <c r="IS471" s="9" t="s">
        <v>5500</v>
      </c>
      <c r="MJ471" s="9" t="s">
        <v>6321</v>
      </c>
    </row>
    <row r="472" ht="22.5" customHeight="1">
      <c r="A472" s="8">
        <v>46118.63432261574</v>
      </c>
      <c r="B472" s="9" t="s">
        <v>368</v>
      </c>
      <c r="C472" s="9" t="s">
        <v>1341</v>
      </c>
      <c r="D472" s="9" t="s">
        <v>1341</v>
      </c>
      <c r="G472" s="9" t="s">
        <v>422</v>
      </c>
      <c r="H472" s="9" t="s">
        <v>373</v>
      </c>
      <c r="I472" s="9" t="s">
        <v>374</v>
      </c>
      <c r="J472" s="9" t="s">
        <v>425</v>
      </c>
      <c r="K472" s="9" t="s">
        <v>376</v>
      </c>
      <c r="L472" s="9" t="s">
        <v>377</v>
      </c>
      <c r="N472" s="9" t="s">
        <v>379</v>
      </c>
      <c r="O472" s="9" t="s">
        <v>2464</v>
      </c>
      <c r="P472" s="9" t="s">
        <v>1760</v>
      </c>
      <c r="Q472" s="9" t="s">
        <v>1004</v>
      </c>
      <c r="R472" s="9" t="s">
        <v>427</v>
      </c>
      <c r="S472" s="9" t="s">
        <v>384</v>
      </c>
      <c r="T472" s="9" t="s">
        <v>385</v>
      </c>
      <c r="W472" s="9" t="s">
        <v>3014</v>
      </c>
      <c r="AV472" s="9" t="s">
        <v>504</v>
      </c>
      <c r="AW472" s="9" t="s">
        <v>429</v>
      </c>
      <c r="AX472" s="9" t="s">
        <v>429</v>
      </c>
      <c r="AY472" s="9" t="s">
        <v>429</v>
      </c>
      <c r="AZ472" s="9" t="s">
        <v>429</v>
      </c>
      <c r="BA472" s="9" t="s">
        <v>429</v>
      </c>
      <c r="BB472" s="9" t="s">
        <v>429</v>
      </c>
      <c r="BC472" s="9" t="s">
        <v>9249</v>
      </c>
      <c r="BD472" s="9" t="s">
        <v>9250</v>
      </c>
      <c r="BE472" s="9" t="s">
        <v>392</v>
      </c>
      <c r="BF472" s="9" t="s">
        <v>433</v>
      </c>
      <c r="BG472" s="9" t="s">
        <v>678</v>
      </c>
      <c r="BI472" s="9" t="s">
        <v>509</v>
      </c>
      <c r="BJ472" s="9" t="s">
        <v>9251</v>
      </c>
      <c r="BK472" s="9" t="s">
        <v>511</v>
      </c>
      <c r="BL472" s="9" t="s">
        <v>603</v>
      </c>
      <c r="BM472" s="9" t="s">
        <v>439</v>
      </c>
      <c r="BN472" s="9" t="s">
        <v>513</v>
      </c>
      <c r="CL472" s="9" t="s">
        <v>550</v>
      </c>
      <c r="CM472" s="9" t="s">
        <v>401</v>
      </c>
      <c r="CN472" s="9" t="s">
        <v>9252</v>
      </c>
      <c r="CO472" s="9" t="s">
        <v>9253</v>
      </c>
      <c r="CP472" s="9" t="s">
        <v>685</v>
      </c>
      <c r="CQ472" s="9" t="s">
        <v>9254</v>
      </c>
      <c r="CR472" s="9" t="s">
        <v>447</v>
      </c>
      <c r="CS472" s="9" t="s">
        <v>9255</v>
      </c>
      <c r="CT472" s="9" t="s">
        <v>9256</v>
      </c>
      <c r="CU472" s="9" t="s">
        <v>450</v>
      </c>
      <c r="CV472" s="9" t="s">
        <v>451</v>
      </c>
      <c r="CW472" s="9" t="s">
        <v>9257</v>
      </c>
      <c r="CX472" s="9" t="s">
        <v>455</v>
      </c>
      <c r="CZ472" s="9" t="s">
        <v>453</v>
      </c>
      <c r="DA472" s="9" t="s">
        <v>9258</v>
      </c>
      <c r="DB472" s="9" t="s">
        <v>455</v>
      </c>
      <c r="DD472" s="9" t="s">
        <v>988</v>
      </c>
      <c r="DF472" s="9" t="s">
        <v>9259</v>
      </c>
      <c r="DG472" s="9" t="s">
        <v>776</v>
      </c>
      <c r="DH472" s="9" t="s">
        <v>410</v>
      </c>
      <c r="DI472" s="9" t="s">
        <v>963</v>
      </c>
      <c r="DJ472" s="9" t="s">
        <v>460</v>
      </c>
      <c r="DK472" s="9" t="s">
        <v>6335</v>
      </c>
      <c r="ET472" s="9" t="s">
        <v>578</v>
      </c>
      <c r="EU472" s="9" t="s">
        <v>579</v>
      </c>
      <c r="EV472" s="9" t="s">
        <v>480</v>
      </c>
      <c r="EY472" s="9" t="s">
        <v>9260</v>
      </c>
      <c r="EZ472" s="9" t="s">
        <v>415</v>
      </c>
      <c r="FA472" s="9" t="s">
        <v>414</v>
      </c>
      <c r="FB472" s="9" t="s">
        <v>416</v>
      </c>
      <c r="FC472" s="9" t="s">
        <v>583</v>
      </c>
      <c r="FD472" s="9" t="s">
        <v>583</v>
      </c>
      <c r="FE472" s="9" t="s">
        <v>583</v>
      </c>
      <c r="FF472" s="9" t="s">
        <v>583</v>
      </c>
      <c r="FG472" s="9" t="s">
        <v>583</v>
      </c>
      <c r="FH472" s="9" t="s">
        <v>413</v>
      </c>
      <c r="FI472" s="9" t="s">
        <v>416</v>
      </c>
      <c r="FJ472" s="9" t="s">
        <v>583</v>
      </c>
      <c r="FK472" s="9" t="s">
        <v>583</v>
      </c>
      <c r="FL472" s="9" t="s">
        <v>583</v>
      </c>
      <c r="FM472" s="9" t="s">
        <v>583</v>
      </c>
      <c r="FN472" s="9" t="s">
        <v>416</v>
      </c>
      <c r="FO472" s="9" t="s">
        <v>417</v>
      </c>
      <c r="FP472" s="9" t="s">
        <v>418</v>
      </c>
      <c r="FQ472" s="9" t="s">
        <v>1039</v>
      </c>
      <c r="FS472" s="9" t="s">
        <v>995</v>
      </c>
      <c r="FT472" s="9" t="s">
        <v>488</v>
      </c>
      <c r="FU472" s="9" t="s">
        <v>1235</v>
      </c>
      <c r="FV472" s="9" t="s">
        <v>1101</v>
      </c>
      <c r="FW472" s="9" t="s">
        <v>491</v>
      </c>
      <c r="FX472" s="9" t="s">
        <v>9261</v>
      </c>
      <c r="FY472" s="9" t="s">
        <v>535</v>
      </c>
      <c r="FZ472" s="9" t="s">
        <v>9262</v>
      </c>
      <c r="GB472" s="9" t="s">
        <v>455</v>
      </c>
      <c r="GC472" s="9"/>
      <c r="GE472" s="9" t="s">
        <v>753</v>
      </c>
      <c r="GF472" s="9" t="s">
        <v>9263</v>
      </c>
      <c r="GG472" s="9" t="s">
        <v>857</v>
      </c>
      <c r="GH472" s="9" t="s">
        <v>788</v>
      </c>
      <c r="GI472" s="9" t="s">
        <v>756</v>
      </c>
      <c r="GN472" s="9" t="s">
        <v>9264</v>
      </c>
      <c r="GO472" s="9" t="s">
        <v>9265</v>
      </c>
      <c r="GQ472" s="9" t="s">
        <v>3208</v>
      </c>
      <c r="GT472" s="9" t="s">
        <v>5170</v>
      </c>
      <c r="GV472" s="9" t="s">
        <v>5231</v>
      </c>
      <c r="GW472" s="9" t="s">
        <v>5232</v>
      </c>
      <c r="HC472" s="9" t="s">
        <v>484</v>
      </c>
      <c r="HD472" s="9" t="s">
        <v>5298</v>
      </c>
      <c r="HE472" s="9" t="s">
        <v>5320</v>
      </c>
      <c r="HF472" s="9" t="s">
        <v>5284</v>
      </c>
      <c r="HO472" s="9" t="s">
        <v>5346</v>
      </c>
      <c r="HP472" s="9" t="s">
        <v>5237</v>
      </c>
      <c r="HQ472" s="9" t="s">
        <v>5238</v>
      </c>
      <c r="HR472" s="9" t="s">
        <v>5239</v>
      </c>
      <c r="HW472" s="9" t="s">
        <v>5597</v>
      </c>
      <c r="MJ472" s="9" t="s">
        <v>6321</v>
      </c>
    </row>
    <row r="473" ht="22.5" customHeight="1">
      <c r="A473" s="8">
        <v>46118.697400879624</v>
      </c>
      <c r="B473" s="9" t="s">
        <v>368</v>
      </c>
      <c r="C473" s="9" t="s">
        <v>370</v>
      </c>
      <c r="D473" s="9" t="s">
        <v>370</v>
      </c>
      <c r="E473" s="9" t="s">
        <v>667</v>
      </c>
      <c r="F473" s="9" t="s">
        <v>2708</v>
      </c>
      <c r="G473" s="9" t="s">
        <v>422</v>
      </c>
      <c r="H473" s="9" t="s">
        <v>496</v>
      </c>
      <c r="I473" s="9" t="s">
        <v>374</v>
      </c>
      <c r="J473" s="9" t="s">
        <v>669</v>
      </c>
      <c r="K473" s="9" t="s">
        <v>376</v>
      </c>
      <c r="L473" s="9" t="s">
        <v>379</v>
      </c>
      <c r="M473" s="9" t="s">
        <v>2464</v>
      </c>
      <c r="N473" s="9" t="s">
        <v>379</v>
      </c>
      <c r="O473" s="9" t="s">
        <v>380</v>
      </c>
      <c r="P473" s="9" t="s">
        <v>381</v>
      </c>
      <c r="Q473" s="9" t="s">
        <v>818</v>
      </c>
      <c r="R473" s="9" t="s">
        <v>949</v>
      </c>
      <c r="S473" s="9" t="s">
        <v>384</v>
      </c>
      <c r="T473" s="9" t="s">
        <v>385</v>
      </c>
      <c r="W473" s="9" t="s">
        <v>3014</v>
      </c>
      <c r="AV473" s="9" t="s">
        <v>1310</v>
      </c>
      <c r="AW473" s="9">
        <v>4.0</v>
      </c>
      <c r="AX473" s="9">
        <v>4.0</v>
      </c>
      <c r="AY473" s="9">
        <v>4.0</v>
      </c>
      <c r="AZ473" s="9" t="s">
        <v>675</v>
      </c>
      <c r="BA473" s="9">
        <v>4.0</v>
      </c>
      <c r="BB473" s="9" t="s">
        <v>391</v>
      </c>
      <c r="BE473" s="9" t="s">
        <v>432</v>
      </c>
      <c r="BF473" s="9" t="s">
        <v>393</v>
      </c>
      <c r="BG473" s="9" t="s">
        <v>394</v>
      </c>
      <c r="BI473" s="9" t="s">
        <v>435</v>
      </c>
      <c r="BK473" s="9" t="s">
        <v>681</v>
      </c>
      <c r="BL473" s="9" t="s">
        <v>438</v>
      </c>
      <c r="BM473" s="9" t="s">
        <v>397</v>
      </c>
      <c r="BN473" s="9" t="s">
        <v>398</v>
      </c>
      <c r="BO473" s="9" t="s">
        <v>9266</v>
      </c>
      <c r="BP473" s="9" t="s">
        <v>9267</v>
      </c>
      <c r="BQ473" s="9" t="s">
        <v>604</v>
      </c>
      <c r="BR473" s="9" t="s">
        <v>1740</v>
      </c>
      <c r="BS473" s="9" t="s">
        <v>403</v>
      </c>
      <c r="BT473" s="9" t="s">
        <v>4368</v>
      </c>
      <c r="BU473" s="9" t="s">
        <v>1772</v>
      </c>
      <c r="BV473" s="9" t="s">
        <v>9268</v>
      </c>
      <c r="BW473" s="9" t="s">
        <v>988</v>
      </c>
      <c r="BY473" s="9" t="s">
        <v>455</v>
      </c>
      <c r="BZ473" s="9" t="s">
        <v>9269</v>
      </c>
      <c r="CA473" s="9" t="s">
        <v>9270</v>
      </c>
      <c r="CD473" s="9" t="s">
        <v>451</v>
      </c>
      <c r="CE473" s="9" t="s">
        <v>9271</v>
      </c>
      <c r="CF473" s="9" t="s">
        <v>1258</v>
      </c>
      <c r="CH473" s="9" t="s">
        <v>1698</v>
      </c>
      <c r="CI473" s="9" t="s">
        <v>410</v>
      </c>
      <c r="CJ473" s="9" t="s">
        <v>9272</v>
      </c>
      <c r="DI473" s="9" t="s">
        <v>963</v>
      </c>
      <c r="DJ473" s="9" t="s">
        <v>613</v>
      </c>
      <c r="ET473" s="9" t="s">
        <v>578</v>
      </c>
      <c r="EU473" s="9" t="s">
        <v>479</v>
      </c>
      <c r="EV473" s="9" t="s">
        <v>580</v>
      </c>
      <c r="EX473" s="9" t="s">
        <v>9273</v>
      </c>
      <c r="EY473" s="9" t="s">
        <v>9274</v>
      </c>
      <c r="EZ473" s="9" t="s">
        <v>415</v>
      </c>
      <c r="FA473" s="9" t="s">
        <v>415</v>
      </c>
      <c r="FB473" s="9" t="s">
        <v>416</v>
      </c>
      <c r="FC473" s="9" t="s">
        <v>414</v>
      </c>
      <c r="FD473" s="9" t="s">
        <v>416</v>
      </c>
      <c r="FE473" s="9" t="s">
        <v>414</v>
      </c>
      <c r="FF473" s="9" t="s">
        <v>414</v>
      </c>
      <c r="FG473" s="9" t="s">
        <v>415</v>
      </c>
      <c r="FH473" s="9" t="s">
        <v>414</v>
      </c>
      <c r="FI473" s="9" t="s">
        <v>583</v>
      </c>
      <c r="FJ473" s="9" t="s">
        <v>414</v>
      </c>
      <c r="FK473" s="9" t="s">
        <v>415</v>
      </c>
      <c r="FL473" s="9" t="s">
        <v>415</v>
      </c>
      <c r="FM473" s="9" t="s">
        <v>415</v>
      </c>
      <c r="FN473" s="9" t="s">
        <v>414</v>
      </c>
      <c r="FO473" s="9" t="s">
        <v>850</v>
      </c>
      <c r="FP473" s="9" t="s">
        <v>486</v>
      </c>
      <c r="FQ473" s="9" t="s">
        <v>630</v>
      </c>
      <c r="FS473" s="9" t="s">
        <v>1189</v>
      </c>
      <c r="FT473" s="9" t="s">
        <v>1462</v>
      </c>
      <c r="FU473" s="9" t="s">
        <v>533</v>
      </c>
      <c r="FV473" s="9" t="s">
        <v>490</v>
      </c>
      <c r="FW473" s="9" t="s">
        <v>491</v>
      </c>
      <c r="FY473" s="9" t="s">
        <v>493</v>
      </c>
      <c r="GB473" s="9" t="s">
        <v>408</v>
      </c>
      <c r="GJ473" s="9" t="s">
        <v>1000</v>
      </c>
      <c r="GK473" s="9" t="s">
        <v>755</v>
      </c>
      <c r="GL473" s="9" t="s">
        <v>756</v>
      </c>
      <c r="GQ473" s="9" t="s">
        <v>3208</v>
      </c>
      <c r="GR473" s="9" t="s">
        <v>5170</v>
      </c>
      <c r="GS473" s="9" t="s">
        <v>9275</v>
      </c>
      <c r="GV473" s="9" t="s">
        <v>5231</v>
      </c>
      <c r="GW473" s="9" t="s">
        <v>484</v>
      </c>
      <c r="GX473" s="9" t="s">
        <v>5262</v>
      </c>
      <c r="GY473" s="9" t="s">
        <v>6013</v>
      </c>
      <c r="GZ473" s="9" t="s">
        <v>5234</v>
      </c>
      <c r="HA473" s="9" t="s">
        <v>5864</v>
      </c>
      <c r="HB473" s="9" t="s">
        <v>5370</v>
      </c>
      <c r="HO473" s="9" t="s">
        <v>5236</v>
      </c>
      <c r="HP473" s="9" t="s">
        <v>5264</v>
      </c>
      <c r="HQ473" s="9" t="s">
        <v>5238</v>
      </c>
      <c r="MJ473" s="9" t="s">
        <v>6321</v>
      </c>
    </row>
    <row r="474" ht="22.5" customHeight="1">
      <c r="A474" s="8">
        <v>46118.738876469906</v>
      </c>
      <c r="B474" s="9" t="s">
        <v>368</v>
      </c>
      <c r="C474" s="9" t="s">
        <v>370</v>
      </c>
      <c r="D474" s="9" t="s">
        <v>370</v>
      </c>
      <c r="E474" s="9" t="s">
        <v>1510</v>
      </c>
      <c r="F474" s="9" t="s">
        <v>1510</v>
      </c>
      <c r="G474" s="9" t="s">
        <v>422</v>
      </c>
      <c r="H474" s="9" t="s">
        <v>539</v>
      </c>
      <c r="I474" s="9" t="s">
        <v>1022</v>
      </c>
      <c r="J474" s="9" t="s">
        <v>718</v>
      </c>
      <c r="K474" s="9" t="s">
        <v>376</v>
      </c>
      <c r="L474" s="9" t="s">
        <v>591</v>
      </c>
      <c r="M474" s="9" t="s">
        <v>2196</v>
      </c>
      <c r="N474" s="9" t="s">
        <v>793</v>
      </c>
      <c r="O474" s="9" t="s">
        <v>719</v>
      </c>
      <c r="P474" s="9" t="s">
        <v>498</v>
      </c>
      <c r="Q474" s="9" t="s">
        <v>1156</v>
      </c>
      <c r="R474" s="9" t="s">
        <v>500</v>
      </c>
      <c r="S474" s="9" t="s">
        <v>384</v>
      </c>
      <c r="T474" s="9" t="s">
        <v>385</v>
      </c>
      <c r="W474" s="9" t="s">
        <v>386</v>
      </c>
      <c r="X474" s="9" t="s">
        <v>387</v>
      </c>
      <c r="Y474" s="9" t="s">
        <v>1966</v>
      </c>
      <c r="Z474" s="9" t="s">
        <v>502</v>
      </c>
      <c r="AA474" s="9" t="s">
        <v>9276</v>
      </c>
      <c r="AB474" s="9" t="s">
        <v>9277</v>
      </c>
      <c r="AV474" s="9" t="s">
        <v>390</v>
      </c>
      <c r="AW474" s="9">
        <v>2.0</v>
      </c>
      <c r="AX474" s="9">
        <v>2.0</v>
      </c>
      <c r="AY474" s="9" t="s">
        <v>429</v>
      </c>
      <c r="AZ474" s="9" t="s">
        <v>429</v>
      </c>
      <c r="BA474" s="9">
        <v>2.0</v>
      </c>
      <c r="BB474" s="9">
        <v>2.0</v>
      </c>
      <c r="BC474" s="9" t="s">
        <v>9278</v>
      </c>
      <c r="BD474" s="9" t="s">
        <v>9279</v>
      </c>
      <c r="BE474" s="9" t="s">
        <v>392</v>
      </c>
      <c r="BF474" s="9" t="s">
        <v>433</v>
      </c>
      <c r="BG474" s="9" t="s">
        <v>725</v>
      </c>
      <c r="BH474" s="9" t="s">
        <v>9280</v>
      </c>
      <c r="BI474" s="9" t="s">
        <v>509</v>
      </c>
      <c r="BK474" s="9" t="s">
        <v>395</v>
      </c>
      <c r="BL474" s="9" t="s">
        <v>438</v>
      </c>
      <c r="BM474" s="9" t="s">
        <v>439</v>
      </c>
      <c r="BN474" s="9" t="s">
        <v>440</v>
      </c>
      <c r="CL474" s="9" t="s">
        <v>441</v>
      </c>
      <c r="CM474" s="9" t="s">
        <v>442</v>
      </c>
      <c r="CN474" s="9" t="s">
        <v>3117</v>
      </c>
      <c r="CO474" s="9" t="s">
        <v>9281</v>
      </c>
      <c r="CP474" s="9" t="s">
        <v>445</v>
      </c>
      <c r="CQ474" s="9" t="s">
        <v>9282</v>
      </c>
      <c r="CR474" s="9" t="s">
        <v>447</v>
      </c>
      <c r="CS474" s="9" t="s">
        <v>9283</v>
      </c>
      <c r="CT474" s="9" t="s">
        <v>9284</v>
      </c>
      <c r="CU474" s="9" t="s">
        <v>450</v>
      </c>
      <c r="CV474" s="9" t="s">
        <v>451</v>
      </c>
      <c r="CW474" s="9" t="s">
        <v>9285</v>
      </c>
      <c r="CX474" s="9" t="s">
        <v>408</v>
      </c>
      <c r="CY474" s="9" t="s">
        <v>9286</v>
      </c>
      <c r="CZ474" s="9" t="s">
        <v>453</v>
      </c>
      <c r="DA474" s="9" t="s">
        <v>9287</v>
      </c>
      <c r="DB474" s="9" t="s">
        <v>455</v>
      </c>
      <c r="DC474" s="9" t="s">
        <v>9288</v>
      </c>
      <c r="DD474" s="9" t="s">
        <v>662</v>
      </c>
      <c r="DE474" s="9" t="s">
        <v>1368</v>
      </c>
      <c r="DF474" s="9" t="s">
        <v>9289</v>
      </c>
      <c r="DG474" s="9" t="s">
        <v>524</v>
      </c>
      <c r="DH474" s="9" t="s">
        <v>410</v>
      </c>
      <c r="DI474" s="9" t="s">
        <v>459</v>
      </c>
      <c r="DJ474" s="9" t="s">
        <v>460</v>
      </c>
      <c r="DK474" s="9" t="s">
        <v>6335</v>
      </c>
      <c r="DM474" s="9" t="s">
        <v>9290</v>
      </c>
      <c r="DN474" s="9" t="s">
        <v>9291</v>
      </c>
      <c r="DO474" s="9" t="s">
        <v>567</v>
      </c>
      <c r="DP474" s="9" t="s">
        <v>9292</v>
      </c>
      <c r="DQ474" s="9" t="s">
        <v>466</v>
      </c>
      <c r="DR474" s="9" t="s">
        <v>9293</v>
      </c>
      <c r="DS474" s="9" t="s">
        <v>702</v>
      </c>
      <c r="DT474" s="9" t="s">
        <v>740</v>
      </c>
      <c r="DU474" s="9" t="s">
        <v>9294</v>
      </c>
      <c r="DV474" s="9" t="s">
        <v>9295</v>
      </c>
      <c r="DW474" s="9" t="s">
        <v>573</v>
      </c>
      <c r="DX474" s="9" t="s">
        <v>9296</v>
      </c>
      <c r="DY474" s="9" t="s">
        <v>9297</v>
      </c>
      <c r="DZ474" s="9" t="s">
        <v>9298</v>
      </c>
      <c r="EA474" s="9" t="s">
        <v>475</v>
      </c>
      <c r="EB474" s="9" t="s">
        <v>626</v>
      </c>
      <c r="EC474" s="9" t="s">
        <v>9299</v>
      </c>
      <c r="ET474" s="9" t="s">
        <v>526</v>
      </c>
      <c r="EU474" s="9" t="s">
        <v>479</v>
      </c>
      <c r="EV474" s="9" t="s">
        <v>527</v>
      </c>
      <c r="EW474" s="9" t="s">
        <v>9300</v>
      </c>
      <c r="EX474" s="9" t="s">
        <v>9301</v>
      </c>
      <c r="EY474" s="9" t="s">
        <v>9302</v>
      </c>
      <c r="EZ474" s="9" t="s">
        <v>583</v>
      </c>
      <c r="FA474" s="9" t="s">
        <v>583</v>
      </c>
      <c r="FB474" s="9" t="s">
        <v>583</v>
      </c>
      <c r="FC474" s="9" t="s">
        <v>583</v>
      </c>
      <c r="FD474" s="9" t="s">
        <v>413</v>
      </c>
      <c r="FE474" s="9" t="s">
        <v>583</v>
      </c>
      <c r="FF474" s="9" t="s">
        <v>583</v>
      </c>
      <c r="FG474" s="9" t="s">
        <v>484</v>
      </c>
      <c r="FH474" s="9" t="s">
        <v>484</v>
      </c>
      <c r="FI474" s="9" t="s">
        <v>583</v>
      </c>
      <c r="FJ474" s="9" t="s">
        <v>583</v>
      </c>
      <c r="FK474" s="9" t="s">
        <v>583</v>
      </c>
      <c r="FL474" s="9" t="s">
        <v>583</v>
      </c>
      <c r="FM474" s="9" t="s">
        <v>484</v>
      </c>
      <c r="FN474" s="9" t="s">
        <v>484</v>
      </c>
      <c r="FO474" s="9" t="s">
        <v>417</v>
      </c>
      <c r="FP474" s="9" t="s">
        <v>418</v>
      </c>
      <c r="FQ474" s="9" t="s">
        <v>1039</v>
      </c>
      <c r="FR474" s="9" t="s">
        <v>9303</v>
      </c>
      <c r="FS474" s="9" t="s">
        <v>420</v>
      </c>
      <c r="FT474" s="9" t="s">
        <v>488</v>
      </c>
      <c r="FU474" s="9" t="s">
        <v>489</v>
      </c>
      <c r="FV474" s="9" t="s">
        <v>490</v>
      </c>
      <c r="FW474" s="9" t="s">
        <v>491</v>
      </c>
      <c r="FX474" s="9" t="s">
        <v>9304</v>
      </c>
      <c r="FY474" s="9" t="s">
        <v>535</v>
      </c>
      <c r="GB474" s="9" t="s">
        <v>408</v>
      </c>
      <c r="GG474" s="9" t="s">
        <v>755</v>
      </c>
      <c r="GH474" s="9" t="s">
        <v>755</v>
      </c>
      <c r="GI474" s="9" t="s">
        <v>946</v>
      </c>
      <c r="GM474" s="9" t="s">
        <v>1079</v>
      </c>
      <c r="GQ474" s="9" t="s">
        <v>3208</v>
      </c>
      <c r="GT474" s="9" t="s">
        <v>4741</v>
      </c>
      <c r="GU474" s="9" t="s">
        <v>9305</v>
      </c>
      <c r="GV474" s="9" t="s">
        <v>5231</v>
      </c>
      <c r="GW474" s="9" t="s">
        <v>5232</v>
      </c>
      <c r="HC474" s="9" t="s">
        <v>5297</v>
      </c>
      <c r="HD474" s="9" t="s">
        <v>5282</v>
      </c>
      <c r="HE474" s="9" t="s">
        <v>5320</v>
      </c>
      <c r="HF474" s="9" t="s">
        <v>5284</v>
      </c>
      <c r="HG474" s="9" t="s">
        <v>9306</v>
      </c>
      <c r="HH474" s="9" t="s">
        <v>5495</v>
      </c>
      <c r="HI474" s="9" t="s">
        <v>9307</v>
      </c>
      <c r="HJ474" s="9" t="s">
        <v>9308</v>
      </c>
      <c r="HO474" s="9" t="s">
        <v>5236</v>
      </c>
      <c r="HP474" s="9" t="s">
        <v>5264</v>
      </c>
      <c r="HQ474" s="9" t="s">
        <v>5238</v>
      </c>
      <c r="HR474" s="9" t="s">
        <v>9309</v>
      </c>
      <c r="IN474" s="9" t="s">
        <v>5536</v>
      </c>
      <c r="IO474" s="9" t="s">
        <v>5536</v>
      </c>
      <c r="IP474" s="9" t="s">
        <v>5500</v>
      </c>
      <c r="IQ474" s="9" t="s">
        <v>5500</v>
      </c>
      <c r="IR474" s="9" t="s">
        <v>5536</v>
      </c>
      <c r="IS474" s="9" t="s">
        <v>5536</v>
      </c>
      <c r="MJ474" s="9" t="s">
        <v>6321</v>
      </c>
    </row>
    <row r="475" ht="22.5" customHeight="1">
      <c r="A475" s="8">
        <v>46118.77396358796</v>
      </c>
      <c r="B475" s="9" t="s">
        <v>368</v>
      </c>
      <c r="C475" s="9" t="s">
        <v>894</v>
      </c>
      <c r="D475" s="9" t="s">
        <v>894</v>
      </c>
      <c r="G475" s="9" t="s">
        <v>422</v>
      </c>
      <c r="H475" s="9" t="s">
        <v>423</v>
      </c>
      <c r="I475" s="9" t="s">
        <v>424</v>
      </c>
      <c r="J475" s="9" t="s">
        <v>375</v>
      </c>
      <c r="K475" s="9" t="s">
        <v>376</v>
      </c>
      <c r="L475" s="9" t="s">
        <v>591</v>
      </c>
      <c r="M475" s="9" t="s">
        <v>378</v>
      </c>
      <c r="N475" s="9" t="s">
        <v>426</v>
      </c>
      <c r="O475" s="9" t="s">
        <v>719</v>
      </c>
      <c r="P475" s="9" t="s">
        <v>498</v>
      </c>
      <c r="Q475" s="9" t="s">
        <v>862</v>
      </c>
      <c r="R475" s="9" t="s">
        <v>500</v>
      </c>
      <c r="S475" s="9" t="s">
        <v>384</v>
      </c>
      <c r="T475" s="9" t="s">
        <v>385</v>
      </c>
      <c r="U475" s="9" t="s">
        <v>1823</v>
      </c>
      <c r="V475" s="9" t="s">
        <v>1823</v>
      </c>
      <c r="W475" s="9" t="s">
        <v>593</v>
      </c>
      <c r="X475" s="9" t="s">
        <v>387</v>
      </c>
      <c r="Y475" s="9" t="s">
        <v>388</v>
      </c>
      <c r="Z475" s="9" t="s">
        <v>543</v>
      </c>
      <c r="AA475" s="9" t="s">
        <v>2675</v>
      </c>
      <c r="AB475" s="9" t="s">
        <v>2675</v>
      </c>
      <c r="AV475" s="9" t="s">
        <v>1310</v>
      </c>
      <c r="AW475" s="9" t="s">
        <v>675</v>
      </c>
      <c r="AX475" s="9">
        <v>4.0</v>
      </c>
      <c r="AY475" s="9" t="s">
        <v>675</v>
      </c>
      <c r="AZ475" s="9" t="s">
        <v>391</v>
      </c>
      <c r="BA475" s="9">
        <v>4.0</v>
      </c>
      <c r="BB475" s="9">
        <v>4.0</v>
      </c>
      <c r="BC475" s="9" t="s">
        <v>9310</v>
      </c>
      <c r="BD475" s="9" t="s">
        <v>9311</v>
      </c>
      <c r="BE475" s="9" t="s">
        <v>902</v>
      </c>
      <c r="BF475" s="9" t="s">
        <v>1245</v>
      </c>
      <c r="BG475" s="9" t="s">
        <v>394</v>
      </c>
      <c r="BH475" s="9" t="s">
        <v>9312</v>
      </c>
      <c r="BI475" s="9" t="s">
        <v>976</v>
      </c>
      <c r="BK475" s="9" t="s">
        <v>395</v>
      </c>
      <c r="BL475" s="9" t="s">
        <v>603</v>
      </c>
      <c r="BM475" s="9" t="s">
        <v>1247</v>
      </c>
      <c r="BN475" s="9" t="s">
        <v>398</v>
      </c>
      <c r="BO475" s="9" t="s">
        <v>9313</v>
      </c>
      <c r="BP475" s="9" t="s">
        <v>9314</v>
      </c>
      <c r="BQ475" s="9" t="s">
        <v>604</v>
      </c>
      <c r="BR475" s="9" t="s">
        <v>6307</v>
      </c>
      <c r="BS475" s="9" t="s">
        <v>1671</v>
      </c>
      <c r="BU475" s="9" t="s">
        <v>1693</v>
      </c>
      <c r="BV475" s="9" t="s">
        <v>9315</v>
      </c>
      <c r="BW475" s="9" t="s">
        <v>406</v>
      </c>
      <c r="BX475" s="9" t="s">
        <v>2503</v>
      </c>
      <c r="BY475" s="9" t="s">
        <v>408</v>
      </c>
      <c r="CA475" s="9" t="s">
        <v>408</v>
      </c>
      <c r="CB475" s="9" t="s">
        <v>9316</v>
      </c>
      <c r="CC475" s="9" t="s">
        <v>9317</v>
      </c>
      <c r="CD475" s="9" t="s">
        <v>1931</v>
      </c>
      <c r="CE475" s="9" t="s">
        <v>408</v>
      </c>
      <c r="CF475" s="9" t="s">
        <v>1697</v>
      </c>
      <c r="CH475" s="9" t="s">
        <v>1698</v>
      </c>
      <c r="CI475" s="9" t="s">
        <v>410</v>
      </c>
      <c r="CJ475" s="9" t="s">
        <v>467</v>
      </c>
      <c r="CK475" s="9" t="s">
        <v>9318</v>
      </c>
      <c r="DI475" s="9" t="s">
        <v>459</v>
      </c>
      <c r="DJ475" s="9" t="s">
        <v>460</v>
      </c>
      <c r="DK475" s="9" t="s">
        <v>6319</v>
      </c>
      <c r="ET475" s="9" t="s">
        <v>578</v>
      </c>
      <c r="EU475" s="9" t="s">
        <v>1127</v>
      </c>
      <c r="EV475" s="9" t="s">
        <v>580</v>
      </c>
      <c r="EY475" s="9" t="s">
        <v>9319</v>
      </c>
      <c r="EZ475" s="9" t="s">
        <v>415</v>
      </c>
      <c r="FA475" s="9" t="s">
        <v>415</v>
      </c>
      <c r="FB475" s="9" t="s">
        <v>413</v>
      </c>
      <c r="FC475" s="9" t="s">
        <v>413</v>
      </c>
      <c r="FD475" s="9" t="s">
        <v>413</v>
      </c>
      <c r="FE475" s="9" t="s">
        <v>413</v>
      </c>
      <c r="FF475" s="9" t="s">
        <v>413</v>
      </c>
      <c r="FG475" s="9" t="s">
        <v>413</v>
      </c>
      <c r="FH475" s="9" t="s">
        <v>415</v>
      </c>
      <c r="FI475" s="9" t="s">
        <v>413</v>
      </c>
      <c r="FJ475" s="9" t="s">
        <v>413</v>
      </c>
      <c r="FK475" s="9" t="s">
        <v>413</v>
      </c>
      <c r="FL475" s="9" t="s">
        <v>413</v>
      </c>
      <c r="FM475" s="9" t="s">
        <v>415</v>
      </c>
      <c r="FN475" s="9" t="s">
        <v>415</v>
      </c>
      <c r="FO475" s="9" t="s">
        <v>485</v>
      </c>
      <c r="FP475" s="9" t="s">
        <v>418</v>
      </c>
      <c r="FQ475" s="9" t="s">
        <v>1039</v>
      </c>
      <c r="FS475" s="9" t="s">
        <v>420</v>
      </c>
      <c r="FT475" s="9" t="s">
        <v>488</v>
      </c>
      <c r="FU475" s="9" t="s">
        <v>918</v>
      </c>
      <c r="FV475" s="9" t="s">
        <v>490</v>
      </c>
      <c r="FW475" s="9" t="s">
        <v>491</v>
      </c>
      <c r="FY475" s="9" t="s">
        <v>1020</v>
      </c>
      <c r="GB475" s="9" t="s">
        <v>408</v>
      </c>
      <c r="GJ475" s="9" t="s">
        <v>920</v>
      </c>
      <c r="GK475" s="9" t="s">
        <v>920</v>
      </c>
      <c r="GL475" s="9" t="s">
        <v>817</v>
      </c>
      <c r="GQ475" s="9" t="s">
        <v>4653</v>
      </c>
      <c r="GR475" s="9" t="s">
        <v>4774</v>
      </c>
      <c r="GV475" s="9" t="s">
        <v>5231</v>
      </c>
      <c r="GW475" s="9" t="s">
        <v>5232</v>
      </c>
      <c r="GX475" s="9" t="s">
        <v>7007</v>
      </c>
      <c r="GY475" s="9" t="s">
        <v>5233</v>
      </c>
      <c r="GZ475" s="9" t="s">
        <v>5234</v>
      </c>
      <c r="HA475" s="9" t="s">
        <v>5369</v>
      </c>
      <c r="HB475" s="9" t="s">
        <v>5370</v>
      </c>
      <c r="HO475" s="9" t="s">
        <v>5285</v>
      </c>
      <c r="HP475" s="9" t="s">
        <v>5302</v>
      </c>
      <c r="HQ475" s="9" t="s">
        <v>5238</v>
      </c>
      <c r="HR475" s="9" t="s">
        <v>5347</v>
      </c>
      <c r="MJ475" s="9" t="s">
        <v>6321</v>
      </c>
    </row>
    <row r="476" ht="22.5" customHeight="1">
      <c r="A476" s="8">
        <v>46118.83804181713</v>
      </c>
      <c r="B476" s="9" t="s">
        <v>368</v>
      </c>
      <c r="C476" s="9" t="s">
        <v>9320</v>
      </c>
      <c r="D476" s="9" t="s">
        <v>894</v>
      </c>
      <c r="G476" s="9" t="s">
        <v>422</v>
      </c>
      <c r="H476" s="9" t="s">
        <v>1307</v>
      </c>
      <c r="I476" s="9" t="s">
        <v>668</v>
      </c>
      <c r="J476" s="9" t="s">
        <v>375</v>
      </c>
      <c r="K476" s="9" t="s">
        <v>376</v>
      </c>
      <c r="L476" s="9" t="s">
        <v>379</v>
      </c>
      <c r="M476" s="9" t="s">
        <v>378</v>
      </c>
      <c r="N476" s="9" t="s">
        <v>379</v>
      </c>
      <c r="O476" s="9" t="s">
        <v>2097</v>
      </c>
      <c r="P476" s="9" t="s">
        <v>498</v>
      </c>
      <c r="Q476" s="9" t="s">
        <v>818</v>
      </c>
      <c r="R476" s="9" t="s">
        <v>427</v>
      </c>
      <c r="S476" s="9" t="s">
        <v>384</v>
      </c>
      <c r="T476" s="9" t="s">
        <v>385</v>
      </c>
      <c r="V476" s="9" t="s">
        <v>1241</v>
      </c>
      <c r="W476" s="9" t="s">
        <v>3231</v>
      </c>
      <c r="AV476" s="9" t="s">
        <v>390</v>
      </c>
      <c r="AW476" s="9" t="s">
        <v>391</v>
      </c>
      <c r="AX476" s="9">
        <v>2.0</v>
      </c>
      <c r="AY476" s="9">
        <v>4.0</v>
      </c>
      <c r="AZ476" s="9">
        <v>2.0</v>
      </c>
      <c r="BA476" s="9" t="s">
        <v>429</v>
      </c>
      <c r="BB476" s="9">
        <v>2.0</v>
      </c>
      <c r="BC476" s="9" t="s">
        <v>9321</v>
      </c>
      <c r="BD476" s="9" t="s">
        <v>9322</v>
      </c>
      <c r="BE476" s="9" t="s">
        <v>392</v>
      </c>
      <c r="BF476" s="9" t="s">
        <v>433</v>
      </c>
      <c r="BG476" s="9" t="s">
        <v>678</v>
      </c>
      <c r="BH476" s="9" t="s">
        <v>9323</v>
      </c>
      <c r="BI476" s="9" t="s">
        <v>435</v>
      </c>
      <c r="BJ476" s="9" t="s">
        <v>9324</v>
      </c>
      <c r="BK476" s="9" t="s">
        <v>437</v>
      </c>
      <c r="BL476" s="9" t="s">
        <v>438</v>
      </c>
      <c r="BM476" s="9" t="s">
        <v>439</v>
      </c>
      <c r="BN476" s="9" t="s">
        <v>513</v>
      </c>
      <c r="CL476" s="9" t="s">
        <v>441</v>
      </c>
      <c r="CM476" s="9" t="s">
        <v>442</v>
      </c>
      <c r="CN476" s="9" t="s">
        <v>9325</v>
      </c>
      <c r="CO476" s="9" t="s">
        <v>9326</v>
      </c>
      <c r="CP476" s="9" t="s">
        <v>1948</v>
      </c>
      <c r="CQ476" s="9" t="s">
        <v>5701</v>
      </c>
      <c r="CR476" s="9" t="s">
        <v>555</v>
      </c>
      <c r="CS476" s="9" t="s">
        <v>9327</v>
      </c>
      <c r="CT476" s="9" t="s">
        <v>9328</v>
      </c>
      <c r="CU476" s="9" t="s">
        <v>519</v>
      </c>
      <c r="CV476" s="9" t="s">
        <v>451</v>
      </c>
      <c r="CW476" s="9" t="s">
        <v>9329</v>
      </c>
      <c r="CX476" s="9" t="s">
        <v>455</v>
      </c>
      <c r="CY476" s="9" t="s">
        <v>9330</v>
      </c>
      <c r="CZ476" s="9" t="s">
        <v>453</v>
      </c>
      <c r="DA476" s="9" t="s">
        <v>9331</v>
      </c>
      <c r="DB476" s="9" t="s">
        <v>455</v>
      </c>
      <c r="DC476" s="9" t="s">
        <v>9332</v>
      </c>
      <c r="DD476" s="9" t="s">
        <v>988</v>
      </c>
      <c r="DF476" s="9" t="s">
        <v>9333</v>
      </c>
      <c r="DG476" s="9" t="s">
        <v>561</v>
      </c>
      <c r="DH476" s="9" t="s">
        <v>410</v>
      </c>
      <c r="DI476" s="9" t="s">
        <v>459</v>
      </c>
      <c r="DJ476" s="9" t="s">
        <v>562</v>
      </c>
      <c r="DK476" s="9" t="s">
        <v>6335</v>
      </c>
      <c r="ET476" s="9" t="s">
        <v>526</v>
      </c>
      <c r="EU476" s="9" t="s">
        <v>1127</v>
      </c>
      <c r="EV476" s="9" t="s">
        <v>580</v>
      </c>
      <c r="EX476" s="9" t="s">
        <v>9334</v>
      </c>
      <c r="EY476" s="9" t="s">
        <v>9335</v>
      </c>
      <c r="EZ476" s="9" t="s">
        <v>413</v>
      </c>
      <c r="FA476" s="9" t="s">
        <v>415</v>
      </c>
      <c r="FB476" s="9" t="s">
        <v>413</v>
      </c>
      <c r="FC476" s="9" t="s">
        <v>413</v>
      </c>
      <c r="FD476" s="9" t="s">
        <v>413</v>
      </c>
      <c r="FE476" s="9" t="s">
        <v>415</v>
      </c>
      <c r="FF476" s="9" t="s">
        <v>416</v>
      </c>
      <c r="FG476" s="9" t="s">
        <v>413</v>
      </c>
      <c r="FH476" s="9" t="s">
        <v>416</v>
      </c>
      <c r="FI476" s="9" t="s">
        <v>415</v>
      </c>
      <c r="FJ476" s="9" t="s">
        <v>415</v>
      </c>
      <c r="FK476" s="9" t="s">
        <v>415</v>
      </c>
      <c r="FL476" s="9" t="s">
        <v>415</v>
      </c>
      <c r="FM476" s="9" t="s">
        <v>416</v>
      </c>
      <c r="FN476" s="9" t="s">
        <v>415</v>
      </c>
      <c r="FO476" s="9" t="s">
        <v>485</v>
      </c>
      <c r="FP476" s="9" t="s">
        <v>418</v>
      </c>
      <c r="FQ476" s="9" t="s">
        <v>749</v>
      </c>
      <c r="FR476" s="9" t="s">
        <v>9336</v>
      </c>
      <c r="FS476" s="9" t="s">
        <v>420</v>
      </c>
      <c r="FT476" s="9" t="s">
        <v>488</v>
      </c>
      <c r="FU476" s="9" t="s">
        <v>918</v>
      </c>
      <c r="FV476" s="9" t="s">
        <v>490</v>
      </c>
      <c r="FW476" s="9" t="s">
        <v>491</v>
      </c>
      <c r="FX476" s="9" t="s">
        <v>9337</v>
      </c>
      <c r="FY476" s="9" t="s">
        <v>535</v>
      </c>
      <c r="FZ476" s="9" t="s">
        <v>9338</v>
      </c>
      <c r="GA476" s="9" t="s">
        <v>9339</v>
      </c>
      <c r="GB476" s="9" t="s">
        <v>455</v>
      </c>
      <c r="GC476" s="9"/>
      <c r="GE476" s="9" t="s">
        <v>753</v>
      </c>
      <c r="GF476" s="9" t="s">
        <v>9340</v>
      </c>
      <c r="GG476" s="9" t="s">
        <v>755</v>
      </c>
      <c r="GH476" s="9" t="s">
        <v>755</v>
      </c>
      <c r="GI476" s="9" t="s">
        <v>946</v>
      </c>
      <c r="GP476" s="9" t="s">
        <v>387</v>
      </c>
      <c r="GQ476" s="9" t="s">
        <v>3208</v>
      </c>
      <c r="GT476" s="9" t="s">
        <v>4774</v>
      </c>
      <c r="GV476" s="9" t="s">
        <v>5231</v>
      </c>
      <c r="GW476" s="9" t="s">
        <v>5232</v>
      </c>
      <c r="HC476" s="9" t="s">
        <v>6053</v>
      </c>
      <c r="HD476" s="9" t="s">
        <v>5349</v>
      </c>
      <c r="HE476" s="9" t="s">
        <v>5718</v>
      </c>
      <c r="HF476" s="9" t="s">
        <v>5768</v>
      </c>
      <c r="HO476" s="9" t="s">
        <v>5236</v>
      </c>
      <c r="HP476" s="9" t="s">
        <v>5719</v>
      </c>
      <c r="HQ476" s="9" t="s">
        <v>5238</v>
      </c>
      <c r="HR476" s="9" t="s">
        <v>5321</v>
      </c>
      <c r="HW476" s="9" t="s">
        <v>9341</v>
      </c>
      <c r="MJ476" s="9" t="s">
        <v>6321</v>
      </c>
    </row>
    <row r="477" ht="22.5" customHeight="1">
      <c r="A477" s="8">
        <v>46118.86745592592</v>
      </c>
      <c r="B477" s="9" t="s">
        <v>368</v>
      </c>
      <c r="C477" s="9" t="s">
        <v>894</v>
      </c>
      <c r="D477" s="9" t="s">
        <v>894</v>
      </c>
      <c r="G477" s="9" t="s">
        <v>422</v>
      </c>
      <c r="H477" s="9" t="s">
        <v>373</v>
      </c>
      <c r="I477" s="9" t="s">
        <v>638</v>
      </c>
      <c r="J477" s="9" t="s">
        <v>375</v>
      </c>
      <c r="K477" s="9" t="s">
        <v>376</v>
      </c>
      <c r="L477" s="9" t="s">
        <v>591</v>
      </c>
      <c r="M477" s="9" t="s">
        <v>720</v>
      </c>
      <c r="N477" s="9" t="s">
        <v>426</v>
      </c>
      <c r="O477" s="9" t="s">
        <v>2464</v>
      </c>
      <c r="P477" s="9" t="s">
        <v>592</v>
      </c>
      <c r="Q477" s="9" t="s">
        <v>382</v>
      </c>
      <c r="R477" s="9" t="s">
        <v>427</v>
      </c>
      <c r="S477" s="9" t="s">
        <v>384</v>
      </c>
      <c r="T477" s="9" t="s">
        <v>385</v>
      </c>
      <c r="U477" s="9" t="s">
        <v>1241</v>
      </c>
      <c r="V477" s="9" t="s">
        <v>1241</v>
      </c>
      <c r="W477" s="9" t="s">
        <v>3014</v>
      </c>
      <c r="AV477" s="9" t="s">
        <v>1242</v>
      </c>
      <c r="AW477" s="9" t="s">
        <v>675</v>
      </c>
      <c r="AX477" s="9" t="s">
        <v>675</v>
      </c>
      <c r="AY477" s="9">
        <v>4.0</v>
      </c>
      <c r="AZ477" s="9" t="s">
        <v>391</v>
      </c>
      <c r="BA477" s="9">
        <v>4.0</v>
      </c>
      <c r="BB477" s="9">
        <v>4.0</v>
      </c>
      <c r="BC477" s="9" t="s">
        <v>9342</v>
      </c>
      <c r="BD477" s="9" t="s">
        <v>9343</v>
      </c>
      <c r="BE477" s="9" t="s">
        <v>2379</v>
      </c>
      <c r="BF477" s="9" t="s">
        <v>1095</v>
      </c>
      <c r="BG477" s="9" t="s">
        <v>765</v>
      </c>
      <c r="BH477" s="9" t="s">
        <v>9344</v>
      </c>
      <c r="BI477" s="9" t="s">
        <v>824</v>
      </c>
      <c r="BJ477" s="9" t="s">
        <v>1211</v>
      </c>
      <c r="BK477" s="9" t="s">
        <v>437</v>
      </c>
      <c r="BL477" s="9" t="s">
        <v>396</v>
      </c>
      <c r="BM477" s="9" t="s">
        <v>1247</v>
      </c>
      <c r="BN477" s="9" t="s">
        <v>513</v>
      </c>
      <c r="CL477" s="9" t="s">
        <v>953</v>
      </c>
      <c r="CM477" s="9" t="s">
        <v>442</v>
      </c>
      <c r="CN477" s="9" t="s">
        <v>9345</v>
      </c>
      <c r="CO477" s="9" t="s">
        <v>9346</v>
      </c>
      <c r="CT477" s="9" t="s">
        <v>9347</v>
      </c>
      <c r="CU477" s="9" t="s">
        <v>1852</v>
      </c>
      <c r="CV477" s="9" t="s">
        <v>959</v>
      </c>
      <c r="CX477" s="9" t="s">
        <v>408</v>
      </c>
      <c r="CZ477" s="9" t="s">
        <v>1962</v>
      </c>
      <c r="DB477" s="9" t="s">
        <v>408</v>
      </c>
      <c r="DG477" s="9" t="s">
        <v>776</v>
      </c>
      <c r="DH477" s="9" t="s">
        <v>1964</v>
      </c>
      <c r="DI477" s="9" t="s">
        <v>963</v>
      </c>
      <c r="DJ477" s="9" t="s">
        <v>613</v>
      </c>
      <c r="ET477" s="9" t="s">
        <v>478</v>
      </c>
      <c r="EU477" s="9" t="s">
        <v>1127</v>
      </c>
      <c r="EV477" s="9" t="s">
        <v>1262</v>
      </c>
      <c r="EX477" s="9" t="s">
        <v>9348</v>
      </c>
      <c r="EZ477" s="9" t="s">
        <v>415</v>
      </c>
      <c r="FA477" s="9" t="s">
        <v>583</v>
      </c>
      <c r="FB477" s="9" t="s">
        <v>416</v>
      </c>
      <c r="FC477" s="9" t="s">
        <v>414</v>
      </c>
      <c r="FD477" s="9" t="s">
        <v>415</v>
      </c>
      <c r="FE477" s="9" t="s">
        <v>414</v>
      </c>
      <c r="FF477" s="9" t="s">
        <v>414</v>
      </c>
      <c r="FG477" s="9" t="s">
        <v>415</v>
      </c>
      <c r="FH477" s="9" t="s">
        <v>415</v>
      </c>
      <c r="FI477" s="9" t="s">
        <v>415</v>
      </c>
      <c r="FJ477" s="9" t="s">
        <v>415</v>
      </c>
      <c r="FK477" s="9" t="s">
        <v>414</v>
      </c>
      <c r="FL477" s="9" t="s">
        <v>414</v>
      </c>
      <c r="FM477" s="9" t="s">
        <v>416</v>
      </c>
      <c r="FN477" s="9" t="s">
        <v>414</v>
      </c>
      <c r="FO477" s="9" t="s">
        <v>1074</v>
      </c>
      <c r="FP477" s="9" t="s">
        <v>1200</v>
      </c>
      <c r="FQ477" s="9" t="s">
        <v>749</v>
      </c>
      <c r="FS477" s="9" t="s">
        <v>1871</v>
      </c>
      <c r="FT477" s="9" t="s">
        <v>421</v>
      </c>
      <c r="FU477" s="9" t="s">
        <v>918</v>
      </c>
      <c r="FV477" s="9" t="s">
        <v>2399</v>
      </c>
      <c r="FW477" s="9" t="s">
        <v>1853</v>
      </c>
      <c r="FX477" s="9" t="s">
        <v>9349</v>
      </c>
      <c r="FY477" s="9" t="s">
        <v>1854</v>
      </c>
      <c r="FZ477" s="9" t="s">
        <v>9350</v>
      </c>
      <c r="GB477" s="9" t="s">
        <v>455</v>
      </c>
      <c r="GC477" s="9"/>
      <c r="GE477" s="9" t="s">
        <v>753</v>
      </c>
      <c r="GG477" s="9" t="s">
        <v>755</v>
      </c>
      <c r="GH477" s="9" t="s">
        <v>755</v>
      </c>
      <c r="GI477" s="9" t="s">
        <v>756</v>
      </c>
      <c r="GQ477" s="9" t="s">
        <v>3208</v>
      </c>
      <c r="GT477" s="9" t="s">
        <v>4774</v>
      </c>
      <c r="GV477" s="9" t="s">
        <v>5231</v>
      </c>
      <c r="GW477" s="9" t="s">
        <v>5232</v>
      </c>
      <c r="HO477" s="9" t="s">
        <v>5383</v>
      </c>
      <c r="HP477" s="9" t="s">
        <v>5264</v>
      </c>
      <c r="HQ477" s="9" t="s">
        <v>5721</v>
      </c>
      <c r="HR477" s="9" t="s">
        <v>5287</v>
      </c>
      <c r="HS477" s="9" t="s">
        <v>5916</v>
      </c>
      <c r="HU477" s="9" t="s">
        <v>5988</v>
      </c>
      <c r="HV477" s="9" t="s">
        <v>8922</v>
      </c>
      <c r="HX477" s="9" t="s">
        <v>5920</v>
      </c>
      <c r="HY477" s="9" t="s">
        <v>5919</v>
      </c>
      <c r="HZ477" s="9" t="s">
        <v>5920</v>
      </c>
      <c r="IA477" s="9" t="s">
        <v>5920</v>
      </c>
      <c r="IB477" s="9" t="s">
        <v>5920</v>
      </c>
      <c r="IC477" s="9" t="s">
        <v>5922</v>
      </c>
      <c r="ID477" s="9" t="s">
        <v>5500</v>
      </c>
      <c r="IE477" s="9" t="s">
        <v>5500</v>
      </c>
      <c r="IF477" s="9" t="s">
        <v>5536</v>
      </c>
      <c r="IG477" s="9" t="s">
        <v>5537</v>
      </c>
      <c r="IH477" s="9" t="s">
        <v>5537</v>
      </c>
      <c r="II477" s="9" t="s">
        <v>5500</v>
      </c>
      <c r="IJ477" s="9" t="s">
        <v>9351</v>
      </c>
      <c r="IK477" s="9" t="s">
        <v>6523</v>
      </c>
      <c r="IL477" s="9" t="s">
        <v>9352</v>
      </c>
      <c r="MJ477" s="9" t="s">
        <v>6321</v>
      </c>
    </row>
    <row r="478" ht="22.5" customHeight="1">
      <c r="A478" s="8">
        <v>46118.88995810185</v>
      </c>
      <c r="B478" s="9" t="s">
        <v>368</v>
      </c>
      <c r="C478" s="9" t="s">
        <v>370</v>
      </c>
      <c r="D478" s="9" t="s">
        <v>370</v>
      </c>
      <c r="E478" s="9" t="s">
        <v>1421</v>
      </c>
      <c r="F478" s="9" t="s">
        <v>6014</v>
      </c>
      <c r="G478" s="9" t="s">
        <v>422</v>
      </c>
      <c r="H478" s="9" t="s">
        <v>637</v>
      </c>
      <c r="I478" s="9" t="s">
        <v>638</v>
      </c>
      <c r="J478" s="9" t="s">
        <v>375</v>
      </c>
      <c r="K478" s="9" t="s">
        <v>376</v>
      </c>
      <c r="L478" s="9" t="s">
        <v>379</v>
      </c>
      <c r="M478" s="9" t="s">
        <v>2464</v>
      </c>
      <c r="N478" s="9" t="s">
        <v>379</v>
      </c>
      <c r="O478" s="9" t="s">
        <v>2464</v>
      </c>
      <c r="P478" s="9" t="s">
        <v>498</v>
      </c>
      <c r="Q478" s="9" t="s">
        <v>862</v>
      </c>
      <c r="R478" s="9" t="s">
        <v>427</v>
      </c>
      <c r="S478" s="9" t="s">
        <v>1785</v>
      </c>
      <c r="T478" s="9" t="s">
        <v>1786</v>
      </c>
      <c r="ED478" s="9" t="s">
        <v>5662</v>
      </c>
      <c r="EH478" s="9" t="s">
        <v>7540</v>
      </c>
      <c r="EI478" s="9" t="s">
        <v>5664</v>
      </c>
      <c r="ER478" s="9" t="s">
        <v>9353</v>
      </c>
      <c r="ES478" s="9" t="s">
        <v>408</v>
      </c>
      <c r="ET478" s="9" t="s">
        <v>2747</v>
      </c>
      <c r="EU478" s="9" t="s">
        <v>887</v>
      </c>
      <c r="EV478" s="9" t="s">
        <v>480</v>
      </c>
      <c r="EX478" s="9" t="s">
        <v>9354</v>
      </c>
      <c r="EY478" s="9" t="s">
        <v>9355</v>
      </c>
      <c r="EZ478" s="9" t="s">
        <v>414</v>
      </c>
      <c r="FA478" s="9" t="s">
        <v>414</v>
      </c>
      <c r="FB478" s="9" t="s">
        <v>414</v>
      </c>
      <c r="FC478" s="9" t="s">
        <v>414</v>
      </c>
      <c r="FD478" s="9" t="s">
        <v>415</v>
      </c>
      <c r="FE478" s="9" t="s">
        <v>414</v>
      </c>
      <c r="FF478" s="9" t="s">
        <v>414</v>
      </c>
      <c r="FG478" s="9" t="s">
        <v>413</v>
      </c>
      <c r="FH478" s="9" t="s">
        <v>414</v>
      </c>
      <c r="FI478" s="9" t="s">
        <v>414</v>
      </c>
      <c r="FJ478" s="9" t="s">
        <v>414</v>
      </c>
      <c r="FK478" s="9" t="s">
        <v>413</v>
      </c>
      <c r="FL478" s="9" t="s">
        <v>413</v>
      </c>
      <c r="FM478" s="9" t="s">
        <v>413</v>
      </c>
      <c r="FN478" s="9" t="s">
        <v>414</v>
      </c>
      <c r="FO478" s="9" t="s">
        <v>417</v>
      </c>
      <c r="FP478" s="9" t="s">
        <v>418</v>
      </c>
      <c r="FQ478" s="9" t="s">
        <v>419</v>
      </c>
      <c r="GB478" s="11"/>
      <c r="GV478" s="9" t="s">
        <v>5231</v>
      </c>
      <c r="GW478" s="9" t="s">
        <v>5232</v>
      </c>
      <c r="HK478" s="9" t="s">
        <v>7765</v>
      </c>
      <c r="HL478" s="9" t="s">
        <v>5676</v>
      </c>
      <c r="HM478" s="9" t="s">
        <v>5735</v>
      </c>
      <c r="HN478" s="9" t="s">
        <v>5678</v>
      </c>
      <c r="JD478" s="9" t="s">
        <v>5679</v>
      </c>
      <c r="JG478" s="9" t="s">
        <v>5680</v>
      </c>
      <c r="JI478" s="9" t="s">
        <v>5231</v>
      </c>
      <c r="JJ478" s="9" t="s">
        <v>459</v>
      </c>
      <c r="JK478" s="9" t="s">
        <v>408</v>
      </c>
      <c r="JL478" s="9" t="s">
        <v>9356</v>
      </c>
      <c r="JN478" s="9" t="s">
        <v>6511</v>
      </c>
      <c r="JQ478" s="9" t="s">
        <v>5684</v>
      </c>
      <c r="JY478" s="9" t="s">
        <v>9357</v>
      </c>
      <c r="JZ478" s="9" t="s">
        <v>6513</v>
      </c>
      <c r="KA478" s="9" t="s">
        <v>6514</v>
      </c>
      <c r="KB478" s="9" t="s">
        <v>5687</v>
      </c>
      <c r="KC478" s="9" t="s">
        <v>9358</v>
      </c>
      <c r="KD478" s="9" t="s">
        <v>5689</v>
      </c>
      <c r="KE478" s="9" t="s">
        <v>9359</v>
      </c>
      <c r="KG478" s="9" t="s">
        <v>6517</v>
      </c>
      <c r="KM478" s="9" t="s">
        <v>6518</v>
      </c>
      <c r="KN478" s="9" t="s">
        <v>6519</v>
      </c>
      <c r="KO478" s="9" t="s">
        <v>4979</v>
      </c>
      <c r="MJ478" s="9" t="s">
        <v>6383</v>
      </c>
    </row>
    <row r="479" ht="22.5" customHeight="1">
      <c r="A479" s="8">
        <v>46118.906964062495</v>
      </c>
      <c r="B479" s="9" t="s">
        <v>368</v>
      </c>
      <c r="C479" s="9" t="s">
        <v>370</v>
      </c>
      <c r="D479" s="9" t="s">
        <v>370</v>
      </c>
      <c r="E479" s="9" t="s">
        <v>4114</v>
      </c>
      <c r="F479" s="9" t="s">
        <v>4114</v>
      </c>
      <c r="G479" s="9" t="s">
        <v>422</v>
      </c>
      <c r="H479" s="9" t="s">
        <v>373</v>
      </c>
      <c r="I479" s="9" t="s">
        <v>638</v>
      </c>
      <c r="J479" s="9" t="s">
        <v>375</v>
      </c>
      <c r="K479" s="9" t="s">
        <v>376</v>
      </c>
      <c r="L479" s="9" t="s">
        <v>379</v>
      </c>
      <c r="M479" s="9" t="s">
        <v>378</v>
      </c>
      <c r="N479" s="9" t="s">
        <v>426</v>
      </c>
      <c r="O479" s="9" t="s">
        <v>9360</v>
      </c>
      <c r="P479" s="9" t="s">
        <v>381</v>
      </c>
      <c r="Q479" s="9" t="s">
        <v>382</v>
      </c>
      <c r="R479" s="9" t="s">
        <v>3976</v>
      </c>
      <c r="S479" s="9" t="s">
        <v>384</v>
      </c>
      <c r="W479" s="9" t="s">
        <v>593</v>
      </c>
      <c r="X479" s="9" t="s">
        <v>387</v>
      </c>
      <c r="Y479" s="9" t="s">
        <v>594</v>
      </c>
      <c r="Z479" s="9" t="s">
        <v>502</v>
      </c>
      <c r="AA479" s="9" t="s">
        <v>9361</v>
      </c>
      <c r="AV479" s="9" t="s">
        <v>390</v>
      </c>
      <c r="AW479" s="9">
        <v>2.0</v>
      </c>
      <c r="AX479" s="9" t="s">
        <v>429</v>
      </c>
      <c r="AY479" s="9" t="s">
        <v>429</v>
      </c>
      <c r="AZ479" s="9" t="s">
        <v>429</v>
      </c>
      <c r="BA479" s="9" t="s">
        <v>429</v>
      </c>
      <c r="BB479" s="9" t="s">
        <v>429</v>
      </c>
      <c r="BC479" s="9" t="s">
        <v>9362</v>
      </c>
      <c r="BD479" s="9" t="s">
        <v>9363</v>
      </c>
      <c r="BE479" s="9" t="s">
        <v>392</v>
      </c>
      <c r="BF479" s="9" t="s">
        <v>433</v>
      </c>
      <c r="BG479" s="9" t="s">
        <v>678</v>
      </c>
      <c r="BH479" s="9" t="s">
        <v>9364</v>
      </c>
      <c r="BI479" s="9" t="s">
        <v>509</v>
      </c>
      <c r="BJ479" s="9" t="s">
        <v>9365</v>
      </c>
      <c r="BK479" s="9" t="s">
        <v>511</v>
      </c>
      <c r="BL479" s="9" t="s">
        <v>438</v>
      </c>
      <c r="BM479" s="9" t="s">
        <v>439</v>
      </c>
      <c r="BN479" s="9" t="s">
        <v>440</v>
      </c>
      <c r="CL479" s="9" t="s">
        <v>441</v>
      </c>
      <c r="CM479" s="9" t="s">
        <v>442</v>
      </c>
      <c r="CN479" s="9" t="s">
        <v>1315</v>
      </c>
      <c r="CO479" s="9" t="s">
        <v>9366</v>
      </c>
      <c r="CP479" s="9" t="s">
        <v>1008</v>
      </c>
      <c r="CQ479" s="9" t="s">
        <v>2317</v>
      </c>
      <c r="CR479" s="9" t="s">
        <v>447</v>
      </c>
      <c r="CS479" s="9" t="s">
        <v>805</v>
      </c>
      <c r="CT479" s="9" t="s">
        <v>9367</v>
      </c>
      <c r="CU479" s="9" t="s">
        <v>450</v>
      </c>
      <c r="CV479" s="9" t="s">
        <v>451</v>
      </c>
      <c r="CW479" s="9" t="s">
        <v>9368</v>
      </c>
      <c r="CX479" s="9" t="s">
        <v>408</v>
      </c>
      <c r="CZ479" s="9" t="s">
        <v>453</v>
      </c>
      <c r="DA479" s="9" t="s">
        <v>9369</v>
      </c>
      <c r="DB479" s="9" t="s">
        <v>455</v>
      </c>
      <c r="DC479" s="9" t="s">
        <v>9370</v>
      </c>
      <c r="DD479" s="9" t="s">
        <v>457</v>
      </c>
      <c r="DF479" s="9" t="s">
        <v>9371</v>
      </c>
      <c r="DG479" s="9" t="s">
        <v>524</v>
      </c>
      <c r="DH479" s="9" t="s">
        <v>410</v>
      </c>
      <c r="DI479" s="9" t="s">
        <v>459</v>
      </c>
      <c r="DJ479" s="9" t="s">
        <v>460</v>
      </c>
      <c r="DK479" s="9" t="s">
        <v>6335</v>
      </c>
      <c r="DM479" s="9" t="s">
        <v>9372</v>
      </c>
      <c r="DN479" s="9" t="s">
        <v>9373</v>
      </c>
      <c r="DO479" s="9" t="s">
        <v>567</v>
      </c>
      <c r="DP479" s="9" t="s">
        <v>9374</v>
      </c>
      <c r="DR479" s="9" t="s">
        <v>9375</v>
      </c>
      <c r="DS479" s="9" t="s">
        <v>468</v>
      </c>
      <c r="DT479" s="9" t="s">
        <v>703</v>
      </c>
      <c r="DU479" s="9" t="s">
        <v>9376</v>
      </c>
      <c r="DV479" s="9" t="s">
        <v>9377</v>
      </c>
      <c r="DW479" s="9" t="s">
        <v>622</v>
      </c>
      <c r="DX479" s="9" t="s">
        <v>9378</v>
      </c>
      <c r="DY479" s="9" t="s">
        <v>9379</v>
      </c>
      <c r="DZ479" s="9" t="s">
        <v>9380</v>
      </c>
      <c r="EA479" s="9" t="s">
        <v>475</v>
      </c>
      <c r="EB479" s="9" t="s">
        <v>845</v>
      </c>
      <c r="EC479" s="9" t="s">
        <v>9381</v>
      </c>
      <c r="ET479" s="9" t="s">
        <v>526</v>
      </c>
      <c r="EU479" s="9" t="s">
        <v>887</v>
      </c>
      <c r="EV479" s="9" t="s">
        <v>480</v>
      </c>
      <c r="EX479" s="9" t="s">
        <v>9382</v>
      </c>
      <c r="EY479" s="9" t="s">
        <v>9383</v>
      </c>
      <c r="EZ479" s="9" t="s">
        <v>416</v>
      </c>
      <c r="FA479" s="9" t="s">
        <v>415</v>
      </c>
      <c r="FB479" s="9" t="s">
        <v>413</v>
      </c>
      <c r="FC479" s="9" t="s">
        <v>413</v>
      </c>
      <c r="FD479" s="9" t="s">
        <v>413</v>
      </c>
      <c r="FE479" s="9" t="s">
        <v>415</v>
      </c>
      <c r="FF479" s="9" t="s">
        <v>413</v>
      </c>
      <c r="FG479" s="9" t="s">
        <v>413</v>
      </c>
      <c r="FH479" s="9" t="s">
        <v>583</v>
      </c>
      <c r="FI479" s="9" t="s">
        <v>415</v>
      </c>
      <c r="FJ479" s="9" t="s">
        <v>416</v>
      </c>
      <c r="FK479" s="9" t="s">
        <v>415</v>
      </c>
      <c r="FL479" s="9" t="s">
        <v>415</v>
      </c>
      <c r="FM479" s="9" t="s">
        <v>413</v>
      </c>
      <c r="FN479" s="9" t="s">
        <v>583</v>
      </c>
      <c r="FO479" s="9" t="s">
        <v>417</v>
      </c>
      <c r="FP479" s="9" t="s">
        <v>418</v>
      </c>
      <c r="FQ479" s="9" t="s">
        <v>749</v>
      </c>
      <c r="FR479" s="9" t="s">
        <v>9384</v>
      </c>
      <c r="FS479" s="9" t="s">
        <v>420</v>
      </c>
      <c r="FT479" s="9" t="s">
        <v>488</v>
      </c>
      <c r="FU479" s="9" t="s">
        <v>489</v>
      </c>
      <c r="FV479" s="9" t="s">
        <v>490</v>
      </c>
      <c r="FW479" s="9" t="s">
        <v>491</v>
      </c>
      <c r="FX479" s="9" t="s">
        <v>9385</v>
      </c>
      <c r="FY479" s="9" t="s">
        <v>535</v>
      </c>
      <c r="FZ479" s="9" t="s">
        <v>9386</v>
      </c>
      <c r="GB479" s="9" t="s">
        <v>455</v>
      </c>
      <c r="GC479" s="9"/>
      <c r="GD479" s="9"/>
      <c r="GE479" s="9" t="s">
        <v>1339</v>
      </c>
      <c r="GF479" s="9" t="s">
        <v>9387</v>
      </c>
      <c r="GG479" s="9" t="s">
        <v>755</v>
      </c>
      <c r="GH479" s="9" t="s">
        <v>755</v>
      </c>
      <c r="GI479" s="9" t="s">
        <v>756</v>
      </c>
      <c r="GM479" s="9" t="s">
        <v>1079</v>
      </c>
      <c r="GQ479" s="9" t="s">
        <v>3208</v>
      </c>
      <c r="GT479" s="9" t="s">
        <v>5170</v>
      </c>
      <c r="GU479" s="9" t="s">
        <v>9388</v>
      </c>
      <c r="GV479" s="9" t="s">
        <v>5231</v>
      </c>
      <c r="GW479" s="9" t="s">
        <v>5232</v>
      </c>
      <c r="HC479" s="9" t="s">
        <v>5297</v>
      </c>
      <c r="HD479" s="9" t="s">
        <v>5349</v>
      </c>
      <c r="HE479" s="9" t="s">
        <v>5320</v>
      </c>
      <c r="HF479" s="9" t="s">
        <v>5899</v>
      </c>
      <c r="HG479" s="9" t="s">
        <v>9389</v>
      </c>
      <c r="HH479" s="9" t="s">
        <v>6242</v>
      </c>
      <c r="HI479" s="9" t="s">
        <v>9390</v>
      </c>
      <c r="HJ479" s="9" t="s">
        <v>9391</v>
      </c>
      <c r="HO479" s="9" t="s">
        <v>5346</v>
      </c>
      <c r="HP479" s="9" t="s">
        <v>5719</v>
      </c>
      <c r="HQ479" s="9" t="s">
        <v>5238</v>
      </c>
      <c r="HR479" s="9" t="s">
        <v>9392</v>
      </c>
      <c r="HW479" s="9" t="s">
        <v>5628</v>
      </c>
      <c r="IN479" s="9" t="s">
        <v>5500</v>
      </c>
      <c r="IO479" s="9" t="s">
        <v>5536</v>
      </c>
      <c r="IP479" s="9" t="s">
        <v>5500</v>
      </c>
      <c r="IQ479" s="9" t="s">
        <v>5500</v>
      </c>
      <c r="IR479" s="9" t="s">
        <v>5536</v>
      </c>
      <c r="IS479" s="9" t="s">
        <v>5536</v>
      </c>
      <c r="MJ479" s="9" t="s">
        <v>6321</v>
      </c>
    </row>
    <row r="480" ht="22.5" customHeight="1">
      <c r="A480" s="8">
        <v>46118.943060694444</v>
      </c>
      <c r="B480" s="9" t="s">
        <v>368</v>
      </c>
      <c r="C480" s="9" t="s">
        <v>370</v>
      </c>
      <c r="D480" s="9" t="s">
        <v>370</v>
      </c>
      <c r="E480" s="9" t="s">
        <v>1510</v>
      </c>
      <c r="F480" s="9" t="s">
        <v>2708</v>
      </c>
      <c r="G480" s="9" t="s">
        <v>422</v>
      </c>
      <c r="H480" s="9" t="s">
        <v>496</v>
      </c>
      <c r="I480" s="9" t="s">
        <v>2578</v>
      </c>
      <c r="J480" s="9" t="s">
        <v>375</v>
      </c>
      <c r="K480" s="9" t="s">
        <v>376</v>
      </c>
      <c r="L480" s="9" t="s">
        <v>426</v>
      </c>
      <c r="M480" s="9" t="s">
        <v>2966</v>
      </c>
      <c r="N480" s="9" t="s">
        <v>591</v>
      </c>
      <c r="O480" s="9" t="s">
        <v>7274</v>
      </c>
      <c r="P480" s="9" t="s">
        <v>498</v>
      </c>
      <c r="Q480" s="9" t="s">
        <v>818</v>
      </c>
      <c r="R480" s="9" t="s">
        <v>500</v>
      </c>
      <c r="S480" s="9" t="s">
        <v>384</v>
      </c>
      <c r="T480" s="9" t="s">
        <v>385</v>
      </c>
      <c r="W480" s="9" t="s">
        <v>3014</v>
      </c>
      <c r="AV480" s="9" t="s">
        <v>390</v>
      </c>
      <c r="AW480" s="9">
        <v>2.0</v>
      </c>
      <c r="AX480" s="9">
        <v>2.0</v>
      </c>
      <c r="AY480" s="9">
        <v>2.0</v>
      </c>
      <c r="AZ480" s="9" t="s">
        <v>429</v>
      </c>
      <c r="BA480" s="9" t="s">
        <v>391</v>
      </c>
      <c r="BB480" s="9">
        <v>2.0</v>
      </c>
      <c r="BC480" s="9" t="s">
        <v>9393</v>
      </c>
      <c r="BD480" s="9" t="s">
        <v>9394</v>
      </c>
      <c r="BE480" s="9" t="s">
        <v>902</v>
      </c>
      <c r="BF480" s="9" t="s">
        <v>433</v>
      </c>
      <c r="BG480" s="9" t="s">
        <v>434</v>
      </c>
      <c r="BH480" s="9" t="s">
        <v>9395</v>
      </c>
      <c r="BI480" s="9" t="s">
        <v>435</v>
      </c>
      <c r="BJ480" s="9" t="s">
        <v>9396</v>
      </c>
      <c r="BK480" s="9" t="s">
        <v>511</v>
      </c>
      <c r="BL480" s="9" t="s">
        <v>438</v>
      </c>
      <c r="BM480" s="9" t="s">
        <v>397</v>
      </c>
      <c r="BN480" s="9" t="s">
        <v>440</v>
      </c>
      <c r="CL480" s="9" t="s">
        <v>441</v>
      </c>
      <c r="CM480" s="9" t="s">
        <v>401</v>
      </c>
      <c r="CN480" s="9" t="s">
        <v>9397</v>
      </c>
      <c r="CO480" s="9" t="s">
        <v>9398</v>
      </c>
      <c r="CP480" s="9" t="s">
        <v>979</v>
      </c>
      <c r="CQ480" s="9" t="s">
        <v>2519</v>
      </c>
      <c r="CR480" s="9" t="s">
        <v>447</v>
      </c>
      <c r="CS480" s="9" t="s">
        <v>9255</v>
      </c>
      <c r="CT480" s="9" t="s">
        <v>9399</v>
      </c>
      <c r="CU480" s="9" t="s">
        <v>519</v>
      </c>
      <c r="CV480" s="9" t="s">
        <v>451</v>
      </c>
      <c r="CW480" s="9" t="s">
        <v>9400</v>
      </c>
      <c r="CX480" s="9" t="s">
        <v>408</v>
      </c>
      <c r="CZ480" s="9" t="s">
        <v>453</v>
      </c>
      <c r="DA480" s="9" t="s">
        <v>9401</v>
      </c>
      <c r="DB480" s="9" t="s">
        <v>408</v>
      </c>
      <c r="DD480" s="9" t="s">
        <v>988</v>
      </c>
      <c r="DE480" s="9" t="s">
        <v>1368</v>
      </c>
      <c r="DF480" s="9" t="s">
        <v>9402</v>
      </c>
      <c r="DG480" s="9" t="s">
        <v>561</v>
      </c>
      <c r="DH480" s="9" t="s">
        <v>1220</v>
      </c>
      <c r="DI480" s="9" t="s">
        <v>459</v>
      </c>
      <c r="DJ480" s="9" t="s">
        <v>460</v>
      </c>
      <c r="DK480" s="9" t="s">
        <v>6335</v>
      </c>
      <c r="DM480" s="9" t="s">
        <v>9403</v>
      </c>
      <c r="DN480" s="9" t="s">
        <v>9404</v>
      </c>
      <c r="DO480" s="9" t="s">
        <v>567</v>
      </c>
      <c r="DP480" s="9" t="s">
        <v>9405</v>
      </c>
      <c r="DQ480" s="9" t="s">
        <v>1291</v>
      </c>
      <c r="DR480" s="9" t="s">
        <v>9406</v>
      </c>
      <c r="DS480" s="9" t="s">
        <v>702</v>
      </c>
      <c r="DT480" s="9" t="s">
        <v>740</v>
      </c>
      <c r="DU480" s="9" t="s">
        <v>9407</v>
      </c>
      <c r="DV480" s="9" t="s">
        <v>9408</v>
      </c>
      <c r="DW480" s="9" t="s">
        <v>573</v>
      </c>
      <c r="DX480" s="9" t="s">
        <v>9409</v>
      </c>
      <c r="DY480" s="9" t="s">
        <v>9410</v>
      </c>
      <c r="DZ480" s="9" t="s">
        <v>9411</v>
      </c>
      <c r="EA480" s="9" t="s">
        <v>475</v>
      </c>
      <c r="EB480" s="9" t="s">
        <v>5337</v>
      </c>
      <c r="EC480" s="9" t="s">
        <v>9412</v>
      </c>
      <c r="ET480" s="9" t="s">
        <v>526</v>
      </c>
      <c r="EU480" s="9" t="s">
        <v>479</v>
      </c>
      <c r="EV480" s="9" t="s">
        <v>480</v>
      </c>
      <c r="EX480" s="9" t="s">
        <v>9413</v>
      </c>
      <c r="EY480" s="9" t="s">
        <v>9414</v>
      </c>
      <c r="EZ480" s="9" t="s">
        <v>413</v>
      </c>
      <c r="FA480" s="9" t="s">
        <v>413</v>
      </c>
      <c r="FB480" s="9" t="s">
        <v>416</v>
      </c>
      <c r="FC480" s="9" t="s">
        <v>416</v>
      </c>
      <c r="FD480" s="9" t="s">
        <v>415</v>
      </c>
      <c r="FE480" s="9" t="s">
        <v>413</v>
      </c>
      <c r="FF480" s="9" t="s">
        <v>415</v>
      </c>
      <c r="FG480" s="9" t="s">
        <v>416</v>
      </c>
      <c r="FH480" s="9" t="s">
        <v>583</v>
      </c>
      <c r="FI480" s="9" t="s">
        <v>413</v>
      </c>
      <c r="FJ480" s="9" t="s">
        <v>416</v>
      </c>
      <c r="FK480" s="9" t="s">
        <v>416</v>
      </c>
      <c r="FL480" s="9" t="s">
        <v>416</v>
      </c>
      <c r="FM480" s="9" t="s">
        <v>415</v>
      </c>
      <c r="FN480" s="9" t="s">
        <v>413</v>
      </c>
      <c r="FO480" s="9" t="s">
        <v>417</v>
      </c>
      <c r="FP480" s="9" t="s">
        <v>418</v>
      </c>
      <c r="FQ480" s="9" t="s">
        <v>419</v>
      </c>
      <c r="FR480" s="9" t="s">
        <v>9415</v>
      </c>
      <c r="FS480" s="9" t="s">
        <v>420</v>
      </c>
      <c r="FT480" s="9" t="s">
        <v>488</v>
      </c>
      <c r="FU480" s="9" t="s">
        <v>489</v>
      </c>
      <c r="FV480" s="9" t="s">
        <v>490</v>
      </c>
      <c r="FW480" s="9" t="s">
        <v>491</v>
      </c>
      <c r="FX480" s="9" t="s">
        <v>9416</v>
      </c>
      <c r="FY480" s="9" t="s">
        <v>1020</v>
      </c>
      <c r="FZ480" s="9" t="s">
        <v>9417</v>
      </c>
      <c r="GB480" s="9" t="s">
        <v>455</v>
      </c>
      <c r="GC480" s="9"/>
      <c r="GE480" s="9" t="s">
        <v>1339</v>
      </c>
      <c r="GF480" s="9" t="s">
        <v>9418</v>
      </c>
      <c r="GG480" s="9" t="s">
        <v>1000</v>
      </c>
      <c r="GH480" s="9" t="s">
        <v>755</v>
      </c>
      <c r="GI480" s="9" t="s">
        <v>946</v>
      </c>
      <c r="GM480" s="9" t="s">
        <v>1079</v>
      </c>
      <c r="GQ480" s="9" t="s">
        <v>3208</v>
      </c>
      <c r="GT480" s="9" t="s">
        <v>5081</v>
      </c>
      <c r="GU480" s="9" t="s">
        <v>9419</v>
      </c>
      <c r="GV480" s="9" t="s">
        <v>5231</v>
      </c>
      <c r="GW480" s="9" t="s">
        <v>5232</v>
      </c>
      <c r="HC480" s="9" t="s">
        <v>5297</v>
      </c>
      <c r="HD480" s="9" t="s">
        <v>5349</v>
      </c>
      <c r="HE480" s="9" t="s">
        <v>5320</v>
      </c>
      <c r="HF480" s="9" t="s">
        <v>5493</v>
      </c>
      <c r="HG480" s="9" t="s">
        <v>9420</v>
      </c>
      <c r="HH480" s="9" t="s">
        <v>5495</v>
      </c>
      <c r="HI480" s="9" t="s">
        <v>9421</v>
      </c>
      <c r="HJ480" s="9" t="s">
        <v>9422</v>
      </c>
      <c r="HO480" s="9" t="s">
        <v>5236</v>
      </c>
      <c r="HP480" s="9" t="s">
        <v>5264</v>
      </c>
      <c r="HQ480" s="9" t="s">
        <v>5238</v>
      </c>
      <c r="HR480" s="9" t="s">
        <v>5321</v>
      </c>
      <c r="IN480" s="9" t="s">
        <v>5536</v>
      </c>
      <c r="IO480" s="9" t="s">
        <v>5537</v>
      </c>
      <c r="IP480" s="9" t="s">
        <v>5500</v>
      </c>
      <c r="IQ480" s="9" t="s">
        <v>5500</v>
      </c>
      <c r="IR480" s="9" t="s">
        <v>5536</v>
      </c>
      <c r="IS480" s="9" t="s">
        <v>5536</v>
      </c>
      <c r="MJ480" s="9" t="s">
        <v>6321</v>
      </c>
    </row>
    <row r="481" ht="22.5" customHeight="1">
      <c r="A481" s="8">
        <v>46119.198328576385</v>
      </c>
      <c r="B481" s="9" t="s">
        <v>368</v>
      </c>
      <c r="C481" s="9" t="s">
        <v>538</v>
      </c>
      <c r="D481" s="9" t="s">
        <v>538</v>
      </c>
      <c r="G481" s="9" t="s">
        <v>422</v>
      </c>
      <c r="H481" s="9" t="s">
        <v>539</v>
      </c>
      <c r="I481" s="9" t="s">
        <v>424</v>
      </c>
      <c r="J481" s="9" t="s">
        <v>375</v>
      </c>
      <c r="K481" s="9" t="s">
        <v>376</v>
      </c>
      <c r="L481" s="9" t="s">
        <v>379</v>
      </c>
      <c r="M481" s="9" t="s">
        <v>541</v>
      </c>
      <c r="N481" s="9" t="s">
        <v>377</v>
      </c>
      <c r="O481" s="9" t="s">
        <v>719</v>
      </c>
      <c r="P481" s="9" t="s">
        <v>592</v>
      </c>
      <c r="Q481" s="9" t="s">
        <v>759</v>
      </c>
      <c r="R481" s="9" t="s">
        <v>500</v>
      </c>
      <c r="S481" s="9" t="s">
        <v>384</v>
      </c>
      <c r="T481" s="9" t="s">
        <v>385</v>
      </c>
      <c r="W481" s="9" t="s">
        <v>3014</v>
      </c>
      <c r="AV481" s="9" t="s">
        <v>504</v>
      </c>
      <c r="AW481" s="9" t="s">
        <v>391</v>
      </c>
      <c r="AX481" s="9" t="s">
        <v>429</v>
      </c>
      <c r="AY481" s="9" t="s">
        <v>391</v>
      </c>
      <c r="AZ481" s="9" t="s">
        <v>429</v>
      </c>
      <c r="BA481" s="9">
        <v>2.0</v>
      </c>
      <c r="BB481" s="9">
        <v>2.0</v>
      </c>
      <c r="BC481" s="9" t="s">
        <v>9423</v>
      </c>
      <c r="BD481" s="9" t="s">
        <v>9424</v>
      </c>
      <c r="BE481" s="9" t="s">
        <v>432</v>
      </c>
      <c r="BF481" s="9" t="s">
        <v>433</v>
      </c>
      <c r="BG481" s="9" t="s">
        <v>725</v>
      </c>
      <c r="BI481" s="9" t="s">
        <v>435</v>
      </c>
      <c r="BJ481" s="9" t="s">
        <v>9425</v>
      </c>
      <c r="BK481" s="9" t="s">
        <v>511</v>
      </c>
      <c r="BL481" s="9" t="s">
        <v>512</v>
      </c>
      <c r="BM481" s="9" t="s">
        <v>439</v>
      </c>
      <c r="BN481" s="9" t="s">
        <v>513</v>
      </c>
      <c r="CL481" s="9" t="s">
        <v>441</v>
      </c>
      <c r="CM481" s="9" t="s">
        <v>604</v>
      </c>
      <c r="CN481" s="9" t="s">
        <v>9426</v>
      </c>
      <c r="CO481" s="9" t="s">
        <v>9427</v>
      </c>
      <c r="CP481" s="9" t="s">
        <v>685</v>
      </c>
      <c r="CQ481" s="9" t="s">
        <v>9428</v>
      </c>
      <c r="CR481" s="9" t="s">
        <v>804</v>
      </c>
      <c r="CS481" s="9" t="s">
        <v>1346</v>
      </c>
      <c r="CT481" s="9" t="s">
        <v>9429</v>
      </c>
      <c r="CU481" s="9" t="s">
        <v>450</v>
      </c>
      <c r="CV481" s="9" t="s">
        <v>451</v>
      </c>
      <c r="CW481" s="9" t="s">
        <v>9430</v>
      </c>
      <c r="CX481" s="9" t="s">
        <v>408</v>
      </c>
      <c r="CZ481" s="9" t="s">
        <v>453</v>
      </c>
      <c r="DA481" s="9" t="s">
        <v>9431</v>
      </c>
      <c r="DB481" s="9" t="s">
        <v>408</v>
      </c>
      <c r="DD481" s="9" t="s">
        <v>457</v>
      </c>
      <c r="DF481" s="9" t="s">
        <v>9432</v>
      </c>
      <c r="DG481" s="9" t="s">
        <v>524</v>
      </c>
      <c r="DH481" s="9" t="s">
        <v>410</v>
      </c>
      <c r="DI481" s="9" t="s">
        <v>963</v>
      </c>
      <c r="DJ481" s="9" t="s">
        <v>613</v>
      </c>
      <c r="ET481" s="9" t="s">
        <v>578</v>
      </c>
      <c r="EU481" s="9" t="s">
        <v>579</v>
      </c>
      <c r="EV481" s="9" t="s">
        <v>580</v>
      </c>
      <c r="EX481" s="9" t="s">
        <v>9433</v>
      </c>
      <c r="EY481" s="9" t="s">
        <v>9434</v>
      </c>
      <c r="EZ481" s="9" t="s">
        <v>413</v>
      </c>
      <c r="FA481" s="9" t="s">
        <v>416</v>
      </c>
      <c r="FB481" s="9" t="s">
        <v>413</v>
      </c>
      <c r="FC481" s="9" t="s">
        <v>413</v>
      </c>
      <c r="FD481" s="9" t="s">
        <v>413</v>
      </c>
      <c r="FE481" s="9" t="s">
        <v>416</v>
      </c>
      <c r="FF481" s="9" t="s">
        <v>413</v>
      </c>
      <c r="FG481" s="9" t="s">
        <v>413</v>
      </c>
      <c r="FH481" s="9" t="s">
        <v>413</v>
      </c>
      <c r="FI481" s="9" t="s">
        <v>413</v>
      </c>
      <c r="FJ481" s="9" t="s">
        <v>413</v>
      </c>
      <c r="FK481" s="9" t="s">
        <v>415</v>
      </c>
      <c r="FL481" s="9" t="s">
        <v>415</v>
      </c>
      <c r="FM481" s="9" t="s">
        <v>415</v>
      </c>
      <c r="FN481" s="9" t="s">
        <v>415</v>
      </c>
      <c r="FO481" s="9" t="s">
        <v>485</v>
      </c>
      <c r="FP481" s="9" t="s">
        <v>418</v>
      </c>
      <c r="FQ481" s="9" t="s">
        <v>531</v>
      </c>
      <c r="FR481" s="9" t="s">
        <v>9435</v>
      </c>
      <c r="FS481" s="9" t="s">
        <v>420</v>
      </c>
      <c r="FT481" s="9" t="s">
        <v>488</v>
      </c>
      <c r="FU481" s="9" t="s">
        <v>1235</v>
      </c>
      <c r="FV481" s="9" t="s">
        <v>490</v>
      </c>
      <c r="FW481" s="9" t="s">
        <v>491</v>
      </c>
      <c r="FX481" s="9" t="s">
        <v>9436</v>
      </c>
      <c r="FY481" s="9" t="s">
        <v>535</v>
      </c>
      <c r="GB481" s="9" t="s">
        <v>408</v>
      </c>
      <c r="GG481" s="9" t="s">
        <v>788</v>
      </c>
      <c r="GH481" s="9" t="s">
        <v>1000</v>
      </c>
      <c r="GI481" s="9" t="s">
        <v>756</v>
      </c>
      <c r="GN481" s="9" t="s">
        <v>5368</v>
      </c>
      <c r="GO481" s="9" t="s">
        <v>5368</v>
      </c>
      <c r="GQ481" s="9" t="s">
        <v>3208</v>
      </c>
      <c r="GT481" s="9" t="s">
        <v>4774</v>
      </c>
      <c r="GV481" s="9" t="s">
        <v>5231</v>
      </c>
      <c r="GW481" s="9" t="s">
        <v>5232</v>
      </c>
      <c r="HC481" s="9" t="s">
        <v>5281</v>
      </c>
      <c r="HD481" s="9" t="s">
        <v>5349</v>
      </c>
      <c r="HE481" s="9" t="s">
        <v>5283</v>
      </c>
      <c r="HF481" s="9" t="s">
        <v>5493</v>
      </c>
      <c r="HO481" s="9" t="s">
        <v>5236</v>
      </c>
      <c r="HP481" s="9" t="s">
        <v>5264</v>
      </c>
      <c r="HQ481" s="9" t="s">
        <v>5238</v>
      </c>
      <c r="HR481" s="9" t="s">
        <v>5321</v>
      </c>
      <c r="HW481" s="9" t="s">
        <v>5597</v>
      </c>
      <c r="MJ481" s="9" t="s">
        <v>6321</v>
      </c>
    </row>
    <row r="482" ht="22.5" customHeight="1">
      <c r="A482" s="8">
        <v>46119.33508711806</v>
      </c>
      <c r="B482" s="9" t="s">
        <v>368</v>
      </c>
      <c r="C482" s="9" t="s">
        <v>370</v>
      </c>
      <c r="D482" s="9" t="s">
        <v>370</v>
      </c>
      <c r="E482" s="9" t="s">
        <v>1510</v>
      </c>
      <c r="F482" s="9" t="s">
        <v>1510</v>
      </c>
      <c r="G482" s="9" t="s">
        <v>422</v>
      </c>
      <c r="H482" s="9" t="s">
        <v>539</v>
      </c>
      <c r="I482" s="9" t="s">
        <v>424</v>
      </c>
      <c r="J482" s="9" t="s">
        <v>375</v>
      </c>
      <c r="K482" s="9" t="s">
        <v>376</v>
      </c>
      <c r="L482" s="9" t="s">
        <v>426</v>
      </c>
      <c r="M482" s="9" t="s">
        <v>497</v>
      </c>
      <c r="N482" s="9" t="s">
        <v>426</v>
      </c>
      <c r="O482" s="9" t="s">
        <v>719</v>
      </c>
      <c r="P482" s="9" t="s">
        <v>592</v>
      </c>
      <c r="Q482" s="9" t="s">
        <v>382</v>
      </c>
      <c r="R482" s="9" t="s">
        <v>427</v>
      </c>
      <c r="S482" s="9" t="s">
        <v>384</v>
      </c>
      <c r="T482" s="9" t="s">
        <v>385</v>
      </c>
      <c r="W482" s="9" t="s">
        <v>3231</v>
      </c>
      <c r="AV482" s="9" t="s">
        <v>597</v>
      </c>
      <c r="AW482" s="9">
        <v>4.0</v>
      </c>
      <c r="AX482" s="9" t="s">
        <v>391</v>
      </c>
      <c r="AY482" s="9">
        <v>2.0</v>
      </c>
      <c r="AZ482" s="9">
        <v>2.0</v>
      </c>
      <c r="BA482" s="9" t="s">
        <v>429</v>
      </c>
      <c r="BB482" s="9">
        <v>2.0</v>
      </c>
      <c r="BC482" s="9" t="s">
        <v>9437</v>
      </c>
      <c r="BD482" s="9" t="s">
        <v>9438</v>
      </c>
      <c r="BE482" s="9" t="s">
        <v>432</v>
      </c>
      <c r="BF482" s="9" t="s">
        <v>393</v>
      </c>
      <c r="BG482" s="9" t="s">
        <v>678</v>
      </c>
      <c r="BI482" s="9" t="s">
        <v>435</v>
      </c>
      <c r="BJ482" s="9" t="s">
        <v>9439</v>
      </c>
      <c r="BK482" s="9" t="s">
        <v>395</v>
      </c>
      <c r="BL482" s="9" t="s">
        <v>512</v>
      </c>
      <c r="BM482" s="9" t="s">
        <v>397</v>
      </c>
      <c r="BN482" s="9" t="s">
        <v>513</v>
      </c>
      <c r="CL482" s="9" t="s">
        <v>953</v>
      </c>
      <c r="CM482" s="9" t="s">
        <v>401</v>
      </c>
      <c r="CN482" s="9" t="s">
        <v>552</v>
      </c>
      <c r="CO482" s="9" t="s">
        <v>9440</v>
      </c>
      <c r="CT482" s="9" t="s">
        <v>9441</v>
      </c>
      <c r="CU482" s="9" t="s">
        <v>519</v>
      </c>
      <c r="CV482" s="9" t="s">
        <v>451</v>
      </c>
      <c r="CW482" s="9" t="s">
        <v>9442</v>
      </c>
      <c r="CX482" s="9" t="s">
        <v>733</v>
      </c>
      <c r="CZ482" s="9" t="s">
        <v>453</v>
      </c>
      <c r="DA482" s="9" t="s">
        <v>9443</v>
      </c>
      <c r="DB482" s="9" t="s">
        <v>408</v>
      </c>
      <c r="DG482" s="9" t="s">
        <v>561</v>
      </c>
      <c r="DH482" s="9" t="s">
        <v>410</v>
      </c>
      <c r="DI482" s="9" t="s">
        <v>963</v>
      </c>
      <c r="DJ482" s="9" t="s">
        <v>460</v>
      </c>
      <c r="DK482" s="9" t="s">
        <v>6335</v>
      </c>
      <c r="ET482" s="9" t="s">
        <v>526</v>
      </c>
      <c r="EU482" s="9" t="s">
        <v>479</v>
      </c>
      <c r="EV482" s="9" t="s">
        <v>580</v>
      </c>
      <c r="EW482" s="9" t="s">
        <v>9444</v>
      </c>
      <c r="EX482" s="9" t="s">
        <v>9445</v>
      </c>
      <c r="EY482" s="9" t="s">
        <v>9446</v>
      </c>
      <c r="EZ482" s="9" t="s">
        <v>583</v>
      </c>
      <c r="FA482" s="9" t="s">
        <v>583</v>
      </c>
      <c r="FB482" s="9" t="s">
        <v>414</v>
      </c>
      <c r="FC482" s="9" t="s">
        <v>583</v>
      </c>
      <c r="FD482" s="9" t="s">
        <v>413</v>
      </c>
      <c r="FE482" s="9" t="s">
        <v>583</v>
      </c>
      <c r="FF482" s="9" t="s">
        <v>413</v>
      </c>
      <c r="FI482" s="9" t="s">
        <v>414</v>
      </c>
      <c r="FL482" s="9" t="s">
        <v>484</v>
      </c>
      <c r="FM482" s="9" t="s">
        <v>413</v>
      </c>
      <c r="FO482" s="9" t="s">
        <v>485</v>
      </c>
      <c r="FP482" s="9" t="s">
        <v>418</v>
      </c>
      <c r="FQ482" s="9" t="s">
        <v>630</v>
      </c>
      <c r="FR482" s="9" t="s">
        <v>9447</v>
      </c>
      <c r="FS482" s="9" t="s">
        <v>420</v>
      </c>
      <c r="FT482" s="9" t="s">
        <v>488</v>
      </c>
      <c r="FU482" s="9" t="s">
        <v>533</v>
      </c>
      <c r="FV482" s="9" t="s">
        <v>490</v>
      </c>
      <c r="FW482" s="9" t="s">
        <v>491</v>
      </c>
      <c r="FX482" s="9" t="s">
        <v>9448</v>
      </c>
      <c r="FY482" s="9" t="s">
        <v>535</v>
      </c>
      <c r="GB482" s="9" t="s">
        <v>455</v>
      </c>
      <c r="GC482" s="9"/>
      <c r="GE482" s="9" t="s">
        <v>753</v>
      </c>
      <c r="GG482" s="9" t="s">
        <v>920</v>
      </c>
      <c r="GH482" s="9" t="s">
        <v>920</v>
      </c>
      <c r="GI482" s="9" t="s">
        <v>756</v>
      </c>
      <c r="GP482" s="9" t="s">
        <v>387</v>
      </c>
      <c r="GQ482" s="9" t="s">
        <v>3208</v>
      </c>
      <c r="GT482" s="9" t="s">
        <v>5170</v>
      </c>
      <c r="GV482" s="9" t="s">
        <v>5231</v>
      </c>
      <c r="GW482" s="9" t="s">
        <v>5232</v>
      </c>
      <c r="HO482" s="9" t="s">
        <v>5236</v>
      </c>
      <c r="HP482" s="9" t="s">
        <v>5719</v>
      </c>
      <c r="HQ482" s="9" t="s">
        <v>5238</v>
      </c>
      <c r="HR482" s="9" t="s">
        <v>9449</v>
      </c>
      <c r="MJ482" s="9" t="s">
        <v>6321</v>
      </c>
    </row>
    <row r="483" ht="22.5" customHeight="1">
      <c r="A483" s="8">
        <v>46119.630449895834</v>
      </c>
      <c r="B483" s="9" t="s">
        <v>368</v>
      </c>
      <c r="C483" s="9" t="s">
        <v>894</v>
      </c>
      <c r="D483" s="9" t="s">
        <v>894</v>
      </c>
      <c r="G483" s="9" t="s">
        <v>422</v>
      </c>
      <c r="H483" s="9" t="s">
        <v>637</v>
      </c>
      <c r="I483" s="9" t="s">
        <v>638</v>
      </c>
      <c r="J483" s="9" t="s">
        <v>590</v>
      </c>
      <c r="K483" s="9" t="s">
        <v>376</v>
      </c>
      <c r="L483" s="9" t="s">
        <v>793</v>
      </c>
      <c r="M483" s="9" t="s">
        <v>639</v>
      </c>
      <c r="N483" s="9" t="s">
        <v>591</v>
      </c>
      <c r="O483" s="9" t="s">
        <v>671</v>
      </c>
      <c r="P483" s="9" t="s">
        <v>592</v>
      </c>
      <c r="Q483" s="9" t="s">
        <v>759</v>
      </c>
      <c r="R483" s="9" t="s">
        <v>500</v>
      </c>
      <c r="S483" s="9" t="s">
        <v>384</v>
      </c>
      <c r="T483" s="9" t="s">
        <v>385</v>
      </c>
      <c r="U483" s="9" t="s">
        <v>896</v>
      </c>
      <c r="V483" s="9" t="s">
        <v>896</v>
      </c>
      <c r="W483" s="9" t="s">
        <v>386</v>
      </c>
      <c r="X483" s="9" t="s">
        <v>1706</v>
      </c>
      <c r="AC483" s="9" t="s">
        <v>2967</v>
      </c>
      <c r="AD483" s="9" t="s">
        <v>2968</v>
      </c>
      <c r="AE483" s="9" t="s">
        <v>455</v>
      </c>
      <c r="AF483" s="9" t="s">
        <v>9450</v>
      </c>
      <c r="AG483" s="9">
        <v>5.0</v>
      </c>
      <c r="AH483" s="9" t="s">
        <v>647</v>
      </c>
      <c r="AK483" s="9" t="s">
        <v>396</v>
      </c>
      <c r="AV483" s="9" t="s">
        <v>390</v>
      </c>
      <c r="AW483" s="9">
        <v>2.0</v>
      </c>
      <c r="AX483" s="9" t="s">
        <v>429</v>
      </c>
      <c r="AY483" s="9" t="s">
        <v>391</v>
      </c>
      <c r="AZ483" s="9" t="s">
        <v>429</v>
      </c>
      <c r="BA483" s="9" t="s">
        <v>429</v>
      </c>
      <c r="BB483" s="9" t="s">
        <v>429</v>
      </c>
      <c r="BC483" s="9" t="s">
        <v>9451</v>
      </c>
      <c r="BD483" s="9" t="s">
        <v>9451</v>
      </c>
      <c r="BE483" s="9" t="s">
        <v>392</v>
      </c>
      <c r="BF483" s="9" t="s">
        <v>433</v>
      </c>
      <c r="BG483" s="9" t="s">
        <v>394</v>
      </c>
      <c r="BH483" s="9" t="s">
        <v>9451</v>
      </c>
      <c r="BI483" s="9" t="s">
        <v>509</v>
      </c>
      <c r="BJ483" s="9" t="s">
        <v>9451</v>
      </c>
      <c r="BK483" s="9" t="s">
        <v>681</v>
      </c>
      <c r="BL483" s="9" t="s">
        <v>512</v>
      </c>
      <c r="BM483" s="9" t="s">
        <v>439</v>
      </c>
      <c r="BN483" s="9" t="s">
        <v>440</v>
      </c>
      <c r="CL483" s="9" t="s">
        <v>441</v>
      </c>
      <c r="CM483" s="9" t="s">
        <v>401</v>
      </c>
      <c r="CN483" s="9" t="s">
        <v>9452</v>
      </c>
      <c r="CP483" s="9" t="s">
        <v>979</v>
      </c>
      <c r="CQ483" s="9" t="s">
        <v>9453</v>
      </c>
      <c r="CR483" s="9" t="s">
        <v>447</v>
      </c>
      <c r="CS483" s="9" t="s">
        <v>1147</v>
      </c>
      <c r="CU483" s="9" t="s">
        <v>519</v>
      </c>
      <c r="CV483" s="9" t="s">
        <v>451</v>
      </c>
      <c r="CX483" s="9" t="s">
        <v>408</v>
      </c>
      <c r="CZ483" s="9" t="s">
        <v>453</v>
      </c>
      <c r="DB483" s="9" t="s">
        <v>455</v>
      </c>
      <c r="DD483" s="9" t="s">
        <v>988</v>
      </c>
      <c r="DG483" s="9" t="s">
        <v>561</v>
      </c>
      <c r="DH483" s="9" t="s">
        <v>833</v>
      </c>
      <c r="DI483" s="9" t="s">
        <v>459</v>
      </c>
      <c r="DJ483" s="9" t="s">
        <v>460</v>
      </c>
      <c r="DK483" s="9" t="s">
        <v>6335</v>
      </c>
      <c r="DM483" s="9" t="s">
        <v>9454</v>
      </c>
      <c r="DN483" s="9" t="s">
        <v>9455</v>
      </c>
      <c r="DO483" s="9" t="s">
        <v>464</v>
      </c>
      <c r="DQ483" s="9" t="s">
        <v>700</v>
      </c>
      <c r="DS483" s="9" t="s">
        <v>702</v>
      </c>
      <c r="DT483" s="9" t="s">
        <v>3611</v>
      </c>
      <c r="DW483" s="9" t="s">
        <v>573</v>
      </c>
      <c r="EA483" s="9" t="s">
        <v>475</v>
      </c>
      <c r="EB483" s="9" t="s">
        <v>476</v>
      </c>
      <c r="ET483" s="9" t="s">
        <v>526</v>
      </c>
      <c r="EU483" s="9" t="s">
        <v>479</v>
      </c>
      <c r="EV483" s="9" t="s">
        <v>1534</v>
      </c>
      <c r="EZ483" s="9" t="s">
        <v>413</v>
      </c>
      <c r="FA483" s="9" t="s">
        <v>414</v>
      </c>
      <c r="FB483" s="9" t="s">
        <v>413</v>
      </c>
      <c r="FC483" s="9" t="s">
        <v>413</v>
      </c>
      <c r="FD483" s="9" t="s">
        <v>413</v>
      </c>
      <c r="FE483" s="9" t="s">
        <v>413</v>
      </c>
      <c r="FF483" s="9" t="s">
        <v>413</v>
      </c>
      <c r="FG483" s="9" t="s">
        <v>413</v>
      </c>
      <c r="FH483" s="9" t="s">
        <v>413</v>
      </c>
      <c r="FI483" s="9" t="s">
        <v>414</v>
      </c>
      <c r="FJ483" s="9" t="s">
        <v>413</v>
      </c>
      <c r="FK483" s="9" t="s">
        <v>413</v>
      </c>
      <c r="FL483" s="9" t="s">
        <v>413</v>
      </c>
      <c r="FM483" s="9" t="s">
        <v>415</v>
      </c>
      <c r="FN483" s="9" t="s">
        <v>414</v>
      </c>
      <c r="FO483" s="9" t="s">
        <v>417</v>
      </c>
      <c r="FP483" s="9" t="s">
        <v>418</v>
      </c>
      <c r="FQ483" s="9" t="s">
        <v>749</v>
      </c>
      <c r="FS483" s="9" t="s">
        <v>420</v>
      </c>
      <c r="FT483" s="9" t="s">
        <v>488</v>
      </c>
      <c r="FU483" s="9" t="s">
        <v>918</v>
      </c>
      <c r="FV483" s="9" t="s">
        <v>490</v>
      </c>
      <c r="FW483" s="9" t="s">
        <v>491</v>
      </c>
      <c r="FY483" s="9" t="s">
        <v>535</v>
      </c>
      <c r="GB483" s="9" t="s">
        <v>408</v>
      </c>
      <c r="GG483" s="9" t="s">
        <v>755</v>
      </c>
      <c r="GH483" s="9" t="s">
        <v>755</v>
      </c>
      <c r="GI483" s="9" t="s">
        <v>946</v>
      </c>
      <c r="GM483" s="9" t="s">
        <v>1079</v>
      </c>
      <c r="GQ483" s="9" t="s">
        <v>5015</v>
      </c>
      <c r="GT483" s="9" t="s">
        <v>5170</v>
      </c>
      <c r="GV483" s="9" t="s">
        <v>5260</v>
      </c>
      <c r="GW483" s="9" t="s">
        <v>5261</v>
      </c>
      <c r="HC483" s="9" t="s">
        <v>5297</v>
      </c>
      <c r="HD483" s="9" t="s">
        <v>5298</v>
      </c>
      <c r="HE483" s="9" t="s">
        <v>5299</v>
      </c>
      <c r="HF483" s="9" t="s">
        <v>5899</v>
      </c>
      <c r="HH483" s="9" t="s">
        <v>6242</v>
      </c>
      <c r="HO483" s="9" t="s">
        <v>5346</v>
      </c>
      <c r="HP483" s="9" t="s">
        <v>5719</v>
      </c>
      <c r="HQ483" s="9" t="s">
        <v>5238</v>
      </c>
      <c r="HR483" s="9" t="s">
        <v>5321</v>
      </c>
      <c r="HW483" s="9" t="s">
        <v>5971</v>
      </c>
      <c r="IN483" s="9" t="s">
        <v>5536</v>
      </c>
      <c r="IO483" s="9" t="s">
        <v>5537</v>
      </c>
      <c r="IP483" s="9" t="s">
        <v>5536</v>
      </c>
      <c r="IQ483" s="9" t="s">
        <v>5537</v>
      </c>
      <c r="IR483" s="9" t="s">
        <v>5537</v>
      </c>
      <c r="IS483" s="9" t="s">
        <v>5537</v>
      </c>
      <c r="MJ483" s="9" t="s">
        <v>6321</v>
      </c>
    </row>
    <row r="484" ht="22.5" customHeight="1">
      <c r="A484" s="8">
        <v>46119.99882837963</v>
      </c>
      <c r="B484" s="9" t="s">
        <v>368</v>
      </c>
      <c r="C484" s="9" t="s">
        <v>1201</v>
      </c>
      <c r="D484" s="9" t="s">
        <v>1201</v>
      </c>
      <c r="G484" s="9" t="s">
        <v>422</v>
      </c>
      <c r="H484" s="9" t="s">
        <v>423</v>
      </c>
      <c r="I484" s="9" t="s">
        <v>424</v>
      </c>
      <c r="J484" s="9" t="s">
        <v>375</v>
      </c>
      <c r="K484" s="9" t="s">
        <v>376</v>
      </c>
      <c r="L484" s="9" t="s">
        <v>591</v>
      </c>
      <c r="M484" s="9" t="s">
        <v>639</v>
      </c>
      <c r="N484" s="9" t="s">
        <v>426</v>
      </c>
      <c r="O484" s="9" t="s">
        <v>719</v>
      </c>
      <c r="P484" s="9" t="s">
        <v>498</v>
      </c>
      <c r="Q484" s="9" t="s">
        <v>382</v>
      </c>
      <c r="R484" s="9" t="s">
        <v>427</v>
      </c>
      <c r="S484" s="9" t="s">
        <v>384</v>
      </c>
      <c r="T484" s="9" t="s">
        <v>385</v>
      </c>
      <c r="W484" s="9" t="s">
        <v>3231</v>
      </c>
      <c r="AV484" s="9" t="s">
        <v>1242</v>
      </c>
      <c r="AW484" s="9" t="s">
        <v>675</v>
      </c>
      <c r="AX484" s="9" t="s">
        <v>675</v>
      </c>
      <c r="AY484" s="9" t="s">
        <v>675</v>
      </c>
      <c r="AZ484" s="9" t="s">
        <v>675</v>
      </c>
      <c r="BA484" s="9" t="s">
        <v>675</v>
      </c>
      <c r="BB484" s="9" t="s">
        <v>675</v>
      </c>
      <c r="BE484" s="9" t="s">
        <v>902</v>
      </c>
      <c r="BF484" s="9" t="s">
        <v>1095</v>
      </c>
      <c r="BG484" s="9" t="s">
        <v>725</v>
      </c>
      <c r="BI484" s="9" t="s">
        <v>976</v>
      </c>
      <c r="BK484" s="9" t="s">
        <v>602</v>
      </c>
      <c r="BL484" s="9" t="s">
        <v>438</v>
      </c>
      <c r="BM484" s="9" t="s">
        <v>1247</v>
      </c>
      <c r="BN484" s="9" t="s">
        <v>398</v>
      </c>
      <c r="BO484" s="9" t="s">
        <v>9456</v>
      </c>
      <c r="BP484" s="9" t="s">
        <v>9457</v>
      </c>
      <c r="BQ484" s="9" t="s">
        <v>442</v>
      </c>
      <c r="BR484" s="9" t="s">
        <v>9458</v>
      </c>
      <c r="BS484" s="9" t="s">
        <v>1671</v>
      </c>
      <c r="BT484" s="9" t="s">
        <v>1771</v>
      </c>
      <c r="BU484" s="9" t="s">
        <v>405</v>
      </c>
      <c r="BW484" s="9" t="s">
        <v>988</v>
      </c>
      <c r="BY484" s="9" t="s">
        <v>408</v>
      </c>
      <c r="CA484" s="9" t="s">
        <v>9459</v>
      </c>
      <c r="CB484" s="9" t="s">
        <v>9460</v>
      </c>
      <c r="CC484" s="9" t="s">
        <v>9461</v>
      </c>
      <c r="CD484" s="9" t="s">
        <v>409</v>
      </c>
      <c r="CE484" s="9" t="s">
        <v>9462</v>
      </c>
      <c r="CF484" s="9" t="s">
        <v>1258</v>
      </c>
      <c r="CH484" s="9" t="s">
        <v>1259</v>
      </c>
      <c r="CI484" s="9" t="s">
        <v>410</v>
      </c>
      <c r="CJ484" s="9" t="s">
        <v>9463</v>
      </c>
      <c r="CK484" s="9" t="s">
        <v>9464</v>
      </c>
      <c r="DI484" s="9" t="s">
        <v>963</v>
      </c>
      <c r="DJ484" s="9" t="s">
        <v>613</v>
      </c>
      <c r="ET484" s="9" t="s">
        <v>526</v>
      </c>
      <c r="EU484" s="9" t="s">
        <v>887</v>
      </c>
      <c r="EV484" s="9" t="s">
        <v>480</v>
      </c>
      <c r="EX484" s="9" t="s">
        <v>9465</v>
      </c>
      <c r="EY484" s="9" t="s">
        <v>9466</v>
      </c>
      <c r="EZ484" s="9" t="s">
        <v>415</v>
      </c>
      <c r="FA484" s="9" t="s">
        <v>415</v>
      </c>
      <c r="FB484" s="9" t="s">
        <v>413</v>
      </c>
      <c r="FC484" s="9" t="s">
        <v>413</v>
      </c>
      <c r="FD484" s="9" t="s">
        <v>413</v>
      </c>
      <c r="FE484" s="9" t="s">
        <v>415</v>
      </c>
      <c r="FF484" s="9" t="s">
        <v>413</v>
      </c>
      <c r="FG484" s="9" t="s">
        <v>413</v>
      </c>
      <c r="FH484" s="9" t="s">
        <v>415</v>
      </c>
      <c r="FI484" s="9" t="s">
        <v>413</v>
      </c>
      <c r="FJ484" s="9" t="s">
        <v>415</v>
      </c>
      <c r="FK484" s="9" t="s">
        <v>415</v>
      </c>
      <c r="FL484" s="9" t="s">
        <v>415</v>
      </c>
      <c r="FM484" s="9" t="s">
        <v>413</v>
      </c>
      <c r="FN484" s="9" t="s">
        <v>414</v>
      </c>
      <c r="FO484" s="9" t="s">
        <v>850</v>
      </c>
      <c r="FP484" s="9" t="s">
        <v>418</v>
      </c>
      <c r="FQ484" s="9" t="s">
        <v>749</v>
      </c>
      <c r="FR484" s="9" t="s">
        <v>9467</v>
      </c>
      <c r="FS484" s="9" t="s">
        <v>420</v>
      </c>
      <c r="FT484" s="9" t="s">
        <v>488</v>
      </c>
      <c r="FU484" s="9" t="s">
        <v>918</v>
      </c>
      <c r="FV484" s="9" t="s">
        <v>490</v>
      </c>
      <c r="FW484" s="9" t="s">
        <v>491</v>
      </c>
      <c r="FX484" s="9" t="s">
        <v>9468</v>
      </c>
      <c r="FY484" s="9" t="s">
        <v>535</v>
      </c>
      <c r="GB484" s="9" t="s">
        <v>408</v>
      </c>
      <c r="GJ484" s="9" t="s">
        <v>755</v>
      </c>
      <c r="GK484" s="9" t="s">
        <v>755</v>
      </c>
      <c r="GL484" s="9" t="s">
        <v>946</v>
      </c>
      <c r="GP484" s="9" t="s">
        <v>387</v>
      </c>
      <c r="GQ484" s="9" t="s">
        <v>3208</v>
      </c>
      <c r="GR484" s="9" t="s">
        <v>5039</v>
      </c>
      <c r="GS484" s="9" t="s">
        <v>9469</v>
      </c>
      <c r="GV484" s="9" t="s">
        <v>5231</v>
      </c>
      <c r="GW484" s="9" t="s">
        <v>5232</v>
      </c>
      <c r="GX484" s="9" t="s">
        <v>7007</v>
      </c>
      <c r="GY484" s="9" t="s">
        <v>9470</v>
      </c>
      <c r="GZ484" s="9" t="s">
        <v>484</v>
      </c>
      <c r="HA484" s="9" t="s">
        <v>5437</v>
      </c>
      <c r="HB484" s="9" t="s">
        <v>5370</v>
      </c>
      <c r="HO484" s="9" t="s">
        <v>5236</v>
      </c>
      <c r="HP484" s="9" t="s">
        <v>5237</v>
      </c>
      <c r="HQ484" s="9" t="s">
        <v>5238</v>
      </c>
      <c r="HR484" s="9" t="s">
        <v>5239</v>
      </c>
      <c r="MJ484" s="9" t="s">
        <v>6321</v>
      </c>
    </row>
    <row r="485" ht="22.5" customHeight="1">
      <c r="A485" s="8">
        <v>46120.45189376158</v>
      </c>
      <c r="B485" s="9" t="s">
        <v>368</v>
      </c>
      <c r="C485" s="9" t="s">
        <v>1341</v>
      </c>
      <c r="D485" s="9" t="s">
        <v>1341</v>
      </c>
      <c r="G485" s="9" t="s">
        <v>422</v>
      </c>
      <c r="H485" s="9" t="s">
        <v>1921</v>
      </c>
      <c r="I485" s="9" t="s">
        <v>668</v>
      </c>
      <c r="J485" s="9" t="s">
        <v>375</v>
      </c>
      <c r="K485" s="9" t="s">
        <v>376</v>
      </c>
      <c r="L485" s="9" t="s">
        <v>1526</v>
      </c>
      <c r="M485" s="9" t="s">
        <v>378</v>
      </c>
      <c r="N485" s="9" t="s">
        <v>377</v>
      </c>
      <c r="O485" s="9" t="s">
        <v>497</v>
      </c>
      <c r="P485" s="9" t="s">
        <v>381</v>
      </c>
      <c r="Q485" s="9" t="s">
        <v>382</v>
      </c>
      <c r="R485" s="9" t="s">
        <v>427</v>
      </c>
      <c r="S485" s="9" t="s">
        <v>384</v>
      </c>
      <c r="T485" s="9" t="s">
        <v>385</v>
      </c>
      <c r="W485" s="9" t="s">
        <v>386</v>
      </c>
      <c r="X485" s="9" t="s">
        <v>387</v>
      </c>
      <c r="Y485" s="9" t="s">
        <v>388</v>
      </c>
      <c r="Z485" s="9" t="s">
        <v>543</v>
      </c>
      <c r="AA485" s="9" t="s">
        <v>9471</v>
      </c>
      <c r="AV485" s="9" t="s">
        <v>1242</v>
      </c>
      <c r="AW485" s="9" t="s">
        <v>675</v>
      </c>
      <c r="AX485" s="9">
        <v>4.0</v>
      </c>
      <c r="AY485" s="9">
        <v>4.0</v>
      </c>
      <c r="AZ485" s="9">
        <v>4.0</v>
      </c>
      <c r="BA485" s="9">
        <v>4.0</v>
      </c>
      <c r="BB485" s="9">
        <v>4.0</v>
      </c>
      <c r="BC485" s="9" t="s">
        <v>9472</v>
      </c>
      <c r="BE485" s="9" t="s">
        <v>902</v>
      </c>
      <c r="BF485" s="9" t="s">
        <v>1047</v>
      </c>
      <c r="BG485" s="9" t="s">
        <v>725</v>
      </c>
      <c r="BI485" s="9" t="s">
        <v>976</v>
      </c>
      <c r="BK485" s="9" t="s">
        <v>395</v>
      </c>
      <c r="BL485" s="9" t="s">
        <v>603</v>
      </c>
      <c r="BM485" s="9" t="s">
        <v>1314</v>
      </c>
      <c r="BN485" s="9" t="s">
        <v>513</v>
      </c>
      <c r="CL485" s="9" t="s">
        <v>682</v>
      </c>
      <c r="CM485" s="9" t="s">
        <v>401</v>
      </c>
      <c r="CN485" s="9" t="s">
        <v>9473</v>
      </c>
      <c r="CO485" s="9" t="s">
        <v>9474</v>
      </c>
      <c r="CT485" s="9" t="s">
        <v>9475</v>
      </c>
      <c r="CU485" s="9" t="s">
        <v>1852</v>
      </c>
      <c r="CV485" s="9" t="s">
        <v>959</v>
      </c>
      <c r="CX485" s="9" t="s">
        <v>408</v>
      </c>
      <c r="CZ485" s="9" t="s">
        <v>1962</v>
      </c>
      <c r="DB485" s="9" t="s">
        <v>408</v>
      </c>
      <c r="DG485" s="9" t="s">
        <v>990</v>
      </c>
      <c r="DH485" s="9" t="s">
        <v>410</v>
      </c>
      <c r="DI485" s="9" t="s">
        <v>777</v>
      </c>
      <c r="DJ485" s="9" t="s">
        <v>613</v>
      </c>
      <c r="ET485" s="9" t="s">
        <v>578</v>
      </c>
      <c r="EU485" s="9" t="s">
        <v>579</v>
      </c>
      <c r="EV485" s="9" t="s">
        <v>527</v>
      </c>
      <c r="EW485" s="9" t="s">
        <v>9476</v>
      </c>
      <c r="EX485" s="9" t="s">
        <v>9477</v>
      </c>
      <c r="EY485" s="9" t="s">
        <v>9478</v>
      </c>
      <c r="EZ485" s="9" t="s">
        <v>583</v>
      </c>
      <c r="FA485" s="9" t="s">
        <v>583</v>
      </c>
      <c r="FB485" s="9" t="s">
        <v>415</v>
      </c>
      <c r="FC485" s="9" t="s">
        <v>583</v>
      </c>
      <c r="FD485" s="9" t="s">
        <v>415</v>
      </c>
      <c r="FE485" s="9" t="s">
        <v>414</v>
      </c>
      <c r="FF485" s="9" t="s">
        <v>583</v>
      </c>
      <c r="FG485" s="9" t="s">
        <v>414</v>
      </c>
      <c r="FH485" s="9" t="s">
        <v>416</v>
      </c>
      <c r="FI485" s="9" t="s">
        <v>416</v>
      </c>
      <c r="FJ485" s="9" t="s">
        <v>416</v>
      </c>
      <c r="FK485" s="9" t="s">
        <v>414</v>
      </c>
      <c r="FL485" s="9" t="s">
        <v>414</v>
      </c>
      <c r="FM485" s="9" t="s">
        <v>414</v>
      </c>
      <c r="FN485" s="9" t="s">
        <v>416</v>
      </c>
      <c r="FO485" s="9" t="s">
        <v>1537</v>
      </c>
      <c r="FP485" s="9" t="s">
        <v>2524</v>
      </c>
      <c r="FQ485" s="9" t="s">
        <v>749</v>
      </c>
      <c r="FR485" s="9" t="s">
        <v>9479</v>
      </c>
      <c r="FS485" s="9" t="s">
        <v>1871</v>
      </c>
      <c r="FT485" s="9" t="s">
        <v>421</v>
      </c>
      <c r="FU485" s="9" t="s">
        <v>1235</v>
      </c>
      <c r="FV485" s="9" t="s">
        <v>2399</v>
      </c>
      <c r="FW485" s="9" t="s">
        <v>1853</v>
      </c>
      <c r="FY485" s="9" t="s">
        <v>1854</v>
      </c>
      <c r="FZ485" s="9" t="s">
        <v>9480</v>
      </c>
      <c r="GB485" s="9" t="s">
        <v>455</v>
      </c>
      <c r="GC485" s="9"/>
      <c r="GE485" s="9" t="s">
        <v>1420</v>
      </c>
      <c r="GG485" s="9" t="s">
        <v>755</v>
      </c>
      <c r="GH485" s="9" t="s">
        <v>755</v>
      </c>
      <c r="GI485" s="9" t="s">
        <v>946</v>
      </c>
      <c r="GO485" s="9" t="s">
        <v>3220</v>
      </c>
      <c r="GQ485" s="9" t="s">
        <v>3208</v>
      </c>
      <c r="GT485" s="9" t="s">
        <v>4774</v>
      </c>
      <c r="GV485" s="9" t="s">
        <v>5260</v>
      </c>
      <c r="GW485" s="9" t="s">
        <v>5261</v>
      </c>
      <c r="HO485" s="9" t="s">
        <v>5383</v>
      </c>
      <c r="HP485" s="9" t="s">
        <v>5302</v>
      </c>
      <c r="HQ485" s="9" t="s">
        <v>5721</v>
      </c>
      <c r="HR485" s="9" t="s">
        <v>5287</v>
      </c>
      <c r="HS485" s="9" t="s">
        <v>5987</v>
      </c>
      <c r="HU485" s="9" t="s">
        <v>5917</v>
      </c>
      <c r="HV485" s="9" t="s">
        <v>5918</v>
      </c>
      <c r="HX485" s="9" t="s">
        <v>5919</v>
      </c>
      <c r="HY485" s="9" t="s">
        <v>5919</v>
      </c>
      <c r="HZ485" s="9" t="s">
        <v>5920</v>
      </c>
      <c r="IA485" s="9" t="s">
        <v>5920</v>
      </c>
      <c r="IB485" s="9" t="s">
        <v>5920</v>
      </c>
      <c r="IC485" s="9" t="s">
        <v>5919</v>
      </c>
      <c r="ID485" s="9" t="s">
        <v>5500</v>
      </c>
      <c r="IE485" s="9" t="s">
        <v>5536</v>
      </c>
      <c r="IF485" s="9" t="s">
        <v>5500</v>
      </c>
      <c r="IG485" s="9" t="s">
        <v>5537</v>
      </c>
      <c r="IH485" s="9" t="s">
        <v>5537</v>
      </c>
      <c r="II485" s="9" t="s">
        <v>5500</v>
      </c>
      <c r="IJ485" s="9" t="s">
        <v>9481</v>
      </c>
      <c r="IK485" s="9" t="s">
        <v>5924</v>
      </c>
      <c r="IL485" s="9" t="s">
        <v>9482</v>
      </c>
      <c r="IM485" s="9" t="s">
        <v>9483</v>
      </c>
      <c r="MJ485" s="9" t="s">
        <v>6321</v>
      </c>
    </row>
    <row r="486" ht="22.5" customHeight="1">
      <c r="A486" s="8">
        <v>46121.04974232639</v>
      </c>
      <c r="B486" s="9" t="s">
        <v>368</v>
      </c>
      <c r="C486" s="9" t="s">
        <v>370</v>
      </c>
      <c r="D486" s="9" t="s">
        <v>370</v>
      </c>
      <c r="E486" s="9" t="s">
        <v>2708</v>
      </c>
      <c r="F486" s="9" t="s">
        <v>1899</v>
      </c>
      <c r="G486" s="9" t="s">
        <v>422</v>
      </c>
      <c r="H486" s="9" t="s">
        <v>423</v>
      </c>
      <c r="I486" s="9" t="s">
        <v>424</v>
      </c>
      <c r="J486" s="9" t="s">
        <v>425</v>
      </c>
      <c r="K486" s="9" t="s">
        <v>376</v>
      </c>
      <c r="L486" s="9" t="s">
        <v>426</v>
      </c>
      <c r="M486" s="9" t="s">
        <v>9484</v>
      </c>
      <c r="N486" s="9" t="s">
        <v>591</v>
      </c>
      <c r="O486" s="9" t="s">
        <v>2579</v>
      </c>
      <c r="P486" s="9" t="s">
        <v>381</v>
      </c>
      <c r="Q486" s="9" t="s">
        <v>862</v>
      </c>
      <c r="R486" s="9" t="s">
        <v>9485</v>
      </c>
      <c r="S486" s="9" t="s">
        <v>1705</v>
      </c>
      <c r="T486" s="9" t="s">
        <v>385</v>
      </c>
      <c r="W486" s="9" t="s">
        <v>3014</v>
      </c>
      <c r="AV486" s="9" t="s">
        <v>1310</v>
      </c>
      <c r="AW486" s="9">
        <v>4.0</v>
      </c>
      <c r="AX486" s="9" t="s">
        <v>675</v>
      </c>
      <c r="AY486" s="9" t="s">
        <v>675</v>
      </c>
      <c r="AZ486" s="9">
        <v>4.0</v>
      </c>
      <c r="BA486" s="9" t="s">
        <v>675</v>
      </c>
      <c r="BB486" s="9" t="s">
        <v>675</v>
      </c>
      <c r="BC486" s="9" t="s">
        <v>9486</v>
      </c>
      <c r="BD486" s="9" t="s">
        <v>9487</v>
      </c>
      <c r="BE486" s="9" t="s">
        <v>2379</v>
      </c>
      <c r="BF486" s="9" t="s">
        <v>393</v>
      </c>
      <c r="BG486" s="9" t="s">
        <v>394</v>
      </c>
      <c r="BH486" s="9" t="s">
        <v>9488</v>
      </c>
      <c r="BI486" s="9" t="s">
        <v>976</v>
      </c>
      <c r="BK486" s="9" t="s">
        <v>395</v>
      </c>
      <c r="BL486" s="9" t="s">
        <v>904</v>
      </c>
      <c r="BM486" s="9" t="s">
        <v>1276</v>
      </c>
      <c r="BN486" s="9" t="s">
        <v>513</v>
      </c>
      <c r="CL486" s="9" t="s">
        <v>441</v>
      </c>
      <c r="CM486" s="9" t="s">
        <v>442</v>
      </c>
      <c r="CN486" s="9" t="s">
        <v>9489</v>
      </c>
      <c r="CO486" s="9" t="s">
        <v>9490</v>
      </c>
      <c r="CP486" s="9" t="s">
        <v>685</v>
      </c>
      <c r="CQ486" s="9" t="s">
        <v>956</v>
      </c>
      <c r="CR486" s="9" t="s">
        <v>447</v>
      </c>
      <c r="CS486" s="9" t="s">
        <v>805</v>
      </c>
      <c r="CT486" s="9" t="s">
        <v>9491</v>
      </c>
      <c r="CU486" s="9" t="s">
        <v>519</v>
      </c>
      <c r="CV486" s="9" t="s">
        <v>451</v>
      </c>
      <c r="CW486" s="9" t="s">
        <v>9492</v>
      </c>
      <c r="CX486" s="9" t="s">
        <v>455</v>
      </c>
      <c r="CY486" s="9" t="s">
        <v>9493</v>
      </c>
      <c r="CZ486" s="9" t="s">
        <v>1398</v>
      </c>
      <c r="DA486" s="9" t="s">
        <v>9494</v>
      </c>
      <c r="DB486" s="9" t="s">
        <v>455</v>
      </c>
      <c r="DC486" s="9" t="s">
        <v>9495</v>
      </c>
      <c r="DD486" s="9" t="s">
        <v>457</v>
      </c>
      <c r="DG486" s="9" t="s">
        <v>693</v>
      </c>
      <c r="DH486" s="9" t="s">
        <v>410</v>
      </c>
      <c r="DI486" s="9" t="s">
        <v>459</v>
      </c>
      <c r="DJ486" s="9" t="s">
        <v>613</v>
      </c>
      <c r="ET486" s="9" t="s">
        <v>478</v>
      </c>
      <c r="EU486" s="9" t="s">
        <v>479</v>
      </c>
      <c r="EV486" s="9" t="s">
        <v>580</v>
      </c>
      <c r="EW486" s="9" t="s">
        <v>9496</v>
      </c>
      <c r="EX486" s="9" t="s">
        <v>9497</v>
      </c>
      <c r="EY486" s="9" t="s">
        <v>9498</v>
      </c>
      <c r="EZ486" s="9" t="s">
        <v>413</v>
      </c>
      <c r="FA486" s="9" t="s">
        <v>413</v>
      </c>
      <c r="FB486" s="9" t="s">
        <v>413</v>
      </c>
      <c r="FC486" s="9" t="s">
        <v>413</v>
      </c>
      <c r="FD486" s="9" t="s">
        <v>413</v>
      </c>
      <c r="FE486" s="9" t="s">
        <v>413</v>
      </c>
      <c r="FF486" s="9" t="s">
        <v>484</v>
      </c>
      <c r="FG486" s="9" t="s">
        <v>484</v>
      </c>
      <c r="FH486" s="9" t="s">
        <v>484</v>
      </c>
      <c r="FI486" s="9" t="s">
        <v>414</v>
      </c>
      <c r="FJ486" s="9" t="s">
        <v>413</v>
      </c>
      <c r="FK486" s="9" t="s">
        <v>484</v>
      </c>
      <c r="FL486" s="9" t="s">
        <v>484</v>
      </c>
      <c r="FM486" s="9" t="s">
        <v>484</v>
      </c>
      <c r="FN486" s="9" t="s">
        <v>484</v>
      </c>
      <c r="FO486" s="9" t="s">
        <v>417</v>
      </c>
      <c r="FP486" s="9" t="s">
        <v>418</v>
      </c>
      <c r="FQ486" s="9" t="s">
        <v>1039</v>
      </c>
      <c r="FR486" s="9" t="s">
        <v>9499</v>
      </c>
      <c r="FS486" s="9" t="s">
        <v>420</v>
      </c>
      <c r="FT486" s="9" t="s">
        <v>488</v>
      </c>
      <c r="FU486" s="9" t="s">
        <v>489</v>
      </c>
      <c r="FV486" s="9" t="s">
        <v>490</v>
      </c>
      <c r="FW486" s="9" t="s">
        <v>491</v>
      </c>
      <c r="FX486" s="9" t="s">
        <v>9500</v>
      </c>
      <c r="FY486" s="9" t="s">
        <v>535</v>
      </c>
      <c r="FZ486" s="9" t="s">
        <v>9501</v>
      </c>
      <c r="GA486" s="9" t="s">
        <v>9502</v>
      </c>
      <c r="GB486" s="9" t="s">
        <v>408</v>
      </c>
      <c r="GG486" s="9" t="s">
        <v>920</v>
      </c>
      <c r="GH486" s="9" t="s">
        <v>920</v>
      </c>
      <c r="GI486" s="9" t="s">
        <v>756</v>
      </c>
      <c r="GQ486" s="9" t="s">
        <v>3208</v>
      </c>
      <c r="GT486" s="9" t="s">
        <v>4774</v>
      </c>
      <c r="GV486" s="9" t="s">
        <v>5231</v>
      </c>
      <c r="GW486" s="9" t="s">
        <v>484</v>
      </c>
      <c r="HC486" s="9" t="s">
        <v>5297</v>
      </c>
      <c r="HD486" s="9" t="s">
        <v>5282</v>
      </c>
      <c r="HE486" s="9" t="s">
        <v>5320</v>
      </c>
      <c r="HF486" s="9" t="s">
        <v>5899</v>
      </c>
      <c r="HO486" s="9" t="s">
        <v>5383</v>
      </c>
      <c r="HP486" s="9" t="s">
        <v>5264</v>
      </c>
      <c r="HQ486" s="9" t="s">
        <v>5238</v>
      </c>
      <c r="HR486" s="9" t="s">
        <v>9503</v>
      </c>
      <c r="HW486" s="9" t="s">
        <v>9504</v>
      </c>
      <c r="MJ486" s="9" t="s">
        <v>6321</v>
      </c>
    </row>
    <row r="487" ht="22.5" customHeight="1">
      <c r="A487" s="8">
        <v>46121.27570546296</v>
      </c>
      <c r="B487" s="9" t="s">
        <v>368</v>
      </c>
      <c r="C487" s="9" t="s">
        <v>370</v>
      </c>
      <c r="D487" s="9" t="s">
        <v>370</v>
      </c>
      <c r="E487" s="9" t="s">
        <v>2708</v>
      </c>
      <c r="F487" s="9" t="s">
        <v>922</v>
      </c>
      <c r="G487" s="9" t="s">
        <v>422</v>
      </c>
      <c r="H487" s="9" t="s">
        <v>496</v>
      </c>
      <c r="I487" s="9" t="s">
        <v>374</v>
      </c>
      <c r="J487" s="9" t="s">
        <v>375</v>
      </c>
      <c r="K487" s="9" t="s">
        <v>376</v>
      </c>
      <c r="L487" s="9" t="s">
        <v>379</v>
      </c>
      <c r="M487" s="9" t="s">
        <v>9505</v>
      </c>
      <c r="N487" s="9" t="s">
        <v>670</v>
      </c>
      <c r="O487" s="9" t="s">
        <v>9506</v>
      </c>
      <c r="P487" s="9" t="s">
        <v>592</v>
      </c>
      <c r="Q487" s="9" t="s">
        <v>862</v>
      </c>
      <c r="R487" s="9" t="s">
        <v>1704</v>
      </c>
      <c r="S487" s="9" t="s">
        <v>384</v>
      </c>
      <c r="T487" s="9" t="s">
        <v>385</v>
      </c>
      <c r="W487" s="9" t="s">
        <v>386</v>
      </c>
      <c r="X487" s="9" t="s">
        <v>387</v>
      </c>
      <c r="Y487" s="9" t="s">
        <v>388</v>
      </c>
      <c r="Z487" s="9" t="s">
        <v>672</v>
      </c>
      <c r="AA487" s="9" t="s">
        <v>408</v>
      </c>
      <c r="AV487" s="9" t="s">
        <v>597</v>
      </c>
      <c r="AW487" s="9" t="s">
        <v>391</v>
      </c>
      <c r="AX487" s="9">
        <v>2.0</v>
      </c>
      <c r="AY487" s="9" t="s">
        <v>429</v>
      </c>
      <c r="AZ487" s="9" t="s">
        <v>429</v>
      </c>
      <c r="BA487" s="9" t="s">
        <v>429</v>
      </c>
      <c r="BB487" s="9" t="s">
        <v>429</v>
      </c>
      <c r="BD487" s="9" t="s">
        <v>9507</v>
      </c>
      <c r="BE487" s="9" t="s">
        <v>392</v>
      </c>
      <c r="BF487" s="9" t="s">
        <v>433</v>
      </c>
      <c r="BG487" s="9" t="s">
        <v>765</v>
      </c>
      <c r="BH487" s="9" t="s">
        <v>9508</v>
      </c>
      <c r="BI487" s="9" t="s">
        <v>509</v>
      </c>
      <c r="BK487" s="9" t="s">
        <v>437</v>
      </c>
      <c r="BL487" s="9" t="s">
        <v>603</v>
      </c>
      <c r="BM487" s="9" t="s">
        <v>397</v>
      </c>
      <c r="BN487" s="9" t="s">
        <v>440</v>
      </c>
      <c r="CL487" s="9" t="s">
        <v>441</v>
      </c>
      <c r="CM487" s="9" t="s">
        <v>682</v>
      </c>
      <c r="CN487" s="9" t="s">
        <v>9509</v>
      </c>
      <c r="CO487" s="9" t="s">
        <v>9510</v>
      </c>
      <c r="CP487" s="9" t="s">
        <v>685</v>
      </c>
      <c r="CQ487" s="9" t="s">
        <v>6181</v>
      </c>
      <c r="CS487" s="9" t="s">
        <v>9283</v>
      </c>
      <c r="CT487" s="9" t="s">
        <v>9511</v>
      </c>
      <c r="CU487" s="9" t="s">
        <v>450</v>
      </c>
      <c r="CV487" s="9" t="s">
        <v>451</v>
      </c>
      <c r="CW487" s="9" t="s">
        <v>9512</v>
      </c>
      <c r="CX487" s="9" t="s">
        <v>408</v>
      </c>
      <c r="CZ487" s="9" t="s">
        <v>985</v>
      </c>
      <c r="DA487" s="9" t="s">
        <v>9513</v>
      </c>
      <c r="DB487" s="9" t="s">
        <v>455</v>
      </c>
      <c r="DC487" s="9" t="s">
        <v>9514</v>
      </c>
      <c r="DD487" s="9" t="s">
        <v>406</v>
      </c>
      <c r="DE487" s="9" t="s">
        <v>407</v>
      </c>
      <c r="DG487" s="9" t="s">
        <v>524</v>
      </c>
      <c r="DH487" s="9" t="s">
        <v>410</v>
      </c>
      <c r="DI487" s="9" t="s">
        <v>459</v>
      </c>
      <c r="DJ487" s="9" t="s">
        <v>562</v>
      </c>
      <c r="DK487" s="9" t="s">
        <v>6335</v>
      </c>
      <c r="DM487" s="9" t="s">
        <v>9515</v>
      </c>
      <c r="DN487" s="9" t="s">
        <v>9516</v>
      </c>
      <c r="DO487" s="9" t="s">
        <v>1063</v>
      </c>
      <c r="DP487" s="9" t="s">
        <v>9517</v>
      </c>
      <c r="DQ487" s="9" t="s">
        <v>1176</v>
      </c>
      <c r="DR487" s="9" t="s">
        <v>9518</v>
      </c>
      <c r="DS487" s="9" t="s">
        <v>468</v>
      </c>
      <c r="DT487" s="9" t="s">
        <v>3171</v>
      </c>
      <c r="DU487" s="9" t="s">
        <v>9519</v>
      </c>
      <c r="DV487" s="9" t="s">
        <v>9520</v>
      </c>
      <c r="DW487" s="9" t="s">
        <v>573</v>
      </c>
      <c r="DX487" s="9" t="s">
        <v>9521</v>
      </c>
      <c r="DY487" s="9" t="s">
        <v>9522</v>
      </c>
      <c r="DZ487" s="9" t="s">
        <v>9523</v>
      </c>
      <c r="EA487" s="9" t="s">
        <v>2960</v>
      </c>
      <c r="EB487" s="9" t="s">
        <v>845</v>
      </c>
      <c r="EC487" s="9" t="s">
        <v>9524</v>
      </c>
      <c r="ET487" s="9" t="s">
        <v>526</v>
      </c>
      <c r="EU487" s="9" t="s">
        <v>479</v>
      </c>
      <c r="EV487" s="9" t="s">
        <v>480</v>
      </c>
      <c r="EX487" s="9" t="s">
        <v>9525</v>
      </c>
      <c r="EY487" s="9" t="s">
        <v>5078</v>
      </c>
      <c r="EZ487" s="9" t="s">
        <v>413</v>
      </c>
      <c r="FA487" s="9" t="s">
        <v>416</v>
      </c>
      <c r="FB487" s="9" t="s">
        <v>413</v>
      </c>
      <c r="FC487" s="9" t="s">
        <v>413</v>
      </c>
      <c r="FD487" s="9" t="s">
        <v>413</v>
      </c>
      <c r="FE487" s="9" t="s">
        <v>415</v>
      </c>
      <c r="FF487" s="9" t="s">
        <v>415</v>
      </c>
      <c r="FG487" s="9" t="s">
        <v>413</v>
      </c>
      <c r="FH487" s="9" t="s">
        <v>414</v>
      </c>
      <c r="FI487" s="9" t="s">
        <v>415</v>
      </c>
      <c r="FJ487" s="9" t="s">
        <v>415</v>
      </c>
      <c r="FK487" s="9" t="s">
        <v>484</v>
      </c>
      <c r="FL487" s="9" t="s">
        <v>484</v>
      </c>
      <c r="FM487" s="9" t="s">
        <v>484</v>
      </c>
      <c r="FN487" s="9" t="s">
        <v>484</v>
      </c>
      <c r="FO487" s="9" t="s">
        <v>417</v>
      </c>
      <c r="FP487" s="9" t="s">
        <v>486</v>
      </c>
      <c r="FQ487" s="9" t="s">
        <v>749</v>
      </c>
      <c r="FR487" s="9" t="s">
        <v>9526</v>
      </c>
      <c r="FS487" s="9" t="s">
        <v>420</v>
      </c>
      <c r="FT487" s="9" t="s">
        <v>488</v>
      </c>
      <c r="FU487" s="9" t="s">
        <v>918</v>
      </c>
      <c r="FV487" s="9" t="s">
        <v>490</v>
      </c>
      <c r="FW487" s="9" t="s">
        <v>491</v>
      </c>
      <c r="FY487" s="9" t="s">
        <v>493</v>
      </c>
      <c r="GB487" s="11"/>
      <c r="GG487" s="9" t="s">
        <v>788</v>
      </c>
      <c r="GH487" s="9" t="s">
        <v>788</v>
      </c>
      <c r="GI487" s="9" t="s">
        <v>921</v>
      </c>
      <c r="GM487" s="9" t="s">
        <v>1079</v>
      </c>
      <c r="GQ487" s="9" t="s">
        <v>3208</v>
      </c>
      <c r="GT487" s="9" t="s">
        <v>4741</v>
      </c>
      <c r="GU487" s="9" t="s">
        <v>9527</v>
      </c>
      <c r="GV487" s="9" t="s">
        <v>5231</v>
      </c>
      <c r="GW487" s="9" t="s">
        <v>484</v>
      </c>
      <c r="HC487" s="9" t="s">
        <v>484</v>
      </c>
      <c r="HE487" s="9" t="s">
        <v>5320</v>
      </c>
      <c r="HF487" s="9" t="s">
        <v>5300</v>
      </c>
      <c r="HG487" s="9" t="s">
        <v>9528</v>
      </c>
      <c r="HH487" s="9" t="s">
        <v>6242</v>
      </c>
      <c r="HI487" s="9" t="s">
        <v>9529</v>
      </c>
      <c r="HJ487" s="9" t="s">
        <v>9530</v>
      </c>
      <c r="HP487" s="9" t="s">
        <v>5302</v>
      </c>
      <c r="HQ487" s="9" t="s">
        <v>5238</v>
      </c>
      <c r="HR487" s="9" t="s">
        <v>9531</v>
      </c>
      <c r="IN487" s="9" t="s">
        <v>5537</v>
      </c>
      <c r="IO487" s="9" t="s">
        <v>5537</v>
      </c>
      <c r="IP487" s="9" t="s">
        <v>5537</v>
      </c>
      <c r="IQ487" s="9" t="s">
        <v>5537</v>
      </c>
      <c r="IR487" s="9" t="s">
        <v>5537</v>
      </c>
      <c r="IS487" s="9" t="s">
        <v>5537</v>
      </c>
      <c r="MJ487" s="9" t="s">
        <v>6321</v>
      </c>
    </row>
    <row r="488" ht="22.5" customHeight="1">
      <c r="A488" s="8">
        <v>46121.93295483796</v>
      </c>
      <c r="B488" s="9" t="s">
        <v>368</v>
      </c>
      <c r="C488" s="9" t="s">
        <v>9532</v>
      </c>
      <c r="D488" s="9" t="s">
        <v>370</v>
      </c>
      <c r="F488" s="9" t="s">
        <v>1001</v>
      </c>
      <c r="G488" s="9" t="s">
        <v>372</v>
      </c>
      <c r="H488" s="9" t="s">
        <v>373</v>
      </c>
      <c r="I488" s="9" t="s">
        <v>638</v>
      </c>
      <c r="J488" s="9" t="s">
        <v>375</v>
      </c>
      <c r="K488" s="9" t="s">
        <v>1383</v>
      </c>
      <c r="L488" s="9" t="s">
        <v>793</v>
      </c>
      <c r="M488" s="9" t="s">
        <v>639</v>
      </c>
      <c r="N488" s="9" t="s">
        <v>591</v>
      </c>
      <c r="O488" s="9" t="s">
        <v>719</v>
      </c>
      <c r="P488" s="9" t="s">
        <v>592</v>
      </c>
      <c r="Q488" s="9" t="s">
        <v>862</v>
      </c>
      <c r="R488" s="9" t="s">
        <v>500</v>
      </c>
      <c r="S488" s="9" t="s">
        <v>384</v>
      </c>
      <c r="T488" s="9" t="s">
        <v>385</v>
      </c>
      <c r="W488" s="9" t="s">
        <v>386</v>
      </c>
      <c r="X488" s="9" t="s">
        <v>387</v>
      </c>
      <c r="Z488" s="9" t="s">
        <v>502</v>
      </c>
      <c r="AV488" s="9" t="s">
        <v>1242</v>
      </c>
      <c r="AW488" s="9" t="s">
        <v>675</v>
      </c>
      <c r="AX488" s="9" t="s">
        <v>675</v>
      </c>
      <c r="AY488" s="9">
        <v>4.0</v>
      </c>
      <c r="AZ488" s="9" t="s">
        <v>391</v>
      </c>
      <c r="BA488" s="9">
        <v>2.0</v>
      </c>
      <c r="BB488" s="9" t="s">
        <v>391</v>
      </c>
      <c r="BC488" s="9" t="s">
        <v>9533</v>
      </c>
      <c r="BE488" s="9" t="s">
        <v>902</v>
      </c>
      <c r="BF488" s="9" t="s">
        <v>1047</v>
      </c>
      <c r="BG488" s="9" t="s">
        <v>678</v>
      </c>
      <c r="BI488" s="9" t="s">
        <v>976</v>
      </c>
      <c r="BK488" s="9" t="s">
        <v>681</v>
      </c>
      <c r="BL488" s="9" t="s">
        <v>904</v>
      </c>
      <c r="BM488" s="9" t="s">
        <v>1314</v>
      </c>
      <c r="BN488" s="9" t="s">
        <v>513</v>
      </c>
      <c r="CL488" s="9" t="s">
        <v>441</v>
      </c>
      <c r="CM488" s="9" t="s">
        <v>604</v>
      </c>
      <c r="CN488" s="9" t="s">
        <v>9534</v>
      </c>
      <c r="CO488" s="9" t="s">
        <v>9535</v>
      </c>
      <c r="CP488" s="9" t="s">
        <v>979</v>
      </c>
      <c r="CQ488" s="9" t="s">
        <v>9536</v>
      </c>
      <c r="CR488" s="9" t="s">
        <v>447</v>
      </c>
      <c r="CS488" s="9" t="s">
        <v>9537</v>
      </c>
      <c r="CT488" s="9" t="s">
        <v>9538</v>
      </c>
      <c r="CU488" s="9" t="s">
        <v>519</v>
      </c>
      <c r="CV488" s="9" t="s">
        <v>451</v>
      </c>
      <c r="CW488" s="9" t="s">
        <v>9539</v>
      </c>
      <c r="CX488" s="9" t="s">
        <v>408</v>
      </c>
      <c r="CZ488" s="9" t="s">
        <v>453</v>
      </c>
      <c r="DA488" s="9" t="s">
        <v>9540</v>
      </c>
      <c r="DB488" s="9" t="s">
        <v>408</v>
      </c>
      <c r="DD488" s="9" t="s">
        <v>988</v>
      </c>
      <c r="DF488" s="9" t="s">
        <v>9541</v>
      </c>
      <c r="DG488" s="9" t="s">
        <v>524</v>
      </c>
      <c r="DH488" s="9" t="s">
        <v>410</v>
      </c>
      <c r="DI488" s="9" t="s">
        <v>459</v>
      </c>
      <c r="DJ488" s="9" t="s">
        <v>613</v>
      </c>
      <c r="ET488" s="9" t="s">
        <v>526</v>
      </c>
      <c r="EU488" s="9" t="s">
        <v>479</v>
      </c>
      <c r="EV488" s="9" t="s">
        <v>527</v>
      </c>
      <c r="EW488" s="9" t="s">
        <v>9542</v>
      </c>
      <c r="EX488" s="9" t="s">
        <v>9543</v>
      </c>
      <c r="EY488" s="9" t="s">
        <v>9544</v>
      </c>
      <c r="EZ488" s="9" t="s">
        <v>583</v>
      </c>
      <c r="FA488" s="9" t="s">
        <v>583</v>
      </c>
      <c r="FB488" s="9" t="s">
        <v>414</v>
      </c>
      <c r="FC488" s="9" t="s">
        <v>414</v>
      </c>
      <c r="FD488" s="9" t="s">
        <v>416</v>
      </c>
      <c r="FE488" s="9" t="s">
        <v>414</v>
      </c>
      <c r="FF488" s="9" t="s">
        <v>583</v>
      </c>
      <c r="FG488" s="9" t="s">
        <v>415</v>
      </c>
      <c r="FH488" s="9" t="s">
        <v>414</v>
      </c>
      <c r="FI488" s="9" t="s">
        <v>415</v>
      </c>
      <c r="FJ488" s="9" t="s">
        <v>414</v>
      </c>
      <c r="FK488" s="9" t="s">
        <v>415</v>
      </c>
      <c r="FL488" s="9" t="s">
        <v>414</v>
      </c>
      <c r="FM488" s="9" t="s">
        <v>416</v>
      </c>
      <c r="FN488" s="9" t="s">
        <v>583</v>
      </c>
      <c r="FO488" s="9" t="s">
        <v>417</v>
      </c>
      <c r="FP488" s="9" t="s">
        <v>418</v>
      </c>
      <c r="FQ488" s="9" t="s">
        <v>419</v>
      </c>
      <c r="FS488" s="9" t="s">
        <v>420</v>
      </c>
      <c r="FT488" s="9" t="s">
        <v>488</v>
      </c>
      <c r="FU488" s="9" t="s">
        <v>489</v>
      </c>
      <c r="FV488" s="9" t="s">
        <v>490</v>
      </c>
      <c r="FW488" s="9" t="s">
        <v>491</v>
      </c>
      <c r="FY488" s="9" t="s">
        <v>535</v>
      </c>
      <c r="GA488" s="9" t="s">
        <v>9545</v>
      </c>
      <c r="GB488" s="9" t="s">
        <v>455</v>
      </c>
      <c r="GC488" s="9"/>
      <c r="GE488" s="9" t="s">
        <v>753</v>
      </c>
      <c r="GG488" s="9" t="s">
        <v>755</v>
      </c>
      <c r="GH488" s="9" t="s">
        <v>755</v>
      </c>
      <c r="GI488" s="9" t="s">
        <v>946</v>
      </c>
      <c r="GQ488" s="9" t="s">
        <v>3208</v>
      </c>
      <c r="GT488" s="9" t="s">
        <v>4774</v>
      </c>
      <c r="GV488" s="9" t="s">
        <v>484</v>
      </c>
      <c r="GW488" s="9" t="s">
        <v>484</v>
      </c>
      <c r="HC488" s="9" t="s">
        <v>5297</v>
      </c>
      <c r="HD488" s="9" t="s">
        <v>5282</v>
      </c>
      <c r="HE488" s="9" t="s">
        <v>5492</v>
      </c>
      <c r="HF488" s="9" t="s">
        <v>5284</v>
      </c>
      <c r="HO488" s="9" t="s">
        <v>5236</v>
      </c>
      <c r="HP488" s="9" t="s">
        <v>5264</v>
      </c>
      <c r="HQ488" s="9" t="s">
        <v>5238</v>
      </c>
      <c r="HR488" s="9" t="s">
        <v>5321</v>
      </c>
      <c r="MJ488" s="9" t="s">
        <v>6321</v>
      </c>
    </row>
    <row r="489" ht="22.5" customHeight="1">
      <c r="A489" s="8">
        <v>46122.46081304398</v>
      </c>
      <c r="B489" s="9" t="s">
        <v>368</v>
      </c>
      <c r="C489" s="9" t="s">
        <v>370</v>
      </c>
      <c r="D489" s="9" t="s">
        <v>370</v>
      </c>
      <c r="E489" s="9" t="s">
        <v>3955</v>
      </c>
      <c r="F489" s="9" t="s">
        <v>3955</v>
      </c>
      <c r="G489" s="9" t="s">
        <v>422</v>
      </c>
      <c r="H489" s="9" t="s">
        <v>637</v>
      </c>
      <c r="I489" s="9" t="s">
        <v>374</v>
      </c>
      <c r="J489" s="9" t="s">
        <v>758</v>
      </c>
      <c r="K489" s="9" t="s">
        <v>376</v>
      </c>
      <c r="L489" s="9" t="s">
        <v>379</v>
      </c>
      <c r="M489" s="9" t="s">
        <v>9546</v>
      </c>
      <c r="N489" s="9" t="s">
        <v>377</v>
      </c>
      <c r="O489" s="9" t="s">
        <v>497</v>
      </c>
      <c r="P489" s="9" t="s">
        <v>381</v>
      </c>
      <c r="Q489" s="9" t="s">
        <v>818</v>
      </c>
      <c r="R489" s="9" t="s">
        <v>427</v>
      </c>
      <c r="S489" s="9" t="s">
        <v>384</v>
      </c>
      <c r="T489" s="9" t="s">
        <v>385</v>
      </c>
      <c r="W489" s="9" t="s">
        <v>3014</v>
      </c>
      <c r="AV489" s="9" t="s">
        <v>504</v>
      </c>
      <c r="AW489" s="9">
        <v>4.0</v>
      </c>
      <c r="AX489" s="9" t="s">
        <v>429</v>
      </c>
      <c r="AY489" s="9" t="s">
        <v>429</v>
      </c>
      <c r="AZ489" s="9" t="s">
        <v>429</v>
      </c>
      <c r="BA489" s="9" t="s">
        <v>429</v>
      </c>
      <c r="BB489" s="9" t="s">
        <v>429</v>
      </c>
      <c r="BC489" s="9" t="s">
        <v>9547</v>
      </c>
      <c r="BD489" s="9" t="s">
        <v>9548</v>
      </c>
      <c r="BE489" s="9" t="s">
        <v>432</v>
      </c>
      <c r="BF489" s="9" t="s">
        <v>433</v>
      </c>
      <c r="BG489" s="9" t="s">
        <v>765</v>
      </c>
      <c r="BH489" s="9" t="s">
        <v>9549</v>
      </c>
      <c r="BI489" s="9" t="s">
        <v>509</v>
      </c>
      <c r="BK489" s="9" t="s">
        <v>681</v>
      </c>
      <c r="BL489" s="9" t="s">
        <v>512</v>
      </c>
      <c r="BM489" s="9" t="s">
        <v>439</v>
      </c>
      <c r="BN489" s="9" t="s">
        <v>513</v>
      </c>
      <c r="CL489" s="9" t="s">
        <v>441</v>
      </c>
      <c r="CM489" s="9" t="s">
        <v>401</v>
      </c>
      <c r="CN489" s="9" t="s">
        <v>1313</v>
      </c>
      <c r="CO489" s="9" t="s">
        <v>9550</v>
      </c>
      <c r="CP489" s="9" t="s">
        <v>403</v>
      </c>
      <c r="CQ489" s="9" t="s">
        <v>1136</v>
      </c>
      <c r="CR489" s="9" t="s">
        <v>447</v>
      </c>
      <c r="CS489" s="9" t="s">
        <v>9551</v>
      </c>
      <c r="CU489" s="9" t="s">
        <v>450</v>
      </c>
      <c r="CV489" s="9" t="s">
        <v>451</v>
      </c>
      <c r="CW489" s="9" t="s">
        <v>9552</v>
      </c>
      <c r="CX489" s="9" t="s">
        <v>408</v>
      </c>
      <c r="CZ489" s="9" t="s">
        <v>453</v>
      </c>
      <c r="DA489" s="9" t="s">
        <v>9553</v>
      </c>
      <c r="DB489" s="9" t="s">
        <v>455</v>
      </c>
      <c r="DC489" s="9" t="s">
        <v>9554</v>
      </c>
      <c r="DD489" s="9" t="s">
        <v>662</v>
      </c>
      <c r="DG489" s="9" t="s">
        <v>561</v>
      </c>
      <c r="DH489" s="9" t="s">
        <v>410</v>
      </c>
      <c r="DI489" s="9" t="s">
        <v>459</v>
      </c>
      <c r="DJ489" s="9" t="s">
        <v>562</v>
      </c>
      <c r="DK489" s="9" t="s">
        <v>6335</v>
      </c>
      <c r="ET489" s="9" t="s">
        <v>526</v>
      </c>
      <c r="EU489" s="9" t="s">
        <v>479</v>
      </c>
      <c r="EV489" s="9" t="s">
        <v>1262</v>
      </c>
      <c r="EX489" s="9" t="s">
        <v>9555</v>
      </c>
      <c r="EY489" s="9" t="s">
        <v>9556</v>
      </c>
      <c r="EZ489" s="9" t="s">
        <v>583</v>
      </c>
      <c r="FA489" s="9" t="s">
        <v>583</v>
      </c>
      <c r="FB489" s="9" t="s">
        <v>583</v>
      </c>
      <c r="FC489" s="9" t="s">
        <v>583</v>
      </c>
      <c r="FD489" s="9" t="s">
        <v>415</v>
      </c>
      <c r="FE489" s="9" t="s">
        <v>583</v>
      </c>
      <c r="FF489" s="9" t="s">
        <v>583</v>
      </c>
      <c r="FG489" s="9" t="s">
        <v>416</v>
      </c>
      <c r="FH489" s="9" t="s">
        <v>414</v>
      </c>
      <c r="FI489" s="9" t="s">
        <v>583</v>
      </c>
      <c r="FJ489" s="9" t="s">
        <v>583</v>
      </c>
      <c r="FK489" s="9" t="s">
        <v>484</v>
      </c>
      <c r="FL489" s="9" t="s">
        <v>484</v>
      </c>
      <c r="FM489" s="9" t="s">
        <v>484</v>
      </c>
      <c r="FN489" s="9" t="s">
        <v>484</v>
      </c>
      <c r="FO489" s="9" t="s">
        <v>417</v>
      </c>
      <c r="FP489" s="9" t="s">
        <v>418</v>
      </c>
      <c r="FQ489" s="9" t="s">
        <v>419</v>
      </c>
      <c r="FS489" s="9" t="s">
        <v>420</v>
      </c>
      <c r="FT489" s="9" t="s">
        <v>488</v>
      </c>
      <c r="FU489" s="9" t="s">
        <v>533</v>
      </c>
      <c r="FV489" s="9" t="s">
        <v>490</v>
      </c>
      <c r="FW489" s="9" t="s">
        <v>491</v>
      </c>
      <c r="FY489" s="9" t="s">
        <v>535</v>
      </c>
      <c r="GB489" s="11"/>
      <c r="GG489" s="9" t="s">
        <v>857</v>
      </c>
      <c r="GH489" s="9" t="s">
        <v>857</v>
      </c>
      <c r="GI489" s="9" t="s">
        <v>790</v>
      </c>
      <c r="GT489" s="9" t="s">
        <v>4774</v>
      </c>
      <c r="GV489" s="9" t="s">
        <v>5231</v>
      </c>
      <c r="GW489" s="9" t="s">
        <v>5232</v>
      </c>
      <c r="HC489" s="9" t="s">
        <v>5297</v>
      </c>
      <c r="HD489" s="9" t="s">
        <v>5298</v>
      </c>
      <c r="HE489" s="9" t="s">
        <v>5320</v>
      </c>
      <c r="HF489" s="9" t="s">
        <v>5284</v>
      </c>
      <c r="HO489" s="9" t="s">
        <v>5236</v>
      </c>
      <c r="HP489" s="9" t="s">
        <v>5302</v>
      </c>
      <c r="HQ489" s="9" t="s">
        <v>5238</v>
      </c>
      <c r="HR489" s="9" t="s">
        <v>913</v>
      </c>
      <c r="HW489" s="9" t="s">
        <v>5499</v>
      </c>
      <c r="MJ489" s="9" t="s">
        <v>6321</v>
      </c>
    </row>
    <row r="490" ht="22.5" customHeight="1">
      <c r="A490" s="8">
        <v>46122.943459120375</v>
      </c>
      <c r="B490" s="9" t="s">
        <v>368</v>
      </c>
      <c r="C490" s="9" t="s">
        <v>370</v>
      </c>
      <c r="D490" s="9" t="s">
        <v>370</v>
      </c>
      <c r="E490" s="9" t="s">
        <v>2195</v>
      </c>
      <c r="F490" s="9" t="s">
        <v>2195</v>
      </c>
      <c r="G490" s="9" t="s">
        <v>422</v>
      </c>
      <c r="H490" s="9" t="s">
        <v>637</v>
      </c>
      <c r="I490" s="9" t="s">
        <v>638</v>
      </c>
      <c r="J490" s="9" t="s">
        <v>425</v>
      </c>
      <c r="K490" s="9" t="s">
        <v>376</v>
      </c>
      <c r="L490" s="9" t="s">
        <v>377</v>
      </c>
      <c r="M490" s="9" t="s">
        <v>2464</v>
      </c>
      <c r="N490" s="9" t="s">
        <v>377</v>
      </c>
      <c r="O490" s="9" t="s">
        <v>1024</v>
      </c>
      <c r="P490" s="9" t="s">
        <v>381</v>
      </c>
      <c r="Q490" s="9" t="s">
        <v>382</v>
      </c>
      <c r="R490" s="9" t="s">
        <v>427</v>
      </c>
      <c r="S490" s="9" t="s">
        <v>384</v>
      </c>
      <c r="T490" s="9" t="s">
        <v>385</v>
      </c>
      <c r="W490" s="9" t="s">
        <v>3014</v>
      </c>
      <c r="AV490" s="9" t="s">
        <v>504</v>
      </c>
      <c r="AW490" s="9" t="s">
        <v>429</v>
      </c>
      <c r="AX490" s="9" t="s">
        <v>429</v>
      </c>
      <c r="AY490" s="9" t="s">
        <v>429</v>
      </c>
      <c r="AZ490" s="9" t="s">
        <v>429</v>
      </c>
      <c r="BA490" s="9" t="s">
        <v>429</v>
      </c>
      <c r="BB490" s="9" t="s">
        <v>429</v>
      </c>
      <c r="BC490" s="9" t="s">
        <v>9557</v>
      </c>
      <c r="BD490" s="9" t="s">
        <v>9558</v>
      </c>
      <c r="BE490" s="9" t="s">
        <v>392</v>
      </c>
      <c r="BF490" s="9" t="s">
        <v>433</v>
      </c>
      <c r="BG490" s="9" t="s">
        <v>678</v>
      </c>
      <c r="BH490" s="9" t="s">
        <v>9559</v>
      </c>
      <c r="BI490" s="9" t="s">
        <v>509</v>
      </c>
      <c r="BJ490" s="9" t="s">
        <v>9560</v>
      </c>
      <c r="BK490" s="9" t="s">
        <v>511</v>
      </c>
      <c r="BL490" s="9" t="s">
        <v>512</v>
      </c>
      <c r="BM490" s="9" t="s">
        <v>439</v>
      </c>
      <c r="BN490" s="9" t="s">
        <v>513</v>
      </c>
      <c r="CL490" s="9" t="s">
        <v>441</v>
      </c>
      <c r="CM490" s="9" t="s">
        <v>442</v>
      </c>
      <c r="CN490" s="9" t="s">
        <v>9561</v>
      </c>
      <c r="CO490" s="9" t="s">
        <v>9562</v>
      </c>
      <c r="CP490" s="9" t="s">
        <v>445</v>
      </c>
      <c r="CQ490" s="9" t="s">
        <v>9563</v>
      </c>
      <c r="CR490" s="9" t="s">
        <v>404</v>
      </c>
      <c r="CS490" s="9" t="s">
        <v>9564</v>
      </c>
      <c r="CT490" s="9" t="s">
        <v>9565</v>
      </c>
      <c r="CU490" s="9" t="s">
        <v>450</v>
      </c>
      <c r="CV490" s="9" t="s">
        <v>451</v>
      </c>
      <c r="CW490" s="9" t="s">
        <v>9566</v>
      </c>
      <c r="CX490" s="9" t="s">
        <v>408</v>
      </c>
      <c r="CZ490" s="9" t="s">
        <v>453</v>
      </c>
      <c r="DA490" s="9" t="s">
        <v>9567</v>
      </c>
      <c r="DB490" s="9" t="s">
        <v>455</v>
      </c>
      <c r="DC490" s="9" t="s">
        <v>9568</v>
      </c>
      <c r="DD490" s="9" t="s">
        <v>406</v>
      </c>
      <c r="DE490" s="9" t="s">
        <v>407</v>
      </c>
      <c r="DF490" s="9" t="s">
        <v>9569</v>
      </c>
      <c r="DG490" s="9" t="s">
        <v>524</v>
      </c>
      <c r="DH490" s="9" t="s">
        <v>410</v>
      </c>
      <c r="DI490" s="9" t="s">
        <v>459</v>
      </c>
      <c r="DJ490" s="9" t="s">
        <v>460</v>
      </c>
      <c r="DK490" s="9" t="s">
        <v>6335</v>
      </c>
      <c r="ET490" s="9" t="s">
        <v>526</v>
      </c>
      <c r="EU490" s="9" t="s">
        <v>479</v>
      </c>
      <c r="EV490" s="9" t="s">
        <v>527</v>
      </c>
      <c r="EW490" s="9" t="s">
        <v>9570</v>
      </c>
      <c r="EX490" s="9" t="s">
        <v>9571</v>
      </c>
      <c r="EY490" s="9" t="s">
        <v>9572</v>
      </c>
      <c r="EZ490" s="9" t="s">
        <v>413</v>
      </c>
      <c r="FA490" s="9" t="s">
        <v>416</v>
      </c>
      <c r="FB490" s="9" t="s">
        <v>413</v>
      </c>
      <c r="FC490" s="9" t="s">
        <v>413</v>
      </c>
      <c r="FD490" s="9" t="s">
        <v>413</v>
      </c>
      <c r="FE490" s="9" t="s">
        <v>413</v>
      </c>
      <c r="FF490" s="9" t="s">
        <v>413</v>
      </c>
      <c r="FG490" s="9" t="s">
        <v>413</v>
      </c>
      <c r="FH490" s="9" t="s">
        <v>413</v>
      </c>
      <c r="FI490" s="9" t="s">
        <v>583</v>
      </c>
      <c r="FJ490" s="9" t="s">
        <v>413</v>
      </c>
      <c r="FK490" s="9" t="s">
        <v>414</v>
      </c>
      <c r="FL490" s="9" t="s">
        <v>414</v>
      </c>
      <c r="FM490" s="9" t="s">
        <v>414</v>
      </c>
      <c r="FN490" s="9" t="s">
        <v>414</v>
      </c>
      <c r="FO490" s="9" t="s">
        <v>417</v>
      </c>
      <c r="FP490" s="9" t="s">
        <v>418</v>
      </c>
      <c r="FQ490" s="9" t="s">
        <v>1039</v>
      </c>
      <c r="FR490" s="9" t="s">
        <v>9573</v>
      </c>
      <c r="FS490" s="9" t="s">
        <v>420</v>
      </c>
      <c r="FT490" s="9" t="s">
        <v>488</v>
      </c>
      <c r="FU490" s="9" t="s">
        <v>489</v>
      </c>
      <c r="FV490" s="9" t="s">
        <v>490</v>
      </c>
      <c r="FW490" s="9" t="s">
        <v>491</v>
      </c>
      <c r="FX490" s="9" t="s">
        <v>9574</v>
      </c>
      <c r="FY490" s="9" t="s">
        <v>535</v>
      </c>
      <c r="GA490" s="9" t="s">
        <v>9575</v>
      </c>
      <c r="GB490" s="9" t="s">
        <v>455</v>
      </c>
      <c r="GC490" s="9"/>
      <c r="GE490" s="9" t="s">
        <v>753</v>
      </c>
      <c r="GF490" s="9" t="s">
        <v>9576</v>
      </c>
      <c r="GG490" s="9" t="s">
        <v>755</v>
      </c>
      <c r="GH490" s="9" t="s">
        <v>755</v>
      </c>
      <c r="GI490" s="9" t="s">
        <v>946</v>
      </c>
      <c r="GQ490" s="9" t="s">
        <v>4653</v>
      </c>
      <c r="GT490" s="9" t="s">
        <v>5170</v>
      </c>
      <c r="GU490" s="9" t="s">
        <v>9577</v>
      </c>
      <c r="GV490" s="9" t="s">
        <v>5231</v>
      </c>
      <c r="GW490" s="9" t="s">
        <v>5232</v>
      </c>
      <c r="HC490" s="9" t="s">
        <v>5297</v>
      </c>
      <c r="HD490" s="9" t="s">
        <v>5349</v>
      </c>
      <c r="HE490" s="9" t="s">
        <v>5320</v>
      </c>
      <c r="HF490" s="9" t="s">
        <v>5300</v>
      </c>
      <c r="HO490" s="9" t="s">
        <v>5301</v>
      </c>
      <c r="HP490" s="9" t="s">
        <v>5719</v>
      </c>
      <c r="HQ490" s="9" t="s">
        <v>5238</v>
      </c>
      <c r="HR490" s="9" t="s">
        <v>5321</v>
      </c>
      <c r="HW490" s="9" t="s">
        <v>9578</v>
      </c>
      <c r="MJ490" s="9" t="s">
        <v>6321</v>
      </c>
    </row>
    <row r="491" ht="22.5" customHeight="1">
      <c r="A491" s="8">
        <v>46123.03185771991</v>
      </c>
      <c r="B491" s="9" t="s">
        <v>368</v>
      </c>
      <c r="C491" s="9" t="s">
        <v>370</v>
      </c>
      <c r="D491" s="9" t="s">
        <v>370</v>
      </c>
      <c r="E491" s="9" t="s">
        <v>667</v>
      </c>
      <c r="F491" s="9" t="s">
        <v>2359</v>
      </c>
      <c r="G491" s="9" t="s">
        <v>636</v>
      </c>
      <c r="H491" s="9" t="s">
        <v>373</v>
      </c>
      <c r="I491" s="9" t="s">
        <v>638</v>
      </c>
      <c r="J491" s="9" t="s">
        <v>425</v>
      </c>
      <c r="K491" s="9" t="s">
        <v>376</v>
      </c>
      <c r="L491" s="9" t="s">
        <v>379</v>
      </c>
      <c r="M491" s="9" t="s">
        <v>378</v>
      </c>
      <c r="N491" s="9" t="s">
        <v>379</v>
      </c>
      <c r="O491" s="9" t="s">
        <v>719</v>
      </c>
      <c r="P491" s="9" t="s">
        <v>381</v>
      </c>
      <c r="Q491" s="9" t="s">
        <v>499</v>
      </c>
      <c r="R491" s="9" t="s">
        <v>500</v>
      </c>
      <c r="S491" s="9" t="s">
        <v>384</v>
      </c>
      <c r="T491" s="9" t="s">
        <v>385</v>
      </c>
      <c r="W491" s="9" t="s">
        <v>386</v>
      </c>
      <c r="X491" s="9" t="s">
        <v>642</v>
      </c>
      <c r="AL491" s="9" t="s">
        <v>1141</v>
      </c>
      <c r="AM491" s="9" t="s">
        <v>2253</v>
      </c>
      <c r="AN491" s="9" t="s">
        <v>408</v>
      </c>
      <c r="AP491" s="9" t="s">
        <v>1144</v>
      </c>
      <c r="AQ491" s="9">
        <v>5.0</v>
      </c>
      <c r="AR491" s="9" t="s">
        <v>1639</v>
      </c>
      <c r="AS491" s="9" t="s">
        <v>9579</v>
      </c>
      <c r="AT491" s="9" t="s">
        <v>9580</v>
      </c>
      <c r="AU491" s="9" t="s">
        <v>9581</v>
      </c>
      <c r="AV491" s="9" t="s">
        <v>1905</v>
      </c>
      <c r="AW491" s="9" t="s">
        <v>675</v>
      </c>
      <c r="AX491" s="9" t="s">
        <v>675</v>
      </c>
      <c r="AY491" s="9" t="s">
        <v>675</v>
      </c>
      <c r="AZ491" s="9" t="s">
        <v>675</v>
      </c>
      <c r="BA491" s="9" t="s">
        <v>675</v>
      </c>
      <c r="BB491" s="9" t="s">
        <v>675</v>
      </c>
      <c r="BC491" s="9" t="s">
        <v>9582</v>
      </c>
      <c r="BD491" s="9" t="s">
        <v>9583</v>
      </c>
      <c r="BE491" s="9" t="s">
        <v>1094</v>
      </c>
      <c r="BF491" s="9" t="s">
        <v>1245</v>
      </c>
      <c r="BG491" s="9" t="s">
        <v>394</v>
      </c>
      <c r="BH491" s="9" t="s">
        <v>9584</v>
      </c>
      <c r="BI491" s="9" t="s">
        <v>976</v>
      </c>
      <c r="BJ491" s="9" t="s">
        <v>9585</v>
      </c>
      <c r="BK491" s="9" t="s">
        <v>602</v>
      </c>
      <c r="BL491" s="9" t="s">
        <v>603</v>
      </c>
      <c r="BM491" s="9" t="s">
        <v>1276</v>
      </c>
      <c r="BN491" s="9" t="s">
        <v>398</v>
      </c>
      <c r="BO491" s="9" t="s">
        <v>9586</v>
      </c>
      <c r="BP491" s="9" t="s">
        <v>9587</v>
      </c>
      <c r="BQ491" s="9" t="s">
        <v>401</v>
      </c>
      <c r="BR491" s="9" t="s">
        <v>9588</v>
      </c>
      <c r="BS491" s="9" t="s">
        <v>403</v>
      </c>
      <c r="BT491" s="9" t="s">
        <v>404</v>
      </c>
      <c r="BU491" s="9" t="s">
        <v>405</v>
      </c>
      <c r="BV491" s="9" t="s">
        <v>9589</v>
      </c>
      <c r="BW491" s="9" t="s">
        <v>988</v>
      </c>
      <c r="BY491" s="9" t="s">
        <v>408</v>
      </c>
      <c r="CB491" s="9" t="s">
        <v>9590</v>
      </c>
      <c r="CC491" s="9" t="s">
        <v>9591</v>
      </c>
      <c r="CD491" s="9" t="s">
        <v>1257</v>
      </c>
      <c r="CF491" s="9" t="s">
        <v>1697</v>
      </c>
      <c r="CG491" s="9" t="s">
        <v>9592</v>
      </c>
      <c r="CH491" s="9" t="s">
        <v>1259</v>
      </c>
      <c r="CI491" s="9" t="s">
        <v>410</v>
      </c>
      <c r="CJ491" s="9" t="s">
        <v>9593</v>
      </c>
      <c r="CK491" s="9" t="s">
        <v>9594</v>
      </c>
      <c r="DI491" s="9" t="s">
        <v>459</v>
      </c>
      <c r="DJ491" s="9" t="s">
        <v>562</v>
      </c>
      <c r="DK491" s="9" t="s">
        <v>6335</v>
      </c>
      <c r="ET491" s="9" t="s">
        <v>526</v>
      </c>
      <c r="EU491" s="9" t="s">
        <v>479</v>
      </c>
      <c r="EV491" s="9" t="s">
        <v>1534</v>
      </c>
      <c r="EW491" s="9" t="s">
        <v>9595</v>
      </c>
      <c r="EX491" s="9" t="s">
        <v>9596</v>
      </c>
      <c r="EY491" s="9" t="s">
        <v>9597</v>
      </c>
      <c r="EZ491" s="9" t="s">
        <v>583</v>
      </c>
      <c r="FA491" s="9" t="s">
        <v>583</v>
      </c>
      <c r="FB491" s="9" t="s">
        <v>583</v>
      </c>
      <c r="FC491" s="9" t="s">
        <v>583</v>
      </c>
      <c r="FD491" s="9" t="s">
        <v>415</v>
      </c>
      <c r="FE491" s="9" t="s">
        <v>583</v>
      </c>
      <c r="FF491" s="9" t="s">
        <v>484</v>
      </c>
      <c r="FG491" s="9" t="s">
        <v>484</v>
      </c>
      <c r="FH491" s="9" t="s">
        <v>484</v>
      </c>
      <c r="FI491" s="9" t="s">
        <v>583</v>
      </c>
      <c r="FJ491" s="9" t="s">
        <v>583</v>
      </c>
      <c r="FK491" s="9" t="s">
        <v>484</v>
      </c>
      <c r="FL491" s="9" t="s">
        <v>484</v>
      </c>
      <c r="FM491" s="9" t="s">
        <v>484</v>
      </c>
      <c r="FN491" s="9" t="s">
        <v>484</v>
      </c>
      <c r="FO491" s="9" t="s">
        <v>485</v>
      </c>
      <c r="FP491" s="9" t="s">
        <v>418</v>
      </c>
      <c r="FQ491" s="9" t="s">
        <v>749</v>
      </c>
      <c r="FR491" s="9" t="s">
        <v>9598</v>
      </c>
      <c r="FS491" s="9" t="s">
        <v>420</v>
      </c>
      <c r="FT491" s="9" t="s">
        <v>488</v>
      </c>
      <c r="FU491" s="9" t="s">
        <v>533</v>
      </c>
      <c r="FV491" s="9" t="s">
        <v>490</v>
      </c>
      <c r="FW491" s="9" t="s">
        <v>491</v>
      </c>
      <c r="FX491" s="9" t="s">
        <v>9599</v>
      </c>
      <c r="FY491" s="9" t="s">
        <v>535</v>
      </c>
      <c r="GA491" s="9" t="s">
        <v>9600</v>
      </c>
      <c r="GB491" s="9" t="s">
        <v>408</v>
      </c>
      <c r="GJ491" s="9" t="s">
        <v>755</v>
      </c>
      <c r="GK491" s="9" t="s">
        <v>755</v>
      </c>
      <c r="GL491" s="9" t="s">
        <v>946</v>
      </c>
      <c r="GQ491" s="9" t="s">
        <v>3208</v>
      </c>
      <c r="GR491" s="9" t="s">
        <v>4774</v>
      </c>
      <c r="GV491" s="9" t="s">
        <v>5231</v>
      </c>
      <c r="GW491" s="9" t="s">
        <v>484</v>
      </c>
      <c r="GX491" s="9" t="s">
        <v>5262</v>
      </c>
      <c r="GY491" s="9" t="s">
        <v>5233</v>
      </c>
      <c r="GZ491" s="9" t="s">
        <v>9601</v>
      </c>
      <c r="HA491" s="9" t="s">
        <v>5369</v>
      </c>
      <c r="HB491" s="9" t="s">
        <v>913</v>
      </c>
      <c r="HO491" s="9" t="s">
        <v>5236</v>
      </c>
      <c r="HP491" s="9" t="s">
        <v>5264</v>
      </c>
      <c r="HQ491" s="9" t="s">
        <v>5801</v>
      </c>
      <c r="HR491" s="9" t="s">
        <v>9602</v>
      </c>
      <c r="MJ491" s="9" t="s">
        <v>6321</v>
      </c>
    </row>
    <row r="492" ht="22.5" customHeight="1">
      <c r="A492" s="8">
        <v>46123.75352236111</v>
      </c>
      <c r="B492" s="9" t="s">
        <v>368</v>
      </c>
      <c r="C492" s="9" t="s">
        <v>370</v>
      </c>
      <c r="D492" s="9" t="s">
        <v>370</v>
      </c>
      <c r="E492" s="9" t="s">
        <v>3955</v>
      </c>
      <c r="F492" s="9" t="s">
        <v>3955</v>
      </c>
      <c r="G492" s="9" t="s">
        <v>422</v>
      </c>
      <c r="H492" s="9" t="s">
        <v>373</v>
      </c>
      <c r="I492" s="9" t="s">
        <v>374</v>
      </c>
      <c r="J492" s="9" t="s">
        <v>425</v>
      </c>
      <c r="K492" s="9" t="s">
        <v>376</v>
      </c>
      <c r="L492" s="9" t="s">
        <v>591</v>
      </c>
      <c r="M492" s="9" t="s">
        <v>378</v>
      </c>
      <c r="N492" s="9" t="s">
        <v>591</v>
      </c>
      <c r="O492" s="9" t="s">
        <v>719</v>
      </c>
      <c r="P492" s="9" t="s">
        <v>592</v>
      </c>
      <c r="Q492" s="9" t="s">
        <v>862</v>
      </c>
      <c r="R492" s="9" t="s">
        <v>949</v>
      </c>
      <c r="S492" s="9" t="s">
        <v>384</v>
      </c>
      <c r="T492" s="9" t="s">
        <v>385</v>
      </c>
      <c r="W492" s="9" t="s">
        <v>386</v>
      </c>
      <c r="X492" s="9" t="s">
        <v>387</v>
      </c>
      <c r="Y492" s="9" t="s">
        <v>2115</v>
      </c>
      <c r="Z492" s="9" t="s">
        <v>672</v>
      </c>
      <c r="AA492" s="9" t="s">
        <v>9603</v>
      </c>
      <c r="AB492" s="9" t="s">
        <v>9604</v>
      </c>
      <c r="AV492" s="9" t="s">
        <v>597</v>
      </c>
      <c r="AW492" s="9">
        <v>2.0</v>
      </c>
      <c r="AX492" s="9">
        <v>2.0</v>
      </c>
      <c r="AY492" s="9">
        <v>2.0</v>
      </c>
      <c r="AZ492" s="9" t="s">
        <v>429</v>
      </c>
      <c r="BA492" s="9">
        <v>2.0</v>
      </c>
      <c r="BB492" s="9">
        <v>2.0</v>
      </c>
      <c r="BC492" s="9" t="s">
        <v>9605</v>
      </c>
      <c r="BD492" s="9" t="s">
        <v>9606</v>
      </c>
      <c r="BE492" s="9" t="s">
        <v>902</v>
      </c>
      <c r="BF492" s="9" t="s">
        <v>433</v>
      </c>
      <c r="BG492" s="9" t="s">
        <v>678</v>
      </c>
      <c r="BH492" s="9" t="s">
        <v>9607</v>
      </c>
      <c r="BI492" s="9" t="s">
        <v>509</v>
      </c>
      <c r="BJ492" s="9" t="s">
        <v>9608</v>
      </c>
      <c r="BK492" s="9" t="s">
        <v>681</v>
      </c>
      <c r="BL492" s="9" t="s">
        <v>438</v>
      </c>
      <c r="BM492" s="9" t="s">
        <v>549</v>
      </c>
      <c r="BN492" s="9" t="s">
        <v>440</v>
      </c>
      <c r="CL492" s="9" t="s">
        <v>441</v>
      </c>
      <c r="CM492" s="9" t="s">
        <v>604</v>
      </c>
      <c r="CN492" s="9" t="s">
        <v>9609</v>
      </c>
      <c r="CO492" s="9" t="s">
        <v>9610</v>
      </c>
      <c r="CP492" s="9" t="s">
        <v>445</v>
      </c>
      <c r="CQ492" s="9" t="s">
        <v>9611</v>
      </c>
      <c r="CR492" s="9" t="s">
        <v>447</v>
      </c>
      <c r="CS492" s="9" t="s">
        <v>556</v>
      </c>
      <c r="CT492" s="9" t="s">
        <v>9612</v>
      </c>
      <c r="CU492" s="9" t="s">
        <v>450</v>
      </c>
      <c r="CV492" s="9" t="s">
        <v>451</v>
      </c>
      <c r="CW492" s="9" t="s">
        <v>9613</v>
      </c>
      <c r="CX492" s="9" t="s">
        <v>408</v>
      </c>
      <c r="CZ492" s="9" t="s">
        <v>453</v>
      </c>
      <c r="DA492" s="9" t="s">
        <v>9614</v>
      </c>
      <c r="DB492" s="9" t="s">
        <v>455</v>
      </c>
      <c r="DC492" s="9" t="s">
        <v>9615</v>
      </c>
      <c r="DD492" s="9" t="s">
        <v>457</v>
      </c>
      <c r="DF492" s="9" t="s">
        <v>9616</v>
      </c>
      <c r="DG492" s="9" t="s">
        <v>524</v>
      </c>
      <c r="DH492" s="9" t="s">
        <v>410</v>
      </c>
      <c r="DI492" s="9" t="s">
        <v>459</v>
      </c>
      <c r="DJ492" s="9" t="s">
        <v>613</v>
      </c>
      <c r="DM492" s="9" t="s">
        <v>9617</v>
      </c>
      <c r="DN492" s="9" t="s">
        <v>9618</v>
      </c>
      <c r="DO492" s="9" t="s">
        <v>1063</v>
      </c>
      <c r="DP492" s="9" t="s">
        <v>9619</v>
      </c>
      <c r="DQ492" s="9" t="s">
        <v>1176</v>
      </c>
      <c r="DR492" s="9" t="s">
        <v>9620</v>
      </c>
      <c r="DS492" s="9" t="s">
        <v>6617</v>
      </c>
      <c r="DT492" s="9" t="s">
        <v>6618</v>
      </c>
      <c r="DU492" s="9" t="s">
        <v>9621</v>
      </c>
      <c r="DV492" s="9" t="s">
        <v>9622</v>
      </c>
      <c r="DW492" s="9" t="s">
        <v>622</v>
      </c>
      <c r="DX492" s="9" t="s">
        <v>9623</v>
      </c>
      <c r="DY492" s="9" t="s">
        <v>9624</v>
      </c>
      <c r="DZ492" s="9" t="s">
        <v>9625</v>
      </c>
      <c r="EA492" s="9" t="s">
        <v>475</v>
      </c>
      <c r="EB492" s="9" t="s">
        <v>845</v>
      </c>
      <c r="EC492" s="9" t="s">
        <v>9626</v>
      </c>
      <c r="ET492" s="9" t="s">
        <v>478</v>
      </c>
      <c r="EU492" s="9" t="s">
        <v>887</v>
      </c>
      <c r="EV492" s="9" t="s">
        <v>480</v>
      </c>
      <c r="EW492" s="9" t="s">
        <v>9627</v>
      </c>
      <c r="EX492" s="9" t="s">
        <v>9628</v>
      </c>
      <c r="EY492" s="9" t="s">
        <v>9629</v>
      </c>
      <c r="EZ492" s="9" t="s">
        <v>583</v>
      </c>
      <c r="FA492" s="9" t="s">
        <v>583</v>
      </c>
      <c r="FB492" s="9" t="s">
        <v>583</v>
      </c>
      <c r="FC492" s="9" t="s">
        <v>583</v>
      </c>
      <c r="FD492" s="9" t="s">
        <v>416</v>
      </c>
      <c r="FE492" s="9" t="s">
        <v>583</v>
      </c>
      <c r="FF492" s="9" t="s">
        <v>415</v>
      </c>
      <c r="FG492" s="9" t="s">
        <v>416</v>
      </c>
      <c r="FH492" s="9" t="s">
        <v>583</v>
      </c>
      <c r="FI492" s="9" t="s">
        <v>583</v>
      </c>
      <c r="FJ492" s="9" t="s">
        <v>583</v>
      </c>
      <c r="FK492" s="9" t="s">
        <v>415</v>
      </c>
      <c r="FL492" s="9" t="s">
        <v>415</v>
      </c>
      <c r="FM492" s="9" t="s">
        <v>415</v>
      </c>
      <c r="FN492" s="9" t="s">
        <v>415</v>
      </c>
      <c r="FO492" s="9" t="s">
        <v>485</v>
      </c>
      <c r="FP492" s="9" t="s">
        <v>418</v>
      </c>
      <c r="FQ492" s="9" t="s">
        <v>419</v>
      </c>
      <c r="FR492" s="9" t="s">
        <v>9630</v>
      </c>
      <c r="FS492" s="9" t="s">
        <v>420</v>
      </c>
      <c r="FT492" s="9" t="s">
        <v>488</v>
      </c>
      <c r="FU492" s="9" t="s">
        <v>533</v>
      </c>
      <c r="FV492" s="9" t="s">
        <v>490</v>
      </c>
      <c r="FW492" s="9" t="s">
        <v>491</v>
      </c>
      <c r="FX492" s="9" t="s">
        <v>9631</v>
      </c>
      <c r="FY492" s="9" t="s">
        <v>535</v>
      </c>
      <c r="FZ492" s="9" t="s">
        <v>9632</v>
      </c>
      <c r="GB492" s="9" t="s">
        <v>455</v>
      </c>
      <c r="GC492" s="9"/>
      <c r="GE492" s="9" t="s">
        <v>1339</v>
      </c>
      <c r="GG492" s="9" t="s">
        <v>920</v>
      </c>
      <c r="GH492" s="9" t="s">
        <v>755</v>
      </c>
      <c r="GI492" s="9" t="s">
        <v>946</v>
      </c>
      <c r="GM492" s="9" t="s">
        <v>1079</v>
      </c>
      <c r="GQ492" s="9" t="s">
        <v>3208</v>
      </c>
      <c r="GT492" s="9" t="s">
        <v>5039</v>
      </c>
      <c r="GU492" s="9" t="s">
        <v>9633</v>
      </c>
      <c r="GV492" s="9" t="s">
        <v>5231</v>
      </c>
      <c r="GW492" s="9" t="s">
        <v>484</v>
      </c>
      <c r="HC492" s="9" t="s">
        <v>5297</v>
      </c>
      <c r="HD492" s="9" t="s">
        <v>5282</v>
      </c>
      <c r="HE492" s="9" t="s">
        <v>5320</v>
      </c>
      <c r="HF492" s="9" t="s">
        <v>5768</v>
      </c>
      <c r="HG492" s="9" t="s">
        <v>9634</v>
      </c>
      <c r="HH492" s="9" t="s">
        <v>9635</v>
      </c>
      <c r="HI492" s="9" t="s">
        <v>9636</v>
      </c>
      <c r="HJ492" s="9" t="s">
        <v>9637</v>
      </c>
      <c r="HO492" s="9" t="s">
        <v>5346</v>
      </c>
      <c r="HP492" s="9" t="s">
        <v>5237</v>
      </c>
      <c r="HQ492" s="9" t="s">
        <v>5238</v>
      </c>
      <c r="HR492" s="9" t="s">
        <v>9638</v>
      </c>
      <c r="HW492" s="9" t="s">
        <v>5501</v>
      </c>
      <c r="IN492" s="9" t="s">
        <v>5536</v>
      </c>
      <c r="IO492" s="9" t="s">
        <v>5536</v>
      </c>
      <c r="IP492" s="9" t="s">
        <v>5500</v>
      </c>
      <c r="IQ492" s="9" t="s">
        <v>5989</v>
      </c>
      <c r="IR492" s="9" t="s">
        <v>5536</v>
      </c>
      <c r="IS492" s="9" t="s">
        <v>5536</v>
      </c>
      <c r="MJ492" s="9" t="s">
        <v>6321</v>
      </c>
    </row>
    <row r="493" ht="22.5" customHeight="1">
      <c r="A493" s="8">
        <v>46124.27076814815</v>
      </c>
      <c r="B493" s="9" t="s">
        <v>368</v>
      </c>
      <c r="C493" s="9" t="s">
        <v>1341</v>
      </c>
      <c r="D493" s="9" t="s">
        <v>1341</v>
      </c>
      <c r="G493" s="9" t="s">
        <v>422</v>
      </c>
      <c r="H493" s="9" t="s">
        <v>539</v>
      </c>
      <c r="I493" s="9" t="s">
        <v>424</v>
      </c>
      <c r="J493" s="9" t="s">
        <v>718</v>
      </c>
      <c r="K493" s="9" t="s">
        <v>376</v>
      </c>
      <c r="R493" s="9" t="s">
        <v>427</v>
      </c>
      <c r="S493" s="9" t="s">
        <v>384</v>
      </c>
      <c r="T493" s="9" t="s">
        <v>385</v>
      </c>
      <c r="W493" s="9" t="s">
        <v>3014</v>
      </c>
      <c r="AV493" s="9" t="s">
        <v>1310</v>
      </c>
      <c r="AW493" s="9" t="s">
        <v>675</v>
      </c>
      <c r="AX493" s="9">
        <v>4.0</v>
      </c>
      <c r="AY493" s="9" t="s">
        <v>429</v>
      </c>
      <c r="AZ493" s="9" t="s">
        <v>429</v>
      </c>
      <c r="BA493" s="9" t="s">
        <v>429</v>
      </c>
      <c r="BB493" s="9">
        <v>4.0</v>
      </c>
      <c r="BC493" s="9" t="s">
        <v>9639</v>
      </c>
      <c r="BD493" s="9" t="s">
        <v>9640</v>
      </c>
      <c r="BE493" s="9" t="s">
        <v>2379</v>
      </c>
      <c r="BF493" s="9" t="s">
        <v>1095</v>
      </c>
      <c r="BG493" s="9" t="s">
        <v>765</v>
      </c>
      <c r="BI493" s="9" t="s">
        <v>727</v>
      </c>
      <c r="BK493" s="9" t="s">
        <v>511</v>
      </c>
      <c r="BL493" s="9" t="s">
        <v>438</v>
      </c>
      <c r="BM493" s="9" t="s">
        <v>1247</v>
      </c>
      <c r="BN493" s="9" t="s">
        <v>513</v>
      </c>
      <c r="CL493" s="9" t="s">
        <v>682</v>
      </c>
      <c r="CM493" s="9" t="s">
        <v>604</v>
      </c>
      <c r="CN493" s="9" t="s">
        <v>8920</v>
      </c>
      <c r="CO493" s="9" t="s">
        <v>9641</v>
      </c>
      <c r="CU493" s="9" t="s">
        <v>982</v>
      </c>
      <c r="CV493" s="9" t="s">
        <v>959</v>
      </c>
      <c r="DG493" s="9" t="s">
        <v>990</v>
      </c>
      <c r="DI493" s="9" t="s">
        <v>963</v>
      </c>
      <c r="FO493" s="9" t="s">
        <v>1537</v>
      </c>
      <c r="FP493" s="9" t="s">
        <v>3218</v>
      </c>
      <c r="FQ493" s="9" t="s">
        <v>419</v>
      </c>
      <c r="FS493" s="9" t="s">
        <v>1871</v>
      </c>
      <c r="FU493" s="9" t="s">
        <v>1235</v>
      </c>
      <c r="GB493" s="11"/>
      <c r="GG493" s="9" t="s">
        <v>755</v>
      </c>
      <c r="GN493" s="9" t="s">
        <v>1341</v>
      </c>
      <c r="GT493" s="9" t="s">
        <v>4774</v>
      </c>
      <c r="GV493" s="9" t="s">
        <v>5231</v>
      </c>
      <c r="HS493" s="9" t="s">
        <v>5987</v>
      </c>
      <c r="HU493" s="9" t="s">
        <v>5988</v>
      </c>
      <c r="HV493" s="9" t="s">
        <v>5918</v>
      </c>
      <c r="HX493" s="9" t="s">
        <v>5922</v>
      </c>
      <c r="HY493" s="9" t="s">
        <v>5919</v>
      </c>
      <c r="HZ493" s="9" t="s">
        <v>5921</v>
      </c>
      <c r="IA493" s="9" t="s">
        <v>6464</v>
      </c>
      <c r="IB493" s="9" t="s">
        <v>5921</v>
      </c>
      <c r="IC493" s="9" t="s">
        <v>5922</v>
      </c>
      <c r="ID493" s="9" t="s">
        <v>5536</v>
      </c>
      <c r="IE493" s="9" t="s">
        <v>5989</v>
      </c>
      <c r="IF493" s="9" t="s">
        <v>5536</v>
      </c>
      <c r="IG493" s="9" t="s">
        <v>6522</v>
      </c>
      <c r="IH493" s="9" t="s">
        <v>6522</v>
      </c>
      <c r="II493" s="9" t="s">
        <v>5500</v>
      </c>
      <c r="IK493" s="9" t="s">
        <v>7126</v>
      </c>
      <c r="MJ493" s="9" t="s">
        <v>6321</v>
      </c>
    </row>
    <row r="494" ht="22.5" customHeight="1">
      <c r="A494" s="8">
        <v>46124.78037094907</v>
      </c>
      <c r="B494" s="9" t="s">
        <v>368</v>
      </c>
      <c r="C494" s="9" t="s">
        <v>370</v>
      </c>
      <c r="D494" s="9" t="s">
        <v>370</v>
      </c>
      <c r="E494" s="9" t="s">
        <v>371</v>
      </c>
      <c r="F494" s="9" t="s">
        <v>371</v>
      </c>
      <c r="G494" s="9" t="s">
        <v>422</v>
      </c>
      <c r="H494" s="9" t="s">
        <v>1921</v>
      </c>
      <c r="I494" s="9" t="s">
        <v>668</v>
      </c>
      <c r="J494" s="9" t="s">
        <v>425</v>
      </c>
      <c r="K494" s="9" t="s">
        <v>376</v>
      </c>
      <c r="L494" s="9" t="s">
        <v>426</v>
      </c>
      <c r="M494" s="9" t="s">
        <v>378</v>
      </c>
      <c r="N494" s="9" t="s">
        <v>426</v>
      </c>
      <c r="O494" s="9" t="s">
        <v>9642</v>
      </c>
      <c r="P494" s="9" t="s">
        <v>592</v>
      </c>
      <c r="Q494" s="9" t="s">
        <v>499</v>
      </c>
      <c r="R494" s="9" t="s">
        <v>641</v>
      </c>
      <c r="S494" s="9" t="s">
        <v>384</v>
      </c>
      <c r="T494" s="9" t="s">
        <v>385</v>
      </c>
      <c r="W494" s="9" t="s">
        <v>386</v>
      </c>
      <c r="X494" s="9" t="s">
        <v>387</v>
      </c>
      <c r="Y494" s="9" t="s">
        <v>1824</v>
      </c>
      <c r="Z494" s="9" t="s">
        <v>543</v>
      </c>
      <c r="AV494" s="9" t="s">
        <v>390</v>
      </c>
      <c r="AW494" s="9" t="s">
        <v>391</v>
      </c>
      <c r="AX494" s="9" t="s">
        <v>391</v>
      </c>
      <c r="AY494" s="9">
        <v>2.0</v>
      </c>
      <c r="AZ494" s="9">
        <v>2.0</v>
      </c>
      <c r="BA494" s="9" t="s">
        <v>429</v>
      </c>
      <c r="BB494" s="9">
        <v>2.0</v>
      </c>
      <c r="BE494" s="9" t="s">
        <v>2379</v>
      </c>
      <c r="BF494" s="9" t="s">
        <v>1095</v>
      </c>
      <c r="BG494" s="9" t="s">
        <v>678</v>
      </c>
      <c r="BI494" s="9" t="s">
        <v>727</v>
      </c>
      <c r="BK494" s="9" t="s">
        <v>681</v>
      </c>
      <c r="BL494" s="9" t="s">
        <v>512</v>
      </c>
      <c r="BM494" s="9" t="s">
        <v>1276</v>
      </c>
      <c r="BN494" s="9" t="s">
        <v>513</v>
      </c>
      <c r="CL494" s="9" t="s">
        <v>441</v>
      </c>
      <c r="CM494" s="9" t="s">
        <v>401</v>
      </c>
      <c r="CN494" s="9" t="s">
        <v>1313</v>
      </c>
      <c r="CO494" s="9" t="s">
        <v>9643</v>
      </c>
      <c r="CP494" s="9" t="s">
        <v>1008</v>
      </c>
      <c r="CQ494" s="9" t="s">
        <v>1467</v>
      </c>
      <c r="CR494" s="9" t="s">
        <v>447</v>
      </c>
      <c r="CS494" s="9" t="s">
        <v>4693</v>
      </c>
      <c r="CU494" s="9" t="s">
        <v>450</v>
      </c>
      <c r="CV494" s="9" t="s">
        <v>451</v>
      </c>
      <c r="CW494" s="9" t="s">
        <v>9644</v>
      </c>
      <c r="CX494" s="9" t="s">
        <v>408</v>
      </c>
      <c r="CZ494" s="9" t="s">
        <v>985</v>
      </c>
      <c r="DB494" s="9" t="s">
        <v>408</v>
      </c>
      <c r="DD494" s="9" t="s">
        <v>988</v>
      </c>
      <c r="DE494" s="9" t="s">
        <v>407</v>
      </c>
      <c r="DG494" s="9" t="s">
        <v>524</v>
      </c>
      <c r="DH494" s="9" t="s">
        <v>410</v>
      </c>
      <c r="DI494" s="9" t="s">
        <v>963</v>
      </c>
      <c r="DJ494" s="9" t="s">
        <v>562</v>
      </c>
      <c r="DK494" s="9" t="s">
        <v>6603</v>
      </c>
      <c r="DL494" s="9" t="s">
        <v>9645</v>
      </c>
      <c r="ET494" s="9" t="s">
        <v>478</v>
      </c>
      <c r="EU494" s="9" t="s">
        <v>479</v>
      </c>
      <c r="EV494" s="9" t="s">
        <v>480</v>
      </c>
      <c r="EW494" s="9" t="s">
        <v>9646</v>
      </c>
      <c r="EZ494" s="9" t="s">
        <v>413</v>
      </c>
      <c r="FA494" s="9" t="s">
        <v>413</v>
      </c>
      <c r="FB494" s="9" t="s">
        <v>413</v>
      </c>
      <c r="FC494" s="9" t="s">
        <v>413</v>
      </c>
      <c r="FD494" s="9" t="s">
        <v>413</v>
      </c>
      <c r="FE494" s="9" t="s">
        <v>413</v>
      </c>
      <c r="FF494" s="9" t="s">
        <v>413</v>
      </c>
      <c r="FG494" s="9" t="s">
        <v>413</v>
      </c>
      <c r="FH494" s="9" t="s">
        <v>413</v>
      </c>
      <c r="FI494" s="9" t="s">
        <v>413</v>
      </c>
      <c r="FJ494" s="9" t="s">
        <v>413</v>
      </c>
      <c r="FK494" s="9" t="s">
        <v>413</v>
      </c>
      <c r="FL494" s="9" t="s">
        <v>413</v>
      </c>
      <c r="FM494" s="9" t="s">
        <v>413</v>
      </c>
      <c r="FN494" s="9" t="s">
        <v>413</v>
      </c>
      <c r="FO494" s="9" t="s">
        <v>417</v>
      </c>
      <c r="FP494" s="9" t="s">
        <v>418</v>
      </c>
      <c r="FQ494" s="9" t="s">
        <v>419</v>
      </c>
      <c r="FS494" s="9" t="s">
        <v>420</v>
      </c>
      <c r="FT494" s="9" t="s">
        <v>488</v>
      </c>
      <c r="FU494" s="9" t="s">
        <v>918</v>
      </c>
      <c r="FV494" s="9" t="s">
        <v>490</v>
      </c>
      <c r="FW494" s="9" t="s">
        <v>491</v>
      </c>
      <c r="FY494" s="9" t="s">
        <v>535</v>
      </c>
      <c r="FZ494" s="9" t="s">
        <v>9647</v>
      </c>
      <c r="GB494" s="9" t="s">
        <v>455</v>
      </c>
      <c r="GC494" s="9"/>
      <c r="GE494" s="9" t="s">
        <v>753</v>
      </c>
      <c r="GG494" s="9" t="s">
        <v>857</v>
      </c>
      <c r="GH494" s="9" t="s">
        <v>857</v>
      </c>
      <c r="GI494" s="9" t="s">
        <v>790</v>
      </c>
      <c r="GQ494" s="9" t="s">
        <v>6251</v>
      </c>
      <c r="GT494" s="9" t="s">
        <v>5318</v>
      </c>
      <c r="GV494" s="9" t="s">
        <v>5231</v>
      </c>
      <c r="GW494" s="9" t="s">
        <v>5232</v>
      </c>
      <c r="HC494" s="9" t="s">
        <v>5297</v>
      </c>
      <c r="HD494" s="9" t="s">
        <v>5349</v>
      </c>
      <c r="HE494" s="9" t="s">
        <v>5320</v>
      </c>
      <c r="HF494" s="9" t="s">
        <v>5300</v>
      </c>
      <c r="HO494" s="9" t="s">
        <v>5301</v>
      </c>
      <c r="HP494" s="9" t="s">
        <v>5264</v>
      </c>
      <c r="HQ494" s="9" t="s">
        <v>5238</v>
      </c>
      <c r="HR494" s="9" t="s">
        <v>9648</v>
      </c>
      <c r="HW494" s="9" t="s">
        <v>5501</v>
      </c>
      <c r="MJ494" s="9" t="s">
        <v>6321</v>
      </c>
    </row>
    <row r="495" ht="22.5" customHeight="1">
      <c r="A495" s="8">
        <v>46125.61132210648</v>
      </c>
      <c r="B495" s="9" t="s">
        <v>368</v>
      </c>
      <c r="C495" s="9" t="s">
        <v>538</v>
      </c>
      <c r="D495" s="9" t="s">
        <v>538</v>
      </c>
      <c r="G495" s="9" t="s">
        <v>636</v>
      </c>
      <c r="H495" s="9" t="s">
        <v>637</v>
      </c>
      <c r="I495" s="9" t="s">
        <v>638</v>
      </c>
      <c r="J495" s="9" t="s">
        <v>540</v>
      </c>
      <c r="K495" s="9" t="s">
        <v>376</v>
      </c>
      <c r="L495" s="9" t="s">
        <v>377</v>
      </c>
      <c r="M495" s="9" t="s">
        <v>541</v>
      </c>
      <c r="N495" s="9" t="s">
        <v>793</v>
      </c>
      <c r="O495" s="9" t="s">
        <v>639</v>
      </c>
      <c r="P495" s="9" t="s">
        <v>592</v>
      </c>
      <c r="Q495" s="9" t="s">
        <v>1004</v>
      </c>
      <c r="R495" s="9" t="s">
        <v>500</v>
      </c>
      <c r="S495" s="9" t="s">
        <v>384</v>
      </c>
      <c r="T495" s="9" t="s">
        <v>385</v>
      </c>
      <c r="W495" s="9" t="s">
        <v>3231</v>
      </c>
      <c r="AV495" s="9" t="s">
        <v>1242</v>
      </c>
      <c r="AW495" s="9" t="s">
        <v>675</v>
      </c>
      <c r="AX495" s="9" t="s">
        <v>675</v>
      </c>
      <c r="AY495" s="9">
        <v>4.0</v>
      </c>
      <c r="AZ495" s="9" t="s">
        <v>391</v>
      </c>
      <c r="BA495" s="9" t="s">
        <v>429</v>
      </c>
      <c r="BB495" s="9" t="s">
        <v>675</v>
      </c>
      <c r="BC495" s="9" t="s">
        <v>9649</v>
      </c>
      <c r="BD495" s="9" t="s">
        <v>9650</v>
      </c>
      <c r="BE495" s="9" t="s">
        <v>2379</v>
      </c>
      <c r="BF495" s="9" t="s">
        <v>1245</v>
      </c>
      <c r="BG495" s="9" t="s">
        <v>678</v>
      </c>
      <c r="BH495" s="9" t="s">
        <v>9651</v>
      </c>
      <c r="BI495" s="9" t="s">
        <v>976</v>
      </c>
      <c r="BJ495" s="9" t="s">
        <v>9652</v>
      </c>
      <c r="BK495" s="9" t="s">
        <v>681</v>
      </c>
      <c r="BL495" s="9" t="s">
        <v>603</v>
      </c>
      <c r="BM495" s="9" t="s">
        <v>1314</v>
      </c>
      <c r="BN495" s="9" t="s">
        <v>513</v>
      </c>
      <c r="CL495" s="9" t="s">
        <v>441</v>
      </c>
      <c r="CM495" s="9" t="s">
        <v>604</v>
      </c>
      <c r="CN495" s="9" t="s">
        <v>9653</v>
      </c>
      <c r="CO495" s="9" t="s">
        <v>9654</v>
      </c>
      <c r="CP495" s="9" t="s">
        <v>445</v>
      </c>
      <c r="CQ495" s="9" t="s">
        <v>9655</v>
      </c>
      <c r="CR495" s="9" t="s">
        <v>555</v>
      </c>
      <c r="CS495" s="9" t="s">
        <v>9656</v>
      </c>
      <c r="CT495" s="9" t="s">
        <v>9657</v>
      </c>
      <c r="CU495" s="9" t="s">
        <v>3167</v>
      </c>
      <c r="CV495" s="9" t="s">
        <v>1931</v>
      </c>
      <c r="CW495" s="9" t="s">
        <v>9658</v>
      </c>
      <c r="CX495" s="9" t="s">
        <v>408</v>
      </c>
      <c r="CZ495" s="9" t="s">
        <v>453</v>
      </c>
      <c r="DA495" s="9" t="s">
        <v>9659</v>
      </c>
      <c r="DB495" s="9" t="s">
        <v>408</v>
      </c>
      <c r="DD495" s="9" t="s">
        <v>457</v>
      </c>
      <c r="DF495" s="9" t="s">
        <v>9660</v>
      </c>
      <c r="DG495" s="9" t="s">
        <v>693</v>
      </c>
      <c r="DH495" s="9" t="s">
        <v>833</v>
      </c>
      <c r="DI495" s="9" t="s">
        <v>459</v>
      </c>
      <c r="DJ495" s="9" t="s">
        <v>562</v>
      </c>
      <c r="DK495" s="9" t="s">
        <v>6335</v>
      </c>
      <c r="ET495" s="9" t="s">
        <v>2747</v>
      </c>
      <c r="EU495" s="9" t="s">
        <v>1037</v>
      </c>
      <c r="EV495" s="9" t="s">
        <v>1534</v>
      </c>
      <c r="EW495" s="9" t="s">
        <v>9661</v>
      </c>
      <c r="EX495" s="9" t="s">
        <v>9662</v>
      </c>
      <c r="EY495" s="9" t="s">
        <v>9663</v>
      </c>
      <c r="EZ495" s="9" t="s">
        <v>583</v>
      </c>
      <c r="FA495" s="9" t="s">
        <v>583</v>
      </c>
      <c r="FB495" s="9" t="s">
        <v>583</v>
      </c>
      <c r="FC495" s="9" t="s">
        <v>583</v>
      </c>
      <c r="FD495" s="9" t="s">
        <v>413</v>
      </c>
      <c r="FE495" s="9" t="s">
        <v>583</v>
      </c>
      <c r="FF495" s="9" t="s">
        <v>583</v>
      </c>
      <c r="FG495" s="9" t="s">
        <v>583</v>
      </c>
      <c r="FH495" s="9" t="s">
        <v>583</v>
      </c>
      <c r="FI495" s="9" t="s">
        <v>583</v>
      </c>
      <c r="FJ495" s="9" t="s">
        <v>415</v>
      </c>
      <c r="FK495" s="9" t="s">
        <v>414</v>
      </c>
      <c r="FL495" s="9" t="s">
        <v>414</v>
      </c>
      <c r="FM495" s="9" t="s">
        <v>583</v>
      </c>
      <c r="FN495" s="9" t="s">
        <v>583</v>
      </c>
      <c r="FO495" s="9" t="s">
        <v>1537</v>
      </c>
      <c r="FP495" s="9" t="s">
        <v>486</v>
      </c>
      <c r="FQ495" s="9" t="s">
        <v>419</v>
      </c>
      <c r="FR495" s="9" t="s">
        <v>9664</v>
      </c>
      <c r="FS495" s="9" t="s">
        <v>1871</v>
      </c>
      <c r="FT495" s="9" t="s">
        <v>1462</v>
      </c>
      <c r="FV495" s="9" t="s">
        <v>2136</v>
      </c>
      <c r="FW495" s="9" t="s">
        <v>1853</v>
      </c>
      <c r="FX495" s="9" t="s">
        <v>9665</v>
      </c>
      <c r="FY495" s="9" t="s">
        <v>1854</v>
      </c>
      <c r="GB495" s="9" t="s">
        <v>455</v>
      </c>
      <c r="GC495" s="9"/>
      <c r="GE495" s="9" t="s">
        <v>944</v>
      </c>
      <c r="GF495" s="9" t="s">
        <v>9666</v>
      </c>
      <c r="GG495" s="9" t="s">
        <v>755</v>
      </c>
      <c r="GH495" s="9" t="s">
        <v>755</v>
      </c>
      <c r="GI495" s="9" t="s">
        <v>817</v>
      </c>
      <c r="GP495" s="9" t="s">
        <v>9667</v>
      </c>
      <c r="GQ495" s="9" t="s">
        <v>3306</v>
      </c>
      <c r="GT495" s="9" t="s">
        <v>4774</v>
      </c>
      <c r="GV495" s="9" t="s">
        <v>5231</v>
      </c>
      <c r="GW495" s="9" t="s">
        <v>5232</v>
      </c>
      <c r="HC495" s="9" t="s">
        <v>5281</v>
      </c>
      <c r="HD495" s="9" t="s">
        <v>5382</v>
      </c>
      <c r="HE495" s="9" t="s">
        <v>5299</v>
      </c>
      <c r="HF495" s="9" t="s">
        <v>5284</v>
      </c>
      <c r="HO495" s="9" t="s">
        <v>5285</v>
      </c>
      <c r="HP495" s="9" t="s">
        <v>5302</v>
      </c>
      <c r="HQ495" s="9" t="s">
        <v>5721</v>
      </c>
      <c r="HR495" s="9" t="s">
        <v>5287</v>
      </c>
      <c r="HW495" s="9" t="s">
        <v>6789</v>
      </c>
      <c r="MJ495" s="9" t="s">
        <v>6321</v>
      </c>
    </row>
    <row r="496" ht="22.5" customHeight="1">
      <c r="A496" s="8">
        <v>46126.372135682876</v>
      </c>
      <c r="B496" s="9" t="s">
        <v>368</v>
      </c>
      <c r="C496" s="9" t="s">
        <v>3570</v>
      </c>
      <c r="D496" s="9" t="s">
        <v>370</v>
      </c>
      <c r="F496" s="9" t="s">
        <v>2376</v>
      </c>
      <c r="G496" s="9" t="s">
        <v>372</v>
      </c>
      <c r="H496" s="9" t="s">
        <v>373</v>
      </c>
      <c r="I496" s="9" t="s">
        <v>374</v>
      </c>
      <c r="J496" s="9" t="s">
        <v>375</v>
      </c>
      <c r="K496" s="9" t="s">
        <v>1383</v>
      </c>
      <c r="L496" s="9" t="s">
        <v>591</v>
      </c>
      <c r="M496" s="9" t="s">
        <v>541</v>
      </c>
      <c r="N496" s="9" t="s">
        <v>426</v>
      </c>
      <c r="O496" s="9" t="s">
        <v>380</v>
      </c>
      <c r="P496" s="9" t="s">
        <v>498</v>
      </c>
      <c r="Q496" s="9" t="s">
        <v>499</v>
      </c>
      <c r="R496" s="9" t="s">
        <v>1197</v>
      </c>
      <c r="S496" s="9" t="s">
        <v>384</v>
      </c>
      <c r="T496" s="9" t="s">
        <v>385</v>
      </c>
      <c r="W496" s="9" t="s">
        <v>3014</v>
      </c>
      <c r="AV496" s="9" t="s">
        <v>1310</v>
      </c>
      <c r="AW496" s="9">
        <v>4.0</v>
      </c>
      <c r="AX496" s="9" t="s">
        <v>391</v>
      </c>
      <c r="AY496" s="9">
        <v>2.0</v>
      </c>
      <c r="AZ496" s="9" t="s">
        <v>391</v>
      </c>
      <c r="BA496" s="9">
        <v>4.0</v>
      </c>
      <c r="BB496" s="9" t="s">
        <v>675</v>
      </c>
      <c r="BC496" s="9" t="s">
        <v>9668</v>
      </c>
      <c r="BD496" s="9" t="s">
        <v>9669</v>
      </c>
      <c r="BE496" s="9" t="s">
        <v>392</v>
      </c>
      <c r="BF496" s="9" t="s">
        <v>393</v>
      </c>
      <c r="BG496" s="9" t="s">
        <v>725</v>
      </c>
      <c r="BH496" s="9" t="s">
        <v>9670</v>
      </c>
      <c r="BI496" s="9" t="s">
        <v>435</v>
      </c>
      <c r="BJ496" s="9" t="s">
        <v>9671</v>
      </c>
      <c r="BK496" s="9" t="s">
        <v>437</v>
      </c>
      <c r="BL496" s="9" t="s">
        <v>603</v>
      </c>
      <c r="BM496" s="9" t="s">
        <v>1247</v>
      </c>
      <c r="BN496" s="9" t="s">
        <v>398</v>
      </c>
      <c r="BO496" s="9" t="s">
        <v>9672</v>
      </c>
      <c r="BP496" s="9" t="s">
        <v>9673</v>
      </c>
      <c r="BQ496" s="9" t="s">
        <v>401</v>
      </c>
      <c r="BR496" s="9" t="s">
        <v>7925</v>
      </c>
      <c r="BS496" s="9" t="s">
        <v>403</v>
      </c>
      <c r="BT496" s="9" t="s">
        <v>4072</v>
      </c>
      <c r="BU496" s="9" t="s">
        <v>1772</v>
      </c>
      <c r="BV496" s="9" t="s">
        <v>9674</v>
      </c>
      <c r="BW496" s="9" t="s">
        <v>3582</v>
      </c>
      <c r="BY496" s="9" t="s">
        <v>455</v>
      </c>
      <c r="BZ496" s="9" t="s">
        <v>9675</v>
      </c>
      <c r="CA496" s="9" t="s">
        <v>9676</v>
      </c>
      <c r="CB496" s="9" t="s">
        <v>9677</v>
      </c>
      <c r="CC496" s="9" t="s">
        <v>9678</v>
      </c>
      <c r="CD496" s="9" t="s">
        <v>409</v>
      </c>
      <c r="CE496" s="9" t="s">
        <v>9679</v>
      </c>
      <c r="CF496" s="9" t="s">
        <v>1749</v>
      </c>
      <c r="CG496" s="9" t="s">
        <v>9680</v>
      </c>
      <c r="CH496" s="9" t="s">
        <v>1679</v>
      </c>
      <c r="CI496" s="9" t="s">
        <v>833</v>
      </c>
      <c r="CJ496" s="9" t="s">
        <v>9681</v>
      </c>
      <c r="CK496" s="9" t="s">
        <v>9682</v>
      </c>
      <c r="DI496" s="9" t="s">
        <v>459</v>
      </c>
      <c r="DJ496" s="9" t="s">
        <v>460</v>
      </c>
      <c r="DK496" s="9" t="s">
        <v>6319</v>
      </c>
      <c r="ET496" s="9" t="s">
        <v>578</v>
      </c>
      <c r="EU496" s="9" t="s">
        <v>479</v>
      </c>
      <c r="EV496" s="9" t="s">
        <v>480</v>
      </c>
      <c r="EW496" s="9" t="s">
        <v>9683</v>
      </c>
      <c r="EX496" s="9" t="s">
        <v>9684</v>
      </c>
      <c r="EY496" s="9" t="s">
        <v>9685</v>
      </c>
      <c r="EZ496" s="9" t="s">
        <v>583</v>
      </c>
      <c r="FA496" s="9" t="s">
        <v>583</v>
      </c>
      <c r="FB496" s="9" t="s">
        <v>583</v>
      </c>
      <c r="FC496" s="9" t="s">
        <v>583</v>
      </c>
      <c r="FD496" s="9" t="s">
        <v>583</v>
      </c>
      <c r="FE496" s="9" t="s">
        <v>583</v>
      </c>
      <c r="FF496" s="9" t="s">
        <v>583</v>
      </c>
      <c r="FG496" s="9" t="s">
        <v>583</v>
      </c>
      <c r="FH496" s="9" t="s">
        <v>583</v>
      </c>
      <c r="FI496" s="9" t="s">
        <v>583</v>
      </c>
      <c r="FJ496" s="9" t="s">
        <v>583</v>
      </c>
      <c r="FK496" s="9" t="s">
        <v>583</v>
      </c>
      <c r="FL496" s="9" t="s">
        <v>583</v>
      </c>
      <c r="FM496" s="9" t="s">
        <v>413</v>
      </c>
      <c r="FN496" s="9" t="s">
        <v>414</v>
      </c>
      <c r="FO496" s="9" t="s">
        <v>850</v>
      </c>
      <c r="FP496" s="9" t="s">
        <v>418</v>
      </c>
      <c r="FQ496" s="9" t="s">
        <v>419</v>
      </c>
      <c r="FR496" s="9" t="s">
        <v>9686</v>
      </c>
      <c r="FS496" s="9" t="s">
        <v>995</v>
      </c>
      <c r="FT496" s="9" t="s">
        <v>1462</v>
      </c>
      <c r="FU496" s="9" t="s">
        <v>533</v>
      </c>
      <c r="FV496" s="9" t="s">
        <v>490</v>
      </c>
      <c r="FW496" s="9" t="s">
        <v>491</v>
      </c>
      <c r="FX496" s="9" t="s">
        <v>9687</v>
      </c>
      <c r="FY496" s="9" t="s">
        <v>493</v>
      </c>
      <c r="GB496" s="9" t="s">
        <v>455</v>
      </c>
      <c r="GC496" s="9"/>
      <c r="GE496" s="9" t="s">
        <v>753</v>
      </c>
      <c r="GJ496" s="9" t="s">
        <v>755</v>
      </c>
      <c r="GK496" s="9" t="s">
        <v>755</v>
      </c>
      <c r="GL496" s="9" t="s">
        <v>946</v>
      </c>
      <c r="GN496" s="9" t="s">
        <v>9688</v>
      </c>
      <c r="GQ496" s="9" t="s">
        <v>3208</v>
      </c>
      <c r="GR496" s="9" t="s">
        <v>4774</v>
      </c>
      <c r="GV496" s="9" t="s">
        <v>5231</v>
      </c>
      <c r="GW496" s="9" t="s">
        <v>5232</v>
      </c>
      <c r="GY496" s="9" t="s">
        <v>5233</v>
      </c>
      <c r="GZ496" s="9" t="s">
        <v>484</v>
      </c>
      <c r="HA496" s="9" t="s">
        <v>484</v>
      </c>
      <c r="HB496" s="9" t="s">
        <v>6073</v>
      </c>
      <c r="HO496" s="9" t="s">
        <v>5236</v>
      </c>
      <c r="HP496" s="9" t="s">
        <v>5264</v>
      </c>
      <c r="HQ496" s="9" t="s">
        <v>5238</v>
      </c>
      <c r="HR496" s="9" t="s">
        <v>5321</v>
      </c>
      <c r="MJ496" s="9" t="s">
        <v>6321</v>
      </c>
    </row>
    <row r="497" ht="22.5" customHeight="1">
      <c r="A497" s="8">
        <v>46126.609716817125</v>
      </c>
      <c r="B497" s="9" t="s">
        <v>368</v>
      </c>
      <c r="C497" s="9" t="s">
        <v>370</v>
      </c>
      <c r="D497" s="9" t="s">
        <v>370</v>
      </c>
      <c r="E497" s="9" t="s">
        <v>371</v>
      </c>
      <c r="F497" s="9" t="s">
        <v>371</v>
      </c>
      <c r="G497" s="9" t="s">
        <v>422</v>
      </c>
      <c r="H497" s="9" t="s">
        <v>1921</v>
      </c>
      <c r="I497" s="9" t="s">
        <v>668</v>
      </c>
      <c r="J497" s="9" t="s">
        <v>718</v>
      </c>
      <c r="K497" s="9" t="s">
        <v>376</v>
      </c>
      <c r="L497" s="9" t="s">
        <v>379</v>
      </c>
      <c r="M497" s="9" t="s">
        <v>2966</v>
      </c>
      <c r="N497" s="9" t="s">
        <v>379</v>
      </c>
      <c r="O497" s="9" t="s">
        <v>497</v>
      </c>
      <c r="P497" s="9" t="s">
        <v>381</v>
      </c>
      <c r="Q497" s="9" t="s">
        <v>499</v>
      </c>
      <c r="R497" s="9" t="s">
        <v>500</v>
      </c>
      <c r="S497" s="9" t="s">
        <v>384</v>
      </c>
      <c r="T497" s="9" t="s">
        <v>385</v>
      </c>
      <c r="W497" s="9" t="s">
        <v>593</v>
      </c>
      <c r="X497" s="9" t="s">
        <v>387</v>
      </c>
      <c r="Y497" s="9" t="s">
        <v>3353</v>
      </c>
      <c r="Z497" s="9" t="s">
        <v>389</v>
      </c>
      <c r="AA497" s="9" t="s">
        <v>9689</v>
      </c>
      <c r="AV497" s="9" t="s">
        <v>390</v>
      </c>
      <c r="AW497" s="9" t="s">
        <v>675</v>
      </c>
      <c r="AX497" s="9" t="s">
        <v>675</v>
      </c>
      <c r="AY497" s="9" t="s">
        <v>675</v>
      </c>
      <c r="AZ497" s="9" t="s">
        <v>675</v>
      </c>
      <c r="BA497" s="9" t="s">
        <v>675</v>
      </c>
      <c r="BB497" s="9" t="s">
        <v>675</v>
      </c>
      <c r="BC497" s="9" t="s">
        <v>9690</v>
      </c>
      <c r="BD497" s="9" t="s">
        <v>9691</v>
      </c>
      <c r="BE497" s="9" t="s">
        <v>3114</v>
      </c>
      <c r="BF497" s="9" t="s">
        <v>1095</v>
      </c>
      <c r="BG497" s="9" t="s">
        <v>434</v>
      </c>
      <c r="BI497" s="9" t="s">
        <v>509</v>
      </c>
      <c r="BJ497" s="9" t="s">
        <v>9692</v>
      </c>
      <c r="BK497" s="9" t="s">
        <v>602</v>
      </c>
      <c r="BL497" s="9" t="s">
        <v>904</v>
      </c>
      <c r="BM497" s="9" t="s">
        <v>549</v>
      </c>
      <c r="BN497" s="9" t="s">
        <v>398</v>
      </c>
      <c r="BO497" s="9" t="s">
        <v>9693</v>
      </c>
      <c r="BP497" s="9" t="s">
        <v>9694</v>
      </c>
      <c r="BQ497" s="9" t="s">
        <v>401</v>
      </c>
      <c r="BR497" s="9" t="s">
        <v>9695</v>
      </c>
      <c r="BS497" s="9" t="s">
        <v>1671</v>
      </c>
      <c r="BT497" s="9" t="s">
        <v>4368</v>
      </c>
      <c r="BU497" s="9" t="s">
        <v>1831</v>
      </c>
      <c r="BV497" s="9" t="s">
        <v>9696</v>
      </c>
      <c r="BW497" s="9" t="s">
        <v>406</v>
      </c>
      <c r="BX497" s="9" t="s">
        <v>407</v>
      </c>
      <c r="BY497" s="9" t="s">
        <v>408</v>
      </c>
      <c r="BZ497" s="9" t="s">
        <v>9697</v>
      </c>
      <c r="CA497" s="9" t="s">
        <v>9698</v>
      </c>
      <c r="CB497" s="9" t="s">
        <v>9699</v>
      </c>
      <c r="CC497" s="9" t="s">
        <v>9700</v>
      </c>
      <c r="CD497" s="9" t="s">
        <v>451</v>
      </c>
      <c r="CE497" s="9" t="s">
        <v>9701</v>
      </c>
      <c r="CF497" s="9" t="s">
        <v>1697</v>
      </c>
      <c r="CG497" s="9" t="s">
        <v>9697</v>
      </c>
      <c r="CH497" s="9" t="s">
        <v>1259</v>
      </c>
      <c r="CI497" s="9" t="s">
        <v>1964</v>
      </c>
      <c r="CJ497" s="9" t="s">
        <v>9702</v>
      </c>
      <c r="CK497" s="9" t="s">
        <v>9703</v>
      </c>
      <c r="DI497" s="9" t="s">
        <v>963</v>
      </c>
      <c r="DJ497" s="9" t="s">
        <v>613</v>
      </c>
      <c r="ET497" s="9" t="s">
        <v>526</v>
      </c>
      <c r="EU497" s="9" t="s">
        <v>479</v>
      </c>
      <c r="EV497" s="9" t="s">
        <v>480</v>
      </c>
      <c r="EW497" s="9" t="s">
        <v>9704</v>
      </c>
      <c r="EX497" s="9" t="s">
        <v>9705</v>
      </c>
      <c r="EY497" s="9" t="s">
        <v>9706</v>
      </c>
      <c r="EZ497" s="9" t="s">
        <v>583</v>
      </c>
      <c r="FA497" s="9" t="s">
        <v>583</v>
      </c>
      <c r="FB497" s="9" t="s">
        <v>583</v>
      </c>
      <c r="FC497" s="9" t="s">
        <v>583</v>
      </c>
      <c r="FD497" s="9" t="s">
        <v>583</v>
      </c>
      <c r="FE497" s="9" t="s">
        <v>583</v>
      </c>
      <c r="FF497" s="9" t="s">
        <v>583</v>
      </c>
      <c r="FG497" s="9" t="s">
        <v>413</v>
      </c>
      <c r="FH497" s="9" t="s">
        <v>583</v>
      </c>
      <c r="FI497" s="9" t="s">
        <v>583</v>
      </c>
      <c r="FJ497" s="9" t="s">
        <v>583</v>
      </c>
      <c r="FK497" s="9" t="s">
        <v>583</v>
      </c>
      <c r="FL497" s="9" t="s">
        <v>583</v>
      </c>
      <c r="FM497" s="9" t="s">
        <v>583</v>
      </c>
      <c r="FN497" s="9" t="s">
        <v>583</v>
      </c>
      <c r="FO497" s="9" t="s">
        <v>850</v>
      </c>
      <c r="FP497" s="9" t="s">
        <v>486</v>
      </c>
      <c r="FQ497" s="9" t="s">
        <v>630</v>
      </c>
      <c r="FR497" s="9" t="s">
        <v>9707</v>
      </c>
      <c r="FS497" s="9" t="s">
        <v>995</v>
      </c>
      <c r="FT497" s="9" t="s">
        <v>488</v>
      </c>
      <c r="FU497" s="9" t="s">
        <v>533</v>
      </c>
      <c r="FV497" s="9" t="s">
        <v>2387</v>
      </c>
      <c r="FW497" s="9" t="s">
        <v>491</v>
      </c>
      <c r="FX497" s="9" t="s">
        <v>9708</v>
      </c>
      <c r="FY497" s="9" t="s">
        <v>493</v>
      </c>
      <c r="FZ497" s="9" t="s">
        <v>9709</v>
      </c>
      <c r="GB497" s="9" t="s">
        <v>408</v>
      </c>
      <c r="GJ497" s="9" t="s">
        <v>755</v>
      </c>
      <c r="GK497" s="9" t="s">
        <v>755</v>
      </c>
      <c r="GL497" s="9" t="s">
        <v>817</v>
      </c>
      <c r="GQ497" s="9" t="s">
        <v>3208</v>
      </c>
      <c r="GR497" s="9" t="s">
        <v>4774</v>
      </c>
      <c r="GS497" s="9" t="s">
        <v>9697</v>
      </c>
      <c r="GV497" s="9" t="s">
        <v>5231</v>
      </c>
      <c r="GW497" s="9" t="s">
        <v>5232</v>
      </c>
      <c r="GX497" s="9" t="s">
        <v>7007</v>
      </c>
      <c r="GY497" s="9" t="s">
        <v>9710</v>
      </c>
      <c r="GZ497" s="9" t="s">
        <v>6030</v>
      </c>
      <c r="HA497" s="9" t="s">
        <v>5369</v>
      </c>
      <c r="HB497" s="9" t="s">
        <v>5370</v>
      </c>
      <c r="HO497" s="9" t="s">
        <v>5236</v>
      </c>
      <c r="HP497" s="9" t="s">
        <v>5237</v>
      </c>
      <c r="HR497" s="9" t="s">
        <v>9711</v>
      </c>
      <c r="MJ497" s="9" t="s">
        <v>6321</v>
      </c>
    </row>
    <row r="498" ht="22.5" customHeight="1">
      <c r="A498" s="8">
        <v>46129.64641299768</v>
      </c>
      <c r="B498" s="9" t="s">
        <v>368</v>
      </c>
      <c r="C498" s="9" t="s">
        <v>370</v>
      </c>
      <c r="D498" s="9" t="s">
        <v>370</v>
      </c>
      <c r="E498" s="9" t="s">
        <v>371</v>
      </c>
      <c r="F498" s="9" t="s">
        <v>2400</v>
      </c>
      <c r="G498" s="9" t="s">
        <v>422</v>
      </c>
      <c r="H498" s="9" t="s">
        <v>1921</v>
      </c>
      <c r="I498" s="9" t="s">
        <v>668</v>
      </c>
      <c r="J498" s="9" t="s">
        <v>425</v>
      </c>
      <c r="K498" s="9" t="s">
        <v>376</v>
      </c>
      <c r="L498" s="9" t="s">
        <v>591</v>
      </c>
      <c r="M498" s="9" t="s">
        <v>378</v>
      </c>
      <c r="N498" s="9" t="s">
        <v>379</v>
      </c>
      <c r="O498" s="9" t="s">
        <v>497</v>
      </c>
      <c r="P498" s="9" t="s">
        <v>381</v>
      </c>
      <c r="Q498" s="9" t="s">
        <v>382</v>
      </c>
      <c r="R498" s="9" t="s">
        <v>427</v>
      </c>
      <c r="S498" s="9" t="s">
        <v>384</v>
      </c>
      <c r="T498" s="9" t="s">
        <v>385</v>
      </c>
      <c r="W498" s="9" t="s">
        <v>3014</v>
      </c>
      <c r="AV498" s="9" t="s">
        <v>597</v>
      </c>
      <c r="AW498" s="9">
        <v>4.0</v>
      </c>
      <c r="AX498" s="9" t="s">
        <v>391</v>
      </c>
      <c r="AY498" s="9" t="s">
        <v>391</v>
      </c>
      <c r="AZ498" s="9" t="s">
        <v>675</v>
      </c>
      <c r="BA498" s="9">
        <v>4.0</v>
      </c>
      <c r="BB498" s="9">
        <v>4.0</v>
      </c>
      <c r="BE498" s="9" t="s">
        <v>902</v>
      </c>
      <c r="BF498" s="9" t="s">
        <v>393</v>
      </c>
      <c r="BG498" s="9" t="s">
        <v>725</v>
      </c>
      <c r="BI498" s="9" t="s">
        <v>435</v>
      </c>
      <c r="BK498" s="9" t="s">
        <v>395</v>
      </c>
      <c r="BL498" s="9" t="s">
        <v>438</v>
      </c>
      <c r="BM498" s="9" t="s">
        <v>397</v>
      </c>
      <c r="BN498" s="9" t="s">
        <v>513</v>
      </c>
      <c r="CL498" s="9" t="s">
        <v>682</v>
      </c>
      <c r="CM498" s="9" t="s">
        <v>551</v>
      </c>
      <c r="CU498" s="9" t="s">
        <v>1863</v>
      </c>
      <c r="CV498" s="9" t="s">
        <v>959</v>
      </c>
      <c r="CX498" s="9" t="s">
        <v>455</v>
      </c>
      <c r="CZ498" s="9" t="s">
        <v>1962</v>
      </c>
      <c r="DB498" s="9" t="s">
        <v>408</v>
      </c>
      <c r="DG498" s="9" t="s">
        <v>990</v>
      </c>
      <c r="DH498" s="9" t="s">
        <v>1220</v>
      </c>
      <c r="DI498" s="9" t="s">
        <v>963</v>
      </c>
      <c r="DJ498" s="9" t="s">
        <v>613</v>
      </c>
      <c r="ET498" s="9" t="s">
        <v>478</v>
      </c>
      <c r="EU498" s="9" t="s">
        <v>887</v>
      </c>
      <c r="EV498" s="9" t="s">
        <v>580</v>
      </c>
      <c r="EZ498" s="9" t="s">
        <v>583</v>
      </c>
      <c r="FA498" s="9" t="s">
        <v>583</v>
      </c>
      <c r="FC498" s="9" t="s">
        <v>583</v>
      </c>
      <c r="FD498" s="9" t="s">
        <v>414</v>
      </c>
      <c r="FE498" s="9" t="s">
        <v>583</v>
      </c>
      <c r="FF498" s="9" t="s">
        <v>415</v>
      </c>
      <c r="FG498" s="9" t="s">
        <v>415</v>
      </c>
      <c r="FH498" s="9" t="s">
        <v>415</v>
      </c>
      <c r="FI498" s="9" t="s">
        <v>583</v>
      </c>
      <c r="FJ498" s="9" t="s">
        <v>583</v>
      </c>
      <c r="FK498" s="9" t="s">
        <v>415</v>
      </c>
      <c r="FL498" s="9" t="s">
        <v>415</v>
      </c>
      <c r="FM498" s="9" t="s">
        <v>583</v>
      </c>
      <c r="FN498" s="9" t="s">
        <v>415</v>
      </c>
      <c r="FO498" s="9" t="s">
        <v>1537</v>
      </c>
      <c r="FP498" s="9" t="s">
        <v>2524</v>
      </c>
      <c r="FQ498" s="9" t="s">
        <v>419</v>
      </c>
      <c r="FS498" s="9" t="s">
        <v>1871</v>
      </c>
      <c r="FT498" s="9" t="s">
        <v>2750</v>
      </c>
      <c r="FU498" s="9" t="s">
        <v>489</v>
      </c>
      <c r="FW498" s="9" t="s">
        <v>1853</v>
      </c>
      <c r="FY498" s="9" t="s">
        <v>1337</v>
      </c>
      <c r="GB498" s="9" t="s">
        <v>408</v>
      </c>
      <c r="GG498" s="9" t="s">
        <v>788</v>
      </c>
      <c r="GH498" s="9" t="s">
        <v>789</v>
      </c>
      <c r="GI498" s="9" t="s">
        <v>921</v>
      </c>
      <c r="GQ498" s="9" t="s">
        <v>3208</v>
      </c>
      <c r="GV498" s="9" t="s">
        <v>5231</v>
      </c>
      <c r="GW498" s="9" t="s">
        <v>5232</v>
      </c>
      <c r="HO498" s="9" t="s">
        <v>5236</v>
      </c>
      <c r="HP498" s="9" t="s">
        <v>5237</v>
      </c>
      <c r="HQ498" s="9" t="s">
        <v>5801</v>
      </c>
      <c r="HR498" s="9" t="s">
        <v>5239</v>
      </c>
      <c r="HS498" s="9" t="s">
        <v>5987</v>
      </c>
      <c r="HU498" s="9" t="s">
        <v>5917</v>
      </c>
      <c r="HV498" s="9" t="s">
        <v>5918</v>
      </c>
      <c r="HX498" s="9" t="s">
        <v>5919</v>
      </c>
      <c r="HY498" s="9" t="s">
        <v>5920</v>
      </c>
      <c r="HZ498" s="9" t="s">
        <v>5921</v>
      </c>
      <c r="IA498" s="9" t="s">
        <v>5920</v>
      </c>
      <c r="IB498" s="9" t="s">
        <v>5921</v>
      </c>
      <c r="IC498" s="9" t="s">
        <v>6464</v>
      </c>
      <c r="ID498" s="9" t="s">
        <v>5536</v>
      </c>
      <c r="IE498" s="9" t="s">
        <v>5536</v>
      </c>
      <c r="IF498" s="9" t="s">
        <v>5536</v>
      </c>
      <c r="IG498" s="9" t="s">
        <v>5537</v>
      </c>
      <c r="IH498" s="9" t="s">
        <v>5536</v>
      </c>
      <c r="II498" s="9" t="s">
        <v>5500</v>
      </c>
      <c r="IK498" s="9" t="s">
        <v>9712</v>
      </c>
      <c r="MJ498" s="9" t="s">
        <v>6321</v>
      </c>
    </row>
    <row r="499" ht="22.5" customHeight="1">
      <c r="A499" s="8">
        <v>46131.52759640046</v>
      </c>
      <c r="B499" s="9" t="s">
        <v>368</v>
      </c>
      <c r="C499" s="9" t="s">
        <v>1201</v>
      </c>
      <c r="D499" s="9" t="s">
        <v>1201</v>
      </c>
      <c r="G499" s="9" t="s">
        <v>1783</v>
      </c>
      <c r="H499" s="9" t="s">
        <v>373</v>
      </c>
      <c r="I499" s="9" t="s">
        <v>374</v>
      </c>
      <c r="J499" s="9" t="s">
        <v>669</v>
      </c>
      <c r="K499" s="9" t="s">
        <v>376</v>
      </c>
      <c r="L499" s="9" t="s">
        <v>670</v>
      </c>
      <c r="M499" s="9" t="s">
        <v>860</v>
      </c>
      <c r="N499" s="9" t="s">
        <v>793</v>
      </c>
      <c r="O499" s="9" t="s">
        <v>720</v>
      </c>
      <c r="P499" s="9" t="s">
        <v>1504</v>
      </c>
      <c r="Q499" s="9" t="s">
        <v>499</v>
      </c>
      <c r="R499" s="9" t="s">
        <v>427</v>
      </c>
      <c r="S499" s="9" t="s">
        <v>384</v>
      </c>
      <c r="T499" s="9" t="s">
        <v>385</v>
      </c>
      <c r="W499" s="9" t="s">
        <v>3231</v>
      </c>
      <c r="AV499" s="9" t="s">
        <v>1310</v>
      </c>
      <c r="AW499" s="9" t="s">
        <v>429</v>
      </c>
      <c r="AX499" s="9">
        <v>2.0</v>
      </c>
      <c r="AY499" s="9">
        <v>2.0</v>
      </c>
      <c r="AZ499" s="9">
        <v>2.0</v>
      </c>
      <c r="BA499" s="9" t="s">
        <v>429</v>
      </c>
      <c r="BB499" s="9" t="s">
        <v>429</v>
      </c>
      <c r="BE499" s="9" t="s">
        <v>392</v>
      </c>
      <c r="BF499" s="9" t="s">
        <v>1095</v>
      </c>
      <c r="BG499" s="9" t="s">
        <v>678</v>
      </c>
      <c r="BI499" s="9" t="s">
        <v>435</v>
      </c>
      <c r="BK499" s="9" t="s">
        <v>511</v>
      </c>
      <c r="BL499" s="9" t="s">
        <v>603</v>
      </c>
      <c r="BM499" s="9" t="s">
        <v>1314</v>
      </c>
      <c r="BN499" s="9" t="s">
        <v>513</v>
      </c>
      <c r="CL499" s="9" t="s">
        <v>953</v>
      </c>
      <c r="CM499" s="9" t="s">
        <v>604</v>
      </c>
      <c r="CU499" s="9" t="s">
        <v>519</v>
      </c>
      <c r="CV499" s="9" t="s">
        <v>409</v>
      </c>
      <c r="CX499" s="9" t="s">
        <v>455</v>
      </c>
      <c r="CZ499" s="9" t="s">
        <v>1398</v>
      </c>
      <c r="DB499" s="9" t="s">
        <v>455</v>
      </c>
      <c r="DG499" s="9" t="s">
        <v>693</v>
      </c>
      <c r="DH499" s="9" t="s">
        <v>1220</v>
      </c>
      <c r="DI499" s="9" t="s">
        <v>459</v>
      </c>
      <c r="DJ499" s="9" t="s">
        <v>1148</v>
      </c>
      <c r="DK499" s="9" t="s">
        <v>6335</v>
      </c>
      <c r="ET499" s="9" t="s">
        <v>2747</v>
      </c>
      <c r="EU499" s="9" t="s">
        <v>887</v>
      </c>
      <c r="EV499" s="9" t="s">
        <v>1262</v>
      </c>
      <c r="FO499" s="9" t="s">
        <v>1537</v>
      </c>
      <c r="FP499" s="9" t="s">
        <v>486</v>
      </c>
      <c r="FQ499" s="9" t="s">
        <v>419</v>
      </c>
      <c r="FS499" s="9" t="s">
        <v>1871</v>
      </c>
      <c r="FT499" s="9" t="s">
        <v>1462</v>
      </c>
      <c r="FU499" s="9" t="s">
        <v>489</v>
      </c>
      <c r="FV499" s="9" t="s">
        <v>2399</v>
      </c>
      <c r="FW499" s="9" t="s">
        <v>1853</v>
      </c>
      <c r="FY499" s="9" t="s">
        <v>1854</v>
      </c>
      <c r="GB499" s="9" t="s">
        <v>408</v>
      </c>
      <c r="GG499" s="9" t="s">
        <v>755</v>
      </c>
      <c r="GH499" s="9" t="s">
        <v>1000</v>
      </c>
      <c r="GI499" s="9" t="s">
        <v>946</v>
      </c>
      <c r="GN499" s="9" t="s">
        <v>6520</v>
      </c>
      <c r="GO499" s="9" t="s">
        <v>6520</v>
      </c>
      <c r="GP499" s="9" t="s">
        <v>387</v>
      </c>
      <c r="GQ499" s="9" t="s">
        <v>3208</v>
      </c>
      <c r="GT499" s="9" t="s">
        <v>4774</v>
      </c>
      <c r="GV499" s="9" t="s">
        <v>5231</v>
      </c>
      <c r="GW499" s="9" t="s">
        <v>5232</v>
      </c>
      <c r="HO499" s="9" t="s">
        <v>5236</v>
      </c>
      <c r="HP499" s="9" t="s">
        <v>5237</v>
      </c>
      <c r="HQ499" s="9" t="s">
        <v>5721</v>
      </c>
      <c r="HR499" s="9" t="s">
        <v>5287</v>
      </c>
      <c r="HS499" s="9" t="s">
        <v>5987</v>
      </c>
      <c r="HU499" s="9" t="s">
        <v>5917</v>
      </c>
      <c r="HV499" s="9" t="s">
        <v>6521</v>
      </c>
      <c r="HX499" s="9" t="s">
        <v>5921</v>
      </c>
      <c r="HY499" s="9" t="s">
        <v>5921</v>
      </c>
      <c r="HZ499" s="9" t="s">
        <v>5921</v>
      </c>
      <c r="IA499" s="9" t="s">
        <v>5921</v>
      </c>
      <c r="IB499" s="9" t="s">
        <v>5921</v>
      </c>
      <c r="IC499" s="9" t="s">
        <v>5921</v>
      </c>
      <c r="ID499" s="9" t="s">
        <v>5536</v>
      </c>
      <c r="IE499" s="9" t="s">
        <v>5989</v>
      </c>
      <c r="IF499" s="9" t="s">
        <v>5989</v>
      </c>
      <c r="IG499" s="9" t="s">
        <v>5989</v>
      </c>
      <c r="IH499" s="9" t="s">
        <v>5989</v>
      </c>
      <c r="II499" s="9" t="s">
        <v>5536</v>
      </c>
      <c r="IK499" s="9" t="s">
        <v>6523</v>
      </c>
      <c r="MJ499" s="9" t="s">
        <v>6321</v>
      </c>
    </row>
    <row r="500" ht="22.5" customHeight="1">
      <c r="A500" s="8">
        <v>46132.226501157405</v>
      </c>
      <c r="B500" s="9" t="s">
        <v>368</v>
      </c>
      <c r="C500" s="9" t="s">
        <v>370</v>
      </c>
      <c r="D500" s="9" t="s">
        <v>370</v>
      </c>
      <c r="E500" s="9" t="s">
        <v>371</v>
      </c>
      <c r="F500" s="9" t="s">
        <v>371</v>
      </c>
      <c r="G500" s="9" t="s">
        <v>422</v>
      </c>
      <c r="H500" s="9" t="s">
        <v>496</v>
      </c>
      <c r="I500" s="9" t="s">
        <v>374</v>
      </c>
      <c r="J500" s="9" t="s">
        <v>1240</v>
      </c>
      <c r="K500" s="9" t="s">
        <v>376</v>
      </c>
      <c r="L500" s="9" t="s">
        <v>379</v>
      </c>
      <c r="M500" s="9" t="s">
        <v>378</v>
      </c>
      <c r="N500" s="9" t="s">
        <v>426</v>
      </c>
      <c r="O500" s="9" t="s">
        <v>497</v>
      </c>
      <c r="P500" s="9" t="s">
        <v>498</v>
      </c>
      <c r="Q500" s="9" t="s">
        <v>1156</v>
      </c>
      <c r="R500" s="9" t="s">
        <v>949</v>
      </c>
      <c r="S500" s="9" t="s">
        <v>384</v>
      </c>
      <c r="T500" s="9" t="s">
        <v>385</v>
      </c>
      <c r="W500" s="9" t="s">
        <v>386</v>
      </c>
      <c r="X500" s="9" t="s">
        <v>387</v>
      </c>
      <c r="Y500" s="9" t="s">
        <v>1444</v>
      </c>
      <c r="Z500" s="9" t="s">
        <v>543</v>
      </c>
      <c r="AA500" s="9" t="s">
        <v>741</v>
      </c>
      <c r="AB500" s="9" t="s">
        <v>9713</v>
      </c>
      <c r="AV500" s="9" t="s">
        <v>1242</v>
      </c>
      <c r="AW500" s="9" t="s">
        <v>675</v>
      </c>
      <c r="AX500" s="9" t="s">
        <v>675</v>
      </c>
      <c r="AY500" s="9" t="s">
        <v>675</v>
      </c>
      <c r="AZ500" s="9" t="s">
        <v>675</v>
      </c>
      <c r="BA500" s="9" t="s">
        <v>675</v>
      </c>
      <c r="BB500" s="9" t="s">
        <v>675</v>
      </c>
      <c r="BE500" s="9" t="s">
        <v>432</v>
      </c>
      <c r="BF500" s="9" t="s">
        <v>1245</v>
      </c>
      <c r="BG500" s="9" t="s">
        <v>394</v>
      </c>
      <c r="BI500" s="9" t="s">
        <v>727</v>
      </c>
      <c r="BK500" s="9" t="s">
        <v>602</v>
      </c>
      <c r="BL500" s="9" t="s">
        <v>603</v>
      </c>
      <c r="BM500" s="9" t="s">
        <v>1247</v>
      </c>
      <c r="BN500" s="9" t="s">
        <v>398</v>
      </c>
      <c r="BO500" s="9" t="s">
        <v>9714</v>
      </c>
      <c r="BP500" s="9" t="s">
        <v>9715</v>
      </c>
      <c r="BQ500" s="9" t="s">
        <v>604</v>
      </c>
      <c r="BR500" s="9" t="s">
        <v>1740</v>
      </c>
      <c r="BS500" s="9" t="s">
        <v>1741</v>
      </c>
      <c r="BT500" s="9" t="s">
        <v>404</v>
      </c>
      <c r="BU500" s="9" t="s">
        <v>405</v>
      </c>
      <c r="BW500" s="9" t="s">
        <v>406</v>
      </c>
      <c r="BX500" s="9" t="s">
        <v>2503</v>
      </c>
      <c r="BY500" s="9" t="s">
        <v>408</v>
      </c>
      <c r="CD500" s="9" t="s">
        <v>1257</v>
      </c>
      <c r="CH500" s="9" t="s">
        <v>1259</v>
      </c>
      <c r="CI500" s="9" t="s">
        <v>833</v>
      </c>
      <c r="CJ500" s="9" t="s">
        <v>9716</v>
      </c>
      <c r="CK500" s="9" t="s">
        <v>9717</v>
      </c>
      <c r="DI500" s="9" t="s">
        <v>963</v>
      </c>
      <c r="DJ500" s="9" t="s">
        <v>460</v>
      </c>
      <c r="DK500" s="9" t="s">
        <v>6319</v>
      </c>
      <c r="ET500" s="9" t="s">
        <v>526</v>
      </c>
      <c r="EU500" s="9" t="s">
        <v>579</v>
      </c>
      <c r="EV500" s="9" t="s">
        <v>527</v>
      </c>
      <c r="EW500" s="9" t="s">
        <v>9718</v>
      </c>
      <c r="EX500" s="9" t="s">
        <v>9719</v>
      </c>
      <c r="EY500" s="9" t="s">
        <v>9720</v>
      </c>
      <c r="EZ500" s="9" t="s">
        <v>415</v>
      </c>
      <c r="FA500" s="9" t="s">
        <v>415</v>
      </c>
      <c r="FB500" s="9" t="s">
        <v>413</v>
      </c>
      <c r="FC500" s="9" t="s">
        <v>484</v>
      </c>
      <c r="FD500" s="9" t="s">
        <v>413</v>
      </c>
      <c r="FE500" s="9" t="s">
        <v>414</v>
      </c>
      <c r="FF500" s="9" t="s">
        <v>415</v>
      </c>
      <c r="FG500" s="9" t="s">
        <v>413</v>
      </c>
      <c r="FH500" s="9" t="s">
        <v>484</v>
      </c>
      <c r="FI500" s="9" t="s">
        <v>415</v>
      </c>
      <c r="FJ500" s="9" t="s">
        <v>415</v>
      </c>
      <c r="FK500" s="9" t="s">
        <v>415</v>
      </c>
      <c r="FL500" s="9" t="s">
        <v>415</v>
      </c>
      <c r="FM500" s="9" t="s">
        <v>415</v>
      </c>
      <c r="FN500" s="9" t="s">
        <v>415</v>
      </c>
      <c r="FO500" s="9" t="s">
        <v>485</v>
      </c>
      <c r="FP500" s="9" t="s">
        <v>418</v>
      </c>
      <c r="FQ500" s="9" t="s">
        <v>419</v>
      </c>
      <c r="FS500" s="9" t="s">
        <v>1189</v>
      </c>
      <c r="FT500" s="9" t="s">
        <v>488</v>
      </c>
      <c r="FU500" s="9" t="s">
        <v>585</v>
      </c>
      <c r="FV500" s="9" t="s">
        <v>490</v>
      </c>
      <c r="FW500" s="9" t="s">
        <v>491</v>
      </c>
      <c r="FY500" s="9" t="s">
        <v>493</v>
      </c>
      <c r="GB500" s="9" t="s">
        <v>455</v>
      </c>
      <c r="GC500" s="9"/>
      <c r="GD500" s="9"/>
      <c r="GE500" s="9" t="s">
        <v>1339</v>
      </c>
      <c r="GF500" s="9" t="s">
        <v>9721</v>
      </c>
      <c r="GJ500" s="9" t="s">
        <v>920</v>
      </c>
      <c r="GK500" s="9" t="s">
        <v>920</v>
      </c>
      <c r="GL500" s="9" t="s">
        <v>921</v>
      </c>
      <c r="GQ500" s="9" t="s">
        <v>3208</v>
      </c>
      <c r="GR500" s="9" t="s">
        <v>4774</v>
      </c>
      <c r="GV500" s="9" t="s">
        <v>5231</v>
      </c>
      <c r="GW500" s="9" t="s">
        <v>5232</v>
      </c>
      <c r="GX500" s="9" t="s">
        <v>5262</v>
      </c>
      <c r="GY500" s="9" t="s">
        <v>6013</v>
      </c>
      <c r="GZ500" s="9" t="s">
        <v>5234</v>
      </c>
      <c r="HA500" s="9" t="s">
        <v>5369</v>
      </c>
      <c r="HB500" s="9" t="s">
        <v>5961</v>
      </c>
      <c r="HO500" s="9" t="s">
        <v>5236</v>
      </c>
      <c r="HP500" s="9" t="s">
        <v>5719</v>
      </c>
      <c r="HQ500" s="9" t="s">
        <v>5238</v>
      </c>
      <c r="HR500" s="9" t="s">
        <v>5321</v>
      </c>
      <c r="MJ500" s="9" t="s">
        <v>6321</v>
      </c>
    </row>
    <row r="501" ht="22.5" customHeight="1">
      <c r="A501" s="8">
        <v>46133.03297357639</v>
      </c>
      <c r="B501" s="9" t="s">
        <v>368</v>
      </c>
      <c r="C501" s="9" t="s">
        <v>538</v>
      </c>
      <c r="D501" s="9" t="s">
        <v>538</v>
      </c>
      <c r="G501" s="9" t="s">
        <v>422</v>
      </c>
      <c r="H501" s="9" t="s">
        <v>637</v>
      </c>
      <c r="I501" s="9" t="s">
        <v>638</v>
      </c>
      <c r="J501" s="9" t="s">
        <v>1023</v>
      </c>
      <c r="K501" s="9" t="s">
        <v>7755</v>
      </c>
      <c r="L501" s="9" t="s">
        <v>1526</v>
      </c>
      <c r="N501" s="9" t="s">
        <v>1526</v>
      </c>
      <c r="P501" s="9" t="s">
        <v>759</v>
      </c>
      <c r="Q501" s="9" t="s">
        <v>382</v>
      </c>
      <c r="R501" s="9" t="s">
        <v>500</v>
      </c>
      <c r="S501" s="9" t="s">
        <v>384</v>
      </c>
      <c r="T501" s="9" t="s">
        <v>385</v>
      </c>
      <c r="W501" s="9" t="s">
        <v>386</v>
      </c>
      <c r="X501" s="9" t="s">
        <v>387</v>
      </c>
      <c r="Y501" s="9" t="s">
        <v>594</v>
      </c>
      <c r="Z501" s="9" t="s">
        <v>543</v>
      </c>
      <c r="AA501" s="9" t="s">
        <v>9722</v>
      </c>
      <c r="AV501" s="9" t="s">
        <v>597</v>
      </c>
      <c r="AW501" s="9" t="s">
        <v>391</v>
      </c>
      <c r="AX501" s="9" t="s">
        <v>391</v>
      </c>
      <c r="AY501" s="9">
        <v>4.0</v>
      </c>
      <c r="AZ501" s="9" t="s">
        <v>391</v>
      </c>
      <c r="BA501" s="9">
        <v>4.0</v>
      </c>
      <c r="BB501" s="9">
        <v>4.0</v>
      </c>
      <c r="BC501" s="9" t="s">
        <v>9723</v>
      </c>
      <c r="BD501" s="9" t="s">
        <v>9724</v>
      </c>
      <c r="BE501" s="9" t="s">
        <v>432</v>
      </c>
      <c r="BF501" s="9" t="s">
        <v>393</v>
      </c>
      <c r="BG501" s="9" t="s">
        <v>394</v>
      </c>
      <c r="BH501" s="9" t="s">
        <v>9725</v>
      </c>
      <c r="BI501" s="9" t="s">
        <v>824</v>
      </c>
      <c r="BK501" s="9" t="s">
        <v>681</v>
      </c>
      <c r="BL501" s="9" t="s">
        <v>396</v>
      </c>
      <c r="BM501" s="9" t="s">
        <v>397</v>
      </c>
      <c r="BN501" s="9" t="s">
        <v>398</v>
      </c>
      <c r="BO501" s="9" t="s">
        <v>9726</v>
      </c>
      <c r="BP501" s="9" t="s">
        <v>9727</v>
      </c>
      <c r="BQ501" s="9" t="s">
        <v>682</v>
      </c>
      <c r="BR501" s="9" t="s">
        <v>5174</v>
      </c>
      <c r="BS501" s="9" t="s">
        <v>4071</v>
      </c>
      <c r="BT501" s="9" t="s">
        <v>4072</v>
      </c>
      <c r="BU501" s="9" t="s">
        <v>1693</v>
      </c>
      <c r="BV501" s="9" t="s">
        <v>9728</v>
      </c>
      <c r="BW501" s="9" t="s">
        <v>406</v>
      </c>
      <c r="BX501" s="9" t="s">
        <v>1867</v>
      </c>
      <c r="BY501" s="9" t="s">
        <v>455</v>
      </c>
      <c r="BZ501" s="9" t="s">
        <v>9729</v>
      </c>
      <c r="CB501" s="9" t="s">
        <v>9730</v>
      </c>
      <c r="CC501" s="9" t="s">
        <v>9731</v>
      </c>
      <c r="CD501" s="9" t="s">
        <v>451</v>
      </c>
      <c r="CE501" s="9" t="s">
        <v>9732</v>
      </c>
      <c r="CF501" s="9" t="s">
        <v>1258</v>
      </c>
      <c r="CH501" s="9" t="s">
        <v>1679</v>
      </c>
      <c r="CI501" s="9" t="s">
        <v>833</v>
      </c>
      <c r="CJ501" s="9" t="s">
        <v>9733</v>
      </c>
      <c r="CK501" s="9" t="s">
        <v>9734</v>
      </c>
      <c r="DI501" s="9" t="s">
        <v>777</v>
      </c>
      <c r="DJ501" s="9" t="s">
        <v>613</v>
      </c>
      <c r="ET501" s="9" t="s">
        <v>578</v>
      </c>
      <c r="EU501" s="9" t="s">
        <v>579</v>
      </c>
      <c r="EV501" s="9" t="s">
        <v>1262</v>
      </c>
      <c r="EX501" s="9" t="s">
        <v>9735</v>
      </c>
      <c r="EY501" s="9" t="s">
        <v>9736</v>
      </c>
      <c r="EZ501" s="9" t="s">
        <v>414</v>
      </c>
      <c r="FA501" s="9" t="s">
        <v>414</v>
      </c>
      <c r="FB501" s="9" t="s">
        <v>413</v>
      </c>
      <c r="FC501" s="9" t="s">
        <v>414</v>
      </c>
      <c r="FD501" s="9" t="s">
        <v>416</v>
      </c>
      <c r="FE501" s="9" t="s">
        <v>414</v>
      </c>
      <c r="FF501" s="9" t="s">
        <v>414</v>
      </c>
      <c r="FG501" s="9" t="s">
        <v>416</v>
      </c>
      <c r="FH501" s="9" t="s">
        <v>414</v>
      </c>
      <c r="FI501" s="9" t="s">
        <v>416</v>
      </c>
      <c r="FJ501" s="9" t="s">
        <v>414</v>
      </c>
      <c r="FK501" s="9" t="s">
        <v>414</v>
      </c>
      <c r="FL501" s="9" t="s">
        <v>414</v>
      </c>
      <c r="FM501" s="9" t="s">
        <v>416</v>
      </c>
      <c r="FN501" s="9" t="s">
        <v>414</v>
      </c>
      <c r="FO501" s="9" t="s">
        <v>1074</v>
      </c>
      <c r="FP501" s="9" t="s">
        <v>486</v>
      </c>
      <c r="FQ501" s="9" t="s">
        <v>749</v>
      </c>
      <c r="FS501" s="9" t="s">
        <v>1076</v>
      </c>
      <c r="FT501" s="9" t="s">
        <v>1462</v>
      </c>
      <c r="FU501" s="9" t="s">
        <v>1235</v>
      </c>
      <c r="FV501" s="9" t="s">
        <v>490</v>
      </c>
      <c r="FW501" s="9" t="s">
        <v>491</v>
      </c>
      <c r="FY501" s="9" t="s">
        <v>493</v>
      </c>
      <c r="GB501" s="9" t="s">
        <v>455</v>
      </c>
      <c r="GD501" s="9" t="s">
        <v>9737</v>
      </c>
      <c r="GE501" s="9" t="s">
        <v>753</v>
      </c>
      <c r="GF501" s="9" t="s">
        <v>9738</v>
      </c>
      <c r="GJ501" s="9" t="s">
        <v>857</v>
      </c>
      <c r="GK501" s="9" t="s">
        <v>857</v>
      </c>
      <c r="GL501" s="9" t="s">
        <v>790</v>
      </c>
      <c r="GQ501" s="9" t="s">
        <v>3208</v>
      </c>
      <c r="GR501" s="9" t="s">
        <v>4741</v>
      </c>
      <c r="GV501" s="9" t="s">
        <v>5231</v>
      </c>
      <c r="GW501" s="9" t="s">
        <v>484</v>
      </c>
      <c r="GX501" s="9" t="s">
        <v>5281</v>
      </c>
      <c r="GY501" s="9" t="s">
        <v>8918</v>
      </c>
      <c r="GZ501" s="9" t="s">
        <v>484</v>
      </c>
      <c r="HA501" s="9" t="s">
        <v>5369</v>
      </c>
      <c r="HB501" s="9" t="s">
        <v>9739</v>
      </c>
      <c r="HO501" s="9" t="s">
        <v>5236</v>
      </c>
      <c r="HP501" s="9" t="s">
        <v>5264</v>
      </c>
      <c r="HQ501" s="9" t="s">
        <v>5238</v>
      </c>
      <c r="HR501" s="9" t="s">
        <v>5239</v>
      </c>
      <c r="MJ501" s="9" t="s">
        <v>6321</v>
      </c>
    </row>
    <row r="502" ht="22.5" customHeight="1">
      <c r="A502" s="8">
        <v>46133.186501759265</v>
      </c>
      <c r="B502" s="9" t="s">
        <v>368</v>
      </c>
      <c r="C502" s="9" t="s">
        <v>4958</v>
      </c>
      <c r="D502" s="9" t="s">
        <v>4958</v>
      </c>
      <c r="G502" s="9" t="s">
        <v>422</v>
      </c>
      <c r="H502" s="9" t="s">
        <v>373</v>
      </c>
      <c r="I502" s="9" t="s">
        <v>374</v>
      </c>
      <c r="J502" s="9" t="s">
        <v>718</v>
      </c>
      <c r="K502" s="9" t="s">
        <v>376</v>
      </c>
      <c r="L502" s="9" t="s">
        <v>379</v>
      </c>
      <c r="M502" s="9" t="s">
        <v>720</v>
      </c>
      <c r="N502" s="9" t="s">
        <v>379</v>
      </c>
      <c r="O502" s="9" t="s">
        <v>497</v>
      </c>
      <c r="P502" s="9" t="s">
        <v>592</v>
      </c>
      <c r="Q502" s="9" t="s">
        <v>382</v>
      </c>
      <c r="R502" s="9" t="s">
        <v>427</v>
      </c>
      <c r="S502" s="9" t="s">
        <v>384</v>
      </c>
      <c r="T502" s="9" t="s">
        <v>385</v>
      </c>
      <c r="W502" s="9" t="s">
        <v>386</v>
      </c>
      <c r="X502" s="9" t="s">
        <v>387</v>
      </c>
      <c r="Y502" s="9" t="s">
        <v>6822</v>
      </c>
      <c r="Z502" s="9" t="s">
        <v>389</v>
      </c>
      <c r="AV502" s="9" t="s">
        <v>504</v>
      </c>
      <c r="AW502" s="9">
        <v>2.0</v>
      </c>
      <c r="AX502" s="9">
        <v>2.0</v>
      </c>
      <c r="AY502" s="9" t="s">
        <v>391</v>
      </c>
      <c r="AZ502" s="9">
        <v>2.0</v>
      </c>
      <c r="BA502" s="9">
        <v>2.0</v>
      </c>
      <c r="BB502" s="9" t="s">
        <v>429</v>
      </c>
      <c r="BC502" s="9" t="s">
        <v>9740</v>
      </c>
      <c r="BD502" s="9" t="s">
        <v>9741</v>
      </c>
      <c r="BE502" s="9" t="s">
        <v>392</v>
      </c>
      <c r="BF502" s="9" t="s">
        <v>433</v>
      </c>
      <c r="BG502" s="9" t="s">
        <v>434</v>
      </c>
      <c r="BH502" s="9" t="s">
        <v>9742</v>
      </c>
      <c r="BI502" s="9" t="s">
        <v>509</v>
      </c>
      <c r="BJ502" s="9" t="s">
        <v>9743</v>
      </c>
      <c r="BK502" s="9" t="s">
        <v>602</v>
      </c>
      <c r="BL502" s="9" t="s">
        <v>603</v>
      </c>
      <c r="BM502" s="9" t="s">
        <v>439</v>
      </c>
      <c r="BN502" s="9" t="s">
        <v>513</v>
      </c>
      <c r="CL502" s="9" t="s">
        <v>550</v>
      </c>
      <c r="CM502" s="9" t="s">
        <v>401</v>
      </c>
      <c r="CN502" s="9" t="s">
        <v>9744</v>
      </c>
      <c r="CO502" s="9" t="s">
        <v>9745</v>
      </c>
      <c r="CP502" s="9" t="s">
        <v>685</v>
      </c>
      <c r="CQ502" s="9" t="s">
        <v>5701</v>
      </c>
      <c r="CR502" s="9" t="s">
        <v>804</v>
      </c>
      <c r="CS502" s="9" t="s">
        <v>8716</v>
      </c>
      <c r="CT502" s="9" t="s">
        <v>9746</v>
      </c>
      <c r="CU502" s="9" t="s">
        <v>450</v>
      </c>
      <c r="CV502" s="9" t="s">
        <v>451</v>
      </c>
      <c r="CW502" s="9" t="s">
        <v>9747</v>
      </c>
      <c r="CX502" s="9" t="s">
        <v>408</v>
      </c>
      <c r="CZ502" s="9" t="s">
        <v>453</v>
      </c>
      <c r="DA502" s="9" t="s">
        <v>9748</v>
      </c>
      <c r="DB502" s="9" t="s">
        <v>455</v>
      </c>
      <c r="DC502" s="9" t="s">
        <v>9749</v>
      </c>
      <c r="DD502" s="9" t="s">
        <v>457</v>
      </c>
      <c r="DF502" s="9" t="s">
        <v>9750</v>
      </c>
      <c r="DG502" s="9" t="s">
        <v>561</v>
      </c>
      <c r="DH502" s="9" t="s">
        <v>410</v>
      </c>
      <c r="DI502" s="9" t="s">
        <v>963</v>
      </c>
      <c r="DJ502" s="9" t="s">
        <v>613</v>
      </c>
      <c r="ET502" s="9" t="s">
        <v>526</v>
      </c>
      <c r="EU502" s="9" t="s">
        <v>579</v>
      </c>
      <c r="EV502" s="9" t="s">
        <v>480</v>
      </c>
      <c r="EW502" s="9" t="s">
        <v>9751</v>
      </c>
      <c r="EX502" s="9" t="s">
        <v>9752</v>
      </c>
      <c r="EY502" s="9" t="s">
        <v>9753</v>
      </c>
      <c r="EZ502" s="9" t="s">
        <v>413</v>
      </c>
      <c r="FA502" s="9" t="s">
        <v>414</v>
      </c>
      <c r="FB502" s="9" t="s">
        <v>413</v>
      </c>
      <c r="FC502" s="9" t="s">
        <v>413</v>
      </c>
      <c r="FD502" s="9" t="s">
        <v>413</v>
      </c>
      <c r="FE502" s="9" t="s">
        <v>583</v>
      </c>
      <c r="FF502" s="9" t="s">
        <v>413</v>
      </c>
      <c r="FG502" s="9" t="s">
        <v>484</v>
      </c>
      <c r="FH502" s="9" t="s">
        <v>413</v>
      </c>
      <c r="FI502" s="9" t="s">
        <v>413</v>
      </c>
      <c r="FJ502" s="9" t="s">
        <v>413</v>
      </c>
      <c r="FK502" s="9" t="s">
        <v>415</v>
      </c>
      <c r="FL502" s="9" t="s">
        <v>415</v>
      </c>
      <c r="FM502" s="9" t="s">
        <v>413</v>
      </c>
      <c r="FN502" s="9" t="s">
        <v>583</v>
      </c>
      <c r="FO502" s="9" t="s">
        <v>417</v>
      </c>
      <c r="FP502" s="9" t="s">
        <v>418</v>
      </c>
      <c r="FQ502" s="9" t="s">
        <v>749</v>
      </c>
      <c r="FS502" s="9" t="s">
        <v>420</v>
      </c>
      <c r="FT502" s="9" t="s">
        <v>488</v>
      </c>
      <c r="FU502" s="9" t="s">
        <v>1235</v>
      </c>
      <c r="FV502" s="9" t="s">
        <v>490</v>
      </c>
      <c r="FW502" s="9" t="s">
        <v>491</v>
      </c>
      <c r="FX502" s="9" t="s">
        <v>9754</v>
      </c>
      <c r="FY502" s="9" t="s">
        <v>535</v>
      </c>
      <c r="FZ502" s="9" t="s">
        <v>9755</v>
      </c>
      <c r="GB502" s="9" t="s">
        <v>455</v>
      </c>
      <c r="GD502" s="9" t="s">
        <v>9756</v>
      </c>
      <c r="GE502" s="9" t="s">
        <v>753</v>
      </c>
      <c r="GF502" s="9" t="s">
        <v>9757</v>
      </c>
      <c r="GG502" s="9" t="s">
        <v>755</v>
      </c>
      <c r="GH502" s="9" t="s">
        <v>755</v>
      </c>
      <c r="GI502" s="9" t="s">
        <v>946</v>
      </c>
      <c r="GN502" s="9" t="s">
        <v>9758</v>
      </c>
      <c r="GO502" s="9" t="s">
        <v>9758</v>
      </c>
      <c r="GQ502" s="9" t="s">
        <v>3208</v>
      </c>
      <c r="GT502" s="9" t="s">
        <v>4774</v>
      </c>
      <c r="GV502" s="9" t="s">
        <v>5231</v>
      </c>
      <c r="GW502" s="9" t="s">
        <v>5232</v>
      </c>
      <c r="HC502" s="9" t="s">
        <v>5281</v>
      </c>
      <c r="HD502" s="9" t="s">
        <v>5282</v>
      </c>
      <c r="HE502" s="9" t="s">
        <v>5718</v>
      </c>
      <c r="HF502" s="9" t="s">
        <v>5899</v>
      </c>
      <c r="HO502" s="9" t="s">
        <v>5285</v>
      </c>
      <c r="HP502" s="9" t="s">
        <v>5264</v>
      </c>
      <c r="HQ502" s="9" t="s">
        <v>5238</v>
      </c>
      <c r="HR502" s="9" t="s">
        <v>5321</v>
      </c>
      <c r="HW502" s="9" t="s">
        <v>5597</v>
      </c>
      <c r="MJ502" s="9" t="s">
        <v>6321</v>
      </c>
    </row>
    <row r="503" ht="22.5" customHeight="1">
      <c r="A503" s="8">
        <v>46134.22396824074</v>
      </c>
      <c r="B503" s="9" t="s">
        <v>368</v>
      </c>
      <c r="C503" s="9" t="s">
        <v>370</v>
      </c>
      <c r="D503" s="9" t="s">
        <v>370</v>
      </c>
      <c r="E503" s="9" t="s">
        <v>1480</v>
      </c>
      <c r="F503" s="9" t="s">
        <v>1480</v>
      </c>
      <c r="G503" s="9" t="s">
        <v>422</v>
      </c>
      <c r="H503" s="9" t="s">
        <v>373</v>
      </c>
      <c r="I503" s="9" t="s">
        <v>374</v>
      </c>
      <c r="J503" s="9" t="s">
        <v>375</v>
      </c>
      <c r="K503" s="9" t="s">
        <v>376</v>
      </c>
      <c r="L503" s="9" t="s">
        <v>426</v>
      </c>
      <c r="M503" s="9" t="s">
        <v>9759</v>
      </c>
      <c r="N503" s="9" t="s">
        <v>379</v>
      </c>
      <c r="O503" s="9" t="s">
        <v>497</v>
      </c>
      <c r="P503" s="9" t="s">
        <v>1760</v>
      </c>
      <c r="Q503" s="9" t="s">
        <v>382</v>
      </c>
      <c r="R503" s="9" t="s">
        <v>9760</v>
      </c>
      <c r="S503" s="9" t="s">
        <v>384</v>
      </c>
      <c r="T503" s="9" t="s">
        <v>385</v>
      </c>
      <c r="W503" s="9" t="s">
        <v>3014</v>
      </c>
      <c r="AV503" s="9" t="s">
        <v>1310</v>
      </c>
      <c r="AW503" s="9">
        <v>4.0</v>
      </c>
      <c r="AX503" s="9" t="s">
        <v>675</v>
      </c>
      <c r="AY503" s="9" t="s">
        <v>675</v>
      </c>
      <c r="AZ503" s="9" t="s">
        <v>675</v>
      </c>
      <c r="BA503" s="9" t="s">
        <v>675</v>
      </c>
      <c r="BB503" s="9">
        <v>4.0</v>
      </c>
      <c r="BC503" s="9" t="s">
        <v>9761</v>
      </c>
      <c r="BD503" s="9" t="s">
        <v>9762</v>
      </c>
      <c r="BE503" s="9" t="s">
        <v>902</v>
      </c>
      <c r="BF503" s="9" t="s">
        <v>393</v>
      </c>
      <c r="BG503" s="9" t="s">
        <v>765</v>
      </c>
      <c r="BH503" s="9" t="s">
        <v>9763</v>
      </c>
      <c r="BI503" s="9" t="s">
        <v>976</v>
      </c>
      <c r="BK503" s="9" t="s">
        <v>602</v>
      </c>
      <c r="BL503" s="9" t="s">
        <v>904</v>
      </c>
      <c r="BM503" s="9" t="s">
        <v>397</v>
      </c>
      <c r="BN503" s="9" t="s">
        <v>513</v>
      </c>
      <c r="CL503" s="9" t="s">
        <v>441</v>
      </c>
      <c r="CM503" s="9" t="s">
        <v>401</v>
      </c>
      <c r="CN503" s="9" t="s">
        <v>9764</v>
      </c>
      <c r="CO503" s="9" t="s">
        <v>9765</v>
      </c>
      <c r="CP503" s="9" t="s">
        <v>685</v>
      </c>
      <c r="CQ503" s="9" t="s">
        <v>3703</v>
      </c>
      <c r="CR503" s="9" t="s">
        <v>447</v>
      </c>
      <c r="CS503" s="9" t="s">
        <v>770</v>
      </c>
      <c r="CT503" s="9" t="s">
        <v>9766</v>
      </c>
      <c r="CU503" s="9" t="s">
        <v>1852</v>
      </c>
      <c r="CV503" s="9" t="s">
        <v>409</v>
      </c>
      <c r="CW503" s="9" t="s">
        <v>9767</v>
      </c>
      <c r="CX503" s="9" t="s">
        <v>408</v>
      </c>
      <c r="CZ503" s="9" t="s">
        <v>985</v>
      </c>
      <c r="DA503" s="9" t="s">
        <v>9768</v>
      </c>
      <c r="DB503" s="9" t="s">
        <v>408</v>
      </c>
      <c r="DD503" s="9" t="s">
        <v>988</v>
      </c>
      <c r="DF503" s="9" t="s">
        <v>9769</v>
      </c>
      <c r="DG503" s="9" t="s">
        <v>776</v>
      </c>
      <c r="DH503" s="9" t="s">
        <v>410</v>
      </c>
      <c r="DI503" s="9" t="s">
        <v>963</v>
      </c>
      <c r="DJ503" s="9" t="s">
        <v>562</v>
      </c>
      <c r="DK503" s="9" t="s">
        <v>6603</v>
      </c>
      <c r="DL503" s="9" t="s">
        <v>9770</v>
      </c>
      <c r="ET503" s="9" t="s">
        <v>578</v>
      </c>
      <c r="EU503" s="9" t="s">
        <v>479</v>
      </c>
      <c r="EV503" s="9" t="s">
        <v>527</v>
      </c>
      <c r="EW503" s="9" t="s">
        <v>9771</v>
      </c>
      <c r="EX503" s="9" t="s">
        <v>9772</v>
      </c>
      <c r="EY503" s="9" t="s">
        <v>9773</v>
      </c>
      <c r="EZ503" s="9" t="s">
        <v>583</v>
      </c>
      <c r="FA503" s="9" t="s">
        <v>583</v>
      </c>
      <c r="FB503" s="9" t="s">
        <v>416</v>
      </c>
      <c r="FC503" s="9" t="s">
        <v>583</v>
      </c>
      <c r="FD503" s="9" t="s">
        <v>415</v>
      </c>
      <c r="FE503" s="9" t="s">
        <v>583</v>
      </c>
      <c r="FF503" s="9" t="s">
        <v>414</v>
      </c>
      <c r="FG503" s="9" t="s">
        <v>416</v>
      </c>
      <c r="FH503" s="9" t="s">
        <v>583</v>
      </c>
      <c r="FI503" s="9" t="s">
        <v>583</v>
      </c>
      <c r="FJ503" s="9" t="s">
        <v>583</v>
      </c>
      <c r="FK503" s="9" t="s">
        <v>583</v>
      </c>
      <c r="FL503" s="9" t="s">
        <v>583</v>
      </c>
      <c r="FM503" s="9" t="s">
        <v>416</v>
      </c>
      <c r="FN503" s="9" t="s">
        <v>583</v>
      </c>
      <c r="FO503" s="9" t="s">
        <v>850</v>
      </c>
      <c r="FP503" s="9" t="s">
        <v>486</v>
      </c>
      <c r="FQ503" s="9" t="s">
        <v>630</v>
      </c>
      <c r="FR503" s="9" t="s">
        <v>9774</v>
      </c>
      <c r="FS503" s="9" t="s">
        <v>1076</v>
      </c>
      <c r="FT503" s="9" t="s">
        <v>1462</v>
      </c>
      <c r="FU503" s="9" t="s">
        <v>533</v>
      </c>
      <c r="FV503" s="9" t="s">
        <v>490</v>
      </c>
      <c r="FW503" s="9" t="s">
        <v>491</v>
      </c>
      <c r="FX503" s="9" t="s">
        <v>9775</v>
      </c>
      <c r="FY503" s="9" t="s">
        <v>493</v>
      </c>
      <c r="FZ503" s="9" t="s">
        <v>9776</v>
      </c>
      <c r="GA503" s="9" t="s">
        <v>9777</v>
      </c>
      <c r="GB503" s="9" t="s">
        <v>455</v>
      </c>
      <c r="GC503" s="9"/>
      <c r="GD503" s="9"/>
      <c r="GE503" s="9" t="s">
        <v>753</v>
      </c>
      <c r="GF503" s="9" t="s">
        <v>455</v>
      </c>
      <c r="GG503" s="9" t="s">
        <v>755</v>
      </c>
      <c r="GH503" s="9" t="s">
        <v>755</v>
      </c>
      <c r="GI503" s="9" t="s">
        <v>817</v>
      </c>
      <c r="GQ503" s="9" t="s">
        <v>3208</v>
      </c>
      <c r="GT503" s="9" t="s">
        <v>4774</v>
      </c>
      <c r="GV503" s="9" t="s">
        <v>5231</v>
      </c>
      <c r="GW503" s="9" t="s">
        <v>5232</v>
      </c>
      <c r="HC503" s="9" t="s">
        <v>5281</v>
      </c>
      <c r="HD503" s="9" t="s">
        <v>5349</v>
      </c>
      <c r="HE503" s="9" t="s">
        <v>5718</v>
      </c>
      <c r="HF503" s="9" t="s">
        <v>5899</v>
      </c>
      <c r="HO503" s="9" t="s">
        <v>5236</v>
      </c>
      <c r="HP503" s="9" t="s">
        <v>5264</v>
      </c>
      <c r="HQ503" s="9" t="s">
        <v>5238</v>
      </c>
      <c r="HR503" s="9" t="s">
        <v>5321</v>
      </c>
      <c r="HW503" s="9" t="s">
        <v>9778</v>
      </c>
      <c r="MJ503" s="9" t="s">
        <v>6321</v>
      </c>
    </row>
    <row r="504" ht="22.5" customHeight="1">
      <c r="A504" s="8">
        <v>46138.04028951389</v>
      </c>
      <c r="B504" s="9" t="s">
        <v>368</v>
      </c>
      <c r="C504" s="9" t="s">
        <v>370</v>
      </c>
      <c r="D504" s="9" t="s">
        <v>370</v>
      </c>
      <c r="E504" s="9" t="s">
        <v>4361</v>
      </c>
      <c r="F504" s="9" t="s">
        <v>667</v>
      </c>
      <c r="G504" s="9" t="s">
        <v>422</v>
      </c>
      <c r="H504" s="9" t="s">
        <v>423</v>
      </c>
      <c r="I504" s="9" t="s">
        <v>424</v>
      </c>
      <c r="J504" s="9" t="s">
        <v>425</v>
      </c>
      <c r="K504" s="9" t="s">
        <v>376</v>
      </c>
      <c r="L504" s="9" t="s">
        <v>670</v>
      </c>
      <c r="M504" s="9" t="s">
        <v>1270</v>
      </c>
      <c r="N504" s="9" t="s">
        <v>670</v>
      </c>
      <c r="O504" s="9" t="s">
        <v>1270</v>
      </c>
      <c r="P504" s="9" t="s">
        <v>498</v>
      </c>
      <c r="Q504" s="9" t="s">
        <v>862</v>
      </c>
      <c r="R504" s="9" t="s">
        <v>427</v>
      </c>
      <c r="S504" s="9" t="s">
        <v>1785</v>
      </c>
      <c r="T504" s="9" t="s">
        <v>1786</v>
      </c>
      <c r="ED504" s="9" t="s">
        <v>5662</v>
      </c>
      <c r="EI504" s="9" t="s">
        <v>5664</v>
      </c>
      <c r="EK504" s="9" t="s">
        <v>9779</v>
      </c>
      <c r="EL504" s="9" t="s">
        <v>9780</v>
      </c>
      <c r="EM504" s="9" t="s">
        <v>8713</v>
      </c>
      <c r="EN504" s="9" t="s">
        <v>8713</v>
      </c>
      <c r="ER504" s="9" t="s">
        <v>9781</v>
      </c>
      <c r="ES504" s="9" t="s">
        <v>9782</v>
      </c>
      <c r="ET504" s="9" t="s">
        <v>526</v>
      </c>
      <c r="EU504" s="9" t="s">
        <v>479</v>
      </c>
      <c r="EV504" s="9" t="s">
        <v>778</v>
      </c>
      <c r="EW504" s="9" t="s">
        <v>9783</v>
      </c>
      <c r="EX504" s="9" t="s">
        <v>9784</v>
      </c>
      <c r="EY504" s="9" t="s">
        <v>9785</v>
      </c>
      <c r="EZ504" s="9" t="s">
        <v>416</v>
      </c>
      <c r="FA504" s="9" t="s">
        <v>415</v>
      </c>
      <c r="FB504" s="9" t="s">
        <v>413</v>
      </c>
      <c r="FC504" s="9" t="s">
        <v>413</v>
      </c>
      <c r="FD504" s="9" t="s">
        <v>413</v>
      </c>
      <c r="FE504" s="9" t="s">
        <v>416</v>
      </c>
      <c r="FF504" s="9" t="s">
        <v>484</v>
      </c>
      <c r="FG504" s="9" t="s">
        <v>413</v>
      </c>
      <c r="FH504" s="9" t="s">
        <v>583</v>
      </c>
      <c r="FI504" s="9" t="s">
        <v>484</v>
      </c>
      <c r="FJ504" s="9" t="s">
        <v>484</v>
      </c>
      <c r="FK504" s="9" t="s">
        <v>484</v>
      </c>
      <c r="FL504" s="9" t="s">
        <v>484</v>
      </c>
      <c r="FM504" s="9" t="s">
        <v>484</v>
      </c>
      <c r="FN504" s="9" t="s">
        <v>484</v>
      </c>
      <c r="FO504" s="9" t="s">
        <v>485</v>
      </c>
      <c r="FP504" s="9" t="s">
        <v>418</v>
      </c>
      <c r="FQ504" s="9" t="s">
        <v>712</v>
      </c>
      <c r="FS504" s="9" t="s">
        <v>420</v>
      </c>
      <c r="FT504" s="9" t="s">
        <v>1476</v>
      </c>
      <c r="FU504" s="9" t="s">
        <v>489</v>
      </c>
      <c r="FV504" s="9" t="s">
        <v>490</v>
      </c>
      <c r="FW504" s="9" t="s">
        <v>491</v>
      </c>
      <c r="FX504" s="9" t="s">
        <v>9786</v>
      </c>
      <c r="FY504" s="9" t="s">
        <v>535</v>
      </c>
      <c r="FZ504" s="9" t="s">
        <v>9787</v>
      </c>
      <c r="GA504" s="9" t="s">
        <v>9788</v>
      </c>
      <c r="GB504" s="9" t="s">
        <v>455</v>
      </c>
      <c r="GC504" s="9"/>
      <c r="GE504" s="9" t="s">
        <v>753</v>
      </c>
      <c r="GQ504" s="9" t="s">
        <v>3208</v>
      </c>
      <c r="GV504" s="9" t="s">
        <v>5231</v>
      </c>
      <c r="GW504" s="9" t="s">
        <v>5232</v>
      </c>
      <c r="HK504" s="9" t="s">
        <v>6476</v>
      </c>
      <c r="HL504" s="9" t="s">
        <v>6217</v>
      </c>
      <c r="HM504" s="9" t="s">
        <v>6253</v>
      </c>
      <c r="HN504" s="9" t="s">
        <v>5678</v>
      </c>
      <c r="HO504" s="9" t="s">
        <v>5236</v>
      </c>
      <c r="HP504" s="9" t="s">
        <v>5371</v>
      </c>
      <c r="HQ504" s="9" t="s">
        <v>5238</v>
      </c>
      <c r="HR504" s="9" t="s">
        <v>5239</v>
      </c>
      <c r="JD504" s="9" t="s">
        <v>5679</v>
      </c>
      <c r="JG504" s="9" t="s">
        <v>5680</v>
      </c>
      <c r="JI504" s="9" t="s">
        <v>5231</v>
      </c>
      <c r="JJ504" s="9" t="s">
        <v>8458</v>
      </c>
      <c r="JK504" s="9" t="s">
        <v>455</v>
      </c>
      <c r="JL504" s="9" t="s">
        <v>5682</v>
      </c>
      <c r="JN504" s="9" t="s">
        <v>7553</v>
      </c>
      <c r="JQ504" s="9" t="s">
        <v>5684</v>
      </c>
      <c r="JY504" s="9" t="s">
        <v>6512</v>
      </c>
      <c r="JZ504" s="9" t="s">
        <v>5682</v>
      </c>
      <c r="KA504" s="9" t="s">
        <v>5686</v>
      </c>
      <c r="KB504" s="9" t="s">
        <v>5687</v>
      </c>
      <c r="KC504" s="9" t="s">
        <v>9789</v>
      </c>
      <c r="KD504" s="9" t="s">
        <v>5689</v>
      </c>
      <c r="KE504" s="9" t="s">
        <v>9790</v>
      </c>
      <c r="KG504" s="9" t="s">
        <v>6517</v>
      </c>
      <c r="KM504" s="9" t="s">
        <v>6518</v>
      </c>
      <c r="KN504" s="9" t="s">
        <v>9791</v>
      </c>
      <c r="KV504" s="9" t="s">
        <v>9792</v>
      </c>
      <c r="KW504" s="9" t="s">
        <v>9779</v>
      </c>
      <c r="KX504" s="9" t="s">
        <v>9779</v>
      </c>
      <c r="KY504" s="9" t="s">
        <v>9793</v>
      </c>
      <c r="KZ504" s="9" t="s">
        <v>9794</v>
      </c>
      <c r="LA504" s="9" t="s">
        <v>9795</v>
      </c>
      <c r="LC504" s="9" t="s">
        <v>9796</v>
      </c>
      <c r="LD504" s="9" t="s">
        <v>9797</v>
      </c>
      <c r="LE504" s="9" t="s">
        <v>6381</v>
      </c>
      <c r="LF504" s="9" t="s">
        <v>6382</v>
      </c>
      <c r="MJ504" s="9" t="s">
        <v>6383</v>
      </c>
    </row>
    <row r="505" ht="22.5" customHeight="1">
      <c r="A505" s="8">
        <v>46139.226470995374</v>
      </c>
      <c r="B505" s="9" t="s">
        <v>368</v>
      </c>
      <c r="C505" s="9" t="s">
        <v>894</v>
      </c>
      <c r="D505" s="9" t="s">
        <v>894</v>
      </c>
      <c r="G505" s="9" t="s">
        <v>422</v>
      </c>
      <c r="H505" s="9" t="s">
        <v>373</v>
      </c>
      <c r="I505" s="9" t="s">
        <v>374</v>
      </c>
      <c r="J505" s="9" t="s">
        <v>590</v>
      </c>
      <c r="K505" s="9" t="s">
        <v>376</v>
      </c>
      <c r="L505" s="9" t="s">
        <v>379</v>
      </c>
      <c r="M505" s="9" t="s">
        <v>639</v>
      </c>
      <c r="N505" s="9" t="s">
        <v>377</v>
      </c>
      <c r="O505" s="9" t="s">
        <v>497</v>
      </c>
      <c r="P505" s="9" t="s">
        <v>381</v>
      </c>
      <c r="Q505" s="9" t="s">
        <v>818</v>
      </c>
      <c r="R505" s="9" t="s">
        <v>949</v>
      </c>
      <c r="S505" s="9" t="s">
        <v>384</v>
      </c>
      <c r="T505" s="9" t="s">
        <v>385</v>
      </c>
      <c r="U505" s="9" t="s">
        <v>1045</v>
      </c>
      <c r="V505" s="9" t="s">
        <v>1025</v>
      </c>
      <c r="W505" s="9" t="s">
        <v>3231</v>
      </c>
      <c r="AV505" s="9" t="s">
        <v>1242</v>
      </c>
      <c r="AW505" s="9">
        <v>4.0</v>
      </c>
      <c r="AX505" s="9" t="s">
        <v>391</v>
      </c>
      <c r="AY505" s="9">
        <v>2.0</v>
      </c>
      <c r="AZ505" s="9">
        <v>2.0</v>
      </c>
      <c r="BA505" s="9" t="s">
        <v>429</v>
      </c>
      <c r="BB505" s="9" t="s">
        <v>391</v>
      </c>
      <c r="BE505" s="9" t="s">
        <v>432</v>
      </c>
      <c r="BF505" s="9" t="s">
        <v>1095</v>
      </c>
      <c r="BG505" s="9" t="s">
        <v>765</v>
      </c>
      <c r="BH505" s="9" t="s">
        <v>9798</v>
      </c>
      <c r="BI505" s="9" t="s">
        <v>976</v>
      </c>
      <c r="BK505" s="9" t="s">
        <v>395</v>
      </c>
      <c r="BL505" s="9" t="s">
        <v>603</v>
      </c>
      <c r="BM505" s="9" t="s">
        <v>1247</v>
      </c>
      <c r="BN505" s="9" t="s">
        <v>513</v>
      </c>
      <c r="CL505" s="9" t="s">
        <v>550</v>
      </c>
      <c r="CM505" s="9" t="s">
        <v>604</v>
      </c>
      <c r="CN505" s="9" t="s">
        <v>9799</v>
      </c>
      <c r="CO505" s="9" t="s">
        <v>9800</v>
      </c>
      <c r="CP505" s="9" t="s">
        <v>685</v>
      </c>
      <c r="CQ505" s="9" t="s">
        <v>5701</v>
      </c>
      <c r="CR505" s="9" t="s">
        <v>804</v>
      </c>
      <c r="CS505" s="9" t="s">
        <v>1346</v>
      </c>
      <c r="CT505" s="9" t="s">
        <v>9801</v>
      </c>
      <c r="CU505" s="9" t="s">
        <v>3167</v>
      </c>
      <c r="CV505" s="9" t="s">
        <v>409</v>
      </c>
      <c r="CW505" s="9" t="s">
        <v>9802</v>
      </c>
      <c r="CX505" s="9" t="s">
        <v>408</v>
      </c>
      <c r="CZ505" s="9" t="s">
        <v>985</v>
      </c>
      <c r="DA505" s="9" t="s">
        <v>9803</v>
      </c>
      <c r="DB505" s="9" t="s">
        <v>408</v>
      </c>
      <c r="DD505" s="9" t="s">
        <v>406</v>
      </c>
      <c r="DE505" s="9" t="s">
        <v>407</v>
      </c>
      <c r="DG505" s="9" t="s">
        <v>776</v>
      </c>
      <c r="DH505" s="9" t="s">
        <v>833</v>
      </c>
      <c r="DI505" s="9" t="s">
        <v>963</v>
      </c>
      <c r="DJ505" s="9" t="s">
        <v>613</v>
      </c>
      <c r="ET505" s="9" t="s">
        <v>2747</v>
      </c>
      <c r="EU505" s="9" t="s">
        <v>579</v>
      </c>
      <c r="EV505" s="9" t="s">
        <v>778</v>
      </c>
      <c r="EW505" s="9" t="s">
        <v>9804</v>
      </c>
      <c r="EX505" s="9" t="s">
        <v>9805</v>
      </c>
      <c r="EY505" s="9" t="s">
        <v>9806</v>
      </c>
      <c r="EZ505" s="9" t="s">
        <v>413</v>
      </c>
      <c r="FA505" s="9" t="s">
        <v>415</v>
      </c>
      <c r="FB505" s="9" t="s">
        <v>413</v>
      </c>
      <c r="FC505" s="9" t="s">
        <v>413</v>
      </c>
      <c r="FD505" s="9" t="s">
        <v>413</v>
      </c>
      <c r="FE505" s="9" t="s">
        <v>415</v>
      </c>
      <c r="FF505" s="9" t="s">
        <v>413</v>
      </c>
      <c r="FG505" s="9" t="s">
        <v>484</v>
      </c>
      <c r="FH505" s="9" t="s">
        <v>413</v>
      </c>
      <c r="FI505" s="9" t="s">
        <v>413</v>
      </c>
      <c r="FJ505" s="9" t="s">
        <v>413</v>
      </c>
      <c r="FK505" s="9" t="s">
        <v>413</v>
      </c>
      <c r="FL505" s="9" t="s">
        <v>484</v>
      </c>
      <c r="FM505" s="9" t="s">
        <v>484</v>
      </c>
      <c r="FN505" s="9" t="s">
        <v>414</v>
      </c>
      <c r="FO505" s="9" t="s">
        <v>1537</v>
      </c>
      <c r="FP505" s="9" t="s">
        <v>418</v>
      </c>
      <c r="FQ505" s="9" t="s">
        <v>531</v>
      </c>
      <c r="FS505" s="9" t="s">
        <v>1871</v>
      </c>
      <c r="FT505" s="9" t="s">
        <v>488</v>
      </c>
      <c r="FU505" s="9" t="s">
        <v>1235</v>
      </c>
      <c r="FV505" s="9" t="s">
        <v>2399</v>
      </c>
      <c r="FW505" s="9" t="s">
        <v>1853</v>
      </c>
      <c r="FY505" s="9" t="s">
        <v>1020</v>
      </c>
      <c r="GB505" s="9" t="s">
        <v>408</v>
      </c>
      <c r="GG505" s="9" t="s">
        <v>755</v>
      </c>
      <c r="GH505" s="9" t="s">
        <v>1000</v>
      </c>
      <c r="GI505" s="9" t="s">
        <v>946</v>
      </c>
      <c r="GP505" s="9" t="s">
        <v>387</v>
      </c>
      <c r="GT505" s="9" t="s">
        <v>4774</v>
      </c>
      <c r="GV505" s="9" t="s">
        <v>5231</v>
      </c>
      <c r="GW505" s="9" t="s">
        <v>5232</v>
      </c>
      <c r="HC505" s="9" t="s">
        <v>5281</v>
      </c>
      <c r="HD505" s="9" t="s">
        <v>5282</v>
      </c>
      <c r="HE505" s="9" t="s">
        <v>484</v>
      </c>
      <c r="HF505" s="9" t="s">
        <v>5300</v>
      </c>
      <c r="HO505" s="9" t="s">
        <v>5301</v>
      </c>
      <c r="HP505" s="9" t="s">
        <v>5264</v>
      </c>
      <c r="HQ505" s="9" t="s">
        <v>5721</v>
      </c>
      <c r="HR505" s="9" t="s">
        <v>5239</v>
      </c>
      <c r="HW505" s="9" t="s">
        <v>5597</v>
      </c>
      <c r="MJ505" s="9" t="s">
        <v>6321</v>
      </c>
    </row>
    <row r="506" ht="22.5" customHeight="1">
      <c r="A506" s="8">
        <v>46143.65511586805</v>
      </c>
      <c r="B506" s="9" t="s">
        <v>368</v>
      </c>
      <c r="C506" s="9" t="s">
        <v>3570</v>
      </c>
      <c r="D506" s="9" t="s">
        <v>3570</v>
      </c>
      <c r="G506" s="9" t="s">
        <v>1269</v>
      </c>
      <c r="H506" s="9" t="s">
        <v>1203</v>
      </c>
      <c r="I506" s="9" t="s">
        <v>638</v>
      </c>
      <c r="J506" s="9" t="s">
        <v>590</v>
      </c>
      <c r="K506" s="9" t="s">
        <v>376</v>
      </c>
      <c r="L506" s="9" t="s">
        <v>591</v>
      </c>
      <c r="M506" s="9" t="s">
        <v>541</v>
      </c>
      <c r="N506" s="9" t="s">
        <v>426</v>
      </c>
      <c r="O506" s="9" t="s">
        <v>378</v>
      </c>
      <c r="P506" s="9" t="s">
        <v>592</v>
      </c>
      <c r="Q506" s="9" t="s">
        <v>862</v>
      </c>
      <c r="R506" s="9" t="s">
        <v>9807</v>
      </c>
      <c r="S506" s="9" t="s">
        <v>384</v>
      </c>
      <c r="T506" s="9" t="s">
        <v>385</v>
      </c>
      <c r="W506" s="9" t="s">
        <v>3014</v>
      </c>
      <c r="AV506" s="9" t="s">
        <v>390</v>
      </c>
      <c r="AW506" s="9">
        <v>2.0</v>
      </c>
      <c r="AX506" s="9" t="s">
        <v>391</v>
      </c>
      <c r="AY506" s="9">
        <v>4.0</v>
      </c>
      <c r="AZ506" s="9">
        <v>2.0</v>
      </c>
      <c r="BA506" s="9">
        <v>2.0</v>
      </c>
      <c r="BB506" s="9" t="s">
        <v>391</v>
      </c>
      <c r="BC506" s="9" t="s">
        <v>9808</v>
      </c>
      <c r="BD506" s="9" t="s">
        <v>9809</v>
      </c>
      <c r="BE506" s="9" t="s">
        <v>2259</v>
      </c>
      <c r="BF506" s="9" t="s">
        <v>433</v>
      </c>
      <c r="BG506" s="9" t="s">
        <v>394</v>
      </c>
      <c r="BI506" s="9" t="s">
        <v>824</v>
      </c>
      <c r="BK506" s="9" t="s">
        <v>437</v>
      </c>
      <c r="BL506" s="9" t="s">
        <v>396</v>
      </c>
      <c r="BM506" s="9" t="s">
        <v>549</v>
      </c>
      <c r="BN506" s="9" t="s">
        <v>513</v>
      </c>
      <c r="CL506" s="9" t="s">
        <v>550</v>
      </c>
      <c r="CM506" s="9" t="s">
        <v>604</v>
      </c>
      <c r="CN506" s="9" t="s">
        <v>9810</v>
      </c>
      <c r="CO506" s="9" t="s">
        <v>9811</v>
      </c>
      <c r="CP506" s="9" t="s">
        <v>1008</v>
      </c>
      <c r="CQ506" s="9" t="s">
        <v>9812</v>
      </c>
      <c r="CR506" s="9" t="s">
        <v>555</v>
      </c>
      <c r="CS506" s="9" t="s">
        <v>9813</v>
      </c>
      <c r="CT506" s="9" t="s">
        <v>9814</v>
      </c>
      <c r="CU506" s="9" t="s">
        <v>450</v>
      </c>
      <c r="CV506" s="9" t="s">
        <v>451</v>
      </c>
      <c r="CW506" s="9" t="s">
        <v>9815</v>
      </c>
      <c r="CX506" s="9" t="s">
        <v>408</v>
      </c>
      <c r="CZ506" s="9" t="s">
        <v>985</v>
      </c>
      <c r="DB506" s="9" t="s">
        <v>408</v>
      </c>
      <c r="DD506" s="9" t="s">
        <v>662</v>
      </c>
      <c r="DE506" s="9" t="s">
        <v>407</v>
      </c>
      <c r="DF506" s="9" t="s">
        <v>9816</v>
      </c>
      <c r="DG506" s="9" t="s">
        <v>561</v>
      </c>
      <c r="DH506" s="9" t="s">
        <v>410</v>
      </c>
      <c r="DI506" s="9" t="s">
        <v>963</v>
      </c>
      <c r="DJ506" s="9" t="s">
        <v>460</v>
      </c>
      <c r="DK506" s="9" t="s">
        <v>6319</v>
      </c>
      <c r="ET506" s="9" t="s">
        <v>526</v>
      </c>
      <c r="EU506" s="9" t="s">
        <v>579</v>
      </c>
      <c r="EV506" s="9" t="s">
        <v>480</v>
      </c>
      <c r="EZ506" s="9" t="s">
        <v>413</v>
      </c>
      <c r="FA506" s="9" t="s">
        <v>415</v>
      </c>
      <c r="FB506" s="9" t="s">
        <v>413</v>
      </c>
      <c r="FC506" s="9" t="s">
        <v>413</v>
      </c>
      <c r="FD506" s="9" t="s">
        <v>413</v>
      </c>
      <c r="FE506" s="9" t="s">
        <v>414</v>
      </c>
      <c r="FF506" s="9" t="s">
        <v>583</v>
      </c>
      <c r="FG506" s="9" t="s">
        <v>415</v>
      </c>
      <c r="FH506" s="9" t="s">
        <v>414</v>
      </c>
      <c r="FI506" s="9" t="s">
        <v>416</v>
      </c>
      <c r="FJ506" s="9" t="s">
        <v>414</v>
      </c>
      <c r="FK506" s="9" t="s">
        <v>484</v>
      </c>
      <c r="FL506" s="9" t="s">
        <v>583</v>
      </c>
      <c r="FM506" s="9" t="s">
        <v>413</v>
      </c>
      <c r="FN506" s="9" t="s">
        <v>414</v>
      </c>
      <c r="FO506" s="9" t="s">
        <v>485</v>
      </c>
      <c r="FP506" s="9" t="s">
        <v>486</v>
      </c>
      <c r="FQ506" s="9" t="s">
        <v>419</v>
      </c>
      <c r="FS506" s="9" t="s">
        <v>420</v>
      </c>
      <c r="FT506" s="9" t="s">
        <v>1462</v>
      </c>
      <c r="FU506" s="9" t="s">
        <v>1235</v>
      </c>
      <c r="FV506" s="9" t="s">
        <v>490</v>
      </c>
      <c r="FW506" s="9" t="s">
        <v>491</v>
      </c>
      <c r="FX506" s="9" t="s">
        <v>9817</v>
      </c>
      <c r="FY506" s="9" t="s">
        <v>535</v>
      </c>
      <c r="FZ506" s="9" t="s">
        <v>9818</v>
      </c>
      <c r="GA506" s="9" t="s">
        <v>9819</v>
      </c>
      <c r="GB506" s="9" t="s">
        <v>408</v>
      </c>
      <c r="GG506" s="9" t="s">
        <v>1000</v>
      </c>
      <c r="GH506" s="9" t="s">
        <v>755</v>
      </c>
      <c r="GI506" s="9" t="s">
        <v>946</v>
      </c>
      <c r="GN506" s="9" t="s">
        <v>9820</v>
      </c>
      <c r="GO506" s="9" t="s">
        <v>9821</v>
      </c>
      <c r="GQ506" s="9" t="s">
        <v>3208</v>
      </c>
      <c r="GT506" s="9" t="s">
        <v>4774</v>
      </c>
      <c r="GV506" s="9" t="s">
        <v>5231</v>
      </c>
      <c r="GW506" s="9" t="s">
        <v>484</v>
      </c>
      <c r="HC506" s="9" t="s">
        <v>5281</v>
      </c>
      <c r="HD506" s="9" t="s">
        <v>5282</v>
      </c>
      <c r="HE506" s="9" t="s">
        <v>484</v>
      </c>
      <c r="HF506" s="9" t="s">
        <v>5300</v>
      </c>
      <c r="HO506" s="9" t="s">
        <v>5285</v>
      </c>
      <c r="HP506" s="9" t="s">
        <v>5719</v>
      </c>
      <c r="HQ506" s="9" t="s">
        <v>5238</v>
      </c>
      <c r="HR506" s="9" t="s">
        <v>5321</v>
      </c>
      <c r="HW506" s="9" t="s">
        <v>5597</v>
      </c>
      <c r="MJ506" s="9" t="s">
        <v>6321</v>
      </c>
    </row>
    <row r="507" ht="22.5" customHeight="1">
      <c r="A507" s="8">
        <v>46146.24480885417</v>
      </c>
      <c r="B507" s="9" t="s">
        <v>368</v>
      </c>
      <c r="C507" s="9" t="s">
        <v>1341</v>
      </c>
      <c r="D507" s="9" t="s">
        <v>1341</v>
      </c>
      <c r="G507" s="9" t="s">
        <v>422</v>
      </c>
      <c r="H507" s="9" t="s">
        <v>637</v>
      </c>
      <c r="I507" s="9" t="s">
        <v>638</v>
      </c>
      <c r="J507" s="9" t="s">
        <v>590</v>
      </c>
      <c r="K507" s="9" t="s">
        <v>376</v>
      </c>
      <c r="L507" s="9" t="s">
        <v>377</v>
      </c>
      <c r="M507" s="9" t="s">
        <v>497</v>
      </c>
      <c r="N507" s="9" t="s">
        <v>377</v>
      </c>
      <c r="O507" s="9" t="s">
        <v>380</v>
      </c>
      <c r="P507" s="9" t="s">
        <v>381</v>
      </c>
      <c r="Q507" s="9" t="s">
        <v>862</v>
      </c>
      <c r="R507" s="9" t="s">
        <v>2360</v>
      </c>
      <c r="S507" s="9" t="s">
        <v>1785</v>
      </c>
      <c r="T507" s="9" t="s">
        <v>385</v>
      </c>
      <c r="W507" s="9" t="s">
        <v>386</v>
      </c>
      <c r="X507" s="9" t="s">
        <v>387</v>
      </c>
      <c r="Y507" s="9" t="s">
        <v>1444</v>
      </c>
      <c r="Z507" s="9" t="s">
        <v>543</v>
      </c>
      <c r="AV507" s="9" t="s">
        <v>504</v>
      </c>
      <c r="AW507" s="9" t="s">
        <v>429</v>
      </c>
      <c r="AX507" s="9" t="s">
        <v>429</v>
      </c>
      <c r="AY507" s="9" t="s">
        <v>429</v>
      </c>
      <c r="AZ507" s="9" t="s">
        <v>429</v>
      </c>
      <c r="BA507" s="9" t="s">
        <v>429</v>
      </c>
      <c r="BB507" s="9" t="s">
        <v>429</v>
      </c>
      <c r="BE507" s="9" t="s">
        <v>392</v>
      </c>
      <c r="BG507" s="9" t="s">
        <v>678</v>
      </c>
      <c r="BI507" s="9" t="s">
        <v>435</v>
      </c>
      <c r="BK507" s="9" t="s">
        <v>511</v>
      </c>
      <c r="BL507" s="9" t="s">
        <v>603</v>
      </c>
      <c r="BM507" s="9" t="s">
        <v>439</v>
      </c>
      <c r="BN507" s="9" t="s">
        <v>513</v>
      </c>
      <c r="CL507" s="9" t="s">
        <v>550</v>
      </c>
      <c r="CM507" s="9" t="s">
        <v>682</v>
      </c>
      <c r="CN507" s="9" t="s">
        <v>9822</v>
      </c>
      <c r="CO507" s="9" t="s">
        <v>9823</v>
      </c>
      <c r="CP507" s="9" t="s">
        <v>685</v>
      </c>
      <c r="CQ507" s="9" t="s">
        <v>9824</v>
      </c>
      <c r="CR507" s="9" t="s">
        <v>804</v>
      </c>
      <c r="CS507" s="9" t="s">
        <v>1346</v>
      </c>
      <c r="CT507" s="9" t="s">
        <v>9825</v>
      </c>
      <c r="CU507" s="9" t="s">
        <v>450</v>
      </c>
      <c r="CV507" s="9" t="s">
        <v>451</v>
      </c>
      <c r="CW507" s="9" t="s">
        <v>9826</v>
      </c>
      <c r="CX507" s="9" t="s">
        <v>733</v>
      </c>
      <c r="CY507" s="9" t="s">
        <v>9827</v>
      </c>
      <c r="CZ507" s="9" t="s">
        <v>453</v>
      </c>
      <c r="DA507" s="9" t="s">
        <v>9828</v>
      </c>
      <c r="DB507" s="9" t="s">
        <v>455</v>
      </c>
      <c r="DC507" s="9" t="s">
        <v>9829</v>
      </c>
      <c r="DD507" s="9" t="s">
        <v>406</v>
      </c>
      <c r="DE507" s="9" t="s">
        <v>1867</v>
      </c>
      <c r="DF507" s="9" t="s">
        <v>9830</v>
      </c>
      <c r="DG507" s="9" t="s">
        <v>561</v>
      </c>
      <c r="DH507" s="9" t="s">
        <v>410</v>
      </c>
      <c r="DI507" s="9" t="s">
        <v>963</v>
      </c>
      <c r="DJ507" s="9" t="s">
        <v>613</v>
      </c>
      <c r="ET507" s="9" t="s">
        <v>478</v>
      </c>
      <c r="EU507" s="9" t="s">
        <v>1037</v>
      </c>
      <c r="EV507" s="9" t="s">
        <v>580</v>
      </c>
      <c r="EX507" s="9" t="s">
        <v>9831</v>
      </c>
      <c r="EZ507" s="9" t="s">
        <v>413</v>
      </c>
      <c r="FA507" s="9" t="s">
        <v>413</v>
      </c>
      <c r="FB507" s="9" t="s">
        <v>413</v>
      </c>
      <c r="FC507" s="9" t="s">
        <v>413</v>
      </c>
      <c r="FD507" s="9" t="s">
        <v>413</v>
      </c>
      <c r="FE507" s="9" t="s">
        <v>413</v>
      </c>
      <c r="FF507" s="9" t="s">
        <v>413</v>
      </c>
      <c r="FG507" s="9" t="s">
        <v>413</v>
      </c>
      <c r="FH507" s="9" t="s">
        <v>415</v>
      </c>
      <c r="FI507" s="9" t="s">
        <v>413</v>
      </c>
      <c r="FJ507" s="9" t="s">
        <v>413</v>
      </c>
      <c r="FK507" s="9" t="s">
        <v>413</v>
      </c>
      <c r="FL507" s="9" t="s">
        <v>413</v>
      </c>
      <c r="FM507" s="9" t="s">
        <v>413</v>
      </c>
      <c r="FN507" s="9" t="s">
        <v>583</v>
      </c>
      <c r="FO507" s="9" t="s">
        <v>485</v>
      </c>
      <c r="FP507" s="9" t="s">
        <v>418</v>
      </c>
      <c r="FQ507" s="9" t="s">
        <v>1039</v>
      </c>
      <c r="FS507" s="9" t="s">
        <v>420</v>
      </c>
      <c r="FT507" s="9" t="s">
        <v>488</v>
      </c>
      <c r="FV507" s="9" t="s">
        <v>490</v>
      </c>
      <c r="FW507" s="9" t="s">
        <v>491</v>
      </c>
      <c r="FX507" s="9" t="s">
        <v>9832</v>
      </c>
      <c r="FY507" s="9" t="s">
        <v>535</v>
      </c>
      <c r="GB507" s="9" t="s">
        <v>408</v>
      </c>
      <c r="GG507" s="9" t="s">
        <v>857</v>
      </c>
      <c r="GQ507" s="9" t="s">
        <v>9833</v>
      </c>
      <c r="GT507" s="9" t="s">
        <v>4774</v>
      </c>
      <c r="GV507" s="9" t="s">
        <v>5231</v>
      </c>
      <c r="GW507" s="9" t="s">
        <v>5261</v>
      </c>
      <c r="HC507" s="9" t="s">
        <v>484</v>
      </c>
      <c r="HD507" s="9" t="s">
        <v>5349</v>
      </c>
      <c r="HE507" s="9" t="s">
        <v>5718</v>
      </c>
      <c r="HF507" s="9" t="s">
        <v>5300</v>
      </c>
      <c r="HQ507" s="9" t="s">
        <v>5238</v>
      </c>
      <c r="HR507" s="9" t="s">
        <v>913</v>
      </c>
      <c r="HW507" s="9" t="s">
        <v>5597</v>
      </c>
      <c r="MJ507" s="9" t="s">
        <v>6321</v>
      </c>
    </row>
    <row r="508" ht="22.5" customHeight="1">
      <c r="A508" s="8">
        <v>46150.09750815972</v>
      </c>
      <c r="B508" s="9" t="s">
        <v>368</v>
      </c>
      <c r="C508" s="9" t="s">
        <v>370</v>
      </c>
      <c r="D508" s="9" t="s">
        <v>370</v>
      </c>
      <c r="E508" s="9" t="s">
        <v>2359</v>
      </c>
      <c r="F508" s="9" t="s">
        <v>2359</v>
      </c>
      <c r="G508" s="9" t="s">
        <v>2295</v>
      </c>
      <c r="H508" s="9" t="s">
        <v>373</v>
      </c>
      <c r="I508" s="9" t="s">
        <v>638</v>
      </c>
      <c r="J508" s="9" t="s">
        <v>375</v>
      </c>
      <c r="K508" s="9" t="s">
        <v>2560</v>
      </c>
      <c r="L508" s="9" t="s">
        <v>426</v>
      </c>
      <c r="M508" s="9" t="s">
        <v>9834</v>
      </c>
      <c r="N508" s="9" t="s">
        <v>1526</v>
      </c>
      <c r="O508" s="9" t="s">
        <v>1024</v>
      </c>
      <c r="P508" s="9" t="s">
        <v>381</v>
      </c>
      <c r="Q508" s="9" t="s">
        <v>382</v>
      </c>
      <c r="R508" s="9" t="s">
        <v>949</v>
      </c>
      <c r="S508" s="9" t="s">
        <v>384</v>
      </c>
      <c r="T508" s="9" t="s">
        <v>385</v>
      </c>
      <c r="W508" s="9" t="s">
        <v>386</v>
      </c>
      <c r="X508" s="9" t="s">
        <v>387</v>
      </c>
      <c r="Y508" s="9" t="s">
        <v>897</v>
      </c>
      <c r="Z508" s="9" t="s">
        <v>543</v>
      </c>
      <c r="AA508" s="9" t="s">
        <v>408</v>
      </c>
      <c r="AV508" s="9" t="s">
        <v>390</v>
      </c>
      <c r="AW508" s="9" t="s">
        <v>391</v>
      </c>
      <c r="AX508" s="9" t="s">
        <v>391</v>
      </c>
      <c r="AY508" s="9" t="s">
        <v>391</v>
      </c>
      <c r="AZ508" s="9">
        <v>2.0</v>
      </c>
      <c r="BA508" s="9" t="s">
        <v>391</v>
      </c>
      <c r="BB508" s="9" t="s">
        <v>391</v>
      </c>
      <c r="BC508" s="9" t="s">
        <v>9835</v>
      </c>
      <c r="BD508" s="9" t="s">
        <v>9836</v>
      </c>
      <c r="BE508" s="9" t="s">
        <v>432</v>
      </c>
      <c r="BF508" s="9" t="s">
        <v>393</v>
      </c>
      <c r="BG508" s="9" t="s">
        <v>678</v>
      </c>
      <c r="BK508" s="9" t="s">
        <v>681</v>
      </c>
      <c r="BL508" s="9" t="s">
        <v>438</v>
      </c>
      <c r="BM508" s="9" t="s">
        <v>397</v>
      </c>
      <c r="BN508" s="9" t="s">
        <v>513</v>
      </c>
      <c r="CL508" s="9" t="s">
        <v>550</v>
      </c>
      <c r="CM508" s="9" t="s">
        <v>682</v>
      </c>
      <c r="CO508" s="9" t="s">
        <v>9837</v>
      </c>
      <c r="CP508" s="9" t="s">
        <v>1008</v>
      </c>
      <c r="CQ508" s="9" t="s">
        <v>9838</v>
      </c>
      <c r="CR508" s="9" t="s">
        <v>804</v>
      </c>
      <c r="CS508" s="9" t="s">
        <v>9839</v>
      </c>
      <c r="CT508" s="9" t="s">
        <v>9840</v>
      </c>
      <c r="CU508" s="9" t="s">
        <v>519</v>
      </c>
      <c r="CV508" s="9" t="s">
        <v>451</v>
      </c>
      <c r="CW508" s="9" t="s">
        <v>9841</v>
      </c>
      <c r="CX508" s="9" t="s">
        <v>733</v>
      </c>
      <c r="CZ508" s="9" t="s">
        <v>453</v>
      </c>
      <c r="DA508" s="9" t="s">
        <v>9842</v>
      </c>
      <c r="DB508" s="9" t="s">
        <v>913</v>
      </c>
      <c r="DD508" s="9" t="s">
        <v>988</v>
      </c>
      <c r="DF508" s="9" t="s">
        <v>9843</v>
      </c>
      <c r="DG508" s="9" t="s">
        <v>561</v>
      </c>
      <c r="DH508" s="9" t="s">
        <v>410</v>
      </c>
      <c r="DI508" s="9" t="s">
        <v>777</v>
      </c>
      <c r="DJ508" s="9" t="s">
        <v>613</v>
      </c>
      <c r="ET508" s="9" t="s">
        <v>526</v>
      </c>
      <c r="EU508" s="9" t="s">
        <v>1037</v>
      </c>
      <c r="EV508" s="9" t="s">
        <v>580</v>
      </c>
      <c r="EZ508" s="9" t="s">
        <v>413</v>
      </c>
      <c r="FA508" s="9" t="s">
        <v>415</v>
      </c>
      <c r="FB508" s="9" t="s">
        <v>413</v>
      </c>
      <c r="FC508" s="9" t="s">
        <v>413</v>
      </c>
      <c r="FD508" s="9" t="s">
        <v>413</v>
      </c>
      <c r="FE508" s="9" t="s">
        <v>415</v>
      </c>
      <c r="FF508" s="9" t="s">
        <v>415</v>
      </c>
      <c r="FG508" s="9" t="s">
        <v>484</v>
      </c>
      <c r="FH508" s="9" t="s">
        <v>484</v>
      </c>
      <c r="FI508" s="9" t="s">
        <v>415</v>
      </c>
      <c r="FJ508" s="9" t="s">
        <v>415</v>
      </c>
      <c r="FK508" s="9" t="s">
        <v>484</v>
      </c>
      <c r="FL508" s="9" t="s">
        <v>484</v>
      </c>
      <c r="FM508" s="9" t="s">
        <v>484</v>
      </c>
      <c r="FN508" s="9" t="s">
        <v>484</v>
      </c>
      <c r="FO508" s="9" t="s">
        <v>850</v>
      </c>
      <c r="FP508" s="9" t="s">
        <v>418</v>
      </c>
      <c r="FQ508" s="9" t="s">
        <v>712</v>
      </c>
      <c r="FR508" s="9" t="s">
        <v>9844</v>
      </c>
      <c r="FS508" s="9" t="s">
        <v>420</v>
      </c>
      <c r="FT508" s="9" t="s">
        <v>488</v>
      </c>
      <c r="FU508" s="9" t="s">
        <v>918</v>
      </c>
      <c r="FV508" s="9" t="s">
        <v>490</v>
      </c>
      <c r="FW508" s="9" t="s">
        <v>491</v>
      </c>
      <c r="FY508" s="9" t="s">
        <v>535</v>
      </c>
      <c r="GB508" s="11"/>
      <c r="GG508" s="9" t="s">
        <v>920</v>
      </c>
      <c r="GH508" s="9" t="s">
        <v>920</v>
      </c>
      <c r="GI508" s="9" t="s">
        <v>921</v>
      </c>
      <c r="GQ508" s="9" t="s">
        <v>3273</v>
      </c>
      <c r="GT508" s="9" t="s">
        <v>4774</v>
      </c>
      <c r="GV508" s="9" t="s">
        <v>5231</v>
      </c>
      <c r="GW508" s="9" t="s">
        <v>484</v>
      </c>
      <c r="HC508" s="9" t="s">
        <v>5297</v>
      </c>
      <c r="HD508" s="9" t="s">
        <v>5349</v>
      </c>
      <c r="HE508" s="9" t="s">
        <v>5320</v>
      </c>
      <c r="HF508" s="9" t="s">
        <v>5284</v>
      </c>
      <c r="HO508" s="9" t="s">
        <v>5236</v>
      </c>
      <c r="HP508" s="9" t="s">
        <v>5371</v>
      </c>
      <c r="HQ508" s="9" t="s">
        <v>5238</v>
      </c>
      <c r="HR508" s="9" t="s">
        <v>5321</v>
      </c>
      <c r="HW508" s="9" t="s">
        <v>5578</v>
      </c>
      <c r="MJ508" s="9" t="s">
        <v>6321</v>
      </c>
    </row>
    <row r="509" ht="22.5" customHeight="1">
      <c r="A509" s="8">
        <v>46159.019054930555</v>
      </c>
      <c r="B509" s="9" t="s">
        <v>368</v>
      </c>
      <c r="C509" s="9" t="s">
        <v>5694</v>
      </c>
      <c r="D509" s="9" t="s">
        <v>5694</v>
      </c>
      <c r="G509" s="9" t="s">
        <v>422</v>
      </c>
      <c r="H509" s="9" t="s">
        <v>373</v>
      </c>
      <c r="I509" s="9" t="s">
        <v>638</v>
      </c>
      <c r="J509" s="9" t="s">
        <v>718</v>
      </c>
      <c r="K509" s="9" t="s">
        <v>376</v>
      </c>
      <c r="L509" s="9" t="s">
        <v>426</v>
      </c>
      <c r="M509" s="9" t="s">
        <v>639</v>
      </c>
      <c r="N509" s="9" t="s">
        <v>793</v>
      </c>
      <c r="O509" s="9" t="s">
        <v>719</v>
      </c>
      <c r="P509" s="9" t="s">
        <v>498</v>
      </c>
      <c r="Q509" s="9" t="s">
        <v>499</v>
      </c>
      <c r="R509" s="9" t="s">
        <v>427</v>
      </c>
      <c r="S509" s="9" t="s">
        <v>384</v>
      </c>
      <c r="T509" s="9" t="s">
        <v>385</v>
      </c>
      <c r="W509" s="9" t="s">
        <v>386</v>
      </c>
      <c r="X509" s="9" t="s">
        <v>387</v>
      </c>
      <c r="Y509" s="9" t="s">
        <v>594</v>
      </c>
      <c r="Z509" s="9" t="s">
        <v>543</v>
      </c>
      <c r="AV509" s="9" t="s">
        <v>1310</v>
      </c>
      <c r="AW509" s="9">
        <v>4.0</v>
      </c>
      <c r="AY509" s="9" t="s">
        <v>391</v>
      </c>
      <c r="AZ509" s="9" t="s">
        <v>391</v>
      </c>
      <c r="BA509" s="9" t="s">
        <v>429</v>
      </c>
      <c r="BB509" s="9" t="s">
        <v>391</v>
      </c>
      <c r="BE509" s="9" t="s">
        <v>902</v>
      </c>
      <c r="BF509" s="9" t="s">
        <v>1245</v>
      </c>
      <c r="BG509" s="9" t="s">
        <v>394</v>
      </c>
      <c r="BI509" s="9" t="s">
        <v>976</v>
      </c>
      <c r="BK509" s="9" t="s">
        <v>437</v>
      </c>
      <c r="BL509" s="9" t="s">
        <v>603</v>
      </c>
      <c r="BM509" s="9" t="s">
        <v>1247</v>
      </c>
      <c r="BN509" s="9" t="s">
        <v>513</v>
      </c>
      <c r="CL509" s="9" t="s">
        <v>953</v>
      </c>
      <c r="CM509" s="9" t="s">
        <v>401</v>
      </c>
      <c r="CO509" s="9" t="s">
        <v>408</v>
      </c>
      <c r="CU509" s="9" t="s">
        <v>982</v>
      </c>
      <c r="CV509" s="9" t="s">
        <v>959</v>
      </c>
      <c r="CX509" s="9" t="s">
        <v>408</v>
      </c>
      <c r="CZ509" s="9" t="s">
        <v>1962</v>
      </c>
      <c r="DB509" s="9" t="s">
        <v>408</v>
      </c>
      <c r="DG509" s="9" t="s">
        <v>990</v>
      </c>
      <c r="DH509" s="9" t="s">
        <v>410</v>
      </c>
      <c r="DI509" s="9" t="s">
        <v>963</v>
      </c>
      <c r="DJ509" s="9" t="s">
        <v>460</v>
      </c>
      <c r="DK509" s="9" t="s">
        <v>6603</v>
      </c>
      <c r="ET509" s="9" t="s">
        <v>578</v>
      </c>
      <c r="EU509" s="9" t="s">
        <v>579</v>
      </c>
      <c r="EV509" s="9" t="s">
        <v>1534</v>
      </c>
      <c r="EZ509" s="9" t="s">
        <v>414</v>
      </c>
      <c r="FA509" s="9" t="s">
        <v>414</v>
      </c>
      <c r="FB509" s="9" t="s">
        <v>414</v>
      </c>
      <c r="FC509" s="9" t="s">
        <v>414</v>
      </c>
      <c r="FD509" s="9" t="s">
        <v>414</v>
      </c>
      <c r="FE509" s="9" t="s">
        <v>414</v>
      </c>
      <c r="FF509" s="9" t="s">
        <v>414</v>
      </c>
      <c r="FI509" s="9" t="s">
        <v>413</v>
      </c>
      <c r="FJ509" s="9" t="s">
        <v>484</v>
      </c>
      <c r="FK509" s="9" t="s">
        <v>415</v>
      </c>
      <c r="FL509" s="9" t="s">
        <v>416</v>
      </c>
      <c r="FM509" s="9" t="s">
        <v>416</v>
      </c>
      <c r="FN509" s="9" t="s">
        <v>414</v>
      </c>
      <c r="FO509" s="9" t="s">
        <v>1074</v>
      </c>
      <c r="FP509" s="9" t="s">
        <v>486</v>
      </c>
      <c r="FQ509" s="9" t="s">
        <v>419</v>
      </c>
      <c r="FS509" s="9" t="s">
        <v>1871</v>
      </c>
      <c r="FT509" s="9" t="s">
        <v>421</v>
      </c>
      <c r="FU509" s="9" t="s">
        <v>585</v>
      </c>
      <c r="FV509" s="9" t="s">
        <v>2399</v>
      </c>
      <c r="FW509" s="9" t="s">
        <v>491</v>
      </c>
      <c r="FY509" s="9" t="s">
        <v>1337</v>
      </c>
      <c r="GB509" s="11"/>
      <c r="GG509" s="9" t="s">
        <v>755</v>
      </c>
      <c r="GH509" s="9" t="s">
        <v>755</v>
      </c>
      <c r="GI509" s="9" t="s">
        <v>946</v>
      </c>
      <c r="GQ509" s="9" t="s">
        <v>3208</v>
      </c>
      <c r="GT509" s="9" t="s">
        <v>4741</v>
      </c>
      <c r="GV509" s="9" t="s">
        <v>5260</v>
      </c>
      <c r="GW509" s="9" t="s">
        <v>5261</v>
      </c>
      <c r="HO509" s="9" t="s">
        <v>5383</v>
      </c>
      <c r="HP509" s="9" t="s">
        <v>5264</v>
      </c>
      <c r="HQ509" s="9" t="s">
        <v>5286</v>
      </c>
      <c r="HR509" s="9" t="s">
        <v>5287</v>
      </c>
      <c r="HS509" s="9" t="s">
        <v>5916</v>
      </c>
      <c r="HU509" s="9" t="s">
        <v>5988</v>
      </c>
      <c r="HV509" s="9" t="s">
        <v>8922</v>
      </c>
      <c r="HX509" s="9" t="s">
        <v>5919</v>
      </c>
      <c r="HY509" s="9" t="s">
        <v>5919</v>
      </c>
      <c r="HZ509" s="9" t="s">
        <v>5920</v>
      </c>
      <c r="IA509" s="9" t="s">
        <v>5920</v>
      </c>
      <c r="IB509" s="9" t="s">
        <v>5920</v>
      </c>
      <c r="IC509" s="9" t="s">
        <v>5922</v>
      </c>
      <c r="ID509" s="9" t="s">
        <v>5536</v>
      </c>
      <c r="IE509" s="9" t="s">
        <v>5536</v>
      </c>
      <c r="IF509" s="9" t="s">
        <v>5536</v>
      </c>
      <c r="IG509" s="9" t="s">
        <v>5989</v>
      </c>
      <c r="IH509" s="9" t="s">
        <v>5537</v>
      </c>
      <c r="II509" s="9" t="s">
        <v>5500</v>
      </c>
      <c r="IK509" s="9" t="s">
        <v>5924</v>
      </c>
      <c r="MJ509" s="9" t="s">
        <v>6321</v>
      </c>
    </row>
    <row r="510" ht="22.5" customHeight="1">
      <c r="A510" s="8">
        <v>46163.04970236111</v>
      </c>
      <c r="B510" s="9" t="s">
        <v>368</v>
      </c>
      <c r="C510" s="9" t="s">
        <v>1341</v>
      </c>
      <c r="D510" s="9" t="s">
        <v>1341</v>
      </c>
      <c r="G510" s="9" t="s">
        <v>422</v>
      </c>
      <c r="H510" s="9" t="s">
        <v>496</v>
      </c>
      <c r="I510" s="9" t="s">
        <v>374</v>
      </c>
      <c r="J510" s="9" t="s">
        <v>758</v>
      </c>
      <c r="K510" s="9" t="s">
        <v>376</v>
      </c>
      <c r="L510" s="9" t="s">
        <v>377</v>
      </c>
      <c r="M510" s="9" t="s">
        <v>9845</v>
      </c>
      <c r="N510" s="9" t="s">
        <v>793</v>
      </c>
      <c r="O510" s="9" t="s">
        <v>378</v>
      </c>
      <c r="P510" s="9" t="s">
        <v>381</v>
      </c>
      <c r="Q510" s="9" t="s">
        <v>499</v>
      </c>
      <c r="R510" s="9" t="s">
        <v>427</v>
      </c>
      <c r="S510" s="9" t="s">
        <v>384</v>
      </c>
      <c r="T510" s="9" t="s">
        <v>385</v>
      </c>
      <c r="W510" s="9" t="s">
        <v>593</v>
      </c>
      <c r="X510" s="9" t="s">
        <v>6089</v>
      </c>
      <c r="AV510" s="9" t="s">
        <v>1242</v>
      </c>
      <c r="AW510" s="9" t="s">
        <v>391</v>
      </c>
      <c r="AX510" s="9" t="s">
        <v>429</v>
      </c>
      <c r="AY510" s="9">
        <v>4.0</v>
      </c>
      <c r="AZ510" s="9">
        <v>4.0</v>
      </c>
      <c r="BA510" s="9">
        <v>4.0</v>
      </c>
      <c r="BC510" s="9" t="s">
        <v>1855</v>
      </c>
      <c r="BD510" s="9" t="s">
        <v>3585</v>
      </c>
      <c r="BE510" s="9" t="s">
        <v>3114</v>
      </c>
      <c r="BF510" s="9" t="s">
        <v>433</v>
      </c>
      <c r="BG510" s="9" t="s">
        <v>678</v>
      </c>
      <c r="BH510" s="9" t="s">
        <v>552</v>
      </c>
      <c r="BI510" s="9" t="s">
        <v>509</v>
      </c>
      <c r="BJ510" s="9" t="s">
        <v>455</v>
      </c>
      <c r="BK510" s="9" t="s">
        <v>602</v>
      </c>
      <c r="BL510" s="9" t="s">
        <v>904</v>
      </c>
      <c r="BM510" s="9" t="s">
        <v>1314</v>
      </c>
      <c r="BN510" s="9" t="s">
        <v>513</v>
      </c>
      <c r="CL510" s="9" t="s">
        <v>550</v>
      </c>
      <c r="CM510" s="9" t="s">
        <v>442</v>
      </c>
      <c r="CN510" s="9" t="s">
        <v>552</v>
      </c>
      <c r="CO510" s="9" t="s">
        <v>552</v>
      </c>
      <c r="DH510" s="9" t="s">
        <v>410</v>
      </c>
      <c r="GB510" s="11"/>
      <c r="GN510" s="9" t="s">
        <v>9846</v>
      </c>
      <c r="GO510" s="9" t="s">
        <v>9847</v>
      </c>
      <c r="GV510" s="9" t="s">
        <v>5231</v>
      </c>
      <c r="GW510" s="9" t="s">
        <v>5261</v>
      </c>
      <c r="MJ510" s="9" t="s">
        <v>6321</v>
      </c>
    </row>
    <row r="511" ht="22.5" customHeight="1">
      <c r="A511" s="8">
        <v>46172.316871793984</v>
      </c>
      <c r="B511" s="9" t="s">
        <v>368</v>
      </c>
      <c r="C511" s="9" t="s">
        <v>4085</v>
      </c>
      <c r="D511" s="9" t="s">
        <v>4085</v>
      </c>
      <c r="G511" s="9" t="s">
        <v>422</v>
      </c>
      <c r="H511" s="9" t="s">
        <v>1921</v>
      </c>
      <c r="I511" s="9" t="s">
        <v>668</v>
      </c>
      <c r="J511" s="9" t="s">
        <v>718</v>
      </c>
      <c r="K511" s="9" t="s">
        <v>376</v>
      </c>
      <c r="L511" s="9" t="s">
        <v>377</v>
      </c>
      <c r="M511" s="9" t="s">
        <v>378</v>
      </c>
      <c r="O511" s="9" t="s">
        <v>671</v>
      </c>
      <c r="P511" s="9" t="s">
        <v>498</v>
      </c>
      <c r="Q511" s="9" t="s">
        <v>382</v>
      </c>
      <c r="R511" s="9" t="s">
        <v>949</v>
      </c>
      <c r="S511" s="9" t="s">
        <v>384</v>
      </c>
      <c r="T511" s="9" t="s">
        <v>385</v>
      </c>
      <c r="W511" s="9" t="s">
        <v>593</v>
      </c>
      <c r="X511" s="9" t="s">
        <v>387</v>
      </c>
      <c r="Y511" s="9" t="s">
        <v>6822</v>
      </c>
      <c r="Z511" s="9" t="s">
        <v>543</v>
      </c>
      <c r="AA511" s="9" t="s">
        <v>408</v>
      </c>
      <c r="AB511" s="9" t="s">
        <v>9848</v>
      </c>
      <c r="AV511" s="9" t="s">
        <v>1310</v>
      </c>
      <c r="AW511" s="9" t="s">
        <v>675</v>
      </c>
      <c r="AX511" s="9" t="s">
        <v>675</v>
      </c>
      <c r="AY511" s="9" t="s">
        <v>675</v>
      </c>
      <c r="AZ511" s="9" t="s">
        <v>675</v>
      </c>
      <c r="BA511" s="9" t="s">
        <v>675</v>
      </c>
      <c r="BB511" s="9" t="s">
        <v>675</v>
      </c>
      <c r="BC511" s="9" t="s">
        <v>9849</v>
      </c>
      <c r="BD511" s="9" t="s">
        <v>9850</v>
      </c>
      <c r="BE511" s="9" t="s">
        <v>2379</v>
      </c>
      <c r="BF511" s="9" t="s">
        <v>1095</v>
      </c>
      <c r="BG511" s="9" t="s">
        <v>394</v>
      </c>
      <c r="BH511" s="9" t="s">
        <v>9851</v>
      </c>
      <c r="BI511" s="9" t="s">
        <v>727</v>
      </c>
      <c r="BK511" s="9" t="s">
        <v>602</v>
      </c>
      <c r="BL511" s="9" t="s">
        <v>603</v>
      </c>
      <c r="BM511" s="9" t="s">
        <v>1247</v>
      </c>
      <c r="BN511" s="9" t="s">
        <v>398</v>
      </c>
      <c r="BO511" s="9" t="s">
        <v>9852</v>
      </c>
      <c r="BP511" s="9" t="s">
        <v>9853</v>
      </c>
      <c r="BQ511" s="9" t="s">
        <v>604</v>
      </c>
      <c r="BR511" s="9" t="s">
        <v>9854</v>
      </c>
      <c r="BS511" s="9" t="s">
        <v>1741</v>
      </c>
      <c r="BT511" s="9" t="s">
        <v>4368</v>
      </c>
      <c r="BU511" s="9" t="s">
        <v>1772</v>
      </c>
      <c r="BV511" s="9" t="s">
        <v>9855</v>
      </c>
      <c r="BW511" s="9" t="s">
        <v>406</v>
      </c>
      <c r="BX511" s="9" t="s">
        <v>1867</v>
      </c>
      <c r="BY511" s="9" t="s">
        <v>408</v>
      </c>
      <c r="CA511" s="9" t="s">
        <v>9856</v>
      </c>
      <c r="CB511" s="9" t="s">
        <v>9857</v>
      </c>
      <c r="CC511" s="9" t="s">
        <v>9858</v>
      </c>
      <c r="CD511" s="9" t="s">
        <v>2248</v>
      </c>
      <c r="CF511" s="9" t="s">
        <v>1749</v>
      </c>
      <c r="CG511" s="9" t="s">
        <v>9859</v>
      </c>
      <c r="CH511" s="9" t="s">
        <v>1259</v>
      </c>
      <c r="CI511" s="9" t="s">
        <v>833</v>
      </c>
      <c r="CJ511" s="9" t="s">
        <v>9860</v>
      </c>
      <c r="CK511" s="9" t="s">
        <v>9861</v>
      </c>
      <c r="DI511" s="9" t="s">
        <v>963</v>
      </c>
      <c r="DJ511" s="9" t="s">
        <v>695</v>
      </c>
      <c r="DK511" s="9" t="s">
        <v>7805</v>
      </c>
      <c r="DL511" s="9" t="s">
        <v>9862</v>
      </c>
      <c r="ET511" s="9" t="s">
        <v>526</v>
      </c>
      <c r="EU511" s="9" t="s">
        <v>887</v>
      </c>
      <c r="EV511" s="9" t="s">
        <v>1262</v>
      </c>
      <c r="EW511" s="9" t="s">
        <v>9863</v>
      </c>
      <c r="EX511" s="9" t="s">
        <v>9864</v>
      </c>
      <c r="EY511" s="9" t="s">
        <v>9864</v>
      </c>
      <c r="EZ511" s="9" t="s">
        <v>415</v>
      </c>
      <c r="FA511" s="9" t="s">
        <v>415</v>
      </c>
      <c r="FB511" s="9" t="s">
        <v>413</v>
      </c>
      <c r="FC511" s="9" t="s">
        <v>415</v>
      </c>
      <c r="FD511" s="9" t="s">
        <v>413</v>
      </c>
      <c r="FE511" s="9" t="s">
        <v>415</v>
      </c>
      <c r="FF511" s="9" t="s">
        <v>415</v>
      </c>
      <c r="FG511" s="9" t="s">
        <v>413</v>
      </c>
      <c r="FH511" s="9" t="s">
        <v>414</v>
      </c>
      <c r="FI511" s="9" t="s">
        <v>413</v>
      </c>
      <c r="FJ511" s="9" t="s">
        <v>415</v>
      </c>
      <c r="FK511" s="9" t="s">
        <v>415</v>
      </c>
      <c r="FL511" s="9" t="s">
        <v>415</v>
      </c>
      <c r="FM511" s="9" t="s">
        <v>415</v>
      </c>
      <c r="FN511" s="9" t="s">
        <v>415</v>
      </c>
      <c r="FO511" s="9" t="s">
        <v>485</v>
      </c>
      <c r="FP511" s="9" t="s">
        <v>418</v>
      </c>
      <c r="FQ511" s="9" t="s">
        <v>712</v>
      </c>
      <c r="FS511" s="9" t="s">
        <v>1189</v>
      </c>
      <c r="FT511" s="9" t="s">
        <v>488</v>
      </c>
      <c r="FU511" s="9" t="s">
        <v>1235</v>
      </c>
      <c r="FV511" s="9" t="s">
        <v>490</v>
      </c>
      <c r="FW511" s="9" t="s">
        <v>491</v>
      </c>
      <c r="FX511" s="9" t="s">
        <v>9865</v>
      </c>
      <c r="FY511" s="9" t="s">
        <v>493</v>
      </c>
      <c r="GB511" s="9" t="s">
        <v>455</v>
      </c>
      <c r="GC511" s="9"/>
      <c r="GE511" s="9" t="s">
        <v>855</v>
      </c>
      <c r="GF511" s="9" t="s">
        <v>9864</v>
      </c>
      <c r="GJ511" s="9" t="s">
        <v>755</v>
      </c>
      <c r="GK511" s="9" t="s">
        <v>755</v>
      </c>
      <c r="GL511" s="9" t="s">
        <v>817</v>
      </c>
      <c r="GN511" s="9" t="s">
        <v>9866</v>
      </c>
      <c r="GO511" s="9" t="s">
        <v>9866</v>
      </c>
      <c r="GQ511" s="9" t="s">
        <v>3208</v>
      </c>
      <c r="GR511" s="9" t="s">
        <v>4774</v>
      </c>
      <c r="GV511" s="9" t="s">
        <v>5231</v>
      </c>
      <c r="GW511" s="9" t="s">
        <v>5232</v>
      </c>
      <c r="GX511" s="9" t="s">
        <v>7007</v>
      </c>
      <c r="GY511" s="9" t="s">
        <v>5233</v>
      </c>
      <c r="GZ511" s="9" t="s">
        <v>484</v>
      </c>
      <c r="HA511" s="9" t="s">
        <v>484</v>
      </c>
      <c r="HB511" s="9" t="s">
        <v>5468</v>
      </c>
      <c r="HO511" s="9" t="s">
        <v>5383</v>
      </c>
      <c r="HP511" s="9" t="s">
        <v>5719</v>
      </c>
      <c r="HQ511" s="9" t="s">
        <v>5238</v>
      </c>
      <c r="HR511" s="9" t="s">
        <v>5321</v>
      </c>
      <c r="MJ511" s="9" t="s">
        <v>6321</v>
      </c>
    </row>
    <row r="512" ht="22.5" customHeight="1">
      <c r="A512" s="8">
        <v>46176.16395915509</v>
      </c>
      <c r="B512" s="9" t="s">
        <v>368</v>
      </c>
      <c r="C512" s="9" t="s">
        <v>538</v>
      </c>
      <c r="D512" s="9" t="s">
        <v>538</v>
      </c>
      <c r="G512" s="9" t="s">
        <v>422</v>
      </c>
      <c r="H512" s="9" t="s">
        <v>373</v>
      </c>
      <c r="I512" s="9" t="s">
        <v>374</v>
      </c>
      <c r="J512" s="9" t="s">
        <v>375</v>
      </c>
      <c r="K512" s="9" t="s">
        <v>376</v>
      </c>
      <c r="L512" s="9" t="s">
        <v>793</v>
      </c>
      <c r="M512" s="9" t="s">
        <v>9867</v>
      </c>
      <c r="N512" s="9" t="s">
        <v>793</v>
      </c>
      <c r="O512" s="9" t="s">
        <v>9868</v>
      </c>
      <c r="P512" s="9" t="s">
        <v>498</v>
      </c>
      <c r="Q512" s="9" t="s">
        <v>862</v>
      </c>
      <c r="R512" s="9" t="s">
        <v>427</v>
      </c>
      <c r="S512" s="9" t="s">
        <v>384</v>
      </c>
      <c r="T512" s="9" t="s">
        <v>385</v>
      </c>
      <c r="W512" s="9" t="s">
        <v>3014</v>
      </c>
      <c r="AV512" s="9" t="s">
        <v>1242</v>
      </c>
      <c r="AW512" s="9" t="s">
        <v>675</v>
      </c>
      <c r="AX512" s="9" t="s">
        <v>675</v>
      </c>
      <c r="AY512" s="9" t="s">
        <v>675</v>
      </c>
      <c r="AZ512" s="9">
        <v>4.0</v>
      </c>
      <c r="BA512" s="9" t="s">
        <v>675</v>
      </c>
      <c r="BB512" s="9">
        <v>4.0</v>
      </c>
      <c r="BC512" s="9" t="s">
        <v>9869</v>
      </c>
      <c r="BD512" s="9" t="s">
        <v>9870</v>
      </c>
      <c r="BE512" s="9" t="s">
        <v>902</v>
      </c>
      <c r="BF512" s="9" t="s">
        <v>1095</v>
      </c>
      <c r="BG512" s="9" t="s">
        <v>434</v>
      </c>
      <c r="BH512" s="9" t="s">
        <v>9871</v>
      </c>
      <c r="BI512" s="9" t="s">
        <v>976</v>
      </c>
      <c r="BK512" s="9" t="s">
        <v>681</v>
      </c>
      <c r="BL512" s="9" t="s">
        <v>603</v>
      </c>
      <c r="BM512" s="9" t="s">
        <v>1314</v>
      </c>
      <c r="BN512" s="9" t="s">
        <v>513</v>
      </c>
      <c r="CL512" s="9" t="s">
        <v>682</v>
      </c>
      <c r="CM512" s="9" t="s">
        <v>442</v>
      </c>
      <c r="CN512" s="9" t="s">
        <v>9872</v>
      </c>
      <c r="CO512" s="9" t="s">
        <v>552</v>
      </c>
      <c r="CT512" s="9" t="s">
        <v>9873</v>
      </c>
      <c r="CU512" s="9" t="s">
        <v>1852</v>
      </c>
      <c r="CV512" s="9" t="s">
        <v>959</v>
      </c>
      <c r="CW512" s="9" t="s">
        <v>9874</v>
      </c>
      <c r="CX512" s="9" t="s">
        <v>408</v>
      </c>
      <c r="CZ512" s="9" t="s">
        <v>1962</v>
      </c>
      <c r="DB512" s="9" t="s">
        <v>408</v>
      </c>
      <c r="DG512" s="9" t="s">
        <v>990</v>
      </c>
      <c r="DH512" s="9" t="s">
        <v>833</v>
      </c>
      <c r="DI512" s="9" t="s">
        <v>777</v>
      </c>
      <c r="DJ512" s="9" t="s">
        <v>460</v>
      </c>
      <c r="DK512" s="9" t="s">
        <v>1434</v>
      </c>
      <c r="ET512" s="9" t="s">
        <v>578</v>
      </c>
      <c r="EU512" s="9" t="s">
        <v>1127</v>
      </c>
      <c r="EV512" s="9" t="s">
        <v>527</v>
      </c>
      <c r="EX512" s="9" t="s">
        <v>9875</v>
      </c>
      <c r="EY512" s="9" t="s">
        <v>9876</v>
      </c>
      <c r="EZ512" s="9" t="s">
        <v>583</v>
      </c>
      <c r="FA512" s="9" t="s">
        <v>583</v>
      </c>
      <c r="FB512" s="9" t="s">
        <v>415</v>
      </c>
      <c r="FC512" s="9" t="s">
        <v>583</v>
      </c>
      <c r="FD512" s="9" t="s">
        <v>415</v>
      </c>
      <c r="FE512" s="9" t="s">
        <v>583</v>
      </c>
      <c r="FF512" s="9" t="s">
        <v>583</v>
      </c>
      <c r="FG512" s="9" t="s">
        <v>583</v>
      </c>
      <c r="FH512" s="9" t="s">
        <v>416</v>
      </c>
      <c r="FI512" s="9" t="s">
        <v>415</v>
      </c>
      <c r="FJ512" s="9" t="s">
        <v>414</v>
      </c>
      <c r="FK512" s="9" t="s">
        <v>583</v>
      </c>
      <c r="FL512" s="9" t="s">
        <v>583</v>
      </c>
      <c r="FM512" s="9" t="s">
        <v>414</v>
      </c>
      <c r="FN512" s="9" t="s">
        <v>414</v>
      </c>
      <c r="FO512" s="9" t="s">
        <v>1537</v>
      </c>
      <c r="FP512" s="9" t="s">
        <v>1200</v>
      </c>
      <c r="FQ512" s="9" t="s">
        <v>749</v>
      </c>
      <c r="FR512" s="9" t="s">
        <v>9877</v>
      </c>
      <c r="FS512" s="9" t="s">
        <v>1871</v>
      </c>
      <c r="FT512" s="9" t="s">
        <v>421</v>
      </c>
      <c r="FU512" s="9" t="s">
        <v>918</v>
      </c>
      <c r="FV512" s="9" t="s">
        <v>2399</v>
      </c>
      <c r="FW512" s="9" t="s">
        <v>1853</v>
      </c>
      <c r="FX512" s="9" t="s">
        <v>9878</v>
      </c>
      <c r="FY512" s="9" t="s">
        <v>1020</v>
      </c>
      <c r="GB512" s="9" t="s">
        <v>408</v>
      </c>
      <c r="GG512" s="9" t="s">
        <v>920</v>
      </c>
      <c r="GH512" s="9" t="s">
        <v>920</v>
      </c>
      <c r="GI512" s="9" t="s">
        <v>817</v>
      </c>
      <c r="GN512" s="9" t="s">
        <v>4478</v>
      </c>
      <c r="GO512" s="9" t="s">
        <v>4478</v>
      </c>
      <c r="GQ512" s="9" t="s">
        <v>3208</v>
      </c>
      <c r="GT512" s="9" t="s">
        <v>4774</v>
      </c>
      <c r="GV512" s="9" t="s">
        <v>5231</v>
      </c>
      <c r="GW512" s="9" t="s">
        <v>484</v>
      </c>
      <c r="HO512" s="9" t="s">
        <v>5383</v>
      </c>
      <c r="HP512" s="9" t="s">
        <v>5302</v>
      </c>
      <c r="HQ512" s="9" t="s">
        <v>5721</v>
      </c>
      <c r="HR512" s="9" t="s">
        <v>913</v>
      </c>
      <c r="HS512" s="9" t="s">
        <v>5916</v>
      </c>
      <c r="HU512" s="9" t="s">
        <v>5988</v>
      </c>
      <c r="HV512" s="9" t="s">
        <v>5918</v>
      </c>
      <c r="HX512" s="9" t="s">
        <v>5919</v>
      </c>
      <c r="HY512" s="9" t="s">
        <v>5920</v>
      </c>
      <c r="HZ512" s="9" t="s">
        <v>5921</v>
      </c>
      <c r="IA512" s="9" t="s">
        <v>5921</v>
      </c>
      <c r="IB512" s="9" t="s">
        <v>5921</v>
      </c>
      <c r="IC512" s="9" t="s">
        <v>5919</v>
      </c>
      <c r="ID512" s="9" t="s">
        <v>5500</v>
      </c>
      <c r="IE512" s="9" t="s">
        <v>5500</v>
      </c>
      <c r="IF512" s="9" t="s">
        <v>5500</v>
      </c>
      <c r="IG512" s="9" t="s">
        <v>5500</v>
      </c>
      <c r="IH512" s="9" t="s">
        <v>5536</v>
      </c>
      <c r="II512" s="9" t="s">
        <v>5500</v>
      </c>
      <c r="IJ512" s="9" t="s">
        <v>9879</v>
      </c>
      <c r="IK512" s="9" t="s">
        <v>5924</v>
      </c>
      <c r="IL512" s="9" t="s">
        <v>9880</v>
      </c>
      <c r="IM512" s="9" t="s">
        <v>9881</v>
      </c>
      <c r="MJ512" s="9" t="s">
        <v>6321</v>
      </c>
    </row>
    <row r="513" ht="22.5" customHeight="1">
      <c r="A513" s="8">
        <v>46179.82143106482</v>
      </c>
      <c r="B513" s="9" t="s">
        <v>368</v>
      </c>
      <c r="C513" s="9" t="s">
        <v>894</v>
      </c>
      <c r="D513" s="9" t="s">
        <v>894</v>
      </c>
      <c r="G513" s="9" t="s">
        <v>3187</v>
      </c>
      <c r="H513" s="9" t="s">
        <v>539</v>
      </c>
      <c r="I513" s="9" t="s">
        <v>2578</v>
      </c>
      <c r="J513" s="9" t="s">
        <v>425</v>
      </c>
      <c r="K513" s="9" t="s">
        <v>376</v>
      </c>
      <c r="L513" s="9" t="s">
        <v>379</v>
      </c>
      <c r="M513" s="9" t="s">
        <v>2464</v>
      </c>
      <c r="N513" s="9" t="s">
        <v>377</v>
      </c>
      <c r="O513" s="9" t="s">
        <v>380</v>
      </c>
      <c r="P513" s="9" t="s">
        <v>381</v>
      </c>
      <c r="Q513" s="9" t="s">
        <v>382</v>
      </c>
      <c r="R513" s="9" t="s">
        <v>1197</v>
      </c>
      <c r="S513" s="9" t="s">
        <v>384</v>
      </c>
      <c r="T513" s="9" t="s">
        <v>385</v>
      </c>
      <c r="U513" s="9" t="s">
        <v>896</v>
      </c>
      <c r="V513" s="9" t="s">
        <v>896</v>
      </c>
      <c r="W513" s="9" t="s">
        <v>386</v>
      </c>
      <c r="X513" s="9" t="s">
        <v>387</v>
      </c>
      <c r="Y513" s="9" t="s">
        <v>388</v>
      </c>
      <c r="Z513" s="9" t="s">
        <v>502</v>
      </c>
      <c r="AA513" s="9" t="s">
        <v>9882</v>
      </c>
      <c r="AB513" s="9" t="s">
        <v>2675</v>
      </c>
      <c r="AV513" s="9" t="s">
        <v>1310</v>
      </c>
      <c r="AW513" s="9">
        <v>4.0</v>
      </c>
      <c r="AX513" s="9" t="s">
        <v>391</v>
      </c>
      <c r="AY513" s="9">
        <v>4.0</v>
      </c>
      <c r="AZ513" s="9">
        <v>4.0</v>
      </c>
      <c r="BA513" s="9">
        <v>4.0</v>
      </c>
      <c r="BB513" s="9">
        <v>4.0</v>
      </c>
      <c r="BC513" s="9" t="s">
        <v>9883</v>
      </c>
      <c r="BD513" s="9" t="s">
        <v>9884</v>
      </c>
      <c r="BE513" s="9" t="s">
        <v>902</v>
      </c>
      <c r="BF513" s="9" t="s">
        <v>1095</v>
      </c>
      <c r="BG513" s="9" t="s">
        <v>434</v>
      </c>
      <c r="BH513" s="9" t="s">
        <v>9885</v>
      </c>
      <c r="BI513" s="9" t="s">
        <v>976</v>
      </c>
      <c r="BK513" s="9" t="s">
        <v>437</v>
      </c>
      <c r="BL513" s="9" t="s">
        <v>603</v>
      </c>
      <c r="BM513" s="9" t="s">
        <v>1247</v>
      </c>
      <c r="BN513" s="9" t="s">
        <v>398</v>
      </c>
      <c r="BO513" s="9" t="s">
        <v>9886</v>
      </c>
      <c r="BP513" s="9" t="s">
        <v>9887</v>
      </c>
      <c r="BQ513" s="9" t="s">
        <v>604</v>
      </c>
      <c r="BR513" s="9" t="s">
        <v>1928</v>
      </c>
      <c r="BS513" s="9" t="s">
        <v>403</v>
      </c>
      <c r="BT513" s="9" t="s">
        <v>4368</v>
      </c>
      <c r="BU513" s="9" t="s">
        <v>1772</v>
      </c>
      <c r="BV513" s="9" t="s">
        <v>9888</v>
      </c>
      <c r="BW513" s="9" t="s">
        <v>988</v>
      </c>
      <c r="BY513" s="9" t="s">
        <v>455</v>
      </c>
      <c r="BZ513" s="9" t="s">
        <v>9889</v>
      </c>
      <c r="CA513" s="9" t="s">
        <v>9890</v>
      </c>
      <c r="CB513" s="9" t="s">
        <v>9891</v>
      </c>
      <c r="CC513" s="9" t="s">
        <v>9892</v>
      </c>
      <c r="CD513" s="9" t="s">
        <v>409</v>
      </c>
      <c r="CE513" s="9" t="s">
        <v>9893</v>
      </c>
      <c r="CF513" s="9" t="s">
        <v>1258</v>
      </c>
      <c r="CH513" s="9" t="s">
        <v>1698</v>
      </c>
      <c r="CI513" s="9" t="s">
        <v>833</v>
      </c>
      <c r="CJ513" s="9" t="s">
        <v>9894</v>
      </c>
      <c r="CK513" s="9" t="s">
        <v>9895</v>
      </c>
      <c r="DI513" s="9" t="s">
        <v>459</v>
      </c>
      <c r="DJ513" s="9" t="s">
        <v>613</v>
      </c>
      <c r="ET513" s="9" t="s">
        <v>526</v>
      </c>
      <c r="EU513" s="9" t="s">
        <v>479</v>
      </c>
      <c r="EV513" s="9" t="s">
        <v>527</v>
      </c>
      <c r="EW513" s="9" t="s">
        <v>9896</v>
      </c>
      <c r="EX513" s="9" t="s">
        <v>9897</v>
      </c>
      <c r="EY513" s="9" t="s">
        <v>9898</v>
      </c>
      <c r="EZ513" s="9" t="s">
        <v>414</v>
      </c>
      <c r="FA513" s="9" t="s">
        <v>414</v>
      </c>
      <c r="FB513" s="9" t="s">
        <v>414</v>
      </c>
      <c r="FC513" s="9" t="s">
        <v>414</v>
      </c>
      <c r="FD513" s="9" t="s">
        <v>416</v>
      </c>
      <c r="FE513" s="9" t="s">
        <v>414</v>
      </c>
      <c r="FF513" s="9" t="s">
        <v>414</v>
      </c>
      <c r="FG513" s="9" t="s">
        <v>415</v>
      </c>
      <c r="FH513" s="9" t="s">
        <v>414</v>
      </c>
      <c r="FI513" s="9" t="s">
        <v>414</v>
      </c>
      <c r="FJ513" s="9" t="s">
        <v>414</v>
      </c>
      <c r="FK513" s="9" t="s">
        <v>414</v>
      </c>
      <c r="FL513" s="9" t="s">
        <v>414</v>
      </c>
      <c r="FM513" s="9" t="s">
        <v>416</v>
      </c>
      <c r="FN513" s="9" t="s">
        <v>414</v>
      </c>
      <c r="FO513" s="9" t="s">
        <v>850</v>
      </c>
      <c r="FP513" s="9" t="s">
        <v>418</v>
      </c>
      <c r="FQ513" s="9" t="s">
        <v>419</v>
      </c>
      <c r="FR513" s="9" t="s">
        <v>9899</v>
      </c>
      <c r="FS513" s="9" t="s">
        <v>420</v>
      </c>
      <c r="FT513" s="9" t="s">
        <v>488</v>
      </c>
      <c r="FU513" s="9" t="s">
        <v>489</v>
      </c>
      <c r="FV513" s="9" t="s">
        <v>490</v>
      </c>
      <c r="FW513" s="9" t="s">
        <v>491</v>
      </c>
      <c r="FX513" s="9" t="s">
        <v>9900</v>
      </c>
      <c r="FY513" s="9" t="s">
        <v>493</v>
      </c>
      <c r="FZ513" s="9" t="s">
        <v>9901</v>
      </c>
      <c r="GB513" s="9" t="s">
        <v>455</v>
      </c>
      <c r="GC513" s="9"/>
      <c r="GE513" s="9" t="s">
        <v>753</v>
      </c>
      <c r="GF513" s="9" t="s">
        <v>9902</v>
      </c>
      <c r="GJ513" s="9" t="s">
        <v>920</v>
      </c>
      <c r="GK513" s="9" t="s">
        <v>920</v>
      </c>
      <c r="GL513" s="9" t="s">
        <v>756</v>
      </c>
      <c r="GQ513" s="9" t="s">
        <v>3208</v>
      </c>
      <c r="GR513" s="9" t="s">
        <v>4840</v>
      </c>
      <c r="GS513" s="9" t="s">
        <v>9903</v>
      </c>
      <c r="GV513" s="9" t="s">
        <v>5231</v>
      </c>
      <c r="GW513" s="9" t="s">
        <v>5232</v>
      </c>
      <c r="GX513" s="9" t="s">
        <v>5262</v>
      </c>
      <c r="GY513" s="9" t="s">
        <v>9904</v>
      </c>
      <c r="GZ513" s="9" t="s">
        <v>484</v>
      </c>
      <c r="HA513" s="9" t="s">
        <v>484</v>
      </c>
      <c r="HB513" s="9" t="s">
        <v>5370</v>
      </c>
      <c r="HO513" s="9" t="s">
        <v>5236</v>
      </c>
      <c r="HP513" s="9" t="s">
        <v>5237</v>
      </c>
      <c r="HQ513" s="9" t="s">
        <v>5238</v>
      </c>
      <c r="HR513" s="9" t="s">
        <v>5321</v>
      </c>
      <c r="MJ513" s="9" t="s">
        <v>6321</v>
      </c>
    </row>
    <row r="514" ht="22.5" customHeight="1">
      <c r="A514" s="8">
        <v>46181.34934444445</v>
      </c>
      <c r="B514" s="9" t="s">
        <v>368</v>
      </c>
      <c r="C514" s="9" t="s">
        <v>2796</v>
      </c>
      <c r="D514" s="9" t="s">
        <v>2796</v>
      </c>
      <c r="G514" s="9" t="s">
        <v>422</v>
      </c>
      <c r="H514" s="9" t="s">
        <v>496</v>
      </c>
      <c r="I514" s="9" t="s">
        <v>374</v>
      </c>
      <c r="J514" s="9" t="s">
        <v>669</v>
      </c>
      <c r="K514" s="9" t="s">
        <v>376</v>
      </c>
      <c r="L514" s="9" t="s">
        <v>793</v>
      </c>
      <c r="M514" s="9" t="s">
        <v>719</v>
      </c>
      <c r="N514" s="9" t="s">
        <v>793</v>
      </c>
      <c r="O514" s="9" t="s">
        <v>671</v>
      </c>
      <c r="P514" s="9" t="s">
        <v>592</v>
      </c>
      <c r="Q514" s="9" t="s">
        <v>862</v>
      </c>
      <c r="R514" s="9" t="s">
        <v>500</v>
      </c>
      <c r="S514" s="9" t="s">
        <v>384</v>
      </c>
      <c r="T514" s="9" t="s">
        <v>385</v>
      </c>
      <c r="W514" s="9" t="s">
        <v>3014</v>
      </c>
      <c r="AV514" s="9" t="s">
        <v>597</v>
      </c>
      <c r="AW514" s="9">
        <v>4.0</v>
      </c>
      <c r="AX514" s="9" t="s">
        <v>391</v>
      </c>
      <c r="AY514" s="9" t="s">
        <v>391</v>
      </c>
      <c r="AZ514" s="9">
        <v>4.0</v>
      </c>
      <c r="BA514" s="9">
        <v>4.0</v>
      </c>
      <c r="BB514" s="9">
        <v>4.0</v>
      </c>
      <c r="BC514" s="9" t="s">
        <v>9905</v>
      </c>
      <c r="BE514" s="9" t="s">
        <v>432</v>
      </c>
      <c r="BF514" s="9" t="s">
        <v>393</v>
      </c>
      <c r="BG514" s="9" t="s">
        <v>394</v>
      </c>
      <c r="BI514" s="9" t="s">
        <v>976</v>
      </c>
      <c r="BK514" s="9" t="s">
        <v>437</v>
      </c>
      <c r="BL514" s="9" t="s">
        <v>438</v>
      </c>
      <c r="BM514" s="9" t="s">
        <v>397</v>
      </c>
      <c r="BN514" s="9" t="s">
        <v>398</v>
      </c>
      <c r="BO514" s="9" t="s">
        <v>9906</v>
      </c>
      <c r="BP514" s="9" t="s">
        <v>2675</v>
      </c>
      <c r="BQ514" s="9" t="s">
        <v>401</v>
      </c>
      <c r="BR514" s="9" t="s">
        <v>4462</v>
      </c>
      <c r="BS514" s="9" t="s">
        <v>4071</v>
      </c>
      <c r="BT514" s="9" t="s">
        <v>4072</v>
      </c>
      <c r="BU514" s="9" t="s">
        <v>405</v>
      </c>
      <c r="BW514" s="9" t="s">
        <v>406</v>
      </c>
      <c r="BY514" s="9" t="s">
        <v>455</v>
      </c>
      <c r="BZ514" s="9" t="s">
        <v>9907</v>
      </c>
      <c r="CC514" s="9" t="s">
        <v>9908</v>
      </c>
      <c r="CD514" s="9" t="s">
        <v>409</v>
      </c>
      <c r="CE514" s="9" t="s">
        <v>9909</v>
      </c>
      <c r="CF514" s="9" t="s">
        <v>1258</v>
      </c>
      <c r="CH514" s="9" t="s">
        <v>1259</v>
      </c>
      <c r="CI514" s="9" t="s">
        <v>1964</v>
      </c>
      <c r="CJ514" s="9" t="s">
        <v>9910</v>
      </c>
      <c r="DI514" s="9" t="s">
        <v>963</v>
      </c>
      <c r="DJ514" s="9" t="s">
        <v>613</v>
      </c>
      <c r="ET514" s="9" t="s">
        <v>526</v>
      </c>
      <c r="EU514" s="9" t="s">
        <v>579</v>
      </c>
      <c r="EV514" s="9" t="s">
        <v>480</v>
      </c>
      <c r="EY514" s="9" t="s">
        <v>9911</v>
      </c>
      <c r="EZ514" s="9" t="s">
        <v>414</v>
      </c>
      <c r="FA514" s="9" t="s">
        <v>414</v>
      </c>
      <c r="FB514" s="9" t="s">
        <v>413</v>
      </c>
      <c r="FC514" s="9" t="s">
        <v>415</v>
      </c>
      <c r="FD514" s="9" t="s">
        <v>413</v>
      </c>
      <c r="FE514" s="9" t="s">
        <v>583</v>
      </c>
      <c r="FF514" s="9" t="s">
        <v>415</v>
      </c>
      <c r="FG514" s="9" t="s">
        <v>414</v>
      </c>
      <c r="FH514" s="9" t="s">
        <v>416</v>
      </c>
      <c r="FI514" s="9" t="s">
        <v>413</v>
      </c>
      <c r="FJ514" s="9" t="s">
        <v>415</v>
      </c>
      <c r="FK514" s="9" t="s">
        <v>415</v>
      </c>
      <c r="FL514" s="9" t="s">
        <v>415</v>
      </c>
      <c r="FM514" s="9" t="s">
        <v>415</v>
      </c>
      <c r="FN514" s="9" t="s">
        <v>415</v>
      </c>
      <c r="FO514" s="9" t="s">
        <v>1074</v>
      </c>
      <c r="FP514" s="9" t="s">
        <v>418</v>
      </c>
      <c r="FQ514" s="9" t="s">
        <v>749</v>
      </c>
      <c r="FS514" s="9" t="s">
        <v>420</v>
      </c>
      <c r="FT514" s="9" t="s">
        <v>1462</v>
      </c>
      <c r="FU514" s="9" t="s">
        <v>1235</v>
      </c>
      <c r="FV514" s="9" t="s">
        <v>490</v>
      </c>
      <c r="FW514" s="9" t="s">
        <v>491</v>
      </c>
      <c r="FX514" s="9" t="s">
        <v>9912</v>
      </c>
      <c r="FY514" s="9" t="s">
        <v>535</v>
      </c>
      <c r="GB514" s="9" t="s">
        <v>455</v>
      </c>
      <c r="GC514" s="9"/>
      <c r="GE514" s="9" t="s">
        <v>753</v>
      </c>
      <c r="GJ514" s="9" t="s">
        <v>789</v>
      </c>
      <c r="GK514" s="9" t="s">
        <v>789</v>
      </c>
      <c r="GL514" s="9" t="s">
        <v>817</v>
      </c>
      <c r="GQ514" s="9" t="s">
        <v>3208</v>
      </c>
      <c r="GR514" s="9" t="s">
        <v>4774</v>
      </c>
      <c r="GV514" s="9" t="s">
        <v>5231</v>
      </c>
      <c r="GW514" s="9" t="s">
        <v>484</v>
      </c>
      <c r="GX514" s="9" t="s">
        <v>5281</v>
      </c>
      <c r="GY514" s="9" t="s">
        <v>6013</v>
      </c>
      <c r="GZ514" s="9" t="s">
        <v>5234</v>
      </c>
      <c r="HA514" s="9" t="s">
        <v>5369</v>
      </c>
      <c r="HB514" s="9" t="s">
        <v>5961</v>
      </c>
      <c r="HO514" s="9" t="s">
        <v>5301</v>
      </c>
      <c r="HP514" s="9" t="s">
        <v>5264</v>
      </c>
      <c r="HQ514" s="9" t="s">
        <v>5286</v>
      </c>
      <c r="HR514" s="9" t="s">
        <v>5239</v>
      </c>
      <c r="MJ514" s="9" t="s">
        <v>6321</v>
      </c>
    </row>
    <row r="515" ht="22.5" customHeight="1">
      <c r="A515" s="8">
        <v>46181.86271541667</v>
      </c>
      <c r="B515" s="9" t="s">
        <v>368</v>
      </c>
      <c r="C515" s="9" t="s">
        <v>370</v>
      </c>
      <c r="D515" s="9" t="s">
        <v>370</v>
      </c>
      <c r="E515" s="9" t="s">
        <v>757</v>
      </c>
      <c r="F515" s="9" t="s">
        <v>1480</v>
      </c>
      <c r="G515" s="9" t="s">
        <v>422</v>
      </c>
      <c r="H515" s="9" t="s">
        <v>496</v>
      </c>
      <c r="I515" s="9" t="s">
        <v>374</v>
      </c>
      <c r="J515" s="9" t="s">
        <v>540</v>
      </c>
      <c r="K515" s="9" t="s">
        <v>376</v>
      </c>
      <c r="L515" s="9" t="s">
        <v>591</v>
      </c>
      <c r="M515" s="9" t="s">
        <v>860</v>
      </c>
      <c r="N515" s="9" t="s">
        <v>591</v>
      </c>
      <c r="O515" s="9" t="s">
        <v>639</v>
      </c>
      <c r="P515" s="9" t="s">
        <v>498</v>
      </c>
      <c r="Q515" s="9" t="s">
        <v>382</v>
      </c>
      <c r="R515" s="9" t="s">
        <v>641</v>
      </c>
      <c r="S515" s="9" t="s">
        <v>384</v>
      </c>
      <c r="T515" s="9" t="s">
        <v>385</v>
      </c>
      <c r="W515" s="9" t="s">
        <v>386</v>
      </c>
      <c r="X515" s="9" t="s">
        <v>387</v>
      </c>
      <c r="Y515" s="9" t="s">
        <v>594</v>
      </c>
      <c r="Z515" s="9" t="s">
        <v>502</v>
      </c>
      <c r="AA515" s="9" t="s">
        <v>408</v>
      </c>
      <c r="AB515" s="9" t="s">
        <v>9913</v>
      </c>
      <c r="AV515" s="9" t="s">
        <v>1310</v>
      </c>
      <c r="AW515" s="9" t="s">
        <v>675</v>
      </c>
      <c r="AX515" s="9" t="s">
        <v>675</v>
      </c>
      <c r="AY515" s="9" t="s">
        <v>391</v>
      </c>
      <c r="AZ515" s="9" t="s">
        <v>675</v>
      </c>
      <c r="BA515" s="9">
        <v>2.0</v>
      </c>
      <c r="BB515" s="9" t="s">
        <v>391</v>
      </c>
      <c r="BD515" s="9" t="s">
        <v>9914</v>
      </c>
      <c r="BE515" s="9" t="s">
        <v>432</v>
      </c>
      <c r="BF515" s="9" t="s">
        <v>1095</v>
      </c>
      <c r="BG515" s="9" t="s">
        <v>434</v>
      </c>
      <c r="BH515" s="9" t="s">
        <v>9915</v>
      </c>
      <c r="BI515" s="9" t="s">
        <v>435</v>
      </c>
      <c r="BJ515" s="9" t="s">
        <v>9916</v>
      </c>
      <c r="BK515" s="9" t="s">
        <v>395</v>
      </c>
      <c r="BL515" s="9" t="s">
        <v>438</v>
      </c>
      <c r="BM515" s="9" t="s">
        <v>1247</v>
      </c>
      <c r="BN515" s="9" t="s">
        <v>513</v>
      </c>
      <c r="CL515" s="9" t="s">
        <v>441</v>
      </c>
      <c r="CM515" s="9" t="s">
        <v>604</v>
      </c>
      <c r="CN515" s="9" t="s">
        <v>9917</v>
      </c>
      <c r="CO515" s="9" t="s">
        <v>9918</v>
      </c>
      <c r="CP515" s="9" t="s">
        <v>403</v>
      </c>
      <c r="CQ515" s="9" t="s">
        <v>9919</v>
      </c>
      <c r="CR515" s="9" t="s">
        <v>447</v>
      </c>
      <c r="CS515" s="9" t="s">
        <v>9920</v>
      </c>
      <c r="CT515" s="9" t="s">
        <v>9921</v>
      </c>
      <c r="CU515" s="9" t="s">
        <v>1863</v>
      </c>
      <c r="CV515" s="9" t="s">
        <v>451</v>
      </c>
      <c r="CW515" s="9" t="s">
        <v>9922</v>
      </c>
      <c r="CX515" s="9" t="s">
        <v>408</v>
      </c>
      <c r="CZ515" s="9" t="s">
        <v>453</v>
      </c>
      <c r="DA515" s="9" t="s">
        <v>9923</v>
      </c>
      <c r="DB515" s="9" t="s">
        <v>455</v>
      </c>
      <c r="DC515" s="9" t="s">
        <v>9924</v>
      </c>
      <c r="DD515" s="9" t="s">
        <v>662</v>
      </c>
      <c r="DE515" s="9" t="s">
        <v>691</v>
      </c>
      <c r="DF515" s="9" t="s">
        <v>9925</v>
      </c>
      <c r="DG515" s="9" t="s">
        <v>4899</v>
      </c>
      <c r="DH515" s="9" t="s">
        <v>410</v>
      </c>
      <c r="DI515" s="9" t="s">
        <v>459</v>
      </c>
      <c r="DJ515" s="9" t="s">
        <v>460</v>
      </c>
      <c r="DK515" s="9" t="s">
        <v>6335</v>
      </c>
      <c r="ET515" s="9" t="s">
        <v>526</v>
      </c>
      <c r="EU515" s="9" t="s">
        <v>479</v>
      </c>
      <c r="EV515" s="9" t="s">
        <v>527</v>
      </c>
      <c r="EW515" s="9" t="s">
        <v>9926</v>
      </c>
      <c r="EX515" s="9" t="s">
        <v>9927</v>
      </c>
      <c r="EY515" s="9" t="s">
        <v>9928</v>
      </c>
      <c r="EZ515" s="9" t="s">
        <v>415</v>
      </c>
      <c r="FA515" s="9" t="s">
        <v>414</v>
      </c>
      <c r="FB515" s="9" t="s">
        <v>414</v>
      </c>
      <c r="FC515" s="9" t="s">
        <v>583</v>
      </c>
      <c r="FD515" s="9" t="s">
        <v>413</v>
      </c>
      <c r="FE515" s="9" t="s">
        <v>484</v>
      </c>
      <c r="FF515" s="9" t="s">
        <v>415</v>
      </c>
      <c r="FG515" s="9" t="s">
        <v>415</v>
      </c>
      <c r="FH515" s="9" t="s">
        <v>415</v>
      </c>
      <c r="FI515" s="9" t="s">
        <v>583</v>
      </c>
      <c r="FJ515" s="9" t="s">
        <v>583</v>
      </c>
      <c r="FK515" s="9" t="s">
        <v>414</v>
      </c>
      <c r="FL515" s="9" t="s">
        <v>583</v>
      </c>
      <c r="FM515" s="9" t="s">
        <v>415</v>
      </c>
      <c r="FN515" s="9" t="s">
        <v>414</v>
      </c>
      <c r="FO515" s="9" t="s">
        <v>850</v>
      </c>
      <c r="FP515" s="9" t="s">
        <v>418</v>
      </c>
      <c r="FQ515" s="9" t="s">
        <v>630</v>
      </c>
      <c r="FR515" s="9" t="s">
        <v>9929</v>
      </c>
      <c r="FS515" s="9" t="s">
        <v>420</v>
      </c>
      <c r="FT515" s="9" t="s">
        <v>488</v>
      </c>
      <c r="FU515" s="9" t="s">
        <v>533</v>
      </c>
      <c r="FV515" s="9" t="s">
        <v>490</v>
      </c>
      <c r="FW515" s="9" t="s">
        <v>491</v>
      </c>
      <c r="FX515" s="9" t="s">
        <v>9930</v>
      </c>
      <c r="FY515" s="9" t="s">
        <v>535</v>
      </c>
      <c r="GA515" s="9" t="s">
        <v>9931</v>
      </c>
      <c r="GB515" s="9" t="s">
        <v>455</v>
      </c>
      <c r="GC515" s="9"/>
      <c r="GE515" s="9" t="s">
        <v>855</v>
      </c>
      <c r="GF515" s="9" t="s">
        <v>9932</v>
      </c>
      <c r="GG515" s="9" t="s">
        <v>788</v>
      </c>
      <c r="GH515" s="9" t="s">
        <v>1000</v>
      </c>
      <c r="GI515" s="9" t="s">
        <v>817</v>
      </c>
      <c r="GQ515" s="9" t="s">
        <v>9933</v>
      </c>
      <c r="GT515" s="9" t="s">
        <v>5081</v>
      </c>
      <c r="GU515" s="9" t="s">
        <v>4660</v>
      </c>
      <c r="GV515" s="9" t="s">
        <v>5231</v>
      </c>
      <c r="GW515" s="9" t="s">
        <v>5232</v>
      </c>
      <c r="HC515" s="9" t="s">
        <v>5297</v>
      </c>
      <c r="HD515" s="9" t="s">
        <v>5282</v>
      </c>
      <c r="HE515" s="9" t="s">
        <v>484</v>
      </c>
      <c r="HF515" s="9" t="s">
        <v>5768</v>
      </c>
      <c r="HO515" s="9" t="s">
        <v>5236</v>
      </c>
      <c r="HP515" s="9" t="s">
        <v>5264</v>
      </c>
      <c r="HQ515" s="9" t="s">
        <v>5238</v>
      </c>
      <c r="HR515" s="9" t="s">
        <v>5239</v>
      </c>
      <c r="MJ515" s="9" t="s">
        <v>6321</v>
      </c>
    </row>
    <row r="516" ht="22.5" customHeight="1">
      <c r="A516" s="8">
        <v>46182.8067103588</v>
      </c>
      <c r="B516" s="9" t="s">
        <v>368</v>
      </c>
      <c r="C516" s="9" t="s">
        <v>9934</v>
      </c>
      <c r="D516" s="9" t="s">
        <v>9934</v>
      </c>
      <c r="G516" s="9" t="s">
        <v>1269</v>
      </c>
      <c r="H516" s="9" t="s">
        <v>637</v>
      </c>
      <c r="I516" s="9" t="s">
        <v>638</v>
      </c>
      <c r="J516" s="9" t="s">
        <v>590</v>
      </c>
      <c r="K516" s="9" t="s">
        <v>376</v>
      </c>
      <c r="L516" s="9" t="s">
        <v>1526</v>
      </c>
      <c r="M516" s="9" t="s">
        <v>6033</v>
      </c>
      <c r="N516" s="9" t="s">
        <v>1526</v>
      </c>
      <c r="O516" s="9" t="s">
        <v>671</v>
      </c>
      <c r="P516" s="9" t="s">
        <v>498</v>
      </c>
      <c r="Q516" s="9" t="s">
        <v>499</v>
      </c>
      <c r="R516" s="9" t="s">
        <v>500</v>
      </c>
      <c r="S516" s="9" t="s">
        <v>2837</v>
      </c>
      <c r="T516" s="9" t="s">
        <v>385</v>
      </c>
      <c r="W516" s="9" t="s">
        <v>3014</v>
      </c>
      <c r="AV516" s="9" t="s">
        <v>390</v>
      </c>
      <c r="AW516" s="9">
        <v>2.0</v>
      </c>
      <c r="AX516" s="9">
        <v>2.0</v>
      </c>
      <c r="AY516" s="9">
        <v>4.0</v>
      </c>
      <c r="AZ516" s="9">
        <v>4.0</v>
      </c>
      <c r="BA516" s="9" t="s">
        <v>391</v>
      </c>
      <c r="BB516" s="9" t="s">
        <v>391</v>
      </c>
      <c r="BC516" s="9" t="s">
        <v>9935</v>
      </c>
      <c r="BD516" s="9" t="s">
        <v>9936</v>
      </c>
      <c r="BE516" s="9" t="s">
        <v>432</v>
      </c>
      <c r="BF516" s="9" t="s">
        <v>433</v>
      </c>
      <c r="BG516" s="9" t="s">
        <v>507</v>
      </c>
      <c r="BH516" s="9" t="s">
        <v>9937</v>
      </c>
      <c r="BI516" s="9" t="s">
        <v>976</v>
      </c>
      <c r="BJ516" s="9" t="s">
        <v>9938</v>
      </c>
      <c r="BK516" s="9" t="s">
        <v>681</v>
      </c>
      <c r="BL516" s="9" t="s">
        <v>603</v>
      </c>
      <c r="BM516" s="9" t="s">
        <v>439</v>
      </c>
      <c r="BN516" s="9" t="s">
        <v>398</v>
      </c>
      <c r="BO516" s="9" t="s">
        <v>9939</v>
      </c>
      <c r="BP516" s="9" t="s">
        <v>9940</v>
      </c>
      <c r="BQ516" s="9" t="s">
        <v>401</v>
      </c>
      <c r="BR516" s="9" t="s">
        <v>9941</v>
      </c>
      <c r="BS516" s="9" t="s">
        <v>4071</v>
      </c>
      <c r="BT516" s="9" t="s">
        <v>1994</v>
      </c>
      <c r="BU516" s="9" t="s">
        <v>405</v>
      </c>
      <c r="BV516" s="9" t="s">
        <v>9942</v>
      </c>
      <c r="BW516" s="9" t="s">
        <v>988</v>
      </c>
      <c r="BY516" s="9" t="s">
        <v>455</v>
      </c>
      <c r="BZ516" s="9" t="s">
        <v>9943</v>
      </c>
      <c r="CA516" s="9" t="s">
        <v>9944</v>
      </c>
      <c r="CB516" s="9" t="s">
        <v>9945</v>
      </c>
      <c r="CC516" s="9" t="s">
        <v>9946</v>
      </c>
      <c r="CD516" s="9" t="s">
        <v>451</v>
      </c>
      <c r="CE516" s="9" t="s">
        <v>9947</v>
      </c>
      <c r="CF516" s="9" t="s">
        <v>1722</v>
      </c>
      <c r="CG516" s="9" t="s">
        <v>9948</v>
      </c>
      <c r="CH516" s="9" t="s">
        <v>1751</v>
      </c>
      <c r="CI516" s="9" t="s">
        <v>410</v>
      </c>
      <c r="CJ516" s="9" t="s">
        <v>9949</v>
      </c>
      <c r="CK516" s="9" t="s">
        <v>9950</v>
      </c>
      <c r="DI516" s="9" t="s">
        <v>459</v>
      </c>
      <c r="DJ516" s="9" t="s">
        <v>562</v>
      </c>
      <c r="DK516" s="9" t="s">
        <v>6335</v>
      </c>
      <c r="ET516" s="9" t="s">
        <v>526</v>
      </c>
      <c r="EU516" s="9" t="s">
        <v>479</v>
      </c>
      <c r="EV516" s="9" t="s">
        <v>527</v>
      </c>
      <c r="EW516" s="9" t="s">
        <v>9951</v>
      </c>
      <c r="EX516" s="9" t="s">
        <v>9952</v>
      </c>
      <c r="EY516" s="9" t="s">
        <v>9953</v>
      </c>
      <c r="EZ516" s="9" t="s">
        <v>583</v>
      </c>
      <c r="FA516" s="9" t="s">
        <v>583</v>
      </c>
      <c r="FB516" s="9" t="s">
        <v>416</v>
      </c>
      <c r="FC516" s="9" t="s">
        <v>414</v>
      </c>
      <c r="FD516" s="9" t="s">
        <v>413</v>
      </c>
      <c r="FE516" s="9" t="s">
        <v>414</v>
      </c>
      <c r="FF516" s="9" t="s">
        <v>415</v>
      </c>
      <c r="FG516" s="9" t="s">
        <v>415</v>
      </c>
      <c r="FH516" s="9" t="s">
        <v>413</v>
      </c>
      <c r="FI516" s="9" t="s">
        <v>413</v>
      </c>
      <c r="FJ516" s="9" t="s">
        <v>415</v>
      </c>
      <c r="FK516" s="9" t="s">
        <v>414</v>
      </c>
      <c r="FL516" s="9" t="s">
        <v>414</v>
      </c>
      <c r="FM516" s="9" t="s">
        <v>416</v>
      </c>
      <c r="FN516" s="9" t="s">
        <v>414</v>
      </c>
      <c r="FO516" s="9" t="s">
        <v>485</v>
      </c>
      <c r="FP516" s="9" t="s">
        <v>418</v>
      </c>
      <c r="FQ516" s="9" t="s">
        <v>1039</v>
      </c>
      <c r="FR516" s="9" t="s">
        <v>9954</v>
      </c>
      <c r="FS516" s="9" t="s">
        <v>1189</v>
      </c>
      <c r="FT516" s="9" t="s">
        <v>488</v>
      </c>
      <c r="FU516" s="9" t="s">
        <v>918</v>
      </c>
      <c r="FV516" s="9" t="s">
        <v>1101</v>
      </c>
      <c r="FW516" s="9" t="s">
        <v>491</v>
      </c>
      <c r="FY516" s="9" t="s">
        <v>535</v>
      </c>
      <c r="FZ516" s="9" t="s">
        <v>9955</v>
      </c>
      <c r="GA516" s="9" t="s">
        <v>9956</v>
      </c>
      <c r="GB516" s="9" t="s">
        <v>455</v>
      </c>
      <c r="GC516" s="9"/>
      <c r="GD516" s="9"/>
      <c r="GE516" s="9" t="s">
        <v>753</v>
      </c>
      <c r="GF516" s="9" t="s">
        <v>9957</v>
      </c>
      <c r="GJ516" s="9" t="s">
        <v>755</v>
      </c>
      <c r="GK516" s="9" t="s">
        <v>755</v>
      </c>
      <c r="GL516" s="9" t="s">
        <v>817</v>
      </c>
      <c r="GN516" s="9" t="s">
        <v>9934</v>
      </c>
      <c r="GO516" s="9" t="s">
        <v>9934</v>
      </c>
      <c r="GQ516" s="9" t="s">
        <v>3273</v>
      </c>
      <c r="GR516" s="9" t="s">
        <v>4774</v>
      </c>
      <c r="GV516" s="9" t="s">
        <v>5231</v>
      </c>
      <c r="GW516" s="9" t="s">
        <v>484</v>
      </c>
      <c r="GX516" s="9" t="s">
        <v>5262</v>
      </c>
      <c r="GY516" s="9" t="s">
        <v>5233</v>
      </c>
      <c r="GZ516" s="9" t="s">
        <v>9958</v>
      </c>
      <c r="HA516" s="9" t="s">
        <v>484</v>
      </c>
      <c r="HB516" s="9" t="s">
        <v>913</v>
      </c>
      <c r="HO516" s="9" t="s">
        <v>5346</v>
      </c>
      <c r="HP516" s="9" t="s">
        <v>5264</v>
      </c>
      <c r="HQ516" s="9" t="s">
        <v>5238</v>
      </c>
      <c r="HR516" s="9" t="s">
        <v>5239</v>
      </c>
      <c r="MJ516" s="9" t="s">
        <v>6321</v>
      </c>
    </row>
    <row r="517" ht="22.5" customHeight="1">
      <c r="A517" s="8">
        <v>46187.82425446759</v>
      </c>
      <c r="B517" s="9" t="s">
        <v>368</v>
      </c>
      <c r="C517" s="9" t="s">
        <v>370</v>
      </c>
      <c r="D517" s="9" t="s">
        <v>370</v>
      </c>
      <c r="E517" s="9" t="s">
        <v>1441</v>
      </c>
      <c r="F517" s="9" t="s">
        <v>1421</v>
      </c>
      <c r="G517" s="9" t="s">
        <v>422</v>
      </c>
      <c r="H517" s="9" t="s">
        <v>1921</v>
      </c>
      <c r="I517" s="9" t="s">
        <v>668</v>
      </c>
      <c r="J517" s="9" t="s">
        <v>375</v>
      </c>
      <c r="K517" s="9" t="s">
        <v>376</v>
      </c>
      <c r="L517" s="9" t="s">
        <v>426</v>
      </c>
      <c r="M517" s="9" t="s">
        <v>378</v>
      </c>
      <c r="N517" s="9" t="s">
        <v>379</v>
      </c>
      <c r="O517" s="9" t="s">
        <v>719</v>
      </c>
      <c r="P517" s="9" t="s">
        <v>1504</v>
      </c>
      <c r="Q517" s="9" t="s">
        <v>499</v>
      </c>
      <c r="R517" s="9" t="s">
        <v>500</v>
      </c>
      <c r="S517" s="9" t="s">
        <v>384</v>
      </c>
      <c r="T517" s="9" t="s">
        <v>385</v>
      </c>
      <c r="W517" s="9" t="s">
        <v>593</v>
      </c>
      <c r="X517" s="9" t="s">
        <v>387</v>
      </c>
      <c r="Y517" s="9" t="s">
        <v>2115</v>
      </c>
      <c r="Z517" s="9" t="s">
        <v>543</v>
      </c>
      <c r="AA517" s="9" t="s">
        <v>2675</v>
      </c>
      <c r="AB517" s="9" t="s">
        <v>9959</v>
      </c>
      <c r="AV517" s="9" t="s">
        <v>1242</v>
      </c>
      <c r="AW517" s="9" t="s">
        <v>675</v>
      </c>
      <c r="AX517" s="9">
        <v>4.0</v>
      </c>
      <c r="AY517" s="9" t="s">
        <v>391</v>
      </c>
      <c r="AZ517" s="9" t="s">
        <v>391</v>
      </c>
      <c r="BA517" s="9" t="s">
        <v>391</v>
      </c>
      <c r="BB517" s="9" t="s">
        <v>391</v>
      </c>
      <c r="BC517" s="9" t="s">
        <v>9960</v>
      </c>
      <c r="BD517" s="9" t="s">
        <v>9961</v>
      </c>
      <c r="BE517" s="9" t="s">
        <v>392</v>
      </c>
      <c r="BF517" s="9" t="s">
        <v>1095</v>
      </c>
      <c r="BG517" s="9" t="s">
        <v>678</v>
      </c>
      <c r="BH517" s="9" t="s">
        <v>1313</v>
      </c>
      <c r="BI517" s="9" t="s">
        <v>727</v>
      </c>
      <c r="BK517" s="9" t="s">
        <v>602</v>
      </c>
      <c r="BL517" s="9" t="s">
        <v>512</v>
      </c>
      <c r="BM517" s="9" t="s">
        <v>1314</v>
      </c>
      <c r="BN517" s="9" t="s">
        <v>513</v>
      </c>
      <c r="CL517" s="9" t="s">
        <v>441</v>
      </c>
      <c r="CM517" s="9" t="s">
        <v>401</v>
      </c>
      <c r="CN517" s="9" t="s">
        <v>9962</v>
      </c>
      <c r="CO517" s="9" t="s">
        <v>9963</v>
      </c>
      <c r="CP517" s="9" t="s">
        <v>1008</v>
      </c>
      <c r="CQ517" s="9" t="s">
        <v>9964</v>
      </c>
      <c r="CR517" s="9" t="s">
        <v>555</v>
      </c>
      <c r="CS517" s="9" t="s">
        <v>9965</v>
      </c>
      <c r="CT517" s="9" t="s">
        <v>9966</v>
      </c>
      <c r="CU517" s="9" t="s">
        <v>1852</v>
      </c>
      <c r="CV517" s="9" t="s">
        <v>451</v>
      </c>
      <c r="CW517" s="9" t="s">
        <v>9967</v>
      </c>
      <c r="CX517" s="9" t="s">
        <v>408</v>
      </c>
      <c r="CZ517" s="9" t="s">
        <v>1962</v>
      </c>
      <c r="DB517" s="9" t="s">
        <v>408</v>
      </c>
      <c r="DD517" s="9" t="s">
        <v>457</v>
      </c>
      <c r="DF517" s="9" t="s">
        <v>9968</v>
      </c>
      <c r="DG517" s="9" t="s">
        <v>561</v>
      </c>
      <c r="DH517" s="9" t="s">
        <v>410</v>
      </c>
      <c r="DI517" s="9" t="s">
        <v>963</v>
      </c>
      <c r="DJ517" s="9" t="s">
        <v>613</v>
      </c>
      <c r="ET517" s="9" t="s">
        <v>478</v>
      </c>
      <c r="EU517" s="9" t="s">
        <v>479</v>
      </c>
      <c r="EV517" s="9" t="s">
        <v>480</v>
      </c>
      <c r="EW517" s="9" t="s">
        <v>9969</v>
      </c>
      <c r="EX517" s="9" t="s">
        <v>9970</v>
      </c>
      <c r="EY517" s="9" t="s">
        <v>9971</v>
      </c>
      <c r="EZ517" s="9" t="s">
        <v>414</v>
      </c>
      <c r="FA517" s="9" t="s">
        <v>583</v>
      </c>
      <c r="FB517" s="9" t="s">
        <v>413</v>
      </c>
      <c r="FC517" s="9" t="s">
        <v>583</v>
      </c>
      <c r="FD517" s="9" t="s">
        <v>413</v>
      </c>
      <c r="FE517" s="9" t="s">
        <v>583</v>
      </c>
      <c r="FF517" s="9" t="s">
        <v>415</v>
      </c>
      <c r="FG517" s="9" t="s">
        <v>414</v>
      </c>
      <c r="FH517" s="9" t="s">
        <v>416</v>
      </c>
      <c r="FI517" s="9" t="s">
        <v>414</v>
      </c>
      <c r="FJ517" s="9" t="s">
        <v>415</v>
      </c>
      <c r="FK517" s="9" t="s">
        <v>583</v>
      </c>
      <c r="FL517" s="9" t="s">
        <v>583</v>
      </c>
      <c r="FM517" s="9" t="s">
        <v>416</v>
      </c>
      <c r="FN517" s="9" t="s">
        <v>414</v>
      </c>
      <c r="FO517" s="9" t="s">
        <v>1537</v>
      </c>
      <c r="FP517" s="9" t="s">
        <v>418</v>
      </c>
      <c r="FQ517" s="9" t="s">
        <v>630</v>
      </c>
      <c r="FR517" s="9" t="s">
        <v>9972</v>
      </c>
      <c r="FS517" s="9" t="s">
        <v>1076</v>
      </c>
      <c r="FT517" s="9" t="s">
        <v>488</v>
      </c>
      <c r="FU517" s="9" t="s">
        <v>533</v>
      </c>
      <c r="FV517" s="9" t="s">
        <v>490</v>
      </c>
      <c r="FW517" s="9" t="s">
        <v>491</v>
      </c>
      <c r="FX517" s="9" t="s">
        <v>9973</v>
      </c>
      <c r="FY517" s="9" t="s">
        <v>1020</v>
      </c>
      <c r="FZ517" s="9" t="s">
        <v>9974</v>
      </c>
      <c r="GA517" s="9" t="s">
        <v>1313</v>
      </c>
      <c r="GB517" s="9" t="s">
        <v>455</v>
      </c>
      <c r="GC517" s="9"/>
      <c r="GE517" s="9" t="s">
        <v>1420</v>
      </c>
      <c r="GF517" s="9" t="s">
        <v>9975</v>
      </c>
      <c r="GG517" s="9" t="s">
        <v>755</v>
      </c>
      <c r="GH517" s="9" t="s">
        <v>755</v>
      </c>
      <c r="GI517" s="9" t="s">
        <v>946</v>
      </c>
      <c r="GQ517" s="9" t="s">
        <v>3306</v>
      </c>
      <c r="GT517" s="9" t="s">
        <v>4774</v>
      </c>
      <c r="GV517" s="9" t="s">
        <v>5231</v>
      </c>
      <c r="GW517" s="9" t="s">
        <v>5232</v>
      </c>
      <c r="HC517" s="9" t="s">
        <v>5297</v>
      </c>
      <c r="HD517" s="9" t="s">
        <v>5282</v>
      </c>
      <c r="HE517" s="9" t="s">
        <v>5492</v>
      </c>
      <c r="HF517" s="9" t="s">
        <v>5284</v>
      </c>
      <c r="HO517" s="9" t="s">
        <v>5236</v>
      </c>
      <c r="HP517" s="9" t="s">
        <v>5237</v>
      </c>
      <c r="HQ517" s="9" t="s">
        <v>5238</v>
      </c>
      <c r="HR517" s="9" t="s">
        <v>5347</v>
      </c>
      <c r="HW517" s="9" t="s">
        <v>5628</v>
      </c>
      <c r="MJ517" s="9" t="s">
        <v>6321</v>
      </c>
    </row>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sheetData>
  <hyperlinks>
    <hyperlink r:id="rId2" ref="GQ140"/>
    <hyperlink r:id="rId3" ref="GQ145"/>
    <hyperlink r:id="rId4" ref="GQ243"/>
    <hyperlink r:id="rId5" ref="GD409"/>
  </hyperlinks>
  <drawing r:id="rId6"/>
  <legacy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46.13"/>
    <col customWidth="1" min="2" max="2" width="42.0"/>
    <col customWidth="1" min="3" max="3" width="17.25"/>
    <col customWidth="1" min="4" max="4" width="19.38"/>
    <col customWidth="1" min="5" max="5" width="18.25"/>
    <col customWidth="1" min="6" max="6" width="20.25"/>
    <col customWidth="1" min="7" max="7" width="13.38"/>
    <col customWidth="1" min="8" max="8" width="9.63"/>
    <col customWidth="1" min="9" max="9" width="15.25"/>
    <col customWidth="1" min="10" max="10" width="18.38"/>
    <col customWidth="1" min="11" max="11" width="21.25"/>
    <col customWidth="1" min="12" max="12" width="21.5"/>
    <col customWidth="1" min="13" max="13" width="22.0"/>
    <col customWidth="1" min="14" max="14" width="20.5"/>
    <col customWidth="1" min="15" max="15" width="21.0"/>
    <col customWidth="1" min="16" max="16" width="9.63"/>
    <col customWidth="1" min="17" max="17" width="12.38"/>
    <col customWidth="1" min="18" max="18" width="13.75"/>
    <col customWidth="1" min="19" max="19" width="19.13"/>
    <col customWidth="1" min="20" max="20" width="25.0"/>
    <col customWidth="1" min="21" max="21" width="22.25"/>
    <col customWidth="1" min="22" max="22" width="24.25"/>
    <col customWidth="1" min="23" max="23" width="18.38"/>
    <col customWidth="1" min="24" max="24" width="21.63"/>
    <col customWidth="1" min="25" max="25" width="26.75"/>
    <col customWidth="1" min="26" max="26" width="23.25"/>
    <col customWidth="1" min="27" max="27" width="28.0"/>
    <col customWidth="1" min="28" max="28" width="24.25"/>
    <col customWidth="1" min="29" max="29" width="25.0"/>
    <col customWidth="1" min="30" max="30" width="26.63"/>
    <col customWidth="1" min="31" max="31" width="30.88"/>
    <col customWidth="1" min="32" max="32" width="28.5"/>
    <col customWidth="1" min="33" max="33" width="29.88"/>
    <col customWidth="1" min="34" max="34" width="33.25"/>
    <col customWidth="1" min="35" max="35" width="31.5"/>
    <col customWidth="1" min="36" max="36" width="25.5"/>
    <col customWidth="1" min="37" max="37" width="33.38"/>
    <col customWidth="1" min="38" max="38" width="19.88"/>
    <col customWidth="1" min="39" max="39" width="24.13"/>
    <col customWidth="1" min="40" max="40" width="31.38"/>
    <col customWidth="1" min="41" max="41" width="29.0"/>
    <col customWidth="1" min="42" max="42" width="27.63"/>
    <col customWidth="1" min="43" max="43" width="30.38"/>
    <col customWidth="1" min="44" max="44" width="33.75"/>
    <col customWidth="1" min="45" max="45" width="32.0"/>
    <col customWidth="1" min="46" max="46" width="26.0"/>
    <col customWidth="1" min="47" max="47" width="30.63"/>
    <col customWidth="1" min="48" max="48" width="21.13"/>
    <col customWidth="1" min="49" max="50" width="28.25"/>
    <col customWidth="1" min="51" max="51" width="28.13"/>
    <col customWidth="1" min="52" max="52" width="32.25"/>
    <col customWidth="1" min="53" max="53" width="32.13"/>
    <col customWidth="1" min="54" max="54" width="31.25"/>
    <col customWidth="1" min="55" max="55" width="17.75"/>
    <col customWidth="1" min="56" max="56" width="16.0"/>
    <col customWidth="1" min="57" max="57" width="23.63"/>
    <col customWidth="1" min="58" max="58" width="26.63"/>
    <col customWidth="1" min="59" max="59" width="18.38"/>
    <col customWidth="1" min="60" max="60" width="22.75"/>
    <col customWidth="1" min="61" max="61" width="25.63"/>
    <col customWidth="1" min="62" max="62" width="28.13"/>
    <col customWidth="1" min="63" max="63" width="25.88"/>
    <col customWidth="1" min="64" max="64" width="21.63"/>
    <col customWidth="1" min="65" max="65" width="24.88"/>
    <col customWidth="1" min="66" max="66" width="19.88"/>
    <col customWidth="1" min="67" max="67" width="20.75"/>
    <col customWidth="1" min="68" max="68" width="20.0"/>
    <col customWidth="1" min="69" max="69" width="23.25"/>
    <col customWidth="1" min="70" max="70" width="19.13"/>
    <col customWidth="1" min="71" max="71" width="18.13"/>
    <col customWidth="1" min="72" max="72" width="27.88"/>
    <col customWidth="1" min="73" max="73" width="17.63"/>
    <col customWidth="1" min="74" max="75" width="18.38"/>
    <col customWidth="1" min="76" max="76" width="26.25"/>
    <col customWidth="1" min="77" max="77" width="23.25"/>
    <col customWidth="1" min="78" max="78" width="28.13"/>
    <col customWidth="1" min="79" max="79" width="25.88"/>
    <col customWidth="1" min="80" max="80" width="20.75"/>
    <col customWidth="1" min="81" max="81" width="21.5"/>
    <col customWidth="1" min="82" max="82" width="22.63"/>
    <col customWidth="1" min="83" max="83" width="29.88"/>
    <col customWidth="1" min="84" max="84" width="33.25"/>
    <col customWidth="1" min="85" max="85" width="27.63"/>
    <col customWidth="1" min="86" max="86" width="20.0"/>
    <col customWidth="1" min="87" max="87" width="22.0"/>
    <col customWidth="1" min="88" max="88" width="24.38"/>
    <col customWidth="1" min="89" max="89" width="22.5"/>
    <col customWidth="1" min="90" max="90" width="7.88"/>
    <col customWidth="1" min="91" max="91" width="17.75"/>
    <col customWidth="1" min="92" max="92" width="19.25"/>
    <col customWidth="1" min="93" max="93" width="18.5"/>
    <col customWidth="1" min="94" max="94" width="16.63"/>
    <col customWidth="1" min="95" max="95" width="17.63"/>
    <col customWidth="1" min="96" max="96" width="25.25"/>
    <col customWidth="1" min="97" max="97" width="20.25"/>
    <col customWidth="1" min="98" max="98" width="29.13"/>
    <col customWidth="1" min="99" max="99" width="17.88"/>
    <col customWidth="1" min="100" max="100" width="22.63"/>
    <col customWidth="1" min="101" max="101" width="29.88"/>
    <col customWidth="1" min="102" max="102" width="21.63"/>
    <col customWidth="1" min="103" max="103" width="26.63"/>
    <col customWidth="1" min="104" max="104" width="16.13"/>
    <col customWidth="1" min="105" max="105" width="16.75"/>
    <col customWidth="1" min="106" max="106" width="20.88"/>
    <col customWidth="1" min="107" max="107" width="25.75"/>
    <col customWidth="1" min="108" max="108" width="16.88"/>
    <col customWidth="1" min="109" max="109" width="24.75"/>
    <col customWidth="1" min="110" max="110" width="22.0"/>
    <col customWidth="1" min="111" max="111" width="23.38"/>
    <col customWidth="1" min="112" max="112" width="20.5"/>
    <col customWidth="1" min="113" max="113" width="17.38"/>
    <col customWidth="1" min="114" max="114" width="17.5"/>
    <col customWidth="1" min="115" max="115" width="17.88"/>
    <col customWidth="1" min="116" max="116" width="30.38"/>
    <col customWidth="1" min="117" max="117" width="20.25"/>
    <col customWidth="1" min="118" max="118" width="17.0"/>
    <col customWidth="1" min="119" max="119" width="17.38"/>
    <col customWidth="1" min="120" max="120" width="14.75"/>
    <col customWidth="1" min="121" max="121" width="14.38"/>
    <col customWidth="1" min="122" max="122" width="15.63"/>
    <col customWidth="1" min="123" max="123" width="14.25"/>
    <col customWidth="1" min="124" max="124" width="16.38"/>
    <col customWidth="1" min="125" max="125" width="27.63"/>
    <col customWidth="1" min="126" max="126" width="25.75"/>
    <col customWidth="1" min="127" max="127" width="23.13"/>
    <col customWidth="1" min="128" max="128" width="21.88"/>
    <col customWidth="1" min="129" max="129" width="22.25"/>
    <col customWidth="1" min="130" max="130" width="21.63"/>
    <col customWidth="1" min="131" max="131" width="26.75"/>
    <col customWidth="1" min="132" max="132" width="24.25"/>
    <col customWidth="1" min="133" max="133" width="26.38"/>
    <col customWidth="1" min="134" max="134" width="16.88"/>
    <col customWidth="1" min="135" max="135" width="24.38"/>
    <col customWidth="1" min="136" max="136" width="24.75"/>
    <col customWidth="1" min="137" max="137" width="28.0"/>
    <col customWidth="1" min="138" max="138" width="24.0"/>
    <col customWidth="1" min="139" max="139" width="27.75"/>
    <col customWidth="1" min="140" max="140" width="19.5"/>
    <col customWidth="1" min="141" max="141" width="34.63"/>
    <col customWidth="1" min="142" max="142" width="33.0"/>
    <col customWidth="1" min="143" max="143" width="33.5"/>
    <col customWidth="1" min="144" max="144" width="33.38"/>
    <col customWidth="1" min="145" max="145" width="26.38"/>
    <col customWidth="1" min="146" max="146" width="22.88"/>
    <col customWidth="1" min="147" max="147" width="23.63"/>
    <col customWidth="1" min="148" max="148" width="23.13"/>
    <col customWidth="1" min="149" max="149" width="21.38"/>
    <col customWidth="1" min="150" max="150" width="26.63"/>
    <col customWidth="1" min="151" max="151" width="26.75"/>
    <col customWidth="1" min="152" max="152" width="24.75"/>
    <col customWidth="1" min="153" max="153" width="24.88"/>
    <col customWidth="1" min="154" max="154" width="21.5"/>
    <col customWidth="1" min="155" max="155" width="20.0"/>
    <col customWidth="1" min="156" max="156" width="29.0"/>
    <col customWidth="1" min="157" max="157" width="25.25"/>
    <col customWidth="1" min="158" max="158" width="24.13"/>
    <col customWidth="1" min="159" max="159" width="25.88"/>
    <col customWidth="1" min="160" max="160" width="25.63"/>
    <col customWidth="1" min="161" max="161" width="22.88"/>
    <col customWidth="1" min="162" max="162" width="26.75"/>
    <col customWidth="1" min="163" max="163" width="24.75"/>
    <col customWidth="1" min="164" max="164" width="26.5"/>
    <col customWidth="1" min="165" max="165" width="34.38"/>
    <col customWidth="1" min="166" max="166" width="28.88"/>
    <col customWidth="1" min="167" max="167" width="27.38"/>
    <col customWidth="1" min="168" max="168" width="22.25"/>
    <col customWidth="1" min="169" max="169" width="24.5"/>
    <col customWidth="1" min="170" max="170" width="29.88"/>
    <col customWidth="1" min="171" max="171" width="25.5"/>
    <col customWidth="1" min="172" max="172" width="25.75"/>
    <col customWidth="1" min="173" max="173" width="26.38"/>
    <col customWidth="1" min="174" max="174" width="27.63"/>
    <col customWidth="1" min="175" max="175" width="22.5"/>
    <col customWidth="1" min="176" max="176" width="21.75"/>
    <col customWidth="1" min="177" max="177" width="24.88"/>
    <col customWidth="1" min="178" max="178" width="23.5"/>
    <col customWidth="1" min="179" max="179" width="23.13"/>
    <col customWidth="1" min="180" max="180" width="22.5"/>
    <col customWidth="1" min="181" max="181" width="31.88"/>
    <col customWidth="1" min="182" max="182" width="28.88"/>
    <col customWidth="1" min="183" max="183" width="16.75"/>
    <col customWidth="1" min="184" max="184" width="22.13"/>
    <col customWidth="1" min="185" max="185" width="12.25"/>
    <col customWidth="1" min="186" max="186" width="19.25"/>
    <col customWidth="1" min="187" max="187" width="20.5"/>
    <col customWidth="1" min="188" max="188" width="19.63"/>
    <col customWidth="1" min="189" max="189" width="21.13"/>
    <col customWidth="1" min="190" max="190" width="19.13"/>
    <col customWidth="1" min="191" max="191" width="20.38"/>
    <col customWidth="1" min="192" max="192" width="22.75"/>
    <col customWidth="1" min="193" max="193" width="20.63"/>
    <col customWidth="1" min="194" max="194" width="21.88"/>
    <col customWidth="1" min="195" max="195" width="16.13"/>
    <col customWidth="1" min="196" max="196" width="24.0"/>
    <col customWidth="1" min="197" max="197" width="26.0"/>
    <col customWidth="1" min="198" max="198" width="23.25"/>
    <col customWidth="1" min="199" max="199" width="18.0"/>
    <col customWidth="1" min="200" max="200" width="19.38"/>
    <col customWidth="1" min="201" max="201" width="15.88"/>
    <col customWidth="1" min="202" max="202" width="17.75"/>
    <col customWidth="1" min="203" max="223" width="14.38"/>
  </cols>
  <sheetData>
    <row r="1" ht="119.25" customHeight="1">
      <c r="A1" s="13" t="s">
        <v>0</v>
      </c>
      <c r="B1" s="14" t="s">
        <v>9976</v>
      </c>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row>
    <row r="2" ht="41.25" customHeight="1">
      <c r="A2" s="13" t="s">
        <v>1</v>
      </c>
      <c r="B2" s="14" t="s">
        <v>9977</v>
      </c>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row>
    <row r="3" ht="119.25" customHeight="1">
      <c r="A3" s="13" t="s">
        <v>2</v>
      </c>
      <c r="B3" s="14" t="s">
        <v>9978</v>
      </c>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c r="IW3" s="15"/>
      <c r="IX3" s="15"/>
      <c r="IY3" s="15"/>
      <c r="IZ3" s="15"/>
      <c r="JA3" s="15"/>
      <c r="JB3" s="15"/>
      <c r="JC3" s="15"/>
      <c r="JD3" s="15"/>
      <c r="JE3" s="15"/>
      <c r="JF3" s="15"/>
      <c r="JG3" s="15"/>
      <c r="JH3" s="15"/>
      <c r="JI3" s="15"/>
      <c r="JJ3" s="15"/>
      <c r="JK3" s="15"/>
      <c r="JL3" s="15"/>
      <c r="JM3" s="15"/>
      <c r="JN3" s="15"/>
      <c r="JO3" s="15"/>
      <c r="JP3" s="15"/>
      <c r="JQ3" s="15"/>
      <c r="JR3" s="15"/>
      <c r="JS3" s="15"/>
      <c r="JT3" s="15"/>
      <c r="JU3" s="15"/>
      <c r="JV3" s="15"/>
      <c r="JW3" s="15"/>
      <c r="JX3" s="15"/>
      <c r="JY3" s="15"/>
      <c r="JZ3" s="15"/>
      <c r="KA3" s="15"/>
      <c r="KB3" s="15"/>
      <c r="KC3" s="15"/>
      <c r="KD3" s="15"/>
      <c r="KE3" s="15"/>
      <c r="KF3" s="15"/>
      <c r="KG3" s="15"/>
      <c r="KH3" s="15"/>
      <c r="KI3" s="15"/>
      <c r="KJ3" s="15"/>
      <c r="KK3" s="15"/>
      <c r="KL3" s="15"/>
      <c r="KM3" s="15"/>
      <c r="KN3" s="15"/>
      <c r="KO3" s="15"/>
      <c r="KP3" s="15"/>
      <c r="KQ3" s="15"/>
      <c r="KR3" s="15"/>
      <c r="KS3" s="15"/>
      <c r="KT3" s="15"/>
      <c r="KU3" s="15"/>
      <c r="KV3" s="15"/>
      <c r="KW3" s="15"/>
      <c r="KX3" s="15"/>
      <c r="KY3" s="15"/>
      <c r="KZ3" s="15"/>
      <c r="LA3" s="15"/>
      <c r="LB3" s="15"/>
      <c r="LC3" s="15"/>
      <c r="LD3" s="15"/>
      <c r="LE3" s="15"/>
      <c r="LF3" s="15"/>
      <c r="LG3" s="15"/>
      <c r="LH3" s="15"/>
      <c r="LI3" s="15"/>
      <c r="LJ3" s="15"/>
      <c r="LK3" s="15"/>
      <c r="LL3" s="15"/>
      <c r="LM3" s="15"/>
      <c r="LN3" s="15"/>
      <c r="LO3" s="15"/>
      <c r="LP3" s="15"/>
      <c r="LQ3" s="15"/>
      <c r="LR3" s="15"/>
      <c r="LS3" s="15"/>
      <c r="LT3" s="15"/>
      <c r="LU3" s="15"/>
      <c r="LV3" s="15"/>
      <c r="LW3" s="15"/>
      <c r="LX3" s="15"/>
      <c r="LY3" s="15"/>
      <c r="LZ3" s="15"/>
      <c r="MA3" s="15"/>
      <c r="MB3" s="15"/>
      <c r="MC3" s="15"/>
      <c r="MD3" s="15"/>
      <c r="ME3" s="15"/>
      <c r="MF3" s="15"/>
      <c r="MG3" s="15"/>
      <c r="MH3" s="15"/>
      <c r="MI3" s="15"/>
      <c r="MJ3" s="15"/>
      <c r="MK3" s="15"/>
      <c r="ML3" s="15"/>
      <c r="MM3" s="15"/>
      <c r="MN3" s="15"/>
      <c r="MO3" s="15"/>
      <c r="MP3" s="15"/>
      <c r="MQ3" s="15"/>
      <c r="MR3" s="15"/>
      <c r="MS3" s="15"/>
      <c r="MT3" s="15"/>
      <c r="MU3" s="15"/>
      <c r="MV3" s="15"/>
      <c r="MW3" s="15"/>
    </row>
    <row r="4" ht="41.25" customHeight="1">
      <c r="A4" s="13" t="s">
        <v>9979</v>
      </c>
      <c r="B4" s="14" t="s">
        <v>9980</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row>
    <row r="5" ht="119.25" customHeight="1">
      <c r="A5" s="13" t="s">
        <v>4</v>
      </c>
      <c r="B5" s="14" t="s">
        <v>9981</v>
      </c>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row>
    <row r="6" ht="41.25" customHeight="1">
      <c r="A6" s="13" t="s">
        <v>5</v>
      </c>
      <c r="B6" s="14" t="s">
        <v>9982</v>
      </c>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5"/>
      <c r="JD6" s="15"/>
      <c r="JE6" s="15"/>
      <c r="JF6" s="15"/>
      <c r="JG6" s="15"/>
      <c r="JH6" s="15"/>
      <c r="JI6" s="15"/>
      <c r="JJ6" s="15"/>
      <c r="JK6" s="15"/>
      <c r="JL6" s="15"/>
      <c r="JM6" s="15"/>
      <c r="JN6" s="15"/>
      <c r="JO6" s="15"/>
      <c r="JP6" s="15"/>
      <c r="JQ6" s="15"/>
      <c r="JR6" s="15"/>
      <c r="JS6" s="15"/>
      <c r="JT6" s="15"/>
      <c r="JU6" s="15"/>
      <c r="JV6" s="15"/>
      <c r="JW6" s="15"/>
      <c r="JX6" s="15"/>
      <c r="JY6" s="15"/>
      <c r="JZ6" s="15"/>
      <c r="KA6" s="15"/>
      <c r="KB6" s="15"/>
      <c r="KC6" s="15"/>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G6" s="15"/>
      <c r="MH6" s="15"/>
      <c r="MI6" s="15"/>
      <c r="MJ6" s="15"/>
      <c r="MK6" s="15"/>
      <c r="ML6" s="15"/>
      <c r="MM6" s="15"/>
      <c r="MN6" s="15"/>
      <c r="MO6" s="15"/>
      <c r="MP6" s="15"/>
      <c r="MQ6" s="15"/>
      <c r="MR6" s="15"/>
      <c r="MS6" s="15"/>
      <c r="MT6" s="15"/>
      <c r="MU6" s="15"/>
      <c r="MV6" s="15"/>
      <c r="MW6" s="15"/>
    </row>
    <row r="7" ht="119.25" customHeight="1">
      <c r="A7" s="13" t="s">
        <v>6</v>
      </c>
      <c r="B7" s="14" t="s">
        <v>9983</v>
      </c>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row>
    <row r="8" ht="41.25" customHeight="1">
      <c r="A8" s="13" t="s">
        <v>7</v>
      </c>
      <c r="B8" s="14" t="s">
        <v>9984</v>
      </c>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row>
    <row r="9" ht="119.25" customHeight="1">
      <c r="A9" s="13" t="s">
        <v>8</v>
      </c>
      <c r="B9" s="14" t="s">
        <v>9985</v>
      </c>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row>
    <row r="10" ht="41.25" customHeight="1">
      <c r="A10" s="13" t="s">
        <v>9</v>
      </c>
      <c r="B10" s="14" t="s">
        <v>9986</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row>
    <row r="11" ht="119.25" customHeight="1">
      <c r="A11" s="13" t="s">
        <v>10</v>
      </c>
      <c r="B11" s="14" t="s">
        <v>9987</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row>
    <row r="12" ht="41.25" customHeight="1">
      <c r="A12" s="13" t="s">
        <v>11</v>
      </c>
      <c r="B12" s="14" t="s">
        <v>9988</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row>
    <row r="13" ht="119.25" customHeight="1">
      <c r="A13" s="13" t="s">
        <v>12</v>
      </c>
      <c r="B13" s="14" t="s">
        <v>9989</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row>
    <row r="14" ht="41.25" customHeight="1">
      <c r="A14" s="13" t="s">
        <v>13</v>
      </c>
      <c r="B14" s="14" t="s">
        <v>9990</v>
      </c>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row>
    <row r="15" ht="119.25" customHeight="1">
      <c r="A15" s="13" t="s">
        <v>14</v>
      </c>
      <c r="B15" s="14" t="s">
        <v>9991</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row>
    <row r="16" ht="41.25" customHeight="1">
      <c r="A16" s="13" t="s">
        <v>15</v>
      </c>
      <c r="B16" s="14" t="s">
        <v>9992</v>
      </c>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row>
    <row r="17" ht="119.25" customHeight="1">
      <c r="A17" s="13" t="s">
        <v>16</v>
      </c>
      <c r="B17" s="14" t="s">
        <v>9993</v>
      </c>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row>
    <row r="18" ht="41.25" customHeight="1">
      <c r="A18" s="13" t="s">
        <v>17</v>
      </c>
      <c r="B18" s="14" t="s">
        <v>9994</v>
      </c>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row>
    <row r="19" ht="119.25" customHeight="1">
      <c r="A19" s="13" t="s">
        <v>18</v>
      </c>
      <c r="B19" s="14" t="s">
        <v>9995</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row>
    <row r="20" ht="41.25" customHeight="1">
      <c r="A20" s="13" t="s">
        <v>19</v>
      </c>
      <c r="B20" s="14" t="s">
        <v>9996</v>
      </c>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row>
    <row r="21" ht="119.25" customHeight="1">
      <c r="A21" s="13" t="s">
        <v>20</v>
      </c>
      <c r="B21" s="14" t="s">
        <v>9997</v>
      </c>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row>
    <row r="22" ht="41.25" customHeight="1">
      <c r="A22" s="13" t="s">
        <v>21</v>
      </c>
      <c r="B22" s="14" t="s">
        <v>9998</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row>
    <row r="23" ht="119.25" customHeight="1">
      <c r="A23" s="13" t="s">
        <v>22</v>
      </c>
      <c r="B23" s="14" t="s">
        <v>9999</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row>
    <row r="24" ht="41.25" customHeight="1">
      <c r="A24" s="13" t="s">
        <v>23</v>
      </c>
      <c r="B24" s="14" t="s">
        <v>10000</v>
      </c>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row>
    <row r="25" ht="119.25" customHeight="1">
      <c r="A25" s="13" t="s">
        <v>10001</v>
      </c>
      <c r="B25" s="14" t="s">
        <v>10002</v>
      </c>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row>
    <row r="26" ht="41.25" customHeight="1">
      <c r="A26" s="13" t="s">
        <v>10003</v>
      </c>
      <c r="B26" s="14" t="s">
        <v>10004</v>
      </c>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row>
    <row r="27" ht="119.25" customHeight="1">
      <c r="A27" s="13" t="s">
        <v>10005</v>
      </c>
      <c r="B27" s="14" t="s">
        <v>10006</v>
      </c>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row>
    <row r="28" ht="41.25" customHeight="1">
      <c r="A28" s="13" t="s">
        <v>10007</v>
      </c>
      <c r="B28" s="14" t="s">
        <v>10008</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5"/>
      <c r="IY28" s="15"/>
      <c r="IZ28" s="15"/>
      <c r="JA28" s="15"/>
      <c r="JB28" s="15"/>
      <c r="JC28" s="15"/>
      <c r="JD28" s="15"/>
      <c r="JE28" s="15"/>
      <c r="JF28" s="15"/>
      <c r="JG28" s="15"/>
      <c r="JH28" s="15"/>
      <c r="JI28" s="15"/>
      <c r="JJ28" s="15"/>
      <c r="JK28" s="15"/>
      <c r="JL28" s="15"/>
      <c r="JM28" s="15"/>
      <c r="JN28" s="15"/>
      <c r="JO28" s="15"/>
      <c r="JP28" s="15"/>
      <c r="JQ28" s="15"/>
      <c r="JR28" s="15"/>
      <c r="JS28" s="15"/>
      <c r="JT28" s="15"/>
      <c r="JU28" s="15"/>
      <c r="JV28" s="15"/>
      <c r="JW28" s="15"/>
      <c r="JX28" s="15"/>
      <c r="JY28" s="15"/>
      <c r="JZ28" s="15"/>
      <c r="KA28" s="15"/>
      <c r="KB28" s="15"/>
      <c r="KC28" s="15"/>
      <c r="KD28" s="15"/>
      <c r="KE28" s="15"/>
      <c r="KF28" s="15"/>
      <c r="KG28" s="15"/>
      <c r="KH28" s="15"/>
      <c r="KI28" s="15"/>
      <c r="KJ28" s="15"/>
      <c r="KK28" s="15"/>
      <c r="KL28" s="15"/>
      <c r="KM28" s="15"/>
      <c r="KN28" s="15"/>
      <c r="KO28" s="15"/>
      <c r="KP28" s="15"/>
      <c r="KQ28" s="15"/>
      <c r="KR28" s="15"/>
      <c r="KS28" s="15"/>
      <c r="KT28" s="15"/>
      <c r="KU28" s="15"/>
      <c r="KV28" s="15"/>
      <c r="KW28" s="15"/>
      <c r="KX28" s="15"/>
      <c r="KY28" s="15"/>
      <c r="KZ28" s="15"/>
      <c r="LA28" s="15"/>
      <c r="LB28" s="15"/>
      <c r="LC28" s="15"/>
      <c r="LD28" s="15"/>
      <c r="LE28" s="15"/>
      <c r="LF28" s="15"/>
      <c r="LG28" s="15"/>
      <c r="LH28" s="15"/>
      <c r="LI28" s="15"/>
      <c r="LJ28" s="15"/>
      <c r="LK28" s="15"/>
      <c r="LL28" s="15"/>
      <c r="LM28" s="15"/>
      <c r="LN28" s="15"/>
      <c r="LO28" s="15"/>
      <c r="LP28" s="15"/>
      <c r="LQ28" s="15"/>
      <c r="LR28" s="15"/>
      <c r="LS28" s="15"/>
      <c r="LT28" s="15"/>
      <c r="LU28" s="15"/>
      <c r="LV28" s="15"/>
      <c r="LW28" s="15"/>
      <c r="LX28" s="15"/>
      <c r="LY28" s="15"/>
      <c r="LZ28" s="15"/>
      <c r="MA28" s="15"/>
      <c r="MB28" s="15"/>
      <c r="MC28" s="15"/>
      <c r="MD28" s="15"/>
      <c r="ME28" s="15"/>
      <c r="MF28" s="15"/>
      <c r="MG28" s="15"/>
      <c r="MH28" s="15"/>
      <c r="MI28" s="15"/>
      <c r="MJ28" s="15"/>
      <c r="MK28" s="15"/>
      <c r="ML28" s="15"/>
      <c r="MM28" s="15"/>
      <c r="MN28" s="15"/>
      <c r="MO28" s="15"/>
      <c r="MP28" s="15"/>
      <c r="MQ28" s="15"/>
      <c r="MR28" s="15"/>
      <c r="MS28" s="15"/>
      <c r="MT28" s="15"/>
      <c r="MU28" s="15"/>
      <c r="MV28" s="15"/>
      <c r="MW28" s="15"/>
    </row>
    <row r="29" ht="119.25" customHeight="1">
      <c r="A29" s="13" t="s">
        <v>10009</v>
      </c>
      <c r="B29" s="14" t="s">
        <v>10010</v>
      </c>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s="15"/>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c r="IX29" s="15"/>
      <c r="IY29" s="15"/>
      <c r="IZ29" s="15"/>
      <c r="JA29" s="15"/>
      <c r="JB29" s="15"/>
      <c r="JC29" s="15"/>
      <c r="JD29" s="15"/>
      <c r="JE29" s="15"/>
      <c r="JF29" s="15"/>
      <c r="JG29" s="15"/>
      <c r="JH29" s="15"/>
      <c r="JI29" s="15"/>
      <c r="JJ29" s="15"/>
      <c r="JK29" s="15"/>
      <c r="JL29" s="15"/>
      <c r="JM29" s="15"/>
      <c r="JN29" s="15"/>
      <c r="JO29" s="15"/>
      <c r="JP29" s="15"/>
      <c r="JQ29" s="15"/>
      <c r="JR29" s="15"/>
      <c r="JS29" s="15"/>
      <c r="JT29" s="15"/>
      <c r="JU29" s="15"/>
      <c r="JV29" s="15"/>
      <c r="JW29" s="15"/>
      <c r="JX29" s="15"/>
      <c r="JY29" s="15"/>
      <c r="JZ29" s="15"/>
      <c r="KA29" s="15"/>
      <c r="KB29" s="15"/>
      <c r="KC29" s="15"/>
      <c r="KD29" s="15"/>
      <c r="KE29" s="15"/>
      <c r="KF29" s="15"/>
      <c r="KG29" s="15"/>
      <c r="KH29" s="15"/>
      <c r="KI29" s="15"/>
      <c r="KJ29" s="15"/>
      <c r="KK29" s="15"/>
      <c r="KL29" s="15"/>
      <c r="KM29" s="15"/>
      <c r="KN29" s="15"/>
      <c r="KO29" s="15"/>
      <c r="KP29" s="15"/>
      <c r="KQ29" s="15"/>
      <c r="KR29" s="15"/>
      <c r="KS29" s="15"/>
      <c r="KT29" s="15"/>
      <c r="KU29" s="15"/>
      <c r="KV29" s="15"/>
      <c r="KW29" s="15"/>
      <c r="KX29" s="15"/>
      <c r="KY29" s="15"/>
      <c r="KZ29" s="15"/>
      <c r="LA29" s="15"/>
      <c r="LB29" s="15"/>
      <c r="LC29" s="15"/>
      <c r="LD29" s="15"/>
      <c r="LE29" s="15"/>
      <c r="LF29" s="15"/>
      <c r="LG29" s="15"/>
      <c r="LH29" s="15"/>
      <c r="LI29" s="15"/>
      <c r="LJ29" s="15"/>
      <c r="LK29" s="15"/>
      <c r="LL29" s="15"/>
      <c r="LM29" s="15"/>
      <c r="LN29" s="15"/>
      <c r="LO29" s="15"/>
      <c r="LP29" s="15"/>
      <c r="LQ29" s="15"/>
      <c r="LR29" s="15"/>
      <c r="LS29" s="15"/>
      <c r="LT29" s="15"/>
      <c r="LU29" s="15"/>
      <c r="LV29" s="15"/>
      <c r="LW29" s="15"/>
      <c r="LX29" s="15"/>
      <c r="LY29" s="15"/>
      <c r="LZ29" s="15"/>
      <c r="MA29" s="15"/>
      <c r="MB29" s="15"/>
      <c r="MC29" s="15"/>
      <c r="MD29" s="15"/>
      <c r="ME29" s="15"/>
      <c r="MF29" s="15"/>
      <c r="MG29" s="15"/>
      <c r="MH29" s="15"/>
      <c r="MI29" s="15"/>
      <c r="MJ29" s="15"/>
      <c r="MK29" s="15"/>
      <c r="ML29" s="15"/>
      <c r="MM29" s="15"/>
      <c r="MN29" s="15"/>
      <c r="MO29" s="15"/>
      <c r="MP29" s="15"/>
      <c r="MQ29" s="15"/>
      <c r="MR29" s="15"/>
      <c r="MS29" s="15"/>
      <c r="MT29" s="15"/>
      <c r="MU29" s="15"/>
      <c r="MV29" s="15"/>
      <c r="MW29" s="15"/>
    </row>
    <row r="30" ht="41.25" customHeight="1">
      <c r="A30" s="13" t="s">
        <v>10011</v>
      </c>
      <c r="B30" s="14" t="s">
        <v>10012</v>
      </c>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s="15"/>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c r="IX30" s="15"/>
      <c r="IY30" s="15"/>
      <c r="IZ30" s="15"/>
      <c r="JA30" s="15"/>
      <c r="JB30" s="15"/>
      <c r="JC30" s="15"/>
      <c r="JD30" s="15"/>
      <c r="JE30" s="15"/>
      <c r="JF30" s="15"/>
      <c r="JG30" s="15"/>
      <c r="JH30" s="15"/>
      <c r="JI30" s="15"/>
      <c r="JJ30" s="15"/>
      <c r="JK30" s="15"/>
      <c r="JL30" s="15"/>
      <c r="JM30" s="15"/>
      <c r="JN30" s="15"/>
      <c r="JO30" s="15"/>
      <c r="JP30" s="15"/>
      <c r="JQ30" s="15"/>
      <c r="JR30" s="15"/>
      <c r="JS30" s="15"/>
      <c r="JT30" s="15"/>
      <c r="JU30" s="15"/>
      <c r="JV30" s="15"/>
      <c r="JW30" s="15"/>
      <c r="JX30" s="15"/>
      <c r="JY30" s="15"/>
      <c r="JZ30" s="15"/>
      <c r="KA30" s="15"/>
      <c r="KB30" s="15"/>
      <c r="KC30" s="15"/>
      <c r="KD30" s="15"/>
      <c r="KE30" s="15"/>
      <c r="KF30" s="15"/>
      <c r="KG30" s="15"/>
      <c r="KH30" s="15"/>
      <c r="KI30" s="15"/>
      <c r="KJ30" s="15"/>
      <c r="KK30" s="15"/>
      <c r="KL30" s="15"/>
      <c r="KM30" s="15"/>
      <c r="KN30" s="15"/>
      <c r="KO30" s="15"/>
      <c r="KP30" s="15"/>
      <c r="KQ30" s="15"/>
      <c r="KR30" s="15"/>
      <c r="KS30" s="15"/>
      <c r="KT30" s="15"/>
      <c r="KU30" s="15"/>
      <c r="KV30" s="15"/>
      <c r="KW30" s="15"/>
      <c r="KX30" s="15"/>
      <c r="KY30" s="15"/>
      <c r="KZ30" s="15"/>
      <c r="LA30" s="15"/>
      <c r="LB30" s="15"/>
      <c r="LC30" s="15"/>
      <c r="LD30" s="15"/>
      <c r="LE30" s="15"/>
      <c r="LF30" s="15"/>
      <c r="LG30" s="15"/>
      <c r="LH30" s="15"/>
      <c r="LI30" s="15"/>
      <c r="LJ30" s="15"/>
      <c r="LK30" s="15"/>
      <c r="LL30" s="15"/>
      <c r="LM30" s="15"/>
      <c r="LN30" s="15"/>
      <c r="LO30" s="15"/>
      <c r="LP30" s="15"/>
      <c r="LQ30" s="15"/>
      <c r="LR30" s="15"/>
      <c r="LS30" s="15"/>
      <c r="LT30" s="15"/>
      <c r="LU30" s="15"/>
      <c r="LV30" s="15"/>
      <c r="LW30" s="15"/>
      <c r="LX30" s="15"/>
      <c r="LY30" s="15"/>
      <c r="LZ30" s="15"/>
      <c r="MA30" s="15"/>
      <c r="MB30" s="15"/>
      <c r="MC30" s="15"/>
      <c r="MD30" s="15"/>
      <c r="ME30" s="15"/>
      <c r="MF30" s="15"/>
      <c r="MG30" s="15"/>
      <c r="MH30" s="15"/>
      <c r="MI30" s="15"/>
      <c r="MJ30" s="15"/>
      <c r="MK30" s="15"/>
      <c r="ML30" s="15"/>
      <c r="MM30" s="15"/>
      <c r="MN30" s="15"/>
      <c r="MO30" s="15"/>
      <c r="MP30" s="15"/>
      <c r="MQ30" s="15"/>
      <c r="MR30" s="15"/>
      <c r="MS30" s="15"/>
      <c r="MT30" s="15"/>
      <c r="MU30" s="15"/>
      <c r="MV30" s="15"/>
      <c r="MW30" s="15"/>
    </row>
    <row r="31" ht="119.25" customHeight="1">
      <c r="A31" s="13" t="s">
        <v>10013</v>
      </c>
      <c r="B31" s="14" t="s">
        <v>10014</v>
      </c>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15"/>
      <c r="GI31" s="15"/>
      <c r="GJ31" s="15"/>
      <c r="GK31" s="15"/>
      <c r="GL31" s="15"/>
      <c r="GM31" s="15"/>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15"/>
      <c r="HQ31" s="15"/>
      <c r="HR31" s="15"/>
      <c r="HS31" s="15"/>
      <c r="HT31" s="15"/>
      <c r="HU31" s="15"/>
      <c r="HV31" s="15"/>
      <c r="HW31" s="15"/>
      <c r="HX31" s="15"/>
      <c r="HY31" s="15"/>
      <c r="HZ31" s="15"/>
      <c r="IA31" s="15"/>
      <c r="IB31" s="15"/>
      <c r="IC31" s="15"/>
      <c r="ID31" s="15"/>
      <c r="IE31" s="15"/>
      <c r="IF31" s="15"/>
      <c r="IG31" s="15"/>
      <c r="IH31" s="15"/>
      <c r="II31" s="15"/>
      <c r="IJ31" s="15"/>
      <c r="IK31" s="15"/>
      <c r="IL31" s="15"/>
      <c r="IM31" s="15"/>
      <c r="IN31" s="15"/>
      <c r="IO31" s="15"/>
      <c r="IP31" s="15"/>
      <c r="IQ31" s="15"/>
      <c r="IR31" s="15"/>
      <c r="IS31" s="15"/>
      <c r="IT31" s="15"/>
      <c r="IU31" s="15"/>
      <c r="IV31" s="15"/>
      <c r="IW31" s="15"/>
      <c r="IX31" s="15"/>
      <c r="IY31" s="15"/>
      <c r="IZ31" s="15"/>
      <c r="JA31" s="15"/>
      <c r="JB31" s="15"/>
      <c r="JC31" s="15"/>
      <c r="JD31" s="15"/>
      <c r="JE31" s="15"/>
      <c r="JF31" s="15"/>
      <c r="JG31" s="15"/>
      <c r="JH31" s="15"/>
      <c r="JI31" s="15"/>
      <c r="JJ31" s="15"/>
      <c r="JK31" s="15"/>
      <c r="JL31" s="15"/>
      <c r="JM31" s="15"/>
      <c r="JN31" s="15"/>
      <c r="JO31" s="15"/>
      <c r="JP31" s="15"/>
      <c r="JQ31" s="15"/>
      <c r="JR31" s="15"/>
      <c r="JS31" s="15"/>
      <c r="JT31" s="15"/>
      <c r="JU31" s="15"/>
      <c r="JV31" s="15"/>
      <c r="JW31" s="15"/>
      <c r="JX31" s="15"/>
      <c r="JY31" s="15"/>
      <c r="JZ31" s="15"/>
      <c r="KA31" s="15"/>
      <c r="KB31" s="15"/>
      <c r="KC31" s="15"/>
      <c r="KD31" s="15"/>
      <c r="KE31" s="15"/>
      <c r="KF31" s="15"/>
      <c r="KG31" s="15"/>
      <c r="KH31" s="15"/>
      <c r="KI31" s="15"/>
      <c r="KJ31" s="15"/>
      <c r="KK31" s="15"/>
      <c r="KL31" s="15"/>
      <c r="KM31" s="15"/>
      <c r="KN31" s="15"/>
      <c r="KO31" s="15"/>
      <c r="KP31" s="15"/>
      <c r="KQ31" s="15"/>
      <c r="KR31" s="15"/>
      <c r="KS31" s="15"/>
      <c r="KT31" s="15"/>
      <c r="KU31" s="15"/>
      <c r="KV31" s="15"/>
      <c r="KW31" s="15"/>
      <c r="KX31" s="15"/>
      <c r="KY31" s="15"/>
      <c r="KZ31" s="15"/>
      <c r="LA31" s="15"/>
      <c r="LB31" s="15"/>
      <c r="LC31" s="15"/>
      <c r="LD31" s="15"/>
      <c r="LE31" s="15"/>
      <c r="LF31" s="15"/>
      <c r="LG31" s="15"/>
      <c r="LH31" s="15"/>
      <c r="LI31" s="15"/>
      <c r="LJ31" s="15"/>
      <c r="LK31" s="15"/>
      <c r="LL31" s="15"/>
      <c r="LM31" s="15"/>
      <c r="LN31" s="15"/>
      <c r="LO31" s="15"/>
      <c r="LP31" s="15"/>
      <c r="LQ31" s="15"/>
      <c r="LR31" s="15"/>
      <c r="LS31" s="15"/>
      <c r="LT31" s="15"/>
      <c r="LU31" s="15"/>
      <c r="LV31" s="15"/>
      <c r="LW31" s="15"/>
      <c r="LX31" s="15"/>
      <c r="LY31" s="15"/>
      <c r="LZ31" s="15"/>
      <c r="MA31" s="15"/>
      <c r="MB31" s="15"/>
      <c r="MC31" s="15"/>
      <c r="MD31" s="15"/>
      <c r="ME31" s="15"/>
      <c r="MF31" s="15"/>
      <c r="MG31" s="15"/>
      <c r="MH31" s="15"/>
      <c r="MI31" s="15"/>
      <c r="MJ31" s="15"/>
      <c r="MK31" s="15"/>
      <c r="ML31" s="15"/>
      <c r="MM31" s="15"/>
      <c r="MN31" s="15"/>
      <c r="MO31" s="15"/>
      <c r="MP31" s="15"/>
      <c r="MQ31" s="15"/>
      <c r="MR31" s="15"/>
      <c r="MS31" s="15"/>
      <c r="MT31" s="15"/>
      <c r="MU31" s="15"/>
      <c r="MV31" s="15"/>
      <c r="MW31" s="15"/>
    </row>
    <row r="32" ht="41.25" customHeight="1">
      <c r="A32" s="13" t="s">
        <v>10015</v>
      </c>
      <c r="B32" s="14" t="s">
        <v>10016</v>
      </c>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s="15"/>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G32" s="15"/>
      <c r="MH32" s="15"/>
      <c r="MI32" s="15"/>
      <c r="MJ32" s="15"/>
      <c r="MK32" s="15"/>
      <c r="ML32" s="15"/>
      <c r="MM32" s="15"/>
      <c r="MN32" s="15"/>
      <c r="MO32" s="15"/>
      <c r="MP32" s="15"/>
      <c r="MQ32" s="15"/>
      <c r="MR32" s="15"/>
      <c r="MS32" s="15"/>
      <c r="MT32" s="15"/>
      <c r="MU32" s="15"/>
      <c r="MV32" s="15"/>
      <c r="MW32" s="15"/>
    </row>
    <row r="33" ht="119.25" customHeight="1">
      <c r="A33" s="13" t="s">
        <v>10017</v>
      </c>
      <c r="B33" s="14" t="s">
        <v>10018</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c r="KL33" s="15"/>
      <c r="KM33" s="15"/>
      <c r="KN33" s="15"/>
      <c r="KO33" s="15"/>
      <c r="KP33" s="15"/>
      <c r="KQ33" s="15"/>
      <c r="KR33" s="15"/>
      <c r="KS33" s="15"/>
      <c r="KT33" s="15"/>
      <c r="KU33" s="15"/>
      <c r="KV33" s="15"/>
      <c r="KW33" s="15"/>
      <c r="KX33" s="15"/>
      <c r="KY33" s="15"/>
      <c r="KZ33" s="15"/>
      <c r="LA33" s="15"/>
      <c r="LB33" s="15"/>
      <c r="LC33" s="15"/>
      <c r="LD33" s="15"/>
      <c r="LE33" s="15"/>
      <c r="LF33" s="15"/>
      <c r="LG33" s="15"/>
      <c r="LH33" s="15"/>
      <c r="LI33" s="15"/>
      <c r="LJ33" s="15"/>
      <c r="LK33" s="15"/>
      <c r="LL33" s="15"/>
      <c r="LM33" s="15"/>
      <c r="LN33" s="15"/>
      <c r="LO33" s="15"/>
      <c r="LP33" s="15"/>
      <c r="LQ33" s="15"/>
      <c r="LR33" s="15"/>
      <c r="LS33" s="15"/>
      <c r="LT33" s="15"/>
      <c r="LU33" s="15"/>
      <c r="LV33" s="15"/>
      <c r="LW33" s="15"/>
      <c r="LX33" s="15"/>
      <c r="LY33" s="15"/>
      <c r="LZ33" s="15"/>
      <c r="MA33" s="15"/>
      <c r="MB33" s="15"/>
      <c r="MC33" s="15"/>
      <c r="MD33" s="15"/>
      <c r="ME33" s="15"/>
      <c r="MF33" s="15"/>
      <c r="MG33" s="15"/>
      <c r="MH33" s="15"/>
      <c r="MI33" s="15"/>
      <c r="MJ33" s="15"/>
      <c r="MK33" s="15"/>
      <c r="ML33" s="15"/>
      <c r="MM33" s="15"/>
      <c r="MN33" s="15"/>
      <c r="MO33" s="15"/>
      <c r="MP33" s="15"/>
      <c r="MQ33" s="15"/>
      <c r="MR33" s="15"/>
      <c r="MS33" s="15"/>
      <c r="MT33" s="15"/>
      <c r="MU33" s="15"/>
      <c r="MV33" s="15"/>
      <c r="MW33" s="15"/>
    </row>
    <row r="34" ht="41.25" customHeight="1">
      <c r="A34" s="13" t="s">
        <v>10019</v>
      </c>
      <c r="B34" s="14" t="s">
        <v>10020</v>
      </c>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Q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V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A34" s="15"/>
      <c r="MB34" s="15"/>
      <c r="MC34" s="15"/>
      <c r="MD34" s="15"/>
      <c r="ME34" s="15"/>
      <c r="MF34" s="15"/>
      <c r="MG34" s="15"/>
      <c r="MH34" s="15"/>
      <c r="MI34" s="15"/>
      <c r="MJ34" s="15"/>
      <c r="MK34" s="15"/>
      <c r="ML34" s="15"/>
      <c r="MM34" s="15"/>
      <c r="MN34" s="15"/>
      <c r="MO34" s="15"/>
      <c r="MP34" s="15"/>
      <c r="MQ34" s="15"/>
      <c r="MR34" s="15"/>
      <c r="MS34" s="15"/>
      <c r="MT34" s="15"/>
      <c r="MU34" s="15"/>
      <c r="MV34" s="15"/>
      <c r="MW34" s="15"/>
    </row>
    <row r="35" ht="119.25" customHeight="1">
      <c r="A35" s="13" t="s">
        <v>10021</v>
      </c>
      <c r="B35" s="14" t="s">
        <v>10022</v>
      </c>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15"/>
      <c r="HQ35" s="15"/>
      <c r="HR35" s="15"/>
      <c r="HS35" s="15"/>
      <c r="HT35" s="15"/>
      <c r="HU35" s="15"/>
      <c r="HV35" s="15"/>
      <c r="HW35" s="15"/>
      <c r="HX35" s="15"/>
      <c r="HY35" s="15"/>
      <c r="HZ35" s="15"/>
      <c r="IA35" s="15"/>
      <c r="IB35" s="15"/>
      <c r="IC35" s="15"/>
      <c r="ID35" s="15"/>
      <c r="IE35" s="15"/>
      <c r="IF35" s="15"/>
      <c r="IG35" s="15"/>
      <c r="IH35" s="15"/>
      <c r="II35" s="15"/>
      <c r="IJ35" s="15"/>
      <c r="IK35" s="15"/>
      <c r="IL35" s="15"/>
      <c r="IM35" s="15"/>
      <c r="IN35" s="15"/>
      <c r="IO35" s="15"/>
      <c r="IP35" s="15"/>
      <c r="IQ35" s="15"/>
      <c r="IR35" s="15"/>
      <c r="IS35" s="15"/>
      <c r="IT35" s="15"/>
      <c r="IU35" s="15"/>
      <c r="IV35" s="15"/>
      <c r="IW35" s="15"/>
      <c r="IX35" s="15"/>
      <c r="IY35" s="15"/>
      <c r="IZ35" s="15"/>
      <c r="JA35" s="15"/>
      <c r="JB35" s="15"/>
      <c r="JC35" s="15"/>
      <c r="JD35" s="15"/>
      <c r="JE35" s="15"/>
      <c r="JF35" s="15"/>
      <c r="JG35" s="15"/>
      <c r="JH35" s="15"/>
      <c r="JI35" s="15"/>
      <c r="JJ35" s="15"/>
      <c r="JK35" s="15"/>
      <c r="JL35" s="15"/>
      <c r="JM35" s="15"/>
      <c r="JN35" s="15"/>
      <c r="JO35" s="15"/>
      <c r="JP35" s="15"/>
      <c r="JQ35" s="15"/>
      <c r="JR35" s="15"/>
      <c r="JS35" s="15"/>
      <c r="JT35" s="15"/>
      <c r="JU35" s="15"/>
      <c r="JV35" s="15"/>
      <c r="JW35" s="15"/>
      <c r="JX35" s="15"/>
      <c r="JY35" s="15"/>
      <c r="JZ35" s="15"/>
      <c r="KA35" s="15"/>
      <c r="KB35" s="15"/>
      <c r="KC35" s="15"/>
      <c r="KD35" s="15"/>
      <c r="KE35" s="15"/>
      <c r="KF35" s="15"/>
      <c r="KG35" s="15"/>
      <c r="KH35" s="15"/>
      <c r="KI35" s="15"/>
      <c r="KJ35" s="15"/>
      <c r="KK35" s="15"/>
      <c r="KL35" s="15"/>
      <c r="KM35" s="15"/>
      <c r="KN35" s="15"/>
      <c r="KO35" s="15"/>
      <c r="KP35" s="15"/>
      <c r="KQ35" s="15"/>
      <c r="KR35" s="15"/>
      <c r="KS35" s="15"/>
      <c r="KT35" s="15"/>
      <c r="KU35" s="15"/>
      <c r="KV35" s="15"/>
      <c r="KW35" s="15"/>
      <c r="KX35" s="15"/>
      <c r="KY35" s="15"/>
      <c r="KZ35" s="15"/>
      <c r="LA35" s="15"/>
      <c r="LB35" s="15"/>
      <c r="LC35" s="15"/>
      <c r="LD35" s="15"/>
      <c r="LE35" s="15"/>
      <c r="LF35" s="15"/>
      <c r="LG35" s="15"/>
      <c r="LH35" s="15"/>
      <c r="LI35" s="15"/>
      <c r="LJ35" s="15"/>
      <c r="LK35" s="15"/>
      <c r="LL35" s="15"/>
      <c r="LM35" s="15"/>
      <c r="LN35" s="15"/>
      <c r="LO35" s="15"/>
      <c r="LP35" s="15"/>
      <c r="LQ35" s="15"/>
      <c r="LR35" s="15"/>
      <c r="LS35" s="15"/>
      <c r="LT35" s="15"/>
      <c r="LU35" s="15"/>
      <c r="LV35" s="15"/>
      <c r="LW35" s="15"/>
      <c r="LX35" s="15"/>
      <c r="LY35" s="15"/>
      <c r="LZ35" s="15"/>
      <c r="MA35" s="15"/>
      <c r="MB35" s="15"/>
      <c r="MC35" s="15"/>
      <c r="MD35" s="15"/>
      <c r="ME35" s="15"/>
      <c r="MF35" s="15"/>
      <c r="MG35" s="15"/>
      <c r="MH35" s="15"/>
      <c r="MI35" s="15"/>
      <c r="MJ35" s="15"/>
      <c r="MK35" s="15"/>
      <c r="ML35" s="15"/>
      <c r="MM35" s="15"/>
      <c r="MN35" s="15"/>
      <c r="MO35" s="15"/>
      <c r="MP35" s="15"/>
      <c r="MQ35" s="15"/>
      <c r="MR35" s="15"/>
      <c r="MS35" s="15"/>
      <c r="MT35" s="15"/>
      <c r="MU35" s="15"/>
      <c r="MV35" s="15"/>
      <c r="MW35" s="15"/>
    </row>
    <row r="36" ht="41.25" customHeight="1">
      <c r="A36" s="13" t="s">
        <v>10023</v>
      </c>
      <c r="B36" s="14" t="s">
        <v>10024</v>
      </c>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5"/>
      <c r="JO36" s="15"/>
      <c r="JP36" s="15"/>
      <c r="JQ36" s="15"/>
      <c r="JR36" s="15"/>
      <c r="JS36" s="15"/>
      <c r="JT36" s="15"/>
      <c r="JU36" s="15"/>
      <c r="JV36" s="15"/>
      <c r="JW36" s="15"/>
      <c r="JX36" s="15"/>
      <c r="JY36" s="15"/>
      <c r="JZ36" s="15"/>
      <c r="KA36" s="15"/>
      <c r="KB36" s="15"/>
      <c r="KC36" s="15"/>
      <c r="KD36" s="15"/>
      <c r="KE36" s="15"/>
      <c r="KF36" s="15"/>
      <c r="KG36" s="15"/>
      <c r="KH36" s="15"/>
      <c r="KI36" s="15"/>
      <c r="KJ36" s="15"/>
      <c r="KK36" s="15"/>
      <c r="KL36" s="15"/>
      <c r="KM36" s="15"/>
      <c r="KN36" s="15"/>
      <c r="KO36" s="15"/>
      <c r="KP36" s="15"/>
      <c r="KQ36" s="15"/>
      <c r="KR36" s="15"/>
      <c r="KS36" s="15"/>
      <c r="KT36" s="15"/>
      <c r="KU36" s="15"/>
      <c r="KV36" s="15"/>
      <c r="KW36" s="15"/>
      <c r="KX36" s="15"/>
      <c r="KY36" s="15"/>
      <c r="KZ36" s="15"/>
      <c r="LA36" s="15"/>
      <c r="LB36" s="15"/>
      <c r="LC36" s="15"/>
      <c r="LD36" s="15"/>
      <c r="LE36" s="15"/>
      <c r="LF36" s="15"/>
      <c r="LG36" s="15"/>
      <c r="LH36" s="15"/>
      <c r="LI36" s="15"/>
      <c r="LJ36" s="15"/>
      <c r="LK36" s="15"/>
      <c r="LL36" s="15"/>
      <c r="LM36" s="15"/>
      <c r="LN36" s="15"/>
      <c r="LO36" s="15"/>
      <c r="LP36" s="15"/>
      <c r="LQ36" s="15"/>
      <c r="LR36" s="15"/>
      <c r="LS36" s="15"/>
      <c r="LT36" s="15"/>
      <c r="LU36" s="15"/>
      <c r="LV36" s="15"/>
      <c r="LW36" s="15"/>
      <c r="LX36" s="15"/>
      <c r="LY36" s="15"/>
      <c r="LZ36" s="15"/>
      <c r="MA36" s="15"/>
      <c r="MB36" s="15"/>
      <c r="MC36" s="15"/>
      <c r="MD36" s="15"/>
      <c r="ME36" s="15"/>
      <c r="MF36" s="15"/>
      <c r="MG36" s="15"/>
      <c r="MH36" s="15"/>
      <c r="MI36" s="15"/>
      <c r="MJ36" s="15"/>
      <c r="MK36" s="15"/>
      <c r="ML36" s="15"/>
      <c r="MM36" s="15"/>
      <c r="MN36" s="15"/>
      <c r="MO36" s="15"/>
      <c r="MP36" s="15"/>
      <c r="MQ36" s="15"/>
      <c r="MR36" s="15"/>
      <c r="MS36" s="15"/>
      <c r="MT36" s="15"/>
      <c r="MU36" s="15"/>
      <c r="MV36" s="15"/>
      <c r="MW36" s="15"/>
    </row>
    <row r="37" ht="119.25" customHeight="1">
      <c r="A37" s="13" t="s">
        <v>10025</v>
      </c>
      <c r="B37" s="14" t="s">
        <v>10026</v>
      </c>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5"/>
      <c r="JO37" s="15"/>
      <c r="JP37" s="15"/>
      <c r="JQ37" s="15"/>
      <c r="JR37" s="15"/>
      <c r="JS37" s="15"/>
      <c r="JT37" s="15"/>
      <c r="JU37" s="15"/>
      <c r="JV37" s="15"/>
      <c r="JW37" s="15"/>
      <c r="JX37" s="15"/>
      <c r="JY37" s="15"/>
      <c r="JZ37" s="15"/>
      <c r="KA37" s="15"/>
      <c r="KB37" s="15"/>
      <c r="KC37" s="15"/>
      <c r="KD37" s="15"/>
      <c r="KE37" s="15"/>
      <c r="KF37" s="15"/>
      <c r="KG37" s="15"/>
      <c r="KH37" s="15"/>
      <c r="KI37" s="15"/>
      <c r="KJ37" s="15"/>
      <c r="KK37" s="15"/>
      <c r="KL37" s="15"/>
      <c r="KM37" s="15"/>
      <c r="KN37" s="15"/>
      <c r="KO37" s="15"/>
      <c r="KP37" s="15"/>
      <c r="KQ37" s="15"/>
      <c r="KR37" s="15"/>
      <c r="KS37" s="15"/>
      <c r="KT37" s="15"/>
      <c r="KU37" s="15"/>
      <c r="KV37" s="15"/>
      <c r="KW37" s="15"/>
      <c r="KX37" s="15"/>
      <c r="KY37" s="15"/>
      <c r="KZ37" s="15"/>
      <c r="LA37" s="15"/>
      <c r="LB37" s="15"/>
      <c r="LC37" s="15"/>
      <c r="LD37" s="15"/>
      <c r="LE37" s="15"/>
      <c r="LF37" s="15"/>
      <c r="LG37" s="15"/>
      <c r="LH37" s="15"/>
      <c r="LI37" s="15"/>
      <c r="LJ37" s="15"/>
      <c r="LK37" s="15"/>
      <c r="LL37" s="15"/>
      <c r="LM37" s="15"/>
      <c r="LN37" s="15"/>
      <c r="LO37" s="15"/>
      <c r="LP37" s="15"/>
      <c r="LQ37" s="15"/>
      <c r="LR37" s="15"/>
      <c r="LS37" s="15"/>
      <c r="LT37" s="15"/>
      <c r="LU37" s="15"/>
      <c r="LV37" s="15"/>
      <c r="LW37" s="15"/>
      <c r="LX37" s="15"/>
      <c r="LY37" s="15"/>
      <c r="LZ37" s="15"/>
      <c r="MA37" s="15"/>
      <c r="MB37" s="15"/>
      <c r="MC37" s="15"/>
      <c r="MD37" s="15"/>
      <c r="ME37" s="15"/>
      <c r="MF37" s="15"/>
      <c r="MG37" s="15"/>
      <c r="MH37" s="15"/>
      <c r="MI37" s="15"/>
      <c r="MJ37" s="15"/>
      <c r="MK37" s="15"/>
      <c r="ML37" s="15"/>
      <c r="MM37" s="15"/>
      <c r="MN37" s="15"/>
      <c r="MO37" s="15"/>
      <c r="MP37" s="15"/>
      <c r="MQ37" s="15"/>
      <c r="MR37" s="15"/>
      <c r="MS37" s="15"/>
      <c r="MT37" s="15"/>
      <c r="MU37" s="15"/>
      <c r="MV37" s="15"/>
      <c r="MW37" s="15"/>
    </row>
    <row r="38" ht="41.25" customHeight="1">
      <c r="A38" s="13" t="s">
        <v>10027</v>
      </c>
      <c r="B38" s="14" t="s">
        <v>10028</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5"/>
      <c r="JO38" s="15"/>
      <c r="JP38" s="15"/>
      <c r="JQ38" s="15"/>
      <c r="JR38" s="15"/>
      <c r="JS38" s="15"/>
      <c r="JT38" s="15"/>
      <c r="JU38" s="15"/>
      <c r="JV38" s="15"/>
      <c r="JW38" s="15"/>
      <c r="JX38" s="15"/>
      <c r="JY38" s="15"/>
      <c r="JZ38" s="15"/>
      <c r="KA38" s="15"/>
      <c r="KB38" s="15"/>
      <c r="KC38" s="15"/>
      <c r="KD38" s="15"/>
      <c r="KE38" s="15"/>
      <c r="KF38" s="15"/>
      <c r="KG38" s="15"/>
      <c r="KH38" s="15"/>
      <c r="KI38" s="15"/>
      <c r="KJ38" s="15"/>
      <c r="KK38" s="15"/>
      <c r="KL38" s="15"/>
      <c r="KM38" s="15"/>
      <c r="KN38" s="15"/>
      <c r="KO38" s="15"/>
      <c r="KP38" s="15"/>
      <c r="KQ38" s="15"/>
      <c r="KR38" s="15"/>
      <c r="KS38" s="15"/>
      <c r="KT38" s="15"/>
      <c r="KU38" s="15"/>
      <c r="KV38" s="15"/>
      <c r="KW38" s="15"/>
      <c r="KX38" s="15"/>
      <c r="KY38" s="15"/>
      <c r="KZ38" s="15"/>
      <c r="LA38" s="15"/>
      <c r="LB38" s="15"/>
      <c r="LC38" s="15"/>
      <c r="LD38" s="15"/>
      <c r="LE38" s="15"/>
      <c r="LF38" s="15"/>
      <c r="LG38" s="15"/>
      <c r="LH38" s="15"/>
      <c r="LI38" s="15"/>
      <c r="LJ38" s="15"/>
      <c r="LK38" s="15"/>
      <c r="LL38" s="15"/>
      <c r="LM38" s="15"/>
      <c r="LN38" s="15"/>
      <c r="LO38" s="15"/>
      <c r="LP38" s="15"/>
      <c r="LQ38" s="15"/>
      <c r="LR38" s="15"/>
      <c r="LS38" s="15"/>
      <c r="LT38" s="15"/>
      <c r="LU38" s="15"/>
      <c r="LV38" s="15"/>
      <c r="LW38" s="15"/>
      <c r="LX38" s="15"/>
      <c r="LY38" s="15"/>
      <c r="LZ38" s="15"/>
      <c r="MA38" s="15"/>
      <c r="MB38" s="15"/>
      <c r="MC38" s="15"/>
      <c r="MD38" s="15"/>
      <c r="ME38" s="15"/>
      <c r="MF38" s="15"/>
      <c r="MG38" s="15"/>
      <c r="MH38" s="15"/>
      <c r="MI38" s="15"/>
      <c r="MJ38" s="15"/>
      <c r="MK38" s="15"/>
      <c r="ML38" s="15"/>
      <c r="MM38" s="15"/>
      <c r="MN38" s="15"/>
      <c r="MO38" s="15"/>
      <c r="MP38" s="15"/>
      <c r="MQ38" s="15"/>
      <c r="MR38" s="15"/>
      <c r="MS38" s="15"/>
      <c r="MT38" s="15"/>
      <c r="MU38" s="15"/>
      <c r="MV38" s="15"/>
      <c r="MW38" s="15"/>
    </row>
    <row r="39" ht="119.25" customHeight="1">
      <c r="A39" s="13" t="s">
        <v>10029</v>
      </c>
      <c r="B39" s="14" t="s">
        <v>10030</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c r="IR39" s="15"/>
      <c r="IS39" s="15"/>
      <c r="IT39" s="15"/>
      <c r="IU39" s="15"/>
      <c r="IV39" s="15"/>
      <c r="IW39" s="15"/>
      <c r="IX39" s="15"/>
      <c r="IY39" s="15"/>
      <c r="IZ39" s="15"/>
      <c r="JA39" s="15"/>
      <c r="JB39" s="15"/>
      <c r="JC39" s="15"/>
      <c r="JD39" s="15"/>
      <c r="JE39" s="15"/>
      <c r="JF39" s="15"/>
      <c r="JG39" s="15"/>
      <c r="JH39" s="15"/>
      <c r="JI39" s="15"/>
      <c r="JJ39" s="15"/>
      <c r="JK39" s="15"/>
      <c r="JL39" s="15"/>
      <c r="JM39" s="15"/>
      <c r="JN39" s="15"/>
      <c r="JO39" s="15"/>
      <c r="JP39" s="15"/>
      <c r="JQ39" s="15"/>
      <c r="JR39" s="15"/>
      <c r="JS39" s="15"/>
      <c r="JT39" s="15"/>
      <c r="JU39" s="15"/>
      <c r="JV39" s="15"/>
      <c r="JW39" s="15"/>
      <c r="JX39" s="15"/>
      <c r="JY39" s="15"/>
      <c r="JZ39" s="15"/>
      <c r="KA39" s="15"/>
      <c r="KB39" s="15"/>
      <c r="KC39" s="15"/>
      <c r="KD39" s="15"/>
      <c r="KE39" s="15"/>
      <c r="KF39" s="15"/>
      <c r="KG39" s="15"/>
      <c r="KH39" s="15"/>
      <c r="KI39" s="15"/>
      <c r="KJ39" s="15"/>
      <c r="KK39" s="15"/>
      <c r="KL39" s="15"/>
      <c r="KM39" s="15"/>
      <c r="KN39" s="15"/>
      <c r="KO39" s="15"/>
      <c r="KP39" s="15"/>
      <c r="KQ39" s="15"/>
      <c r="KR39" s="15"/>
      <c r="KS39" s="15"/>
      <c r="KT39" s="15"/>
      <c r="KU39" s="15"/>
      <c r="KV39" s="15"/>
      <c r="KW39" s="15"/>
      <c r="KX39" s="15"/>
      <c r="KY39" s="15"/>
      <c r="KZ39" s="15"/>
      <c r="LA39" s="15"/>
      <c r="LB39" s="15"/>
      <c r="LC39" s="15"/>
      <c r="LD39" s="15"/>
      <c r="LE39" s="15"/>
      <c r="LF39" s="15"/>
      <c r="LG39" s="15"/>
      <c r="LH39" s="15"/>
      <c r="LI39" s="15"/>
      <c r="LJ39" s="15"/>
      <c r="LK39" s="15"/>
      <c r="LL39" s="15"/>
      <c r="LM39" s="15"/>
      <c r="LN39" s="15"/>
      <c r="LO39" s="15"/>
      <c r="LP39" s="15"/>
      <c r="LQ39" s="15"/>
      <c r="LR39" s="15"/>
      <c r="LS39" s="15"/>
      <c r="LT39" s="15"/>
      <c r="LU39" s="15"/>
      <c r="LV39" s="15"/>
      <c r="LW39" s="15"/>
      <c r="LX39" s="15"/>
      <c r="LY39" s="15"/>
      <c r="LZ39" s="15"/>
      <c r="MA39" s="15"/>
      <c r="MB39" s="15"/>
      <c r="MC39" s="15"/>
      <c r="MD39" s="15"/>
      <c r="ME39" s="15"/>
      <c r="MF39" s="15"/>
      <c r="MG39" s="15"/>
      <c r="MH39" s="15"/>
      <c r="MI39" s="15"/>
      <c r="MJ39" s="15"/>
      <c r="MK39" s="15"/>
      <c r="ML39" s="15"/>
      <c r="MM39" s="15"/>
      <c r="MN39" s="15"/>
      <c r="MO39" s="15"/>
      <c r="MP39" s="15"/>
      <c r="MQ39" s="15"/>
      <c r="MR39" s="15"/>
      <c r="MS39" s="15"/>
      <c r="MT39" s="15"/>
      <c r="MU39" s="15"/>
      <c r="MV39" s="15"/>
      <c r="MW39" s="15"/>
    </row>
    <row r="40" ht="41.25" customHeight="1">
      <c r="A40" s="13" t="s">
        <v>10031</v>
      </c>
      <c r="B40" s="14" t="s">
        <v>10032</v>
      </c>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5"/>
      <c r="EX40" s="15"/>
      <c r="EY40" s="15"/>
      <c r="EZ40" s="15"/>
      <c r="FA40" s="15"/>
      <c r="FB40" s="15"/>
      <c r="FC40" s="15"/>
      <c r="FD40" s="15"/>
      <c r="FE40" s="15"/>
      <c r="FF40" s="15"/>
      <c r="FG40" s="15"/>
      <c r="FH40" s="15"/>
      <c r="FI40" s="15"/>
      <c r="FJ40" s="15"/>
      <c r="FK40" s="15"/>
      <c r="FL40" s="15"/>
      <c r="FM40" s="15"/>
      <c r="FN40" s="15"/>
      <c r="FO40" s="15"/>
      <c r="FP40" s="15"/>
      <c r="FQ40" s="15"/>
      <c r="FR40" s="15"/>
      <c r="FS40" s="15"/>
      <c r="FT40" s="15"/>
      <c r="FU40" s="15"/>
      <c r="FV40" s="15"/>
      <c r="FW40" s="15"/>
      <c r="FX40" s="15"/>
      <c r="FY40" s="15"/>
      <c r="FZ40" s="15"/>
      <c r="GA40" s="15"/>
      <c r="GB40" s="15"/>
      <c r="GC40" s="15"/>
      <c r="GD40" s="15"/>
      <c r="GE40" s="15"/>
      <c r="GF40" s="15"/>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c r="IR40" s="15"/>
      <c r="IS40" s="15"/>
      <c r="IT40" s="15"/>
      <c r="IU40" s="15"/>
      <c r="IV40" s="15"/>
      <c r="IW40" s="15"/>
      <c r="IX40" s="15"/>
      <c r="IY40" s="15"/>
      <c r="IZ40" s="15"/>
      <c r="JA40" s="15"/>
      <c r="JB40" s="15"/>
      <c r="JC40" s="15"/>
      <c r="JD40" s="15"/>
      <c r="JE40" s="15"/>
      <c r="JF40" s="15"/>
      <c r="JG40" s="15"/>
      <c r="JH40" s="15"/>
      <c r="JI40" s="15"/>
      <c r="JJ40" s="15"/>
      <c r="JK40" s="15"/>
      <c r="JL40" s="15"/>
      <c r="JM40" s="15"/>
      <c r="JN40" s="15"/>
      <c r="JO40" s="15"/>
      <c r="JP40" s="15"/>
      <c r="JQ40" s="15"/>
      <c r="JR40" s="15"/>
      <c r="JS40" s="15"/>
      <c r="JT40" s="15"/>
      <c r="JU40" s="15"/>
      <c r="JV40" s="15"/>
      <c r="JW40" s="15"/>
      <c r="JX40" s="15"/>
      <c r="JY40" s="15"/>
      <c r="JZ40" s="15"/>
      <c r="KA40" s="15"/>
      <c r="KB40" s="15"/>
      <c r="KC40" s="15"/>
      <c r="KD40" s="15"/>
      <c r="KE40" s="15"/>
      <c r="KF40" s="15"/>
      <c r="KG40" s="15"/>
      <c r="KH40" s="15"/>
      <c r="KI40" s="15"/>
      <c r="KJ40" s="15"/>
      <c r="KK40" s="15"/>
      <c r="KL40" s="15"/>
      <c r="KM40" s="15"/>
      <c r="KN40" s="15"/>
      <c r="KO40" s="15"/>
      <c r="KP40" s="15"/>
      <c r="KQ40" s="15"/>
      <c r="KR40" s="15"/>
      <c r="KS40" s="15"/>
      <c r="KT40" s="15"/>
      <c r="KU40" s="15"/>
      <c r="KV40" s="15"/>
      <c r="KW40" s="15"/>
      <c r="KX40" s="15"/>
      <c r="KY40" s="15"/>
      <c r="KZ40" s="15"/>
      <c r="LA40" s="15"/>
      <c r="LB40" s="15"/>
      <c r="LC40" s="15"/>
      <c r="LD40" s="15"/>
      <c r="LE40" s="15"/>
      <c r="LF40" s="15"/>
      <c r="LG40" s="15"/>
      <c r="LH40" s="15"/>
      <c r="LI40" s="15"/>
      <c r="LJ40" s="15"/>
      <c r="LK40" s="15"/>
      <c r="LL40" s="15"/>
      <c r="LM40" s="15"/>
      <c r="LN40" s="15"/>
      <c r="LO40" s="15"/>
      <c r="LP40" s="15"/>
      <c r="LQ40" s="15"/>
      <c r="LR40" s="15"/>
      <c r="LS40" s="15"/>
      <c r="LT40" s="15"/>
      <c r="LU40" s="15"/>
      <c r="LV40" s="15"/>
      <c r="LW40" s="15"/>
      <c r="LX40" s="15"/>
      <c r="LY40" s="15"/>
      <c r="LZ40" s="15"/>
      <c r="MA40" s="15"/>
      <c r="MB40" s="15"/>
      <c r="MC40" s="15"/>
      <c r="MD40" s="15"/>
      <c r="ME40" s="15"/>
      <c r="MF40" s="15"/>
      <c r="MG40" s="15"/>
      <c r="MH40" s="15"/>
      <c r="MI40" s="15"/>
      <c r="MJ40" s="15"/>
      <c r="MK40" s="15"/>
      <c r="ML40" s="15"/>
      <c r="MM40" s="15"/>
      <c r="MN40" s="15"/>
      <c r="MO40" s="15"/>
      <c r="MP40" s="15"/>
      <c r="MQ40" s="15"/>
      <c r="MR40" s="15"/>
      <c r="MS40" s="15"/>
      <c r="MT40" s="15"/>
      <c r="MU40" s="15"/>
      <c r="MV40" s="15"/>
      <c r="MW40" s="15"/>
    </row>
    <row r="41" ht="119.25" customHeight="1">
      <c r="A41" s="13" t="s">
        <v>10033</v>
      </c>
      <c r="B41" s="14" t="s">
        <v>10034</v>
      </c>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c r="IS41" s="15"/>
      <c r="IT41" s="15"/>
      <c r="IU41" s="15"/>
      <c r="IV41" s="15"/>
      <c r="IW41" s="15"/>
      <c r="IX41" s="15"/>
      <c r="IY41" s="15"/>
      <c r="IZ41" s="15"/>
      <c r="JA41" s="15"/>
      <c r="JB41" s="15"/>
      <c r="JC41" s="15"/>
      <c r="JD41" s="15"/>
      <c r="JE41" s="15"/>
      <c r="JF41" s="15"/>
      <c r="JG41" s="15"/>
      <c r="JH41" s="15"/>
      <c r="JI41" s="15"/>
      <c r="JJ41" s="15"/>
      <c r="JK41" s="15"/>
      <c r="JL41" s="15"/>
      <c r="JM41" s="15"/>
      <c r="JN41" s="15"/>
      <c r="JO41" s="15"/>
      <c r="JP41" s="15"/>
      <c r="JQ41" s="15"/>
      <c r="JR41" s="15"/>
      <c r="JS41" s="15"/>
      <c r="JT41" s="15"/>
      <c r="JU41" s="15"/>
      <c r="JV41" s="15"/>
      <c r="JW41" s="15"/>
      <c r="JX41" s="15"/>
      <c r="JY41" s="15"/>
      <c r="JZ41" s="15"/>
      <c r="KA41" s="15"/>
      <c r="KB41" s="15"/>
      <c r="KC41" s="15"/>
      <c r="KD41" s="15"/>
      <c r="KE41" s="15"/>
      <c r="KF41" s="15"/>
      <c r="KG41" s="15"/>
      <c r="KH41" s="15"/>
      <c r="KI41" s="15"/>
      <c r="KJ41" s="15"/>
      <c r="KK41" s="15"/>
      <c r="KL41" s="15"/>
      <c r="KM41" s="15"/>
      <c r="KN41" s="15"/>
      <c r="KO41" s="15"/>
      <c r="KP41" s="15"/>
      <c r="KQ41" s="15"/>
      <c r="KR41" s="15"/>
      <c r="KS41" s="15"/>
      <c r="KT41" s="15"/>
      <c r="KU41" s="15"/>
      <c r="KV41" s="15"/>
      <c r="KW41" s="15"/>
      <c r="KX41" s="15"/>
      <c r="KY41" s="15"/>
      <c r="KZ41" s="15"/>
      <c r="LA41" s="15"/>
      <c r="LB41" s="15"/>
      <c r="LC41" s="15"/>
      <c r="LD41" s="15"/>
      <c r="LE41" s="15"/>
      <c r="LF41" s="15"/>
      <c r="LG41" s="15"/>
      <c r="LH41" s="15"/>
      <c r="LI41" s="15"/>
      <c r="LJ41" s="15"/>
      <c r="LK41" s="15"/>
      <c r="LL41" s="15"/>
      <c r="LM41" s="15"/>
      <c r="LN41" s="15"/>
      <c r="LO41" s="15"/>
      <c r="LP41" s="15"/>
      <c r="LQ41" s="15"/>
      <c r="LR41" s="15"/>
      <c r="LS41" s="15"/>
      <c r="LT41" s="15"/>
      <c r="LU41" s="15"/>
      <c r="LV41" s="15"/>
      <c r="LW41" s="15"/>
      <c r="LX41" s="15"/>
      <c r="LY41" s="15"/>
      <c r="LZ41" s="15"/>
      <c r="MA41" s="15"/>
      <c r="MB41" s="15"/>
      <c r="MC41" s="15"/>
      <c r="MD41" s="15"/>
      <c r="ME41" s="15"/>
      <c r="MF41" s="15"/>
      <c r="MG41" s="15"/>
      <c r="MH41" s="15"/>
      <c r="MI41" s="15"/>
      <c r="MJ41" s="15"/>
      <c r="MK41" s="15"/>
      <c r="ML41" s="15"/>
      <c r="MM41" s="15"/>
      <c r="MN41" s="15"/>
      <c r="MO41" s="15"/>
      <c r="MP41" s="15"/>
      <c r="MQ41" s="15"/>
      <c r="MR41" s="15"/>
      <c r="MS41" s="15"/>
      <c r="MT41" s="15"/>
      <c r="MU41" s="15"/>
      <c r="MV41" s="15"/>
      <c r="MW41" s="15"/>
    </row>
    <row r="42" ht="41.25" customHeight="1">
      <c r="A42" s="13" t="s">
        <v>10035</v>
      </c>
      <c r="B42" s="14" t="s">
        <v>10036</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5"/>
      <c r="JO42" s="15"/>
      <c r="JP42" s="15"/>
      <c r="JQ42" s="15"/>
      <c r="JR42" s="15"/>
      <c r="JS42" s="15"/>
      <c r="JT42" s="15"/>
      <c r="JU42" s="15"/>
      <c r="JV42" s="15"/>
      <c r="JW42" s="15"/>
      <c r="JX42" s="15"/>
      <c r="JY42" s="15"/>
      <c r="JZ42" s="15"/>
      <c r="KA42" s="15"/>
      <c r="KB42" s="15"/>
      <c r="KC42" s="15"/>
      <c r="KD42" s="15"/>
      <c r="KE42" s="15"/>
      <c r="KF42" s="15"/>
      <c r="KG42" s="15"/>
      <c r="KH42" s="15"/>
      <c r="KI42" s="15"/>
      <c r="KJ42" s="15"/>
      <c r="KK42" s="15"/>
      <c r="KL42" s="15"/>
      <c r="KM42" s="15"/>
      <c r="KN42" s="15"/>
      <c r="KO42" s="15"/>
      <c r="KP42" s="15"/>
      <c r="KQ42" s="15"/>
      <c r="KR42" s="15"/>
      <c r="KS42" s="15"/>
      <c r="KT42" s="15"/>
      <c r="KU42" s="15"/>
      <c r="KV42" s="15"/>
      <c r="KW42" s="15"/>
      <c r="KX42" s="15"/>
      <c r="KY42" s="15"/>
      <c r="KZ42" s="15"/>
      <c r="LA42" s="15"/>
      <c r="LB42" s="15"/>
      <c r="LC42" s="15"/>
      <c r="LD42" s="15"/>
      <c r="LE42" s="15"/>
      <c r="LF42" s="15"/>
      <c r="LG42" s="15"/>
      <c r="LH42" s="15"/>
      <c r="LI42" s="15"/>
      <c r="LJ42" s="15"/>
      <c r="LK42" s="15"/>
      <c r="LL42" s="15"/>
      <c r="LM42" s="15"/>
      <c r="LN42" s="15"/>
      <c r="LO42" s="15"/>
      <c r="LP42" s="15"/>
      <c r="LQ42" s="15"/>
      <c r="LR42" s="15"/>
      <c r="LS42" s="15"/>
      <c r="LT42" s="15"/>
      <c r="LU42" s="15"/>
      <c r="LV42" s="15"/>
      <c r="LW42" s="15"/>
      <c r="LX42" s="15"/>
      <c r="LY42" s="15"/>
      <c r="LZ42" s="15"/>
      <c r="MA42" s="15"/>
      <c r="MB42" s="15"/>
      <c r="MC42" s="15"/>
      <c r="MD42" s="15"/>
      <c r="ME42" s="15"/>
      <c r="MF42" s="15"/>
      <c r="MG42" s="15"/>
      <c r="MH42" s="15"/>
      <c r="MI42" s="15"/>
      <c r="MJ42" s="15"/>
      <c r="MK42" s="15"/>
      <c r="ML42" s="15"/>
      <c r="MM42" s="15"/>
      <c r="MN42" s="15"/>
      <c r="MO42" s="15"/>
      <c r="MP42" s="15"/>
      <c r="MQ42" s="15"/>
      <c r="MR42" s="15"/>
      <c r="MS42" s="15"/>
      <c r="MT42" s="15"/>
      <c r="MU42" s="15"/>
      <c r="MV42" s="15"/>
      <c r="MW42" s="15"/>
    </row>
    <row r="43" ht="119.25" customHeight="1">
      <c r="A43" s="13" t="s">
        <v>10037</v>
      </c>
      <c r="B43" s="14" t="s">
        <v>10038</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5"/>
      <c r="JO43" s="15"/>
      <c r="JP43" s="15"/>
      <c r="JQ43" s="15"/>
      <c r="JR43" s="15"/>
      <c r="JS43" s="15"/>
      <c r="JT43" s="15"/>
      <c r="JU43" s="15"/>
      <c r="JV43" s="15"/>
      <c r="JW43" s="15"/>
      <c r="JX43" s="15"/>
      <c r="JY43" s="15"/>
      <c r="JZ43" s="15"/>
      <c r="KA43" s="15"/>
      <c r="KB43" s="15"/>
      <c r="KC43" s="15"/>
      <c r="KD43" s="15"/>
      <c r="KE43" s="15"/>
      <c r="KF43" s="15"/>
      <c r="KG43" s="15"/>
      <c r="KH43" s="15"/>
      <c r="KI43" s="15"/>
      <c r="KJ43" s="15"/>
      <c r="KK43" s="15"/>
      <c r="KL43" s="15"/>
      <c r="KM43" s="15"/>
      <c r="KN43" s="15"/>
      <c r="KO43" s="15"/>
      <c r="KP43" s="15"/>
      <c r="KQ43" s="15"/>
      <c r="KR43" s="15"/>
      <c r="KS43" s="15"/>
      <c r="KT43" s="15"/>
      <c r="KU43" s="15"/>
      <c r="KV43" s="15"/>
      <c r="KW43" s="15"/>
      <c r="KX43" s="15"/>
      <c r="KY43" s="15"/>
      <c r="KZ43" s="15"/>
      <c r="LA43" s="15"/>
      <c r="LB43" s="15"/>
      <c r="LC43" s="15"/>
      <c r="LD43" s="15"/>
      <c r="LE43" s="15"/>
      <c r="LF43" s="15"/>
      <c r="LG43" s="15"/>
      <c r="LH43" s="15"/>
      <c r="LI43" s="15"/>
      <c r="LJ43" s="15"/>
      <c r="LK43" s="15"/>
      <c r="LL43" s="15"/>
      <c r="LM43" s="15"/>
      <c r="LN43" s="15"/>
      <c r="LO43" s="15"/>
      <c r="LP43" s="15"/>
      <c r="LQ43" s="15"/>
      <c r="LR43" s="15"/>
      <c r="LS43" s="15"/>
      <c r="LT43" s="15"/>
      <c r="LU43" s="15"/>
      <c r="LV43" s="15"/>
      <c r="LW43" s="15"/>
      <c r="LX43" s="15"/>
      <c r="LY43" s="15"/>
      <c r="LZ43" s="15"/>
      <c r="MA43" s="15"/>
      <c r="MB43" s="15"/>
      <c r="MC43" s="15"/>
      <c r="MD43" s="15"/>
      <c r="ME43" s="15"/>
      <c r="MF43" s="15"/>
      <c r="MG43" s="15"/>
      <c r="MH43" s="15"/>
      <c r="MI43" s="15"/>
      <c r="MJ43" s="15"/>
      <c r="MK43" s="15"/>
      <c r="ML43" s="15"/>
      <c r="MM43" s="15"/>
      <c r="MN43" s="15"/>
      <c r="MO43" s="15"/>
      <c r="MP43" s="15"/>
      <c r="MQ43" s="15"/>
      <c r="MR43" s="15"/>
      <c r="MS43" s="15"/>
      <c r="MT43" s="15"/>
      <c r="MU43" s="15"/>
      <c r="MV43" s="15"/>
      <c r="MW43" s="15"/>
    </row>
    <row r="44" ht="41.25" customHeight="1">
      <c r="A44" s="13" t="s">
        <v>10039</v>
      </c>
      <c r="B44" s="14" t="s">
        <v>10040</v>
      </c>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c r="IW44" s="15"/>
      <c r="IX44" s="15"/>
      <c r="IY44" s="15"/>
      <c r="IZ44" s="15"/>
      <c r="JA44" s="15"/>
      <c r="JB44" s="15"/>
      <c r="JC44" s="15"/>
      <c r="JD44" s="15"/>
      <c r="JE44" s="15"/>
      <c r="JF44" s="15"/>
      <c r="JG44" s="15"/>
      <c r="JH44" s="15"/>
      <c r="JI44" s="15"/>
      <c r="JJ44" s="15"/>
      <c r="JK44" s="15"/>
      <c r="JL44" s="15"/>
      <c r="JM44" s="15"/>
      <c r="JN44" s="15"/>
      <c r="JO44" s="15"/>
      <c r="JP44" s="15"/>
      <c r="JQ44" s="15"/>
      <c r="JR44" s="15"/>
      <c r="JS44" s="15"/>
      <c r="JT44" s="15"/>
      <c r="JU44" s="15"/>
      <c r="JV44" s="15"/>
      <c r="JW44" s="15"/>
      <c r="JX44" s="15"/>
      <c r="JY44" s="15"/>
      <c r="JZ44" s="15"/>
      <c r="KA44" s="15"/>
      <c r="KB44" s="15"/>
      <c r="KC44" s="15"/>
      <c r="KD44" s="15"/>
      <c r="KE44" s="15"/>
      <c r="KF44" s="15"/>
      <c r="KG44" s="15"/>
      <c r="KH44" s="15"/>
      <c r="KI44" s="15"/>
      <c r="KJ44" s="15"/>
      <c r="KK44" s="15"/>
      <c r="KL44" s="15"/>
      <c r="KM44" s="15"/>
      <c r="KN44" s="15"/>
      <c r="KO44" s="15"/>
      <c r="KP44" s="15"/>
      <c r="KQ44" s="15"/>
      <c r="KR44" s="15"/>
      <c r="KS44" s="15"/>
      <c r="KT44" s="15"/>
      <c r="KU44" s="15"/>
      <c r="KV44" s="15"/>
      <c r="KW44" s="15"/>
      <c r="KX44" s="15"/>
      <c r="KY44" s="15"/>
      <c r="KZ44" s="15"/>
      <c r="LA44" s="15"/>
      <c r="LB44" s="15"/>
      <c r="LC44" s="15"/>
      <c r="LD44" s="15"/>
      <c r="LE44" s="15"/>
      <c r="LF44" s="15"/>
      <c r="LG44" s="15"/>
      <c r="LH44" s="15"/>
      <c r="LI44" s="15"/>
      <c r="LJ44" s="15"/>
      <c r="LK44" s="15"/>
      <c r="LL44" s="15"/>
      <c r="LM44" s="15"/>
      <c r="LN44" s="15"/>
      <c r="LO44" s="15"/>
      <c r="LP44" s="15"/>
      <c r="LQ44" s="15"/>
      <c r="LR44" s="15"/>
      <c r="LS44" s="15"/>
      <c r="LT44" s="15"/>
      <c r="LU44" s="15"/>
      <c r="LV44" s="15"/>
      <c r="LW44" s="15"/>
      <c r="LX44" s="15"/>
      <c r="LY44" s="15"/>
      <c r="LZ44" s="15"/>
      <c r="MA44" s="15"/>
      <c r="MB44" s="15"/>
      <c r="MC44" s="15"/>
      <c r="MD44" s="15"/>
      <c r="ME44" s="15"/>
      <c r="MF44" s="15"/>
      <c r="MG44" s="15"/>
      <c r="MH44" s="15"/>
      <c r="MI44" s="15"/>
      <c r="MJ44" s="15"/>
      <c r="MK44" s="15"/>
      <c r="ML44" s="15"/>
      <c r="MM44" s="15"/>
      <c r="MN44" s="15"/>
      <c r="MO44" s="15"/>
      <c r="MP44" s="15"/>
      <c r="MQ44" s="15"/>
      <c r="MR44" s="15"/>
      <c r="MS44" s="15"/>
      <c r="MT44" s="15"/>
      <c r="MU44" s="15"/>
      <c r="MV44" s="15"/>
      <c r="MW44" s="15"/>
    </row>
    <row r="45" ht="119.25" customHeight="1">
      <c r="A45" s="13" t="s">
        <v>10041</v>
      </c>
      <c r="B45" s="14" t="s">
        <v>10042</v>
      </c>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row>
    <row r="46" ht="41.25" customHeight="1">
      <c r="A46" s="13" t="s">
        <v>10043</v>
      </c>
      <c r="B46" s="14" t="s">
        <v>10044</v>
      </c>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row>
    <row r="47" ht="119.25" customHeight="1">
      <c r="A47" s="13" t="s">
        <v>10045</v>
      </c>
      <c r="B47" s="14" t="s">
        <v>10046</v>
      </c>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c r="IX47" s="15"/>
      <c r="IY47" s="15"/>
      <c r="IZ47" s="15"/>
      <c r="JA47" s="15"/>
      <c r="JB47" s="15"/>
      <c r="JC47" s="15"/>
      <c r="JD47" s="15"/>
      <c r="JE47" s="15"/>
      <c r="JF47" s="15"/>
      <c r="JG47" s="15"/>
      <c r="JH47" s="15"/>
      <c r="JI47" s="15"/>
      <c r="JJ47" s="15"/>
      <c r="JK47" s="15"/>
      <c r="JL47" s="15"/>
      <c r="JM47" s="15"/>
      <c r="JN47" s="15"/>
      <c r="JO47" s="15"/>
      <c r="JP47" s="15"/>
      <c r="JQ47" s="15"/>
      <c r="JR47" s="15"/>
      <c r="JS47" s="15"/>
      <c r="JT47" s="15"/>
      <c r="JU47" s="15"/>
      <c r="JV47" s="15"/>
      <c r="JW47" s="15"/>
      <c r="JX47" s="15"/>
      <c r="JY47" s="15"/>
      <c r="JZ47" s="15"/>
      <c r="KA47" s="15"/>
      <c r="KB47" s="15"/>
      <c r="KC47" s="15"/>
      <c r="KD47" s="15"/>
      <c r="KE47" s="15"/>
      <c r="KF47" s="15"/>
      <c r="KG47" s="15"/>
      <c r="KH47" s="15"/>
      <c r="KI47" s="15"/>
      <c r="KJ47" s="15"/>
      <c r="KK47" s="15"/>
      <c r="KL47" s="15"/>
      <c r="KM47" s="15"/>
      <c r="KN47" s="15"/>
      <c r="KO47" s="15"/>
      <c r="KP47" s="15"/>
      <c r="KQ47" s="15"/>
      <c r="KR47" s="15"/>
      <c r="KS47" s="15"/>
      <c r="KT47" s="15"/>
      <c r="KU47" s="15"/>
      <c r="KV47" s="15"/>
      <c r="KW47" s="15"/>
      <c r="KX47" s="15"/>
      <c r="KY47" s="15"/>
      <c r="KZ47" s="15"/>
      <c r="LA47" s="15"/>
      <c r="LB47" s="15"/>
      <c r="LC47" s="15"/>
      <c r="LD47" s="15"/>
      <c r="LE47" s="15"/>
      <c r="LF47" s="15"/>
      <c r="LG47" s="15"/>
      <c r="LH47" s="15"/>
      <c r="LI47" s="15"/>
      <c r="LJ47" s="15"/>
      <c r="LK47" s="15"/>
      <c r="LL47" s="15"/>
      <c r="LM47" s="15"/>
      <c r="LN47" s="15"/>
      <c r="LO47" s="15"/>
      <c r="LP47" s="15"/>
      <c r="LQ47" s="15"/>
      <c r="LR47" s="15"/>
      <c r="LS47" s="15"/>
      <c r="LT47" s="15"/>
      <c r="LU47" s="15"/>
      <c r="LV47" s="15"/>
      <c r="LW47" s="15"/>
      <c r="LX47" s="15"/>
      <c r="LY47" s="15"/>
      <c r="LZ47" s="15"/>
      <c r="MA47" s="15"/>
      <c r="MB47" s="15"/>
      <c r="MC47" s="15"/>
      <c r="MD47" s="15"/>
      <c r="ME47" s="15"/>
      <c r="MF47" s="15"/>
      <c r="MG47" s="15"/>
      <c r="MH47" s="15"/>
      <c r="MI47" s="15"/>
      <c r="MJ47" s="15"/>
      <c r="MK47" s="15"/>
      <c r="ML47" s="15"/>
      <c r="MM47" s="15"/>
      <c r="MN47" s="15"/>
      <c r="MO47" s="15"/>
      <c r="MP47" s="15"/>
      <c r="MQ47" s="15"/>
      <c r="MR47" s="15"/>
      <c r="MS47" s="15"/>
      <c r="MT47" s="15"/>
      <c r="MU47" s="15"/>
      <c r="MV47" s="15"/>
      <c r="MW47" s="15"/>
    </row>
    <row r="48" ht="41.25" customHeight="1">
      <c r="A48" s="13" t="s">
        <v>47</v>
      </c>
      <c r="B48" s="14" t="s">
        <v>10047</v>
      </c>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c r="KL48" s="15"/>
      <c r="KM48" s="15"/>
      <c r="KN48" s="15"/>
      <c r="KO48" s="15"/>
      <c r="KP48" s="15"/>
      <c r="KQ48" s="15"/>
      <c r="KR48" s="15"/>
      <c r="KS48" s="15"/>
      <c r="KT48" s="15"/>
      <c r="KU48" s="15"/>
      <c r="KV48" s="15"/>
      <c r="KW48" s="15"/>
      <c r="KX48" s="15"/>
      <c r="KY48" s="15"/>
      <c r="KZ48" s="15"/>
      <c r="LA48" s="15"/>
      <c r="LB48" s="15"/>
      <c r="LC48" s="15"/>
      <c r="LD48" s="15"/>
      <c r="LE48" s="15"/>
      <c r="LF48" s="15"/>
      <c r="LG48" s="15"/>
      <c r="LH48" s="15"/>
      <c r="LI48" s="15"/>
      <c r="LJ48" s="15"/>
      <c r="LK48" s="15"/>
      <c r="LL48" s="15"/>
      <c r="LM48" s="15"/>
      <c r="LN48" s="15"/>
      <c r="LO48" s="15"/>
      <c r="LP48" s="15"/>
      <c r="LQ48" s="15"/>
      <c r="LR48" s="15"/>
      <c r="LS48" s="15"/>
      <c r="LT48" s="15"/>
      <c r="LU48" s="15"/>
      <c r="LV48" s="15"/>
      <c r="LW48" s="15"/>
      <c r="LX48" s="15"/>
      <c r="LY48" s="15"/>
      <c r="LZ48" s="15"/>
      <c r="MA48" s="15"/>
      <c r="MB48" s="15"/>
      <c r="MC48" s="15"/>
      <c r="MD48" s="15"/>
      <c r="ME48" s="15"/>
      <c r="MF48" s="15"/>
      <c r="MG48" s="15"/>
      <c r="MH48" s="15"/>
      <c r="MI48" s="15"/>
      <c r="MJ48" s="15"/>
      <c r="MK48" s="15"/>
      <c r="ML48" s="15"/>
      <c r="MM48" s="15"/>
      <c r="MN48" s="15"/>
      <c r="MO48" s="15"/>
      <c r="MP48" s="15"/>
      <c r="MQ48" s="15"/>
      <c r="MR48" s="15"/>
      <c r="MS48" s="15"/>
      <c r="MT48" s="15"/>
      <c r="MU48" s="15"/>
      <c r="MV48" s="15"/>
      <c r="MW48" s="15"/>
    </row>
    <row r="49" ht="119.25" customHeight="1">
      <c r="A49" s="13" t="s">
        <v>48</v>
      </c>
      <c r="B49" s="14" t="s">
        <v>10048</v>
      </c>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c r="KL49" s="15"/>
      <c r="KM49" s="15"/>
      <c r="KN49" s="15"/>
      <c r="KO49" s="15"/>
      <c r="KP49" s="15"/>
      <c r="KQ49" s="15"/>
      <c r="KR49" s="15"/>
      <c r="KS49" s="15"/>
      <c r="KT49" s="15"/>
      <c r="KU49" s="15"/>
      <c r="KV49" s="15"/>
      <c r="KW49" s="15"/>
      <c r="KX49" s="15"/>
      <c r="KY49" s="15"/>
      <c r="KZ49" s="15"/>
      <c r="LA49" s="15"/>
      <c r="LB49" s="15"/>
      <c r="LC49" s="15"/>
      <c r="LD49" s="15"/>
      <c r="LE49" s="15"/>
      <c r="LF49" s="15"/>
      <c r="LG49" s="15"/>
      <c r="LH49" s="15"/>
      <c r="LI49" s="15"/>
      <c r="LJ49" s="15"/>
      <c r="LK49" s="15"/>
      <c r="LL49" s="15"/>
      <c r="LM49" s="15"/>
      <c r="LN49" s="15"/>
      <c r="LO49" s="15"/>
      <c r="LP49" s="15"/>
      <c r="LQ49" s="15"/>
      <c r="LR49" s="15"/>
      <c r="LS49" s="15"/>
      <c r="LT49" s="15"/>
      <c r="LU49" s="15"/>
      <c r="LV49" s="15"/>
      <c r="LW49" s="15"/>
      <c r="LX49" s="15"/>
      <c r="LY49" s="15"/>
      <c r="LZ49" s="15"/>
      <c r="MA49" s="15"/>
      <c r="MB49" s="15"/>
      <c r="MC49" s="15"/>
      <c r="MD49" s="15"/>
      <c r="ME49" s="15"/>
      <c r="MF49" s="15"/>
      <c r="MG49" s="15"/>
      <c r="MH49" s="15"/>
      <c r="MI49" s="15"/>
      <c r="MJ49" s="15"/>
      <c r="MK49" s="15"/>
      <c r="ML49" s="15"/>
      <c r="MM49" s="15"/>
      <c r="MN49" s="15"/>
      <c r="MO49" s="15"/>
      <c r="MP49" s="15"/>
      <c r="MQ49" s="15"/>
      <c r="MR49" s="15"/>
      <c r="MS49" s="15"/>
      <c r="MT49" s="15"/>
      <c r="MU49" s="15"/>
      <c r="MV49" s="15"/>
      <c r="MW49" s="15"/>
    </row>
    <row r="50" ht="41.25" customHeight="1">
      <c r="A50" s="13" t="s">
        <v>49</v>
      </c>
      <c r="B50" s="14" t="s">
        <v>10049</v>
      </c>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s="15"/>
      <c r="LB50" s="15"/>
      <c r="LC50" s="15"/>
      <c r="LD50" s="15"/>
      <c r="LE50" s="15"/>
      <c r="LF50" s="15"/>
      <c r="LG50" s="15"/>
      <c r="LH50" s="15"/>
      <c r="LI50" s="15"/>
      <c r="LJ50" s="15"/>
      <c r="LK50" s="15"/>
      <c r="LL50" s="15"/>
      <c r="LM50" s="15"/>
      <c r="LN50" s="15"/>
      <c r="LO50" s="15"/>
      <c r="LP50" s="15"/>
      <c r="LQ50" s="15"/>
      <c r="LR50" s="15"/>
      <c r="LS50" s="15"/>
      <c r="LT50" s="15"/>
      <c r="LU50" s="15"/>
      <c r="LV50" s="15"/>
      <c r="LW50" s="15"/>
      <c r="LX50" s="15"/>
      <c r="LY50" s="15"/>
      <c r="LZ50" s="15"/>
      <c r="MA50" s="15"/>
      <c r="MB50" s="15"/>
      <c r="MC50" s="15"/>
      <c r="MD50" s="15"/>
      <c r="ME50" s="15"/>
      <c r="MF50" s="15"/>
      <c r="MG50" s="15"/>
      <c r="MH50" s="15"/>
      <c r="MI50" s="15"/>
      <c r="MJ50" s="15"/>
      <c r="MK50" s="15"/>
      <c r="ML50" s="15"/>
      <c r="MM50" s="15"/>
      <c r="MN50" s="15"/>
      <c r="MO50" s="15"/>
      <c r="MP50" s="15"/>
      <c r="MQ50" s="15"/>
      <c r="MR50" s="15"/>
      <c r="MS50" s="15"/>
      <c r="MT50" s="15"/>
      <c r="MU50" s="15"/>
      <c r="MV50" s="15"/>
      <c r="MW50" s="15"/>
    </row>
    <row r="51" ht="119.25" customHeight="1">
      <c r="A51" s="13" t="s">
        <v>50</v>
      </c>
      <c r="B51" s="14" t="s">
        <v>10050</v>
      </c>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row>
    <row r="52" ht="41.25" customHeight="1">
      <c r="A52" s="13" t="s">
        <v>51</v>
      </c>
      <c r="B52" s="14" t="s">
        <v>10051</v>
      </c>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row>
    <row r="53" ht="119.25" customHeight="1">
      <c r="A53" s="13" t="s">
        <v>52</v>
      </c>
      <c r="B53" s="14" t="s">
        <v>10052</v>
      </c>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row>
    <row r="54" ht="41.25" customHeight="1">
      <c r="A54" s="13" t="s">
        <v>53</v>
      </c>
      <c r="B54" s="14" t="s">
        <v>10053</v>
      </c>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row>
    <row r="55" ht="119.25" customHeight="1">
      <c r="A55" s="13" t="s">
        <v>54</v>
      </c>
      <c r="B55" s="14" t="s">
        <v>10054</v>
      </c>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c r="IX55" s="15"/>
      <c r="IY55" s="15"/>
      <c r="IZ55" s="15"/>
      <c r="JA55" s="15"/>
      <c r="JB55" s="15"/>
      <c r="JC55" s="15"/>
      <c r="JD55" s="15"/>
      <c r="JE55" s="15"/>
      <c r="JF55" s="15"/>
      <c r="JG55" s="15"/>
      <c r="JH55" s="15"/>
      <c r="JI55" s="15"/>
      <c r="JJ55" s="15"/>
      <c r="JK55" s="15"/>
      <c r="JL55" s="15"/>
      <c r="JM55" s="15"/>
      <c r="JN55" s="15"/>
      <c r="JO55" s="15"/>
      <c r="JP55" s="15"/>
      <c r="JQ55" s="15"/>
      <c r="JR55" s="15"/>
      <c r="JS55" s="15"/>
      <c r="JT55" s="15"/>
      <c r="JU55" s="15"/>
      <c r="JV55" s="15"/>
      <c r="JW55" s="15"/>
      <c r="JX55" s="15"/>
      <c r="JY55" s="15"/>
      <c r="JZ55" s="15"/>
      <c r="KA55" s="15"/>
      <c r="KB55" s="15"/>
      <c r="KC55" s="15"/>
      <c r="KD55" s="15"/>
      <c r="KE55" s="15"/>
      <c r="KF55" s="15"/>
      <c r="KG55" s="15"/>
      <c r="KH55" s="15"/>
      <c r="KI55" s="15"/>
      <c r="KJ55" s="15"/>
      <c r="KK55" s="15"/>
      <c r="KL55" s="15"/>
      <c r="KM55" s="15"/>
      <c r="KN55" s="15"/>
      <c r="KO55" s="15"/>
      <c r="KP55" s="15"/>
      <c r="KQ55" s="15"/>
      <c r="KR55" s="15"/>
      <c r="KS55" s="15"/>
      <c r="KT55" s="15"/>
      <c r="KU55" s="15"/>
      <c r="KV55" s="15"/>
      <c r="KW55" s="15"/>
      <c r="KX55" s="15"/>
      <c r="KY55" s="15"/>
      <c r="KZ55" s="15"/>
      <c r="LA55" s="15"/>
      <c r="LB55" s="15"/>
      <c r="LC55" s="15"/>
      <c r="LD55" s="15"/>
      <c r="LE55" s="15"/>
      <c r="LF55" s="15"/>
      <c r="LG55" s="15"/>
      <c r="LH55" s="15"/>
      <c r="LI55" s="15"/>
      <c r="LJ55" s="15"/>
      <c r="LK55" s="15"/>
      <c r="LL55" s="15"/>
      <c r="LM55" s="15"/>
      <c r="LN55" s="15"/>
      <c r="LO55" s="15"/>
      <c r="LP55" s="15"/>
      <c r="LQ55" s="15"/>
      <c r="LR55" s="15"/>
      <c r="LS55" s="15"/>
      <c r="LT55" s="15"/>
      <c r="LU55" s="15"/>
      <c r="LV55" s="15"/>
      <c r="LW55" s="15"/>
      <c r="LX55" s="15"/>
      <c r="LY55" s="15"/>
      <c r="LZ55" s="15"/>
      <c r="MA55" s="15"/>
      <c r="MB55" s="15"/>
      <c r="MC55" s="15"/>
      <c r="MD55" s="15"/>
      <c r="ME55" s="15"/>
      <c r="MF55" s="15"/>
      <c r="MG55" s="15"/>
      <c r="MH55" s="15"/>
      <c r="MI55" s="15"/>
      <c r="MJ55" s="15"/>
      <c r="MK55" s="15"/>
      <c r="ML55" s="15"/>
      <c r="MM55" s="15"/>
      <c r="MN55" s="15"/>
      <c r="MO55" s="15"/>
      <c r="MP55" s="15"/>
      <c r="MQ55" s="15"/>
      <c r="MR55" s="15"/>
      <c r="MS55" s="15"/>
      <c r="MT55" s="15"/>
      <c r="MU55" s="15"/>
      <c r="MV55" s="15"/>
      <c r="MW55" s="15"/>
    </row>
    <row r="56" ht="41.25" customHeight="1">
      <c r="A56" s="13" t="s">
        <v>55</v>
      </c>
      <c r="B56" s="14" t="s">
        <v>10055</v>
      </c>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c r="IX56" s="15"/>
      <c r="IY56" s="15"/>
      <c r="IZ56" s="15"/>
      <c r="JA56" s="15"/>
      <c r="JB56" s="15"/>
      <c r="JC56" s="15"/>
      <c r="JD56" s="15"/>
      <c r="JE56" s="15"/>
      <c r="JF56" s="15"/>
      <c r="JG56" s="15"/>
      <c r="JH56" s="15"/>
      <c r="JI56" s="15"/>
      <c r="JJ56" s="15"/>
      <c r="JK56" s="15"/>
      <c r="JL56" s="15"/>
      <c r="JM56" s="15"/>
      <c r="JN56" s="15"/>
      <c r="JO56" s="15"/>
      <c r="JP56" s="15"/>
      <c r="JQ56" s="15"/>
      <c r="JR56" s="15"/>
      <c r="JS56" s="15"/>
      <c r="JT56" s="15"/>
      <c r="JU56" s="15"/>
      <c r="JV56" s="15"/>
      <c r="JW56" s="15"/>
      <c r="JX56" s="15"/>
      <c r="JY56" s="15"/>
      <c r="JZ56" s="15"/>
      <c r="KA56" s="15"/>
      <c r="KB56" s="15"/>
      <c r="KC56" s="15"/>
      <c r="KD56" s="15"/>
      <c r="KE56" s="15"/>
      <c r="KF56" s="15"/>
      <c r="KG56" s="15"/>
      <c r="KH56" s="15"/>
      <c r="KI56" s="15"/>
      <c r="KJ56" s="15"/>
      <c r="KK56" s="15"/>
      <c r="KL56" s="15"/>
      <c r="KM56" s="15"/>
      <c r="KN56" s="15"/>
      <c r="KO56" s="15"/>
      <c r="KP56" s="15"/>
      <c r="KQ56" s="15"/>
      <c r="KR56" s="15"/>
      <c r="KS56" s="15"/>
      <c r="KT56" s="15"/>
      <c r="KU56" s="15"/>
      <c r="KV56" s="15"/>
      <c r="KW56" s="15"/>
      <c r="KX56" s="15"/>
      <c r="KY56" s="15"/>
      <c r="KZ56" s="15"/>
      <c r="LA56" s="15"/>
      <c r="LB56" s="15"/>
      <c r="LC56" s="15"/>
      <c r="LD56" s="15"/>
      <c r="LE56" s="15"/>
      <c r="LF56" s="15"/>
      <c r="LG56" s="15"/>
      <c r="LH56" s="15"/>
      <c r="LI56" s="15"/>
      <c r="LJ56" s="15"/>
      <c r="LK56" s="15"/>
      <c r="LL56" s="15"/>
      <c r="LM56" s="15"/>
      <c r="LN56" s="15"/>
      <c r="LO56" s="15"/>
      <c r="LP56" s="15"/>
      <c r="LQ56" s="15"/>
      <c r="LR56" s="15"/>
      <c r="LS56" s="15"/>
      <c r="LT56" s="15"/>
      <c r="LU56" s="15"/>
      <c r="LV56" s="15"/>
      <c r="LW56" s="15"/>
      <c r="LX56" s="15"/>
      <c r="LY56" s="15"/>
      <c r="LZ56" s="15"/>
      <c r="MA56" s="15"/>
      <c r="MB56" s="15"/>
      <c r="MC56" s="15"/>
      <c r="MD56" s="15"/>
      <c r="ME56" s="15"/>
      <c r="MF56" s="15"/>
      <c r="MG56" s="15"/>
      <c r="MH56" s="15"/>
      <c r="MI56" s="15"/>
      <c r="MJ56" s="15"/>
      <c r="MK56" s="15"/>
      <c r="ML56" s="15"/>
      <c r="MM56" s="15"/>
      <c r="MN56" s="15"/>
      <c r="MO56" s="15"/>
      <c r="MP56" s="15"/>
      <c r="MQ56" s="15"/>
      <c r="MR56" s="15"/>
      <c r="MS56" s="15"/>
      <c r="MT56" s="15"/>
      <c r="MU56" s="15"/>
      <c r="MV56" s="15"/>
      <c r="MW56" s="15"/>
    </row>
    <row r="57" ht="119.25" customHeight="1">
      <c r="A57" s="13" t="s">
        <v>56</v>
      </c>
      <c r="B57" s="14" t="s">
        <v>10056</v>
      </c>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row>
    <row r="58" ht="41.25" customHeight="1">
      <c r="A58" s="13" t="s">
        <v>57</v>
      </c>
      <c r="B58" s="14" t="s">
        <v>10057</v>
      </c>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row>
    <row r="59" ht="119.25" customHeight="1">
      <c r="A59" s="13" t="s">
        <v>58</v>
      </c>
      <c r="B59" s="14" t="s">
        <v>10058</v>
      </c>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row>
    <row r="60" ht="41.25" customHeight="1">
      <c r="A60" s="13" t="s">
        <v>59</v>
      </c>
      <c r="B60" s="14" t="s">
        <v>10059</v>
      </c>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row>
    <row r="61" ht="119.25" customHeight="1">
      <c r="A61" s="13" t="s">
        <v>60</v>
      </c>
      <c r="B61" s="14" t="s">
        <v>10060</v>
      </c>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row>
    <row r="62" ht="41.25" customHeight="1">
      <c r="A62" s="13" t="s">
        <v>61</v>
      </c>
      <c r="B62" s="14" t="s">
        <v>10061</v>
      </c>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row>
    <row r="63" ht="119.25" customHeight="1">
      <c r="A63" s="13" t="s">
        <v>62</v>
      </c>
      <c r="B63" s="14" t="s">
        <v>10062</v>
      </c>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row>
    <row r="64" ht="41.25" customHeight="1">
      <c r="A64" s="13" t="s">
        <v>63</v>
      </c>
      <c r="B64" s="14" t="s">
        <v>10063</v>
      </c>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row>
    <row r="65" ht="119.25" customHeight="1">
      <c r="A65" s="13" t="s">
        <v>64</v>
      </c>
      <c r="B65" s="14" t="s">
        <v>10064</v>
      </c>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c r="KL65" s="15"/>
      <c r="KM65" s="15"/>
      <c r="KN65" s="15"/>
      <c r="KO65" s="15"/>
      <c r="KP65" s="15"/>
      <c r="KQ65" s="15"/>
      <c r="KR65" s="15"/>
      <c r="KS65" s="15"/>
      <c r="KT65" s="15"/>
      <c r="KU65" s="15"/>
      <c r="KV65" s="15"/>
      <c r="KW65" s="15"/>
      <c r="KX65" s="15"/>
      <c r="KY65" s="15"/>
      <c r="KZ65" s="15"/>
      <c r="LA65" s="15"/>
      <c r="LB65" s="15"/>
      <c r="LC65" s="15"/>
      <c r="LD65" s="15"/>
      <c r="LE65" s="15"/>
      <c r="LF65" s="15"/>
      <c r="LG65" s="15"/>
      <c r="LH65" s="15"/>
      <c r="LI65" s="15"/>
      <c r="LJ65" s="15"/>
      <c r="LK65" s="15"/>
      <c r="LL65" s="15"/>
      <c r="LM65" s="15"/>
      <c r="LN65" s="15"/>
      <c r="LO65" s="15"/>
      <c r="LP65" s="15"/>
      <c r="LQ65" s="15"/>
      <c r="LR65" s="15"/>
      <c r="LS65" s="15"/>
      <c r="LT65" s="15"/>
      <c r="LU65" s="15"/>
      <c r="LV65" s="15"/>
      <c r="LW65" s="15"/>
      <c r="LX65" s="15"/>
      <c r="LY65" s="15"/>
      <c r="LZ65" s="15"/>
      <c r="MA65" s="15"/>
      <c r="MB65" s="15"/>
      <c r="MC65" s="15"/>
      <c r="MD65" s="15"/>
      <c r="ME65" s="15"/>
      <c r="MF65" s="15"/>
      <c r="MG65" s="15"/>
      <c r="MH65" s="15"/>
      <c r="MI65" s="15"/>
      <c r="MJ65" s="15"/>
      <c r="MK65" s="15"/>
      <c r="ML65" s="15"/>
      <c r="MM65" s="15"/>
      <c r="MN65" s="15"/>
      <c r="MO65" s="15"/>
      <c r="MP65" s="15"/>
      <c r="MQ65" s="15"/>
      <c r="MR65" s="15"/>
      <c r="MS65" s="15"/>
      <c r="MT65" s="15"/>
      <c r="MU65" s="15"/>
      <c r="MV65" s="15"/>
      <c r="MW65" s="15"/>
    </row>
    <row r="66" ht="41.25" customHeight="1">
      <c r="A66" s="13" t="s">
        <v>10065</v>
      </c>
      <c r="B66" s="14" t="s">
        <v>10066</v>
      </c>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row>
    <row r="67" ht="119.25" customHeight="1">
      <c r="A67" s="13" t="s">
        <v>66</v>
      </c>
      <c r="B67" s="14" t="s">
        <v>10067</v>
      </c>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5"/>
      <c r="JO67" s="15"/>
      <c r="JP67" s="15"/>
      <c r="JQ67" s="15"/>
      <c r="JR67" s="15"/>
      <c r="JS67" s="15"/>
      <c r="JT67" s="15"/>
      <c r="JU67" s="15"/>
      <c r="JV67" s="15"/>
      <c r="JW67" s="15"/>
      <c r="JX67" s="15"/>
      <c r="JY67" s="15"/>
      <c r="JZ67" s="15"/>
      <c r="KA67" s="15"/>
      <c r="KB67" s="15"/>
      <c r="KC67" s="15"/>
      <c r="KD67" s="15"/>
      <c r="KE67" s="15"/>
      <c r="KF67" s="15"/>
      <c r="KG67" s="15"/>
      <c r="KH67" s="15"/>
      <c r="KI67" s="15"/>
      <c r="KJ67" s="15"/>
      <c r="KK67" s="15"/>
      <c r="KL67" s="15"/>
      <c r="KM67" s="15"/>
      <c r="KN67" s="15"/>
      <c r="KO67" s="15"/>
      <c r="KP67" s="15"/>
      <c r="KQ67" s="15"/>
      <c r="KR67" s="15"/>
      <c r="KS67" s="15"/>
      <c r="KT67" s="15"/>
      <c r="KU67" s="15"/>
      <c r="KV67" s="15"/>
      <c r="KW67" s="15"/>
      <c r="KX67" s="15"/>
      <c r="KY67" s="15"/>
      <c r="KZ67" s="15"/>
      <c r="LA67" s="15"/>
      <c r="LB67" s="15"/>
      <c r="LC67" s="15"/>
      <c r="LD67" s="15"/>
      <c r="LE67" s="15"/>
      <c r="LF67" s="15"/>
      <c r="LG67" s="15"/>
      <c r="LH67" s="15"/>
      <c r="LI67" s="15"/>
      <c r="LJ67" s="15"/>
      <c r="LK67" s="15"/>
      <c r="LL67" s="15"/>
      <c r="LM67" s="15"/>
      <c r="LN67" s="15"/>
      <c r="LO67" s="15"/>
      <c r="LP67" s="15"/>
      <c r="LQ67" s="15"/>
      <c r="LR67" s="15"/>
      <c r="LS67" s="15"/>
      <c r="LT67" s="15"/>
      <c r="LU67" s="15"/>
      <c r="LV67" s="15"/>
      <c r="LW67" s="15"/>
      <c r="LX67" s="15"/>
      <c r="LY67" s="15"/>
      <c r="LZ67" s="15"/>
      <c r="MA67" s="15"/>
      <c r="MB67" s="15"/>
      <c r="MC67" s="15"/>
      <c r="MD67" s="15"/>
      <c r="ME67" s="15"/>
      <c r="MF67" s="15"/>
      <c r="MG67" s="15"/>
      <c r="MH67" s="15"/>
      <c r="MI67" s="15"/>
      <c r="MJ67" s="15"/>
      <c r="MK67" s="15"/>
      <c r="ML67" s="15"/>
      <c r="MM67" s="15"/>
      <c r="MN67" s="15"/>
      <c r="MO67" s="15"/>
      <c r="MP67" s="15"/>
      <c r="MQ67" s="15"/>
      <c r="MR67" s="15"/>
      <c r="MS67" s="15"/>
      <c r="MT67" s="15"/>
      <c r="MU67" s="15"/>
      <c r="MV67" s="15"/>
      <c r="MW67" s="15"/>
    </row>
    <row r="68" ht="41.25" customHeight="1">
      <c r="A68" s="13" t="s">
        <v>67</v>
      </c>
      <c r="B68" s="14" t="s">
        <v>10068</v>
      </c>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c r="KL68" s="15"/>
      <c r="KM68" s="15"/>
      <c r="KN68" s="15"/>
      <c r="KO68" s="15"/>
      <c r="KP68" s="15"/>
      <c r="KQ68" s="15"/>
      <c r="KR68" s="15"/>
      <c r="KS68" s="15"/>
      <c r="KT68" s="15"/>
      <c r="KU68" s="15"/>
      <c r="KV68" s="15"/>
      <c r="KW68" s="15"/>
      <c r="KX68" s="15"/>
      <c r="KY68" s="15"/>
      <c r="KZ68" s="15"/>
      <c r="LA68" s="15"/>
      <c r="LB68" s="15"/>
      <c r="LC68" s="15"/>
      <c r="LD68" s="15"/>
      <c r="LE68" s="15"/>
      <c r="LF68" s="15"/>
      <c r="LG68" s="15"/>
      <c r="LH68" s="15"/>
      <c r="LI68" s="15"/>
      <c r="LJ68" s="15"/>
      <c r="LK68" s="15"/>
      <c r="LL68" s="15"/>
      <c r="LM68" s="15"/>
      <c r="LN68" s="15"/>
      <c r="LO68" s="15"/>
      <c r="LP68" s="15"/>
      <c r="LQ68" s="15"/>
      <c r="LR68" s="15"/>
      <c r="LS68" s="15"/>
      <c r="LT68" s="15"/>
      <c r="LU68" s="15"/>
      <c r="LV68" s="15"/>
      <c r="LW68" s="15"/>
      <c r="LX68" s="15"/>
      <c r="LY68" s="15"/>
      <c r="LZ68" s="15"/>
      <c r="MA68" s="15"/>
      <c r="MB68" s="15"/>
      <c r="MC68" s="15"/>
      <c r="MD68" s="15"/>
      <c r="ME68" s="15"/>
      <c r="MF68" s="15"/>
      <c r="MG68" s="15"/>
      <c r="MH68" s="15"/>
      <c r="MI68" s="15"/>
      <c r="MJ68" s="15"/>
      <c r="MK68" s="15"/>
      <c r="ML68" s="15"/>
      <c r="MM68" s="15"/>
      <c r="MN68" s="15"/>
      <c r="MO68" s="15"/>
      <c r="MP68" s="15"/>
      <c r="MQ68" s="15"/>
      <c r="MR68" s="15"/>
      <c r="MS68" s="15"/>
      <c r="MT68" s="15"/>
      <c r="MU68" s="15"/>
      <c r="MV68" s="15"/>
      <c r="MW68" s="15"/>
    </row>
    <row r="69" ht="119.25" customHeight="1">
      <c r="A69" s="13" t="s">
        <v>68</v>
      </c>
      <c r="B69" s="14" t="s">
        <v>10069</v>
      </c>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c r="KL69" s="15"/>
      <c r="KM69" s="15"/>
      <c r="KN69" s="15"/>
      <c r="KO69" s="15"/>
      <c r="KP69" s="15"/>
      <c r="KQ69" s="15"/>
      <c r="KR69" s="15"/>
      <c r="KS69" s="15"/>
      <c r="KT69" s="15"/>
      <c r="KU69" s="15"/>
      <c r="KV69" s="15"/>
      <c r="KW69" s="15"/>
      <c r="KX69" s="15"/>
      <c r="KY69" s="15"/>
      <c r="KZ69" s="15"/>
      <c r="LA69" s="15"/>
      <c r="LB69" s="15"/>
      <c r="LC69" s="15"/>
      <c r="LD69" s="15"/>
      <c r="LE69" s="15"/>
      <c r="LF69" s="15"/>
      <c r="LG69" s="15"/>
      <c r="LH69" s="15"/>
      <c r="LI69" s="15"/>
      <c r="LJ69" s="15"/>
      <c r="LK69" s="15"/>
      <c r="LL69" s="15"/>
      <c r="LM69" s="15"/>
      <c r="LN69" s="15"/>
      <c r="LO69" s="15"/>
      <c r="LP69" s="15"/>
      <c r="LQ69" s="15"/>
      <c r="LR69" s="15"/>
      <c r="LS69" s="15"/>
      <c r="LT69" s="15"/>
      <c r="LU69" s="15"/>
      <c r="LV69" s="15"/>
      <c r="LW69" s="15"/>
      <c r="LX69" s="15"/>
      <c r="LY69" s="15"/>
      <c r="LZ69" s="15"/>
      <c r="MA69" s="15"/>
      <c r="MB69" s="15"/>
      <c r="MC69" s="15"/>
      <c r="MD69" s="15"/>
      <c r="ME69" s="15"/>
      <c r="MF69" s="15"/>
      <c r="MG69" s="15"/>
      <c r="MH69" s="15"/>
      <c r="MI69" s="15"/>
      <c r="MJ69" s="15"/>
      <c r="MK69" s="15"/>
      <c r="ML69" s="15"/>
      <c r="MM69" s="15"/>
      <c r="MN69" s="15"/>
      <c r="MO69" s="15"/>
      <c r="MP69" s="15"/>
      <c r="MQ69" s="15"/>
      <c r="MR69" s="15"/>
      <c r="MS69" s="15"/>
      <c r="MT69" s="15"/>
      <c r="MU69" s="15"/>
      <c r="MV69" s="15"/>
      <c r="MW69" s="15"/>
    </row>
    <row r="70" ht="41.25" customHeight="1">
      <c r="A70" s="13" t="s">
        <v>69</v>
      </c>
      <c r="B70" s="14" t="s">
        <v>10070</v>
      </c>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c r="IN70" s="15"/>
      <c r="IO70" s="15"/>
      <c r="IP70" s="15"/>
      <c r="IQ70" s="15"/>
      <c r="IR70" s="15"/>
      <c r="IS70" s="15"/>
      <c r="IT70" s="15"/>
      <c r="IU70" s="15"/>
      <c r="IV70" s="15"/>
      <c r="IW70" s="15"/>
      <c r="IX70" s="15"/>
      <c r="IY70" s="15"/>
      <c r="IZ70" s="15"/>
      <c r="JA70" s="15"/>
      <c r="JB70" s="15"/>
      <c r="JC70" s="15"/>
      <c r="JD70" s="15"/>
      <c r="JE70" s="15"/>
      <c r="JF70" s="15"/>
      <c r="JG70" s="15"/>
      <c r="JH70" s="15"/>
      <c r="JI70" s="15"/>
      <c r="JJ70" s="15"/>
      <c r="JK70" s="15"/>
      <c r="JL70" s="15"/>
      <c r="JM70" s="15"/>
      <c r="JN70" s="15"/>
      <c r="JO70" s="15"/>
      <c r="JP70" s="15"/>
      <c r="JQ70" s="15"/>
      <c r="JR70" s="15"/>
      <c r="JS70" s="15"/>
      <c r="JT70" s="15"/>
      <c r="JU70" s="15"/>
      <c r="JV70" s="15"/>
      <c r="JW70" s="15"/>
      <c r="JX70" s="15"/>
      <c r="JY70" s="15"/>
      <c r="JZ70" s="15"/>
      <c r="KA70" s="15"/>
      <c r="KB70" s="15"/>
      <c r="KC70" s="15"/>
      <c r="KD70" s="15"/>
      <c r="KE70" s="15"/>
      <c r="KF70" s="15"/>
      <c r="KG70" s="15"/>
      <c r="KH70" s="15"/>
      <c r="KI70" s="15"/>
      <c r="KJ70" s="15"/>
      <c r="KK70" s="15"/>
      <c r="KL70" s="15"/>
      <c r="KM70" s="15"/>
      <c r="KN70" s="15"/>
      <c r="KO70" s="15"/>
      <c r="KP70" s="15"/>
      <c r="KQ70" s="15"/>
      <c r="KR70" s="15"/>
      <c r="KS70" s="15"/>
      <c r="KT70" s="15"/>
      <c r="KU70" s="15"/>
      <c r="KV70" s="15"/>
      <c r="KW70" s="15"/>
      <c r="KX70" s="15"/>
      <c r="KY70" s="15"/>
      <c r="KZ70" s="15"/>
      <c r="LA70" s="15"/>
      <c r="LB70" s="15"/>
      <c r="LC70" s="15"/>
      <c r="LD70" s="15"/>
      <c r="LE70" s="15"/>
      <c r="LF70" s="15"/>
      <c r="LG70" s="15"/>
      <c r="LH70" s="15"/>
      <c r="LI70" s="15"/>
      <c r="LJ70" s="15"/>
      <c r="LK70" s="15"/>
      <c r="LL70" s="15"/>
      <c r="LM70" s="15"/>
      <c r="LN70" s="15"/>
      <c r="LO70" s="15"/>
      <c r="LP70" s="15"/>
      <c r="LQ70" s="15"/>
      <c r="LR70" s="15"/>
      <c r="LS70" s="15"/>
      <c r="LT70" s="15"/>
      <c r="LU70" s="15"/>
      <c r="LV70" s="15"/>
      <c r="LW70" s="15"/>
      <c r="LX70" s="15"/>
      <c r="LY70" s="15"/>
      <c r="LZ70" s="15"/>
      <c r="MA70" s="15"/>
      <c r="MB70" s="15"/>
      <c r="MC70" s="15"/>
      <c r="MD70" s="15"/>
      <c r="ME70" s="15"/>
      <c r="MF70" s="15"/>
      <c r="MG70" s="15"/>
      <c r="MH70" s="15"/>
      <c r="MI70" s="15"/>
      <c r="MJ70" s="15"/>
      <c r="MK70" s="15"/>
      <c r="ML70" s="15"/>
      <c r="MM70" s="15"/>
      <c r="MN70" s="15"/>
      <c r="MO70" s="15"/>
      <c r="MP70" s="15"/>
      <c r="MQ70" s="15"/>
      <c r="MR70" s="15"/>
      <c r="MS70" s="15"/>
      <c r="MT70" s="15"/>
      <c r="MU70" s="15"/>
      <c r="MV70" s="15"/>
      <c r="MW70" s="15"/>
    </row>
    <row r="71" ht="119.25" customHeight="1">
      <c r="A71" s="13" t="s">
        <v>70</v>
      </c>
      <c r="B71" s="14" t="s">
        <v>10071</v>
      </c>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c r="IW71" s="15"/>
      <c r="IX71" s="15"/>
      <c r="IY71" s="15"/>
      <c r="IZ71" s="15"/>
      <c r="JA71" s="15"/>
      <c r="JB71" s="15"/>
      <c r="JC71" s="15"/>
      <c r="JD71" s="15"/>
      <c r="JE71" s="15"/>
      <c r="JF71" s="15"/>
      <c r="JG71" s="15"/>
      <c r="JH71" s="15"/>
      <c r="JI71" s="15"/>
      <c r="JJ71" s="15"/>
      <c r="JK71" s="15"/>
      <c r="JL71" s="15"/>
      <c r="JM71" s="15"/>
      <c r="JN71" s="15"/>
      <c r="JO71" s="15"/>
      <c r="JP71" s="15"/>
      <c r="JQ71" s="15"/>
      <c r="JR71" s="15"/>
      <c r="JS71" s="15"/>
      <c r="JT71" s="15"/>
      <c r="JU71" s="15"/>
      <c r="JV71" s="15"/>
      <c r="JW71" s="15"/>
      <c r="JX71" s="15"/>
      <c r="JY71" s="15"/>
      <c r="JZ71" s="15"/>
      <c r="KA71" s="15"/>
      <c r="KB71" s="15"/>
      <c r="KC71" s="15"/>
      <c r="KD71" s="15"/>
      <c r="KE71" s="15"/>
      <c r="KF71" s="15"/>
      <c r="KG71" s="15"/>
      <c r="KH71" s="15"/>
      <c r="KI71" s="15"/>
      <c r="KJ71" s="15"/>
      <c r="KK71" s="15"/>
      <c r="KL71" s="15"/>
      <c r="KM71" s="15"/>
      <c r="KN71" s="15"/>
      <c r="KO71" s="15"/>
      <c r="KP71" s="15"/>
      <c r="KQ71" s="15"/>
      <c r="KR71" s="15"/>
      <c r="KS71" s="15"/>
      <c r="KT71" s="15"/>
      <c r="KU71" s="15"/>
      <c r="KV71" s="15"/>
      <c r="KW71" s="15"/>
      <c r="KX71" s="15"/>
      <c r="KY71" s="15"/>
      <c r="KZ71" s="15"/>
      <c r="LA71" s="15"/>
      <c r="LB71" s="15"/>
      <c r="LC71" s="15"/>
      <c r="LD71" s="15"/>
      <c r="LE71" s="15"/>
      <c r="LF71" s="15"/>
      <c r="LG71" s="15"/>
      <c r="LH71" s="15"/>
      <c r="LI71" s="15"/>
      <c r="LJ71" s="15"/>
      <c r="LK71" s="15"/>
      <c r="LL71" s="15"/>
      <c r="LM71" s="15"/>
      <c r="LN71" s="15"/>
      <c r="LO71" s="15"/>
      <c r="LP71" s="15"/>
      <c r="LQ71" s="15"/>
      <c r="LR71" s="15"/>
      <c r="LS71" s="15"/>
      <c r="LT71" s="15"/>
      <c r="LU71" s="15"/>
      <c r="LV71" s="15"/>
      <c r="LW71" s="15"/>
      <c r="LX71" s="15"/>
      <c r="LY71" s="15"/>
      <c r="LZ71" s="15"/>
      <c r="MA71" s="15"/>
      <c r="MB71" s="15"/>
      <c r="MC71" s="15"/>
      <c r="MD71" s="15"/>
      <c r="ME71" s="15"/>
      <c r="MF71" s="15"/>
      <c r="MG71" s="15"/>
      <c r="MH71" s="15"/>
      <c r="MI71" s="15"/>
      <c r="MJ71" s="15"/>
      <c r="MK71" s="15"/>
      <c r="ML71" s="15"/>
      <c r="MM71" s="15"/>
      <c r="MN71" s="15"/>
      <c r="MO71" s="15"/>
      <c r="MP71" s="15"/>
      <c r="MQ71" s="15"/>
      <c r="MR71" s="15"/>
      <c r="MS71" s="15"/>
      <c r="MT71" s="15"/>
      <c r="MU71" s="15"/>
      <c r="MV71" s="15"/>
      <c r="MW71" s="15"/>
    </row>
    <row r="72" ht="41.25" customHeight="1">
      <c r="A72" s="13" t="s">
        <v>71</v>
      </c>
      <c r="B72" s="14" t="s">
        <v>10072</v>
      </c>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c r="IH72" s="15"/>
      <c r="II72" s="15"/>
      <c r="IJ72" s="15"/>
      <c r="IK72" s="15"/>
      <c r="IL72" s="15"/>
      <c r="IM72" s="15"/>
      <c r="IN72" s="15"/>
      <c r="IO72" s="15"/>
      <c r="IP72" s="15"/>
      <c r="IQ72" s="15"/>
      <c r="IR72" s="15"/>
      <c r="IS72" s="15"/>
      <c r="IT72" s="15"/>
      <c r="IU72" s="15"/>
      <c r="IV72" s="15"/>
      <c r="IW72" s="15"/>
      <c r="IX72" s="15"/>
      <c r="IY72" s="15"/>
      <c r="IZ72" s="15"/>
      <c r="JA72" s="15"/>
      <c r="JB72" s="15"/>
      <c r="JC72" s="15"/>
      <c r="JD72" s="15"/>
      <c r="JE72" s="15"/>
      <c r="JF72" s="15"/>
      <c r="JG72" s="15"/>
      <c r="JH72" s="15"/>
      <c r="JI72" s="15"/>
      <c r="JJ72" s="15"/>
      <c r="JK72" s="15"/>
      <c r="JL72" s="15"/>
      <c r="JM72" s="15"/>
      <c r="JN72" s="15"/>
      <c r="JO72" s="15"/>
      <c r="JP72" s="15"/>
      <c r="JQ72" s="15"/>
      <c r="JR72" s="15"/>
      <c r="JS72" s="15"/>
      <c r="JT72" s="15"/>
      <c r="JU72" s="15"/>
      <c r="JV72" s="15"/>
      <c r="JW72" s="15"/>
      <c r="JX72" s="15"/>
      <c r="JY72" s="15"/>
      <c r="JZ72" s="15"/>
      <c r="KA72" s="15"/>
      <c r="KB72" s="15"/>
      <c r="KC72" s="15"/>
      <c r="KD72" s="15"/>
      <c r="KE72" s="15"/>
      <c r="KF72" s="15"/>
      <c r="KG72" s="15"/>
      <c r="KH72" s="15"/>
      <c r="KI72" s="15"/>
      <c r="KJ72" s="15"/>
      <c r="KK72" s="15"/>
      <c r="KL72" s="15"/>
      <c r="KM72" s="15"/>
      <c r="KN72" s="15"/>
      <c r="KO72" s="15"/>
      <c r="KP72" s="15"/>
      <c r="KQ72" s="15"/>
      <c r="KR72" s="15"/>
      <c r="KS72" s="15"/>
      <c r="KT72" s="15"/>
      <c r="KU72" s="15"/>
      <c r="KV72" s="15"/>
      <c r="KW72" s="15"/>
      <c r="KX72" s="15"/>
      <c r="KY72" s="15"/>
      <c r="KZ72" s="15"/>
      <c r="LA72" s="15"/>
      <c r="LB72" s="15"/>
      <c r="LC72" s="15"/>
      <c r="LD72" s="15"/>
      <c r="LE72" s="15"/>
      <c r="LF72" s="15"/>
      <c r="LG72" s="15"/>
      <c r="LH72" s="15"/>
      <c r="LI72" s="15"/>
      <c r="LJ72" s="15"/>
      <c r="LK72" s="15"/>
      <c r="LL72" s="15"/>
      <c r="LM72" s="15"/>
      <c r="LN72" s="15"/>
      <c r="LO72" s="15"/>
      <c r="LP72" s="15"/>
      <c r="LQ72" s="15"/>
      <c r="LR72" s="15"/>
      <c r="LS72" s="15"/>
      <c r="LT72" s="15"/>
      <c r="LU72" s="15"/>
      <c r="LV72" s="15"/>
      <c r="LW72" s="15"/>
      <c r="LX72" s="15"/>
      <c r="LY72" s="15"/>
      <c r="LZ72" s="15"/>
      <c r="MA72" s="15"/>
      <c r="MB72" s="15"/>
      <c r="MC72" s="15"/>
      <c r="MD72" s="15"/>
      <c r="ME72" s="15"/>
      <c r="MF72" s="15"/>
      <c r="MG72" s="15"/>
      <c r="MH72" s="15"/>
      <c r="MI72" s="15"/>
      <c r="MJ72" s="15"/>
      <c r="MK72" s="15"/>
      <c r="ML72" s="15"/>
      <c r="MM72" s="15"/>
      <c r="MN72" s="15"/>
      <c r="MO72" s="15"/>
      <c r="MP72" s="15"/>
      <c r="MQ72" s="15"/>
      <c r="MR72" s="15"/>
      <c r="MS72" s="15"/>
      <c r="MT72" s="15"/>
      <c r="MU72" s="15"/>
      <c r="MV72" s="15"/>
      <c r="MW72" s="15"/>
    </row>
    <row r="73" ht="119.25" customHeight="1">
      <c r="A73" s="13" t="s">
        <v>72</v>
      </c>
      <c r="B73" s="14" t="s">
        <v>10073</v>
      </c>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c r="IX73" s="15"/>
      <c r="IY73" s="15"/>
      <c r="IZ73" s="15"/>
      <c r="JA73" s="15"/>
      <c r="JB73" s="15"/>
      <c r="JC73" s="15"/>
      <c r="JD73" s="15"/>
      <c r="JE73" s="15"/>
      <c r="JF73" s="15"/>
      <c r="JG73" s="15"/>
      <c r="JH73" s="15"/>
      <c r="JI73" s="15"/>
      <c r="JJ73" s="15"/>
      <c r="JK73" s="15"/>
      <c r="JL73" s="15"/>
      <c r="JM73" s="15"/>
      <c r="JN73" s="15"/>
      <c r="JO73" s="15"/>
      <c r="JP73" s="15"/>
      <c r="JQ73" s="15"/>
      <c r="JR73" s="15"/>
      <c r="JS73" s="15"/>
      <c r="JT73" s="15"/>
      <c r="JU73" s="15"/>
      <c r="JV73" s="15"/>
      <c r="JW73" s="15"/>
      <c r="JX73" s="15"/>
      <c r="JY73" s="15"/>
      <c r="JZ73" s="15"/>
      <c r="KA73" s="15"/>
      <c r="KB73" s="15"/>
      <c r="KC73" s="15"/>
      <c r="KD73" s="15"/>
      <c r="KE73" s="15"/>
      <c r="KF73" s="15"/>
      <c r="KG73" s="15"/>
      <c r="KH73" s="15"/>
      <c r="KI73" s="15"/>
      <c r="KJ73" s="15"/>
      <c r="KK73" s="15"/>
      <c r="KL73" s="15"/>
      <c r="KM73" s="15"/>
      <c r="KN73" s="15"/>
      <c r="KO73" s="15"/>
      <c r="KP73" s="15"/>
      <c r="KQ73" s="15"/>
      <c r="KR73" s="15"/>
      <c r="KS73" s="15"/>
      <c r="KT73" s="15"/>
      <c r="KU73" s="15"/>
      <c r="KV73" s="15"/>
      <c r="KW73" s="15"/>
      <c r="KX73" s="15"/>
      <c r="KY73" s="15"/>
      <c r="KZ73" s="15"/>
      <c r="LA73" s="15"/>
      <c r="LB73" s="15"/>
      <c r="LC73" s="15"/>
      <c r="LD73" s="15"/>
      <c r="LE73" s="15"/>
      <c r="LF73" s="15"/>
      <c r="LG73" s="15"/>
      <c r="LH73" s="15"/>
      <c r="LI73" s="15"/>
      <c r="LJ73" s="15"/>
      <c r="LK73" s="15"/>
      <c r="LL73" s="15"/>
      <c r="LM73" s="15"/>
      <c r="LN73" s="15"/>
      <c r="LO73" s="15"/>
      <c r="LP73" s="15"/>
      <c r="LQ73" s="15"/>
      <c r="LR73" s="15"/>
      <c r="LS73" s="15"/>
      <c r="LT73" s="15"/>
      <c r="LU73" s="15"/>
      <c r="LV73" s="15"/>
      <c r="LW73" s="15"/>
      <c r="LX73" s="15"/>
      <c r="LY73" s="15"/>
      <c r="LZ73" s="15"/>
      <c r="MA73" s="15"/>
      <c r="MB73" s="15"/>
      <c r="MC73" s="15"/>
      <c r="MD73" s="15"/>
      <c r="ME73" s="15"/>
      <c r="MF73" s="15"/>
      <c r="MG73" s="15"/>
      <c r="MH73" s="15"/>
      <c r="MI73" s="15"/>
      <c r="MJ73" s="15"/>
      <c r="MK73" s="15"/>
      <c r="ML73" s="15"/>
      <c r="MM73" s="15"/>
      <c r="MN73" s="15"/>
      <c r="MO73" s="15"/>
      <c r="MP73" s="15"/>
      <c r="MQ73" s="15"/>
      <c r="MR73" s="15"/>
      <c r="MS73" s="15"/>
      <c r="MT73" s="15"/>
      <c r="MU73" s="15"/>
      <c r="MV73" s="15"/>
      <c r="MW73" s="15"/>
    </row>
    <row r="74" ht="41.25" customHeight="1">
      <c r="A74" s="13" t="s">
        <v>73</v>
      </c>
      <c r="B74" s="14" t="s">
        <v>10074</v>
      </c>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c r="IH74" s="15"/>
      <c r="II74" s="15"/>
      <c r="IJ74" s="15"/>
      <c r="IK74" s="15"/>
      <c r="IL74" s="15"/>
      <c r="IM74" s="15"/>
      <c r="IN74" s="15"/>
      <c r="IO74" s="15"/>
      <c r="IP74" s="15"/>
      <c r="IQ74" s="15"/>
      <c r="IR74" s="15"/>
      <c r="IS74" s="15"/>
      <c r="IT74" s="15"/>
      <c r="IU74" s="15"/>
      <c r="IV74" s="15"/>
      <c r="IW74" s="15"/>
      <c r="IX74" s="15"/>
      <c r="IY74" s="15"/>
      <c r="IZ74" s="15"/>
      <c r="JA74" s="15"/>
      <c r="JB74" s="15"/>
      <c r="JC74" s="15"/>
      <c r="JD74" s="15"/>
      <c r="JE74" s="15"/>
      <c r="JF74" s="15"/>
      <c r="JG74" s="15"/>
      <c r="JH74" s="15"/>
      <c r="JI74" s="15"/>
      <c r="JJ74" s="15"/>
      <c r="JK74" s="15"/>
      <c r="JL74" s="15"/>
      <c r="JM74" s="15"/>
      <c r="JN74" s="15"/>
      <c r="JO74" s="15"/>
      <c r="JP74" s="15"/>
      <c r="JQ74" s="15"/>
      <c r="JR74" s="15"/>
      <c r="JS74" s="15"/>
      <c r="JT74" s="15"/>
      <c r="JU74" s="15"/>
      <c r="JV74" s="15"/>
      <c r="JW74" s="15"/>
      <c r="JX74" s="15"/>
      <c r="JY74" s="15"/>
      <c r="JZ74" s="15"/>
      <c r="KA74" s="15"/>
      <c r="KB74" s="15"/>
      <c r="KC74" s="15"/>
      <c r="KD74" s="15"/>
      <c r="KE74" s="15"/>
      <c r="KF74" s="15"/>
      <c r="KG74" s="15"/>
      <c r="KH74" s="15"/>
      <c r="KI74" s="15"/>
      <c r="KJ74" s="15"/>
      <c r="KK74" s="15"/>
      <c r="KL74" s="15"/>
      <c r="KM74" s="15"/>
      <c r="KN74" s="15"/>
      <c r="KO74" s="15"/>
      <c r="KP74" s="15"/>
      <c r="KQ74" s="15"/>
      <c r="KR74" s="15"/>
      <c r="KS74" s="15"/>
      <c r="KT74" s="15"/>
      <c r="KU74" s="15"/>
      <c r="KV74" s="15"/>
      <c r="KW74" s="15"/>
      <c r="KX74" s="15"/>
      <c r="KY74" s="15"/>
      <c r="KZ74" s="15"/>
      <c r="LA74" s="15"/>
      <c r="LB74" s="15"/>
      <c r="LC74" s="15"/>
      <c r="LD74" s="15"/>
      <c r="LE74" s="15"/>
      <c r="LF74" s="15"/>
      <c r="LG74" s="15"/>
      <c r="LH74" s="15"/>
      <c r="LI74" s="15"/>
      <c r="LJ74" s="15"/>
      <c r="LK74" s="15"/>
      <c r="LL74" s="15"/>
      <c r="LM74" s="15"/>
      <c r="LN74" s="15"/>
      <c r="LO74" s="15"/>
      <c r="LP74" s="15"/>
      <c r="LQ74" s="15"/>
      <c r="LR74" s="15"/>
      <c r="LS74" s="15"/>
      <c r="LT74" s="15"/>
      <c r="LU74" s="15"/>
      <c r="LV74" s="15"/>
      <c r="LW74" s="15"/>
      <c r="LX74" s="15"/>
      <c r="LY74" s="15"/>
      <c r="LZ74" s="15"/>
      <c r="MA74" s="15"/>
      <c r="MB74" s="15"/>
      <c r="MC74" s="15"/>
      <c r="MD74" s="15"/>
      <c r="ME74" s="15"/>
      <c r="MF74" s="15"/>
      <c r="MG74" s="15"/>
      <c r="MH74" s="15"/>
      <c r="MI74" s="15"/>
      <c r="MJ74" s="15"/>
      <c r="MK74" s="15"/>
      <c r="ML74" s="15"/>
      <c r="MM74" s="15"/>
      <c r="MN74" s="15"/>
      <c r="MO74" s="15"/>
      <c r="MP74" s="15"/>
      <c r="MQ74" s="15"/>
      <c r="MR74" s="15"/>
      <c r="MS74" s="15"/>
      <c r="MT74" s="15"/>
      <c r="MU74" s="15"/>
      <c r="MV74" s="15"/>
      <c r="MW74" s="15"/>
    </row>
    <row r="75" ht="119.25" customHeight="1">
      <c r="A75" s="13" t="s">
        <v>74</v>
      </c>
      <c r="B75" s="14" t="s">
        <v>10075</v>
      </c>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c r="IQ75" s="15"/>
      <c r="IR75" s="15"/>
      <c r="IS75" s="15"/>
      <c r="IT75" s="15"/>
      <c r="IU75" s="15"/>
      <c r="IV75" s="15"/>
      <c r="IW75" s="15"/>
      <c r="IX75" s="15"/>
      <c r="IY75" s="15"/>
      <c r="IZ75" s="15"/>
      <c r="JA75" s="15"/>
      <c r="JB75" s="15"/>
      <c r="JC75" s="15"/>
      <c r="JD75" s="15"/>
      <c r="JE75" s="15"/>
      <c r="JF75" s="15"/>
      <c r="JG75" s="15"/>
      <c r="JH75" s="15"/>
      <c r="JI75" s="15"/>
      <c r="JJ75" s="15"/>
      <c r="JK75" s="15"/>
      <c r="JL75" s="15"/>
      <c r="JM75" s="15"/>
      <c r="JN75" s="15"/>
      <c r="JO75" s="15"/>
      <c r="JP75" s="15"/>
      <c r="JQ75" s="15"/>
      <c r="JR75" s="15"/>
      <c r="JS75" s="15"/>
      <c r="JT75" s="15"/>
      <c r="JU75" s="15"/>
      <c r="JV75" s="15"/>
      <c r="JW75" s="15"/>
      <c r="JX75" s="15"/>
      <c r="JY75" s="15"/>
      <c r="JZ75" s="15"/>
      <c r="KA75" s="15"/>
      <c r="KB75" s="15"/>
      <c r="KC75" s="15"/>
      <c r="KD75" s="15"/>
      <c r="KE75" s="15"/>
      <c r="KF75" s="15"/>
      <c r="KG75" s="15"/>
      <c r="KH75" s="15"/>
      <c r="KI75" s="15"/>
      <c r="KJ75" s="15"/>
      <c r="KK75" s="15"/>
      <c r="KL75" s="15"/>
      <c r="KM75" s="15"/>
      <c r="KN75" s="15"/>
      <c r="KO75" s="15"/>
      <c r="KP75" s="15"/>
      <c r="KQ75" s="15"/>
      <c r="KR75" s="15"/>
      <c r="KS75" s="15"/>
      <c r="KT75" s="15"/>
      <c r="KU75" s="15"/>
      <c r="KV75" s="15"/>
      <c r="KW75" s="15"/>
      <c r="KX75" s="15"/>
      <c r="KY75" s="15"/>
      <c r="KZ75" s="15"/>
      <c r="LA75" s="15"/>
      <c r="LB75" s="15"/>
      <c r="LC75" s="15"/>
      <c r="LD75" s="15"/>
      <c r="LE75" s="15"/>
      <c r="LF75" s="15"/>
      <c r="LG75" s="15"/>
      <c r="LH75" s="15"/>
      <c r="LI75" s="15"/>
      <c r="LJ75" s="15"/>
      <c r="LK75" s="15"/>
      <c r="LL75" s="15"/>
      <c r="LM75" s="15"/>
      <c r="LN75" s="15"/>
      <c r="LO75" s="15"/>
      <c r="LP75" s="15"/>
      <c r="LQ75" s="15"/>
      <c r="LR75" s="15"/>
      <c r="LS75" s="15"/>
      <c r="LT75" s="15"/>
      <c r="LU75" s="15"/>
      <c r="LV75" s="15"/>
      <c r="LW75" s="15"/>
      <c r="LX75" s="15"/>
      <c r="LY75" s="15"/>
      <c r="LZ75" s="15"/>
      <c r="MA75" s="15"/>
      <c r="MB75" s="15"/>
      <c r="MC75" s="15"/>
      <c r="MD75" s="15"/>
      <c r="ME75" s="15"/>
      <c r="MF75" s="15"/>
      <c r="MG75" s="15"/>
      <c r="MH75" s="15"/>
      <c r="MI75" s="15"/>
      <c r="MJ75" s="15"/>
      <c r="MK75" s="15"/>
      <c r="ML75" s="15"/>
      <c r="MM75" s="15"/>
      <c r="MN75" s="15"/>
      <c r="MO75" s="15"/>
      <c r="MP75" s="15"/>
      <c r="MQ75" s="15"/>
      <c r="MR75" s="15"/>
      <c r="MS75" s="15"/>
      <c r="MT75" s="15"/>
      <c r="MU75" s="15"/>
      <c r="MV75" s="15"/>
      <c r="MW75" s="15"/>
    </row>
    <row r="76" ht="41.25" customHeight="1">
      <c r="A76" s="13" t="s">
        <v>10076</v>
      </c>
      <c r="B76" s="14" t="s">
        <v>10077</v>
      </c>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c r="IG76" s="15"/>
      <c r="IH76" s="15"/>
      <c r="II76" s="15"/>
      <c r="IJ76" s="15"/>
      <c r="IK76" s="15"/>
      <c r="IL76" s="15"/>
      <c r="IM76" s="15"/>
      <c r="IN76" s="15"/>
      <c r="IO76" s="15"/>
      <c r="IP76" s="15"/>
      <c r="IQ76" s="15"/>
      <c r="IR76" s="15"/>
      <c r="IS76" s="15"/>
      <c r="IT76" s="15"/>
      <c r="IU76" s="15"/>
      <c r="IV76" s="15"/>
      <c r="IW76" s="15"/>
      <c r="IX76" s="15"/>
      <c r="IY76" s="15"/>
      <c r="IZ76" s="15"/>
      <c r="JA76" s="15"/>
      <c r="JB76" s="15"/>
      <c r="JC76" s="15"/>
      <c r="JD76" s="15"/>
      <c r="JE76" s="15"/>
      <c r="JF76" s="15"/>
      <c r="JG76" s="15"/>
      <c r="JH76" s="15"/>
      <c r="JI76" s="15"/>
      <c r="JJ76" s="15"/>
      <c r="JK76" s="15"/>
      <c r="JL76" s="15"/>
      <c r="JM76" s="15"/>
      <c r="JN76" s="15"/>
      <c r="JO76" s="15"/>
      <c r="JP76" s="15"/>
      <c r="JQ76" s="15"/>
      <c r="JR76" s="15"/>
      <c r="JS76" s="15"/>
      <c r="JT76" s="15"/>
      <c r="JU76" s="15"/>
      <c r="JV76" s="15"/>
      <c r="JW76" s="15"/>
      <c r="JX76" s="15"/>
      <c r="JY76" s="15"/>
      <c r="JZ76" s="15"/>
      <c r="KA76" s="15"/>
      <c r="KB76" s="15"/>
      <c r="KC76" s="15"/>
      <c r="KD76" s="15"/>
      <c r="KE76" s="15"/>
      <c r="KF76" s="15"/>
      <c r="KG76" s="15"/>
      <c r="KH76" s="15"/>
      <c r="KI76" s="15"/>
      <c r="KJ76" s="15"/>
      <c r="KK76" s="15"/>
      <c r="KL76" s="15"/>
      <c r="KM76" s="15"/>
      <c r="KN76" s="15"/>
      <c r="KO76" s="15"/>
      <c r="KP76" s="15"/>
      <c r="KQ76" s="15"/>
      <c r="KR76" s="15"/>
      <c r="KS76" s="15"/>
      <c r="KT76" s="15"/>
      <c r="KU76" s="15"/>
      <c r="KV76" s="15"/>
      <c r="KW76" s="15"/>
      <c r="KX76" s="15"/>
      <c r="KY76" s="15"/>
      <c r="KZ76" s="15"/>
      <c r="LA76" s="15"/>
      <c r="LB76" s="15"/>
      <c r="LC76" s="15"/>
      <c r="LD76" s="15"/>
      <c r="LE76" s="15"/>
      <c r="LF76" s="15"/>
      <c r="LG76" s="15"/>
      <c r="LH76" s="15"/>
      <c r="LI76" s="15"/>
      <c r="LJ76" s="15"/>
      <c r="LK76" s="15"/>
      <c r="LL76" s="15"/>
      <c r="LM76" s="15"/>
      <c r="LN76" s="15"/>
      <c r="LO76" s="15"/>
      <c r="LP76" s="15"/>
      <c r="LQ76" s="15"/>
      <c r="LR76" s="15"/>
      <c r="LS76" s="15"/>
      <c r="LT76" s="15"/>
      <c r="LU76" s="15"/>
      <c r="LV76" s="15"/>
      <c r="LW76" s="15"/>
      <c r="LX76" s="15"/>
      <c r="LY76" s="15"/>
      <c r="LZ76" s="15"/>
      <c r="MA76" s="15"/>
      <c r="MB76" s="15"/>
      <c r="MC76" s="15"/>
      <c r="MD76" s="15"/>
      <c r="ME76" s="15"/>
      <c r="MF76" s="15"/>
      <c r="MG76" s="15"/>
      <c r="MH76" s="15"/>
      <c r="MI76" s="15"/>
      <c r="MJ76" s="15"/>
      <c r="MK76" s="15"/>
      <c r="ML76" s="15"/>
      <c r="MM76" s="15"/>
      <c r="MN76" s="15"/>
      <c r="MO76" s="15"/>
      <c r="MP76" s="15"/>
      <c r="MQ76" s="15"/>
      <c r="MR76" s="15"/>
      <c r="MS76" s="15"/>
      <c r="MT76" s="15"/>
      <c r="MU76" s="15"/>
      <c r="MV76" s="15"/>
      <c r="MW76" s="15"/>
    </row>
    <row r="77" ht="119.25" customHeight="1">
      <c r="A77" s="13" t="s">
        <v>76</v>
      </c>
      <c r="B77" s="14" t="s">
        <v>10078</v>
      </c>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c r="IH77" s="15"/>
      <c r="II77" s="15"/>
      <c r="IJ77" s="15"/>
      <c r="IK77" s="15"/>
      <c r="IL77" s="15"/>
      <c r="IM77" s="15"/>
      <c r="IN77" s="15"/>
      <c r="IO77" s="15"/>
      <c r="IP77" s="15"/>
      <c r="IQ77" s="15"/>
      <c r="IR77" s="15"/>
      <c r="IS77" s="15"/>
      <c r="IT77" s="15"/>
      <c r="IU77" s="15"/>
      <c r="IV77" s="15"/>
      <c r="IW77" s="15"/>
      <c r="IX77" s="15"/>
      <c r="IY77" s="15"/>
      <c r="IZ77" s="15"/>
      <c r="JA77" s="15"/>
      <c r="JB77" s="15"/>
      <c r="JC77" s="15"/>
      <c r="JD77" s="15"/>
      <c r="JE77" s="15"/>
      <c r="JF77" s="15"/>
      <c r="JG77" s="15"/>
      <c r="JH77" s="15"/>
      <c r="JI77" s="15"/>
      <c r="JJ77" s="15"/>
      <c r="JK77" s="15"/>
      <c r="JL77" s="15"/>
      <c r="JM77" s="15"/>
      <c r="JN77" s="15"/>
      <c r="JO77" s="15"/>
      <c r="JP77" s="15"/>
      <c r="JQ77" s="15"/>
      <c r="JR77" s="15"/>
      <c r="JS77" s="15"/>
      <c r="JT77" s="15"/>
      <c r="JU77" s="15"/>
      <c r="JV77" s="15"/>
      <c r="JW77" s="15"/>
      <c r="JX77" s="15"/>
      <c r="JY77" s="15"/>
      <c r="JZ77" s="15"/>
      <c r="KA77" s="15"/>
      <c r="KB77" s="15"/>
      <c r="KC77" s="15"/>
      <c r="KD77" s="15"/>
      <c r="KE77" s="15"/>
      <c r="KF77" s="15"/>
      <c r="KG77" s="15"/>
      <c r="KH77" s="15"/>
      <c r="KI77" s="15"/>
      <c r="KJ77" s="15"/>
      <c r="KK77" s="15"/>
      <c r="KL77" s="15"/>
      <c r="KM77" s="15"/>
      <c r="KN77" s="15"/>
      <c r="KO77" s="15"/>
      <c r="KP77" s="15"/>
      <c r="KQ77" s="15"/>
      <c r="KR77" s="15"/>
      <c r="KS77" s="15"/>
      <c r="KT77" s="15"/>
      <c r="KU77" s="15"/>
      <c r="KV77" s="15"/>
      <c r="KW77" s="15"/>
      <c r="KX77" s="15"/>
      <c r="KY77" s="15"/>
      <c r="KZ77" s="15"/>
      <c r="LA77" s="15"/>
      <c r="LB77" s="15"/>
      <c r="LC77" s="15"/>
      <c r="LD77" s="15"/>
      <c r="LE77" s="15"/>
      <c r="LF77" s="15"/>
      <c r="LG77" s="15"/>
      <c r="LH77" s="15"/>
      <c r="LI77" s="15"/>
      <c r="LJ77" s="15"/>
      <c r="LK77" s="15"/>
      <c r="LL77" s="15"/>
      <c r="LM77" s="15"/>
      <c r="LN77" s="15"/>
      <c r="LO77" s="15"/>
      <c r="LP77" s="15"/>
      <c r="LQ77" s="15"/>
      <c r="LR77" s="15"/>
      <c r="LS77" s="15"/>
      <c r="LT77" s="15"/>
      <c r="LU77" s="15"/>
      <c r="LV77" s="15"/>
      <c r="LW77" s="15"/>
      <c r="LX77" s="15"/>
      <c r="LY77" s="15"/>
      <c r="LZ77" s="15"/>
      <c r="MA77" s="15"/>
      <c r="MB77" s="15"/>
      <c r="MC77" s="15"/>
      <c r="MD77" s="15"/>
      <c r="ME77" s="15"/>
      <c r="MF77" s="15"/>
      <c r="MG77" s="15"/>
      <c r="MH77" s="15"/>
      <c r="MI77" s="15"/>
      <c r="MJ77" s="15"/>
      <c r="MK77" s="15"/>
      <c r="ML77" s="15"/>
      <c r="MM77" s="15"/>
      <c r="MN77" s="15"/>
      <c r="MO77" s="15"/>
      <c r="MP77" s="15"/>
      <c r="MQ77" s="15"/>
      <c r="MR77" s="15"/>
      <c r="MS77" s="15"/>
      <c r="MT77" s="15"/>
      <c r="MU77" s="15"/>
      <c r="MV77" s="15"/>
      <c r="MW77" s="15"/>
    </row>
    <row r="78" ht="41.25" customHeight="1">
      <c r="A78" s="13" t="s">
        <v>10079</v>
      </c>
      <c r="B78" s="14" t="s">
        <v>10080</v>
      </c>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c r="IH78" s="15"/>
      <c r="II78" s="15"/>
      <c r="IJ78" s="15"/>
      <c r="IK78" s="15"/>
      <c r="IL78" s="15"/>
      <c r="IM78" s="15"/>
      <c r="IN78" s="15"/>
      <c r="IO78" s="15"/>
      <c r="IP78" s="15"/>
      <c r="IQ78" s="15"/>
      <c r="IR78" s="15"/>
      <c r="IS78" s="15"/>
      <c r="IT78" s="15"/>
      <c r="IU78" s="15"/>
      <c r="IV78" s="15"/>
      <c r="IW78" s="15"/>
      <c r="IX78" s="15"/>
      <c r="IY78" s="15"/>
      <c r="IZ78" s="15"/>
      <c r="JA78" s="15"/>
      <c r="JB78" s="15"/>
      <c r="JC78" s="15"/>
      <c r="JD78" s="15"/>
      <c r="JE78" s="15"/>
      <c r="JF78" s="15"/>
      <c r="JG78" s="15"/>
      <c r="JH78" s="15"/>
      <c r="JI78" s="15"/>
      <c r="JJ78" s="15"/>
      <c r="JK78" s="15"/>
      <c r="JL78" s="15"/>
      <c r="JM78" s="15"/>
      <c r="JN78" s="15"/>
      <c r="JO78" s="15"/>
      <c r="JP78" s="15"/>
      <c r="JQ78" s="15"/>
      <c r="JR78" s="15"/>
      <c r="JS78" s="15"/>
      <c r="JT78" s="15"/>
      <c r="JU78" s="15"/>
      <c r="JV78" s="15"/>
      <c r="JW78" s="15"/>
      <c r="JX78" s="15"/>
      <c r="JY78" s="15"/>
      <c r="JZ78" s="15"/>
      <c r="KA78" s="15"/>
      <c r="KB78" s="15"/>
      <c r="KC78" s="15"/>
      <c r="KD78" s="15"/>
      <c r="KE78" s="15"/>
      <c r="KF78" s="15"/>
      <c r="KG78" s="15"/>
      <c r="KH78" s="15"/>
      <c r="KI78" s="15"/>
      <c r="KJ78" s="15"/>
      <c r="KK78" s="15"/>
      <c r="KL78" s="15"/>
      <c r="KM78" s="15"/>
      <c r="KN78" s="15"/>
      <c r="KO78" s="15"/>
      <c r="KP78" s="15"/>
      <c r="KQ78" s="15"/>
      <c r="KR78" s="15"/>
      <c r="KS78" s="15"/>
      <c r="KT78" s="15"/>
      <c r="KU78" s="15"/>
      <c r="KV78" s="15"/>
      <c r="KW78" s="15"/>
      <c r="KX78" s="15"/>
      <c r="KY78" s="15"/>
      <c r="KZ78" s="15"/>
      <c r="LA78" s="15"/>
      <c r="LB78" s="15"/>
      <c r="LC78" s="15"/>
      <c r="LD78" s="15"/>
      <c r="LE78" s="15"/>
      <c r="LF78" s="15"/>
      <c r="LG78" s="15"/>
      <c r="LH78" s="15"/>
      <c r="LI78" s="15"/>
      <c r="LJ78" s="15"/>
      <c r="LK78" s="15"/>
      <c r="LL78" s="15"/>
      <c r="LM78" s="15"/>
      <c r="LN78" s="15"/>
      <c r="LO78" s="15"/>
      <c r="LP78" s="15"/>
      <c r="LQ78" s="15"/>
      <c r="LR78" s="15"/>
      <c r="LS78" s="15"/>
      <c r="LT78" s="15"/>
      <c r="LU78" s="15"/>
      <c r="LV78" s="15"/>
      <c r="LW78" s="15"/>
      <c r="LX78" s="15"/>
      <c r="LY78" s="15"/>
      <c r="LZ78" s="15"/>
      <c r="MA78" s="15"/>
      <c r="MB78" s="15"/>
      <c r="MC78" s="15"/>
      <c r="MD78" s="15"/>
      <c r="ME78" s="15"/>
      <c r="MF78" s="15"/>
      <c r="MG78" s="15"/>
      <c r="MH78" s="15"/>
      <c r="MI78" s="15"/>
      <c r="MJ78" s="15"/>
      <c r="MK78" s="15"/>
      <c r="ML78" s="15"/>
      <c r="MM78" s="15"/>
      <c r="MN78" s="15"/>
      <c r="MO78" s="15"/>
      <c r="MP78" s="15"/>
      <c r="MQ78" s="15"/>
      <c r="MR78" s="15"/>
      <c r="MS78" s="15"/>
      <c r="MT78" s="15"/>
      <c r="MU78" s="15"/>
      <c r="MV78" s="15"/>
      <c r="MW78" s="15"/>
    </row>
    <row r="79" ht="119.25" customHeight="1">
      <c r="A79" s="13" t="s">
        <v>10081</v>
      </c>
      <c r="B79" s="14" t="s">
        <v>10082</v>
      </c>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c r="IG79" s="15"/>
      <c r="IH79" s="15"/>
      <c r="II79" s="15"/>
      <c r="IJ79" s="15"/>
      <c r="IK79" s="15"/>
      <c r="IL79" s="15"/>
      <c r="IM79" s="15"/>
      <c r="IN79" s="15"/>
      <c r="IO79" s="15"/>
      <c r="IP79" s="15"/>
      <c r="IQ79" s="15"/>
      <c r="IR79" s="15"/>
      <c r="IS79" s="15"/>
      <c r="IT79" s="15"/>
      <c r="IU79" s="15"/>
      <c r="IV79" s="15"/>
      <c r="IW79" s="15"/>
      <c r="IX79" s="15"/>
      <c r="IY79" s="15"/>
      <c r="IZ79" s="15"/>
      <c r="JA79" s="15"/>
      <c r="JB79" s="15"/>
      <c r="JC79" s="15"/>
      <c r="JD79" s="15"/>
      <c r="JE79" s="15"/>
      <c r="JF79" s="15"/>
      <c r="JG79" s="15"/>
      <c r="JH79" s="15"/>
      <c r="JI79" s="15"/>
      <c r="JJ79" s="15"/>
      <c r="JK79" s="15"/>
      <c r="JL79" s="15"/>
      <c r="JM79" s="15"/>
      <c r="JN79" s="15"/>
      <c r="JO79" s="15"/>
      <c r="JP79" s="15"/>
      <c r="JQ79" s="15"/>
      <c r="JR79" s="15"/>
      <c r="JS79" s="15"/>
      <c r="JT79" s="15"/>
      <c r="JU79" s="15"/>
      <c r="JV79" s="15"/>
      <c r="JW79" s="15"/>
      <c r="JX79" s="15"/>
      <c r="JY79" s="15"/>
      <c r="JZ79" s="15"/>
      <c r="KA79" s="15"/>
      <c r="KB79" s="15"/>
      <c r="KC79" s="15"/>
      <c r="KD79" s="15"/>
      <c r="KE79" s="15"/>
      <c r="KF79" s="15"/>
      <c r="KG79" s="15"/>
      <c r="KH79" s="15"/>
      <c r="KI79" s="15"/>
      <c r="KJ79" s="15"/>
      <c r="KK79" s="15"/>
      <c r="KL79" s="15"/>
      <c r="KM79" s="15"/>
      <c r="KN79" s="15"/>
      <c r="KO79" s="15"/>
      <c r="KP79" s="15"/>
      <c r="KQ79" s="15"/>
      <c r="KR79" s="15"/>
      <c r="KS79" s="15"/>
      <c r="KT79" s="15"/>
      <c r="KU79" s="15"/>
      <c r="KV79" s="15"/>
      <c r="KW79" s="15"/>
      <c r="KX79" s="15"/>
      <c r="KY79" s="15"/>
      <c r="KZ79" s="15"/>
      <c r="LA79" s="15"/>
      <c r="LB79" s="15"/>
      <c r="LC79" s="15"/>
      <c r="LD79" s="15"/>
      <c r="LE79" s="15"/>
      <c r="LF79" s="15"/>
      <c r="LG79" s="15"/>
      <c r="LH79" s="15"/>
      <c r="LI79" s="15"/>
      <c r="LJ79" s="15"/>
      <c r="LK79" s="15"/>
      <c r="LL79" s="15"/>
      <c r="LM79" s="15"/>
      <c r="LN79" s="15"/>
      <c r="LO79" s="15"/>
      <c r="LP79" s="15"/>
      <c r="LQ79" s="15"/>
      <c r="LR79" s="15"/>
      <c r="LS79" s="15"/>
      <c r="LT79" s="15"/>
      <c r="LU79" s="15"/>
      <c r="LV79" s="15"/>
      <c r="LW79" s="15"/>
      <c r="LX79" s="15"/>
      <c r="LY79" s="15"/>
      <c r="LZ79" s="15"/>
      <c r="MA79" s="15"/>
      <c r="MB79" s="15"/>
      <c r="MC79" s="15"/>
      <c r="MD79" s="15"/>
      <c r="ME79" s="15"/>
      <c r="MF79" s="15"/>
      <c r="MG79" s="15"/>
      <c r="MH79" s="15"/>
      <c r="MI79" s="15"/>
      <c r="MJ79" s="15"/>
      <c r="MK79" s="15"/>
      <c r="ML79" s="15"/>
      <c r="MM79" s="15"/>
      <c r="MN79" s="15"/>
      <c r="MO79" s="15"/>
      <c r="MP79" s="15"/>
      <c r="MQ79" s="15"/>
      <c r="MR79" s="15"/>
      <c r="MS79" s="15"/>
      <c r="MT79" s="15"/>
      <c r="MU79" s="15"/>
      <c r="MV79" s="15"/>
      <c r="MW79" s="15"/>
    </row>
    <row r="80" ht="41.25" customHeight="1">
      <c r="A80" s="13" t="s">
        <v>79</v>
      </c>
      <c r="B80" s="14" t="s">
        <v>10083</v>
      </c>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15"/>
      <c r="HQ80" s="15"/>
      <c r="HR80" s="15"/>
      <c r="HS80" s="15"/>
      <c r="HT80" s="15"/>
      <c r="HU80" s="15"/>
      <c r="HV80" s="15"/>
      <c r="HW80" s="15"/>
      <c r="HX80" s="15"/>
      <c r="HY80" s="15"/>
      <c r="HZ80" s="15"/>
      <c r="IA80" s="15"/>
      <c r="IB80" s="15"/>
      <c r="IC80" s="15"/>
      <c r="ID80" s="15"/>
      <c r="IE80" s="15"/>
      <c r="IF80" s="15"/>
      <c r="IG80" s="15"/>
      <c r="IH80" s="15"/>
      <c r="II80" s="15"/>
      <c r="IJ80" s="15"/>
      <c r="IK80" s="15"/>
      <c r="IL80" s="15"/>
      <c r="IM80" s="15"/>
      <c r="IN80" s="15"/>
      <c r="IO80" s="15"/>
      <c r="IP80" s="15"/>
      <c r="IQ80" s="15"/>
      <c r="IR80" s="15"/>
      <c r="IS80" s="15"/>
      <c r="IT80" s="15"/>
      <c r="IU80" s="15"/>
      <c r="IV80" s="15"/>
      <c r="IW80" s="15"/>
      <c r="IX80" s="15"/>
      <c r="IY80" s="15"/>
      <c r="IZ80" s="15"/>
      <c r="JA80" s="15"/>
      <c r="JB80" s="15"/>
      <c r="JC80" s="15"/>
      <c r="JD80" s="15"/>
      <c r="JE80" s="15"/>
      <c r="JF80" s="15"/>
      <c r="JG80" s="15"/>
      <c r="JH80" s="15"/>
      <c r="JI80" s="15"/>
      <c r="JJ80" s="15"/>
      <c r="JK80" s="15"/>
      <c r="JL80" s="15"/>
      <c r="JM80" s="15"/>
      <c r="JN80" s="15"/>
      <c r="JO80" s="15"/>
      <c r="JP80" s="15"/>
      <c r="JQ80" s="15"/>
      <c r="JR80" s="15"/>
      <c r="JS80" s="15"/>
      <c r="JT80" s="15"/>
      <c r="JU80" s="15"/>
      <c r="JV80" s="15"/>
      <c r="JW80" s="15"/>
      <c r="JX80" s="15"/>
      <c r="JY80" s="15"/>
      <c r="JZ80" s="15"/>
      <c r="KA80" s="15"/>
      <c r="KB80" s="15"/>
      <c r="KC80" s="15"/>
      <c r="KD80" s="15"/>
      <c r="KE80" s="15"/>
      <c r="KF80" s="15"/>
      <c r="KG80" s="15"/>
      <c r="KH80" s="15"/>
      <c r="KI80" s="15"/>
      <c r="KJ80" s="15"/>
      <c r="KK80" s="15"/>
      <c r="KL80" s="15"/>
      <c r="KM80" s="15"/>
      <c r="KN80" s="15"/>
      <c r="KO80" s="15"/>
      <c r="KP80" s="15"/>
      <c r="KQ80" s="15"/>
      <c r="KR80" s="15"/>
      <c r="KS80" s="15"/>
      <c r="KT80" s="15"/>
      <c r="KU80" s="15"/>
      <c r="KV80" s="15"/>
      <c r="KW80" s="15"/>
      <c r="KX80" s="15"/>
      <c r="KY80" s="15"/>
      <c r="KZ80" s="15"/>
      <c r="LA80" s="15"/>
      <c r="LB80" s="15"/>
      <c r="LC80" s="15"/>
      <c r="LD80" s="15"/>
      <c r="LE80" s="15"/>
      <c r="LF80" s="15"/>
      <c r="LG80" s="15"/>
      <c r="LH80" s="15"/>
      <c r="LI80" s="15"/>
      <c r="LJ80" s="15"/>
      <c r="LK80" s="15"/>
      <c r="LL80" s="15"/>
      <c r="LM80" s="15"/>
      <c r="LN80" s="15"/>
      <c r="LO80" s="15"/>
      <c r="LP80" s="15"/>
      <c r="LQ80" s="15"/>
      <c r="LR80" s="15"/>
      <c r="LS80" s="15"/>
      <c r="LT80" s="15"/>
      <c r="LU80" s="15"/>
      <c r="LV80" s="15"/>
      <c r="LW80" s="15"/>
      <c r="LX80" s="15"/>
      <c r="LY80" s="15"/>
      <c r="LZ80" s="15"/>
      <c r="MA80" s="15"/>
      <c r="MB80" s="15"/>
      <c r="MC80" s="15"/>
      <c r="MD80" s="15"/>
      <c r="ME80" s="15"/>
      <c r="MF80" s="15"/>
      <c r="MG80" s="15"/>
      <c r="MH80" s="15"/>
      <c r="MI80" s="15"/>
      <c r="MJ80" s="15"/>
      <c r="MK80" s="15"/>
      <c r="ML80" s="15"/>
      <c r="MM80" s="15"/>
      <c r="MN80" s="15"/>
      <c r="MO80" s="15"/>
      <c r="MP80" s="15"/>
      <c r="MQ80" s="15"/>
      <c r="MR80" s="15"/>
      <c r="MS80" s="15"/>
      <c r="MT80" s="15"/>
      <c r="MU80" s="15"/>
      <c r="MV80" s="15"/>
      <c r="MW80" s="15"/>
    </row>
    <row r="81" ht="119.25" customHeight="1">
      <c r="A81" s="13" t="s">
        <v>80</v>
      </c>
      <c r="B81" s="14" t="s">
        <v>10084</v>
      </c>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c r="GM81" s="15"/>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c r="HN81" s="15"/>
      <c r="HO81" s="15"/>
      <c r="HP81" s="15"/>
      <c r="HQ81" s="15"/>
      <c r="HR81" s="15"/>
      <c r="HS81" s="15"/>
      <c r="HT81" s="15"/>
      <c r="HU81" s="15"/>
      <c r="HV81" s="15"/>
      <c r="HW81" s="15"/>
      <c r="HX81" s="15"/>
      <c r="HY81" s="15"/>
      <c r="HZ81" s="15"/>
      <c r="IA81" s="15"/>
      <c r="IB81" s="15"/>
      <c r="IC81" s="15"/>
      <c r="ID81" s="15"/>
      <c r="IE81" s="15"/>
      <c r="IF81" s="15"/>
      <c r="IG81" s="15"/>
      <c r="IH81" s="15"/>
      <c r="II81" s="15"/>
      <c r="IJ81" s="15"/>
      <c r="IK81" s="15"/>
      <c r="IL81" s="15"/>
      <c r="IM81" s="15"/>
      <c r="IN81" s="15"/>
      <c r="IO81" s="15"/>
      <c r="IP81" s="15"/>
      <c r="IQ81" s="15"/>
      <c r="IR81" s="15"/>
      <c r="IS81" s="15"/>
      <c r="IT81" s="15"/>
      <c r="IU81" s="15"/>
      <c r="IV81" s="15"/>
      <c r="IW81" s="15"/>
      <c r="IX81" s="15"/>
      <c r="IY81" s="15"/>
      <c r="IZ81" s="15"/>
      <c r="JA81" s="15"/>
      <c r="JB81" s="15"/>
      <c r="JC81" s="15"/>
      <c r="JD81" s="15"/>
      <c r="JE81" s="15"/>
      <c r="JF81" s="15"/>
      <c r="JG81" s="15"/>
      <c r="JH81" s="15"/>
      <c r="JI81" s="15"/>
      <c r="JJ81" s="15"/>
      <c r="JK81" s="15"/>
      <c r="JL81" s="15"/>
      <c r="JM81" s="15"/>
      <c r="JN81" s="15"/>
      <c r="JO81" s="15"/>
      <c r="JP81" s="15"/>
      <c r="JQ81" s="15"/>
      <c r="JR81" s="15"/>
      <c r="JS81" s="15"/>
      <c r="JT81" s="15"/>
      <c r="JU81" s="15"/>
      <c r="JV81" s="15"/>
      <c r="JW81" s="15"/>
      <c r="JX81" s="15"/>
      <c r="JY81" s="15"/>
      <c r="JZ81" s="15"/>
      <c r="KA81" s="15"/>
      <c r="KB81" s="15"/>
      <c r="KC81" s="15"/>
      <c r="KD81" s="15"/>
      <c r="KE81" s="15"/>
      <c r="KF81" s="15"/>
      <c r="KG81" s="15"/>
      <c r="KH81" s="15"/>
      <c r="KI81" s="15"/>
      <c r="KJ81" s="15"/>
      <c r="KK81" s="15"/>
      <c r="KL81" s="15"/>
      <c r="KM81" s="15"/>
      <c r="KN81" s="15"/>
      <c r="KO81" s="15"/>
      <c r="KP81" s="15"/>
      <c r="KQ81" s="15"/>
      <c r="KR81" s="15"/>
      <c r="KS81" s="15"/>
      <c r="KT81" s="15"/>
      <c r="KU81" s="15"/>
      <c r="KV81" s="15"/>
      <c r="KW81" s="15"/>
      <c r="KX81" s="15"/>
      <c r="KY81" s="15"/>
      <c r="KZ81" s="15"/>
      <c r="LA81" s="15"/>
      <c r="LB81" s="15"/>
      <c r="LC81" s="15"/>
      <c r="LD81" s="15"/>
      <c r="LE81" s="15"/>
      <c r="LF81" s="15"/>
      <c r="LG81" s="15"/>
      <c r="LH81" s="15"/>
      <c r="LI81" s="15"/>
      <c r="LJ81" s="15"/>
      <c r="LK81" s="15"/>
      <c r="LL81" s="15"/>
      <c r="LM81" s="15"/>
      <c r="LN81" s="15"/>
      <c r="LO81" s="15"/>
      <c r="LP81" s="15"/>
      <c r="LQ81" s="15"/>
      <c r="LR81" s="15"/>
      <c r="LS81" s="15"/>
      <c r="LT81" s="15"/>
      <c r="LU81" s="15"/>
      <c r="LV81" s="15"/>
      <c r="LW81" s="15"/>
      <c r="LX81" s="15"/>
      <c r="LY81" s="15"/>
      <c r="LZ81" s="15"/>
      <c r="MA81" s="15"/>
      <c r="MB81" s="15"/>
      <c r="MC81" s="15"/>
      <c r="MD81" s="15"/>
      <c r="ME81" s="15"/>
      <c r="MF81" s="15"/>
      <c r="MG81" s="15"/>
      <c r="MH81" s="15"/>
      <c r="MI81" s="15"/>
      <c r="MJ81" s="15"/>
      <c r="MK81" s="15"/>
      <c r="ML81" s="15"/>
      <c r="MM81" s="15"/>
      <c r="MN81" s="15"/>
      <c r="MO81" s="15"/>
      <c r="MP81" s="15"/>
      <c r="MQ81" s="15"/>
      <c r="MR81" s="15"/>
      <c r="MS81" s="15"/>
      <c r="MT81" s="15"/>
      <c r="MU81" s="15"/>
      <c r="MV81" s="15"/>
      <c r="MW81" s="15"/>
    </row>
    <row r="82" ht="41.25" customHeight="1">
      <c r="A82" s="13" t="s">
        <v>81</v>
      </c>
      <c r="B82" s="14" t="s">
        <v>10085</v>
      </c>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c r="GM82" s="15"/>
      <c r="GN82" s="15"/>
      <c r="GO82" s="15"/>
      <c r="GP82" s="15"/>
      <c r="GQ82" s="15"/>
      <c r="GR82" s="15"/>
      <c r="GS82" s="15"/>
      <c r="GT82" s="15"/>
      <c r="GU82" s="15"/>
      <c r="GV82" s="15"/>
      <c r="GW82" s="15"/>
      <c r="GX82" s="15"/>
      <c r="GY82" s="15"/>
      <c r="GZ82" s="15"/>
      <c r="HA82" s="15"/>
      <c r="HB82" s="15"/>
      <c r="HC82" s="15"/>
      <c r="HD82" s="15"/>
      <c r="HE82" s="15"/>
      <c r="HF82" s="15"/>
      <c r="HG82" s="15"/>
      <c r="HH82" s="15"/>
      <c r="HI82" s="15"/>
      <c r="HJ82" s="15"/>
      <c r="HK82" s="15"/>
      <c r="HL82" s="15"/>
      <c r="HM82" s="15"/>
      <c r="HN82" s="15"/>
      <c r="HO82" s="15"/>
      <c r="HP82" s="15"/>
      <c r="HQ82" s="15"/>
      <c r="HR82" s="15"/>
      <c r="HS82" s="15"/>
      <c r="HT82" s="15"/>
      <c r="HU82" s="15"/>
      <c r="HV82" s="15"/>
      <c r="HW82" s="15"/>
      <c r="HX82" s="15"/>
      <c r="HY82" s="15"/>
      <c r="HZ82" s="15"/>
      <c r="IA82" s="15"/>
      <c r="IB82" s="15"/>
      <c r="IC82" s="15"/>
      <c r="ID82" s="15"/>
      <c r="IE82" s="15"/>
      <c r="IF82" s="15"/>
      <c r="IG82" s="15"/>
      <c r="IH82" s="15"/>
      <c r="II82" s="15"/>
      <c r="IJ82" s="15"/>
      <c r="IK82" s="15"/>
      <c r="IL82" s="15"/>
      <c r="IM82" s="15"/>
      <c r="IN82" s="15"/>
      <c r="IO82" s="15"/>
      <c r="IP82" s="15"/>
      <c r="IQ82" s="15"/>
      <c r="IR82" s="15"/>
      <c r="IS82" s="15"/>
      <c r="IT82" s="15"/>
      <c r="IU82" s="15"/>
      <c r="IV82" s="15"/>
      <c r="IW82" s="15"/>
      <c r="IX82" s="15"/>
      <c r="IY82" s="15"/>
      <c r="IZ82" s="15"/>
      <c r="JA82" s="15"/>
      <c r="JB82" s="15"/>
      <c r="JC82" s="15"/>
      <c r="JD82" s="15"/>
      <c r="JE82" s="15"/>
      <c r="JF82" s="15"/>
      <c r="JG82" s="15"/>
      <c r="JH82" s="15"/>
      <c r="JI82" s="15"/>
      <c r="JJ82" s="15"/>
      <c r="JK82" s="15"/>
      <c r="JL82" s="15"/>
      <c r="JM82" s="15"/>
      <c r="JN82" s="15"/>
      <c r="JO82" s="15"/>
      <c r="JP82" s="15"/>
      <c r="JQ82" s="15"/>
      <c r="JR82" s="15"/>
      <c r="JS82" s="15"/>
      <c r="JT82" s="15"/>
      <c r="JU82" s="15"/>
      <c r="JV82" s="15"/>
      <c r="JW82" s="15"/>
      <c r="JX82" s="15"/>
      <c r="JY82" s="15"/>
      <c r="JZ82" s="15"/>
      <c r="KA82" s="15"/>
      <c r="KB82" s="15"/>
      <c r="KC82" s="15"/>
      <c r="KD82" s="15"/>
      <c r="KE82" s="15"/>
      <c r="KF82" s="15"/>
      <c r="KG82" s="15"/>
      <c r="KH82" s="15"/>
      <c r="KI82" s="15"/>
      <c r="KJ82" s="15"/>
      <c r="KK82" s="15"/>
      <c r="KL82" s="15"/>
      <c r="KM82" s="15"/>
      <c r="KN82" s="15"/>
      <c r="KO82" s="15"/>
      <c r="KP82" s="15"/>
      <c r="KQ82" s="15"/>
      <c r="KR82" s="15"/>
      <c r="KS82" s="15"/>
      <c r="KT82" s="15"/>
      <c r="KU82" s="15"/>
      <c r="KV82" s="15"/>
      <c r="KW82" s="15"/>
      <c r="KX82" s="15"/>
      <c r="KY82" s="15"/>
      <c r="KZ82" s="15"/>
      <c r="LA82" s="15"/>
      <c r="LB82" s="15"/>
      <c r="LC82" s="15"/>
      <c r="LD82" s="15"/>
      <c r="LE82" s="15"/>
      <c r="LF82" s="15"/>
      <c r="LG82" s="15"/>
      <c r="LH82" s="15"/>
      <c r="LI82" s="15"/>
      <c r="LJ82" s="15"/>
      <c r="LK82" s="15"/>
      <c r="LL82" s="15"/>
      <c r="LM82" s="15"/>
      <c r="LN82" s="15"/>
      <c r="LO82" s="15"/>
      <c r="LP82" s="15"/>
      <c r="LQ82" s="15"/>
      <c r="LR82" s="15"/>
      <c r="LS82" s="15"/>
      <c r="LT82" s="15"/>
      <c r="LU82" s="15"/>
      <c r="LV82" s="15"/>
      <c r="LW82" s="15"/>
      <c r="LX82" s="15"/>
      <c r="LY82" s="15"/>
      <c r="LZ82" s="15"/>
      <c r="MA82" s="15"/>
      <c r="MB82" s="15"/>
      <c r="MC82" s="15"/>
      <c r="MD82" s="15"/>
      <c r="ME82" s="15"/>
      <c r="MF82" s="15"/>
      <c r="MG82" s="15"/>
      <c r="MH82" s="15"/>
      <c r="MI82" s="15"/>
      <c r="MJ82" s="15"/>
      <c r="MK82" s="15"/>
      <c r="ML82" s="15"/>
      <c r="MM82" s="15"/>
      <c r="MN82" s="15"/>
      <c r="MO82" s="15"/>
      <c r="MP82" s="15"/>
      <c r="MQ82" s="15"/>
      <c r="MR82" s="15"/>
      <c r="MS82" s="15"/>
      <c r="MT82" s="15"/>
      <c r="MU82" s="15"/>
      <c r="MV82" s="15"/>
      <c r="MW82" s="15"/>
    </row>
    <row r="83" ht="119.25" customHeight="1">
      <c r="A83" s="13" t="s">
        <v>82</v>
      </c>
      <c r="B83" s="14" t="s">
        <v>10086</v>
      </c>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c r="GB83" s="15"/>
      <c r="GC83" s="15"/>
      <c r="GD83" s="15"/>
      <c r="GE83" s="15"/>
      <c r="GF83" s="15"/>
      <c r="GG83" s="15"/>
      <c r="GH83" s="15"/>
      <c r="GI83" s="15"/>
      <c r="GJ83" s="15"/>
      <c r="GK83" s="15"/>
      <c r="GL83" s="15"/>
      <c r="GM83" s="15"/>
      <c r="GN83" s="15"/>
      <c r="GO83" s="15"/>
      <c r="GP83" s="15"/>
      <c r="GQ83" s="15"/>
      <c r="GR83" s="15"/>
      <c r="GS83" s="15"/>
      <c r="GT83" s="15"/>
      <c r="GU83" s="15"/>
      <c r="GV83" s="15"/>
      <c r="GW83" s="15"/>
      <c r="GX83" s="15"/>
      <c r="GY83" s="15"/>
      <c r="GZ83" s="15"/>
      <c r="HA83" s="15"/>
      <c r="HB83" s="15"/>
      <c r="HC83" s="15"/>
      <c r="HD83" s="15"/>
      <c r="HE83" s="15"/>
      <c r="HF83" s="15"/>
      <c r="HG83" s="15"/>
      <c r="HH83" s="15"/>
      <c r="HI83" s="15"/>
      <c r="HJ83" s="15"/>
      <c r="HK83" s="15"/>
      <c r="HL83" s="15"/>
      <c r="HM83" s="15"/>
      <c r="HN83" s="15"/>
      <c r="HO83" s="15"/>
      <c r="HP83" s="15"/>
      <c r="HQ83" s="15"/>
      <c r="HR83" s="15"/>
      <c r="HS83" s="15"/>
      <c r="HT83" s="15"/>
      <c r="HU83" s="15"/>
      <c r="HV83" s="15"/>
      <c r="HW83" s="15"/>
      <c r="HX83" s="15"/>
      <c r="HY83" s="15"/>
      <c r="HZ83" s="15"/>
      <c r="IA83" s="15"/>
      <c r="IB83" s="15"/>
      <c r="IC83" s="15"/>
      <c r="ID83" s="15"/>
      <c r="IE83" s="15"/>
      <c r="IF83" s="15"/>
      <c r="IG83" s="15"/>
      <c r="IH83" s="15"/>
      <c r="II83" s="15"/>
      <c r="IJ83" s="15"/>
      <c r="IK83" s="15"/>
      <c r="IL83" s="15"/>
      <c r="IM83" s="15"/>
      <c r="IN83" s="15"/>
      <c r="IO83" s="15"/>
      <c r="IP83" s="15"/>
      <c r="IQ83" s="15"/>
      <c r="IR83" s="15"/>
      <c r="IS83" s="15"/>
      <c r="IT83" s="15"/>
      <c r="IU83" s="15"/>
      <c r="IV83" s="15"/>
      <c r="IW83" s="15"/>
      <c r="IX83" s="15"/>
      <c r="IY83" s="15"/>
      <c r="IZ83" s="15"/>
      <c r="JA83" s="15"/>
      <c r="JB83" s="15"/>
      <c r="JC83" s="15"/>
      <c r="JD83" s="15"/>
      <c r="JE83" s="15"/>
      <c r="JF83" s="15"/>
      <c r="JG83" s="15"/>
      <c r="JH83" s="15"/>
      <c r="JI83" s="15"/>
      <c r="JJ83" s="15"/>
      <c r="JK83" s="15"/>
      <c r="JL83" s="15"/>
      <c r="JM83" s="15"/>
      <c r="JN83" s="15"/>
      <c r="JO83" s="15"/>
      <c r="JP83" s="15"/>
      <c r="JQ83" s="15"/>
      <c r="JR83" s="15"/>
      <c r="JS83" s="15"/>
      <c r="JT83" s="15"/>
      <c r="JU83" s="15"/>
      <c r="JV83" s="15"/>
      <c r="JW83" s="15"/>
      <c r="JX83" s="15"/>
      <c r="JY83" s="15"/>
      <c r="JZ83" s="15"/>
      <c r="KA83" s="15"/>
      <c r="KB83" s="15"/>
      <c r="KC83" s="15"/>
      <c r="KD83" s="15"/>
      <c r="KE83" s="15"/>
      <c r="KF83" s="15"/>
      <c r="KG83" s="15"/>
      <c r="KH83" s="15"/>
      <c r="KI83" s="15"/>
      <c r="KJ83" s="15"/>
      <c r="KK83" s="15"/>
      <c r="KL83" s="15"/>
      <c r="KM83" s="15"/>
      <c r="KN83" s="15"/>
      <c r="KO83" s="15"/>
      <c r="KP83" s="15"/>
      <c r="KQ83" s="15"/>
      <c r="KR83" s="15"/>
      <c r="KS83" s="15"/>
      <c r="KT83" s="15"/>
      <c r="KU83" s="15"/>
      <c r="KV83" s="15"/>
      <c r="KW83" s="15"/>
      <c r="KX83" s="15"/>
      <c r="KY83" s="15"/>
      <c r="KZ83" s="15"/>
      <c r="LA83" s="15"/>
      <c r="LB83" s="15"/>
      <c r="LC83" s="15"/>
      <c r="LD83" s="15"/>
      <c r="LE83" s="15"/>
      <c r="LF83" s="15"/>
      <c r="LG83" s="15"/>
      <c r="LH83" s="15"/>
      <c r="LI83" s="15"/>
      <c r="LJ83" s="15"/>
      <c r="LK83" s="15"/>
      <c r="LL83" s="15"/>
      <c r="LM83" s="15"/>
      <c r="LN83" s="15"/>
      <c r="LO83" s="15"/>
      <c r="LP83" s="15"/>
      <c r="LQ83" s="15"/>
      <c r="LR83" s="15"/>
      <c r="LS83" s="15"/>
      <c r="LT83" s="15"/>
      <c r="LU83" s="15"/>
      <c r="LV83" s="15"/>
      <c r="LW83" s="15"/>
      <c r="LX83" s="15"/>
      <c r="LY83" s="15"/>
      <c r="LZ83" s="15"/>
      <c r="MA83" s="15"/>
      <c r="MB83" s="15"/>
      <c r="MC83" s="15"/>
      <c r="MD83" s="15"/>
      <c r="ME83" s="15"/>
      <c r="MF83" s="15"/>
      <c r="MG83" s="15"/>
      <c r="MH83" s="15"/>
      <c r="MI83" s="15"/>
      <c r="MJ83" s="15"/>
      <c r="MK83" s="15"/>
      <c r="ML83" s="15"/>
      <c r="MM83" s="15"/>
      <c r="MN83" s="15"/>
      <c r="MO83" s="15"/>
      <c r="MP83" s="15"/>
      <c r="MQ83" s="15"/>
      <c r="MR83" s="15"/>
      <c r="MS83" s="15"/>
      <c r="MT83" s="15"/>
      <c r="MU83" s="15"/>
      <c r="MV83" s="15"/>
      <c r="MW83" s="15"/>
    </row>
    <row r="84" ht="41.25" customHeight="1">
      <c r="A84" s="13" t="s">
        <v>83</v>
      </c>
      <c r="B84" s="14" t="s">
        <v>10087</v>
      </c>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15"/>
      <c r="GI84" s="15"/>
      <c r="GJ84" s="15"/>
      <c r="GK84" s="15"/>
      <c r="GL84" s="15"/>
      <c r="GM84" s="15"/>
      <c r="GN84" s="15"/>
      <c r="GO84" s="15"/>
      <c r="GP84" s="15"/>
      <c r="GQ84" s="15"/>
      <c r="GR84" s="15"/>
      <c r="GS84" s="15"/>
      <c r="GT84" s="15"/>
      <c r="GU84" s="15"/>
      <c r="GV84" s="15"/>
      <c r="GW84" s="15"/>
      <c r="GX84" s="15"/>
      <c r="GY84" s="15"/>
      <c r="GZ84" s="15"/>
      <c r="HA84" s="15"/>
      <c r="HB84" s="15"/>
      <c r="HC84" s="15"/>
      <c r="HD84" s="15"/>
      <c r="HE84" s="15"/>
      <c r="HF84" s="15"/>
      <c r="HG84" s="15"/>
      <c r="HH84" s="15"/>
      <c r="HI84" s="15"/>
      <c r="HJ84" s="15"/>
      <c r="HK84" s="15"/>
      <c r="HL84" s="15"/>
      <c r="HM84" s="15"/>
      <c r="HN84" s="15"/>
      <c r="HO84" s="15"/>
      <c r="HP84" s="15"/>
      <c r="HQ84" s="15"/>
      <c r="HR84" s="15"/>
      <c r="HS84" s="15"/>
      <c r="HT84" s="15"/>
      <c r="HU84" s="15"/>
      <c r="HV84" s="15"/>
      <c r="HW84" s="15"/>
      <c r="HX84" s="15"/>
      <c r="HY84" s="15"/>
      <c r="HZ84" s="15"/>
      <c r="IA84" s="15"/>
      <c r="IB84" s="15"/>
      <c r="IC84" s="15"/>
      <c r="ID84" s="15"/>
      <c r="IE84" s="15"/>
      <c r="IF84" s="15"/>
      <c r="IG84" s="15"/>
      <c r="IH84" s="15"/>
      <c r="II84" s="15"/>
      <c r="IJ84" s="15"/>
      <c r="IK84" s="15"/>
      <c r="IL84" s="15"/>
      <c r="IM84" s="15"/>
      <c r="IN84" s="15"/>
      <c r="IO84" s="15"/>
      <c r="IP84" s="15"/>
      <c r="IQ84" s="15"/>
      <c r="IR84" s="15"/>
      <c r="IS84" s="15"/>
      <c r="IT84" s="15"/>
      <c r="IU84" s="15"/>
      <c r="IV84" s="15"/>
      <c r="IW84" s="15"/>
      <c r="IX84" s="15"/>
      <c r="IY84" s="15"/>
      <c r="IZ84" s="15"/>
      <c r="JA84" s="15"/>
      <c r="JB84" s="15"/>
      <c r="JC84" s="15"/>
      <c r="JD84" s="15"/>
      <c r="JE84" s="15"/>
      <c r="JF84" s="15"/>
      <c r="JG84" s="15"/>
      <c r="JH84" s="15"/>
      <c r="JI84" s="15"/>
      <c r="JJ84" s="15"/>
      <c r="JK84" s="15"/>
      <c r="JL84" s="15"/>
      <c r="JM84" s="15"/>
      <c r="JN84" s="15"/>
      <c r="JO84" s="15"/>
      <c r="JP84" s="15"/>
      <c r="JQ84" s="15"/>
      <c r="JR84" s="15"/>
      <c r="JS84" s="15"/>
      <c r="JT84" s="15"/>
      <c r="JU84" s="15"/>
      <c r="JV84" s="15"/>
      <c r="JW84" s="15"/>
      <c r="JX84" s="15"/>
      <c r="JY84" s="15"/>
      <c r="JZ84" s="15"/>
      <c r="KA84" s="15"/>
      <c r="KB84" s="15"/>
      <c r="KC84" s="15"/>
      <c r="KD84" s="15"/>
      <c r="KE84" s="15"/>
      <c r="KF84" s="15"/>
      <c r="KG84" s="15"/>
      <c r="KH84" s="15"/>
      <c r="KI84" s="15"/>
      <c r="KJ84" s="15"/>
      <c r="KK84" s="15"/>
      <c r="KL84" s="15"/>
      <c r="KM84" s="15"/>
      <c r="KN84" s="15"/>
      <c r="KO84" s="15"/>
      <c r="KP84" s="15"/>
      <c r="KQ84" s="15"/>
      <c r="KR84" s="15"/>
      <c r="KS84" s="15"/>
      <c r="KT84" s="15"/>
      <c r="KU84" s="15"/>
      <c r="KV84" s="15"/>
      <c r="KW84" s="15"/>
      <c r="KX84" s="15"/>
      <c r="KY84" s="15"/>
      <c r="KZ84" s="15"/>
      <c r="LA84" s="15"/>
      <c r="LB84" s="15"/>
      <c r="LC84" s="15"/>
      <c r="LD84" s="15"/>
      <c r="LE84" s="15"/>
      <c r="LF84" s="15"/>
      <c r="LG84" s="15"/>
      <c r="LH84" s="15"/>
      <c r="LI84" s="15"/>
      <c r="LJ84" s="15"/>
      <c r="LK84" s="15"/>
      <c r="LL84" s="15"/>
      <c r="LM84" s="15"/>
      <c r="LN84" s="15"/>
      <c r="LO84" s="15"/>
      <c r="LP84" s="15"/>
      <c r="LQ84" s="15"/>
      <c r="LR84" s="15"/>
      <c r="LS84" s="15"/>
      <c r="LT84" s="15"/>
      <c r="LU84" s="15"/>
      <c r="LV84" s="15"/>
      <c r="LW84" s="15"/>
      <c r="LX84" s="15"/>
      <c r="LY84" s="15"/>
      <c r="LZ84" s="15"/>
      <c r="MA84" s="15"/>
      <c r="MB84" s="15"/>
      <c r="MC84" s="15"/>
      <c r="MD84" s="15"/>
      <c r="ME84" s="15"/>
      <c r="MF84" s="15"/>
      <c r="MG84" s="15"/>
      <c r="MH84" s="15"/>
      <c r="MI84" s="15"/>
      <c r="MJ84" s="15"/>
      <c r="MK84" s="15"/>
      <c r="ML84" s="15"/>
      <c r="MM84" s="15"/>
      <c r="MN84" s="15"/>
      <c r="MO84" s="15"/>
      <c r="MP84" s="15"/>
      <c r="MQ84" s="15"/>
      <c r="MR84" s="15"/>
      <c r="MS84" s="15"/>
      <c r="MT84" s="15"/>
      <c r="MU84" s="15"/>
      <c r="MV84" s="15"/>
      <c r="MW84" s="15"/>
    </row>
    <row r="85" ht="119.25" customHeight="1">
      <c r="A85" s="13" t="s">
        <v>10088</v>
      </c>
      <c r="B85" s="14" t="s">
        <v>10089</v>
      </c>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c r="GM85" s="15"/>
      <c r="GN85" s="15"/>
      <c r="GO85" s="15"/>
      <c r="GP85" s="15"/>
      <c r="GQ85" s="15"/>
      <c r="GR85" s="15"/>
      <c r="GS85" s="15"/>
      <c r="GT85" s="15"/>
      <c r="GU85" s="15"/>
      <c r="GV85" s="15"/>
      <c r="GW85" s="15"/>
      <c r="GX85" s="15"/>
      <c r="GY85" s="15"/>
      <c r="GZ85" s="15"/>
      <c r="HA85" s="15"/>
      <c r="HB85" s="15"/>
      <c r="HC85" s="15"/>
      <c r="HD85" s="15"/>
      <c r="HE85" s="15"/>
      <c r="HF85" s="15"/>
      <c r="HG85" s="15"/>
      <c r="HH85" s="15"/>
      <c r="HI85" s="15"/>
      <c r="HJ85" s="15"/>
      <c r="HK85" s="15"/>
      <c r="HL85" s="15"/>
      <c r="HM85" s="15"/>
      <c r="HN85" s="15"/>
      <c r="HO85" s="15"/>
      <c r="HP85" s="15"/>
      <c r="HQ85" s="15"/>
      <c r="HR85" s="15"/>
      <c r="HS85" s="15"/>
      <c r="HT85" s="15"/>
      <c r="HU85" s="15"/>
      <c r="HV85" s="15"/>
      <c r="HW85" s="15"/>
      <c r="HX85" s="15"/>
      <c r="HY85" s="15"/>
      <c r="HZ85" s="15"/>
      <c r="IA85" s="15"/>
      <c r="IB85" s="15"/>
      <c r="IC85" s="15"/>
      <c r="ID85" s="15"/>
      <c r="IE85" s="15"/>
      <c r="IF85" s="15"/>
      <c r="IG85" s="15"/>
      <c r="IH85" s="15"/>
      <c r="II85" s="15"/>
      <c r="IJ85" s="15"/>
      <c r="IK85" s="15"/>
      <c r="IL85" s="15"/>
      <c r="IM85" s="15"/>
      <c r="IN85" s="15"/>
      <c r="IO85" s="15"/>
      <c r="IP85" s="15"/>
      <c r="IQ85" s="15"/>
      <c r="IR85" s="15"/>
      <c r="IS85" s="15"/>
      <c r="IT85" s="15"/>
      <c r="IU85" s="15"/>
      <c r="IV85" s="15"/>
      <c r="IW85" s="15"/>
      <c r="IX85" s="15"/>
      <c r="IY85" s="15"/>
      <c r="IZ85" s="15"/>
      <c r="JA85" s="15"/>
      <c r="JB85" s="15"/>
      <c r="JC85" s="15"/>
      <c r="JD85" s="15"/>
      <c r="JE85" s="15"/>
      <c r="JF85" s="15"/>
      <c r="JG85" s="15"/>
      <c r="JH85" s="15"/>
      <c r="JI85" s="15"/>
      <c r="JJ85" s="15"/>
      <c r="JK85" s="15"/>
      <c r="JL85" s="15"/>
      <c r="JM85" s="15"/>
      <c r="JN85" s="15"/>
      <c r="JO85" s="15"/>
      <c r="JP85" s="15"/>
      <c r="JQ85" s="15"/>
      <c r="JR85" s="15"/>
      <c r="JS85" s="15"/>
      <c r="JT85" s="15"/>
      <c r="JU85" s="15"/>
      <c r="JV85" s="15"/>
      <c r="JW85" s="15"/>
      <c r="JX85" s="15"/>
      <c r="JY85" s="15"/>
      <c r="JZ85" s="15"/>
      <c r="KA85" s="15"/>
      <c r="KB85" s="15"/>
      <c r="KC85" s="15"/>
      <c r="KD85" s="15"/>
      <c r="KE85" s="15"/>
      <c r="KF85" s="15"/>
      <c r="KG85" s="15"/>
      <c r="KH85" s="15"/>
      <c r="KI85" s="15"/>
      <c r="KJ85" s="15"/>
      <c r="KK85" s="15"/>
      <c r="KL85" s="15"/>
      <c r="KM85" s="15"/>
      <c r="KN85" s="15"/>
      <c r="KO85" s="15"/>
      <c r="KP85" s="15"/>
      <c r="KQ85" s="15"/>
      <c r="KR85" s="15"/>
      <c r="KS85" s="15"/>
      <c r="KT85" s="15"/>
      <c r="KU85" s="15"/>
      <c r="KV85" s="15"/>
      <c r="KW85" s="15"/>
      <c r="KX85" s="15"/>
      <c r="KY85" s="15"/>
      <c r="KZ85" s="15"/>
      <c r="LA85" s="15"/>
      <c r="LB85" s="15"/>
      <c r="LC85" s="15"/>
      <c r="LD85" s="15"/>
      <c r="LE85" s="15"/>
      <c r="LF85" s="15"/>
      <c r="LG85" s="15"/>
      <c r="LH85" s="15"/>
      <c r="LI85" s="15"/>
      <c r="LJ85" s="15"/>
      <c r="LK85" s="15"/>
      <c r="LL85" s="15"/>
      <c r="LM85" s="15"/>
      <c r="LN85" s="15"/>
      <c r="LO85" s="15"/>
      <c r="LP85" s="15"/>
      <c r="LQ85" s="15"/>
      <c r="LR85" s="15"/>
      <c r="LS85" s="15"/>
      <c r="LT85" s="15"/>
      <c r="LU85" s="15"/>
      <c r="LV85" s="15"/>
      <c r="LW85" s="15"/>
      <c r="LX85" s="15"/>
      <c r="LY85" s="15"/>
      <c r="LZ85" s="15"/>
      <c r="MA85" s="15"/>
      <c r="MB85" s="15"/>
      <c r="MC85" s="15"/>
      <c r="MD85" s="15"/>
      <c r="ME85" s="15"/>
      <c r="MF85" s="15"/>
      <c r="MG85" s="15"/>
      <c r="MH85" s="15"/>
      <c r="MI85" s="15"/>
      <c r="MJ85" s="15"/>
      <c r="MK85" s="15"/>
      <c r="ML85" s="15"/>
      <c r="MM85" s="15"/>
      <c r="MN85" s="15"/>
      <c r="MO85" s="15"/>
      <c r="MP85" s="15"/>
      <c r="MQ85" s="15"/>
      <c r="MR85" s="15"/>
      <c r="MS85" s="15"/>
      <c r="MT85" s="15"/>
      <c r="MU85" s="15"/>
      <c r="MV85" s="15"/>
      <c r="MW85" s="15"/>
    </row>
    <row r="86" ht="41.25" customHeight="1">
      <c r="A86" s="13" t="s">
        <v>85</v>
      </c>
      <c r="B86" s="14" t="s">
        <v>10090</v>
      </c>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c r="GM86" s="15"/>
      <c r="GN86" s="15"/>
      <c r="GO86" s="15"/>
      <c r="GP86" s="15"/>
      <c r="GQ86" s="15"/>
      <c r="GR86" s="15"/>
      <c r="GS86" s="15"/>
      <c r="GT86" s="15"/>
      <c r="GU86" s="15"/>
      <c r="GV86" s="15"/>
      <c r="GW86" s="15"/>
      <c r="GX86" s="15"/>
      <c r="GY86" s="15"/>
      <c r="GZ86" s="15"/>
      <c r="HA86" s="15"/>
      <c r="HB86" s="15"/>
      <c r="HC86" s="15"/>
      <c r="HD86" s="15"/>
      <c r="HE86" s="15"/>
      <c r="HF86" s="15"/>
      <c r="HG86" s="15"/>
      <c r="HH86" s="15"/>
      <c r="HI86" s="15"/>
      <c r="HJ86" s="15"/>
      <c r="HK86" s="15"/>
      <c r="HL86" s="15"/>
      <c r="HM86" s="15"/>
      <c r="HN86" s="15"/>
      <c r="HO86" s="15"/>
      <c r="HP86" s="15"/>
      <c r="HQ86" s="15"/>
      <c r="HR86" s="15"/>
      <c r="HS86" s="15"/>
      <c r="HT86" s="15"/>
      <c r="HU86" s="15"/>
      <c r="HV86" s="15"/>
      <c r="HW86" s="15"/>
      <c r="HX86" s="15"/>
      <c r="HY86" s="15"/>
      <c r="HZ86" s="15"/>
      <c r="IA86" s="15"/>
      <c r="IB86" s="15"/>
      <c r="IC86" s="15"/>
      <c r="ID86" s="15"/>
      <c r="IE86" s="15"/>
      <c r="IF86" s="15"/>
      <c r="IG86" s="15"/>
      <c r="IH86" s="15"/>
      <c r="II86" s="15"/>
      <c r="IJ86" s="15"/>
      <c r="IK86" s="15"/>
      <c r="IL86" s="15"/>
      <c r="IM86" s="15"/>
      <c r="IN86" s="15"/>
      <c r="IO86" s="15"/>
      <c r="IP86" s="15"/>
      <c r="IQ86" s="15"/>
      <c r="IR86" s="15"/>
      <c r="IS86" s="15"/>
      <c r="IT86" s="15"/>
      <c r="IU86" s="15"/>
      <c r="IV86" s="15"/>
      <c r="IW86" s="15"/>
      <c r="IX86" s="15"/>
      <c r="IY86" s="15"/>
      <c r="IZ86" s="15"/>
      <c r="JA86" s="15"/>
      <c r="JB86" s="15"/>
      <c r="JC86" s="15"/>
      <c r="JD86" s="15"/>
      <c r="JE86" s="15"/>
      <c r="JF86" s="15"/>
      <c r="JG86" s="15"/>
      <c r="JH86" s="15"/>
      <c r="JI86" s="15"/>
      <c r="JJ86" s="15"/>
      <c r="JK86" s="15"/>
      <c r="JL86" s="15"/>
      <c r="JM86" s="15"/>
      <c r="JN86" s="15"/>
      <c r="JO86" s="15"/>
      <c r="JP86" s="15"/>
      <c r="JQ86" s="15"/>
      <c r="JR86" s="15"/>
      <c r="JS86" s="15"/>
      <c r="JT86" s="15"/>
      <c r="JU86" s="15"/>
      <c r="JV86" s="15"/>
      <c r="JW86" s="15"/>
      <c r="JX86" s="15"/>
      <c r="JY86" s="15"/>
      <c r="JZ86" s="15"/>
      <c r="KA86" s="15"/>
      <c r="KB86" s="15"/>
      <c r="KC86" s="15"/>
      <c r="KD86" s="15"/>
      <c r="KE86" s="15"/>
      <c r="KF86" s="15"/>
      <c r="KG86" s="15"/>
      <c r="KH86" s="15"/>
      <c r="KI86" s="15"/>
      <c r="KJ86" s="15"/>
      <c r="KK86" s="15"/>
      <c r="KL86" s="15"/>
      <c r="KM86" s="15"/>
      <c r="KN86" s="15"/>
      <c r="KO86" s="15"/>
      <c r="KP86" s="15"/>
      <c r="KQ86" s="15"/>
      <c r="KR86" s="15"/>
      <c r="KS86" s="15"/>
      <c r="KT86" s="15"/>
      <c r="KU86" s="15"/>
      <c r="KV86" s="15"/>
      <c r="KW86" s="15"/>
      <c r="KX86" s="15"/>
      <c r="KY86" s="15"/>
      <c r="KZ86" s="15"/>
      <c r="LA86" s="15"/>
      <c r="LB86" s="15"/>
      <c r="LC86" s="15"/>
      <c r="LD86" s="15"/>
      <c r="LE86" s="15"/>
      <c r="LF86" s="15"/>
      <c r="LG86" s="15"/>
      <c r="LH86" s="15"/>
      <c r="LI86" s="15"/>
      <c r="LJ86" s="15"/>
      <c r="LK86" s="15"/>
      <c r="LL86" s="15"/>
      <c r="LM86" s="15"/>
      <c r="LN86" s="15"/>
      <c r="LO86" s="15"/>
      <c r="LP86" s="15"/>
      <c r="LQ86" s="15"/>
      <c r="LR86" s="15"/>
      <c r="LS86" s="15"/>
      <c r="LT86" s="15"/>
      <c r="LU86" s="15"/>
      <c r="LV86" s="15"/>
      <c r="LW86" s="15"/>
      <c r="LX86" s="15"/>
      <c r="LY86" s="15"/>
      <c r="LZ86" s="15"/>
      <c r="MA86" s="15"/>
      <c r="MB86" s="15"/>
      <c r="MC86" s="15"/>
      <c r="MD86" s="15"/>
      <c r="ME86" s="15"/>
      <c r="MF86" s="15"/>
      <c r="MG86" s="15"/>
      <c r="MH86" s="15"/>
      <c r="MI86" s="15"/>
      <c r="MJ86" s="15"/>
      <c r="MK86" s="15"/>
      <c r="ML86" s="15"/>
      <c r="MM86" s="15"/>
      <c r="MN86" s="15"/>
      <c r="MO86" s="15"/>
      <c r="MP86" s="15"/>
      <c r="MQ86" s="15"/>
      <c r="MR86" s="15"/>
      <c r="MS86" s="15"/>
      <c r="MT86" s="15"/>
      <c r="MU86" s="15"/>
      <c r="MV86" s="15"/>
      <c r="MW86" s="15"/>
    </row>
    <row r="87" ht="119.25" customHeight="1">
      <c r="A87" s="13" t="s">
        <v>86</v>
      </c>
      <c r="B87" s="14" t="s">
        <v>10091</v>
      </c>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c r="EU87" s="15"/>
      <c r="EV87" s="15"/>
      <c r="EW87" s="15"/>
      <c r="EX87" s="15"/>
      <c r="EY87" s="15"/>
      <c r="EZ87" s="15"/>
      <c r="FA87" s="15"/>
      <c r="FB87" s="15"/>
      <c r="FC87" s="15"/>
      <c r="FD87" s="15"/>
      <c r="FE87" s="15"/>
      <c r="FF87" s="15"/>
      <c r="FG87" s="15"/>
      <c r="FH87" s="15"/>
      <c r="FI87" s="15"/>
      <c r="FJ87" s="15"/>
      <c r="FK87" s="15"/>
      <c r="FL87" s="15"/>
      <c r="FM87" s="15"/>
      <c r="FN87" s="15"/>
      <c r="FO87" s="15"/>
      <c r="FP87" s="15"/>
      <c r="FQ87" s="15"/>
      <c r="FR87" s="15"/>
      <c r="FS87" s="15"/>
      <c r="FT87" s="15"/>
      <c r="FU87" s="15"/>
      <c r="FV87" s="15"/>
      <c r="FW87" s="15"/>
      <c r="FX87" s="15"/>
      <c r="FY87" s="15"/>
      <c r="FZ87" s="15"/>
      <c r="GA87" s="15"/>
      <c r="GB87" s="15"/>
      <c r="GC87" s="15"/>
      <c r="GD87" s="15"/>
      <c r="GE87" s="15"/>
      <c r="GF87" s="15"/>
      <c r="GG87" s="15"/>
      <c r="GH87" s="15"/>
      <c r="GI87" s="15"/>
      <c r="GJ87" s="15"/>
      <c r="GK87" s="15"/>
      <c r="GL87" s="15"/>
      <c r="GM87" s="15"/>
      <c r="GN87" s="15"/>
      <c r="GO87" s="15"/>
      <c r="GP87" s="15"/>
      <c r="GQ87" s="15"/>
      <c r="GR87" s="15"/>
      <c r="GS87" s="15"/>
      <c r="GT87" s="15"/>
      <c r="GU87" s="15"/>
      <c r="GV87" s="15"/>
      <c r="GW87" s="15"/>
      <c r="GX87" s="15"/>
      <c r="GY87" s="15"/>
      <c r="GZ87" s="15"/>
      <c r="HA87" s="15"/>
      <c r="HB87" s="15"/>
      <c r="HC87" s="15"/>
      <c r="HD87" s="15"/>
      <c r="HE87" s="15"/>
      <c r="HF87" s="15"/>
      <c r="HG87" s="15"/>
      <c r="HH87" s="15"/>
      <c r="HI87" s="15"/>
      <c r="HJ87" s="15"/>
      <c r="HK87" s="15"/>
      <c r="HL87" s="15"/>
      <c r="HM87" s="15"/>
      <c r="HN87" s="15"/>
      <c r="HO87" s="15"/>
      <c r="HP87" s="15"/>
      <c r="HQ87" s="15"/>
      <c r="HR87" s="15"/>
      <c r="HS87" s="15"/>
      <c r="HT87" s="15"/>
      <c r="HU87" s="15"/>
      <c r="HV87" s="15"/>
      <c r="HW87" s="15"/>
      <c r="HX87" s="15"/>
      <c r="HY87" s="15"/>
      <c r="HZ87" s="15"/>
      <c r="IA87" s="15"/>
      <c r="IB87" s="15"/>
      <c r="IC87" s="15"/>
      <c r="ID87" s="15"/>
      <c r="IE87" s="15"/>
      <c r="IF87" s="15"/>
      <c r="IG87" s="15"/>
      <c r="IH87" s="15"/>
      <c r="II87" s="15"/>
      <c r="IJ87" s="15"/>
      <c r="IK87" s="15"/>
      <c r="IL87" s="15"/>
      <c r="IM87" s="15"/>
      <c r="IN87" s="15"/>
      <c r="IO87" s="15"/>
      <c r="IP87" s="15"/>
      <c r="IQ87" s="15"/>
      <c r="IR87" s="15"/>
      <c r="IS87" s="15"/>
      <c r="IT87" s="15"/>
      <c r="IU87" s="15"/>
      <c r="IV87" s="15"/>
      <c r="IW87" s="15"/>
      <c r="IX87" s="15"/>
      <c r="IY87" s="15"/>
      <c r="IZ87" s="15"/>
      <c r="JA87" s="15"/>
      <c r="JB87" s="15"/>
      <c r="JC87" s="15"/>
      <c r="JD87" s="15"/>
      <c r="JE87" s="15"/>
      <c r="JF87" s="15"/>
      <c r="JG87" s="15"/>
      <c r="JH87" s="15"/>
      <c r="JI87" s="15"/>
      <c r="JJ87" s="15"/>
      <c r="JK87" s="15"/>
      <c r="JL87" s="15"/>
      <c r="JM87" s="15"/>
      <c r="JN87" s="15"/>
      <c r="JO87" s="15"/>
      <c r="JP87" s="15"/>
      <c r="JQ87" s="15"/>
      <c r="JR87" s="15"/>
      <c r="JS87" s="15"/>
      <c r="JT87" s="15"/>
      <c r="JU87" s="15"/>
      <c r="JV87" s="15"/>
      <c r="JW87" s="15"/>
      <c r="JX87" s="15"/>
      <c r="JY87" s="15"/>
      <c r="JZ87" s="15"/>
      <c r="KA87" s="15"/>
      <c r="KB87" s="15"/>
      <c r="KC87" s="15"/>
      <c r="KD87" s="15"/>
      <c r="KE87" s="15"/>
      <c r="KF87" s="15"/>
      <c r="KG87" s="15"/>
      <c r="KH87" s="15"/>
      <c r="KI87" s="15"/>
      <c r="KJ87" s="15"/>
      <c r="KK87" s="15"/>
      <c r="KL87" s="15"/>
      <c r="KM87" s="15"/>
      <c r="KN87" s="15"/>
      <c r="KO87" s="15"/>
      <c r="KP87" s="15"/>
      <c r="KQ87" s="15"/>
      <c r="KR87" s="15"/>
      <c r="KS87" s="15"/>
      <c r="KT87" s="15"/>
      <c r="KU87" s="15"/>
      <c r="KV87" s="15"/>
      <c r="KW87" s="15"/>
      <c r="KX87" s="15"/>
      <c r="KY87" s="15"/>
      <c r="KZ87" s="15"/>
      <c r="LA87" s="15"/>
      <c r="LB87" s="15"/>
      <c r="LC87" s="15"/>
      <c r="LD87" s="15"/>
      <c r="LE87" s="15"/>
      <c r="LF87" s="15"/>
      <c r="LG87" s="15"/>
      <c r="LH87" s="15"/>
      <c r="LI87" s="15"/>
      <c r="LJ87" s="15"/>
      <c r="LK87" s="15"/>
      <c r="LL87" s="15"/>
      <c r="LM87" s="15"/>
      <c r="LN87" s="15"/>
      <c r="LO87" s="15"/>
      <c r="LP87" s="15"/>
      <c r="LQ87" s="15"/>
      <c r="LR87" s="15"/>
      <c r="LS87" s="15"/>
      <c r="LT87" s="15"/>
      <c r="LU87" s="15"/>
      <c r="LV87" s="15"/>
      <c r="LW87" s="15"/>
      <c r="LX87" s="15"/>
      <c r="LY87" s="15"/>
      <c r="LZ87" s="15"/>
      <c r="MA87" s="15"/>
      <c r="MB87" s="15"/>
      <c r="MC87" s="15"/>
      <c r="MD87" s="15"/>
      <c r="ME87" s="15"/>
      <c r="MF87" s="15"/>
      <c r="MG87" s="15"/>
      <c r="MH87" s="15"/>
      <c r="MI87" s="15"/>
      <c r="MJ87" s="15"/>
      <c r="MK87" s="15"/>
      <c r="ML87" s="15"/>
      <c r="MM87" s="15"/>
      <c r="MN87" s="15"/>
      <c r="MO87" s="15"/>
      <c r="MP87" s="15"/>
      <c r="MQ87" s="15"/>
      <c r="MR87" s="15"/>
      <c r="MS87" s="15"/>
      <c r="MT87" s="15"/>
      <c r="MU87" s="15"/>
      <c r="MV87" s="15"/>
      <c r="MW87" s="15"/>
    </row>
    <row r="88" ht="41.25" customHeight="1">
      <c r="A88" s="13" t="s">
        <v>87</v>
      </c>
      <c r="B88" s="14" t="s">
        <v>10092</v>
      </c>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15"/>
      <c r="HJ88" s="15"/>
      <c r="HK88" s="15"/>
      <c r="HL88" s="15"/>
      <c r="HM88" s="15"/>
      <c r="HN88" s="15"/>
      <c r="HO88" s="15"/>
      <c r="HP88" s="15"/>
      <c r="HQ88" s="15"/>
      <c r="HR88" s="15"/>
      <c r="HS88" s="15"/>
      <c r="HT88" s="15"/>
      <c r="HU88" s="15"/>
      <c r="HV88" s="15"/>
      <c r="HW88" s="15"/>
      <c r="HX88" s="15"/>
      <c r="HY88" s="15"/>
      <c r="HZ88" s="15"/>
      <c r="IA88" s="15"/>
      <c r="IB88" s="15"/>
      <c r="IC88" s="15"/>
      <c r="ID88" s="15"/>
      <c r="IE88" s="15"/>
      <c r="IF88" s="15"/>
      <c r="IG88" s="15"/>
      <c r="IH88" s="15"/>
      <c r="II88" s="15"/>
      <c r="IJ88" s="15"/>
      <c r="IK88" s="15"/>
      <c r="IL88" s="15"/>
      <c r="IM88" s="15"/>
      <c r="IN88" s="15"/>
      <c r="IO88" s="15"/>
      <c r="IP88" s="15"/>
      <c r="IQ88" s="15"/>
      <c r="IR88" s="15"/>
      <c r="IS88" s="15"/>
      <c r="IT88" s="15"/>
      <c r="IU88" s="15"/>
      <c r="IV88" s="15"/>
      <c r="IW88" s="15"/>
      <c r="IX88" s="15"/>
      <c r="IY88" s="15"/>
      <c r="IZ88" s="15"/>
      <c r="JA88" s="15"/>
      <c r="JB88" s="15"/>
      <c r="JC88" s="15"/>
      <c r="JD88" s="15"/>
      <c r="JE88" s="15"/>
      <c r="JF88" s="15"/>
      <c r="JG88" s="15"/>
      <c r="JH88" s="15"/>
      <c r="JI88" s="15"/>
      <c r="JJ88" s="15"/>
      <c r="JK88" s="15"/>
      <c r="JL88" s="15"/>
      <c r="JM88" s="15"/>
      <c r="JN88" s="15"/>
      <c r="JO88" s="15"/>
      <c r="JP88" s="15"/>
      <c r="JQ88" s="15"/>
      <c r="JR88" s="15"/>
      <c r="JS88" s="15"/>
      <c r="JT88" s="15"/>
      <c r="JU88" s="15"/>
      <c r="JV88" s="15"/>
      <c r="JW88" s="15"/>
      <c r="JX88" s="15"/>
      <c r="JY88" s="15"/>
      <c r="JZ88" s="15"/>
      <c r="KA88" s="15"/>
      <c r="KB88" s="15"/>
      <c r="KC88" s="15"/>
      <c r="KD88" s="15"/>
      <c r="KE88" s="15"/>
      <c r="KF88" s="15"/>
      <c r="KG88" s="15"/>
      <c r="KH88" s="15"/>
      <c r="KI88" s="15"/>
      <c r="KJ88" s="15"/>
      <c r="KK88" s="15"/>
      <c r="KL88" s="15"/>
      <c r="KM88" s="15"/>
      <c r="KN88" s="15"/>
      <c r="KO88" s="15"/>
      <c r="KP88" s="15"/>
      <c r="KQ88" s="15"/>
      <c r="KR88" s="15"/>
      <c r="KS88" s="15"/>
      <c r="KT88" s="15"/>
      <c r="KU88" s="15"/>
      <c r="KV88" s="15"/>
      <c r="KW88" s="15"/>
      <c r="KX88" s="15"/>
      <c r="KY88" s="15"/>
      <c r="KZ88" s="15"/>
      <c r="LA88" s="15"/>
      <c r="LB88" s="15"/>
      <c r="LC88" s="15"/>
      <c r="LD88" s="15"/>
      <c r="LE88" s="15"/>
      <c r="LF88" s="15"/>
      <c r="LG88" s="15"/>
      <c r="LH88" s="15"/>
      <c r="LI88" s="15"/>
      <c r="LJ88" s="15"/>
      <c r="LK88" s="15"/>
      <c r="LL88" s="15"/>
      <c r="LM88" s="15"/>
      <c r="LN88" s="15"/>
      <c r="LO88" s="15"/>
      <c r="LP88" s="15"/>
      <c r="LQ88" s="15"/>
      <c r="LR88" s="15"/>
      <c r="LS88" s="15"/>
      <c r="LT88" s="15"/>
      <c r="LU88" s="15"/>
      <c r="LV88" s="15"/>
      <c r="LW88" s="15"/>
      <c r="LX88" s="15"/>
      <c r="LY88" s="15"/>
      <c r="LZ88" s="15"/>
      <c r="MA88" s="15"/>
      <c r="MB88" s="15"/>
      <c r="MC88" s="15"/>
      <c r="MD88" s="15"/>
      <c r="ME88" s="15"/>
      <c r="MF88" s="15"/>
      <c r="MG88" s="15"/>
      <c r="MH88" s="15"/>
      <c r="MI88" s="15"/>
      <c r="MJ88" s="15"/>
      <c r="MK88" s="15"/>
      <c r="ML88" s="15"/>
      <c r="MM88" s="15"/>
      <c r="MN88" s="15"/>
      <c r="MO88" s="15"/>
      <c r="MP88" s="15"/>
      <c r="MQ88" s="15"/>
      <c r="MR88" s="15"/>
      <c r="MS88" s="15"/>
      <c r="MT88" s="15"/>
      <c r="MU88" s="15"/>
      <c r="MV88" s="15"/>
      <c r="MW88" s="15"/>
    </row>
    <row r="89" ht="119.25" customHeight="1">
      <c r="A89" s="13" t="s">
        <v>10093</v>
      </c>
      <c r="B89" s="14" t="s">
        <v>10094</v>
      </c>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c r="GM89" s="15"/>
      <c r="GN89" s="15"/>
      <c r="GO89" s="15"/>
      <c r="GP89" s="15"/>
      <c r="GQ89" s="15"/>
      <c r="GR89" s="15"/>
      <c r="GS89" s="15"/>
      <c r="GT89" s="15"/>
      <c r="GU89" s="15"/>
      <c r="GV89" s="15"/>
      <c r="GW89" s="15"/>
      <c r="GX89" s="15"/>
      <c r="GY89" s="15"/>
      <c r="GZ89" s="15"/>
      <c r="HA89" s="15"/>
      <c r="HB89" s="15"/>
      <c r="HC89" s="15"/>
      <c r="HD89" s="15"/>
      <c r="HE89" s="15"/>
      <c r="HF89" s="15"/>
      <c r="HG89" s="15"/>
      <c r="HH89" s="15"/>
      <c r="HI89" s="15"/>
      <c r="HJ89" s="15"/>
      <c r="HK89" s="15"/>
      <c r="HL89" s="15"/>
      <c r="HM89" s="15"/>
      <c r="HN89" s="15"/>
      <c r="HO89" s="15"/>
      <c r="HP89" s="15"/>
      <c r="HQ89" s="15"/>
      <c r="HR89" s="15"/>
      <c r="HS89" s="15"/>
      <c r="HT89" s="15"/>
      <c r="HU89" s="15"/>
      <c r="HV89" s="15"/>
      <c r="HW89" s="15"/>
      <c r="HX89" s="15"/>
      <c r="HY89" s="15"/>
      <c r="HZ89" s="15"/>
      <c r="IA89" s="15"/>
      <c r="IB89" s="15"/>
      <c r="IC89" s="15"/>
      <c r="ID89" s="15"/>
      <c r="IE89" s="15"/>
      <c r="IF89" s="15"/>
      <c r="IG89" s="15"/>
      <c r="IH89" s="15"/>
      <c r="II89" s="15"/>
      <c r="IJ89" s="15"/>
      <c r="IK89" s="15"/>
      <c r="IL89" s="15"/>
      <c r="IM89" s="15"/>
      <c r="IN89" s="15"/>
      <c r="IO89" s="15"/>
      <c r="IP89" s="15"/>
      <c r="IQ89" s="15"/>
      <c r="IR89" s="15"/>
      <c r="IS89" s="15"/>
      <c r="IT89" s="15"/>
      <c r="IU89" s="15"/>
      <c r="IV89" s="15"/>
      <c r="IW89" s="15"/>
      <c r="IX89" s="15"/>
      <c r="IY89" s="15"/>
      <c r="IZ89" s="15"/>
      <c r="JA89" s="15"/>
      <c r="JB89" s="15"/>
      <c r="JC89" s="15"/>
      <c r="JD89" s="15"/>
      <c r="JE89" s="15"/>
      <c r="JF89" s="15"/>
      <c r="JG89" s="15"/>
      <c r="JH89" s="15"/>
      <c r="JI89" s="15"/>
      <c r="JJ89" s="15"/>
      <c r="JK89" s="15"/>
      <c r="JL89" s="15"/>
      <c r="JM89" s="15"/>
      <c r="JN89" s="15"/>
      <c r="JO89" s="15"/>
      <c r="JP89" s="15"/>
      <c r="JQ89" s="15"/>
      <c r="JR89" s="15"/>
      <c r="JS89" s="15"/>
      <c r="JT89" s="15"/>
      <c r="JU89" s="15"/>
      <c r="JV89" s="15"/>
      <c r="JW89" s="15"/>
      <c r="JX89" s="15"/>
      <c r="JY89" s="15"/>
      <c r="JZ89" s="15"/>
      <c r="KA89" s="15"/>
      <c r="KB89" s="15"/>
      <c r="KC89" s="15"/>
      <c r="KD89" s="15"/>
      <c r="KE89" s="15"/>
      <c r="KF89" s="15"/>
      <c r="KG89" s="15"/>
      <c r="KH89" s="15"/>
      <c r="KI89" s="15"/>
      <c r="KJ89" s="15"/>
      <c r="KK89" s="15"/>
      <c r="KL89" s="15"/>
      <c r="KM89" s="15"/>
      <c r="KN89" s="15"/>
      <c r="KO89" s="15"/>
      <c r="KP89" s="15"/>
      <c r="KQ89" s="15"/>
      <c r="KR89" s="15"/>
      <c r="KS89" s="15"/>
      <c r="KT89" s="15"/>
      <c r="KU89" s="15"/>
      <c r="KV89" s="15"/>
      <c r="KW89" s="15"/>
      <c r="KX89" s="15"/>
      <c r="KY89" s="15"/>
      <c r="KZ89" s="15"/>
      <c r="LA89" s="15"/>
      <c r="LB89" s="15"/>
      <c r="LC89" s="15"/>
      <c r="LD89" s="15"/>
      <c r="LE89" s="15"/>
      <c r="LF89" s="15"/>
      <c r="LG89" s="15"/>
      <c r="LH89" s="15"/>
      <c r="LI89" s="15"/>
      <c r="LJ89" s="15"/>
      <c r="LK89" s="15"/>
      <c r="LL89" s="15"/>
      <c r="LM89" s="15"/>
      <c r="LN89" s="15"/>
      <c r="LO89" s="15"/>
      <c r="LP89" s="15"/>
      <c r="LQ89" s="15"/>
      <c r="LR89" s="15"/>
      <c r="LS89" s="15"/>
      <c r="LT89" s="15"/>
      <c r="LU89" s="15"/>
      <c r="LV89" s="15"/>
      <c r="LW89" s="15"/>
      <c r="LX89" s="15"/>
      <c r="LY89" s="15"/>
      <c r="LZ89" s="15"/>
      <c r="MA89" s="15"/>
      <c r="MB89" s="15"/>
      <c r="MC89" s="15"/>
      <c r="MD89" s="15"/>
      <c r="ME89" s="15"/>
      <c r="MF89" s="15"/>
      <c r="MG89" s="15"/>
      <c r="MH89" s="15"/>
      <c r="MI89" s="15"/>
      <c r="MJ89" s="15"/>
      <c r="MK89" s="15"/>
      <c r="ML89" s="15"/>
      <c r="MM89" s="15"/>
      <c r="MN89" s="15"/>
      <c r="MO89" s="15"/>
      <c r="MP89" s="15"/>
      <c r="MQ89" s="15"/>
      <c r="MR89" s="15"/>
      <c r="MS89" s="15"/>
      <c r="MT89" s="15"/>
      <c r="MU89" s="15"/>
      <c r="MV89" s="15"/>
      <c r="MW89" s="15"/>
    </row>
    <row r="90" ht="41.25" customHeight="1">
      <c r="A90" s="13" t="s">
        <v>89</v>
      </c>
      <c r="B90" s="14" t="s">
        <v>10095</v>
      </c>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c r="GM90" s="15"/>
      <c r="GN90" s="15"/>
      <c r="GO90" s="15"/>
      <c r="GP90" s="15"/>
      <c r="GQ90" s="15"/>
      <c r="GR90" s="15"/>
      <c r="GS90" s="15"/>
      <c r="GT90" s="15"/>
      <c r="GU90" s="15"/>
      <c r="GV90" s="15"/>
      <c r="GW90" s="15"/>
      <c r="GX90" s="15"/>
      <c r="GY90" s="15"/>
      <c r="GZ90" s="15"/>
      <c r="HA90" s="15"/>
      <c r="HB90" s="15"/>
      <c r="HC90" s="15"/>
      <c r="HD90" s="15"/>
      <c r="HE90" s="15"/>
      <c r="HF90" s="15"/>
      <c r="HG90" s="15"/>
      <c r="HH90" s="15"/>
      <c r="HI90" s="15"/>
      <c r="HJ90" s="15"/>
      <c r="HK90" s="15"/>
      <c r="HL90" s="15"/>
      <c r="HM90" s="15"/>
      <c r="HN90" s="15"/>
      <c r="HO90" s="15"/>
      <c r="HP90" s="15"/>
      <c r="HQ90" s="15"/>
      <c r="HR90" s="15"/>
      <c r="HS90" s="15"/>
      <c r="HT90" s="15"/>
      <c r="HU90" s="15"/>
      <c r="HV90" s="15"/>
      <c r="HW90" s="15"/>
      <c r="HX90" s="15"/>
      <c r="HY90" s="15"/>
      <c r="HZ90" s="15"/>
      <c r="IA90" s="15"/>
      <c r="IB90" s="15"/>
      <c r="IC90" s="15"/>
      <c r="ID90" s="15"/>
      <c r="IE90" s="15"/>
      <c r="IF90" s="15"/>
      <c r="IG90" s="15"/>
      <c r="IH90" s="15"/>
      <c r="II90" s="15"/>
      <c r="IJ90" s="15"/>
      <c r="IK90" s="15"/>
      <c r="IL90" s="15"/>
      <c r="IM90" s="15"/>
      <c r="IN90" s="15"/>
      <c r="IO90" s="15"/>
      <c r="IP90" s="15"/>
      <c r="IQ90" s="15"/>
      <c r="IR90" s="15"/>
      <c r="IS90" s="15"/>
      <c r="IT90" s="15"/>
      <c r="IU90" s="15"/>
      <c r="IV90" s="15"/>
      <c r="IW90" s="15"/>
      <c r="IX90" s="15"/>
      <c r="IY90" s="15"/>
      <c r="IZ90" s="15"/>
      <c r="JA90" s="15"/>
      <c r="JB90" s="15"/>
      <c r="JC90" s="15"/>
      <c r="JD90" s="15"/>
      <c r="JE90" s="15"/>
      <c r="JF90" s="15"/>
      <c r="JG90" s="15"/>
      <c r="JH90" s="15"/>
      <c r="JI90" s="15"/>
      <c r="JJ90" s="15"/>
      <c r="JK90" s="15"/>
      <c r="JL90" s="15"/>
      <c r="JM90" s="15"/>
      <c r="JN90" s="15"/>
      <c r="JO90" s="15"/>
      <c r="JP90" s="15"/>
      <c r="JQ90" s="15"/>
      <c r="JR90" s="15"/>
      <c r="JS90" s="15"/>
      <c r="JT90" s="15"/>
      <c r="JU90" s="15"/>
      <c r="JV90" s="15"/>
      <c r="JW90" s="15"/>
      <c r="JX90" s="15"/>
      <c r="JY90" s="15"/>
      <c r="JZ90" s="15"/>
      <c r="KA90" s="15"/>
      <c r="KB90" s="15"/>
      <c r="KC90" s="15"/>
      <c r="KD90" s="15"/>
      <c r="KE90" s="15"/>
      <c r="KF90" s="15"/>
      <c r="KG90" s="15"/>
      <c r="KH90" s="15"/>
      <c r="KI90" s="15"/>
      <c r="KJ90" s="15"/>
      <c r="KK90" s="15"/>
      <c r="KL90" s="15"/>
      <c r="KM90" s="15"/>
      <c r="KN90" s="15"/>
      <c r="KO90" s="15"/>
      <c r="KP90" s="15"/>
      <c r="KQ90" s="15"/>
      <c r="KR90" s="15"/>
      <c r="KS90" s="15"/>
      <c r="KT90" s="15"/>
      <c r="KU90" s="15"/>
      <c r="KV90" s="15"/>
      <c r="KW90" s="15"/>
      <c r="KX90" s="15"/>
      <c r="KY90" s="15"/>
      <c r="KZ90" s="15"/>
      <c r="LA90" s="15"/>
      <c r="LB90" s="15"/>
      <c r="LC90" s="15"/>
      <c r="LD90" s="15"/>
      <c r="LE90" s="15"/>
      <c r="LF90" s="15"/>
      <c r="LG90" s="15"/>
      <c r="LH90" s="15"/>
      <c r="LI90" s="15"/>
      <c r="LJ90" s="15"/>
      <c r="LK90" s="15"/>
      <c r="LL90" s="15"/>
      <c r="LM90" s="15"/>
      <c r="LN90" s="15"/>
      <c r="LO90" s="15"/>
      <c r="LP90" s="15"/>
      <c r="LQ90" s="15"/>
      <c r="LR90" s="15"/>
      <c r="LS90" s="15"/>
      <c r="LT90" s="15"/>
      <c r="LU90" s="15"/>
      <c r="LV90" s="15"/>
      <c r="LW90" s="15"/>
      <c r="LX90" s="15"/>
      <c r="LY90" s="15"/>
      <c r="LZ90" s="15"/>
      <c r="MA90" s="15"/>
      <c r="MB90" s="15"/>
      <c r="MC90" s="15"/>
      <c r="MD90" s="15"/>
      <c r="ME90" s="15"/>
      <c r="MF90" s="15"/>
      <c r="MG90" s="15"/>
      <c r="MH90" s="15"/>
      <c r="MI90" s="15"/>
      <c r="MJ90" s="15"/>
      <c r="MK90" s="15"/>
      <c r="ML90" s="15"/>
      <c r="MM90" s="15"/>
      <c r="MN90" s="15"/>
      <c r="MO90" s="15"/>
      <c r="MP90" s="15"/>
      <c r="MQ90" s="15"/>
      <c r="MR90" s="15"/>
      <c r="MS90" s="15"/>
      <c r="MT90" s="15"/>
      <c r="MU90" s="15"/>
      <c r="MV90" s="15"/>
      <c r="MW90" s="15"/>
    </row>
    <row r="91" ht="119.25" customHeight="1">
      <c r="A91" s="13" t="s">
        <v>90</v>
      </c>
      <c r="B91" s="14" t="s">
        <v>10096</v>
      </c>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c r="HN91" s="15"/>
      <c r="HO91" s="15"/>
      <c r="HP91" s="15"/>
      <c r="HQ91" s="15"/>
      <c r="HR91" s="15"/>
      <c r="HS91" s="15"/>
      <c r="HT91" s="15"/>
      <c r="HU91" s="15"/>
      <c r="HV91" s="15"/>
      <c r="HW91" s="15"/>
      <c r="HX91" s="15"/>
      <c r="HY91" s="15"/>
      <c r="HZ91" s="15"/>
      <c r="IA91" s="15"/>
      <c r="IB91" s="15"/>
      <c r="IC91" s="15"/>
      <c r="ID91" s="15"/>
      <c r="IE91" s="15"/>
      <c r="IF91" s="15"/>
      <c r="IG91" s="15"/>
      <c r="IH91" s="15"/>
      <c r="II91" s="15"/>
      <c r="IJ91" s="15"/>
      <c r="IK91" s="15"/>
      <c r="IL91" s="15"/>
      <c r="IM91" s="15"/>
      <c r="IN91" s="15"/>
      <c r="IO91" s="15"/>
      <c r="IP91" s="15"/>
      <c r="IQ91" s="15"/>
      <c r="IR91" s="15"/>
      <c r="IS91" s="15"/>
      <c r="IT91" s="15"/>
      <c r="IU91" s="15"/>
      <c r="IV91" s="15"/>
      <c r="IW91" s="15"/>
      <c r="IX91" s="15"/>
      <c r="IY91" s="15"/>
      <c r="IZ91" s="15"/>
      <c r="JA91" s="15"/>
      <c r="JB91" s="15"/>
      <c r="JC91" s="15"/>
      <c r="JD91" s="15"/>
      <c r="JE91" s="15"/>
      <c r="JF91" s="15"/>
      <c r="JG91" s="15"/>
      <c r="JH91" s="15"/>
      <c r="JI91" s="15"/>
      <c r="JJ91" s="15"/>
      <c r="JK91" s="15"/>
      <c r="JL91" s="15"/>
      <c r="JM91" s="15"/>
      <c r="JN91" s="15"/>
      <c r="JO91" s="15"/>
      <c r="JP91" s="15"/>
      <c r="JQ91" s="15"/>
      <c r="JR91" s="15"/>
      <c r="JS91" s="15"/>
      <c r="JT91" s="15"/>
      <c r="JU91" s="15"/>
      <c r="JV91" s="15"/>
      <c r="JW91" s="15"/>
      <c r="JX91" s="15"/>
      <c r="JY91" s="15"/>
      <c r="JZ91" s="15"/>
      <c r="KA91" s="15"/>
      <c r="KB91" s="15"/>
      <c r="KC91" s="15"/>
      <c r="KD91" s="15"/>
      <c r="KE91" s="15"/>
      <c r="KF91" s="15"/>
      <c r="KG91" s="15"/>
      <c r="KH91" s="15"/>
      <c r="KI91" s="15"/>
      <c r="KJ91" s="15"/>
      <c r="KK91" s="15"/>
      <c r="KL91" s="15"/>
      <c r="KM91" s="15"/>
      <c r="KN91" s="15"/>
      <c r="KO91" s="15"/>
      <c r="KP91" s="15"/>
      <c r="KQ91" s="15"/>
      <c r="KR91" s="15"/>
      <c r="KS91" s="15"/>
      <c r="KT91" s="15"/>
      <c r="KU91" s="15"/>
      <c r="KV91" s="15"/>
      <c r="KW91" s="15"/>
      <c r="KX91" s="15"/>
      <c r="KY91" s="15"/>
      <c r="KZ91" s="15"/>
      <c r="LA91" s="15"/>
      <c r="LB91" s="15"/>
      <c r="LC91" s="15"/>
      <c r="LD91" s="15"/>
      <c r="LE91" s="15"/>
      <c r="LF91" s="15"/>
      <c r="LG91" s="15"/>
      <c r="LH91" s="15"/>
      <c r="LI91" s="15"/>
      <c r="LJ91" s="15"/>
      <c r="LK91" s="15"/>
      <c r="LL91" s="15"/>
      <c r="LM91" s="15"/>
      <c r="LN91" s="15"/>
      <c r="LO91" s="15"/>
      <c r="LP91" s="15"/>
      <c r="LQ91" s="15"/>
      <c r="LR91" s="15"/>
      <c r="LS91" s="15"/>
      <c r="LT91" s="15"/>
      <c r="LU91" s="15"/>
      <c r="LV91" s="15"/>
      <c r="LW91" s="15"/>
      <c r="LX91" s="15"/>
      <c r="LY91" s="15"/>
      <c r="LZ91" s="15"/>
      <c r="MA91" s="15"/>
      <c r="MB91" s="15"/>
      <c r="MC91" s="15"/>
      <c r="MD91" s="15"/>
      <c r="ME91" s="15"/>
      <c r="MF91" s="15"/>
      <c r="MG91" s="15"/>
      <c r="MH91" s="15"/>
      <c r="MI91" s="15"/>
      <c r="MJ91" s="15"/>
      <c r="MK91" s="15"/>
      <c r="ML91" s="15"/>
      <c r="MM91" s="15"/>
      <c r="MN91" s="15"/>
      <c r="MO91" s="15"/>
      <c r="MP91" s="15"/>
      <c r="MQ91" s="15"/>
      <c r="MR91" s="15"/>
      <c r="MS91" s="15"/>
      <c r="MT91" s="15"/>
      <c r="MU91" s="15"/>
      <c r="MV91" s="15"/>
      <c r="MW91" s="15"/>
    </row>
    <row r="92" ht="41.25" customHeight="1">
      <c r="A92" s="13" t="s">
        <v>91</v>
      </c>
      <c r="B92" s="14" t="s">
        <v>10097</v>
      </c>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c r="GM92" s="15"/>
      <c r="GN92" s="15"/>
      <c r="GO92" s="15"/>
      <c r="GP92" s="15"/>
      <c r="GQ92" s="15"/>
      <c r="GR92" s="15"/>
      <c r="GS92" s="15"/>
      <c r="GT92" s="15"/>
      <c r="GU92" s="15"/>
      <c r="GV92" s="15"/>
      <c r="GW92" s="15"/>
      <c r="GX92" s="15"/>
      <c r="GY92" s="15"/>
      <c r="GZ92" s="15"/>
      <c r="HA92" s="15"/>
      <c r="HB92" s="15"/>
      <c r="HC92" s="15"/>
      <c r="HD92" s="15"/>
      <c r="HE92" s="15"/>
      <c r="HF92" s="15"/>
      <c r="HG92" s="15"/>
      <c r="HH92" s="15"/>
      <c r="HI92" s="15"/>
      <c r="HJ92" s="15"/>
      <c r="HK92" s="15"/>
      <c r="HL92" s="15"/>
      <c r="HM92" s="15"/>
      <c r="HN92" s="15"/>
      <c r="HO92" s="15"/>
      <c r="HP92" s="15"/>
      <c r="HQ92" s="15"/>
      <c r="HR92" s="15"/>
      <c r="HS92" s="15"/>
      <c r="HT92" s="15"/>
      <c r="HU92" s="15"/>
      <c r="HV92" s="15"/>
      <c r="HW92" s="15"/>
      <c r="HX92" s="15"/>
      <c r="HY92" s="15"/>
      <c r="HZ92" s="15"/>
      <c r="IA92" s="15"/>
      <c r="IB92" s="15"/>
      <c r="IC92" s="15"/>
      <c r="ID92" s="15"/>
      <c r="IE92" s="15"/>
      <c r="IF92" s="15"/>
      <c r="IG92" s="15"/>
      <c r="IH92" s="15"/>
      <c r="II92" s="15"/>
      <c r="IJ92" s="15"/>
      <c r="IK92" s="15"/>
      <c r="IL92" s="15"/>
      <c r="IM92" s="15"/>
      <c r="IN92" s="15"/>
      <c r="IO92" s="15"/>
      <c r="IP92" s="15"/>
      <c r="IQ92" s="15"/>
      <c r="IR92" s="15"/>
      <c r="IS92" s="15"/>
      <c r="IT92" s="15"/>
      <c r="IU92" s="15"/>
      <c r="IV92" s="15"/>
      <c r="IW92" s="15"/>
      <c r="IX92" s="15"/>
      <c r="IY92" s="15"/>
      <c r="IZ92" s="15"/>
      <c r="JA92" s="15"/>
      <c r="JB92" s="15"/>
      <c r="JC92" s="15"/>
      <c r="JD92" s="15"/>
      <c r="JE92" s="15"/>
      <c r="JF92" s="15"/>
      <c r="JG92" s="15"/>
      <c r="JH92" s="15"/>
      <c r="JI92" s="15"/>
      <c r="JJ92" s="15"/>
      <c r="JK92" s="15"/>
      <c r="JL92" s="15"/>
      <c r="JM92" s="15"/>
      <c r="JN92" s="15"/>
      <c r="JO92" s="15"/>
      <c r="JP92" s="15"/>
      <c r="JQ92" s="15"/>
      <c r="JR92" s="15"/>
      <c r="JS92" s="15"/>
      <c r="JT92" s="15"/>
      <c r="JU92" s="15"/>
      <c r="JV92" s="15"/>
      <c r="JW92" s="15"/>
      <c r="JX92" s="15"/>
      <c r="JY92" s="15"/>
      <c r="JZ92" s="15"/>
      <c r="KA92" s="15"/>
      <c r="KB92" s="15"/>
      <c r="KC92" s="15"/>
      <c r="KD92" s="15"/>
      <c r="KE92" s="15"/>
      <c r="KF92" s="15"/>
      <c r="KG92" s="15"/>
      <c r="KH92" s="15"/>
      <c r="KI92" s="15"/>
      <c r="KJ92" s="15"/>
      <c r="KK92" s="15"/>
      <c r="KL92" s="15"/>
      <c r="KM92" s="15"/>
      <c r="KN92" s="15"/>
      <c r="KO92" s="15"/>
      <c r="KP92" s="15"/>
      <c r="KQ92" s="15"/>
      <c r="KR92" s="15"/>
      <c r="KS92" s="15"/>
      <c r="KT92" s="15"/>
      <c r="KU92" s="15"/>
      <c r="KV92" s="15"/>
      <c r="KW92" s="15"/>
      <c r="KX92" s="15"/>
      <c r="KY92" s="15"/>
      <c r="KZ92" s="15"/>
      <c r="LA92" s="15"/>
      <c r="LB92" s="15"/>
      <c r="LC92" s="15"/>
      <c r="LD92" s="15"/>
      <c r="LE92" s="15"/>
      <c r="LF92" s="15"/>
      <c r="LG92" s="15"/>
      <c r="LH92" s="15"/>
      <c r="LI92" s="15"/>
      <c r="LJ92" s="15"/>
      <c r="LK92" s="15"/>
      <c r="LL92" s="15"/>
      <c r="LM92" s="15"/>
      <c r="LN92" s="15"/>
      <c r="LO92" s="15"/>
      <c r="LP92" s="15"/>
      <c r="LQ92" s="15"/>
      <c r="LR92" s="15"/>
      <c r="LS92" s="15"/>
      <c r="LT92" s="15"/>
      <c r="LU92" s="15"/>
      <c r="LV92" s="15"/>
      <c r="LW92" s="15"/>
      <c r="LX92" s="15"/>
      <c r="LY92" s="15"/>
      <c r="LZ92" s="15"/>
      <c r="MA92" s="15"/>
      <c r="MB92" s="15"/>
      <c r="MC92" s="15"/>
      <c r="MD92" s="15"/>
      <c r="ME92" s="15"/>
      <c r="MF92" s="15"/>
      <c r="MG92" s="15"/>
      <c r="MH92" s="15"/>
      <c r="MI92" s="15"/>
      <c r="MJ92" s="15"/>
      <c r="MK92" s="15"/>
      <c r="ML92" s="15"/>
      <c r="MM92" s="15"/>
      <c r="MN92" s="15"/>
      <c r="MO92" s="15"/>
      <c r="MP92" s="15"/>
      <c r="MQ92" s="15"/>
      <c r="MR92" s="15"/>
      <c r="MS92" s="15"/>
      <c r="MT92" s="15"/>
      <c r="MU92" s="15"/>
      <c r="MV92" s="15"/>
      <c r="MW92" s="15"/>
    </row>
    <row r="93" ht="119.25" customHeight="1">
      <c r="A93" s="13" t="s">
        <v>92</v>
      </c>
      <c r="B93" s="14" t="s">
        <v>10098</v>
      </c>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c r="IV93" s="15"/>
      <c r="IW93" s="15"/>
      <c r="IX93" s="15"/>
      <c r="IY93" s="15"/>
      <c r="IZ93" s="15"/>
      <c r="JA93" s="15"/>
      <c r="JB93" s="15"/>
      <c r="JC93" s="15"/>
      <c r="JD93" s="15"/>
      <c r="JE93" s="15"/>
      <c r="JF93" s="15"/>
      <c r="JG93" s="15"/>
      <c r="JH93" s="15"/>
      <c r="JI93" s="15"/>
      <c r="JJ93" s="15"/>
      <c r="JK93" s="15"/>
      <c r="JL93" s="15"/>
      <c r="JM93" s="15"/>
      <c r="JN93" s="15"/>
      <c r="JO93" s="15"/>
      <c r="JP93" s="15"/>
      <c r="JQ93" s="15"/>
      <c r="JR93" s="15"/>
      <c r="JS93" s="15"/>
      <c r="JT93" s="15"/>
      <c r="JU93" s="15"/>
      <c r="JV93" s="15"/>
      <c r="JW93" s="15"/>
      <c r="JX93" s="15"/>
      <c r="JY93" s="15"/>
      <c r="JZ93" s="15"/>
      <c r="KA93" s="15"/>
      <c r="KB93" s="15"/>
      <c r="KC93" s="15"/>
      <c r="KD93" s="15"/>
      <c r="KE93" s="15"/>
      <c r="KF93" s="15"/>
      <c r="KG93" s="15"/>
      <c r="KH93" s="15"/>
      <c r="KI93" s="15"/>
      <c r="KJ93" s="15"/>
      <c r="KK93" s="15"/>
      <c r="KL93" s="15"/>
      <c r="KM93" s="15"/>
      <c r="KN93" s="15"/>
      <c r="KO93" s="15"/>
      <c r="KP93" s="15"/>
      <c r="KQ93" s="15"/>
      <c r="KR93" s="15"/>
      <c r="KS93" s="15"/>
      <c r="KT93" s="15"/>
      <c r="KU93" s="15"/>
      <c r="KV93" s="15"/>
      <c r="KW93" s="15"/>
      <c r="KX93" s="15"/>
      <c r="KY93" s="15"/>
      <c r="KZ93" s="15"/>
      <c r="LA93" s="15"/>
      <c r="LB93" s="15"/>
      <c r="LC93" s="15"/>
      <c r="LD93" s="15"/>
      <c r="LE93" s="15"/>
      <c r="LF93" s="15"/>
      <c r="LG93" s="15"/>
      <c r="LH93" s="15"/>
      <c r="LI93" s="15"/>
      <c r="LJ93" s="15"/>
      <c r="LK93" s="15"/>
      <c r="LL93" s="15"/>
      <c r="LM93" s="15"/>
      <c r="LN93" s="15"/>
      <c r="LO93" s="15"/>
      <c r="LP93" s="15"/>
      <c r="LQ93" s="15"/>
      <c r="LR93" s="15"/>
      <c r="LS93" s="15"/>
      <c r="LT93" s="15"/>
      <c r="LU93" s="15"/>
      <c r="LV93" s="15"/>
      <c r="LW93" s="15"/>
      <c r="LX93" s="15"/>
      <c r="LY93" s="15"/>
      <c r="LZ93" s="15"/>
      <c r="MA93" s="15"/>
      <c r="MB93" s="15"/>
      <c r="MC93" s="15"/>
      <c r="MD93" s="15"/>
      <c r="ME93" s="15"/>
      <c r="MF93" s="15"/>
      <c r="MG93" s="15"/>
      <c r="MH93" s="15"/>
      <c r="MI93" s="15"/>
      <c r="MJ93" s="15"/>
      <c r="MK93" s="15"/>
      <c r="ML93" s="15"/>
      <c r="MM93" s="15"/>
      <c r="MN93" s="15"/>
      <c r="MO93" s="15"/>
      <c r="MP93" s="15"/>
      <c r="MQ93" s="15"/>
      <c r="MR93" s="15"/>
      <c r="MS93" s="15"/>
      <c r="MT93" s="15"/>
      <c r="MU93" s="15"/>
      <c r="MV93" s="15"/>
      <c r="MW93" s="15"/>
    </row>
    <row r="94" ht="41.25" customHeight="1">
      <c r="A94" s="13" t="s">
        <v>93</v>
      </c>
      <c r="B94" s="14" t="s">
        <v>10099</v>
      </c>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15"/>
      <c r="ES94" s="15"/>
      <c r="ET94" s="15"/>
      <c r="EU94" s="15"/>
      <c r="EV94" s="15"/>
      <c r="EW94" s="15"/>
      <c r="EX94" s="15"/>
      <c r="EY94" s="15"/>
      <c r="EZ94" s="15"/>
      <c r="FA94" s="15"/>
      <c r="FB94" s="15"/>
      <c r="FC94" s="15"/>
      <c r="FD94" s="15"/>
      <c r="FE94" s="15"/>
      <c r="FF94" s="15"/>
      <c r="FG94" s="15"/>
      <c r="FH94" s="15"/>
      <c r="FI94" s="15"/>
      <c r="FJ94" s="15"/>
      <c r="FK94" s="15"/>
      <c r="FL94" s="15"/>
      <c r="FM94" s="15"/>
      <c r="FN94" s="15"/>
      <c r="FO94" s="15"/>
      <c r="FP94" s="15"/>
      <c r="FQ94" s="15"/>
      <c r="FR94" s="15"/>
      <c r="FS94" s="15"/>
      <c r="FT94" s="15"/>
      <c r="FU94" s="15"/>
      <c r="FV94" s="15"/>
      <c r="FW94" s="15"/>
      <c r="FX94" s="15"/>
      <c r="FY94" s="15"/>
      <c r="FZ94" s="15"/>
      <c r="GA94" s="15"/>
      <c r="GB94" s="15"/>
      <c r="GC94" s="15"/>
      <c r="GD94" s="15"/>
      <c r="GE94" s="15"/>
      <c r="GF94" s="15"/>
      <c r="GG94" s="15"/>
      <c r="GH94" s="15"/>
      <c r="GI94" s="15"/>
      <c r="GJ94" s="15"/>
      <c r="GK94" s="15"/>
      <c r="GL94" s="15"/>
      <c r="GM94" s="15"/>
      <c r="GN94" s="15"/>
      <c r="GO94" s="15"/>
      <c r="GP94" s="15"/>
      <c r="GQ94" s="15"/>
      <c r="GR94" s="15"/>
      <c r="GS94" s="15"/>
      <c r="GT94" s="15"/>
      <c r="GU94" s="15"/>
      <c r="GV94" s="15"/>
      <c r="GW94" s="15"/>
      <c r="GX94" s="15"/>
      <c r="GY94" s="15"/>
      <c r="GZ94" s="15"/>
      <c r="HA94" s="15"/>
      <c r="HB94" s="15"/>
      <c r="HC94" s="15"/>
      <c r="HD94" s="15"/>
      <c r="HE94" s="15"/>
      <c r="HF94" s="15"/>
      <c r="HG94" s="15"/>
      <c r="HH94" s="15"/>
      <c r="HI94" s="15"/>
      <c r="HJ94" s="15"/>
      <c r="HK94" s="15"/>
      <c r="HL94" s="15"/>
      <c r="HM94" s="15"/>
      <c r="HN94" s="15"/>
      <c r="HO94" s="15"/>
      <c r="HP94" s="15"/>
      <c r="HQ94" s="15"/>
      <c r="HR94" s="15"/>
      <c r="HS94" s="15"/>
      <c r="HT94" s="15"/>
      <c r="HU94" s="15"/>
      <c r="HV94" s="15"/>
      <c r="HW94" s="15"/>
      <c r="HX94" s="15"/>
      <c r="HY94" s="15"/>
      <c r="HZ94" s="15"/>
      <c r="IA94" s="15"/>
      <c r="IB94" s="15"/>
      <c r="IC94" s="15"/>
      <c r="ID94" s="15"/>
      <c r="IE94" s="15"/>
      <c r="IF94" s="15"/>
      <c r="IG94" s="15"/>
      <c r="IH94" s="15"/>
      <c r="II94" s="15"/>
      <c r="IJ94" s="15"/>
      <c r="IK94" s="15"/>
      <c r="IL94" s="15"/>
      <c r="IM94" s="15"/>
      <c r="IN94" s="15"/>
      <c r="IO94" s="15"/>
      <c r="IP94" s="15"/>
      <c r="IQ94" s="15"/>
      <c r="IR94" s="15"/>
      <c r="IS94" s="15"/>
      <c r="IT94" s="15"/>
      <c r="IU94" s="15"/>
      <c r="IV94" s="15"/>
      <c r="IW94" s="15"/>
      <c r="IX94" s="15"/>
      <c r="IY94" s="15"/>
      <c r="IZ94" s="15"/>
      <c r="JA94" s="15"/>
      <c r="JB94" s="15"/>
      <c r="JC94" s="15"/>
      <c r="JD94" s="15"/>
      <c r="JE94" s="15"/>
      <c r="JF94" s="15"/>
      <c r="JG94" s="15"/>
      <c r="JH94" s="15"/>
      <c r="JI94" s="15"/>
      <c r="JJ94" s="15"/>
      <c r="JK94" s="15"/>
      <c r="JL94" s="15"/>
      <c r="JM94" s="15"/>
      <c r="JN94" s="15"/>
      <c r="JO94" s="15"/>
      <c r="JP94" s="15"/>
      <c r="JQ94" s="15"/>
      <c r="JR94" s="15"/>
      <c r="JS94" s="15"/>
      <c r="JT94" s="15"/>
      <c r="JU94" s="15"/>
      <c r="JV94" s="15"/>
      <c r="JW94" s="15"/>
      <c r="JX94" s="15"/>
      <c r="JY94" s="15"/>
      <c r="JZ94" s="15"/>
      <c r="KA94" s="15"/>
      <c r="KB94" s="15"/>
      <c r="KC94" s="15"/>
      <c r="KD94" s="15"/>
      <c r="KE94" s="15"/>
      <c r="KF94" s="15"/>
      <c r="KG94" s="15"/>
      <c r="KH94" s="15"/>
      <c r="KI94" s="15"/>
      <c r="KJ94" s="15"/>
      <c r="KK94" s="15"/>
      <c r="KL94" s="15"/>
      <c r="KM94" s="15"/>
      <c r="KN94" s="15"/>
      <c r="KO94" s="15"/>
      <c r="KP94" s="15"/>
      <c r="KQ94" s="15"/>
      <c r="KR94" s="15"/>
      <c r="KS94" s="15"/>
      <c r="KT94" s="15"/>
      <c r="KU94" s="15"/>
      <c r="KV94" s="15"/>
      <c r="KW94" s="15"/>
      <c r="KX94" s="15"/>
      <c r="KY94" s="15"/>
      <c r="KZ94" s="15"/>
      <c r="LA94" s="15"/>
      <c r="LB94" s="15"/>
      <c r="LC94" s="15"/>
      <c r="LD94" s="15"/>
      <c r="LE94" s="15"/>
      <c r="LF94" s="15"/>
      <c r="LG94" s="15"/>
      <c r="LH94" s="15"/>
      <c r="LI94" s="15"/>
      <c r="LJ94" s="15"/>
      <c r="LK94" s="15"/>
      <c r="LL94" s="15"/>
      <c r="LM94" s="15"/>
      <c r="LN94" s="15"/>
      <c r="LO94" s="15"/>
      <c r="LP94" s="15"/>
      <c r="LQ94" s="15"/>
      <c r="LR94" s="15"/>
      <c r="LS94" s="15"/>
      <c r="LT94" s="15"/>
      <c r="LU94" s="15"/>
      <c r="LV94" s="15"/>
      <c r="LW94" s="15"/>
      <c r="LX94" s="15"/>
      <c r="LY94" s="15"/>
      <c r="LZ94" s="15"/>
      <c r="MA94" s="15"/>
      <c r="MB94" s="15"/>
      <c r="MC94" s="15"/>
      <c r="MD94" s="15"/>
      <c r="ME94" s="15"/>
      <c r="MF94" s="15"/>
      <c r="MG94" s="15"/>
      <c r="MH94" s="15"/>
      <c r="MI94" s="15"/>
      <c r="MJ94" s="15"/>
      <c r="MK94" s="15"/>
      <c r="ML94" s="15"/>
      <c r="MM94" s="15"/>
      <c r="MN94" s="15"/>
      <c r="MO94" s="15"/>
      <c r="MP94" s="15"/>
      <c r="MQ94" s="15"/>
      <c r="MR94" s="15"/>
      <c r="MS94" s="15"/>
      <c r="MT94" s="15"/>
      <c r="MU94" s="15"/>
      <c r="MV94" s="15"/>
      <c r="MW94" s="15"/>
    </row>
    <row r="95" ht="119.25" customHeight="1">
      <c r="A95" s="13" t="s">
        <v>94</v>
      </c>
      <c r="B95" s="14" t="s">
        <v>10100</v>
      </c>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15"/>
      <c r="FG95" s="15"/>
      <c r="FH95" s="15"/>
      <c r="FI95" s="15"/>
      <c r="FJ95" s="15"/>
      <c r="FK95" s="15"/>
      <c r="FL95" s="15"/>
      <c r="FM95" s="15"/>
      <c r="FN95" s="15"/>
      <c r="FO95" s="15"/>
      <c r="FP95" s="15"/>
      <c r="FQ95" s="15"/>
      <c r="FR95" s="15"/>
      <c r="FS95" s="15"/>
      <c r="FT95" s="15"/>
      <c r="FU95" s="15"/>
      <c r="FV95" s="15"/>
      <c r="FW95" s="15"/>
      <c r="FX95" s="15"/>
      <c r="FY95" s="15"/>
      <c r="FZ95" s="15"/>
      <c r="GA95" s="15"/>
      <c r="GB95" s="15"/>
      <c r="GC95" s="15"/>
      <c r="GD95" s="15"/>
      <c r="GE95" s="15"/>
      <c r="GF95" s="15"/>
      <c r="GG95" s="15"/>
      <c r="GH95" s="15"/>
      <c r="GI95" s="15"/>
      <c r="GJ95" s="15"/>
      <c r="GK95" s="15"/>
      <c r="GL95" s="15"/>
      <c r="GM95" s="15"/>
      <c r="GN95" s="15"/>
      <c r="GO95" s="15"/>
      <c r="GP95" s="15"/>
      <c r="GQ95" s="15"/>
      <c r="GR95" s="15"/>
      <c r="GS95" s="15"/>
      <c r="GT95" s="15"/>
      <c r="GU95" s="15"/>
      <c r="GV95" s="15"/>
      <c r="GW95" s="15"/>
      <c r="GX95" s="15"/>
      <c r="GY95" s="15"/>
      <c r="GZ95" s="15"/>
      <c r="HA95" s="15"/>
      <c r="HB95" s="15"/>
      <c r="HC95" s="15"/>
      <c r="HD95" s="15"/>
      <c r="HE95" s="15"/>
      <c r="HF95" s="15"/>
      <c r="HG95" s="15"/>
      <c r="HH95" s="15"/>
      <c r="HI95" s="15"/>
      <c r="HJ95" s="15"/>
      <c r="HK95" s="15"/>
      <c r="HL95" s="15"/>
      <c r="HM95" s="15"/>
      <c r="HN95" s="15"/>
      <c r="HO95" s="15"/>
      <c r="HP95" s="15"/>
      <c r="HQ95" s="15"/>
      <c r="HR95" s="15"/>
      <c r="HS95" s="15"/>
      <c r="HT95" s="15"/>
      <c r="HU95" s="15"/>
      <c r="HV95" s="15"/>
      <c r="HW95" s="15"/>
      <c r="HX95" s="15"/>
      <c r="HY95" s="15"/>
      <c r="HZ95" s="15"/>
      <c r="IA95" s="15"/>
      <c r="IB95" s="15"/>
      <c r="IC95" s="15"/>
      <c r="ID95" s="15"/>
      <c r="IE95" s="15"/>
      <c r="IF95" s="15"/>
      <c r="IG95" s="15"/>
      <c r="IH95" s="15"/>
      <c r="II95" s="15"/>
      <c r="IJ95" s="15"/>
      <c r="IK95" s="15"/>
      <c r="IL95" s="15"/>
      <c r="IM95" s="15"/>
      <c r="IN95" s="15"/>
      <c r="IO95" s="15"/>
      <c r="IP95" s="15"/>
      <c r="IQ95" s="15"/>
      <c r="IR95" s="15"/>
      <c r="IS95" s="15"/>
      <c r="IT95" s="15"/>
      <c r="IU95" s="15"/>
      <c r="IV95" s="15"/>
      <c r="IW95" s="15"/>
      <c r="IX95" s="15"/>
      <c r="IY95" s="15"/>
      <c r="IZ95" s="15"/>
      <c r="JA95" s="15"/>
      <c r="JB95" s="15"/>
      <c r="JC95" s="15"/>
      <c r="JD95" s="15"/>
      <c r="JE95" s="15"/>
      <c r="JF95" s="15"/>
      <c r="JG95" s="15"/>
      <c r="JH95" s="15"/>
      <c r="JI95" s="15"/>
      <c r="JJ95" s="15"/>
      <c r="JK95" s="15"/>
      <c r="JL95" s="15"/>
      <c r="JM95" s="15"/>
      <c r="JN95" s="15"/>
      <c r="JO95" s="15"/>
      <c r="JP95" s="15"/>
      <c r="JQ95" s="15"/>
      <c r="JR95" s="15"/>
      <c r="JS95" s="15"/>
      <c r="JT95" s="15"/>
      <c r="JU95" s="15"/>
      <c r="JV95" s="15"/>
      <c r="JW95" s="15"/>
      <c r="JX95" s="15"/>
      <c r="JY95" s="15"/>
      <c r="JZ95" s="15"/>
      <c r="KA95" s="15"/>
      <c r="KB95" s="15"/>
      <c r="KC95" s="15"/>
      <c r="KD95" s="15"/>
      <c r="KE95" s="15"/>
      <c r="KF95" s="15"/>
      <c r="KG95" s="15"/>
      <c r="KH95" s="15"/>
      <c r="KI95" s="15"/>
      <c r="KJ95" s="15"/>
      <c r="KK95" s="15"/>
      <c r="KL95" s="15"/>
      <c r="KM95" s="15"/>
      <c r="KN95" s="15"/>
      <c r="KO95" s="15"/>
      <c r="KP95" s="15"/>
      <c r="KQ95" s="15"/>
      <c r="KR95" s="15"/>
      <c r="KS95" s="15"/>
      <c r="KT95" s="15"/>
      <c r="KU95" s="15"/>
      <c r="KV95" s="15"/>
      <c r="KW95" s="15"/>
      <c r="KX95" s="15"/>
      <c r="KY95" s="15"/>
      <c r="KZ95" s="15"/>
      <c r="LA95" s="15"/>
      <c r="LB95" s="15"/>
      <c r="LC95" s="15"/>
      <c r="LD95" s="15"/>
      <c r="LE95" s="15"/>
      <c r="LF95" s="15"/>
      <c r="LG95" s="15"/>
      <c r="LH95" s="15"/>
      <c r="LI95" s="15"/>
      <c r="LJ95" s="15"/>
      <c r="LK95" s="15"/>
      <c r="LL95" s="15"/>
      <c r="LM95" s="15"/>
      <c r="LN95" s="15"/>
      <c r="LO95" s="15"/>
      <c r="LP95" s="15"/>
      <c r="LQ95" s="15"/>
      <c r="LR95" s="15"/>
      <c r="LS95" s="15"/>
      <c r="LT95" s="15"/>
      <c r="LU95" s="15"/>
      <c r="LV95" s="15"/>
      <c r="LW95" s="15"/>
      <c r="LX95" s="15"/>
      <c r="LY95" s="15"/>
      <c r="LZ95" s="15"/>
      <c r="MA95" s="15"/>
      <c r="MB95" s="15"/>
      <c r="MC95" s="15"/>
      <c r="MD95" s="15"/>
      <c r="ME95" s="15"/>
      <c r="MF95" s="15"/>
      <c r="MG95" s="15"/>
      <c r="MH95" s="15"/>
      <c r="MI95" s="15"/>
      <c r="MJ95" s="15"/>
      <c r="MK95" s="15"/>
      <c r="ML95" s="15"/>
      <c r="MM95" s="15"/>
      <c r="MN95" s="15"/>
      <c r="MO95" s="15"/>
      <c r="MP95" s="15"/>
      <c r="MQ95" s="15"/>
      <c r="MR95" s="15"/>
      <c r="MS95" s="15"/>
      <c r="MT95" s="15"/>
      <c r="MU95" s="15"/>
      <c r="MV95" s="15"/>
      <c r="MW95" s="15"/>
    </row>
    <row r="96" ht="41.25" customHeight="1">
      <c r="A96" s="13" t="s">
        <v>95</v>
      </c>
      <c r="B96" s="14" t="s">
        <v>10101</v>
      </c>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c r="GB96" s="15"/>
      <c r="GC96" s="15"/>
      <c r="GD96" s="15"/>
      <c r="GE96" s="15"/>
      <c r="GF96" s="15"/>
      <c r="GG96" s="15"/>
      <c r="GH96" s="15"/>
      <c r="GI96" s="15"/>
      <c r="GJ96" s="15"/>
      <c r="GK96" s="15"/>
      <c r="GL96" s="15"/>
      <c r="GM96" s="15"/>
      <c r="GN96" s="15"/>
      <c r="GO96" s="15"/>
      <c r="GP96" s="15"/>
      <c r="GQ96" s="15"/>
      <c r="GR96" s="15"/>
      <c r="GS96" s="15"/>
      <c r="GT96" s="15"/>
      <c r="GU96" s="15"/>
      <c r="GV96" s="15"/>
      <c r="GW96" s="15"/>
      <c r="GX96" s="15"/>
      <c r="GY96" s="15"/>
      <c r="GZ96" s="15"/>
      <c r="HA96" s="15"/>
      <c r="HB96" s="15"/>
      <c r="HC96" s="15"/>
      <c r="HD96" s="15"/>
      <c r="HE96" s="15"/>
      <c r="HF96" s="15"/>
      <c r="HG96" s="15"/>
      <c r="HH96" s="15"/>
      <c r="HI96" s="15"/>
      <c r="HJ96" s="15"/>
      <c r="HK96" s="15"/>
      <c r="HL96" s="15"/>
      <c r="HM96" s="15"/>
      <c r="HN96" s="15"/>
      <c r="HO96" s="15"/>
      <c r="HP96" s="15"/>
      <c r="HQ96" s="15"/>
      <c r="HR96" s="15"/>
      <c r="HS96" s="15"/>
      <c r="HT96" s="15"/>
      <c r="HU96" s="15"/>
      <c r="HV96" s="15"/>
      <c r="HW96" s="15"/>
      <c r="HX96" s="15"/>
      <c r="HY96" s="15"/>
      <c r="HZ96" s="15"/>
      <c r="IA96" s="15"/>
      <c r="IB96" s="15"/>
      <c r="IC96" s="15"/>
      <c r="ID96" s="15"/>
      <c r="IE96" s="15"/>
      <c r="IF96" s="15"/>
      <c r="IG96" s="15"/>
      <c r="IH96" s="15"/>
      <c r="II96" s="15"/>
      <c r="IJ96" s="15"/>
      <c r="IK96" s="15"/>
      <c r="IL96" s="15"/>
      <c r="IM96" s="15"/>
      <c r="IN96" s="15"/>
      <c r="IO96" s="15"/>
      <c r="IP96" s="15"/>
      <c r="IQ96" s="15"/>
      <c r="IR96" s="15"/>
      <c r="IS96" s="15"/>
      <c r="IT96" s="15"/>
      <c r="IU96" s="15"/>
      <c r="IV96" s="15"/>
      <c r="IW96" s="15"/>
      <c r="IX96" s="15"/>
      <c r="IY96" s="15"/>
      <c r="IZ96" s="15"/>
      <c r="JA96" s="15"/>
      <c r="JB96" s="15"/>
      <c r="JC96" s="15"/>
      <c r="JD96" s="15"/>
      <c r="JE96" s="15"/>
      <c r="JF96" s="15"/>
      <c r="JG96" s="15"/>
      <c r="JH96" s="15"/>
      <c r="JI96" s="15"/>
      <c r="JJ96" s="15"/>
      <c r="JK96" s="15"/>
      <c r="JL96" s="15"/>
      <c r="JM96" s="15"/>
      <c r="JN96" s="15"/>
      <c r="JO96" s="15"/>
      <c r="JP96" s="15"/>
      <c r="JQ96" s="15"/>
      <c r="JR96" s="15"/>
      <c r="JS96" s="15"/>
      <c r="JT96" s="15"/>
      <c r="JU96" s="15"/>
      <c r="JV96" s="15"/>
      <c r="JW96" s="15"/>
      <c r="JX96" s="15"/>
      <c r="JY96" s="15"/>
      <c r="JZ96" s="15"/>
      <c r="KA96" s="15"/>
      <c r="KB96" s="15"/>
      <c r="KC96" s="15"/>
      <c r="KD96" s="15"/>
      <c r="KE96" s="15"/>
      <c r="KF96" s="15"/>
      <c r="KG96" s="15"/>
      <c r="KH96" s="15"/>
      <c r="KI96" s="15"/>
      <c r="KJ96" s="15"/>
      <c r="KK96" s="15"/>
      <c r="KL96" s="15"/>
      <c r="KM96" s="15"/>
      <c r="KN96" s="15"/>
      <c r="KO96" s="15"/>
      <c r="KP96" s="15"/>
      <c r="KQ96" s="15"/>
      <c r="KR96" s="15"/>
      <c r="KS96" s="15"/>
      <c r="KT96" s="15"/>
      <c r="KU96" s="15"/>
      <c r="KV96" s="15"/>
      <c r="KW96" s="15"/>
      <c r="KX96" s="15"/>
      <c r="KY96" s="15"/>
      <c r="KZ96" s="15"/>
      <c r="LA96" s="15"/>
      <c r="LB96" s="15"/>
      <c r="LC96" s="15"/>
      <c r="LD96" s="15"/>
      <c r="LE96" s="15"/>
      <c r="LF96" s="15"/>
      <c r="LG96" s="15"/>
      <c r="LH96" s="15"/>
      <c r="LI96" s="15"/>
      <c r="LJ96" s="15"/>
      <c r="LK96" s="15"/>
      <c r="LL96" s="15"/>
      <c r="LM96" s="15"/>
      <c r="LN96" s="15"/>
      <c r="LO96" s="15"/>
      <c r="LP96" s="15"/>
      <c r="LQ96" s="15"/>
      <c r="LR96" s="15"/>
      <c r="LS96" s="15"/>
      <c r="LT96" s="15"/>
      <c r="LU96" s="15"/>
      <c r="LV96" s="15"/>
      <c r="LW96" s="15"/>
      <c r="LX96" s="15"/>
      <c r="LY96" s="15"/>
      <c r="LZ96" s="15"/>
      <c r="MA96" s="15"/>
      <c r="MB96" s="15"/>
      <c r="MC96" s="15"/>
      <c r="MD96" s="15"/>
      <c r="ME96" s="15"/>
      <c r="MF96" s="15"/>
      <c r="MG96" s="15"/>
      <c r="MH96" s="15"/>
      <c r="MI96" s="15"/>
      <c r="MJ96" s="15"/>
      <c r="MK96" s="15"/>
      <c r="ML96" s="15"/>
      <c r="MM96" s="15"/>
      <c r="MN96" s="15"/>
      <c r="MO96" s="15"/>
      <c r="MP96" s="15"/>
      <c r="MQ96" s="15"/>
      <c r="MR96" s="15"/>
      <c r="MS96" s="15"/>
      <c r="MT96" s="15"/>
      <c r="MU96" s="15"/>
      <c r="MV96" s="15"/>
      <c r="MW96" s="15"/>
    </row>
    <row r="97" ht="119.25" customHeight="1">
      <c r="A97" s="13" t="s">
        <v>96</v>
      </c>
      <c r="B97" s="14" t="s">
        <v>10102</v>
      </c>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c r="EU97" s="15"/>
      <c r="EV97" s="15"/>
      <c r="EW97" s="15"/>
      <c r="EX97" s="15"/>
      <c r="EY97" s="15"/>
      <c r="EZ97" s="15"/>
      <c r="FA97" s="15"/>
      <c r="FB97" s="15"/>
      <c r="FC97" s="15"/>
      <c r="FD97" s="15"/>
      <c r="FE97" s="15"/>
      <c r="FF97" s="15"/>
      <c r="FG97" s="15"/>
      <c r="FH97" s="15"/>
      <c r="FI97" s="15"/>
      <c r="FJ97" s="15"/>
      <c r="FK97" s="15"/>
      <c r="FL97" s="15"/>
      <c r="FM97" s="15"/>
      <c r="FN97" s="15"/>
      <c r="FO97" s="15"/>
      <c r="FP97" s="15"/>
      <c r="FQ97" s="15"/>
      <c r="FR97" s="15"/>
      <c r="FS97" s="15"/>
      <c r="FT97" s="15"/>
      <c r="FU97" s="15"/>
      <c r="FV97" s="15"/>
      <c r="FW97" s="15"/>
      <c r="FX97" s="15"/>
      <c r="FY97" s="15"/>
      <c r="FZ97" s="15"/>
      <c r="GA97" s="15"/>
      <c r="GB97" s="15"/>
      <c r="GC97" s="15"/>
      <c r="GD97" s="15"/>
      <c r="GE97" s="15"/>
      <c r="GF97" s="15"/>
      <c r="GG97" s="15"/>
      <c r="GH97" s="15"/>
      <c r="GI97" s="15"/>
      <c r="GJ97" s="15"/>
      <c r="GK97" s="15"/>
      <c r="GL97" s="15"/>
      <c r="GM97" s="15"/>
      <c r="GN97" s="15"/>
      <c r="GO97" s="15"/>
      <c r="GP97" s="15"/>
      <c r="GQ97" s="15"/>
      <c r="GR97" s="15"/>
      <c r="GS97" s="15"/>
      <c r="GT97" s="15"/>
      <c r="GU97" s="15"/>
      <c r="GV97" s="15"/>
      <c r="GW97" s="15"/>
      <c r="GX97" s="15"/>
      <c r="GY97" s="15"/>
      <c r="GZ97" s="15"/>
      <c r="HA97" s="15"/>
      <c r="HB97" s="15"/>
      <c r="HC97" s="15"/>
      <c r="HD97" s="15"/>
      <c r="HE97" s="15"/>
      <c r="HF97" s="15"/>
      <c r="HG97" s="15"/>
      <c r="HH97" s="15"/>
      <c r="HI97" s="15"/>
      <c r="HJ97" s="15"/>
      <c r="HK97" s="15"/>
      <c r="HL97" s="15"/>
      <c r="HM97" s="15"/>
      <c r="HN97" s="15"/>
      <c r="HO97" s="15"/>
      <c r="HP97" s="15"/>
      <c r="HQ97" s="15"/>
      <c r="HR97" s="15"/>
      <c r="HS97" s="15"/>
      <c r="HT97" s="15"/>
      <c r="HU97" s="15"/>
      <c r="HV97" s="15"/>
      <c r="HW97" s="15"/>
      <c r="HX97" s="15"/>
      <c r="HY97" s="15"/>
      <c r="HZ97" s="15"/>
      <c r="IA97" s="15"/>
      <c r="IB97" s="15"/>
      <c r="IC97" s="15"/>
      <c r="ID97" s="15"/>
      <c r="IE97" s="15"/>
      <c r="IF97" s="15"/>
      <c r="IG97" s="15"/>
      <c r="IH97" s="15"/>
      <c r="II97" s="15"/>
      <c r="IJ97" s="15"/>
      <c r="IK97" s="15"/>
      <c r="IL97" s="15"/>
      <c r="IM97" s="15"/>
      <c r="IN97" s="15"/>
      <c r="IO97" s="15"/>
      <c r="IP97" s="15"/>
      <c r="IQ97" s="15"/>
      <c r="IR97" s="15"/>
      <c r="IS97" s="15"/>
      <c r="IT97" s="15"/>
      <c r="IU97" s="15"/>
      <c r="IV97" s="15"/>
      <c r="IW97" s="15"/>
      <c r="IX97" s="15"/>
      <c r="IY97" s="15"/>
      <c r="IZ97" s="15"/>
      <c r="JA97" s="15"/>
      <c r="JB97" s="15"/>
      <c r="JC97" s="15"/>
      <c r="JD97" s="15"/>
      <c r="JE97" s="15"/>
      <c r="JF97" s="15"/>
      <c r="JG97" s="15"/>
      <c r="JH97" s="15"/>
      <c r="JI97" s="15"/>
      <c r="JJ97" s="15"/>
      <c r="JK97" s="15"/>
      <c r="JL97" s="15"/>
      <c r="JM97" s="15"/>
      <c r="JN97" s="15"/>
      <c r="JO97" s="15"/>
      <c r="JP97" s="15"/>
      <c r="JQ97" s="15"/>
      <c r="JR97" s="15"/>
      <c r="JS97" s="15"/>
      <c r="JT97" s="15"/>
      <c r="JU97" s="15"/>
      <c r="JV97" s="15"/>
      <c r="JW97" s="15"/>
      <c r="JX97" s="15"/>
      <c r="JY97" s="15"/>
      <c r="JZ97" s="15"/>
      <c r="KA97" s="15"/>
      <c r="KB97" s="15"/>
      <c r="KC97" s="15"/>
      <c r="KD97" s="15"/>
      <c r="KE97" s="15"/>
      <c r="KF97" s="15"/>
      <c r="KG97" s="15"/>
      <c r="KH97" s="15"/>
      <c r="KI97" s="15"/>
      <c r="KJ97" s="15"/>
      <c r="KK97" s="15"/>
      <c r="KL97" s="15"/>
      <c r="KM97" s="15"/>
      <c r="KN97" s="15"/>
      <c r="KO97" s="15"/>
      <c r="KP97" s="15"/>
      <c r="KQ97" s="15"/>
      <c r="KR97" s="15"/>
      <c r="KS97" s="15"/>
      <c r="KT97" s="15"/>
      <c r="KU97" s="15"/>
      <c r="KV97" s="15"/>
      <c r="KW97" s="15"/>
      <c r="KX97" s="15"/>
      <c r="KY97" s="15"/>
      <c r="KZ97" s="15"/>
      <c r="LA97" s="15"/>
      <c r="LB97" s="15"/>
      <c r="LC97" s="15"/>
      <c r="LD97" s="15"/>
      <c r="LE97" s="15"/>
      <c r="LF97" s="15"/>
      <c r="LG97" s="15"/>
      <c r="LH97" s="15"/>
      <c r="LI97" s="15"/>
      <c r="LJ97" s="15"/>
      <c r="LK97" s="15"/>
      <c r="LL97" s="15"/>
      <c r="LM97" s="15"/>
      <c r="LN97" s="15"/>
      <c r="LO97" s="15"/>
      <c r="LP97" s="15"/>
      <c r="LQ97" s="15"/>
      <c r="LR97" s="15"/>
      <c r="LS97" s="15"/>
      <c r="LT97" s="15"/>
      <c r="LU97" s="15"/>
      <c r="LV97" s="15"/>
      <c r="LW97" s="15"/>
      <c r="LX97" s="15"/>
      <c r="LY97" s="15"/>
      <c r="LZ97" s="15"/>
      <c r="MA97" s="15"/>
      <c r="MB97" s="15"/>
      <c r="MC97" s="15"/>
      <c r="MD97" s="15"/>
      <c r="ME97" s="15"/>
      <c r="MF97" s="15"/>
      <c r="MG97" s="15"/>
      <c r="MH97" s="15"/>
      <c r="MI97" s="15"/>
      <c r="MJ97" s="15"/>
      <c r="MK97" s="15"/>
      <c r="ML97" s="15"/>
      <c r="MM97" s="15"/>
      <c r="MN97" s="15"/>
      <c r="MO97" s="15"/>
      <c r="MP97" s="15"/>
      <c r="MQ97" s="15"/>
      <c r="MR97" s="15"/>
      <c r="MS97" s="15"/>
      <c r="MT97" s="15"/>
      <c r="MU97" s="15"/>
      <c r="MV97" s="15"/>
      <c r="MW97" s="15"/>
    </row>
    <row r="98" ht="41.25" customHeight="1">
      <c r="A98" s="13" t="s">
        <v>97</v>
      </c>
      <c r="B98" s="14" t="s">
        <v>10103</v>
      </c>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c r="GB98" s="15"/>
      <c r="GC98" s="15"/>
      <c r="GD98" s="15"/>
      <c r="GE98" s="15"/>
      <c r="GF98" s="15"/>
      <c r="GG98" s="15"/>
      <c r="GH98" s="15"/>
      <c r="GI98" s="15"/>
      <c r="GJ98" s="15"/>
      <c r="GK98" s="15"/>
      <c r="GL98" s="15"/>
      <c r="GM98" s="15"/>
      <c r="GN98" s="15"/>
      <c r="GO98" s="15"/>
      <c r="GP98" s="15"/>
      <c r="GQ98" s="15"/>
      <c r="GR98" s="15"/>
      <c r="GS98" s="15"/>
      <c r="GT98" s="15"/>
      <c r="GU98" s="15"/>
      <c r="GV98" s="15"/>
      <c r="GW98" s="15"/>
      <c r="GX98" s="15"/>
      <c r="GY98" s="15"/>
      <c r="GZ98" s="15"/>
      <c r="HA98" s="15"/>
      <c r="HB98" s="15"/>
      <c r="HC98" s="15"/>
      <c r="HD98" s="15"/>
      <c r="HE98" s="15"/>
      <c r="HF98" s="15"/>
      <c r="HG98" s="15"/>
      <c r="HH98" s="15"/>
      <c r="HI98" s="15"/>
      <c r="HJ98" s="15"/>
      <c r="HK98" s="15"/>
      <c r="HL98" s="15"/>
      <c r="HM98" s="15"/>
      <c r="HN98" s="15"/>
      <c r="HO98" s="15"/>
      <c r="HP98" s="15"/>
      <c r="HQ98" s="15"/>
      <c r="HR98" s="15"/>
      <c r="HS98" s="15"/>
      <c r="HT98" s="15"/>
      <c r="HU98" s="15"/>
      <c r="HV98" s="15"/>
      <c r="HW98" s="15"/>
      <c r="HX98" s="15"/>
      <c r="HY98" s="15"/>
      <c r="HZ98" s="15"/>
      <c r="IA98" s="15"/>
      <c r="IB98" s="15"/>
      <c r="IC98" s="15"/>
      <c r="ID98" s="15"/>
      <c r="IE98" s="15"/>
      <c r="IF98" s="15"/>
      <c r="IG98" s="15"/>
      <c r="IH98" s="15"/>
      <c r="II98" s="15"/>
      <c r="IJ98" s="15"/>
      <c r="IK98" s="15"/>
      <c r="IL98" s="15"/>
      <c r="IM98" s="15"/>
      <c r="IN98" s="15"/>
      <c r="IO98" s="15"/>
      <c r="IP98" s="15"/>
      <c r="IQ98" s="15"/>
      <c r="IR98" s="15"/>
      <c r="IS98" s="15"/>
      <c r="IT98" s="15"/>
      <c r="IU98" s="15"/>
      <c r="IV98" s="15"/>
      <c r="IW98" s="15"/>
      <c r="IX98" s="15"/>
      <c r="IY98" s="15"/>
      <c r="IZ98" s="15"/>
      <c r="JA98" s="15"/>
      <c r="JB98" s="15"/>
      <c r="JC98" s="15"/>
      <c r="JD98" s="15"/>
      <c r="JE98" s="15"/>
      <c r="JF98" s="15"/>
      <c r="JG98" s="15"/>
      <c r="JH98" s="15"/>
      <c r="JI98" s="15"/>
      <c r="JJ98" s="15"/>
      <c r="JK98" s="15"/>
      <c r="JL98" s="15"/>
      <c r="JM98" s="15"/>
      <c r="JN98" s="15"/>
      <c r="JO98" s="15"/>
      <c r="JP98" s="15"/>
      <c r="JQ98" s="15"/>
      <c r="JR98" s="15"/>
      <c r="JS98" s="15"/>
      <c r="JT98" s="15"/>
      <c r="JU98" s="15"/>
      <c r="JV98" s="15"/>
      <c r="JW98" s="15"/>
      <c r="JX98" s="15"/>
      <c r="JY98" s="15"/>
      <c r="JZ98" s="15"/>
      <c r="KA98" s="15"/>
      <c r="KB98" s="15"/>
      <c r="KC98" s="15"/>
      <c r="KD98" s="15"/>
      <c r="KE98" s="15"/>
      <c r="KF98" s="15"/>
      <c r="KG98" s="15"/>
      <c r="KH98" s="15"/>
      <c r="KI98" s="15"/>
      <c r="KJ98" s="15"/>
      <c r="KK98" s="15"/>
      <c r="KL98" s="15"/>
      <c r="KM98" s="15"/>
      <c r="KN98" s="15"/>
      <c r="KO98" s="15"/>
      <c r="KP98" s="15"/>
      <c r="KQ98" s="15"/>
      <c r="KR98" s="15"/>
      <c r="KS98" s="15"/>
      <c r="KT98" s="15"/>
      <c r="KU98" s="15"/>
      <c r="KV98" s="15"/>
      <c r="KW98" s="15"/>
      <c r="KX98" s="15"/>
      <c r="KY98" s="15"/>
      <c r="KZ98" s="15"/>
      <c r="LA98" s="15"/>
      <c r="LB98" s="15"/>
      <c r="LC98" s="15"/>
      <c r="LD98" s="15"/>
      <c r="LE98" s="15"/>
      <c r="LF98" s="15"/>
      <c r="LG98" s="15"/>
      <c r="LH98" s="15"/>
      <c r="LI98" s="15"/>
      <c r="LJ98" s="15"/>
      <c r="LK98" s="15"/>
      <c r="LL98" s="15"/>
      <c r="LM98" s="15"/>
      <c r="LN98" s="15"/>
      <c r="LO98" s="15"/>
      <c r="LP98" s="15"/>
      <c r="LQ98" s="15"/>
      <c r="LR98" s="15"/>
      <c r="LS98" s="15"/>
      <c r="LT98" s="15"/>
      <c r="LU98" s="15"/>
      <c r="LV98" s="15"/>
      <c r="LW98" s="15"/>
      <c r="LX98" s="15"/>
      <c r="LY98" s="15"/>
      <c r="LZ98" s="15"/>
      <c r="MA98" s="15"/>
      <c r="MB98" s="15"/>
      <c r="MC98" s="15"/>
      <c r="MD98" s="15"/>
      <c r="ME98" s="15"/>
      <c r="MF98" s="15"/>
      <c r="MG98" s="15"/>
      <c r="MH98" s="15"/>
      <c r="MI98" s="15"/>
      <c r="MJ98" s="15"/>
      <c r="MK98" s="15"/>
      <c r="ML98" s="15"/>
      <c r="MM98" s="15"/>
      <c r="MN98" s="15"/>
      <c r="MO98" s="15"/>
      <c r="MP98" s="15"/>
      <c r="MQ98" s="15"/>
      <c r="MR98" s="15"/>
      <c r="MS98" s="15"/>
      <c r="MT98" s="15"/>
      <c r="MU98" s="15"/>
      <c r="MV98" s="15"/>
      <c r="MW98" s="15"/>
    </row>
    <row r="99" ht="119.25" customHeight="1">
      <c r="A99" s="13" t="s">
        <v>10104</v>
      </c>
      <c r="B99" s="14" t="s">
        <v>10105</v>
      </c>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15"/>
      <c r="GI99" s="15"/>
      <c r="GJ99" s="15"/>
      <c r="GK99" s="15"/>
      <c r="GL99" s="15"/>
      <c r="GM99" s="15"/>
      <c r="GN99" s="15"/>
      <c r="GO99" s="15"/>
      <c r="GP99" s="15"/>
      <c r="GQ99" s="15"/>
      <c r="GR99" s="15"/>
      <c r="GS99" s="15"/>
      <c r="GT99" s="15"/>
      <c r="GU99" s="15"/>
      <c r="GV99" s="15"/>
      <c r="GW99" s="15"/>
      <c r="GX99" s="15"/>
      <c r="GY99" s="15"/>
      <c r="GZ99" s="15"/>
      <c r="HA99" s="15"/>
      <c r="HB99" s="15"/>
      <c r="HC99" s="15"/>
      <c r="HD99" s="15"/>
      <c r="HE99" s="15"/>
      <c r="HF99" s="15"/>
      <c r="HG99" s="15"/>
      <c r="HH99" s="15"/>
      <c r="HI99" s="15"/>
      <c r="HJ99" s="15"/>
      <c r="HK99" s="15"/>
      <c r="HL99" s="15"/>
      <c r="HM99" s="15"/>
      <c r="HN99" s="15"/>
      <c r="HO99" s="15"/>
      <c r="HP99" s="15"/>
      <c r="HQ99" s="15"/>
      <c r="HR99" s="15"/>
      <c r="HS99" s="15"/>
      <c r="HT99" s="15"/>
      <c r="HU99" s="15"/>
      <c r="HV99" s="15"/>
      <c r="HW99" s="15"/>
      <c r="HX99" s="15"/>
      <c r="HY99" s="15"/>
      <c r="HZ99" s="15"/>
      <c r="IA99" s="15"/>
      <c r="IB99" s="15"/>
      <c r="IC99" s="15"/>
      <c r="ID99" s="15"/>
      <c r="IE99" s="15"/>
      <c r="IF99" s="15"/>
      <c r="IG99" s="15"/>
      <c r="IH99" s="15"/>
      <c r="II99" s="15"/>
      <c r="IJ99" s="15"/>
      <c r="IK99" s="15"/>
      <c r="IL99" s="15"/>
      <c r="IM99" s="15"/>
      <c r="IN99" s="15"/>
      <c r="IO99" s="15"/>
      <c r="IP99" s="15"/>
      <c r="IQ99" s="15"/>
      <c r="IR99" s="15"/>
      <c r="IS99" s="15"/>
      <c r="IT99" s="15"/>
      <c r="IU99" s="15"/>
      <c r="IV99" s="15"/>
      <c r="IW99" s="15"/>
      <c r="IX99" s="15"/>
      <c r="IY99" s="15"/>
      <c r="IZ99" s="15"/>
      <c r="JA99" s="15"/>
      <c r="JB99" s="15"/>
      <c r="JC99" s="15"/>
      <c r="JD99" s="15"/>
      <c r="JE99" s="15"/>
      <c r="JF99" s="15"/>
      <c r="JG99" s="15"/>
      <c r="JH99" s="15"/>
      <c r="JI99" s="15"/>
      <c r="JJ99" s="15"/>
      <c r="JK99" s="15"/>
      <c r="JL99" s="15"/>
      <c r="JM99" s="15"/>
      <c r="JN99" s="15"/>
      <c r="JO99" s="15"/>
      <c r="JP99" s="15"/>
      <c r="JQ99" s="15"/>
      <c r="JR99" s="15"/>
      <c r="JS99" s="15"/>
      <c r="JT99" s="15"/>
      <c r="JU99" s="15"/>
      <c r="JV99" s="15"/>
      <c r="JW99" s="15"/>
      <c r="JX99" s="15"/>
      <c r="JY99" s="15"/>
      <c r="JZ99" s="15"/>
      <c r="KA99" s="15"/>
      <c r="KB99" s="15"/>
      <c r="KC99" s="15"/>
      <c r="KD99" s="15"/>
      <c r="KE99" s="15"/>
      <c r="KF99" s="15"/>
      <c r="KG99" s="15"/>
      <c r="KH99" s="15"/>
      <c r="KI99" s="15"/>
      <c r="KJ99" s="15"/>
      <c r="KK99" s="15"/>
      <c r="KL99" s="15"/>
      <c r="KM99" s="15"/>
      <c r="KN99" s="15"/>
      <c r="KO99" s="15"/>
      <c r="KP99" s="15"/>
      <c r="KQ99" s="15"/>
      <c r="KR99" s="15"/>
      <c r="KS99" s="15"/>
      <c r="KT99" s="15"/>
      <c r="KU99" s="15"/>
      <c r="KV99" s="15"/>
      <c r="KW99" s="15"/>
      <c r="KX99" s="15"/>
      <c r="KY99" s="15"/>
      <c r="KZ99" s="15"/>
      <c r="LA99" s="15"/>
      <c r="LB99" s="15"/>
      <c r="LC99" s="15"/>
      <c r="LD99" s="15"/>
      <c r="LE99" s="15"/>
      <c r="LF99" s="15"/>
      <c r="LG99" s="15"/>
      <c r="LH99" s="15"/>
      <c r="LI99" s="15"/>
      <c r="LJ99" s="15"/>
      <c r="LK99" s="15"/>
      <c r="LL99" s="15"/>
      <c r="LM99" s="15"/>
      <c r="LN99" s="15"/>
      <c r="LO99" s="15"/>
      <c r="LP99" s="15"/>
      <c r="LQ99" s="15"/>
      <c r="LR99" s="15"/>
      <c r="LS99" s="15"/>
      <c r="LT99" s="15"/>
      <c r="LU99" s="15"/>
      <c r="LV99" s="15"/>
      <c r="LW99" s="15"/>
      <c r="LX99" s="15"/>
      <c r="LY99" s="15"/>
      <c r="LZ99" s="15"/>
      <c r="MA99" s="15"/>
      <c r="MB99" s="15"/>
      <c r="MC99" s="15"/>
      <c r="MD99" s="15"/>
      <c r="ME99" s="15"/>
      <c r="MF99" s="15"/>
      <c r="MG99" s="15"/>
      <c r="MH99" s="15"/>
      <c r="MI99" s="15"/>
      <c r="MJ99" s="15"/>
      <c r="MK99" s="15"/>
      <c r="ML99" s="15"/>
      <c r="MM99" s="15"/>
      <c r="MN99" s="15"/>
      <c r="MO99" s="15"/>
      <c r="MP99" s="15"/>
      <c r="MQ99" s="15"/>
      <c r="MR99" s="15"/>
      <c r="MS99" s="15"/>
      <c r="MT99" s="15"/>
      <c r="MU99" s="15"/>
      <c r="MV99" s="15"/>
      <c r="MW99" s="15"/>
    </row>
    <row r="100" ht="41.25" customHeight="1">
      <c r="A100" s="13" t="s">
        <v>99</v>
      </c>
      <c r="B100" s="14" t="s">
        <v>10106</v>
      </c>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c r="GB100" s="15"/>
      <c r="GC100" s="15"/>
      <c r="GD100" s="15"/>
      <c r="GE100" s="15"/>
      <c r="GF100" s="15"/>
      <c r="GG100" s="15"/>
      <c r="GH100" s="15"/>
      <c r="GI100" s="15"/>
      <c r="GJ100" s="15"/>
      <c r="GK100" s="15"/>
      <c r="GL100" s="15"/>
      <c r="GM100" s="15"/>
      <c r="GN100" s="15"/>
      <c r="GO100" s="15"/>
      <c r="GP100" s="15"/>
      <c r="GQ100" s="15"/>
      <c r="GR100" s="15"/>
      <c r="GS100" s="15"/>
      <c r="GT100" s="15"/>
      <c r="GU100" s="15"/>
      <c r="GV100" s="15"/>
      <c r="GW100" s="15"/>
      <c r="GX100" s="15"/>
      <c r="GY100" s="15"/>
      <c r="GZ100" s="15"/>
      <c r="HA100" s="15"/>
      <c r="HB100" s="15"/>
      <c r="HC100" s="15"/>
      <c r="HD100" s="15"/>
      <c r="HE100" s="15"/>
      <c r="HF100" s="15"/>
      <c r="HG100" s="15"/>
      <c r="HH100" s="15"/>
      <c r="HI100" s="15"/>
      <c r="HJ100" s="15"/>
      <c r="HK100" s="15"/>
      <c r="HL100" s="15"/>
      <c r="HM100" s="15"/>
      <c r="HN100" s="15"/>
      <c r="HO100" s="15"/>
      <c r="HP100" s="15"/>
      <c r="HQ100" s="15"/>
      <c r="HR100" s="15"/>
      <c r="HS100" s="15"/>
      <c r="HT100" s="15"/>
      <c r="HU100" s="15"/>
      <c r="HV100" s="15"/>
      <c r="HW100" s="15"/>
      <c r="HX100" s="15"/>
      <c r="HY100" s="15"/>
      <c r="HZ100" s="15"/>
      <c r="IA100" s="15"/>
      <c r="IB100" s="15"/>
      <c r="IC100" s="15"/>
      <c r="ID100" s="15"/>
      <c r="IE100" s="15"/>
      <c r="IF100" s="15"/>
      <c r="IG100" s="15"/>
      <c r="IH100" s="15"/>
      <c r="II100" s="15"/>
      <c r="IJ100" s="15"/>
      <c r="IK100" s="15"/>
      <c r="IL100" s="15"/>
      <c r="IM100" s="15"/>
      <c r="IN100" s="15"/>
      <c r="IO100" s="15"/>
      <c r="IP100" s="15"/>
      <c r="IQ100" s="15"/>
      <c r="IR100" s="15"/>
      <c r="IS100" s="15"/>
      <c r="IT100" s="15"/>
      <c r="IU100" s="15"/>
      <c r="IV100" s="15"/>
      <c r="IW100" s="15"/>
      <c r="IX100" s="15"/>
      <c r="IY100" s="15"/>
      <c r="IZ100" s="15"/>
      <c r="JA100" s="15"/>
      <c r="JB100" s="15"/>
      <c r="JC100" s="15"/>
      <c r="JD100" s="15"/>
      <c r="JE100" s="15"/>
      <c r="JF100" s="15"/>
      <c r="JG100" s="15"/>
      <c r="JH100" s="15"/>
      <c r="JI100" s="15"/>
      <c r="JJ100" s="15"/>
      <c r="JK100" s="15"/>
      <c r="JL100" s="15"/>
      <c r="JM100" s="15"/>
      <c r="JN100" s="15"/>
      <c r="JO100" s="15"/>
      <c r="JP100" s="15"/>
      <c r="JQ100" s="15"/>
      <c r="JR100" s="15"/>
      <c r="JS100" s="15"/>
      <c r="JT100" s="15"/>
      <c r="JU100" s="15"/>
      <c r="JV100" s="15"/>
      <c r="JW100" s="15"/>
      <c r="JX100" s="15"/>
      <c r="JY100" s="15"/>
      <c r="JZ100" s="15"/>
      <c r="KA100" s="15"/>
      <c r="KB100" s="15"/>
      <c r="KC100" s="15"/>
      <c r="KD100" s="15"/>
      <c r="KE100" s="15"/>
      <c r="KF100" s="15"/>
      <c r="KG100" s="15"/>
      <c r="KH100" s="15"/>
      <c r="KI100" s="15"/>
      <c r="KJ100" s="15"/>
      <c r="KK100" s="15"/>
      <c r="KL100" s="15"/>
      <c r="KM100" s="15"/>
      <c r="KN100" s="15"/>
      <c r="KO100" s="15"/>
      <c r="KP100" s="15"/>
      <c r="KQ100" s="15"/>
      <c r="KR100" s="15"/>
      <c r="KS100" s="15"/>
      <c r="KT100" s="15"/>
      <c r="KU100" s="15"/>
      <c r="KV100" s="15"/>
      <c r="KW100" s="15"/>
      <c r="KX100" s="15"/>
      <c r="KY100" s="15"/>
      <c r="KZ100" s="15"/>
      <c r="LA100" s="15"/>
      <c r="LB100" s="15"/>
      <c r="LC100" s="15"/>
      <c r="LD100" s="15"/>
      <c r="LE100" s="15"/>
      <c r="LF100" s="15"/>
      <c r="LG100" s="15"/>
      <c r="LH100" s="15"/>
      <c r="LI100" s="15"/>
      <c r="LJ100" s="15"/>
      <c r="LK100" s="15"/>
      <c r="LL100" s="15"/>
      <c r="LM100" s="15"/>
      <c r="LN100" s="15"/>
      <c r="LO100" s="15"/>
      <c r="LP100" s="15"/>
      <c r="LQ100" s="15"/>
      <c r="LR100" s="15"/>
      <c r="LS100" s="15"/>
      <c r="LT100" s="15"/>
      <c r="LU100" s="15"/>
      <c r="LV100" s="15"/>
      <c r="LW100" s="15"/>
      <c r="LX100" s="15"/>
      <c r="LY100" s="15"/>
      <c r="LZ100" s="15"/>
      <c r="MA100" s="15"/>
      <c r="MB100" s="15"/>
      <c r="MC100" s="15"/>
      <c r="MD100" s="15"/>
      <c r="ME100" s="15"/>
      <c r="MF100" s="15"/>
      <c r="MG100" s="15"/>
      <c r="MH100" s="15"/>
      <c r="MI100" s="15"/>
      <c r="MJ100" s="15"/>
      <c r="MK100" s="15"/>
      <c r="ML100" s="15"/>
      <c r="MM100" s="15"/>
      <c r="MN100" s="15"/>
      <c r="MO100" s="15"/>
      <c r="MP100" s="15"/>
      <c r="MQ100" s="15"/>
      <c r="MR100" s="15"/>
      <c r="MS100" s="15"/>
      <c r="MT100" s="15"/>
      <c r="MU100" s="15"/>
      <c r="MV100" s="15"/>
      <c r="MW100" s="15"/>
    </row>
    <row r="101" ht="119.25" customHeight="1">
      <c r="A101" s="13" t="s">
        <v>100</v>
      </c>
      <c r="B101" s="14" t="s">
        <v>10107</v>
      </c>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15"/>
      <c r="GI101" s="15"/>
      <c r="GJ101" s="15"/>
      <c r="GK101" s="15"/>
      <c r="GL101" s="15"/>
      <c r="GM101" s="15"/>
      <c r="GN101" s="15"/>
      <c r="GO101" s="15"/>
      <c r="GP101" s="15"/>
      <c r="GQ101" s="15"/>
      <c r="GR101" s="15"/>
      <c r="GS101" s="15"/>
      <c r="GT101" s="15"/>
      <c r="GU101" s="15"/>
      <c r="GV101" s="15"/>
      <c r="GW101" s="15"/>
      <c r="GX101" s="15"/>
      <c r="GY101" s="15"/>
      <c r="GZ101" s="15"/>
      <c r="HA101" s="15"/>
      <c r="HB101" s="15"/>
      <c r="HC101" s="15"/>
      <c r="HD101" s="15"/>
      <c r="HE101" s="15"/>
      <c r="HF101" s="15"/>
      <c r="HG101" s="15"/>
      <c r="HH101" s="15"/>
      <c r="HI101" s="15"/>
      <c r="HJ101" s="15"/>
      <c r="HK101" s="15"/>
      <c r="HL101" s="15"/>
      <c r="HM101" s="15"/>
      <c r="HN101" s="15"/>
      <c r="HO101" s="15"/>
      <c r="HP101" s="15"/>
      <c r="HQ101" s="15"/>
      <c r="HR101" s="15"/>
      <c r="HS101" s="15"/>
      <c r="HT101" s="15"/>
      <c r="HU101" s="15"/>
      <c r="HV101" s="15"/>
      <c r="HW101" s="15"/>
      <c r="HX101" s="15"/>
      <c r="HY101" s="15"/>
      <c r="HZ101" s="15"/>
      <c r="IA101" s="15"/>
      <c r="IB101" s="15"/>
      <c r="IC101" s="15"/>
      <c r="ID101" s="15"/>
      <c r="IE101" s="15"/>
      <c r="IF101" s="15"/>
      <c r="IG101" s="15"/>
      <c r="IH101" s="15"/>
      <c r="II101" s="15"/>
      <c r="IJ101" s="15"/>
      <c r="IK101" s="15"/>
      <c r="IL101" s="15"/>
      <c r="IM101" s="15"/>
      <c r="IN101" s="15"/>
      <c r="IO101" s="15"/>
      <c r="IP101" s="15"/>
      <c r="IQ101" s="15"/>
      <c r="IR101" s="15"/>
      <c r="IS101" s="15"/>
      <c r="IT101" s="15"/>
      <c r="IU101" s="15"/>
      <c r="IV101" s="15"/>
      <c r="IW101" s="15"/>
      <c r="IX101" s="15"/>
      <c r="IY101" s="15"/>
      <c r="IZ101" s="15"/>
      <c r="JA101" s="15"/>
      <c r="JB101" s="15"/>
      <c r="JC101" s="15"/>
      <c r="JD101" s="15"/>
      <c r="JE101" s="15"/>
      <c r="JF101" s="15"/>
      <c r="JG101" s="15"/>
      <c r="JH101" s="15"/>
      <c r="JI101" s="15"/>
      <c r="JJ101" s="15"/>
      <c r="JK101" s="15"/>
      <c r="JL101" s="15"/>
      <c r="JM101" s="15"/>
      <c r="JN101" s="15"/>
      <c r="JO101" s="15"/>
      <c r="JP101" s="15"/>
      <c r="JQ101" s="15"/>
      <c r="JR101" s="15"/>
      <c r="JS101" s="15"/>
      <c r="JT101" s="15"/>
      <c r="JU101" s="15"/>
      <c r="JV101" s="15"/>
      <c r="JW101" s="15"/>
      <c r="JX101" s="15"/>
      <c r="JY101" s="15"/>
      <c r="JZ101" s="15"/>
      <c r="KA101" s="15"/>
      <c r="KB101" s="15"/>
      <c r="KC101" s="15"/>
      <c r="KD101" s="15"/>
      <c r="KE101" s="15"/>
      <c r="KF101" s="15"/>
      <c r="KG101" s="15"/>
      <c r="KH101" s="15"/>
      <c r="KI101" s="15"/>
      <c r="KJ101" s="15"/>
      <c r="KK101" s="15"/>
      <c r="KL101" s="15"/>
      <c r="KM101" s="15"/>
      <c r="KN101" s="15"/>
      <c r="KO101" s="15"/>
      <c r="KP101" s="15"/>
      <c r="KQ101" s="15"/>
      <c r="KR101" s="15"/>
      <c r="KS101" s="15"/>
      <c r="KT101" s="15"/>
      <c r="KU101" s="15"/>
      <c r="KV101" s="15"/>
      <c r="KW101" s="15"/>
      <c r="KX101" s="15"/>
      <c r="KY101" s="15"/>
      <c r="KZ101" s="15"/>
      <c r="LA101" s="15"/>
      <c r="LB101" s="15"/>
      <c r="LC101" s="15"/>
      <c r="LD101" s="15"/>
      <c r="LE101" s="15"/>
      <c r="LF101" s="15"/>
      <c r="LG101" s="15"/>
      <c r="LH101" s="15"/>
      <c r="LI101" s="15"/>
      <c r="LJ101" s="15"/>
      <c r="LK101" s="15"/>
      <c r="LL101" s="15"/>
      <c r="LM101" s="15"/>
      <c r="LN101" s="15"/>
      <c r="LO101" s="15"/>
      <c r="LP101" s="15"/>
      <c r="LQ101" s="15"/>
      <c r="LR101" s="15"/>
      <c r="LS101" s="15"/>
      <c r="LT101" s="15"/>
      <c r="LU101" s="15"/>
      <c r="LV101" s="15"/>
      <c r="LW101" s="15"/>
      <c r="LX101" s="15"/>
      <c r="LY101" s="15"/>
      <c r="LZ101" s="15"/>
      <c r="MA101" s="15"/>
      <c r="MB101" s="15"/>
      <c r="MC101" s="15"/>
      <c r="MD101" s="15"/>
      <c r="ME101" s="15"/>
      <c r="MF101" s="15"/>
      <c r="MG101" s="15"/>
      <c r="MH101" s="15"/>
      <c r="MI101" s="15"/>
      <c r="MJ101" s="15"/>
      <c r="MK101" s="15"/>
      <c r="ML101" s="15"/>
      <c r="MM101" s="15"/>
      <c r="MN101" s="15"/>
      <c r="MO101" s="15"/>
      <c r="MP101" s="15"/>
      <c r="MQ101" s="15"/>
      <c r="MR101" s="15"/>
      <c r="MS101" s="15"/>
      <c r="MT101" s="15"/>
      <c r="MU101" s="15"/>
      <c r="MV101" s="15"/>
      <c r="MW101" s="15"/>
    </row>
    <row r="102" ht="41.25" customHeight="1">
      <c r="A102" s="13" t="s">
        <v>101</v>
      </c>
      <c r="B102" s="14" t="s">
        <v>10108</v>
      </c>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c r="DF102" s="15"/>
      <c r="DG102" s="15"/>
      <c r="DH102" s="15"/>
      <c r="DI102" s="15"/>
      <c r="DJ102" s="15"/>
      <c r="DK102" s="15"/>
      <c r="DL102" s="15"/>
      <c r="DM102" s="15"/>
      <c r="DN102" s="15"/>
      <c r="DO102" s="15"/>
      <c r="DP102" s="15"/>
      <c r="DQ102" s="15"/>
      <c r="DR102" s="15"/>
      <c r="DS102" s="15"/>
      <c r="DT102" s="15"/>
      <c r="DU102" s="15"/>
      <c r="DV102" s="15"/>
      <c r="DW102" s="15"/>
      <c r="DX102" s="15"/>
      <c r="DY102" s="15"/>
      <c r="DZ102" s="15"/>
      <c r="EA102" s="15"/>
      <c r="EB102" s="15"/>
      <c r="EC102" s="15"/>
      <c r="ED102" s="15"/>
      <c r="EE102" s="15"/>
      <c r="EF102" s="15"/>
      <c r="EG102" s="15"/>
      <c r="EH102" s="15"/>
      <c r="EI102" s="15"/>
      <c r="EJ102" s="15"/>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15"/>
      <c r="FI102" s="15"/>
      <c r="FJ102" s="15"/>
      <c r="FK102" s="15"/>
      <c r="FL102" s="15"/>
      <c r="FM102" s="15"/>
      <c r="FN102" s="15"/>
      <c r="FO102" s="15"/>
      <c r="FP102" s="15"/>
      <c r="FQ102" s="15"/>
      <c r="FR102" s="15"/>
      <c r="FS102" s="15"/>
      <c r="FT102" s="15"/>
      <c r="FU102" s="15"/>
      <c r="FV102" s="15"/>
      <c r="FW102" s="15"/>
      <c r="FX102" s="15"/>
      <c r="FY102" s="15"/>
      <c r="FZ102" s="15"/>
      <c r="GA102" s="15"/>
      <c r="GB102" s="15"/>
      <c r="GC102" s="15"/>
      <c r="GD102" s="15"/>
      <c r="GE102" s="15"/>
      <c r="GF102" s="15"/>
      <c r="GG102" s="15"/>
      <c r="GH102" s="15"/>
      <c r="GI102" s="15"/>
      <c r="GJ102" s="15"/>
      <c r="GK102" s="15"/>
      <c r="GL102" s="15"/>
      <c r="GM102" s="15"/>
      <c r="GN102" s="15"/>
      <c r="GO102" s="15"/>
      <c r="GP102" s="15"/>
      <c r="GQ102" s="15"/>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15"/>
      <c r="HQ102" s="15"/>
      <c r="HR102" s="15"/>
      <c r="HS102" s="15"/>
      <c r="HT102" s="15"/>
      <c r="HU102" s="15"/>
      <c r="HV102" s="15"/>
      <c r="HW102" s="15"/>
      <c r="HX102" s="15"/>
      <c r="HY102" s="15"/>
      <c r="HZ102" s="15"/>
      <c r="IA102" s="15"/>
      <c r="IB102" s="15"/>
      <c r="IC102" s="15"/>
      <c r="ID102" s="15"/>
      <c r="IE102" s="15"/>
      <c r="IF102" s="15"/>
      <c r="IG102" s="15"/>
      <c r="IH102" s="15"/>
      <c r="II102" s="15"/>
      <c r="IJ102" s="15"/>
      <c r="IK102" s="15"/>
      <c r="IL102" s="15"/>
      <c r="IM102" s="15"/>
      <c r="IN102" s="15"/>
      <c r="IO102" s="15"/>
      <c r="IP102" s="15"/>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5"/>
      <c r="JO102" s="15"/>
      <c r="JP102" s="15"/>
      <c r="JQ102" s="15"/>
      <c r="JR102" s="15"/>
      <c r="JS102" s="15"/>
      <c r="JT102" s="15"/>
      <c r="JU102" s="15"/>
      <c r="JV102" s="15"/>
      <c r="JW102" s="15"/>
      <c r="JX102" s="15"/>
      <c r="JY102" s="15"/>
      <c r="JZ102" s="15"/>
      <c r="KA102" s="15"/>
      <c r="KB102" s="15"/>
      <c r="KC102" s="15"/>
      <c r="KD102" s="15"/>
      <c r="KE102" s="15"/>
      <c r="KF102" s="15"/>
      <c r="KG102" s="15"/>
      <c r="KH102" s="15"/>
      <c r="KI102" s="15"/>
      <c r="KJ102" s="15"/>
      <c r="KK102" s="15"/>
      <c r="KL102" s="15"/>
      <c r="KM102" s="15"/>
      <c r="KN102" s="15"/>
      <c r="KO102" s="15"/>
      <c r="KP102" s="15"/>
      <c r="KQ102" s="15"/>
      <c r="KR102" s="15"/>
      <c r="KS102" s="15"/>
      <c r="KT102" s="15"/>
      <c r="KU102" s="15"/>
      <c r="KV102" s="15"/>
      <c r="KW102" s="15"/>
      <c r="KX102" s="15"/>
      <c r="KY102" s="15"/>
      <c r="KZ102" s="15"/>
      <c r="LA102" s="15"/>
      <c r="LB102" s="15"/>
      <c r="LC102" s="15"/>
      <c r="LD102" s="15"/>
      <c r="LE102" s="15"/>
      <c r="LF102" s="15"/>
      <c r="LG102" s="15"/>
      <c r="LH102" s="15"/>
      <c r="LI102" s="15"/>
      <c r="LJ102" s="15"/>
      <c r="LK102" s="15"/>
      <c r="LL102" s="15"/>
      <c r="LM102" s="15"/>
      <c r="LN102" s="15"/>
      <c r="LO102" s="15"/>
      <c r="LP102" s="15"/>
      <c r="LQ102" s="15"/>
      <c r="LR102" s="15"/>
      <c r="LS102" s="15"/>
      <c r="LT102" s="15"/>
      <c r="LU102" s="15"/>
      <c r="LV102" s="15"/>
      <c r="LW102" s="15"/>
      <c r="LX102" s="15"/>
      <c r="LY102" s="15"/>
      <c r="LZ102" s="15"/>
      <c r="MA102" s="15"/>
      <c r="MB102" s="15"/>
      <c r="MC102" s="15"/>
      <c r="MD102" s="15"/>
      <c r="ME102" s="15"/>
      <c r="MF102" s="15"/>
      <c r="MG102" s="15"/>
      <c r="MH102" s="15"/>
      <c r="MI102" s="15"/>
      <c r="MJ102" s="15"/>
      <c r="MK102" s="15"/>
      <c r="ML102" s="15"/>
      <c r="MM102" s="15"/>
      <c r="MN102" s="15"/>
      <c r="MO102" s="15"/>
      <c r="MP102" s="15"/>
      <c r="MQ102" s="15"/>
      <c r="MR102" s="15"/>
      <c r="MS102" s="15"/>
      <c r="MT102" s="15"/>
      <c r="MU102" s="15"/>
      <c r="MV102" s="15"/>
      <c r="MW102" s="15"/>
    </row>
    <row r="103" ht="119.25" customHeight="1">
      <c r="A103" s="13" t="s">
        <v>10109</v>
      </c>
      <c r="B103" s="14" t="s">
        <v>10110</v>
      </c>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c r="FO103" s="15"/>
      <c r="FP103" s="15"/>
      <c r="FQ103" s="15"/>
      <c r="FR103" s="15"/>
      <c r="FS103" s="15"/>
      <c r="FT103" s="15"/>
      <c r="FU103" s="15"/>
      <c r="FV103" s="15"/>
      <c r="FW103" s="15"/>
      <c r="FX103" s="15"/>
      <c r="FY103" s="15"/>
      <c r="FZ103" s="15"/>
      <c r="GA103" s="15"/>
      <c r="GB103" s="15"/>
      <c r="GC103" s="15"/>
      <c r="GD103" s="15"/>
      <c r="GE103" s="15"/>
      <c r="GF103" s="15"/>
      <c r="GG103" s="15"/>
      <c r="GH103" s="15"/>
      <c r="GI103" s="15"/>
      <c r="GJ103" s="15"/>
      <c r="GK103" s="15"/>
      <c r="GL103" s="15"/>
      <c r="GM103" s="15"/>
      <c r="GN103" s="15"/>
      <c r="GO103" s="15"/>
      <c r="GP103" s="15"/>
      <c r="GQ103" s="15"/>
      <c r="GR103" s="15"/>
      <c r="GS103" s="15"/>
      <c r="GT103" s="15"/>
      <c r="GU103" s="15"/>
      <c r="GV103" s="15"/>
      <c r="GW103" s="15"/>
      <c r="GX103" s="15"/>
      <c r="GY103" s="15"/>
      <c r="GZ103" s="15"/>
      <c r="HA103" s="15"/>
      <c r="HB103" s="15"/>
      <c r="HC103" s="15"/>
      <c r="HD103" s="15"/>
      <c r="HE103" s="15"/>
      <c r="HF103" s="15"/>
      <c r="HG103" s="15"/>
      <c r="HH103" s="15"/>
      <c r="HI103" s="15"/>
      <c r="HJ103" s="15"/>
      <c r="HK103" s="15"/>
      <c r="HL103" s="15"/>
      <c r="HM103" s="15"/>
      <c r="HN103" s="15"/>
      <c r="HO103" s="15"/>
      <c r="HP103" s="15"/>
      <c r="HQ103" s="15"/>
      <c r="HR103" s="15"/>
      <c r="HS103" s="15"/>
      <c r="HT103" s="15"/>
      <c r="HU103" s="15"/>
      <c r="HV103" s="15"/>
      <c r="HW103" s="15"/>
      <c r="HX103" s="15"/>
      <c r="HY103" s="15"/>
      <c r="HZ103" s="15"/>
      <c r="IA103" s="15"/>
      <c r="IB103" s="15"/>
      <c r="IC103" s="15"/>
      <c r="ID103" s="15"/>
      <c r="IE103" s="15"/>
      <c r="IF103" s="15"/>
      <c r="IG103" s="15"/>
      <c r="IH103" s="15"/>
      <c r="II103" s="15"/>
      <c r="IJ103" s="15"/>
      <c r="IK103" s="15"/>
      <c r="IL103" s="15"/>
      <c r="IM103" s="15"/>
      <c r="IN103" s="15"/>
      <c r="IO103" s="15"/>
      <c r="IP103" s="15"/>
      <c r="IQ103" s="15"/>
      <c r="IR103" s="15"/>
      <c r="IS103" s="15"/>
      <c r="IT103" s="15"/>
      <c r="IU103" s="15"/>
      <c r="IV103" s="15"/>
      <c r="IW103" s="15"/>
      <c r="IX103" s="15"/>
      <c r="IY103" s="15"/>
      <c r="IZ103" s="15"/>
      <c r="JA103" s="15"/>
      <c r="JB103" s="15"/>
      <c r="JC103" s="15"/>
      <c r="JD103" s="15"/>
      <c r="JE103" s="15"/>
      <c r="JF103" s="15"/>
      <c r="JG103" s="15"/>
      <c r="JH103" s="15"/>
      <c r="JI103" s="15"/>
      <c r="JJ103" s="15"/>
      <c r="JK103" s="15"/>
      <c r="JL103" s="15"/>
      <c r="JM103" s="15"/>
      <c r="JN103" s="15"/>
      <c r="JO103" s="15"/>
      <c r="JP103" s="15"/>
      <c r="JQ103" s="15"/>
      <c r="JR103" s="15"/>
      <c r="JS103" s="15"/>
      <c r="JT103" s="15"/>
      <c r="JU103" s="15"/>
      <c r="JV103" s="15"/>
      <c r="JW103" s="15"/>
      <c r="JX103" s="15"/>
      <c r="JY103" s="15"/>
      <c r="JZ103" s="15"/>
      <c r="KA103" s="15"/>
      <c r="KB103" s="15"/>
      <c r="KC103" s="15"/>
      <c r="KD103" s="15"/>
      <c r="KE103" s="15"/>
      <c r="KF103" s="15"/>
      <c r="KG103" s="15"/>
      <c r="KH103" s="15"/>
      <c r="KI103" s="15"/>
      <c r="KJ103" s="15"/>
      <c r="KK103" s="15"/>
      <c r="KL103" s="15"/>
      <c r="KM103" s="15"/>
      <c r="KN103" s="15"/>
      <c r="KO103" s="15"/>
      <c r="KP103" s="15"/>
      <c r="KQ103" s="15"/>
      <c r="KR103" s="15"/>
      <c r="KS103" s="15"/>
      <c r="KT103" s="15"/>
      <c r="KU103" s="15"/>
      <c r="KV103" s="15"/>
      <c r="KW103" s="15"/>
      <c r="KX103" s="15"/>
      <c r="KY103" s="15"/>
      <c r="KZ103" s="15"/>
      <c r="LA103" s="15"/>
      <c r="LB103" s="15"/>
      <c r="LC103" s="15"/>
      <c r="LD103" s="15"/>
      <c r="LE103" s="15"/>
      <c r="LF103" s="15"/>
      <c r="LG103" s="15"/>
      <c r="LH103" s="15"/>
      <c r="LI103" s="15"/>
      <c r="LJ103" s="15"/>
      <c r="LK103" s="15"/>
      <c r="LL103" s="15"/>
      <c r="LM103" s="15"/>
      <c r="LN103" s="15"/>
      <c r="LO103" s="15"/>
      <c r="LP103" s="15"/>
      <c r="LQ103" s="15"/>
      <c r="LR103" s="15"/>
      <c r="LS103" s="15"/>
      <c r="LT103" s="15"/>
      <c r="LU103" s="15"/>
      <c r="LV103" s="15"/>
      <c r="LW103" s="15"/>
      <c r="LX103" s="15"/>
      <c r="LY103" s="15"/>
      <c r="LZ103" s="15"/>
      <c r="MA103" s="15"/>
      <c r="MB103" s="15"/>
      <c r="MC103" s="15"/>
      <c r="MD103" s="15"/>
      <c r="ME103" s="15"/>
      <c r="MF103" s="15"/>
      <c r="MG103" s="15"/>
      <c r="MH103" s="15"/>
      <c r="MI103" s="15"/>
      <c r="MJ103" s="15"/>
      <c r="MK103" s="15"/>
      <c r="ML103" s="15"/>
      <c r="MM103" s="15"/>
      <c r="MN103" s="15"/>
      <c r="MO103" s="15"/>
      <c r="MP103" s="15"/>
      <c r="MQ103" s="15"/>
      <c r="MR103" s="15"/>
      <c r="MS103" s="15"/>
      <c r="MT103" s="15"/>
      <c r="MU103" s="15"/>
      <c r="MV103" s="15"/>
      <c r="MW103" s="15"/>
    </row>
    <row r="104" ht="41.25" customHeight="1">
      <c r="A104" s="13" t="s">
        <v>103</v>
      </c>
      <c r="B104" s="14" t="s">
        <v>10111</v>
      </c>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c r="DZ104" s="15"/>
      <c r="EA104" s="15"/>
      <c r="EB104" s="15"/>
      <c r="EC104" s="15"/>
      <c r="ED104" s="15"/>
      <c r="EE104" s="15"/>
      <c r="EF104" s="15"/>
      <c r="EG104" s="15"/>
      <c r="EH104" s="15"/>
      <c r="EI104" s="15"/>
      <c r="EJ104" s="15"/>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15"/>
      <c r="FI104" s="15"/>
      <c r="FJ104" s="15"/>
      <c r="FK104" s="15"/>
      <c r="FL104" s="15"/>
      <c r="FM104" s="15"/>
      <c r="FN104" s="15"/>
      <c r="FO104" s="15"/>
      <c r="FP104" s="15"/>
      <c r="FQ104" s="15"/>
      <c r="FR104" s="15"/>
      <c r="FS104" s="15"/>
      <c r="FT104" s="15"/>
      <c r="FU104" s="15"/>
      <c r="FV104" s="15"/>
      <c r="FW104" s="15"/>
      <c r="FX104" s="15"/>
      <c r="FY104" s="15"/>
      <c r="FZ104" s="15"/>
      <c r="GA104" s="15"/>
      <c r="GB104" s="15"/>
      <c r="GC104" s="15"/>
      <c r="GD104" s="15"/>
      <c r="GE104" s="15"/>
      <c r="GF104" s="15"/>
      <c r="GG104" s="15"/>
      <c r="GH104" s="15"/>
      <c r="GI104" s="15"/>
      <c r="GJ104" s="15"/>
      <c r="GK104" s="15"/>
      <c r="GL104" s="15"/>
      <c r="GM104" s="15"/>
      <c r="GN104" s="15"/>
      <c r="GO104" s="15"/>
      <c r="GP104" s="15"/>
      <c r="GQ104" s="15"/>
      <c r="GR104" s="15"/>
      <c r="GS104" s="15"/>
      <c r="GT104" s="15"/>
      <c r="GU104" s="15"/>
      <c r="GV104" s="15"/>
      <c r="GW104" s="15"/>
      <c r="GX104" s="15"/>
      <c r="GY104" s="15"/>
      <c r="GZ104" s="15"/>
      <c r="HA104" s="15"/>
      <c r="HB104" s="15"/>
      <c r="HC104" s="15"/>
      <c r="HD104" s="15"/>
      <c r="HE104" s="15"/>
      <c r="HF104" s="15"/>
      <c r="HG104" s="15"/>
      <c r="HH104" s="15"/>
      <c r="HI104" s="15"/>
      <c r="HJ104" s="15"/>
      <c r="HK104" s="15"/>
      <c r="HL104" s="15"/>
      <c r="HM104" s="15"/>
      <c r="HN104" s="15"/>
      <c r="HO104" s="15"/>
      <c r="HP104" s="15"/>
      <c r="HQ104" s="15"/>
      <c r="HR104" s="15"/>
      <c r="HS104" s="15"/>
      <c r="HT104" s="15"/>
      <c r="HU104" s="15"/>
      <c r="HV104" s="15"/>
      <c r="HW104" s="15"/>
      <c r="HX104" s="15"/>
      <c r="HY104" s="15"/>
      <c r="HZ104" s="15"/>
      <c r="IA104" s="15"/>
      <c r="IB104" s="15"/>
      <c r="IC104" s="15"/>
      <c r="ID104" s="15"/>
      <c r="IE104" s="15"/>
      <c r="IF104" s="15"/>
      <c r="IG104" s="15"/>
      <c r="IH104" s="15"/>
      <c r="II104" s="15"/>
      <c r="IJ104" s="15"/>
      <c r="IK104" s="15"/>
      <c r="IL104" s="15"/>
      <c r="IM104" s="15"/>
      <c r="IN104" s="15"/>
      <c r="IO104" s="15"/>
      <c r="IP104" s="15"/>
      <c r="IQ104" s="15"/>
      <c r="IR104" s="15"/>
      <c r="IS104" s="15"/>
      <c r="IT104" s="15"/>
      <c r="IU104" s="15"/>
      <c r="IV104" s="15"/>
      <c r="IW104" s="15"/>
      <c r="IX104" s="15"/>
      <c r="IY104" s="15"/>
      <c r="IZ104" s="15"/>
      <c r="JA104" s="15"/>
      <c r="JB104" s="15"/>
      <c r="JC104" s="15"/>
      <c r="JD104" s="15"/>
      <c r="JE104" s="15"/>
      <c r="JF104" s="15"/>
      <c r="JG104" s="15"/>
      <c r="JH104" s="15"/>
      <c r="JI104" s="15"/>
      <c r="JJ104" s="15"/>
      <c r="JK104" s="15"/>
      <c r="JL104" s="15"/>
      <c r="JM104" s="15"/>
      <c r="JN104" s="15"/>
      <c r="JO104" s="15"/>
      <c r="JP104" s="15"/>
      <c r="JQ104" s="15"/>
      <c r="JR104" s="15"/>
      <c r="JS104" s="15"/>
      <c r="JT104" s="15"/>
      <c r="JU104" s="15"/>
      <c r="JV104" s="15"/>
      <c r="JW104" s="15"/>
      <c r="JX104" s="15"/>
      <c r="JY104" s="15"/>
      <c r="JZ104" s="15"/>
      <c r="KA104" s="15"/>
      <c r="KB104" s="15"/>
      <c r="KC104" s="15"/>
      <c r="KD104" s="15"/>
      <c r="KE104" s="15"/>
      <c r="KF104" s="15"/>
      <c r="KG104" s="15"/>
      <c r="KH104" s="15"/>
      <c r="KI104" s="15"/>
      <c r="KJ104" s="15"/>
      <c r="KK104" s="15"/>
      <c r="KL104" s="15"/>
      <c r="KM104" s="15"/>
      <c r="KN104" s="15"/>
      <c r="KO104" s="15"/>
      <c r="KP104" s="15"/>
      <c r="KQ104" s="15"/>
      <c r="KR104" s="15"/>
      <c r="KS104" s="15"/>
      <c r="KT104" s="15"/>
      <c r="KU104" s="15"/>
      <c r="KV104" s="15"/>
      <c r="KW104" s="15"/>
      <c r="KX104" s="15"/>
      <c r="KY104" s="15"/>
      <c r="KZ104" s="15"/>
      <c r="LA104" s="15"/>
      <c r="LB104" s="15"/>
      <c r="LC104" s="15"/>
      <c r="LD104" s="15"/>
      <c r="LE104" s="15"/>
      <c r="LF104" s="15"/>
      <c r="LG104" s="15"/>
      <c r="LH104" s="15"/>
      <c r="LI104" s="15"/>
      <c r="LJ104" s="15"/>
      <c r="LK104" s="15"/>
      <c r="LL104" s="15"/>
      <c r="LM104" s="15"/>
      <c r="LN104" s="15"/>
      <c r="LO104" s="15"/>
      <c r="LP104" s="15"/>
      <c r="LQ104" s="15"/>
      <c r="LR104" s="15"/>
      <c r="LS104" s="15"/>
      <c r="LT104" s="15"/>
      <c r="LU104" s="15"/>
      <c r="LV104" s="15"/>
      <c r="LW104" s="15"/>
      <c r="LX104" s="15"/>
      <c r="LY104" s="15"/>
      <c r="LZ104" s="15"/>
      <c r="MA104" s="15"/>
      <c r="MB104" s="15"/>
      <c r="MC104" s="15"/>
      <c r="MD104" s="15"/>
      <c r="ME104" s="15"/>
      <c r="MF104" s="15"/>
      <c r="MG104" s="15"/>
      <c r="MH104" s="15"/>
      <c r="MI104" s="15"/>
      <c r="MJ104" s="15"/>
      <c r="MK104" s="15"/>
      <c r="ML104" s="15"/>
      <c r="MM104" s="15"/>
      <c r="MN104" s="15"/>
      <c r="MO104" s="15"/>
      <c r="MP104" s="15"/>
      <c r="MQ104" s="15"/>
      <c r="MR104" s="15"/>
      <c r="MS104" s="15"/>
      <c r="MT104" s="15"/>
      <c r="MU104" s="15"/>
      <c r="MV104" s="15"/>
      <c r="MW104" s="15"/>
    </row>
    <row r="105" ht="119.25" customHeight="1">
      <c r="A105" s="13" t="s">
        <v>104</v>
      </c>
      <c r="B105" s="14" t="s">
        <v>10112</v>
      </c>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15"/>
      <c r="GI105" s="15"/>
      <c r="GJ105" s="15"/>
      <c r="GK105" s="15"/>
      <c r="GL105" s="15"/>
      <c r="GM105" s="15"/>
      <c r="GN105" s="15"/>
      <c r="GO105" s="15"/>
      <c r="GP105" s="15"/>
      <c r="GQ105" s="15"/>
      <c r="GR105" s="15"/>
      <c r="GS105" s="15"/>
      <c r="GT105" s="15"/>
      <c r="GU105" s="15"/>
      <c r="GV105" s="15"/>
      <c r="GW105" s="15"/>
      <c r="GX105" s="15"/>
      <c r="GY105" s="15"/>
      <c r="GZ105" s="15"/>
      <c r="HA105" s="15"/>
      <c r="HB105" s="15"/>
      <c r="HC105" s="15"/>
      <c r="HD105" s="15"/>
      <c r="HE105" s="15"/>
      <c r="HF105" s="15"/>
      <c r="HG105" s="15"/>
      <c r="HH105" s="15"/>
      <c r="HI105" s="15"/>
      <c r="HJ105" s="15"/>
      <c r="HK105" s="15"/>
      <c r="HL105" s="15"/>
      <c r="HM105" s="15"/>
      <c r="HN105" s="15"/>
      <c r="HO105" s="15"/>
      <c r="HP105" s="15"/>
      <c r="HQ105" s="15"/>
      <c r="HR105" s="15"/>
      <c r="HS105" s="15"/>
      <c r="HT105" s="15"/>
      <c r="HU105" s="15"/>
      <c r="HV105" s="15"/>
      <c r="HW105" s="15"/>
      <c r="HX105" s="15"/>
      <c r="HY105" s="15"/>
      <c r="HZ105" s="15"/>
      <c r="IA105" s="15"/>
      <c r="IB105" s="15"/>
      <c r="IC105" s="15"/>
      <c r="ID105" s="15"/>
      <c r="IE105" s="15"/>
      <c r="IF105" s="15"/>
      <c r="IG105" s="15"/>
      <c r="IH105" s="15"/>
      <c r="II105" s="15"/>
      <c r="IJ105" s="15"/>
      <c r="IK105" s="15"/>
      <c r="IL105" s="15"/>
      <c r="IM105" s="15"/>
      <c r="IN105" s="15"/>
      <c r="IO105" s="15"/>
      <c r="IP105" s="15"/>
      <c r="IQ105" s="15"/>
      <c r="IR105" s="15"/>
      <c r="IS105" s="15"/>
      <c r="IT105" s="15"/>
      <c r="IU105" s="15"/>
      <c r="IV105" s="15"/>
      <c r="IW105" s="15"/>
      <c r="IX105" s="15"/>
      <c r="IY105" s="15"/>
      <c r="IZ105" s="15"/>
      <c r="JA105" s="15"/>
      <c r="JB105" s="15"/>
      <c r="JC105" s="15"/>
      <c r="JD105" s="15"/>
      <c r="JE105" s="15"/>
      <c r="JF105" s="15"/>
      <c r="JG105" s="15"/>
      <c r="JH105" s="15"/>
      <c r="JI105" s="15"/>
      <c r="JJ105" s="15"/>
      <c r="JK105" s="15"/>
      <c r="JL105" s="15"/>
      <c r="JM105" s="15"/>
      <c r="JN105" s="15"/>
      <c r="JO105" s="15"/>
      <c r="JP105" s="15"/>
      <c r="JQ105" s="15"/>
      <c r="JR105" s="15"/>
      <c r="JS105" s="15"/>
      <c r="JT105" s="15"/>
      <c r="JU105" s="15"/>
      <c r="JV105" s="15"/>
      <c r="JW105" s="15"/>
      <c r="JX105" s="15"/>
      <c r="JY105" s="15"/>
      <c r="JZ105" s="15"/>
      <c r="KA105" s="15"/>
      <c r="KB105" s="15"/>
      <c r="KC105" s="15"/>
      <c r="KD105" s="15"/>
      <c r="KE105" s="15"/>
      <c r="KF105" s="15"/>
      <c r="KG105" s="15"/>
      <c r="KH105" s="15"/>
      <c r="KI105" s="15"/>
      <c r="KJ105" s="15"/>
      <c r="KK105" s="15"/>
      <c r="KL105" s="15"/>
      <c r="KM105" s="15"/>
      <c r="KN105" s="15"/>
      <c r="KO105" s="15"/>
      <c r="KP105" s="15"/>
      <c r="KQ105" s="15"/>
      <c r="KR105" s="15"/>
      <c r="KS105" s="15"/>
      <c r="KT105" s="15"/>
      <c r="KU105" s="15"/>
      <c r="KV105" s="15"/>
      <c r="KW105" s="15"/>
      <c r="KX105" s="15"/>
      <c r="KY105" s="15"/>
      <c r="KZ105" s="15"/>
      <c r="LA105" s="15"/>
      <c r="LB105" s="15"/>
      <c r="LC105" s="15"/>
      <c r="LD105" s="15"/>
      <c r="LE105" s="15"/>
      <c r="LF105" s="15"/>
      <c r="LG105" s="15"/>
      <c r="LH105" s="15"/>
      <c r="LI105" s="15"/>
      <c r="LJ105" s="15"/>
      <c r="LK105" s="15"/>
      <c r="LL105" s="15"/>
      <c r="LM105" s="15"/>
      <c r="LN105" s="15"/>
      <c r="LO105" s="15"/>
      <c r="LP105" s="15"/>
      <c r="LQ105" s="15"/>
      <c r="LR105" s="15"/>
      <c r="LS105" s="15"/>
      <c r="LT105" s="15"/>
      <c r="LU105" s="15"/>
      <c r="LV105" s="15"/>
      <c r="LW105" s="15"/>
      <c r="LX105" s="15"/>
      <c r="LY105" s="15"/>
      <c r="LZ105" s="15"/>
      <c r="MA105" s="15"/>
      <c r="MB105" s="15"/>
      <c r="MC105" s="15"/>
      <c r="MD105" s="15"/>
      <c r="ME105" s="15"/>
      <c r="MF105" s="15"/>
      <c r="MG105" s="15"/>
      <c r="MH105" s="15"/>
      <c r="MI105" s="15"/>
      <c r="MJ105" s="15"/>
      <c r="MK105" s="15"/>
      <c r="ML105" s="15"/>
      <c r="MM105" s="15"/>
      <c r="MN105" s="15"/>
      <c r="MO105" s="15"/>
      <c r="MP105" s="15"/>
      <c r="MQ105" s="15"/>
      <c r="MR105" s="15"/>
      <c r="MS105" s="15"/>
      <c r="MT105" s="15"/>
      <c r="MU105" s="15"/>
      <c r="MV105" s="15"/>
      <c r="MW105" s="15"/>
    </row>
    <row r="106" ht="41.25" customHeight="1">
      <c r="A106" s="13" t="s">
        <v>10113</v>
      </c>
      <c r="B106" s="14" t="s">
        <v>10114</v>
      </c>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15"/>
      <c r="GI106" s="15"/>
      <c r="GJ106" s="15"/>
      <c r="GK106" s="15"/>
      <c r="GL106" s="15"/>
      <c r="GM106" s="15"/>
      <c r="GN106" s="15"/>
      <c r="GO106" s="15"/>
      <c r="GP106" s="15"/>
      <c r="GQ106" s="15"/>
      <c r="GR106" s="15"/>
      <c r="GS106" s="15"/>
      <c r="GT106" s="15"/>
      <c r="GU106" s="15"/>
      <c r="GV106" s="15"/>
      <c r="GW106" s="15"/>
      <c r="GX106" s="15"/>
      <c r="GY106" s="15"/>
      <c r="GZ106" s="15"/>
      <c r="HA106" s="15"/>
      <c r="HB106" s="15"/>
      <c r="HC106" s="15"/>
      <c r="HD106" s="15"/>
      <c r="HE106" s="15"/>
      <c r="HF106" s="15"/>
      <c r="HG106" s="15"/>
      <c r="HH106" s="15"/>
      <c r="HI106" s="15"/>
      <c r="HJ106" s="15"/>
      <c r="HK106" s="15"/>
      <c r="HL106" s="15"/>
      <c r="HM106" s="15"/>
      <c r="HN106" s="15"/>
      <c r="HO106" s="15"/>
      <c r="HP106" s="15"/>
      <c r="HQ106" s="15"/>
      <c r="HR106" s="15"/>
      <c r="HS106" s="15"/>
      <c r="HT106" s="15"/>
      <c r="HU106" s="15"/>
      <c r="HV106" s="15"/>
      <c r="HW106" s="15"/>
      <c r="HX106" s="15"/>
      <c r="HY106" s="15"/>
      <c r="HZ106" s="15"/>
      <c r="IA106" s="15"/>
      <c r="IB106" s="15"/>
      <c r="IC106" s="15"/>
      <c r="ID106" s="15"/>
      <c r="IE106" s="15"/>
      <c r="IF106" s="15"/>
      <c r="IG106" s="15"/>
      <c r="IH106" s="15"/>
      <c r="II106" s="15"/>
      <c r="IJ106" s="15"/>
      <c r="IK106" s="15"/>
      <c r="IL106" s="15"/>
      <c r="IM106" s="15"/>
      <c r="IN106" s="15"/>
      <c r="IO106" s="15"/>
      <c r="IP106" s="15"/>
      <c r="IQ106" s="15"/>
      <c r="IR106" s="15"/>
      <c r="IS106" s="15"/>
      <c r="IT106" s="15"/>
      <c r="IU106" s="15"/>
      <c r="IV106" s="15"/>
      <c r="IW106" s="15"/>
      <c r="IX106" s="15"/>
      <c r="IY106" s="15"/>
      <c r="IZ106" s="15"/>
      <c r="JA106" s="15"/>
      <c r="JB106" s="15"/>
      <c r="JC106" s="15"/>
      <c r="JD106" s="15"/>
      <c r="JE106" s="15"/>
      <c r="JF106" s="15"/>
      <c r="JG106" s="15"/>
      <c r="JH106" s="15"/>
      <c r="JI106" s="15"/>
      <c r="JJ106" s="15"/>
      <c r="JK106" s="15"/>
      <c r="JL106" s="15"/>
      <c r="JM106" s="15"/>
      <c r="JN106" s="15"/>
      <c r="JO106" s="15"/>
      <c r="JP106" s="15"/>
      <c r="JQ106" s="15"/>
      <c r="JR106" s="15"/>
      <c r="JS106" s="15"/>
      <c r="JT106" s="15"/>
      <c r="JU106" s="15"/>
      <c r="JV106" s="15"/>
      <c r="JW106" s="15"/>
      <c r="JX106" s="15"/>
      <c r="JY106" s="15"/>
      <c r="JZ106" s="15"/>
      <c r="KA106" s="15"/>
      <c r="KB106" s="15"/>
      <c r="KC106" s="15"/>
      <c r="KD106" s="15"/>
      <c r="KE106" s="15"/>
      <c r="KF106" s="15"/>
      <c r="KG106" s="15"/>
      <c r="KH106" s="15"/>
      <c r="KI106" s="15"/>
      <c r="KJ106" s="15"/>
      <c r="KK106" s="15"/>
      <c r="KL106" s="15"/>
      <c r="KM106" s="15"/>
      <c r="KN106" s="15"/>
      <c r="KO106" s="15"/>
      <c r="KP106" s="15"/>
      <c r="KQ106" s="15"/>
      <c r="KR106" s="15"/>
      <c r="KS106" s="15"/>
      <c r="KT106" s="15"/>
      <c r="KU106" s="15"/>
      <c r="KV106" s="15"/>
      <c r="KW106" s="15"/>
      <c r="KX106" s="15"/>
      <c r="KY106" s="15"/>
      <c r="KZ106" s="15"/>
      <c r="LA106" s="15"/>
      <c r="LB106" s="15"/>
      <c r="LC106" s="15"/>
      <c r="LD106" s="15"/>
      <c r="LE106" s="15"/>
      <c r="LF106" s="15"/>
      <c r="LG106" s="15"/>
      <c r="LH106" s="15"/>
      <c r="LI106" s="15"/>
      <c r="LJ106" s="15"/>
      <c r="LK106" s="15"/>
      <c r="LL106" s="15"/>
      <c r="LM106" s="15"/>
      <c r="LN106" s="15"/>
      <c r="LO106" s="15"/>
      <c r="LP106" s="15"/>
      <c r="LQ106" s="15"/>
      <c r="LR106" s="15"/>
      <c r="LS106" s="15"/>
      <c r="LT106" s="15"/>
      <c r="LU106" s="15"/>
      <c r="LV106" s="15"/>
      <c r="LW106" s="15"/>
      <c r="LX106" s="15"/>
      <c r="LY106" s="15"/>
      <c r="LZ106" s="15"/>
      <c r="MA106" s="15"/>
      <c r="MB106" s="15"/>
      <c r="MC106" s="15"/>
      <c r="MD106" s="15"/>
      <c r="ME106" s="15"/>
      <c r="MF106" s="15"/>
      <c r="MG106" s="15"/>
      <c r="MH106" s="15"/>
      <c r="MI106" s="15"/>
      <c r="MJ106" s="15"/>
      <c r="MK106" s="15"/>
      <c r="ML106" s="15"/>
      <c r="MM106" s="15"/>
      <c r="MN106" s="15"/>
      <c r="MO106" s="15"/>
      <c r="MP106" s="15"/>
      <c r="MQ106" s="15"/>
      <c r="MR106" s="15"/>
      <c r="MS106" s="15"/>
      <c r="MT106" s="15"/>
      <c r="MU106" s="15"/>
      <c r="MV106" s="15"/>
      <c r="MW106" s="15"/>
    </row>
    <row r="107" ht="119.25" customHeight="1">
      <c r="A107" s="13" t="s">
        <v>106</v>
      </c>
      <c r="B107" s="14" t="s">
        <v>10115</v>
      </c>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c r="FO107" s="15"/>
      <c r="FP107" s="15"/>
      <c r="FQ107" s="15"/>
      <c r="FR107" s="15"/>
      <c r="FS107" s="15"/>
      <c r="FT107" s="15"/>
      <c r="FU107" s="15"/>
      <c r="FV107" s="15"/>
      <c r="FW107" s="15"/>
      <c r="FX107" s="15"/>
      <c r="FY107" s="15"/>
      <c r="FZ107" s="15"/>
      <c r="GA107" s="15"/>
      <c r="GB107" s="15"/>
      <c r="GC107" s="15"/>
      <c r="GD107" s="15"/>
      <c r="GE107" s="15"/>
      <c r="GF107" s="15"/>
      <c r="GG107" s="15"/>
      <c r="GH107" s="15"/>
      <c r="GI107" s="15"/>
      <c r="GJ107" s="15"/>
      <c r="GK107" s="15"/>
      <c r="GL107" s="15"/>
      <c r="GM107" s="15"/>
      <c r="GN107" s="15"/>
      <c r="GO107" s="15"/>
      <c r="GP107" s="15"/>
      <c r="GQ107" s="15"/>
      <c r="GR107" s="15"/>
      <c r="GS107" s="15"/>
      <c r="GT107" s="15"/>
      <c r="GU107" s="15"/>
      <c r="GV107" s="15"/>
      <c r="GW107" s="15"/>
      <c r="GX107" s="15"/>
      <c r="GY107" s="15"/>
      <c r="GZ107" s="15"/>
      <c r="HA107" s="15"/>
      <c r="HB107" s="15"/>
      <c r="HC107" s="15"/>
      <c r="HD107" s="15"/>
      <c r="HE107" s="15"/>
      <c r="HF107" s="15"/>
      <c r="HG107" s="15"/>
      <c r="HH107" s="15"/>
      <c r="HI107" s="15"/>
      <c r="HJ107" s="15"/>
      <c r="HK107" s="15"/>
      <c r="HL107" s="15"/>
      <c r="HM107" s="15"/>
      <c r="HN107" s="15"/>
      <c r="HO107" s="15"/>
      <c r="HP107" s="15"/>
      <c r="HQ107" s="15"/>
      <c r="HR107" s="15"/>
      <c r="HS107" s="15"/>
      <c r="HT107" s="15"/>
      <c r="HU107" s="15"/>
      <c r="HV107" s="15"/>
      <c r="HW107" s="15"/>
      <c r="HX107" s="15"/>
      <c r="HY107" s="15"/>
      <c r="HZ107" s="15"/>
      <c r="IA107" s="15"/>
      <c r="IB107" s="15"/>
      <c r="IC107" s="15"/>
      <c r="ID107" s="15"/>
      <c r="IE107" s="15"/>
      <c r="IF107" s="15"/>
      <c r="IG107" s="15"/>
      <c r="IH107" s="15"/>
      <c r="II107" s="15"/>
      <c r="IJ107" s="15"/>
      <c r="IK107" s="15"/>
      <c r="IL107" s="15"/>
      <c r="IM107" s="15"/>
      <c r="IN107" s="15"/>
      <c r="IO107" s="15"/>
      <c r="IP107" s="15"/>
      <c r="IQ107" s="15"/>
      <c r="IR107" s="15"/>
      <c r="IS107" s="15"/>
      <c r="IT107" s="15"/>
      <c r="IU107" s="15"/>
      <c r="IV107" s="15"/>
      <c r="IW107" s="15"/>
      <c r="IX107" s="15"/>
      <c r="IY107" s="15"/>
      <c r="IZ107" s="15"/>
      <c r="JA107" s="15"/>
      <c r="JB107" s="15"/>
      <c r="JC107" s="15"/>
      <c r="JD107" s="15"/>
      <c r="JE107" s="15"/>
      <c r="JF107" s="15"/>
      <c r="JG107" s="15"/>
      <c r="JH107" s="15"/>
      <c r="JI107" s="15"/>
      <c r="JJ107" s="15"/>
      <c r="JK107" s="15"/>
      <c r="JL107" s="15"/>
      <c r="JM107" s="15"/>
      <c r="JN107" s="15"/>
      <c r="JO107" s="15"/>
      <c r="JP107" s="15"/>
      <c r="JQ107" s="15"/>
      <c r="JR107" s="15"/>
      <c r="JS107" s="15"/>
      <c r="JT107" s="15"/>
      <c r="JU107" s="15"/>
      <c r="JV107" s="15"/>
      <c r="JW107" s="15"/>
      <c r="JX107" s="15"/>
      <c r="JY107" s="15"/>
      <c r="JZ107" s="15"/>
      <c r="KA107" s="15"/>
      <c r="KB107" s="15"/>
      <c r="KC107" s="15"/>
      <c r="KD107" s="15"/>
      <c r="KE107" s="15"/>
      <c r="KF107" s="15"/>
      <c r="KG107" s="15"/>
      <c r="KH107" s="15"/>
      <c r="KI107" s="15"/>
      <c r="KJ107" s="15"/>
      <c r="KK107" s="15"/>
      <c r="KL107" s="15"/>
      <c r="KM107" s="15"/>
      <c r="KN107" s="15"/>
      <c r="KO107" s="15"/>
      <c r="KP107" s="15"/>
      <c r="KQ107" s="15"/>
      <c r="KR107" s="15"/>
      <c r="KS107" s="15"/>
      <c r="KT107" s="15"/>
      <c r="KU107" s="15"/>
      <c r="KV107" s="15"/>
      <c r="KW107" s="15"/>
      <c r="KX107" s="15"/>
      <c r="KY107" s="15"/>
      <c r="KZ107" s="15"/>
      <c r="LA107" s="15"/>
      <c r="LB107" s="15"/>
      <c r="LC107" s="15"/>
      <c r="LD107" s="15"/>
      <c r="LE107" s="15"/>
      <c r="LF107" s="15"/>
      <c r="LG107" s="15"/>
      <c r="LH107" s="15"/>
      <c r="LI107" s="15"/>
      <c r="LJ107" s="15"/>
      <c r="LK107" s="15"/>
      <c r="LL107" s="15"/>
      <c r="LM107" s="15"/>
      <c r="LN107" s="15"/>
      <c r="LO107" s="15"/>
      <c r="LP107" s="15"/>
      <c r="LQ107" s="15"/>
      <c r="LR107" s="15"/>
      <c r="LS107" s="15"/>
      <c r="LT107" s="15"/>
      <c r="LU107" s="15"/>
      <c r="LV107" s="15"/>
      <c r="LW107" s="15"/>
      <c r="LX107" s="15"/>
      <c r="LY107" s="15"/>
      <c r="LZ107" s="15"/>
      <c r="MA107" s="15"/>
      <c r="MB107" s="15"/>
      <c r="MC107" s="15"/>
      <c r="MD107" s="15"/>
      <c r="ME107" s="15"/>
      <c r="MF107" s="15"/>
      <c r="MG107" s="15"/>
      <c r="MH107" s="15"/>
      <c r="MI107" s="15"/>
      <c r="MJ107" s="15"/>
      <c r="MK107" s="15"/>
      <c r="ML107" s="15"/>
      <c r="MM107" s="15"/>
      <c r="MN107" s="15"/>
      <c r="MO107" s="15"/>
      <c r="MP107" s="15"/>
      <c r="MQ107" s="15"/>
      <c r="MR107" s="15"/>
      <c r="MS107" s="15"/>
      <c r="MT107" s="15"/>
      <c r="MU107" s="15"/>
      <c r="MV107" s="15"/>
      <c r="MW107" s="15"/>
    </row>
    <row r="108" ht="41.25" customHeight="1">
      <c r="A108" s="13" t="s">
        <v>107</v>
      </c>
      <c r="B108" s="14" t="s">
        <v>10116</v>
      </c>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c r="GB108" s="15"/>
      <c r="GC108" s="15"/>
      <c r="GD108" s="15"/>
      <c r="GE108" s="15"/>
      <c r="GF108" s="15"/>
      <c r="GG108" s="15"/>
      <c r="GH108" s="15"/>
      <c r="GI108" s="15"/>
      <c r="GJ108" s="15"/>
      <c r="GK108" s="15"/>
      <c r="GL108" s="15"/>
      <c r="GM108" s="15"/>
      <c r="GN108" s="15"/>
      <c r="GO108" s="15"/>
      <c r="GP108" s="15"/>
      <c r="GQ108" s="15"/>
      <c r="GR108" s="15"/>
      <c r="GS108" s="15"/>
      <c r="GT108" s="15"/>
      <c r="GU108" s="15"/>
      <c r="GV108" s="15"/>
      <c r="GW108" s="15"/>
      <c r="GX108" s="15"/>
      <c r="GY108" s="15"/>
      <c r="GZ108" s="15"/>
      <c r="HA108" s="15"/>
      <c r="HB108" s="15"/>
      <c r="HC108" s="15"/>
      <c r="HD108" s="15"/>
      <c r="HE108" s="15"/>
      <c r="HF108" s="15"/>
      <c r="HG108" s="15"/>
      <c r="HH108" s="15"/>
      <c r="HI108" s="15"/>
      <c r="HJ108" s="15"/>
      <c r="HK108" s="15"/>
      <c r="HL108" s="15"/>
      <c r="HM108" s="15"/>
      <c r="HN108" s="15"/>
      <c r="HO108" s="15"/>
      <c r="HP108" s="15"/>
      <c r="HQ108" s="15"/>
      <c r="HR108" s="15"/>
      <c r="HS108" s="15"/>
      <c r="HT108" s="15"/>
      <c r="HU108" s="15"/>
      <c r="HV108" s="15"/>
      <c r="HW108" s="15"/>
      <c r="HX108" s="15"/>
      <c r="HY108" s="15"/>
      <c r="HZ108" s="15"/>
      <c r="IA108" s="15"/>
      <c r="IB108" s="15"/>
      <c r="IC108" s="15"/>
      <c r="ID108" s="15"/>
      <c r="IE108" s="15"/>
      <c r="IF108" s="15"/>
      <c r="IG108" s="15"/>
      <c r="IH108" s="15"/>
      <c r="II108" s="15"/>
      <c r="IJ108" s="15"/>
      <c r="IK108" s="15"/>
      <c r="IL108" s="15"/>
      <c r="IM108" s="15"/>
      <c r="IN108" s="15"/>
      <c r="IO108" s="15"/>
      <c r="IP108" s="15"/>
      <c r="IQ108" s="15"/>
      <c r="IR108" s="15"/>
      <c r="IS108" s="15"/>
      <c r="IT108" s="15"/>
      <c r="IU108" s="15"/>
      <c r="IV108" s="15"/>
      <c r="IW108" s="15"/>
      <c r="IX108" s="15"/>
      <c r="IY108" s="15"/>
      <c r="IZ108" s="15"/>
      <c r="JA108" s="15"/>
      <c r="JB108" s="15"/>
      <c r="JC108" s="15"/>
      <c r="JD108" s="15"/>
      <c r="JE108" s="15"/>
      <c r="JF108" s="15"/>
      <c r="JG108" s="15"/>
      <c r="JH108" s="15"/>
      <c r="JI108" s="15"/>
      <c r="JJ108" s="15"/>
      <c r="JK108" s="15"/>
      <c r="JL108" s="15"/>
      <c r="JM108" s="15"/>
      <c r="JN108" s="15"/>
      <c r="JO108" s="15"/>
      <c r="JP108" s="15"/>
      <c r="JQ108" s="15"/>
      <c r="JR108" s="15"/>
      <c r="JS108" s="15"/>
      <c r="JT108" s="15"/>
      <c r="JU108" s="15"/>
      <c r="JV108" s="15"/>
      <c r="JW108" s="15"/>
      <c r="JX108" s="15"/>
      <c r="JY108" s="15"/>
      <c r="JZ108" s="15"/>
      <c r="KA108" s="15"/>
      <c r="KB108" s="15"/>
      <c r="KC108" s="15"/>
      <c r="KD108" s="15"/>
      <c r="KE108" s="15"/>
      <c r="KF108" s="15"/>
      <c r="KG108" s="15"/>
      <c r="KH108" s="15"/>
      <c r="KI108" s="15"/>
      <c r="KJ108" s="15"/>
      <c r="KK108" s="15"/>
      <c r="KL108" s="15"/>
      <c r="KM108" s="15"/>
      <c r="KN108" s="15"/>
      <c r="KO108" s="15"/>
      <c r="KP108" s="15"/>
      <c r="KQ108" s="15"/>
      <c r="KR108" s="15"/>
      <c r="KS108" s="15"/>
      <c r="KT108" s="15"/>
      <c r="KU108" s="15"/>
      <c r="KV108" s="15"/>
      <c r="KW108" s="15"/>
      <c r="KX108" s="15"/>
      <c r="KY108" s="15"/>
      <c r="KZ108" s="15"/>
      <c r="LA108" s="15"/>
      <c r="LB108" s="15"/>
      <c r="LC108" s="15"/>
      <c r="LD108" s="15"/>
      <c r="LE108" s="15"/>
      <c r="LF108" s="15"/>
      <c r="LG108" s="15"/>
      <c r="LH108" s="15"/>
      <c r="LI108" s="15"/>
      <c r="LJ108" s="15"/>
      <c r="LK108" s="15"/>
      <c r="LL108" s="15"/>
      <c r="LM108" s="15"/>
      <c r="LN108" s="15"/>
      <c r="LO108" s="15"/>
      <c r="LP108" s="15"/>
      <c r="LQ108" s="15"/>
      <c r="LR108" s="15"/>
      <c r="LS108" s="15"/>
      <c r="LT108" s="15"/>
      <c r="LU108" s="15"/>
      <c r="LV108" s="15"/>
      <c r="LW108" s="15"/>
      <c r="LX108" s="15"/>
      <c r="LY108" s="15"/>
      <c r="LZ108" s="15"/>
      <c r="MA108" s="15"/>
      <c r="MB108" s="15"/>
      <c r="MC108" s="15"/>
      <c r="MD108" s="15"/>
      <c r="ME108" s="15"/>
      <c r="MF108" s="15"/>
      <c r="MG108" s="15"/>
      <c r="MH108" s="15"/>
      <c r="MI108" s="15"/>
      <c r="MJ108" s="15"/>
      <c r="MK108" s="15"/>
      <c r="ML108" s="15"/>
      <c r="MM108" s="15"/>
      <c r="MN108" s="15"/>
      <c r="MO108" s="15"/>
      <c r="MP108" s="15"/>
      <c r="MQ108" s="15"/>
      <c r="MR108" s="15"/>
      <c r="MS108" s="15"/>
      <c r="MT108" s="15"/>
      <c r="MU108" s="15"/>
      <c r="MV108" s="15"/>
      <c r="MW108" s="15"/>
    </row>
    <row r="109" ht="119.25" customHeight="1">
      <c r="A109" s="13" t="s">
        <v>10117</v>
      </c>
      <c r="B109" s="14" t="s">
        <v>10118</v>
      </c>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5"/>
      <c r="FX109" s="15"/>
      <c r="FY109" s="15"/>
      <c r="FZ109" s="15"/>
      <c r="GA109" s="15"/>
      <c r="GB109" s="15"/>
      <c r="GC109" s="15"/>
      <c r="GD109" s="15"/>
      <c r="GE109" s="15"/>
      <c r="GF109" s="15"/>
      <c r="GG109" s="15"/>
      <c r="GH109" s="15"/>
      <c r="GI109" s="15"/>
      <c r="GJ109" s="15"/>
      <c r="GK109" s="15"/>
      <c r="GL109" s="15"/>
      <c r="GM109" s="15"/>
      <c r="GN109" s="15"/>
      <c r="GO109" s="15"/>
      <c r="GP109" s="15"/>
      <c r="GQ109" s="15"/>
      <c r="GR109" s="15"/>
      <c r="GS109" s="15"/>
      <c r="GT109" s="15"/>
      <c r="GU109" s="15"/>
      <c r="GV109" s="15"/>
      <c r="GW109" s="15"/>
      <c r="GX109" s="15"/>
      <c r="GY109" s="15"/>
      <c r="GZ109" s="15"/>
      <c r="HA109" s="15"/>
      <c r="HB109" s="15"/>
      <c r="HC109" s="15"/>
      <c r="HD109" s="15"/>
      <c r="HE109" s="15"/>
      <c r="HF109" s="15"/>
      <c r="HG109" s="15"/>
      <c r="HH109" s="15"/>
      <c r="HI109" s="15"/>
      <c r="HJ109" s="15"/>
      <c r="HK109" s="15"/>
      <c r="HL109" s="15"/>
      <c r="HM109" s="15"/>
      <c r="HN109" s="15"/>
      <c r="HO109" s="15"/>
      <c r="HP109" s="15"/>
      <c r="HQ109" s="15"/>
      <c r="HR109" s="15"/>
      <c r="HS109" s="15"/>
      <c r="HT109" s="15"/>
      <c r="HU109" s="15"/>
      <c r="HV109" s="15"/>
      <c r="HW109" s="15"/>
      <c r="HX109" s="15"/>
      <c r="HY109" s="15"/>
      <c r="HZ109" s="15"/>
      <c r="IA109" s="15"/>
      <c r="IB109" s="15"/>
      <c r="IC109" s="15"/>
      <c r="ID109" s="15"/>
      <c r="IE109" s="15"/>
      <c r="IF109" s="15"/>
      <c r="IG109" s="15"/>
      <c r="IH109" s="15"/>
      <c r="II109" s="15"/>
      <c r="IJ109" s="15"/>
      <c r="IK109" s="15"/>
      <c r="IL109" s="15"/>
      <c r="IM109" s="15"/>
      <c r="IN109" s="15"/>
      <c r="IO109" s="15"/>
      <c r="IP109" s="15"/>
      <c r="IQ109" s="15"/>
      <c r="IR109" s="15"/>
      <c r="IS109" s="15"/>
      <c r="IT109" s="15"/>
      <c r="IU109" s="15"/>
      <c r="IV109" s="15"/>
      <c r="IW109" s="15"/>
      <c r="IX109" s="15"/>
      <c r="IY109" s="15"/>
      <c r="IZ109" s="15"/>
      <c r="JA109" s="15"/>
      <c r="JB109" s="15"/>
      <c r="JC109" s="15"/>
      <c r="JD109" s="15"/>
      <c r="JE109" s="15"/>
      <c r="JF109" s="15"/>
      <c r="JG109" s="15"/>
      <c r="JH109" s="15"/>
      <c r="JI109" s="15"/>
      <c r="JJ109" s="15"/>
      <c r="JK109" s="15"/>
      <c r="JL109" s="15"/>
      <c r="JM109" s="15"/>
      <c r="JN109" s="15"/>
      <c r="JO109" s="15"/>
      <c r="JP109" s="15"/>
      <c r="JQ109" s="15"/>
      <c r="JR109" s="15"/>
      <c r="JS109" s="15"/>
      <c r="JT109" s="15"/>
      <c r="JU109" s="15"/>
      <c r="JV109" s="15"/>
      <c r="JW109" s="15"/>
      <c r="JX109" s="15"/>
      <c r="JY109" s="15"/>
      <c r="JZ109" s="15"/>
      <c r="KA109" s="15"/>
      <c r="KB109" s="15"/>
      <c r="KC109" s="15"/>
      <c r="KD109" s="15"/>
      <c r="KE109" s="15"/>
      <c r="KF109" s="15"/>
      <c r="KG109" s="15"/>
      <c r="KH109" s="15"/>
      <c r="KI109" s="15"/>
      <c r="KJ109" s="15"/>
      <c r="KK109" s="15"/>
      <c r="KL109" s="15"/>
      <c r="KM109" s="15"/>
      <c r="KN109" s="15"/>
      <c r="KO109" s="15"/>
      <c r="KP109" s="15"/>
      <c r="KQ109" s="15"/>
      <c r="KR109" s="15"/>
      <c r="KS109" s="15"/>
      <c r="KT109" s="15"/>
      <c r="KU109" s="15"/>
      <c r="KV109" s="15"/>
      <c r="KW109" s="15"/>
      <c r="KX109" s="15"/>
      <c r="KY109" s="15"/>
      <c r="KZ109" s="15"/>
      <c r="LA109" s="15"/>
      <c r="LB109" s="15"/>
      <c r="LC109" s="15"/>
      <c r="LD109" s="15"/>
      <c r="LE109" s="15"/>
      <c r="LF109" s="15"/>
      <c r="LG109" s="15"/>
      <c r="LH109" s="15"/>
      <c r="LI109" s="15"/>
      <c r="LJ109" s="15"/>
      <c r="LK109" s="15"/>
      <c r="LL109" s="15"/>
      <c r="LM109" s="15"/>
      <c r="LN109" s="15"/>
      <c r="LO109" s="15"/>
      <c r="LP109" s="15"/>
      <c r="LQ109" s="15"/>
      <c r="LR109" s="15"/>
      <c r="LS109" s="15"/>
      <c r="LT109" s="15"/>
      <c r="LU109" s="15"/>
      <c r="LV109" s="15"/>
      <c r="LW109" s="15"/>
      <c r="LX109" s="15"/>
      <c r="LY109" s="15"/>
      <c r="LZ109" s="15"/>
      <c r="MA109" s="15"/>
      <c r="MB109" s="15"/>
      <c r="MC109" s="15"/>
      <c r="MD109" s="15"/>
      <c r="ME109" s="15"/>
      <c r="MF109" s="15"/>
      <c r="MG109" s="15"/>
      <c r="MH109" s="15"/>
      <c r="MI109" s="15"/>
      <c r="MJ109" s="15"/>
      <c r="MK109" s="15"/>
      <c r="ML109" s="15"/>
      <c r="MM109" s="15"/>
      <c r="MN109" s="15"/>
      <c r="MO109" s="15"/>
      <c r="MP109" s="15"/>
      <c r="MQ109" s="15"/>
      <c r="MR109" s="15"/>
      <c r="MS109" s="15"/>
      <c r="MT109" s="15"/>
      <c r="MU109" s="15"/>
      <c r="MV109" s="15"/>
      <c r="MW109" s="15"/>
    </row>
    <row r="110" ht="41.25" customHeight="1">
      <c r="A110" s="13" t="s">
        <v>109</v>
      </c>
      <c r="B110" s="14" t="s">
        <v>10119</v>
      </c>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c r="GM110" s="15"/>
      <c r="GN110" s="15"/>
      <c r="GO110" s="15"/>
      <c r="GP110" s="15"/>
      <c r="GQ110" s="15"/>
      <c r="GR110" s="15"/>
      <c r="GS110" s="15"/>
      <c r="GT110" s="15"/>
      <c r="GU110" s="15"/>
      <c r="GV110" s="15"/>
      <c r="GW110" s="15"/>
      <c r="GX110" s="15"/>
      <c r="GY110" s="15"/>
      <c r="GZ110" s="15"/>
      <c r="HA110" s="15"/>
      <c r="HB110" s="15"/>
      <c r="HC110" s="15"/>
      <c r="HD110" s="15"/>
      <c r="HE110" s="15"/>
      <c r="HF110" s="15"/>
      <c r="HG110" s="15"/>
      <c r="HH110" s="15"/>
      <c r="HI110" s="15"/>
      <c r="HJ110" s="15"/>
      <c r="HK110" s="15"/>
      <c r="HL110" s="15"/>
      <c r="HM110" s="15"/>
      <c r="HN110" s="15"/>
      <c r="HO110" s="15"/>
      <c r="HP110" s="15"/>
      <c r="HQ110" s="15"/>
      <c r="HR110" s="15"/>
      <c r="HS110" s="15"/>
      <c r="HT110" s="15"/>
      <c r="HU110" s="15"/>
      <c r="HV110" s="15"/>
      <c r="HW110" s="15"/>
      <c r="HX110" s="15"/>
      <c r="HY110" s="15"/>
      <c r="HZ110" s="15"/>
      <c r="IA110" s="15"/>
      <c r="IB110" s="15"/>
      <c r="IC110" s="15"/>
      <c r="ID110" s="15"/>
      <c r="IE110" s="15"/>
      <c r="IF110" s="15"/>
      <c r="IG110" s="15"/>
      <c r="IH110" s="15"/>
      <c r="II110" s="15"/>
      <c r="IJ110" s="15"/>
      <c r="IK110" s="15"/>
      <c r="IL110" s="15"/>
      <c r="IM110" s="15"/>
      <c r="IN110" s="15"/>
      <c r="IO110" s="15"/>
      <c r="IP110" s="15"/>
      <c r="IQ110" s="15"/>
      <c r="IR110" s="15"/>
      <c r="IS110" s="15"/>
      <c r="IT110" s="15"/>
      <c r="IU110" s="15"/>
      <c r="IV110" s="15"/>
      <c r="IW110" s="15"/>
      <c r="IX110" s="15"/>
      <c r="IY110" s="15"/>
      <c r="IZ110" s="15"/>
      <c r="JA110" s="15"/>
      <c r="JB110" s="15"/>
      <c r="JC110" s="15"/>
      <c r="JD110" s="15"/>
      <c r="JE110" s="15"/>
      <c r="JF110" s="15"/>
      <c r="JG110" s="15"/>
      <c r="JH110" s="15"/>
      <c r="JI110" s="15"/>
      <c r="JJ110" s="15"/>
      <c r="JK110" s="15"/>
      <c r="JL110" s="15"/>
      <c r="JM110" s="15"/>
      <c r="JN110" s="15"/>
      <c r="JO110" s="15"/>
      <c r="JP110" s="15"/>
      <c r="JQ110" s="15"/>
      <c r="JR110" s="15"/>
      <c r="JS110" s="15"/>
      <c r="JT110" s="15"/>
      <c r="JU110" s="15"/>
      <c r="JV110" s="15"/>
      <c r="JW110" s="15"/>
      <c r="JX110" s="15"/>
      <c r="JY110" s="15"/>
      <c r="JZ110" s="15"/>
      <c r="KA110" s="15"/>
      <c r="KB110" s="15"/>
      <c r="KC110" s="15"/>
      <c r="KD110" s="15"/>
      <c r="KE110" s="15"/>
      <c r="KF110" s="15"/>
      <c r="KG110" s="15"/>
      <c r="KH110" s="15"/>
      <c r="KI110" s="15"/>
      <c r="KJ110" s="15"/>
      <c r="KK110" s="15"/>
      <c r="KL110" s="15"/>
      <c r="KM110" s="15"/>
      <c r="KN110" s="15"/>
      <c r="KO110" s="15"/>
      <c r="KP110" s="15"/>
      <c r="KQ110" s="15"/>
      <c r="KR110" s="15"/>
      <c r="KS110" s="15"/>
      <c r="KT110" s="15"/>
      <c r="KU110" s="15"/>
      <c r="KV110" s="15"/>
      <c r="KW110" s="15"/>
      <c r="KX110" s="15"/>
      <c r="KY110" s="15"/>
      <c r="KZ110" s="15"/>
      <c r="LA110" s="15"/>
      <c r="LB110" s="15"/>
      <c r="LC110" s="15"/>
      <c r="LD110" s="15"/>
      <c r="LE110" s="15"/>
      <c r="LF110" s="15"/>
      <c r="LG110" s="15"/>
      <c r="LH110" s="15"/>
      <c r="LI110" s="15"/>
      <c r="LJ110" s="15"/>
      <c r="LK110" s="15"/>
      <c r="LL110" s="15"/>
      <c r="LM110" s="15"/>
      <c r="LN110" s="15"/>
      <c r="LO110" s="15"/>
      <c r="LP110" s="15"/>
      <c r="LQ110" s="15"/>
      <c r="LR110" s="15"/>
      <c r="LS110" s="15"/>
      <c r="LT110" s="15"/>
      <c r="LU110" s="15"/>
      <c r="LV110" s="15"/>
      <c r="LW110" s="15"/>
      <c r="LX110" s="15"/>
      <c r="LY110" s="15"/>
      <c r="LZ110" s="15"/>
      <c r="MA110" s="15"/>
      <c r="MB110" s="15"/>
      <c r="MC110" s="15"/>
      <c r="MD110" s="15"/>
      <c r="ME110" s="15"/>
      <c r="MF110" s="15"/>
      <c r="MG110" s="15"/>
      <c r="MH110" s="15"/>
      <c r="MI110" s="15"/>
      <c r="MJ110" s="15"/>
      <c r="MK110" s="15"/>
      <c r="ML110" s="15"/>
      <c r="MM110" s="15"/>
      <c r="MN110" s="15"/>
      <c r="MO110" s="15"/>
      <c r="MP110" s="15"/>
      <c r="MQ110" s="15"/>
      <c r="MR110" s="15"/>
      <c r="MS110" s="15"/>
      <c r="MT110" s="15"/>
      <c r="MU110" s="15"/>
      <c r="MV110" s="15"/>
      <c r="MW110" s="15"/>
    </row>
    <row r="111" ht="119.25" customHeight="1">
      <c r="A111" s="13" t="s">
        <v>110</v>
      </c>
      <c r="B111" s="14" t="s">
        <v>10120</v>
      </c>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c r="GB111" s="15"/>
      <c r="GC111" s="15"/>
      <c r="GD111" s="15"/>
      <c r="GE111" s="15"/>
      <c r="GF111" s="15"/>
      <c r="GG111" s="15"/>
      <c r="GH111" s="15"/>
      <c r="GI111" s="15"/>
      <c r="GJ111" s="15"/>
      <c r="GK111" s="15"/>
      <c r="GL111" s="15"/>
      <c r="GM111" s="15"/>
      <c r="GN111" s="15"/>
      <c r="GO111" s="15"/>
      <c r="GP111" s="15"/>
      <c r="GQ111" s="15"/>
      <c r="GR111" s="15"/>
      <c r="GS111" s="15"/>
      <c r="GT111" s="15"/>
      <c r="GU111" s="15"/>
      <c r="GV111" s="15"/>
      <c r="GW111" s="15"/>
      <c r="GX111" s="15"/>
      <c r="GY111" s="15"/>
      <c r="GZ111" s="15"/>
      <c r="HA111" s="15"/>
      <c r="HB111" s="15"/>
      <c r="HC111" s="15"/>
      <c r="HD111" s="15"/>
      <c r="HE111" s="15"/>
      <c r="HF111" s="15"/>
      <c r="HG111" s="15"/>
      <c r="HH111" s="15"/>
      <c r="HI111" s="15"/>
      <c r="HJ111" s="15"/>
      <c r="HK111" s="15"/>
      <c r="HL111" s="15"/>
      <c r="HM111" s="15"/>
      <c r="HN111" s="15"/>
      <c r="HO111" s="15"/>
      <c r="HP111" s="15"/>
      <c r="HQ111" s="15"/>
      <c r="HR111" s="15"/>
      <c r="HS111" s="15"/>
      <c r="HT111" s="15"/>
      <c r="HU111" s="15"/>
      <c r="HV111" s="15"/>
      <c r="HW111" s="15"/>
      <c r="HX111" s="15"/>
      <c r="HY111" s="15"/>
      <c r="HZ111" s="15"/>
      <c r="IA111" s="15"/>
      <c r="IB111" s="15"/>
      <c r="IC111" s="15"/>
      <c r="ID111" s="15"/>
      <c r="IE111" s="15"/>
      <c r="IF111" s="15"/>
      <c r="IG111" s="15"/>
      <c r="IH111" s="15"/>
      <c r="II111" s="15"/>
      <c r="IJ111" s="15"/>
      <c r="IK111" s="15"/>
      <c r="IL111" s="15"/>
      <c r="IM111" s="15"/>
      <c r="IN111" s="15"/>
      <c r="IO111" s="15"/>
      <c r="IP111" s="15"/>
      <c r="IQ111" s="15"/>
      <c r="IR111" s="15"/>
      <c r="IS111" s="15"/>
      <c r="IT111" s="15"/>
      <c r="IU111" s="15"/>
      <c r="IV111" s="15"/>
      <c r="IW111" s="15"/>
      <c r="IX111" s="15"/>
      <c r="IY111" s="15"/>
      <c r="IZ111" s="15"/>
      <c r="JA111" s="15"/>
      <c r="JB111" s="15"/>
      <c r="JC111" s="15"/>
      <c r="JD111" s="15"/>
      <c r="JE111" s="15"/>
      <c r="JF111" s="15"/>
      <c r="JG111" s="15"/>
      <c r="JH111" s="15"/>
      <c r="JI111" s="15"/>
      <c r="JJ111" s="15"/>
      <c r="JK111" s="15"/>
      <c r="JL111" s="15"/>
      <c r="JM111" s="15"/>
      <c r="JN111" s="15"/>
      <c r="JO111" s="15"/>
      <c r="JP111" s="15"/>
      <c r="JQ111" s="15"/>
      <c r="JR111" s="15"/>
      <c r="JS111" s="15"/>
      <c r="JT111" s="15"/>
      <c r="JU111" s="15"/>
      <c r="JV111" s="15"/>
      <c r="JW111" s="15"/>
      <c r="JX111" s="15"/>
      <c r="JY111" s="15"/>
      <c r="JZ111" s="15"/>
      <c r="KA111" s="15"/>
      <c r="KB111" s="15"/>
      <c r="KC111" s="15"/>
      <c r="KD111" s="15"/>
      <c r="KE111" s="15"/>
      <c r="KF111" s="15"/>
      <c r="KG111" s="15"/>
      <c r="KH111" s="15"/>
      <c r="KI111" s="15"/>
      <c r="KJ111" s="15"/>
      <c r="KK111" s="15"/>
      <c r="KL111" s="15"/>
      <c r="KM111" s="15"/>
      <c r="KN111" s="15"/>
      <c r="KO111" s="15"/>
      <c r="KP111" s="15"/>
      <c r="KQ111" s="15"/>
      <c r="KR111" s="15"/>
      <c r="KS111" s="15"/>
      <c r="KT111" s="15"/>
      <c r="KU111" s="15"/>
      <c r="KV111" s="15"/>
      <c r="KW111" s="15"/>
      <c r="KX111" s="15"/>
      <c r="KY111" s="15"/>
      <c r="KZ111" s="15"/>
      <c r="LA111" s="15"/>
      <c r="LB111" s="15"/>
      <c r="LC111" s="15"/>
      <c r="LD111" s="15"/>
      <c r="LE111" s="15"/>
      <c r="LF111" s="15"/>
      <c r="LG111" s="15"/>
      <c r="LH111" s="15"/>
      <c r="LI111" s="15"/>
      <c r="LJ111" s="15"/>
      <c r="LK111" s="15"/>
      <c r="LL111" s="15"/>
      <c r="LM111" s="15"/>
      <c r="LN111" s="15"/>
      <c r="LO111" s="15"/>
      <c r="LP111" s="15"/>
      <c r="LQ111" s="15"/>
      <c r="LR111" s="15"/>
      <c r="LS111" s="15"/>
      <c r="LT111" s="15"/>
      <c r="LU111" s="15"/>
      <c r="LV111" s="15"/>
      <c r="LW111" s="15"/>
      <c r="LX111" s="15"/>
      <c r="LY111" s="15"/>
      <c r="LZ111" s="15"/>
      <c r="MA111" s="15"/>
      <c r="MB111" s="15"/>
      <c r="MC111" s="15"/>
      <c r="MD111" s="15"/>
      <c r="ME111" s="15"/>
      <c r="MF111" s="15"/>
      <c r="MG111" s="15"/>
      <c r="MH111" s="15"/>
      <c r="MI111" s="15"/>
      <c r="MJ111" s="15"/>
      <c r="MK111" s="15"/>
      <c r="ML111" s="15"/>
      <c r="MM111" s="15"/>
      <c r="MN111" s="15"/>
      <c r="MO111" s="15"/>
      <c r="MP111" s="15"/>
      <c r="MQ111" s="15"/>
      <c r="MR111" s="15"/>
      <c r="MS111" s="15"/>
      <c r="MT111" s="15"/>
      <c r="MU111" s="15"/>
      <c r="MV111" s="15"/>
      <c r="MW111" s="15"/>
    </row>
    <row r="112" ht="41.25" customHeight="1">
      <c r="A112" s="13" t="s">
        <v>111</v>
      </c>
      <c r="B112" s="14" t="s">
        <v>10121</v>
      </c>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5"/>
      <c r="FX112" s="15"/>
      <c r="FY112" s="15"/>
      <c r="FZ112" s="15"/>
      <c r="GA112" s="15"/>
      <c r="GB112" s="15"/>
      <c r="GC112" s="15"/>
      <c r="GD112" s="15"/>
      <c r="GE112" s="15"/>
      <c r="GF112" s="15"/>
      <c r="GG112" s="15"/>
      <c r="GH112" s="15"/>
      <c r="GI112" s="15"/>
      <c r="GJ112" s="15"/>
      <c r="GK112" s="15"/>
      <c r="GL112" s="15"/>
      <c r="GM112" s="15"/>
      <c r="GN112" s="15"/>
      <c r="GO112" s="15"/>
      <c r="GP112" s="15"/>
      <c r="GQ112" s="15"/>
      <c r="GR112" s="15"/>
      <c r="GS112" s="15"/>
      <c r="GT112" s="15"/>
      <c r="GU112" s="15"/>
      <c r="GV112" s="15"/>
      <c r="GW112" s="15"/>
      <c r="GX112" s="15"/>
      <c r="GY112" s="15"/>
      <c r="GZ112" s="15"/>
      <c r="HA112" s="15"/>
      <c r="HB112" s="15"/>
      <c r="HC112" s="15"/>
      <c r="HD112" s="15"/>
      <c r="HE112" s="15"/>
      <c r="HF112" s="15"/>
      <c r="HG112" s="15"/>
      <c r="HH112" s="15"/>
      <c r="HI112" s="15"/>
      <c r="HJ112" s="15"/>
      <c r="HK112" s="15"/>
      <c r="HL112" s="15"/>
      <c r="HM112" s="15"/>
      <c r="HN112" s="15"/>
      <c r="HO112" s="15"/>
      <c r="HP112" s="15"/>
      <c r="HQ112" s="15"/>
      <c r="HR112" s="15"/>
      <c r="HS112" s="15"/>
      <c r="HT112" s="15"/>
      <c r="HU112" s="15"/>
      <c r="HV112" s="15"/>
      <c r="HW112" s="15"/>
      <c r="HX112" s="15"/>
      <c r="HY112" s="15"/>
      <c r="HZ112" s="15"/>
      <c r="IA112" s="15"/>
      <c r="IB112" s="15"/>
      <c r="IC112" s="15"/>
      <c r="ID112" s="15"/>
      <c r="IE112" s="15"/>
      <c r="IF112" s="15"/>
      <c r="IG112" s="15"/>
      <c r="IH112" s="15"/>
      <c r="II112" s="15"/>
      <c r="IJ112" s="15"/>
      <c r="IK112" s="15"/>
      <c r="IL112" s="15"/>
      <c r="IM112" s="15"/>
      <c r="IN112" s="15"/>
      <c r="IO112" s="15"/>
      <c r="IP112" s="15"/>
      <c r="IQ112" s="15"/>
      <c r="IR112" s="15"/>
      <c r="IS112" s="15"/>
      <c r="IT112" s="15"/>
      <c r="IU112" s="15"/>
      <c r="IV112" s="15"/>
      <c r="IW112" s="15"/>
      <c r="IX112" s="15"/>
      <c r="IY112" s="15"/>
      <c r="IZ112" s="15"/>
      <c r="JA112" s="15"/>
      <c r="JB112" s="15"/>
      <c r="JC112" s="15"/>
      <c r="JD112" s="15"/>
      <c r="JE112" s="15"/>
      <c r="JF112" s="15"/>
      <c r="JG112" s="15"/>
      <c r="JH112" s="15"/>
      <c r="JI112" s="15"/>
      <c r="JJ112" s="15"/>
      <c r="JK112" s="15"/>
      <c r="JL112" s="15"/>
      <c r="JM112" s="15"/>
      <c r="JN112" s="15"/>
      <c r="JO112" s="15"/>
      <c r="JP112" s="15"/>
      <c r="JQ112" s="15"/>
      <c r="JR112" s="15"/>
      <c r="JS112" s="15"/>
      <c r="JT112" s="15"/>
      <c r="JU112" s="15"/>
      <c r="JV112" s="15"/>
      <c r="JW112" s="15"/>
      <c r="JX112" s="15"/>
      <c r="JY112" s="15"/>
      <c r="JZ112" s="15"/>
      <c r="KA112" s="15"/>
      <c r="KB112" s="15"/>
      <c r="KC112" s="15"/>
      <c r="KD112" s="15"/>
      <c r="KE112" s="15"/>
      <c r="KF112" s="15"/>
      <c r="KG112" s="15"/>
      <c r="KH112" s="15"/>
      <c r="KI112" s="15"/>
      <c r="KJ112" s="15"/>
      <c r="KK112" s="15"/>
      <c r="KL112" s="15"/>
      <c r="KM112" s="15"/>
      <c r="KN112" s="15"/>
      <c r="KO112" s="15"/>
      <c r="KP112" s="15"/>
      <c r="KQ112" s="15"/>
      <c r="KR112" s="15"/>
      <c r="KS112" s="15"/>
      <c r="KT112" s="15"/>
      <c r="KU112" s="15"/>
      <c r="KV112" s="15"/>
      <c r="KW112" s="15"/>
      <c r="KX112" s="15"/>
      <c r="KY112" s="15"/>
      <c r="KZ112" s="15"/>
      <c r="LA112" s="15"/>
      <c r="LB112" s="15"/>
      <c r="LC112" s="15"/>
      <c r="LD112" s="15"/>
      <c r="LE112" s="15"/>
      <c r="LF112" s="15"/>
      <c r="LG112" s="15"/>
      <c r="LH112" s="15"/>
      <c r="LI112" s="15"/>
      <c r="LJ112" s="15"/>
      <c r="LK112" s="15"/>
      <c r="LL112" s="15"/>
      <c r="LM112" s="15"/>
      <c r="LN112" s="15"/>
      <c r="LO112" s="15"/>
      <c r="LP112" s="15"/>
      <c r="LQ112" s="15"/>
      <c r="LR112" s="15"/>
      <c r="LS112" s="15"/>
      <c r="LT112" s="15"/>
      <c r="LU112" s="15"/>
      <c r="LV112" s="15"/>
      <c r="LW112" s="15"/>
      <c r="LX112" s="15"/>
      <c r="LY112" s="15"/>
      <c r="LZ112" s="15"/>
      <c r="MA112" s="15"/>
      <c r="MB112" s="15"/>
      <c r="MC112" s="15"/>
      <c r="MD112" s="15"/>
      <c r="ME112" s="15"/>
      <c r="MF112" s="15"/>
      <c r="MG112" s="15"/>
      <c r="MH112" s="15"/>
      <c r="MI112" s="15"/>
      <c r="MJ112" s="15"/>
      <c r="MK112" s="15"/>
      <c r="ML112" s="15"/>
      <c r="MM112" s="15"/>
      <c r="MN112" s="15"/>
      <c r="MO112" s="15"/>
      <c r="MP112" s="15"/>
      <c r="MQ112" s="15"/>
      <c r="MR112" s="15"/>
      <c r="MS112" s="15"/>
      <c r="MT112" s="15"/>
      <c r="MU112" s="15"/>
      <c r="MV112" s="15"/>
      <c r="MW112" s="15"/>
    </row>
    <row r="113" ht="119.25" customHeight="1">
      <c r="A113" s="13" t="s">
        <v>10122</v>
      </c>
      <c r="B113" s="14" t="s">
        <v>10123</v>
      </c>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15"/>
      <c r="FH113" s="15"/>
      <c r="FI113" s="15"/>
      <c r="FJ113" s="15"/>
      <c r="FK113" s="15"/>
      <c r="FL113" s="15"/>
      <c r="FM113" s="15"/>
      <c r="FN113" s="15"/>
      <c r="FO113" s="15"/>
      <c r="FP113" s="15"/>
      <c r="FQ113" s="15"/>
      <c r="FR113" s="15"/>
      <c r="FS113" s="15"/>
      <c r="FT113" s="15"/>
      <c r="FU113" s="15"/>
      <c r="FV113" s="15"/>
      <c r="FW113" s="15"/>
      <c r="FX113" s="15"/>
      <c r="FY113" s="15"/>
      <c r="FZ113" s="15"/>
      <c r="GA113" s="15"/>
      <c r="GB113" s="15"/>
      <c r="GC113" s="15"/>
      <c r="GD113" s="15"/>
      <c r="GE113" s="15"/>
      <c r="GF113" s="15"/>
      <c r="GG113" s="15"/>
      <c r="GH113" s="15"/>
      <c r="GI113" s="15"/>
      <c r="GJ113" s="15"/>
      <c r="GK113" s="15"/>
      <c r="GL113" s="15"/>
      <c r="GM113" s="15"/>
      <c r="GN113" s="15"/>
      <c r="GO113" s="15"/>
      <c r="GP113" s="15"/>
      <c r="GQ113" s="15"/>
      <c r="GR113" s="15"/>
      <c r="GS113" s="15"/>
      <c r="GT113" s="15"/>
      <c r="GU113" s="15"/>
      <c r="GV113" s="15"/>
      <c r="GW113" s="15"/>
      <c r="GX113" s="15"/>
      <c r="GY113" s="15"/>
      <c r="GZ113" s="15"/>
      <c r="HA113" s="15"/>
      <c r="HB113" s="15"/>
      <c r="HC113" s="15"/>
      <c r="HD113" s="15"/>
      <c r="HE113" s="15"/>
      <c r="HF113" s="15"/>
      <c r="HG113" s="15"/>
      <c r="HH113" s="15"/>
      <c r="HI113" s="15"/>
      <c r="HJ113" s="15"/>
      <c r="HK113" s="15"/>
      <c r="HL113" s="15"/>
      <c r="HM113" s="15"/>
      <c r="HN113" s="15"/>
      <c r="HO113" s="15"/>
      <c r="HP113" s="15"/>
      <c r="HQ113" s="15"/>
      <c r="HR113" s="15"/>
      <c r="HS113" s="15"/>
      <c r="HT113" s="15"/>
      <c r="HU113" s="15"/>
      <c r="HV113" s="15"/>
      <c r="HW113" s="15"/>
      <c r="HX113" s="15"/>
      <c r="HY113" s="15"/>
      <c r="HZ113" s="15"/>
      <c r="IA113" s="15"/>
      <c r="IB113" s="15"/>
      <c r="IC113" s="15"/>
      <c r="ID113" s="15"/>
      <c r="IE113" s="15"/>
      <c r="IF113" s="15"/>
      <c r="IG113" s="15"/>
      <c r="IH113" s="15"/>
      <c r="II113" s="15"/>
      <c r="IJ113" s="15"/>
      <c r="IK113" s="15"/>
      <c r="IL113" s="15"/>
      <c r="IM113" s="15"/>
      <c r="IN113" s="15"/>
      <c r="IO113" s="15"/>
      <c r="IP113" s="15"/>
      <c r="IQ113" s="15"/>
      <c r="IR113" s="15"/>
      <c r="IS113" s="15"/>
      <c r="IT113" s="15"/>
      <c r="IU113" s="15"/>
      <c r="IV113" s="15"/>
      <c r="IW113" s="15"/>
      <c r="IX113" s="15"/>
      <c r="IY113" s="15"/>
      <c r="IZ113" s="15"/>
      <c r="JA113" s="15"/>
      <c r="JB113" s="15"/>
      <c r="JC113" s="15"/>
      <c r="JD113" s="15"/>
      <c r="JE113" s="15"/>
      <c r="JF113" s="15"/>
      <c r="JG113" s="15"/>
      <c r="JH113" s="15"/>
      <c r="JI113" s="15"/>
      <c r="JJ113" s="15"/>
      <c r="JK113" s="15"/>
      <c r="JL113" s="15"/>
      <c r="JM113" s="15"/>
      <c r="JN113" s="15"/>
      <c r="JO113" s="15"/>
      <c r="JP113" s="15"/>
      <c r="JQ113" s="15"/>
      <c r="JR113" s="15"/>
      <c r="JS113" s="15"/>
      <c r="JT113" s="15"/>
      <c r="JU113" s="15"/>
      <c r="JV113" s="15"/>
      <c r="JW113" s="15"/>
      <c r="JX113" s="15"/>
      <c r="JY113" s="15"/>
      <c r="JZ113" s="15"/>
      <c r="KA113" s="15"/>
      <c r="KB113" s="15"/>
      <c r="KC113" s="15"/>
      <c r="KD113" s="15"/>
      <c r="KE113" s="15"/>
      <c r="KF113" s="15"/>
      <c r="KG113" s="15"/>
      <c r="KH113" s="15"/>
      <c r="KI113" s="15"/>
      <c r="KJ113" s="15"/>
      <c r="KK113" s="15"/>
      <c r="KL113" s="15"/>
      <c r="KM113" s="15"/>
      <c r="KN113" s="15"/>
      <c r="KO113" s="15"/>
      <c r="KP113" s="15"/>
      <c r="KQ113" s="15"/>
      <c r="KR113" s="15"/>
      <c r="KS113" s="15"/>
      <c r="KT113" s="15"/>
      <c r="KU113" s="15"/>
      <c r="KV113" s="15"/>
      <c r="KW113" s="15"/>
      <c r="KX113" s="15"/>
      <c r="KY113" s="15"/>
      <c r="KZ113" s="15"/>
      <c r="LA113" s="15"/>
      <c r="LB113" s="15"/>
      <c r="LC113" s="15"/>
      <c r="LD113" s="15"/>
      <c r="LE113" s="15"/>
      <c r="LF113" s="15"/>
      <c r="LG113" s="15"/>
      <c r="LH113" s="15"/>
      <c r="LI113" s="15"/>
      <c r="LJ113" s="15"/>
      <c r="LK113" s="15"/>
      <c r="LL113" s="15"/>
      <c r="LM113" s="15"/>
      <c r="LN113" s="15"/>
      <c r="LO113" s="15"/>
      <c r="LP113" s="15"/>
      <c r="LQ113" s="15"/>
      <c r="LR113" s="15"/>
      <c r="LS113" s="15"/>
      <c r="LT113" s="15"/>
      <c r="LU113" s="15"/>
      <c r="LV113" s="15"/>
      <c r="LW113" s="15"/>
      <c r="LX113" s="15"/>
      <c r="LY113" s="15"/>
      <c r="LZ113" s="15"/>
      <c r="MA113" s="15"/>
      <c r="MB113" s="15"/>
      <c r="MC113" s="15"/>
      <c r="MD113" s="15"/>
      <c r="ME113" s="15"/>
      <c r="MF113" s="15"/>
      <c r="MG113" s="15"/>
      <c r="MH113" s="15"/>
      <c r="MI113" s="15"/>
      <c r="MJ113" s="15"/>
      <c r="MK113" s="15"/>
      <c r="ML113" s="15"/>
      <c r="MM113" s="15"/>
      <c r="MN113" s="15"/>
      <c r="MO113" s="15"/>
      <c r="MP113" s="15"/>
      <c r="MQ113" s="15"/>
      <c r="MR113" s="15"/>
      <c r="MS113" s="15"/>
      <c r="MT113" s="15"/>
      <c r="MU113" s="15"/>
      <c r="MV113" s="15"/>
      <c r="MW113" s="15"/>
    </row>
    <row r="114" ht="41.25" customHeight="1">
      <c r="A114" s="13" t="s">
        <v>113</v>
      </c>
      <c r="B114" s="14" t="s">
        <v>10124</v>
      </c>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c r="GM114" s="15"/>
      <c r="GN114" s="15"/>
      <c r="GO114" s="15"/>
      <c r="GP114" s="15"/>
      <c r="GQ114" s="15"/>
      <c r="GR114" s="15"/>
      <c r="GS114" s="15"/>
      <c r="GT114" s="15"/>
      <c r="GU114" s="15"/>
      <c r="GV114" s="15"/>
      <c r="GW114" s="15"/>
      <c r="GX114" s="15"/>
      <c r="GY114" s="15"/>
      <c r="GZ114" s="15"/>
      <c r="HA114" s="15"/>
      <c r="HB114" s="15"/>
      <c r="HC114" s="15"/>
      <c r="HD114" s="15"/>
      <c r="HE114" s="15"/>
      <c r="HF114" s="15"/>
      <c r="HG114" s="15"/>
      <c r="HH114" s="15"/>
      <c r="HI114" s="15"/>
      <c r="HJ114" s="15"/>
      <c r="HK114" s="15"/>
      <c r="HL114" s="15"/>
      <c r="HM114" s="15"/>
      <c r="HN114" s="15"/>
      <c r="HO114" s="15"/>
      <c r="HP114" s="15"/>
      <c r="HQ114" s="15"/>
      <c r="HR114" s="15"/>
      <c r="HS114" s="15"/>
      <c r="HT114" s="15"/>
      <c r="HU114" s="15"/>
      <c r="HV114" s="15"/>
      <c r="HW114" s="15"/>
      <c r="HX114" s="15"/>
      <c r="HY114" s="15"/>
      <c r="HZ114" s="15"/>
      <c r="IA114" s="15"/>
      <c r="IB114" s="15"/>
      <c r="IC114" s="15"/>
      <c r="ID114" s="15"/>
      <c r="IE114" s="15"/>
      <c r="IF114" s="15"/>
      <c r="IG114" s="15"/>
      <c r="IH114" s="15"/>
      <c r="II114" s="15"/>
      <c r="IJ114" s="15"/>
      <c r="IK114" s="15"/>
      <c r="IL114" s="15"/>
      <c r="IM114" s="15"/>
      <c r="IN114" s="15"/>
      <c r="IO114" s="15"/>
      <c r="IP114" s="15"/>
      <c r="IQ114" s="15"/>
      <c r="IR114" s="15"/>
      <c r="IS114" s="15"/>
      <c r="IT114" s="15"/>
      <c r="IU114" s="15"/>
      <c r="IV114" s="15"/>
      <c r="IW114" s="15"/>
      <c r="IX114" s="15"/>
      <c r="IY114" s="15"/>
      <c r="IZ114" s="15"/>
      <c r="JA114" s="15"/>
      <c r="JB114" s="15"/>
      <c r="JC114" s="15"/>
      <c r="JD114" s="15"/>
      <c r="JE114" s="15"/>
      <c r="JF114" s="15"/>
      <c r="JG114" s="15"/>
      <c r="JH114" s="15"/>
      <c r="JI114" s="15"/>
      <c r="JJ114" s="15"/>
      <c r="JK114" s="15"/>
      <c r="JL114" s="15"/>
      <c r="JM114" s="15"/>
      <c r="JN114" s="15"/>
      <c r="JO114" s="15"/>
      <c r="JP114" s="15"/>
      <c r="JQ114" s="15"/>
      <c r="JR114" s="15"/>
      <c r="JS114" s="15"/>
      <c r="JT114" s="15"/>
      <c r="JU114" s="15"/>
      <c r="JV114" s="15"/>
      <c r="JW114" s="15"/>
      <c r="JX114" s="15"/>
      <c r="JY114" s="15"/>
      <c r="JZ114" s="15"/>
      <c r="KA114" s="15"/>
      <c r="KB114" s="15"/>
      <c r="KC114" s="15"/>
      <c r="KD114" s="15"/>
      <c r="KE114" s="15"/>
      <c r="KF114" s="15"/>
      <c r="KG114" s="15"/>
      <c r="KH114" s="15"/>
      <c r="KI114" s="15"/>
      <c r="KJ114" s="15"/>
      <c r="KK114" s="15"/>
      <c r="KL114" s="15"/>
      <c r="KM114" s="15"/>
      <c r="KN114" s="15"/>
      <c r="KO114" s="15"/>
      <c r="KP114" s="15"/>
      <c r="KQ114" s="15"/>
      <c r="KR114" s="15"/>
      <c r="KS114" s="15"/>
      <c r="KT114" s="15"/>
      <c r="KU114" s="15"/>
      <c r="KV114" s="15"/>
      <c r="KW114" s="15"/>
      <c r="KX114" s="15"/>
      <c r="KY114" s="15"/>
      <c r="KZ114" s="15"/>
      <c r="LA114" s="15"/>
      <c r="LB114" s="15"/>
      <c r="LC114" s="15"/>
      <c r="LD114" s="15"/>
      <c r="LE114" s="15"/>
      <c r="LF114" s="15"/>
      <c r="LG114" s="15"/>
      <c r="LH114" s="15"/>
      <c r="LI114" s="15"/>
      <c r="LJ114" s="15"/>
      <c r="LK114" s="15"/>
      <c r="LL114" s="15"/>
      <c r="LM114" s="15"/>
      <c r="LN114" s="15"/>
      <c r="LO114" s="15"/>
      <c r="LP114" s="15"/>
      <c r="LQ114" s="15"/>
      <c r="LR114" s="15"/>
      <c r="LS114" s="15"/>
      <c r="LT114" s="15"/>
      <c r="LU114" s="15"/>
      <c r="LV114" s="15"/>
      <c r="LW114" s="15"/>
      <c r="LX114" s="15"/>
      <c r="LY114" s="15"/>
      <c r="LZ114" s="15"/>
      <c r="MA114" s="15"/>
      <c r="MB114" s="15"/>
      <c r="MC114" s="15"/>
      <c r="MD114" s="15"/>
      <c r="ME114" s="15"/>
      <c r="MF114" s="15"/>
      <c r="MG114" s="15"/>
      <c r="MH114" s="15"/>
      <c r="MI114" s="15"/>
      <c r="MJ114" s="15"/>
      <c r="MK114" s="15"/>
      <c r="ML114" s="15"/>
      <c r="MM114" s="15"/>
      <c r="MN114" s="15"/>
      <c r="MO114" s="15"/>
      <c r="MP114" s="15"/>
      <c r="MQ114" s="15"/>
      <c r="MR114" s="15"/>
      <c r="MS114" s="15"/>
      <c r="MT114" s="15"/>
      <c r="MU114" s="15"/>
      <c r="MV114" s="15"/>
      <c r="MW114" s="15"/>
    </row>
    <row r="115" ht="119.25" customHeight="1">
      <c r="A115" s="13" t="s">
        <v>10125</v>
      </c>
      <c r="B115" s="14" t="s">
        <v>10126</v>
      </c>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c r="GB115" s="15"/>
      <c r="GC115" s="15"/>
      <c r="GD115" s="15"/>
      <c r="GE115" s="15"/>
      <c r="GF115" s="15"/>
      <c r="GG115" s="15"/>
      <c r="GH115" s="15"/>
      <c r="GI115" s="15"/>
      <c r="GJ115" s="15"/>
      <c r="GK115" s="15"/>
      <c r="GL115" s="15"/>
      <c r="GM115" s="15"/>
      <c r="GN115" s="15"/>
      <c r="GO115" s="15"/>
      <c r="GP115" s="15"/>
      <c r="GQ115" s="15"/>
      <c r="GR115" s="15"/>
      <c r="GS115" s="15"/>
      <c r="GT115" s="15"/>
      <c r="GU115" s="15"/>
      <c r="GV115" s="15"/>
      <c r="GW115" s="15"/>
      <c r="GX115" s="15"/>
      <c r="GY115" s="15"/>
      <c r="GZ115" s="15"/>
      <c r="HA115" s="15"/>
      <c r="HB115" s="15"/>
      <c r="HC115" s="15"/>
      <c r="HD115" s="15"/>
      <c r="HE115" s="15"/>
      <c r="HF115" s="15"/>
      <c r="HG115" s="15"/>
      <c r="HH115" s="15"/>
      <c r="HI115" s="15"/>
      <c r="HJ115" s="15"/>
      <c r="HK115" s="15"/>
      <c r="HL115" s="15"/>
      <c r="HM115" s="15"/>
      <c r="HN115" s="15"/>
      <c r="HO115" s="15"/>
      <c r="HP115" s="15"/>
      <c r="HQ115" s="15"/>
      <c r="HR115" s="15"/>
      <c r="HS115" s="15"/>
      <c r="HT115" s="15"/>
      <c r="HU115" s="15"/>
      <c r="HV115" s="15"/>
      <c r="HW115" s="15"/>
      <c r="HX115" s="15"/>
      <c r="HY115" s="15"/>
      <c r="HZ115" s="15"/>
      <c r="IA115" s="15"/>
      <c r="IB115" s="15"/>
      <c r="IC115" s="15"/>
      <c r="ID115" s="15"/>
      <c r="IE115" s="15"/>
      <c r="IF115" s="15"/>
      <c r="IG115" s="15"/>
      <c r="IH115" s="15"/>
      <c r="II115" s="15"/>
      <c r="IJ115" s="15"/>
      <c r="IK115" s="15"/>
      <c r="IL115" s="15"/>
      <c r="IM115" s="15"/>
      <c r="IN115" s="15"/>
      <c r="IO115" s="15"/>
      <c r="IP115" s="15"/>
      <c r="IQ115" s="15"/>
      <c r="IR115" s="15"/>
      <c r="IS115" s="15"/>
      <c r="IT115" s="15"/>
      <c r="IU115" s="15"/>
      <c r="IV115" s="15"/>
      <c r="IW115" s="15"/>
      <c r="IX115" s="15"/>
      <c r="IY115" s="15"/>
      <c r="IZ115" s="15"/>
      <c r="JA115" s="15"/>
      <c r="JB115" s="15"/>
      <c r="JC115" s="15"/>
      <c r="JD115" s="15"/>
      <c r="JE115" s="15"/>
      <c r="JF115" s="15"/>
      <c r="JG115" s="15"/>
      <c r="JH115" s="15"/>
      <c r="JI115" s="15"/>
      <c r="JJ115" s="15"/>
      <c r="JK115" s="15"/>
      <c r="JL115" s="15"/>
      <c r="JM115" s="15"/>
      <c r="JN115" s="15"/>
      <c r="JO115" s="15"/>
      <c r="JP115" s="15"/>
      <c r="JQ115" s="15"/>
      <c r="JR115" s="15"/>
      <c r="JS115" s="15"/>
      <c r="JT115" s="15"/>
      <c r="JU115" s="15"/>
      <c r="JV115" s="15"/>
      <c r="JW115" s="15"/>
      <c r="JX115" s="15"/>
      <c r="JY115" s="15"/>
      <c r="JZ115" s="15"/>
      <c r="KA115" s="15"/>
      <c r="KB115" s="15"/>
      <c r="KC115" s="15"/>
      <c r="KD115" s="15"/>
      <c r="KE115" s="15"/>
      <c r="KF115" s="15"/>
      <c r="KG115" s="15"/>
      <c r="KH115" s="15"/>
      <c r="KI115" s="15"/>
      <c r="KJ115" s="15"/>
      <c r="KK115" s="15"/>
      <c r="KL115" s="15"/>
      <c r="KM115" s="15"/>
      <c r="KN115" s="15"/>
      <c r="KO115" s="15"/>
      <c r="KP115" s="15"/>
      <c r="KQ115" s="15"/>
      <c r="KR115" s="15"/>
      <c r="KS115" s="15"/>
      <c r="KT115" s="15"/>
      <c r="KU115" s="15"/>
      <c r="KV115" s="15"/>
      <c r="KW115" s="15"/>
      <c r="KX115" s="15"/>
      <c r="KY115" s="15"/>
      <c r="KZ115" s="15"/>
      <c r="LA115" s="15"/>
      <c r="LB115" s="15"/>
      <c r="LC115" s="15"/>
      <c r="LD115" s="15"/>
      <c r="LE115" s="15"/>
      <c r="LF115" s="15"/>
      <c r="LG115" s="15"/>
      <c r="LH115" s="15"/>
      <c r="LI115" s="15"/>
      <c r="LJ115" s="15"/>
      <c r="LK115" s="15"/>
      <c r="LL115" s="15"/>
      <c r="LM115" s="15"/>
      <c r="LN115" s="15"/>
      <c r="LO115" s="15"/>
      <c r="LP115" s="15"/>
      <c r="LQ115" s="15"/>
      <c r="LR115" s="15"/>
      <c r="LS115" s="15"/>
      <c r="LT115" s="15"/>
      <c r="LU115" s="15"/>
      <c r="LV115" s="15"/>
      <c r="LW115" s="15"/>
      <c r="LX115" s="15"/>
      <c r="LY115" s="15"/>
      <c r="LZ115" s="15"/>
      <c r="MA115" s="15"/>
      <c r="MB115" s="15"/>
      <c r="MC115" s="15"/>
      <c r="MD115" s="15"/>
      <c r="ME115" s="15"/>
      <c r="MF115" s="15"/>
      <c r="MG115" s="15"/>
      <c r="MH115" s="15"/>
      <c r="MI115" s="15"/>
      <c r="MJ115" s="15"/>
      <c r="MK115" s="15"/>
      <c r="ML115" s="15"/>
      <c r="MM115" s="15"/>
      <c r="MN115" s="15"/>
      <c r="MO115" s="15"/>
      <c r="MP115" s="15"/>
      <c r="MQ115" s="15"/>
      <c r="MR115" s="15"/>
      <c r="MS115" s="15"/>
      <c r="MT115" s="15"/>
      <c r="MU115" s="15"/>
      <c r="MV115" s="15"/>
      <c r="MW115" s="15"/>
    </row>
    <row r="116" ht="41.25" customHeight="1">
      <c r="A116" s="13" t="s">
        <v>10127</v>
      </c>
      <c r="B116" s="14" t="s">
        <v>10128</v>
      </c>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15"/>
      <c r="GI116" s="15"/>
      <c r="GJ116" s="15"/>
      <c r="GK116" s="15"/>
      <c r="GL116" s="15"/>
      <c r="GM116" s="15"/>
      <c r="GN116" s="15"/>
      <c r="GO116" s="15"/>
      <c r="GP116" s="15"/>
      <c r="GQ116" s="15"/>
      <c r="GR116" s="15"/>
      <c r="GS116" s="15"/>
      <c r="GT116" s="15"/>
      <c r="GU116" s="15"/>
      <c r="GV116" s="15"/>
      <c r="GW116" s="15"/>
      <c r="GX116" s="15"/>
      <c r="GY116" s="15"/>
      <c r="GZ116" s="15"/>
      <c r="HA116" s="15"/>
      <c r="HB116" s="15"/>
      <c r="HC116" s="15"/>
      <c r="HD116" s="15"/>
      <c r="HE116" s="15"/>
      <c r="HF116" s="15"/>
      <c r="HG116" s="15"/>
      <c r="HH116" s="15"/>
      <c r="HI116" s="15"/>
      <c r="HJ116" s="15"/>
      <c r="HK116" s="15"/>
      <c r="HL116" s="15"/>
      <c r="HM116" s="15"/>
      <c r="HN116" s="15"/>
      <c r="HO116" s="15"/>
      <c r="HP116" s="15"/>
      <c r="HQ116" s="15"/>
      <c r="HR116" s="15"/>
      <c r="HS116" s="15"/>
      <c r="HT116" s="15"/>
      <c r="HU116" s="15"/>
      <c r="HV116" s="15"/>
      <c r="HW116" s="15"/>
      <c r="HX116" s="15"/>
      <c r="HY116" s="15"/>
      <c r="HZ116" s="15"/>
      <c r="IA116" s="15"/>
      <c r="IB116" s="15"/>
      <c r="IC116" s="15"/>
      <c r="ID116" s="15"/>
      <c r="IE116" s="15"/>
      <c r="IF116" s="15"/>
      <c r="IG116" s="15"/>
      <c r="IH116" s="15"/>
      <c r="II116" s="15"/>
      <c r="IJ116" s="15"/>
      <c r="IK116" s="15"/>
      <c r="IL116" s="15"/>
      <c r="IM116" s="15"/>
      <c r="IN116" s="15"/>
      <c r="IO116" s="15"/>
      <c r="IP116" s="15"/>
      <c r="IQ116" s="15"/>
      <c r="IR116" s="15"/>
      <c r="IS116" s="15"/>
      <c r="IT116" s="15"/>
      <c r="IU116" s="15"/>
      <c r="IV116" s="15"/>
      <c r="IW116" s="15"/>
      <c r="IX116" s="15"/>
      <c r="IY116" s="15"/>
      <c r="IZ116" s="15"/>
      <c r="JA116" s="15"/>
      <c r="JB116" s="15"/>
      <c r="JC116" s="15"/>
      <c r="JD116" s="15"/>
      <c r="JE116" s="15"/>
      <c r="JF116" s="15"/>
      <c r="JG116" s="15"/>
      <c r="JH116" s="15"/>
      <c r="JI116" s="15"/>
      <c r="JJ116" s="15"/>
      <c r="JK116" s="15"/>
      <c r="JL116" s="15"/>
      <c r="JM116" s="15"/>
      <c r="JN116" s="15"/>
      <c r="JO116" s="15"/>
      <c r="JP116" s="15"/>
      <c r="JQ116" s="15"/>
      <c r="JR116" s="15"/>
      <c r="JS116" s="15"/>
      <c r="JT116" s="15"/>
      <c r="JU116" s="15"/>
      <c r="JV116" s="15"/>
      <c r="JW116" s="15"/>
      <c r="JX116" s="15"/>
      <c r="JY116" s="15"/>
      <c r="JZ116" s="15"/>
      <c r="KA116" s="15"/>
      <c r="KB116" s="15"/>
      <c r="KC116" s="15"/>
      <c r="KD116" s="15"/>
      <c r="KE116" s="15"/>
      <c r="KF116" s="15"/>
      <c r="KG116" s="15"/>
      <c r="KH116" s="15"/>
      <c r="KI116" s="15"/>
      <c r="KJ116" s="15"/>
      <c r="KK116" s="15"/>
      <c r="KL116" s="15"/>
      <c r="KM116" s="15"/>
      <c r="KN116" s="15"/>
      <c r="KO116" s="15"/>
      <c r="KP116" s="15"/>
      <c r="KQ116" s="15"/>
      <c r="KR116" s="15"/>
      <c r="KS116" s="15"/>
      <c r="KT116" s="15"/>
      <c r="KU116" s="15"/>
      <c r="KV116" s="15"/>
      <c r="KW116" s="15"/>
      <c r="KX116" s="15"/>
      <c r="KY116" s="15"/>
      <c r="KZ116" s="15"/>
      <c r="LA116" s="15"/>
      <c r="LB116" s="15"/>
      <c r="LC116" s="15"/>
      <c r="LD116" s="15"/>
      <c r="LE116" s="15"/>
      <c r="LF116" s="15"/>
      <c r="LG116" s="15"/>
      <c r="LH116" s="15"/>
      <c r="LI116" s="15"/>
      <c r="LJ116" s="15"/>
      <c r="LK116" s="15"/>
      <c r="LL116" s="15"/>
      <c r="LM116" s="15"/>
      <c r="LN116" s="15"/>
      <c r="LO116" s="15"/>
      <c r="LP116" s="15"/>
      <c r="LQ116" s="15"/>
      <c r="LR116" s="15"/>
      <c r="LS116" s="15"/>
      <c r="LT116" s="15"/>
      <c r="LU116" s="15"/>
      <c r="LV116" s="15"/>
      <c r="LW116" s="15"/>
      <c r="LX116" s="15"/>
      <c r="LY116" s="15"/>
      <c r="LZ116" s="15"/>
      <c r="MA116" s="15"/>
      <c r="MB116" s="15"/>
      <c r="MC116" s="15"/>
      <c r="MD116" s="15"/>
      <c r="ME116" s="15"/>
      <c r="MF116" s="15"/>
      <c r="MG116" s="15"/>
      <c r="MH116" s="15"/>
      <c r="MI116" s="15"/>
      <c r="MJ116" s="15"/>
      <c r="MK116" s="15"/>
      <c r="ML116" s="15"/>
      <c r="MM116" s="15"/>
      <c r="MN116" s="15"/>
      <c r="MO116" s="15"/>
      <c r="MP116" s="15"/>
      <c r="MQ116" s="15"/>
      <c r="MR116" s="15"/>
      <c r="MS116" s="15"/>
      <c r="MT116" s="15"/>
      <c r="MU116" s="15"/>
      <c r="MV116" s="15"/>
      <c r="MW116" s="15"/>
    </row>
    <row r="117" ht="119.25" customHeight="1">
      <c r="A117" s="13" t="s">
        <v>116</v>
      </c>
      <c r="B117" s="14" t="s">
        <v>10129</v>
      </c>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c r="DM117" s="15"/>
      <c r="DN117" s="15"/>
      <c r="DO117" s="15"/>
      <c r="DP117" s="15"/>
      <c r="DQ117" s="15"/>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c r="FG117" s="15"/>
      <c r="FH117" s="15"/>
      <c r="FI117" s="15"/>
      <c r="FJ117" s="15"/>
      <c r="FK117" s="15"/>
      <c r="FL117" s="15"/>
      <c r="FM117" s="15"/>
      <c r="FN117" s="15"/>
      <c r="FO117" s="15"/>
      <c r="FP117" s="15"/>
      <c r="FQ117" s="15"/>
      <c r="FR117" s="15"/>
      <c r="FS117" s="15"/>
      <c r="FT117" s="15"/>
      <c r="FU117" s="15"/>
      <c r="FV117" s="15"/>
      <c r="FW117" s="15"/>
      <c r="FX117" s="15"/>
      <c r="FY117" s="15"/>
      <c r="FZ117" s="15"/>
      <c r="GA117" s="15"/>
      <c r="GB117" s="15"/>
      <c r="GC117" s="15"/>
      <c r="GD117" s="15"/>
      <c r="GE117" s="15"/>
      <c r="GF117" s="15"/>
      <c r="GG117" s="15"/>
      <c r="GH117" s="15"/>
      <c r="GI117" s="15"/>
      <c r="GJ117" s="15"/>
      <c r="GK117" s="15"/>
      <c r="GL117" s="15"/>
      <c r="GM117" s="15"/>
      <c r="GN117" s="15"/>
      <c r="GO117" s="15"/>
      <c r="GP117" s="15"/>
      <c r="GQ117" s="15"/>
      <c r="GR117" s="15"/>
      <c r="GS117" s="15"/>
      <c r="GT117" s="15"/>
      <c r="GU117" s="15"/>
      <c r="GV117" s="15"/>
      <c r="GW117" s="15"/>
      <c r="GX117" s="15"/>
      <c r="GY117" s="15"/>
      <c r="GZ117" s="15"/>
      <c r="HA117" s="15"/>
      <c r="HB117" s="15"/>
      <c r="HC117" s="15"/>
      <c r="HD117" s="15"/>
      <c r="HE117" s="15"/>
      <c r="HF117" s="15"/>
      <c r="HG117" s="15"/>
      <c r="HH117" s="15"/>
      <c r="HI117" s="15"/>
      <c r="HJ117" s="15"/>
      <c r="HK117" s="15"/>
      <c r="HL117" s="15"/>
      <c r="HM117" s="15"/>
      <c r="HN117" s="15"/>
      <c r="HO117" s="15"/>
      <c r="HP117" s="15"/>
      <c r="HQ117" s="15"/>
      <c r="HR117" s="15"/>
      <c r="HS117" s="15"/>
      <c r="HT117" s="15"/>
      <c r="HU117" s="15"/>
      <c r="HV117" s="15"/>
      <c r="HW117" s="15"/>
      <c r="HX117" s="15"/>
      <c r="HY117" s="15"/>
      <c r="HZ117" s="15"/>
      <c r="IA117" s="15"/>
      <c r="IB117" s="15"/>
      <c r="IC117" s="15"/>
      <c r="ID117" s="15"/>
      <c r="IE117" s="15"/>
      <c r="IF117" s="15"/>
      <c r="IG117" s="15"/>
      <c r="IH117" s="15"/>
      <c r="II117" s="15"/>
      <c r="IJ117" s="15"/>
      <c r="IK117" s="15"/>
      <c r="IL117" s="15"/>
      <c r="IM117" s="15"/>
      <c r="IN117" s="15"/>
      <c r="IO117" s="15"/>
      <c r="IP117" s="15"/>
      <c r="IQ117" s="15"/>
      <c r="IR117" s="15"/>
      <c r="IS117" s="15"/>
      <c r="IT117" s="15"/>
      <c r="IU117" s="15"/>
      <c r="IV117" s="15"/>
      <c r="IW117" s="15"/>
      <c r="IX117" s="15"/>
      <c r="IY117" s="15"/>
      <c r="IZ117" s="15"/>
      <c r="JA117" s="15"/>
      <c r="JB117" s="15"/>
      <c r="JC117" s="15"/>
      <c r="JD117" s="15"/>
      <c r="JE117" s="15"/>
      <c r="JF117" s="15"/>
      <c r="JG117" s="15"/>
      <c r="JH117" s="15"/>
      <c r="JI117" s="15"/>
      <c r="JJ117" s="15"/>
      <c r="JK117" s="15"/>
      <c r="JL117" s="15"/>
      <c r="JM117" s="15"/>
      <c r="JN117" s="15"/>
      <c r="JO117" s="15"/>
      <c r="JP117" s="15"/>
      <c r="JQ117" s="15"/>
      <c r="JR117" s="15"/>
      <c r="JS117" s="15"/>
      <c r="JT117" s="15"/>
      <c r="JU117" s="15"/>
      <c r="JV117" s="15"/>
      <c r="JW117" s="15"/>
      <c r="JX117" s="15"/>
      <c r="JY117" s="15"/>
      <c r="JZ117" s="15"/>
      <c r="KA117" s="15"/>
      <c r="KB117" s="15"/>
      <c r="KC117" s="15"/>
      <c r="KD117" s="15"/>
      <c r="KE117" s="15"/>
      <c r="KF117" s="15"/>
      <c r="KG117" s="15"/>
      <c r="KH117" s="15"/>
      <c r="KI117" s="15"/>
      <c r="KJ117" s="15"/>
      <c r="KK117" s="15"/>
      <c r="KL117" s="15"/>
      <c r="KM117" s="15"/>
      <c r="KN117" s="15"/>
      <c r="KO117" s="15"/>
      <c r="KP117" s="15"/>
      <c r="KQ117" s="15"/>
      <c r="KR117" s="15"/>
      <c r="KS117" s="15"/>
      <c r="KT117" s="15"/>
      <c r="KU117" s="15"/>
      <c r="KV117" s="15"/>
      <c r="KW117" s="15"/>
      <c r="KX117" s="15"/>
      <c r="KY117" s="15"/>
      <c r="KZ117" s="15"/>
      <c r="LA117" s="15"/>
      <c r="LB117" s="15"/>
      <c r="LC117" s="15"/>
      <c r="LD117" s="15"/>
      <c r="LE117" s="15"/>
      <c r="LF117" s="15"/>
      <c r="LG117" s="15"/>
      <c r="LH117" s="15"/>
      <c r="LI117" s="15"/>
      <c r="LJ117" s="15"/>
      <c r="LK117" s="15"/>
      <c r="LL117" s="15"/>
      <c r="LM117" s="15"/>
      <c r="LN117" s="15"/>
      <c r="LO117" s="15"/>
      <c r="LP117" s="15"/>
      <c r="LQ117" s="15"/>
      <c r="LR117" s="15"/>
      <c r="LS117" s="15"/>
      <c r="LT117" s="15"/>
      <c r="LU117" s="15"/>
      <c r="LV117" s="15"/>
      <c r="LW117" s="15"/>
      <c r="LX117" s="15"/>
      <c r="LY117" s="15"/>
      <c r="LZ117" s="15"/>
      <c r="MA117" s="15"/>
      <c r="MB117" s="15"/>
      <c r="MC117" s="15"/>
      <c r="MD117" s="15"/>
      <c r="ME117" s="15"/>
      <c r="MF117" s="15"/>
      <c r="MG117" s="15"/>
      <c r="MH117" s="15"/>
      <c r="MI117" s="15"/>
      <c r="MJ117" s="15"/>
      <c r="MK117" s="15"/>
      <c r="ML117" s="15"/>
      <c r="MM117" s="15"/>
      <c r="MN117" s="15"/>
      <c r="MO117" s="15"/>
      <c r="MP117" s="15"/>
      <c r="MQ117" s="15"/>
      <c r="MR117" s="15"/>
      <c r="MS117" s="15"/>
      <c r="MT117" s="15"/>
      <c r="MU117" s="15"/>
      <c r="MV117" s="15"/>
      <c r="MW117" s="15"/>
    </row>
    <row r="118" ht="41.25" customHeight="1">
      <c r="A118" s="13" t="s">
        <v>117</v>
      </c>
      <c r="B118" s="14" t="s">
        <v>10130</v>
      </c>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c r="DF118" s="15"/>
      <c r="DG118" s="15"/>
      <c r="DH118" s="15"/>
      <c r="DI118" s="15"/>
      <c r="DJ118" s="15"/>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c r="GB118" s="15"/>
      <c r="GC118" s="15"/>
      <c r="GD118" s="15"/>
      <c r="GE118" s="15"/>
      <c r="GF118" s="15"/>
      <c r="GG118" s="15"/>
      <c r="GH118" s="15"/>
      <c r="GI118" s="15"/>
      <c r="GJ118" s="15"/>
      <c r="GK118" s="15"/>
      <c r="GL118" s="15"/>
      <c r="GM118" s="15"/>
      <c r="GN118" s="15"/>
      <c r="GO118" s="15"/>
      <c r="GP118" s="15"/>
      <c r="GQ118" s="15"/>
      <c r="GR118" s="15"/>
      <c r="GS118" s="15"/>
      <c r="GT118" s="15"/>
      <c r="GU118" s="15"/>
      <c r="GV118" s="15"/>
      <c r="GW118" s="15"/>
      <c r="GX118" s="15"/>
      <c r="GY118" s="15"/>
      <c r="GZ118" s="15"/>
      <c r="HA118" s="15"/>
      <c r="HB118" s="15"/>
      <c r="HC118" s="15"/>
      <c r="HD118" s="15"/>
      <c r="HE118" s="15"/>
      <c r="HF118" s="15"/>
      <c r="HG118" s="15"/>
      <c r="HH118" s="15"/>
      <c r="HI118" s="15"/>
      <c r="HJ118" s="15"/>
      <c r="HK118" s="15"/>
      <c r="HL118" s="15"/>
      <c r="HM118" s="15"/>
      <c r="HN118" s="15"/>
      <c r="HO118" s="15"/>
      <c r="HP118" s="15"/>
      <c r="HQ118" s="15"/>
      <c r="HR118" s="15"/>
      <c r="HS118" s="15"/>
      <c r="HT118" s="15"/>
      <c r="HU118" s="15"/>
      <c r="HV118" s="15"/>
      <c r="HW118" s="15"/>
      <c r="HX118" s="15"/>
      <c r="HY118" s="15"/>
      <c r="HZ118" s="15"/>
      <c r="IA118" s="15"/>
      <c r="IB118" s="15"/>
      <c r="IC118" s="15"/>
      <c r="ID118" s="15"/>
      <c r="IE118" s="15"/>
      <c r="IF118" s="15"/>
      <c r="IG118" s="15"/>
      <c r="IH118" s="15"/>
      <c r="II118" s="15"/>
      <c r="IJ118" s="15"/>
      <c r="IK118" s="15"/>
      <c r="IL118" s="15"/>
      <c r="IM118" s="15"/>
      <c r="IN118" s="15"/>
      <c r="IO118" s="15"/>
      <c r="IP118" s="15"/>
      <c r="IQ118" s="15"/>
      <c r="IR118" s="15"/>
      <c r="IS118" s="15"/>
      <c r="IT118" s="15"/>
      <c r="IU118" s="15"/>
      <c r="IV118" s="15"/>
      <c r="IW118" s="15"/>
      <c r="IX118" s="15"/>
      <c r="IY118" s="15"/>
      <c r="IZ118" s="15"/>
      <c r="JA118" s="15"/>
      <c r="JB118" s="15"/>
      <c r="JC118" s="15"/>
      <c r="JD118" s="15"/>
      <c r="JE118" s="15"/>
      <c r="JF118" s="15"/>
      <c r="JG118" s="15"/>
      <c r="JH118" s="15"/>
      <c r="JI118" s="15"/>
      <c r="JJ118" s="15"/>
      <c r="JK118" s="15"/>
      <c r="JL118" s="15"/>
      <c r="JM118" s="15"/>
      <c r="JN118" s="15"/>
      <c r="JO118" s="15"/>
      <c r="JP118" s="15"/>
      <c r="JQ118" s="15"/>
      <c r="JR118" s="15"/>
      <c r="JS118" s="15"/>
      <c r="JT118" s="15"/>
      <c r="JU118" s="15"/>
      <c r="JV118" s="15"/>
      <c r="JW118" s="15"/>
      <c r="JX118" s="15"/>
      <c r="JY118" s="15"/>
      <c r="JZ118" s="15"/>
      <c r="KA118" s="15"/>
      <c r="KB118" s="15"/>
      <c r="KC118" s="15"/>
      <c r="KD118" s="15"/>
      <c r="KE118" s="15"/>
      <c r="KF118" s="15"/>
      <c r="KG118" s="15"/>
      <c r="KH118" s="15"/>
      <c r="KI118" s="15"/>
      <c r="KJ118" s="15"/>
      <c r="KK118" s="15"/>
      <c r="KL118" s="15"/>
      <c r="KM118" s="15"/>
      <c r="KN118" s="15"/>
      <c r="KO118" s="15"/>
      <c r="KP118" s="15"/>
      <c r="KQ118" s="15"/>
      <c r="KR118" s="15"/>
      <c r="KS118" s="15"/>
      <c r="KT118" s="15"/>
      <c r="KU118" s="15"/>
      <c r="KV118" s="15"/>
      <c r="KW118" s="15"/>
      <c r="KX118" s="15"/>
      <c r="KY118" s="15"/>
      <c r="KZ118" s="15"/>
      <c r="LA118" s="15"/>
      <c r="LB118" s="15"/>
      <c r="LC118" s="15"/>
      <c r="LD118" s="15"/>
      <c r="LE118" s="15"/>
      <c r="LF118" s="15"/>
      <c r="LG118" s="15"/>
      <c r="LH118" s="15"/>
      <c r="LI118" s="15"/>
      <c r="LJ118" s="15"/>
      <c r="LK118" s="15"/>
      <c r="LL118" s="15"/>
      <c r="LM118" s="15"/>
      <c r="LN118" s="15"/>
      <c r="LO118" s="15"/>
      <c r="LP118" s="15"/>
      <c r="LQ118" s="15"/>
      <c r="LR118" s="15"/>
      <c r="LS118" s="15"/>
      <c r="LT118" s="15"/>
      <c r="LU118" s="15"/>
      <c r="LV118" s="15"/>
      <c r="LW118" s="15"/>
      <c r="LX118" s="15"/>
      <c r="LY118" s="15"/>
      <c r="LZ118" s="15"/>
      <c r="MA118" s="15"/>
      <c r="MB118" s="15"/>
      <c r="MC118" s="15"/>
      <c r="MD118" s="15"/>
      <c r="ME118" s="15"/>
      <c r="MF118" s="15"/>
      <c r="MG118" s="15"/>
      <c r="MH118" s="15"/>
      <c r="MI118" s="15"/>
      <c r="MJ118" s="15"/>
      <c r="MK118" s="15"/>
      <c r="ML118" s="15"/>
      <c r="MM118" s="15"/>
      <c r="MN118" s="15"/>
      <c r="MO118" s="15"/>
      <c r="MP118" s="15"/>
      <c r="MQ118" s="15"/>
      <c r="MR118" s="15"/>
      <c r="MS118" s="15"/>
      <c r="MT118" s="15"/>
      <c r="MU118" s="15"/>
      <c r="MV118" s="15"/>
      <c r="MW118" s="15"/>
    </row>
    <row r="119" ht="119.25" customHeight="1">
      <c r="A119" s="13" t="s">
        <v>118</v>
      </c>
      <c r="B119" s="14" t="s">
        <v>10131</v>
      </c>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15"/>
      <c r="FH119" s="15"/>
      <c r="FI119" s="15"/>
      <c r="FJ119" s="15"/>
      <c r="FK119" s="15"/>
      <c r="FL119" s="15"/>
      <c r="FM119" s="15"/>
      <c r="FN119" s="15"/>
      <c r="FO119" s="15"/>
      <c r="FP119" s="15"/>
      <c r="FQ119" s="15"/>
      <c r="FR119" s="15"/>
      <c r="FS119" s="15"/>
      <c r="FT119" s="15"/>
      <c r="FU119" s="15"/>
      <c r="FV119" s="15"/>
      <c r="FW119" s="15"/>
      <c r="FX119" s="15"/>
      <c r="FY119" s="15"/>
      <c r="FZ119" s="15"/>
      <c r="GA119" s="15"/>
      <c r="GB119" s="15"/>
      <c r="GC119" s="15"/>
      <c r="GD119" s="15"/>
      <c r="GE119" s="15"/>
      <c r="GF119" s="15"/>
      <c r="GG119" s="15"/>
      <c r="GH119" s="15"/>
      <c r="GI119" s="15"/>
      <c r="GJ119" s="15"/>
      <c r="GK119" s="15"/>
      <c r="GL119" s="15"/>
      <c r="GM119" s="15"/>
      <c r="GN119" s="15"/>
      <c r="GO119" s="15"/>
      <c r="GP119" s="15"/>
      <c r="GQ119" s="15"/>
      <c r="GR119" s="15"/>
      <c r="GS119" s="15"/>
      <c r="GT119" s="15"/>
      <c r="GU119" s="15"/>
      <c r="GV119" s="15"/>
      <c r="GW119" s="15"/>
      <c r="GX119" s="15"/>
      <c r="GY119" s="15"/>
      <c r="GZ119" s="15"/>
      <c r="HA119" s="15"/>
      <c r="HB119" s="15"/>
      <c r="HC119" s="15"/>
      <c r="HD119" s="15"/>
      <c r="HE119" s="15"/>
      <c r="HF119" s="15"/>
      <c r="HG119" s="15"/>
      <c r="HH119" s="15"/>
      <c r="HI119" s="15"/>
      <c r="HJ119" s="15"/>
      <c r="HK119" s="15"/>
      <c r="HL119" s="15"/>
      <c r="HM119" s="15"/>
      <c r="HN119" s="15"/>
      <c r="HO119" s="15"/>
      <c r="HP119" s="15"/>
      <c r="HQ119" s="15"/>
      <c r="HR119" s="15"/>
      <c r="HS119" s="15"/>
      <c r="HT119" s="15"/>
      <c r="HU119" s="15"/>
      <c r="HV119" s="15"/>
      <c r="HW119" s="15"/>
      <c r="HX119" s="15"/>
      <c r="HY119" s="15"/>
      <c r="HZ119" s="15"/>
      <c r="IA119" s="15"/>
      <c r="IB119" s="15"/>
      <c r="IC119" s="15"/>
      <c r="ID119" s="15"/>
      <c r="IE119" s="15"/>
      <c r="IF119" s="15"/>
      <c r="IG119" s="15"/>
      <c r="IH119" s="15"/>
      <c r="II119" s="15"/>
      <c r="IJ119" s="15"/>
      <c r="IK119" s="15"/>
      <c r="IL119" s="15"/>
      <c r="IM119" s="15"/>
      <c r="IN119" s="15"/>
      <c r="IO119" s="15"/>
      <c r="IP119" s="15"/>
      <c r="IQ119" s="15"/>
      <c r="IR119" s="15"/>
      <c r="IS119" s="15"/>
      <c r="IT119" s="15"/>
      <c r="IU119" s="15"/>
      <c r="IV119" s="15"/>
      <c r="IW119" s="15"/>
      <c r="IX119" s="15"/>
      <c r="IY119" s="15"/>
      <c r="IZ119" s="15"/>
      <c r="JA119" s="15"/>
      <c r="JB119" s="15"/>
      <c r="JC119" s="15"/>
      <c r="JD119" s="15"/>
      <c r="JE119" s="15"/>
      <c r="JF119" s="15"/>
      <c r="JG119" s="15"/>
      <c r="JH119" s="15"/>
      <c r="JI119" s="15"/>
      <c r="JJ119" s="15"/>
      <c r="JK119" s="15"/>
      <c r="JL119" s="15"/>
      <c r="JM119" s="15"/>
      <c r="JN119" s="15"/>
      <c r="JO119" s="15"/>
      <c r="JP119" s="15"/>
      <c r="JQ119" s="15"/>
      <c r="JR119" s="15"/>
      <c r="JS119" s="15"/>
      <c r="JT119" s="15"/>
      <c r="JU119" s="15"/>
      <c r="JV119" s="15"/>
      <c r="JW119" s="15"/>
      <c r="JX119" s="15"/>
      <c r="JY119" s="15"/>
      <c r="JZ119" s="15"/>
      <c r="KA119" s="15"/>
      <c r="KB119" s="15"/>
      <c r="KC119" s="15"/>
      <c r="KD119" s="15"/>
      <c r="KE119" s="15"/>
      <c r="KF119" s="15"/>
      <c r="KG119" s="15"/>
      <c r="KH119" s="15"/>
      <c r="KI119" s="15"/>
      <c r="KJ119" s="15"/>
      <c r="KK119" s="15"/>
      <c r="KL119" s="15"/>
      <c r="KM119" s="15"/>
      <c r="KN119" s="15"/>
      <c r="KO119" s="15"/>
      <c r="KP119" s="15"/>
      <c r="KQ119" s="15"/>
      <c r="KR119" s="15"/>
      <c r="KS119" s="15"/>
      <c r="KT119" s="15"/>
      <c r="KU119" s="15"/>
      <c r="KV119" s="15"/>
      <c r="KW119" s="15"/>
      <c r="KX119" s="15"/>
      <c r="KY119" s="15"/>
      <c r="KZ119" s="15"/>
      <c r="LA119" s="15"/>
      <c r="LB119" s="15"/>
      <c r="LC119" s="15"/>
      <c r="LD119" s="15"/>
      <c r="LE119" s="15"/>
      <c r="LF119" s="15"/>
      <c r="LG119" s="15"/>
      <c r="LH119" s="15"/>
      <c r="LI119" s="15"/>
      <c r="LJ119" s="15"/>
      <c r="LK119" s="15"/>
      <c r="LL119" s="15"/>
      <c r="LM119" s="15"/>
      <c r="LN119" s="15"/>
      <c r="LO119" s="15"/>
      <c r="LP119" s="15"/>
      <c r="LQ119" s="15"/>
      <c r="LR119" s="15"/>
      <c r="LS119" s="15"/>
      <c r="LT119" s="15"/>
      <c r="LU119" s="15"/>
      <c r="LV119" s="15"/>
      <c r="LW119" s="15"/>
      <c r="LX119" s="15"/>
      <c r="LY119" s="15"/>
      <c r="LZ119" s="15"/>
      <c r="MA119" s="15"/>
      <c r="MB119" s="15"/>
      <c r="MC119" s="15"/>
      <c r="MD119" s="15"/>
      <c r="ME119" s="15"/>
      <c r="MF119" s="15"/>
      <c r="MG119" s="15"/>
      <c r="MH119" s="15"/>
      <c r="MI119" s="15"/>
      <c r="MJ119" s="15"/>
      <c r="MK119" s="15"/>
      <c r="ML119" s="15"/>
      <c r="MM119" s="15"/>
      <c r="MN119" s="15"/>
      <c r="MO119" s="15"/>
      <c r="MP119" s="15"/>
      <c r="MQ119" s="15"/>
      <c r="MR119" s="15"/>
      <c r="MS119" s="15"/>
      <c r="MT119" s="15"/>
      <c r="MU119" s="15"/>
      <c r="MV119" s="15"/>
      <c r="MW119" s="15"/>
    </row>
    <row r="120" ht="41.25" customHeight="1">
      <c r="A120" s="13" t="s">
        <v>119</v>
      </c>
      <c r="B120" s="14" t="s">
        <v>10132</v>
      </c>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c r="FG120" s="15"/>
      <c r="FH120" s="15"/>
      <c r="FI120" s="15"/>
      <c r="FJ120" s="15"/>
      <c r="FK120" s="15"/>
      <c r="FL120" s="15"/>
      <c r="FM120" s="15"/>
      <c r="FN120" s="15"/>
      <c r="FO120" s="15"/>
      <c r="FP120" s="15"/>
      <c r="FQ120" s="15"/>
      <c r="FR120" s="15"/>
      <c r="FS120" s="15"/>
      <c r="FT120" s="15"/>
      <c r="FU120" s="15"/>
      <c r="FV120" s="15"/>
      <c r="FW120" s="15"/>
      <c r="FX120" s="15"/>
      <c r="FY120" s="15"/>
      <c r="FZ120" s="15"/>
      <c r="GA120" s="15"/>
      <c r="GB120" s="15"/>
      <c r="GC120" s="15"/>
      <c r="GD120" s="15"/>
      <c r="GE120" s="15"/>
      <c r="GF120" s="15"/>
      <c r="GG120" s="15"/>
      <c r="GH120" s="15"/>
      <c r="GI120" s="15"/>
      <c r="GJ120" s="15"/>
      <c r="GK120" s="15"/>
      <c r="GL120" s="15"/>
      <c r="GM120" s="15"/>
      <c r="GN120" s="15"/>
      <c r="GO120" s="15"/>
      <c r="GP120" s="15"/>
      <c r="GQ120" s="15"/>
      <c r="GR120" s="15"/>
      <c r="GS120" s="15"/>
      <c r="GT120" s="15"/>
      <c r="GU120" s="15"/>
      <c r="GV120" s="15"/>
      <c r="GW120" s="15"/>
      <c r="GX120" s="15"/>
      <c r="GY120" s="15"/>
      <c r="GZ120" s="15"/>
      <c r="HA120" s="15"/>
      <c r="HB120" s="15"/>
      <c r="HC120" s="15"/>
      <c r="HD120" s="15"/>
      <c r="HE120" s="15"/>
      <c r="HF120" s="15"/>
      <c r="HG120" s="15"/>
      <c r="HH120" s="15"/>
      <c r="HI120" s="15"/>
      <c r="HJ120" s="15"/>
      <c r="HK120" s="15"/>
      <c r="HL120" s="15"/>
      <c r="HM120" s="15"/>
      <c r="HN120" s="15"/>
      <c r="HO120" s="15"/>
      <c r="HP120" s="15"/>
      <c r="HQ120" s="15"/>
      <c r="HR120" s="15"/>
      <c r="HS120" s="15"/>
      <c r="HT120" s="15"/>
      <c r="HU120" s="15"/>
      <c r="HV120" s="15"/>
      <c r="HW120" s="15"/>
      <c r="HX120" s="15"/>
      <c r="HY120" s="15"/>
      <c r="HZ120" s="15"/>
      <c r="IA120" s="15"/>
      <c r="IB120" s="15"/>
      <c r="IC120" s="15"/>
      <c r="ID120" s="15"/>
      <c r="IE120" s="15"/>
      <c r="IF120" s="15"/>
      <c r="IG120" s="15"/>
      <c r="IH120" s="15"/>
      <c r="II120" s="15"/>
      <c r="IJ120" s="15"/>
      <c r="IK120" s="15"/>
      <c r="IL120" s="15"/>
      <c r="IM120" s="15"/>
      <c r="IN120" s="15"/>
      <c r="IO120" s="15"/>
      <c r="IP120" s="15"/>
      <c r="IQ120" s="15"/>
      <c r="IR120" s="15"/>
      <c r="IS120" s="15"/>
      <c r="IT120" s="15"/>
      <c r="IU120" s="15"/>
      <c r="IV120" s="15"/>
      <c r="IW120" s="15"/>
      <c r="IX120" s="15"/>
      <c r="IY120" s="15"/>
      <c r="IZ120" s="15"/>
      <c r="JA120" s="15"/>
      <c r="JB120" s="15"/>
      <c r="JC120" s="15"/>
      <c r="JD120" s="15"/>
      <c r="JE120" s="15"/>
      <c r="JF120" s="15"/>
      <c r="JG120" s="15"/>
      <c r="JH120" s="15"/>
      <c r="JI120" s="15"/>
      <c r="JJ120" s="15"/>
      <c r="JK120" s="15"/>
      <c r="JL120" s="15"/>
      <c r="JM120" s="15"/>
      <c r="JN120" s="15"/>
      <c r="JO120" s="15"/>
      <c r="JP120" s="15"/>
      <c r="JQ120" s="15"/>
      <c r="JR120" s="15"/>
      <c r="JS120" s="15"/>
      <c r="JT120" s="15"/>
      <c r="JU120" s="15"/>
      <c r="JV120" s="15"/>
      <c r="JW120" s="15"/>
      <c r="JX120" s="15"/>
      <c r="JY120" s="15"/>
      <c r="JZ120" s="15"/>
      <c r="KA120" s="15"/>
      <c r="KB120" s="15"/>
      <c r="KC120" s="15"/>
      <c r="KD120" s="15"/>
      <c r="KE120" s="15"/>
      <c r="KF120" s="15"/>
      <c r="KG120" s="15"/>
      <c r="KH120" s="15"/>
      <c r="KI120" s="15"/>
      <c r="KJ120" s="15"/>
      <c r="KK120" s="15"/>
      <c r="KL120" s="15"/>
      <c r="KM120" s="15"/>
      <c r="KN120" s="15"/>
      <c r="KO120" s="15"/>
      <c r="KP120" s="15"/>
      <c r="KQ120" s="15"/>
      <c r="KR120" s="15"/>
      <c r="KS120" s="15"/>
      <c r="KT120" s="15"/>
      <c r="KU120" s="15"/>
      <c r="KV120" s="15"/>
      <c r="KW120" s="15"/>
      <c r="KX120" s="15"/>
      <c r="KY120" s="15"/>
      <c r="KZ120" s="15"/>
      <c r="LA120" s="15"/>
      <c r="LB120" s="15"/>
      <c r="LC120" s="15"/>
      <c r="LD120" s="15"/>
      <c r="LE120" s="15"/>
      <c r="LF120" s="15"/>
      <c r="LG120" s="15"/>
      <c r="LH120" s="15"/>
      <c r="LI120" s="15"/>
      <c r="LJ120" s="15"/>
      <c r="LK120" s="15"/>
      <c r="LL120" s="15"/>
      <c r="LM120" s="15"/>
      <c r="LN120" s="15"/>
      <c r="LO120" s="15"/>
      <c r="LP120" s="15"/>
      <c r="LQ120" s="15"/>
      <c r="LR120" s="15"/>
      <c r="LS120" s="15"/>
      <c r="LT120" s="15"/>
      <c r="LU120" s="15"/>
      <c r="LV120" s="15"/>
      <c r="LW120" s="15"/>
      <c r="LX120" s="15"/>
      <c r="LY120" s="15"/>
      <c r="LZ120" s="15"/>
      <c r="MA120" s="15"/>
      <c r="MB120" s="15"/>
      <c r="MC120" s="15"/>
      <c r="MD120" s="15"/>
      <c r="ME120" s="15"/>
      <c r="MF120" s="15"/>
      <c r="MG120" s="15"/>
      <c r="MH120" s="15"/>
      <c r="MI120" s="15"/>
      <c r="MJ120" s="15"/>
      <c r="MK120" s="15"/>
      <c r="ML120" s="15"/>
      <c r="MM120" s="15"/>
      <c r="MN120" s="15"/>
      <c r="MO120" s="15"/>
      <c r="MP120" s="15"/>
      <c r="MQ120" s="15"/>
      <c r="MR120" s="15"/>
      <c r="MS120" s="15"/>
      <c r="MT120" s="15"/>
      <c r="MU120" s="15"/>
      <c r="MV120" s="15"/>
      <c r="MW120" s="15"/>
    </row>
    <row r="121" ht="119.25" customHeight="1">
      <c r="A121" s="13" t="s">
        <v>120</v>
      </c>
      <c r="B121" s="14" t="s">
        <v>10133</v>
      </c>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c r="DF121" s="15"/>
      <c r="DG121" s="15"/>
      <c r="DH121" s="15"/>
      <c r="DI121" s="15"/>
      <c r="DJ121" s="15"/>
      <c r="DK121" s="15"/>
      <c r="DL121" s="15"/>
      <c r="DM121" s="15"/>
      <c r="DN121" s="15"/>
      <c r="DO121" s="15"/>
      <c r="DP121" s="15"/>
      <c r="DQ121" s="15"/>
      <c r="DR121" s="15"/>
      <c r="DS121" s="15"/>
      <c r="DT121" s="15"/>
      <c r="DU121" s="15"/>
      <c r="DV121" s="15"/>
      <c r="DW121" s="15"/>
      <c r="DX121" s="15"/>
      <c r="DY121" s="15"/>
      <c r="DZ121" s="15"/>
      <c r="EA121" s="15"/>
      <c r="EB121" s="15"/>
      <c r="EC121" s="15"/>
      <c r="ED121" s="15"/>
      <c r="EE121" s="15"/>
      <c r="EF121" s="15"/>
      <c r="EG121" s="15"/>
      <c r="EH121" s="15"/>
      <c r="EI121" s="15"/>
      <c r="EJ121" s="15"/>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c r="FG121" s="15"/>
      <c r="FH121" s="15"/>
      <c r="FI121" s="15"/>
      <c r="FJ121" s="15"/>
      <c r="FK121" s="15"/>
      <c r="FL121" s="15"/>
      <c r="FM121" s="15"/>
      <c r="FN121" s="15"/>
      <c r="FO121" s="15"/>
      <c r="FP121" s="15"/>
      <c r="FQ121" s="15"/>
      <c r="FR121" s="15"/>
      <c r="FS121" s="15"/>
      <c r="FT121" s="15"/>
      <c r="FU121" s="15"/>
      <c r="FV121" s="15"/>
      <c r="FW121" s="15"/>
      <c r="FX121" s="15"/>
      <c r="FY121" s="15"/>
      <c r="FZ121" s="15"/>
      <c r="GA121" s="15"/>
      <c r="GB121" s="15"/>
      <c r="GC121" s="15"/>
      <c r="GD121" s="15"/>
      <c r="GE121" s="15"/>
      <c r="GF121" s="15"/>
      <c r="GG121" s="15"/>
      <c r="GH121" s="15"/>
      <c r="GI121" s="15"/>
      <c r="GJ121" s="15"/>
      <c r="GK121" s="15"/>
      <c r="GL121" s="15"/>
      <c r="GM121" s="15"/>
      <c r="GN121" s="15"/>
      <c r="GO121" s="15"/>
      <c r="GP121" s="15"/>
      <c r="GQ121" s="15"/>
      <c r="GR121" s="15"/>
      <c r="GS121" s="15"/>
      <c r="GT121" s="15"/>
      <c r="GU121" s="15"/>
      <c r="GV121" s="15"/>
      <c r="GW121" s="15"/>
      <c r="GX121" s="15"/>
      <c r="GY121" s="15"/>
      <c r="GZ121" s="15"/>
      <c r="HA121" s="15"/>
      <c r="HB121" s="15"/>
      <c r="HC121" s="15"/>
      <c r="HD121" s="15"/>
      <c r="HE121" s="15"/>
      <c r="HF121" s="15"/>
      <c r="HG121" s="15"/>
      <c r="HH121" s="15"/>
      <c r="HI121" s="15"/>
      <c r="HJ121" s="15"/>
      <c r="HK121" s="15"/>
      <c r="HL121" s="15"/>
      <c r="HM121" s="15"/>
      <c r="HN121" s="15"/>
      <c r="HO121" s="15"/>
      <c r="HP121" s="15"/>
      <c r="HQ121" s="15"/>
      <c r="HR121" s="15"/>
      <c r="HS121" s="15"/>
      <c r="HT121" s="15"/>
      <c r="HU121" s="15"/>
      <c r="HV121" s="15"/>
      <c r="HW121" s="15"/>
      <c r="HX121" s="15"/>
      <c r="HY121" s="15"/>
      <c r="HZ121" s="15"/>
      <c r="IA121" s="15"/>
      <c r="IB121" s="15"/>
      <c r="IC121" s="15"/>
      <c r="ID121" s="15"/>
      <c r="IE121" s="15"/>
      <c r="IF121" s="15"/>
      <c r="IG121" s="15"/>
      <c r="IH121" s="15"/>
      <c r="II121" s="15"/>
      <c r="IJ121" s="15"/>
      <c r="IK121" s="15"/>
      <c r="IL121" s="15"/>
      <c r="IM121" s="15"/>
      <c r="IN121" s="15"/>
      <c r="IO121" s="15"/>
      <c r="IP121" s="15"/>
      <c r="IQ121" s="15"/>
      <c r="IR121" s="15"/>
      <c r="IS121" s="15"/>
      <c r="IT121" s="15"/>
      <c r="IU121" s="15"/>
      <c r="IV121" s="15"/>
      <c r="IW121" s="15"/>
      <c r="IX121" s="15"/>
      <c r="IY121" s="15"/>
      <c r="IZ121" s="15"/>
      <c r="JA121" s="15"/>
      <c r="JB121" s="15"/>
      <c r="JC121" s="15"/>
      <c r="JD121" s="15"/>
      <c r="JE121" s="15"/>
      <c r="JF121" s="15"/>
      <c r="JG121" s="15"/>
      <c r="JH121" s="15"/>
      <c r="JI121" s="15"/>
      <c r="JJ121" s="15"/>
      <c r="JK121" s="15"/>
      <c r="JL121" s="15"/>
      <c r="JM121" s="15"/>
      <c r="JN121" s="15"/>
      <c r="JO121" s="15"/>
      <c r="JP121" s="15"/>
      <c r="JQ121" s="15"/>
      <c r="JR121" s="15"/>
      <c r="JS121" s="15"/>
      <c r="JT121" s="15"/>
      <c r="JU121" s="15"/>
      <c r="JV121" s="15"/>
      <c r="JW121" s="15"/>
      <c r="JX121" s="15"/>
      <c r="JY121" s="15"/>
      <c r="JZ121" s="15"/>
      <c r="KA121" s="15"/>
      <c r="KB121" s="15"/>
      <c r="KC121" s="15"/>
      <c r="KD121" s="15"/>
      <c r="KE121" s="15"/>
      <c r="KF121" s="15"/>
      <c r="KG121" s="15"/>
      <c r="KH121" s="15"/>
      <c r="KI121" s="15"/>
      <c r="KJ121" s="15"/>
      <c r="KK121" s="15"/>
      <c r="KL121" s="15"/>
      <c r="KM121" s="15"/>
      <c r="KN121" s="15"/>
      <c r="KO121" s="15"/>
      <c r="KP121" s="15"/>
      <c r="KQ121" s="15"/>
      <c r="KR121" s="15"/>
      <c r="KS121" s="15"/>
      <c r="KT121" s="15"/>
      <c r="KU121" s="15"/>
      <c r="KV121" s="15"/>
      <c r="KW121" s="15"/>
      <c r="KX121" s="15"/>
      <c r="KY121" s="15"/>
      <c r="KZ121" s="15"/>
      <c r="LA121" s="15"/>
      <c r="LB121" s="15"/>
      <c r="LC121" s="15"/>
      <c r="LD121" s="15"/>
      <c r="LE121" s="15"/>
      <c r="LF121" s="15"/>
      <c r="LG121" s="15"/>
      <c r="LH121" s="15"/>
      <c r="LI121" s="15"/>
      <c r="LJ121" s="15"/>
      <c r="LK121" s="15"/>
      <c r="LL121" s="15"/>
      <c r="LM121" s="15"/>
      <c r="LN121" s="15"/>
      <c r="LO121" s="15"/>
      <c r="LP121" s="15"/>
      <c r="LQ121" s="15"/>
      <c r="LR121" s="15"/>
      <c r="LS121" s="15"/>
      <c r="LT121" s="15"/>
      <c r="LU121" s="15"/>
      <c r="LV121" s="15"/>
      <c r="LW121" s="15"/>
      <c r="LX121" s="15"/>
      <c r="LY121" s="15"/>
      <c r="LZ121" s="15"/>
      <c r="MA121" s="15"/>
      <c r="MB121" s="15"/>
      <c r="MC121" s="15"/>
      <c r="MD121" s="15"/>
      <c r="ME121" s="15"/>
      <c r="MF121" s="15"/>
      <c r="MG121" s="15"/>
      <c r="MH121" s="15"/>
      <c r="MI121" s="15"/>
      <c r="MJ121" s="15"/>
      <c r="MK121" s="15"/>
      <c r="ML121" s="15"/>
      <c r="MM121" s="15"/>
      <c r="MN121" s="15"/>
      <c r="MO121" s="15"/>
      <c r="MP121" s="15"/>
      <c r="MQ121" s="15"/>
      <c r="MR121" s="15"/>
      <c r="MS121" s="15"/>
      <c r="MT121" s="15"/>
      <c r="MU121" s="15"/>
      <c r="MV121" s="15"/>
      <c r="MW121" s="15"/>
    </row>
    <row r="122" ht="41.25" customHeight="1">
      <c r="A122" s="13" t="s">
        <v>10134</v>
      </c>
      <c r="B122" s="14" t="s">
        <v>10135</v>
      </c>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c r="DF122" s="15"/>
      <c r="DG122" s="15"/>
      <c r="DH122" s="15"/>
      <c r="DI122" s="15"/>
      <c r="DJ122" s="15"/>
      <c r="DK122" s="15"/>
      <c r="DL122" s="15"/>
      <c r="DM122" s="15"/>
      <c r="DN122" s="15"/>
      <c r="DO122" s="15"/>
      <c r="DP122" s="15"/>
      <c r="DQ122" s="15"/>
      <c r="DR122" s="15"/>
      <c r="DS122" s="15"/>
      <c r="DT122" s="15"/>
      <c r="DU122" s="15"/>
      <c r="DV122" s="15"/>
      <c r="DW122" s="15"/>
      <c r="DX122" s="15"/>
      <c r="DY122" s="15"/>
      <c r="DZ122" s="15"/>
      <c r="EA122" s="15"/>
      <c r="EB122" s="15"/>
      <c r="EC122" s="15"/>
      <c r="ED122" s="15"/>
      <c r="EE122" s="15"/>
      <c r="EF122" s="15"/>
      <c r="EG122" s="15"/>
      <c r="EH122" s="15"/>
      <c r="EI122" s="15"/>
      <c r="EJ122" s="15"/>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c r="FG122" s="15"/>
      <c r="FH122" s="15"/>
      <c r="FI122" s="15"/>
      <c r="FJ122" s="15"/>
      <c r="FK122" s="15"/>
      <c r="FL122" s="15"/>
      <c r="FM122" s="15"/>
      <c r="FN122" s="15"/>
      <c r="FO122" s="15"/>
      <c r="FP122" s="15"/>
      <c r="FQ122" s="15"/>
      <c r="FR122" s="15"/>
      <c r="FS122" s="15"/>
      <c r="FT122" s="15"/>
      <c r="FU122" s="15"/>
      <c r="FV122" s="15"/>
      <c r="FW122" s="15"/>
      <c r="FX122" s="15"/>
      <c r="FY122" s="15"/>
      <c r="FZ122" s="15"/>
      <c r="GA122" s="15"/>
      <c r="GB122" s="15"/>
      <c r="GC122" s="15"/>
      <c r="GD122" s="15"/>
      <c r="GE122" s="15"/>
      <c r="GF122" s="15"/>
      <c r="GG122" s="15"/>
      <c r="GH122" s="15"/>
      <c r="GI122" s="15"/>
      <c r="GJ122" s="15"/>
      <c r="GK122" s="15"/>
      <c r="GL122" s="15"/>
      <c r="GM122" s="15"/>
      <c r="GN122" s="15"/>
      <c r="GO122" s="15"/>
      <c r="GP122" s="15"/>
      <c r="GQ122" s="15"/>
      <c r="GR122" s="15"/>
      <c r="GS122" s="15"/>
      <c r="GT122" s="15"/>
      <c r="GU122" s="15"/>
      <c r="GV122" s="15"/>
      <c r="GW122" s="15"/>
      <c r="GX122" s="15"/>
      <c r="GY122" s="15"/>
      <c r="GZ122" s="15"/>
      <c r="HA122" s="15"/>
      <c r="HB122" s="15"/>
      <c r="HC122" s="15"/>
      <c r="HD122" s="15"/>
      <c r="HE122" s="15"/>
      <c r="HF122" s="15"/>
      <c r="HG122" s="15"/>
      <c r="HH122" s="15"/>
      <c r="HI122" s="15"/>
      <c r="HJ122" s="15"/>
      <c r="HK122" s="15"/>
      <c r="HL122" s="15"/>
      <c r="HM122" s="15"/>
      <c r="HN122" s="15"/>
      <c r="HO122" s="15"/>
      <c r="HP122" s="15"/>
      <c r="HQ122" s="15"/>
      <c r="HR122" s="15"/>
      <c r="HS122" s="15"/>
      <c r="HT122" s="15"/>
      <c r="HU122" s="15"/>
      <c r="HV122" s="15"/>
      <c r="HW122" s="15"/>
      <c r="HX122" s="15"/>
      <c r="HY122" s="15"/>
      <c r="HZ122" s="15"/>
      <c r="IA122" s="15"/>
      <c r="IB122" s="15"/>
      <c r="IC122" s="15"/>
      <c r="ID122" s="15"/>
      <c r="IE122" s="15"/>
      <c r="IF122" s="15"/>
      <c r="IG122" s="15"/>
      <c r="IH122" s="15"/>
      <c r="II122" s="15"/>
      <c r="IJ122" s="15"/>
      <c r="IK122" s="15"/>
      <c r="IL122" s="15"/>
      <c r="IM122" s="15"/>
      <c r="IN122" s="15"/>
      <c r="IO122" s="15"/>
      <c r="IP122" s="15"/>
      <c r="IQ122" s="15"/>
      <c r="IR122" s="15"/>
      <c r="IS122" s="15"/>
      <c r="IT122" s="15"/>
      <c r="IU122" s="15"/>
      <c r="IV122" s="15"/>
      <c r="IW122" s="15"/>
      <c r="IX122" s="15"/>
      <c r="IY122" s="15"/>
      <c r="IZ122" s="15"/>
      <c r="JA122" s="15"/>
      <c r="JB122" s="15"/>
      <c r="JC122" s="15"/>
      <c r="JD122" s="15"/>
      <c r="JE122" s="15"/>
      <c r="JF122" s="15"/>
      <c r="JG122" s="15"/>
      <c r="JH122" s="15"/>
      <c r="JI122" s="15"/>
      <c r="JJ122" s="15"/>
      <c r="JK122" s="15"/>
      <c r="JL122" s="15"/>
      <c r="JM122" s="15"/>
      <c r="JN122" s="15"/>
      <c r="JO122" s="15"/>
      <c r="JP122" s="15"/>
      <c r="JQ122" s="15"/>
      <c r="JR122" s="15"/>
      <c r="JS122" s="15"/>
      <c r="JT122" s="15"/>
      <c r="JU122" s="15"/>
      <c r="JV122" s="15"/>
      <c r="JW122" s="15"/>
      <c r="JX122" s="15"/>
      <c r="JY122" s="15"/>
      <c r="JZ122" s="15"/>
      <c r="KA122" s="15"/>
      <c r="KB122" s="15"/>
      <c r="KC122" s="15"/>
      <c r="KD122" s="15"/>
      <c r="KE122" s="15"/>
      <c r="KF122" s="15"/>
      <c r="KG122" s="15"/>
      <c r="KH122" s="15"/>
      <c r="KI122" s="15"/>
      <c r="KJ122" s="15"/>
      <c r="KK122" s="15"/>
      <c r="KL122" s="15"/>
      <c r="KM122" s="15"/>
      <c r="KN122" s="15"/>
      <c r="KO122" s="15"/>
      <c r="KP122" s="15"/>
      <c r="KQ122" s="15"/>
      <c r="KR122" s="15"/>
      <c r="KS122" s="15"/>
      <c r="KT122" s="15"/>
      <c r="KU122" s="15"/>
      <c r="KV122" s="15"/>
      <c r="KW122" s="15"/>
      <c r="KX122" s="15"/>
      <c r="KY122" s="15"/>
      <c r="KZ122" s="15"/>
      <c r="LA122" s="15"/>
      <c r="LB122" s="15"/>
      <c r="LC122" s="15"/>
      <c r="LD122" s="15"/>
      <c r="LE122" s="15"/>
      <c r="LF122" s="15"/>
      <c r="LG122" s="15"/>
      <c r="LH122" s="15"/>
      <c r="LI122" s="15"/>
      <c r="LJ122" s="15"/>
      <c r="LK122" s="15"/>
      <c r="LL122" s="15"/>
      <c r="LM122" s="15"/>
      <c r="LN122" s="15"/>
      <c r="LO122" s="15"/>
      <c r="LP122" s="15"/>
      <c r="LQ122" s="15"/>
      <c r="LR122" s="15"/>
      <c r="LS122" s="15"/>
      <c r="LT122" s="15"/>
      <c r="LU122" s="15"/>
      <c r="LV122" s="15"/>
      <c r="LW122" s="15"/>
      <c r="LX122" s="15"/>
      <c r="LY122" s="15"/>
      <c r="LZ122" s="15"/>
      <c r="MA122" s="15"/>
      <c r="MB122" s="15"/>
      <c r="MC122" s="15"/>
      <c r="MD122" s="15"/>
      <c r="ME122" s="15"/>
      <c r="MF122" s="15"/>
      <c r="MG122" s="15"/>
      <c r="MH122" s="15"/>
      <c r="MI122" s="15"/>
      <c r="MJ122" s="15"/>
      <c r="MK122" s="15"/>
      <c r="ML122" s="15"/>
      <c r="MM122" s="15"/>
      <c r="MN122" s="15"/>
      <c r="MO122" s="15"/>
      <c r="MP122" s="15"/>
      <c r="MQ122" s="15"/>
      <c r="MR122" s="15"/>
      <c r="MS122" s="15"/>
      <c r="MT122" s="15"/>
      <c r="MU122" s="15"/>
      <c r="MV122" s="15"/>
      <c r="MW122" s="15"/>
    </row>
    <row r="123" ht="119.25" customHeight="1">
      <c r="A123" s="13" t="s">
        <v>122</v>
      </c>
      <c r="B123" s="14" t="s">
        <v>10136</v>
      </c>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15"/>
      <c r="FH123" s="15"/>
      <c r="FI123" s="15"/>
      <c r="FJ123" s="15"/>
      <c r="FK123" s="15"/>
      <c r="FL123" s="15"/>
      <c r="FM123" s="15"/>
      <c r="FN123" s="15"/>
      <c r="FO123" s="15"/>
      <c r="FP123" s="15"/>
      <c r="FQ123" s="15"/>
      <c r="FR123" s="15"/>
      <c r="FS123" s="15"/>
      <c r="FT123" s="15"/>
      <c r="FU123" s="15"/>
      <c r="FV123" s="15"/>
      <c r="FW123" s="15"/>
      <c r="FX123" s="15"/>
      <c r="FY123" s="15"/>
      <c r="FZ123" s="15"/>
      <c r="GA123" s="15"/>
      <c r="GB123" s="15"/>
      <c r="GC123" s="15"/>
      <c r="GD123" s="15"/>
      <c r="GE123" s="15"/>
      <c r="GF123" s="15"/>
      <c r="GG123" s="15"/>
      <c r="GH123" s="15"/>
      <c r="GI123" s="15"/>
      <c r="GJ123" s="15"/>
      <c r="GK123" s="15"/>
      <c r="GL123" s="15"/>
      <c r="GM123" s="15"/>
      <c r="GN123" s="15"/>
      <c r="GO123" s="15"/>
      <c r="GP123" s="15"/>
      <c r="GQ123" s="15"/>
      <c r="GR123" s="15"/>
      <c r="GS123" s="15"/>
      <c r="GT123" s="15"/>
      <c r="GU123" s="15"/>
      <c r="GV123" s="15"/>
      <c r="GW123" s="15"/>
      <c r="GX123" s="15"/>
      <c r="GY123" s="15"/>
      <c r="GZ123" s="15"/>
      <c r="HA123" s="15"/>
      <c r="HB123" s="15"/>
      <c r="HC123" s="15"/>
      <c r="HD123" s="15"/>
      <c r="HE123" s="15"/>
      <c r="HF123" s="15"/>
      <c r="HG123" s="15"/>
      <c r="HH123" s="15"/>
      <c r="HI123" s="15"/>
      <c r="HJ123" s="15"/>
      <c r="HK123" s="15"/>
      <c r="HL123" s="15"/>
      <c r="HM123" s="15"/>
      <c r="HN123" s="15"/>
      <c r="HO123" s="15"/>
      <c r="HP123" s="15"/>
      <c r="HQ123" s="15"/>
      <c r="HR123" s="15"/>
      <c r="HS123" s="15"/>
      <c r="HT123" s="15"/>
      <c r="HU123" s="15"/>
      <c r="HV123" s="15"/>
      <c r="HW123" s="15"/>
      <c r="HX123" s="15"/>
      <c r="HY123" s="15"/>
      <c r="HZ123" s="15"/>
      <c r="IA123" s="15"/>
      <c r="IB123" s="15"/>
      <c r="IC123" s="15"/>
      <c r="ID123" s="15"/>
      <c r="IE123" s="15"/>
      <c r="IF123" s="15"/>
      <c r="IG123" s="15"/>
      <c r="IH123" s="15"/>
      <c r="II123" s="15"/>
      <c r="IJ123" s="15"/>
      <c r="IK123" s="15"/>
      <c r="IL123" s="15"/>
      <c r="IM123" s="15"/>
      <c r="IN123" s="15"/>
      <c r="IO123" s="15"/>
      <c r="IP123" s="15"/>
      <c r="IQ123" s="15"/>
      <c r="IR123" s="15"/>
      <c r="IS123" s="15"/>
      <c r="IT123" s="15"/>
      <c r="IU123" s="15"/>
      <c r="IV123" s="15"/>
      <c r="IW123" s="15"/>
      <c r="IX123" s="15"/>
      <c r="IY123" s="15"/>
      <c r="IZ123" s="15"/>
      <c r="JA123" s="15"/>
      <c r="JB123" s="15"/>
      <c r="JC123" s="15"/>
      <c r="JD123" s="15"/>
      <c r="JE123" s="15"/>
      <c r="JF123" s="15"/>
      <c r="JG123" s="15"/>
      <c r="JH123" s="15"/>
      <c r="JI123" s="15"/>
      <c r="JJ123" s="15"/>
      <c r="JK123" s="15"/>
      <c r="JL123" s="15"/>
      <c r="JM123" s="15"/>
      <c r="JN123" s="15"/>
      <c r="JO123" s="15"/>
      <c r="JP123" s="15"/>
      <c r="JQ123" s="15"/>
      <c r="JR123" s="15"/>
      <c r="JS123" s="15"/>
      <c r="JT123" s="15"/>
      <c r="JU123" s="15"/>
      <c r="JV123" s="15"/>
      <c r="JW123" s="15"/>
      <c r="JX123" s="15"/>
      <c r="JY123" s="15"/>
      <c r="JZ123" s="15"/>
      <c r="KA123" s="15"/>
      <c r="KB123" s="15"/>
      <c r="KC123" s="15"/>
      <c r="KD123" s="15"/>
      <c r="KE123" s="15"/>
      <c r="KF123" s="15"/>
      <c r="KG123" s="15"/>
      <c r="KH123" s="15"/>
      <c r="KI123" s="15"/>
      <c r="KJ123" s="15"/>
      <c r="KK123" s="15"/>
      <c r="KL123" s="15"/>
      <c r="KM123" s="15"/>
      <c r="KN123" s="15"/>
      <c r="KO123" s="15"/>
      <c r="KP123" s="15"/>
      <c r="KQ123" s="15"/>
      <c r="KR123" s="15"/>
      <c r="KS123" s="15"/>
      <c r="KT123" s="15"/>
      <c r="KU123" s="15"/>
      <c r="KV123" s="15"/>
      <c r="KW123" s="15"/>
      <c r="KX123" s="15"/>
      <c r="KY123" s="15"/>
      <c r="KZ123" s="15"/>
      <c r="LA123" s="15"/>
      <c r="LB123" s="15"/>
      <c r="LC123" s="15"/>
      <c r="LD123" s="15"/>
      <c r="LE123" s="15"/>
      <c r="LF123" s="15"/>
      <c r="LG123" s="15"/>
      <c r="LH123" s="15"/>
      <c r="LI123" s="15"/>
      <c r="LJ123" s="15"/>
      <c r="LK123" s="15"/>
      <c r="LL123" s="15"/>
      <c r="LM123" s="15"/>
      <c r="LN123" s="15"/>
      <c r="LO123" s="15"/>
      <c r="LP123" s="15"/>
      <c r="LQ123" s="15"/>
      <c r="LR123" s="15"/>
      <c r="LS123" s="15"/>
      <c r="LT123" s="15"/>
      <c r="LU123" s="15"/>
      <c r="LV123" s="15"/>
      <c r="LW123" s="15"/>
      <c r="LX123" s="15"/>
      <c r="LY123" s="15"/>
      <c r="LZ123" s="15"/>
      <c r="MA123" s="15"/>
      <c r="MB123" s="15"/>
      <c r="MC123" s="15"/>
      <c r="MD123" s="15"/>
      <c r="ME123" s="15"/>
      <c r="MF123" s="15"/>
      <c r="MG123" s="15"/>
      <c r="MH123" s="15"/>
      <c r="MI123" s="15"/>
      <c r="MJ123" s="15"/>
      <c r="MK123" s="15"/>
      <c r="ML123" s="15"/>
      <c r="MM123" s="15"/>
      <c r="MN123" s="15"/>
      <c r="MO123" s="15"/>
      <c r="MP123" s="15"/>
      <c r="MQ123" s="15"/>
      <c r="MR123" s="15"/>
      <c r="MS123" s="15"/>
      <c r="MT123" s="15"/>
      <c r="MU123" s="15"/>
      <c r="MV123" s="15"/>
      <c r="MW123" s="15"/>
    </row>
    <row r="124" ht="41.25" customHeight="1">
      <c r="A124" s="13" t="s">
        <v>123</v>
      </c>
      <c r="B124" s="14" t="s">
        <v>10137</v>
      </c>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c r="FG124" s="15"/>
      <c r="FH124" s="15"/>
      <c r="FI124" s="15"/>
      <c r="FJ124" s="15"/>
      <c r="FK124" s="15"/>
      <c r="FL124" s="15"/>
      <c r="FM124" s="15"/>
      <c r="FN124" s="15"/>
      <c r="FO124" s="15"/>
      <c r="FP124" s="15"/>
      <c r="FQ124" s="15"/>
      <c r="FR124" s="15"/>
      <c r="FS124" s="15"/>
      <c r="FT124" s="15"/>
      <c r="FU124" s="15"/>
      <c r="FV124" s="15"/>
      <c r="FW124" s="15"/>
      <c r="FX124" s="15"/>
      <c r="FY124" s="15"/>
      <c r="FZ124" s="15"/>
      <c r="GA124" s="15"/>
      <c r="GB124" s="15"/>
      <c r="GC124" s="15"/>
      <c r="GD124" s="15"/>
      <c r="GE124" s="15"/>
      <c r="GF124" s="15"/>
      <c r="GG124" s="15"/>
      <c r="GH124" s="15"/>
      <c r="GI124" s="15"/>
      <c r="GJ124" s="15"/>
      <c r="GK124" s="15"/>
      <c r="GL124" s="15"/>
      <c r="GM124" s="15"/>
      <c r="GN124" s="15"/>
      <c r="GO124" s="15"/>
      <c r="GP124" s="15"/>
      <c r="GQ124" s="15"/>
      <c r="GR124" s="15"/>
      <c r="GS124" s="15"/>
      <c r="GT124" s="15"/>
      <c r="GU124" s="15"/>
      <c r="GV124" s="15"/>
      <c r="GW124" s="15"/>
      <c r="GX124" s="15"/>
      <c r="GY124" s="15"/>
      <c r="GZ124" s="15"/>
      <c r="HA124" s="15"/>
      <c r="HB124" s="15"/>
      <c r="HC124" s="15"/>
      <c r="HD124" s="15"/>
      <c r="HE124" s="15"/>
      <c r="HF124" s="15"/>
      <c r="HG124" s="15"/>
      <c r="HH124" s="15"/>
      <c r="HI124" s="15"/>
      <c r="HJ124" s="15"/>
      <c r="HK124" s="15"/>
      <c r="HL124" s="15"/>
      <c r="HM124" s="15"/>
      <c r="HN124" s="15"/>
      <c r="HO124" s="15"/>
      <c r="HP124" s="15"/>
      <c r="HQ124" s="15"/>
      <c r="HR124" s="15"/>
      <c r="HS124" s="15"/>
      <c r="HT124" s="15"/>
      <c r="HU124" s="15"/>
      <c r="HV124" s="15"/>
      <c r="HW124" s="15"/>
      <c r="HX124" s="15"/>
      <c r="HY124" s="15"/>
      <c r="HZ124" s="15"/>
      <c r="IA124" s="15"/>
      <c r="IB124" s="15"/>
      <c r="IC124" s="15"/>
      <c r="ID124" s="15"/>
      <c r="IE124" s="15"/>
      <c r="IF124" s="15"/>
      <c r="IG124" s="15"/>
      <c r="IH124" s="15"/>
      <c r="II124" s="15"/>
      <c r="IJ124" s="15"/>
      <c r="IK124" s="15"/>
      <c r="IL124" s="15"/>
      <c r="IM124" s="15"/>
      <c r="IN124" s="15"/>
      <c r="IO124" s="15"/>
      <c r="IP124" s="15"/>
      <c r="IQ124" s="15"/>
      <c r="IR124" s="15"/>
      <c r="IS124" s="15"/>
      <c r="IT124" s="15"/>
      <c r="IU124" s="15"/>
      <c r="IV124" s="15"/>
      <c r="IW124" s="15"/>
      <c r="IX124" s="15"/>
      <c r="IY124" s="15"/>
      <c r="IZ124" s="15"/>
      <c r="JA124" s="15"/>
      <c r="JB124" s="15"/>
      <c r="JC124" s="15"/>
      <c r="JD124" s="15"/>
      <c r="JE124" s="15"/>
      <c r="JF124" s="15"/>
      <c r="JG124" s="15"/>
      <c r="JH124" s="15"/>
      <c r="JI124" s="15"/>
      <c r="JJ124" s="15"/>
      <c r="JK124" s="15"/>
      <c r="JL124" s="15"/>
      <c r="JM124" s="15"/>
      <c r="JN124" s="15"/>
      <c r="JO124" s="15"/>
      <c r="JP124" s="15"/>
      <c r="JQ124" s="15"/>
      <c r="JR124" s="15"/>
      <c r="JS124" s="15"/>
      <c r="JT124" s="15"/>
      <c r="JU124" s="15"/>
      <c r="JV124" s="15"/>
      <c r="JW124" s="15"/>
      <c r="JX124" s="15"/>
      <c r="JY124" s="15"/>
      <c r="JZ124" s="15"/>
      <c r="KA124" s="15"/>
      <c r="KB124" s="15"/>
      <c r="KC124" s="15"/>
      <c r="KD124" s="15"/>
      <c r="KE124" s="15"/>
      <c r="KF124" s="15"/>
      <c r="KG124" s="15"/>
      <c r="KH124" s="15"/>
      <c r="KI124" s="15"/>
      <c r="KJ124" s="15"/>
      <c r="KK124" s="15"/>
      <c r="KL124" s="15"/>
      <c r="KM124" s="15"/>
      <c r="KN124" s="15"/>
      <c r="KO124" s="15"/>
      <c r="KP124" s="15"/>
      <c r="KQ124" s="15"/>
      <c r="KR124" s="15"/>
      <c r="KS124" s="15"/>
      <c r="KT124" s="15"/>
      <c r="KU124" s="15"/>
      <c r="KV124" s="15"/>
      <c r="KW124" s="15"/>
      <c r="KX124" s="15"/>
      <c r="KY124" s="15"/>
      <c r="KZ124" s="15"/>
      <c r="LA124" s="15"/>
      <c r="LB124" s="15"/>
      <c r="LC124" s="15"/>
      <c r="LD124" s="15"/>
      <c r="LE124" s="15"/>
      <c r="LF124" s="15"/>
      <c r="LG124" s="15"/>
      <c r="LH124" s="15"/>
      <c r="LI124" s="15"/>
      <c r="LJ124" s="15"/>
      <c r="LK124" s="15"/>
      <c r="LL124" s="15"/>
      <c r="LM124" s="15"/>
      <c r="LN124" s="15"/>
      <c r="LO124" s="15"/>
      <c r="LP124" s="15"/>
      <c r="LQ124" s="15"/>
      <c r="LR124" s="15"/>
      <c r="LS124" s="15"/>
      <c r="LT124" s="15"/>
      <c r="LU124" s="15"/>
      <c r="LV124" s="15"/>
      <c r="LW124" s="15"/>
      <c r="LX124" s="15"/>
      <c r="LY124" s="15"/>
      <c r="LZ124" s="15"/>
      <c r="MA124" s="15"/>
      <c r="MB124" s="15"/>
      <c r="MC124" s="15"/>
      <c r="MD124" s="15"/>
      <c r="ME124" s="15"/>
      <c r="MF124" s="15"/>
      <c r="MG124" s="15"/>
      <c r="MH124" s="15"/>
      <c r="MI124" s="15"/>
      <c r="MJ124" s="15"/>
      <c r="MK124" s="15"/>
      <c r="ML124" s="15"/>
      <c r="MM124" s="15"/>
      <c r="MN124" s="15"/>
      <c r="MO124" s="15"/>
      <c r="MP124" s="15"/>
      <c r="MQ124" s="15"/>
      <c r="MR124" s="15"/>
      <c r="MS124" s="15"/>
      <c r="MT124" s="15"/>
      <c r="MU124" s="15"/>
      <c r="MV124" s="15"/>
      <c r="MW124" s="15"/>
    </row>
    <row r="125" ht="119.25" customHeight="1">
      <c r="A125" s="13" t="s">
        <v>124</v>
      </c>
      <c r="B125" s="14" t="s">
        <v>10138</v>
      </c>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c r="FG125" s="15"/>
      <c r="FH125" s="15"/>
      <c r="FI125" s="15"/>
      <c r="FJ125" s="15"/>
      <c r="FK125" s="15"/>
      <c r="FL125" s="15"/>
      <c r="FM125" s="15"/>
      <c r="FN125" s="15"/>
      <c r="FO125" s="15"/>
      <c r="FP125" s="15"/>
      <c r="FQ125" s="15"/>
      <c r="FR125" s="15"/>
      <c r="FS125" s="15"/>
      <c r="FT125" s="15"/>
      <c r="FU125" s="15"/>
      <c r="FV125" s="15"/>
      <c r="FW125" s="15"/>
      <c r="FX125" s="15"/>
      <c r="FY125" s="15"/>
      <c r="FZ125" s="15"/>
      <c r="GA125" s="15"/>
      <c r="GB125" s="15"/>
      <c r="GC125" s="15"/>
      <c r="GD125" s="15"/>
      <c r="GE125" s="15"/>
      <c r="GF125" s="15"/>
      <c r="GG125" s="15"/>
      <c r="GH125" s="15"/>
      <c r="GI125" s="15"/>
      <c r="GJ125" s="15"/>
      <c r="GK125" s="15"/>
      <c r="GL125" s="15"/>
      <c r="GM125" s="15"/>
      <c r="GN125" s="15"/>
      <c r="GO125" s="15"/>
      <c r="GP125" s="15"/>
      <c r="GQ125" s="15"/>
      <c r="GR125" s="15"/>
      <c r="GS125" s="15"/>
      <c r="GT125" s="15"/>
      <c r="GU125" s="15"/>
      <c r="GV125" s="15"/>
      <c r="GW125" s="15"/>
      <c r="GX125" s="15"/>
      <c r="GY125" s="15"/>
      <c r="GZ125" s="15"/>
      <c r="HA125" s="15"/>
      <c r="HB125" s="15"/>
      <c r="HC125" s="15"/>
      <c r="HD125" s="15"/>
      <c r="HE125" s="15"/>
      <c r="HF125" s="15"/>
      <c r="HG125" s="15"/>
      <c r="HH125" s="15"/>
      <c r="HI125" s="15"/>
      <c r="HJ125" s="15"/>
      <c r="HK125" s="15"/>
      <c r="HL125" s="15"/>
      <c r="HM125" s="15"/>
      <c r="HN125" s="15"/>
      <c r="HO125" s="15"/>
      <c r="HP125" s="15"/>
      <c r="HQ125" s="15"/>
      <c r="HR125" s="15"/>
      <c r="HS125" s="15"/>
      <c r="HT125" s="15"/>
      <c r="HU125" s="15"/>
      <c r="HV125" s="15"/>
      <c r="HW125" s="15"/>
      <c r="HX125" s="15"/>
      <c r="HY125" s="15"/>
      <c r="HZ125" s="15"/>
      <c r="IA125" s="15"/>
      <c r="IB125" s="15"/>
      <c r="IC125" s="15"/>
      <c r="ID125" s="15"/>
      <c r="IE125" s="15"/>
      <c r="IF125" s="15"/>
      <c r="IG125" s="15"/>
      <c r="IH125" s="15"/>
      <c r="II125" s="15"/>
      <c r="IJ125" s="15"/>
      <c r="IK125" s="15"/>
      <c r="IL125" s="15"/>
      <c r="IM125" s="15"/>
      <c r="IN125" s="15"/>
      <c r="IO125" s="15"/>
      <c r="IP125" s="15"/>
      <c r="IQ125" s="15"/>
      <c r="IR125" s="15"/>
      <c r="IS125" s="15"/>
      <c r="IT125" s="15"/>
      <c r="IU125" s="15"/>
      <c r="IV125" s="15"/>
      <c r="IW125" s="15"/>
      <c r="IX125" s="15"/>
      <c r="IY125" s="15"/>
      <c r="IZ125" s="15"/>
      <c r="JA125" s="15"/>
      <c r="JB125" s="15"/>
      <c r="JC125" s="15"/>
      <c r="JD125" s="15"/>
      <c r="JE125" s="15"/>
      <c r="JF125" s="15"/>
      <c r="JG125" s="15"/>
      <c r="JH125" s="15"/>
      <c r="JI125" s="15"/>
      <c r="JJ125" s="15"/>
      <c r="JK125" s="15"/>
      <c r="JL125" s="15"/>
      <c r="JM125" s="15"/>
      <c r="JN125" s="15"/>
      <c r="JO125" s="15"/>
      <c r="JP125" s="15"/>
      <c r="JQ125" s="15"/>
      <c r="JR125" s="15"/>
      <c r="JS125" s="15"/>
      <c r="JT125" s="15"/>
      <c r="JU125" s="15"/>
      <c r="JV125" s="15"/>
      <c r="JW125" s="15"/>
      <c r="JX125" s="15"/>
      <c r="JY125" s="15"/>
      <c r="JZ125" s="15"/>
      <c r="KA125" s="15"/>
      <c r="KB125" s="15"/>
      <c r="KC125" s="15"/>
      <c r="KD125" s="15"/>
      <c r="KE125" s="15"/>
      <c r="KF125" s="15"/>
      <c r="KG125" s="15"/>
      <c r="KH125" s="15"/>
      <c r="KI125" s="15"/>
      <c r="KJ125" s="15"/>
      <c r="KK125" s="15"/>
      <c r="KL125" s="15"/>
      <c r="KM125" s="15"/>
      <c r="KN125" s="15"/>
      <c r="KO125" s="15"/>
      <c r="KP125" s="15"/>
      <c r="KQ125" s="15"/>
      <c r="KR125" s="15"/>
      <c r="KS125" s="15"/>
      <c r="KT125" s="15"/>
      <c r="KU125" s="15"/>
      <c r="KV125" s="15"/>
      <c r="KW125" s="15"/>
      <c r="KX125" s="15"/>
      <c r="KY125" s="15"/>
      <c r="KZ125" s="15"/>
      <c r="LA125" s="15"/>
      <c r="LB125" s="15"/>
      <c r="LC125" s="15"/>
      <c r="LD125" s="15"/>
      <c r="LE125" s="15"/>
      <c r="LF125" s="15"/>
      <c r="LG125" s="15"/>
      <c r="LH125" s="15"/>
      <c r="LI125" s="15"/>
      <c r="LJ125" s="15"/>
      <c r="LK125" s="15"/>
      <c r="LL125" s="15"/>
      <c r="LM125" s="15"/>
      <c r="LN125" s="15"/>
      <c r="LO125" s="15"/>
      <c r="LP125" s="15"/>
      <c r="LQ125" s="15"/>
      <c r="LR125" s="15"/>
      <c r="LS125" s="15"/>
      <c r="LT125" s="15"/>
      <c r="LU125" s="15"/>
      <c r="LV125" s="15"/>
      <c r="LW125" s="15"/>
      <c r="LX125" s="15"/>
      <c r="LY125" s="15"/>
      <c r="LZ125" s="15"/>
      <c r="MA125" s="15"/>
      <c r="MB125" s="15"/>
      <c r="MC125" s="15"/>
      <c r="MD125" s="15"/>
      <c r="ME125" s="15"/>
      <c r="MF125" s="15"/>
      <c r="MG125" s="15"/>
      <c r="MH125" s="15"/>
      <c r="MI125" s="15"/>
      <c r="MJ125" s="15"/>
      <c r="MK125" s="15"/>
      <c r="ML125" s="15"/>
      <c r="MM125" s="15"/>
      <c r="MN125" s="15"/>
      <c r="MO125" s="15"/>
      <c r="MP125" s="15"/>
      <c r="MQ125" s="15"/>
      <c r="MR125" s="15"/>
      <c r="MS125" s="15"/>
      <c r="MT125" s="15"/>
      <c r="MU125" s="15"/>
      <c r="MV125" s="15"/>
      <c r="MW125" s="15"/>
    </row>
    <row r="126" ht="41.25" customHeight="1">
      <c r="A126" s="13" t="s">
        <v>125</v>
      </c>
      <c r="B126" s="14" t="s">
        <v>10139</v>
      </c>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c r="FX126" s="15"/>
      <c r="FY126" s="15"/>
      <c r="FZ126" s="15"/>
      <c r="GA126" s="15"/>
      <c r="GB126" s="15"/>
      <c r="GC126" s="15"/>
      <c r="GD126" s="15"/>
      <c r="GE126" s="15"/>
      <c r="GF126" s="15"/>
      <c r="GG126" s="15"/>
      <c r="GH126" s="15"/>
      <c r="GI126" s="15"/>
      <c r="GJ126" s="15"/>
      <c r="GK126" s="15"/>
      <c r="GL126" s="15"/>
      <c r="GM126" s="15"/>
      <c r="GN126" s="15"/>
      <c r="GO126" s="15"/>
      <c r="GP126" s="15"/>
      <c r="GQ126" s="15"/>
      <c r="GR126" s="15"/>
      <c r="GS126" s="15"/>
      <c r="GT126" s="15"/>
      <c r="GU126" s="15"/>
      <c r="GV126" s="15"/>
      <c r="GW126" s="15"/>
      <c r="GX126" s="15"/>
      <c r="GY126" s="15"/>
      <c r="GZ126" s="15"/>
      <c r="HA126" s="15"/>
      <c r="HB126" s="15"/>
      <c r="HC126" s="15"/>
      <c r="HD126" s="15"/>
      <c r="HE126" s="15"/>
      <c r="HF126" s="15"/>
      <c r="HG126" s="15"/>
      <c r="HH126" s="15"/>
      <c r="HI126" s="15"/>
      <c r="HJ126" s="15"/>
      <c r="HK126" s="15"/>
      <c r="HL126" s="15"/>
      <c r="HM126" s="15"/>
      <c r="HN126" s="15"/>
      <c r="HO126" s="15"/>
      <c r="HP126" s="15"/>
      <c r="HQ126" s="15"/>
      <c r="HR126" s="15"/>
      <c r="HS126" s="15"/>
      <c r="HT126" s="15"/>
      <c r="HU126" s="15"/>
      <c r="HV126" s="15"/>
      <c r="HW126" s="15"/>
      <c r="HX126" s="15"/>
      <c r="HY126" s="15"/>
      <c r="HZ126" s="15"/>
      <c r="IA126" s="15"/>
      <c r="IB126" s="15"/>
      <c r="IC126" s="15"/>
      <c r="ID126" s="15"/>
      <c r="IE126" s="15"/>
      <c r="IF126" s="15"/>
      <c r="IG126" s="15"/>
      <c r="IH126" s="15"/>
      <c r="II126" s="15"/>
      <c r="IJ126" s="15"/>
      <c r="IK126" s="15"/>
      <c r="IL126" s="15"/>
      <c r="IM126" s="15"/>
      <c r="IN126" s="15"/>
      <c r="IO126" s="15"/>
      <c r="IP126" s="15"/>
      <c r="IQ126" s="15"/>
      <c r="IR126" s="15"/>
      <c r="IS126" s="15"/>
      <c r="IT126" s="15"/>
      <c r="IU126" s="15"/>
      <c r="IV126" s="15"/>
      <c r="IW126" s="15"/>
      <c r="IX126" s="15"/>
      <c r="IY126" s="15"/>
      <c r="IZ126" s="15"/>
      <c r="JA126" s="15"/>
      <c r="JB126" s="15"/>
      <c r="JC126" s="15"/>
      <c r="JD126" s="15"/>
      <c r="JE126" s="15"/>
      <c r="JF126" s="15"/>
      <c r="JG126" s="15"/>
      <c r="JH126" s="15"/>
      <c r="JI126" s="15"/>
      <c r="JJ126" s="15"/>
      <c r="JK126" s="15"/>
      <c r="JL126" s="15"/>
      <c r="JM126" s="15"/>
      <c r="JN126" s="15"/>
      <c r="JO126" s="15"/>
      <c r="JP126" s="15"/>
      <c r="JQ126" s="15"/>
      <c r="JR126" s="15"/>
      <c r="JS126" s="15"/>
      <c r="JT126" s="15"/>
      <c r="JU126" s="15"/>
      <c r="JV126" s="15"/>
      <c r="JW126" s="15"/>
      <c r="JX126" s="15"/>
      <c r="JY126" s="15"/>
      <c r="JZ126" s="15"/>
      <c r="KA126" s="15"/>
      <c r="KB126" s="15"/>
      <c r="KC126" s="15"/>
      <c r="KD126" s="15"/>
      <c r="KE126" s="15"/>
      <c r="KF126" s="15"/>
      <c r="KG126" s="15"/>
      <c r="KH126" s="15"/>
      <c r="KI126" s="15"/>
      <c r="KJ126" s="15"/>
      <c r="KK126" s="15"/>
      <c r="KL126" s="15"/>
      <c r="KM126" s="15"/>
      <c r="KN126" s="15"/>
      <c r="KO126" s="15"/>
      <c r="KP126" s="15"/>
      <c r="KQ126" s="15"/>
      <c r="KR126" s="15"/>
      <c r="KS126" s="15"/>
      <c r="KT126" s="15"/>
      <c r="KU126" s="15"/>
      <c r="KV126" s="15"/>
      <c r="KW126" s="15"/>
      <c r="KX126" s="15"/>
      <c r="KY126" s="15"/>
      <c r="KZ126" s="15"/>
      <c r="LA126" s="15"/>
      <c r="LB126" s="15"/>
      <c r="LC126" s="15"/>
      <c r="LD126" s="15"/>
      <c r="LE126" s="15"/>
      <c r="LF126" s="15"/>
      <c r="LG126" s="15"/>
      <c r="LH126" s="15"/>
      <c r="LI126" s="15"/>
      <c r="LJ126" s="15"/>
      <c r="LK126" s="15"/>
      <c r="LL126" s="15"/>
      <c r="LM126" s="15"/>
      <c r="LN126" s="15"/>
      <c r="LO126" s="15"/>
      <c r="LP126" s="15"/>
      <c r="LQ126" s="15"/>
      <c r="LR126" s="15"/>
      <c r="LS126" s="15"/>
      <c r="LT126" s="15"/>
      <c r="LU126" s="15"/>
      <c r="LV126" s="15"/>
      <c r="LW126" s="15"/>
      <c r="LX126" s="15"/>
      <c r="LY126" s="15"/>
      <c r="LZ126" s="15"/>
      <c r="MA126" s="15"/>
      <c r="MB126" s="15"/>
      <c r="MC126" s="15"/>
      <c r="MD126" s="15"/>
      <c r="ME126" s="15"/>
      <c r="MF126" s="15"/>
      <c r="MG126" s="15"/>
      <c r="MH126" s="15"/>
      <c r="MI126" s="15"/>
      <c r="MJ126" s="15"/>
      <c r="MK126" s="15"/>
      <c r="ML126" s="15"/>
      <c r="MM126" s="15"/>
      <c r="MN126" s="15"/>
      <c r="MO126" s="15"/>
      <c r="MP126" s="15"/>
      <c r="MQ126" s="15"/>
      <c r="MR126" s="15"/>
      <c r="MS126" s="15"/>
      <c r="MT126" s="15"/>
      <c r="MU126" s="15"/>
      <c r="MV126" s="15"/>
      <c r="MW126" s="15"/>
    </row>
    <row r="127" ht="119.25" customHeight="1">
      <c r="A127" s="13" t="s">
        <v>126</v>
      </c>
      <c r="B127" s="14" t="s">
        <v>10140</v>
      </c>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c r="DF127" s="15"/>
      <c r="DG127" s="15"/>
      <c r="DH127" s="15"/>
      <c r="DI127" s="15"/>
      <c r="DJ127" s="15"/>
      <c r="DK127" s="15"/>
      <c r="DL127" s="15"/>
      <c r="DM127" s="15"/>
      <c r="DN127" s="15"/>
      <c r="DO127" s="15"/>
      <c r="DP127" s="15"/>
      <c r="DQ127" s="15"/>
      <c r="DR127" s="15"/>
      <c r="DS127" s="15"/>
      <c r="DT127" s="15"/>
      <c r="DU127" s="15"/>
      <c r="DV127" s="15"/>
      <c r="DW127" s="15"/>
      <c r="DX127" s="15"/>
      <c r="DY127" s="15"/>
      <c r="DZ127" s="15"/>
      <c r="EA127" s="15"/>
      <c r="EB127" s="15"/>
      <c r="EC127" s="15"/>
      <c r="ED127" s="15"/>
      <c r="EE127" s="15"/>
      <c r="EF127" s="15"/>
      <c r="EG127" s="15"/>
      <c r="EH127" s="15"/>
      <c r="EI127" s="15"/>
      <c r="EJ127" s="15"/>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c r="FG127" s="15"/>
      <c r="FH127" s="15"/>
      <c r="FI127" s="15"/>
      <c r="FJ127" s="15"/>
      <c r="FK127" s="15"/>
      <c r="FL127" s="15"/>
      <c r="FM127" s="15"/>
      <c r="FN127" s="15"/>
      <c r="FO127" s="15"/>
      <c r="FP127" s="15"/>
      <c r="FQ127" s="15"/>
      <c r="FR127" s="15"/>
      <c r="FS127" s="15"/>
      <c r="FT127" s="15"/>
      <c r="FU127" s="15"/>
      <c r="FV127" s="15"/>
      <c r="FW127" s="15"/>
      <c r="FX127" s="15"/>
      <c r="FY127" s="15"/>
      <c r="FZ127" s="15"/>
      <c r="GA127" s="15"/>
      <c r="GB127" s="15"/>
      <c r="GC127" s="15"/>
      <c r="GD127" s="15"/>
      <c r="GE127" s="15"/>
      <c r="GF127" s="15"/>
      <c r="GG127" s="15"/>
      <c r="GH127" s="15"/>
      <c r="GI127" s="15"/>
      <c r="GJ127" s="15"/>
      <c r="GK127" s="15"/>
      <c r="GL127" s="15"/>
      <c r="GM127" s="15"/>
      <c r="GN127" s="15"/>
      <c r="GO127" s="15"/>
      <c r="GP127" s="15"/>
      <c r="GQ127" s="15"/>
      <c r="GR127" s="15"/>
      <c r="GS127" s="15"/>
      <c r="GT127" s="15"/>
      <c r="GU127" s="15"/>
      <c r="GV127" s="15"/>
      <c r="GW127" s="15"/>
      <c r="GX127" s="15"/>
      <c r="GY127" s="15"/>
      <c r="GZ127" s="15"/>
      <c r="HA127" s="15"/>
      <c r="HB127" s="15"/>
      <c r="HC127" s="15"/>
      <c r="HD127" s="15"/>
      <c r="HE127" s="15"/>
      <c r="HF127" s="15"/>
      <c r="HG127" s="15"/>
      <c r="HH127" s="15"/>
      <c r="HI127" s="15"/>
      <c r="HJ127" s="15"/>
      <c r="HK127" s="15"/>
      <c r="HL127" s="15"/>
      <c r="HM127" s="15"/>
      <c r="HN127" s="15"/>
      <c r="HO127" s="15"/>
      <c r="HP127" s="15"/>
      <c r="HQ127" s="15"/>
      <c r="HR127" s="15"/>
      <c r="HS127" s="15"/>
      <c r="HT127" s="15"/>
      <c r="HU127" s="15"/>
      <c r="HV127" s="15"/>
      <c r="HW127" s="15"/>
      <c r="HX127" s="15"/>
      <c r="HY127" s="15"/>
      <c r="HZ127" s="15"/>
      <c r="IA127" s="15"/>
      <c r="IB127" s="15"/>
      <c r="IC127" s="15"/>
      <c r="ID127" s="15"/>
      <c r="IE127" s="15"/>
      <c r="IF127" s="15"/>
      <c r="IG127" s="15"/>
      <c r="IH127" s="15"/>
      <c r="II127" s="15"/>
      <c r="IJ127" s="15"/>
      <c r="IK127" s="15"/>
      <c r="IL127" s="15"/>
      <c r="IM127" s="15"/>
      <c r="IN127" s="15"/>
      <c r="IO127" s="15"/>
      <c r="IP127" s="15"/>
      <c r="IQ127" s="15"/>
      <c r="IR127" s="15"/>
      <c r="IS127" s="15"/>
      <c r="IT127" s="15"/>
      <c r="IU127" s="15"/>
      <c r="IV127" s="15"/>
      <c r="IW127" s="15"/>
      <c r="IX127" s="15"/>
      <c r="IY127" s="15"/>
      <c r="IZ127" s="15"/>
      <c r="JA127" s="15"/>
      <c r="JB127" s="15"/>
      <c r="JC127" s="15"/>
      <c r="JD127" s="15"/>
      <c r="JE127" s="15"/>
      <c r="JF127" s="15"/>
      <c r="JG127" s="15"/>
      <c r="JH127" s="15"/>
      <c r="JI127" s="15"/>
      <c r="JJ127" s="15"/>
      <c r="JK127" s="15"/>
      <c r="JL127" s="15"/>
      <c r="JM127" s="15"/>
      <c r="JN127" s="15"/>
      <c r="JO127" s="15"/>
      <c r="JP127" s="15"/>
      <c r="JQ127" s="15"/>
      <c r="JR127" s="15"/>
      <c r="JS127" s="15"/>
      <c r="JT127" s="15"/>
      <c r="JU127" s="15"/>
      <c r="JV127" s="15"/>
      <c r="JW127" s="15"/>
      <c r="JX127" s="15"/>
      <c r="JY127" s="15"/>
      <c r="JZ127" s="15"/>
      <c r="KA127" s="15"/>
      <c r="KB127" s="15"/>
      <c r="KC127" s="15"/>
      <c r="KD127" s="15"/>
      <c r="KE127" s="15"/>
      <c r="KF127" s="15"/>
      <c r="KG127" s="15"/>
      <c r="KH127" s="15"/>
      <c r="KI127" s="15"/>
      <c r="KJ127" s="15"/>
      <c r="KK127" s="15"/>
      <c r="KL127" s="15"/>
      <c r="KM127" s="15"/>
      <c r="KN127" s="15"/>
      <c r="KO127" s="15"/>
      <c r="KP127" s="15"/>
      <c r="KQ127" s="15"/>
      <c r="KR127" s="15"/>
      <c r="KS127" s="15"/>
      <c r="KT127" s="15"/>
      <c r="KU127" s="15"/>
      <c r="KV127" s="15"/>
      <c r="KW127" s="15"/>
      <c r="KX127" s="15"/>
      <c r="KY127" s="15"/>
      <c r="KZ127" s="15"/>
      <c r="LA127" s="15"/>
      <c r="LB127" s="15"/>
      <c r="LC127" s="15"/>
      <c r="LD127" s="15"/>
      <c r="LE127" s="15"/>
      <c r="LF127" s="15"/>
      <c r="LG127" s="15"/>
      <c r="LH127" s="15"/>
      <c r="LI127" s="15"/>
      <c r="LJ127" s="15"/>
      <c r="LK127" s="15"/>
      <c r="LL127" s="15"/>
      <c r="LM127" s="15"/>
      <c r="LN127" s="15"/>
      <c r="LO127" s="15"/>
      <c r="LP127" s="15"/>
      <c r="LQ127" s="15"/>
      <c r="LR127" s="15"/>
      <c r="LS127" s="15"/>
      <c r="LT127" s="15"/>
      <c r="LU127" s="15"/>
      <c r="LV127" s="15"/>
      <c r="LW127" s="15"/>
      <c r="LX127" s="15"/>
      <c r="LY127" s="15"/>
      <c r="LZ127" s="15"/>
      <c r="MA127" s="15"/>
      <c r="MB127" s="15"/>
      <c r="MC127" s="15"/>
      <c r="MD127" s="15"/>
      <c r="ME127" s="15"/>
      <c r="MF127" s="15"/>
      <c r="MG127" s="15"/>
      <c r="MH127" s="15"/>
      <c r="MI127" s="15"/>
      <c r="MJ127" s="15"/>
      <c r="MK127" s="15"/>
      <c r="ML127" s="15"/>
      <c r="MM127" s="15"/>
      <c r="MN127" s="15"/>
      <c r="MO127" s="15"/>
      <c r="MP127" s="15"/>
      <c r="MQ127" s="15"/>
      <c r="MR127" s="15"/>
      <c r="MS127" s="15"/>
      <c r="MT127" s="15"/>
      <c r="MU127" s="15"/>
      <c r="MV127" s="15"/>
      <c r="MW127" s="15"/>
    </row>
    <row r="128" ht="41.25" customHeight="1">
      <c r="A128" s="13" t="s">
        <v>127</v>
      </c>
      <c r="B128" s="14" t="s">
        <v>10141</v>
      </c>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c r="DZ128" s="15"/>
      <c r="EA128" s="15"/>
      <c r="EB128" s="15"/>
      <c r="EC128" s="15"/>
      <c r="ED128" s="15"/>
      <c r="EE128" s="15"/>
      <c r="EF128" s="15"/>
      <c r="EG128" s="15"/>
      <c r="EH128" s="15"/>
      <c r="EI128" s="15"/>
      <c r="EJ128" s="15"/>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c r="FG128" s="15"/>
      <c r="FH128" s="15"/>
      <c r="FI128" s="15"/>
      <c r="FJ128" s="15"/>
      <c r="FK128" s="15"/>
      <c r="FL128" s="15"/>
      <c r="FM128" s="15"/>
      <c r="FN128" s="15"/>
      <c r="FO128" s="15"/>
      <c r="FP128" s="15"/>
      <c r="FQ128" s="15"/>
      <c r="FR128" s="15"/>
      <c r="FS128" s="15"/>
      <c r="FT128" s="15"/>
      <c r="FU128" s="15"/>
      <c r="FV128" s="15"/>
      <c r="FW128" s="15"/>
      <c r="FX128" s="15"/>
      <c r="FY128" s="15"/>
      <c r="FZ128" s="15"/>
      <c r="GA128" s="15"/>
      <c r="GB128" s="15"/>
      <c r="GC128" s="15"/>
      <c r="GD128" s="15"/>
      <c r="GE128" s="15"/>
      <c r="GF128" s="15"/>
      <c r="GG128" s="15"/>
      <c r="GH128" s="15"/>
      <c r="GI128" s="15"/>
      <c r="GJ128" s="15"/>
      <c r="GK128" s="15"/>
      <c r="GL128" s="15"/>
      <c r="GM128" s="15"/>
      <c r="GN128" s="15"/>
      <c r="GO128" s="15"/>
      <c r="GP128" s="15"/>
      <c r="GQ128" s="15"/>
      <c r="GR128" s="15"/>
      <c r="GS128" s="15"/>
      <c r="GT128" s="15"/>
      <c r="GU128" s="15"/>
      <c r="GV128" s="15"/>
      <c r="GW128" s="15"/>
      <c r="GX128" s="15"/>
      <c r="GY128" s="15"/>
      <c r="GZ128" s="15"/>
      <c r="HA128" s="15"/>
      <c r="HB128" s="15"/>
      <c r="HC128" s="15"/>
      <c r="HD128" s="15"/>
      <c r="HE128" s="15"/>
      <c r="HF128" s="15"/>
      <c r="HG128" s="15"/>
      <c r="HH128" s="15"/>
      <c r="HI128" s="15"/>
      <c r="HJ128" s="15"/>
      <c r="HK128" s="15"/>
      <c r="HL128" s="15"/>
      <c r="HM128" s="15"/>
      <c r="HN128" s="15"/>
      <c r="HO128" s="15"/>
      <c r="HP128" s="15"/>
      <c r="HQ128" s="15"/>
      <c r="HR128" s="15"/>
      <c r="HS128" s="15"/>
      <c r="HT128" s="15"/>
      <c r="HU128" s="15"/>
      <c r="HV128" s="15"/>
      <c r="HW128" s="15"/>
      <c r="HX128" s="15"/>
      <c r="HY128" s="15"/>
      <c r="HZ128" s="15"/>
      <c r="IA128" s="15"/>
      <c r="IB128" s="15"/>
      <c r="IC128" s="15"/>
      <c r="ID128" s="15"/>
      <c r="IE128" s="15"/>
      <c r="IF128" s="15"/>
      <c r="IG128" s="15"/>
      <c r="IH128" s="15"/>
      <c r="II128" s="15"/>
      <c r="IJ128" s="15"/>
      <c r="IK128" s="15"/>
      <c r="IL128" s="15"/>
      <c r="IM128" s="15"/>
      <c r="IN128" s="15"/>
      <c r="IO128" s="15"/>
      <c r="IP128" s="15"/>
      <c r="IQ128" s="15"/>
      <c r="IR128" s="15"/>
      <c r="IS128" s="15"/>
      <c r="IT128" s="15"/>
      <c r="IU128" s="15"/>
      <c r="IV128" s="15"/>
      <c r="IW128" s="15"/>
      <c r="IX128" s="15"/>
      <c r="IY128" s="15"/>
      <c r="IZ128" s="15"/>
      <c r="JA128" s="15"/>
      <c r="JB128" s="15"/>
      <c r="JC128" s="15"/>
      <c r="JD128" s="15"/>
      <c r="JE128" s="15"/>
      <c r="JF128" s="15"/>
      <c r="JG128" s="15"/>
      <c r="JH128" s="15"/>
      <c r="JI128" s="15"/>
      <c r="JJ128" s="15"/>
      <c r="JK128" s="15"/>
      <c r="JL128" s="15"/>
      <c r="JM128" s="15"/>
      <c r="JN128" s="15"/>
      <c r="JO128" s="15"/>
      <c r="JP128" s="15"/>
      <c r="JQ128" s="15"/>
      <c r="JR128" s="15"/>
      <c r="JS128" s="15"/>
      <c r="JT128" s="15"/>
      <c r="JU128" s="15"/>
      <c r="JV128" s="15"/>
      <c r="JW128" s="15"/>
      <c r="JX128" s="15"/>
      <c r="JY128" s="15"/>
      <c r="JZ128" s="15"/>
      <c r="KA128" s="15"/>
      <c r="KB128" s="15"/>
      <c r="KC128" s="15"/>
      <c r="KD128" s="15"/>
      <c r="KE128" s="15"/>
      <c r="KF128" s="15"/>
      <c r="KG128" s="15"/>
      <c r="KH128" s="15"/>
      <c r="KI128" s="15"/>
      <c r="KJ128" s="15"/>
      <c r="KK128" s="15"/>
      <c r="KL128" s="15"/>
      <c r="KM128" s="15"/>
      <c r="KN128" s="15"/>
      <c r="KO128" s="15"/>
      <c r="KP128" s="15"/>
      <c r="KQ128" s="15"/>
      <c r="KR128" s="15"/>
      <c r="KS128" s="15"/>
      <c r="KT128" s="15"/>
      <c r="KU128" s="15"/>
      <c r="KV128" s="15"/>
      <c r="KW128" s="15"/>
      <c r="KX128" s="15"/>
      <c r="KY128" s="15"/>
      <c r="KZ128" s="15"/>
      <c r="LA128" s="15"/>
      <c r="LB128" s="15"/>
      <c r="LC128" s="15"/>
      <c r="LD128" s="15"/>
      <c r="LE128" s="15"/>
      <c r="LF128" s="15"/>
      <c r="LG128" s="15"/>
      <c r="LH128" s="15"/>
      <c r="LI128" s="15"/>
      <c r="LJ128" s="15"/>
      <c r="LK128" s="15"/>
      <c r="LL128" s="15"/>
      <c r="LM128" s="15"/>
      <c r="LN128" s="15"/>
      <c r="LO128" s="15"/>
      <c r="LP128" s="15"/>
      <c r="LQ128" s="15"/>
      <c r="LR128" s="15"/>
      <c r="LS128" s="15"/>
      <c r="LT128" s="15"/>
      <c r="LU128" s="15"/>
      <c r="LV128" s="15"/>
      <c r="LW128" s="15"/>
      <c r="LX128" s="15"/>
      <c r="LY128" s="15"/>
      <c r="LZ128" s="15"/>
      <c r="MA128" s="15"/>
      <c r="MB128" s="15"/>
      <c r="MC128" s="15"/>
      <c r="MD128" s="15"/>
      <c r="ME128" s="15"/>
      <c r="MF128" s="15"/>
      <c r="MG128" s="15"/>
      <c r="MH128" s="15"/>
      <c r="MI128" s="15"/>
      <c r="MJ128" s="15"/>
      <c r="MK128" s="15"/>
      <c r="ML128" s="15"/>
      <c r="MM128" s="15"/>
      <c r="MN128" s="15"/>
      <c r="MO128" s="15"/>
      <c r="MP128" s="15"/>
      <c r="MQ128" s="15"/>
      <c r="MR128" s="15"/>
      <c r="MS128" s="15"/>
      <c r="MT128" s="15"/>
      <c r="MU128" s="15"/>
      <c r="MV128" s="15"/>
      <c r="MW128" s="15"/>
    </row>
    <row r="129" ht="119.25" customHeight="1">
      <c r="A129" s="13" t="s">
        <v>128</v>
      </c>
      <c r="B129" s="14" t="s">
        <v>10142</v>
      </c>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c r="DF129" s="15"/>
      <c r="DG129" s="15"/>
      <c r="DH129" s="15"/>
      <c r="DI129" s="15"/>
      <c r="DJ129" s="15"/>
      <c r="DK129" s="15"/>
      <c r="DL129" s="15"/>
      <c r="DM129" s="15"/>
      <c r="DN129" s="15"/>
      <c r="DO129" s="15"/>
      <c r="DP129" s="15"/>
      <c r="DQ129" s="15"/>
      <c r="DR129" s="15"/>
      <c r="DS129" s="15"/>
      <c r="DT129" s="15"/>
      <c r="DU129" s="15"/>
      <c r="DV129" s="15"/>
      <c r="DW129" s="15"/>
      <c r="DX129" s="15"/>
      <c r="DY129" s="15"/>
      <c r="DZ129" s="15"/>
      <c r="EA129" s="15"/>
      <c r="EB129" s="15"/>
      <c r="EC129" s="15"/>
      <c r="ED129" s="15"/>
      <c r="EE129" s="15"/>
      <c r="EF129" s="15"/>
      <c r="EG129" s="15"/>
      <c r="EH129" s="15"/>
      <c r="EI129" s="15"/>
      <c r="EJ129" s="15"/>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c r="FG129" s="15"/>
      <c r="FH129" s="15"/>
      <c r="FI129" s="15"/>
      <c r="FJ129" s="15"/>
      <c r="FK129" s="15"/>
      <c r="FL129" s="15"/>
      <c r="FM129" s="15"/>
      <c r="FN129" s="15"/>
      <c r="FO129" s="15"/>
      <c r="FP129" s="15"/>
      <c r="FQ129" s="15"/>
      <c r="FR129" s="15"/>
      <c r="FS129" s="15"/>
      <c r="FT129" s="15"/>
      <c r="FU129" s="15"/>
      <c r="FV129" s="15"/>
      <c r="FW129" s="15"/>
      <c r="FX129" s="15"/>
      <c r="FY129" s="15"/>
      <c r="FZ129" s="15"/>
      <c r="GA129" s="15"/>
      <c r="GB129" s="15"/>
      <c r="GC129" s="15"/>
      <c r="GD129" s="15"/>
      <c r="GE129" s="15"/>
      <c r="GF129" s="15"/>
      <c r="GG129" s="15"/>
      <c r="GH129" s="15"/>
      <c r="GI129" s="15"/>
      <c r="GJ129" s="15"/>
      <c r="GK129" s="15"/>
      <c r="GL129" s="15"/>
      <c r="GM129" s="15"/>
      <c r="GN129" s="15"/>
      <c r="GO129" s="15"/>
      <c r="GP129" s="15"/>
      <c r="GQ129" s="15"/>
      <c r="GR129" s="15"/>
      <c r="GS129" s="15"/>
      <c r="GT129" s="15"/>
      <c r="GU129" s="15"/>
      <c r="GV129" s="15"/>
      <c r="GW129" s="15"/>
      <c r="GX129" s="15"/>
      <c r="GY129" s="15"/>
      <c r="GZ129" s="15"/>
      <c r="HA129" s="15"/>
      <c r="HB129" s="15"/>
      <c r="HC129" s="15"/>
      <c r="HD129" s="15"/>
      <c r="HE129" s="15"/>
      <c r="HF129" s="15"/>
      <c r="HG129" s="15"/>
      <c r="HH129" s="15"/>
      <c r="HI129" s="15"/>
      <c r="HJ129" s="15"/>
      <c r="HK129" s="15"/>
      <c r="HL129" s="15"/>
      <c r="HM129" s="15"/>
      <c r="HN129" s="15"/>
      <c r="HO129" s="15"/>
      <c r="HP129" s="15"/>
      <c r="HQ129" s="15"/>
      <c r="HR129" s="15"/>
      <c r="HS129" s="15"/>
      <c r="HT129" s="15"/>
      <c r="HU129" s="15"/>
      <c r="HV129" s="15"/>
      <c r="HW129" s="15"/>
      <c r="HX129" s="15"/>
      <c r="HY129" s="15"/>
      <c r="HZ129" s="15"/>
      <c r="IA129" s="15"/>
      <c r="IB129" s="15"/>
      <c r="IC129" s="15"/>
      <c r="ID129" s="15"/>
      <c r="IE129" s="15"/>
      <c r="IF129" s="15"/>
      <c r="IG129" s="15"/>
      <c r="IH129" s="15"/>
      <c r="II129" s="15"/>
      <c r="IJ129" s="15"/>
      <c r="IK129" s="15"/>
      <c r="IL129" s="15"/>
      <c r="IM129" s="15"/>
      <c r="IN129" s="15"/>
      <c r="IO129" s="15"/>
      <c r="IP129" s="15"/>
      <c r="IQ129" s="15"/>
      <c r="IR129" s="15"/>
      <c r="IS129" s="15"/>
      <c r="IT129" s="15"/>
      <c r="IU129" s="15"/>
      <c r="IV129" s="15"/>
      <c r="IW129" s="15"/>
      <c r="IX129" s="15"/>
      <c r="IY129" s="15"/>
      <c r="IZ129" s="15"/>
      <c r="JA129" s="15"/>
      <c r="JB129" s="15"/>
      <c r="JC129" s="15"/>
      <c r="JD129" s="15"/>
      <c r="JE129" s="15"/>
      <c r="JF129" s="15"/>
      <c r="JG129" s="15"/>
      <c r="JH129" s="15"/>
      <c r="JI129" s="15"/>
      <c r="JJ129" s="15"/>
      <c r="JK129" s="15"/>
      <c r="JL129" s="15"/>
      <c r="JM129" s="15"/>
      <c r="JN129" s="15"/>
      <c r="JO129" s="15"/>
      <c r="JP129" s="15"/>
      <c r="JQ129" s="15"/>
      <c r="JR129" s="15"/>
      <c r="JS129" s="15"/>
      <c r="JT129" s="15"/>
      <c r="JU129" s="15"/>
      <c r="JV129" s="15"/>
      <c r="JW129" s="15"/>
      <c r="JX129" s="15"/>
      <c r="JY129" s="15"/>
      <c r="JZ129" s="15"/>
      <c r="KA129" s="15"/>
      <c r="KB129" s="15"/>
      <c r="KC129" s="15"/>
      <c r="KD129" s="15"/>
      <c r="KE129" s="15"/>
      <c r="KF129" s="15"/>
      <c r="KG129" s="15"/>
      <c r="KH129" s="15"/>
      <c r="KI129" s="15"/>
      <c r="KJ129" s="15"/>
      <c r="KK129" s="15"/>
      <c r="KL129" s="15"/>
      <c r="KM129" s="15"/>
      <c r="KN129" s="15"/>
      <c r="KO129" s="15"/>
      <c r="KP129" s="15"/>
      <c r="KQ129" s="15"/>
      <c r="KR129" s="15"/>
      <c r="KS129" s="15"/>
      <c r="KT129" s="15"/>
      <c r="KU129" s="15"/>
      <c r="KV129" s="15"/>
      <c r="KW129" s="15"/>
      <c r="KX129" s="15"/>
      <c r="KY129" s="15"/>
      <c r="KZ129" s="15"/>
      <c r="LA129" s="15"/>
      <c r="LB129" s="15"/>
      <c r="LC129" s="15"/>
      <c r="LD129" s="15"/>
      <c r="LE129" s="15"/>
      <c r="LF129" s="15"/>
      <c r="LG129" s="15"/>
      <c r="LH129" s="15"/>
      <c r="LI129" s="15"/>
      <c r="LJ129" s="15"/>
      <c r="LK129" s="15"/>
      <c r="LL129" s="15"/>
      <c r="LM129" s="15"/>
      <c r="LN129" s="15"/>
      <c r="LO129" s="15"/>
      <c r="LP129" s="15"/>
      <c r="LQ129" s="15"/>
      <c r="LR129" s="15"/>
      <c r="LS129" s="15"/>
      <c r="LT129" s="15"/>
      <c r="LU129" s="15"/>
      <c r="LV129" s="15"/>
      <c r="LW129" s="15"/>
      <c r="LX129" s="15"/>
      <c r="LY129" s="15"/>
      <c r="LZ129" s="15"/>
      <c r="MA129" s="15"/>
      <c r="MB129" s="15"/>
      <c r="MC129" s="15"/>
      <c r="MD129" s="15"/>
      <c r="ME129" s="15"/>
      <c r="MF129" s="15"/>
      <c r="MG129" s="15"/>
      <c r="MH129" s="15"/>
      <c r="MI129" s="15"/>
      <c r="MJ129" s="15"/>
      <c r="MK129" s="15"/>
      <c r="ML129" s="15"/>
      <c r="MM129" s="15"/>
      <c r="MN129" s="15"/>
      <c r="MO129" s="15"/>
      <c r="MP129" s="15"/>
      <c r="MQ129" s="15"/>
      <c r="MR129" s="15"/>
      <c r="MS129" s="15"/>
      <c r="MT129" s="15"/>
      <c r="MU129" s="15"/>
      <c r="MV129" s="15"/>
      <c r="MW129" s="15"/>
    </row>
    <row r="130" ht="41.25" customHeight="1">
      <c r="A130" s="13" t="s">
        <v>129</v>
      </c>
      <c r="B130" s="14" t="s">
        <v>10143</v>
      </c>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15"/>
      <c r="FH130" s="15"/>
      <c r="FI130" s="15"/>
      <c r="FJ130" s="15"/>
      <c r="FK130" s="15"/>
      <c r="FL130" s="15"/>
      <c r="FM130" s="15"/>
      <c r="FN130" s="15"/>
      <c r="FO130" s="15"/>
      <c r="FP130" s="15"/>
      <c r="FQ130" s="15"/>
      <c r="FR130" s="15"/>
      <c r="FS130" s="15"/>
      <c r="FT130" s="15"/>
      <c r="FU130" s="15"/>
      <c r="FV130" s="15"/>
      <c r="FW130" s="15"/>
      <c r="FX130" s="15"/>
      <c r="FY130" s="15"/>
      <c r="FZ130" s="15"/>
      <c r="GA130" s="15"/>
      <c r="GB130" s="15"/>
      <c r="GC130" s="15"/>
      <c r="GD130" s="15"/>
      <c r="GE130" s="15"/>
      <c r="GF130" s="15"/>
      <c r="GG130" s="15"/>
      <c r="GH130" s="15"/>
      <c r="GI130" s="15"/>
      <c r="GJ130" s="15"/>
      <c r="GK130" s="15"/>
      <c r="GL130" s="15"/>
      <c r="GM130" s="15"/>
      <c r="GN130" s="15"/>
      <c r="GO130" s="15"/>
      <c r="GP130" s="15"/>
      <c r="GQ130" s="15"/>
      <c r="GR130" s="15"/>
      <c r="GS130" s="15"/>
      <c r="GT130" s="15"/>
      <c r="GU130" s="15"/>
      <c r="GV130" s="15"/>
      <c r="GW130" s="15"/>
      <c r="GX130" s="15"/>
      <c r="GY130" s="15"/>
      <c r="GZ130" s="15"/>
      <c r="HA130" s="15"/>
      <c r="HB130" s="15"/>
      <c r="HC130" s="15"/>
      <c r="HD130" s="15"/>
      <c r="HE130" s="15"/>
      <c r="HF130" s="15"/>
      <c r="HG130" s="15"/>
      <c r="HH130" s="15"/>
      <c r="HI130" s="15"/>
      <c r="HJ130" s="15"/>
      <c r="HK130" s="15"/>
      <c r="HL130" s="15"/>
      <c r="HM130" s="15"/>
      <c r="HN130" s="15"/>
      <c r="HO130" s="15"/>
      <c r="HP130" s="15"/>
      <c r="HQ130" s="15"/>
      <c r="HR130" s="15"/>
      <c r="HS130" s="15"/>
      <c r="HT130" s="15"/>
      <c r="HU130" s="15"/>
      <c r="HV130" s="15"/>
      <c r="HW130" s="15"/>
      <c r="HX130" s="15"/>
      <c r="HY130" s="15"/>
      <c r="HZ130" s="15"/>
      <c r="IA130" s="15"/>
      <c r="IB130" s="15"/>
      <c r="IC130" s="15"/>
      <c r="ID130" s="15"/>
      <c r="IE130" s="15"/>
      <c r="IF130" s="15"/>
      <c r="IG130" s="15"/>
      <c r="IH130" s="15"/>
      <c r="II130" s="15"/>
      <c r="IJ130" s="15"/>
      <c r="IK130" s="15"/>
      <c r="IL130" s="15"/>
      <c r="IM130" s="15"/>
      <c r="IN130" s="15"/>
      <c r="IO130" s="15"/>
      <c r="IP130" s="15"/>
      <c r="IQ130" s="15"/>
      <c r="IR130" s="15"/>
      <c r="IS130" s="15"/>
      <c r="IT130" s="15"/>
      <c r="IU130" s="15"/>
      <c r="IV130" s="15"/>
      <c r="IW130" s="15"/>
      <c r="IX130" s="15"/>
      <c r="IY130" s="15"/>
      <c r="IZ130" s="15"/>
      <c r="JA130" s="15"/>
      <c r="JB130" s="15"/>
      <c r="JC130" s="15"/>
      <c r="JD130" s="15"/>
      <c r="JE130" s="15"/>
      <c r="JF130" s="15"/>
      <c r="JG130" s="15"/>
      <c r="JH130" s="15"/>
      <c r="JI130" s="15"/>
      <c r="JJ130" s="15"/>
      <c r="JK130" s="15"/>
      <c r="JL130" s="15"/>
      <c r="JM130" s="15"/>
      <c r="JN130" s="15"/>
      <c r="JO130" s="15"/>
      <c r="JP130" s="15"/>
      <c r="JQ130" s="15"/>
      <c r="JR130" s="15"/>
      <c r="JS130" s="15"/>
      <c r="JT130" s="15"/>
      <c r="JU130" s="15"/>
      <c r="JV130" s="15"/>
      <c r="JW130" s="15"/>
      <c r="JX130" s="15"/>
      <c r="JY130" s="15"/>
      <c r="JZ130" s="15"/>
      <c r="KA130" s="15"/>
      <c r="KB130" s="15"/>
      <c r="KC130" s="15"/>
      <c r="KD130" s="15"/>
      <c r="KE130" s="15"/>
      <c r="KF130" s="15"/>
      <c r="KG130" s="15"/>
      <c r="KH130" s="15"/>
      <c r="KI130" s="15"/>
      <c r="KJ130" s="15"/>
      <c r="KK130" s="15"/>
      <c r="KL130" s="15"/>
      <c r="KM130" s="15"/>
      <c r="KN130" s="15"/>
      <c r="KO130" s="15"/>
      <c r="KP130" s="15"/>
      <c r="KQ130" s="15"/>
      <c r="KR130" s="15"/>
      <c r="KS130" s="15"/>
      <c r="KT130" s="15"/>
      <c r="KU130" s="15"/>
      <c r="KV130" s="15"/>
      <c r="KW130" s="15"/>
      <c r="KX130" s="15"/>
      <c r="KY130" s="15"/>
      <c r="KZ130" s="15"/>
      <c r="LA130" s="15"/>
      <c r="LB130" s="15"/>
      <c r="LC130" s="15"/>
      <c r="LD130" s="15"/>
      <c r="LE130" s="15"/>
      <c r="LF130" s="15"/>
      <c r="LG130" s="15"/>
      <c r="LH130" s="15"/>
      <c r="LI130" s="15"/>
      <c r="LJ130" s="15"/>
      <c r="LK130" s="15"/>
      <c r="LL130" s="15"/>
      <c r="LM130" s="15"/>
      <c r="LN130" s="15"/>
      <c r="LO130" s="15"/>
      <c r="LP130" s="15"/>
      <c r="LQ130" s="15"/>
      <c r="LR130" s="15"/>
      <c r="LS130" s="15"/>
      <c r="LT130" s="15"/>
      <c r="LU130" s="15"/>
      <c r="LV130" s="15"/>
      <c r="LW130" s="15"/>
      <c r="LX130" s="15"/>
      <c r="LY130" s="15"/>
      <c r="LZ130" s="15"/>
      <c r="MA130" s="15"/>
      <c r="MB130" s="15"/>
      <c r="MC130" s="15"/>
      <c r="MD130" s="15"/>
      <c r="ME130" s="15"/>
      <c r="MF130" s="15"/>
      <c r="MG130" s="15"/>
      <c r="MH130" s="15"/>
      <c r="MI130" s="15"/>
      <c r="MJ130" s="15"/>
      <c r="MK130" s="15"/>
      <c r="ML130" s="15"/>
      <c r="MM130" s="15"/>
      <c r="MN130" s="15"/>
      <c r="MO130" s="15"/>
      <c r="MP130" s="15"/>
      <c r="MQ130" s="15"/>
      <c r="MR130" s="15"/>
      <c r="MS130" s="15"/>
      <c r="MT130" s="15"/>
      <c r="MU130" s="15"/>
      <c r="MV130" s="15"/>
      <c r="MW130" s="15"/>
    </row>
    <row r="131" ht="119.25" customHeight="1">
      <c r="A131" s="13" t="s">
        <v>130</v>
      </c>
      <c r="B131" s="14" t="s">
        <v>10144</v>
      </c>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c r="DF131" s="15"/>
      <c r="DG131" s="15"/>
      <c r="DH131" s="15"/>
      <c r="DI131" s="15"/>
      <c r="DJ131" s="15"/>
      <c r="DK131" s="15"/>
      <c r="DL131" s="15"/>
      <c r="DM131" s="15"/>
      <c r="DN131" s="15"/>
      <c r="DO131" s="15"/>
      <c r="DP131" s="15"/>
      <c r="DQ131" s="15"/>
      <c r="DR131" s="15"/>
      <c r="DS131" s="15"/>
      <c r="DT131" s="15"/>
      <c r="DU131" s="15"/>
      <c r="DV131" s="15"/>
      <c r="DW131" s="15"/>
      <c r="DX131" s="15"/>
      <c r="DY131" s="15"/>
      <c r="DZ131" s="15"/>
      <c r="EA131" s="15"/>
      <c r="EB131" s="15"/>
      <c r="EC131" s="15"/>
      <c r="ED131" s="15"/>
      <c r="EE131" s="15"/>
      <c r="EF131" s="15"/>
      <c r="EG131" s="15"/>
      <c r="EH131" s="15"/>
      <c r="EI131" s="15"/>
      <c r="EJ131" s="15"/>
      <c r="EK131" s="15"/>
      <c r="EL131" s="15"/>
      <c r="EM131" s="15"/>
      <c r="EN131" s="15"/>
      <c r="EO131" s="15"/>
      <c r="EP131" s="15"/>
      <c r="EQ131" s="15"/>
      <c r="ER131" s="15"/>
      <c r="ES131" s="15"/>
      <c r="ET131" s="15"/>
      <c r="EU131" s="15"/>
      <c r="EV131" s="15"/>
      <c r="EW131" s="15"/>
      <c r="EX131" s="15"/>
      <c r="EY131" s="15"/>
      <c r="EZ131" s="15"/>
      <c r="FA131" s="15"/>
      <c r="FB131" s="15"/>
      <c r="FC131" s="15"/>
      <c r="FD131" s="15"/>
      <c r="FE131" s="15"/>
      <c r="FF131" s="15"/>
      <c r="FG131" s="15"/>
      <c r="FH131" s="15"/>
      <c r="FI131" s="15"/>
      <c r="FJ131" s="15"/>
      <c r="FK131" s="15"/>
      <c r="FL131" s="15"/>
      <c r="FM131" s="15"/>
      <c r="FN131" s="15"/>
      <c r="FO131" s="15"/>
      <c r="FP131" s="15"/>
      <c r="FQ131" s="15"/>
      <c r="FR131" s="15"/>
      <c r="FS131" s="15"/>
      <c r="FT131" s="15"/>
      <c r="FU131" s="15"/>
      <c r="FV131" s="15"/>
      <c r="FW131" s="15"/>
      <c r="FX131" s="15"/>
      <c r="FY131" s="15"/>
      <c r="FZ131" s="15"/>
      <c r="GA131" s="15"/>
      <c r="GB131" s="15"/>
      <c r="GC131" s="15"/>
      <c r="GD131" s="15"/>
      <c r="GE131" s="15"/>
      <c r="GF131" s="15"/>
      <c r="GG131" s="15"/>
      <c r="GH131" s="15"/>
      <c r="GI131" s="15"/>
      <c r="GJ131" s="15"/>
      <c r="GK131" s="15"/>
      <c r="GL131" s="15"/>
      <c r="GM131" s="15"/>
      <c r="GN131" s="15"/>
      <c r="GO131" s="15"/>
      <c r="GP131" s="15"/>
      <c r="GQ131" s="15"/>
      <c r="GR131" s="15"/>
      <c r="GS131" s="15"/>
      <c r="GT131" s="15"/>
      <c r="GU131" s="15"/>
      <c r="GV131" s="15"/>
      <c r="GW131" s="15"/>
      <c r="GX131" s="15"/>
      <c r="GY131" s="15"/>
      <c r="GZ131" s="15"/>
      <c r="HA131" s="15"/>
      <c r="HB131" s="15"/>
      <c r="HC131" s="15"/>
      <c r="HD131" s="15"/>
      <c r="HE131" s="15"/>
      <c r="HF131" s="15"/>
      <c r="HG131" s="15"/>
      <c r="HH131" s="15"/>
      <c r="HI131" s="15"/>
      <c r="HJ131" s="15"/>
      <c r="HK131" s="15"/>
      <c r="HL131" s="15"/>
      <c r="HM131" s="15"/>
      <c r="HN131" s="15"/>
      <c r="HO131" s="15"/>
      <c r="HP131" s="15"/>
      <c r="HQ131" s="15"/>
      <c r="HR131" s="15"/>
      <c r="HS131" s="15"/>
      <c r="HT131" s="15"/>
      <c r="HU131" s="15"/>
      <c r="HV131" s="15"/>
      <c r="HW131" s="15"/>
      <c r="HX131" s="15"/>
      <c r="HY131" s="15"/>
      <c r="HZ131" s="15"/>
      <c r="IA131" s="15"/>
      <c r="IB131" s="15"/>
      <c r="IC131" s="15"/>
      <c r="ID131" s="15"/>
      <c r="IE131" s="15"/>
      <c r="IF131" s="15"/>
      <c r="IG131" s="15"/>
      <c r="IH131" s="15"/>
      <c r="II131" s="15"/>
      <c r="IJ131" s="15"/>
      <c r="IK131" s="15"/>
      <c r="IL131" s="15"/>
      <c r="IM131" s="15"/>
      <c r="IN131" s="15"/>
      <c r="IO131" s="15"/>
      <c r="IP131" s="15"/>
      <c r="IQ131" s="15"/>
      <c r="IR131" s="15"/>
      <c r="IS131" s="15"/>
      <c r="IT131" s="15"/>
      <c r="IU131" s="15"/>
      <c r="IV131" s="15"/>
      <c r="IW131" s="15"/>
      <c r="IX131" s="15"/>
      <c r="IY131" s="15"/>
      <c r="IZ131" s="15"/>
      <c r="JA131" s="15"/>
      <c r="JB131" s="15"/>
      <c r="JC131" s="15"/>
      <c r="JD131" s="15"/>
      <c r="JE131" s="15"/>
      <c r="JF131" s="15"/>
      <c r="JG131" s="15"/>
      <c r="JH131" s="15"/>
      <c r="JI131" s="15"/>
      <c r="JJ131" s="15"/>
      <c r="JK131" s="15"/>
      <c r="JL131" s="15"/>
      <c r="JM131" s="15"/>
      <c r="JN131" s="15"/>
      <c r="JO131" s="15"/>
      <c r="JP131" s="15"/>
      <c r="JQ131" s="15"/>
      <c r="JR131" s="15"/>
      <c r="JS131" s="15"/>
      <c r="JT131" s="15"/>
      <c r="JU131" s="15"/>
      <c r="JV131" s="15"/>
      <c r="JW131" s="15"/>
      <c r="JX131" s="15"/>
      <c r="JY131" s="15"/>
      <c r="JZ131" s="15"/>
      <c r="KA131" s="15"/>
      <c r="KB131" s="15"/>
      <c r="KC131" s="15"/>
      <c r="KD131" s="15"/>
      <c r="KE131" s="15"/>
      <c r="KF131" s="15"/>
      <c r="KG131" s="15"/>
      <c r="KH131" s="15"/>
      <c r="KI131" s="15"/>
      <c r="KJ131" s="15"/>
      <c r="KK131" s="15"/>
      <c r="KL131" s="15"/>
      <c r="KM131" s="15"/>
      <c r="KN131" s="15"/>
      <c r="KO131" s="15"/>
      <c r="KP131" s="15"/>
      <c r="KQ131" s="15"/>
      <c r="KR131" s="15"/>
      <c r="KS131" s="15"/>
      <c r="KT131" s="15"/>
      <c r="KU131" s="15"/>
      <c r="KV131" s="15"/>
      <c r="KW131" s="15"/>
      <c r="KX131" s="15"/>
      <c r="KY131" s="15"/>
      <c r="KZ131" s="15"/>
      <c r="LA131" s="15"/>
      <c r="LB131" s="15"/>
      <c r="LC131" s="15"/>
      <c r="LD131" s="15"/>
      <c r="LE131" s="15"/>
      <c r="LF131" s="15"/>
      <c r="LG131" s="15"/>
      <c r="LH131" s="15"/>
      <c r="LI131" s="15"/>
      <c r="LJ131" s="15"/>
      <c r="LK131" s="15"/>
      <c r="LL131" s="15"/>
      <c r="LM131" s="15"/>
      <c r="LN131" s="15"/>
      <c r="LO131" s="15"/>
      <c r="LP131" s="15"/>
      <c r="LQ131" s="15"/>
      <c r="LR131" s="15"/>
      <c r="LS131" s="15"/>
      <c r="LT131" s="15"/>
      <c r="LU131" s="15"/>
      <c r="LV131" s="15"/>
      <c r="LW131" s="15"/>
      <c r="LX131" s="15"/>
      <c r="LY131" s="15"/>
      <c r="LZ131" s="15"/>
      <c r="MA131" s="15"/>
      <c r="MB131" s="15"/>
      <c r="MC131" s="15"/>
      <c r="MD131" s="15"/>
      <c r="ME131" s="15"/>
      <c r="MF131" s="15"/>
      <c r="MG131" s="15"/>
      <c r="MH131" s="15"/>
      <c r="MI131" s="15"/>
      <c r="MJ131" s="15"/>
      <c r="MK131" s="15"/>
      <c r="ML131" s="15"/>
      <c r="MM131" s="15"/>
      <c r="MN131" s="15"/>
      <c r="MO131" s="15"/>
      <c r="MP131" s="15"/>
      <c r="MQ131" s="15"/>
      <c r="MR131" s="15"/>
      <c r="MS131" s="15"/>
      <c r="MT131" s="15"/>
      <c r="MU131" s="15"/>
      <c r="MV131" s="15"/>
      <c r="MW131" s="15"/>
    </row>
    <row r="132" ht="41.25" customHeight="1">
      <c r="A132" s="13" t="s">
        <v>10145</v>
      </c>
      <c r="B132" s="14" t="s">
        <v>10146</v>
      </c>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c r="DM132" s="15"/>
      <c r="DN132" s="15"/>
      <c r="DO132" s="15"/>
      <c r="DP132" s="15"/>
      <c r="DQ132" s="15"/>
      <c r="DR132" s="15"/>
      <c r="DS132" s="15"/>
      <c r="DT132" s="15"/>
      <c r="DU132" s="15"/>
      <c r="DV132" s="15"/>
      <c r="DW132" s="15"/>
      <c r="DX132" s="15"/>
      <c r="DY132" s="15"/>
      <c r="DZ132" s="15"/>
      <c r="EA132" s="15"/>
      <c r="EB132" s="15"/>
      <c r="EC132" s="15"/>
      <c r="ED132" s="15"/>
      <c r="EE132" s="15"/>
      <c r="EF132" s="15"/>
      <c r="EG132" s="15"/>
      <c r="EH132" s="15"/>
      <c r="EI132" s="15"/>
      <c r="EJ132" s="15"/>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c r="FG132" s="15"/>
      <c r="FH132" s="15"/>
      <c r="FI132" s="15"/>
      <c r="FJ132" s="15"/>
      <c r="FK132" s="15"/>
      <c r="FL132" s="15"/>
      <c r="FM132" s="15"/>
      <c r="FN132" s="15"/>
      <c r="FO132" s="15"/>
      <c r="FP132" s="15"/>
      <c r="FQ132" s="15"/>
      <c r="FR132" s="15"/>
      <c r="FS132" s="15"/>
      <c r="FT132" s="15"/>
      <c r="FU132" s="15"/>
      <c r="FV132" s="15"/>
      <c r="FW132" s="15"/>
      <c r="FX132" s="15"/>
      <c r="FY132" s="15"/>
      <c r="FZ132" s="15"/>
      <c r="GA132" s="15"/>
      <c r="GB132" s="15"/>
      <c r="GC132" s="15"/>
      <c r="GD132" s="15"/>
      <c r="GE132" s="15"/>
      <c r="GF132" s="15"/>
      <c r="GG132" s="15"/>
      <c r="GH132" s="15"/>
      <c r="GI132" s="15"/>
      <c r="GJ132" s="15"/>
      <c r="GK132" s="15"/>
      <c r="GL132" s="15"/>
      <c r="GM132" s="15"/>
      <c r="GN132" s="15"/>
      <c r="GO132" s="15"/>
      <c r="GP132" s="15"/>
      <c r="GQ132" s="15"/>
      <c r="GR132" s="15"/>
      <c r="GS132" s="15"/>
      <c r="GT132" s="15"/>
      <c r="GU132" s="15"/>
      <c r="GV132" s="15"/>
      <c r="GW132" s="15"/>
      <c r="GX132" s="15"/>
      <c r="GY132" s="15"/>
      <c r="GZ132" s="15"/>
      <c r="HA132" s="15"/>
      <c r="HB132" s="15"/>
      <c r="HC132" s="15"/>
      <c r="HD132" s="15"/>
      <c r="HE132" s="15"/>
      <c r="HF132" s="15"/>
      <c r="HG132" s="15"/>
      <c r="HH132" s="15"/>
      <c r="HI132" s="15"/>
      <c r="HJ132" s="15"/>
      <c r="HK132" s="15"/>
      <c r="HL132" s="15"/>
      <c r="HM132" s="15"/>
      <c r="HN132" s="15"/>
      <c r="HO132" s="15"/>
      <c r="HP132" s="15"/>
      <c r="HQ132" s="15"/>
      <c r="HR132" s="15"/>
      <c r="HS132" s="15"/>
      <c r="HT132" s="15"/>
      <c r="HU132" s="15"/>
      <c r="HV132" s="15"/>
      <c r="HW132" s="15"/>
      <c r="HX132" s="15"/>
      <c r="HY132" s="15"/>
      <c r="HZ132" s="15"/>
      <c r="IA132" s="15"/>
      <c r="IB132" s="15"/>
      <c r="IC132" s="15"/>
      <c r="ID132" s="15"/>
      <c r="IE132" s="15"/>
      <c r="IF132" s="15"/>
      <c r="IG132" s="15"/>
      <c r="IH132" s="15"/>
      <c r="II132" s="15"/>
      <c r="IJ132" s="15"/>
      <c r="IK132" s="15"/>
      <c r="IL132" s="15"/>
      <c r="IM132" s="15"/>
      <c r="IN132" s="15"/>
      <c r="IO132" s="15"/>
      <c r="IP132" s="15"/>
      <c r="IQ132" s="15"/>
      <c r="IR132" s="15"/>
      <c r="IS132" s="15"/>
      <c r="IT132" s="15"/>
      <c r="IU132" s="15"/>
      <c r="IV132" s="15"/>
      <c r="IW132" s="15"/>
      <c r="IX132" s="15"/>
      <c r="IY132" s="15"/>
      <c r="IZ132" s="15"/>
      <c r="JA132" s="15"/>
      <c r="JB132" s="15"/>
      <c r="JC132" s="15"/>
      <c r="JD132" s="15"/>
      <c r="JE132" s="15"/>
      <c r="JF132" s="15"/>
      <c r="JG132" s="15"/>
      <c r="JH132" s="15"/>
      <c r="JI132" s="15"/>
      <c r="JJ132" s="15"/>
      <c r="JK132" s="15"/>
      <c r="JL132" s="15"/>
      <c r="JM132" s="15"/>
      <c r="JN132" s="15"/>
      <c r="JO132" s="15"/>
      <c r="JP132" s="15"/>
      <c r="JQ132" s="15"/>
      <c r="JR132" s="15"/>
      <c r="JS132" s="15"/>
      <c r="JT132" s="15"/>
      <c r="JU132" s="15"/>
      <c r="JV132" s="15"/>
      <c r="JW132" s="15"/>
      <c r="JX132" s="15"/>
      <c r="JY132" s="15"/>
      <c r="JZ132" s="15"/>
      <c r="KA132" s="15"/>
      <c r="KB132" s="15"/>
      <c r="KC132" s="15"/>
      <c r="KD132" s="15"/>
      <c r="KE132" s="15"/>
      <c r="KF132" s="15"/>
      <c r="KG132" s="15"/>
      <c r="KH132" s="15"/>
      <c r="KI132" s="15"/>
      <c r="KJ132" s="15"/>
      <c r="KK132" s="15"/>
      <c r="KL132" s="15"/>
      <c r="KM132" s="15"/>
      <c r="KN132" s="15"/>
      <c r="KO132" s="15"/>
      <c r="KP132" s="15"/>
      <c r="KQ132" s="15"/>
      <c r="KR132" s="15"/>
      <c r="KS132" s="15"/>
      <c r="KT132" s="15"/>
      <c r="KU132" s="15"/>
      <c r="KV132" s="15"/>
      <c r="KW132" s="15"/>
      <c r="KX132" s="15"/>
      <c r="KY132" s="15"/>
      <c r="KZ132" s="15"/>
      <c r="LA132" s="15"/>
      <c r="LB132" s="15"/>
      <c r="LC132" s="15"/>
      <c r="LD132" s="15"/>
      <c r="LE132" s="15"/>
      <c r="LF132" s="15"/>
      <c r="LG132" s="15"/>
      <c r="LH132" s="15"/>
      <c r="LI132" s="15"/>
      <c r="LJ132" s="15"/>
      <c r="LK132" s="15"/>
      <c r="LL132" s="15"/>
      <c r="LM132" s="15"/>
      <c r="LN132" s="15"/>
      <c r="LO132" s="15"/>
      <c r="LP132" s="15"/>
      <c r="LQ132" s="15"/>
      <c r="LR132" s="15"/>
      <c r="LS132" s="15"/>
      <c r="LT132" s="15"/>
      <c r="LU132" s="15"/>
      <c r="LV132" s="15"/>
      <c r="LW132" s="15"/>
      <c r="LX132" s="15"/>
      <c r="LY132" s="15"/>
      <c r="LZ132" s="15"/>
      <c r="MA132" s="15"/>
      <c r="MB132" s="15"/>
      <c r="MC132" s="15"/>
      <c r="MD132" s="15"/>
      <c r="ME132" s="15"/>
      <c r="MF132" s="15"/>
      <c r="MG132" s="15"/>
      <c r="MH132" s="15"/>
      <c r="MI132" s="15"/>
      <c r="MJ132" s="15"/>
      <c r="MK132" s="15"/>
      <c r="ML132" s="15"/>
      <c r="MM132" s="15"/>
      <c r="MN132" s="15"/>
      <c r="MO132" s="15"/>
      <c r="MP132" s="15"/>
      <c r="MQ132" s="15"/>
      <c r="MR132" s="15"/>
      <c r="MS132" s="15"/>
      <c r="MT132" s="15"/>
      <c r="MU132" s="15"/>
      <c r="MV132" s="15"/>
      <c r="MW132" s="15"/>
    </row>
    <row r="133" ht="119.25" customHeight="1">
      <c r="A133" s="13" t="s">
        <v>132</v>
      </c>
      <c r="B133" s="14" t="s">
        <v>10147</v>
      </c>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c r="DF133" s="15"/>
      <c r="DG133" s="15"/>
      <c r="DH133" s="15"/>
      <c r="DI133" s="15"/>
      <c r="DJ133" s="15"/>
      <c r="DK133" s="15"/>
      <c r="DL133" s="15"/>
      <c r="DM133" s="15"/>
      <c r="DN133" s="15"/>
      <c r="DO133" s="15"/>
      <c r="DP133" s="15"/>
      <c r="DQ133" s="15"/>
      <c r="DR133" s="15"/>
      <c r="DS133" s="15"/>
      <c r="DT133" s="15"/>
      <c r="DU133" s="15"/>
      <c r="DV133" s="15"/>
      <c r="DW133" s="15"/>
      <c r="DX133" s="15"/>
      <c r="DY133" s="15"/>
      <c r="DZ133" s="15"/>
      <c r="EA133" s="15"/>
      <c r="EB133" s="15"/>
      <c r="EC133" s="15"/>
      <c r="ED133" s="15"/>
      <c r="EE133" s="15"/>
      <c r="EF133" s="15"/>
      <c r="EG133" s="15"/>
      <c r="EH133" s="15"/>
      <c r="EI133" s="15"/>
      <c r="EJ133" s="15"/>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c r="FG133" s="15"/>
      <c r="FH133" s="15"/>
      <c r="FI133" s="15"/>
      <c r="FJ133" s="15"/>
      <c r="FK133" s="15"/>
      <c r="FL133" s="15"/>
      <c r="FM133" s="15"/>
      <c r="FN133" s="15"/>
      <c r="FO133" s="15"/>
      <c r="FP133" s="15"/>
      <c r="FQ133" s="15"/>
      <c r="FR133" s="15"/>
      <c r="FS133" s="15"/>
      <c r="FT133" s="15"/>
      <c r="FU133" s="15"/>
      <c r="FV133" s="15"/>
      <c r="FW133" s="15"/>
      <c r="FX133" s="15"/>
      <c r="FY133" s="15"/>
      <c r="FZ133" s="15"/>
      <c r="GA133" s="15"/>
      <c r="GB133" s="15"/>
      <c r="GC133" s="15"/>
      <c r="GD133" s="15"/>
      <c r="GE133" s="15"/>
      <c r="GF133" s="15"/>
      <c r="GG133" s="15"/>
      <c r="GH133" s="15"/>
      <c r="GI133" s="15"/>
      <c r="GJ133" s="15"/>
      <c r="GK133" s="15"/>
      <c r="GL133" s="15"/>
      <c r="GM133" s="15"/>
      <c r="GN133" s="15"/>
      <c r="GO133" s="15"/>
      <c r="GP133" s="15"/>
      <c r="GQ133" s="15"/>
      <c r="GR133" s="15"/>
      <c r="GS133" s="15"/>
      <c r="GT133" s="15"/>
      <c r="GU133" s="15"/>
      <c r="GV133" s="15"/>
      <c r="GW133" s="15"/>
      <c r="GX133" s="15"/>
      <c r="GY133" s="15"/>
      <c r="GZ133" s="15"/>
      <c r="HA133" s="15"/>
      <c r="HB133" s="15"/>
      <c r="HC133" s="15"/>
      <c r="HD133" s="15"/>
      <c r="HE133" s="15"/>
      <c r="HF133" s="15"/>
      <c r="HG133" s="15"/>
      <c r="HH133" s="15"/>
      <c r="HI133" s="15"/>
      <c r="HJ133" s="15"/>
      <c r="HK133" s="15"/>
      <c r="HL133" s="15"/>
      <c r="HM133" s="15"/>
      <c r="HN133" s="15"/>
      <c r="HO133" s="15"/>
      <c r="HP133" s="15"/>
      <c r="HQ133" s="15"/>
      <c r="HR133" s="15"/>
      <c r="HS133" s="15"/>
      <c r="HT133" s="15"/>
      <c r="HU133" s="15"/>
      <c r="HV133" s="15"/>
      <c r="HW133" s="15"/>
      <c r="HX133" s="15"/>
      <c r="HY133" s="15"/>
      <c r="HZ133" s="15"/>
      <c r="IA133" s="15"/>
      <c r="IB133" s="15"/>
      <c r="IC133" s="15"/>
      <c r="ID133" s="15"/>
      <c r="IE133" s="15"/>
      <c r="IF133" s="15"/>
      <c r="IG133" s="15"/>
      <c r="IH133" s="15"/>
      <c r="II133" s="15"/>
      <c r="IJ133" s="15"/>
      <c r="IK133" s="15"/>
      <c r="IL133" s="15"/>
      <c r="IM133" s="15"/>
      <c r="IN133" s="15"/>
      <c r="IO133" s="15"/>
      <c r="IP133" s="15"/>
      <c r="IQ133" s="15"/>
      <c r="IR133" s="15"/>
      <c r="IS133" s="15"/>
      <c r="IT133" s="15"/>
      <c r="IU133" s="15"/>
      <c r="IV133" s="15"/>
      <c r="IW133" s="15"/>
      <c r="IX133" s="15"/>
      <c r="IY133" s="15"/>
      <c r="IZ133" s="15"/>
      <c r="JA133" s="15"/>
      <c r="JB133" s="15"/>
      <c r="JC133" s="15"/>
      <c r="JD133" s="15"/>
      <c r="JE133" s="15"/>
      <c r="JF133" s="15"/>
      <c r="JG133" s="15"/>
      <c r="JH133" s="15"/>
      <c r="JI133" s="15"/>
      <c r="JJ133" s="15"/>
      <c r="JK133" s="15"/>
      <c r="JL133" s="15"/>
      <c r="JM133" s="15"/>
      <c r="JN133" s="15"/>
      <c r="JO133" s="15"/>
      <c r="JP133" s="15"/>
      <c r="JQ133" s="15"/>
      <c r="JR133" s="15"/>
      <c r="JS133" s="15"/>
      <c r="JT133" s="15"/>
      <c r="JU133" s="15"/>
      <c r="JV133" s="15"/>
      <c r="JW133" s="15"/>
      <c r="JX133" s="15"/>
      <c r="JY133" s="15"/>
      <c r="JZ133" s="15"/>
      <c r="KA133" s="15"/>
      <c r="KB133" s="15"/>
      <c r="KC133" s="15"/>
      <c r="KD133" s="15"/>
      <c r="KE133" s="15"/>
      <c r="KF133" s="15"/>
      <c r="KG133" s="15"/>
      <c r="KH133" s="15"/>
      <c r="KI133" s="15"/>
      <c r="KJ133" s="15"/>
      <c r="KK133" s="15"/>
      <c r="KL133" s="15"/>
      <c r="KM133" s="15"/>
      <c r="KN133" s="15"/>
      <c r="KO133" s="15"/>
      <c r="KP133" s="15"/>
      <c r="KQ133" s="15"/>
      <c r="KR133" s="15"/>
      <c r="KS133" s="15"/>
      <c r="KT133" s="15"/>
      <c r="KU133" s="15"/>
      <c r="KV133" s="15"/>
      <c r="KW133" s="15"/>
      <c r="KX133" s="15"/>
      <c r="KY133" s="15"/>
      <c r="KZ133" s="15"/>
      <c r="LA133" s="15"/>
      <c r="LB133" s="15"/>
      <c r="LC133" s="15"/>
      <c r="LD133" s="15"/>
      <c r="LE133" s="15"/>
      <c r="LF133" s="15"/>
      <c r="LG133" s="15"/>
      <c r="LH133" s="15"/>
      <c r="LI133" s="15"/>
      <c r="LJ133" s="15"/>
      <c r="LK133" s="15"/>
      <c r="LL133" s="15"/>
      <c r="LM133" s="15"/>
      <c r="LN133" s="15"/>
      <c r="LO133" s="15"/>
      <c r="LP133" s="15"/>
      <c r="LQ133" s="15"/>
      <c r="LR133" s="15"/>
      <c r="LS133" s="15"/>
      <c r="LT133" s="15"/>
      <c r="LU133" s="15"/>
      <c r="LV133" s="15"/>
      <c r="LW133" s="15"/>
      <c r="LX133" s="15"/>
      <c r="LY133" s="15"/>
      <c r="LZ133" s="15"/>
      <c r="MA133" s="15"/>
      <c r="MB133" s="15"/>
      <c r="MC133" s="15"/>
      <c r="MD133" s="15"/>
      <c r="ME133" s="15"/>
      <c r="MF133" s="15"/>
      <c r="MG133" s="15"/>
      <c r="MH133" s="15"/>
      <c r="MI133" s="15"/>
      <c r="MJ133" s="15"/>
      <c r="MK133" s="15"/>
      <c r="ML133" s="15"/>
      <c r="MM133" s="15"/>
      <c r="MN133" s="15"/>
      <c r="MO133" s="15"/>
      <c r="MP133" s="15"/>
      <c r="MQ133" s="15"/>
      <c r="MR133" s="15"/>
      <c r="MS133" s="15"/>
      <c r="MT133" s="15"/>
      <c r="MU133" s="15"/>
      <c r="MV133" s="15"/>
      <c r="MW133" s="15"/>
    </row>
    <row r="134" ht="41.25" customHeight="1">
      <c r="A134" s="13" t="s">
        <v>133</v>
      </c>
      <c r="B134" s="14" t="s">
        <v>10148</v>
      </c>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15"/>
      <c r="EA134" s="15"/>
      <c r="EB134" s="15"/>
      <c r="EC134" s="15"/>
      <c r="ED134" s="15"/>
      <c r="EE134" s="15"/>
      <c r="EF134" s="15"/>
      <c r="EG134" s="15"/>
      <c r="EH134" s="15"/>
      <c r="EI134" s="15"/>
      <c r="EJ134" s="15"/>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c r="FG134" s="15"/>
      <c r="FH134" s="15"/>
      <c r="FI134" s="15"/>
      <c r="FJ134" s="15"/>
      <c r="FK134" s="15"/>
      <c r="FL134" s="15"/>
      <c r="FM134" s="15"/>
      <c r="FN134" s="15"/>
      <c r="FO134" s="15"/>
      <c r="FP134" s="15"/>
      <c r="FQ134" s="15"/>
      <c r="FR134" s="15"/>
      <c r="FS134" s="15"/>
      <c r="FT134" s="15"/>
      <c r="FU134" s="15"/>
      <c r="FV134" s="15"/>
      <c r="FW134" s="15"/>
      <c r="FX134" s="15"/>
      <c r="FY134" s="15"/>
      <c r="FZ134" s="15"/>
      <c r="GA134" s="15"/>
      <c r="GB134" s="15"/>
      <c r="GC134" s="15"/>
      <c r="GD134" s="15"/>
      <c r="GE134" s="15"/>
      <c r="GF134" s="15"/>
      <c r="GG134" s="15"/>
      <c r="GH134" s="15"/>
      <c r="GI134" s="15"/>
      <c r="GJ134" s="15"/>
      <c r="GK134" s="15"/>
      <c r="GL134" s="15"/>
      <c r="GM134" s="15"/>
      <c r="GN134" s="15"/>
      <c r="GO134" s="15"/>
      <c r="GP134" s="15"/>
      <c r="GQ134" s="15"/>
      <c r="GR134" s="15"/>
      <c r="GS134" s="15"/>
      <c r="GT134" s="15"/>
      <c r="GU134" s="15"/>
      <c r="GV134" s="15"/>
      <c r="GW134" s="15"/>
      <c r="GX134" s="15"/>
      <c r="GY134" s="15"/>
      <c r="GZ134" s="15"/>
      <c r="HA134" s="15"/>
      <c r="HB134" s="15"/>
      <c r="HC134" s="15"/>
      <c r="HD134" s="15"/>
      <c r="HE134" s="15"/>
      <c r="HF134" s="15"/>
      <c r="HG134" s="15"/>
      <c r="HH134" s="15"/>
      <c r="HI134" s="15"/>
      <c r="HJ134" s="15"/>
      <c r="HK134" s="15"/>
      <c r="HL134" s="15"/>
      <c r="HM134" s="15"/>
      <c r="HN134" s="15"/>
      <c r="HO134" s="15"/>
      <c r="HP134" s="15"/>
      <c r="HQ134" s="15"/>
      <c r="HR134" s="15"/>
      <c r="HS134" s="15"/>
      <c r="HT134" s="15"/>
      <c r="HU134" s="15"/>
      <c r="HV134" s="15"/>
      <c r="HW134" s="15"/>
      <c r="HX134" s="15"/>
      <c r="HY134" s="15"/>
      <c r="HZ134" s="15"/>
      <c r="IA134" s="15"/>
      <c r="IB134" s="15"/>
      <c r="IC134" s="15"/>
      <c r="ID134" s="15"/>
      <c r="IE134" s="15"/>
      <c r="IF134" s="15"/>
      <c r="IG134" s="15"/>
      <c r="IH134" s="15"/>
      <c r="II134" s="15"/>
      <c r="IJ134" s="15"/>
      <c r="IK134" s="15"/>
      <c r="IL134" s="15"/>
      <c r="IM134" s="15"/>
      <c r="IN134" s="15"/>
      <c r="IO134" s="15"/>
      <c r="IP134" s="15"/>
      <c r="IQ134" s="15"/>
      <c r="IR134" s="15"/>
      <c r="IS134" s="15"/>
      <c r="IT134" s="15"/>
      <c r="IU134" s="15"/>
      <c r="IV134" s="15"/>
      <c r="IW134" s="15"/>
      <c r="IX134" s="15"/>
      <c r="IY134" s="15"/>
      <c r="IZ134" s="15"/>
      <c r="JA134" s="15"/>
      <c r="JB134" s="15"/>
      <c r="JC134" s="15"/>
      <c r="JD134" s="15"/>
      <c r="JE134" s="15"/>
      <c r="JF134" s="15"/>
      <c r="JG134" s="15"/>
      <c r="JH134" s="15"/>
      <c r="JI134" s="15"/>
      <c r="JJ134" s="15"/>
      <c r="JK134" s="15"/>
      <c r="JL134" s="15"/>
      <c r="JM134" s="15"/>
      <c r="JN134" s="15"/>
      <c r="JO134" s="15"/>
      <c r="JP134" s="15"/>
      <c r="JQ134" s="15"/>
      <c r="JR134" s="15"/>
      <c r="JS134" s="15"/>
      <c r="JT134" s="15"/>
      <c r="JU134" s="15"/>
      <c r="JV134" s="15"/>
      <c r="JW134" s="15"/>
      <c r="JX134" s="15"/>
      <c r="JY134" s="15"/>
      <c r="JZ134" s="15"/>
      <c r="KA134" s="15"/>
      <c r="KB134" s="15"/>
      <c r="KC134" s="15"/>
      <c r="KD134" s="15"/>
      <c r="KE134" s="15"/>
      <c r="KF134" s="15"/>
      <c r="KG134" s="15"/>
      <c r="KH134" s="15"/>
      <c r="KI134" s="15"/>
      <c r="KJ134" s="15"/>
      <c r="KK134" s="15"/>
      <c r="KL134" s="15"/>
      <c r="KM134" s="15"/>
      <c r="KN134" s="15"/>
      <c r="KO134" s="15"/>
      <c r="KP134" s="15"/>
      <c r="KQ134" s="15"/>
      <c r="KR134" s="15"/>
      <c r="KS134" s="15"/>
      <c r="KT134" s="15"/>
      <c r="KU134" s="15"/>
      <c r="KV134" s="15"/>
      <c r="KW134" s="15"/>
      <c r="KX134" s="15"/>
      <c r="KY134" s="15"/>
      <c r="KZ134" s="15"/>
      <c r="LA134" s="15"/>
      <c r="LB134" s="15"/>
      <c r="LC134" s="15"/>
      <c r="LD134" s="15"/>
      <c r="LE134" s="15"/>
      <c r="LF134" s="15"/>
      <c r="LG134" s="15"/>
      <c r="LH134" s="15"/>
      <c r="LI134" s="15"/>
      <c r="LJ134" s="15"/>
      <c r="LK134" s="15"/>
      <c r="LL134" s="15"/>
      <c r="LM134" s="15"/>
      <c r="LN134" s="15"/>
      <c r="LO134" s="15"/>
      <c r="LP134" s="15"/>
      <c r="LQ134" s="15"/>
      <c r="LR134" s="15"/>
      <c r="LS134" s="15"/>
      <c r="LT134" s="15"/>
      <c r="LU134" s="15"/>
      <c r="LV134" s="15"/>
      <c r="LW134" s="15"/>
      <c r="LX134" s="15"/>
      <c r="LY134" s="15"/>
      <c r="LZ134" s="15"/>
      <c r="MA134" s="15"/>
      <c r="MB134" s="15"/>
      <c r="MC134" s="15"/>
      <c r="MD134" s="15"/>
      <c r="ME134" s="15"/>
      <c r="MF134" s="15"/>
      <c r="MG134" s="15"/>
      <c r="MH134" s="15"/>
      <c r="MI134" s="15"/>
      <c r="MJ134" s="15"/>
      <c r="MK134" s="15"/>
      <c r="ML134" s="15"/>
      <c r="MM134" s="15"/>
      <c r="MN134" s="15"/>
      <c r="MO134" s="15"/>
      <c r="MP134" s="15"/>
      <c r="MQ134" s="15"/>
      <c r="MR134" s="15"/>
      <c r="MS134" s="15"/>
      <c r="MT134" s="15"/>
      <c r="MU134" s="15"/>
      <c r="MV134" s="15"/>
      <c r="MW134" s="15"/>
    </row>
    <row r="135" ht="119.25" customHeight="1">
      <c r="A135" s="13" t="s">
        <v>134</v>
      </c>
      <c r="B135" s="14" t="s">
        <v>10149</v>
      </c>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15"/>
      <c r="FG135" s="15"/>
      <c r="FH135" s="15"/>
      <c r="FI135" s="15"/>
      <c r="FJ135" s="15"/>
      <c r="FK135" s="15"/>
      <c r="FL135" s="15"/>
      <c r="FM135" s="15"/>
      <c r="FN135" s="15"/>
      <c r="FO135" s="15"/>
      <c r="FP135" s="15"/>
      <c r="FQ135" s="15"/>
      <c r="FR135" s="15"/>
      <c r="FS135" s="15"/>
      <c r="FT135" s="15"/>
      <c r="FU135" s="15"/>
      <c r="FV135" s="15"/>
      <c r="FW135" s="15"/>
      <c r="FX135" s="15"/>
      <c r="FY135" s="15"/>
      <c r="FZ135" s="15"/>
      <c r="GA135" s="15"/>
      <c r="GB135" s="15"/>
      <c r="GC135" s="15"/>
      <c r="GD135" s="15"/>
      <c r="GE135" s="15"/>
      <c r="GF135" s="15"/>
      <c r="GG135" s="15"/>
      <c r="GH135" s="15"/>
      <c r="GI135" s="15"/>
      <c r="GJ135" s="15"/>
      <c r="GK135" s="15"/>
      <c r="GL135" s="15"/>
      <c r="GM135" s="15"/>
      <c r="GN135" s="15"/>
      <c r="GO135" s="15"/>
      <c r="GP135" s="15"/>
      <c r="GQ135" s="15"/>
      <c r="GR135" s="15"/>
      <c r="GS135" s="15"/>
      <c r="GT135" s="15"/>
      <c r="GU135" s="15"/>
      <c r="GV135" s="15"/>
      <c r="GW135" s="15"/>
      <c r="GX135" s="15"/>
      <c r="GY135" s="15"/>
      <c r="GZ135" s="15"/>
      <c r="HA135" s="15"/>
      <c r="HB135" s="15"/>
      <c r="HC135" s="15"/>
      <c r="HD135" s="15"/>
      <c r="HE135" s="15"/>
      <c r="HF135" s="15"/>
      <c r="HG135" s="15"/>
      <c r="HH135" s="15"/>
      <c r="HI135" s="15"/>
      <c r="HJ135" s="15"/>
      <c r="HK135" s="15"/>
      <c r="HL135" s="15"/>
      <c r="HM135" s="15"/>
      <c r="HN135" s="15"/>
      <c r="HO135" s="15"/>
      <c r="HP135" s="15"/>
      <c r="HQ135" s="15"/>
      <c r="HR135" s="15"/>
      <c r="HS135" s="15"/>
      <c r="HT135" s="15"/>
      <c r="HU135" s="15"/>
      <c r="HV135" s="15"/>
      <c r="HW135" s="15"/>
      <c r="HX135" s="15"/>
      <c r="HY135" s="15"/>
      <c r="HZ135" s="15"/>
      <c r="IA135" s="15"/>
      <c r="IB135" s="15"/>
      <c r="IC135" s="15"/>
      <c r="ID135" s="15"/>
      <c r="IE135" s="15"/>
      <c r="IF135" s="15"/>
      <c r="IG135" s="15"/>
      <c r="IH135" s="15"/>
      <c r="II135" s="15"/>
      <c r="IJ135" s="15"/>
      <c r="IK135" s="15"/>
      <c r="IL135" s="15"/>
      <c r="IM135" s="15"/>
      <c r="IN135" s="15"/>
      <c r="IO135" s="15"/>
      <c r="IP135" s="15"/>
      <c r="IQ135" s="15"/>
      <c r="IR135" s="15"/>
      <c r="IS135" s="15"/>
      <c r="IT135" s="15"/>
      <c r="IU135" s="15"/>
      <c r="IV135" s="15"/>
      <c r="IW135" s="15"/>
      <c r="IX135" s="15"/>
      <c r="IY135" s="15"/>
      <c r="IZ135" s="15"/>
      <c r="JA135" s="15"/>
      <c r="JB135" s="15"/>
      <c r="JC135" s="15"/>
      <c r="JD135" s="15"/>
      <c r="JE135" s="15"/>
      <c r="JF135" s="15"/>
      <c r="JG135" s="15"/>
      <c r="JH135" s="15"/>
      <c r="JI135" s="15"/>
      <c r="JJ135" s="15"/>
      <c r="JK135" s="15"/>
      <c r="JL135" s="15"/>
      <c r="JM135" s="15"/>
      <c r="JN135" s="15"/>
      <c r="JO135" s="15"/>
      <c r="JP135" s="15"/>
      <c r="JQ135" s="15"/>
      <c r="JR135" s="15"/>
      <c r="JS135" s="15"/>
      <c r="JT135" s="15"/>
      <c r="JU135" s="15"/>
      <c r="JV135" s="15"/>
      <c r="JW135" s="15"/>
      <c r="JX135" s="15"/>
      <c r="JY135" s="15"/>
      <c r="JZ135" s="15"/>
      <c r="KA135" s="15"/>
      <c r="KB135" s="15"/>
      <c r="KC135" s="15"/>
      <c r="KD135" s="15"/>
      <c r="KE135" s="15"/>
      <c r="KF135" s="15"/>
      <c r="KG135" s="15"/>
      <c r="KH135" s="15"/>
      <c r="KI135" s="15"/>
      <c r="KJ135" s="15"/>
      <c r="KK135" s="15"/>
      <c r="KL135" s="15"/>
      <c r="KM135" s="15"/>
      <c r="KN135" s="15"/>
      <c r="KO135" s="15"/>
      <c r="KP135" s="15"/>
      <c r="KQ135" s="15"/>
      <c r="KR135" s="15"/>
      <c r="KS135" s="15"/>
      <c r="KT135" s="15"/>
      <c r="KU135" s="15"/>
      <c r="KV135" s="15"/>
      <c r="KW135" s="15"/>
      <c r="KX135" s="15"/>
      <c r="KY135" s="15"/>
      <c r="KZ135" s="15"/>
      <c r="LA135" s="15"/>
      <c r="LB135" s="15"/>
      <c r="LC135" s="15"/>
      <c r="LD135" s="15"/>
      <c r="LE135" s="15"/>
      <c r="LF135" s="15"/>
      <c r="LG135" s="15"/>
      <c r="LH135" s="15"/>
      <c r="LI135" s="15"/>
      <c r="LJ135" s="15"/>
      <c r="LK135" s="15"/>
      <c r="LL135" s="15"/>
      <c r="LM135" s="15"/>
      <c r="LN135" s="15"/>
      <c r="LO135" s="15"/>
      <c r="LP135" s="15"/>
      <c r="LQ135" s="15"/>
      <c r="LR135" s="15"/>
      <c r="LS135" s="15"/>
      <c r="LT135" s="15"/>
      <c r="LU135" s="15"/>
      <c r="LV135" s="15"/>
      <c r="LW135" s="15"/>
      <c r="LX135" s="15"/>
      <c r="LY135" s="15"/>
      <c r="LZ135" s="15"/>
      <c r="MA135" s="15"/>
      <c r="MB135" s="15"/>
      <c r="MC135" s="15"/>
      <c r="MD135" s="15"/>
      <c r="ME135" s="15"/>
      <c r="MF135" s="15"/>
      <c r="MG135" s="15"/>
      <c r="MH135" s="15"/>
      <c r="MI135" s="15"/>
      <c r="MJ135" s="15"/>
      <c r="MK135" s="15"/>
      <c r="ML135" s="15"/>
      <c r="MM135" s="15"/>
      <c r="MN135" s="15"/>
      <c r="MO135" s="15"/>
      <c r="MP135" s="15"/>
      <c r="MQ135" s="15"/>
      <c r="MR135" s="15"/>
      <c r="MS135" s="15"/>
      <c r="MT135" s="15"/>
      <c r="MU135" s="15"/>
      <c r="MV135" s="15"/>
      <c r="MW135" s="15"/>
    </row>
    <row r="136" ht="41.25" customHeight="1">
      <c r="A136" s="13" t="s">
        <v>135</v>
      </c>
      <c r="B136" s="14" t="s">
        <v>10150</v>
      </c>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c r="DF136" s="15"/>
      <c r="DG136" s="15"/>
      <c r="DH136" s="15"/>
      <c r="DI136" s="15"/>
      <c r="DJ136" s="15"/>
      <c r="DK136" s="15"/>
      <c r="DL136" s="15"/>
      <c r="DM136" s="15"/>
      <c r="DN136" s="15"/>
      <c r="DO136" s="15"/>
      <c r="DP136" s="15"/>
      <c r="DQ136" s="15"/>
      <c r="DR136" s="15"/>
      <c r="DS136" s="15"/>
      <c r="DT136" s="15"/>
      <c r="DU136" s="15"/>
      <c r="DV136" s="15"/>
      <c r="DW136" s="15"/>
      <c r="DX136" s="15"/>
      <c r="DY136" s="15"/>
      <c r="DZ136" s="15"/>
      <c r="EA136" s="15"/>
      <c r="EB136" s="15"/>
      <c r="EC136" s="15"/>
      <c r="ED136" s="15"/>
      <c r="EE136" s="15"/>
      <c r="EF136" s="15"/>
      <c r="EG136" s="15"/>
      <c r="EH136" s="15"/>
      <c r="EI136" s="15"/>
      <c r="EJ136" s="15"/>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c r="FG136" s="15"/>
      <c r="FH136" s="15"/>
      <c r="FI136" s="15"/>
      <c r="FJ136" s="15"/>
      <c r="FK136" s="15"/>
      <c r="FL136" s="15"/>
      <c r="FM136" s="15"/>
      <c r="FN136" s="15"/>
      <c r="FO136" s="15"/>
      <c r="FP136" s="15"/>
      <c r="FQ136" s="15"/>
      <c r="FR136" s="15"/>
      <c r="FS136" s="15"/>
      <c r="FT136" s="15"/>
      <c r="FU136" s="15"/>
      <c r="FV136" s="15"/>
      <c r="FW136" s="15"/>
      <c r="FX136" s="15"/>
      <c r="FY136" s="15"/>
      <c r="FZ136" s="15"/>
      <c r="GA136" s="15"/>
      <c r="GB136" s="15"/>
      <c r="GC136" s="15"/>
      <c r="GD136" s="15"/>
      <c r="GE136" s="15"/>
      <c r="GF136" s="15"/>
      <c r="GG136" s="15"/>
      <c r="GH136" s="15"/>
      <c r="GI136" s="15"/>
      <c r="GJ136" s="15"/>
      <c r="GK136" s="15"/>
      <c r="GL136" s="15"/>
      <c r="GM136" s="15"/>
      <c r="GN136" s="15"/>
      <c r="GO136" s="15"/>
      <c r="GP136" s="15"/>
      <c r="GQ136" s="15"/>
      <c r="GR136" s="15"/>
      <c r="GS136" s="15"/>
      <c r="GT136" s="15"/>
      <c r="GU136" s="15"/>
      <c r="GV136" s="15"/>
      <c r="GW136" s="15"/>
      <c r="GX136" s="15"/>
      <c r="GY136" s="15"/>
      <c r="GZ136" s="15"/>
      <c r="HA136" s="15"/>
      <c r="HB136" s="15"/>
      <c r="HC136" s="15"/>
      <c r="HD136" s="15"/>
      <c r="HE136" s="15"/>
      <c r="HF136" s="15"/>
      <c r="HG136" s="15"/>
      <c r="HH136" s="15"/>
      <c r="HI136" s="15"/>
      <c r="HJ136" s="15"/>
      <c r="HK136" s="15"/>
      <c r="HL136" s="15"/>
      <c r="HM136" s="15"/>
      <c r="HN136" s="15"/>
      <c r="HO136" s="15"/>
      <c r="HP136" s="15"/>
      <c r="HQ136" s="15"/>
      <c r="HR136" s="15"/>
      <c r="HS136" s="15"/>
      <c r="HT136" s="15"/>
      <c r="HU136" s="15"/>
      <c r="HV136" s="15"/>
      <c r="HW136" s="15"/>
      <c r="HX136" s="15"/>
      <c r="HY136" s="15"/>
      <c r="HZ136" s="15"/>
      <c r="IA136" s="15"/>
      <c r="IB136" s="15"/>
      <c r="IC136" s="15"/>
      <c r="ID136" s="15"/>
      <c r="IE136" s="15"/>
      <c r="IF136" s="15"/>
      <c r="IG136" s="15"/>
      <c r="IH136" s="15"/>
      <c r="II136" s="15"/>
      <c r="IJ136" s="15"/>
      <c r="IK136" s="15"/>
      <c r="IL136" s="15"/>
      <c r="IM136" s="15"/>
      <c r="IN136" s="15"/>
      <c r="IO136" s="15"/>
      <c r="IP136" s="15"/>
      <c r="IQ136" s="15"/>
      <c r="IR136" s="15"/>
      <c r="IS136" s="15"/>
      <c r="IT136" s="15"/>
      <c r="IU136" s="15"/>
      <c r="IV136" s="15"/>
      <c r="IW136" s="15"/>
      <c r="IX136" s="15"/>
      <c r="IY136" s="15"/>
      <c r="IZ136" s="15"/>
      <c r="JA136" s="15"/>
      <c r="JB136" s="15"/>
      <c r="JC136" s="15"/>
      <c r="JD136" s="15"/>
      <c r="JE136" s="15"/>
      <c r="JF136" s="15"/>
      <c r="JG136" s="15"/>
      <c r="JH136" s="15"/>
      <c r="JI136" s="15"/>
      <c r="JJ136" s="15"/>
      <c r="JK136" s="15"/>
      <c r="JL136" s="15"/>
      <c r="JM136" s="15"/>
      <c r="JN136" s="15"/>
      <c r="JO136" s="15"/>
      <c r="JP136" s="15"/>
      <c r="JQ136" s="15"/>
      <c r="JR136" s="15"/>
      <c r="JS136" s="15"/>
      <c r="JT136" s="15"/>
      <c r="JU136" s="15"/>
      <c r="JV136" s="15"/>
      <c r="JW136" s="15"/>
      <c r="JX136" s="15"/>
      <c r="JY136" s="15"/>
      <c r="JZ136" s="15"/>
      <c r="KA136" s="15"/>
      <c r="KB136" s="15"/>
      <c r="KC136" s="15"/>
      <c r="KD136" s="15"/>
      <c r="KE136" s="15"/>
      <c r="KF136" s="15"/>
      <c r="KG136" s="15"/>
      <c r="KH136" s="15"/>
      <c r="KI136" s="15"/>
      <c r="KJ136" s="15"/>
      <c r="KK136" s="15"/>
      <c r="KL136" s="15"/>
      <c r="KM136" s="15"/>
      <c r="KN136" s="15"/>
      <c r="KO136" s="15"/>
      <c r="KP136" s="15"/>
      <c r="KQ136" s="15"/>
      <c r="KR136" s="15"/>
      <c r="KS136" s="15"/>
      <c r="KT136" s="15"/>
      <c r="KU136" s="15"/>
      <c r="KV136" s="15"/>
      <c r="KW136" s="15"/>
      <c r="KX136" s="15"/>
      <c r="KY136" s="15"/>
      <c r="KZ136" s="15"/>
      <c r="LA136" s="15"/>
      <c r="LB136" s="15"/>
      <c r="LC136" s="15"/>
      <c r="LD136" s="15"/>
      <c r="LE136" s="15"/>
      <c r="LF136" s="15"/>
      <c r="LG136" s="15"/>
      <c r="LH136" s="15"/>
      <c r="LI136" s="15"/>
      <c r="LJ136" s="15"/>
      <c r="LK136" s="15"/>
      <c r="LL136" s="15"/>
      <c r="LM136" s="15"/>
      <c r="LN136" s="15"/>
      <c r="LO136" s="15"/>
      <c r="LP136" s="15"/>
      <c r="LQ136" s="15"/>
      <c r="LR136" s="15"/>
      <c r="LS136" s="15"/>
      <c r="LT136" s="15"/>
      <c r="LU136" s="15"/>
      <c r="LV136" s="15"/>
      <c r="LW136" s="15"/>
      <c r="LX136" s="15"/>
      <c r="LY136" s="15"/>
      <c r="LZ136" s="15"/>
      <c r="MA136" s="15"/>
      <c r="MB136" s="15"/>
      <c r="MC136" s="15"/>
      <c r="MD136" s="15"/>
      <c r="ME136" s="15"/>
      <c r="MF136" s="15"/>
      <c r="MG136" s="15"/>
      <c r="MH136" s="15"/>
      <c r="MI136" s="15"/>
      <c r="MJ136" s="15"/>
      <c r="MK136" s="15"/>
      <c r="ML136" s="15"/>
      <c r="MM136" s="15"/>
      <c r="MN136" s="15"/>
      <c r="MO136" s="15"/>
      <c r="MP136" s="15"/>
      <c r="MQ136" s="15"/>
      <c r="MR136" s="15"/>
      <c r="MS136" s="15"/>
      <c r="MT136" s="15"/>
      <c r="MU136" s="15"/>
      <c r="MV136" s="15"/>
      <c r="MW136" s="15"/>
    </row>
    <row r="137" ht="119.25" customHeight="1">
      <c r="A137" s="13" t="s">
        <v>136</v>
      </c>
      <c r="B137" s="14" t="s">
        <v>10151</v>
      </c>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c r="DF137" s="15"/>
      <c r="DG137" s="15"/>
      <c r="DH137" s="15"/>
      <c r="DI137" s="15"/>
      <c r="DJ137" s="15"/>
      <c r="DK137" s="15"/>
      <c r="DL137" s="15"/>
      <c r="DM137" s="15"/>
      <c r="DN137" s="15"/>
      <c r="DO137" s="15"/>
      <c r="DP137" s="15"/>
      <c r="DQ137" s="15"/>
      <c r="DR137" s="15"/>
      <c r="DS137" s="15"/>
      <c r="DT137" s="15"/>
      <c r="DU137" s="15"/>
      <c r="DV137" s="15"/>
      <c r="DW137" s="15"/>
      <c r="DX137" s="15"/>
      <c r="DY137" s="15"/>
      <c r="DZ137" s="15"/>
      <c r="EA137" s="15"/>
      <c r="EB137" s="15"/>
      <c r="EC137" s="15"/>
      <c r="ED137" s="15"/>
      <c r="EE137" s="15"/>
      <c r="EF137" s="15"/>
      <c r="EG137" s="15"/>
      <c r="EH137" s="15"/>
      <c r="EI137" s="15"/>
      <c r="EJ137" s="15"/>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c r="FG137" s="15"/>
      <c r="FH137" s="15"/>
      <c r="FI137" s="15"/>
      <c r="FJ137" s="15"/>
      <c r="FK137" s="15"/>
      <c r="FL137" s="15"/>
      <c r="FM137" s="15"/>
      <c r="FN137" s="15"/>
      <c r="FO137" s="15"/>
      <c r="FP137" s="15"/>
      <c r="FQ137" s="15"/>
      <c r="FR137" s="15"/>
      <c r="FS137" s="15"/>
      <c r="FT137" s="15"/>
      <c r="FU137" s="15"/>
      <c r="FV137" s="15"/>
      <c r="FW137" s="15"/>
      <c r="FX137" s="15"/>
      <c r="FY137" s="15"/>
      <c r="FZ137" s="15"/>
      <c r="GA137" s="15"/>
      <c r="GB137" s="15"/>
      <c r="GC137" s="15"/>
      <c r="GD137" s="15"/>
      <c r="GE137" s="15"/>
      <c r="GF137" s="15"/>
      <c r="GG137" s="15"/>
      <c r="GH137" s="15"/>
      <c r="GI137" s="15"/>
      <c r="GJ137" s="15"/>
      <c r="GK137" s="15"/>
      <c r="GL137" s="15"/>
      <c r="GM137" s="15"/>
      <c r="GN137" s="15"/>
      <c r="GO137" s="15"/>
      <c r="GP137" s="15"/>
      <c r="GQ137" s="15"/>
      <c r="GR137" s="15"/>
      <c r="GS137" s="15"/>
      <c r="GT137" s="15"/>
      <c r="GU137" s="15"/>
      <c r="GV137" s="15"/>
      <c r="GW137" s="15"/>
      <c r="GX137" s="15"/>
      <c r="GY137" s="15"/>
      <c r="GZ137" s="15"/>
      <c r="HA137" s="15"/>
      <c r="HB137" s="15"/>
      <c r="HC137" s="15"/>
      <c r="HD137" s="15"/>
      <c r="HE137" s="15"/>
      <c r="HF137" s="15"/>
      <c r="HG137" s="15"/>
      <c r="HH137" s="15"/>
      <c r="HI137" s="15"/>
      <c r="HJ137" s="15"/>
      <c r="HK137" s="15"/>
      <c r="HL137" s="15"/>
      <c r="HM137" s="15"/>
      <c r="HN137" s="15"/>
      <c r="HO137" s="15"/>
      <c r="HP137" s="15"/>
      <c r="HQ137" s="15"/>
      <c r="HR137" s="15"/>
      <c r="HS137" s="15"/>
      <c r="HT137" s="15"/>
      <c r="HU137" s="15"/>
      <c r="HV137" s="15"/>
      <c r="HW137" s="15"/>
      <c r="HX137" s="15"/>
      <c r="HY137" s="15"/>
      <c r="HZ137" s="15"/>
      <c r="IA137" s="15"/>
      <c r="IB137" s="15"/>
      <c r="IC137" s="15"/>
      <c r="ID137" s="15"/>
      <c r="IE137" s="15"/>
      <c r="IF137" s="15"/>
      <c r="IG137" s="15"/>
      <c r="IH137" s="15"/>
      <c r="II137" s="15"/>
      <c r="IJ137" s="15"/>
      <c r="IK137" s="15"/>
      <c r="IL137" s="15"/>
      <c r="IM137" s="15"/>
      <c r="IN137" s="15"/>
      <c r="IO137" s="15"/>
      <c r="IP137" s="15"/>
      <c r="IQ137" s="15"/>
      <c r="IR137" s="15"/>
      <c r="IS137" s="15"/>
      <c r="IT137" s="15"/>
      <c r="IU137" s="15"/>
      <c r="IV137" s="15"/>
      <c r="IW137" s="15"/>
      <c r="IX137" s="15"/>
      <c r="IY137" s="15"/>
      <c r="IZ137" s="15"/>
      <c r="JA137" s="15"/>
      <c r="JB137" s="15"/>
      <c r="JC137" s="15"/>
      <c r="JD137" s="15"/>
      <c r="JE137" s="15"/>
      <c r="JF137" s="15"/>
      <c r="JG137" s="15"/>
      <c r="JH137" s="15"/>
      <c r="JI137" s="15"/>
      <c r="JJ137" s="15"/>
      <c r="JK137" s="15"/>
      <c r="JL137" s="15"/>
      <c r="JM137" s="15"/>
      <c r="JN137" s="15"/>
      <c r="JO137" s="15"/>
      <c r="JP137" s="15"/>
      <c r="JQ137" s="15"/>
      <c r="JR137" s="15"/>
      <c r="JS137" s="15"/>
      <c r="JT137" s="15"/>
      <c r="JU137" s="15"/>
      <c r="JV137" s="15"/>
      <c r="JW137" s="15"/>
      <c r="JX137" s="15"/>
      <c r="JY137" s="15"/>
      <c r="JZ137" s="15"/>
      <c r="KA137" s="15"/>
      <c r="KB137" s="15"/>
      <c r="KC137" s="15"/>
      <c r="KD137" s="15"/>
      <c r="KE137" s="15"/>
      <c r="KF137" s="15"/>
      <c r="KG137" s="15"/>
      <c r="KH137" s="15"/>
      <c r="KI137" s="15"/>
      <c r="KJ137" s="15"/>
      <c r="KK137" s="15"/>
      <c r="KL137" s="15"/>
      <c r="KM137" s="15"/>
      <c r="KN137" s="15"/>
      <c r="KO137" s="15"/>
      <c r="KP137" s="15"/>
      <c r="KQ137" s="15"/>
      <c r="KR137" s="15"/>
      <c r="KS137" s="15"/>
      <c r="KT137" s="15"/>
      <c r="KU137" s="15"/>
      <c r="KV137" s="15"/>
      <c r="KW137" s="15"/>
      <c r="KX137" s="15"/>
      <c r="KY137" s="15"/>
      <c r="KZ137" s="15"/>
      <c r="LA137" s="15"/>
      <c r="LB137" s="15"/>
      <c r="LC137" s="15"/>
      <c r="LD137" s="15"/>
      <c r="LE137" s="15"/>
      <c r="LF137" s="15"/>
      <c r="LG137" s="15"/>
      <c r="LH137" s="15"/>
      <c r="LI137" s="15"/>
      <c r="LJ137" s="15"/>
      <c r="LK137" s="15"/>
      <c r="LL137" s="15"/>
      <c r="LM137" s="15"/>
      <c r="LN137" s="15"/>
      <c r="LO137" s="15"/>
      <c r="LP137" s="15"/>
      <c r="LQ137" s="15"/>
      <c r="LR137" s="15"/>
      <c r="LS137" s="15"/>
      <c r="LT137" s="15"/>
      <c r="LU137" s="15"/>
      <c r="LV137" s="15"/>
      <c r="LW137" s="15"/>
      <c r="LX137" s="15"/>
      <c r="LY137" s="15"/>
      <c r="LZ137" s="15"/>
      <c r="MA137" s="15"/>
      <c r="MB137" s="15"/>
      <c r="MC137" s="15"/>
      <c r="MD137" s="15"/>
      <c r="ME137" s="15"/>
      <c r="MF137" s="15"/>
      <c r="MG137" s="15"/>
      <c r="MH137" s="15"/>
      <c r="MI137" s="15"/>
      <c r="MJ137" s="15"/>
      <c r="MK137" s="15"/>
      <c r="ML137" s="15"/>
      <c r="MM137" s="15"/>
      <c r="MN137" s="15"/>
      <c r="MO137" s="15"/>
      <c r="MP137" s="15"/>
      <c r="MQ137" s="15"/>
      <c r="MR137" s="15"/>
      <c r="MS137" s="15"/>
      <c r="MT137" s="15"/>
      <c r="MU137" s="15"/>
      <c r="MV137" s="15"/>
      <c r="MW137" s="15"/>
    </row>
    <row r="138" ht="41.25" customHeight="1">
      <c r="A138" s="13" t="s">
        <v>137</v>
      </c>
      <c r="B138" s="14" t="s">
        <v>10152</v>
      </c>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c r="DF138" s="15"/>
      <c r="DG138" s="15"/>
      <c r="DH138" s="15"/>
      <c r="DI138" s="15"/>
      <c r="DJ138" s="15"/>
      <c r="DK138" s="15"/>
      <c r="DL138" s="15"/>
      <c r="DM138" s="15"/>
      <c r="DN138" s="15"/>
      <c r="DO138" s="15"/>
      <c r="DP138" s="15"/>
      <c r="DQ138" s="15"/>
      <c r="DR138" s="15"/>
      <c r="DS138" s="15"/>
      <c r="DT138" s="15"/>
      <c r="DU138" s="15"/>
      <c r="DV138" s="15"/>
      <c r="DW138" s="15"/>
      <c r="DX138" s="15"/>
      <c r="DY138" s="15"/>
      <c r="DZ138" s="15"/>
      <c r="EA138" s="15"/>
      <c r="EB138" s="15"/>
      <c r="EC138" s="15"/>
      <c r="ED138" s="15"/>
      <c r="EE138" s="15"/>
      <c r="EF138" s="15"/>
      <c r="EG138" s="15"/>
      <c r="EH138" s="15"/>
      <c r="EI138" s="15"/>
      <c r="EJ138" s="15"/>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c r="FG138" s="15"/>
      <c r="FH138" s="15"/>
      <c r="FI138" s="15"/>
      <c r="FJ138" s="15"/>
      <c r="FK138" s="15"/>
      <c r="FL138" s="15"/>
      <c r="FM138" s="15"/>
      <c r="FN138" s="15"/>
      <c r="FO138" s="15"/>
      <c r="FP138" s="15"/>
      <c r="FQ138" s="15"/>
      <c r="FR138" s="15"/>
      <c r="FS138" s="15"/>
      <c r="FT138" s="15"/>
      <c r="FU138" s="15"/>
      <c r="FV138" s="15"/>
      <c r="FW138" s="15"/>
      <c r="FX138" s="15"/>
      <c r="FY138" s="15"/>
      <c r="FZ138" s="15"/>
      <c r="GA138" s="15"/>
      <c r="GB138" s="15"/>
      <c r="GC138" s="15"/>
      <c r="GD138" s="15"/>
      <c r="GE138" s="15"/>
      <c r="GF138" s="15"/>
      <c r="GG138" s="15"/>
      <c r="GH138" s="15"/>
      <c r="GI138" s="15"/>
      <c r="GJ138" s="15"/>
      <c r="GK138" s="15"/>
      <c r="GL138" s="15"/>
      <c r="GM138" s="15"/>
      <c r="GN138" s="15"/>
      <c r="GO138" s="15"/>
      <c r="GP138" s="15"/>
      <c r="GQ138" s="15"/>
      <c r="GR138" s="15"/>
      <c r="GS138" s="15"/>
      <c r="GT138" s="15"/>
      <c r="GU138" s="15"/>
      <c r="GV138" s="15"/>
      <c r="GW138" s="15"/>
      <c r="GX138" s="15"/>
      <c r="GY138" s="15"/>
      <c r="GZ138" s="15"/>
      <c r="HA138" s="15"/>
      <c r="HB138" s="15"/>
      <c r="HC138" s="15"/>
      <c r="HD138" s="15"/>
      <c r="HE138" s="15"/>
      <c r="HF138" s="15"/>
      <c r="HG138" s="15"/>
      <c r="HH138" s="15"/>
      <c r="HI138" s="15"/>
      <c r="HJ138" s="15"/>
      <c r="HK138" s="15"/>
      <c r="HL138" s="15"/>
      <c r="HM138" s="15"/>
      <c r="HN138" s="15"/>
      <c r="HO138" s="15"/>
      <c r="HP138" s="15"/>
      <c r="HQ138" s="15"/>
      <c r="HR138" s="15"/>
      <c r="HS138" s="15"/>
      <c r="HT138" s="15"/>
      <c r="HU138" s="15"/>
      <c r="HV138" s="15"/>
      <c r="HW138" s="15"/>
      <c r="HX138" s="15"/>
      <c r="HY138" s="15"/>
      <c r="HZ138" s="15"/>
      <c r="IA138" s="15"/>
      <c r="IB138" s="15"/>
      <c r="IC138" s="15"/>
      <c r="ID138" s="15"/>
      <c r="IE138" s="15"/>
      <c r="IF138" s="15"/>
      <c r="IG138" s="15"/>
      <c r="IH138" s="15"/>
      <c r="II138" s="15"/>
      <c r="IJ138" s="15"/>
      <c r="IK138" s="15"/>
      <c r="IL138" s="15"/>
      <c r="IM138" s="15"/>
      <c r="IN138" s="15"/>
      <c r="IO138" s="15"/>
      <c r="IP138" s="15"/>
      <c r="IQ138" s="15"/>
      <c r="IR138" s="15"/>
      <c r="IS138" s="15"/>
      <c r="IT138" s="15"/>
      <c r="IU138" s="15"/>
      <c r="IV138" s="15"/>
      <c r="IW138" s="15"/>
      <c r="IX138" s="15"/>
      <c r="IY138" s="15"/>
      <c r="IZ138" s="15"/>
      <c r="JA138" s="15"/>
      <c r="JB138" s="15"/>
      <c r="JC138" s="15"/>
      <c r="JD138" s="15"/>
      <c r="JE138" s="15"/>
      <c r="JF138" s="15"/>
      <c r="JG138" s="15"/>
      <c r="JH138" s="15"/>
      <c r="JI138" s="15"/>
      <c r="JJ138" s="15"/>
      <c r="JK138" s="15"/>
      <c r="JL138" s="15"/>
      <c r="JM138" s="15"/>
      <c r="JN138" s="15"/>
      <c r="JO138" s="15"/>
      <c r="JP138" s="15"/>
      <c r="JQ138" s="15"/>
      <c r="JR138" s="15"/>
      <c r="JS138" s="15"/>
      <c r="JT138" s="15"/>
      <c r="JU138" s="15"/>
      <c r="JV138" s="15"/>
      <c r="JW138" s="15"/>
      <c r="JX138" s="15"/>
      <c r="JY138" s="15"/>
      <c r="JZ138" s="15"/>
      <c r="KA138" s="15"/>
      <c r="KB138" s="15"/>
      <c r="KC138" s="15"/>
      <c r="KD138" s="15"/>
      <c r="KE138" s="15"/>
      <c r="KF138" s="15"/>
      <c r="KG138" s="15"/>
      <c r="KH138" s="15"/>
      <c r="KI138" s="15"/>
      <c r="KJ138" s="15"/>
      <c r="KK138" s="15"/>
      <c r="KL138" s="15"/>
      <c r="KM138" s="15"/>
      <c r="KN138" s="15"/>
      <c r="KO138" s="15"/>
      <c r="KP138" s="15"/>
      <c r="KQ138" s="15"/>
      <c r="KR138" s="15"/>
      <c r="KS138" s="15"/>
      <c r="KT138" s="15"/>
      <c r="KU138" s="15"/>
      <c r="KV138" s="15"/>
      <c r="KW138" s="15"/>
      <c r="KX138" s="15"/>
      <c r="KY138" s="15"/>
      <c r="KZ138" s="15"/>
      <c r="LA138" s="15"/>
      <c r="LB138" s="15"/>
      <c r="LC138" s="15"/>
      <c r="LD138" s="15"/>
      <c r="LE138" s="15"/>
      <c r="LF138" s="15"/>
      <c r="LG138" s="15"/>
      <c r="LH138" s="15"/>
      <c r="LI138" s="15"/>
      <c r="LJ138" s="15"/>
      <c r="LK138" s="15"/>
      <c r="LL138" s="15"/>
      <c r="LM138" s="15"/>
      <c r="LN138" s="15"/>
      <c r="LO138" s="15"/>
      <c r="LP138" s="15"/>
      <c r="LQ138" s="15"/>
      <c r="LR138" s="15"/>
      <c r="LS138" s="15"/>
      <c r="LT138" s="15"/>
      <c r="LU138" s="15"/>
      <c r="LV138" s="15"/>
      <c r="LW138" s="15"/>
      <c r="LX138" s="15"/>
      <c r="LY138" s="15"/>
      <c r="LZ138" s="15"/>
      <c r="MA138" s="15"/>
      <c r="MB138" s="15"/>
      <c r="MC138" s="15"/>
      <c r="MD138" s="15"/>
      <c r="ME138" s="15"/>
      <c r="MF138" s="15"/>
      <c r="MG138" s="15"/>
      <c r="MH138" s="15"/>
      <c r="MI138" s="15"/>
      <c r="MJ138" s="15"/>
      <c r="MK138" s="15"/>
      <c r="ML138" s="15"/>
      <c r="MM138" s="15"/>
      <c r="MN138" s="15"/>
      <c r="MO138" s="15"/>
      <c r="MP138" s="15"/>
      <c r="MQ138" s="15"/>
      <c r="MR138" s="15"/>
      <c r="MS138" s="15"/>
      <c r="MT138" s="15"/>
      <c r="MU138" s="15"/>
      <c r="MV138" s="15"/>
      <c r="MW138" s="15"/>
    </row>
    <row r="139" ht="119.25" customHeight="1">
      <c r="A139" s="13" t="s">
        <v>138</v>
      </c>
      <c r="B139" s="14" t="s">
        <v>10153</v>
      </c>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c r="DF139" s="15"/>
      <c r="DG139" s="15"/>
      <c r="DH139" s="15"/>
      <c r="DI139" s="15"/>
      <c r="DJ139" s="15"/>
      <c r="DK139" s="15"/>
      <c r="DL139" s="15"/>
      <c r="DM139" s="15"/>
      <c r="DN139" s="15"/>
      <c r="DO139" s="15"/>
      <c r="DP139" s="15"/>
      <c r="DQ139" s="15"/>
      <c r="DR139" s="15"/>
      <c r="DS139" s="15"/>
      <c r="DT139" s="15"/>
      <c r="DU139" s="15"/>
      <c r="DV139" s="15"/>
      <c r="DW139" s="15"/>
      <c r="DX139" s="15"/>
      <c r="DY139" s="15"/>
      <c r="DZ139" s="15"/>
      <c r="EA139" s="15"/>
      <c r="EB139" s="15"/>
      <c r="EC139" s="15"/>
      <c r="ED139" s="15"/>
      <c r="EE139" s="15"/>
      <c r="EF139" s="15"/>
      <c r="EG139" s="15"/>
      <c r="EH139" s="15"/>
      <c r="EI139" s="15"/>
      <c r="EJ139" s="15"/>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c r="FG139" s="15"/>
      <c r="FH139" s="15"/>
      <c r="FI139" s="15"/>
      <c r="FJ139" s="15"/>
      <c r="FK139" s="15"/>
      <c r="FL139" s="15"/>
      <c r="FM139" s="15"/>
      <c r="FN139" s="15"/>
      <c r="FO139" s="15"/>
      <c r="FP139" s="15"/>
      <c r="FQ139" s="15"/>
      <c r="FR139" s="15"/>
      <c r="FS139" s="15"/>
      <c r="FT139" s="15"/>
      <c r="FU139" s="15"/>
      <c r="FV139" s="15"/>
      <c r="FW139" s="15"/>
      <c r="FX139" s="15"/>
      <c r="FY139" s="15"/>
      <c r="FZ139" s="15"/>
      <c r="GA139" s="15"/>
      <c r="GB139" s="15"/>
      <c r="GC139" s="15"/>
      <c r="GD139" s="15"/>
      <c r="GE139" s="15"/>
      <c r="GF139" s="15"/>
      <c r="GG139" s="15"/>
      <c r="GH139" s="15"/>
      <c r="GI139" s="15"/>
      <c r="GJ139" s="15"/>
      <c r="GK139" s="15"/>
      <c r="GL139" s="15"/>
      <c r="GM139" s="15"/>
      <c r="GN139" s="15"/>
      <c r="GO139" s="15"/>
      <c r="GP139" s="15"/>
      <c r="GQ139" s="15"/>
      <c r="GR139" s="15"/>
      <c r="GS139" s="15"/>
      <c r="GT139" s="15"/>
      <c r="GU139" s="15"/>
      <c r="GV139" s="15"/>
      <c r="GW139" s="15"/>
      <c r="GX139" s="15"/>
      <c r="GY139" s="15"/>
      <c r="GZ139" s="15"/>
      <c r="HA139" s="15"/>
      <c r="HB139" s="15"/>
      <c r="HC139" s="15"/>
      <c r="HD139" s="15"/>
      <c r="HE139" s="15"/>
      <c r="HF139" s="15"/>
      <c r="HG139" s="15"/>
      <c r="HH139" s="15"/>
      <c r="HI139" s="15"/>
      <c r="HJ139" s="15"/>
      <c r="HK139" s="15"/>
      <c r="HL139" s="15"/>
      <c r="HM139" s="15"/>
      <c r="HN139" s="15"/>
      <c r="HO139" s="15"/>
      <c r="HP139" s="15"/>
      <c r="HQ139" s="15"/>
      <c r="HR139" s="15"/>
      <c r="HS139" s="15"/>
      <c r="HT139" s="15"/>
      <c r="HU139" s="15"/>
      <c r="HV139" s="15"/>
      <c r="HW139" s="15"/>
      <c r="HX139" s="15"/>
      <c r="HY139" s="15"/>
      <c r="HZ139" s="15"/>
      <c r="IA139" s="15"/>
      <c r="IB139" s="15"/>
      <c r="IC139" s="15"/>
      <c r="ID139" s="15"/>
      <c r="IE139" s="15"/>
      <c r="IF139" s="15"/>
      <c r="IG139" s="15"/>
      <c r="IH139" s="15"/>
      <c r="II139" s="15"/>
      <c r="IJ139" s="15"/>
      <c r="IK139" s="15"/>
      <c r="IL139" s="15"/>
      <c r="IM139" s="15"/>
      <c r="IN139" s="15"/>
      <c r="IO139" s="15"/>
      <c r="IP139" s="15"/>
      <c r="IQ139" s="15"/>
      <c r="IR139" s="15"/>
      <c r="IS139" s="15"/>
      <c r="IT139" s="15"/>
      <c r="IU139" s="15"/>
      <c r="IV139" s="15"/>
      <c r="IW139" s="15"/>
      <c r="IX139" s="15"/>
      <c r="IY139" s="15"/>
      <c r="IZ139" s="15"/>
      <c r="JA139" s="15"/>
      <c r="JB139" s="15"/>
      <c r="JC139" s="15"/>
      <c r="JD139" s="15"/>
      <c r="JE139" s="15"/>
      <c r="JF139" s="15"/>
      <c r="JG139" s="15"/>
      <c r="JH139" s="15"/>
      <c r="JI139" s="15"/>
      <c r="JJ139" s="15"/>
      <c r="JK139" s="15"/>
      <c r="JL139" s="15"/>
      <c r="JM139" s="15"/>
      <c r="JN139" s="15"/>
      <c r="JO139" s="15"/>
      <c r="JP139" s="15"/>
      <c r="JQ139" s="15"/>
      <c r="JR139" s="15"/>
      <c r="JS139" s="15"/>
      <c r="JT139" s="15"/>
      <c r="JU139" s="15"/>
      <c r="JV139" s="15"/>
      <c r="JW139" s="15"/>
      <c r="JX139" s="15"/>
      <c r="JY139" s="15"/>
      <c r="JZ139" s="15"/>
      <c r="KA139" s="15"/>
      <c r="KB139" s="15"/>
      <c r="KC139" s="15"/>
      <c r="KD139" s="15"/>
      <c r="KE139" s="15"/>
      <c r="KF139" s="15"/>
      <c r="KG139" s="15"/>
      <c r="KH139" s="15"/>
      <c r="KI139" s="15"/>
      <c r="KJ139" s="15"/>
      <c r="KK139" s="15"/>
      <c r="KL139" s="15"/>
      <c r="KM139" s="15"/>
      <c r="KN139" s="15"/>
      <c r="KO139" s="15"/>
      <c r="KP139" s="15"/>
      <c r="KQ139" s="15"/>
      <c r="KR139" s="15"/>
      <c r="KS139" s="15"/>
      <c r="KT139" s="15"/>
      <c r="KU139" s="15"/>
      <c r="KV139" s="15"/>
      <c r="KW139" s="15"/>
      <c r="KX139" s="15"/>
      <c r="KY139" s="15"/>
      <c r="KZ139" s="15"/>
      <c r="LA139" s="15"/>
      <c r="LB139" s="15"/>
      <c r="LC139" s="15"/>
      <c r="LD139" s="15"/>
      <c r="LE139" s="15"/>
      <c r="LF139" s="15"/>
      <c r="LG139" s="15"/>
      <c r="LH139" s="15"/>
      <c r="LI139" s="15"/>
      <c r="LJ139" s="15"/>
      <c r="LK139" s="15"/>
      <c r="LL139" s="15"/>
      <c r="LM139" s="15"/>
      <c r="LN139" s="15"/>
      <c r="LO139" s="15"/>
      <c r="LP139" s="15"/>
      <c r="LQ139" s="15"/>
      <c r="LR139" s="15"/>
      <c r="LS139" s="15"/>
      <c r="LT139" s="15"/>
      <c r="LU139" s="15"/>
      <c r="LV139" s="15"/>
      <c r="LW139" s="15"/>
      <c r="LX139" s="15"/>
      <c r="LY139" s="15"/>
      <c r="LZ139" s="15"/>
      <c r="MA139" s="15"/>
      <c r="MB139" s="15"/>
      <c r="MC139" s="15"/>
      <c r="MD139" s="15"/>
      <c r="ME139" s="15"/>
      <c r="MF139" s="15"/>
      <c r="MG139" s="15"/>
      <c r="MH139" s="15"/>
      <c r="MI139" s="15"/>
      <c r="MJ139" s="15"/>
      <c r="MK139" s="15"/>
      <c r="ML139" s="15"/>
      <c r="MM139" s="15"/>
      <c r="MN139" s="15"/>
      <c r="MO139" s="15"/>
      <c r="MP139" s="15"/>
      <c r="MQ139" s="15"/>
      <c r="MR139" s="15"/>
      <c r="MS139" s="15"/>
      <c r="MT139" s="15"/>
      <c r="MU139" s="15"/>
      <c r="MV139" s="15"/>
      <c r="MW139" s="15"/>
    </row>
    <row r="140" ht="41.25" customHeight="1">
      <c r="A140" s="13" t="s">
        <v>139</v>
      </c>
      <c r="B140" s="14" t="s">
        <v>10154</v>
      </c>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c r="DF140" s="15"/>
      <c r="DG140" s="15"/>
      <c r="DH140" s="15"/>
      <c r="DI140" s="15"/>
      <c r="DJ140" s="15"/>
      <c r="DK140" s="15"/>
      <c r="DL140" s="15"/>
      <c r="DM140" s="15"/>
      <c r="DN140" s="15"/>
      <c r="DO140" s="15"/>
      <c r="DP140" s="15"/>
      <c r="DQ140" s="15"/>
      <c r="DR140" s="15"/>
      <c r="DS140" s="15"/>
      <c r="DT140" s="15"/>
      <c r="DU140" s="15"/>
      <c r="DV140" s="15"/>
      <c r="DW140" s="15"/>
      <c r="DX140" s="15"/>
      <c r="DY140" s="15"/>
      <c r="DZ140" s="15"/>
      <c r="EA140" s="15"/>
      <c r="EB140" s="15"/>
      <c r="EC140" s="15"/>
      <c r="ED140" s="15"/>
      <c r="EE140" s="15"/>
      <c r="EF140" s="15"/>
      <c r="EG140" s="15"/>
      <c r="EH140" s="15"/>
      <c r="EI140" s="15"/>
      <c r="EJ140" s="15"/>
      <c r="EK140" s="15"/>
      <c r="EL140" s="15"/>
      <c r="EM140" s="15"/>
      <c r="EN140" s="15"/>
      <c r="EO140" s="15"/>
      <c r="EP140" s="15"/>
      <c r="EQ140" s="15"/>
      <c r="ER140" s="15"/>
      <c r="ES140" s="15"/>
      <c r="ET140" s="15"/>
      <c r="EU140" s="15"/>
      <c r="EV140" s="15"/>
      <c r="EW140" s="15"/>
      <c r="EX140" s="15"/>
      <c r="EY140" s="15"/>
      <c r="EZ140" s="15"/>
      <c r="FA140" s="15"/>
      <c r="FB140" s="15"/>
      <c r="FC140" s="15"/>
      <c r="FD140" s="15"/>
      <c r="FE140" s="15"/>
      <c r="FF140" s="15"/>
      <c r="FG140" s="15"/>
      <c r="FH140" s="15"/>
      <c r="FI140" s="15"/>
      <c r="FJ140" s="15"/>
      <c r="FK140" s="15"/>
      <c r="FL140" s="15"/>
      <c r="FM140" s="15"/>
      <c r="FN140" s="15"/>
      <c r="FO140" s="15"/>
      <c r="FP140" s="15"/>
      <c r="FQ140" s="15"/>
      <c r="FR140" s="15"/>
      <c r="FS140" s="15"/>
      <c r="FT140" s="15"/>
      <c r="FU140" s="15"/>
      <c r="FV140" s="15"/>
      <c r="FW140" s="15"/>
      <c r="FX140" s="15"/>
      <c r="FY140" s="15"/>
      <c r="FZ140" s="15"/>
      <c r="GA140" s="15"/>
      <c r="GB140" s="15"/>
      <c r="GC140" s="15"/>
      <c r="GD140" s="15"/>
      <c r="GE140" s="15"/>
      <c r="GF140" s="15"/>
      <c r="GG140" s="15"/>
      <c r="GH140" s="15"/>
      <c r="GI140" s="15"/>
      <c r="GJ140" s="15"/>
      <c r="GK140" s="15"/>
      <c r="GL140" s="15"/>
      <c r="GM140" s="15"/>
      <c r="GN140" s="15"/>
      <c r="GO140" s="15"/>
      <c r="GP140" s="15"/>
      <c r="GQ140" s="15"/>
      <c r="GR140" s="15"/>
      <c r="GS140" s="15"/>
      <c r="GT140" s="15"/>
      <c r="GU140" s="15"/>
      <c r="GV140" s="15"/>
      <c r="GW140" s="15"/>
      <c r="GX140" s="15"/>
      <c r="GY140" s="15"/>
      <c r="GZ140" s="15"/>
      <c r="HA140" s="15"/>
      <c r="HB140" s="15"/>
      <c r="HC140" s="15"/>
      <c r="HD140" s="15"/>
      <c r="HE140" s="15"/>
      <c r="HF140" s="15"/>
      <c r="HG140" s="15"/>
      <c r="HH140" s="15"/>
      <c r="HI140" s="15"/>
      <c r="HJ140" s="15"/>
      <c r="HK140" s="15"/>
      <c r="HL140" s="15"/>
      <c r="HM140" s="15"/>
      <c r="HN140" s="15"/>
      <c r="HO140" s="15"/>
      <c r="HP140" s="15"/>
      <c r="HQ140" s="15"/>
      <c r="HR140" s="15"/>
      <c r="HS140" s="15"/>
      <c r="HT140" s="15"/>
      <c r="HU140" s="15"/>
      <c r="HV140" s="15"/>
      <c r="HW140" s="15"/>
      <c r="HX140" s="15"/>
      <c r="HY140" s="15"/>
      <c r="HZ140" s="15"/>
      <c r="IA140" s="15"/>
      <c r="IB140" s="15"/>
      <c r="IC140" s="15"/>
      <c r="ID140" s="15"/>
      <c r="IE140" s="15"/>
      <c r="IF140" s="15"/>
      <c r="IG140" s="15"/>
      <c r="IH140" s="15"/>
      <c r="II140" s="15"/>
      <c r="IJ140" s="15"/>
      <c r="IK140" s="15"/>
      <c r="IL140" s="15"/>
      <c r="IM140" s="15"/>
      <c r="IN140" s="15"/>
      <c r="IO140" s="15"/>
      <c r="IP140" s="15"/>
      <c r="IQ140" s="15"/>
      <c r="IR140" s="15"/>
      <c r="IS140" s="15"/>
      <c r="IT140" s="15"/>
      <c r="IU140" s="15"/>
      <c r="IV140" s="15"/>
      <c r="IW140" s="15"/>
      <c r="IX140" s="15"/>
      <c r="IY140" s="15"/>
      <c r="IZ140" s="15"/>
      <c r="JA140" s="15"/>
      <c r="JB140" s="15"/>
      <c r="JC140" s="15"/>
      <c r="JD140" s="15"/>
      <c r="JE140" s="15"/>
      <c r="JF140" s="15"/>
      <c r="JG140" s="15"/>
      <c r="JH140" s="15"/>
      <c r="JI140" s="15"/>
      <c r="JJ140" s="15"/>
      <c r="JK140" s="15"/>
      <c r="JL140" s="15"/>
      <c r="JM140" s="15"/>
      <c r="JN140" s="15"/>
      <c r="JO140" s="15"/>
      <c r="JP140" s="15"/>
      <c r="JQ140" s="15"/>
      <c r="JR140" s="15"/>
      <c r="JS140" s="15"/>
      <c r="JT140" s="15"/>
      <c r="JU140" s="15"/>
      <c r="JV140" s="15"/>
      <c r="JW140" s="15"/>
      <c r="JX140" s="15"/>
      <c r="JY140" s="15"/>
      <c r="JZ140" s="15"/>
      <c r="KA140" s="15"/>
      <c r="KB140" s="15"/>
      <c r="KC140" s="15"/>
      <c r="KD140" s="15"/>
      <c r="KE140" s="15"/>
      <c r="KF140" s="15"/>
      <c r="KG140" s="15"/>
      <c r="KH140" s="15"/>
      <c r="KI140" s="15"/>
      <c r="KJ140" s="15"/>
      <c r="KK140" s="15"/>
      <c r="KL140" s="15"/>
      <c r="KM140" s="15"/>
      <c r="KN140" s="15"/>
      <c r="KO140" s="15"/>
      <c r="KP140" s="15"/>
      <c r="KQ140" s="15"/>
      <c r="KR140" s="15"/>
      <c r="KS140" s="15"/>
      <c r="KT140" s="15"/>
      <c r="KU140" s="15"/>
      <c r="KV140" s="15"/>
      <c r="KW140" s="15"/>
      <c r="KX140" s="15"/>
      <c r="KY140" s="15"/>
      <c r="KZ140" s="15"/>
      <c r="LA140" s="15"/>
      <c r="LB140" s="15"/>
      <c r="LC140" s="15"/>
      <c r="LD140" s="15"/>
      <c r="LE140" s="15"/>
      <c r="LF140" s="15"/>
      <c r="LG140" s="15"/>
      <c r="LH140" s="15"/>
      <c r="LI140" s="15"/>
      <c r="LJ140" s="15"/>
      <c r="LK140" s="15"/>
      <c r="LL140" s="15"/>
      <c r="LM140" s="15"/>
      <c r="LN140" s="15"/>
      <c r="LO140" s="15"/>
      <c r="LP140" s="15"/>
      <c r="LQ140" s="15"/>
      <c r="LR140" s="15"/>
      <c r="LS140" s="15"/>
      <c r="LT140" s="15"/>
      <c r="LU140" s="15"/>
      <c r="LV140" s="15"/>
      <c r="LW140" s="15"/>
      <c r="LX140" s="15"/>
      <c r="LY140" s="15"/>
      <c r="LZ140" s="15"/>
      <c r="MA140" s="15"/>
      <c r="MB140" s="15"/>
      <c r="MC140" s="15"/>
      <c r="MD140" s="15"/>
      <c r="ME140" s="15"/>
      <c r="MF140" s="15"/>
      <c r="MG140" s="15"/>
      <c r="MH140" s="15"/>
      <c r="MI140" s="15"/>
      <c r="MJ140" s="15"/>
      <c r="MK140" s="15"/>
      <c r="ML140" s="15"/>
      <c r="MM140" s="15"/>
      <c r="MN140" s="15"/>
      <c r="MO140" s="15"/>
      <c r="MP140" s="15"/>
      <c r="MQ140" s="15"/>
      <c r="MR140" s="15"/>
      <c r="MS140" s="15"/>
      <c r="MT140" s="15"/>
      <c r="MU140" s="15"/>
      <c r="MV140" s="15"/>
      <c r="MW140" s="15"/>
    </row>
    <row r="141" ht="119.25" customHeight="1">
      <c r="A141" s="13" t="s">
        <v>140</v>
      </c>
      <c r="B141" s="14" t="s">
        <v>10155</v>
      </c>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c r="DF141" s="15"/>
      <c r="DG141" s="15"/>
      <c r="DH141" s="15"/>
      <c r="DI141" s="15"/>
      <c r="DJ141" s="15"/>
      <c r="DK141" s="15"/>
      <c r="DL141" s="15"/>
      <c r="DM141" s="15"/>
      <c r="DN141" s="15"/>
      <c r="DO141" s="15"/>
      <c r="DP141" s="15"/>
      <c r="DQ141" s="15"/>
      <c r="DR141" s="15"/>
      <c r="DS141" s="15"/>
      <c r="DT141" s="15"/>
      <c r="DU141" s="15"/>
      <c r="DV141" s="15"/>
      <c r="DW141" s="15"/>
      <c r="DX141" s="15"/>
      <c r="DY141" s="15"/>
      <c r="DZ141" s="15"/>
      <c r="EA141" s="15"/>
      <c r="EB141" s="15"/>
      <c r="EC141" s="15"/>
      <c r="ED141" s="15"/>
      <c r="EE141" s="15"/>
      <c r="EF141" s="15"/>
      <c r="EG141" s="15"/>
      <c r="EH141" s="15"/>
      <c r="EI141" s="15"/>
      <c r="EJ141" s="15"/>
      <c r="EK141" s="15"/>
      <c r="EL141" s="15"/>
      <c r="EM141" s="15"/>
      <c r="EN141" s="15"/>
      <c r="EO141" s="15"/>
      <c r="EP141" s="15"/>
      <c r="EQ141" s="15"/>
      <c r="ER141" s="15"/>
      <c r="ES141" s="15"/>
      <c r="ET141" s="15"/>
      <c r="EU141" s="15"/>
      <c r="EV141" s="15"/>
      <c r="EW141" s="15"/>
      <c r="EX141" s="15"/>
      <c r="EY141" s="15"/>
      <c r="EZ141" s="15"/>
      <c r="FA141" s="15"/>
      <c r="FB141" s="15"/>
      <c r="FC141" s="15"/>
      <c r="FD141" s="15"/>
      <c r="FE141" s="15"/>
      <c r="FF141" s="15"/>
      <c r="FG141" s="15"/>
      <c r="FH141" s="15"/>
      <c r="FI141" s="15"/>
      <c r="FJ141" s="15"/>
      <c r="FK141" s="15"/>
      <c r="FL141" s="15"/>
      <c r="FM141" s="15"/>
      <c r="FN141" s="15"/>
      <c r="FO141" s="15"/>
      <c r="FP141" s="15"/>
      <c r="FQ141" s="15"/>
      <c r="FR141" s="15"/>
      <c r="FS141" s="15"/>
      <c r="FT141" s="15"/>
      <c r="FU141" s="15"/>
      <c r="FV141" s="15"/>
      <c r="FW141" s="15"/>
      <c r="FX141" s="15"/>
      <c r="FY141" s="15"/>
      <c r="FZ141" s="15"/>
      <c r="GA141" s="15"/>
      <c r="GB141" s="15"/>
      <c r="GC141" s="15"/>
      <c r="GD141" s="15"/>
      <c r="GE141" s="15"/>
      <c r="GF141" s="15"/>
      <c r="GG141" s="15"/>
      <c r="GH141" s="15"/>
      <c r="GI141" s="15"/>
      <c r="GJ141" s="15"/>
      <c r="GK141" s="15"/>
      <c r="GL141" s="15"/>
      <c r="GM141" s="15"/>
      <c r="GN141" s="15"/>
      <c r="GO141" s="15"/>
      <c r="GP141" s="15"/>
      <c r="GQ141" s="15"/>
      <c r="GR141" s="15"/>
      <c r="GS141" s="15"/>
      <c r="GT141" s="15"/>
      <c r="GU141" s="15"/>
      <c r="GV141" s="15"/>
      <c r="GW141" s="15"/>
      <c r="GX141" s="15"/>
      <c r="GY141" s="15"/>
      <c r="GZ141" s="15"/>
      <c r="HA141" s="15"/>
      <c r="HB141" s="15"/>
      <c r="HC141" s="15"/>
      <c r="HD141" s="15"/>
      <c r="HE141" s="15"/>
      <c r="HF141" s="15"/>
      <c r="HG141" s="15"/>
      <c r="HH141" s="15"/>
      <c r="HI141" s="15"/>
      <c r="HJ141" s="15"/>
      <c r="HK141" s="15"/>
      <c r="HL141" s="15"/>
      <c r="HM141" s="15"/>
      <c r="HN141" s="15"/>
      <c r="HO141" s="15"/>
      <c r="HP141" s="15"/>
      <c r="HQ141" s="15"/>
      <c r="HR141" s="15"/>
      <c r="HS141" s="15"/>
      <c r="HT141" s="15"/>
      <c r="HU141" s="15"/>
      <c r="HV141" s="15"/>
      <c r="HW141" s="15"/>
      <c r="HX141" s="15"/>
      <c r="HY141" s="15"/>
      <c r="HZ141" s="15"/>
      <c r="IA141" s="15"/>
      <c r="IB141" s="15"/>
      <c r="IC141" s="15"/>
      <c r="ID141" s="15"/>
      <c r="IE141" s="15"/>
      <c r="IF141" s="15"/>
      <c r="IG141" s="15"/>
      <c r="IH141" s="15"/>
      <c r="II141" s="15"/>
      <c r="IJ141" s="15"/>
      <c r="IK141" s="15"/>
      <c r="IL141" s="15"/>
      <c r="IM141" s="15"/>
      <c r="IN141" s="15"/>
      <c r="IO141" s="15"/>
      <c r="IP141" s="15"/>
      <c r="IQ141" s="15"/>
      <c r="IR141" s="15"/>
      <c r="IS141" s="15"/>
      <c r="IT141" s="15"/>
      <c r="IU141" s="15"/>
      <c r="IV141" s="15"/>
      <c r="IW141" s="15"/>
      <c r="IX141" s="15"/>
      <c r="IY141" s="15"/>
      <c r="IZ141" s="15"/>
      <c r="JA141" s="15"/>
      <c r="JB141" s="15"/>
      <c r="JC141" s="15"/>
      <c r="JD141" s="15"/>
      <c r="JE141" s="15"/>
      <c r="JF141" s="15"/>
      <c r="JG141" s="15"/>
      <c r="JH141" s="15"/>
      <c r="JI141" s="15"/>
      <c r="JJ141" s="15"/>
      <c r="JK141" s="15"/>
      <c r="JL141" s="15"/>
      <c r="JM141" s="15"/>
      <c r="JN141" s="15"/>
      <c r="JO141" s="15"/>
      <c r="JP141" s="15"/>
      <c r="JQ141" s="15"/>
      <c r="JR141" s="15"/>
      <c r="JS141" s="15"/>
      <c r="JT141" s="15"/>
      <c r="JU141" s="15"/>
      <c r="JV141" s="15"/>
      <c r="JW141" s="15"/>
      <c r="JX141" s="15"/>
      <c r="JY141" s="15"/>
      <c r="JZ141" s="15"/>
      <c r="KA141" s="15"/>
      <c r="KB141" s="15"/>
      <c r="KC141" s="15"/>
      <c r="KD141" s="15"/>
      <c r="KE141" s="15"/>
      <c r="KF141" s="15"/>
      <c r="KG141" s="15"/>
      <c r="KH141" s="15"/>
      <c r="KI141" s="15"/>
      <c r="KJ141" s="15"/>
      <c r="KK141" s="15"/>
      <c r="KL141" s="15"/>
      <c r="KM141" s="15"/>
      <c r="KN141" s="15"/>
      <c r="KO141" s="15"/>
      <c r="KP141" s="15"/>
      <c r="KQ141" s="15"/>
      <c r="KR141" s="15"/>
      <c r="KS141" s="15"/>
      <c r="KT141" s="15"/>
      <c r="KU141" s="15"/>
      <c r="KV141" s="15"/>
      <c r="KW141" s="15"/>
      <c r="KX141" s="15"/>
      <c r="KY141" s="15"/>
      <c r="KZ141" s="15"/>
      <c r="LA141" s="15"/>
      <c r="LB141" s="15"/>
      <c r="LC141" s="15"/>
      <c r="LD141" s="15"/>
      <c r="LE141" s="15"/>
      <c r="LF141" s="15"/>
      <c r="LG141" s="15"/>
      <c r="LH141" s="15"/>
      <c r="LI141" s="15"/>
      <c r="LJ141" s="15"/>
      <c r="LK141" s="15"/>
      <c r="LL141" s="15"/>
      <c r="LM141" s="15"/>
      <c r="LN141" s="15"/>
      <c r="LO141" s="15"/>
      <c r="LP141" s="15"/>
      <c r="LQ141" s="15"/>
      <c r="LR141" s="15"/>
      <c r="LS141" s="15"/>
      <c r="LT141" s="15"/>
      <c r="LU141" s="15"/>
      <c r="LV141" s="15"/>
      <c r="LW141" s="15"/>
      <c r="LX141" s="15"/>
      <c r="LY141" s="15"/>
      <c r="LZ141" s="15"/>
      <c r="MA141" s="15"/>
      <c r="MB141" s="15"/>
      <c r="MC141" s="15"/>
      <c r="MD141" s="15"/>
      <c r="ME141" s="15"/>
      <c r="MF141" s="15"/>
      <c r="MG141" s="15"/>
      <c r="MH141" s="15"/>
      <c r="MI141" s="15"/>
      <c r="MJ141" s="15"/>
      <c r="MK141" s="15"/>
      <c r="ML141" s="15"/>
      <c r="MM141" s="15"/>
      <c r="MN141" s="15"/>
      <c r="MO141" s="15"/>
      <c r="MP141" s="15"/>
      <c r="MQ141" s="15"/>
      <c r="MR141" s="15"/>
      <c r="MS141" s="15"/>
      <c r="MT141" s="15"/>
      <c r="MU141" s="15"/>
      <c r="MV141" s="15"/>
      <c r="MW141" s="15"/>
    </row>
    <row r="142" ht="41.25" customHeight="1">
      <c r="A142" s="13" t="s">
        <v>141</v>
      </c>
      <c r="B142" s="14" t="s">
        <v>10156</v>
      </c>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c r="DF142" s="15"/>
      <c r="DG142" s="15"/>
      <c r="DH142" s="15"/>
      <c r="DI142" s="15"/>
      <c r="DJ142" s="15"/>
      <c r="DK142" s="15"/>
      <c r="DL142" s="15"/>
      <c r="DM142" s="15"/>
      <c r="DN142" s="15"/>
      <c r="DO142" s="15"/>
      <c r="DP142" s="15"/>
      <c r="DQ142" s="15"/>
      <c r="DR142" s="15"/>
      <c r="DS142" s="15"/>
      <c r="DT142" s="15"/>
      <c r="DU142" s="15"/>
      <c r="DV142" s="15"/>
      <c r="DW142" s="15"/>
      <c r="DX142" s="15"/>
      <c r="DY142" s="15"/>
      <c r="DZ142" s="15"/>
      <c r="EA142" s="15"/>
      <c r="EB142" s="15"/>
      <c r="EC142" s="15"/>
      <c r="ED142" s="15"/>
      <c r="EE142" s="15"/>
      <c r="EF142" s="15"/>
      <c r="EG142" s="15"/>
      <c r="EH142" s="15"/>
      <c r="EI142" s="15"/>
      <c r="EJ142" s="15"/>
      <c r="EK142" s="15"/>
      <c r="EL142" s="15"/>
      <c r="EM142" s="15"/>
      <c r="EN142" s="15"/>
      <c r="EO142" s="15"/>
      <c r="EP142" s="15"/>
      <c r="EQ142" s="15"/>
      <c r="ER142" s="15"/>
      <c r="ES142" s="15"/>
      <c r="ET142" s="15"/>
      <c r="EU142" s="15"/>
      <c r="EV142" s="15"/>
      <c r="EW142" s="15"/>
      <c r="EX142" s="15"/>
      <c r="EY142" s="15"/>
      <c r="EZ142" s="15"/>
      <c r="FA142" s="15"/>
      <c r="FB142" s="15"/>
      <c r="FC142" s="15"/>
      <c r="FD142" s="15"/>
      <c r="FE142" s="15"/>
      <c r="FF142" s="15"/>
      <c r="FG142" s="15"/>
      <c r="FH142" s="15"/>
      <c r="FI142" s="15"/>
      <c r="FJ142" s="15"/>
      <c r="FK142" s="15"/>
      <c r="FL142" s="15"/>
      <c r="FM142" s="15"/>
      <c r="FN142" s="15"/>
      <c r="FO142" s="15"/>
      <c r="FP142" s="15"/>
      <c r="FQ142" s="15"/>
      <c r="FR142" s="15"/>
      <c r="FS142" s="15"/>
      <c r="FT142" s="15"/>
      <c r="FU142" s="15"/>
      <c r="FV142" s="15"/>
      <c r="FW142" s="15"/>
      <c r="FX142" s="15"/>
      <c r="FY142" s="15"/>
      <c r="FZ142" s="15"/>
      <c r="GA142" s="15"/>
      <c r="GB142" s="15"/>
      <c r="GC142" s="15"/>
      <c r="GD142" s="15"/>
      <c r="GE142" s="15"/>
      <c r="GF142" s="15"/>
      <c r="GG142" s="15"/>
      <c r="GH142" s="15"/>
      <c r="GI142" s="15"/>
      <c r="GJ142" s="15"/>
      <c r="GK142" s="15"/>
      <c r="GL142" s="15"/>
      <c r="GM142" s="15"/>
      <c r="GN142" s="15"/>
      <c r="GO142" s="15"/>
      <c r="GP142" s="15"/>
      <c r="GQ142" s="15"/>
      <c r="GR142" s="15"/>
      <c r="GS142" s="15"/>
      <c r="GT142" s="15"/>
      <c r="GU142" s="15"/>
      <c r="GV142" s="15"/>
      <c r="GW142" s="15"/>
      <c r="GX142" s="15"/>
      <c r="GY142" s="15"/>
      <c r="GZ142" s="15"/>
      <c r="HA142" s="15"/>
      <c r="HB142" s="15"/>
      <c r="HC142" s="15"/>
      <c r="HD142" s="15"/>
      <c r="HE142" s="15"/>
      <c r="HF142" s="15"/>
      <c r="HG142" s="15"/>
      <c r="HH142" s="15"/>
      <c r="HI142" s="15"/>
      <c r="HJ142" s="15"/>
      <c r="HK142" s="15"/>
      <c r="HL142" s="15"/>
      <c r="HM142" s="15"/>
      <c r="HN142" s="15"/>
      <c r="HO142" s="15"/>
      <c r="HP142" s="15"/>
      <c r="HQ142" s="15"/>
      <c r="HR142" s="15"/>
      <c r="HS142" s="15"/>
      <c r="HT142" s="15"/>
      <c r="HU142" s="15"/>
      <c r="HV142" s="15"/>
      <c r="HW142" s="15"/>
      <c r="HX142" s="15"/>
      <c r="HY142" s="15"/>
      <c r="HZ142" s="15"/>
      <c r="IA142" s="15"/>
      <c r="IB142" s="15"/>
      <c r="IC142" s="15"/>
      <c r="ID142" s="15"/>
      <c r="IE142" s="15"/>
      <c r="IF142" s="15"/>
      <c r="IG142" s="15"/>
      <c r="IH142" s="15"/>
      <c r="II142" s="15"/>
      <c r="IJ142" s="15"/>
      <c r="IK142" s="15"/>
      <c r="IL142" s="15"/>
      <c r="IM142" s="15"/>
      <c r="IN142" s="15"/>
      <c r="IO142" s="15"/>
      <c r="IP142" s="15"/>
      <c r="IQ142" s="15"/>
      <c r="IR142" s="15"/>
      <c r="IS142" s="15"/>
      <c r="IT142" s="15"/>
      <c r="IU142" s="15"/>
      <c r="IV142" s="15"/>
      <c r="IW142" s="15"/>
      <c r="IX142" s="15"/>
      <c r="IY142" s="15"/>
      <c r="IZ142" s="15"/>
      <c r="JA142" s="15"/>
      <c r="JB142" s="15"/>
      <c r="JC142" s="15"/>
      <c r="JD142" s="15"/>
      <c r="JE142" s="15"/>
      <c r="JF142" s="15"/>
      <c r="JG142" s="15"/>
      <c r="JH142" s="15"/>
      <c r="JI142" s="15"/>
      <c r="JJ142" s="15"/>
      <c r="JK142" s="15"/>
      <c r="JL142" s="15"/>
      <c r="JM142" s="15"/>
      <c r="JN142" s="15"/>
      <c r="JO142" s="15"/>
      <c r="JP142" s="15"/>
      <c r="JQ142" s="15"/>
      <c r="JR142" s="15"/>
      <c r="JS142" s="15"/>
      <c r="JT142" s="15"/>
      <c r="JU142" s="15"/>
      <c r="JV142" s="15"/>
      <c r="JW142" s="15"/>
      <c r="JX142" s="15"/>
      <c r="JY142" s="15"/>
      <c r="JZ142" s="15"/>
      <c r="KA142" s="15"/>
      <c r="KB142" s="15"/>
      <c r="KC142" s="15"/>
      <c r="KD142" s="15"/>
      <c r="KE142" s="15"/>
      <c r="KF142" s="15"/>
      <c r="KG142" s="15"/>
      <c r="KH142" s="15"/>
      <c r="KI142" s="15"/>
      <c r="KJ142" s="15"/>
      <c r="KK142" s="15"/>
      <c r="KL142" s="15"/>
      <c r="KM142" s="15"/>
      <c r="KN142" s="15"/>
      <c r="KO142" s="15"/>
      <c r="KP142" s="15"/>
      <c r="KQ142" s="15"/>
      <c r="KR142" s="15"/>
      <c r="KS142" s="15"/>
      <c r="KT142" s="15"/>
      <c r="KU142" s="15"/>
      <c r="KV142" s="15"/>
      <c r="KW142" s="15"/>
      <c r="KX142" s="15"/>
      <c r="KY142" s="15"/>
      <c r="KZ142" s="15"/>
      <c r="LA142" s="15"/>
      <c r="LB142" s="15"/>
      <c r="LC142" s="15"/>
      <c r="LD142" s="15"/>
      <c r="LE142" s="15"/>
      <c r="LF142" s="15"/>
      <c r="LG142" s="15"/>
      <c r="LH142" s="15"/>
      <c r="LI142" s="15"/>
      <c r="LJ142" s="15"/>
      <c r="LK142" s="15"/>
      <c r="LL142" s="15"/>
      <c r="LM142" s="15"/>
      <c r="LN142" s="15"/>
      <c r="LO142" s="15"/>
      <c r="LP142" s="15"/>
      <c r="LQ142" s="15"/>
      <c r="LR142" s="15"/>
      <c r="LS142" s="15"/>
      <c r="LT142" s="15"/>
      <c r="LU142" s="15"/>
      <c r="LV142" s="15"/>
      <c r="LW142" s="15"/>
      <c r="LX142" s="15"/>
      <c r="LY142" s="15"/>
      <c r="LZ142" s="15"/>
      <c r="MA142" s="15"/>
      <c r="MB142" s="15"/>
      <c r="MC142" s="15"/>
      <c r="MD142" s="15"/>
      <c r="ME142" s="15"/>
      <c r="MF142" s="15"/>
      <c r="MG142" s="15"/>
      <c r="MH142" s="15"/>
      <c r="MI142" s="15"/>
      <c r="MJ142" s="15"/>
      <c r="MK142" s="15"/>
      <c r="ML142" s="15"/>
      <c r="MM142" s="15"/>
      <c r="MN142" s="15"/>
      <c r="MO142" s="15"/>
      <c r="MP142" s="15"/>
      <c r="MQ142" s="15"/>
      <c r="MR142" s="15"/>
      <c r="MS142" s="15"/>
      <c r="MT142" s="15"/>
      <c r="MU142" s="15"/>
      <c r="MV142" s="15"/>
      <c r="MW142" s="15"/>
    </row>
    <row r="143" ht="119.25" customHeight="1">
      <c r="A143" s="13" t="s">
        <v>142</v>
      </c>
      <c r="B143" s="14" t="s">
        <v>10157</v>
      </c>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c r="DF143" s="15"/>
      <c r="DG143" s="15"/>
      <c r="DH143" s="15"/>
      <c r="DI143" s="15"/>
      <c r="DJ143" s="15"/>
      <c r="DK143" s="15"/>
      <c r="DL143" s="15"/>
      <c r="DM143" s="15"/>
      <c r="DN143" s="15"/>
      <c r="DO143" s="15"/>
      <c r="DP143" s="15"/>
      <c r="DQ143" s="15"/>
      <c r="DR143" s="15"/>
      <c r="DS143" s="15"/>
      <c r="DT143" s="15"/>
      <c r="DU143" s="15"/>
      <c r="DV143" s="15"/>
      <c r="DW143" s="15"/>
      <c r="DX143" s="15"/>
      <c r="DY143" s="15"/>
      <c r="DZ143" s="15"/>
      <c r="EA143" s="15"/>
      <c r="EB143" s="15"/>
      <c r="EC143" s="15"/>
      <c r="ED143" s="15"/>
      <c r="EE143" s="15"/>
      <c r="EF143" s="15"/>
      <c r="EG143" s="15"/>
      <c r="EH143" s="15"/>
      <c r="EI143" s="15"/>
      <c r="EJ143" s="15"/>
      <c r="EK143" s="15"/>
      <c r="EL143" s="15"/>
      <c r="EM143" s="15"/>
      <c r="EN143" s="15"/>
      <c r="EO143" s="15"/>
      <c r="EP143" s="15"/>
      <c r="EQ143" s="15"/>
      <c r="ER143" s="15"/>
      <c r="ES143" s="15"/>
      <c r="ET143" s="15"/>
      <c r="EU143" s="15"/>
      <c r="EV143" s="15"/>
      <c r="EW143" s="15"/>
      <c r="EX143" s="15"/>
      <c r="EY143" s="15"/>
      <c r="EZ143" s="15"/>
      <c r="FA143" s="15"/>
      <c r="FB143" s="15"/>
      <c r="FC143" s="15"/>
      <c r="FD143" s="15"/>
      <c r="FE143" s="15"/>
      <c r="FF143" s="15"/>
      <c r="FG143" s="15"/>
      <c r="FH143" s="15"/>
      <c r="FI143" s="15"/>
      <c r="FJ143" s="15"/>
      <c r="FK143" s="15"/>
      <c r="FL143" s="15"/>
      <c r="FM143" s="15"/>
      <c r="FN143" s="15"/>
      <c r="FO143" s="15"/>
      <c r="FP143" s="15"/>
      <c r="FQ143" s="15"/>
      <c r="FR143" s="15"/>
      <c r="FS143" s="15"/>
      <c r="FT143" s="15"/>
      <c r="FU143" s="15"/>
      <c r="FV143" s="15"/>
      <c r="FW143" s="15"/>
      <c r="FX143" s="15"/>
      <c r="FY143" s="15"/>
      <c r="FZ143" s="15"/>
      <c r="GA143" s="15"/>
      <c r="GB143" s="15"/>
      <c r="GC143" s="15"/>
      <c r="GD143" s="15"/>
      <c r="GE143" s="15"/>
      <c r="GF143" s="15"/>
      <c r="GG143" s="15"/>
      <c r="GH143" s="15"/>
      <c r="GI143" s="15"/>
      <c r="GJ143" s="15"/>
      <c r="GK143" s="15"/>
      <c r="GL143" s="15"/>
      <c r="GM143" s="15"/>
      <c r="GN143" s="15"/>
      <c r="GO143" s="15"/>
      <c r="GP143" s="15"/>
      <c r="GQ143" s="15"/>
      <c r="GR143" s="15"/>
      <c r="GS143" s="15"/>
      <c r="GT143" s="15"/>
      <c r="GU143" s="15"/>
      <c r="GV143" s="15"/>
      <c r="GW143" s="15"/>
      <c r="GX143" s="15"/>
      <c r="GY143" s="15"/>
      <c r="GZ143" s="15"/>
      <c r="HA143" s="15"/>
      <c r="HB143" s="15"/>
      <c r="HC143" s="15"/>
      <c r="HD143" s="15"/>
      <c r="HE143" s="15"/>
      <c r="HF143" s="15"/>
      <c r="HG143" s="15"/>
      <c r="HH143" s="15"/>
      <c r="HI143" s="15"/>
      <c r="HJ143" s="15"/>
      <c r="HK143" s="15"/>
      <c r="HL143" s="15"/>
      <c r="HM143" s="15"/>
      <c r="HN143" s="15"/>
      <c r="HO143" s="15"/>
      <c r="HP143" s="15"/>
      <c r="HQ143" s="15"/>
      <c r="HR143" s="15"/>
      <c r="HS143" s="15"/>
      <c r="HT143" s="15"/>
      <c r="HU143" s="15"/>
      <c r="HV143" s="15"/>
      <c r="HW143" s="15"/>
      <c r="HX143" s="15"/>
      <c r="HY143" s="15"/>
      <c r="HZ143" s="15"/>
      <c r="IA143" s="15"/>
      <c r="IB143" s="15"/>
      <c r="IC143" s="15"/>
      <c r="ID143" s="15"/>
      <c r="IE143" s="15"/>
      <c r="IF143" s="15"/>
      <c r="IG143" s="15"/>
      <c r="IH143" s="15"/>
      <c r="II143" s="15"/>
      <c r="IJ143" s="15"/>
      <c r="IK143" s="15"/>
      <c r="IL143" s="15"/>
      <c r="IM143" s="15"/>
      <c r="IN143" s="15"/>
      <c r="IO143" s="15"/>
      <c r="IP143" s="15"/>
      <c r="IQ143" s="15"/>
      <c r="IR143" s="15"/>
      <c r="IS143" s="15"/>
      <c r="IT143" s="15"/>
      <c r="IU143" s="15"/>
      <c r="IV143" s="15"/>
      <c r="IW143" s="15"/>
      <c r="IX143" s="15"/>
      <c r="IY143" s="15"/>
      <c r="IZ143" s="15"/>
      <c r="JA143" s="15"/>
      <c r="JB143" s="15"/>
      <c r="JC143" s="15"/>
      <c r="JD143" s="15"/>
      <c r="JE143" s="15"/>
      <c r="JF143" s="15"/>
      <c r="JG143" s="15"/>
      <c r="JH143" s="15"/>
      <c r="JI143" s="15"/>
      <c r="JJ143" s="15"/>
      <c r="JK143" s="15"/>
      <c r="JL143" s="15"/>
      <c r="JM143" s="15"/>
      <c r="JN143" s="15"/>
      <c r="JO143" s="15"/>
      <c r="JP143" s="15"/>
      <c r="JQ143" s="15"/>
      <c r="JR143" s="15"/>
      <c r="JS143" s="15"/>
      <c r="JT143" s="15"/>
      <c r="JU143" s="15"/>
      <c r="JV143" s="15"/>
      <c r="JW143" s="15"/>
      <c r="JX143" s="15"/>
      <c r="JY143" s="15"/>
      <c r="JZ143" s="15"/>
      <c r="KA143" s="15"/>
      <c r="KB143" s="15"/>
      <c r="KC143" s="15"/>
      <c r="KD143" s="15"/>
      <c r="KE143" s="15"/>
      <c r="KF143" s="15"/>
      <c r="KG143" s="15"/>
      <c r="KH143" s="15"/>
      <c r="KI143" s="15"/>
      <c r="KJ143" s="15"/>
      <c r="KK143" s="15"/>
      <c r="KL143" s="15"/>
      <c r="KM143" s="15"/>
      <c r="KN143" s="15"/>
      <c r="KO143" s="15"/>
      <c r="KP143" s="15"/>
      <c r="KQ143" s="15"/>
      <c r="KR143" s="15"/>
      <c r="KS143" s="15"/>
      <c r="KT143" s="15"/>
      <c r="KU143" s="15"/>
      <c r="KV143" s="15"/>
      <c r="KW143" s="15"/>
      <c r="KX143" s="15"/>
      <c r="KY143" s="15"/>
      <c r="KZ143" s="15"/>
      <c r="LA143" s="15"/>
      <c r="LB143" s="15"/>
      <c r="LC143" s="15"/>
      <c r="LD143" s="15"/>
      <c r="LE143" s="15"/>
      <c r="LF143" s="15"/>
      <c r="LG143" s="15"/>
      <c r="LH143" s="15"/>
      <c r="LI143" s="15"/>
      <c r="LJ143" s="15"/>
      <c r="LK143" s="15"/>
      <c r="LL143" s="15"/>
      <c r="LM143" s="15"/>
      <c r="LN143" s="15"/>
      <c r="LO143" s="15"/>
      <c r="LP143" s="15"/>
      <c r="LQ143" s="15"/>
      <c r="LR143" s="15"/>
      <c r="LS143" s="15"/>
      <c r="LT143" s="15"/>
      <c r="LU143" s="15"/>
      <c r="LV143" s="15"/>
      <c r="LW143" s="15"/>
      <c r="LX143" s="15"/>
      <c r="LY143" s="15"/>
      <c r="LZ143" s="15"/>
      <c r="MA143" s="15"/>
      <c r="MB143" s="15"/>
      <c r="MC143" s="15"/>
      <c r="MD143" s="15"/>
      <c r="ME143" s="15"/>
      <c r="MF143" s="15"/>
      <c r="MG143" s="15"/>
      <c r="MH143" s="15"/>
      <c r="MI143" s="15"/>
      <c r="MJ143" s="15"/>
      <c r="MK143" s="15"/>
      <c r="ML143" s="15"/>
      <c r="MM143" s="15"/>
      <c r="MN143" s="15"/>
      <c r="MO143" s="15"/>
      <c r="MP143" s="15"/>
      <c r="MQ143" s="15"/>
      <c r="MR143" s="15"/>
      <c r="MS143" s="15"/>
      <c r="MT143" s="15"/>
      <c r="MU143" s="15"/>
      <c r="MV143" s="15"/>
      <c r="MW143" s="15"/>
    </row>
    <row r="144" ht="41.25" customHeight="1">
      <c r="A144" s="13" t="s">
        <v>143</v>
      </c>
      <c r="B144" s="14" t="s">
        <v>10158</v>
      </c>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c r="DF144" s="15"/>
      <c r="DG144" s="15"/>
      <c r="DH144" s="15"/>
      <c r="DI144" s="15"/>
      <c r="DJ144" s="15"/>
      <c r="DK144" s="15"/>
      <c r="DL144" s="15"/>
      <c r="DM144" s="15"/>
      <c r="DN144" s="15"/>
      <c r="DO144" s="15"/>
      <c r="DP144" s="15"/>
      <c r="DQ144" s="15"/>
      <c r="DR144" s="15"/>
      <c r="DS144" s="15"/>
      <c r="DT144" s="15"/>
      <c r="DU144" s="15"/>
      <c r="DV144" s="15"/>
      <c r="DW144" s="15"/>
      <c r="DX144" s="15"/>
      <c r="DY144" s="15"/>
      <c r="DZ144" s="15"/>
      <c r="EA144" s="15"/>
      <c r="EB144" s="15"/>
      <c r="EC144" s="15"/>
      <c r="ED144" s="15"/>
      <c r="EE144" s="15"/>
      <c r="EF144" s="15"/>
      <c r="EG144" s="15"/>
      <c r="EH144" s="15"/>
      <c r="EI144" s="15"/>
      <c r="EJ144" s="15"/>
      <c r="EK144" s="15"/>
      <c r="EL144" s="15"/>
      <c r="EM144" s="15"/>
      <c r="EN144" s="15"/>
      <c r="EO144" s="15"/>
      <c r="EP144" s="15"/>
      <c r="EQ144" s="15"/>
      <c r="ER144" s="15"/>
      <c r="ES144" s="15"/>
      <c r="ET144" s="15"/>
      <c r="EU144" s="15"/>
      <c r="EV144" s="15"/>
      <c r="EW144" s="15"/>
      <c r="EX144" s="15"/>
      <c r="EY144" s="15"/>
      <c r="EZ144" s="15"/>
      <c r="FA144" s="15"/>
      <c r="FB144" s="15"/>
      <c r="FC144" s="15"/>
      <c r="FD144" s="15"/>
      <c r="FE144" s="15"/>
      <c r="FF144" s="15"/>
      <c r="FG144" s="15"/>
      <c r="FH144" s="15"/>
      <c r="FI144" s="15"/>
      <c r="FJ144" s="15"/>
      <c r="FK144" s="15"/>
      <c r="FL144" s="15"/>
      <c r="FM144" s="15"/>
      <c r="FN144" s="15"/>
      <c r="FO144" s="15"/>
      <c r="FP144" s="15"/>
      <c r="FQ144" s="15"/>
      <c r="FR144" s="15"/>
      <c r="FS144" s="15"/>
      <c r="FT144" s="15"/>
      <c r="FU144" s="15"/>
      <c r="FV144" s="15"/>
      <c r="FW144" s="15"/>
      <c r="FX144" s="15"/>
      <c r="FY144" s="15"/>
      <c r="FZ144" s="15"/>
      <c r="GA144" s="15"/>
      <c r="GB144" s="15"/>
      <c r="GC144" s="15"/>
      <c r="GD144" s="15"/>
      <c r="GE144" s="15"/>
      <c r="GF144" s="15"/>
      <c r="GG144" s="15"/>
      <c r="GH144" s="15"/>
      <c r="GI144" s="15"/>
      <c r="GJ144" s="15"/>
      <c r="GK144" s="15"/>
      <c r="GL144" s="15"/>
      <c r="GM144" s="15"/>
      <c r="GN144" s="15"/>
      <c r="GO144" s="15"/>
      <c r="GP144" s="15"/>
      <c r="GQ144" s="15"/>
      <c r="GR144" s="15"/>
      <c r="GS144" s="15"/>
      <c r="GT144" s="15"/>
      <c r="GU144" s="15"/>
      <c r="GV144" s="15"/>
      <c r="GW144" s="15"/>
      <c r="GX144" s="15"/>
      <c r="GY144" s="15"/>
      <c r="GZ144" s="15"/>
      <c r="HA144" s="15"/>
      <c r="HB144" s="15"/>
      <c r="HC144" s="15"/>
      <c r="HD144" s="15"/>
      <c r="HE144" s="15"/>
      <c r="HF144" s="15"/>
      <c r="HG144" s="15"/>
      <c r="HH144" s="15"/>
      <c r="HI144" s="15"/>
      <c r="HJ144" s="15"/>
      <c r="HK144" s="15"/>
      <c r="HL144" s="15"/>
      <c r="HM144" s="15"/>
      <c r="HN144" s="15"/>
      <c r="HO144" s="15"/>
      <c r="HP144" s="15"/>
      <c r="HQ144" s="15"/>
      <c r="HR144" s="15"/>
      <c r="HS144" s="15"/>
      <c r="HT144" s="15"/>
      <c r="HU144" s="15"/>
      <c r="HV144" s="15"/>
      <c r="HW144" s="15"/>
      <c r="HX144" s="15"/>
      <c r="HY144" s="15"/>
      <c r="HZ144" s="15"/>
      <c r="IA144" s="15"/>
      <c r="IB144" s="15"/>
      <c r="IC144" s="15"/>
      <c r="ID144" s="15"/>
      <c r="IE144" s="15"/>
      <c r="IF144" s="15"/>
      <c r="IG144" s="15"/>
      <c r="IH144" s="15"/>
      <c r="II144" s="15"/>
      <c r="IJ144" s="15"/>
      <c r="IK144" s="15"/>
      <c r="IL144" s="15"/>
      <c r="IM144" s="15"/>
      <c r="IN144" s="15"/>
      <c r="IO144" s="15"/>
      <c r="IP144" s="15"/>
      <c r="IQ144" s="15"/>
      <c r="IR144" s="15"/>
      <c r="IS144" s="15"/>
      <c r="IT144" s="15"/>
      <c r="IU144" s="15"/>
      <c r="IV144" s="15"/>
      <c r="IW144" s="15"/>
      <c r="IX144" s="15"/>
      <c r="IY144" s="15"/>
      <c r="IZ144" s="15"/>
      <c r="JA144" s="15"/>
      <c r="JB144" s="15"/>
      <c r="JC144" s="15"/>
      <c r="JD144" s="15"/>
      <c r="JE144" s="15"/>
      <c r="JF144" s="15"/>
      <c r="JG144" s="15"/>
      <c r="JH144" s="15"/>
      <c r="JI144" s="15"/>
      <c r="JJ144" s="15"/>
      <c r="JK144" s="15"/>
      <c r="JL144" s="15"/>
      <c r="JM144" s="15"/>
      <c r="JN144" s="15"/>
      <c r="JO144" s="15"/>
      <c r="JP144" s="15"/>
      <c r="JQ144" s="15"/>
      <c r="JR144" s="15"/>
      <c r="JS144" s="15"/>
      <c r="JT144" s="15"/>
      <c r="JU144" s="15"/>
      <c r="JV144" s="15"/>
      <c r="JW144" s="15"/>
      <c r="JX144" s="15"/>
      <c r="JY144" s="15"/>
      <c r="JZ144" s="15"/>
      <c r="KA144" s="15"/>
      <c r="KB144" s="15"/>
      <c r="KC144" s="15"/>
      <c r="KD144" s="15"/>
      <c r="KE144" s="15"/>
      <c r="KF144" s="15"/>
      <c r="KG144" s="15"/>
      <c r="KH144" s="15"/>
      <c r="KI144" s="15"/>
      <c r="KJ144" s="15"/>
      <c r="KK144" s="15"/>
      <c r="KL144" s="15"/>
      <c r="KM144" s="15"/>
      <c r="KN144" s="15"/>
      <c r="KO144" s="15"/>
      <c r="KP144" s="15"/>
      <c r="KQ144" s="15"/>
      <c r="KR144" s="15"/>
      <c r="KS144" s="15"/>
      <c r="KT144" s="15"/>
      <c r="KU144" s="15"/>
      <c r="KV144" s="15"/>
      <c r="KW144" s="15"/>
      <c r="KX144" s="15"/>
      <c r="KY144" s="15"/>
      <c r="KZ144" s="15"/>
      <c r="LA144" s="15"/>
      <c r="LB144" s="15"/>
      <c r="LC144" s="15"/>
      <c r="LD144" s="15"/>
      <c r="LE144" s="15"/>
      <c r="LF144" s="15"/>
      <c r="LG144" s="15"/>
      <c r="LH144" s="15"/>
      <c r="LI144" s="15"/>
      <c r="LJ144" s="15"/>
      <c r="LK144" s="15"/>
      <c r="LL144" s="15"/>
      <c r="LM144" s="15"/>
      <c r="LN144" s="15"/>
      <c r="LO144" s="15"/>
      <c r="LP144" s="15"/>
      <c r="LQ144" s="15"/>
      <c r="LR144" s="15"/>
      <c r="LS144" s="15"/>
      <c r="LT144" s="15"/>
      <c r="LU144" s="15"/>
      <c r="LV144" s="15"/>
      <c r="LW144" s="15"/>
      <c r="LX144" s="15"/>
      <c r="LY144" s="15"/>
      <c r="LZ144" s="15"/>
      <c r="MA144" s="15"/>
      <c r="MB144" s="15"/>
      <c r="MC144" s="15"/>
      <c r="MD144" s="15"/>
      <c r="ME144" s="15"/>
      <c r="MF144" s="15"/>
      <c r="MG144" s="15"/>
      <c r="MH144" s="15"/>
      <c r="MI144" s="15"/>
      <c r="MJ144" s="15"/>
      <c r="MK144" s="15"/>
      <c r="ML144" s="15"/>
      <c r="MM144" s="15"/>
      <c r="MN144" s="15"/>
      <c r="MO144" s="15"/>
      <c r="MP144" s="15"/>
      <c r="MQ144" s="15"/>
      <c r="MR144" s="15"/>
      <c r="MS144" s="15"/>
      <c r="MT144" s="15"/>
      <c r="MU144" s="15"/>
      <c r="MV144" s="15"/>
      <c r="MW144" s="15"/>
    </row>
    <row r="145" ht="119.25" customHeight="1">
      <c r="A145" s="13" t="s">
        <v>144</v>
      </c>
      <c r="B145" s="14" t="s">
        <v>10159</v>
      </c>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15"/>
      <c r="FG145" s="15"/>
      <c r="FH145" s="15"/>
      <c r="FI145" s="15"/>
      <c r="FJ145" s="15"/>
      <c r="FK145" s="15"/>
      <c r="FL145" s="15"/>
      <c r="FM145" s="15"/>
      <c r="FN145" s="15"/>
      <c r="FO145" s="15"/>
      <c r="FP145" s="15"/>
      <c r="FQ145" s="15"/>
      <c r="FR145" s="15"/>
      <c r="FS145" s="15"/>
      <c r="FT145" s="15"/>
      <c r="FU145" s="15"/>
      <c r="FV145" s="15"/>
      <c r="FW145" s="15"/>
      <c r="FX145" s="15"/>
      <c r="FY145" s="15"/>
      <c r="FZ145" s="15"/>
      <c r="GA145" s="15"/>
      <c r="GB145" s="15"/>
      <c r="GC145" s="15"/>
      <c r="GD145" s="15"/>
      <c r="GE145" s="15"/>
      <c r="GF145" s="15"/>
      <c r="GG145" s="15"/>
      <c r="GH145" s="15"/>
      <c r="GI145" s="15"/>
      <c r="GJ145" s="15"/>
      <c r="GK145" s="15"/>
      <c r="GL145" s="15"/>
      <c r="GM145" s="15"/>
      <c r="GN145" s="15"/>
      <c r="GO145" s="15"/>
      <c r="GP145" s="15"/>
      <c r="GQ145" s="15"/>
      <c r="GR145" s="15"/>
      <c r="GS145" s="15"/>
      <c r="GT145" s="15"/>
      <c r="GU145" s="15"/>
      <c r="GV145" s="15"/>
      <c r="GW145" s="15"/>
      <c r="GX145" s="15"/>
      <c r="GY145" s="15"/>
      <c r="GZ145" s="15"/>
      <c r="HA145" s="15"/>
      <c r="HB145" s="15"/>
      <c r="HC145" s="15"/>
      <c r="HD145" s="15"/>
      <c r="HE145" s="15"/>
      <c r="HF145" s="15"/>
      <c r="HG145" s="15"/>
      <c r="HH145" s="15"/>
      <c r="HI145" s="15"/>
      <c r="HJ145" s="15"/>
      <c r="HK145" s="15"/>
      <c r="HL145" s="15"/>
      <c r="HM145" s="15"/>
      <c r="HN145" s="15"/>
      <c r="HO145" s="15"/>
      <c r="HP145" s="15"/>
      <c r="HQ145" s="15"/>
      <c r="HR145" s="15"/>
      <c r="HS145" s="15"/>
      <c r="HT145" s="15"/>
      <c r="HU145" s="15"/>
      <c r="HV145" s="15"/>
      <c r="HW145" s="15"/>
      <c r="HX145" s="15"/>
      <c r="HY145" s="15"/>
      <c r="HZ145" s="15"/>
      <c r="IA145" s="15"/>
      <c r="IB145" s="15"/>
      <c r="IC145" s="15"/>
      <c r="ID145" s="15"/>
      <c r="IE145" s="15"/>
      <c r="IF145" s="15"/>
      <c r="IG145" s="15"/>
      <c r="IH145" s="15"/>
      <c r="II145" s="15"/>
      <c r="IJ145" s="15"/>
      <c r="IK145" s="15"/>
      <c r="IL145" s="15"/>
      <c r="IM145" s="15"/>
      <c r="IN145" s="15"/>
      <c r="IO145" s="15"/>
      <c r="IP145" s="15"/>
      <c r="IQ145" s="15"/>
      <c r="IR145" s="15"/>
      <c r="IS145" s="15"/>
      <c r="IT145" s="15"/>
      <c r="IU145" s="15"/>
      <c r="IV145" s="15"/>
      <c r="IW145" s="15"/>
      <c r="IX145" s="15"/>
      <c r="IY145" s="15"/>
      <c r="IZ145" s="15"/>
      <c r="JA145" s="15"/>
      <c r="JB145" s="15"/>
      <c r="JC145" s="15"/>
      <c r="JD145" s="15"/>
      <c r="JE145" s="15"/>
      <c r="JF145" s="15"/>
      <c r="JG145" s="15"/>
      <c r="JH145" s="15"/>
      <c r="JI145" s="15"/>
      <c r="JJ145" s="15"/>
      <c r="JK145" s="15"/>
      <c r="JL145" s="15"/>
      <c r="JM145" s="15"/>
      <c r="JN145" s="15"/>
      <c r="JO145" s="15"/>
      <c r="JP145" s="15"/>
      <c r="JQ145" s="15"/>
      <c r="JR145" s="15"/>
      <c r="JS145" s="15"/>
      <c r="JT145" s="15"/>
      <c r="JU145" s="15"/>
      <c r="JV145" s="15"/>
      <c r="JW145" s="15"/>
      <c r="JX145" s="15"/>
      <c r="JY145" s="15"/>
      <c r="JZ145" s="15"/>
      <c r="KA145" s="15"/>
      <c r="KB145" s="15"/>
      <c r="KC145" s="15"/>
      <c r="KD145" s="15"/>
      <c r="KE145" s="15"/>
      <c r="KF145" s="15"/>
      <c r="KG145" s="15"/>
      <c r="KH145" s="15"/>
      <c r="KI145" s="15"/>
      <c r="KJ145" s="15"/>
      <c r="KK145" s="15"/>
      <c r="KL145" s="15"/>
      <c r="KM145" s="15"/>
      <c r="KN145" s="15"/>
      <c r="KO145" s="15"/>
      <c r="KP145" s="15"/>
      <c r="KQ145" s="15"/>
      <c r="KR145" s="15"/>
      <c r="KS145" s="15"/>
      <c r="KT145" s="15"/>
      <c r="KU145" s="15"/>
      <c r="KV145" s="15"/>
      <c r="KW145" s="15"/>
      <c r="KX145" s="15"/>
      <c r="KY145" s="15"/>
      <c r="KZ145" s="15"/>
      <c r="LA145" s="15"/>
      <c r="LB145" s="15"/>
      <c r="LC145" s="15"/>
      <c r="LD145" s="15"/>
      <c r="LE145" s="15"/>
      <c r="LF145" s="15"/>
      <c r="LG145" s="15"/>
      <c r="LH145" s="15"/>
      <c r="LI145" s="15"/>
      <c r="LJ145" s="15"/>
      <c r="LK145" s="15"/>
      <c r="LL145" s="15"/>
      <c r="LM145" s="15"/>
      <c r="LN145" s="15"/>
      <c r="LO145" s="15"/>
      <c r="LP145" s="15"/>
      <c r="LQ145" s="15"/>
      <c r="LR145" s="15"/>
      <c r="LS145" s="15"/>
      <c r="LT145" s="15"/>
      <c r="LU145" s="15"/>
      <c r="LV145" s="15"/>
      <c r="LW145" s="15"/>
      <c r="LX145" s="15"/>
      <c r="LY145" s="15"/>
      <c r="LZ145" s="15"/>
      <c r="MA145" s="15"/>
      <c r="MB145" s="15"/>
      <c r="MC145" s="15"/>
      <c r="MD145" s="15"/>
      <c r="ME145" s="15"/>
      <c r="MF145" s="15"/>
      <c r="MG145" s="15"/>
      <c r="MH145" s="15"/>
      <c r="MI145" s="15"/>
      <c r="MJ145" s="15"/>
      <c r="MK145" s="15"/>
      <c r="ML145" s="15"/>
      <c r="MM145" s="15"/>
      <c r="MN145" s="15"/>
      <c r="MO145" s="15"/>
      <c r="MP145" s="15"/>
      <c r="MQ145" s="15"/>
      <c r="MR145" s="15"/>
      <c r="MS145" s="15"/>
      <c r="MT145" s="15"/>
      <c r="MU145" s="15"/>
      <c r="MV145" s="15"/>
      <c r="MW145" s="15"/>
    </row>
    <row r="146" ht="41.25" customHeight="1">
      <c r="A146" s="13" t="s">
        <v>145</v>
      </c>
      <c r="B146" s="14" t="s">
        <v>10160</v>
      </c>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c r="DF146" s="15"/>
      <c r="DG146" s="15"/>
      <c r="DH146" s="15"/>
      <c r="DI146" s="15"/>
      <c r="DJ146" s="15"/>
      <c r="DK146" s="15"/>
      <c r="DL146" s="15"/>
      <c r="DM146" s="15"/>
      <c r="DN146" s="15"/>
      <c r="DO146" s="15"/>
      <c r="DP146" s="15"/>
      <c r="DQ146" s="15"/>
      <c r="DR146" s="15"/>
      <c r="DS146" s="15"/>
      <c r="DT146" s="15"/>
      <c r="DU146" s="15"/>
      <c r="DV146" s="15"/>
      <c r="DW146" s="15"/>
      <c r="DX146" s="15"/>
      <c r="DY146" s="15"/>
      <c r="DZ146" s="15"/>
      <c r="EA146" s="15"/>
      <c r="EB146" s="15"/>
      <c r="EC146" s="15"/>
      <c r="ED146" s="15"/>
      <c r="EE146" s="15"/>
      <c r="EF146" s="15"/>
      <c r="EG146" s="15"/>
      <c r="EH146" s="15"/>
      <c r="EI146" s="15"/>
      <c r="EJ146" s="15"/>
      <c r="EK146" s="15"/>
      <c r="EL146" s="15"/>
      <c r="EM146" s="15"/>
      <c r="EN146" s="15"/>
      <c r="EO146" s="15"/>
      <c r="EP146" s="15"/>
      <c r="EQ146" s="15"/>
      <c r="ER146" s="15"/>
      <c r="ES146" s="15"/>
      <c r="ET146" s="15"/>
      <c r="EU146" s="15"/>
      <c r="EV146" s="15"/>
      <c r="EW146" s="15"/>
      <c r="EX146" s="15"/>
      <c r="EY146" s="15"/>
      <c r="EZ146" s="15"/>
      <c r="FA146" s="15"/>
      <c r="FB146" s="15"/>
      <c r="FC146" s="15"/>
      <c r="FD146" s="15"/>
      <c r="FE146" s="15"/>
      <c r="FF146" s="15"/>
      <c r="FG146" s="15"/>
      <c r="FH146" s="15"/>
      <c r="FI146" s="15"/>
      <c r="FJ146" s="15"/>
      <c r="FK146" s="15"/>
      <c r="FL146" s="15"/>
      <c r="FM146" s="15"/>
      <c r="FN146" s="15"/>
      <c r="FO146" s="15"/>
      <c r="FP146" s="15"/>
      <c r="FQ146" s="15"/>
      <c r="FR146" s="15"/>
      <c r="FS146" s="15"/>
      <c r="FT146" s="15"/>
      <c r="FU146" s="15"/>
      <c r="FV146" s="15"/>
      <c r="FW146" s="15"/>
      <c r="FX146" s="15"/>
      <c r="FY146" s="15"/>
      <c r="FZ146" s="15"/>
      <c r="GA146" s="15"/>
      <c r="GB146" s="15"/>
      <c r="GC146" s="15"/>
      <c r="GD146" s="15"/>
      <c r="GE146" s="15"/>
      <c r="GF146" s="15"/>
      <c r="GG146" s="15"/>
      <c r="GH146" s="15"/>
      <c r="GI146" s="15"/>
      <c r="GJ146" s="15"/>
      <c r="GK146" s="15"/>
      <c r="GL146" s="15"/>
      <c r="GM146" s="15"/>
      <c r="GN146" s="15"/>
      <c r="GO146" s="15"/>
      <c r="GP146" s="15"/>
      <c r="GQ146" s="15"/>
      <c r="GR146" s="15"/>
      <c r="GS146" s="15"/>
      <c r="GT146" s="15"/>
      <c r="GU146" s="15"/>
      <c r="GV146" s="15"/>
      <c r="GW146" s="15"/>
      <c r="GX146" s="15"/>
      <c r="GY146" s="15"/>
      <c r="GZ146" s="15"/>
      <c r="HA146" s="15"/>
      <c r="HB146" s="15"/>
      <c r="HC146" s="15"/>
      <c r="HD146" s="15"/>
      <c r="HE146" s="15"/>
      <c r="HF146" s="15"/>
      <c r="HG146" s="15"/>
      <c r="HH146" s="15"/>
      <c r="HI146" s="15"/>
      <c r="HJ146" s="15"/>
      <c r="HK146" s="15"/>
      <c r="HL146" s="15"/>
      <c r="HM146" s="15"/>
      <c r="HN146" s="15"/>
      <c r="HO146" s="15"/>
      <c r="HP146" s="15"/>
      <c r="HQ146" s="15"/>
      <c r="HR146" s="15"/>
      <c r="HS146" s="15"/>
      <c r="HT146" s="15"/>
      <c r="HU146" s="15"/>
      <c r="HV146" s="15"/>
      <c r="HW146" s="15"/>
      <c r="HX146" s="15"/>
      <c r="HY146" s="15"/>
      <c r="HZ146" s="15"/>
      <c r="IA146" s="15"/>
      <c r="IB146" s="15"/>
      <c r="IC146" s="15"/>
      <c r="ID146" s="15"/>
      <c r="IE146" s="15"/>
      <c r="IF146" s="15"/>
      <c r="IG146" s="15"/>
      <c r="IH146" s="15"/>
      <c r="II146" s="15"/>
      <c r="IJ146" s="15"/>
      <c r="IK146" s="15"/>
      <c r="IL146" s="15"/>
      <c r="IM146" s="15"/>
      <c r="IN146" s="15"/>
      <c r="IO146" s="15"/>
      <c r="IP146" s="15"/>
      <c r="IQ146" s="15"/>
      <c r="IR146" s="15"/>
      <c r="IS146" s="15"/>
      <c r="IT146" s="15"/>
      <c r="IU146" s="15"/>
      <c r="IV146" s="15"/>
      <c r="IW146" s="15"/>
      <c r="IX146" s="15"/>
      <c r="IY146" s="15"/>
      <c r="IZ146" s="15"/>
      <c r="JA146" s="15"/>
      <c r="JB146" s="15"/>
      <c r="JC146" s="15"/>
      <c r="JD146" s="15"/>
      <c r="JE146" s="15"/>
      <c r="JF146" s="15"/>
      <c r="JG146" s="15"/>
      <c r="JH146" s="15"/>
      <c r="JI146" s="15"/>
      <c r="JJ146" s="15"/>
      <c r="JK146" s="15"/>
      <c r="JL146" s="15"/>
      <c r="JM146" s="15"/>
      <c r="JN146" s="15"/>
      <c r="JO146" s="15"/>
      <c r="JP146" s="15"/>
      <c r="JQ146" s="15"/>
      <c r="JR146" s="15"/>
      <c r="JS146" s="15"/>
      <c r="JT146" s="15"/>
      <c r="JU146" s="15"/>
      <c r="JV146" s="15"/>
      <c r="JW146" s="15"/>
      <c r="JX146" s="15"/>
      <c r="JY146" s="15"/>
      <c r="JZ146" s="15"/>
      <c r="KA146" s="15"/>
      <c r="KB146" s="15"/>
      <c r="KC146" s="15"/>
      <c r="KD146" s="15"/>
      <c r="KE146" s="15"/>
      <c r="KF146" s="15"/>
      <c r="KG146" s="15"/>
      <c r="KH146" s="15"/>
      <c r="KI146" s="15"/>
      <c r="KJ146" s="15"/>
      <c r="KK146" s="15"/>
      <c r="KL146" s="15"/>
      <c r="KM146" s="15"/>
      <c r="KN146" s="15"/>
      <c r="KO146" s="15"/>
      <c r="KP146" s="15"/>
      <c r="KQ146" s="15"/>
      <c r="KR146" s="15"/>
      <c r="KS146" s="15"/>
      <c r="KT146" s="15"/>
      <c r="KU146" s="15"/>
      <c r="KV146" s="15"/>
      <c r="KW146" s="15"/>
      <c r="KX146" s="15"/>
      <c r="KY146" s="15"/>
      <c r="KZ146" s="15"/>
      <c r="LA146" s="15"/>
      <c r="LB146" s="15"/>
      <c r="LC146" s="15"/>
      <c r="LD146" s="15"/>
      <c r="LE146" s="15"/>
      <c r="LF146" s="15"/>
      <c r="LG146" s="15"/>
      <c r="LH146" s="15"/>
      <c r="LI146" s="15"/>
      <c r="LJ146" s="15"/>
      <c r="LK146" s="15"/>
      <c r="LL146" s="15"/>
      <c r="LM146" s="15"/>
      <c r="LN146" s="15"/>
      <c r="LO146" s="15"/>
      <c r="LP146" s="15"/>
      <c r="LQ146" s="15"/>
      <c r="LR146" s="15"/>
      <c r="LS146" s="15"/>
      <c r="LT146" s="15"/>
      <c r="LU146" s="15"/>
      <c r="LV146" s="15"/>
      <c r="LW146" s="15"/>
      <c r="LX146" s="15"/>
      <c r="LY146" s="15"/>
      <c r="LZ146" s="15"/>
      <c r="MA146" s="15"/>
      <c r="MB146" s="15"/>
      <c r="MC146" s="15"/>
      <c r="MD146" s="15"/>
      <c r="ME146" s="15"/>
      <c r="MF146" s="15"/>
      <c r="MG146" s="15"/>
      <c r="MH146" s="15"/>
      <c r="MI146" s="15"/>
      <c r="MJ146" s="15"/>
      <c r="MK146" s="15"/>
      <c r="ML146" s="15"/>
      <c r="MM146" s="15"/>
      <c r="MN146" s="15"/>
      <c r="MO146" s="15"/>
      <c r="MP146" s="15"/>
      <c r="MQ146" s="15"/>
      <c r="MR146" s="15"/>
      <c r="MS146" s="15"/>
      <c r="MT146" s="15"/>
      <c r="MU146" s="15"/>
      <c r="MV146" s="15"/>
      <c r="MW146" s="15"/>
    </row>
    <row r="147" ht="119.25" customHeight="1">
      <c r="A147" s="13" t="s">
        <v>146</v>
      </c>
      <c r="B147" s="14" t="s">
        <v>10161</v>
      </c>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c r="DF147" s="15"/>
      <c r="DG147" s="15"/>
      <c r="DH147" s="15"/>
      <c r="DI147" s="15"/>
      <c r="DJ147" s="15"/>
      <c r="DK147" s="15"/>
      <c r="DL147" s="15"/>
      <c r="DM147" s="15"/>
      <c r="DN147" s="15"/>
      <c r="DO147" s="15"/>
      <c r="DP147" s="15"/>
      <c r="DQ147" s="15"/>
      <c r="DR147" s="15"/>
      <c r="DS147" s="15"/>
      <c r="DT147" s="15"/>
      <c r="DU147" s="15"/>
      <c r="DV147" s="15"/>
      <c r="DW147" s="15"/>
      <c r="DX147" s="15"/>
      <c r="DY147" s="15"/>
      <c r="DZ147" s="15"/>
      <c r="EA147" s="15"/>
      <c r="EB147" s="15"/>
      <c r="EC147" s="15"/>
      <c r="ED147" s="15"/>
      <c r="EE147" s="15"/>
      <c r="EF147" s="15"/>
      <c r="EG147" s="15"/>
      <c r="EH147" s="15"/>
      <c r="EI147" s="15"/>
      <c r="EJ147" s="15"/>
      <c r="EK147" s="15"/>
      <c r="EL147" s="15"/>
      <c r="EM147" s="15"/>
      <c r="EN147" s="15"/>
      <c r="EO147" s="15"/>
      <c r="EP147" s="15"/>
      <c r="EQ147" s="15"/>
      <c r="ER147" s="15"/>
      <c r="ES147" s="15"/>
      <c r="ET147" s="15"/>
      <c r="EU147" s="15"/>
      <c r="EV147" s="15"/>
      <c r="EW147" s="15"/>
      <c r="EX147" s="15"/>
      <c r="EY147" s="15"/>
      <c r="EZ147" s="15"/>
      <c r="FA147" s="15"/>
      <c r="FB147" s="15"/>
      <c r="FC147" s="15"/>
      <c r="FD147" s="15"/>
      <c r="FE147" s="15"/>
      <c r="FF147" s="15"/>
      <c r="FG147" s="15"/>
      <c r="FH147" s="15"/>
      <c r="FI147" s="15"/>
      <c r="FJ147" s="15"/>
      <c r="FK147" s="15"/>
      <c r="FL147" s="15"/>
      <c r="FM147" s="15"/>
      <c r="FN147" s="15"/>
      <c r="FO147" s="15"/>
      <c r="FP147" s="15"/>
      <c r="FQ147" s="15"/>
      <c r="FR147" s="15"/>
      <c r="FS147" s="15"/>
      <c r="FT147" s="15"/>
      <c r="FU147" s="15"/>
      <c r="FV147" s="15"/>
      <c r="FW147" s="15"/>
      <c r="FX147" s="15"/>
      <c r="FY147" s="15"/>
      <c r="FZ147" s="15"/>
      <c r="GA147" s="15"/>
      <c r="GB147" s="15"/>
      <c r="GC147" s="15"/>
      <c r="GD147" s="15"/>
      <c r="GE147" s="15"/>
      <c r="GF147" s="15"/>
      <c r="GG147" s="15"/>
      <c r="GH147" s="15"/>
      <c r="GI147" s="15"/>
      <c r="GJ147" s="15"/>
      <c r="GK147" s="15"/>
      <c r="GL147" s="15"/>
      <c r="GM147" s="15"/>
      <c r="GN147" s="15"/>
      <c r="GO147" s="15"/>
      <c r="GP147" s="15"/>
      <c r="GQ147" s="15"/>
      <c r="GR147" s="15"/>
      <c r="GS147" s="15"/>
      <c r="GT147" s="15"/>
      <c r="GU147" s="15"/>
      <c r="GV147" s="15"/>
      <c r="GW147" s="15"/>
      <c r="GX147" s="15"/>
      <c r="GY147" s="15"/>
      <c r="GZ147" s="15"/>
      <c r="HA147" s="15"/>
      <c r="HB147" s="15"/>
      <c r="HC147" s="15"/>
      <c r="HD147" s="15"/>
      <c r="HE147" s="15"/>
      <c r="HF147" s="15"/>
      <c r="HG147" s="15"/>
      <c r="HH147" s="15"/>
      <c r="HI147" s="15"/>
      <c r="HJ147" s="15"/>
      <c r="HK147" s="15"/>
      <c r="HL147" s="15"/>
      <c r="HM147" s="15"/>
      <c r="HN147" s="15"/>
      <c r="HO147" s="15"/>
      <c r="HP147" s="15"/>
      <c r="HQ147" s="15"/>
      <c r="HR147" s="15"/>
      <c r="HS147" s="15"/>
      <c r="HT147" s="15"/>
      <c r="HU147" s="15"/>
      <c r="HV147" s="15"/>
      <c r="HW147" s="15"/>
      <c r="HX147" s="15"/>
      <c r="HY147" s="15"/>
      <c r="HZ147" s="15"/>
      <c r="IA147" s="15"/>
      <c r="IB147" s="15"/>
      <c r="IC147" s="15"/>
      <c r="ID147" s="15"/>
      <c r="IE147" s="15"/>
      <c r="IF147" s="15"/>
      <c r="IG147" s="15"/>
      <c r="IH147" s="15"/>
      <c r="II147" s="15"/>
      <c r="IJ147" s="15"/>
      <c r="IK147" s="15"/>
      <c r="IL147" s="15"/>
      <c r="IM147" s="15"/>
      <c r="IN147" s="15"/>
      <c r="IO147" s="15"/>
      <c r="IP147" s="15"/>
      <c r="IQ147" s="15"/>
      <c r="IR147" s="15"/>
      <c r="IS147" s="15"/>
      <c r="IT147" s="15"/>
      <c r="IU147" s="15"/>
      <c r="IV147" s="15"/>
      <c r="IW147" s="15"/>
      <c r="IX147" s="15"/>
      <c r="IY147" s="15"/>
      <c r="IZ147" s="15"/>
      <c r="JA147" s="15"/>
      <c r="JB147" s="15"/>
      <c r="JC147" s="15"/>
      <c r="JD147" s="15"/>
      <c r="JE147" s="15"/>
      <c r="JF147" s="15"/>
      <c r="JG147" s="15"/>
      <c r="JH147" s="15"/>
      <c r="JI147" s="15"/>
      <c r="JJ147" s="15"/>
      <c r="JK147" s="15"/>
      <c r="JL147" s="15"/>
      <c r="JM147" s="15"/>
      <c r="JN147" s="15"/>
      <c r="JO147" s="15"/>
      <c r="JP147" s="15"/>
      <c r="JQ147" s="15"/>
      <c r="JR147" s="15"/>
      <c r="JS147" s="15"/>
      <c r="JT147" s="15"/>
      <c r="JU147" s="15"/>
      <c r="JV147" s="15"/>
      <c r="JW147" s="15"/>
      <c r="JX147" s="15"/>
      <c r="JY147" s="15"/>
      <c r="JZ147" s="15"/>
      <c r="KA147" s="15"/>
      <c r="KB147" s="15"/>
      <c r="KC147" s="15"/>
      <c r="KD147" s="15"/>
      <c r="KE147" s="15"/>
      <c r="KF147" s="15"/>
      <c r="KG147" s="15"/>
      <c r="KH147" s="15"/>
      <c r="KI147" s="15"/>
      <c r="KJ147" s="15"/>
      <c r="KK147" s="15"/>
      <c r="KL147" s="15"/>
      <c r="KM147" s="15"/>
      <c r="KN147" s="15"/>
      <c r="KO147" s="15"/>
      <c r="KP147" s="15"/>
      <c r="KQ147" s="15"/>
      <c r="KR147" s="15"/>
      <c r="KS147" s="15"/>
      <c r="KT147" s="15"/>
      <c r="KU147" s="15"/>
      <c r="KV147" s="15"/>
      <c r="KW147" s="15"/>
      <c r="KX147" s="15"/>
      <c r="KY147" s="15"/>
      <c r="KZ147" s="15"/>
      <c r="LA147" s="15"/>
      <c r="LB147" s="15"/>
      <c r="LC147" s="15"/>
      <c r="LD147" s="15"/>
      <c r="LE147" s="15"/>
      <c r="LF147" s="15"/>
      <c r="LG147" s="15"/>
      <c r="LH147" s="15"/>
      <c r="LI147" s="15"/>
      <c r="LJ147" s="15"/>
      <c r="LK147" s="15"/>
      <c r="LL147" s="15"/>
      <c r="LM147" s="15"/>
      <c r="LN147" s="15"/>
      <c r="LO147" s="15"/>
      <c r="LP147" s="15"/>
      <c r="LQ147" s="15"/>
      <c r="LR147" s="15"/>
      <c r="LS147" s="15"/>
      <c r="LT147" s="15"/>
      <c r="LU147" s="15"/>
      <c r="LV147" s="15"/>
      <c r="LW147" s="15"/>
      <c r="LX147" s="15"/>
      <c r="LY147" s="15"/>
      <c r="LZ147" s="15"/>
      <c r="MA147" s="15"/>
      <c r="MB147" s="15"/>
      <c r="MC147" s="15"/>
      <c r="MD147" s="15"/>
      <c r="ME147" s="15"/>
      <c r="MF147" s="15"/>
      <c r="MG147" s="15"/>
      <c r="MH147" s="15"/>
      <c r="MI147" s="15"/>
      <c r="MJ147" s="15"/>
      <c r="MK147" s="15"/>
      <c r="ML147" s="15"/>
      <c r="MM147" s="15"/>
      <c r="MN147" s="15"/>
      <c r="MO147" s="15"/>
      <c r="MP147" s="15"/>
      <c r="MQ147" s="15"/>
      <c r="MR147" s="15"/>
      <c r="MS147" s="15"/>
      <c r="MT147" s="15"/>
      <c r="MU147" s="15"/>
      <c r="MV147" s="15"/>
      <c r="MW147" s="15"/>
    </row>
    <row r="148" ht="41.25" customHeight="1">
      <c r="A148" s="13" t="s">
        <v>147</v>
      </c>
      <c r="B148" s="14" t="s">
        <v>10162</v>
      </c>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c r="DF148" s="15"/>
      <c r="DG148" s="15"/>
      <c r="DH148" s="15"/>
      <c r="DI148" s="15"/>
      <c r="DJ148" s="15"/>
      <c r="DK148" s="15"/>
      <c r="DL148" s="15"/>
      <c r="DM148" s="15"/>
      <c r="DN148" s="15"/>
      <c r="DO148" s="15"/>
      <c r="DP148" s="15"/>
      <c r="DQ148" s="15"/>
      <c r="DR148" s="15"/>
      <c r="DS148" s="15"/>
      <c r="DT148" s="15"/>
      <c r="DU148" s="15"/>
      <c r="DV148" s="15"/>
      <c r="DW148" s="15"/>
      <c r="DX148" s="15"/>
      <c r="DY148" s="15"/>
      <c r="DZ148" s="15"/>
      <c r="EA148" s="15"/>
      <c r="EB148" s="15"/>
      <c r="EC148" s="15"/>
      <c r="ED148" s="15"/>
      <c r="EE148" s="15"/>
      <c r="EF148" s="15"/>
      <c r="EG148" s="15"/>
      <c r="EH148" s="15"/>
      <c r="EI148" s="15"/>
      <c r="EJ148" s="15"/>
      <c r="EK148" s="15"/>
      <c r="EL148" s="15"/>
      <c r="EM148" s="15"/>
      <c r="EN148" s="15"/>
      <c r="EO148" s="15"/>
      <c r="EP148" s="15"/>
      <c r="EQ148" s="15"/>
      <c r="ER148" s="15"/>
      <c r="ES148" s="15"/>
      <c r="ET148" s="15"/>
      <c r="EU148" s="15"/>
      <c r="EV148" s="15"/>
      <c r="EW148" s="15"/>
      <c r="EX148" s="15"/>
      <c r="EY148" s="15"/>
      <c r="EZ148" s="15"/>
      <c r="FA148" s="15"/>
      <c r="FB148" s="15"/>
      <c r="FC148" s="15"/>
      <c r="FD148" s="15"/>
      <c r="FE148" s="15"/>
      <c r="FF148" s="15"/>
      <c r="FG148" s="15"/>
      <c r="FH148" s="15"/>
      <c r="FI148" s="15"/>
      <c r="FJ148" s="15"/>
      <c r="FK148" s="15"/>
      <c r="FL148" s="15"/>
      <c r="FM148" s="15"/>
      <c r="FN148" s="15"/>
      <c r="FO148" s="15"/>
      <c r="FP148" s="15"/>
      <c r="FQ148" s="15"/>
      <c r="FR148" s="15"/>
      <c r="FS148" s="15"/>
      <c r="FT148" s="15"/>
      <c r="FU148" s="15"/>
      <c r="FV148" s="15"/>
      <c r="FW148" s="15"/>
      <c r="FX148" s="15"/>
      <c r="FY148" s="15"/>
      <c r="FZ148" s="15"/>
      <c r="GA148" s="15"/>
      <c r="GB148" s="15"/>
      <c r="GC148" s="15"/>
      <c r="GD148" s="15"/>
      <c r="GE148" s="15"/>
      <c r="GF148" s="15"/>
      <c r="GG148" s="15"/>
      <c r="GH148" s="15"/>
      <c r="GI148" s="15"/>
      <c r="GJ148" s="15"/>
      <c r="GK148" s="15"/>
      <c r="GL148" s="15"/>
      <c r="GM148" s="15"/>
      <c r="GN148" s="15"/>
      <c r="GO148" s="15"/>
      <c r="GP148" s="15"/>
      <c r="GQ148" s="15"/>
      <c r="GR148" s="15"/>
      <c r="GS148" s="15"/>
      <c r="GT148" s="15"/>
      <c r="GU148" s="15"/>
      <c r="GV148" s="15"/>
      <c r="GW148" s="15"/>
      <c r="GX148" s="15"/>
      <c r="GY148" s="15"/>
      <c r="GZ148" s="15"/>
      <c r="HA148" s="15"/>
      <c r="HB148" s="15"/>
      <c r="HC148" s="15"/>
      <c r="HD148" s="15"/>
      <c r="HE148" s="15"/>
      <c r="HF148" s="15"/>
      <c r="HG148" s="15"/>
      <c r="HH148" s="15"/>
      <c r="HI148" s="15"/>
      <c r="HJ148" s="15"/>
      <c r="HK148" s="15"/>
      <c r="HL148" s="15"/>
      <c r="HM148" s="15"/>
      <c r="HN148" s="15"/>
      <c r="HO148" s="15"/>
      <c r="HP148" s="15"/>
      <c r="HQ148" s="15"/>
      <c r="HR148" s="15"/>
      <c r="HS148" s="15"/>
      <c r="HT148" s="15"/>
      <c r="HU148" s="15"/>
      <c r="HV148" s="15"/>
      <c r="HW148" s="15"/>
      <c r="HX148" s="15"/>
      <c r="HY148" s="15"/>
      <c r="HZ148" s="15"/>
      <c r="IA148" s="15"/>
      <c r="IB148" s="15"/>
      <c r="IC148" s="15"/>
      <c r="ID148" s="15"/>
      <c r="IE148" s="15"/>
      <c r="IF148" s="15"/>
      <c r="IG148" s="15"/>
      <c r="IH148" s="15"/>
      <c r="II148" s="15"/>
      <c r="IJ148" s="15"/>
      <c r="IK148" s="15"/>
      <c r="IL148" s="15"/>
      <c r="IM148" s="15"/>
      <c r="IN148" s="15"/>
      <c r="IO148" s="15"/>
      <c r="IP148" s="15"/>
      <c r="IQ148" s="15"/>
      <c r="IR148" s="15"/>
      <c r="IS148" s="15"/>
      <c r="IT148" s="15"/>
      <c r="IU148" s="15"/>
      <c r="IV148" s="15"/>
      <c r="IW148" s="15"/>
      <c r="IX148" s="15"/>
      <c r="IY148" s="15"/>
      <c r="IZ148" s="15"/>
      <c r="JA148" s="15"/>
      <c r="JB148" s="15"/>
      <c r="JC148" s="15"/>
      <c r="JD148" s="15"/>
      <c r="JE148" s="15"/>
      <c r="JF148" s="15"/>
      <c r="JG148" s="15"/>
      <c r="JH148" s="15"/>
      <c r="JI148" s="15"/>
      <c r="JJ148" s="15"/>
      <c r="JK148" s="15"/>
      <c r="JL148" s="15"/>
      <c r="JM148" s="15"/>
      <c r="JN148" s="15"/>
      <c r="JO148" s="15"/>
      <c r="JP148" s="15"/>
      <c r="JQ148" s="15"/>
      <c r="JR148" s="15"/>
      <c r="JS148" s="15"/>
      <c r="JT148" s="15"/>
      <c r="JU148" s="15"/>
      <c r="JV148" s="15"/>
      <c r="JW148" s="15"/>
      <c r="JX148" s="15"/>
      <c r="JY148" s="15"/>
      <c r="JZ148" s="15"/>
      <c r="KA148" s="15"/>
      <c r="KB148" s="15"/>
      <c r="KC148" s="15"/>
      <c r="KD148" s="15"/>
      <c r="KE148" s="15"/>
      <c r="KF148" s="15"/>
      <c r="KG148" s="15"/>
      <c r="KH148" s="15"/>
      <c r="KI148" s="15"/>
      <c r="KJ148" s="15"/>
      <c r="KK148" s="15"/>
      <c r="KL148" s="15"/>
      <c r="KM148" s="15"/>
      <c r="KN148" s="15"/>
      <c r="KO148" s="15"/>
      <c r="KP148" s="15"/>
      <c r="KQ148" s="15"/>
      <c r="KR148" s="15"/>
      <c r="KS148" s="15"/>
      <c r="KT148" s="15"/>
      <c r="KU148" s="15"/>
      <c r="KV148" s="15"/>
      <c r="KW148" s="15"/>
      <c r="KX148" s="15"/>
      <c r="KY148" s="15"/>
      <c r="KZ148" s="15"/>
      <c r="LA148" s="15"/>
      <c r="LB148" s="15"/>
      <c r="LC148" s="15"/>
      <c r="LD148" s="15"/>
      <c r="LE148" s="15"/>
      <c r="LF148" s="15"/>
      <c r="LG148" s="15"/>
      <c r="LH148" s="15"/>
      <c r="LI148" s="15"/>
      <c r="LJ148" s="15"/>
      <c r="LK148" s="15"/>
      <c r="LL148" s="15"/>
      <c r="LM148" s="15"/>
      <c r="LN148" s="15"/>
      <c r="LO148" s="15"/>
      <c r="LP148" s="15"/>
      <c r="LQ148" s="15"/>
      <c r="LR148" s="15"/>
      <c r="LS148" s="15"/>
      <c r="LT148" s="15"/>
      <c r="LU148" s="15"/>
      <c r="LV148" s="15"/>
      <c r="LW148" s="15"/>
      <c r="LX148" s="15"/>
      <c r="LY148" s="15"/>
      <c r="LZ148" s="15"/>
      <c r="MA148" s="15"/>
      <c r="MB148" s="15"/>
      <c r="MC148" s="15"/>
      <c r="MD148" s="15"/>
      <c r="ME148" s="15"/>
      <c r="MF148" s="15"/>
      <c r="MG148" s="15"/>
      <c r="MH148" s="15"/>
      <c r="MI148" s="15"/>
      <c r="MJ148" s="15"/>
      <c r="MK148" s="15"/>
      <c r="ML148" s="15"/>
      <c r="MM148" s="15"/>
      <c r="MN148" s="15"/>
      <c r="MO148" s="15"/>
      <c r="MP148" s="15"/>
      <c r="MQ148" s="15"/>
      <c r="MR148" s="15"/>
      <c r="MS148" s="15"/>
      <c r="MT148" s="15"/>
      <c r="MU148" s="15"/>
      <c r="MV148" s="15"/>
      <c r="MW148" s="15"/>
    </row>
    <row r="149" ht="119.25" customHeight="1">
      <c r="A149" s="13" t="s">
        <v>148</v>
      </c>
      <c r="B149" s="14" t="s">
        <v>10163</v>
      </c>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c r="DF149" s="15"/>
      <c r="DG149" s="15"/>
      <c r="DH149" s="15"/>
      <c r="DI149" s="15"/>
      <c r="DJ149" s="15"/>
      <c r="DK149" s="15"/>
      <c r="DL149" s="15"/>
      <c r="DM149" s="15"/>
      <c r="DN149" s="15"/>
      <c r="DO149" s="15"/>
      <c r="DP149" s="15"/>
      <c r="DQ149" s="15"/>
      <c r="DR149" s="15"/>
      <c r="DS149" s="15"/>
      <c r="DT149" s="15"/>
      <c r="DU149" s="15"/>
      <c r="DV149" s="15"/>
      <c r="DW149" s="15"/>
      <c r="DX149" s="15"/>
      <c r="DY149" s="15"/>
      <c r="DZ149" s="15"/>
      <c r="EA149" s="15"/>
      <c r="EB149" s="15"/>
      <c r="EC149" s="15"/>
      <c r="ED149" s="15"/>
      <c r="EE149" s="15"/>
      <c r="EF149" s="15"/>
      <c r="EG149" s="15"/>
      <c r="EH149" s="15"/>
      <c r="EI149" s="15"/>
      <c r="EJ149" s="15"/>
      <c r="EK149" s="15"/>
      <c r="EL149" s="15"/>
      <c r="EM149" s="15"/>
      <c r="EN149" s="15"/>
      <c r="EO149" s="15"/>
      <c r="EP149" s="15"/>
      <c r="EQ149" s="15"/>
      <c r="ER149" s="15"/>
      <c r="ES149" s="15"/>
      <c r="ET149" s="15"/>
      <c r="EU149" s="15"/>
      <c r="EV149" s="15"/>
      <c r="EW149" s="15"/>
      <c r="EX149" s="15"/>
      <c r="EY149" s="15"/>
      <c r="EZ149" s="15"/>
      <c r="FA149" s="15"/>
      <c r="FB149" s="15"/>
      <c r="FC149" s="15"/>
      <c r="FD149" s="15"/>
      <c r="FE149" s="15"/>
      <c r="FF149" s="15"/>
      <c r="FG149" s="15"/>
      <c r="FH149" s="15"/>
      <c r="FI149" s="15"/>
      <c r="FJ149" s="15"/>
      <c r="FK149" s="15"/>
      <c r="FL149" s="15"/>
      <c r="FM149" s="15"/>
      <c r="FN149" s="15"/>
      <c r="FO149" s="15"/>
      <c r="FP149" s="15"/>
      <c r="FQ149" s="15"/>
      <c r="FR149" s="15"/>
      <c r="FS149" s="15"/>
      <c r="FT149" s="15"/>
      <c r="FU149" s="15"/>
      <c r="FV149" s="15"/>
      <c r="FW149" s="15"/>
      <c r="FX149" s="15"/>
      <c r="FY149" s="15"/>
      <c r="FZ149" s="15"/>
      <c r="GA149" s="15"/>
      <c r="GB149" s="15"/>
      <c r="GC149" s="15"/>
      <c r="GD149" s="15"/>
      <c r="GE149" s="15"/>
      <c r="GF149" s="15"/>
      <c r="GG149" s="15"/>
      <c r="GH149" s="15"/>
      <c r="GI149" s="15"/>
      <c r="GJ149" s="15"/>
      <c r="GK149" s="15"/>
      <c r="GL149" s="15"/>
      <c r="GM149" s="15"/>
      <c r="GN149" s="15"/>
      <c r="GO149" s="15"/>
      <c r="GP149" s="15"/>
      <c r="GQ149" s="15"/>
      <c r="GR149" s="15"/>
      <c r="GS149" s="15"/>
      <c r="GT149" s="15"/>
      <c r="GU149" s="15"/>
      <c r="GV149" s="15"/>
      <c r="GW149" s="15"/>
      <c r="GX149" s="15"/>
      <c r="GY149" s="15"/>
      <c r="GZ149" s="15"/>
      <c r="HA149" s="15"/>
      <c r="HB149" s="15"/>
      <c r="HC149" s="15"/>
      <c r="HD149" s="15"/>
      <c r="HE149" s="15"/>
      <c r="HF149" s="15"/>
      <c r="HG149" s="15"/>
      <c r="HH149" s="15"/>
      <c r="HI149" s="15"/>
      <c r="HJ149" s="15"/>
      <c r="HK149" s="15"/>
      <c r="HL149" s="15"/>
      <c r="HM149" s="15"/>
      <c r="HN149" s="15"/>
      <c r="HO149" s="15"/>
      <c r="HP149" s="15"/>
      <c r="HQ149" s="15"/>
      <c r="HR149" s="15"/>
      <c r="HS149" s="15"/>
      <c r="HT149" s="15"/>
      <c r="HU149" s="15"/>
      <c r="HV149" s="15"/>
      <c r="HW149" s="15"/>
      <c r="HX149" s="15"/>
      <c r="HY149" s="15"/>
      <c r="HZ149" s="15"/>
      <c r="IA149" s="15"/>
      <c r="IB149" s="15"/>
      <c r="IC149" s="15"/>
      <c r="ID149" s="15"/>
      <c r="IE149" s="15"/>
      <c r="IF149" s="15"/>
      <c r="IG149" s="15"/>
      <c r="IH149" s="15"/>
      <c r="II149" s="15"/>
      <c r="IJ149" s="15"/>
      <c r="IK149" s="15"/>
      <c r="IL149" s="15"/>
      <c r="IM149" s="15"/>
      <c r="IN149" s="15"/>
      <c r="IO149" s="15"/>
      <c r="IP149" s="15"/>
      <c r="IQ149" s="15"/>
      <c r="IR149" s="15"/>
      <c r="IS149" s="15"/>
      <c r="IT149" s="15"/>
      <c r="IU149" s="15"/>
      <c r="IV149" s="15"/>
      <c r="IW149" s="15"/>
      <c r="IX149" s="15"/>
      <c r="IY149" s="15"/>
      <c r="IZ149" s="15"/>
      <c r="JA149" s="15"/>
      <c r="JB149" s="15"/>
      <c r="JC149" s="15"/>
      <c r="JD149" s="15"/>
      <c r="JE149" s="15"/>
      <c r="JF149" s="15"/>
      <c r="JG149" s="15"/>
      <c r="JH149" s="15"/>
      <c r="JI149" s="15"/>
      <c r="JJ149" s="15"/>
      <c r="JK149" s="15"/>
      <c r="JL149" s="15"/>
      <c r="JM149" s="15"/>
      <c r="JN149" s="15"/>
      <c r="JO149" s="15"/>
      <c r="JP149" s="15"/>
      <c r="JQ149" s="15"/>
      <c r="JR149" s="15"/>
      <c r="JS149" s="15"/>
      <c r="JT149" s="15"/>
      <c r="JU149" s="15"/>
      <c r="JV149" s="15"/>
      <c r="JW149" s="15"/>
      <c r="JX149" s="15"/>
      <c r="JY149" s="15"/>
      <c r="JZ149" s="15"/>
      <c r="KA149" s="15"/>
      <c r="KB149" s="15"/>
      <c r="KC149" s="15"/>
      <c r="KD149" s="15"/>
      <c r="KE149" s="15"/>
      <c r="KF149" s="15"/>
      <c r="KG149" s="15"/>
      <c r="KH149" s="15"/>
      <c r="KI149" s="15"/>
      <c r="KJ149" s="15"/>
      <c r="KK149" s="15"/>
      <c r="KL149" s="15"/>
      <c r="KM149" s="15"/>
      <c r="KN149" s="15"/>
      <c r="KO149" s="15"/>
      <c r="KP149" s="15"/>
      <c r="KQ149" s="15"/>
      <c r="KR149" s="15"/>
      <c r="KS149" s="15"/>
      <c r="KT149" s="15"/>
      <c r="KU149" s="15"/>
      <c r="KV149" s="15"/>
      <c r="KW149" s="15"/>
      <c r="KX149" s="15"/>
      <c r="KY149" s="15"/>
      <c r="KZ149" s="15"/>
      <c r="LA149" s="15"/>
      <c r="LB149" s="15"/>
      <c r="LC149" s="15"/>
      <c r="LD149" s="15"/>
      <c r="LE149" s="15"/>
      <c r="LF149" s="15"/>
      <c r="LG149" s="15"/>
      <c r="LH149" s="15"/>
      <c r="LI149" s="15"/>
      <c r="LJ149" s="15"/>
      <c r="LK149" s="15"/>
      <c r="LL149" s="15"/>
      <c r="LM149" s="15"/>
      <c r="LN149" s="15"/>
      <c r="LO149" s="15"/>
      <c r="LP149" s="15"/>
      <c r="LQ149" s="15"/>
      <c r="LR149" s="15"/>
      <c r="LS149" s="15"/>
      <c r="LT149" s="15"/>
      <c r="LU149" s="15"/>
      <c r="LV149" s="15"/>
      <c r="LW149" s="15"/>
      <c r="LX149" s="15"/>
      <c r="LY149" s="15"/>
      <c r="LZ149" s="15"/>
      <c r="MA149" s="15"/>
      <c r="MB149" s="15"/>
      <c r="MC149" s="15"/>
      <c r="MD149" s="15"/>
      <c r="ME149" s="15"/>
      <c r="MF149" s="15"/>
      <c r="MG149" s="15"/>
      <c r="MH149" s="15"/>
      <c r="MI149" s="15"/>
      <c r="MJ149" s="15"/>
      <c r="MK149" s="15"/>
      <c r="ML149" s="15"/>
      <c r="MM149" s="15"/>
      <c r="MN149" s="15"/>
      <c r="MO149" s="15"/>
      <c r="MP149" s="15"/>
      <c r="MQ149" s="15"/>
      <c r="MR149" s="15"/>
      <c r="MS149" s="15"/>
      <c r="MT149" s="15"/>
      <c r="MU149" s="15"/>
      <c r="MV149" s="15"/>
      <c r="MW149" s="15"/>
    </row>
    <row r="150" ht="41.25" customHeight="1">
      <c r="A150" s="13" t="s">
        <v>149</v>
      </c>
      <c r="B150" s="14" t="s">
        <v>10164</v>
      </c>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c r="DF150" s="15"/>
      <c r="DG150" s="15"/>
      <c r="DH150" s="15"/>
      <c r="DI150" s="15"/>
      <c r="DJ150" s="15"/>
      <c r="DK150" s="15"/>
      <c r="DL150" s="15"/>
      <c r="DM150" s="15"/>
      <c r="DN150" s="15"/>
      <c r="DO150" s="15"/>
      <c r="DP150" s="15"/>
      <c r="DQ150" s="15"/>
      <c r="DR150" s="15"/>
      <c r="DS150" s="15"/>
      <c r="DT150" s="15"/>
      <c r="DU150" s="15"/>
      <c r="DV150" s="15"/>
      <c r="DW150" s="15"/>
      <c r="DX150" s="15"/>
      <c r="DY150" s="15"/>
      <c r="DZ150" s="15"/>
      <c r="EA150" s="15"/>
      <c r="EB150" s="15"/>
      <c r="EC150" s="15"/>
      <c r="ED150" s="15"/>
      <c r="EE150" s="15"/>
      <c r="EF150" s="15"/>
      <c r="EG150" s="15"/>
      <c r="EH150" s="15"/>
      <c r="EI150" s="15"/>
      <c r="EJ150" s="15"/>
      <c r="EK150" s="15"/>
      <c r="EL150" s="15"/>
      <c r="EM150" s="15"/>
      <c r="EN150" s="15"/>
      <c r="EO150" s="15"/>
      <c r="EP150" s="15"/>
      <c r="EQ150" s="15"/>
      <c r="ER150" s="15"/>
      <c r="ES150" s="15"/>
      <c r="ET150" s="15"/>
      <c r="EU150" s="15"/>
      <c r="EV150" s="15"/>
      <c r="EW150" s="15"/>
      <c r="EX150" s="15"/>
      <c r="EY150" s="15"/>
      <c r="EZ150" s="15"/>
      <c r="FA150" s="15"/>
      <c r="FB150" s="15"/>
      <c r="FC150" s="15"/>
      <c r="FD150" s="15"/>
      <c r="FE150" s="15"/>
      <c r="FF150" s="15"/>
      <c r="FG150" s="15"/>
      <c r="FH150" s="15"/>
      <c r="FI150" s="15"/>
      <c r="FJ150" s="15"/>
      <c r="FK150" s="15"/>
      <c r="FL150" s="15"/>
      <c r="FM150" s="15"/>
      <c r="FN150" s="15"/>
      <c r="FO150" s="15"/>
      <c r="FP150" s="15"/>
      <c r="FQ150" s="15"/>
      <c r="FR150" s="15"/>
      <c r="FS150" s="15"/>
      <c r="FT150" s="15"/>
      <c r="FU150" s="15"/>
      <c r="FV150" s="15"/>
      <c r="FW150" s="15"/>
      <c r="FX150" s="15"/>
      <c r="FY150" s="15"/>
      <c r="FZ150" s="15"/>
      <c r="GA150" s="15"/>
      <c r="GB150" s="15"/>
      <c r="GC150" s="15"/>
      <c r="GD150" s="15"/>
      <c r="GE150" s="15"/>
      <c r="GF150" s="15"/>
      <c r="GG150" s="15"/>
      <c r="GH150" s="15"/>
      <c r="GI150" s="15"/>
      <c r="GJ150" s="15"/>
      <c r="GK150" s="15"/>
      <c r="GL150" s="15"/>
      <c r="GM150" s="15"/>
      <c r="GN150" s="15"/>
      <c r="GO150" s="15"/>
      <c r="GP150" s="15"/>
      <c r="GQ150" s="15"/>
      <c r="GR150" s="15"/>
      <c r="GS150" s="15"/>
      <c r="GT150" s="15"/>
      <c r="GU150" s="15"/>
      <c r="GV150" s="15"/>
      <c r="GW150" s="15"/>
      <c r="GX150" s="15"/>
      <c r="GY150" s="15"/>
      <c r="GZ150" s="15"/>
      <c r="HA150" s="15"/>
      <c r="HB150" s="15"/>
      <c r="HC150" s="15"/>
      <c r="HD150" s="15"/>
      <c r="HE150" s="15"/>
      <c r="HF150" s="15"/>
      <c r="HG150" s="15"/>
      <c r="HH150" s="15"/>
      <c r="HI150" s="15"/>
      <c r="HJ150" s="15"/>
      <c r="HK150" s="15"/>
      <c r="HL150" s="15"/>
      <c r="HM150" s="15"/>
      <c r="HN150" s="15"/>
      <c r="HO150" s="15"/>
      <c r="HP150" s="15"/>
      <c r="HQ150" s="15"/>
      <c r="HR150" s="15"/>
      <c r="HS150" s="15"/>
      <c r="HT150" s="15"/>
      <c r="HU150" s="15"/>
      <c r="HV150" s="15"/>
      <c r="HW150" s="15"/>
      <c r="HX150" s="15"/>
      <c r="HY150" s="15"/>
      <c r="HZ150" s="15"/>
      <c r="IA150" s="15"/>
      <c r="IB150" s="15"/>
      <c r="IC150" s="15"/>
      <c r="ID150" s="15"/>
      <c r="IE150" s="15"/>
      <c r="IF150" s="15"/>
      <c r="IG150" s="15"/>
      <c r="IH150" s="15"/>
      <c r="II150" s="15"/>
      <c r="IJ150" s="15"/>
      <c r="IK150" s="15"/>
      <c r="IL150" s="15"/>
      <c r="IM150" s="15"/>
      <c r="IN150" s="15"/>
      <c r="IO150" s="15"/>
      <c r="IP150" s="15"/>
      <c r="IQ150" s="15"/>
      <c r="IR150" s="15"/>
      <c r="IS150" s="15"/>
      <c r="IT150" s="15"/>
      <c r="IU150" s="15"/>
      <c r="IV150" s="15"/>
      <c r="IW150" s="15"/>
      <c r="IX150" s="15"/>
      <c r="IY150" s="15"/>
      <c r="IZ150" s="15"/>
      <c r="JA150" s="15"/>
      <c r="JB150" s="15"/>
      <c r="JC150" s="15"/>
      <c r="JD150" s="15"/>
      <c r="JE150" s="15"/>
      <c r="JF150" s="15"/>
      <c r="JG150" s="15"/>
      <c r="JH150" s="15"/>
      <c r="JI150" s="15"/>
      <c r="JJ150" s="15"/>
      <c r="JK150" s="15"/>
      <c r="JL150" s="15"/>
      <c r="JM150" s="15"/>
      <c r="JN150" s="15"/>
      <c r="JO150" s="15"/>
      <c r="JP150" s="15"/>
      <c r="JQ150" s="15"/>
      <c r="JR150" s="15"/>
      <c r="JS150" s="15"/>
      <c r="JT150" s="15"/>
      <c r="JU150" s="15"/>
      <c r="JV150" s="15"/>
      <c r="JW150" s="15"/>
      <c r="JX150" s="15"/>
      <c r="JY150" s="15"/>
      <c r="JZ150" s="15"/>
      <c r="KA150" s="15"/>
      <c r="KB150" s="15"/>
      <c r="KC150" s="15"/>
      <c r="KD150" s="15"/>
      <c r="KE150" s="15"/>
      <c r="KF150" s="15"/>
      <c r="KG150" s="15"/>
      <c r="KH150" s="15"/>
      <c r="KI150" s="15"/>
      <c r="KJ150" s="15"/>
      <c r="KK150" s="15"/>
      <c r="KL150" s="15"/>
      <c r="KM150" s="15"/>
      <c r="KN150" s="15"/>
      <c r="KO150" s="15"/>
      <c r="KP150" s="15"/>
      <c r="KQ150" s="15"/>
      <c r="KR150" s="15"/>
      <c r="KS150" s="15"/>
      <c r="KT150" s="15"/>
      <c r="KU150" s="15"/>
      <c r="KV150" s="15"/>
      <c r="KW150" s="15"/>
      <c r="KX150" s="15"/>
      <c r="KY150" s="15"/>
      <c r="KZ150" s="15"/>
      <c r="LA150" s="15"/>
      <c r="LB150" s="15"/>
      <c r="LC150" s="15"/>
      <c r="LD150" s="15"/>
      <c r="LE150" s="15"/>
      <c r="LF150" s="15"/>
      <c r="LG150" s="15"/>
      <c r="LH150" s="15"/>
      <c r="LI150" s="15"/>
      <c r="LJ150" s="15"/>
      <c r="LK150" s="15"/>
      <c r="LL150" s="15"/>
      <c r="LM150" s="15"/>
      <c r="LN150" s="15"/>
      <c r="LO150" s="15"/>
      <c r="LP150" s="15"/>
      <c r="LQ150" s="15"/>
      <c r="LR150" s="15"/>
      <c r="LS150" s="15"/>
      <c r="LT150" s="15"/>
      <c r="LU150" s="15"/>
      <c r="LV150" s="15"/>
      <c r="LW150" s="15"/>
      <c r="LX150" s="15"/>
      <c r="LY150" s="15"/>
      <c r="LZ150" s="15"/>
      <c r="MA150" s="15"/>
      <c r="MB150" s="15"/>
      <c r="MC150" s="15"/>
      <c r="MD150" s="15"/>
      <c r="ME150" s="15"/>
      <c r="MF150" s="15"/>
      <c r="MG150" s="15"/>
      <c r="MH150" s="15"/>
      <c r="MI150" s="15"/>
      <c r="MJ150" s="15"/>
      <c r="MK150" s="15"/>
      <c r="ML150" s="15"/>
      <c r="MM150" s="15"/>
      <c r="MN150" s="15"/>
      <c r="MO150" s="15"/>
      <c r="MP150" s="15"/>
      <c r="MQ150" s="15"/>
      <c r="MR150" s="15"/>
      <c r="MS150" s="15"/>
      <c r="MT150" s="15"/>
      <c r="MU150" s="15"/>
      <c r="MV150" s="15"/>
      <c r="MW150" s="15"/>
    </row>
    <row r="151" ht="119.25" customHeight="1">
      <c r="A151" s="13" t="s">
        <v>150</v>
      </c>
      <c r="B151" s="14" t="s">
        <v>10165</v>
      </c>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c r="DF151" s="15"/>
      <c r="DG151" s="15"/>
      <c r="DH151" s="15"/>
      <c r="DI151" s="15"/>
      <c r="DJ151" s="15"/>
      <c r="DK151" s="15"/>
      <c r="DL151" s="15"/>
      <c r="DM151" s="15"/>
      <c r="DN151" s="15"/>
      <c r="DO151" s="15"/>
      <c r="DP151" s="15"/>
      <c r="DQ151" s="15"/>
      <c r="DR151" s="15"/>
      <c r="DS151" s="15"/>
      <c r="DT151" s="15"/>
      <c r="DU151" s="15"/>
      <c r="DV151" s="15"/>
      <c r="DW151" s="15"/>
      <c r="DX151" s="15"/>
      <c r="DY151" s="15"/>
      <c r="DZ151" s="15"/>
      <c r="EA151" s="15"/>
      <c r="EB151" s="15"/>
      <c r="EC151" s="15"/>
      <c r="ED151" s="15"/>
      <c r="EE151" s="15"/>
      <c r="EF151" s="15"/>
      <c r="EG151" s="15"/>
      <c r="EH151" s="15"/>
      <c r="EI151" s="15"/>
      <c r="EJ151" s="15"/>
      <c r="EK151" s="15"/>
      <c r="EL151" s="15"/>
      <c r="EM151" s="15"/>
      <c r="EN151" s="15"/>
      <c r="EO151" s="15"/>
      <c r="EP151" s="15"/>
      <c r="EQ151" s="15"/>
      <c r="ER151" s="15"/>
      <c r="ES151" s="15"/>
      <c r="ET151" s="15"/>
      <c r="EU151" s="15"/>
      <c r="EV151" s="15"/>
      <c r="EW151" s="15"/>
      <c r="EX151" s="15"/>
      <c r="EY151" s="15"/>
      <c r="EZ151" s="15"/>
      <c r="FA151" s="15"/>
      <c r="FB151" s="15"/>
      <c r="FC151" s="15"/>
      <c r="FD151" s="15"/>
      <c r="FE151" s="15"/>
      <c r="FF151" s="15"/>
      <c r="FG151" s="15"/>
      <c r="FH151" s="15"/>
      <c r="FI151" s="15"/>
      <c r="FJ151" s="15"/>
      <c r="FK151" s="15"/>
      <c r="FL151" s="15"/>
      <c r="FM151" s="15"/>
      <c r="FN151" s="15"/>
      <c r="FO151" s="15"/>
      <c r="FP151" s="15"/>
      <c r="FQ151" s="15"/>
      <c r="FR151" s="15"/>
      <c r="FS151" s="15"/>
      <c r="FT151" s="15"/>
      <c r="FU151" s="15"/>
      <c r="FV151" s="15"/>
      <c r="FW151" s="15"/>
      <c r="FX151" s="15"/>
      <c r="FY151" s="15"/>
      <c r="FZ151" s="15"/>
      <c r="GA151" s="15"/>
      <c r="GB151" s="15"/>
      <c r="GC151" s="15"/>
      <c r="GD151" s="15"/>
      <c r="GE151" s="15"/>
      <c r="GF151" s="15"/>
      <c r="GG151" s="15"/>
      <c r="GH151" s="15"/>
      <c r="GI151" s="15"/>
      <c r="GJ151" s="15"/>
      <c r="GK151" s="15"/>
      <c r="GL151" s="15"/>
      <c r="GM151" s="15"/>
      <c r="GN151" s="15"/>
      <c r="GO151" s="15"/>
      <c r="GP151" s="15"/>
      <c r="GQ151" s="15"/>
      <c r="GR151" s="15"/>
      <c r="GS151" s="15"/>
      <c r="GT151" s="15"/>
      <c r="GU151" s="15"/>
      <c r="GV151" s="15"/>
      <c r="GW151" s="15"/>
      <c r="GX151" s="15"/>
      <c r="GY151" s="15"/>
      <c r="GZ151" s="15"/>
      <c r="HA151" s="15"/>
      <c r="HB151" s="15"/>
      <c r="HC151" s="15"/>
      <c r="HD151" s="15"/>
      <c r="HE151" s="15"/>
      <c r="HF151" s="15"/>
      <c r="HG151" s="15"/>
      <c r="HH151" s="15"/>
      <c r="HI151" s="15"/>
      <c r="HJ151" s="15"/>
      <c r="HK151" s="15"/>
      <c r="HL151" s="15"/>
      <c r="HM151" s="15"/>
      <c r="HN151" s="15"/>
      <c r="HO151" s="15"/>
      <c r="HP151" s="15"/>
      <c r="HQ151" s="15"/>
      <c r="HR151" s="15"/>
      <c r="HS151" s="15"/>
      <c r="HT151" s="15"/>
      <c r="HU151" s="15"/>
      <c r="HV151" s="15"/>
      <c r="HW151" s="15"/>
      <c r="HX151" s="15"/>
      <c r="HY151" s="15"/>
      <c r="HZ151" s="15"/>
      <c r="IA151" s="15"/>
      <c r="IB151" s="15"/>
      <c r="IC151" s="15"/>
      <c r="ID151" s="15"/>
      <c r="IE151" s="15"/>
      <c r="IF151" s="15"/>
      <c r="IG151" s="15"/>
      <c r="IH151" s="15"/>
      <c r="II151" s="15"/>
      <c r="IJ151" s="15"/>
      <c r="IK151" s="15"/>
      <c r="IL151" s="15"/>
      <c r="IM151" s="15"/>
      <c r="IN151" s="15"/>
      <c r="IO151" s="15"/>
      <c r="IP151" s="15"/>
      <c r="IQ151" s="15"/>
      <c r="IR151" s="15"/>
      <c r="IS151" s="15"/>
      <c r="IT151" s="15"/>
      <c r="IU151" s="15"/>
      <c r="IV151" s="15"/>
      <c r="IW151" s="15"/>
      <c r="IX151" s="15"/>
      <c r="IY151" s="15"/>
      <c r="IZ151" s="15"/>
      <c r="JA151" s="15"/>
      <c r="JB151" s="15"/>
      <c r="JC151" s="15"/>
      <c r="JD151" s="15"/>
      <c r="JE151" s="15"/>
      <c r="JF151" s="15"/>
      <c r="JG151" s="15"/>
      <c r="JH151" s="15"/>
      <c r="JI151" s="15"/>
      <c r="JJ151" s="15"/>
      <c r="JK151" s="15"/>
      <c r="JL151" s="15"/>
      <c r="JM151" s="15"/>
      <c r="JN151" s="15"/>
      <c r="JO151" s="15"/>
      <c r="JP151" s="15"/>
      <c r="JQ151" s="15"/>
      <c r="JR151" s="15"/>
      <c r="JS151" s="15"/>
      <c r="JT151" s="15"/>
      <c r="JU151" s="15"/>
      <c r="JV151" s="15"/>
      <c r="JW151" s="15"/>
      <c r="JX151" s="15"/>
      <c r="JY151" s="15"/>
      <c r="JZ151" s="15"/>
      <c r="KA151" s="15"/>
      <c r="KB151" s="15"/>
      <c r="KC151" s="15"/>
      <c r="KD151" s="15"/>
      <c r="KE151" s="15"/>
      <c r="KF151" s="15"/>
      <c r="KG151" s="15"/>
      <c r="KH151" s="15"/>
      <c r="KI151" s="15"/>
      <c r="KJ151" s="15"/>
      <c r="KK151" s="15"/>
      <c r="KL151" s="15"/>
      <c r="KM151" s="15"/>
      <c r="KN151" s="15"/>
      <c r="KO151" s="15"/>
      <c r="KP151" s="15"/>
      <c r="KQ151" s="15"/>
      <c r="KR151" s="15"/>
      <c r="KS151" s="15"/>
      <c r="KT151" s="15"/>
      <c r="KU151" s="15"/>
      <c r="KV151" s="15"/>
      <c r="KW151" s="15"/>
      <c r="KX151" s="15"/>
      <c r="KY151" s="15"/>
      <c r="KZ151" s="15"/>
      <c r="LA151" s="15"/>
      <c r="LB151" s="15"/>
      <c r="LC151" s="15"/>
      <c r="LD151" s="15"/>
      <c r="LE151" s="15"/>
      <c r="LF151" s="15"/>
      <c r="LG151" s="15"/>
      <c r="LH151" s="15"/>
      <c r="LI151" s="15"/>
      <c r="LJ151" s="15"/>
      <c r="LK151" s="15"/>
      <c r="LL151" s="15"/>
      <c r="LM151" s="15"/>
      <c r="LN151" s="15"/>
      <c r="LO151" s="15"/>
      <c r="LP151" s="15"/>
      <c r="LQ151" s="15"/>
      <c r="LR151" s="15"/>
      <c r="LS151" s="15"/>
      <c r="LT151" s="15"/>
      <c r="LU151" s="15"/>
      <c r="LV151" s="15"/>
      <c r="LW151" s="15"/>
      <c r="LX151" s="15"/>
      <c r="LY151" s="15"/>
      <c r="LZ151" s="15"/>
      <c r="MA151" s="15"/>
      <c r="MB151" s="15"/>
      <c r="MC151" s="15"/>
      <c r="MD151" s="15"/>
      <c r="ME151" s="15"/>
      <c r="MF151" s="15"/>
      <c r="MG151" s="15"/>
      <c r="MH151" s="15"/>
      <c r="MI151" s="15"/>
      <c r="MJ151" s="15"/>
      <c r="MK151" s="15"/>
      <c r="ML151" s="15"/>
      <c r="MM151" s="15"/>
      <c r="MN151" s="15"/>
      <c r="MO151" s="15"/>
      <c r="MP151" s="15"/>
      <c r="MQ151" s="15"/>
      <c r="MR151" s="15"/>
      <c r="MS151" s="15"/>
      <c r="MT151" s="15"/>
      <c r="MU151" s="15"/>
      <c r="MV151" s="15"/>
      <c r="MW151" s="15"/>
    </row>
    <row r="152" ht="41.25" customHeight="1">
      <c r="A152" s="13" t="s">
        <v>10166</v>
      </c>
      <c r="B152" s="14" t="s">
        <v>10167</v>
      </c>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c r="DF152" s="15"/>
      <c r="DG152" s="15"/>
      <c r="DH152" s="15"/>
      <c r="DI152" s="15"/>
      <c r="DJ152" s="15"/>
      <c r="DK152" s="15"/>
      <c r="DL152" s="15"/>
      <c r="DM152" s="15"/>
      <c r="DN152" s="15"/>
      <c r="DO152" s="15"/>
      <c r="DP152" s="15"/>
      <c r="DQ152" s="15"/>
      <c r="DR152" s="15"/>
      <c r="DS152" s="15"/>
      <c r="DT152" s="15"/>
      <c r="DU152" s="15"/>
      <c r="DV152" s="15"/>
      <c r="DW152" s="15"/>
      <c r="DX152" s="15"/>
      <c r="DY152" s="15"/>
      <c r="DZ152" s="15"/>
      <c r="EA152" s="15"/>
      <c r="EB152" s="15"/>
      <c r="EC152" s="15"/>
      <c r="ED152" s="15"/>
      <c r="EE152" s="15"/>
      <c r="EF152" s="15"/>
      <c r="EG152" s="15"/>
      <c r="EH152" s="15"/>
      <c r="EI152" s="15"/>
      <c r="EJ152" s="15"/>
      <c r="EK152" s="15"/>
      <c r="EL152" s="15"/>
      <c r="EM152" s="15"/>
      <c r="EN152" s="15"/>
      <c r="EO152" s="15"/>
      <c r="EP152" s="15"/>
      <c r="EQ152" s="15"/>
      <c r="ER152" s="15"/>
      <c r="ES152" s="15"/>
      <c r="ET152" s="15"/>
      <c r="EU152" s="15"/>
      <c r="EV152" s="15"/>
      <c r="EW152" s="15"/>
      <c r="EX152" s="15"/>
      <c r="EY152" s="15"/>
      <c r="EZ152" s="15"/>
      <c r="FA152" s="15"/>
      <c r="FB152" s="15"/>
      <c r="FC152" s="15"/>
      <c r="FD152" s="15"/>
      <c r="FE152" s="15"/>
      <c r="FF152" s="15"/>
      <c r="FG152" s="15"/>
      <c r="FH152" s="15"/>
      <c r="FI152" s="15"/>
      <c r="FJ152" s="15"/>
      <c r="FK152" s="15"/>
      <c r="FL152" s="15"/>
      <c r="FM152" s="15"/>
      <c r="FN152" s="15"/>
      <c r="FO152" s="15"/>
      <c r="FP152" s="15"/>
      <c r="FQ152" s="15"/>
      <c r="FR152" s="15"/>
      <c r="FS152" s="15"/>
      <c r="FT152" s="15"/>
      <c r="FU152" s="15"/>
      <c r="FV152" s="15"/>
      <c r="FW152" s="15"/>
      <c r="FX152" s="15"/>
      <c r="FY152" s="15"/>
      <c r="FZ152" s="15"/>
      <c r="GA152" s="15"/>
      <c r="GB152" s="15"/>
      <c r="GC152" s="15"/>
      <c r="GD152" s="15"/>
      <c r="GE152" s="15"/>
      <c r="GF152" s="15"/>
      <c r="GG152" s="15"/>
      <c r="GH152" s="15"/>
      <c r="GI152" s="15"/>
      <c r="GJ152" s="15"/>
      <c r="GK152" s="15"/>
      <c r="GL152" s="15"/>
      <c r="GM152" s="15"/>
      <c r="GN152" s="15"/>
      <c r="GO152" s="15"/>
      <c r="GP152" s="15"/>
      <c r="GQ152" s="15"/>
      <c r="GR152" s="15"/>
      <c r="GS152" s="15"/>
      <c r="GT152" s="15"/>
      <c r="GU152" s="15"/>
      <c r="GV152" s="15"/>
      <c r="GW152" s="15"/>
      <c r="GX152" s="15"/>
      <c r="GY152" s="15"/>
      <c r="GZ152" s="15"/>
      <c r="HA152" s="15"/>
      <c r="HB152" s="15"/>
      <c r="HC152" s="15"/>
      <c r="HD152" s="15"/>
      <c r="HE152" s="15"/>
      <c r="HF152" s="15"/>
      <c r="HG152" s="15"/>
      <c r="HH152" s="15"/>
      <c r="HI152" s="15"/>
      <c r="HJ152" s="15"/>
      <c r="HK152" s="15"/>
      <c r="HL152" s="15"/>
      <c r="HM152" s="15"/>
      <c r="HN152" s="15"/>
      <c r="HO152" s="15"/>
      <c r="HP152" s="15"/>
      <c r="HQ152" s="15"/>
      <c r="HR152" s="15"/>
      <c r="HS152" s="15"/>
      <c r="HT152" s="15"/>
      <c r="HU152" s="15"/>
      <c r="HV152" s="15"/>
      <c r="HW152" s="15"/>
      <c r="HX152" s="15"/>
      <c r="HY152" s="15"/>
      <c r="HZ152" s="15"/>
      <c r="IA152" s="15"/>
      <c r="IB152" s="15"/>
      <c r="IC152" s="15"/>
      <c r="ID152" s="15"/>
      <c r="IE152" s="15"/>
      <c r="IF152" s="15"/>
      <c r="IG152" s="15"/>
      <c r="IH152" s="15"/>
      <c r="II152" s="15"/>
      <c r="IJ152" s="15"/>
      <c r="IK152" s="15"/>
      <c r="IL152" s="15"/>
      <c r="IM152" s="15"/>
      <c r="IN152" s="15"/>
      <c r="IO152" s="15"/>
      <c r="IP152" s="15"/>
      <c r="IQ152" s="15"/>
      <c r="IR152" s="15"/>
      <c r="IS152" s="15"/>
      <c r="IT152" s="15"/>
      <c r="IU152" s="15"/>
      <c r="IV152" s="15"/>
      <c r="IW152" s="15"/>
      <c r="IX152" s="15"/>
      <c r="IY152" s="15"/>
      <c r="IZ152" s="15"/>
      <c r="JA152" s="15"/>
      <c r="JB152" s="15"/>
      <c r="JC152" s="15"/>
      <c r="JD152" s="15"/>
      <c r="JE152" s="15"/>
      <c r="JF152" s="15"/>
      <c r="JG152" s="15"/>
      <c r="JH152" s="15"/>
      <c r="JI152" s="15"/>
      <c r="JJ152" s="15"/>
      <c r="JK152" s="15"/>
      <c r="JL152" s="15"/>
      <c r="JM152" s="15"/>
      <c r="JN152" s="15"/>
      <c r="JO152" s="15"/>
      <c r="JP152" s="15"/>
      <c r="JQ152" s="15"/>
      <c r="JR152" s="15"/>
      <c r="JS152" s="15"/>
      <c r="JT152" s="15"/>
      <c r="JU152" s="15"/>
      <c r="JV152" s="15"/>
      <c r="JW152" s="15"/>
      <c r="JX152" s="15"/>
      <c r="JY152" s="15"/>
      <c r="JZ152" s="15"/>
      <c r="KA152" s="15"/>
      <c r="KB152" s="15"/>
      <c r="KC152" s="15"/>
      <c r="KD152" s="15"/>
      <c r="KE152" s="15"/>
      <c r="KF152" s="15"/>
      <c r="KG152" s="15"/>
      <c r="KH152" s="15"/>
      <c r="KI152" s="15"/>
      <c r="KJ152" s="15"/>
      <c r="KK152" s="15"/>
      <c r="KL152" s="15"/>
      <c r="KM152" s="15"/>
      <c r="KN152" s="15"/>
      <c r="KO152" s="15"/>
      <c r="KP152" s="15"/>
      <c r="KQ152" s="15"/>
      <c r="KR152" s="15"/>
      <c r="KS152" s="15"/>
      <c r="KT152" s="15"/>
      <c r="KU152" s="15"/>
      <c r="KV152" s="15"/>
      <c r="KW152" s="15"/>
      <c r="KX152" s="15"/>
      <c r="KY152" s="15"/>
      <c r="KZ152" s="15"/>
      <c r="LA152" s="15"/>
      <c r="LB152" s="15"/>
      <c r="LC152" s="15"/>
      <c r="LD152" s="15"/>
      <c r="LE152" s="15"/>
      <c r="LF152" s="15"/>
      <c r="LG152" s="15"/>
      <c r="LH152" s="15"/>
      <c r="LI152" s="15"/>
      <c r="LJ152" s="15"/>
      <c r="LK152" s="15"/>
      <c r="LL152" s="15"/>
      <c r="LM152" s="15"/>
      <c r="LN152" s="15"/>
      <c r="LO152" s="15"/>
      <c r="LP152" s="15"/>
      <c r="LQ152" s="15"/>
      <c r="LR152" s="15"/>
      <c r="LS152" s="15"/>
      <c r="LT152" s="15"/>
      <c r="LU152" s="15"/>
      <c r="LV152" s="15"/>
      <c r="LW152" s="15"/>
      <c r="LX152" s="15"/>
      <c r="LY152" s="15"/>
      <c r="LZ152" s="15"/>
      <c r="MA152" s="15"/>
      <c r="MB152" s="15"/>
      <c r="MC152" s="15"/>
      <c r="MD152" s="15"/>
      <c r="ME152" s="15"/>
      <c r="MF152" s="15"/>
      <c r="MG152" s="15"/>
      <c r="MH152" s="15"/>
      <c r="MI152" s="15"/>
      <c r="MJ152" s="15"/>
      <c r="MK152" s="15"/>
      <c r="ML152" s="15"/>
      <c r="MM152" s="15"/>
      <c r="MN152" s="15"/>
      <c r="MO152" s="15"/>
      <c r="MP152" s="15"/>
      <c r="MQ152" s="15"/>
      <c r="MR152" s="15"/>
      <c r="MS152" s="15"/>
      <c r="MT152" s="15"/>
      <c r="MU152" s="15"/>
      <c r="MV152" s="15"/>
      <c r="MW152" s="15"/>
    </row>
    <row r="153" ht="119.25" customHeight="1">
      <c r="A153" s="13" t="s">
        <v>152</v>
      </c>
      <c r="B153" s="14" t="s">
        <v>10168</v>
      </c>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c r="DF153" s="15"/>
      <c r="DG153" s="15"/>
      <c r="DH153" s="15"/>
      <c r="DI153" s="15"/>
      <c r="DJ153" s="15"/>
      <c r="DK153" s="15"/>
      <c r="DL153" s="15"/>
      <c r="DM153" s="15"/>
      <c r="DN153" s="15"/>
      <c r="DO153" s="15"/>
      <c r="DP153" s="15"/>
      <c r="DQ153" s="15"/>
      <c r="DR153" s="15"/>
      <c r="DS153" s="15"/>
      <c r="DT153" s="15"/>
      <c r="DU153" s="15"/>
      <c r="DV153" s="15"/>
      <c r="DW153" s="15"/>
      <c r="DX153" s="15"/>
      <c r="DY153" s="15"/>
      <c r="DZ153" s="15"/>
      <c r="EA153" s="15"/>
      <c r="EB153" s="15"/>
      <c r="EC153" s="15"/>
      <c r="ED153" s="15"/>
      <c r="EE153" s="15"/>
      <c r="EF153" s="15"/>
      <c r="EG153" s="15"/>
      <c r="EH153" s="15"/>
      <c r="EI153" s="15"/>
      <c r="EJ153" s="15"/>
      <c r="EK153" s="15"/>
      <c r="EL153" s="15"/>
      <c r="EM153" s="15"/>
      <c r="EN153" s="15"/>
      <c r="EO153" s="15"/>
      <c r="EP153" s="15"/>
      <c r="EQ153" s="15"/>
      <c r="ER153" s="15"/>
      <c r="ES153" s="15"/>
      <c r="ET153" s="15"/>
      <c r="EU153" s="15"/>
      <c r="EV153" s="15"/>
      <c r="EW153" s="15"/>
      <c r="EX153" s="15"/>
      <c r="EY153" s="15"/>
      <c r="EZ153" s="15"/>
      <c r="FA153" s="15"/>
      <c r="FB153" s="15"/>
      <c r="FC153" s="15"/>
      <c r="FD153" s="15"/>
      <c r="FE153" s="15"/>
      <c r="FF153" s="15"/>
      <c r="FG153" s="15"/>
      <c r="FH153" s="15"/>
      <c r="FI153" s="15"/>
      <c r="FJ153" s="15"/>
      <c r="FK153" s="15"/>
      <c r="FL153" s="15"/>
      <c r="FM153" s="15"/>
      <c r="FN153" s="15"/>
      <c r="FO153" s="15"/>
      <c r="FP153" s="15"/>
      <c r="FQ153" s="15"/>
      <c r="FR153" s="15"/>
      <c r="FS153" s="15"/>
      <c r="FT153" s="15"/>
      <c r="FU153" s="15"/>
      <c r="FV153" s="15"/>
      <c r="FW153" s="15"/>
      <c r="FX153" s="15"/>
      <c r="FY153" s="15"/>
      <c r="FZ153" s="15"/>
      <c r="GA153" s="15"/>
      <c r="GB153" s="15"/>
      <c r="GC153" s="15"/>
      <c r="GD153" s="15"/>
      <c r="GE153" s="15"/>
      <c r="GF153" s="15"/>
      <c r="GG153" s="15"/>
      <c r="GH153" s="15"/>
      <c r="GI153" s="15"/>
      <c r="GJ153" s="15"/>
      <c r="GK153" s="15"/>
      <c r="GL153" s="15"/>
      <c r="GM153" s="15"/>
      <c r="GN153" s="15"/>
      <c r="GO153" s="15"/>
      <c r="GP153" s="15"/>
      <c r="GQ153" s="15"/>
      <c r="GR153" s="15"/>
      <c r="GS153" s="15"/>
      <c r="GT153" s="15"/>
      <c r="GU153" s="15"/>
      <c r="GV153" s="15"/>
      <c r="GW153" s="15"/>
      <c r="GX153" s="15"/>
      <c r="GY153" s="15"/>
      <c r="GZ153" s="15"/>
      <c r="HA153" s="15"/>
      <c r="HB153" s="15"/>
      <c r="HC153" s="15"/>
      <c r="HD153" s="15"/>
      <c r="HE153" s="15"/>
      <c r="HF153" s="15"/>
      <c r="HG153" s="15"/>
      <c r="HH153" s="15"/>
      <c r="HI153" s="15"/>
      <c r="HJ153" s="15"/>
      <c r="HK153" s="15"/>
      <c r="HL153" s="15"/>
      <c r="HM153" s="15"/>
      <c r="HN153" s="15"/>
      <c r="HO153" s="15"/>
      <c r="HP153" s="15"/>
      <c r="HQ153" s="15"/>
      <c r="HR153" s="15"/>
      <c r="HS153" s="15"/>
      <c r="HT153" s="15"/>
      <c r="HU153" s="15"/>
      <c r="HV153" s="15"/>
      <c r="HW153" s="15"/>
      <c r="HX153" s="15"/>
      <c r="HY153" s="15"/>
      <c r="HZ153" s="15"/>
      <c r="IA153" s="15"/>
      <c r="IB153" s="15"/>
      <c r="IC153" s="15"/>
      <c r="ID153" s="15"/>
      <c r="IE153" s="15"/>
      <c r="IF153" s="15"/>
      <c r="IG153" s="15"/>
      <c r="IH153" s="15"/>
      <c r="II153" s="15"/>
      <c r="IJ153" s="15"/>
      <c r="IK153" s="15"/>
      <c r="IL153" s="15"/>
      <c r="IM153" s="15"/>
      <c r="IN153" s="15"/>
      <c r="IO153" s="15"/>
      <c r="IP153" s="15"/>
      <c r="IQ153" s="15"/>
      <c r="IR153" s="15"/>
      <c r="IS153" s="15"/>
      <c r="IT153" s="15"/>
      <c r="IU153" s="15"/>
      <c r="IV153" s="15"/>
      <c r="IW153" s="15"/>
      <c r="IX153" s="15"/>
      <c r="IY153" s="15"/>
      <c r="IZ153" s="15"/>
      <c r="JA153" s="15"/>
      <c r="JB153" s="15"/>
      <c r="JC153" s="15"/>
      <c r="JD153" s="15"/>
      <c r="JE153" s="15"/>
      <c r="JF153" s="15"/>
      <c r="JG153" s="15"/>
      <c r="JH153" s="15"/>
      <c r="JI153" s="15"/>
      <c r="JJ153" s="15"/>
      <c r="JK153" s="15"/>
      <c r="JL153" s="15"/>
      <c r="JM153" s="15"/>
      <c r="JN153" s="15"/>
      <c r="JO153" s="15"/>
      <c r="JP153" s="15"/>
      <c r="JQ153" s="15"/>
      <c r="JR153" s="15"/>
      <c r="JS153" s="15"/>
      <c r="JT153" s="15"/>
      <c r="JU153" s="15"/>
      <c r="JV153" s="15"/>
      <c r="JW153" s="15"/>
      <c r="JX153" s="15"/>
      <c r="JY153" s="15"/>
      <c r="JZ153" s="15"/>
      <c r="KA153" s="15"/>
      <c r="KB153" s="15"/>
      <c r="KC153" s="15"/>
      <c r="KD153" s="15"/>
      <c r="KE153" s="15"/>
      <c r="KF153" s="15"/>
      <c r="KG153" s="15"/>
      <c r="KH153" s="15"/>
      <c r="KI153" s="15"/>
      <c r="KJ153" s="15"/>
      <c r="KK153" s="15"/>
      <c r="KL153" s="15"/>
      <c r="KM153" s="15"/>
      <c r="KN153" s="15"/>
      <c r="KO153" s="15"/>
      <c r="KP153" s="15"/>
      <c r="KQ153" s="15"/>
      <c r="KR153" s="15"/>
      <c r="KS153" s="15"/>
      <c r="KT153" s="15"/>
      <c r="KU153" s="15"/>
      <c r="KV153" s="15"/>
      <c r="KW153" s="15"/>
      <c r="KX153" s="15"/>
      <c r="KY153" s="15"/>
      <c r="KZ153" s="15"/>
      <c r="LA153" s="15"/>
      <c r="LB153" s="15"/>
      <c r="LC153" s="15"/>
      <c r="LD153" s="15"/>
      <c r="LE153" s="15"/>
      <c r="LF153" s="15"/>
      <c r="LG153" s="15"/>
      <c r="LH153" s="15"/>
      <c r="LI153" s="15"/>
      <c r="LJ153" s="15"/>
      <c r="LK153" s="15"/>
      <c r="LL153" s="15"/>
      <c r="LM153" s="15"/>
      <c r="LN153" s="15"/>
      <c r="LO153" s="15"/>
      <c r="LP153" s="15"/>
      <c r="LQ153" s="15"/>
      <c r="LR153" s="15"/>
      <c r="LS153" s="15"/>
      <c r="LT153" s="15"/>
      <c r="LU153" s="15"/>
      <c r="LV153" s="15"/>
      <c r="LW153" s="15"/>
      <c r="LX153" s="15"/>
      <c r="LY153" s="15"/>
      <c r="LZ153" s="15"/>
      <c r="MA153" s="15"/>
      <c r="MB153" s="15"/>
      <c r="MC153" s="15"/>
      <c r="MD153" s="15"/>
      <c r="ME153" s="15"/>
      <c r="MF153" s="15"/>
      <c r="MG153" s="15"/>
      <c r="MH153" s="15"/>
      <c r="MI153" s="15"/>
      <c r="MJ153" s="15"/>
      <c r="MK153" s="15"/>
      <c r="ML153" s="15"/>
      <c r="MM153" s="15"/>
      <c r="MN153" s="15"/>
      <c r="MO153" s="15"/>
      <c r="MP153" s="15"/>
      <c r="MQ153" s="15"/>
      <c r="MR153" s="15"/>
      <c r="MS153" s="15"/>
      <c r="MT153" s="15"/>
      <c r="MU153" s="15"/>
      <c r="MV153" s="15"/>
      <c r="MW153" s="15"/>
    </row>
    <row r="154" ht="41.25" customHeight="1">
      <c r="A154" s="13" t="s">
        <v>153</v>
      </c>
      <c r="B154" s="14" t="s">
        <v>10169</v>
      </c>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c r="DF154" s="15"/>
      <c r="DG154" s="15"/>
      <c r="DH154" s="15"/>
      <c r="DI154" s="15"/>
      <c r="DJ154" s="15"/>
      <c r="DK154" s="15"/>
      <c r="DL154" s="15"/>
      <c r="DM154" s="15"/>
      <c r="DN154" s="15"/>
      <c r="DO154" s="15"/>
      <c r="DP154" s="15"/>
      <c r="DQ154" s="15"/>
      <c r="DR154" s="15"/>
      <c r="DS154" s="15"/>
      <c r="DT154" s="15"/>
      <c r="DU154" s="15"/>
      <c r="DV154" s="15"/>
      <c r="DW154" s="15"/>
      <c r="DX154" s="15"/>
      <c r="DY154" s="15"/>
      <c r="DZ154" s="15"/>
      <c r="EA154" s="15"/>
      <c r="EB154" s="15"/>
      <c r="EC154" s="15"/>
      <c r="ED154" s="15"/>
      <c r="EE154" s="15"/>
      <c r="EF154" s="15"/>
      <c r="EG154" s="15"/>
      <c r="EH154" s="15"/>
      <c r="EI154" s="15"/>
      <c r="EJ154" s="15"/>
      <c r="EK154" s="15"/>
      <c r="EL154" s="15"/>
      <c r="EM154" s="15"/>
      <c r="EN154" s="15"/>
      <c r="EO154" s="15"/>
      <c r="EP154" s="15"/>
      <c r="EQ154" s="15"/>
      <c r="ER154" s="15"/>
      <c r="ES154" s="15"/>
      <c r="ET154" s="15"/>
      <c r="EU154" s="15"/>
      <c r="EV154" s="15"/>
      <c r="EW154" s="15"/>
      <c r="EX154" s="15"/>
      <c r="EY154" s="15"/>
      <c r="EZ154" s="15"/>
      <c r="FA154" s="15"/>
      <c r="FB154" s="15"/>
      <c r="FC154" s="15"/>
      <c r="FD154" s="15"/>
      <c r="FE154" s="15"/>
      <c r="FF154" s="15"/>
      <c r="FG154" s="15"/>
      <c r="FH154" s="15"/>
      <c r="FI154" s="15"/>
      <c r="FJ154" s="15"/>
      <c r="FK154" s="15"/>
      <c r="FL154" s="15"/>
      <c r="FM154" s="15"/>
      <c r="FN154" s="15"/>
      <c r="FO154" s="15"/>
      <c r="FP154" s="15"/>
      <c r="FQ154" s="15"/>
      <c r="FR154" s="15"/>
      <c r="FS154" s="15"/>
      <c r="FT154" s="15"/>
      <c r="FU154" s="15"/>
      <c r="FV154" s="15"/>
      <c r="FW154" s="15"/>
      <c r="FX154" s="15"/>
      <c r="FY154" s="15"/>
      <c r="FZ154" s="15"/>
      <c r="GA154" s="15"/>
      <c r="GB154" s="15"/>
      <c r="GC154" s="15"/>
      <c r="GD154" s="15"/>
      <c r="GE154" s="15"/>
      <c r="GF154" s="15"/>
      <c r="GG154" s="15"/>
      <c r="GH154" s="15"/>
      <c r="GI154" s="15"/>
      <c r="GJ154" s="15"/>
      <c r="GK154" s="15"/>
      <c r="GL154" s="15"/>
      <c r="GM154" s="15"/>
      <c r="GN154" s="15"/>
      <c r="GO154" s="15"/>
      <c r="GP154" s="15"/>
      <c r="GQ154" s="15"/>
      <c r="GR154" s="15"/>
      <c r="GS154" s="15"/>
      <c r="GT154" s="15"/>
      <c r="GU154" s="15"/>
      <c r="GV154" s="15"/>
      <c r="GW154" s="15"/>
      <c r="GX154" s="15"/>
      <c r="GY154" s="15"/>
      <c r="GZ154" s="15"/>
      <c r="HA154" s="15"/>
      <c r="HB154" s="15"/>
      <c r="HC154" s="15"/>
      <c r="HD154" s="15"/>
      <c r="HE154" s="15"/>
      <c r="HF154" s="15"/>
      <c r="HG154" s="15"/>
      <c r="HH154" s="15"/>
      <c r="HI154" s="15"/>
      <c r="HJ154" s="15"/>
      <c r="HK154" s="15"/>
      <c r="HL154" s="15"/>
      <c r="HM154" s="15"/>
      <c r="HN154" s="15"/>
      <c r="HO154" s="15"/>
      <c r="HP154" s="15"/>
      <c r="HQ154" s="15"/>
      <c r="HR154" s="15"/>
      <c r="HS154" s="15"/>
      <c r="HT154" s="15"/>
      <c r="HU154" s="15"/>
      <c r="HV154" s="15"/>
      <c r="HW154" s="15"/>
      <c r="HX154" s="15"/>
      <c r="HY154" s="15"/>
      <c r="HZ154" s="15"/>
      <c r="IA154" s="15"/>
      <c r="IB154" s="15"/>
      <c r="IC154" s="15"/>
      <c r="ID154" s="15"/>
      <c r="IE154" s="15"/>
      <c r="IF154" s="15"/>
      <c r="IG154" s="15"/>
      <c r="IH154" s="15"/>
      <c r="II154" s="15"/>
      <c r="IJ154" s="15"/>
      <c r="IK154" s="15"/>
      <c r="IL154" s="15"/>
      <c r="IM154" s="15"/>
      <c r="IN154" s="15"/>
      <c r="IO154" s="15"/>
      <c r="IP154" s="15"/>
      <c r="IQ154" s="15"/>
      <c r="IR154" s="15"/>
      <c r="IS154" s="15"/>
      <c r="IT154" s="15"/>
      <c r="IU154" s="15"/>
      <c r="IV154" s="15"/>
      <c r="IW154" s="15"/>
      <c r="IX154" s="15"/>
      <c r="IY154" s="15"/>
      <c r="IZ154" s="15"/>
      <c r="JA154" s="15"/>
      <c r="JB154" s="15"/>
      <c r="JC154" s="15"/>
      <c r="JD154" s="15"/>
      <c r="JE154" s="15"/>
      <c r="JF154" s="15"/>
      <c r="JG154" s="15"/>
      <c r="JH154" s="15"/>
      <c r="JI154" s="15"/>
      <c r="JJ154" s="15"/>
      <c r="JK154" s="15"/>
      <c r="JL154" s="15"/>
      <c r="JM154" s="15"/>
      <c r="JN154" s="15"/>
      <c r="JO154" s="15"/>
      <c r="JP154" s="15"/>
      <c r="JQ154" s="15"/>
      <c r="JR154" s="15"/>
      <c r="JS154" s="15"/>
      <c r="JT154" s="15"/>
      <c r="JU154" s="15"/>
      <c r="JV154" s="15"/>
      <c r="JW154" s="15"/>
      <c r="JX154" s="15"/>
      <c r="JY154" s="15"/>
      <c r="JZ154" s="15"/>
      <c r="KA154" s="15"/>
      <c r="KB154" s="15"/>
      <c r="KC154" s="15"/>
      <c r="KD154" s="15"/>
      <c r="KE154" s="15"/>
      <c r="KF154" s="15"/>
      <c r="KG154" s="15"/>
      <c r="KH154" s="15"/>
      <c r="KI154" s="15"/>
      <c r="KJ154" s="15"/>
      <c r="KK154" s="15"/>
      <c r="KL154" s="15"/>
      <c r="KM154" s="15"/>
      <c r="KN154" s="15"/>
      <c r="KO154" s="15"/>
      <c r="KP154" s="15"/>
      <c r="KQ154" s="15"/>
      <c r="KR154" s="15"/>
      <c r="KS154" s="15"/>
      <c r="KT154" s="15"/>
      <c r="KU154" s="15"/>
      <c r="KV154" s="15"/>
      <c r="KW154" s="15"/>
      <c r="KX154" s="15"/>
      <c r="KY154" s="15"/>
      <c r="KZ154" s="15"/>
      <c r="LA154" s="15"/>
      <c r="LB154" s="15"/>
      <c r="LC154" s="15"/>
      <c r="LD154" s="15"/>
      <c r="LE154" s="15"/>
      <c r="LF154" s="15"/>
      <c r="LG154" s="15"/>
      <c r="LH154" s="15"/>
      <c r="LI154" s="15"/>
      <c r="LJ154" s="15"/>
      <c r="LK154" s="15"/>
      <c r="LL154" s="15"/>
      <c r="LM154" s="15"/>
      <c r="LN154" s="15"/>
      <c r="LO154" s="15"/>
      <c r="LP154" s="15"/>
      <c r="LQ154" s="15"/>
      <c r="LR154" s="15"/>
      <c r="LS154" s="15"/>
      <c r="LT154" s="15"/>
      <c r="LU154" s="15"/>
      <c r="LV154" s="15"/>
      <c r="LW154" s="15"/>
      <c r="LX154" s="15"/>
      <c r="LY154" s="15"/>
      <c r="LZ154" s="15"/>
      <c r="MA154" s="15"/>
      <c r="MB154" s="15"/>
      <c r="MC154" s="15"/>
      <c r="MD154" s="15"/>
      <c r="ME154" s="15"/>
      <c r="MF154" s="15"/>
      <c r="MG154" s="15"/>
      <c r="MH154" s="15"/>
      <c r="MI154" s="15"/>
      <c r="MJ154" s="15"/>
      <c r="MK154" s="15"/>
      <c r="ML154" s="15"/>
      <c r="MM154" s="15"/>
      <c r="MN154" s="15"/>
      <c r="MO154" s="15"/>
      <c r="MP154" s="15"/>
      <c r="MQ154" s="15"/>
      <c r="MR154" s="15"/>
      <c r="MS154" s="15"/>
      <c r="MT154" s="15"/>
      <c r="MU154" s="15"/>
      <c r="MV154" s="15"/>
      <c r="MW154" s="15"/>
    </row>
    <row r="155" ht="119.25" customHeight="1">
      <c r="A155" s="13" t="s">
        <v>154</v>
      </c>
      <c r="B155" s="14" t="s">
        <v>10170</v>
      </c>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c r="DF155" s="15"/>
      <c r="DG155" s="15"/>
      <c r="DH155" s="15"/>
      <c r="DI155" s="15"/>
      <c r="DJ155" s="15"/>
      <c r="DK155" s="15"/>
      <c r="DL155" s="15"/>
      <c r="DM155" s="15"/>
      <c r="DN155" s="15"/>
      <c r="DO155" s="15"/>
      <c r="DP155" s="15"/>
      <c r="DQ155" s="15"/>
      <c r="DR155" s="15"/>
      <c r="DS155" s="15"/>
      <c r="DT155" s="15"/>
      <c r="DU155" s="15"/>
      <c r="DV155" s="15"/>
      <c r="DW155" s="15"/>
      <c r="DX155" s="15"/>
      <c r="DY155" s="15"/>
      <c r="DZ155" s="15"/>
      <c r="EA155" s="15"/>
      <c r="EB155" s="15"/>
      <c r="EC155" s="15"/>
      <c r="ED155" s="15"/>
      <c r="EE155" s="15"/>
      <c r="EF155" s="15"/>
      <c r="EG155" s="15"/>
      <c r="EH155" s="15"/>
      <c r="EI155" s="15"/>
      <c r="EJ155" s="15"/>
      <c r="EK155" s="15"/>
      <c r="EL155" s="15"/>
      <c r="EM155" s="15"/>
      <c r="EN155" s="15"/>
      <c r="EO155" s="15"/>
      <c r="EP155" s="15"/>
      <c r="EQ155" s="15"/>
      <c r="ER155" s="15"/>
      <c r="ES155" s="15"/>
      <c r="ET155" s="15"/>
      <c r="EU155" s="15"/>
      <c r="EV155" s="15"/>
      <c r="EW155" s="15"/>
      <c r="EX155" s="15"/>
      <c r="EY155" s="15"/>
      <c r="EZ155" s="15"/>
      <c r="FA155" s="15"/>
      <c r="FB155" s="15"/>
      <c r="FC155" s="15"/>
      <c r="FD155" s="15"/>
      <c r="FE155" s="15"/>
      <c r="FF155" s="15"/>
      <c r="FG155" s="15"/>
      <c r="FH155" s="15"/>
      <c r="FI155" s="15"/>
      <c r="FJ155" s="15"/>
      <c r="FK155" s="15"/>
      <c r="FL155" s="15"/>
      <c r="FM155" s="15"/>
      <c r="FN155" s="15"/>
      <c r="FO155" s="15"/>
      <c r="FP155" s="15"/>
      <c r="FQ155" s="15"/>
      <c r="FR155" s="15"/>
      <c r="FS155" s="15"/>
      <c r="FT155" s="15"/>
      <c r="FU155" s="15"/>
      <c r="FV155" s="15"/>
      <c r="FW155" s="15"/>
      <c r="FX155" s="15"/>
      <c r="FY155" s="15"/>
      <c r="FZ155" s="15"/>
      <c r="GA155" s="15"/>
      <c r="GB155" s="15"/>
      <c r="GC155" s="15"/>
      <c r="GD155" s="15"/>
      <c r="GE155" s="15"/>
      <c r="GF155" s="15"/>
      <c r="GG155" s="15"/>
      <c r="GH155" s="15"/>
      <c r="GI155" s="15"/>
      <c r="GJ155" s="15"/>
      <c r="GK155" s="15"/>
      <c r="GL155" s="15"/>
      <c r="GM155" s="15"/>
      <c r="GN155" s="15"/>
      <c r="GO155" s="15"/>
      <c r="GP155" s="15"/>
      <c r="GQ155" s="15"/>
      <c r="GR155" s="15"/>
      <c r="GS155" s="15"/>
      <c r="GT155" s="15"/>
      <c r="GU155" s="15"/>
      <c r="GV155" s="15"/>
      <c r="GW155" s="15"/>
      <c r="GX155" s="15"/>
      <c r="GY155" s="15"/>
      <c r="GZ155" s="15"/>
      <c r="HA155" s="15"/>
      <c r="HB155" s="15"/>
      <c r="HC155" s="15"/>
      <c r="HD155" s="15"/>
      <c r="HE155" s="15"/>
      <c r="HF155" s="15"/>
      <c r="HG155" s="15"/>
      <c r="HH155" s="15"/>
      <c r="HI155" s="15"/>
      <c r="HJ155" s="15"/>
      <c r="HK155" s="15"/>
      <c r="HL155" s="15"/>
      <c r="HM155" s="15"/>
      <c r="HN155" s="15"/>
      <c r="HO155" s="15"/>
      <c r="HP155" s="15"/>
      <c r="HQ155" s="15"/>
      <c r="HR155" s="15"/>
      <c r="HS155" s="15"/>
      <c r="HT155" s="15"/>
      <c r="HU155" s="15"/>
      <c r="HV155" s="15"/>
      <c r="HW155" s="15"/>
      <c r="HX155" s="15"/>
      <c r="HY155" s="15"/>
      <c r="HZ155" s="15"/>
      <c r="IA155" s="15"/>
      <c r="IB155" s="15"/>
      <c r="IC155" s="15"/>
      <c r="ID155" s="15"/>
      <c r="IE155" s="15"/>
      <c r="IF155" s="15"/>
      <c r="IG155" s="15"/>
      <c r="IH155" s="15"/>
      <c r="II155" s="15"/>
      <c r="IJ155" s="15"/>
      <c r="IK155" s="15"/>
      <c r="IL155" s="15"/>
      <c r="IM155" s="15"/>
      <c r="IN155" s="15"/>
      <c r="IO155" s="15"/>
      <c r="IP155" s="15"/>
      <c r="IQ155" s="15"/>
      <c r="IR155" s="15"/>
      <c r="IS155" s="15"/>
      <c r="IT155" s="15"/>
      <c r="IU155" s="15"/>
      <c r="IV155" s="15"/>
      <c r="IW155" s="15"/>
      <c r="IX155" s="15"/>
      <c r="IY155" s="15"/>
      <c r="IZ155" s="15"/>
      <c r="JA155" s="15"/>
      <c r="JB155" s="15"/>
      <c r="JC155" s="15"/>
      <c r="JD155" s="15"/>
      <c r="JE155" s="15"/>
      <c r="JF155" s="15"/>
      <c r="JG155" s="15"/>
      <c r="JH155" s="15"/>
      <c r="JI155" s="15"/>
      <c r="JJ155" s="15"/>
      <c r="JK155" s="15"/>
      <c r="JL155" s="15"/>
      <c r="JM155" s="15"/>
      <c r="JN155" s="15"/>
      <c r="JO155" s="15"/>
      <c r="JP155" s="15"/>
      <c r="JQ155" s="15"/>
      <c r="JR155" s="15"/>
      <c r="JS155" s="15"/>
      <c r="JT155" s="15"/>
      <c r="JU155" s="15"/>
      <c r="JV155" s="15"/>
      <c r="JW155" s="15"/>
      <c r="JX155" s="15"/>
      <c r="JY155" s="15"/>
      <c r="JZ155" s="15"/>
      <c r="KA155" s="15"/>
      <c r="KB155" s="15"/>
      <c r="KC155" s="15"/>
      <c r="KD155" s="15"/>
      <c r="KE155" s="15"/>
      <c r="KF155" s="15"/>
      <c r="KG155" s="15"/>
      <c r="KH155" s="15"/>
      <c r="KI155" s="15"/>
      <c r="KJ155" s="15"/>
      <c r="KK155" s="15"/>
      <c r="KL155" s="15"/>
      <c r="KM155" s="15"/>
      <c r="KN155" s="15"/>
      <c r="KO155" s="15"/>
      <c r="KP155" s="15"/>
      <c r="KQ155" s="15"/>
      <c r="KR155" s="15"/>
      <c r="KS155" s="15"/>
      <c r="KT155" s="15"/>
      <c r="KU155" s="15"/>
      <c r="KV155" s="15"/>
      <c r="KW155" s="15"/>
      <c r="KX155" s="15"/>
      <c r="KY155" s="15"/>
      <c r="KZ155" s="15"/>
      <c r="LA155" s="15"/>
      <c r="LB155" s="15"/>
      <c r="LC155" s="15"/>
      <c r="LD155" s="15"/>
      <c r="LE155" s="15"/>
      <c r="LF155" s="15"/>
      <c r="LG155" s="15"/>
      <c r="LH155" s="15"/>
      <c r="LI155" s="15"/>
      <c r="LJ155" s="15"/>
      <c r="LK155" s="15"/>
      <c r="LL155" s="15"/>
      <c r="LM155" s="15"/>
      <c r="LN155" s="15"/>
      <c r="LO155" s="15"/>
      <c r="LP155" s="15"/>
      <c r="LQ155" s="15"/>
      <c r="LR155" s="15"/>
      <c r="LS155" s="15"/>
      <c r="LT155" s="15"/>
      <c r="LU155" s="15"/>
      <c r="LV155" s="15"/>
      <c r="LW155" s="15"/>
      <c r="LX155" s="15"/>
      <c r="LY155" s="15"/>
      <c r="LZ155" s="15"/>
      <c r="MA155" s="15"/>
      <c r="MB155" s="15"/>
      <c r="MC155" s="15"/>
      <c r="MD155" s="15"/>
      <c r="ME155" s="15"/>
      <c r="MF155" s="15"/>
      <c r="MG155" s="15"/>
      <c r="MH155" s="15"/>
      <c r="MI155" s="15"/>
      <c r="MJ155" s="15"/>
      <c r="MK155" s="15"/>
      <c r="ML155" s="15"/>
      <c r="MM155" s="15"/>
      <c r="MN155" s="15"/>
      <c r="MO155" s="15"/>
      <c r="MP155" s="15"/>
      <c r="MQ155" s="15"/>
      <c r="MR155" s="15"/>
      <c r="MS155" s="15"/>
      <c r="MT155" s="15"/>
      <c r="MU155" s="15"/>
      <c r="MV155" s="15"/>
      <c r="MW155" s="15"/>
    </row>
    <row r="156" ht="41.25" customHeight="1">
      <c r="A156" s="13" t="s">
        <v>155</v>
      </c>
      <c r="B156" s="14" t="s">
        <v>10171</v>
      </c>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c r="DF156" s="15"/>
      <c r="DG156" s="15"/>
      <c r="DH156" s="15"/>
      <c r="DI156" s="15"/>
      <c r="DJ156" s="15"/>
      <c r="DK156" s="15"/>
      <c r="DL156" s="15"/>
      <c r="DM156" s="15"/>
      <c r="DN156" s="15"/>
      <c r="DO156" s="15"/>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15"/>
      <c r="ES156" s="15"/>
      <c r="ET156" s="15"/>
      <c r="EU156" s="15"/>
      <c r="EV156" s="15"/>
      <c r="EW156" s="15"/>
      <c r="EX156" s="15"/>
      <c r="EY156" s="15"/>
      <c r="EZ156" s="15"/>
      <c r="FA156" s="15"/>
      <c r="FB156" s="15"/>
      <c r="FC156" s="15"/>
      <c r="FD156" s="15"/>
      <c r="FE156" s="15"/>
      <c r="FF156" s="15"/>
      <c r="FG156" s="15"/>
      <c r="FH156" s="15"/>
      <c r="FI156" s="15"/>
      <c r="FJ156" s="15"/>
      <c r="FK156" s="15"/>
      <c r="FL156" s="15"/>
      <c r="FM156" s="15"/>
      <c r="FN156" s="15"/>
      <c r="FO156" s="15"/>
      <c r="FP156" s="15"/>
      <c r="FQ156" s="15"/>
      <c r="FR156" s="15"/>
      <c r="FS156" s="15"/>
      <c r="FT156" s="15"/>
      <c r="FU156" s="15"/>
      <c r="FV156" s="15"/>
      <c r="FW156" s="15"/>
      <c r="FX156" s="15"/>
      <c r="FY156" s="15"/>
      <c r="FZ156" s="15"/>
      <c r="GA156" s="15"/>
      <c r="GB156" s="15"/>
      <c r="GC156" s="15"/>
      <c r="GD156" s="15"/>
      <c r="GE156" s="15"/>
      <c r="GF156" s="15"/>
      <c r="GG156" s="15"/>
      <c r="GH156" s="15"/>
      <c r="GI156" s="15"/>
      <c r="GJ156" s="15"/>
      <c r="GK156" s="15"/>
      <c r="GL156" s="15"/>
      <c r="GM156" s="15"/>
      <c r="GN156" s="15"/>
      <c r="GO156" s="15"/>
      <c r="GP156" s="15"/>
      <c r="GQ156" s="15"/>
      <c r="GR156" s="15"/>
      <c r="GS156" s="15"/>
      <c r="GT156" s="15"/>
      <c r="GU156" s="15"/>
      <c r="GV156" s="15"/>
      <c r="GW156" s="15"/>
      <c r="GX156" s="15"/>
      <c r="GY156" s="15"/>
      <c r="GZ156" s="15"/>
      <c r="HA156" s="15"/>
      <c r="HB156" s="15"/>
      <c r="HC156" s="15"/>
      <c r="HD156" s="15"/>
      <c r="HE156" s="15"/>
      <c r="HF156" s="15"/>
      <c r="HG156" s="15"/>
      <c r="HH156" s="15"/>
      <c r="HI156" s="15"/>
      <c r="HJ156" s="15"/>
      <c r="HK156" s="15"/>
      <c r="HL156" s="15"/>
      <c r="HM156" s="15"/>
      <c r="HN156" s="15"/>
      <c r="HO156" s="15"/>
      <c r="HP156" s="15"/>
      <c r="HQ156" s="15"/>
      <c r="HR156" s="15"/>
      <c r="HS156" s="15"/>
      <c r="HT156" s="15"/>
      <c r="HU156" s="15"/>
      <c r="HV156" s="15"/>
      <c r="HW156" s="15"/>
      <c r="HX156" s="15"/>
      <c r="HY156" s="15"/>
      <c r="HZ156" s="15"/>
      <c r="IA156" s="15"/>
      <c r="IB156" s="15"/>
      <c r="IC156" s="15"/>
      <c r="ID156" s="15"/>
      <c r="IE156" s="15"/>
      <c r="IF156" s="15"/>
      <c r="IG156" s="15"/>
      <c r="IH156" s="15"/>
      <c r="II156" s="15"/>
      <c r="IJ156" s="15"/>
      <c r="IK156" s="15"/>
      <c r="IL156" s="15"/>
      <c r="IM156" s="15"/>
      <c r="IN156" s="15"/>
      <c r="IO156" s="15"/>
      <c r="IP156" s="15"/>
      <c r="IQ156" s="15"/>
      <c r="IR156" s="15"/>
      <c r="IS156" s="15"/>
      <c r="IT156" s="15"/>
      <c r="IU156" s="15"/>
      <c r="IV156" s="15"/>
      <c r="IW156" s="15"/>
      <c r="IX156" s="15"/>
      <c r="IY156" s="15"/>
      <c r="IZ156" s="15"/>
      <c r="JA156" s="15"/>
      <c r="JB156" s="15"/>
      <c r="JC156" s="15"/>
      <c r="JD156" s="15"/>
      <c r="JE156" s="15"/>
      <c r="JF156" s="15"/>
      <c r="JG156" s="15"/>
      <c r="JH156" s="15"/>
      <c r="JI156" s="15"/>
      <c r="JJ156" s="15"/>
      <c r="JK156" s="15"/>
      <c r="JL156" s="15"/>
      <c r="JM156" s="15"/>
      <c r="JN156" s="15"/>
      <c r="JO156" s="15"/>
      <c r="JP156" s="15"/>
      <c r="JQ156" s="15"/>
      <c r="JR156" s="15"/>
      <c r="JS156" s="15"/>
      <c r="JT156" s="15"/>
      <c r="JU156" s="15"/>
      <c r="JV156" s="15"/>
      <c r="JW156" s="15"/>
      <c r="JX156" s="15"/>
      <c r="JY156" s="15"/>
      <c r="JZ156" s="15"/>
      <c r="KA156" s="15"/>
      <c r="KB156" s="15"/>
      <c r="KC156" s="15"/>
      <c r="KD156" s="15"/>
      <c r="KE156" s="15"/>
      <c r="KF156" s="15"/>
      <c r="KG156" s="15"/>
      <c r="KH156" s="15"/>
      <c r="KI156" s="15"/>
      <c r="KJ156" s="15"/>
      <c r="KK156" s="15"/>
      <c r="KL156" s="15"/>
      <c r="KM156" s="15"/>
      <c r="KN156" s="15"/>
      <c r="KO156" s="15"/>
      <c r="KP156" s="15"/>
      <c r="KQ156" s="15"/>
      <c r="KR156" s="15"/>
      <c r="KS156" s="15"/>
      <c r="KT156" s="15"/>
      <c r="KU156" s="15"/>
      <c r="KV156" s="15"/>
      <c r="KW156" s="15"/>
      <c r="KX156" s="15"/>
      <c r="KY156" s="15"/>
      <c r="KZ156" s="15"/>
      <c r="LA156" s="15"/>
      <c r="LB156" s="15"/>
      <c r="LC156" s="15"/>
      <c r="LD156" s="15"/>
      <c r="LE156" s="15"/>
      <c r="LF156" s="15"/>
      <c r="LG156" s="15"/>
      <c r="LH156" s="15"/>
      <c r="LI156" s="15"/>
      <c r="LJ156" s="15"/>
      <c r="LK156" s="15"/>
      <c r="LL156" s="15"/>
      <c r="LM156" s="15"/>
      <c r="LN156" s="15"/>
      <c r="LO156" s="15"/>
      <c r="LP156" s="15"/>
      <c r="LQ156" s="15"/>
      <c r="LR156" s="15"/>
      <c r="LS156" s="15"/>
      <c r="LT156" s="15"/>
      <c r="LU156" s="15"/>
      <c r="LV156" s="15"/>
      <c r="LW156" s="15"/>
      <c r="LX156" s="15"/>
      <c r="LY156" s="15"/>
      <c r="LZ156" s="15"/>
      <c r="MA156" s="15"/>
      <c r="MB156" s="15"/>
      <c r="MC156" s="15"/>
      <c r="MD156" s="15"/>
      <c r="ME156" s="15"/>
      <c r="MF156" s="15"/>
      <c r="MG156" s="15"/>
      <c r="MH156" s="15"/>
      <c r="MI156" s="15"/>
      <c r="MJ156" s="15"/>
      <c r="MK156" s="15"/>
      <c r="ML156" s="15"/>
      <c r="MM156" s="15"/>
      <c r="MN156" s="15"/>
      <c r="MO156" s="15"/>
      <c r="MP156" s="15"/>
      <c r="MQ156" s="15"/>
      <c r="MR156" s="15"/>
      <c r="MS156" s="15"/>
      <c r="MT156" s="15"/>
      <c r="MU156" s="15"/>
      <c r="MV156" s="15"/>
      <c r="MW156" s="15"/>
    </row>
    <row r="157" ht="119.25" customHeight="1">
      <c r="A157" s="13" t="s">
        <v>156</v>
      </c>
      <c r="B157" s="14" t="s">
        <v>10172</v>
      </c>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5"/>
      <c r="DL157" s="15"/>
      <c r="DM157" s="15"/>
      <c r="DN157" s="15"/>
      <c r="DO157" s="15"/>
      <c r="DP157" s="15"/>
      <c r="DQ157" s="15"/>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5"/>
      <c r="EY157" s="15"/>
      <c r="EZ157" s="15"/>
      <c r="FA157" s="15"/>
      <c r="FB157" s="15"/>
      <c r="FC157" s="15"/>
      <c r="FD157" s="15"/>
      <c r="FE157" s="15"/>
      <c r="FF157" s="15"/>
      <c r="FG157" s="15"/>
      <c r="FH157" s="15"/>
      <c r="FI157" s="15"/>
      <c r="FJ157" s="15"/>
      <c r="FK157" s="15"/>
      <c r="FL157" s="15"/>
      <c r="FM157" s="15"/>
      <c r="FN157" s="15"/>
      <c r="FO157" s="15"/>
      <c r="FP157" s="15"/>
      <c r="FQ157" s="15"/>
      <c r="FR157" s="15"/>
      <c r="FS157" s="15"/>
      <c r="FT157" s="15"/>
      <c r="FU157" s="15"/>
      <c r="FV157" s="15"/>
      <c r="FW157" s="15"/>
      <c r="FX157" s="15"/>
      <c r="FY157" s="15"/>
      <c r="FZ157" s="15"/>
      <c r="GA157" s="15"/>
      <c r="GB157" s="15"/>
      <c r="GC157" s="15"/>
      <c r="GD157" s="15"/>
      <c r="GE157" s="15"/>
      <c r="GF157" s="15"/>
      <c r="GG157" s="15"/>
      <c r="GH157" s="15"/>
      <c r="GI157" s="15"/>
      <c r="GJ157" s="15"/>
      <c r="GK157" s="15"/>
      <c r="GL157" s="15"/>
      <c r="GM157" s="15"/>
      <c r="GN157" s="15"/>
      <c r="GO157" s="15"/>
      <c r="GP157" s="15"/>
      <c r="GQ157" s="15"/>
      <c r="GR157" s="15"/>
      <c r="GS157" s="15"/>
      <c r="GT157" s="15"/>
      <c r="GU157" s="15"/>
      <c r="GV157" s="15"/>
      <c r="GW157" s="15"/>
      <c r="GX157" s="15"/>
      <c r="GY157" s="15"/>
      <c r="GZ157" s="15"/>
      <c r="HA157" s="15"/>
      <c r="HB157" s="15"/>
      <c r="HC157" s="15"/>
      <c r="HD157" s="15"/>
      <c r="HE157" s="15"/>
      <c r="HF157" s="15"/>
      <c r="HG157" s="15"/>
      <c r="HH157" s="15"/>
      <c r="HI157" s="15"/>
      <c r="HJ157" s="15"/>
      <c r="HK157" s="15"/>
      <c r="HL157" s="15"/>
      <c r="HM157" s="15"/>
      <c r="HN157" s="15"/>
      <c r="HO157" s="15"/>
      <c r="HP157" s="15"/>
      <c r="HQ157" s="15"/>
      <c r="HR157" s="15"/>
      <c r="HS157" s="15"/>
      <c r="HT157" s="15"/>
      <c r="HU157" s="15"/>
      <c r="HV157" s="15"/>
      <c r="HW157" s="15"/>
      <c r="HX157" s="15"/>
      <c r="HY157" s="15"/>
      <c r="HZ157" s="15"/>
      <c r="IA157" s="15"/>
      <c r="IB157" s="15"/>
      <c r="IC157" s="15"/>
      <c r="ID157" s="15"/>
      <c r="IE157" s="15"/>
      <c r="IF157" s="15"/>
      <c r="IG157" s="15"/>
      <c r="IH157" s="15"/>
      <c r="II157" s="15"/>
      <c r="IJ157" s="15"/>
      <c r="IK157" s="15"/>
      <c r="IL157" s="15"/>
      <c r="IM157" s="15"/>
      <c r="IN157" s="15"/>
      <c r="IO157" s="15"/>
      <c r="IP157" s="15"/>
      <c r="IQ157" s="15"/>
      <c r="IR157" s="15"/>
      <c r="IS157" s="15"/>
      <c r="IT157" s="15"/>
      <c r="IU157" s="15"/>
      <c r="IV157" s="15"/>
      <c r="IW157" s="15"/>
      <c r="IX157" s="15"/>
      <c r="IY157" s="15"/>
      <c r="IZ157" s="15"/>
      <c r="JA157" s="15"/>
      <c r="JB157" s="15"/>
      <c r="JC157" s="15"/>
      <c r="JD157" s="15"/>
      <c r="JE157" s="15"/>
      <c r="JF157" s="15"/>
      <c r="JG157" s="15"/>
      <c r="JH157" s="15"/>
      <c r="JI157" s="15"/>
      <c r="JJ157" s="15"/>
      <c r="JK157" s="15"/>
      <c r="JL157" s="15"/>
      <c r="JM157" s="15"/>
      <c r="JN157" s="15"/>
      <c r="JO157" s="15"/>
      <c r="JP157" s="15"/>
      <c r="JQ157" s="15"/>
      <c r="JR157" s="15"/>
      <c r="JS157" s="15"/>
      <c r="JT157" s="15"/>
      <c r="JU157" s="15"/>
      <c r="JV157" s="15"/>
      <c r="JW157" s="15"/>
      <c r="JX157" s="15"/>
      <c r="JY157" s="15"/>
      <c r="JZ157" s="15"/>
      <c r="KA157" s="15"/>
      <c r="KB157" s="15"/>
      <c r="KC157" s="15"/>
      <c r="KD157" s="15"/>
      <c r="KE157" s="15"/>
      <c r="KF157" s="15"/>
      <c r="KG157" s="15"/>
      <c r="KH157" s="15"/>
      <c r="KI157" s="15"/>
      <c r="KJ157" s="15"/>
      <c r="KK157" s="15"/>
      <c r="KL157" s="15"/>
      <c r="KM157" s="15"/>
      <c r="KN157" s="15"/>
      <c r="KO157" s="15"/>
      <c r="KP157" s="15"/>
      <c r="KQ157" s="15"/>
      <c r="KR157" s="15"/>
      <c r="KS157" s="15"/>
      <c r="KT157" s="15"/>
      <c r="KU157" s="15"/>
      <c r="KV157" s="15"/>
      <c r="KW157" s="15"/>
      <c r="KX157" s="15"/>
      <c r="KY157" s="15"/>
      <c r="KZ157" s="15"/>
      <c r="LA157" s="15"/>
      <c r="LB157" s="15"/>
      <c r="LC157" s="15"/>
      <c r="LD157" s="15"/>
      <c r="LE157" s="15"/>
      <c r="LF157" s="15"/>
      <c r="LG157" s="15"/>
      <c r="LH157" s="15"/>
      <c r="LI157" s="15"/>
      <c r="LJ157" s="15"/>
      <c r="LK157" s="15"/>
      <c r="LL157" s="15"/>
      <c r="LM157" s="15"/>
      <c r="LN157" s="15"/>
      <c r="LO157" s="15"/>
      <c r="LP157" s="15"/>
      <c r="LQ157" s="15"/>
      <c r="LR157" s="15"/>
      <c r="LS157" s="15"/>
      <c r="LT157" s="15"/>
      <c r="LU157" s="15"/>
      <c r="LV157" s="15"/>
      <c r="LW157" s="15"/>
      <c r="LX157" s="15"/>
      <c r="LY157" s="15"/>
      <c r="LZ157" s="15"/>
      <c r="MA157" s="15"/>
      <c r="MB157" s="15"/>
      <c r="MC157" s="15"/>
      <c r="MD157" s="15"/>
      <c r="ME157" s="15"/>
      <c r="MF157" s="15"/>
      <c r="MG157" s="15"/>
      <c r="MH157" s="15"/>
      <c r="MI157" s="15"/>
      <c r="MJ157" s="15"/>
      <c r="MK157" s="15"/>
      <c r="ML157" s="15"/>
      <c r="MM157" s="15"/>
      <c r="MN157" s="15"/>
      <c r="MO157" s="15"/>
      <c r="MP157" s="15"/>
      <c r="MQ157" s="15"/>
      <c r="MR157" s="15"/>
      <c r="MS157" s="15"/>
      <c r="MT157" s="15"/>
      <c r="MU157" s="15"/>
      <c r="MV157" s="15"/>
      <c r="MW157" s="15"/>
    </row>
    <row r="158" ht="41.25" customHeight="1">
      <c r="A158" s="13" t="s">
        <v>157</v>
      </c>
      <c r="B158" s="14" t="s">
        <v>10173</v>
      </c>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5"/>
      <c r="DL158" s="15"/>
      <c r="DM158" s="15"/>
      <c r="DN158" s="15"/>
      <c r="DO158" s="15"/>
      <c r="DP158" s="15"/>
      <c r="DQ158" s="15"/>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5"/>
      <c r="EY158" s="15"/>
      <c r="EZ158" s="15"/>
      <c r="FA158" s="15"/>
      <c r="FB158" s="15"/>
      <c r="FC158" s="15"/>
      <c r="FD158" s="15"/>
      <c r="FE158" s="15"/>
      <c r="FF158" s="15"/>
      <c r="FG158" s="15"/>
      <c r="FH158" s="15"/>
      <c r="FI158" s="15"/>
      <c r="FJ158" s="15"/>
      <c r="FK158" s="15"/>
      <c r="FL158" s="15"/>
      <c r="FM158" s="15"/>
      <c r="FN158" s="15"/>
      <c r="FO158" s="15"/>
      <c r="FP158" s="15"/>
      <c r="FQ158" s="15"/>
      <c r="FR158" s="15"/>
      <c r="FS158" s="15"/>
      <c r="FT158" s="15"/>
      <c r="FU158" s="15"/>
      <c r="FV158" s="15"/>
      <c r="FW158" s="15"/>
      <c r="FX158" s="15"/>
      <c r="FY158" s="15"/>
      <c r="FZ158" s="15"/>
      <c r="GA158" s="15"/>
      <c r="GB158" s="15"/>
      <c r="GC158" s="15"/>
      <c r="GD158" s="15"/>
      <c r="GE158" s="15"/>
      <c r="GF158" s="15"/>
      <c r="GG158" s="15"/>
      <c r="GH158" s="15"/>
      <c r="GI158" s="15"/>
      <c r="GJ158" s="15"/>
      <c r="GK158" s="15"/>
      <c r="GL158" s="15"/>
      <c r="GM158" s="15"/>
      <c r="GN158" s="15"/>
      <c r="GO158" s="15"/>
      <c r="GP158" s="15"/>
      <c r="GQ158" s="15"/>
      <c r="GR158" s="15"/>
      <c r="GS158" s="15"/>
      <c r="GT158" s="15"/>
      <c r="GU158" s="15"/>
      <c r="GV158" s="15"/>
      <c r="GW158" s="15"/>
      <c r="GX158" s="15"/>
      <c r="GY158" s="15"/>
      <c r="GZ158" s="15"/>
      <c r="HA158" s="15"/>
      <c r="HB158" s="15"/>
      <c r="HC158" s="15"/>
      <c r="HD158" s="15"/>
      <c r="HE158" s="15"/>
      <c r="HF158" s="15"/>
      <c r="HG158" s="15"/>
      <c r="HH158" s="15"/>
      <c r="HI158" s="15"/>
      <c r="HJ158" s="15"/>
      <c r="HK158" s="15"/>
      <c r="HL158" s="15"/>
      <c r="HM158" s="15"/>
      <c r="HN158" s="15"/>
      <c r="HO158" s="15"/>
      <c r="HP158" s="15"/>
      <c r="HQ158" s="15"/>
      <c r="HR158" s="15"/>
      <c r="HS158" s="15"/>
      <c r="HT158" s="15"/>
      <c r="HU158" s="15"/>
      <c r="HV158" s="15"/>
      <c r="HW158" s="15"/>
      <c r="HX158" s="15"/>
      <c r="HY158" s="15"/>
      <c r="HZ158" s="15"/>
      <c r="IA158" s="15"/>
      <c r="IB158" s="15"/>
      <c r="IC158" s="15"/>
      <c r="ID158" s="15"/>
      <c r="IE158" s="15"/>
      <c r="IF158" s="15"/>
      <c r="IG158" s="15"/>
      <c r="IH158" s="15"/>
      <c r="II158" s="15"/>
      <c r="IJ158" s="15"/>
      <c r="IK158" s="15"/>
      <c r="IL158" s="15"/>
      <c r="IM158" s="15"/>
      <c r="IN158" s="15"/>
      <c r="IO158" s="15"/>
      <c r="IP158" s="15"/>
      <c r="IQ158" s="15"/>
      <c r="IR158" s="15"/>
      <c r="IS158" s="15"/>
      <c r="IT158" s="15"/>
      <c r="IU158" s="15"/>
      <c r="IV158" s="15"/>
      <c r="IW158" s="15"/>
      <c r="IX158" s="15"/>
      <c r="IY158" s="15"/>
      <c r="IZ158" s="15"/>
      <c r="JA158" s="15"/>
      <c r="JB158" s="15"/>
      <c r="JC158" s="15"/>
      <c r="JD158" s="15"/>
      <c r="JE158" s="15"/>
      <c r="JF158" s="15"/>
      <c r="JG158" s="15"/>
      <c r="JH158" s="15"/>
      <c r="JI158" s="15"/>
      <c r="JJ158" s="15"/>
      <c r="JK158" s="15"/>
      <c r="JL158" s="15"/>
      <c r="JM158" s="15"/>
      <c r="JN158" s="15"/>
      <c r="JO158" s="15"/>
      <c r="JP158" s="15"/>
      <c r="JQ158" s="15"/>
      <c r="JR158" s="15"/>
      <c r="JS158" s="15"/>
      <c r="JT158" s="15"/>
      <c r="JU158" s="15"/>
      <c r="JV158" s="15"/>
      <c r="JW158" s="15"/>
      <c r="JX158" s="15"/>
      <c r="JY158" s="15"/>
      <c r="JZ158" s="15"/>
      <c r="KA158" s="15"/>
      <c r="KB158" s="15"/>
      <c r="KC158" s="15"/>
      <c r="KD158" s="15"/>
      <c r="KE158" s="15"/>
      <c r="KF158" s="15"/>
      <c r="KG158" s="15"/>
      <c r="KH158" s="15"/>
      <c r="KI158" s="15"/>
      <c r="KJ158" s="15"/>
      <c r="KK158" s="15"/>
      <c r="KL158" s="15"/>
      <c r="KM158" s="15"/>
      <c r="KN158" s="15"/>
      <c r="KO158" s="15"/>
      <c r="KP158" s="15"/>
      <c r="KQ158" s="15"/>
      <c r="KR158" s="15"/>
      <c r="KS158" s="15"/>
      <c r="KT158" s="15"/>
      <c r="KU158" s="15"/>
      <c r="KV158" s="15"/>
      <c r="KW158" s="15"/>
      <c r="KX158" s="15"/>
      <c r="KY158" s="15"/>
      <c r="KZ158" s="15"/>
      <c r="LA158" s="15"/>
      <c r="LB158" s="15"/>
      <c r="LC158" s="15"/>
      <c r="LD158" s="15"/>
      <c r="LE158" s="15"/>
      <c r="LF158" s="15"/>
      <c r="LG158" s="15"/>
      <c r="LH158" s="15"/>
      <c r="LI158" s="15"/>
      <c r="LJ158" s="15"/>
      <c r="LK158" s="15"/>
      <c r="LL158" s="15"/>
      <c r="LM158" s="15"/>
      <c r="LN158" s="15"/>
      <c r="LO158" s="15"/>
      <c r="LP158" s="15"/>
      <c r="LQ158" s="15"/>
      <c r="LR158" s="15"/>
      <c r="LS158" s="15"/>
      <c r="LT158" s="15"/>
      <c r="LU158" s="15"/>
      <c r="LV158" s="15"/>
      <c r="LW158" s="15"/>
      <c r="LX158" s="15"/>
      <c r="LY158" s="15"/>
      <c r="LZ158" s="15"/>
      <c r="MA158" s="15"/>
      <c r="MB158" s="15"/>
      <c r="MC158" s="15"/>
      <c r="MD158" s="15"/>
      <c r="ME158" s="15"/>
      <c r="MF158" s="15"/>
      <c r="MG158" s="15"/>
      <c r="MH158" s="15"/>
      <c r="MI158" s="15"/>
      <c r="MJ158" s="15"/>
      <c r="MK158" s="15"/>
      <c r="ML158" s="15"/>
      <c r="MM158" s="15"/>
      <c r="MN158" s="15"/>
      <c r="MO158" s="15"/>
      <c r="MP158" s="15"/>
      <c r="MQ158" s="15"/>
      <c r="MR158" s="15"/>
      <c r="MS158" s="15"/>
      <c r="MT158" s="15"/>
      <c r="MU158" s="15"/>
      <c r="MV158" s="15"/>
      <c r="MW158" s="15"/>
    </row>
    <row r="159" ht="119.25" customHeight="1">
      <c r="A159" s="13" t="s">
        <v>158</v>
      </c>
      <c r="B159" s="14" t="s">
        <v>10174</v>
      </c>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5"/>
      <c r="DL159" s="15"/>
      <c r="DM159" s="15"/>
      <c r="DN159" s="15"/>
      <c r="DO159" s="15"/>
      <c r="DP159" s="15"/>
      <c r="DQ159" s="15"/>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5"/>
      <c r="EY159" s="15"/>
      <c r="EZ159" s="15"/>
      <c r="FA159" s="15"/>
      <c r="FB159" s="15"/>
      <c r="FC159" s="15"/>
      <c r="FD159" s="15"/>
      <c r="FE159" s="15"/>
      <c r="FF159" s="15"/>
      <c r="FG159" s="15"/>
      <c r="FH159" s="15"/>
      <c r="FI159" s="15"/>
      <c r="FJ159" s="15"/>
      <c r="FK159" s="15"/>
      <c r="FL159" s="15"/>
      <c r="FM159" s="15"/>
      <c r="FN159" s="15"/>
      <c r="FO159" s="15"/>
      <c r="FP159" s="15"/>
      <c r="FQ159" s="15"/>
      <c r="FR159" s="15"/>
      <c r="FS159" s="15"/>
      <c r="FT159" s="15"/>
      <c r="FU159" s="15"/>
      <c r="FV159" s="15"/>
      <c r="FW159" s="15"/>
      <c r="FX159" s="15"/>
      <c r="FY159" s="15"/>
      <c r="FZ159" s="15"/>
      <c r="GA159" s="15"/>
      <c r="GB159" s="15"/>
      <c r="GC159" s="15"/>
      <c r="GD159" s="15"/>
      <c r="GE159" s="15"/>
      <c r="GF159" s="15"/>
      <c r="GG159" s="15"/>
      <c r="GH159" s="15"/>
      <c r="GI159" s="15"/>
      <c r="GJ159" s="15"/>
      <c r="GK159" s="15"/>
      <c r="GL159" s="15"/>
      <c r="GM159" s="15"/>
      <c r="GN159" s="15"/>
      <c r="GO159" s="15"/>
      <c r="GP159" s="15"/>
      <c r="GQ159" s="15"/>
      <c r="GR159" s="15"/>
      <c r="GS159" s="15"/>
      <c r="GT159" s="15"/>
      <c r="GU159" s="15"/>
      <c r="GV159" s="15"/>
      <c r="GW159" s="15"/>
      <c r="GX159" s="15"/>
      <c r="GY159" s="15"/>
      <c r="GZ159" s="15"/>
      <c r="HA159" s="15"/>
      <c r="HB159" s="15"/>
      <c r="HC159" s="15"/>
      <c r="HD159" s="15"/>
      <c r="HE159" s="15"/>
      <c r="HF159" s="15"/>
      <c r="HG159" s="15"/>
      <c r="HH159" s="15"/>
      <c r="HI159" s="15"/>
      <c r="HJ159" s="15"/>
      <c r="HK159" s="15"/>
      <c r="HL159" s="15"/>
      <c r="HM159" s="15"/>
      <c r="HN159" s="15"/>
      <c r="HO159" s="15"/>
      <c r="HP159" s="15"/>
      <c r="HQ159" s="15"/>
      <c r="HR159" s="15"/>
      <c r="HS159" s="15"/>
      <c r="HT159" s="15"/>
      <c r="HU159" s="15"/>
      <c r="HV159" s="15"/>
      <c r="HW159" s="15"/>
      <c r="HX159" s="15"/>
      <c r="HY159" s="15"/>
      <c r="HZ159" s="15"/>
      <c r="IA159" s="15"/>
      <c r="IB159" s="15"/>
      <c r="IC159" s="15"/>
      <c r="ID159" s="15"/>
      <c r="IE159" s="15"/>
      <c r="IF159" s="15"/>
      <c r="IG159" s="15"/>
      <c r="IH159" s="15"/>
      <c r="II159" s="15"/>
      <c r="IJ159" s="15"/>
      <c r="IK159" s="15"/>
      <c r="IL159" s="15"/>
      <c r="IM159" s="15"/>
      <c r="IN159" s="15"/>
      <c r="IO159" s="15"/>
      <c r="IP159" s="15"/>
      <c r="IQ159" s="15"/>
      <c r="IR159" s="15"/>
      <c r="IS159" s="15"/>
      <c r="IT159" s="15"/>
      <c r="IU159" s="15"/>
      <c r="IV159" s="15"/>
      <c r="IW159" s="15"/>
      <c r="IX159" s="15"/>
      <c r="IY159" s="15"/>
      <c r="IZ159" s="15"/>
      <c r="JA159" s="15"/>
      <c r="JB159" s="15"/>
      <c r="JC159" s="15"/>
      <c r="JD159" s="15"/>
      <c r="JE159" s="15"/>
      <c r="JF159" s="15"/>
      <c r="JG159" s="15"/>
      <c r="JH159" s="15"/>
      <c r="JI159" s="15"/>
      <c r="JJ159" s="15"/>
      <c r="JK159" s="15"/>
      <c r="JL159" s="15"/>
      <c r="JM159" s="15"/>
      <c r="JN159" s="15"/>
      <c r="JO159" s="15"/>
      <c r="JP159" s="15"/>
      <c r="JQ159" s="15"/>
      <c r="JR159" s="15"/>
      <c r="JS159" s="15"/>
      <c r="JT159" s="15"/>
      <c r="JU159" s="15"/>
      <c r="JV159" s="15"/>
      <c r="JW159" s="15"/>
      <c r="JX159" s="15"/>
      <c r="JY159" s="15"/>
      <c r="JZ159" s="15"/>
      <c r="KA159" s="15"/>
      <c r="KB159" s="15"/>
      <c r="KC159" s="15"/>
      <c r="KD159" s="15"/>
      <c r="KE159" s="15"/>
      <c r="KF159" s="15"/>
      <c r="KG159" s="15"/>
      <c r="KH159" s="15"/>
      <c r="KI159" s="15"/>
      <c r="KJ159" s="15"/>
      <c r="KK159" s="15"/>
      <c r="KL159" s="15"/>
      <c r="KM159" s="15"/>
      <c r="KN159" s="15"/>
      <c r="KO159" s="15"/>
      <c r="KP159" s="15"/>
      <c r="KQ159" s="15"/>
      <c r="KR159" s="15"/>
      <c r="KS159" s="15"/>
      <c r="KT159" s="15"/>
      <c r="KU159" s="15"/>
      <c r="KV159" s="15"/>
      <c r="KW159" s="15"/>
      <c r="KX159" s="15"/>
      <c r="KY159" s="15"/>
      <c r="KZ159" s="15"/>
      <c r="LA159" s="15"/>
      <c r="LB159" s="15"/>
      <c r="LC159" s="15"/>
      <c r="LD159" s="15"/>
      <c r="LE159" s="15"/>
      <c r="LF159" s="15"/>
      <c r="LG159" s="15"/>
      <c r="LH159" s="15"/>
      <c r="LI159" s="15"/>
      <c r="LJ159" s="15"/>
      <c r="LK159" s="15"/>
      <c r="LL159" s="15"/>
      <c r="LM159" s="15"/>
      <c r="LN159" s="15"/>
      <c r="LO159" s="15"/>
      <c r="LP159" s="15"/>
      <c r="LQ159" s="15"/>
      <c r="LR159" s="15"/>
      <c r="LS159" s="15"/>
      <c r="LT159" s="15"/>
      <c r="LU159" s="15"/>
      <c r="LV159" s="15"/>
      <c r="LW159" s="15"/>
      <c r="LX159" s="15"/>
      <c r="LY159" s="15"/>
      <c r="LZ159" s="15"/>
      <c r="MA159" s="15"/>
      <c r="MB159" s="15"/>
      <c r="MC159" s="15"/>
      <c r="MD159" s="15"/>
      <c r="ME159" s="15"/>
      <c r="MF159" s="15"/>
      <c r="MG159" s="15"/>
      <c r="MH159" s="15"/>
      <c r="MI159" s="15"/>
      <c r="MJ159" s="15"/>
      <c r="MK159" s="15"/>
      <c r="ML159" s="15"/>
      <c r="MM159" s="15"/>
      <c r="MN159" s="15"/>
      <c r="MO159" s="15"/>
      <c r="MP159" s="15"/>
      <c r="MQ159" s="15"/>
      <c r="MR159" s="15"/>
      <c r="MS159" s="15"/>
      <c r="MT159" s="15"/>
      <c r="MU159" s="15"/>
      <c r="MV159" s="15"/>
      <c r="MW159" s="15"/>
    </row>
    <row r="160" ht="41.25" customHeight="1">
      <c r="A160" s="13" t="s">
        <v>159</v>
      </c>
      <c r="B160" s="14" t="s">
        <v>10175</v>
      </c>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5"/>
      <c r="DL160" s="15"/>
      <c r="DM160" s="15"/>
      <c r="DN160" s="15"/>
      <c r="DO160" s="15"/>
      <c r="DP160" s="15"/>
      <c r="DQ160" s="15"/>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5"/>
      <c r="EY160" s="15"/>
      <c r="EZ160" s="15"/>
      <c r="FA160" s="15"/>
      <c r="FB160" s="15"/>
      <c r="FC160" s="15"/>
      <c r="FD160" s="15"/>
      <c r="FE160" s="15"/>
      <c r="FF160" s="15"/>
      <c r="FG160" s="15"/>
      <c r="FH160" s="15"/>
      <c r="FI160" s="15"/>
      <c r="FJ160" s="15"/>
      <c r="FK160" s="15"/>
      <c r="FL160" s="15"/>
      <c r="FM160" s="15"/>
      <c r="FN160" s="15"/>
      <c r="FO160" s="15"/>
      <c r="FP160" s="15"/>
      <c r="FQ160" s="15"/>
      <c r="FR160" s="15"/>
      <c r="FS160" s="15"/>
      <c r="FT160" s="15"/>
      <c r="FU160" s="15"/>
      <c r="FV160" s="15"/>
      <c r="FW160" s="15"/>
      <c r="FX160" s="15"/>
      <c r="FY160" s="15"/>
      <c r="FZ160" s="15"/>
      <c r="GA160" s="15"/>
      <c r="GB160" s="15"/>
      <c r="GC160" s="15"/>
      <c r="GD160" s="15"/>
      <c r="GE160" s="15"/>
      <c r="GF160" s="15"/>
      <c r="GG160" s="15"/>
      <c r="GH160" s="15"/>
      <c r="GI160" s="15"/>
      <c r="GJ160" s="15"/>
      <c r="GK160" s="15"/>
      <c r="GL160" s="15"/>
      <c r="GM160" s="15"/>
      <c r="GN160" s="15"/>
      <c r="GO160" s="15"/>
      <c r="GP160" s="15"/>
      <c r="GQ160" s="15"/>
      <c r="GR160" s="15"/>
      <c r="GS160" s="15"/>
      <c r="GT160" s="15"/>
      <c r="GU160" s="15"/>
      <c r="GV160" s="15"/>
      <c r="GW160" s="15"/>
      <c r="GX160" s="15"/>
      <c r="GY160" s="15"/>
      <c r="GZ160" s="15"/>
      <c r="HA160" s="15"/>
      <c r="HB160" s="15"/>
      <c r="HC160" s="15"/>
      <c r="HD160" s="15"/>
      <c r="HE160" s="15"/>
      <c r="HF160" s="15"/>
      <c r="HG160" s="15"/>
      <c r="HH160" s="15"/>
      <c r="HI160" s="15"/>
      <c r="HJ160" s="15"/>
      <c r="HK160" s="15"/>
      <c r="HL160" s="15"/>
      <c r="HM160" s="15"/>
      <c r="HN160" s="15"/>
      <c r="HO160" s="15"/>
      <c r="HP160" s="15"/>
      <c r="HQ160" s="15"/>
      <c r="HR160" s="15"/>
      <c r="HS160" s="15"/>
      <c r="HT160" s="15"/>
      <c r="HU160" s="15"/>
      <c r="HV160" s="15"/>
      <c r="HW160" s="15"/>
      <c r="HX160" s="15"/>
      <c r="HY160" s="15"/>
      <c r="HZ160" s="15"/>
      <c r="IA160" s="15"/>
      <c r="IB160" s="15"/>
      <c r="IC160" s="15"/>
      <c r="ID160" s="15"/>
      <c r="IE160" s="15"/>
      <c r="IF160" s="15"/>
      <c r="IG160" s="15"/>
      <c r="IH160" s="15"/>
      <c r="II160" s="15"/>
      <c r="IJ160" s="15"/>
      <c r="IK160" s="15"/>
      <c r="IL160" s="15"/>
      <c r="IM160" s="15"/>
      <c r="IN160" s="15"/>
      <c r="IO160" s="15"/>
      <c r="IP160" s="15"/>
      <c r="IQ160" s="15"/>
      <c r="IR160" s="15"/>
      <c r="IS160" s="15"/>
      <c r="IT160" s="15"/>
      <c r="IU160" s="15"/>
      <c r="IV160" s="15"/>
      <c r="IW160" s="15"/>
      <c r="IX160" s="15"/>
      <c r="IY160" s="15"/>
      <c r="IZ160" s="15"/>
      <c r="JA160" s="15"/>
      <c r="JB160" s="15"/>
      <c r="JC160" s="15"/>
      <c r="JD160" s="15"/>
      <c r="JE160" s="15"/>
      <c r="JF160" s="15"/>
      <c r="JG160" s="15"/>
      <c r="JH160" s="15"/>
      <c r="JI160" s="15"/>
      <c r="JJ160" s="15"/>
      <c r="JK160" s="15"/>
      <c r="JL160" s="15"/>
      <c r="JM160" s="15"/>
      <c r="JN160" s="15"/>
      <c r="JO160" s="15"/>
      <c r="JP160" s="15"/>
      <c r="JQ160" s="15"/>
      <c r="JR160" s="15"/>
      <c r="JS160" s="15"/>
      <c r="JT160" s="15"/>
      <c r="JU160" s="15"/>
      <c r="JV160" s="15"/>
      <c r="JW160" s="15"/>
      <c r="JX160" s="15"/>
      <c r="JY160" s="15"/>
      <c r="JZ160" s="15"/>
      <c r="KA160" s="15"/>
      <c r="KB160" s="15"/>
      <c r="KC160" s="15"/>
      <c r="KD160" s="15"/>
      <c r="KE160" s="15"/>
      <c r="KF160" s="15"/>
      <c r="KG160" s="15"/>
      <c r="KH160" s="15"/>
      <c r="KI160" s="15"/>
      <c r="KJ160" s="15"/>
      <c r="KK160" s="15"/>
      <c r="KL160" s="15"/>
      <c r="KM160" s="15"/>
      <c r="KN160" s="15"/>
      <c r="KO160" s="15"/>
      <c r="KP160" s="15"/>
      <c r="KQ160" s="15"/>
      <c r="KR160" s="15"/>
      <c r="KS160" s="15"/>
      <c r="KT160" s="15"/>
      <c r="KU160" s="15"/>
      <c r="KV160" s="15"/>
      <c r="KW160" s="15"/>
      <c r="KX160" s="15"/>
      <c r="KY160" s="15"/>
      <c r="KZ160" s="15"/>
      <c r="LA160" s="15"/>
      <c r="LB160" s="15"/>
      <c r="LC160" s="15"/>
      <c r="LD160" s="15"/>
      <c r="LE160" s="15"/>
      <c r="LF160" s="15"/>
      <c r="LG160" s="15"/>
      <c r="LH160" s="15"/>
      <c r="LI160" s="15"/>
      <c r="LJ160" s="15"/>
      <c r="LK160" s="15"/>
      <c r="LL160" s="15"/>
      <c r="LM160" s="15"/>
      <c r="LN160" s="15"/>
      <c r="LO160" s="15"/>
      <c r="LP160" s="15"/>
      <c r="LQ160" s="15"/>
      <c r="LR160" s="15"/>
      <c r="LS160" s="15"/>
      <c r="LT160" s="15"/>
      <c r="LU160" s="15"/>
      <c r="LV160" s="15"/>
      <c r="LW160" s="15"/>
      <c r="LX160" s="15"/>
      <c r="LY160" s="15"/>
      <c r="LZ160" s="15"/>
      <c r="MA160" s="15"/>
      <c r="MB160" s="15"/>
      <c r="MC160" s="15"/>
      <c r="MD160" s="15"/>
      <c r="ME160" s="15"/>
      <c r="MF160" s="15"/>
      <c r="MG160" s="15"/>
      <c r="MH160" s="15"/>
      <c r="MI160" s="15"/>
      <c r="MJ160" s="15"/>
      <c r="MK160" s="15"/>
      <c r="ML160" s="15"/>
      <c r="MM160" s="15"/>
      <c r="MN160" s="15"/>
      <c r="MO160" s="15"/>
      <c r="MP160" s="15"/>
      <c r="MQ160" s="15"/>
      <c r="MR160" s="15"/>
      <c r="MS160" s="15"/>
      <c r="MT160" s="15"/>
      <c r="MU160" s="15"/>
      <c r="MV160" s="15"/>
      <c r="MW160" s="15"/>
    </row>
    <row r="161" ht="119.25" customHeight="1">
      <c r="A161" s="13" t="s">
        <v>160</v>
      </c>
      <c r="B161" s="14" t="s">
        <v>10176</v>
      </c>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5"/>
      <c r="DL161" s="15"/>
      <c r="DM161" s="15"/>
      <c r="DN161" s="15"/>
      <c r="DO161" s="15"/>
      <c r="DP161" s="15"/>
      <c r="DQ161" s="15"/>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5"/>
      <c r="EY161" s="15"/>
      <c r="EZ161" s="15"/>
      <c r="FA161" s="15"/>
      <c r="FB161" s="15"/>
      <c r="FC161" s="15"/>
      <c r="FD161" s="15"/>
      <c r="FE161" s="15"/>
      <c r="FF161" s="15"/>
      <c r="FG161" s="15"/>
      <c r="FH161" s="15"/>
      <c r="FI161" s="15"/>
      <c r="FJ161" s="15"/>
      <c r="FK161" s="15"/>
      <c r="FL161" s="15"/>
      <c r="FM161" s="15"/>
      <c r="FN161" s="15"/>
      <c r="FO161" s="15"/>
      <c r="FP161" s="15"/>
      <c r="FQ161" s="15"/>
      <c r="FR161" s="15"/>
      <c r="FS161" s="15"/>
      <c r="FT161" s="15"/>
      <c r="FU161" s="15"/>
      <c r="FV161" s="15"/>
      <c r="FW161" s="15"/>
      <c r="FX161" s="15"/>
      <c r="FY161" s="15"/>
      <c r="FZ161" s="15"/>
      <c r="GA161" s="15"/>
      <c r="GB161" s="15"/>
      <c r="GC161" s="15"/>
      <c r="GD161" s="15"/>
      <c r="GE161" s="15"/>
      <c r="GF161" s="15"/>
      <c r="GG161" s="15"/>
      <c r="GH161" s="15"/>
      <c r="GI161" s="15"/>
      <c r="GJ161" s="15"/>
      <c r="GK161" s="15"/>
      <c r="GL161" s="15"/>
      <c r="GM161" s="15"/>
      <c r="GN161" s="15"/>
      <c r="GO161" s="15"/>
      <c r="GP161" s="15"/>
      <c r="GQ161" s="15"/>
      <c r="GR161" s="15"/>
      <c r="GS161" s="15"/>
      <c r="GT161" s="15"/>
      <c r="GU161" s="15"/>
      <c r="GV161" s="15"/>
      <c r="GW161" s="15"/>
      <c r="GX161" s="15"/>
      <c r="GY161" s="15"/>
      <c r="GZ161" s="15"/>
      <c r="HA161" s="15"/>
      <c r="HB161" s="15"/>
      <c r="HC161" s="15"/>
      <c r="HD161" s="15"/>
      <c r="HE161" s="15"/>
      <c r="HF161" s="15"/>
      <c r="HG161" s="15"/>
      <c r="HH161" s="15"/>
      <c r="HI161" s="15"/>
      <c r="HJ161" s="15"/>
      <c r="HK161" s="15"/>
      <c r="HL161" s="15"/>
      <c r="HM161" s="15"/>
      <c r="HN161" s="15"/>
      <c r="HO161" s="15"/>
      <c r="HP161" s="15"/>
      <c r="HQ161" s="15"/>
      <c r="HR161" s="15"/>
      <c r="HS161" s="15"/>
      <c r="HT161" s="15"/>
      <c r="HU161" s="15"/>
      <c r="HV161" s="15"/>
      <c r="HW161" s="15"/>
      <c r="HX161" s="15"/>
      <c r="HY161" s="15"/>
      <c r="HZ161" s="15"/>
      <c r="IA161" s="15"/>
      <c r="IB161" s="15"/>
      <c r="IC161" s="15"/>
      <c r="ID161" s="15"/>
      <c r="IE161" s="15"/>
      <c r="IF161" s="15"/>
      <c r="IG161" s="15"/>
      <c r="IH161" s="15"/>
      <c r="II161" s="15"/>
      <c r="IJ161" s="15"/>
      <c r="IK161" s="15"/>
      <c r="IL161" s="15"/>
      <c r="IM161" s="15"/>
      <c r="IN161" s="15"/>
      <c r="IO161" s="15"/>
      <c r="IP161" s="15"/>
      <c r="IQ161" s="15"/>
      <c r="IR161" s="15"/>
      <c r="IS161" s="15"/>
      <c r="IT161" s="15"/>
      <c r="IU161" s="15"/>
      <c r="IV161" s="15"/>
      <c r="IW161" s="15"/>
      <c r="IX161" s="15"/>
      <c r="IY161" s="15"/>
      <c r="IZ161" s="15"/>
      <c r="JA161" s="15"/>
      <c r="JB161" s="15"/>
      <c r="JC161" s="15"/>
      <c r="JD161" s="15"/>
      <c r="JE161" s="15"/>
      <c r="JF161" s="15"/>
      <c r="JG161" s="15"/>
      <c r="JH161" s="15"/>
      <c r="JI161" s="15"/>
      <c r="JJ161" s="15"/>
      <c r="JK161" s="15"/>
      <c r="JL161" s="15"/>
      <c r="JM161" s="15"/>
      <c r="JN161" s="15"/>
      <c r="JO161" s="15"/>
      <c r="JP161" s="15"/>
      <c r="JQ161" s="15"/>
      <c r="JR161" s="15"/>
      <c r="JS161" s="15"/>
      <c r="JT161" s="15"/>
      <c r="JU161" s="15"/>
      <c r="JV161" s="15"/>
      <c r="JW161" s="15"/>
      <c r="JX161" s="15"/>
      <c r="JY161" s="15"/>
      <c r="JZ161" s="15"/>
      <c r="KA161" s="15"/>
      <c r="KB161" s="15"/>
      <c r="KC161" s="15"/>
      <c r="KD161" s="15"/>
      <c r="KE161" s="15"/>
      <c r="KF161" s="15"/>
      <c r="KG161" s="15"/>
      <c r="KH161" s="15"/>
      <c r="KI161" s="15"/>
      <c r="KJ161" s="15"/>
      <c r="KK161" s="15"/>
      <c r="KL161" s="15"/>
      <c r="KM161" s="15"/>
      <c r="KN161" s="15"/>
      <c r="KO161" s="15"/>
      <c r="KP161" s="15"/>
      <c r="KQ161" s="15"/>
      <c r="KR161" s="15"/>
      <c r="KS161" s="15"/>
      <c r="KT161" s="15"/>
      <c r="KU161" s="15"/>
      <c r="KV161" s="15"/>
      <c r="KW161" s="15"/>
      <c r="KX161" s="15"/>
      <c r="KY161" s="15"/>
      <c r="KZ161" s="15"/>
      <c r="LA161" s="15"/>
      <c r="LB161" s="15"/>
      <c r="LC161" s="15"/>
      <c r="LD161" s="15"/>
      <c r="LE161" s="15"/>
      <c r="LF161" s="15"/>
      <c r="LG161" s="15"/>
      <c r="LH161" s="15"/>
      <c r="LI161" s="15"/>
      <c r="LJ161" s="15"/>
      <c r="LK161" s="15"/>
      <c r="LL161" s="15"/>
      <c r="LM161" s="15"/>
      <c r="LN161" s="15"/>
      <c r="LO161" s="15"/>
      <c r="LP161" s="15"/>
      <c r="LQ161" s="15"/>
      <c r="LR161" s="15"/>
      <c r="LS161" s="15"/>
      <c r="LT161" s="15"/>
      <c r="LU161" s="15"/>
      <c r="LV161" s="15"/>
      <c r="LW161" s="15"/>
      <c r="LX161" s="15"/>
      <c r="LY161" s="15"/>
      <c r="LZ161" s="15"/>
      <c r="MA161" s="15"/>
      <c r="MB161" s="15"/>
      <c r="MC161" s="15"/>
      <c r="MD161" s="15"/>
      <c r="ME161" s="15"/>
      <c r="MF161" s="15"/>
      <c r="MG161" s="15"/>
      <c r="MH161" s="15"/>
      <c r="MI161" s="15"/>
      <c r="MJ161" s="15"/>
      <c r="MK161" s="15"/>
      <c r="ML161" s="15"/>
      <c r="MM161" s="15"/>
      <c r="MN161" s="15"/>
      <c r="MO161" s="15"/>
      <c r="MP161" s="15"/>
      <c r="MQ161" s="15"/>
      <c r="MR161" s="15"/>
      <c r="MS161" s="15"/>
      <c r="MT161" s="15"/>
      <c r="MU161" s="15"/>
      <c r="MV161" s="15"/>
      <c r="MW161" s="15"/>
    </row>
    <row r="162" ht="41.25" customHeight="1">
      <c r="A162" s="13" t="s">
        <v>161</v>
      </c>
      <c r="B162" s="14" t="s">
        <v>10177</v>
      </c>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5"/>
      <c r="DL162" s="15"/>
      <c r="DM162" s="15"/>
      <c r="DN162" s="15"/>
      <c r="DO162" s="15"/>
      <c r="DP162" s="15"/>
      <c r="DQ162" s="15"/>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5"/>
      <c r="EY162" s="15"/>
      <c r="EZ162" s="15"/>
      <c r="FA162" s="15"/>
      <c r="FB162" s="15"/>
      <c r="FC162" s="15"/>
      <c r="FD162" s="15"/>
      <c r="FE162" s="15"/>
      <c r="FF162" s="15"/>
      <c r="FG162" s="15"/>
      <c r="FH162" s="15"/>
      <c r="FI162" s="15"/>
      <c r="FJ162" s="15"/>
      <c r="FK162" s="15"/>
      <c r="FL162" s="15"/>
      <c r="FM162" s="15"/>
      <c r="FN162" s="15"/>
      <c r="FO162" s="15"/>
      <c r="FP162" s="15"/>
      <c r="FQ162" s="15"/>
      <c r="FR162" s="15"/>
      <c r="FS162" s="15"/>
      <c r="FT162" s="15"/>
      <c r="FU162" s="15"/>
      <c r="FV162" s="15"/>
      <c r="FW162" s="15"/>
      <c r="FX162" s="15"/>
      <c r="FY162" s="15"/>
      <c r="FZ162" s="15"/>
      <c r="GA162" s="15"/>
      <c r="GB162" s="15"/>
      <c r="GC162" s="15"/>
      <c r="GD162" s="15"/>
      <c r="GE162" s="15"/>
      <c r="GF162" s="15"/>
      <c r="GG162" s="15"/>
      <c r="GH162" s="15"/>
      <c r="GI162" s="15"/>
      <c r="GJ162" s="15"/>
      <c r="GK162" s="15"/>
      <c r="GL162" s="15"/>
      <c r="GM162" s="15"/>
      <c r="GN162" s="15"/>
      <c r="GO162" s="15"/>
      <c r="GP162" s="15"/>
      <c r="GQ162" s="15"/>
      <c r="GR162" s="15"/>
      <c r="GS162" s="15"/>
      <c r="GT162" s="15"/>
      <c r="GU162" s="15"/>
      <c r="GV162" s="15"/>
      <c r="GW162" s="15"/>
      <c r="GX162" s="15"/>
      <c r="GY162" s="15"/>
      <c r="GZ162" s="15"/>
      <c r="HA162" s="15"/>
      <c r="HB162" s="15"/>
      <c r="HC162" s="15"/>
      <c r="HD162" s="15"/>
      <c r="HE162" s="15"/>
      <c r="HF162" s="15"/>
      <c r="HG162" s="15"/>
      <c r="HH162" s="15"/>
      <c r="HI162" s="15"/>
      <c r="HJ162" s="15"/>
      <c r="HK162" s="15"/>
      <c r="HL162" s="15"/>
      <c r="HM162" s="15"/>
      <c r="HN162" s="15"/>
      <c r="HO162" s="15"/>
      <c r="HP162" s="15"/>
      <c r="HQ162" s="15"/>
      <c r="HR162" s="15"/>
      <c r="HS162" s="15"/>
      <c r="HT162" s="15"/>
      <c r="HU162" s="15"/>
      <c r="HV162" s="15"/>
      <c r="HW162" s="15"/>
      <c r="HX162" s="15"/>
      <c r="HY162" s="15"/>
      <c r="HZ162" s="15"/>
      <c r="IA162" s="15"/>
      <c r="IB162" s="15"/>
      <c r="IC162" s="15"/>
      <c r="ID162" s="15"/>
      <c r="IE162" s="15"/>
      <c r="IF162" s="15"/>
      <c r="IG162" s="15"/>
      <c r="IH162" s="15"/>
      <c r="II162" s="15"/>
      <c r="IJ162" s="15"/>
      <c r="IK162" s="15"/>
      <c r="IL162" s="15"/>
      <c r="IM162" s="15"/>
      <c r="IN162" s="15"/>
      <c r="IO162" s="15"/>
      <c r="IP162" s="15"/>
      <c r="IQ162" s="15"/>
      <c r="IR162" s="15"/>
      <c r="IS162" s="15"/>
      <c r="IT162" s="15"/>
      <c r="IU162" s="15"/>
      <c r="IV162" s="15"/>
      <c r="IW162" s="15"/>
      <c r="IX162" s="15"/>
      <c r="IY162" s="15"/>
      <c r="IZ162" s="15"/>
      <c r="JA162" s="15"/>
      <c r="JB162" s="15"/>
      <c r="JC162" s="15"/>
      <c r="JD162" s="15"/>
      <c r="JE162" s="15"/>
      <c r="JF162" s="15"/>
      <c r="JG162" s="15"/>
      <c r="JH162" s="15"/>
      <c r="JI162" s="15"/>
      <c r="JJ162" s="15"/>
      <c r="JK162" s="15"/>
      <c r="JL162" s="15"/>
      <c r="JM162" s="15"/>
      <c r="JN162" s="15"/>
      <c r="JO162" s="15"/>
      <c r="JP162" s="15"/>
      <c r="JQ162" s="15"/>
      <c r="JR162" s="15"/>
      <c r="JS162" s="15"/>
      <c r="JT162" s="15"/>
      <c r="JU162" s="15"/>
      <c r="JV162" s="15"/>
      <c r="JW162" s="15"/>
      <c r="JX162" s="15"/>
      <c r="JY162" s="15"/>
      <c r="JZ162" s="15"/>
      <c r="KA162" s="15"/>
      <c r="KB162" s="15"/>
      <c r="KC162" s="15"/>
      <c r="KD162" s="15"/>
      <c r="KE162" s="15"/>
      <c r="KF162" s="15"/>
      <c r="KG162" s="15"/>
      <c r="KH162" s="15"/>
      <c r="KI162" s="15"/>
      <c r="KJ162" s="15"/>
      <c r="KK162" s="15"/>
      <c r="KL162" s="15"/>
      <c r="KM162" s="15"/>
      <c r="KN162" s="15"/>
      <c r="KO162" s="15"/>
      <c r="KP162" s="15"/>
      <c r="KQ162" s="15"/>
      <c r="KR162" s="15"/>
      <c r="KS162" s="15"/>
      <c r="KT162" s="15"/>
      <c r="KU162" s="15"/>
      <c r="KV162" s="15"/>
      <c r="KW162" s="15"/>
      <c r="KX162" s="15"/>
      <c r="KY162" s="15"/>
      <c r="KZ162" s="15"/>
      <c r="LA162" s="15"/>
      <c r="LB162" s="15"/>
      <c r="LC162" s="15"/>
      <c r="LD162" s="15"/>
      <c r="LE162" s="15"/>
      <c r="LF162" s="15"/>
      <c r="LG162" s="15"/>
      <c r="LH162" s="15"/>
      <c r="LI162" s="15"/>
      <c r="LJ162" s="15"/>
      <c r="LK162" s="15"/>
      <c r="LL162" s="15"/>
      <c r="LM162" s="15"/>
      <c r="LN162" s="15"/>
      <c r="LO162" s="15"/>
      <c r="LP162" s="15"/>
      <c r="LQ162" s="15"/>
      <c r="LR162" s="15"/>
      <c r="LS162" s="15"/>
      <c r="LT162" s="15"/>
      <c r="LU162" s="15"/>
      <c r="LV162" s="15"/>
      <c r="LW162" s="15"/>
      <c r="LX162" s="15"/>
      <c r="LY162" s="15"/>
      <c r="LZ162" s="15"/>
      <c r="MA162" s="15"/>
      <c r="MB162" s="15"/>
      <c r="MC162" s="15"/>
      <c r="MD162" s="15"/>
      <c r="ME162" s="15"/>
      <c r="MF162" s="15"/>
      <c r="MG162" s="15"/>
      <c r="MH162" s="15"/>
      <c r="MI162" s="15"/>
      <c r="MJ162" s="15"/>
      <c r="MK162" s="15"/>
      <c r="ML162" s="15"/>
      <c r="MM162" s="15"/>
      <c r="MN162" s="15"/>
      <c r="MO162" s="15"/>
      <c r="MP162" s="15"/>
      <c r="MQ162" s="15"/>
      <c r="MR162" s="15"/>
      <c r="MS162" s="15"/>
      <c r="MT162" s="15"/>
      <c r="MU162" s="15"/>
      <c r="MV162" s="15"/>
      <c r="MW162" s="15"/>
    </row>
    <row r="163" ht="119.25" customHeight="1">
      <c r="A163" s="13" t="s">
        <v>162</v>
      </c>
      <c r="B163" s="14" t="s">
        <v>10178</v>
      </c>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c r="DF163" s="15"/>
      <c r="DG163" s="15"/>
      <c r="DH163" s="15"/>
      <c r="DI163" s="15"/>
      <c r="DJ163" s="15"/>
      <c r="DK163" s="15"/>
      <c r="DL163" s="15"/>
      <c r="DM163" s="15"/>
      <c r="DN163" s="15"/>
      <c r="DO163" s="15"/>
      <c r="DP163" s="15"/>
      <c r="DQ163" s="15"/>
      <c r="DR163" s="15"/>
      <c r="DS163" s="15"/>
      <c r="DT163" s="15"/>
      <c r="DU163" s="15"/>
      <c r="DV163" s="15"/>
      <c r="DW163" s="15"/>
      <c r="DX163" s="15"/>
      <c r="DY163" s="15"/>
      <c r="DZ163" s="15"/>
      <c r="EA163" s="15"/>
      <c r="EB163" s="15"/>
      <c r="EC163" s="15"/>
      <c r="ED163" s="15"/>
      <c r="EE163" s="15"/>
      <c r="EF163" s="15"/>
      <c r="EG163" s="15"/>
      <c r="EH163" s="15"/>
      <c r="EI163" s="15"/>
      <c r="EJ163" s="15"/>
      <c r="EK163" s="15"/>
      <c r="EL163" s="15"/>
      <c r="EM163" s="15"/>
      <c r="EN163" s="15"/>
      <c r="EO163" s="15"/>
      <c r="EP163" s="15"/>
      <c r="EQ163" s="15"/>
      <c r="ER163" s="15"/>
      <c r="ES163" s="15"/>
      <c r="ET163" s="15"/>
      <c r="EU163" s="15"/>
      <c r="EV163" s="15"/>
      <c r="EW163" s="15"/>
      <c r="EX163" s="15"/>
      <c r="EY163" s="15"/>
      <c r="EZ163" s="15"/>
      <c r="FA163" s="15"/>
      <c r="FB163" s="15"/>
      <c r="FC163" s="15"/>
      <c r="FD163" s="15"/>
      <c r="FE163" s="15"/>
      <c r="FF163" s="15"/>
      <c r="FG163" s="15"/>
      <c r="FH163" s="15"/>
      <c r="FI163" s="15"/>
      <c r="FJ163" s="15"/>
      <c r="FK163" s="15"/>
      <c r="FL163" s="15"/>
      <c r="FM163" s="15"/>
      <c r="FN163" s="15"/>
      <c r="FO163" s="15"/>
      <c r="FP163" s="15"/>
      <c r="FQ163" s="15"/>
      <c r="FR163" s="15"/>
      <c r="FS163" s="15"/>
      <c r="FT163" s="15"/>
      <c r="FU163" s="15"/>
      <c r="FV163" s="15"/>
      <c r="FW163" s="15"/>
      <c r="FX163" s="15"/>
      <c r="FY163" s="15"/>
      <c r="FZ163" s="15"/>
      <c r="GA163" s="15"/>
      <c r="GB163" s="15"/>
      <c r="GC163" s="15"/>
      <c r="GD163" s="15"/>
      <c r="GE163" s="15"/>
      <c r="GF163" s="15"/>
      <c r="GG163" s="15"/>
      <c r="GH163" s="15"/>
      <c r="GI163" s="15"/>
      <c r="GJ163" s="15"/>
      <c r="GK163" s="15"/>
      <c r="GL163" s="15"/>
      <c r="GM163" s="15"/>
      <c r="GN163" s="15"/>
      <c r="GO163" s="15"/>
      <c r="GP163" s="15"/>
      <c r="GQ163" s="15"/>
      <c r="GR163" s="15"/>
      <c r="GS163" s="15"/>
      <c r="GT163" s="15"/>
      <c r="GU163" s="15"/>
      <c r="GV163" s="15"/>
      <c r="GW163" s="15"/>
      <c r="GX163" s="15"/>
      <c r="GY163" s="15"/>
      <c r="GZ163" s="15"/>
      <c r="HA163" s="15"/>
      <c r="HB163" s="15"/>
      <c r="HC163" s="15"/>
      <c r="HD163" s="15"/>
      <c r="HE163" s="15"/>
      <c r="HF163" s="15"/>
      <c r="HG163" s="15"/>
      <c r="HH163" s="15"/>
      <c r="HI163" s="15"/>
      <c r="HJ163" s="15"/>
      <c r="HK163" s="15"/>
      <c r="HL163" s="15"/>
      <c r="HM163" s="15"/>
      <c r="HN163" s="15"/>
      <c r="HO163" s="15"/>
      <c r="HP163" s="15"/>
      <c r="HQ163" s="15"/>
      <c r="HR163" s="15"/>
      <c r="HS163" s="15"/>
      <c r="HT163" s="15"/>
      <c r="HU163" s="15"/>
      <c r="HV163" s="15"/>
      <c r="HW163" s="15"/>
      <c r="HX163" s="15"/>
      <c r="HY163" s="15"/>
      <c r="HZ163" s="15"/>
      <c r="IA163" s="15"/>
      <c r="IB163" s="15"/>
      <c r="IC163" s="15"/>
      <c r="ID163" s="15"/>
      <c r="IE163" s="15"/>
      <c r="IF163" s="15"/>
      <c r="IG163" s="15"/>
      <c r="IH163" s="15"/>
      <c r="II163" s="15"/>
      <c r="IJ163" s="15"/>
      <c r="IK163" s="15"/>
      <c r="IL163" s="15"/>
      <c r="IM163" s="15"/>
      <c r="IN163" s="15"/>
      <c r="IO163" s="15"/>
      <c r="IP163" s="15"/>
      <c r="IQ163" s="15"/>
      <c r="IR163" s="15"/>
      <c r="IS163" s="15"/>
      <c r="IT163" s="15"/>
      <c r="IU163" s="15"/>
      <c r="IV163" s="15"/>
      <c r="IW163" s="15"/>
      <c r="IX163" s="15"/>
      <c r="IY163" s="15"/>
      <c r="IZ163" s="15"/>
      <c r="JA163" s="15"/>
      <c r="JB163" s="15"/>
      <c r="JC163" s="15"/>
      <c r="JD163" s="15"/>
      <c r="JE163" s="15"/>
      <c r="JF163" s="15"/>
      <c r="JG163" s="15"/>
      <c r="JH163" s="15"/>
      <c r="JI163" s="15"/>
      <c r="JJ163" s="15"/>
      <c r="JK163" s="15"/>
      <c r="JL163" s="15"/>
      <c r="JM163" s="15"/>
      <c r="JN163" s="15"/>
      <c r="JO163" s="15"/>
      <c r="JP163" s="15"/>
      <c r="JQ163" s="15"/>
      <c r="JR163" s="15"/>
      <c r="JS163" s="15"/>
      <c r="JT163" s="15"/>
      <c r="JU163" s="15"/>
      <c r="JV163" s="15"/>
      <c r="JW163" s="15"/>
      <c r="JX163" s="15"/>
      <c r="JY163" s="15"/>
      <c r="JZ163" s="15"/>
      <c r="KA163" s="15"/>
      <c r="KB163" s="15"/>
      <c r="KC163" s="15"/>
      <c r="KD163" s="15"/>
      <c r="KE163" s="15"/>
      <c r="KF163" s="15"/>
      <c r="KG163" s="15"/>
      <c r="KH163" s="15"/>
      <c r="KI163" s="15"/>
      <c r="KJ163" s="15"/>
      <c r="KK163" s="15"/>
      <c r="KL163" s="15"/>
      <c r="KM163" s="15"/>
      <c r="KN163" s="15"/>
      <c r="KO163" s="15"/>
      <c r="KP163" s="15"/>
      <c r="KQ163" s="15"/>
      <c r="KR163" s="15"/>
      <c r="KS163" s="15"/>
      <c r="KT163" s="15"/>
      <c r="KU163" s="15"/>
      <c r="KV163" s="15"/>
      <c r="KW163" s="15"/>
      <c r="KX163" s="15"/>
      <c r="KY163" s="15"/>
      <c r="KZ163" s="15"/>
      <c r="LA163" s="15"/>
      <c r="LB163" s="15"/>
      <c r="LC163" s="15"/>
      <c r="LD163" s="15"/>
      <c r="LE163" s="15"/>
      <c r="LF163" s="15"/>
      <c r="LG163" s="15"/>
      <c r="LH163" s="15"/>
      <c r="LI163" s="15"/>
      <c r="LJ163" s="15"/>
      <c r="LK163" s="15"/>
      <c r="LL163" s="15"/>
      <c r="LM163" s="15"/>
      <c r="LN163" s="15"/>
      <c r="LO163" s="15"/>
      <c r="LP163" s="15"/>
      <c r="LQ163" s="15"/>
      <c r="LR163" s="15"/>
      <c r="LS163" s="15"/>
      <c r="LT163" s="15"/>
      <c r="LU163" s="15"/>
      <c r="LV163" s="15"/>
      <c r="LW163" s="15"/>
      <c r="LX163" s="15"/>
      <c r="LY163" s="15"/>
      <c r="LZ163" s="15"/>
      <c r="MA163" s="15"/>
      <c r="MB163" s="15"/>
      <c r="MC163" s="15"/>
      <c r="MD163" s="15"/>
      <c r="ME163" s="15"/>
      <c r="MF163" s="15"/>
      <c r="MG163" s="15"/>
      <c r="MH163" s="15"/>
      <c r="MI163" s="15"/>
      <c r="MJ163" s="15"/>
      <c r="MK163" s="15"/>
      <c r="ML163" s="15"/>
      <c r="MM163" s="15"/>
      <c r="MN163" s="15"/>
      <c r="MO163" s="15"/>
      <c r="MP163" s="15"/>
      <c r="MQ163" s="15"/>
      <c r="MR163" s="15"/>
      <c r="MS163" s="15"/>
      <c r="MT163" s="15"/>
      <c r="MU163" s="15"/>
      <c r="MV163" s="15"/>
      <c r="MW163" s="15"/>
    </row>
    <row r="164" ht="41.25" customHeight="1">
      <c r="A164" s="13" t="s">
        <v>163</v>
      </c>
      <c r="B164" s="14" t="s">
        <v>10179</v>
      </c>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c r="DF164" s="15"/>
      <c r="DG164" s="15"/>
      <c r="DH164" s="15"/>
      <c r="DI164" s="15"/>
      <c r="DJ164" s="15"/>
      <c r="DK164" s="15"/>
      <c r="DL164" s="15"/>
      <c r="DM164" s="15"/>
      <c r="DN164" s="15"/>
      <c r="DO164" s="15"/>
      <c r="DP164" s="15"/>
      <c r="DQ164" s="15"/>
      <c r="DR164" s="15"/>
      <c r="DS164" s="15"/>
      <c r="DT164" s="15"/>
      <c r="DU164" s="15"/>
      <c r="DV164" s="15"/>
      <c r="DW164" s="15"/>
      <c r="DX164" s="15"/>
      <c r="DY164" s="15"/>
      <c r="DZ164" s="15"/>
      <c r="EA164" s="15"/>
      <c r="EB164" s="15"/>
      <c r="EC164" s="15"/>
      <c r="ED164" s="15"/>
      <c r="EE164" s="15"/>
      <c r="EF164" s="15"/>
      <c r="EG164" s="15"/>
      <c r="EH164" s="15"/>
      <c r="EI164" s="15"/>
      <c r="EJ164" s="15"/>
      <c r="EK164" s="15"/>
      <c r="EL164" s="15"/>
      <c r="EM164" s="15"/>
      <c r="EN164" s="15"/>
      <c r="EO164" s="15"/>
      <c r="EP164" s="15"/>
      <c r="EQ164" s="15"/>
      <c r="ER164" s="15"/>
      <c r="ES164" s="15"/>
      <c r="ET164" s="15"/>
      <c r="EU164" s="15"/>
      <c r="EV164" s="15"/>
      <c r="EW164" s="15"/>
      <c r="EX164" s="15"/>
      <c r="EY164" s="15"/>
      <c r="EZ164" s="15"/>
      <c r="FA164" s="15"/>
      <c r="FB164" s="15"/>
      <c r="FC164" s="15"/>
      <c r="FD164" s="15"/>
      <c r="FE164" s="15"/>
      <c r="FF164" s="15"/>
      <c r="FG164" s="15"/>
      <c r="FH164" s="15"/>
      <c r="FI164" s="15"/>
      <c r="FJ164" s="15"/>
      <c r="FK164" s="15"/>
      <c r="FL164" s="15"/>
      <c r="FM164" s="15"/>
      <c r="FN164" s="15"/>
      <c r="FO164" s="15"/>
      <c r="FP164" s="15"/>
      <c r="FQ164" s="15"/>
      <c r="FR164" s="15"/>
      <c r="FS164" s="15"/>
      <c r="FT164" s="15"/>
      <c r="FU164" s="15"/>
      <c r="FV164" s="15"/>
      <c r="FW164" s="15"/>
      <c r="FX164" s="15"/>
      <c r="FY164" s="15"/>
      <c r="FZ164" s="15"/>
      <c r="GA164" s="15"/>
      <c r="GB164" s="15"/>
      <c r="GC164" s="15"/>
      <c r="GD164" s="15"/>
      <c r="GE164" s="15"/>
      <c r="GF164" s="15"/>
      <c r="GG164" s="15"/>
      <c r="GH164" s="15"/>
      <c r="GI164" s="15"/>
      <c r="GJ164" s="15"/>
      <c r="GK164" s="15"/>
      <c r="GL164" s="15"/>
      <c r="GM164" s="15"/>
      <c r="GN164" s="15"/>
      <c r="GO164" s="15"/>
      <c r="GP164" s="15"/>
      <c r="GQ164" s="15"/>
      <c r="GR164" s="15"/>
      <c r="GS164" s="15"/>
      <c r="GT164" s="15"/>
      <c r="GU164" s="15"/>
      <c r="GV164" s="15"/>
      <c r="GW164" s="15"/>
      <c r="GX164" s="15"/>
      <c r="GY164" s="15"/>
      <c r="GZ164" s="15"/>
      <c r="HA164" s="15"/>
      <c r="HB164" s="15"/>
      <c r="HC164" s="15"/>
      <c r="HD164" s="15"/>
      <c r="HE164" s="15"/>
      <c r="HF164" s="15"/>
      <c r="HG164" s="15"/>
      <c r="HH164" s="15"/>
      <c r="HI164" s="15"/>
      <c r="HJ164" s="15"/>
      <c r="HK164" s="15"/>
      <c r="HL164" s="15"/>
      <c r="HM164" s="15"/>
      <c r="HN164" s="15"/>
      <c r="HO164" s="15"/>
      <c r="HP164" s="15"/>
      <c r="HQ164" s="15"/>
      <c r="HR164" s="15"/>
      <c r="HS164" s="15"/>
      <c r="HT164" s="15"/>
      <c r="HU164" s="15"/>
      <c r="HV164" s="15"/>
      <c r="HW164" s="15"/>
      <c r="HX164" s="15"/>
      <c r="HY164" s="15"/>
      <c r="HZ164" s="15"/>
      <c r="IA164" s="15"/>
      <c r="IB164" s="15"/>
      <c r="IC164" s="15"/>
      <c r="ID164" s="15"/>
      <c r="IE164" s="15"/>
      <c r="IF164" s="15"/>
      <c r="IG164" s="15"/>
      <c r="IH164" s="15"/>
      <c r="II164" s="15"/>
      <c r="IJ164" s="15"/>
      <c r="IK164" s="15"/>
      <c r="IL164" s="15"/>
      <c r="IM164" s="15"/>
      <c r="IN164" s="15"/>
      <c r="IO164" s="15"/>
      <c r="IP164" s="15"/>
      <c r="IQ164" s="15"/>
      <c r="IR164" s="15"/>
      <c r="IS164" s="15"/>
      <c r="IT164" s="15"/>
      <c r="IU164" s="15"/>
      <c r="IV164" s="15"/>
      <c r="IW164" s="15"/>
      <c r="IX164" s="15"/>
      <c r="IY164" s="15"/>
      <c r="IZ164" s="15"/>
      <c r="JA164" s="15"/>
      <c r="JB164" s="15"/>
      <c r="JC164" s="15"/>
      <c r="JD164" s="15"/>
      <c r="JE164" s="15"/>
      <c r="JF164" s="15"/>
      <c r="JG164" s="15"/>
      <c r="JH164" s="15"/>
      <c r="JI164" s="15"/>
      <c r="JJ164" s="15"/>
      <c r="JK164" s="15"/>
      <c r="JL164" s="15"/>
      <c r="JM164" s="15"/>
      <c r="JN164" s="15"/>
      <c r="JO164" s="15"/>
      <c r="JP164" s="15"/>
      <c r="JQ164" s="15"/>
      <c r="JR164" s="15"/>
      <c r="JS164" s="15"/>
      <c r="JT164" s="15"/>
      <c r="JU164" s="15"/>
      <c r="JV164" s="15"/>
      <c r="JW164" s="15"/>
      <c r="JX164" s="15"/>
      <c r="JY164" s="15"/>
      <c r="JZ164" s="15"/>
      <c r="KA164" s="15"/>
      <c r="KB164" s="15"/>
      <c r="KC164" s="15"/>
      <c r="KD164" s="15"/>
      <c r="KE164" s="15"/>
      <c r="KF164" s="15"/>
      <c r="KG164" s="15"/>
      <c r="KH164" s="15"/>
      <c r="KI164" s="15"/>
      <c r="KJ164" s="15"/>
      <c r="KK164" s="15"/>
      <c r="KL164" s="15"/>
      <c r="KM164" s="15"/>
      <c r="KN164" s="15"/>
      <c r="KO164" s="15"/>
      <c r="KP164" s="15"/>
      <c r="KQ164" s="15"/>
      <c r="KR164" s="15"/>
      <c r="KS164" s="15"/>
      <c r="KT164" s="15"/>
      <c r="KU164" s="15"/>
      <c r="KV164" s="15"/>
      <c r="KW164" s="15"/>
      <c r="KX164" s="15"/>
      <c r="KY164" s="15"/>
      <c r="KZ164" s="15"/>
      <c r="LA164" s="15"/>
      <c r="LB164" s="15"/>
      <c r="LC164" s="15"/>
      <c r="LD164" s="15"/>
      <c r="LE164" s="15"/>
      <c r="LF164" s="15"/>
      <c r="LG164" s="15"/>
      <c r="LH164" s="15"/>
      <c r="LI164" s="15"/>
      <c r="LJ164" s="15"/>
      <c r="LK164" s="15"/>
      <c r="LL164" s="15"/>
      <c r="LM164" s="15"/>
      <c r="LN164" s="15"/>
      <c r="LO164" s="15"/>
      <c r="LP164" s="15"/>
      <c r="LQ164" s="15"/>
      <c r="LR164" s="15"/>
      <c r="LS164" s="15"/>
      <c r="LT164" s="15"/>
      <c r="LU164" s="15"/>
      <c r="LV164" s="15"/>
      <c r="LW164" s="15"/>
      <c r="LX164" s="15"/>
      <c r="LY164" s="15"/>
      <c r="LZ164" s="15"/>
      <c r="MA164" s="15"/>
      <c r="MB164" s="15"/>
      <c r="MC164" s="15"/>
      <c r="MD164" s="15"/>
      <c r="ME164" s="15"/>
      <c r="MF164" s="15"/>
      <c r="MG164" s="15"/>
      <c r="MH164" s="15"/>
      <c r="MI164" s="15"/>
      <c r="MJ164" s="15"/>
      <c r="MK164" s="15"/>
      <c r="ML164" s="15"/>
      <c r="MM164" s="15"/>
      <c r="MN164" s="15"/>
      <c r="MO164" s="15"/>
      <c r="MP164" s="15"/>
      <c r="MQ164" s="15"/>
      <c r="MR164" s="15"/>
      <c r="MS164" s="15"/>
      <c r="MT164" s="15"/>
      <c r="MU164" s="15"/>
      <c r="MV164" s="15"/>
      <c r="MW164" s="15"/>
    </row>
    <row r="165" ht="119.25" customHeight="1">
      <c r="A165" s="13" t="s">
        <v>164</v>
      </c>
      <c r="B165" s="14" t="s">
        <v>10180</v>
      </c>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c r="DC165" s="15"/>
      <c r="DD165" s="15"/>
      <c r="DE165" s="15"/>
      <c r="DF165" s="15"/>
      <c r="DG165" s="15"/>
      <c r="DH165" s="15"/>
      <c r="DI165" s="15"/>
      <c r="DJ165" s="15"/>
      <c r="DK165" s="15"/>
      <c r="DL165" s="15"/>
      <c r="DM165" s="15"/>
      <c r="DN165" s="15"/>
      <c r="DO165" s="15"/>
      <c r="DP165" s="15"/>
      <c r="DQ165" s="15"/>
      <c r="DR165" s="15"/>
      <c r="DS165" s="15"/>
      <c r="DT165" s="15"/>
      <c r="DU165" s="15"/>
      <c r="DV165" s="15"/>
      <c r="DW165" s="15"/>
      <c r="DX165" s="15"/>
      <c r="DY165" s="15"/>
      <c r="DZ165" s="15"/>
      <c r="EA165" s="15"/>
      <c r="EB165" s="15"/>
      <c r="EC165" s="15"/>
      <c r="ED165" s="15"/>
      <c r="EE165" s="15"/>
      <c r="EF165" s="15"/>
      <c r="EG165" s="15"/>
      <c r="EH165" s="15"/>
      <c r="EI165" s="15"/>
      <c r="EJ165" s="15"/>
      <c r="EK165" s="15"/>
      <c r="EL165" s="15"/>
      <c r="EM165" s="15"/>
      <c r="EN165" s="15"/>
      <c r="EO165" s="15"/>
      <c r="EP165" s="15"/>
      <c r="EQ165" s="15"/>
      <c r="ER165" s="15"/>
      <c r="ES165" s="15"/>
      <c r="ET165" s="15"/>
      <c r="EU165" s="15"/>
      <c r="EV165" s="15"/>
      <c r="EW165" s="15"/>
      <c r="EX165" s="15"/>
      <c r="EY165" s="15"/>
      <c r="EZ165" s="15"/>
      <c r="FA165" s="15"/>
      <c r="FB165" s="15"/>
      <c r="FC165" s="15"/>
      <c r="FD165" s="15"/>
      <c r="FE165" s="15"/>
      <c r="FF165" s="15"/>
      <c r="FG165" s="15"/>
      <c r="FH165" s="15"/>
      <c r="FI165" s="15"/>
      <c r="FJ165" s="15"/>
      <c r="FK165" s="15"/>
      <c r="FL165" s="15"/>
      <c r="FM165" s="15"/>
      <c r="FN165" s="15"/>
      <c r="FO165" s="15"/>
      <c r="FP165" s="15"/>
      <c r="FQ165" s="15"/>
      <c r="FR165" s="15"/>
      <c r="FS165" s="15"/>
      <c r="FT165" s="15"/>
      <c r="FU165" s="15"/>
      <c r="FV165" s="15"/>
      <c r="FW165" s="15"/>
      <c r="FX165" s="15"/>
      <c r="FY165" s="15"/>
      <c r="FZ165" s="15"/>
      <c r="GA165" s="15"/>
      <c r="GB165" s="15"/>
      <c r="GC165" s="15"/>
      <c r="GD165" s="15"/>
      <c r="GE165" s="15"/>
      <c r="GF165" s="15"/>
      <c r="GG165" s="15"/>
      <c r="GH165" s="15"/>
      <c r="GI165" s="15"/>
      <c r="GJ165" s="15"/>
      <c r="GK165" s="15"/>
      <c r="GL165" s="15"/>
      <c r="GM165" s="15"/>
      <c r="GN165" s="15"/>
      <c r="GO165" s="15"/>
      <c r="GP165" s="15"/>
      <c r="GQ165" s="15"/>
      <c r="GR165" s="15"/>
      <c r="GS165" s="15"/>
      <c r="GT165" s="15"/>
      <c r="GU165" s="15"/>
      <c r="GV165" s="15"/>
      <c r="GW165" s="15"/>
      <c r="GX165" s="15"/>
      <c r="GY165" s="15"/>
      <c r="GZ165" s="15"/>
      <c r="HA165" s="15"/>
      <c r="HB165" s="15"/>
      <c r="HC165" s="15"/>
      <c r="HD165" s="15"/>
      <c r="HE165" s="15"/>
      <c r="HF165" s="15"/>
      <c r="HG165" s="15"/>
      <c r="HH165" s="15"/>
      <c r="HI165" s="15"/>
      <c r="HJ165" s="15"/>
      <c r="HK165" s="15"/>
      <c r="HL165" s="15"/>
      <c r="HM165" s="15"/>
      <c r="HN165" s="15"/>
      <c r="HO165" s="15"/>
      <c r="HP165" s="15"/>
      <c r="HQ165" s="15"/>
      <c r="HR165" s="15"/>
      <c r="HS165" s="15"/>
      <c r="HT165" s="15"/>
      <c r="HU165" s="15"/>
      <c r="HV165" s="15"/>
      <c r="HW165" s="15"/>
      <c r="HX165" s="15"/>
      <c r="HY165" s="15"/>
      <c r="HZ165" s="15"/>
      <c r="IA165" s="15"/>
      <c r="IB165" s="15"/>
      <c r="IC165" s="15"/>
      <c r="ID165" s="15"/>
      <c r="IE165" s="15"/>
      <c r="IF165" s="15"/>
      <c r="IG165" s="15"/>
      <c r="IH165" s="15"/>
      <c r="II165" s="15"/>
      <c r="IJ165" s="15"/>
      <c r="IK165" s="15"/>
      <c r="IL165" s="15"/>
      <c r="IM165" s="15"/>
      <c r="IN165" s="15"/>
      <c r="IO165" s="15"/>
      <c r="IP165" s="15"/>
      <c r="IQ165" s="15"/>
      <c r="IR165" s="15"/>
      <c r="IS165" s="15"/>
      <c r="IT165" s="15"/>
      <c r="IU165" s="15"/>
      <c r="IV165" s="15"/>
      <c r="IW165" s="15"/>
      <c r="IX165" s="15"/>
      <c r="IY165" s="15"/>
      <c r="IZ165" s="15"/>
      <c r="JA165" s="15"/>
      <c r="JB165" s="15"/>
      <c r="JC165" s="15"/>
      <c r="JD165" s="15"/>
      <c r="JE165" s="15"/>
      <c r="JF165" s="15"/>
      <c r="JG165" s="15"/>
      <c r="JH165" s="15"/>
      <c r="JI165" s="15"/>
      <c r="JJ165" s="15"/>
      <c r="JK165" s="15"/>
      <c r="JL165" s="15"/>
      <c r="JM165" s="15"/>
      <c r="JN165" s="15"/>
      <c r="JO165" s="15"/>
      <c r="JP165" s="15"/>
      <c r="JQ165" s="15"/>
      <c r="JR165" s="15"/>
      <c r="JS165" s="15"/>
      <c r="JT165" s="15"/>
      <c r="JU165" s="15"/>
      <c r="JV165" s="15"/>
      <c r="JW165" s="15"/>
      <c r="JX165" s="15"/>
      <c r="JY165" s="15"/>
      <c r="JZ165" s="15"/>
      <c r="KA165" s="15"/>
      <c r="KB165" s="15"/>
      <c r="KC165" s="15"/>
      <c r="KD165" s="15"/>
      <c r="KE165" s="15"/>
      <c r="KF165" s="15"/>
      <c r="KG165" s="15"/>
      <c r="KH165" s="15"/>
      <c r="KI165" s="15"/>
      <c r="KJ165" s="15"/>
      <c r="KK165" s="15"/>
      <c r="KL165" s="15"/>
      <c r="KM165" s="15"/>
      <c r="KN165" s="15"/>
      <c r="KO165" s="15"/>
      <c r="KP165" s="15"/>
      <c r="KQ165" s="15"/>
      <c r="KR165" s="15"/>
      <c r="KS165" s="15"/>
      <c r="KT165" s="15"/>
      <c r="KU165" s="15"/>
      <c r="KV165" s="15"/>
      <c r="KW165" s="15"/>
      <c r="KX165" s="15"/>
      <c r="KY165" s="15"/>
      <c r="KZ165" s="15"/>
      <c r="LA165" s="15"/>
      <c r="LB165" s="15"/>
      <c r="LC165" s="15"/>
      <c r="LD165" s="15"/>
      <c r="LE165" s="15"/>
      <c r="LF165" s="15"/>
      <c r="LG165" s="15"/>
      <c r="LH165" s="15"/>
      <c r="LI165" s="15"/>
      <c r="LJ165" s="15"/>
      <c r="LK165" s="15"/>
      <c r="LL165" s="15"/>
      <c r="LM165" s="15"/>
      <c r="LN165" s="15"/>
      <c r="LO165" s="15"/>
      <c r="LP165" s="15"/>
      <c r="LQ165" s="15"/>
      <c r="LR165" s="15"/>
      <c r="LS165" s="15"/>
      <c r="LT165" s="15"/>
      <c r="LU165" s="15"/>
      <c r="LV165" s="15"/>
      <c r="LW165" s="15"/>
      <c r="LX165" s="15"/>
      <c r="LY165" s="15"/>
      <c r="LZ165" s="15"/>
      <c r="MA165" s="15"/>
      <c r="MB165" s="15"/>
      <c r="MC165" s="15"/>
      <c r="MD165" s="15"/>
      <c r="ME165" s="15"/>
      <c r="MF165" s="15"/>
      <c r="MG165" s="15"/>
      <c r="MH165" s="15"/>
      <c r="MI165" s="15"/>
      <c r="MJ165" s="15"/>
      <c r="MK165" s="15"/>
      <c r="ML165" s="15"/>
      <c r="MM165" s="15"/>
      <c r="MN165" s="15"/>
      <c r="MO165" s="15"/>
      <c r="MP165" s="15"/>
      <c r="MQ165" s="15"/>
      <c r="MR165" s="15"/>
      <c r="MS165" s="15"/>
      <c r="MT165" s="15"/>
      <c r="MU165" s="15"/>
      <c r="MV165" s="15"/>
      <c r="MW165" s="15"/>
    </row>
    <row r="166" ht="41.25" customHeight="1">
      <c r="A166" s="13" t="s">
        <v>165</v>
      </c>
      <c r="B166" s="14" t="s">
        <v>10181</v>
      </c>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c r="DF166" s="15"/>
      <c r="DG166" s="15"/>
      <c r="DH166" s="15"/>
      <c r="DI166" s="15"/>
      <c r="DJ166" s="15"/>
      <c r="DK166" s="15"/>
      <c r="DL166" s="15"/>
      <c r="DM166" s="15"/>
      <c r="DN166" s="15"/>
      <c r="DO166" s="15"/>
      <c r="DP166" s="15"/>
      <c r="DQ166" s="15"/>
      <c r="DR166" s="15"/>
      <c r="DS166" s="15"/>
      <c r="DT166" s="15"/>
      <c r="DU166" s="15"/>
      <c r="DV166" s="15"/>
      <c r="DW166" s="15"/>
      <c r="DX166" s="15"/>
      <c r="DY166" s="15"/>
      <c r="DZ166" s="15"/>
      <c r="EA166" s="15"/>
      <c r="EB166" s="15"/>
      <c r="EC166" s="15"/>
      <c r="ED166" s="15"/>
      <c r="EE166" s="15"/>
      <c r="EF166" s="15"/>
      <c r="EG166" s="15"/>
      <c r="EH166" s="15"/>
      <c r="EI166" s="15"/>
      <c r="EJ166" s="15"/>
      <c r="EK166" s="15"/>
      <c r="EL166" s="15"/>
      <c r="EM166" s="15"/>
      <c r="EN166" s="15"/>
      <c r="EO166" s="15"/>
      <c r="EP166" s="15"/>
      <c r="EQ166" s="15"/>
      <c r="ER166" s="15"/>
      <c r="ES166" s="15"/>
      <c r="ET166" s="15"/>
      <c r="EU166" s="15"/>
      <c r="EV166" s="15"/>
      <c r="EW166" s="15"/>
      <c r="EX166" s="15"/>
      <c r="EY166" s="15"/>
      <c r="EZ166" s="15"/>
      <c r="FA166" s="15"/>
      <c r="FB166" s="15"/>
      <c r="FC166" s="15"/>
      <c r="FD166" s="15"/>
      <c r="FE166" s="15"/>
      <c r="FF166" s="15"/>
      <c r="FG166" s="15"/>
      <c r="FH166" s="15"/>
      <c r="FI166" s="15"/>
      <c r="FJ166" s="15"/>
      <c r="FK166" s="15"/>
      <c r="FL166" s="15"/>
      <c r="FM166" s="15"/>
      <c r="FN166" s="15"/>
      <c r="FO166" s="15"/>
      <c r="FP166" s="15"/>
      <c r="FQ166" s="15"/>
      <c r="FR166" s="15"/>
      <c r="FS166" s="15"/>
      <c r="FT166" s="15"/>
      <c r="FU166" s="15"/>
      <c r="FV166" s="15"/>
      <c r="FW166" s="15"/>
      <c r="FX166" s="15"/>
      <c r="FY166" s="15"/>
      <c r="FZ166" s="15"/>
      <c r="GA166" s="15"/>
      <c r="GB166" s="15"/>
      <c r="GC166" s="15"/>
      <c r="GD166" s="15"/>
      <c r="GE166" s="15"/>
      <c r="GF166" s="15"/>
      <c r="GG166" s="15"/>
      <c r="GH166" s="15"/>
      <c r="GI166" s="15"/>
      <c r="GJ166" s="15"/>
      <c r="GK166" s="15"/>
      <c r="GL166" s="15"/>
      <c r="GM166" s="15"/>
      <c r="GN166" s="15"/>
      <c r="GO166" s="15"/>
      <c r="GP166" s="15"/>
      <c r="GQ166" s="15"/>
      <c r="GR166" s="15"/>
      <c r="GS166" s="15"/>
      <c r="GT166" s="15"/>
      <c r="GU166" s="15"/>
      <c r="GV166" s="15"/>
      <c r="GW166" s="15"/>
      <c r="GX166" s="15"/>
      <c r="GY166" s="15"/>
      <c r="GZ166" s="15"/>
      <c r="HA166" s="15"/>
      <c r="HB166" s="15"/>
      <c r="HC166" s="15"/>
      <c r="HD166" s="15"/>
      <c r="HE166" s="15"/>
      <c r="HF166" s="15"/>
      <c r="HG166" s="15"/>
      <c r="HH166" s="15"/>
      <c r="HI166" s="15"/>
      <c r="HJ166" s="15"/>
      <c r="HK166" s="15"/>
      <c r="HL166" s="15"/>
      <c r="HM166" s="15"/>
      <c r="HN166" s="15"/>
      <c r="HO166" s="15"/>
      <c r="HP166" s="15"/>
      <c r="HQ166" s="15"/>
      <c r="HR166" s="15"/>
      <c r="HS166" s="15"/>
      <c r="HT166" s="15"/>
      <c r="HU166" s="15"/>
      <c r="HV166" s="15"/>
      <c r="HW166" s="15"/>
      <c r="HX166" s="15"/>
      <c r="HY166" s="15"/>
      <c r="HZ166" s="15"/>
      <c r="IA166" s="15"/>
      <c r="IB166" s="15"/>
      <c r="IC166" s="15"/>
      <c r="ID166" s="15"/>
      <c r="IE166" s="15"/>
      <c r="IF166" s="15"/>
      <c r="IG166" s="15"/>
      <c r="IH166" s="15"/>
      <c r="II166" s="15"/>
      <c r="IJ166" s="15"/>
      <c r="IK166" s="15"/>
      <c r="IL166" s="15"/>
      <c r="IM166" s="15"/>
      <c r="IN166" s="15"/>
      <c r="IO166" s="15"/>
      <c r="IP166" s="15"/>
      <c r="IQ166" s="15"/>
      <c r="IR166" s="15"/>
      <c r="IS166" s="15"/>
      <c r="IT166" s="15"/>
      <c r="IU166" s="15"/>
      <c r="IV166" s="15"/>
      <c r="IW166" s="15"/>
      <c r="IX166" s="15"/>
      <c r="IY166" s="15"/>
      <c r="IZ166" s="15"/>
      <c r="JA166" s="15"/>
      <c r="JB166" s="15"/>
      <c r="JC166" s="15"/>
      <c r="JD166" s="15"/>
      <c r="JE166" s="15"/>
      <c r="JF166" s="15"/>
      <c r="JG166" s="15"/>
      <c r="JH166" s="15"/>
      <c r="JI166" s="15"/>
      <c r="JJ166" s="15"/>
      <c r="JK166" s="15"/>
      <c r="JL166" s="15"/>
      <c r="JM166" s="15"/>
      <c r="JN166" s="15"/>
      <c r="JO166" s="15"/>
      <c r="JP166" s="15"/>
      <c r="JQ166" s="15"/>
      <c r="JR166" s="15"/>
      <c r="JS166" s="15"/>
      <c r="JT166" s="15"/>
      <c r="JU166" s="15"/>
      <c r="JV166" s="15"/>
      <c r="JW166" s="15"/>
      <c r="JX166" s="15"/>
      <c r="JY166" s="15"/>
      <c r="JZ166" s="15"/>
      <c r="KA166" s="15"/>
      <c r="KB166" s="15"/>
      <c r="KC166" s="15"/>
      <c r="KD166" s="15"/>
      <c r="KE166" s="15"/>
      <c r="KF166" s="15"/>
      <c r="KG166" s="15"/>
      <c r="KH166" s="15"/>
      <c r="KI166" s="15"/>
      <c r="KJ166" s="15"/>
      <c r="KK166" s="15"/>
      <c r="KL166" s="15"/>
      <c r="KM166" s="15"/>
      <c r="KN166" s="15"/>
      <c r="KO166" s="15"/>
      <c r="KP166" s="15"/>
      <c r="KQ166" s="15"/>
      <c r="KR166" s="15"/>
      <c r="KS166" s="15"/>
      <c r="KT166" s="15"/>
      <c r="KU166" s="15"/>
      <c r="KV166" s="15"/>
      <c r="KW166" s="15"/>
      <c r="KX166" s="15"/>
      <c r="KY166" s="15"/>
      <c r="KZ166" s="15"/>
      <c r="LA166" s="15"/>
      <c r="LB166" s="15"/>
      <c r="LC166" s="15"/>
      <c r="LD166" s="15"/>
      <c r="LE166" s="15"/>
      <c r="LF166" s="15"/>
      <c r="LG166" s="15"/>
      <c r="LH166" s="15"/>
      <c r="LI166" s="15"/>
      <c r="LJ166" s="15"/>
      <c r="LK166" s="15"/>
      <c r="LL166" s="15"/>
      <c r="LM166" s="15"/>
      <c r="LN166" s="15"/>
      <c r="LO166" s="15"/>
      <c r="LP166" s="15"/>
      <c r="LQ166" s="15"/>
      <c r="LR166" s="15"/>
      <c r="LS166" s="15"/>
      <c r="LT166" s="15"/>
      <c r="LU166" s="15"/>
      <c r="LV166" s="15"/>
      <c r="LW166" s="15"/>
      <c r="LX166" s="15"/>
      <c r="LY166" s="15"/>
      <c r="LZ166" s="15"/>
      <c r="MA166" s="15"/>
      <c r="MB166" s="15"/>
      <c r="MC166" s="15"/>
      <c r="MD166" s="15"/>
      <c r="ME166" s="15"/>
      <c r="MF166" s="15"/>
      <c r="MG166" s="15"/>
      <c r="MH166" s="15"/>
      <c r="MI166" s="15"/>
      <c r="MJ166" s="15"/>
      <c r="MK166" s="15"/>
      <c r="ML166" s="15"/>
      <c r="MM166" s="15"/>
      <c r="MN166" s="15"/>
      <c r="MO166" s="15"/>
      <c r="MP166" s="15"/>
      <c r="MQ166" s="15"/>
      <c r="MR166" s="15"/>
      <c r="MS166" s="15"/>
      <c r="MT166" s="15"/>
      <c r="MU166" s="15"/>
      <c r="MV166" s="15"/>
      <c r="MW166" s="15"/>
    </row>
    <row r="167" ht="119.25" customHeight="1">
      <c r="A167" s="13" t="s">
        <v>166</v>
      </c>
      <c r="B167" s="14" t="s">
        <v>10182</v>
      </c>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c r="DF167" s="15"/>
      <c r="DG167" s="15"/>
      <c r="DH167" s="15"/>
      <c r="DI167" s="15"/>
      <c r="DJ167" s="15"/>
      <c r="DK167" s="15"/>
      <c r="DL167" s="15"/>
      <c r="DM167" s="15"/>
      <c r="DN167" s="15"/>
      <c r="DO167" s="15"/>
      <c r="DP167" s="15"/>
      <c r="DQ167" s="15"/>
      <c r="DR167" s="15"/>
      <c r="DS167" s="15"/>
      <c r="DT167" s="15"/>
      <c r="DU167" s="15"/>
      <c r="DV167" s="15"/>
      <c r="DW167" s="15"/>
      <c r="DX167" s="15"/>
      <c r="DY167" s="15"/>
      <c r="DZ167" s="15"/>
      <c r="EA167" s="15"/>
      <c r="EB167" s="15"/>
      <c r="EC167" s="15"/>
      <c r="ED167" s="15"/>
      <c r="EE167" s="15"/>
      <c r="EF167" s="15"/>
      <c r="EG167" s="15"/>
      <c r="EH167" s="15"/>
      <c r="EI167" s="15"/>
      <c r="EJ167" s="15"/>
      <c r="EK167" s="15"/>
      <c r="EL167" s="15"/>
      <c r="EM167" s="15"/>
      <c r="EN167" s="15"/>
      <c r="EO167" s="15"/>
      <c r="EP167" s="15"/>
      <c r="EQ167" s="15"/>
      <c r="ER167" s="15"/>
      <c r="ES167" s="15"/>
      <c r="ET167" s="15"/>
      <c r="EU167" s="15"/>
      <c r="EV167" s="15"/>
      <c r="EW167" s="15"/>
      <c r="EX167" s="15"/>
      <c r="EY167" s="15"/>
      <c r="EZ167" s="15"/>
      <c r="FA167" s="15"/>
      <c r="FB167" s="15"/>
      <c r="FC167" s="15"/>
      <c r="FD167" s="15"/>
      <c r="FE167" s="15"/>
      <c r="FF167" s="15"/>
      <c r="FG167" s="15"/>
      <c r="FH167" s="15"/>
      <c r="FI167" s="15"/>
      <c r="FJ167" s="15"/>
      <c r="FK167" s="15"/>
      <c r="FL167" s="15"/>
      <c r="FM167" s="15"/>
      <c r="FN167" s="15"/>
      <c r="FO167" s="15"/>
      <c r="FP167" s="15"/>
      <c r="FQ167" s="15"/>
      <c r="FR167" s="15"/>
      <c r="FS167" s="15"/>
      <c r="FT167" s="15"/>
      <c r="FU167" s="15"/>
      <c r="FV167" s="15"/>
      <c r="FW167" s="15"/>
      <c r="FX167" s="15"/>
      <c r="FY167" s="15"/>
      <c r="FZ167" s="15"/>
      <c r="GA167" s="15"/>
      <c r="GB167" s="15"/>
      <c r="GC167" s="15"/>
      <c r="GD167" s="15"/>
      <c r="GE167" s="15"/>
      <c r="GF167" s="15"/>
      <c r="GG167" s="15"/>
      <c r="GH167" s="15"/>
      <c r="GI167" s="15"/>
      <c r="GJ167" s="15"/>
      <c r="GK167" s="15"/>
      <c r="GL167" s="15"/>
      <c r="GM167" s="15"/>
      <c r="GN167" s="15"/>
      <c r="GO167" s="15"/>
      <c r="GP167" s="15"/>
      <c r="GQ167" s="15"/>
      <c r="GR167" s="15"/>
      <c r="GS167" s="15"/>
      <c r="GT167" s="15"/>
      <c r="GU167" s="15"/>
      <c r="GV167" s="15"/>
      <c r="GW167" s="15"/>
      <c r="GX167" s="15"/>
      <c r="GY167" s="15"/>
      <c r="GZ167" s="15"/>
      <c r="HA167" s="15"/>
      <c r="HB167" s="15"/>
      <c r="HC167" s="15"/>
      <c r="HD167" s="15"/>
      <c r="HE167" s="15"/>
      <c r="HF167" s="15"/>
      <c r="HG167" s="15"/>
      <c r="HH167" s="15"/>
      <c r="HI167" s="15"/>
      <c r="HJ167" s="15"/>
      <c r="HK167" s="15"/>
      <c r="HL167" s="15"/>
      <c r="HM167" s="15"/>
      <c r="HN167" s="15"/>
      <c r="HO167" s="15"/>
      <c r="HP167" s="15"/>
      <c r="HQ167" s="15"/>
      <c r="HR167" s="15"/>
      <c r="HS167" s="15"/>
      <c r="HT167" s="15"/>
      <c r="HU167" s="15"/>
      <c r="HV167" s="15"/>
      <c r="HW167" s="15"/>
      <c r="HX167" s="15"/>
      <c r="HY167" s="15"/>
      <c r="HZ167" s="15"/>
      <c r="IA167" s="15"/>
      <c r="IB167" s="15"/>
      <c r="IC167" s="15"/>
      <c r="ID167" s="15"/>
      <c r="IE167" s="15"/>
      <c r="IF167" s="15"/>
      <c r="IG167" s="15"/>
      <c r="IH167" s="15"/>
      <c r="II167" s="15"/>
      <c r="IJ167" s="15"/>
      <c r="IK167" s="15"/>
      <c r="IL167" s="15"/>
      <c r="IM167" s="15"/>
      <c r="IN167" s="15"/>
      <c r="IO167" s="15"/>
      <c r="IP167" s="15"/>
      <c r="IQ167" s="15"/>
      <c r="IR167" s="15"/>
      <c r="IS167" s="15"/>
      <c r="IT167" s="15"/>
      <c r="IU167" s="15"/>
      <c r="IV167" s="15"/>
      <c r="IW167" s="15"/>
      <c r="IX167" s="15"/>
      <c r="IY167" s="15"/>
      <c r="IZ167" s="15"/>
      <c r="JA167" s="15"/>
      <c r="JB167" s="15"/>
      <c r="JC167" s="15"/>
      <c r="JD167" s="15"/>
      <c r="JE167" s="15"/>
      <c r="JF167" s="15"/>
      <c r="JG167" s="15"/>
      <c r="JH167" s="15"/>
      <c r="JI167" s="15"/>
      <c r="JJ167" s="15"/>
      <c r="JK167" s="15"/>
      <c r="JL167" s="15"/>
      <c r="JM167" s="15"/>
      <c r="JN167" s="15"/>
      <c r="JO167" s="15"/>
      <c r="JP167" s="15"/>
      <c r="JQ167" s="15"/>
      <c r="JR167" s="15"/>
      <c r="JS167" s="15"/>
      <c r="JT167" s="15"/>
      <c r="JU167" s="15"/>
      <c r="JV167" s="15"/>
      <c r="JW167" s="15"/>
      <c r="JX167" s="15"/>
      <c r="JY167" s="15"/>
      <c r="JZ167" s="15"/>
      <c r="KA167" s="15"/>
      <c r="KB167" s="15"/>
      <c r="KC167" s="15"/>
      <c r="KD167" s="15"/>
      <c r="KE167" s="15"/>
      <c r="KF167" s="15"/>
      <c r="KG167" s="15"/>
      <c r="KH167" s="15"/>
      <c r="KI167" s="15"/>
      <c r="KJ167" s="15"/>
      <c r="KK167" s="15"/>
      <c r="KL167" s="15"/>
      <c r="KM167" s="15"/>
      <c r="KN167" s="15"/>
      <c r="KO167" s="15"/>
      <c r="KP167" s="15"/>
      <c r="KQ167" s="15"/>
      <c r="KR167" s="15"/>
      <c r="KS167" s="15"/>
      <c r="KT167" s="15"/>
      <c r="KU167" s="15"/>
      <c r="KV167" s="15"/>
      <c r="KW167" s="15"/>
      <c r="KX167" s="15"/>
      <c r="KY167" s="15"/>
      <c r="KZ167" s="15"/>
      <c r="LA167" s="15"/>
      <c r="LB167" s="15"/>
      <c r="LC167" s="15"/>
      <c r="LD167" s="15"/>
      <c r="LE167" s="15"/>
      <c r="LF167" s="15"/>
      <c r="LG167" s="15"/>
      <c r="LH167" s="15"/>
      <c r="LI167" s="15"/>
      <c r="LJ167" s="15"/>
      <c r="LK167" s="15"/>
      <c r="LL167" s="15"/>
      <c r="LM167" s="15"/>
      <c r="LN167" s="15"/>
      <c r="LO167" s="15"/>
      <c r="LP167" s="15"/>
      <c r="LQ167" s="15"/>
      <c r="LR167" s="15"/>
      <c r="LS167" s="15"/>
      <c r="LT167" s="15"/>
      <c r="LU167" s="15"/>
      <c r="LV167" s="15"/>
      <c r="LW167" s="15"/>
      <c r="LX167" s="15"/>
      <c r="LY167" s="15"/>
      <c r="LZ167" s="15"/>
      <c r="MA167" s="15"/>
      <c r="MB167" s="15"/>
      <c r="MC167" s="15"/>
      <c r="MD167" s="15"/>
      <c r="ME167" s="15"/>
      <c r="MF167" s="15"/>
      <c r="MG167" s="15"/>
      <c r="MH167" s="15"/>
      <c r="MI167" s="15"/>
      <c r="MJ167" s="15"/>
      <c r="MK167" s="15"/>
      <c r="ML167" s="15"/>
      <c r="MM167" s="15"/>
      <c r="MN167" s="15"/>
      <c r="MO167" s="15"/>
      <c r="MP167" s="15"/>
      <c r="MQ167" s="15"/>
      <c r="MR167" s="15"/>
      <c r="MS167" s="15"/>
      <c r="MT167" s="15"/>
      <c r="MU167" s="15"/>
      <c r="MV167" s="15"/>
      <c r="MW167" s="15"/>
    </row>
    <row r="168" ht="41.25" customHeight="1">
      <c r="A168" s="13" t="s">
        <v>167</v>
      </c>
      <c r="B168" s="14" t="s">
        <v>10183</v>
      </c>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c r="DF168" s="15"/>
      <c r="DG168" s="15"/>
      <c r="DH168" s="15"/>
      <c r="DI168" s="15"/>
      <c r="DJ168" s="15"/>
      <c r="DK168" s="15"/>
      <c r="DL168" s="15"/>
      <c r="DM168" s="15"/>
      <c r="DN168" s="15"/>
      <c r="DO168" s="15"/>
      <c r="DP168" s="15"/>
      <c r="DQ168" s="15"/>
      <c r="DR168" s="15"/>
      <c r="DS168" s="15"/>
      <c r="DT168" s="15"/>
      <c r="DU168" s="15"/>
      <c r="DV168" s="15"/>
      <c r="DW168" s="15"/>
      <c r="DX168" s="15"/>
      <c r="DY168" s="15"/>
      <c r="DZ168" s="15"/>
      <c r="EA168" s="15"/>
      <c r="EB168" s="15"/>
      <c r="EC168" s="15"/>
      <c r="ED168" s="15"/>
      <c r="EE168" s="15"/>
      <c r="EF168" s="15"/>
      <c r="EG168" s="15"/>
      <c r="EH168" s="15"/>
      <c r="EI168" s="15"/>
      <c r="EJ168" s="15"/>
      <c r="EK168" s="15"/>
      <c r="EL168" s="15"/>
      <c r="EM168" s="15"/>
      <c r="EN168" s="15"/>
      <c r="EO168" s="15"/>
      <c r="EP168" s="15"/>
      <c r="EQ168" s="15"/>
      <c r="ER168" s="15"/>
      <c r="ES168" s="15"/>
      <c r="ET168" s="15"/>
      <c r="EU168" s="15"/>
      <c r="EV168" s="15"/>
      <c r="EW168" s="15"/>
      <c r="EX168" s="15"/>
      <c r="EY168" s="15"/>
      <c r="EZ168" s="15"/>
      <c r="FA168" s="15"/>
      <c r="FB168" s="15"/>
      <c r="FC168" s="15"/>
      <c r="FD168" s="15"/>
      <c r="FE168" s="15"/>
      <c r="FF168" s="15"/>
      <c r="FG168" s="15"/>
      <c r="FH168" s="15"/>
      <c r="FI168" s="15"/>
      <c r="FJ168" s="15"/>
      <c r="FK168" s="15"/>
      <c r="FL168" s="15"/>
      <c r="FM168" s="15"/>
      <c r="FN168" s="15"/>
      <c r="FO168" s="15"/>
      <c r="FP168" s="15"/>
      <c r="FQ168" s="15"/>
      <c r="FR168" s="15"/>
      <c r="FS168" s="15"/>
      <c r="FT168" s="15"/>
      <c r="FU168" s="15"/>
      <c r="FV168" s="15"/>
      <c r="FW168" s="15"/>
      <c r="FX168" s="15"/>
      <c r="FY168" s="15"/>
      <c r="FZ168" s="15"/>
      <c r="GA168" s="15"/>
      <c r="GB168" s="15"/>
      <c r="GC168" s="15"/>
      <c r="GD168" s="15"/>
      <c r="GE168" s="15"/>
      <c r="GF168" s="15"/>
      <c r="GG168" s="15"/>
      <c r="GH168" s="15"/>
      <c r="GI168" s="15"/>
      <c r="GJ168" s="15"/>
      <c r="GK168" s="15"/>
      <c r="GL168" s="15"/>
      <c r="GM168" s="15"/>
      <c r="GN168" s="15"/>
      <c r="GO168" s="15"/>
      <c r="GP168" s="15"/>
      <c r="GQ168" s="15"/>
      <c r="GR168" s="15"/>
      <c r="GS168" s="15"/>
      <c r="GT168" s="15"/>
      <c r="GU168" s="15"/>
      <c r="GV168" s="15"/>
      <c r="GW168" s="15"/>
      <c r="GX168" s="15"/>
      <c r="GY168" s="15"/>
      <c r="GZ168" s="15"/>
      <c r="HA168" s="15"/>
      <c r="HB168" s="15"/>
      <c r="HC168" s="15"/>
      <c r="HD168" s="15"/>
      <c r="HE168" s="15"/>
      <c r="HF168" s="15"/>
      <c r="HG168" s="15"/>
      <c r="HH168" s="15"/>
      <c r="HI168" s="15"/>
      <c r="HJ168" s="15"/>
      <c r="HK168" s="15"/>
      <c r="HL168" s="15"/>
      <c r="HM168" s="15"/>
      <c r="HN168" s="15"/>
      <c r="HO168" s="15"/>
      <c r="HP168" s="15"/>
      <c r="HQ168" s="15"/>
      <c r="HR168" s="15"/>
      <c r="HS168" s="15"/>
      <c r="HT168" s="15"/>
      <c r="HU168" s="15"/>
      <c r="HV168" s="15"/>
      <c r="HW168" s="15"/>
      <c r="HX168" s="15"/>
      <c r="HY168" s="15"/>
      <c r="HZ168" s="15"/>
      <c r="IA168" s="15"/>
      <c r="IB168" s="15"/>
      <c r="IC168" s="15"/>
      <c r="ID168" s="15"/>
      <c r="IE168" s="15"/>
      <c r="IF168" s="15"/>
      <c r="IG168" s="15"/>
      <c r="IH168" s="15"/>
      <c r="II168" s="15"/>
      <c r="IJ168" s="15"/>
      <c r="IK168" s="15"/>
      <c r="IL168" s="15"/>
      <c r="IM168" s="15"/>
      <c r="IN168" s="15"/>
      <c r="IO168" s="15"/>
      <c r="IP168" s="15"/>
      <c r="IQ168" s="15"/>
      <c r="IR168" s="15"/>
      <c r="IS168" s="15"/>
      <c r="IT168" s="15"/>
      <c r="IU168" s="15"/>
      <c r="IV168" s="15"/>
      <c r="IW168" s="15"/>
      <c r="IX168" s="15"/>
      <c r="IY168" s="15"/>
      <c r="IZ168" s="15"/>
      <c r="JA168" s="15"/>
      <c r="JB168" s="15"/>
      <c r="JC168" s="15"/>
      <c r="JD168" s="15"/>
      <c r="JE168" s="15"/>
      <c r="JF168" s="15"/>
      <c r="JG168" s="15"/>
      <c r="JH168" s="15"/>
      <c r="JI168" s="15"/>
      <c r="JJ168" s="15"/>
      <c r="JK168" s="15"/>
      <c r="JL168" s="15"/>
      <c r="JM168" s="15"/>
      <c r="JN168" s="15"/>
      <c r="JO168" s="15"/>
      <c r="JP168" s="15"/>
      <c r="JQ168" s="15"/>
      <c r="JR168" s="15"/>
      <c r="JS168" s="15"/>
      <c r="JT168" s="15"/>
      <c r="JU168" s="15"/>
      <c r="JV168" s="15"/>
      <c r="JW168" s="15"/>
      <c r="JX168" s="15"/>
      <c r="JY168" s="15"/>
      <c r="JZ168" s="15"/>
      <c r="KA168" s="15"/>
      <c r="KB168" s="15"/>
      <c r="KC168" s="15"/>
      <c r="KD168" s="15"/>
      <c r="KE168" s="15"/>
      <c r="KF168" s="15"/>
      <c r="KG168" s="15"/>
      <c r="KH168" s="15"/>
      <c r="KI168" s="15"/>
      <c r="KJ168" s="15"/>
      <c r="KK168" s="15"/>
      <c r="KL168" s="15"/>
      <c r="KM168" s="15"/>
      <c r="KN168" s="15"/>
      <c r="KO168" s="15"/>
      <c r="KP168" s="15"/>
      <c r="KQ168" s="15"/>
      <c r="KR168" s="15"/>
      <c r="KS168" s="15"/>
      <c r="KT168" s="15"/>
      <c r="KU168" s="15"/>
      <c r="KV168" s="15"/>
      <c r="KW168" s="15"/>
      <c r="KX168" s="15"/>
      <c r="KY168" s="15"/>
      <c r="KZ168" s="15"/>
      <c r="LA168" s="15"/>
      <c r="LB168" s="15"/>
      <c r="LC168" s="15"/>
      <c r="LD168" s="15"/>
      <c r="LE168" s="15"/>
      <c r="LF168" s="15"/>
      <c r="LG168" s="15"/>
      <c r="LH168" s="15"/>
      <c r="LI168" s="15"/>
      <c r="LJ168" s="15"/>
      <c r="LK168" s="15"/>
      <c r="LL168" s="15"/>
      <c r="LM168" s="15"/>
      <c r="LN168" s="15"/>
      <c r="LO168" s="15"/>
      <c r="LP168" s="15"/>
      <c r="LQ168" s="15"/>
      <c r="LR168" s="15"/>
      <c r="LS168" s="15"/>
      <c r="LT168" s="15"/>
      <c r="LU168" s="15"/>
      <c r="LV168" s="15"/>
      <c r="LW168" s="15"/>
      <c r="LX168" s="15"/>
      <c r="LY168" s="15"/>
      <c r="LZ168" s="15"/>
      <c r="MA168" s="15"/>
      <c r="MB168" s="15"/>
      <c r="MC168" s="15"/>
      <c r="MD168" s="15"/>
      <c r="ME168" s="15"/>
      <c r="MF168" s="15"/>
      <c r="MG168" s="15"/>
      <c r="MH168" s="15"/>
      <c r="MI168" s="15"/>
      <c r="MJ168" s="15"/>
      <c r="MK168" s="15"/>
      <c r="ML168" s="15"/>
      <c r="MM168" s="15"/>
      <c r="MN168" s="15"/>
      <c r="MO168" s="15"/>
      <c r="MP168" s="15"/>
      <c r="MQ168" s="15"/>
      <c r="MR168" s="15"/>
      <c r="MS168" s="15"/>
      <c r="MT168" s="15"/>
      <c r="MU168" s="15"/>
      <c r="MV168" s="15"/>
      <c r="MW168" s="15"/>
    </row>
    <row r="169" ht="119.25" customHeight="1">
      <c r="A169" s="13" t="s">
        <v>168</v>
      </c>
      <c r="B169" s="14" t="s">
        <v>10184</v>
      </c>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c r="DF169" s="15"/>
      <c r="DG169" s="15"/>
      <c r="DH169" s="15"/>
      <c r="DI169" s="15"/>
      <c r="DJ169" s="15"/>
      <c r="DK169" s="15"/>
      <c r="DL169" s="15"/>
      <c r="DM169" s="15"/>
      <c r="DN169" s="15"/>
      <c r="DO169" s="15"/>
      <c r="DP169" s="15"/>
      <c r="DQ169" s="15"/>
      <c r="DR169" s="15"/>
      <c r="DS169" s="15"/>
      <c r="DT169" s="15"/>
      <c r="DU169" s="15"/>
      <c r="DV169" s="15"/>
      <c r="DW169" s="15"/>
      <c r="DX169" s="15"/>
      <c r="DY169" s="15"/>
      <c r="DZ169" s="15"/>
      <c r="EA169" s="15"/>
      <c r="EB169" s="15"/>
      <c r="EC169" s="15"/>
      <c r="ED169" s="15"/>
      <c r="EE169" s="15"/>
      <c r="EF169" s="15"/>
      <c r="EG169" s="15"/>
      <c r="EH169" s="15"/>
      <c r="EI169" s="15"/>
      <c r="EJ169" s="15"/>
      <c r="EK169" s="15"/>
      <c r="EL169" s="15"/>
      <c r="EM169" s="15"/>
      <c r="EN169" s="15"/>
      <c r="EO169" s="15"/>
      <c r="EP169" s="15"/>
      <c r="EQ169" s="15"/>
      <c r="ER169" s="15"/>
      <c r="ES169" s="15"/>
      <c r="ET169" s="15"/>
      <c r="EU169" s="15"/>
      <c r="EV169" s="15"/>
      <c r="EW169" s="15"/>
      <c r="EX169" s="15"/>
      <c r="EY169" s="15"/>
      <c r="EZ169" s="15"/>
      <c r="FA169" s="15"/>
      <c r="FB169" s="15"/>
      <c r="FC169" s="15"/>
      <c r="FD169" s="15"/>
      <c r="FE169" s="15"/>
      <c r="FF169" s="15"/>
      <c r="FG169" s="15"/>
      <c r="FH169" s="15"/>
      <c r="FI169" s="15"/>
      <c r="FJ169" s="15"/>
      <c r="FK169" s="15"/>
      <c r="FL169" s="15"/>
      <c r="FM169" s="15"/>
      <c r="FN169" s="15"/>
      <c r="FO169" s="15"/>
      <c r="FP169" s="15"/>
      <c r="FQ169" s="15"/>
      <c r="FR169" s="15"/>
      <c r="FS169" s="15"/>
      <c r="FT169" s="15"/>
      <c r="FU169" s="15"/>
      <c r="FV169" s="15"/>
      <c r="FW169" s="15"/>
      <c r="FX169" s="15"/>
      <c r="FY169" s="15"/>
      <c r="FZ169" s="15"/>
      <c r="GA169" s="15"/>
      <c r="GB169" s="15"/>
      <c r="GC169" s="15"/>
      <c r="GD169" s="15"/>
      <c r="GE169" s="15"/>
      <c r="GF169" s="15"/>
      <c r="GG169" s="15"/>
      <c r="GH169" s="15"/>
      <c r="GI169" s="15"/>
      <c r="GJ169" s="15"/>
      <c r="GK169" s="15"/>
      <c r="GL169" s="15"/>
      <c r="GM169" s="15"/>
      <c r="GN169" s="15"/>
      <c r="GO169" s="15"/>
      <c r="GP169" s="15"/>
      <c r="GQ169" s="15"/>
      <c r="GR169" s="15"/>
      <c r="GS169" s="15"/>
      <c r="GT169" s="15"/>
      <c r="GU169" s="15"/>
      <c r="GV169" s="15"/>
      <c r="GW169" s="15"/>
      <c r="GX169" s="15"/>
      <c r="GY169" s="15"/>
      <c r="GZ169" s="15"/>
      <c r="HA169" s="15"/>
      <c r="HB169" s="15"/>
      <c r="HC169" s="15"/>
      <c r="HD169" s="15"/>
      <c r="HE169" s="15"/>
      <c r="HF169" s="15"/>
      <c r="HG169" s="15"/>
      <c r="HH169" s="15"/>
      <c r="HI169" s="15"/>
      <c r="HJ169" s="15"/>
      <c r="HK169" s="15"/>
      <c r="HL169" s="15"/>
      <c r="HM169" s="15"/>
      <c r="HN169" s="15"/>
      <c r="HO169" s="15"/>
      <c r="HP169" s="15"/>
      <c r="HQ169" s="15"/>
      <c r="HR169" s="15"/>
      <c r="HS169" s="15"/>
      <c r="HT169" s="15"/>
      <c r="HU169" s="15"/>
      <c r="HV169" s="15"/>
      <c r="HW169" s="15"/>
      <c r="HX169" s="15"/>
      <c r="HY169" s="15"/>
      <c r="HZ169" s="15"/>
      <c r="IA169" s="15"/>
      <c r="IB169" s="15"/>
      <c r="IC169" s="15"/>
      <c r="ID169" s="15"/>
      <c r="IE169" s="15"/>
      <c r="IF169" s="15"/>
      <c r="IG169" s="15"/>
      <c r="IH169" s="15"/>
      <c r="II169" s="15"/>
      <c r="IJ169" s="15"/>
      <c r="IK169" s="15"/>
      <c r="IL169" s="15"/>
      <c r="IM169" s="15"/>
      <c r="IN169" s="15"/>
      <c r="IO169" s="15"/>
      <c r="IP169" s="15"/>
      <c r="IQ169" s="15"/>
      <c r="IR169" s="15"/>
      <c r="IS169" s="15"/>
      <c r="IT169" s="15"/>
      <c r="IU169" s="15"/>
      <c r="IV169" s="15"/>
      <c r="IW169" s="15"/>
      <c r="IX169" s="15"/>
      <c r="IY169" s="15"/>
      <c r="IZ169" s="15"/>
      <c r="JA169" s="15"/>
      <c r="JB169" s="15"/>
      <c r="JC169" s="15"/>
      <c r="JD169" s="15"/>
      <c r="JE169" s="15"/>
      <c r="JF169" s="15"/>
      <c r="JG169" s="15"/>
      <c r="JH169" s="15"/>
      <c r="JI169" s="15"/>
      <c r="JJ169" s="15"/>
      <c r="JK169" s="15"/>
      <c r="JL169" s="15"/>
      <c r="JM169" s="15"/>
      <c r="JN169" s="15"/>
      <c r="JO169" s="15"/>
      <c r="JP169" s="15"/>
      <c r="JQ169" s="15"/>
      <c r="JR169" s="15"/>
      <c r="JS169" s="15"/>
      <c r="JT169" s="15"/>
      <c r="JU169" s="15"/>
      <c r="JV169" s="15"/>
      <c r="JW169" s="15"/>
      <c r="JX169" s="15"/>
      <c r="JY169" s="15"/>
      <c r="JZ169" s="15"/>
      <c r="KA169" s="15"/>
      <c r="KB169" s="15"/>
      <c r="KC169" s="15"/>
      <c r="KD169" s="15"/>
      <c r="KE169" s="15"/>
      <c r="KF169" s="15"/>
      <c r="KG169" s="15"/>
      <c r="KH169" s="15"/>
      <c r="KI169" s="15"/>
      <c r="KJ169" s="15"/>
      <c r="KK169" s="15"/>
      <c r="KL169" s="15"/>
      <c r="KM169" s="15"/>
      <c r="KN169" s="15"/>
      <c r="KO169" s="15"/>
      <c r="KP169" s="15"/>
      <c r="KQ169" s="15"/>
      <c r="KR169" s="15"/>
      <c r="KS169" s="15"/>
      <c r="KT169" s="15"/>
      <c r="KU169" s="15"/>
      <c r="KV169" s="15"/>
      <c r="KW169" s="15"/>
      <c r="KX169" s="15"/>
      <c r="KY169" s="15"/>
      <c r="KZ169" s="15"/>
      <c r="LA169" s="15"/>
      <c r="LB169" s="15"/>
      <c r="LC169" s="15"/>
      <c r="LD169" s="15"/>
      <c r="LE169" s="15"/>
      <c r="LF169" s="15"/>
      <c r="LG169" s="15"/>
      <c r="LH169" s="15"/>
      <c r="LI169" s="15"/>
      <c r="LJ169" s="15"/>
      <c r="LK169" s="15"/>
      <c r="LL169" s="15"/>
      <c r="LM169" s="15"/>
      <c r="LN169" s="15"/>
      <c r="LO169" s="15"/>
      <c r="LP169" s="15"/>
      <c r="LQ169" s="15"/>
      <c r="LR169" s="15"/>
      <c r="LS169" s="15"/>
      <c r="LT169" s="15"/>
      <c r="LU169" s="15"/>
      <c r="LV169" s="15"/>
      <c r="LW169" s="15"/>
      <c r="LX169" s="15"/>
      <c r="LY169" s="15"/>
      <c r="LZ169" s="15"/>
      <c r="MA169" s="15"/>
      <c r="MB169" s="15"/>
      <c r="MC169" s="15"/>
      <c r="MD169" s="15"/>
      <c r="ME169" s="15"/>
      <c r="MF169" s="15"/>
      <c r="MG169" s="15"/>
      <c r="MH169" s="15"/>
      <c r="MI169" s="15"/>
      <c r="MJ169" s="15"/>
      <c r="MK169" s="15"/>
      <c r="ML169" s="15"/>
      <c r="MM169" s="15"/>
      <c r="MN169" s="15"/>
      <c r="MO169" s="15"/>
      <c r="MP169" s="15"/>
      <c r="MQ169" s="15"/>
      <c r="MR169" s="15"/>
      <c r="MS169" s="15"/>
      <c r="MT169" s="15"/>
      <c r="MU169" s="15"/>
      <c r="MV169" s="15"/>
      <c r="MW169" s="15"/>
    </row>
    <row r="170" ht="41.25" customHeight="1">
      <c r="A170" s="13" t="s">
        <v>169</v>
      </c>
      <c r="B170" s="14" t="s">
        <v>10185</v>
      </c>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c r="DF170" s="15"/>
      <c r="DG170" s="15"/>
      <c r="DH170" s="15"/>
      <c r="DI170" s="15"/>
      <c r="DJ170" s="15"/>
      <c r="DK170" s="15"/>
      <c r="DL170" s="15"/>
      <c r="DM170" s="15"/>
      <c r="DN170" s="15"/>
      <c r="DO170" s="15"/>
      <c r="DP170" s="15"/>
      <c r="DQ170" s="15"/>
      <c r="DR170" s="15"/>
      <c r="DS170" s="15"/>
      <c r="DT170" s="15"/>
      <c r="DU170" s="15"/>
      <c r="DV170" s="15"/>
      <c r="DW170" s="15"/>
      <c r="DX170" s="15"/>
      <c r="DY170" s="15"/>
      <c r="DZ170" s="15"/>
      <c r="EA170" s="15"/>
      <c r="EB170" s="15"/>
      <c r="EC170" s="15"/>
      <c r="ED170" s="15"/>
      <c r="EE170" s="15"/>
      <c r="EF170" s="15"/>
      <c r="EG170" s="15"/>
      <c r="EH170" s="15"/>
      <c r="EI170" s="15"/>
      <c r="EJ170" s="15"/>
      <c r="EK170" s="15"/>
      <c r="EL170" s="15"/>
      <c r="EM170" s="15"/>
      <c r="EN170" s="15"/>
      <c r="EO170" s="15"/>
      <c r="EP170" s="15"/>
      <c r="EQ170" s="15"/>
      <c r="ER170" s="15"/>
      <c r="ES170" s="15"/>
      <c r="ET170" s="15"/>
      <c r="EU170" s="15"/>
      <c r="EV170" s="15"/>
      <c r="EW170" s="15"/>
      <c r="EX170" s="15"/>
      <c r="EY170" s="15"/>
      <c r="EZ170" s="15"/>
      <c r="FA170" s="15"/>
      <c r="FB170" s="15"/>
      <c r="FC170" s="15"/>
      <c r="FD170" s="15"/>
      <c r="FE170" s="15"/>
      <c r="FF170" s="15"/>
      <c r="FG170" s="15"/>
      <c r="FH170" s="15"/>
      <c r="FI170" s="15"/>
      <c r="FJ170" s="15"/>
      <c r="FK170" s="15"/>
      <c r="FL170" s="15"/>
      <c r="FM170" s="15"/>
      <c r="FN170" s="15"/>
      <c r="FO170" s="15"/>
      <c r="FP170" s="15"/>
      <c r="FQ170" s="15"/>
      <c r="FR170" s="15"/>
      <c r="FS170" s="15"/>
      <c r="FT170" s="15"/>
      <c r="FU170" s="15"/>
      <c r="FV170" s="15"/>
      <c r="FW170" s="15"/>
      <c r="FX170" s="15"/>
      <c r="FY170" s="15"/>
      <c r="FZ170" s="15"/>
      <c r="GA170" s="15"/>
      <c r="GB170" s="15"/>
      <c r="GC170" s="15"/>
      <c r="GD170" s="15"/>
      <c r="GE170" s="15"/>
      <c r="GF170" s="15"/>
      <c r="GG170" s="15"/>
      <c r="GH170" s="15"/>
      <c r="GI170" s="15"/>
      <c r="GJ170" s="15"/>
      <c r="GK170" s="15"/>
      <c r="GL170" s="15"/>
      <c r="GM170" s="15"/>
      <c r="GN170" s="15"/>
      <c r="GO170" s="15"/>
      <c r="GP170" s="15"/>
      <c r="GQ170" s="15"/>
      <c r="GR170" s="15"/>
      <c r="GS170" s="15"/>
      <c r="GT170" s="15"/>
      <c r="GU170" s="15"/>
      <c r="GV170" s="15"/>
      <c r="GW170" s="15"/>
      <c r="GX170" s="15"/>
      <c r="GY170" s="15"/>
      <c r="GZ170" s="15"/>
      <c r="HA170" s="15"/>
      <c r="HB170" s="15"/>
      <c r="HC170" s="15"/>
      <c r="HD170" s="15"/>
      <c r="HE170" s="15"/>
      <c r="HF170" s="15"/>
      <c r="HG170" s="15"/>
      <c r="HH170" s="15"/>
      <c r="HI170" s="15"/>
      <c r="HJ170" s="15"/>
      <c r="HK170" s="15"/>
      <c r="HL170" s="15"/>
      <c r="HM170" s="15"/>
      <c r="HN170" s="15"/>
      <c r="HO170" s="15"/>
      <c r="HP170" s="15"/>
      <c r="HQ170" s="15"/>
      <c r="HR170" s="15"/>
      <c r="HS170" s="15"/>
      <c r="HT170" s="15"/>
      <c r="HU170" s="15"/>
      <c r="HV170" s="15"/>
      <c r="HW170" s="15"/>
      <c r="HX170" s="15"/>
      <c r="HY170" s="15"/>
      <c r="HZ170" s="15"/>
      <c r="IA170" s="15"/>
      <c r="IB170" s="15"/>
      <c r="IC170" s="15"/>
      <c r="ID170" s="15"/>
      <c r="IE170" s="15"/>
      <c r="IF170" s="15"/>
      <c r="IG170" s="15"/>
      <c r="IH170" s="15"/>
      <c r="II170" s="15"/>
      <c r="IJ170" s="15"/>
      <c r="IK170" s="15"/>
      <c r="IL170" s="15"/>
      <c r="IM170" s="15"/>
      <c r="IN170" s="15"/>
      <c r="IO170" s="15"/>
      <c r="IP170" s="15"/>
      <c r="IQ170" s="15"/>
      <c r="IR170" s="15"/>
      <c r="IS170" s="15"/>
      <c r="IT170" s="15"/>
      <c r="IU170" s="15"/>
      <c r="IV170" s="15"/>
      <c r="IW170" s="15"/>
      <c r="IX170" s="15"/>
      <c r="IY170" s="15"/>
      <c r="IZ170" s="15"/>
      <c r="JA170" s="15"/>
      <c r="JB170" s="15"/>
      <c r="JC170" s="15"/>
      <c r="JD170" s="15"/>
      <c r="JE170" s="15"/>
      <c r="JF170" s="15"/>
      <c r="JG170" s="15"/>
      <c r="JH170" s="15"/>
      <c r="JI170" s="15"/>
      <c r="JJ170" s="15"/>
      <c r="JK170" s="15"/>
      <c r="JL170" s="15"/>
      <c r="JM170" s="15"/>
      <c r="JN170" s="15"/>
      <c r="JO170" s="15"/>
      <c r="JP170" s="15"/>
      <c r="JQ170" s="15"/>
      <c r="JR170" s="15"/>
      <c r="JS170" s="15"/>
      <c r="JT170" s="15"/>
      <c r="JU170" s="15"/>
      <c r="JV170" s="15"/>
      <c r="JW170" s="15"/>
      <c r="JX170" s="15"/>
      <c r="JY170" s="15"/>
      <c r="JZ170" s="15"/>
      <c r="KA170" s="15"/>
      <c r="KB170" s="15"/>
      <c r="KC170" s="15"/>
      <c r="KD170" s="15"/>
      <c r="KE170" s="15"/>
      <c r="KF170" s="15"/>
      <c r="KG170" s="15"/>
      <c r="KH170" s="15"/>
      <c r="KI170" s="15"/>
      <c r="KJ170" s="15"/>
      <c r="KK170" s="15"/>
      <c r="KL170" s="15"/>
      <c r="KM170" s="15"/>
      <c r="KN170" s="15"/>
      <c r="KO170" s="15"/>
      <c r="KP170" s="15"/>
      <c r="KQ170" s="15"/>
      <c r="KR170" s="15"/>
      <c r="KS170" s="15"/>
      <c r="KT170" s="15"/>
      <c r="KU170" s="15"/>
      <c r="KV170" s="15"/>
      <c r="KW170" s="15"/>
      <c r="KX170" s="15"/>
      <c r="KY170" s="15"/>
      <c r="KZ170" s="15"/>
      <c r="LA170" s="15"/>
      <c r="LB170" s="15"/>
      <c r="LC170" s="15"/>
      <c r="LD170" s="15"/>
      <c r="LE170" s="15"/>
      <c r="LF170" s="15"/>
      <c r="LG170" s="15"/>
      <c r="LH170" s="15"/>
      <c r="LI170" s="15"/>
      <c r="LJ170" s="15"/>
      <c r="LK170" s="15"/>
      <c r="LL170" s="15"/>
      <c r="LM170" s="15"/>
      <c r="LN170" s="15"/>
      <c r="LO170" s="15"/>
      <c r="LP170" s="15"/>
      <c r="LQ170" s="15"/>
      <c r="LR170" s="15"/>
      <c r="LS170" s="15"/>
      <c r="LT170" s="15"/>
      <c r="LU170" s="15"/>
      <c r="LV170" s="15"/>
      <c r="LW170" s="15"/>
      <c r="LX170" s="15"/>
      <c r="LY170" s="15"/>
      <c r="LZ170" s="15"/>
      <c r="MA170" s="15"/>
      <c r="MB170" s="15"/>
      <c r="MC170" s="15"/>
      <c r="MD170" s="15"/>
      <c r="ME170" s="15"/>
      <c r="MF170" s="15"/>
      <c r="MG170" s="15"/>
      <c r="MH170" s="15"/>
      <c r="MI170" s="15"/>
      <c r="MJ170" s="15"/>
      <c r="MK170" s="15"/>
      <c r="ML170" s="15"/>
      <c r="MM170" s="15"/>
      <c r="MN170" s="15"/>
      <c r="MO170" s="15"/>
      <c r="MP170" s="15"/>
      <c r="MQ170" s="15"/>
      <c r="MR170" s="15"/>
      <c r="MS170" s="15"/>
      <c r="MT170" s="15"/>
      <c r="MU170" s="15"/>
      <c r="MV170" s="15"/>
      <c r="MW170" s="15"/>
    </row>
    <row r="171" ht="119.25" customHeight="1">
      <c r="A171" s="13" t="s">
        <v>170</v>
      </c>
      <c r="B171" s="14" t="s">
        <v>10186</v>
      </c>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c r="DF171" s="15"/>
      <c r="DG171" s="15"/>
      <c r="DH171" s="15"/>
      <c r="DI171" s="15"/>
      <c r="DJ171" s="15"/>
      <c r="DK171" s="15"/>
      <c r="DL171" s="15"/>
      <c r="DM171" s="15"/>
      <c r="DN171" s="15"/>
      <c r="DO171" s="15"/>
      <c r="DP171" s="15"/>
      <c r="DQ171" s="15"/>
      <c r="DR171" s="15"/>
      <c r="DS171" s="15"/>
      <c r="DT171" s="15"/>
      <c r="DU171" s="15"/>
      <c r="DV171" s="15"/>
      <c r="DW171" s="15"/>
      <c r="DX171" s="15"/>
      <c r="DY171" s="15"/>
      <c r="DZ171" s="15"/>
      <c r="EA171" s="15"/>
      <c r="EB171" s="15"/>
      <c r="EC171" s="15"/>
      <c r="ED171" s="15"/>
      <c r="EE171" s="15"/>
      <c r="EF171" s="15"/>
      <c r="EG171" s="15"/>
      <c r="EH171" s="15"/>
      <c r="EI171" s="15"/>
      <c r="EJ171" s="15"/>
      <c r="EK171" s="15"/>
      <c r="EL171" s="15"/>
      <c r="EM171" s="15"/>
      <c r="EN171" s="15"/>
      <c r="EO171" s="15"/>
      <c r="EP171" s="15"/>
      <c r="EQ171" s="15"/>
      <c r="ER171" s="15"/>
      <c r="ES171" s="15"/>
      <c r="ET171" s="15"/>
      <c r="EU171" s="15"/>
      <c r="EV171" s="15"/>
      <c r="EW171" s="15"/>
      <c r="EX171" s="15"/>
      <c r="EY171" s="15"/>
      <c r="EZ171" s="15"/>
      <c r="FA171" s="15"/>
      <c r="FB171" s="15"/>
      <c r="FC171" s="15"/>
      <c r="FD171" s="15"/>
      <c r="FE171" s="15"/>
      <c r="FF171" s="15"/>
      <c r="FG171" s="15"/>
      <c r="FH171" s="15"/>
      <c r="FI171" s="15"/>
      <c r="FJ171" s="15"/>
      <c r="FK171" s="15"/>
      <c r="FL171" s="15"/>
      <c r="FM171" s="15"/>
      <c r="FN171" s="15"/>
      <c r="FO171" s="15"/>
      <c r="FP171" s="15"/>
      <c r="FQ171" s="15"/>
      <c r="FR171" s="15"/>
      <c r="FS171" s="15"/>
      <c r="FT171" s="15"/>
      <c r="FU171" s="15"/>
      <c r="FV171" s="15"/>
      <c r="FW171" s="15"/>
      <c r="FX171" s="15"/>
      <c r="FY171" s="15"/>
      <c r="FZ171" s="15"/>
      <c r="GA171" s="15"/>
      <c r="GB171" s="15"/>
      <c r="GC171" s="15"/>
      <c r="GD171" s="15"/>
      <c r="GE171" s="15"/>
      <c r="GF171" s="15"/>
      <c r="GG171" s="15"/>
      <c r="GH171" s="15"/>
      <c r="GI171" s="15"/>
      <c r="GJ171" s="15"/>
      <c r="GK171" s="15"/>
      <c r="GL171" s="15"/>
      <c r="GM171" s="15"/>
      <c r="GN171" s="15"/>
      <c r="GO171" s="15"/>
      <c r="GP171" s="15"/>
      <c r="GQ171" s="15"/>
      <c r="GR171" s="15"/>
      <c r="GS171" s="15"/>
      <c r="GT171" s="15"/>
      <c r="GU171" s="15"/>
      <c r="GV171" s="15"/>
      <c r="GW171" s="15"/>
      <c r="GX171" s="15"/>
      <c r="GY171" s="15"/>
      <c r="GZ171" s="15"/>
      <c r="HA171" s="15"/>
      <c r="HB171" s="15"/>
      <c r="HC171" s="15"/>
      <c r="HD171" s="15"/>
      <c r="HE171" s="15"/>
      <c r="HF171" s="15"/>
      <c r="HG171" s="15"/>
      <c r="HH171" s="15"/>
      <c r="HI171" s="15"/>
      <c r="HJ171" s="15"/>
      <c r="HK171" s="15"/>
      <c r="HL171" s="15"/>
      <c r="HM171" s="15"/>
      <c r="HN171" s="15"/>
      <c r="HO171" s="15"/>
      <c r="HP171" s="15"/>
      <c r="HQ171" s="15"/>
      <c r="HR171" s="15"/>
      <c r="HS171" s="15"/>
      <c r="HT171" s="15"/>
      <c r="HU171" s="15"/>
      <c r="HV171" s="15"/>
      <c r="HW171" s="15"/>
      <c r="HX171" s="15"/>
      <c r="HY171" s="15"/>
      <c r="HZ171" s="15"/>
      <c r="IA171" s="15"/>
      <c r="IB171" s="15"/>
      <c r="IC171" s="15"/>
      <c r="ID171" s="15"/>
      <c r="IE171" s="15"/>
      <c r="IF171" s="15"/>
      <c r="IG171" s="15"/>
      <c r="IH171" s="15"/>
      <c r="II171" s="15"/>
      <c r="IJ171" s="15"/>
      <c r="IK171" s="15"/>
      <c r="IL171" s="15"/>
      <c r="IM171" s="15"/>
      <c r="IN171" s="15"/>
      <c r="IO171" s="15"/>
      <c r="IP171" s="15"/>
      <c r="IQ171" s="15"/>
      <c r="IR171" s="15"/>
      <c r="IS171" s="15"/>
      <c r="IT171" s="15"/>
      <c r="IU171" s="15"/>
      <c r="IV171" s="15"/>
      <c r="IW171" s="15"/>
      <c r="IX171" s="15"/>
      <c r="IY171" s="15"/>
      <c r="IZ171" s="15"/>
      <c r="JA171" s="15"/>
      <c r="JB171" s="15"/>
      <c r="JC171" s="15"/>
      <c r="JD171" s="15"/>
      <c r="JE171" s="15"/>
      <c r="JF171" s="15"/>
      <c r="JG171" s="15"/>
      <c r="JH171" s="15"/>
      <c r="JI171" s="15"/>
      <c r="JJ171" s="15"/>
      <c r="JK171" s="15"/>
      <c r="JL171" s="15"/>
      <c r="JM171" s="15"/>
      <c r="JN171" s="15"/>
      <c r="JO171" s="15"/>
      <c r="JP171" s="15"/>
      <c r="JQ171" s="15"/>
      <c r="JR171" s="15"/>
      <c r="JS171" s="15"/>
      <c r="JT171" s="15"/>
      <c r="JU171" s="15"/>
      <c r="JV171" s="15"/>
      <c r="JW171" s="15"/>
      <c r="JX171" s="15"/>
      <c r="JY171" s="15"/>
      <c r="JZ171" s="15"/>
      <c r="KA171" s="15"/>
      <c r="KB171" s="15"/>
      <c r="KC171" s="15"/>
      <c r="KD171" s="15"/>
      <c r="KE171" s="15"/>
      <c r="KF171" s="15"/>
      <c r="KG171" s="15"/>
      <c r="KH171" s="15"/>
      <c r="KI171" s="15"/>
      <c r="KJ171" s="15"/>
      <c r="KK171" s="15"/>
      <c r="KL171" s="15"/>
      <c r="KM171" s="15"/>
      <c r="KN171" s="15"/>
      <c r="KO171" s="15"/>
      <c r="KP171" s="15"/>
      <c r="KQ171" s="15"/>
      <c r="KR171" s="15"/>
      <c r="KS171" s="15"/>
      <c r="KT171" s="15"/>
      <c r="KU171" s="15"/>
      <c r="KV171" s="15"/>
      <c r="KW171" s="15"/>
      <c r="KX171" s="15"/>
      <c r="KY171" s="15"/>
      <c r="KZ171" s="15"/>
      <c r="LA171" s="15"/>
      <c r="LB171" s="15"/>
      <c r="LC171" s="15"/>
      <c r="LD171" s="15"/>
      <c r="LE171" s="15"/>
      <c r="LF171" s="15"/>
      <c r="LG171" s="15"/>
      <c r="LH171" s="15"/>
      <c r="LI171" s="15"/>
      <c r="LJ171" s="15"/>
      <c r="LK171" s="15"/>
      <c r="LL171" s="15"/>
      <c r="LM171" s="15"/>
      <c r="LN171" s="15"/>
      <c r="LO171" s="15"/>
      <c r="LP171" s="15"/>
      <c r="LQ171" s="15"/>
      <c r="LR171" s="15"/>
      <c r="LS171" s="15"/>
      <c r="LT171" s="15"/>
      <c r="LU171" s="15"/>
      <c r="LV171" s="15"/>
      <c r="LW171" s="15"/>
      <c r="LX171" s="15"/>
      <c r="LY171" s="15"/>
      <c r="LZ171" s="15"/>
      <c r="MA171" s="15"/>
      <c r="MB171" s="15"/>
      <c r="MC171" s="15"/>
      <c r="MD171" s="15"/>
      <c r="ME171" s="15"/>
      <c r="MF171" s="15"/>
      <c r="MG171" s="15"/>
      <c r="MH171" s="15"/>
      <c r="MI171" s="15"/>
      <c r="MJ171" s="15"/>
      <c r="MK171" s="15"/>
      <c r="ML171" s="15"/>
      <c r="MM171" s="15"/>
      <c r="MN171" s="15"/>
      <c r="MO171" s="15"/>
      <c r="MP171" s="15"/>
      <c r="MQ171" s="15"/>
      <c r="MR171" s="15"/>
      <c r="MS171" s="15"/>
      <c r="MT171" s="15"/>
      <c r="MU171" s="15"/>
      <c r="MV171" s="15"/>
      <c r="MW171" s="15"/>
    </row>
    <row r="172" ht="41.25" customHeight="1">
      <c r="A172" s="13" t="s">
        <v>171</v>
      </c>
      <c r="B172" s="14" t="s">
        <v>10187</v>
      </c>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c r="DF172" s="15"/>
      <c r="DG172" s="15"/>
      <c r="DH172" s="15"/>
      <c r="DI172" s="15"/>
      <c r="DJ172" s="15"/>
      <c r="DK172" s="15"/>
      <c r="DL172" s="15"/>
      <c r="DM172" s="15"/>
      <c r="DN172" s="15"/>
      <c r="DO172" s="15"/>
      <c r="DP172" s="15"/>
      <c r="DQ172" s="15"/>
      <c r="DR172" s="15"/>
      <c r="DS172" s="15"/>
      <c r="DT172" s="15"/>
      <c r="DU172" s="15"/>
      <c r="DV172" s="15"/>
      <c r="DW172" s="15"/>
      <c r="DX172" s="15"/>
      <c r="DY172" s="15"/>
      <c r="DZ172" s="15"/>
      <c r="EA172" s="15"/>
      <c r="EB172" s="15"/>
      <c r="EC172" s="15"/>
      <c r="ED172" s="15"/>
      <c r="EE172" s="15"/>
      <c r="EF172" s="15"/>
      <c r="EG172" s="15"/>
      <c r="EH172" s="15"/>
      <c r="EI172" s="15"/>
      <c r="EJ172" s="15"/>
      <c r="EK172" s="15"/>
      <c r="EL172" s="15"/>
      <c r="EM172" s="15"/>
      <c r="EN172" s="15"/>
      <c r="EO172" s="15"/>
      <c r="EP172" s="15"/>
      <c r="EQ172" s="15"/>
      <c r="ER172" s="15"/>
      <c r="ES172" s="15"/>
      <c r="ET172" s="15"/>
      <c r="EU172" s="15"/>
      <c r="EV172" s="15"/>
      <c r="EW172" s="15"/>
      <c r="EX172" s="15"/>
      <c r="EY172" s="15"/>
      <c r="EZ172" s="15"/>
      <c r="FA172" s="15"/>
      <c r="FB172" s="15"/>
      <c r="FC172" s="15"/>
      <c r="FD172" s="15"/>
      <c r="FE172" s="15"/>
      <c r="FF172" s="15"/>
      <c r="FG172" s="15"/>
      <c r="FH172" s="15"/>
      <c r="FI172" s="15"/>
      <c r="FJ172" s="15"/>
      <c r="FK172" s="15"/>
      <c r="FL172" s="15"/>
      <c r="FM172" s="15"/>
      <c r="FN172" s="15"/>
      <c r="FO172" s="15"/>
      <c r="FP172" s="15"/>
      <c r="FQ172" s="15"/>
      <c r="FR172" s="15"/>
      <c r="FS172" s="15"/>
      <c r="FT172" s="15"/>
      <c r="FU172" s="15"/>
      <c r="FV172" s="15"/>
      <c r="FW172" s="15"/>
      <c r="FX172" s="15"/>
      <c r="FY172" s="15"/>
      <c r="FZ172" s="15"/>
      <c r="GA172" s="15"/>
      <c r="GB172" s="15"/>
      <c r="GC172" s="15"/>
      <c r="GD172" s="15"/>
      <c r="GE172" s="15"/>
      <c r="GF172" s="15"/>
      <c r="GG172" s="15"/>
      <c r="GH172" s="15"/>
      <c r="GI172" s="15"/>
      <c r="GJ172" s="15"/>
      <c r="GK172" s="15"/>
      <c r="GL172" s="15"/>
      <c r="GM172" s="15"/>
      <c r="GN172" s="15"/>
      <c r="GO172" s="15"/>
      <c r="GP172" s="15"/>
      <c r="GQ172" s="15"/>
      <c r="GR172" s="15"/>
      <c r="GS172" s="15"/>
      <c r="GT172" s="15"/>
      <c r="GU172" s="15"/>
      <c r="GV172" s="15"/>
      <c r="GW172" s="15"/>
      <c r="GX172" s="15"/>
      <c r="GY172" s="15"/>
      <c r="GZ172" s="15"/>
      <c r="HA172" s="15"/>
      <c r="HB172" s="15"/>
      <c r="HC172" s="15"/>
      <c r="HD172" s="15"/>
      <c r="HE172" s="15"/>
      <c r="HF172" s="15"/>
      <c r="HG172" s="15"/>
      <c r="HH172" s="15"/>
      <c r="HI172" s="15"/>
      <c r="HJ172" s="15"/>
      <c r="HK172" s="15"/>
      <c r="HL172" s="15"/>
      <c r="HM172" s="15"/>
      <c r="HN172" s="15"/>
      <c r="HO172" s="15"/>
      <c r="HP172" s="15"/>
      <c r="HQ172" s="15"/>
      <c r="HR172" s="15"/>
      <c r="HS172" s="15"/>
      <c r="HT172" s="15"/>
      <c r="HU172" s="15"/>
      <c r="HV172" s="15"/>
      <c r="HW172" s="15"/>
      <c r="HX172" s="15"/>
      <c r="HY172" s="15"/>
      <c r="HZ172" s="15"/>
      <c r="IA172" s="15"/>
      <c r="IB172" s="15"/>
      <c r="IC172" s="15"/>
      <c r="ID172" s="15"/>
      <c r="IE172" s="15"/>
      <c r="IF172" s="15"/>
      <c r="IG172" s="15"/>
      <c r="IH172" s="15"/>
      <c r="II172" s="15"/>
      <c r="IJ172" s="15"/>
      <c r="IK172" s="15"/>
      <c r="IL172" s="15"/>
      <c r="IM172" s="15"/>
      <c r="IN172" s="15"/>
      <c r="IO172" s="15"/>
      <c r="IP172" s="15"/>
      <c r="IQ172" s="15"/>
      <c r="IR172" s="15"/>
      <c r="IS172" s="15"/>
      <c r="IT172" s="15"/>
      <c r="IU172" s="15"/>
      <c r="IV172" s="15"/>
      <c r="IW172" s="15"/>
      <c r="IX172" s="15"/>
      <c r="IY172" s="15"/>
      <c r="IZ172" s="15"/>
      <c r="JA172" s="15"/>
      <c r="JB172" s="15"/>
      <c r="JC172" s="15"/>
      <c r="JD172" s="15"/>
      <c r="JE172" s="15"/>
      <c r="JF172" s="15"/>
      <c r="JG172" s="15"/>
      <c r="JH172" s="15"/>
      <c r="JI172" s="15"/>
      <c r="JJ172" s="15"/>
      <c r="JK172" s="15"/>
      <c r="JL172" s="15"/>
      <c r="JM172" s="15"/>
      <c r="JN172" s="15"/>
      <c r="JO172" s="15"/>
      <c r="JP172" s="15"/>
      <c r="JQ172" s="15"/>
      <c r="JR172" s="15"/>
      <c r="JS172" s="15"/>
      <c r="JT172" s="15"/>
      <c r="JU172" s="15"/>
      <c r="JV172" s="15"/>
      <c r="JW172" s="15"/>
      <c r="JX172" s="15"/>
      <c r="JY172" s="15"/>
      <c r="JZ172" s="15"/>
      <c r="KA172" s="15"/>
      <c r="KB172" s="15"/>
      <c r="KC172" s="15"/>
      <c r="KD172" s="15"/>
      <c r="KE172" s="15"/>
      <c r="KF172" s="15"/>
      <c r="KG172" s="15"/>
      <c r="KH172" s="15"/>
      <c r="KI172" s="15"/>
      <c r="KJ172" s="15"/>
      <c r="KK172" s="15"/>
      <c r="KL172" s="15"/>
      <c r="KM172" s="15"/>
      <c r="KN172" s="15"/>
      <c r="KO172" s="15"/>
      <c r="KP172" s="15"/>
      <c r="KQ172" s="15"/>
      <c r="KR172" s="15"/>
      <c r="KS172" s="15"/>
      <c r="KT172" s="15"/>
      <c r="KU172" s="15"/>
      <c r="KV172" s="15"/>
      <c r="KW172" s="15"/>
      <c r="KX172" s="15"/>
      <c r="KY172" s="15"/>
      <c r="KZ172" s="15"/>
      <c r="LA172" s="15"/>
      <c r="LB172" s="15"/>
      <c r="LC172" s="15"/>
      <c r="LD172" s="15"/>
      <c r="LE172" s="15"/>
      <c r="LF172" s="15"/>
      <c r="LG172" s="15"/>
      <c r="LH172" s="15"/>
      <c r="LI172" s="15"/>
      <c r="LJ172" s="15"/>
      <c r="LK172" s="15"/>
      <c r="LL172" s="15"/>
      <c r="LM172" s="15"/>
      <c r="LN172" s="15"/>
      <c r="LO172" s="15"/>
      <c r="LP172" s="15"/>
      <c r="LQ172" s="15"/>
      <c r="LR172" s="15"/>
      <c r="LS172" s="15"/>
      <c r="LT172" s="15"/>
      <c r="LU172" s="15"/>
      <c r="LV172" s="15"/>
      <c r="LW172" s="15"/>
      <c r="LX172" s="15"/>
      <c r="LY172" s="15"/>
      <c r="LZ172" s="15"/>
      <c r="MA172" s="15"/>
      <c r="MB172" s="15"/>
      <c r="MC172" s="15"/>
      <c r="MD172" s="15"/>
      <c r="ME172" s="15"/>
      <c r="MF172" s="15"/>
      <c r="MG172" s="15"/>
      <c r="MH172" s="15"/>
      <c r="MI172" s="15"/>
      <c r="MJ172" s="15"/>
      <c r="MK172" s="15"/>
      <c r="ML172" s="15"/>
      <c r="MM172" s="15"/>
      <c r="MN172" s="15"/>
      <c r="MO172" s="15"/>
      <c r="MP172" s="15"/>
      <c r="MQ172" s="15"/>
      <c r="MR172" s="15"/>
      <c r="MS172" s="15"/>
      <c r="MT172" s="15"/>
      <c r="MU172" s="15"/>
      <c r="MV172" s="15"/>
      <c r="MW172" s="15"/>
    </row>
    <row r="173" ht="119.25" customHeight="1">
      <c r="A173" s="13" t="s">
        <v>10188</v>
      </c>
      <c r="B173" s="14" t="s">
        <v>10189</v>
      </c>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c r="DF173" s="15"/>
      <c r="DG173" s="15"/>
      <c r="DH173" s="15"/>
      <c r="DI173" s="15"/>
      <c r="DJ173" s="15"/>
      <c r="DK173" s="15"/>
      <c r="DL173" s="15"/>
      <c r="DM173" s="15"/>
      <c r="DN173" s="15"/>
      <c r="DO173" s="15"/>
      <c r="DP173" s="15"/>
      <c r="DQ173" s="15"/>
      <c r="DR173" s="15"/>
      <c r="DS173" s="15"/>
      <c r="DT173" s="15"/>
      <c r="DU173" s="15"/>
      <c r="DV173" s="15"/>
      <c r="DW173" s="15"/>
      <c r="DX173" s="15"/>
      <c r="DY173" s="15"/>
      <c r="DZ173" s="15"/>
      <c r="EA173" s="15"/>
      <c r="EB173" s="15"/>
      <c r="EC173" s="15"/>
      <c r="ED173" s="15"/>
      <c r="EE173" s="15"/>
      <c r="EF173" s="15"/>
      <c r="EG173" s="15"/>
      <c r="EH173" s="15"/>
      <c r="EI173" s="15"/>
      <c r="EJ173" s="15"/>
      <c r="EK173" s="15"/>
      <c r="EL173" s="15"/>
      <c r="EM173" s="15"/>
      <c r="EN173" s="15"/>
      <c r="EO173" s="15"/>
      <c r="EP173" s="15"/>
      <c r="EQ173" s="15"/>
      <c r="ER173" s="15"/>
      <c r="ES173" s="15"/>
      <c r="ET173" s="15"/>
      <c r="EU173" s="15"/>
      <c r="EV173" s="15"/>
      <c r="EW173" s="15"/>
      <c r="EX173" s="15"/>
      <c r="EY173" s="15"/>
      <c r="EZ173" s="15"/>
      <c r="FA173" s="15"/>
      <c r="FB173" s="15"/>
      <c r="FC173" s="15"/>
      <c r="FD173" s="15"/>
      <c r="FE173" s="15"/>
      <c r="FF173" s="15"/>
      <c r="FG173" s="15"/>
      <c r="FH173" s="15"/>
      <c r="FI173" s="15"/>
      <c r="FJ173" s="15"/>
      <c r="FK173" s="15"/>
      <c r="FL173" s="15"/>
      <c r="FM173" s="15"/>
      <c r="FN173" s="15"/>
      <c r="FO173" s="15"/>
      <c r="FP173" s="15"/>
      <c r="FQ173" s="15"/>
      <c r="FR173" s="15"/>
      <c r="FS173" s="15"/>
      <c r="FT173" s="15"/>
      <c r="FU173" s="15"/>
      <c r="FV173" s="15"/>
      <c r="FW173" s="15"/>
      <c r="FX173" s="15"/>
      <c r="FY173" s="15"/>
      <c r="FZ173" s="15"/>
      <c r="GA173" s="15"/>
      <c r="GB173" s="15"/>
      <c r="GC173" s="15"/>
      <c r="GD173" s="15"/>
      <c r="GE173" s="15"/>
      <c r="GF173" s="15"/>
      <c r="GG173" s="15"/>
      <c r="GH173" s="15"/>
      <c r="GI173" s="15"/>
      <c r="GJ173" s="15"/>
      <c r="GK173" s="15"/>
      <c r="GL173" s="15"/>
      <c r="GM173" s="15"/>
      <c r="GN173" s="15"/>
      <c r="GO173" s="15"/>
      <c r="GP173" s="15"/>
      <c r="GQ173" s="15"/>
      <c r="GR173" s="15"/>
      <c r="GS173" s="15"/>
      <c r="GT173" s="15"/>
      <c r="GU173" s="15"/>
      <c r="GV173" s="15"/>
      <c r="GW173" s="15"/>
      <c r="GX173" s="15"/>
      <c r="GY173" s="15"/>
      <c r="GZ173" s="15"/>
      <c r="HA173" s="15"/>
      <c r="HB173" s="15"/>
      <c r="HC173" s="15"/>
      <c r="HD173" s="15"/>
      <c r="HE173" s="15"/>
      <c r="HF173" s="15"/>
      <c r="HG173" s="15"/>
      <c r="HH173" s="15"/>
      <c r="HI173" s="15"/>
      <c r="HJ173" s="15"/>
      <c r="HK173" s="15"/>
      <c r="HL173" s="15"/>
      <c r="HM173" s="15"/>
      <c r="HN173" s="15"/>
      <c r="HO173" s="15"/>
      <c r="HP173" s="15"/>
      <c r="HQ173" s="15"/>
      <c r="HR173" s="15"/>
      <c r="HS173" s="15"/>
      <c r="HT173" s="15"/>
      <c r="HU173" s="15"/>
      <c r="HV173" s="15"/>
      <c r="HW173" s="15"/>
      <c r="HX173" s="15"/>
      <c r="HY173" s="15"/>
      <c r="HZ173" s="15"/>
      <c r="IA173" s="15"/>
      <c r="IB173" s="15"/>
      <c r="IC173" s="15"/>
      <c r="ID173" s="15"/>
      <c r="IE173" s="15"/>
      <c r="IF173" s="15"/>
      <c r="IG173" s="15"/>
      <c r="IH173" s="15"/>
      <c r="II173" s="15"/>
      <c r="IJ173" s="15"/>
      <c r="IK173" s="15"/>
      <c r="IL173" s="15"/>
      <c r="IM173" s="15"/>
      <c r="IN173" s="15"/>
      <c r="IO173" s="15"/>
      <c r="IP173" s="15"/>
      <c r="IQ173" s="15"/>
      <c r="IR173" s="15"/>
      <c r="IS173" s="15"/>
      <c r="IT173" s="15"/>
      <c r="IU173" s="15"/>
      <c r="IV173" s="15"/>
      <c r="IW173" s="15"/>
      <c r="IX173" s="15"/>
      <c r="IY173" s="15"/>
      <c r="IZ173" s="15"/>
      <c r="JA173" s="15"/>
      <c r="JB173" s="15"/>
      <c r="JC173" s="15"/>
      <c r="JD173" s="15"/>
      <c r="JE173" s="15"/>
      <c r="JF173" s="15"/>
      <c r="JG173" s="15"/>
      <c r="JH173" s="15"/>
      <c r="JI173" s="15"/>
      <c r="JJ173" s="15"/>
      <c r="JK173" s="15"/>
      <c r="JL173" s="15"/>
      <c r="JM173" s="15"/>
      <c r="JN173" s="15"/>
      <c r="JO173" s="15"/>
      <c r="JP173" s="15"/>
      <c r="JQ173" s="15"/>
      <c r="JR173" s="15"/>
      <c r="JS173" s="15"/>
      <c r="JT173" s="15"/>
      <c r="JU173" s="15"/>
      <c r="JV173" s="15"/>
      <c r="JW173" s="15"/>
      <c r="JX173" s="15"/>
      <c r="JY173" s="15"/>
      <c r="JZ173" s="15"/>
      <c r="KA173" s="15"/>
      <c r="KB173" s="15"/>
      <c r="KC173" s="15"/>
      <c r="KD173" s="15"/>
      <c r="KE173" s="15"/>
      <c r="KF173" s="15"/>
      <c r="KG173" s="15"/>
      <c r="KH173" s="15"/>
      <c r="KI173" s="15"/>
      <c r="KJ173" s="15"/>
      <c r="KK173" s="15"/>
      <c r="KL173" s="15"/>
      <c r="KM173" s="15"/>
      <c r="KN173" s="15"/>
      <c r="KO173" s="15"/>
      <c r="KP173" s="15"/>
      <c r="KQ173" s="15"/>
      <c r="KR173" s="15"/>
      <c r="KS173" s="15"/>
      <c r="KT173" s="15"/>
      <c r="KU173" s="15"/>
      <c r="KV173" s="15"/>
      <c r="KW173" s="15"/>
      <c r="KX173" s="15"/>
      <c r="KY173" s="15"/>
      <c r="KZ173" s="15"/>
      <c r="LA173" s="15"/>
      <c r="LB173" s="15"/>
      <c r="LC173" s="15"/>
      <c r="LD173" s="15"/>
      <c r="LE173" s="15"/>
      <c r="LF173" s="15"/>
      <c r="LG173" s="15"/>
      <c r="LH173" s="15"/>
      <c r="LI173" s="15"/>
      <c r="LJ173" s="15"/>
      <c r="LK173" s="15"/>
      <c r="LL173" s="15"/>
      <c r="LM173" s="15"/>
      <c r="LN173" s="15"/>
      <c r="LO173" s="15"/>
      <c r="LP173" s="15"/>
      <c r="LQ173" s="15"/>
      <c r="LR173" s="15"/>
      <c r="LS173" s="15"/>
      <c r="LT173" s="15"/>
      <c r="LU173" s="15"/>
      <c r="LV173" s="15"/>
      <c r="LW173" s="15"/>
      <c r="LX173" s="15"/>
      <c r="LY173" s="15"/>
      <c r="LZ173" s="15"/>
      <c r="MA173" s="15"/>
      <c r="MB173" s="15"/>
      <c r="MC173" s="15"/>
      <c r="MD173" s="15"/>
      <c r="ME173" s="15"/>
      <c r="MF173" s="15"/>
      <c r="MG173" s="15"/>
      <c r="MH173" s="15"/>
      <c r="MI173" s="15"/>
      <c r="MJ173" s="15"/>
      <c r="MK173" s="15"/>
      <c r="ML173" s="15"/>
      <c r="MM173" s="15"/>
      <c r="MN173" s="15"/>
      <c r="MO173" s="15"/>
      <c r="MP173" s="15"/>
      <c r="MQ173" s="15"/>
      <c r="MR173" s="15"/>
      <c r="MS173" s="15"/>
      <c r="MT173" s="15"/>
      <c r="MU173" s="15"/>
      <c r="MV173" s="15"/>
      <c r="MW173" s="15"/>
    </row>
    <row r="174" ht="41.25" customHeight="1">
      <c r="A174" s="13" t="s">
        <v>173</v>
      </c>
      <c r="B174" s="14" t="s">
        <v>10190</v>
      </c>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c r="DF174" s="15"/>
      <c r="DG174" s="15"/>
      <c r="DH174" s="15"/>
      <c r="DI174" s="15"/>
      <c r="DJ174" s="15"/>
      <c r="DK174" s="15"/>
      <c r="DL174" s="15"/>
      <c r="DM174" s="15"/>
      <c r="DN174" s="15"/>
      <c r="DO174" s="15"/>
      <c r="DP174" s="15"/>
      <c r="DQ174" s="15"/>
      <c r="DR174" s="15"/>
      <c r="DS174" s="15"/>
      <c r="DT174" s="15"/>
      <c r="DU174" s="15"/>
      <c r="DV174" s="15"/>
      <c r="DW174" s="15"/>
      <c r="DX174" s="15"/>
      <c r="DY174" s="15"/>
      <c r="DZ174" s="15"/>
      <c r="EA174" s="15"/>
      <c r="EB174" s="15"/>
      <c r="EC174" s="15"/>
      <c r="ED174" s="15"/>
      <c r="EE174" s="15"/>
      <c r="EF174" s="15"/>
      <c r="EG174" s="15"/>
      <c r="EH174" s="15"/>
      <c r="EI174" s="15"/>
      <c r="EJ174" s="15"/>
      <c r="EK174" s="15"/>
      <c r="EL174" s="15"/>
      <c r="EM174" s="15"/>
      <c r="EN174" s="15"/>
      <c r="EO174" s="15"/>
      <c r="EP174" s="15"/>
      <c r="EQ174" s="15"/>
      <c r="ER174" s="15"/>
      <c r="ES174" s="15"/>
      <c r="ET174" s="15"/>
      <c r="EU174" s="15"/>
      <c r="EV174" s="15"/>
      <c r="EW174" s="15"/>
      <c r="EX174" s="15"/>
      <c r="EY174" s="15"/>
      <c r="EZ174" s="15"/>
      <c r="FA174" s="15"/>
      <c r="FB174" s="15"/>
      <c r="FC174" s="15"/>
      <c r="FD174" s="15"/>
      <c r="FE174" s="15"/>
      <c r="FF174" s="15"/>
      <c r="FG174" s="15"/>
      <c r="FH174" s="15"/>
      <c r="FI174" s="15"/>
      <c r="FJ174" s="15"/>
      <c r="FK174" s="15"/>
      <c r="FL174" s="15"/>
      <c r="FM174" s="15"/>
      <c r="FN174" s="15"/>
      <c r="FO174" s="15"/>
      <c r="FP174" s="15"/>
      <c r="FQ174" s="15"/>
      <c r="FR174" s="15"/>
      <c r="FS174" s="15"/>
      <c r="FT174" s="15"/>
      <c r="FU174" s="15"/>
      <c r="FV174" s="15"/>
      <c r="FW174" s="15"/>
      <c r="FX174" s="15"/>
      <c r="FY174" s="15"/>
      <c r="FZ174" s="15"/>
      <c r="GA174" s="15"/>
      <c r="GB174" s="15"/>
      <c r="GC174" s="15"/>
      <c r="GD174" s="15"/>
      <c r="GE174" s="15"/>
      <c r="GF174" s="15"/>
      <c r="GG174" s="15"/>
      <c r="GH174" s="15"/>
      <c r="GI174" s="15"/>
      <c r="GJ174" s="15"/>
      <c r="GK174" s="15"/>
      <c r="GL174" s="15"/>
      <c r="GM174" s="15"/>
      <c r="GN174" s="15"/>
      <c r="GO174" s="15"/>
      <c r="GP174" s="15"/>
      <c r="GQ174" s="15"/>
      <c r="GR174" s="15"/>
      <c r="GS174" s="15"/>
      <c r="GT174" s="15"/>
      <c r="GU174" s="15"/>
      <c r="GV174" s="15"/>
      <c r="GW174" s="15"/>
      <c r="GX174" s="15"/>
      <c r="GY174" s="15"/>
      <c r="GZ174" s="15"/>
      <c r="HA174" s="15"/>
      <c r="HB174" s="15"/>
      <c r="HC174" s="15"/>
      <c r="HD174" s="15"/>
      <c r="HE174" s="15"/>
      <c r="HF174" s="15"/>
      <c r="HG174" s="15"/>
      <c r="HH174" s="15"/>
      <c r="HI174" s="15"/>
      <c r="HJ174" s="15"/>
      <c r="HK174" s="15"/>
      <c r="HL174" s="15"/>
      <c r="HM174" s="15"/>
      <c r="HN174" s="15"/>
      <c r="HO174" s="15"/>
      <c r="HP174" s="15"/>
      <c r="HQ174" s="15"/>
      <c r="HR174" s="15"/>
      <c r="HS174" s="15"/>
      <c r="HT174" s="15"/>
      <c r="HU174" s="15"/>
      <c r="HV174" s="15"/>
      <c r="HW174" s="15"/>
      <c r="HX174" s="15"/>
      <c r="HY174" s="15"/>
      <c r="HZ174" s="15"/>
      <c r="IA174" s="15"/>
      <c r="IB174" s="15"/>
      <c r="IC174" s="15"/>
      <c r="ID174" s="15"/>
      <c r="IE174" s="15"/>
      <c r="IF174" s="15"/>
      <c r="IG174" s="15"/>
      <c r="IH174" s="15"/>
      <c r="II174" s="15"/>
      <c r="IJ174" s="15"/>
      <c r="IK174" s="15"/>
      <c r="IL174" s="15"/>
      <c r="IM174" s="15"/>
      <c r="IN174" s="15"/>
      <c r="IO174" s="15"/>
      <c r="IP174" s="15"/>
      <c r="IQ174" s="15"/>
      <c r="IR174" s="15"/>
      <c r="IS174" s="15"/>
      <c r="IT174" s="15"/>
      <c r="IU174" s="15"/>
      <c r="IV174" s="15"/>
      <c r="IW174" s="15"/>
      <c r="IX174" s="15"/>
      <c r="IY174" s="15"/>
      <c r="IZ174" s="15"/>
      <c r="JA174" s="15"/>
      <c r="JB174" s="15"/>
      <c r="JC174" s="15"/>
      <c r="JD174" s="15"/>
      <c r="JE174" s="15"/>
      <c r="JF174" s="15"/>
      <c r="JG174" s="15"/>
      <c r="JH174" s="15"/>
      <c r="JI174" s="15"/>
      <c r="JJ174" s="15"/>
      <c r="JK174" s="15"/>
      <c r="JL174" s="15"/>
      <c r="JM174" s="15"/>
      <c r="JN174" s="15"/>
      <c r="JO174" s="15"/>
      <c r="JP174" s="15"/>
      <c r="JQ174" s="15"/>
      <c r="JR174" s="15"/>
      <c r="JS174" s="15"/>
      <c r="JT174" s="15"/>
      <c r="JU174" s="15"/>
      <c r="JV174" s="15"/>
      <c r="JW174" s="15"/>
      <c r="JX174" s="15"/>
      <c r="JY174" s="15"/>
      <c r="JZ174" s="15"/>
      <c r="KA174" s="15"/>
      <c r="KB174" s="15"/>
      <c r="KC174" s="15"/>
      <c r="KD174" s="15"/>
      <c r="KE174" s="15"/>
      <c r="KF174" s="15"/>
      <c r="KG174" s="15"/>
      <c r="KH174" s="15"/>
      <c r="KI174" s="15"/>
      <c r="KJ174" s="15"/>
      <c r="KK174" s="15"/>
      <c r="KL174" s="15"/>
      <c r="KM174" s="15"/>
      <c r="KN174" s="15"/>
      <c r="KO174" s="15"/>
      <c r="KP174" s="15"/>
      <c r="KQ174" s="15"/>
      <c r="KR174" s="15"/>
      <c r="KS174" s="15"/>
      <c r="KT174" s="15"/>
      <c r="KU174" s="15"/>
      <c r="KV174" s="15"/>
      <c r="KW174" s="15"/>
      <c r="KX174" s="15"/>
      <c r="KY174" s="15"/>
      <c r="KZ174" s="15"/>
      <c r="LA174" s="15"/>
      <c r="LB174" s="15"/>
      <c r="LC174" s="15"/>
      <c r="LD174" s="15"/>
      <c r="LE174" s="15"/>
      <c r="LF174" s="15"/>
      <c r="LG174" s="15"/>
      <c r="LH174" s="15"/>
      <c r="LI174" s="15"/>
      <c r="LJ174" s="15"/>
      <c r="LK174" s="15"/>
      <c r="LL174" s="15"/>
      <c r="LM174" s="15"/>
      <c r="LN174" s="15"/>
      <c r="LO174" s="15"/>
      <c r="LP174" s="15"/>
      <c r="LQ174" s="15"/>
      <c r="LR174" s="15"/>
      <c r="LS174" s="15"/>
      <c r="LT174" s="15"/>
      <c r="LU174" s="15"/>
      <c r="LV174" s="15"/>
      <c r="LW174" s="15"/>
      <c r="LX174" s="15"/>
      <c r="LY174" s="15"/>
      <c r="LZ174" s="15"/>
      <c r="MA174" s="15"/>
      <c r="MB174" s="15"/>
      <c r="MC174" s="15"/>
      <c r="MD174" s="15"/>
      <c r="ME174" s="15"/>
      <c r="MF174" s="15"/>
      <c r="MG174" s="15"/>
      <c r="MH174" s="15"/>
      <c r="MI174" s="15"/>
      <c r="MJ174" s="15"/>
      <c r="MK174" s="15"/>
      <c r="ML174" s="15"/>
      <c r="MM174" s="15"/>
      <c r="MN174" s="15"/>
      <c r="MO174" s="15"/>
      <c r="MP174" s="15"/>
      <c r="MQ174" s="15"/>
      <c r="MR174" s="15"/>
      <c r="MS174" s="15"/>
      <c r="MT174" s="15"/>
      <c r="MU174" s="15"/>
      <c r="MV174" s="15"/>
      <c r="MW174" s="15"/>
    </row>
    <row r="175" ht="119.25" customHeight="1">
      <c r="A175" s="13" t="s">
        <v>174</v>
      </c>
      <c r="B175" s="14" t="s">
        <v>10191</v>
      </c>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c r="DF175" s="15"/>
      <c r="DG175" s="15"/>
      <c r="DH175" s="15"/>
      <c r="DI175" s="15"/>
      <c r="DJ175" s="15"/>
      <c r="DK175" s="15"/>
      <c r="DL175" s="15"/>
      <c r="DM175" s="15"/>
      <c r="DN175" s="15"/>
      <c r="DO175" s="15"/>
      <c r="DP175" s="15"/>
      <c r="DQ175" s="15"/>
      <c r="DR175" s="15"/>
      <c r="DS175" s="15"/>
      <c r="DT175" s="15"/>
      <c r="DU175" s="15"/>
      <c r="DV175" s="15"/>
      <c r="DW175" s="15"/>
      <c r="DX175" s="15"/>
      <c r="DY175" s="15"/>
      <c r="DZ175" s="15"/>
      <c r="EA175" s="15"/>
      <c r="EB175" s="15"/>
      <c r="EC175" s="15"/>
      <c r="ED175" s="15"/>
      <c r="EE175" s="15"/>
      <c r="EF175" s="15"/>
      <c r="EG175" s="15"/>
      <c r="EH175" s="15"/>
      <c r="EI175" s="15"/>
      <c r="EJ175" s="15"/>
      <c r="EK175" s="15"/>
      <c r="EL175" s="15"/>
      <c r="EM175" s="15"/>
      <c r="EN175" s="15"/>
      <c r="EO175" s="15"/>
      <c r="EP175" s="15"/>
      <c r="EQ175" s="15"/>
      <c r="ER175" s="15"/>
      <c r="ES175" s="15"/>
      <c r="ET175" s="15"/>
      <c r="EU175" s="15"/>
      <c r="EV175" s="15"/>
      <c r="EW175" s="15"/>
      <c r="EX175" s="15"/>
      <c r="EY175" s="15"/>
      <c r="EZ175" s="15"/>
      <c r="FA175" s="15"/>
      <c r="FB175" s="15"/>
      <c r="FC175" s="15"/>
      <c r="FD175" s="15"/>
      <c r="FE175" s="15"/>
      <c r="FF175" s="15"/>
      <c r="FG175" s="15"/>
      <c r="FH175" s="15"/>
      <c r="FI175" s="15"/>
      <c r="FJ175" s="15"/>
      <c r="FK175" s="15"/>
      <c r="FL175" s="15"/>
      <c r="FM175" s="15"/>
      <c r="FN175" s="15"/>
      <c r="FO175" s="15"/>
      <c r="FP175" s="15"/>
      <c r="FQ175" s="15"/>
      <c r="FR175" s="15"/>
      <c r="FS175" s="15"/>
      <c r="FT175" s="15"/>
      <c r="FU175" s="15"/>
      <c r="FV175" s="15"/>
      <c r="FW175" s="15"/>
      <c r="FX175" s="15"/>
      <c r="FY175" s="15"/>
      <c r="FZ175" s="15"/>
      <c r="GA175" s="15"/>
      <c r="GB175" s="15"/>
      <c r="GC175" s="15"/>
      <c r="GD175" s="15"/>
      <c r="GE175" s="15"/>
      <c r="GF175" s="15"/>
      <c r="GG175" s="15"/>
      <c r="GH175" s="15"/>
      <c r="GI175" s="15"/>
      <c r="GJ175" s="15"/>
      <c r="GK175" s="15"/>
      <c r="GL175" s="15"/>
      <c r="GM175" s="15"/>
      <c r="GN175" s="15"/>
      <c r="GO175" s="15"/>
      <c r="GP175" s="15"/>
      <c r="GQ175" s="15"/>
      <c r="GR175" s="15"/>
      <c r="GS175" s="15"/>
      <c r="GT175" s="15"/>
      <c r="GU175" s="15"/>
      <c r="GV175" s="15"/>
      <c r="GW175" s="15"/>
      <c r="GX175" s="15"/>
      <c r="GY175" s="15"/>
      <c r="GZ175" s="15"/>
      <c r="HA175" s="15"/>
      <c r="HB175" s="15"/>
      <c r="HC175" s="15"/>
      <c r="HD175" s="15"/>
      <c r="HE175" s="15"/>
      <c r="HF175" s="15"/>
      <c r="HG175" s="15"/>
      <c r="HH175" s="15"/>
      <c r="HI175" s="15"/>
      <c r="HJ175" s="15"/>
      <c r="HK175" s="15"/>
      <c r="HL175" s="15"/>
      <c r="HM175" s="15"/>
      <c r="HN175" s="15"/>
      <c r="HO175" s="15"/>
      <c r="HP175" s="15"/>
      <c r="HQ175" s="15"/>
      <c r="HR175" s="15"/>
      <c r="HS175" s="15"/>
      <c r="HT175" s="15"/>
      <c r="HU175" s="15"/>
      <c r="HV175" s="15"/>
      <c r="HW175" s="15"/>
      <c r="HX175" s="15"/>
      <c r="HY175" s="15"/>
      <c r="HZ175" s="15"/>
      <c r="IA175" s="15"/>
      <c r="IB175" s="15"/>
      <c r="IC175" s="15"/>
      <c r="ID175" s="15"/>
      <c r="IE175" s="15"/>
      <c r="IF175" s="15"/>
      <c r="IG175" s="15"/>
      <c r="IH175" s="15"/>
      <c r="II175" s="15"/>
      <c r="IJ175" s="15"/>
      <c r="IK175" s="15"/>
      <c r="IL175" s="15"/>
      <c r="IM175" s="15"/>
      <c r="IN175" s="15"/>
      <c r="IO175" s="15"/>
      <c r="IP175" s="15"/>
      <c r="IQ175" s="15"/>
      <c r="IR175" s="15"/>
      <c r="IS175" s="15"/>
      <c r="IT175" s="15"/>
      <c r="IU175" s="15"/>
      <c r="IV175" s="15"/>
      <c r="IW175" s="15"/>
      <c r="IX175" s="15"/>
      <c r="IY175" s="15"/>
      <c r="IZ175" s="15"/>
      <c r="JA175" s="15"/>
      <c r="JB175" s="15"/>
      <c r="JC175" s="15"/>
      <c r="JD175" s="15"/>
      <c r="JE175" s="15"/>
      <c r="JF175" s="15"/>
      <c r="JG175" s="15"/>
      <c r="JH175" s="15"/>
      <c r="JI175" s="15"/>
      <c r="JJ175" s="15"/>
      <c r="JK175" s="15"/>
      <c r="JL175" s="15"/>
      <c r="JM175" s="15"/>
      <c r="JN175" s="15"/>
      <c r="JO175" s="15"/>
      <c r="JP175" s="15"/>
      <c r="JQ175" s="15"/>
      <c r="JR175" s="15"/>
      <c r="JS175" s="15"/>
      <c r="JT175" s="15"/>
      <c r="JU175" s="15"/>
      <c r="JV175" s="15"/>
      <c r="JW175" s="15"/>
      <c r="JX175" s="15"/>
      <c r="JY175" s="15"/>
      <c r="JZ175" s="15"/>
      <c r="KA175" s="15"/>
      <c r="KB175" s="15"/>
      <c r="KC175" s="15"/>
      <c r="KD175" s="15"/>
      <c r="KE175" s="15"/>
      <c r="KF175" s="15"/>
      <c r="KG175" s="15"/>
      <c r="KH175" s="15"/>
      <c r="KI175" s="15"/>
      <c r="KJ175" s="15"/>
      <c r="KK175" s="15"/>
      <c r="KL175" s="15"/>
      <c r="KM175" s="15"/>
      <c r="KN175" s="15"/>
      <c r="KO175" s="15"/>
      <c r="KP175" s="15"/>
      <c r="KQ175" s="15"/>
      <c r="KR175" s="15"/>
      <c r="KS175" s="15"/>
      <c r="KT175" s="15"/>
      <c r="KU175" s="15"/>
      <c r="KV175" s="15"/>
      <c r="KW175" s="15"/>
      <c r="KX175" s="15"/>
      <c r="KY175" s="15"/>
      <c r="KZ175" s="15"/>
      <c r="LA175" s="15"/>
      <c r="LB175" s="15"/>
      <c r="LC175" s="15"/>
      <c r="LD175" s="15"/>
      <c r="LE175" s="15"/>
      <c r="LF175" s="15"/>
      <c r="LG175" s="15"/>
      <c r="LH175" s="15"/>
      <c r="LI175" s="15"/>
      <c r="LJ175" s="15"/>
      <c r="LK175" s="15"/>
      <c r="LL175" s="15"/>
      <c r="LM175" s="15"/>
      <c r="LN175" s="15"/>
      <c r="LO175" s="15"/>
      <c r="LP175" s="15"/>
      <c r="LQ175" s="15"/>
      <c r="LR175" s="15"/>
      <c r="LS175" s="15"/>
      <c r="LT175" s="15"/>
      <c r="LU175" s="15"/>
      <c r="LV175" s="15"/>
      <c r="LW175" s="15"/>
      <c r="LX175" s="15"/>
      <c r="LY175" s="15"/>
      <c r="LZ175" s="15"/>
      <c r="MA175" s="15"/>
      <c r="MB175" s="15"/>
      <c r="MC175" s="15"/>
      <c r="MD175" s="15"/>
      <c r="ME175" s="15"/>
      <c r="MF175" s="15"/>
      <c r="MG175" s="15"/>
      <c r="MH175" s="15"/>
      <c r="MI175" s="15"/>
      <c r="MJ175" s="15"/>
      <c r="MK175" s="15"/>
      <c r="ML175" s="15"/>
      <c r="MM175" s="15"/>
      <c r="MN175" s="15"/>
      <c r="MO175" s="15"/>
      <c r="MP175" s="15"/>
      <c r="MQ175" s="15"/>
      <c r="MR175" s="15"/>
      <c r="MS175" s="15"/>
      <c r="MT175" s="15"/>
      <c r="MU175" s="15"/>
      <c r="MV175" s="15"/>
      <c r="MW175" s="15"/>
    </row>
    <row r="176" ht="41.25" customHeight="1">
      <c r="A176" s="13" t="s">
        <v>175</v>
      </c>
      <c r="B176" s="14" t="s">
        <v>10192</v>
      </c>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c r="DF176" s="15"/>
      <c r="DG176" s="15"/>
      <c r="DH176" s="15"/>
      <c r="DI176" s="15"/>
      <c r="DJ176" s="15"/>
      <c r="DK176" s="15"/>
      <c r="DL176" s="15"/>
      <c r="DM176" s="15"/>
      <c r="DN176" s="15"/>
      <c r="DO176" s="15"/>
      <c r="DP176" s="15"/>
      <c r="DQ176" s="15"/>
      <c r="DR176" s="15"/>
      <c r="DS176" s="15"/>
      <c r="DT176" s="15"/>
      <c r="DU176" s="15"/>
      <c r="DV176" s="15"/>
      <c r="DW176" s="15"/>
      <c r="DX176" s="15"/>
      <c r="DY176" s="15"/>
      <c r="DZ176" s="15"/>
      <c r="EA176" s="15"/>
      <c r="EB176" s="15"/>
      <c r="EC176" s="15"/>
      <c r="ED176" s="15"/>
      <c r="EE176" s="15"/>
      <c r="EF176" s="15"/>
      <c r="EG176" s="15"/>
      <c r="EH176" s="15"/>
      <c r="EI176" s="15"/>
      <c r="EJ176" s="15"/>
      <c r="EK176" s="15"/>
      <c r="EL176" s="15"/>
      <c r="EM176" s="15"/>
      <c r="EN176" s="15"/>
      <c r="EO176" s="15"/>
      <c r="EP176" s="15"/>
      <c r="EQ176" s="15"/>
      <c r="ER176" s="15"/>
      <c r="ES176" s="15"/>
      <c r="ET176" s="15"/>
      <c r="EU176" s="15"/>
      <c r="EV176" s="15"/>
      <c r="EW176" s="15"/>
      <c r="EX176" s="15"/>
      <c r="EY176" s="15"/>
      <c r="EZ176" s="15"/>
      <c r="FA176" s="15"/>
      <c r="FB176" s="15"/>
      <c r="FC176" s="15"/>
      <c r="FD176" s="15"/>
      <c r="FE176" s="15"/>
      <c r="FF176" s="15"/>
      <c r="FG176" s="15"/>
      <c r="FH176" s="15"/>
      <c r="FI176" s="15"/>
      <c r="FJ176" s="15"/>
      <c r="FK176" s="15"/>
      <c r="FL176" s="15"/>
      <c r="FM176" s="15"/>
      <c r="FN176" s="15"/>
      <c r="FO176" s="15"/>
      <c r="FP176" s="15"/>
      <c r="FQ176" s="15"/>
      <c r="FR176" s="15"/>
      <c r="FS176" s="15"/>
      <c r="FT176" s="15"/>
      <c r="FU176" s="15"/>
      <c r="FV176" s="15"/>
      <c r="FW176" s="15"/>
      <c r="FX176" s="15"/>
      <c r="FY176" s="15"/>
      <c r="FZ176" s="15"/>
      <c r="GA176" s="15"/>
      <c r="GB176" s="15"/>
      <c r="GC176" s="15"/>
      <c r="GD176" s="15"/>
      <c r="GE176" s="15"/>
      <c r="GF176" s="15"/>
      <c r="GG176" s="15"/>
      <c r="GH176" s="15"/>
      <c r="GI176" s="15"/>
      <c r="GJ176" s="15"/>
      <c r="GK176" s="15"/>
      <c r="GL176" s="15"/>
      <c r="GM176" s="15"/>
      <c r="GN176" s="15"/>
      <c r="GO176" s="15"/>
      <c r="GP176" s="15"/>
      <c r="GQ176" s="15"/>
      <c r="GR176" s="15"/>
      <c r="GS176" s="15"/>
      <c r="GT176" s="15"/>
      <c r="GU176" s="15"/>
      <c r="GV176" s="15"/>
      <c r="GW176" s="15"/>
      <c r="GX176" s="15"/>
      <c r="GY176" s="15"/>
      <c r="GZ176" s="15"/>
      <c r="HA176" s="15"/>
      <c r="HB176" s="15"/>
      <c r="HC176" s="15"/>
      <c r="HD176" s="15"/>
      <c r="HE176" s="15"/>
      <c r="HF176" s="15"/>
      <c r="HG176" s="15"/>
      <c r="HH176" s="15"/>
      <c r="HI176" s="15"/>
      <c r="HJ176" s="15"/>
      <c r="HK176" s="15"/>
      <c r="HL176" s="15"/>
      <c r="HM176" s="15"/>
      <c r="HN176" s="15"/>
      <c r="HO176" s="15"/>
      <c r="HP176" s="15"/>
      <c r="HQ176" s="15"/>
      <c r="HR176" s="15"/>
      <c r="HS176" s="15"/>
      <c r="HT176" s="15"/>
      <c r="HU176" s="15"/>
      <c r="HV176" s="15"/>
      <c r="HW176" s="15"/>
      <c r="HX176" s="15"/>
      <c r="HY176" s="15"/>
      <c r="HZ176" s="15"/>
      <c r="IA176" s="15"/>
      <c r="IB176" s="15"/>
      <c r="IC176" s="15"/>
      <c r="ID176" s="15"/>
      <c r="IE176" s="15"/>
      <c r="IF176" s="15"/>
      <c r="IG176" s="15"/>
      <c r="IH176" s="15"/>
      <c r="II176" s="15"/>
      <c r="IJ176" s="15"/>
      <c r="IK176" s="15"/>
      <c r="IL176" s="15"/>
      <c r="IM176" s="15"/>
      <c r="IN176" s="15"/>
      <c r="IO176" s="15"/>
      <c r="IP176" s="15"/>
      <c r="IQ176" s="15"/>
      <c r="IR176" s="15"/>
      <c r="IS176" s="15"/>
      <c r="IT176" s="15"/>
      <c r="IU176" s="15"/>
      <c r="IV176" s="15"/>
      <c r="IW176" s="15"/>
      <c r="IX176" s="15"/>
      <c r="IY176" s="15"/>
      <c r="IZ176" s="15"/>
      <c r="JA176" s="15"/>
      <c r="JB176" s="15"/>
      <c r="JC176" s="15"/>
      <c r="JD176" s="15"/>
      <c r="JE176" s="15"/>
      <c r="JF176" s="15"/>
      <c r="JG176" s="15"/>
      <c r="JH176" s="15"/>
      <c r="JI176" s="15"/>
      <c r="JJ176" s="15"/>
      <c r="JK176" s="15"/>
      <c r="JL176" s="15"/>
      <c r="JM176" s="15"/>
      <c r="JN176" s="15"/>
      <c r="JO176" s="15"/>
      <c r="JP176" s="15"/>
      <c r="JQ176" s="15"/>
      <c r="JR176" s="15"/>
      <c r="JS176" s="15"/>
      <c r="JT176" s="15"/>
      <c r="JU176" s="15"/>
      <c r="JV176" s="15"/>
      <c r="JW176" s="15"/>
      <c r="JX176" s="15"/>
      <c r="JY176" s="15"/>
      <c r="JZ176" s="15"/>
      <c r="KA176" s="15"/>
      <c r="KB176" s="15"/>
      <c r="KC176" s="15"/>
      <c r="KD176" s="15"/>
      <c r="KE176" s="15"/>
      <c r="KF176" s="15"/>
      <c r="KG176" s="15"/>
      <c r="KH176" s="15"/>
      <c r="KI176" s="15"/>
      <c r="KJ176" s="15"/>
      <c r="KK176" s="15"/>
      <c r="KL176" s="15"/>
      <c r="KM176" s="15"/>
      <c r="KN176" s="15"/>
      <c r="KO176" s="15"/>
      <c r="KP176" s="15"/>
      <c r="KQ176" s="15"/>
      <c r="KR176" s="15"/>
      <c r="KS176" s="15"/>
      <c r="KT176" s="15"/>
      <c r="KU176" s="15"/>
      <c r="KV176" s="15"/>
      <c r="KW176" s="15"/>
      <c r="KX176" s="15"/>
      <c r="KY176" s="15"/>
      <c r="KZ176" s="15"/>
      <c r="LA176" s="15"/>
      <c r="LB176" s="15"/>
      <c r="LC176" s="15"/>
      <c r="LD176" s="15"/>
      <c r="LE176" s="15"/>
      <c r="LF176" s="15"/>
      <c r="LG176" s="15"/>
      <c r="LH176" s="15"/>
      <c r="LI176" s="15"/>
      <c r="LJ176" s="15"/>
      <c r="LK176" s="15"/>
      <c r="LL176" s="15"/>
      <c r="LM176" s="15"/>
      <c r="LN176" s="15"/>
      <c r="LO176" s="15"/>
      <c r="LP176" s="15"/>
      <c r="LQ176" s="15"/>
      <c r="LR176" s="15"/>
      <c r="LS176" s="15"/>
      <c r="LT176" s="15"/>
      <c r="LU176" s="15"/>
      <c r="LV176" s="15"/>
      <c r="LW176" s="15"/>
      <c r="LX176" s="15"/>
      <c r="LY176" s="15"/>
      <c r="LZ176" s="15"/>
      <c r="MA176" s="15"/>
      <c r="MB176" s="15"/>
      <c r="MC176" s="15"/>
      <c r="MD176" s="15"/>
      <c r="ME176" s="15"/>
      <c r="MF176" s="15"/>
      <c r="MG176" s="15"/>
      <c r="MH176" s="15"/>
      <c r="MI176" s="15"/>
      <c r="MJ176" s="15"/>
      <c r="MK176" s="15"/>
      <c r="ML176" s="15"/>
      <c r="MM176" s="15"/>
      <c r="MN176" s="15"/>
      <c r="MO176" s="15"/>
      <c r="MP176" s="15"/>
      <c r="MQ176" s="15"/>
      <c r="MR176" s="15"/>
      <c r="MS176" s="15"/>
      <c r="MT176" s="15"/>
      <c r="MU176" s="15"/>
      <c r="MV176" s="15"/>
      <c r="MW176" s="15"/>
    </row>
    <row r="177" ht="119.25" customHeight="1">
      <c r="A177" s="13" t="s">
        <v>176</v>
      </c>
      <c r="B177" s="14" t="s">
        <v>10193</v>
      </c>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c r="DF177" s="15"/>
      <c r="DG177" s="15"/>
      <c r="DH177" s="15"/>
      <c r="DI177" s="15"/>
      <c r="DJ177" s="15"/>
      <c r="DK177" s="15"/>
      <c r="DL177" s="15"/>
      <c r="DM177" s="15"/>
      <c r="DN177" s="15"/>
      <c r="DO177" s="15"/>
      <c r="DP177" s="15"/>
      <c r="DQ177" s="15"/>
      <c r="DR177" s="15"/>
      <c r="DS177" s="15"/>
      <c r="DT177" s="15"/>
      <c r="DU177" s="15"/>
      <c r="DV177" s="15"/>
      <c r="DW177" s="15"/>
      <c r="DX177" s="15"/>
      <c r="DY177" s="15"/>
      <c r="DZ177" s="15"/>
      <c r="EA177" s="15"/>
      <c r="EB177" s="15"/>
      <c r="EC177" s="15"/>
      <c r="ED177" s="15"/>
      <c r="EE177" s="15"/>
      <c r="EF177" s="15"/>
      <c r="EG177" s="15"/>
      <c r="EH177" s="15"/>
      <c r="EI177" s="15"/>
      <c r="EJ177" s="15"/>
      <c r="EK177" s="15"/>
      <c r="EL177" s="15"/>
      <c r="EM177" s="15"/>
      <c r="EN177" s="15"/>
      <c r="EO177" s="15"/>
      <c r="EP177" s="15"/>
      <c r="EQ177" s="15"/>
      <c r="ER177" s="15"/>
      <c r="ES177" s="15"/>
      <c r="ET177" s="15"/>
      <c r="EU177" s="15"/>
      <c r="EV177" s="15"/>
      <c r="EW177" s="15"/>
      <c r="EX177" s="15"/>
      <c r="EY177" s="15"/>
      <c r="EZ177" s="15"/>
      <c r="FA177" s="15"/>
      <c r="FB177" s="15"/>
      <c r="FC177" s="15"/>
      <c r="FD177" s="15"/>
      <c r="FE177" s="15"/>
      <c r="FF177" s="15"/>
      <c r="FG177" s="15"/>
      <c r="FH177" s="15"/>
      <c r="FI177" s="15"/>
      <c r="FJ177" s="15"/>
      <c r="FK177" s="15"/>
      <c r="FL177" s="15"/>
      <c r="FM177" s="15"/>
      <c r="FN177" s="15"/>
      <c r="FO177" s="15"/>
      <c r="FP177" s="15"/>
      <c r="FQ177" s="15"/>
      <c r="FR177" s="15"/>
      <c r="FS177" s="15"/>
      <c r="FT177" s="15"/>
      <c r="FU177" s="15"/>
      <c r="FV177" s="15"/>
      <c r="FW177" s="15"/>
      <c r="FX177" s="15"/>
      <c r="FY177" s="15"/>
      <c r="FZ177" s="15"/>
      <c r="GA177" s="15"/>
      <c r="GB177" s="15"/>
      <c r="GC177" s="15"/>
      <c r="GD177" s="15"/>
      <c r="GE177" s="15"/>
      <c r="GF177" s="15"/>
      <c r="GG177" s="15"/>
      <c r="GH177" s="15"/>
      <c r="GI177" s="15"/>
      <c r="GJ177" s="15"/>
      <c r="GK177" s="15"/>
      <c r="GL177" s="15"/>
      <c r="GM177" s="15"/>
      <c r="GN177" s="15"/>
      <c r="GO177" s="15"/>
      <c r="GP177" s="15"/>
      <c r="GQ177" s="15"/>
      <c r="GR177" s="15"/>
      <c r="GS177" s="15"/>
      <c r="GT177" s="15"/>
      <c r="GU177" s="15"/>
      <c r="GV177" s="15"/>
      <c r="GW177" s="15"/>
      <c r="GX177" s="15"/>
      <c r="GY177" s="15"/>
      <c r="GZ177" s="15"/>
      <c r="HA177" s="15"/>
      <c r="HB177" s="15"/>
      <c r="HC177" s="15"/>
      <c r="HD177" s="15"/>
      <c r="HE177" s="15"/>
      <c r="HF177" s="15"/>
      <c r="HG177" s="15"/>
      <c r="HH177" s="15"/>
      <c r="HI177" s="15"/>
      <c r="HJ177" s="15"/>
      <c r="HK177" s="15"/>
      <c r="HL177" s="15"/>
      <c r="HM177" s="15"/>
      <c r="HN177" s="15"/>
      <c r="HO177" s="15"/>
      <c r="HP177" s="15"/>
      <c r="HQ177" s="15"/>
      <c r="HR177" s="15"/>
      <c r="HS177" s="15"/>
      <c r="HT177" s="15"/>
      <c r="HU177" s="15"/>
      <c r="HV177" s="15"/>
      <c r="HW177" s="15"/>
      <c r="HX177" s="15"/>
      <c r="HY177" s="15"/>
      <c r="HZ177" s="15"/>
      <c r="IA177" s="15"/>
      <c r="IB177" s="15"/>
      <c r="IC177" s="15"/>
      <c r="ID177" s="15"/>
      <c r="IE177" s="15"/>
      <c r="IF177" s="15"/>
      <c r="IG177" s="15"/>
      <c r="IH177" s="15"/>
      <c r="II177" s="15"/>
      <c r="IJ177" s="15"/>
      <c r="IK177" s="15"/>
      <c r="IL177" s="15"/>
      <c r="IM177" s="15"/>
      <c r="IN177" s="15"/>
      <c r="IO177" s="15"/>
      <c r="IP177" s="15"/>
      <c r="IQ177" s="15"/>
      <c r="IR177" s="15"/>
      <c r="IS177" s="15"/>
      <c r="IT177" s="15"/>
      <c r="IU177" s="15"/>
      <c r="IV177" s="15"/>
      <c r="IW177" s="15"/>
      <c r="IX177" s="15"/>
      <c r="IY177" s="15"/>
      <c r="IZ177" s="15"/>
      <c r="JA177" s="15"/>
      <c r="JB177" s="15"/>
      <c r="JC177" s="15"/>
      <c r="JD177" s="15"/>
      <c r="JE177" s="15"/>
      <c r="JF177" s="15"/>
      <c r="JG177" s="15"/>
      <c r="JH177" s="15"/>
      <c r="JI177" s="15"/>
      <c r="JJ177" s="15"/>
      <c r="JK177" s="15"/>
      <c r="JL177" s="15"/>
      <c r="JM177" s="15"/>
      <c r="JN177" s="15"/>
      <c r="JO177" s="15"/>
      <c r="JP177" s="15"/>
      <c r="JQ177" s="15"/>
      <c r="JR177" s="15"/>
      <c r="JS177" s="15"/>
      <c r="JT177" s="15"/>
      <c r="JU177" s="15"/>
      <c r="JV177" s="15"/>
      <c r="JW177" s="15"/>
      <c r="JX177" s="15"/>
      <c r="JY177" s="15"/>
      <c r="JZ177" s="15"/>
      <c r="KA177" s="15"/>
      <c r="KB177" s="15"/>
      <c r="KC177" s="15"/>
      <c r="KD177" s="15"/>
      <c r="KE177" s="15"/>
      <c r="KF177" s="15"/>
      <c r="KG177" s="15"/>
      <c r="KH177" s="15"/>
      <c r="KI177" s="15"/>
      <c r="KJ177" s="15"/>
      <c r="KK177" s="15"/>
      <c r="KL177" s="15"/>
      <c r="KM177" s="15"/>
      <c r="KN177" s="15"/>
      <c r="KO177" s="15"/>
      <c r="KP177" s="15"/>
      <c r="KQ177" s="15"/>
      <c r="KR177" s="15"/>
      <c r="KS177" s="15"/>
      <c r="KT177" s="15"/>
      <c r="KU177" s="15"/>
      <c r="KV177" s="15"/>
      <c r="KW177" s="15"/>
      <c r="KX177" s="15"/>
      <c r="KY177" s="15"/>
      <c r="KZ177" s="15"/>
      <c r="LA177" s="15"/>
      <c r="LB177" s="15"/>
      <c r="LC177" s="15"/>
      <c r="LD177" s="15"/>
      <c r="LE177" s="15"/>
      <c r="LF177" s="15"/>
      <c r="LG177" s="15"/>
      <c r="LH177" s="15"/>
      <c r="LI177" s="15"/>
      <c r="LJ177" s="15"/>
      <c r="LK177" s="15"/>
      <c r="LL177" s="15"/>
      <c r="LM177" s="15"/>
      <c r="LN177" s="15"/>
      <c r="LO177" s="15"/>
      <c r="LP177" s="15"/>
      <c r="LQ177" s="15"/>
      <c r="LR177" s="15"/>
      <c r="LS177" s="15"/>
      <c r="LT177" s="15"/>
      <c r="LU177" s="15"/>
      <c r="LV177" s="15"/>
      <c r="LW177" s="15"/>
      <c r="LX177" s="15"/>
      <c r="LY177" s="15"/>
      <c r="LZ177" s="15"/>
      <c r="MA177" s="15"/>
      <c r="MB177" s="15"/>
      <c r="MC177" s="15"/>
      <c r="MD177" s="15"/>
      <c r="ME177" s="15"/>
      <c r="MF177" s="15"/>
      <c r="MG177" s="15"/>
      <c r="MH177" s="15"/>
      <c r="MI177" s="15"/>
      <c r="MJ177" s="15"/>
      <c r="MK177" s="15"/>
      <c r="ML177" s="15"/>
      <c r="MM177" s="15"/>
      <c r="MN177" s="15"/>
      <c r="MO177" s="15"/>
      <c r="MP177" s="15"/>
      <c r="MQ177" s="15"/>
      <c r="MR177" s="15"/>
      <c r="MS177" s="15"/>
      <c r="MT177" s="15"/>
      <c r="MU177" s="15"/>
      <c r="MV177" s="15"/>
      <c r="MW177" s="15"/>
    </row>
    <row r="178" ht="41.25" customHeight="1">
      <c r="A178" s="13" t="s">
        <v>177</v>
      </c>
      <c r="B178" s="14" t="s">
        <v>10194</v>
      </c>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c r="DF178" s="15"/>
      <c r="DG178" s="15"/>
      <c r="DH178" s="15"/>
      <c r="DI178" s="15"/>
      <c r="DJ178" s="15"/>
      <c r="DK178" s="15"/>
      <c r="DL178" s="15"/>
      <c r="DM178" s="15"/>
      <c r="DN178" s="15"/>
      <c r="DO178" s="15"/>
      <c r="DP178" s="15"/>
      <c r="DQ178" s="15"/>
      <c r="DR178" s="15"/>
      <c r="DS178" s="15"/>
      <c r="DT178" s="15"/>
      <c r="DU178" s="15"/>
      <c r="DV178" s="15"/>
      <c r="DW178" s="15"/>
      <c r="DX178" s="15"/>
      <c r="DY178" s="15"/>
      <c r="DZ178" s="15"/>
      <c r="EA178" s="15"/>
      <c r="EB178" s="15"/>
      <c r="EC178" s="15"/>
      <c r="ED178" s="15"/>
      <c r="EE178" s="15"/>
      <c r="EF178" s="15"/>
      <c r="EG178" s="15"/>
      <c r="EH178" s="15"/>
      <c r="EI178" s="15"/>
      <c r="EJ178" s="15"/>
      <c r="EK178" s="15"/>
      <c r="EL178" s="15"/>
      <c r="EM178" s="15"/>
      <c r="EN178" s="15"/>
      <c r="EO178" s="15"/>
      <c r="EP178" s="15"/>
      <c r="EQ178" s="15"/>
      <c r="ER178" s="15"/>
      <c r="ES178" s="15"/>
      <c r="ET178" s="15"/>
      <c r="EU178" s="15"/>
      <c r="EV178" s="15"/>
      <c r="EW178" s="15"/>
      <c r="EX178" s="15"/>
      <c r="EY178" s="15"/>
      <c r="EZ178" s="15"/>
      <c r="FA178" s="15"/>
      <c r="FB178" s="15"/>
      <c r="FC178" s="15"/>
      <c r="FD178" s="15"/>
      <c r="FE178" s="15"/>
      <c r="FF178" s="15"/>
      <c r="FG178" s="15"/>
      <c r="FH178" s="15"/>
      <c r="FI178" s="15"/>
      <c r="FJ178" s="15"/>
      <c r="FK178" s="15"/>
      <c r="FL178" s="15"/>
      <c r="FM178" s="15"/>
      <c r="FN178" s="15"/>
      <c r="FO178" s="15"/>
      <c r="FP178" s="15"/>
      <c r="FQ178" s="15"/>
      <c r="FR178" s="15"/>
      <c r="FS178" s="15"/>
      <c r="FT178" s="15"/>
      <c r="FU178" s="15"/>
      <c r="FV178" s="15"/>
      <c r="FW178" s="15"/>
      <c r="FX178" s="15"/>
      <c r="FY178" s="15"/>
      <c r="FZ178" s="15"/>
      <c r="GA178" s="15"/>
      <c r="GB178" s="15"/>
      <c r="GC178" s="15"/>
      <c r="GD178" s="15"/>
      <c r="GE178" s="15"/>
      <c r="GF178" s="15"/>
      <c r="GG178" s="15"/>
      <c r="GH178" s="15"/>
      <c r="GI178" s="15"/>
      <c r="GJ178" s="15"/>
      <c r="GK178" s="15"/>
      <c r="GL178" s="15"/>
      <c r="GM178" s="15"/>
      <c r="GN178" s="15"/>
      <c r="GO178" s="15"/>
      <c r="GP178" s="15"/>
      <c r="GQ178" s="15"/>
      <c r="GR178" s="15"/>
      <c r="GS178" s="15"/>
      <c r="GT178" s="15"/>
      <c r="GU178" s="15"/>
      <c r="GV178" s="15"/>
      <c r="GW178" s="15"/>
      <c r="GX178" s="15"/>
      <c r="GY178" s="15"/>
      <c r="GZ178" s="15"/>
      <c r="HA178" s="15"/>
      <c r="HB178" s="15"/>
      <c r="HC178" s="15"/>
      <c r="HD178" s="15"/>
      <c r="HE178" s="15"/>
      <c r="HF178" s="15"/>
      <c r="HG178" s="15"/>
      <c r="HH178" s="15"/>
      <c r="HI178" s="15"/>
      <c r="HJ178" s="15"/>
      <c r="HK178" s="15"/>
      <c r="HL178" s="15"/>
      <c r="HM178" s="15"/>
      <c r="HN178" s="15"/>
      <c r="HO178" s="15"/>
      <c r="HP178" s="15"/>
      <c r="HQ178" s="15"/>
      <c r="HR178" s="15"/>
      <c r="HS178" s="15"/>
      <c r="HT178" s="15"/>
      <c r="HU178" s="15"/>
      <c r="HV178" s="15"/>
      <c r="HW178" s="15"/>
      <c r="HX178" s="15"/>
      <c r="HY178" s="15"/>
      <c r="HZ178" s="15"/>
      <c r="IA178" s="15"/>
      <c r="IB178" s="15"/>
      <c r="IC178" s="15"/>
      <c r="ID178" s="15"/>
      <c r="IE178" s="15"/>
      <c r="IF178" s="15"/>
      <c r="IG178" s="15"/>
      <c r="IH178" s="15"/>
      <c r="II178" s="15"/>
      <c r="IJ178" s="15"/>
      <c r="IK178" s="15"/>
      <c r="IL178" s="15"/>
      <c r="IM178" s="15"/>
      <c r="IN178" s="15"/>
      <c r="IO178" s="15"/>
      <c r="IP178" s="15"/>
      <c r="IQ178" s="15"/>
      <c r="IR178" s="15"/>
      <c r="IS178" s="15"/>
      <c r="IT178" s="15"/>
      <c r="IU178" s="15"/>
      <c r="IV178" s="15"/>
      <c r="IW178" s="15"/>
      <c r="IX178" s="15"/>
      <c r="IY178" s="15"/>
      <c r="IZ178" s="15"/>
      <c r="JA178" s="15"/>
      <c r="JB178" s="15"/>
      <c r="JC178" s="15"/>
      <c r="JD178" s="15"/>
      <c r="JE178" s="15"/>
      <c r="JF178" s="15"/>
      <c r="JG178" s="15"/>
      <c r="JH178" s="15"/>
      <c r="JI178" s="15"/>
      <c r="JJ178" s="15"/>
      <c r="JK178" s="15"/>
      <c r="JL178" s="15"/>
      <c r="JM178" s="15"/>
      <c r="JN178" s="15"/>
      <c r="JO178" s="15"/>
      <c r="JP178" s="15"/>
      <c r="JQ178" s="15"/>
      <c r="JR178" s="15"/>
      <c r="JS178" s="15"/>
      <c r="JT178" s="15"/>
      <c r="JU178" s="15"/>
      <c r="JV178" s="15"/>
      <c r="JW178" s="15"/>
      <c r="JX178" s="15"/>
      <c r="JY178" s="15"/>
      <c r="JZ178" s="15"/>
      <c r="KA178" s="15"/>
      <c r="KB178" s="15"/>
      <c r="KC178" s="15"/>
      <c r="KD178" s="15"/>
      <c r="KE178" s="15"/>
      <c r="KF178" s="15"/>
      <c r="KG178" s="15"/>
      <c r="KH178" s="15"/>
      <c r="KI178" s="15"/>
      <c r="KJ178" s="15"/>
      <c r="KK178" s="15"/>
      <c r="KL178" s="15"/>
      <c r="KM178" s="15"/>
      <c r="KN178" s="15"/>
      <c r="KO178" s="15"/>
      <c r="KP178" s="15"/>
      <c r="KQ178" s="15"/>
      <c r="KR178" s="15"/>
      <c r="KS178" s="15"/>
      <c r="KT178" s="15"/>
      <c r="KU178" s="15"/>
      <c r="KV178" s="15"/>
      <c r="KW178" s="15"/>
      <c r="KX178" s="15"/>
      <c r="KY178" s="15"/>
      <c r="KZ178" s="15"/>
      <c r="LA178" s="15"/>
      <c r="LB178" s="15"/>
      <c r="LC178" s="15"/>
      <c r="LD178" s="15"/>
      <c r="LE178" s="15"/>
      <c r="LF178" s="15"/>
      <c r="LG178" s="15"/>
      <c r="LH178" s="15"/>
      <c r="LI178" s="15"/>
      <c r="LJ178" s="15"/>
      <c r="LK178" s="15"/>
      <c r="LL178" s="15"/>
      <c r="LM178" s="15"/>
      <c r="LN178" s="15"/>
      <c r="LO178" s="15"/>
      <c r="LP178" s="15"/>
      <c r="LQ178" s="15"/>
      <c r="LR178" s="15"/>
      <c r="LS178" s="15"/>
      <c r="LT178" s="15"/>
      <c r="LU178" s="15"/>
      <c r="LV178" s="15"/>
      <c r="LW178" s="15"/>
      <c r="LX178" s="15"/>
      <c r="LY178" s="15"/>
      <c r="LZ178" s="15"/>
      <c r="MA178" s="15"/>
      <c r="MB178" s="15"/>
      <c r="MC178" s="15"/>
      <c r="MD178" s="15"/>
      <c r="ME178" s="15"/>
      <c r="MF178" s="15"/>
      <c r="MG178" s="15"/>
      <c r="MH178" s="15"/>
      <c r="MI178" s="15"/>
      <c r="MJ178" s="15"/>
      <c r="MK178" s="15"/>
      <c r="ML178" s="15"/>
      <c r="MM178" s="15"/>
      <c r="MN178" s="15"/>
      <c r="MO178" s="15"/>
      <c r="MP178" s="15"/>
      <c r="MQ178" s="15"/>
      <c r="MR178" s="15"/>
      <c r="MS178" s="15"/>
      <c r="MT178" s="15"/>
      <c r="MU178" s="15"/>
      <c r="MV178" s="15"/>
      <c r="MW178" s="15"/>
    </row>
    <row r="179" ht="119.25" customHeight="1">
      <c r="A179" s="13" t="s">
        <v>178</v>
      </c>
      <c r="B179" s="14" t="s">
        <v>10195</v>
      </c>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c r="DE179" s="15"/>
      <c r="DF179" s="15"/>
      <c r="DG179" s="15"/>
      <c r="DH179" s="15"/>
      <c r="DI179" s="15"/>
      <c r="DJ179" s="15"/>
      <c r="DK179" s="15"/>
      <c r="DL179" s="15"/>
      <c r="DM179" s="15"/>
      <c r="DN179" s="15"/>
      <c r="DO179" s="15"/>
      <c r="DP179" s="15"/>
      <c r="DQ179" s="15"/>
      <c r="DR179" s="15"/>
      <c r="DS179" s="15"/>
      <c r="DT179" s="15"/>
      <c r="DU179" s="15"/>
      <c r="DV179" s="15"/>
      <c r="DW179" s="15"/>
      <c r="DX179" s="15"/>
      <c r="DY179" s="15"/>
      <c r="DZ179" s="15"/>
      <c r="EA179" s="15"/>
      <c r="EB179" s="15"/>
      <c r="EC179" s="15"/>
      <c r="ED179" s="15"/>
      <c r="EE179" s="15"/>
      <c r="EF179" s="15"/>
      <c r="EG179" s="15"/>
      <c r="EH179" s="15"/>
      <c r="EI179" s="15"/>
      <c r="EJ179" s="15"/>
      <c r="EK179" s="15"/>
      <c r="EL179" s="15"/>
      <c r="EM179" s="15"/>
      <c r="EN179" s="15"/>
      <c r="EO179" s="15"/>
      <c r="EP179" s="15"/>
      <c r="EQ179" s="15"/>
      <c r="ER179" s="15"/>
      <c r="ES179" s="15"/>
      <c r="ET179" s="15"/>
      <c r="EU179" s="15"/>
      <c r="EV179" s="15"/>
      <c r="EW179" s="15"/>
      <c r="EX179" s="15"/>
      <c r="EY179" s="15"/>
      <c r="EZ179" s="15"/>
      <c r="FA179" s="15"/>
      <c r="FB179" s="15"/>
      <c r="FC179" s="15"/>
      <c r="FD179" s="15"/>
      <c r="FE179" s="15"/>
      <c r="FF179" s="15"/>
      <c r="FG179" s="15"/>
      <c r="FH179" s="15"/>
      <c r="FI179" s="15"/>
      <c r="FJ179" s="15"/>
      <c r="FK179" s="15"/>
      <c r="FL179" s="15"/>
      <c r="FM179" s="15"/>
      <c r="FN179" s="15"/>
      <c r="FO179" s="15"/>
      <c r="FP179" s="15"/>
      <c r="FQ179" s="15"/>
      <c r="FR179" s="15"/>
      <c r="FS179" s="15"/>
      <c r="FT179" s="15"/>
      <c r="FU179" s="15"/>
      <c r="FV179" s="15"/>
      <c r="FW179" s="15"/>
      <c r="FX179" s="15"/>
      <c r="FY179" s="15"/>
      <c r="FZ179" s="15"/>
      <c r="GA179" s="15"/>
      <c r="GB179" s="15"/>
      <c r="GC179" s="15"/>
      <c r="GD179" s="15"/>
      <c r="GE179" s="15"/>
      <c r="GF179" s="15"/>
      <c r="GG179" s="15"/>
      <c r="GH179" s="15"/>
      <c r="GI179" s="15"/>
      <c r="GJ179" s="15"/>
      <c r="GK179" s="15"/>
      <c r="GL179" s="15"/>
      <c r="GM179" s="15"/>
      <c r="GN179" s="15"/>
      <c r="GO179" s="15"/>
      <c r="GP179" s="15"/>
      <c r="GQ179" s="15"/>
      <c r="GR179" s="15"/>
      <c r="GS179" s="15"/>
      <c r="GT179" s="15"/>
      <c r="GU179" s="15"/>
      <c r="GV179" s="15"/>
      <c r="GW179" s="15"/>
      <c r="GX179" s="15"/>
      <c r="GY179" s="15"/>
      <c r="GZ179" s="15"/>
      <c r="HA179" s="15"/>
      <c r="HB179" s="15"/>
      <c r="HC179" s="15"/>
      <c r="HD179" s="15"/>
      <c r="HE179" s="15"/>
      <c r="HF179" s="15"/>
      <c r="HG179" s="15"/>
      <c r="HH179" s="15"/>
      <c r="HI179" s="15"/>
      <c r="HJ179" s="15"/>
      <c r="HK179" s="15"/>
      <c r="HL179" s="15"/>
      <c r="HM179" s="15"/>
      <c r="HN179" s="15"/>
      <c r="HO179" s="15"/>
      <c r="HP179" s="15"/>
      <c r="HQ179" s="15"/>
      <c r="HR179" s="15"/>
      <c r="HS179" s="15"/>
      <c r="HT179" s="15"/>
      <c r="HU179" s="15"/>
      <c r="HV179" s="15"/>
      <c r="HW179" s="15"/>
      <c r="HX179" s="15"/>
      <c r="HY179" s="15"/>
      <c r="HZ179" s="15"/>
      <c r="IA179" s="15"/>
      <c r="IB179" s="15"/>
      <c r="IC179" s="15"/>
      <c r="ID179" s="15"/>
      <c r="IE179" s="15"/>
      <c r="IF179" s="15"/>
      <c r="IG179" s="15"/>
      <c r="IH179" s="15"/>
      <c r="II179" s="15"/>
      <c r="IJ179" s="15"/>
      <c r="IK179" s="15"/>
      <c r="IL179" s="15"/>
      <c r="IM179" s="15"/>
      <c r="IN179" s="15"/>
      <c r="IO179" s="15"/>
      <c r="IP179" s="15"/>
      <c r="IQ179" s="15"/>
      <c r="IR179" s="15"/>
      <c r="IS179" s="15"/>
      <c r="IT179" s="15"/>
      <c r="IU179" s="15"/>
      <c r="IV179" s="15"/>
      <c r="IW179" s="15"/>
      <c r="IX179" s="15"/>
      <c r="IY179" s="15"/>
      <c r="IZ179" s="15"/>
      <c r="JA179" s="15"/>
      <c r="JB179" s="15"/>
      <c r="JC179" s="15"/>
      <c r="JD179" s="15"/>
      <c r="JE179" s="15"/>
      <c r="JF179" s="15"/>
      <c r="JG179" s="15"/>
      <c r="JH179" s="15"/>
      <c r="JI179" s="15"/>
      <c r="JJ179" s="15"/>
      <c r="JK179" s="15"/>
      <c r="JL179" s="15"/>
      <c r="JM179" s="15"/>
      <c r="JN179" s="15"/>
      <c r="JO179" s="15"/>
      <c r="JP179" s="15"/>
      <c r="JQ179" s="15"/>
      <c r="JR179" s="15"/>
      <c r="JS179" s="15"/>
      <c r="JT179" s="15"/>
      <c r="JU179" s="15"/>
      <c r="JV179" s="15"/>
      <c r="JW179" s="15"/>
      <c r="JX179" s="15"/>
      <c r="JY179" s="15"/>
      <c r="JZ179" s="15"/>
      <c r="KA179" s="15"/>
      <c r="KB179" s="15"/>
      <c r="KC179" s="15"/>
      <c r="KD179" s="15"/>
      <c r="KE179" s="15"/>
      <c r="KF179" s="15"/>
      <c r="KG179" s="15"/>
      <c r="KH179" s="15"/>
      <c r="KI179" s="15"/>
      <c r="KJ179" s="15"/>
      <c r="KK179" s="15"/>
      <c r="KL179" s="15"/>
      <c r="KM179" s="15"/>
      <c r="KN179" s="15"/>
      <c r="KO179" s="15"/>
      <c r="KP179" s="15"/>
      <c r="KQ179" s="15"/>
      <c r="KR179" s="15"/>
      <c r="KS179" s="15"/>
      <c r="KT179" s="15"/>
      <c r="KU179" s="15"/>
      <c r="KV179" s="15"/>
      <c r="KW179" s="15"/>
      <c r="KX179" s="15"/>
      <c r="KY179" s="15"/>
      <c r="KZ179" s="15"/>
      <c r="LA179" s="15"/>
      <c r="LB179" s="15"/>
      <c r="LC179" s="15"/>
      <c r="LD179" s="15"/>
      <c r="LE179" s="15"/>
      <c r="LF179" s="15"/>
      <c r="LG179" s="15"/>
      <c r="LH179" s="15"/>
      <c r="LI179" s="15"/>
      <c r="LJ179" s="15"/>
      <c r="LK179" s="15"/>
      <c r="LL179" s="15"/>
      <c r="LM179" s="15"/>
      <c r="LN179" s="15"/>
      <c r="LO179" s="15"/>
      <c r="LP179" s="15"/>
      <c r="LQ179" s="15"/>
      <c r="LR179" s="15"/>
      <c r="LS179" s="15"/>
      <c r="LT179" s="15"/>
      <c r="LU179" s="15"/>
      <c r="LV179" s="15"/>
      <c r="LW179" s="15"/>
      <c r="LX179" s="15"/>
      <c r="LY179" s="15"/>
      <c r="LZ179" s="15"/>
      <c r="MA179" s="15"/>
      <c r="MB179" s="15"/>
      <c r="MC179" s="15"/>
      <c r="MD179" s="15"/>
      <c r="ME179" s="15"/>
      <c r="MF179" s="15"/>
      <c r="MG179" s="15"/>
      <c r="MH179" s="15"/>
      <c r="MI179" s="15"/>
      <c r="MJ179" s="15"/>
      <c r="MK179" s="15"/>
      <c r="ML179" s="15"/>
      <c r="MM179" s="15"/>
      <c r="MN179" s="15"/>
      <c r="MO179" s="15"/>
      <c r="MP179" s="15"/>
      <c r="MQ179" s="15"/>
      <c r="MR179" s="15"/>
      <c r="MS179" s="15"/>
      <c r="MT179" s="15"/>
      <c r="MU179" s="15"/>
      <c r="MV179" s="15"/>
      <c r="MW179" s="15"/>
    </row>
    <row r="180" ht="41.25" customHeight="1">
      <c r="A180" s="13" t="s">
        <v>179</v>
      </c>
      <c r="B180" s="14" t="s">
        <v>10196</v>
      </c>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c r="DE180" s="15"/>
      <c r="DF180" s="15"/>
      <c r="DG180" s="15"/>
      <c r="DH180" s="15"/>
      <c r="DI180" s="15"/>
      <c r="DJ180" s="15"/>
      <c r="DK180" s="15"/>
      <c r="DL180" s="15"/>
      <c r="DM180" s="15"/>
      <c r="DN180" s="15"/>
      <c r="DO180" s="15"/>
      <c r="DP180" s="15"/>
      <c r="DQ180" s="15"/>
      <c r="DR180" s="15"/>
      <c r="DS180" s="15"/>
      <c r="DT180" s="15"/>
      <c r="DU180" s="15"/>
      <c r="DV180" s="15"/>
      <c r="DW180" s="15"/>
      <c r="DX180" s="15"/>
      <c r="DY180" s="15"/>
      <c r="DZ180" s="15"/>
      <c r="EA180" s="15"/>
      <c r="EB180" s="15"/>
      <c r="EC180" s="15"/>
      <c r="ED180" s="15"/>
      <c r="EE180" s="15"/>
      <c r="EF180" s="15"/>
      <c r="EG180" s="15"/>
      <c r="EH180" s="15"/>
      <c r="EI180" s="15"/>
      <c r="EJ180" s="15"/>
      <c r="EK180" s="15"/>
      <c r="EL180" s="15"/>
      <c r="EM180" s="15"/>
      <c r="EN180" s="15"/>
      <c r="EO180" s="15"/>
      <c r="EP180" s="15"/>
      <c r="EQ180" s="15"/>
      <c r="ER180" s="15"/>
      <c r="ES180" s="15"/>
      <c r="ET180" s="15"/>
      <c r="EU180" s="15"/>
      <c r="EV180" s="15"/>
      <c r="EW180" s="15"/>
      <c r="EX180" s="15"/>
      <c r="EY180" s="15"/>
      <c r="EZ180" s="15"/>
      <c r="FA180" s="15"/>
      <c r="FB180" s="15"/>
      <c r="FC180" s="15"/>
      <c r="FD180" s="15"/>
      <c r="FE180" s="15"/>
      <c r="FF180" s="15"/>
      <c r="FG180" s="15"/>
      <c r="FH180" s="15"/>
      <c r="FI180" s="15"/>
      <c r="FJ180" s="15"/>
      <c r="FK180" s="15"/>
      <c r="FL180" s="15"/>
      <c r="FM180" s="15"/>
      <c r="FN180" s="15"/>
      <c r="FO180" s="15"/>
      <c r="FP180" s="15"/>
      <c r="FQ180" s="15"/>
      <c r="FR180" s="15"/>
      <c r="FS180" s="15"/>
      <c r="FT180" s="15"/>
      <c r="FU180" s="15"/>
      <c r="FV180" s="15"/>
      <c r="FW180" s="15"/>
      <c r="FX180" s="15"/>
      <c r="FY180" s="15"/>
      <c r="FZ180" s="15"/>
      <c r="GA180" s="15"/>
      <c r="GB180" s="15"/>
      <c r="GC180" s="15"/>
      <c r="GD180" s="15"/>
      <c r="GE180" s="15"/>
      <c r="GF180" s="15"/>
      <c r="GG180" s="15"/>
      <c r="GH180" s="15"/>
      <c r="GI180" s="15"/>
      <c r="GJ180" s="15"/>
      <c r="GK180" s="15"/>
      <c r="GL180" s="15"/>
      <c r="GM180" s="15"/>
      <c r="GN180" s="15"/>
      <c r="GO180" s="15"/>
      <c r="GP180" s="15"/>
      <c r="GQ180" s="15"/>
      <c r="GR180" s="15"/>
      <c r="GS180" s="15"/>
      <c r="GT180" s="15"/>
      <c r="GU180" s="15"/>
      <c r="GV180" s="15"/>
      <c r="GW180" s="15"/>
      <c r="GX180" s="15"/>
      <c r="GY180" s="15"/>
      <c r="GZ180" s="15"/>
      <c r="HA180" s="15"/>
      <c r="HB180" s="15"/>
      <c r="HC180" s="15"/>
      <c r="HD180" s="15"/>
      <c r="HE180" s="15"/>
      <c r="HF180" s="15"/>
      <c r="HG180" s="15"/>
      <c r="HH180" s="15"/>
      <c r="HI180" s="15"/>
      <c r="HJ180" s="15"/>
      <c r="HK180" s="15"/>
      <c r="HL180" s="15"/>
      <c r="HM180" s="15"/>
      <c r="HN180" s="15"/>
      <c r="HO180" s="15"/>
      <c r="HP180" s="15"/>
      <c r="HQ180" s="15"/>
      <c r="HR180" s="15"/>
      <c r="HS180" s="15"/>
      <c r="HT180" s="15"/>
      <c r="HU180" s="15"/>
      <c r="HV180" s="15"/>
      <c r="HW180" s="15"/>
      <c r="HX180" s="15"/>
      <c r="HY180" s="15"/>
      <c r="HZ180" s="15"/>
      <c r="IA180" s="15"/>
      <c r="IB180" s="15"/>
      <c r="IC180" s="15"/>
      <c r="ID180" s="15"/>
      <c r="IE180" s="15"/>
      <c r="IF180" s="15"/>
      <c r="IG180" s="15"/>
      <c r="IH180" s="15"/>
      <c r="II180" s="15"/>
      <c r="IJ180" s="15"/>
      <c r="IK180" s="15"/>
      <c r="IL180" s="15"/>
      <c r="IM180" s="15"/>
      <c r="IN180" s="15"/>
      <c r="IO180" s="15"/>
      <c r="IP180" s="15"/>
      <c r="IQ180" s="15"/>
      <c r="IR180" s="15"/>
      <c r="IS180" s="15"/>
      <c r="IT180" s="15"/>
      <c r="IU180" s="15"/>
      <c r="IV180" s="15"/>
      <c r="IW180" s="15"/>
      <c r="IX180" s="15"/>
      <c r="IY180" s="15"/>
      <c r="IZ180" s="15"/>
      <c r="JA180" s="15"/>
      <c r="JB180" s="15"/>
      <c r="JC180" s="15"/>
      <c r="JD180" s="15"/>
      <c r="JE180" s="15"/>
      <c r="JF180" s="15"/>
      <c r="JG180" s="15"/>
      <c r="JH180" s="15"/>
      <c r="JI180" s="15"/>
      <c r="JJ180" s="15"/>
      <c r="JK180" s="15"/>
      <c r="JL180" s="15"/>
      <c r="JM180" s="15"/>
      <c r="JN180" s="15"/>
      <c r="JO180" s="15"/>
      <c r="JP180" s="15"/>
      <c r="JQ180" s="15"/>
      <c r="JR180" s="15"/>
      <c r="JS180" s="15"/>
      <c r="JT180" s="15"/>
      <c r="JU180" s="15"/>
      <c r="JV180" s="15"/>
      <c r="JW180" s="15"/>
      <c r="JX180" s="15"/>
      <c r="JY180" s="15"/>
      <c r="JZ180" s="15"/>
      <c r="KA180" s="15"/>
      <c r="KB180" s="15"/>
      <c r="KC180" s="15"/>
      <c r="KD180" s="15"/>
      <c r="KE180" s="15"/>
      <c r="KF180" s="15"/>
      <c r="KG180" s="15"/>
      <c r="KH180" s="15"/>
      <c r="KI180" s="15"/>
      <c r="KJ180" s="15"/>
      <c r="KK180" s="15"/>
      <c r="KL180" s="15"/>
      <c r="KM180" s="15"/>
      <c r="KN180" s="15"/>
      <c r="KO180" s="15"/>
      <c r="KP180" s="15"/>
      <c r="KQ180" s="15"/>
      <c r="KR180" s="15"/>
      <c r="KS180" s="15"/>
      <c r="KT180" s="15"/>
      <c r="KU180" s="15"/>
      <c r="KV180" s="15"/>
      <c r="KW180" s="15"/>
      <c r="KX180" s="15"/>
      <c r="KY180" s="15"/>
      <c r="KZ180" s="15"/>
      <c r="LA180" s="15"/>
      <c r="LB180" s="15"/>
      <c r="LC180" s="15"/>
      <c r="LD180" s="15"/>
      <c r="LE180" s="15"/>
      <c r="LF180" s="15"/>
      <c r="LG180" s="15"/>
      <c r="LH180" s="15"/>
      <c r="LI180" s="15"/>
      <c r="LJ180" s="15"/>
      <c r="LK180" s="15"/>
      <c r="LL180" s="15"/>
      <c r="LM180" s="15"/>
      <c r="LN180" s="15"/>
      <c r="LO180" s="15"/>
      <c r="LP180" s="15"/>
      <c r="LQ180" s="15"/>
      <c r="LR180" s="15"/>
      <c r="LS180" s="15"/>
      <c r="LT180" s="15"/>
      <c r="LU180" s="15"/>
      <c r="LV180" s="15"/>
      <c r="LW180" s="15"/>
      <c r="LX180" s="15"/>
      <c r="LY180" s="15"/>
      <c r="LZ180" s="15"/>
      <c r="MA180" s="15"/>
      <c r="MB180" s="15"/>
      <c r="MC180" s="15"/>
      <c r="MD180" s="15"/>
      <c r="ME180" s="15"/>
      <c r="MF180" s="15"/>
      <c r="MG180" s="15"/>
      <c r="MH180" s="15"/>
      <c r="MI180" s="15"/>
      <c r="MJ180" s="15"/>
      <c r="MK180" s="15"/>
      <c r="ML180" s="15"/>
      <c r="MM180" s="15"/>
      <c r="MN180" s="15"/>
      <c r="MO180" s="15"/>
      <c r="MP180" s="15"/>
      <c r="MQ180" s="15"/>
      <c r="MR180" s="15"/>
      <c r="MS180" s="15"/>
      <c r="MT180" s="15"/>
      <c r="MU180" s="15"/>
      <c r="MV180" s="15"/>
      <c r="MW180" s="15"/>
    </row>
    <row r="181" ht="119.25" customHeight="1">
      <c r="A181" s="13" t="s">
        <v>180</v>
      </c>
      <c r="B181" s="14" t="s">
        <v>10197</v>
      </c>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c r="DE181" s="15"/>
      <c r="DF181" s="15"/>
      <c r="DG181" s="15"/>
      <c r="DH181" s="15"/>
      <c r="DI181" s="15"/>
      <c r="DJ181" s="15"/>
      <c r="DK181" s="15"/>
      <c r="DL181" s="15"/>
      <c r="DM181" s="15"/>
      <c r="DN181" s="15"/>
      <c r="DO181" s="15"/>
      <c r="DP181" s="15"/>
      <c r="DQ181" s="15"/>
      <c r="DR181" s="15"/>
      <c r="DS181" s="15"/>
      <c r="DT181" s="15"/>
      <c r="DU181" s="15"/>
      <c r="DV181" s="15"/>
      <c r="DW181" s="15"/>
      <c r="DX181" s="15"/>
      <c r="DY181" s="15"/>
      <c r="DZ181" s="15"/>
      <c r="EA181" s="15"/>
      <c r="EB181" s="15"/>
      <c r="EC181" s="15"/>
      <c r="ED181" s="15"/>
      <c r="EE181" s="15"/>
      <c r="EF181" s="15"/>
      <c r="EG181" s="15"/>
      <c r="EH181" s="15"/>
      <c r="EI181" s="15"/>
      <c r="EJ181" s="15"/>
      <c r="EK181" s="15"/>
      <c r="EL181" s="15"/>
      <c r="EM181" s="15"/>
      <c r="EN181" s="15"/>
      <c r="EO181" s="15"/>
      <c r="EP181" s="15"/>
      <c r="EQ181" s="15"/>
      <c r="ER181" s="15"/>
      <c r="ES181" s="15"/>
      <c r="ET181" s="15"/>
      <c r="EU181" s="15"/>
      <c r="EV181" s="15"/>
      <c r="EW181" s="15"/>
      <c r="EX181" s="15"/>
      <c r="EY181" s="15"/>
      <c r="EZ181" s="15"/>
      <c r="FA181" s="15"/>
      <c r="FB181" s="15"/>
      <c r="FC181" s="15"/>
      <c r="FD181" s="15"/>
      <c r="FE181" s="15"/>
      <c r="FF181" s="15"/>
      <c r="FG181" s="15"/>
      <c r="FH181" s="15"/>
      <c r="FI181" s="15"/>
      <c r="FJ181" s="15"/>
      <c r="FK181" s="15"/>
      <c r="FL181" s="15"/>
      <c r="FM181" s="15"/>
      <c r="FN181" s="15"/>
      <c r="FO181" s="15"/>
      <c r="FP181" s="15"/>
      <c r="FQ181" s="15"/>
      <c r="FR181" s="15"/>
      <c r="FS181" s="15"/>
      <c r="FT181" s="15"/>
      <c r="FU181" s="15"/>
      <c r="FV181" s="15"/>
      <c r="FW181" s="15"/>
      <c r="FX181" s="15"/>
      <c r="FY181" s="15"/>
      <c r="FZ181" s="15"/>
      <c r="GA181" s="15"/>
      <c r="GB181" s="15"/>
      <c r="GC181" s="15"/>
      <c r="GD181" s="15"/>
      <c r="GE181" s="15"/>
      <c r="GF181" s="15"/>
      <c r="GG181" s="15"/>
      <c r="GH181" s="15"/>
      <c r="GI181" s="15"/>
      <c r="GJ181" s="15"/>
      <c r="GK181" s="15"/>
      <c r="GL181" s="15"/>
      <c r="GM181" s="15"/>
      <c r="GN181" s="15"/>
      <c r="GO181" s="15"/>
      <c r="GP181" s="15"/>
      <c r="GQ181" s="15"/>
      <c r="GR181" s="15"/>
      <c r="GS181" s="15"/>
      <c r="GT181" s="15"/>
      <c r="GU181" s="15"/>
      <c r="GV181" s="15"/>
      <c r="GW181" s="15"/>
      <c r="GX181" s="15"/>
      <c r="GY181" s="15"/>
      <c r="GZ181" s="15"/>
      <c r="HA181" s="15"/>
      <c r="HB181" s="15"/>
      <c r="HC181" s="15"/>
      <c r="HD181" s="15"/>
      <c r="HE181" s="15"/>
      <c r="HF181" s="15"/>
      <c r="HG181" s="15"/>
      <c r="HH181" s="15"/>
      <c r="HI181" s="15"/>
      <c r="HJ181" s="15"/>
      <c r="HK181" s="15"/>
      <c r="HL181" s="15"/>
      <c r="HM181" s="15"/>
      <c r="HN181" s="15"/>
      <c r="HO181" s="15"/>
      <c r="HP181" s="15"/>
      <c r="HQ181" s="15"/>
      <c r="HR181" s="15"/>
      <c r="HS181" s="15"/>
      <c r="HT181" s="15"/>
      <c r="HU181" s="15"/>
      <c r="HV181" s="15"/>
      <c r="HW181" s="15"/>
      <c r="HX181" s="15"/>
      <c r="HY181" s="15"/>
      <c r="HZ181" s="15"/>
      <c r="IA181" s="15"/>
      <c r="IB181" s="15"/>
      <c r="IC181" s="15"/>
      <c r="ID181" s="15"/>
      <c r="IE181" s="15"/>
      <c r="IF181" s="15"/>
      <c r="IG181" s="15"/>
      <c r="IH181" s="15"/>
      <c r="II181" s="15"/>
      <c r="IJ181" s="15"/>
      <c r="IK181" s="15"/>
      <c r="IL181" s="15"/>
      <c r="IM181" s="15"/>
      <c r="IN181" s="15"/>
      <c r="IO181" s="15"/>
      <c r="IP181" s="15"/>
      <c r="IQ181" s="15"/>
      <c r="IR181" s="15"/>
      <c r="IS181" s="15"/>
      <c r="IT181" s="15"/>
      <c r="IU181" s="15"/>
      <c r="IV181" s="15"/>
      <c r="IW181" s="15"/>
      <c r="IX181" s="15"/>
      <c r="IY181" s="15"/>
      <c r="IZ181" s="15"/>
      <c r="JA181" s="15"/>
      <c r="JB181" s="15"/>
      <c r="JC181" s="15"/>
      <c r="JD181" s="15"/>
      <c r="JE181" s="15"/>
      <c r="JF181" s="15"/>
      <c r="JG181" s="15"/>
      <c r="JH181" s="15"/>
      <c r="JI181" s="15"/>
      <c r="JJ181" s="15"/>
      <c r="JK181" s="15"/>
      <c r="JL181" s="15"/>
      <c r="JM181" s="15"/>
      <c r="JN181" s="15"/>
      <c r="JO181" s="15"/>
      <c r="JP181" s="15"/>
      <c r="JQ181" s="15"/>
      <c r="JR181" s="15"/>
      <c r="JS181" s="15"/>
      <c r="JT181" s="15"/>
      <c r="JU181" s="15"/>
      <c r="JV181" s="15"/>
      <c r="JW181" s="15"/>
      <c r="JX181" s="15"/>
      <c r="JY181" s="15"/>
      <c r="JZ181" s="15"/>
      <c r="KA181" s="15"/>
      <c r="KB181" s="15"/>
      <c r="KC181" s="15"/>
      <c r="KD181" s="15"/>
      <c r="KE181" s="15"/>
      <c r="KF181" s="15"/>
      <c r="KG181" s="15"/>
      <c r="KH181" s="15"/>
      <c r="KI181" s="15"/>
      <c r="KJ181" s="15"/>
      <c r="KK181" s="15"/>
      <c r="KL181" s="15"/>
      <c r="KM181" s="15"/>
      <c r="KN181" s="15"/>
      <c r="KO181" s="15"/>
      <c r="KP181" s="15"/>
      <c r="KQ181" s="15"/>
      <c r="KR181" s="15"/>
      <c r="KS181" s="15"/>
      <c r="KT181" s="15"/>
      <c r="KU181" s="15"/>
      <c r="KV181" s="15"/>
      <c r="KW181" s="15"/>
      <c r="KX181" s="15"/>
      <c r="KY181" s="15"/>
      <c r="KZ181" s="15"/>
      <c r="LA181" s="15"/>
      <c r="LB181" s="15"/>
      <c r="LC181" s="15"/>
      <c r="LD181" s="15"/>
      <c r="LE181" s="15"/>
      <c r="LF181" s="15"/>
      <c r="LG181" s="15"/>
      <c r="LH181" s="15"/>
      <c r="LI181" s="15"/>
      <c r="LJ181" s="15"/>
      <c r="LK181" s="15"/>
      <c r="LL181" s="15"/>
      <c r="LM181" s="15"/>
      <c r="LN181" s="15"/>
      <c r="LO181" s="15"/>
      <c r="LP181" s="15"/>
      <c r="LQ181" s="15"/>
      <c r="LR181" s="15"/>
      <c r="LS181" s="15"/>
      <c r="LT181" s="15"/>
      <c r="LU181" s="15"/>
      <c r="LV181" s="15"/>
      <c r="LW181" s="15"/>
      <c r="LX181" s="15"/>
      <c r="LY181" s="15"/>
      <c r="LZ181" s="15"/>
      <c r="MA181" s="15"/>
      <c r="MB181" s="15"/>
      <c r="MC181" s="15"/>
      <c r="MD181" s="15"/>
      <c r="ME181" s="15"/>
      <c r="MF181" s="15"/>
      <c r="MG181" s="15"/>
      <c r="MH181" s="15"/>
      <c r="MI181" s="15"/>
      <c r="MJ181" s="15"/>
      <c r="MK181" s="15"/>
      <c r="ML181" s="15"/>
      <c r="MM181" s="15"/>
      <c r="MN181" s="15"/>
      <c r="MO181" s="15"/>
      <c r="MP181" s="15"/>
      <c r="MQ181" s="15"/>
      <c r="MR181" s="15"/>
      <c r="MS181" s="15"/>
      <c r="MT181" s="15"/>
      <c r="MU181" s="15"/>
      <c r="MV181" s="15"/>
      <c r="MW181" s="15"/>
    </row>
    <row r="182" ht="41.25" customHeight="1">
      <c r="A182" s="13" t="s">
        <v>181</v>
      </c>
      <c r="B182" s="14" t="s">
        <v>10198</v>
      </c>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c r="DF182" s="15"/>
      <c r="DG182" s="15"/>
      <c r="DH182" s="15"/>
      <c r="DI182" s="15"/>
      <c r="DJ182" s="15"/>
      <c r="DK182" s="15"/>
      <c r="DL182" s="15"/>
      <c r="DM182" s="15"/>
      <c r="DN182" s="15"/>
      <c r="DO182" s="15"/>
      <c r="DP182" s="15"/>
      <c r="DQ182" s="15"/>
      <c r="DR182" s="15"/>
      <c r="DS182" s="15"/>
      <c r="DT182" s="15"/>
      <c r="DU182" s="15"/>
      <c r="DV182" s="15"/>
      <c r="DW182" s="15"/>
      <c r="DX182" s="15"/>
      <c r="DY182" s="15"/>
      <c r="DZ182" s="15"/>
      <c r="EA182" s="15"/>
      <c r="EB182" s="15"/>
      <c r="EC182" s="15"/>
      <c r="ED182" s="15"/>
      <c r="EE182" s="15"/>
      <c r="EF182" s="15"/>
      <c r="EG182" s="15"/>
      <c r="EH182" s="15"/>
      <c r="EI182" s="15"/>
      <c r="EJ182" s="15"/>
      <c r="EK182" s="15"/>
      <c r="EL182" s="15"/>
      <c r="EM182" s="15"/>
      <c r="EN182" s="15"/>
      <c r="EO182" s="15"/>
      <c r="EP182" s="15"/>
      <c r="EQ182" s="15"/>
      <c r="ER182" s="15"/>
      <c r="ES182" s="15"/>
      <c r="ET182" s="15"/>
      <c r="EU182" s="15"/>
      <c r="EV182" s="15"/>
      <c r="EW182" s="15"/>
      <c r="EX182" s="15"/>
      <c r="EY182" s="15"/>
      <c r="EZ182" s="15"/>
      <c r="FA182" s="15"/>
      <c r="FB182" s="15"/>
      <c r="FC182" s="15"/>
      <c r="FD182" s="15"/>
      <c r="FE182" s="15"/>
      <c r="FF182" s="15"/>
      <c r="FG182" s="15"/>
      <c r="FH182" s="15"/>
      <c r="FI182" s="15"/>
      <c r="FJ182" s="15"/>
      <c r="FK182" s="15"/>
      <c r="FL182" s="15"/>
      <c r="FM182" s="15"/>
      <c r="FN182" s="15"/>
      <c r="FO182" s="15"/>
      <c r="FP182" s="15"/>
      <c r="FQ182" s="15"/>
      <c r="FR182" s="15"/>
      <c r="FS182" s="15"/>
      <c r="FT182" s="15"/>
      <c r="FU182" s="15"/>
      <c r="FV182" s="15"/>
      <c r="FW182" s="15"/>
      <c r="FX182" s="15"/>
      <c r="FY182" s="15"/>
      <c r="FZ182" s="15"/>
      <c r="GA182" s="15"/>
      <c r="GB182" s="15"/>
      <c r="GC182" s="15"/>
      <c r="GD182" s="15"/>
      <c r="GE182" s="15"/>
      <c r="GF182" s="15"/>
      <c r="GG182" s="15"/>
      <c r="GH182" s="15"/>
      <c r="GI182" s="15"/>
      <c r="GJ182" s="15"/>
      <c r="GK182" s="15"/>
      <c r="GL182" s="15"/>
      <c r="GM182" s="15"/>
      <c r="GN182" s="15"/>
      <c r="GO182" s="15"/>
      <c r="GP182" s="15"/>
      <c r="GQ182" s="15"/>
      <c r="GR182" s="15"/>
      <c r="GS182" s="15"/>
      <c r="GT182" s="15"/>
      <c r="GU182" s="15"/>
      <c r="GV182" s="15"/>
      <c r="GW182" s="15"/>
      <c r="GX182" s="15"/>
      <c r="GY182" s="15"/>
      <c r="GZ182" s="15"/>
      <c r="HA182" s="15"/>
      <c r="HB182" s="15"/>
      <c r="HC182" s="15"/>
      <c r="HD182" s="15"/>
      <c r="HE182" s="15"/>
      <c r="HF182" s="15"/>
      <c r="HG182" s="15"/>
      <c r="HH182" s="15"/>
      <c r="HI182" s="15"/>
      <c r="HJ182" s="15"/>
      <c r="HK182" s="15"/>
      <c r="HL182" s="15"/>
      <c r="HM182" s="15"/>
      <c r="HN182" s="15"/>
      <c r="HO182" s="15"/>
      <c r="HP182" s="15"/>
      <c r="HQ182" s="15"/>
      <c r="HR182" s="15"/>
      <c r="HS182" s="15"/>
      <c r="HT182" s="15"/>
      <c r="HU182" s="15"/>
      <c r="HV182" s="15"/>
      <c r="HW182" s="15"/>
      <c r="HX182" s="15"/>
      <c r="HY182" s="15"/>
      <c r="HZ182" s="15"/>
      <c r="IA182" s="15"/>
      <c r="IB182" s="15"/>
      <c r="IC182" s="15"/>
      <c r="ID182" s="15"/>
      <c r="IE182" s="15"/>
      <c r="IF182" s="15"/>
      <c r="IG182" s="15"/>
      <c r="IH182" s="15"/>
      <c r="II182" s="15"/>
      <c r="IJ182" s="15"/>
      <c r="IK182" s="15"/>
      <c r="IL182" s="15"/>
      <c r="IM182" s="15"/>
      <c r="IN182" s="15"/>
      <c r="IO182" s="15"/>
      <c r="IP182" s="15"/>
      <c r="IQ182" s="15"/>
      <c r="IR182" s="15"/>
      <c r="IS182" s="15"/>
      <c r="IT182" s="15"/>
      <c r="IU182" s="15"/>
      <c r="IV182" s="15"/>
      <c r="IW182" s="15"/>
      <c r="IX182" s="15"/>
      <c r="IY182" s="15"/>
      <c r="IZ182" s="15"/>
      <c r="JA182" s="15"/>
      <c r="JB182" s="15"/>
      <c r="JC182" s="15"/>
      <c r="JD182" s="15"/>
      <c r="JE182" s="15"/>
      <c r="JF182" s="15"/>
      <c r="JG182" s="15"/>
      <c r="JH182" s="15"/>
      <c r="JI182" s="15"/>
      <c r="JJ182" s="15"/>
      <c r="JK182" s="15"/>
      <c r="JL182" s="15"/>
      <c r="JM182" s="15"/>
      <c r="JN182" s="15"/>
      <c r="JO182" s="15"/>
      <c r="JP182" s="15"/>
      <c r="JQ182" s="15"/>
      <c r="JR182" s="15"/>
      <c r="JS182" s="15"/>
      <c r="JT182" s="15"/>
      <c r="JU182" s="15"/>
      <c r="JV182" s="15"/>
      <c r="JW182" s="15"/>
      <c r="JX182" s="15"/>
      <c r="JY182" s="15"/>
      <c r="JZ182" s="15"/>
      <c r="KA182" s="15"/>
      <c r="KB182" s="15"/>
      <c r="KC182" s="15"/>
      <c r="KD182" s="15"/>
      <c r="KE182" s="15"/>
      <c r="KF182" s="15"/>
      <c r="KG182" s="15"/>
      <c r="KH182" s="15"/>
      <c r="KI182" s="15"/>
      <c r="KJ182" s="15"/>
      <c r="KK182" s="15"/>
      <c r="KL182" s="15"/>
      <c r="KM182" s="15"/>
      <c r="KN182" s="15"/>
      <c r="KO182" s="15"/>
      <c r="KP182" s="15"/>
      <c r="KQ182" s="15"/>
      <c r="KR182" s="15"/>
      <c r="KS182" s="15"/>
      <c r="KT182" s="15"/>
      <c r="KU182" s="15"/>
      <c r="KV182" s="15"/>
      <c r="KW182" s="15"/>
      <c r="KX182" s="15"/>
      <c r="KY182" s="15"/>
      <c r="KZ182" s="15"/>
      <c r="LA182" s="15"/>
      <c r="LB182" s="15"/>
      <c r="LC182" s="15"/>
      <c r="LD182" s="15"/>
      <c r="LE182" s="15"/>
      <c r="LF182" s="15"/>
      <c r="LG182" s="15"/>
      <c r="LH182" s="15"/>
      <c r="LI182" s="15"/>
      <c r="LJ182" s="15"/>
      <c r="LK182" s="15"/>
      <c r="LL182" s="15"/>
      <c r="LM182" s="15"/>
      <c r="LN182" s="15"/>
      <c r="LO182" s="15"/>
      <c r="LP182" s="15"/>
      <c r="LQ182" s="15"/>
      <c r="LR182" s="15"/>
      <c r="LS182" s="15"/>
      <c r="LT182" s="15"/>
      <c r="LU182" s="15"/>
      <c r="LV182" s="15"/>
      <c r="LW182" s="15"/>
      <c r="LX182" s="15"/>
      <c r="LY182" s="15"/>
      <c r="LZ182" s="15"/>
      <c r="MA182" s="15"/>
      <c r="MB182" s="15"/>
      <c r="MC182" s="15"/>
      <c r="MD182" s="15"/>
      <c r="ME182" s="15"/>
      <c r="MF182" s="15"/>
      <c r="MG182" s="15"/>
      <c r="MH182" s="15"/>
      <c r="MI182" s="15"/>
      <c r="MJ182" s="15"/>
      <c r="MK182" s="15"/>
      <c r="ML182" s="15"/>
      <c r="MM182" s="15"/>
      <c r="MN182" s="15"/>
      <c r="MO182" s="15"/>
      <c r="MP182" s="15"/>
      <c r="MQ182" s="15"/>
      <c r="MR182" s="15"/>
      <c r="MS182" s="15"/>
      <c r="MT182" s="15"/>
      <c r="MU182" s="15"/>
      <c r="MV182" s="15"/>
      <c r="MW182" s="15"/>
    </row>
    <row r="183" ht="119.25" customHeight="1">
      <c r="A183" s="13" t="s">
        <v>182</v>
      </c>
      <c r="B183" s="14" t="s">
        <v>10199</v>
      </c>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c r="DE183" s="15"/>
      <c r="DF183" s="15"/>
      <c r="DG183" s="15"/>
      <c r="DH183" s="15"/>
      <c r="DI183" s="15"/>
      <c r="DJ183" s="15"/>
      <c r="DK183" s="15"/>
      <c r="DL183" s="15"/>
      <c r="DM183" s="15"/>
      <c r="DN183" s="15"/>
      <c r="DO183" s="15"/>
      <c r="DP183" s="15"/>
      <c r="DQ183" s="15"/>
      <c r="DR183" s="15"/>
      <c r="DS183" s="15"/>
      <c r="DT183" s="15"/>
      <c r="DU183" s="15"/>
      <c r="DV183" s="15"/>
      <c r="DW183" s="15"/>
      <c r="DX183" s="15"/>
      <c r="DY183" s="15"/>
      <c r="DZ183" s="15"/>
      <c r="EA183" s="15"/>
      <c r="EB183" s="15"/>
      <c r="EC183" s="15"/>
      <c r="ED183" s="15"/>
      <c r="EE183" s="15"/>
      <c r="EF183" s="15"/>
      <c r="EG183" s="15"/>
      <c r="EH183" s="15"/>
      <c r="EI183" s="15"/>
      <c r="EJ183" s="15"/>
      <c r="EK183" s="15"/>
      <c r="EL183" s="15"/>
      <c r="EM183" s="15"/>
      <c r="EN183" s="15"/>
      <c r="EO183" s="15"/>
      <c r="EP183" s="15"/>
      <c r="EQ183" s="15"/>
      <c r="ER183" s="15"/>
      <c r="ES183" s="15"/>
      <c r="ET183" s="15"/>
      <c r="EU183" s="15"/>
      <c r="EV183" s="15"/>
      <c r="EW183" s="15"/>
      <c r="EX183" s="15"/>
      <c r="EY183" s="15"/>
      <c r="EZ183" s="15"/>
      <c r="FA183" s="15"/>
      <c r="FB183" s="15"/>
      <c r="FC183" s="15"/>
      <c r="FD183" s="15"/>
      <c r="FE183" s="15"/>
      <c r="FF183" s="15"/>
      <c r="FG183" s="15"/>
      <c r="FH183" s="15"/>
      <c r="FI183" s="15"/>
      <c r="FJ183" s="15"/>
      <c r="FK183" s="15"/>
      <c r="FL183" s="15"/>
      <c r="FM183" s="15"/>
      <c r="FN183" s="15"/>
      <c r="FO183" s="15"/>
      <c r="FP183" s="15"/>
      <c r="FQ183" s="15"/>
      <c r="FR183" s="15"/>
      <c r="FS183" s="15"/>
      <c r="FT183" s="15"/>
      <c r="FU183" s="15"/>
      <c r="FV183" s="15"/>
      <c r="FW183" s="15"/>
      <c r="FX183" s="15"/>
      <c r="FY183" s="15"/>
      <c r="FZ183" s="15"/>
      <c r="GA183" s="15"/>
      <c r="GB183" s="15"/>
      <c r="GC183" s="15"/>
      <c r="GD183" s="15"/>
      <c r="GE183" s="15"/>
      <c r="GF183" s="15"/>
      <c r="GG183" s="15"/>
      <c r="GH183" s="15"/>
      <c r="GI183" s="15"/>
      <c r="GJ183" s="15"/>
      <c r="GK183" s="15"/>
      <c r="GL183" s="15"/>
      <c r="GM183" s="15"/>
      <c r="GN183" s="15"/>
      <c r="GO183" s="15"/>
      <c r="GP183" s="15"/>
      <c r="GQ183" s="15"/>
      <c r="GR183" s="15"/>
      <c r="GS183" s="15"/>
      <c r="GT183" s="15"/>
      <c r="GU183" s="15"/>
      <c r="GV183" s="15"/>
      <c r="GW183" s="15"/>
      <c r="GX183" s="15"/>
      <c r="GY183" s="15"/>
      <c r="GZ183" s="15"/>
      <c r="HA183" s="15"/>
      <c r="HB183" s="15"/>
      <c r="HC183" s="15"/>
      <c r="HD183" s="15"/>
      <c r="HE183" s="15"/>
      <c r="HF183" s="15"/>
      <c r="HG183" s="15"/>
      <c r="HH183" s="15"/>
      <c r="HI183" s="15"/>
      <c r="HJ183" s="15"/>
      <c r="HK183" s="15"/>
      <c r="HL183" s="15"/>
      <c r="HM183" s="15"/>
      <c r="HN183" s="15"/>
      <c r="HO183" s="15"/>
      <c r="HP183" s="15"/>
      <c r="HQ183" s="15"/>
      <c r="HR183" s="15"/>
      <c r="HS183" s="15"/>
      <c r="HT183" s="15"/>
      <c r="HU183" s="15"/>
      <c r="HV183" s="15"/>
      <c r="HW183" s="15"/>
      <c r="HX183" s="15"/>
      <c r="HY183" s="15"/>
      <c r="HZ183" s="15"/>
      <c r="IA183" s="15"/>
      <c r="IB183" s="15"/>
      <c r="IC183" s="15"/>
      <c r="ID183" s="15"/>
      <c r="IE183" s="15"/>
      <c r="IF183" s="15"/>
      <c r="IG183" s="15"/>
      <c r="IH183" s="15"/>
      <c r="II183" s="15"/>
      <c r="IJ183" s="15"/>
      <c r="IK183" s="15"/>
      <c r="IL183" s="15"/>
      <c r="IM183" s="15"/>
      <c r="IN183" s="15"/>
      <c r="IO183" s="15"/>
      <c r="IP183" s="15"/>
      <c r="IQ183" s="15"/>
      <c r="IR183" s="15"/>
      <c r="IS183" s="15"/>
      <c r="IT183" s="15"/>
      <c r="IU183" s="15"/>
      <c r="IV183" s="15"/>
      <c r="IW183" s="15"/>
      <c r="IX183" s="15"/>
      <c r="IY183" s="15"/>
      <c r="IZ183" s="15"/>
      <c r="JA183" s="15"/>
      <c r="JB183" s="15"/>
      <c r="JC183" s="15"/>
      <c r="JD183" s="15"/>
      <c r="JE183" s="15"/>
      <c r="JF183" s="15"/>
      <c r="JG183" s="15"/>
      <c r="JH183" s="15"/>
      <c r="JI183" s="15"/>
      <c r="JJ183" s="15"/>
      <c r="JK183" s="15"/>
      <c r="JL183" s="15"/>
      <c r="JM183" s="15"/>
      <c r="JN183" s="15"/>
      <c r="JO183" s="15"/>
      <c r="JP183" s="15"/>
      <c r="JQ183" s="15"/>
      <c r="JR183" s="15"/>
      <c r="JS183" s="15"/>
      <c r="JT183" s="15"/>
      <c r="JU183" s="15"/>
      <c r="JV183" s="15"/>
      <c r="JW183" s="15"/>
      <c r="JX183" s="15"/>
      <c r="JY183" s="15"/>
      <c r="JZ183" s="15"/>
      <c r="KA183" s="15"/>
      <c r="KB183" s="15"/>
      <c r="KC183" s="15"/>
      <c r="KD183" s="15"/>
      <c r="KE183" s="15"/>
      <c r="KF183" s="15"/>
      <c r="KG183" s="15"/>
      <c r="KH183" s="15"/>
      <c r="KI183" s="15"/>
      <c r="KJ183" s="15"/>
      <c r="KK183" s="15"/>
      <c r="KL183" s="15"/>
      <c r="KM183" s="15"/>
      <c r="KN183" s="15"/>
      <c r="KO183" s="15"/>
      <c r="KP183" s="15"/>
      <c r="KQ183" s="15"/>
      <c r="KR183" s="15"/>
      <c r="KS183" s="15"/>
      <c r="KT183" s="15"/>
      <c r="KU183" s="15"/>
      <c r="KV183" s="15"/>
      <c r="KW183" s="15"/>
      <c r="KX183" s="15"/>
      <c r="KY183" s="15"/>
      <c r="KZ183" s="15"/>
      <c r="LA183" s="15"/>
      <c r="LB183" s="15"/>
      <c r="LC183" s="15"/>
      <c r="LD183" s="15"/>
      <c r="LE183" s="15"/>
      <c r="LF183" s="15"/>
      <c r="LG183" s="15"/>
      <c r="LH183" s="15"/>
      <c r="LI183" s="15"/>
      <c r="LJ183" s="15"/>
      <c r="LK183" s="15"/>
      <c r="LL183" s="15"/>
      <c r="LM183" s="15"/>
      <c r="LN183" s="15"/>
      <c r="LO183" s="15"/>
      <c r="LP183" s="15"/>
      <c r="LQ183" s="15"/>
      <c r="LR183" s="15"/>
      <c r="LS183" s="15"/>
      <c r="LT183" s="15"/>
      <c r="LU183" s="15"/>
      <c r="LV183" s="15"/>
      <c r="LW183" s="15"/>
      <c r="LX183" s="15"/>
      <c r="LY183" s="15"/>
      <c r="LZ183" s="15"/>
      <c r="MA183" s="15"/>
      <c r="MB183" s="15"/>
      <c r="MC183" s="15"/>
      <c r="MD183" s="15"/>
      <c r="ME183" s="15"/>
      <c r="MF183" s="15"/>
      <c r="MG183" s="15"/>
      <c r="MH183" s="15"/>
      <c r="MI183" s="15"/>
      <c r="MJ183" s="15"/>
      <c r="MK183" s="15"/>
      <c r="ML183" s="15"/>
      <c r="MM183" s="15"/>
      <c r="MN183" s="15"/>
      <c r="MO183" s="15"/>
      <c r="MP183" s="15"/>
      <c r="MQ183" s="15"/>
      <c r="MR183" s="15"/>
      <c r="MS183" s="15"/>
      <c r="MT183" s="15"/>
      <c r="MU183" s="15"/>
      <c r="MV183" s="15"/>
      <c r="MW183" s="15"/>
    </row>
    <row r="184" ht="41.25" customHeight="1">
      <c r="A184" s="13" t="s">
        <v>183</v>
      </c>
      <c r="B184" s="14" t="s">
        <v>10200</v>
      </c>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c r="DF184" s="15"/>
      <c r="DG184" s="15"/>
      <c r="DH184" s="15"/>
      <c r="DI184" s="15"/>
      <c r="DJ184" s="15"/>
      <c r="DK184" s="15"/>
      <c r="DL184" s="15"/>
      <c r="DM184" s="15"/>
      <c r="DN184" s="15"/>
      <c r="DO184" s="15"/>
      <c r="DP184" s="15"/>
      <c r="DQ184" s="15"/>
      <c r="DR184" s="15"/>
      <c r="DS184" s="15"/>
      <c r="DT184" s="15"/>
      <c r="DU184" s="15"/>
      <c r="DV184" s="15"/>
      <c r="DW184" s="15"/>
      <c r="DX184" s="15"/>
      <c r="DY184" s="15"/>
      <c r="DZ184" s="15"/>
      <c r="EA184" s="15"/>
      <c r="EB184" s="15"/>
      <c r="EC184" s="15"/>
      <c r="ED184" s="15"/>
      <c r="EE184" s="15"/>
      <c r="EF184" s="15"/>
      <c r="EG184" s="15"/>
      <c r="EH184" s="15"/>
      <c r="EI184" s="15"/>
      <c r="EJ184" s="15"/>
      <c r="EK184" s="15"/>
      <c r="EL184" s="15"/>
      <c r="EM184" s="15"/>
      <c r="EN184" s="15"/>
      <c r="EO184" s="15"/>
      <c r="EP184" s="15"/>
      <c r="EQ184" s="15"/>
      <c r="ER184" s="15"/>
      <c r="ES184" s="15"/>
      <c r="ET184" s="15"/>
      <c r="EU184" s="15"/>
      <c r="EV184" s="15"/>
      <c r="EW184" s="15"/>
      <c r="EX184" s="15"/>
      <c r="EY184" s="15"/>
      <c r="EZ184" s="15"/>
      <c r="FA184" s="15"/>
      <c r="FB184" s="15"/>
      <c r="FC184" s="15"/>
      <c r="FD184" s="15"/>
      <c r="FE184" s="15"/>
      <c r="FF184" s="15"/>
      <c r="FG184" s="15"/>
      <c r="FH184" s="15"/>
      <c r="FI184" s="15"/>
      <c r="FJ184" s="15"/>
      <c r="FK184" s="15"/>
      <c r="FL184" s="15"/>
      <c r="FM184" s="15"/>
      <c r="FN184" s="15"/>
      <c r="FO184" s="15"/>
      <c r="FP184" s="15"/>
      <c r="FQ184" s="15"/>
      <c r="FR184" s="15"/>
      <c r="FS184" s="15"/>
      <c r="FT184" s="15"/>
      <c r="FU184" s="15"/>
      <c r="FV184" s="15"/>
      <c r="FW184" s="15"/>
      <c r="FX184" s="15"/>
      <c r="FY184" s="15"/>
      <c r="FZ184" s="15"/>
      <c r="GA184" s="15"/>
      <c r="GB184" s="15"/>
      <c r="GC184" s="15"/>
      <c r="GD184" s="15"/>
      <c r="GE184" s="15"/>
      <c r="GF184" s="15"/>
      <c r="GG184" s="15"/>
      <c r="GH184" s="15"/>
      <c r="GI184" s="15"/>
      <c r="GJ184" s="15"/>
      <c r="GK184" s="15"/>
      <c r="GL184" s="15"/>
      <c r="GM184" s="15"/>
      <c r="GN184" s="15"/>
      <c r="GO184" s="15"/>
      <c r="GP184" s="15"/>
      <c r="GQ184" s="15"/>
      <c r="GR184" s="15"/>
      <c r="GS184" s="15"/>
      <c r="GT184" s="15"/>
      <c r="GU184" s="15"/>
      <c r="GV184" s="15"/>
      <c r="GW184" s="15"/>
      <c r="GX184" s="15"/>
      <c r="GY184" s="15"/>
      <c r="GZ184" s="15"/>
      <c r="HA184" s="15"/>
      <c r="HB184" s="15"/>
      <c r="HC184" s="15"/>
      <c r="HD184" s="15"/>
      <c r="HE184" s="15"/>
      <c r="HF184" s="15"/>
      <c r="HG184" s="15"/>
      <c r="HH184" s="15"/>
      <c r="HI184" s="15"/>
      <c r="HJ184" s="15"/>
      <c r="HK184" s="15"/>
      <c r="HL184" s="15"/>
      <c r="HM184" s="15"/>
      <c r="HN184" s="15"/>
      <c r="HO184" s="15"/>
      <c r="HP184" s="15"/>
      <c r="HQ184" s="15"/>
      <c r="HR184" s="15"/>
      <c r="HS184" s="15"/>
      <c r="HT184" s="15"/>
      <c r="HU184" s="15"/>
      <c r="HV184" s="15"/>
      <c r="HW184" s="15"/>
      <c r="HX184" s="15"/>
      <c r="HY184" s="15"/>
      <c r="HZ184" s="15"/>
      <c r="IA184" s="15"/>
      <c r="IB184" s="15"/>
      <c r="IC184" s="15"/>
      <c r="ID184" s="15"/>
      <c r="IE184" s="15"/>
      <c r="IF184" s="15"/>
      <c r="IG184" s="15"/>
      <c r="IH184" s="15"/>
      <c r="II184" s="15"/>
      <c r="IJ184" s="15"/>
      <c r="IK184" s="15"/>
      <c r="IL184" s="15"/>
      <c r="IM184" s="15"/>
      <c r="IN184" s="15"/>
      <c r="IO184" s="15"/>
      <c r="IP184" s="15"/>
      <c r="IQ184" s="15"/>
      <c r="IR184" s="15"/>
      <c r="IS184" s="15"/>
      <c r="IT184" s="15"/>
      <c r="IU184" s="15"/>
      <c r="IV184" s="15"/>
      <c r="IW184" s="15"/>
      <c r="IX184" s="15"/>
      <c r="IY184" s="15"/>
      <c r="IZ184" s="15"/>
      <c r="JA184" s="15"/>
      <c r="JB184" s="15"/>
      <c r="JC184" s="15"/>
      <c r="JD184" s="15"/>
      <c r="JE184" s="15"/>
      <c r="JF184" s="15"/>
      <c r="JG184" s="15"/>
      <c r="JH184" s="15"/>
      <c r="JI184" s="15"/>
      <c r="JJ184" s="15"/>
      <c r="JK184" s="15"/>
      <c r="JL184" s="15"/>
      <c r="JM184" s="15"/>
      <c r="JN184" s="15"/>
      <c r="JO184" s="15"/>
      <c r="JP184" s="15"/>
      <c r="JQ184" s="15"/>
      <c r="JR184" s="15"/>
      <c r="JS184" s="15"/>
      <c r="JT184" s="15"/>
      <c r="JU184" s="15"/>
      <c r="JV184" s="15"/>
      <c r="JW184" s="15"/>
      <c r="JX184" s="15"/>
      <c r="JY184" s="15"/>
      <c r="JZ184" s="15"/>
      <c r="KA184" s="15"/>
      <c r="KB184" s="15"/>
      <c r="KC184" s="15"/>
      <c r="KD184" s="15"/>
      <c r="KE184" s="15"/>
      <c r="KF184" s="15"/>
      <c r="KG184" s="15"/>
      <c r="KH184" s="15"/>
      <c r="KI184" s="15"/>
      <c r="KJ184" s="15"/>
      <c r="KK184" s="15"/>
      <c r="KL184" s="15"/>
      <c r="KM184" s="15"/>
      <c r="KN184" s="15"/>
      <c r="KO184" s="15"/>
      <c r="KP184" s="15"/>
      <c r="KQ184" s="15"/>
      <c r="KR184" s="15"/>
      <c r="KS184" s="15"/>
      <c r="KT184" s="15"/>
      <c r="KU184" s="15"/>
      <c r="KV184" s="15"/>
      <c r="KW184" s="15"/>
      <c r="KX184" s="15"/>
      <c r="KY184" s="15"/>
      <c r="KZ184" s="15"/>
      <c r="LA184" s="15"/>
      <c r="LB184" s="15"/>
      <c r="LC184" s="15"/>
      <c r="LD184" s="15"/>
      <c r="LE184" s="15"/>
      <c r="LF184" s="15"/>
      <c r="LG184" s="15"/>
      <c r="LH184" s="15"/>
      <c r="LI184" s="15"/>
      <c r="LJ184" s="15"/>
      <c r="LK184" s="15"/>
      <c r="LL184" s="15"/>
      <c r="LM184" s="15"/>
      <c r="LN184" s="15"/>
      <c r="LO184" s="15"/>
      <c r="LP184" s="15"/>
      <c r="LQ184" s="15"/>
      <c r="LR184" s="15"/>
      <c r="LS184" s="15"/>
      <c r="LT184" s="15"/>
      <c r="LU184" s="15"/>
      <c r="LV184" s="15"/>
      <c r="LW184" s="15"/>
      <c r="LX184" s="15"/>
      <c r="LY184" s="15"/>
      <c r="LZ184" s="15"/>
      <c r="MA184" s="15"/>
      <c r="MB184" s="15"/>
      <c r="MC184" s="15"/>
      <c r="MD184" s="15"/>
      <c r="ME184" s="15"/>
      <c r="MF184" s="15"/>
      <c r="MG184" s="15"/>
      <c r="MH184" s="15"/>
      <c r="MI184" s="15"/>
      <c r="MJ184" s="15"/>
      <c r="MK184" s="15"/>
      <c r="ML184" s="15"/>
      <c r="MM184" s="15"/>
      <c r="MN184" s="15"/>
      <c r="MO184" s="15"/>
      <c r="MP184" s="15"/>
      <c r="MQ184" s="15"/>
      <c r="MR184" s="15"/>
      <c r="MS184" s="15"/>
      <c r="MT184" s="15"/>
      <c r="MU184" s="15"/>
      <c r="MV184" s="15"/>
      <c r="MW184" s="15"/>
    </row>
    <row r="185" ht="119.25" customHeight="1">
      <c r="A185" s="13" t="s">
        <v>184</v>
      </c>
      <c r="B185" s="14" t="s">
        <v>10201</v>
      </c>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c r="DE185" s="15"/>
      <c r="DF185" s="15"/>
      <c r="DG185" s="15"/>
      <c r="DH185" s="15"/>
      <c r="DI185" s="15"/>
      <c r="DJ185" s="15"/>
      <c r="DK185" s="15"/>
      <c r="DL185" s="15"/>
      <c r="DM185" s="15"/>
      <c r="DN185" s="15"/>
      <c r="DO185" s="15"/>
      <c r="DP185" s="15"/>
      <c r="DQ185" s="15"/>
      <c r="DR185" s="15"/>
      <c r="DS185" s="15"/>
      <c r="DT185" s="15"/>
      <c r="DU185" s="15"/>
      <c r="DV185" s="15"/>
      <c r="DW185" s="15"/>
      <c r="DX185" s="15"/>
      <c r="DY185" s="15"/>
      <c r="DZ185" s="15"/>
      <c r="EA185" s="15"/>
      <c r="EB185" s="15"/>
      <c r="EC185" s="15"/>
      <c r="ED185" s="15"/>
      <c r="EE185" s="15"/>
      <c r="EF185" s="15"/>
      <c r="EG185" s="15"/>
      <c r="EH185" s="15"/>
      <c r="EI185" s="15"/>
      <c r="EJ185" s="15"/>
      <c r="EK185" s="15"/>
      <c r="EL185" s="15"/>
      <c r="EM185" s="15"/>
      <c r="EN185" s="15"/>
      <c r="EO185" s="15"/>
      <c r="EP185" s="15"/>
      <c r="EQ185" s="15"/>
      <c r="ER185" s="15"/>
      <c r="ES185" s="15"/>
      <c r="ET185" s="15"/>
      <c r="EU185" s="15"/>
      <c r="EV185" s="15"/>
      <c r="EW185" s="15"/>
      <c r="EX185" s="15"/>
      <c r="EY185" s="15"/>
      <c r="EZ185" s="15"/>
      <c r="FA185" s="15"/>
      <c r="FB185" s="15"/>
      <c r="FC185" s="15"/>
      <c r="FD185" s="15"/>
      <c r="FE185" s="15"/>
      <c r="FF185" s="15"/>
      <c r="FG185" s="15"/>
      <c r="FH185" s="15"/>
      <c r="FI185" s="15"/>
      <c r="FJ185" s="15"/>
      <c r="FK185" s="15"/>
      <c r="FL185" s="15"/>
      <c r="FM185" s="15"/>
      <c r="FN185" s="15"/>
      <c r="FO185" s="15"/>
      <c r="FP185" s="15"/>
      <c r="FQ185" s="15"/>
      <c r="FR185" s="15"/>
      <c r="FS185" s="15"/>
      <c r="FT185" s="15"/>
      <c r="FU185" s="15"/>
      <c r="FV185" s="15"/>
      <c r="FW185" s="15"/>
      <c r="FX185" s="15"/>
      <c r="FY185" s="15"/>
      <c r="FZ185" s="15"/>
      <c r="GA185" s="15"/>
      <c r="GB185" s="15"/>
      <c r="GC185" s="15"/>
      <c r="GD185" s="15"/>
      <c r="GE185" s="15"/>
      <c r="GF185" s="15"/>
      <c r="GG185" s="15"/>
      <c r="GH185" s="15"/>
      <c r="GI185" s="15"/>
      <c r="GJ185" s="15"/>
      <c r="GK185" s="15"/>
      <c r="GL185" s="15"/>
      <c r="GM185" s="15"/>
      <c r="GN185" s="15"/>
      <c r="GO185" s="15"/>
      <c r="GP185" s="15"/>
      <c r="GQ185" s="15"/>
      <c r="GR185" s="15"/>
      <c r="GS185" s="15"/>
      <c r="GT185" s="15"/>
      <c r="GU185" s="15"/>
      <c r="GV185" s="15"/>
      <c r="GW185" s="15"/>
      <c r="GX185" s="15"/>
      <c r="GY185" s="15"/>
      <c r="GZ185" s="15"/>
      <c r="HA185" s="15"/>
      <c r="HB185" s="15"/>
      <c r="HC185" s="15"/>
      <c r="HD185" s="15"/>
      <c r="HE185" s="15"/>
      <c r="HF185" s="15"/>
      <c r="HG185" s="15"/>
      <c r="HH185" s="15"/>
      <c r="HI185" s="15"/>
      <c r="HJ185" s="15"/>
      <c r="HK185" s="15"/>
      <c r="HL185" s="15"/>
      <c r="HM185" s="15"/>
      <c r="HN185" s="15"/>
      <c r="HO185" s="15"/>
      <c r="HP185" s="15"/>
      <c r="HQ185" s="15"/>
      <c r="HR185" s="15"/>
      <c r="HS185" s="15"/>
      <c r="HT185" s="15"/>
      <c r="HU185" s="15"/>
      <c r="HV185" s="15"/>
      <c r="HW185" s="15"/>
      <c r="HX185" s="15"/>
      <c r="HY185" s="15"/>
      <c r="HZ185" s="15"/>
      <c r="IA185" s="15"/>
      <c r="IB185" s="15"/>
      <c r="IC185" s="15"/>
      <c r="ID185" s="15"/>
      <c r="IE185" s="15"/>
      <c r="IF185" s="15"/>
      <c r="IG185" s="15"/>
      <c r="IH185" s="15"/>
      <c r="II185" s="15"/>
      <c r="IJ185" s="15"/>
      <c r="IK185" s="15"/>
      <c r="IL185" s="15"/>
      <c r="IM185" s="15"/>
      <c r="IN185" s="15"/>
      <c r="IO185" s="15"/>
      <c r="IP185" s="15"/>
      <c r="IQ185" s="15"/>
      <c r="IR185" s="15"/>
      <c r="IS185" s="15"/>
      <c r="IT185" s="15"/>
      <c r="IU185" s="15"/>
      <c r="IV185" s="15"/>
      <c r="IW185" s="15"/>
      <c r="IX185" s="15"/>
      <c r="IY185" s="15"/>
      <c r="IZ185" s="15"/>
      <c r="JA185" s="15"/>
      <c r="JB185" s="15"/>
      <c r="JC185" s="15"/>
      <c r="JD185" s="15"/>
      <c r="JE185" s="15"/>
      <c r="JF185" s="15"/>
      <c r="JG185" s="15"/>
      <c r="JH185" s="15"/>
      <c r="JI185" s="15"/>
      <c r="JJ185" s="15"/>
      <c r="JK185" s="15"/>
      <c r="JL185" s="15"/>
      <c r="JM185" s="15"/>
      <c r="JN185" s="15"/>
      <c r="JO185" s="15"/>
      <c r="JP185" s="15"/>
      <c r="JQ185" s="15"/>
      <c r="JR185" s="15"/>
      <c r="JS185" s="15"/>
      <c r="JT185" s="15"/>
      <c r="JU185" s="15"/>
      <c r="JV185" s="15"/>
      <c r="JW185" s="15"/>
      <c r="JX185" s="15"/>
      <c r="JY185" s="15"/>
      <c r="JZ185" s="15"/>
      <c r="KA185" s="15"/>
      <c r="KB185" s="15"/>
      <c r="KC185" s="15"/>
      <c r="KD185" s="15"/>
      <c r="KE185" s="15"/>
      <c r="KF185" s="15"/>
      <c r="KG185" s="15"/>
      <c r="KH185" s="15"/>
      <c r="KI185" s="15"/>
      <c r="KJ185" s="15"/>
      <c r="KK185" s="15"/>
      <c r="KL185" s="15"/>
      <c r="KM185" s="15"/>
      <c r="KN185" s="15"/>
      <c r="KO185" s="15"/>
      <c r="KP185" s="15"/>
      <c r="KQ185" s="15"/>
      <c r="KR185" s="15"/>
      <c r="KS185" s="15"/>
      <c r="KT185" s="15"/>
      <c r="KU185" s="15"/>
      <c r="KV185" s="15"/>
      <c r="KW185" s="15"/>
      <c r="KX185" s="15"/>
      <c r="KY185" s="15"/>
      <c r="KZ185" s="15"/>
      <c r="LA185" s="15"/>
      <c r="LB185" s="15"/>
      <c r="LC185" s="15"/>
      <c r="LD185" s="15"/>
      <c r="LE185" s="15"/>
      <c r="LF185" s="15"/>
      <c r="LG185" s="15"/>
      <c r="LH185" s="15"/>
      <c r="LI185" s="15"/>
      <c r="LJ185" s="15"/>
      <c r="LK185" s="15"/>
      <c r="LL185" s="15"/>
      <c r="LM185" s="15"/>
      <c r="LN185" s="15"/>
      <c r="LO185" s="15"/>
      <c r="LP185" s="15"/>
      <c r="LQ185" s="15"/>
      <c r="LR185" s="15"/>
      <c r="LS185" s="15"/>
      <c r="LT185" s="15"/>
      <c r="LU185" s="15"/>
      <c r="LV185" s="15"/>
      <c r="LW185" s="15"/>
      <c r="LX185" s="15"/>
      <c r="LY185" s="15"/>
      <c r="LZ185" s="15"/>
      <c r="MA185" s="15"/>
      <c r="MB185" s="15"/>
      <c r="MC185" s="15"/>
      <c r="MD185" s="15"/>
      <c r="ME185" s="15"/>
      <c r="MF185" s="15"/>
      <c r="MG185" s="15"/>
      <c r="MH185" s="15"/>
      <c r="MI185" s="15"/>
      <c r="MJ185" s="15"/>
      <c r="MK185" s="15"/>
      <c r="ML185" s="15"/>
      <c r="MM185" s="15"/>
      <c r="MN185" s="15"/>
      <c r="MO185" s="15"/>
      <c r="MP185" s="15"/>
      <c r="MQ185" s="15"/>
      <c r="MR185" s="15"/>
      <c r="MS185" s="15"/>
      <c r="MT185" s="15"/>
      <c r="MU185" s="15"/>
      <c r="MV185" s="15"/>
      <c r="MW185" s="15"/>
    </row>
    <row r="186" ht="41.25" customHeight="1">
      <c r="A186" s="13" t="s">
        <v>185</v>
      </c>
      <c r="B186" s="14" t="s">
        <v>10202</v>
      </c>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c r="DE186" s="15"/>
      <c r="DF186" s="15"/>
      <c r="DG186" s="15"/>
      <c r="DH186" s="15"/>
      <c r="DI186" s="15"/>
      <c r="DJ186" s="15"/>
      <c r="DK186" s="15"/>
      <c r="DL186" s="15"/>
      <c r="DM186" s="15"/>
      <c r="DN186" s="15"/>
      <c r="DO186" s="15"/>
      <c r="DP186" s="15"/>
      <c r="DQ186" s="15"/>
      <c r="DR186" s="15"/>
      <c r="DS186" s="15"/>
      <c r="DT186" s="15"/>
      <c r="DU186" s="15"/>
      <c r="DV186" s="15"/>
      <c r="DW186" s="15"/>
      <c r="DX186" s="15"/>
      <c r="DY186" s="15"/>
      <c r="DZ186" s="15"/>
      <c r="EA186" s="15"/>
      <c r="EB186" s="15"/>
      <c r="EC186" s="15"/>
      <c r="ED186" s="15"/>
      <c r="EE186" s="15"/>
      <c r="EF186" s="15"/>
      <c r="EG186" s="15"/>
      <c r="EH186" s="15"/>
      <c r="EI186" s="15"/>
      <c r="EJ186" s="15"/>
      <c r="EK186" s="15"/>
      <c r="EL186" s="15"/>
      <c r="EM186" s="15"/>
      <c r="EN186" s="15"/>
      <c r="EO186" s="15"/>
      <c r="EP186" s="15"/>
      <c r="EQ186" s="15"/>
      <c r="ER186" s="15"/>
      <c r="ES186" s="15"/>
      <c r="ET186" s="15"/>
      <c r="EU186" s="15"/>
      <c r="EV186" s="15"/>
      <c r="EW186" s="15"/>
      <c r="EX186" s="15"/>
      <c r="EY186" s="15"/>
      <c r="EZ186" s="15"/>
      <c r="FA186" s="15"/>
      <c r="FB186" s="15"/>
      <c r="FC186" s="15"/>
      <c r="FD186" s="15"/>
      <c r="FE186" s="15"/>
      <c r="FF186" s="15"/>
      <c r="FG186" s="15"/>
      <c r="FH186" s="15"/>
      <c r="FI186" s="15"/>
      <c r="FJ186" s="15"/>
      <c r="FK186" s="15"/>
      <c r="FL186" s="15"/>
      <c r="FM186" s="15"/>
      <c r="FN186" s="15"/>
      <c r="FO186" s="15"/>
      <c r="FP186" s="15"/>
      <c r="FQ186" s="15"/>
      <c r="FR186" s="15"/>
      <c r="FS186" s="15"/>
      <c r="FT186" s="15"/>
      <c r="FU186" s="15"/>
      <c r="FV186" s="15"/>
      <c r="FW186" s="15"/>
      <c r="FX186" s="15"/>
      <c r="FY186" s="15"/>
      <c r="FZ186" s="15"/>
      <c r="GA186" s="15"/>
      <c r="GB186" s="15"/>
      <c r="GC186" s="15"/>
      <c r="GD186" s="15"/>
      <c r="GE186" s="15"/>
      <c r="GF186" s="15"/>
      <c r="GG186" s="15"/>
      <c r="GH186" s="15"/>
      <c r="GI186" s="15"/>
      <c r="GJ186" s="15"/>
      <c r="GK186" s="15"/>
      <c r="GL186" s="15"/>
      <c r="GM186" s="15"/>
      <c r="GN186" s="15"/>
      <c r="GO186" s="15"/>
      <c r="GP186" s="15"/>
      <c r="GQ186" s="15"/>
      <c r="GR186" s="15"/>
      <c r="GS186" s="15"/>
      <c r="GT186" s="15"/>
      <c r="GU186" s="15"/>
      <c r="GV186" s="15"/>
      <c r="GW186" s="15"/>
      <c r="GX186" s="15"/>
      <c r="GY186" s="15"/>
      <c r="GZ186" s="15"/>
      <c r="HA186" s="15"/>
      <c r="HB186" s="15"/>
      <c r="HC186" s="15"/>
      <c r="HD186" s="15"/>
      <c r="HE186" s="15"/>
      <c r="HF186" s="15"/>
      <c r="HG186" s="15"/>
      <c r="HH186" s="15"/>
      <c r="HI186" s="15"/>
      <c r="HJ186" s="15"/>
      <c r="HK186" s="15"/>
      <c r="HL186" s="15"/>
      <c r="HM186" s="15"/>
      <c r="HN186" s="15"/>
      <c r="HO186" s="15"/>
      <c r="HP186" s="15"/>
      <c r="HQ186" s="15"/>
      <c r="HR186" s="15"/>
      <c r="HS186" s="15"/>
      <c r="HT186" s="15"/>
      <c r="HU186" s="15"/>
      <c r="HV186" s="15"/>
      <c r="HW186" s="15"/>
      <c r="HX186" s="15"/>
      <c r="HY186" s="15"/>
      <c r="HZ186" s="15"/>
      <c r="IA186" s="15"/>
      <c r="IB186" s="15"/>
      <c r="IC186" s="15"/>
      <c r="ID186" s="15"/>
      <c r="IE186" s="15"/>
      <c r="IF186" s="15"/>
      <c r="IG186" s="15"/>
      <c r="IH186" s="15"/>
      <c r="II186" s="15"/>
      <c r="IJ186" s="15"/>
      <c r="IK186" s="15"/>
      <c r="IL186" s="15"/>
      <c r="IM186" s="15"/>
      <c r="IN186" s="15"/>
      <c r="IO186" s="15"/>
      <c r="IP186" s="15"/>
      <c r="IQ186" s="15"/>
      <c r="IR186" s="15"/>
      <c r="IS186" s="15"/>
      <c r="IT186" s="15"/>
      <c r="IU186" s="15"/>
      <c r="IV186" s="15"/>
      <c r="IW186" s="15"/>
      <c r="IX186" s="15"/>
      <c r="IY186" s="15"/>
      <c r="IZ186" s="15"/>
      <c r="JA186" s="15"/>
      <c r="JB186" s="15"/>
      <c r="JC186" s="15"/>
      <c r="JD186" s="15"/>
      <c r="JE186" s="15"/>
      <c r="JF186" s="15"/>
      <c r="JG186" s="15"/>
      <c r="JH186" s="15"/>
      <c r="JI186" s="15"/>
      <c r="JJ186" s="15"/>
      <c r="JK186" s="15"/>
      <c r="JL186" s="15"/>
      <c r="JM186" s="15"/>
      <c r="JN186" s="15"/>
      <c r="JO186" s="15"/>
      <c r="JP186" s="15"/>
      <c r="JQ186" s="15"/>
      <c r="JR186" s="15"/>
      <c r="JS186" s="15"/>
      <c r="JT186" s="15"/>
      <c r="JU186" s="15"/>
      <c r="JV186" s="15"/>
      <c r="JW186" s="15"/>
      <c r="JX186" s="15"/>
      <c r="JY186" s="15"/>
      <c r="JZ186" s="15"/>
      <c r="KA186" s="15"/>
      <c r="KB186" s="15"/>
      <c r="KC186" s="15"/>
      <c r="KD186" s="15"/>
      <c r="KE186" s="15"/>
      <c r="KF186" s="15"/>
      <c r="KG186" s="15"/>
      <c r="KH186" s="15"/>
      <c r="KI186" s="15"/>
      <c r="KJ186" s="15"/>
      <c r="KK186" s="15"/>
      <c r="KL186" s="15"/>
      <c r="KM186" s="15"/>
      <c r="KN186" s="15"/>
      <c r="KO186" s="15"/>
      <c r="KP186" s="15"/>
      <c r="KQ186" s="15"/>
      <c r="KR186" s="15"/>
      <c r="KS186" s="15"/>
      <c r="KT186" s="15"/>
      <c r="KU186" s="15"/>
      <c r="KV186" s="15"/>
      <c r="KW186" s="15"/>
      <c r="KX186" s="15"/>
      <c r="KY186" s="15"/>
      <c r="KZ186" s="15"/>
      <c r="LA186" s="15"/>
      <c r="LB186" s="15"/>
      <c r="LC186" s="15"/>
      <c r="LD186" s="15"/>
      <c r="LE186" s="15"/>
      <c r="LF186" s="15"/>
      <c r="LG186" s="15"/>
      <c r="LH186" s="15"/>
      <c r="LI186" s="15"/>
      <c r="LJ186" s="15"/>
      <c r="LK186" s="15"/>
      <c r="LL186" s="15"/>
      <c r="LM186" s="15"/>
      <c r="LN186" s="15"/>
      <c r="LO186" s="15"/>
      <c r="LP186" s="15"/>
      <c r="LQ186" s="15"/>
      <c r="LR186" s="15"/>
      <c r="LS186" s="15"/>
      <c r="LT186" s="15"/>
      <c r="LU186" s="15"/>
      <c r="LV186" s="15"/>
      <c r="LW186" s="15"/>
      <c r="LX186" s="15"/>
      <c r="LY186" s="15"/>
      <c r="LZ186" s="15"/>
      <c r="MA186" s="15"/>
      <c r="MB186" s="15"/>
      <c r="MC186" s="15"/>
      <c r="MD186" s="15"/>
      <c r="ME186" s="15"/>
      <c r="MF186" s="15"/>
      <c r="MG186" s="15"/>
      <c r="MH186" s="15"/>
      <c r="MI186" s="15"/>
      <c r="MJ186" s="15"/>
      <c r="MK186" s="15"/>
      <c r="ML186" s="15"/>
      <c r="MM186" s="15"/>
      <c r="MN186" s="15"/>
      <c r="MO186" s="15"/>
      <c r="MP186" s="15"/>
      <c r="MQ186" s="15"/>
      <c r="MR186" s="15"/>
      <c r="MS186" s="15"/>
      <c r="MT186" s="15"/>
      <c r="MU186" s="15"/>
      <c r="MV186" s="15"/>
      <c r="MW186" s="15"/>
    </row>
    <row r="187" ht="119.25" customHeight="1">
      <c r="A187" s="13" t="s">
        <v>186</v>
      </c>
      <c r="B187" s="14" t="s">
        <v>10203</v>
      </c>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c r="DE187" s="15"/>
      <c r="DF187" s="15"/>
      <c r="DG187" s="15"/>
      <c r="DH187" s="15"/>
      <c r="DI187" s="15"/>
      <c r="DJ187" s="15"/>
      <c r="DK187" s="15"/>
      <c r="DL187" s="15"/>
      <c r="DM187" s="15"/>
      <c r="DN187" s="15"/>
      <c r="DO187" s="15"/>
      <c r="DP187" s="15"/>
      <c r="DQ187" s="15"/>
      <c r="DR187" s="15"/>
      <c r="DS187" s="15"/>
      <c r="DT187" s="15"/>
      <c r="DU187" s="15"/>
      <c r="DV187" s="15"/>
      <c r="DW187" s="15"/>
      <c r="DX187" s="15"/>
      <c r="DY187" s="15"/>
      <c r="DZ187" s="15"/>
      <c r="EA187" s="15"/>
      <c r="EB187" s="15"/>
      <c r="EC187" s="15"/>
      <c r="ED187" s="15"/>
      <c r="EE187" s="15"/>
      <c r="EF187" s="15"/>
      <c r="EG187" s="15"/>
      <c r="EH187" s="15"/>
      <c r="EI187" s="15"/>
      <c r="EJ187" s="15"/>
      <c r="EK187" s="15"/>
      <c r="EL187" s="15"/>
      <c r="EM187" s="15"/>
      <c r="EN187" s="15"/>
      <c r="EO187" s="15"/>
      <c r="EP187" s="15"/>
      <c r="EQ187" s="15"/>
      <c r="ER187" s="15"/>
      <c r="ES187" s="15"/>
      <c r="ET187" s="15"/>
      <c r="EU187" s="15"/>
      <c r="EV187" s="15"/>
      <c r="EW187" s="15"/>
      <c r="EX187" s="15"/>
      <c r="EY187" s="15"/>
      <c r="EZ187" s="15"/>
      <c r="FA187" s="15"/>
      <c r="FB187" s="15"/>
      <c r="FC187" s="15"/>
      <c r="FD187" s="15"/>
      <c r="FE187" s="15"/>
      <c r="FF187" s="15"/>
      <c r="FG187" s="15"/>
      <c r="FH187" s="15"/>
      <c r="FI187" s="15"/>
      <c r="FJ187" s="15"/>
      <c r="FK187" s="15"/>
      <c r="FL187" s="15"/>
      <c r="FM187" s="15"/>
      <c r="FN187" s="15"/>
      <c r="FO187" s="15"/>
      <c r="FP187" s="15"/>
      <c r="FQ187" s="15"/>
      <c r="FR187" s="15"/>
      <c r="FS187" s="15"/>
      <c r="FT187" s="15"/>
      <c r="FU187" s="15"/>
      <c r="FV187" s="15"/>
      <c r="FW187" s="15"/>
      <c r="FX187" s="15"/>
      <c r="FY187" s="15"/>
      <c r="FZ187" s="15"/>
      <c r="GA187" s="15"/>
      <c r="GB187" s="15"/>
      <c r="GC187" s="15"/>
      <c r="GD187" s="15"/>
      <c r="GE187" s="15"/>
      <c r="GF187" s="15"/>
      <c r="GG187" s="15"/>
      <c r="GH187" s="15"/>
      <c r="GI187" s="15"/>
      <c r="GJ187" s="15"/>
      <c r="GK187" s="15"/>
      <c r="GL187" s="15"/>
      <c r="GM187" s="15"/>
      <c r="GN187" s="15"/>
      <c r="GO187" s="15"/>
      <c r="GP187" s="15"/>
      <c r="GQ187" s="15"/>
      <c r="GR187" s="15"/>
      <c r="GS187" s="15"/>
      <c r="GT187" s="15"/>
      <c r="GU187" s="15"/>
      <c r="GV187" s="15"/>
      <c r="GW187" s="15"/>
      <c r="GX187" s="15"/>
      <c r="GY187" s="15"/>
      <c r="GZ187" s="15"/>
      <c r="HA187" s="15"/>
      <c r="HB187" s="15"/>
      <c r="HC187" s="15"/>
      <c r="HD187" s="15"/>
      <c r="HE187" s="15"/>
      <c r="HF187" s="15"/>
      <c r="HG187" s="15"/>
      <c r="HH187" s="15"/>
      <c r="HI187" s="15"/>
      <c r="HJ187" s="15"/>
      <c r="HK187" s="15"/>
      <c r="HL187" s="15"/>
      <c r="HM187" s="15"/>
      <c r="HN187" s="15"/>
      <c r="HO187" s="15"/>
      <c r="HP187" s="15"/>
      <c r="HQ187" s="15"/>
      <c r="HR187" s="15"/>
      <c r="HS187" s="15"/>
      <c r="HT187" s="15"/>
      <c r="HU187" s="15"/>
      <c r="HV187" s="15"/>
      <c r="HW187" s="15"/>
      <c r="HX187" s="15"/>
      <c r="HY187" s="15"/>
      <c r="HZ187" s="15"/>
      <c r="IA187" s="15"/>
      <c r="IB187" s="15"/>
      <c r="IC187" s="15"/>
      <c r="ID187" s="15"/>
      <c r="IE187" s="15"/>
      <c r="IF187" s="15"/>
      <c r="IG187" s="15"/>
      <c r="IH187" s="15"/>
      <c r="II187" s="15"/>
      <c r="IJ187" s="15"/>
      <c r="IK187" s="15"/>
      <c r="IL187" s="15"/>
      <c r="IM187" s="15"/>
      <c r="IN187" s="15"/>
      <c r="IO187" s="15"/>
      <c r="IP187" s="15"/>
      <c r="IQ187" s="15"/>
      <c r="IR187" s="15"/>
      <c r="IS187" s="15"/>
      <c r="IT187" s="15"/>
      <c r="IU187" s="15"/>
      <c r="IV187" s="15"/>
      <c r="IW187" s="15"/>
      <c r="IX187" s="15"/>
      <c r="IY187" s="15"/>
      <c r="IZ187" s="15"/>
      <c r="JA187" s="15"/>
      <c r="JB187" s="15"/>
      <c r="JC187" s="15"/>
      <c r="JD187" s="15"/>
      <c r="JE187" s="15"/>
      <c r="JF187" s="15"/>
      <c r="JG187" s="15"/>
      <c r="JH187" s="15"/>
      <c r="JI187" s="15"/>
      <c r="JJ187" s="15"/>
      <c r="JK187" s="15"/>
      <c r="JL187" s="15"/>
      <c r="JM187" s="15"/>
      <c r="JN187" s="15"/>
      <c r="JO187" s="15"/>
      <c r="JP187" s="15"/>
      <c r="JQ187" s="15"/>
      <c r="JR187" s="15"/>
      <c r="JS187" s="15"/>
      <c r="JT187" s="15"/>
      <c r="JU187" s="15"/>
      <c r="JV187" s="15"/>
      <c r="JW187" s="15"/>
      <c r="JX187" s="15"/>
      <c r="JY187" s="15"/>
      <c r="JZ187" s="15"/>
      <c r="KA187" s="15"/>
      <c r="KB187" s="15"/>
      <c r="KC187" s="15"/>
      <c r="KD187" s="15"/>
      <c r="KE187" s="15"/>
      <c r="KF187" s="15"/>
      <c r="KG187" s="15"/>
      <c r="KH187" s="15"/>
      <c r="KI187" s="15"/>
      <c r="KJ187" s="15"/>
      <c r="KK187" s="15"/>
      <c r="KL187" s="15"/>
      <c r="KM187" s="15"/>
      <c r="KN187" s="15"/>
      <c r="KO187" s="15"/>
      <c r="KP187" s="15"/>
      <c r="KQ187" s="15"/>
      <c r="KR187" s="15"/>
      <c r="KS187" s="15"/>
      <c r="KT187" s="15"/>
      <c r="KU187" s="15"/>
      <c r="KV187" s="15"/>
      <c r="KW187" s="15"/>
      <c r="KX187" s="15"/>
      <c r="KY187" s="15"/>
      <c r="KZ187" s="15"/>
      <c r="LA187" s="15"/>
      <c r="LB187" s="15"/>
      <c r="LC187" s="15"/>
      <c r="LD187" s="15"/>
      <c r="LE187" s="15"/>
      <c r="LF187" s="15"/>
      <c r="LG187" s="15"/>
      <c r="LH187" s="15"/>
      <c r="LI187" s="15"/>
      <c r="LJ187" s="15"/>
      <c r="LK187" s="15"/>
      <c r="LL187" s="15"/>
      <c r="LM187" s="15"/>
      <c r="LN187" s="15"/>
      <c r="LO187" s="15"/>
      <c r="LP187" s="15"/>
      <c r="LQ187" s="15"/>
      <c r="LR187" s="15"/>
      <c r="LS187" s="15"/>
      <c r="LT187" s="15"/>
      <c r="LU187" s="15"/>
      <c r="LV187" s="15"/>
      <c r="LW187" s="15"/>
      <c r="LX187" s="15"/>
      <c r="LY187" s="15"/>
      <c r="LZ187" s="15"/>
      <c r="MA187" s="15"/>
      <c r="MB187" s="15"/>
      <c r="MC187" s="15"/>
      <c r="MD187" s="15"/>
      <c r="ME187" s="15"/>
      <c r="MF187" s="15"/>
      <c r="MG187" s="15"/>
      <c r="MH187" s="15"/>
      <c r="MI187" s="15"/>
      <c r="MJ187" s="15"/>
      <c r="MK187" s="15"/>
      <c r="ML187" s="15"/>
      <c r="MM187" s="15"/>
      <c r="MN187" s="15"/>
      <c r="MO187" s="15"/>
      <c r="MP187" s="15"/>
      <c r="MQ187" s="15"/>
      <c r="MR187" s="15"/>
      <c r="MS187" s="15"/>
      <c r="MT187" s="15"/>
      <c r="MU187" s="15"/>
      <c r="MV187" s="15"/>
      <c r="MW187" s="15"/>
    </row>
    <row r="188" ht="41.25" customHeight="1">
      <c r="A188" s="13" t="s">
        <v>187</v>
      </c>
      <c r="B188" s="14" t="s">
        <v>10204</v>
      </c>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c r="DE188" s="15"/>
      <c r="DF188" s="15"/>
      <c r="DG188" s="15"/>
      <c r="DH188" s="15"/>
      <c r="DI188" s="15"/>
      <c r="DJ188" s="15"/>
      <c r="DK188" s="15"/>
      <c r="DL188" s="15"/>
      <c r="DM188" s="15"/>
      <c r="DN188" s="15"/>
      <c r="DO188" s="15"/>
      <c r="DP188" s="15"/>
      <c r="DQ188" s="15"/>
      <c r="DR188" s="15"/>
      <c r="DS188" s="15"/>
      <c r="DT188" s="15"/>
      <c r="DU188" s="15"/>
      <c r="DV188" s="15"/>
      <c r="DW188" s="15"/>
      <c r="DX188" s="15"/>
      <c r="DY188" s="15"/>
      <c r="DZ188" s="15"/>
      <c r="EA188" s="15"/>
      <c r="EB188" s="15"/>
      <c r="EC188" s="15"/>
      <c r="ED188" s="15"/>
      <c r="EE188" s="15"/>
      <c r="EF188" s="15"/>
      <c r="EG188" s="15"/>
      <c r="EH188" s="15"/>
      <c r="EI188" s="15"/>
      <c r="EJ188" s="15"/>
      <c r="EK188" s="15"/>
      <c r="EL188" s="15"/>
      <c r="EM188" s="15"/>
      <c r="EN188" s="15"/>
      <c r="EO188" s="15"/>
      <c r="EP188" s="15"/>
      <c r="EQ188" s="15"/>
      <c r="ER188" s="15"/>
      <c r="ES188" s="15"/>
      <c r="ET188" s="15"/>
      <c r="EU188" s="15"/>
      <c r="EV188" s="15"/>
      <c r="EW188" s="15"/>
      <c r="EX188" s="15"/>
      <c r="EY188" s="15"/>
      <c r="EZ188" s="15"/>
      <c r="FA188" s="15"/>
      <c r="FB188" s="15"/>
      <c r="FC188" s="15"/>
      <c r="FD188" s="15"/>
      <c r="FE188" s="15"/>
      <c r="FF188" s="15"/>
      <c r="FG188" s="15"/>
      <c r="FH188" s="15"/>
      <c r="FI188" s="15"/>
      <c r="FJ188" s="15"/>
      <c r="FK188" s="15"/>
      <c r="FL188" s="15"/>
      <c r="FM188" s="15"/>
      <c r="FN188" s="15"/>
      <c r="FO188" s="15"/>
      <c r="FP188" s="15"/>
      <c r="FQ188" s="15"/>
      <c r="FR188" s="15"/>
      <c r="FS188" s="15"/>
      <c r="FT188" s="15"/>
      <c r="FU188" s="15"/>
      <c r="FV188" s="15"/>
      <c r="FW188" s="15"/>
      <c r="FX188" s="15"/>
      <c r="FY188" s="15"/>
      <c r="FZ188" s="15"/>
      <c r="GA188" s="15"/>
      <c r="GB188" s="15"/>
      <c r="GC188" s="15"/>
      <c r="GD188" s="15"/>
      <c r="GE188" s="15"/>
      <c r="GF188" s="15"/>
      <c r="GG188" s="15"/>
      <c r="GH188" s="15"/>
      <c r="GI188" s="15"/>
      <c r="GJ188" s="15"/>
      <c r="GK188" s="15"/>
      <c r="GL188" s="15"/>
      <c r="GM188" s="15"/>
      <c r="GN188" s="15"/>
      <c r="GO188" s="15"/>
      <c r="GP188" s="15"/>
      <c r="GQ188" s="15"/>
      <c r="GR188" s="15"/>
      <c r="GS188" s="15"/>
      <c r="GT188" s="15"/>
      <c r="GU188" s="15"/>
      <c r="GV188" s="15"/>
      <c r="GW188" s="15"/>
      <c r="GX188" s="15"/>
      <c r="GY188" s="15"/>
      <c r="GZ188" s="15"/>
      <c r="HA188" s="15"/>
      <c r="HB188" s="15"/>
      <c r="HC188" s="15"/>
      <c r="HD188" s="15"/>
      <c r="HE188" s="15"/>
      <c r="HF188" s="15"/>
      <c r="HG188" s="15"/>
      <c r="HH188" s="15"/>
      <c r="HI188" s="15"/>
      <c r="HJ188" s="15"/>
      <c r="HK188" s="15"/>
      <c r="HL188" s="15"/>
      <c r="HM188" s="15"/>
      <c r="HN188" s="15"/>
      <c r="HO188" s="15"/>
      <c r="HP188" s="15"/>
      <c r="HQ188" s="15"/>
      <c r="HR188" s="15"/>
      <c r="HS188" s="15"/>
      <c r="HT188" s="15"/>
      <c r="HU188" s="15"/>
      <c r="HV188" s="15"/>
      <c r="HW188" s="15"/>
      <c r="HX188" s="15"/>
      <c r="HY188" s="15"/>
      <c r="HZ188" s="15"/>
      <c r="IA188" s="15"/>
      <c r="IB188" s="15"/>
      <c r="IC188" s="15"/>
      <c r="ID188" s="15"/>
      <c r="IE188" s="15"/>
      <c r="IF188" s="15"/>
      <c r="IG188" s="15"/>
      <c r="IH188" s="15"/>
      <c r="II188" s="15"/>
      <c r="IJ188" s="15"/>
      <c r="IK188" s="15"/>
      <c r="IL188" s="15"/>
      <c r="IM188" s="15"/>
      <c r="IN188" s="15"/>
      <c r="IO188" s="15"/>
      <c r="IP188" s="15"/>
      <c r="IQ188" s="15"/>
      <c r="IR188" s="15"/>
      <c r="IS188" s="15"/>
      <c r="IT188" s="15"/>
      <c r="IU188" s="15"/>
      <c r="IV188" s="15"/>
      <c r="IW188" s="15"/>
      <c r="IX188" s="15"/>
      <c r="IY188" s="15"/>
      <c r="IZ188" s="15"/>
      <c r="JA188" s="15"/>
      <c r="JB188" s="15"/>
      <c r="JC188" s="15"/>
      <c r="JD188" s="15"/>
      <c r="JE188" s="15"/>
      <c r="JF188" s="15"/>
      <c r="JG188" s="15"/>
      <c r="JH188" s="15"/>
      <c r="JI188" s="15"/>
      <c r="JJ188" s="15"/>
      <c r="JK188" s="15"/>
      <c r="JL188" s="15"/>
      <c r="JM188" s="15"/>
      <c r="JN188" s="15"/>
      <c r="JO188" s="15"/>
      <c r="JP188" s="15"/>
      <c r="JQ188" s="15"/>
      <c r="JR188" s="15"/>
      <c r="JS188" s="15"/>
      <c r="JT188" s="15"/>
      <c r="JU188" s="15"/>
      <c r="JV188" s="15"/>
      <c r="JW188" s="15"/>
      <c r="JX188" s="15"/>
      <c r="JY188" s="15"/>
      <c r="JZ188" s="15"/>
      <c r="KA188" s="15"/>
      <c r="KB188" s="15"/>
      <c r="KC188" s="15"/>
      <c r="KD188" s="15"/>
      <c r="KE188" s="15"/>
      <c r="KF188" s="15"/>
      <c r="KG188" s="15"/>
      <c r="KH188" s="15"/>
      <c r="KI188" s="15"/>
      <c r="KJ188" s="15"/>
      <c r="KK188" s="15"/>
      <c r="KL188" s="15"/>
      <c r="KM188" s="15"/>
      <c r="KN188" s="15"/>
      <c r="KO188" s="15"/>
      <c r="KP188" s="15"/>
      <c r="KQ188" s="15"/>
      <c r="KR188" s="15"/>
      <c r="KS188" s="15"/>
      <c r="KT188" s="15"/>
      <c r="KU188" s="15"/>
      <c r="KV188" s="15"/>
      <c r="KW188" s="15"/>
      <c r="KX188" s="15"/>
      <c r="KY188" s="15"/>
      <c r="KZ188" s="15"/>
      <c r="LA188" s="15"/>
      <c r="LB188" s="15"/>
      <c r="LC188" s="15"/>
      <c r="LD188" s="15"/>
      <c r="LE188" s="15"/>
      <c r="LF188" s="15"/>
      <c r="LG188" s="15"/>
      <c r="LH188" s="15"/>
      <c r="LI188" s="15"/>
      <c r="LJ188" s="15"/>
      <c r="LK188" s="15"/>
      <c r="LL188" s="15"/>
      <c r="LM188" s="15"/>
      <c r="LN188" s="15"/>
      <c r="LO188" s="15"/>
      <c r="LP188" s="15"/>
      <c r="LQ188" s="15"/>
      <c r="LR188" s="15"/>
      <c r="LS188" s="15"/>
      <c r="LT188" s="15"/>
      <c r="LU188" s="15"/>
      <c r="LV188" s="15"/>
      <c r="LW188" s="15"/>
      <c r="LX188" s="15"/>
      <c r="LY188" s="15"/>
      <c r="LZ188" s="15"/>
      <c r="MA188" s="15"/>
      <c r="MB188" s="15"/>
      <c r="MC188" s="15"/>
      <c r="MD188" s="15"/>
      <c r="ME188" s="15"/>
      <c r="MF188" s="15"/>
      <c r="MG188" s="15"/>
      <c r="MH188" s="15"/>
      <c r="MI188" s="15"/>
      <c r="MJ188" s="15"/>
      <c r="MK188" s="15"/>
      <c r="ML188" s="15"/>
      <c r="MM188" s="15"/>
      <c r="MN188" s="15"/>
      <c r="MO188" s="15"/>
      <c r="MP188" s="15"/>
      <c r="MQ188" s="15"/>
      <c r="MR188" s="15"/>
      <c r="MS188" s="15"/>
      <c r="MT188" s="15"/>
      <c r="MU188" s="15"/>
      <c r="MV188" s="15"/>
      <c r="MW188" s="15"/>
    </row>
    <row r="189" ht="119.25" customHeight="1">
      <c r="A189" s="13" t="s">
        <v>10205</v>
      </c>
      <c r="B189" s="14" t="s">
        <v>10206</v>
      </c>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c r="DE189" s="15"/>
      <c r="DF189" s="15"/>
      <c r="DG189" s="15"/>
      <c r="DH189" s="15"/>
      <c r="DI189" s="15"/>
      <c r="DJ189" s="15"/>
      <c r="DK189" s="15"/>
      <c r="DL189" s="15"/>
      <c r="DM189" s="15"/>
      <c r="DN189" s="15"/>
      <c r="DO189" s="15"/>
      <c r="DP189" s="15"/>
      <c r="DQ189" s="15"/>
      <c r="DR189" s="15"/>
      <c r="DS189" s="15"/>
      <c r="DT189" s="15"/>
      <c r="DU189" s="15"/>
      <c r="DV189" s="15"/>
      <c r="DW189" s="15"/>
      <c r="DX189" s="15"/>
      <c r="DY189" s="15"/>
      <c r="DZ189" s="15"/>
      <c r="EA189" s="15"/>
      <c r="EB189" s="15"/>
      <c r="EC189" s="15"/>
      <c r="ED189" s="15"/>
      <c r="EE189" s="15"/>
      <c r="EF189" s="15"/>
      <c r="EG189" s="15"/>
      <c r="EH189" s="15"/>
      <c r="EI189" s="15"/>
      <c r="EJ189" s="15"/>
      <c r="EK189" s="15"/>
      <c r="EL189" s="15"/>
      <c r="EM189" s="15"/>
      <c r="EN189" s="15"/>
      <c r="EO189" s="15"/>
      <c r="EP189" s="15"/>
      <c r="EQ189" s="15"/>
      <c r="ER189" s="15"/>
      <c r="ES189" s="15"/>
      <c r="ET189" s="15"/>
      <c r="EU189" s="15"/>
      <c r="EV189" s="15"/>
      <c r="EW189" s="15"/>
      <c r="EX189" s="15"/>
      <c r="EY189" s="15"/>
      <c r="EZ189" s="15"/>
      <c r="FA189" s="15"/>
      <c r="FB189" s="15"/>
      <c r="FC189" s="15"/>
      <c r="FD189" s="15"/>
      <c r="FE189" s="15"/>
      <c r="FF189" s="15"/>
      <c r="FG189" s="15"/>
      <c r="FH189" s="15"/>
      <c r="FI189" s="15"/>
      <c r="FJ189" s="15"/>
      <c r="FK189" s="15"/>
      <c r="FL189" s="15"/>
      <c r="FM189" s="15"/>
      <c r="FN189" s="15"/>
      <c r="FO189" s="15"/>
      <c r="FP189" s="15"/>
      <c r="FQ189" s="15"/>
      <c r="FR189" s="15"/>
      <c r="FS189" s="15"/>
      <c r="FT189" s="15"/>
      <c r="FU189" s="15"/>
      <c r="FV189" s="15"/>
      <c r="FW189" s="15"/>
      <c r="FX189" s="15"/>
      <c r="FY189" s="15"/>
      <c r="FZ189" s="15"/>
      <c r="GA189" s="15"/>
      <c r="GB189" s="15"/>
      <c r="GC189" s="15"/>
      <c r="GD189" s="15"/>
      <c r="GE189" s="15"/>
      <c r="GF189" s="15"/>
      <c r="GG189" s="15"/>
      <c r="GH189" s="15"/>
      <c r="GI189" s="15"/>
      <c r="GJ189" s="15"/>
      <c r="GK189" s="15"/>
      <c r="GL189" s="15"/>
      <c r="GM189" s="15"/>
      <c r="GN189" s="15"/>
      <c r="GO189" s="15"/>
      <c r="GP189" s="15"/>
      <c r="GQ189" s="15"/>
      <c r="GR189" s="15"/>
      <c r="GS189" s="15"/>
      <c r="GT189" s="15"/>
      <c r="GU189" s="15"/>
      <c r="GV189" s="15"/>
      <c r="GW189" s="15"/>
      <c r="GX189" s="15"/>
      <c r="GY189" s="15"/>
      <c r="GZ189" s="15"/>
      <c r="HA189" s="15"/>
      <c r="HB189" s="15"/>
      <c r="HC189" s="15"/>
      <c r="HD189" s="15"/>
      <c r="HE189" s="15"/>
      <c r="HF189" s="15"/>
      <c r="HG189" s="15"/>
      <c r="HH189" s="15"/>
      <c r="HI189" s="15"/>
      <c r="HJ189" s="15"/>
      <c r="HK189" s="15"/>
      <c r="HL189" s="15"/>
      <c r="HM189" s="15"/>
      <c r="HN189" s="15"/>
      <c r="HO189" s="15"/>
      <c r="HP189" s="15"/>
      <c r="HQ189" s="15"/>
      <c r="HR189" s="15"/>
      <c r="HS189" s="15"/>
      <c r="HT189" s="15"/>
      <c r="HU189" s="15"/>
      <c r="HV189" s="15"/>
      <c r="HW189" s="15"/>
      <c r="HX189" s="15"/>
      <c r="HY189" s="15"/>
      <c r="HZ189" s="15"/>
      <c r="IA189" s="15"/>
      <c r="IB189" s="15"/>
      <c r="IC189" s="15"/>
      <c r="ID189" s="15"/>
      <c r="IE189" s="15"/>
      <c r="IF189" s="15"/>
      <c r="IG189" s="15"/>
      <c r="IH189" s="15"/>
      <c r="II189" s="15"/>
      <c r="IJ189" s="15"/>
      <c r="IK189" s="15"/>
      <c r="IL189" s="15"/>
      <c r="IM189" s="15"/>
      <c r="IN189" s="15"/>
      <c r="IO189" s="15"/>
      <c r="IP189" s="15"/>
      <c r="IQ189" s="15"/>
      <c r="IR189" s="15"/>
      <c r="IS189" s="15"/>
      <c r="IT189" s="15"/>
      <c r="IU189" s="15"/>
      <c r="IV189" s="15"/>
      <c r="IW189" s="15"/>
      <c r="IX189" s="15"/>
      <c r="IY189" s="15"/>
      <c r="IZ189" s="15"/>
      <c r="JA189" s="15"/>
      <c r="JB189" s="15"/>
      <c r="JC189" s="15"/>
      <c r="JD189" s="15"/>
      <c r="JE189" s="15"/>
      <c r="JF189" s="15"/>
      <c r="JG189" s="15"/>
      <c r="JH189" s="15"/>
      <c r="JI189" s="15"/>
      <c r="JJ189" s="15"/>
      <c r="JK189" s="15"/>
      <c r="JL189" s="15"/>
      <c r="JM189" s="15"/>
      <c r="JN189" s="15"/>
      <c r="JO189" s="15"/>
      <c r="JP189" s="15"/>
      <c r="JQ189" s="15"/>
      <c r="JR189" s="15"/>
      <c r="JS189" s="15"/>
      <c r="JT189" s="15"/>
      <c r="JU189" s="15"/>
      <c r="JV189" s="15"/>
      <c r="JW189" s="15"/>
      <c r="JX189" s="15"/>
      <c r="JY189" s="15"/>
      <c r="JZ189" s="15"/>
      <c r="KA189" s="15"/>
      <c r="KB189" s="15"/>
      <c r="KC189" s="15"/>
      <c r="KD189" s="15"/>
      <c r="KE189" s="15"/>
      <c r="KF189" s="15"/>
      <c r="KG189" s="15"/>
      <c r="KH189" s="15"/>
      <c r="KI189" s="15"/>
      <c r="KJ189" s="15"/>
      <c r="KK189" s="15"/>
      <c r="KL189" s="15"/>
      <c r="KM189" s="15"/>
      <c r="KN189" s="15"/>
      <c r="KO189" s="15"/>
      <c r="KP189" s="15"/>
      <c r="KQ189" s="15"/>
      <c r="KR189" s="15"/>
      <c r="KS189" s="15"/>
      <c r="KT189" s="15"/>
      <c r="KU189" s="15"/>
      <c r="KV189" s="15"/>
      <c r="KW189" s="15"/>
      <c r="KX189" s="15"/>
      <c r="KY189" s="15"/>
      <c r="KZ189" s="15"/>
      <c r="LA189" s="15"/>
      <c r="LB189" s="15"/>
      <c r="LC189" s="15"/>
      <c r="LD189" s="15"/>
      <c r="LE189" s="15"/>
      <c r="LF189" s="15"/>
      <c r="LG189" s="15"/>
      <c r="LH189" s="15"/>
      <c r="LI189" s="15"/>
      <c r="LJ189" s="15"/>
      <c r="LK189" s="15"/>
      <c r="LL189" s="15"/>
      <c r="LM189" s="15"/>
      <c r="LN189" s="15"/>
      <c r="LO189" s="15"/>
      <c r="LP189" s="15"/>
      <c r="LQ189" s="15"/>
      <c r="LR189" s="15"/>
      <c r="LS189" s="15"/>
      <c r="LT189" s="15"/>
      <c r="LU189" s="15"/>
      <c r="LV189" s="15"/>
      <c r="LW189" s="15"/>
      <c r="LX189" s="15"/>
      <c r="LY189" s="15"/>
      <c r="LZ189" s="15"/>
      <c r="MA189" s="15"/>
      <c r="MB189" s="15"/>
      <c r="MC189" s="15"/>
      <c r="MD189" s="15"/>
      <c r="ME189" s="15"/>
      <c r="MF189" s="15"/>
      <c r="MG189" s="15"/>
      <c r="MH189" s="15"/>
      <c r="MI189" s="15"/>
      <c r="MJ189" s="15"/>
      <c r="MK189" s="15"/>
      <c r="ML189" s="15"/>
      <c r="MM189" s="15"/>
      <c r="MN189" s="15"/>
      <c r="MO189" s="15"/>
      <c r="MP189" s="15"/>
      <c r="MQ189" s="15"/>
      <c r="MR189" s="15"/>
      <c r="MS189" s="15"/>
      <c r="MT189" s="15"/>
      <c r="MU189" s="15"/>
      <c r="MV189" s="15"/>
      <c r="MW189" s="15"/>
    </row>
    <row r="190" ht="41.25" customHeight="1">
      <c r="A190" s="13" t="s">
        <v>10207</v>
      </c>
      <c r="B190" s="14" t="s">
        <v>10208</v>
      </c>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c r="DE190" s="15"/>
      <c r="DF190" s="15"/>
      <c r="DG190" s="15"/>
      <c r="DH190" s="15"/>
      <c r="DI190" s="15"/>
      <c r="DJ190" s="15"/>
      <c r="DK190" s="15"/>
      <c r="DL190" s="15"/>
      <c r="DM190" s="15"/>
      <c r="DN190" s="15"/>
      <c r="DO190" s="15"/>
      <c r="DP190" s="15"/>
      <c r="DQ190" s="15"/>
      <c r="DR190" s="15"/>
      <c r="DS190" s="15"/>
      <c r="DT190" s="15"/>
      <c r="DU190" s="15"/>
      <c r="DV190" s="15"/>
      <c r="DW190" s="15"/>
      <c r="DX190" s="15"/>
      <c r="DY190" s="15"/>
      <c r="DZ190" s="15"/>
      <c r="EA190" s="15"/>
      <c r="EB190" s="15"/>
      <c r="EC190" s="15"/>
      <c r="ED190" s="15"/>
      <c r="EE190" s="15"/>
      <c r="EF190" s="15"/>
      <c r="EG190" s="15"/>
      <c r="EH190" s="15"/>
      <c r="EI190" s="15"/>
      <c r="EJ190" s="15"/>
      <c r="EK190" s="15"/>
      <c r="EL190" s="15"/>
      <c r="EM190" s="15"/>
      <c r="EN190" s="15"/>
      <c r="EO190" s="15"/>
      <c r="EP190" s="15"/>
      <c r="EQ190" s="15"/>
      <c r="ER190" s="15"/>
      <c r="ES190" s="15"/>
      <c r="ET190" s="15"/>
      <c r="EU190" s="15"/>
      <c r="EV190" s="15"/>
      <c r="EW190" s="15"/>
      <c r="EX190" s="15"/>
      <c r="EY190" s="15"/>
      <c r="EZ190" s="15"/>
      <c r="FA190" s="15"/>
      <c r="FB190" s="15"/>
      <c r="FC190" s="15"/>
      <c r="FD190" s="15"/>
      <c r="FE190" s="15"/>
      <c r="FF190" s="15"/>
      <c r="FG190" s="15"/>
      <c r="FH190" s="15"/>
      <c r="FI190" s="15"/>
      <c r="FJ190" s="15"/>
      <c r="FK190" s="15"/>
      <c r="FL190" s="15"/>
      <c r="FM190" s="15"/>
      <c r="FN190" s="15"/>
      <c r="FO190" s="15"/>
      <c r="FP190" s="15"/>
      <c r="FQ190" s="15"/>
      <c r="FR190" s="15"/>
      <c r="FS190" s="15"/>
      <c r="FT190" s="15"/>
      <c r="FU190" s="15"/>
      <c r="FV190" s="15"/>
      <c r="FW190" s="15"/>
      <c r="FX190" s="15"/>
      <c r="FY190" s="15"/>
      <c r="FZ190" s="15"/>
      <c r="GA190" s="15"/>
      <c r="GB190" s="15"/>
      <c r="GC190" s="15"/>
      <c r="GD190" s="15"/>
      <c r="GE190" s="15"/>
      <c r="GF190" s="15"/>
      <c r="GG190" s="15"/>
      <c r="GH190" s="15"/>
      <c r="GI190" s="15"/>
      <c r="GJ190" s="15"/>
      <c r="GK190" s="15"/>
      <c r="GL190" s="15"/>
      <c r="GM190" s="15"/>
      <c r="GN190" s="15"/>
      <c r="GO190" s="15"/>
      <c r="GP190" s="15"/>
      <c r="GQ190" s="15"/>
      <c r="GR190" s="15"/>
      <c r="GS190" s="15"/>
      <c r="GT190" s="15"/>
      <c r="GU190" s="15"/>
      <c r="GV190" s="15"/>
      <c r="GW190" s="15"/>
      <c r="GX190" s="15"/>
      <c r="GY190" s="15"/>
      <c r="GZ190" s="15"/>
      <c r="HA190" s="15"/>
      <c r="HB190" s="15"/>
      <c r="HC190" s="15"/>
      <c r="HD190" s="15"/>
      <c r="HE190" s="15"/>
      <c r="HF190" s="15"/>
      <c r="HG190" s="15"/>
      <c r="HH190" s="15"/>
      <c r="HI190" s="15"/>
      <c r="HJ190" s="15"/>
      <c r="HK190" s="15"/>
      <c r="HL190" s="15"/>
      <c r="HM190" s="15"/>
      <c r="HN190" s="15"/>
      <c r="HO190" s="15"/>
      <c r="HP190" s="15"/>
      <c r="HQ190" s="15"/>
      <c r="HR190" s="15"/>
      <c r="HS190" s="15"/>
      <c r="HT190" s="15"/>
      <c r="HU190" s="15"/>
      <c r="HV190" s="15"/>
      <c r="HW190" s="15"/>
      <c r="HX190" s="15"/>
      <c r="HY190" s="15"/>
      <c r="HZ190" s="15"/>
      <c r="IA190" s="15"/>
      <c r="IB190" s="15"/>
      <c r="IC190" s="15"/>
      <c r="ID190" s="15"/>
      <c r="IE190" s="15"/>
      <c r="IF190" s="15"/>
      <c r="IG190" s="15"/>
      <c r="IH190" s="15"/>
      <c r="II190" s="15"/>
      <c r="IJ190" s="15"/>
      <c r="IK190" s="15"/>
      <c r="IL190" s="15"/>
      <c r="IM190" s="15"/>
      <c r="IN190" s="15"/>
      <c r="IO190" s="15"/>
      <c r="IP190" s="15"/>
      <c r="IQ190" s="15"/>
      <c r="IR190" s="15"/>
      <c r="IS190" s="15"/>
      <c r="IT190" s="15"/>
      <c r="IU190" s="15"/>
      <c r="IV190" s="15"/>
      <c r="IW190" s="15"/>
      <c r="IX190" s="15"/>
      <c r="IY190" s="15"/>
      <c r="IZ190" s="15"/>
      <c r="JA190" s="15"/>
      <c r="JB190" s="15"/>
      <c r="JC190" s="15"/>
      <c r="JD190" s="15"/>
      <c r="JE190" s="15"/>
      <c r="JF190" s="15"/>
      <c r="JG190" s="15"/>
      <c r="JH190" s="15"/>
      <c r="JI190" s="15"/>
      <c r="JJ190" s="15"/>
      <c r="JK190" s="15"/>
      <c r="JL190" s="15"/>
      <c r="JM190" s="15"/>
      <c r="JN190" s="15"/>
      <c r="JO190" s="15"/>
      <c r="JP190" s="15"/>
      <c r="JQ190" s="15"/>
      <c r="JR190" s="15"/>
      <c r="JS190" s="15"/>
      <c r="JT190" s="15"/>
      <c r="JU190" s="15"/>
      <c r="JV190" s="15"/>
      <c r="JW190" s="15"/>
      <c r="JX190" s="15"/>
      <c r="JY190" s="15"/>
      <c r="JZ190" s="15"/>
      <c r="KA190" s="15"/>
      <c r="KB190" s="15"/>
      <c r="KC190" s="15"/>
      <c r="KD190" s="15"/>
      <c r="KE190" s="15"/>
      <c r="KF190" s="15"/>
      <c r="KG190" s="15"/>
      <c r="KH190" s="15"/>
      <c r="KI190" s="15"/>
      <c r="KJ190" s="15"/>
      <c r="KK190" s="15"/>
      <c r="KL190" s="15"/>
      <c r="KM190" s="15"/>
      <c r="KN190" s="15"/>
      <c r="KO190" s="15"/>
      <c r="KP190" s="15"/>
      <c r="KQ190" s="15"/>
      <c r="KR190" s="15"/>
      <c r="KS190" s="15"/>
      <c r="KT190" s="15"/>
      <c r="KU190" s="15"/>
      <c r="KV190" s="15"/>
      <c r="KW190" s="15"/>
      <c r="KX190" s="15"/>
      <c r="KY190" s="15"/>
      <c r="KZ190" s="15"/>
      <c r="LA190" s="15"/>
      <c r="LB190" s="15"/>
      <c r="LC190" s="15"/>
      <c r="LD190" s="15"/>
      <c r="LE190" s="15"/>
      <c r="LF190" s="15"/>
      <c r="LG190" s="15"/>
      <c r="LH190" s="15"/>
      <c r="LI190" s="15"/>
      <c r="LJ190" s="15"/>
      <c r="LK190" s="15"/>
      <c r="LL190" s="15"/>
      <c r="LM190" s="15"/>
      <c r="LN190" s="15"/>
      <c r="LO190" s="15"/>
      <c r="LP190" s="15"/>
      <c r="LQ190" s="15"/>
      <c r="LR190" s="15"/>
      <c r="LS190" s="15"/>
      <c r="LT190" s="15"/>
      <c r="LU190" s="15"/>
      <c r="LV190" s="15"/>
      <c r="LW190" s="15"/>
      <c r="LX190" s="15"/>
      <c r="LY190" s="15"/>
      <c r="LZ190" s="15"/>
      <c r="MA190" s="15"/>
      <c r="MB190" s="15"/>
      <c r="MC190" s="15"/>
      <c r="MD190" s="15"/>
      <c r="ME190" s="15"/>
      <c r="MF190" s="15"/>
      <c r="MG190" s="15"/>
      <c r="MH190" s="15"/>
      <c r="MI190" s="15"/>
      <c r="MJ190" s="15"/>
      <c r="MK190" s="15"/>
      <c r="ML190" s="15"/>
      <c r="MM190" s="15"/>
      <c r="MN190" s="15"/>
      <c r="MO190" s="15"/>
      <c r="MP190" s="15"/>
      <c r="MQ190" s="15"/>
      <c r="MR190" s="15"/>
      <c r="MS190" s="15"/>
      <c r="MT190" s="15"/>
      <c r="MU190" s="15"/>
      <c r="MV190" s="15"/>
      <c r="MW190" s="15"/>
    </row>
    <row r="191" ht="119.25" customHeight="1">
      <c r="A191" s="13" t="s">
        <v>10209</v>
      </c>
      <c r="B191" s="14" t="s">
        <v>10210</v>
      </c>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c r="DE191" s="15"/>
      <c r="DF191" s="15"/>
      <c r="DG191" s="15"/>
      <c r="DH191" s="15"/>
      <c r="DI191" s="15"/>
      <c r="DJ191" s="15"/>
      <c r="DK191" s="15"/>
      <c r="DL191" s="15"/>
      <c r="DM191" s="15"/>
      <c r="DN191" s="15"/>
      <c r="DO191" s="15"/>
      <c r="DP191" s="15"/>
      <c r="DQ191" s="15"/>
      <c r="DR191" s="15"/>
      <c r="DS191" s="15"/>
      <c r="DT191" s="15"/>
      <c r="DU191" s="15"/>
      <c r="DV191" s="15"/>
      <c r="DW191" s="15"/>
      <c r="DX191" s="15"/>
      <c r="DY191" s="15"/>
      <c r="DZ191" s="15"/>
      <c r="EA191" s="15"/>
      <c r="EB191" s="15"/>
      <c r="EC191" s="15"/>
      <c r="ED191" s="15"/>
      <c r="EE191" s="15"/>
      <c r="EF191" s="15"/>
      <c r="EG191" s="15"/>
      <c r="EH191" s="15"/>
      <c r="EI191" s="15"/>
      <c r="EJ191" s="15"/>
      <c r="EK191" s="15"/>
      <c r="EL191" s="15"/>
      <c r="EM191" s="15"/>
      <c r="EN191" s="15"/>
      <c r="EO191" s="15"/>
      <c r="EP191" s="15"/>
      <c r="EQ191" s="15"/>
      <c r="ER191" s="15"/>
      <c r="ES191" s="15"/>
      <c r="ET191" s="15"/>
      <c r="EU191" s="15"/>
      <c r="EV191" s="15"/>
      <c r="EW191" s="15"/>
      <c r="EX191" s="15"/>
      <c r="EY191" s="15"/>
      <c r="EZ191" s="15"/>
      <c r="FA191" s="15"/>
      <c r="FB191" s="15"/>
      <c r="FC191" s="15"/>
      <c r="FD191" s="15"/>
      <c r="FE191" s="15"/>
      <c r="FF191" s="15"/>
      <c r="FG191" s="15"/>
      <c r="FH191" s="15"/>
      <c r="FI191" s="15"/>
      <c r="FJ191" s="15"/>
      <c r="FK191" s="15"/>
      <c r="FL191" s="15"/>
      <c r="FM191" s="15"/>
      <c r="FN191" s="15"/>
      <c r="FO191" s="15"/>
      <c r="FP191" s="15"/>
      <c r="FQ191" s="15"/>
      <c r="FR191" s="15"/>
      <c r="FS191" s="15"/>
      <c r="FT191" s="15"/>
      <c r="FU191" s="15"/>
      <c r="FV191" s="15"/>
      <c r="FW191" s="15"/>
      <c r="FX191" s="15"/>
      <c r="FY191" s="15"/>
      <c r="FZ191" s="15"/>
      <c r="GA191" s="15"/>
      <c r="GB191" s="15"/>
      <c r="GC191" s="15"/>
      <c r="GD191" s="15"/>
      <c r="GE191" s="15"/>
      <c r="GF191" s="15"/>
      <c r="GG191" s="15"/>
      <c r="GH191" s="15"/>
      <c r="GI191" s="15"/>
      <c r="GJ191" s="15"/>
      <c r="GK191" s="15"/>
      <c r="GL191" s="15"/>
      <c r="GM191" s="15"/>
      <c r="GN191" s="15"/>
      <c r="GO191" s="15"/>
      <c r="GP191" s="15"/>
      <c r="GQ191" s="15"/>
      <c r="GR191" s="15"/>
      <c r="GS191" s="15"/>
      <c r="GT191" s="15"/>
      <c r="GU191" s="15"/>
      <c r="GV191" s="15"/>
      <c r="GW191" s="15"/>
      <c r="GX191" s="15"/>
      <c r="GY191" s="15"/>
      <c r="GZ191" s="15"/>
      <c r="HA191" s="15"/>
      <c r="HB191" s="15"/>
      <c r="HC191" s="15"/>
      <c r="HD191" s="15"/>
      <c r="HE191" s="15"/>
      <c r="HF191" s="15"/>
      <c r="HG191" s="15"/>
      <c r="HH191" s="15"/>
      <c r="HI191" s="15"/>
      <c r="HJ191" s="15"/>
      <c r="HK191" s="15"/>
      <c r="HL191" s="15"/>
      <c r="HM191" s="15"/>
      <c r="HN191" s="15"/>
      <c r="HO191" s="15"/>
      <c r="HP191" s="15"/>
      <c r="HQ191" s="15"/>
      <c r="HR191" s="15"/>
      <c r="HS191" s="15"/>
      <c r="HT191" s="15"/>
      <c r="HU191" s="15"/>
      <c r="HV191" s="15"/>
      <c r="HW191" s="15"/>
      <c r="HX191" s="15"/>
      <c r="HY191" s="15"/>
      <c r="HZ191" s="15"/>
      <c r="IA191" s="15"/>
      <c r="IB191" s="15"/>
      <c r="IC191" s="15"/>
      <c r="ID191" s="15"/>
      <c r="IE191" s="15"/>
      <c r="IF191" s="15"/>
      <c r="IG191" s="15"/>
      <c r="IH191" s="15"/>
      <c r="II191" s="15"/>
      <c r="IJ191" s="15"/>
      <c r="IK191" s="15"/>
      <c r="IL191" s="15"/>
      <c r="IM191" s="15"/>
      <c r="IN191" s="15"/>
      <c r="IO191" s="15"/>
      <c r="IP191" s="15"/>
      <c r="IQ191" s="15"/>
      <c r="IR191" s="15"/>
      <c r="IS191" s="15"/>
      <c r="IT191" s="15"/>
      <c r="IU191" s="15"/>
      <c r="IV191" s="15"/>
      <c r="IW191" s="15"/>
      <c r="IX191" s="15"/>
      <c r="IY191" s="15"/>
      <c r="IZ191" s="15"/>
      <c r="JA191" s="15"/>
      <c r="JB191" s="15"/>
      <c r="JC191" s="15"/>
      <c r="JD191" s="15"/>
      <c r="JE191" s="15"/>
      <c r="JF191" s="15"/>
      <c r="JG191" s="15"/>
      <c r="JH191" s="15"/>
      <c r="JI191" s="15"/>
      <c r="JJ191" s="15"/>
      <c r="JK191" s="15"/>
      <c r="JL191" s="15"/>
      <c r="JM191" s="15"/>
      <c r="JN191" s="15"/>
      <c r="JO191" s="15"/>
      <c r="JP191" s="15"/>
      <c r="JQ191" s="15"/>
      <c r="JR191" s="15"/>
      <c r="JS191" s="15"/>
      <c r="JT191" s="15"/>
      <c r="JU191" s="15"/>
      <c r="JV191" s="15"/>
      <c r="JW191" s="15"/>
      <c r="JX191" s="15"/>
      <c r="JY191" s="15"/>
      <c r="JZ191" s="15"/>
      <c r="KA191" s="15"/>
      <c r="KB191" s="15"/>
      <c r="KC191" s="15"/>
      <c r="KD191" s="15"/>
      <c r="KE191" s="15"/>
      <c r="KF191" s="15"/>
      <c r="KG191" s="15"/>
      <c r="KH191" s="15"/>
      <c r="KI191" s="15"/>
      <c r="KJ191" s="15"/>
      <c r="KK191" s="15"/>
      <c r="KL191" s="15"/>
      <c r="KM191" s="15"/>
      <c r="KN191" s="15"/>
      <c r="KO191" s="15"/>
      <c r="KP191" s="15"/>
      <c r="KQ191" s="15"/>
      <c r="KR191" s="15"/>
      <c r="KS191" s="15"/>
      <c r="KT191" s="15"/>
      <c r="KU191" s="15"/>
      <c r="KV191" s="15"/>
      <c r="KW191" s="15"/>
      <c r="KX191" s="15"/>
      <c r="KY191" s="15"/>
      <c r="KZ191" s="15"/>
      <c r="LA191" s="15"/>
      <c r="LB191" s="15"/>
      <c r="LC191" s="15"/>
      <c r="LD191" s="15"/>
      <c r="LE191" s="15"/>
      <c r="LF191" s="15"/>
      <c r="LG191" s="15"/>
      <c r="LH191" s="15"/>
      <c r="LI191" s="15"/>
      <c r="LJ191" s="15"/>
      <c r="LK191" s="15"/>
      <c r="LL191" s="15"/>
      <c r="LM191" s="15"/>
      <c r="LN191" s="15"/>
      <c r="LO191" s="15"/>
      <c r="LP191" s="15"/>
      <c r="LQ191" s="15"/>
      <c r="LR191" s="15"/>
      <c r="LS191" s="15"/>
      <c r="LT191" s="15"/>
      <c r="LU191" s="15"/>
      <c r="LV191" s="15"/>
      <c r="LW191" s="15"/>
      <c r="LX191" s="15"/>
      <c r="LY191" s="15"/>
      <c r="LZ191" s="15"/>
      <c r="MA191" s="15"/>
      <c r="MB191" s="15"/>
      <c r="MC191" s="15"/>
      <c r="MD191" s="15"/>
      <c r="ME191" s="15"/>
      <c r="MF191" s="15"/>
      <c r="MG191" s="15"/>
      <c r="MH191" s="15"/>
      <c r="MI191" s="15"/>
      <c r="MJ191" s="15"/>
      <c r="MK191" s="15"/>
      <c r="ML191" s="15"/>
      <c r="MM191" s="15"/>
      <c r="MN191" s="15"/>
      <c r="MO191" s="15"/>
      <c r="MP191" s="15"/>
      <c r="MQ191" s="15"/>
      <c r="MR191" s="15"/>
      <c r="MS191" s="15"/>
      <c r="MT191" s="15"/>
      <c r="MU191" s="15"/>
      <c r="MV191" s="15"/>
      <c r="MW191" s="15"/>
    </row>
    <row r="192" ht="41.25" customHeight="1">
      <c r="A192" s="13" t="s">
        <v>191</v>
      </c>
      <c r="B192" s="14" t="s">
        <v>10211</v>
      </c>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c r="DE192" s="15"/>
      <c r="DF192" s="15"/>
      <c r="DG192" s="15"/>
      <c r="DH192" s="15"/>
      <c r="DI192" s="15"/>
      <c r="DJ192" s="15"/>
      <c r="DK192" s="15"/>
      <c r="DL192" s="15"/>
      <c r="DM192" s="15"/>
      <c r="DN192" s="15"/>
      <c r="DO192" s="15"/>
      <c r="DP192" s="15"/>
      <c r="DQ192" s="15"/>
      <c r="DR192" s="15"/>
      <c r="DS192" s="15"/>
      <c r="DT192" s="15"/>
      <c r="DU192" s="15"/>
      <c r="DV192" s="15"/>
      <c r="DW192" s="15"/>
      <c r="DX192" s="15"/>
      <c r="DY192" s="15"/>
      <c r="DZ192" s="15"/>
      <c r="EA192" s="15"/>
      <c r="EB192" s="15"/>
      <c r="EC192" s="15"/>
      <c r="ED192" s="15"/>
      <c r="EE192" s="15"/>
      <c r="EF192" s="15"/>
      <c r="EG192" s="15"/>
      <c r="EH192" s="15"/>
      <c r="EI192" s="15"/>
      <c r="EJ192" s="15"/>
      <c r="EK192" s="15"/>
      <c r="EL192" s="15"/>
      <c r="EM192" s="15"/>
      <c r="EN192" s="15"/>
      <c r="EO192" s="15"/>
      <c r="EP192" s="15"/>
      <c r="EQ192" s="15"/>
      <c r="ER192" s="15"/>
      <c r="ES192" s="15"/>
      <c r="ET192" s="15"/>
      <c r="EU192" s="15"/>
      <c r="EV192" s="15"/>
      <c r="EW192" s="15"/>
      <c r="EX192" s="15"/>
      <c r="EY192" s="15"/>
      <c r="EZ192" s="15"/>
      <c r="FA192" s="15"/>
      <c r="FB192" s="15"/>
      <c r="FC192" s="15"/>
      <c r="FD192" s="15"/>
      <c r="FE192" s="15"/>
      <c r="FF192" s="15"/>
      <c r="FG192" s="15"/>
      <c r="FH192" s="15"/>
      <c r="FI192" s="15"/>
      <c r="FJ192" s="15"/>
      <c r="FK192" s="15"/>
      <c r="FL192" s="15"/>
      <c r="FM192" s="15"/>
      <c r="FN192" s="15"/>
      <c r="FO192" s="15"/>
      <c r="FP192" s="15"/>
      <c r="FQ192" s="15"/>
      <c r="FR192" s="15"/>
      <c r="FS192" s="15"/>
      <c r="FT192" s="15"/>
      <c r="FU192" s="15"/>
      <c r="FV192" s="15"/>
      <c r="FW192" s="15"/>
      <c r="FX192" s="15"/>
      <c r="FY192" s="15"/>
      <c r="FZ192" s="15"/>
      <c r="GA192" s="15"/>
      <c r="GB192" s="15"/>
      <c r="GC192" s="15"/>
      <c r="GD192" s="15"/>
      <c r="GE192" s="15"/>
      <c r="GF192" s="15"/>
      <c r="GG192" s="15"/>
      <c r="GH192" s="15"/>
      <c r="GI192" s="15"/>
      <c r="GJ192" s="15"/>
      <c r="GK192" s="15"/>
      <c r="GL192" s="15"/>
      <c r="GM192" s="15"/>
      <c r="GN192" s="15"/>
      <c r="GO192" s="15"/>
      <c r="GP192" s="15"/>
      <c r="GQ192" s="15"/>
      <c r="GR192" s="15"/>
      <c r="GS192" s="15"/>
      <c r="GT192" s="15"/>
      <c r="GU192" s="15"/>
      <c r="GV192" s="15"/>
      <c r="GW192" s="15"/>
      <c r="GX192" s="15"/>
      <c r="GY192" s="15"/>
      <c r="GZ192" s="15"/>
      <c r="HA192" s="15"/>
      <c r="HB192" s="15"/>
      <c r="HC192" s="15"/>
      <c r="HD192" s="15"/>
      <c r="HE192" s="15"/>
      <c r="HF192" s="15"/>
      <c r="HG192" s="15"/>
      <c r="HH192" s="15"/>
      <c r="HI192" s="15"/>
      <c r="HJ192" s="15"/>
      <c r="HK192" s="15"/>
      <c r="HL192" s="15"/>
      <c r="HM192" s="15"/>
      <c r="HN192" s="15"/>
      <c r="HO192" s="15"/>
      <c r="HP192" s="15"/>
      <c r="HQ192" s="15"/>
      <c r="HR192" s="15"/>
      <c r="HS192" s="15"/>
      <c r="HT192" s="15"/>
      <c r="HU192" s="15"/>
      <c r="HV192" s="15"/>
      <c r="HW192" s="15"/>
      <c r="HX192" s="15"/>
      <c r="HY192" s="15"/>
      <c r="HZ192" s="15"/>
      <c r="IA192" s="15"/>
      <c r="IB192" s="15"/>
      <c r="IC192" s="15"/>
      <c r="ID192" s="15"/>
      <c r="IE192" s="15"/>
      <c r="IF192" s="15"/>
      <c r="IG192" s="15"/>
      <c r="IH192" s="15"/>
      <c r="II192" s="15"/>
      <c r="IJ192" s="15"/>
      <c r="IK192" s="15"/>
      <c r="IL192" s="15"/>
      <c r="IM192" s="15"/>
      <c r="IN192" s="15"/>
      <c r="IO192" s="15"/>
      <c r="IP192" s="15"/>
      <c r="IQ192" s="15"/>
      <c r="IR192" s="15"/>
      <c r="IS192" s="15"/>
      <c r="IT192" s="15"/>
      <c r="IU192" s="15"/>
      <c r="IV192" s="15"/>
      <c r="IW192" s="15"/>
      <c r="IX192" s="15"/>
      <c r="IY192" s="15"/>
      <c r="IZ192" s="15"/>
      <c r="JA192" s="15"/>
      <c r="JB192" s="15"/>
      <c r="JC192" s="15"/>
      <c r="JD192" s="15"/>
      <c r="JE192" s="15"/>
      <c r="JF192" s="15"/>
      <c r="JG192" s="15"/>
      <c r="JH192" s="15"/>
      <c r="JI192" s="15"/>
      <c r="JJ192" s="15"/>
      <c r="JK192" s="15"/>
      <c r="JL192" s="15"/>
      <c r="JM192" s="15"/>
      <c r="JN192" s="15"/>
      <c r="JO192" s="15"/>
      <c r="JP192" s="15"/>
      <c r="JQ192" s="15"/>
      <c r="JR192" s="15"/>
      <c r="JS192" s="15"/>
      <c r="JT192" s="15"/>
      <c r="JU192" s="15"/>
      <c r="JV192" s="15"/>
      <c r="JW192" s="15"/>
      <c r="JX192" s="15"/>
      <c r="JY192" s="15"/>
      <c r="JZ192" s="15"/>
      <c r="KA192" s="15"/>
      <c r="KB192" s="15"/>
      <c r="KC192" s="15"/>
      <c r="KD192" s="15"/>
      <c r="KE192" s="15"/>
      <c r="KF192" s="15"/>
      <c r="KG192" s="15"/>
      <c r="KH192" s="15"/>
      <c r="KI192" s="15"/>
      <c r="KJ192" s="15"/>
      <c r="KK192" s="15"/>
      <c r="KL192" s="15"/>
      <c r="KM192" s="15"/>
      <c r="KN192" s="15"/>
      <c r="KO192" s="15"/>
      <c r="KP192" s="15"/>
      <c r="KQ192" s="15"/>
      <c r="KR192" s="15"/>
      <c r="KS192" s="15"/>
      <c r="KT192" s="15"/>
      <c r="KU192" s="15"/>
      <c r="KV192" s="15"/>
      <c r="KW192" s="15"/>
      <c r="KX192" s="15"/>
      <c r="KY192" s="15"/>
      <c r="KZ192" s="15"/>
      <c r="LA192" s="15"/>
      <c r="LB192" s="15"/>
      <c r="LC192" s="15"/>
      <c r="LD192" s="15"/>
      <c r="LE192" s="15"/>
      <c r="LF192" s="15"/>
      <c r="LG192" s="15"/>
      <c r="LH192" s="15"/>
      <c r="LI192" s="15"/>
      <c r="LJ192" s="15"/>
      <c r="LK192" s="15"/>
      <c r="LL192" s="15"/>
      <c r="LM192" s="15"/>
      <c r="LN192" s="15"/>
      <c r="LO192" s="15"/>
      <c r="LP192" s="15"/>
      <c r="LQ192" s="15"/>
      <c r="LR192" s="15"/>
      <c r="LS192" s="15"/>
      <c r="LT192" s="15"/>
      <c r="LU192" s="15"/>
      <c r="LV192" s="15"/>
      <c r="LW192" s="15"/>
      <c r="LX192" s="15"/>
      <c r="LY192" s="15"/>
      <c r="LZ192" s="15"/>
      <c r="MA192" s="15"/>
      <c r="MB192" s="15"/>
      <c r="MC192" s="15"/>
      <c r="MD192" s="15"/>
      <c r="ME192" s="15"/>
      <c r="MF192" s="15"/>
      <c r="MG192" s="15"/>
      <c r="MH192" s="15"/>
      <c r="MI192" s="15"/>
      <c r="MJ192" s="15"/>
      <c r="MK192" s="15"/>
      <c r="ML192" s="15"/>
      <c r="MM192" s="15"/>
      <c r="MN192" s="15"/>
      <c r="MO192" s="15"/>
      <c r="MP192" s="15"/>
      <c r="MQ192" s="15"/>
      <c r="MR192" s="15"/>
      <c r="MS192" s="15"/>
      <c r="MT192" s="15"/>
      <c r="MU192" s="15"/>
      <c r="MV192" s="15"/>
      <c r="MW192" s="15"/>
    </row>
    <row r="193" ht="119.25" customHeight="1">
      <c r="A193" s="13" t="s">
        <v>10212</v>
      </c>
      <c r="B193" s="14" t="s">
        <v>10213</v>
      </c>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c r="DF193" s="15"/>
      <c r="DG193" s="15"/>
      <c r="DH193" s="15"/>
      <c r="DI193" s="15"/>
      <c r="DJ193" s="15"/>
      <c r="DK193" s="15"/>
      <c r="DL193" s="15"/>
      <c r="DM193" s="15"/>
      <c r="DN193" s="15"/>
      <c r="DO193" s="15"/>
      <c r="DP193" s="15"/>
      <c r="DQ193" s="15"/>
      <c r="DR193" s="15"/>
      <c r="DS193" s="15"/>
      <c r="DT193" s="15"/>
      <c r="DU193" s="15"/>
      <c r="DV193" s="15"/>
      <c r="DW193" s="15"/>
      <c r="DX193" s="15"/>
      <c r="DY193" s="15"/>
      <c r="DZ193" s="15"/>
      <c r="EA193" s="15"/>
      <c r="EB193" s="15"/>
      <c r="EC193" s="15"/>
      <c r="ED193" s="15"/>
      <c r="EE193" s="15"/>
      <c r="EF193" s="15"/>
      <c r="EG193" s="15"/>
      <c r="EH193" s="15"/>
      <c r="EI193" s="15"/>
      <c r="EJ193" s="15"/>
      <c r="EK193" s="15"/>
      <c r="EL193" s="15"/>
      <c r="EM193" s="15"/>
      <c r="EN193" s="15"/>
      <c r="EO193" s="15"/>
      <c r="EP193" s="15"/>
      <c r="EQ193" s="15"/>
      <c r="ER193" s="15"/>
      <c r="ES193" s="15"/>
      <c r="ET193" s="15"/>
      <c r="EU193" s="15"/>
      <c r="EV193" s="15"/>
      <c r="EW193" s="15"/>
      <c r="EX193" s="15"/>
      <c r="EY193" s="15"/>
      <c r="EZ193" s="15"/>
      <c r="FA193" s="15"/>
      <c r="FB193" s="15"/>
      <c r="FC193" s="15"/>
      <c r="FD193" s="15"/>
      <c r="FE193" s="15"/>
      <c r="FF193" s="15"/>
      <c r="FG193" s="15"/>
      <c r="FH193" s="15"/>
      <c r="FI193" s="15"/>
      <c r="FJ193" s="15"/>
      <c r="FK193" s="15"/>
      <c r="FL193" s="15"/>
      <c r="FM193" s="15"/>
      <c r="FN193" s="15"/>
      <c r="FO193" s="15"/>
      <c r="FP193" s="15"/>
      <c r="FQ193" s="15"/>
      <c r="FR193" s="15"/>
      <c r="FS193" s="15"/>
      <c r="FT193" s="15"/>
      <c r="FU193" s="15"/>
      <c r="FV193" s="15"/>
      <c r="FW193" s="15"/>
      <c r="FX193" s="15"/>
      <c r="FY193" s="15"/>
      <c r="FZ193" s="15"/>
      <c r="GA193" s="15"/>
      <c r="GB193" s="15"/>
      <c r="GC193" s="15"/>
      <c r="GD193" s="15"/>
      <c r="GE193" s="15"/>
      <c r="GF193" s="15"/>
      <c r="GG193" s="15"/>
      <c r="GH193" s="15"/>
      <c r="GI193" s="15"/>
      <c r="GJ193" s="15"/>
      <c r="GK193" s="15"/>
      <c r="GL193" s="15"/>
      <c r="GM193" s="15"/>
      <c r="GN193" s="15"/>
      <c r="GO193" s="15"/>
      <c r="GP193" s="15"/>
      <c r="GQ193" s="15"/>
      <c r="GR193" s="15"/>
      <c r="GS193" s="15"/>
      <c r="GT193" s="15"/>
      <c r="GU193" s="15"/>
      <c r="GV193" s="15"/>
      <c r="GW193" s="15"/>
      <c r="GX193" s="15"/>
      <c r="GY193" s="15"/>
      <c r="GZ193" s="15"/>
      <c r="HA193" s="15"/>
      <c r="HB193" s="15"/>
      <c r="HC193" s="15"/>
      <c r="HD193" s="15"/>
      <c r="HE193" s="15"/>
      <c r="HF193" s="15"/>
      <c r="HG193" s="15"/>
      <c r="HH193" s="15"/>
      <c r="HI193" s="15"/>
      <c r="HJ193" s="15"/>
      <c r="HK193" s="15"/>
      <c r="HL193" s="15"/>
      <c r="HM193" s="15"/>
      <c r="HN193" s="15"/>
      <c r="HO193" s="15"/>
      <c r="HP193" s="15"/>
      <c r="HQ193" s="15"/>
      <c r="HR193" s="15"/>
      <c r="HS193" s="15"/>
      <c r="HT193" s="15"/>
      <c r="HU193" s="15"/>
      <c r="HV193" s="15"/>
      <c r="HW193" s="15"/>
      <c r="HX193" s="15"/>
      <c r="HY193" s="15"/>
      <c r="HZ193" s="15"/>
      <c r="IA193" s="15"/>
      <c r="IB193" s="15"/>
      <c r="IC193" s="15"/>
      <c r="ID193" s="15"/>
      <c r="IE193" s="15"/>
      <c r="IF193" s="15"/>
      <c r="IG193" s="15"/>
      <c r="IH193" s="15"/>
      <c r="II193" s="15"/>
      <c r="IJ193" s="15"/>
      <c r="IK193" s="15"/>
      <c r="IL193" s="15"/>
      <c r="IM193" s="15"/>
      <c r="IN193" s="15"/>
      <c r="IO193" s="15"/>
      <c r="IP193" s="15"/>
      <c r="IQ193" s="15"/>
      <c r="IR193" s="15"/>
      <c r="IS193" s="15"/>
      <c r="IT193" s="15"/>
      <c r="IU193" s="15"/>
      <c r="IV193" s="15"/>
      <c r="IW193" s="15"/>
      <c r="IX193" s="15"/>
      <c r="IY193" s="15"/>
      <c r="IZ193" s="15"/>
      <c r="JA193" s="15"/>
      <c r="JB193" s="15"/>
      <c r="JC193" s="15"/>
      <c r="JD193" s="15"/>
      <c r="JE193" s="15"/>
      <c r="JF193" s="15"/>
      <c r="JG193" s="15"/>
      <c r="JH193" s="15"/>
      <c r="JI193" s="15"/>
      <c r="JJ193" s="15"/>
      <c r="JK193" s="15"/>
      <c r="JL193" s="15"/>
      <c r="JM193" s="15"/>
      <c r="JN193" s="15"/>
      <c r="JO193" s="15"/>
      <c r="JP193" s="15"/>
      <c r="JQ193" s="15"/>
      <c r="JR193" s="15"/>
      <c r="JS193" s="15"/>
      <c r="JT193" s="15"/>
      <c r="JU193" s="15"/>
      <c r="JV193" s="15"/>
      <c r="JW193" s="15"/>
      <c r="JX193" s="15"/>
      <c r="JY193" s="15"/>
      <c r="JZ193" s="15"/>
      <c r="KA193" s="15"/>
      <c r="KB193" s="15"/>
      <c r="KC193" s="15"/>
      <c r="KD193" s="15"/>
      <c r="KE193" s="15"/>
      <c r="KF193" s="15"/>
      <c r="KG193" s="15"/>
      <c r="KH193" s="15"/>
      <c r="KI193" s="15"/>
      <c r="KJ193" s="15"/>
      <c r="KK193" s="15"/>
      <c r="KL193" s="15"/>
      <c r="KM193" s="15"/>
      <c r="KN193" s="15"/>
      <c r="KO193" s="15"/>
      <c r="KP193" s="15"/>
      <c r="KQ193" s="15"/>
      <c r="KR193" s="15"/>
      <c r="KS193" s="15"/>
      <c r="KT193" s="15"/>
      <c r="KU193" s="15"/>
      <c r="KV193" s="15"/>
      <c r="KW193" s="15"/>
      <c r="KX193" s="15"/>
      <c r="KY193" s="15"/>
      <c r="KZ193" s="15"/>
      <c r="LA193" s="15"/>
      <c r="LB193" s="15"/>
      <c r="LC193" s="15"/>
      <c r="LD193" s="15"/>
      <c r="LE193" s="15"/>
      <c r="LF193" s="15"/>
      <c r="LG193" s="15"/>
      <c r="LH193" s="15"/>
      <c r="LI193" s="15"/>
      <c r="LJ193" s="15"/>
      <c r="LK193" s="15"/>
      <c r="LL193" s="15"/>
      <c r="LM193" s="15"/>
      <c r="LN193" s="15"/>
      <c r="LO193" s="15"/>
      <c r="LP193" s="15"/>
      <c r="LQ193" s="15"/>
      <c r="LR193" s="15"/>
      <c r="LS193" s="15"/>
      <c r="LT193" s="15"/>
      <c r="LU193" s="15"/>
      <c r="LV193" s="15"/>
      <c r="LW193" s="15"/>
      <c r="LX193" s="15"/>
      <c r="LY193" s="15"/>
      <c r="LZ193" s="15"/>
      <c r="MA193" s="15"/>
      <c r="MB193" s="15"/>
      <c r="MC193" s="15"/>
      <c r="MD193" s="15"/>
      <c r="ME193" s="15"/>
      <c r="MF193" s="15"/>
      <c r="MG193" s="15"/>
      <c r="MH193" s="15"/>
      <c r="MI193" s="15"/>
      <c r="MJ193" s="15"/>
      <c r="MK193" s="15"/>
      <c r="ML193" s="15"/>
      <c r="MM193" s="15"/>
      <c r="MN193" s="15"/>
      <c r="MO193" s="15"/>
      <c r="MP193" s="15"/>
      <c r="MQ193" s="15"/>
      <c r="MR193" s="15"/>
      <c r="MS193" s="15"/>
      <c r="MT193" s="15"/>
      <c r="MU193" s="15"/>
      <c r="MV193" s="15"/>
      <c r="MW193" s="15"/>
    </row>
    <row r="194" ht="41.25" customHeight="1">
      <c r="A194" s="13" t="s">
        <v>10214</v>
      </c>
      <c r="B194" s="14" t="s">
        <v>10215</v>
      </c>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c r="DE194" s="15"/>
      <c r="DF194" s="15"/>
      <c r="DG194" s="15"/>
      <c r="DH194" s="15"/>
      <c r="DI194" s="15"/>
      <c r="DJ194" s="15"/>
      <c r="DK194" s="15"/>
      <c r="DL194" s="15"/>
      <c r="DM194" s="15"/>
      <c r="DN194" s="15"/>
      <c r="DO194" s="15"/>
      <c r="DP194" s="15"/>
      <c r="DQ194" s="15"/>
      <c r="DR194" s="15"/>
      <c r="DS194" s="15"/>
      <c r="DT194" s="15"/>
      <c r="DU194" s="15"/>
      <c r="DV194" s="15"/>
      <c r="DW194" s="15"/>
      <c r="DX194" s="15"/>
      <c r="DY194" s="15"/>
      <c r="DZ194" s="15"/>
      <c r="EA194" s="15"/>
      <c r="EB194" s="15"/>
      <c r="EC194" s="15"/>
      <c r="ED194" s="15"/>
      <c r="EE194" s="15"/>
      <c r="EF194" s="15"/>
      <c r="EG194" s="15"/>
      <c r="EH194" s="15"/>
      <c r="EI194" s="15"/>
      <c r="EJ194" s="15"/>
      <c r="EK194" s="15"/>
      <c r="EL194" s="15"/>
      <c r="EM194" s="15"/>
      <c r="EN194" s="15"/>
      <c r="EO194" s="15"/>
      <c r="EP194" s="15"/>
      <c r="EQ194" s="15"/>
      <c r="ER194" s="15"/>
      <c r="ES194" s="15"/>
      <c r="ET194" s="15"/>
      <c r="EU194" s="15"/>
      <c r="EV194" s="15"/>
      <c r="EW194" s="15"/>
      <c r="EX194" s="15"/>
      <c r="EY194" s="15"/>
      <c r="EZ194" s="15"/>
      <c r="FA194" s="15"/>
      <c r="FB194" s="15"/>
      <c r="FC194" s="15"/>
      <c r="FD194" s="15"/>
      <c r="FE194" s="15"/>
      <c r="FF194" s="15"/>
      <c r="FG194" s="15"/>
      <c r="FH194" s="15"/>
      <c r="FI194" s="15"/>
      <c r="FJ194" s="15"/>
      <c r="FK194" s="15"/>
      <c r="FL194" s="15"/>
      <c r="FM194" s="15"/>
      <c r="FN194" s="15"/>
      <c r="FO194" s="15"/>
      <c r="FP194" s="15"/>
      <c r="FQ194" s="15"/>
      <c r="FR194" s="15"/>
      <c r="FS194" s="15"/>
      <c r="FT194" s="15"/>
      <c r="FU194" s="15"/>
      <c r="FV194" s="15"/>
      <c r="FW194" s="15"/>
      <c r="FX194" s="15"/>
      <c r="FY194" s="15"/>
      <c r="FZ194" s="15"/>
      <c r="GA194" s="15"/>
      <c r="GB194" s="15"/>
      <c r="GC194" s="15"/>
      <c r="GD194" s="15"/>
      <c r="GE194" s="15"/>
      <c r="GF194" s="15"/>
      <c r="GG194" s="15"/>
      <c r="GH194" s="15"/>
      <c r="GI194" s="15"/>
      <c r="GJ194" s="15"/>
      <c r="GK194" s="15"/>
      <c r="GL194" s="15"/>
      <c r="GM194" s="15"/>
      <c r="GN194" s="15"/>
      <c r="GO194" s="15"/>
      <c r="GP194" s="15"/>
      <c r="GQ194" s="15"/>
      <c r="GR194" s="15"/>
      <c r="GS194" s="15"/>
      <c r="GT194" s="15"/>
      <c r="GU194" s="15"/>
      <c r="GV194" s="15"/>
      <c r="GW194" s="15"/>
      <c r="GX194" s="15"/>
      <c r="GY194" s="15"/>
      <c r="GZ194" s="15"/>
      <c r="HA194" s="15"/>
      <c r="HB194" s="15"/>
      <c r="HC194" s="15"/>
      <c r="HD194" s="15"/>
      <c r="HE194" s="15"/>
      <c r="HF194" s="15"/>
      <c r="HG194" s="15"/>
      <c r="HH194" s="15"/>
      <c r="HI194" s="15"/>
      <c r="HJ194" s="15"/>
      <c r="HK194" s="15"/>
      <c r="HL194" s="15"/>
      <c r="HM194" s="15"/>
      <c r="HN194" s="15"/>
      <c r="HO194" s="15"/>
      <c r="HP194" s="15"/>
      <c r="HQ194" s="15"/>
      <c r="HR194" s="15"/>
      <c r="HS194" s="15"/>
      <c r="HT194" s="15"/>
      <c r="HU194" s="15"/>
      <c r="HV194" s="15"/>
      <c r="HW194" s="15"/>
      <c r="HX194" s="15"/>
      <c r="HY194" s="15"/>
      <c r="HZ194" s="15"/>
      <c r="IA194" s="15"/>
      <c r="IB194" s="15"/>
      <c r="IC194" s="15"/>
      <c r="ID194" s="15"/>
      <c r="IE194" s="15"/>
      <c r="IF194" s="15"/>
      <c r="IG194" s="15"/>
      <c r="IH194" s="15"/>
      <c r="II194" s="15"/>
      <c r="IJ194" s="15"/>
      <c r="IK194" s="15"/>
      <c r="IL194" s="15"/>
      <c r="IM194" s="15"/>
      <c r="IN194" s="15"/>
      <c r="IO194" s="15"/>
      <c r="IP194" s="15"/>
      <c r="IQ194" s="15"/>
      <c r="IR194" s="15"/>
      <c r="IS194" s="15"/>
      <c r="IT194" s="15"/>
      <c r="IU194" s="15"/>
      <c r="IV194" s="15"/>
      <c r="IW194" s="15"/>
      <c r="IX194" s="15"/>
      <c r="IY194" s="15"/>
      <c r="IZ194" s="15"/>
      <c r="JA194" s="15"/>
      <c r="JB194" s="15"/>
      <c r="JC194" s="15"/>
      <c r="JD194" s="15"/>
      <c r="JE194" s="15"/>
      <c r="JF194" s="15"/>
      <c r="JG194" s="15"/>
      <c r="JH194" s="15"/>
      <c r="JI194" s="15"/>
      <c r="JJ194" s="15"/>
      <c r="JK194" s="15"/>
      <c r="JL194" s="15"/>
      <c r="JM194" s="15"/>
      <c r="JN194" s="15"/>
      <c r="JO194" s="15"/>
      <c r="JP194" s="15"/>
      <c r="JQ194" s="15"/>
      <c r="JR194" s="15"/>
      <c r="JS194" s="15"/>
      <c r="JT194" s="15"/>
      <c r="JU194" s="15"/>
      <c r="JV194" s="15"/>
      <c r="JW194" s="15"/>
      <c r="JX194" s="15"/>
      <c r="JY194" s="15"/>
      <c r="JZ194" s="15"/>
      <c r="KA194" s="15"/>
      <c r="KB194" s="15"/>
      <c r="KC194" s="15"/>
      <c r="KD194" s="15"/>
      <c r="KE194" s="15"/>
      <c r="KF194" s="15"/>
      <c r="KG194" s="15"/>
      <c r="KH194" s="15"/>
      <c r="KI194" s="15"/>
      <c r="KJ194" s="15"/>
      <c r="KK194" s="15"/>
      <c r="KL194" s="15"/>
      <c r="KM194" s="15"/>
      <c r="KN194" s="15"/>
      <c r="KO194" s="15"/>
      <c r="KP194" s="15"/>
      <c r="KQ194" s="15"/>
      <c r="KR194" s="15"/>
      <c r="KS194" s="15"/>
      <c r="KT194" s="15"/>
      <c r="KU194" s="15"/>
      <c r="KV194" s="15"/>
      <c r="KW194" s="15"/>
      <c r="KX194" s="15"/>
      <c r="KY194" s="15"/>
      <c r="KZ194" s="15"/>
      <c r="LA194" s="15"/>
      <c r="LB194" s="15"/>
      <c r="LC194" s="15"/>
      <c r="LD194" s="15"/>
      <c r="LE194" s="15"/>
      <c r="LF194" s="15"/>
      <c r="LG194" s="15"/>
      <c r="LH194" s="15"/>
      <c r="LI194" s="15"/>
      <c r="LJ194" s="15"/>
      <c r="LK194" s="15"/>
      <c r="LL194" s="15"/>
      <c r="LM194" s="15"/>
      <c r="LN194" s="15"/>
      <c r="LO194" s="15"/>
      <c r="LP194" s="15"/>
      <c r="LQ194" s="15"/>
      <c r="LR194" s="15"/>
      <c r="LS194" s="15"/>
      <c r="LT194" s="15"/>
      <c r="LU194" s="15"/>
      <c r="LV194" s="15"/>
      <c r="LW194" s="15"/>
      <c r="LX194" s="15"/>
      <c r="LY194" s="15"/>
      <c r="LZ194" s="15"/>
      <c r="MA194" s="15"/>
      <c r="MB194" s="15"/>
      <c r="MC194" s="15"/>
      <c r="MD194" s="15"/>
      <c r="ME194" s="15"/>
      <c r="MF194" s="15"/>
      <c r="MG194" s="15"/>
      <c r="MH194" s="15"/>
      <c r="MI194" s="15"/>
      <c r="MJ194" s="15"/>
      <c r="MK194" s="15"/>
      <c r="ML194" s="15"/>
      <c r="MM194" s="15"/>
      <c r="MN194" s="15"/>
      <c r="MO194" s="15"/>
      <c r="MP194" s="15"/>
      <c r="MQ194" s="15"/>
      <c r="MR194" s="15"/>
      <c r="MS194" s="15"/>
      <c r="MT194" s="15"/>
      <c r="MU194" s="15"/>
      <c r="MV194" s="15"/>
      <c r="MW194" s="15"/>
    </row>
    <row r="195" ht="119.25" customHeight="1">
      <c r="A195" s="13" t="s">
        <v>194</v>
      </c>
      <c r="B195" s="14" t="s">
        <v>10216</v>
      </c>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c r="DC195" s="15"/>
      <c r="DD195" s="15"/>
      <c r="DE195" s="15"/>
      <c r="DF195" s="15"/>
      <c r="DG195" s="15"/>
      <c r="DH195" s="15"/>
      <c r="DI195" s="15"/>
      <c r="DJ195" s="15"/>
      <c r="DK195" s="15"/>
      <c r="DL195" s="15"/>
      <c r="DM195" s="15"/>
      <c r="DN195" s="15"/>
      <c r="DO195" s="15"/>
      <c r="DP195" s="15"/>
      <c r="DQ195" s="15"/>
      <c r="DR195" s="15"/>
      <c r="DS195" s="15"/>
      <c r="DT195" s="15"/>
      <c r="DU195" s="15"/>
      <c r="DV195" s="15"/>
      <c r="DW195" s="15"/>
      <c r="DX195" s="15"/>
      <c r="DY195" s="15"/>
      <c r="DZ195" s="15"/>
      <c r="EA195" s="15"/>
      <c r="EB195" s="15"/>
      <c r="EC195" s="15"/>
      <c r="ED195" s="15"/>
      <c r="EE195" s="15"/>
      <c r="EF195" s="15"/>
      <c r="EG195" s="15"/>
      <c r="EH195" s="15"/>
      <c r="EI195" s="15"/>
      <c r="EJ195" s="15"/>
      <c r="EK195" s="15"/>
      <c r="EL195" s="15"/>
      <c r="EM195" s="15"/>
      <c r="EN195" s="15"/>
      <c r="EO195" s="15"/>
      <c r="EP195" s="15"/>
      <c r="EQ195" s="15"/>
      <c r="ER195" s="15"/>
      <c r="ES195" s="15"/>
      <c r="ET195" s="15"/>
      <c r="EU195" s="15"/>
      <c r="EV195" s="15"/>
      <c r="EW195" s="15"/>
      <c r="EX195" s="15"/>
      <c r="EY195" s="15"/>
      <c r="EZ195" s="15"/>
      <c r="FA195" s="15"/>
      <c r="FB195" s="15"/>
      <c r="FC195" s="15"/>
      <c r="FD195" s="15"/>
      <c r="FE195" s="15"/>
      <c r="FF195" s="15"/>
      <c r="FG195" s="15"/>
      <c r="FH195" s="15"/>
      <c r="FI195" s="15"/>
      <c r="FJ195" s="15"/>
      <c r="FK195" s="15"/>
      <c r="FL195" s="15"/>
      <c r="FM195" s="15"/>
      <c r="FN195" s="15"/>
      <c r="FO195" s="15"/>
      <c r="FP195" s="15"/>
      <c r="FQ195" s="15"/>
      <c r="FR195" s="15"/>
      <c r="FS195" s="15"/>
      <c r="FT195" s="15"/>
      <c r="FU195" s="15"/>
      <c r="FV195" s="15"/>
      <c r="FW195" s="15"/>
      <c r="FX195" s="15"/>
      <c r="FY195" s="15"/>
      <c r="FZ195" s="15"/>
      <c r="GA195" s="15"/>
      <c r="GB195" s="15"/>
      <c r="GC195" s="15"/>
      <c r="GD195" s="15"/>
      <c r="GE195" s="15"/>
      <c r="GF195" s="15"/>
      <c r="GG195" s="15"/>
      <c r="GH195" s="15"/>
      <c r="GI195" s="15"/>
      <c r="GJ195" s="15"/>
      <c r="GK195" s="15"/>
      <c r="GL195" s="15"/>
      <c r="GM195" s="15"/>
      <c r="GN195" s="15"/>
      <c r="GO195" s="15"/>
      <c r="GP195" s="15"/>
      <c r="GQ195" s="15"/>
      <c r="GR195" s="15"/>
      <c r="GS195" s="15"/>
      <c r="GT195" s="15"/>
      <c r="GU195" s="15"/>
      <c r="GV195" s="15"/>
      <c r="GW195" s="15"/>
      <c r="GX195" s="15"/>
      <c r="GY195" s="15"/>
      <c r="GZ195" s="15"/>
      <c r="HA195" s="15"/>
      <c r="HB195" s="15"/>
      <c r="HC195" s="15"/>
      <c r="HD195" s="15"/>
      <c r="HE195" s="15"/>
      <c r="HF195" s="15"/>
      <c r="HG195" s="15"/>
      <c r="HH195" s="15"/>
      <c r="HI195" s="15"/>
      <c r="HJ195" s="15"/>
      <c r="HK195" s="15"/>
      <c r="HL195" s="15"/>
      <c r="HM195" s="15"/>
      <c r="HN195" s="15"/>
      <c r="HO195" s="15"/>
      <c r="HP195" s="15"/>
      <c r="HQ195" s="15"/>
      <c r="HR195" s="15"/>
      <c r="HS195" s="15"/>
      <c r="HT195" s="15"/>
      <c r="HU195" s="15"/>
      <c r="HV195" s="15"/>
      <c r="HW195" s="15"/>
      <c r="HX195" s="15"/>
      <c r="HY195" s="15"/>
      <c r="HZ195" s="15"/>
      <c r="IA195" s="15"/>
      <c r="IB195" s="15"/>
      <c r="IC195" s="15"/>
      <c r="ID195" s="15"/>
      <c r="IE195" s="15"/>
      <c r="IF195" s="15"/>
      <c r="IG195" s="15"/>
      <c r="IH195" s="15"/>
      <c r="II195" s="15"/>
      <c r="IJ195" s="15"/>
      <c r="IK195" s="15"/>
      <c r="IL195" s="15"/>
      <c r="IM195" s="15"/>
      <c r="IN195" s="15"/>
      <c r="IO195" s="15"/>
      <c r="IP195" s="15"/>
      <c r="IQ195" s="15"/>
      <c r="IR195" s="15"/>
      <c r="IS195" s="15"/>
      <c r="IT195" s="15"/>
      <c r="IU195" s="15"/>
      <c r="IV195" s="15"/>
      <c r="IW195" s="15"/>
      <c r="IX195" s="15"/>
      <c r="IY195" s="15"/>
      <c r="IZ195" s="15"/>
      <c r="JA195" s="15"/>
      <c r="JB195" s="15"/>
      <c r="JC195" s="15"/>
      <c r="JD195" s="15"/>
      <c r="JE195" s="15"/>
      <c r="JF195" s="15"/>
      <c r="JG195" s="15"/>
      <c r="JH195" s="15"/>
      <c r="JI195" s="15"/>
      <c r="JJ195" s="15"/>
      <c r="JK195" s="15"/>
      <c r="JL195" s="15"/>
      <c r="JM195" s="15"/>
      <c r="JN195" s="15"/>
      <c r="JO195" s="15"/>
      <c r="JP195" s="15"/>
      <c r="JQ195" s="15"/>
      <c r="JR195" s="15"/>
      <c r="JS195" s="15"/>
      <c r="JT195" s="15"/>
      <c r="JU195" s="15"/>
      <c r="JV195" s="15"/>
      <c r="JW195" s="15"/>
      <c r="JX195" s="15"/>
      <c r="JY195" s="15"/>
      <c r="JZ195" s="15"/>
      <c r="KA195" s="15"/>
      <c r="KB195" s="15"/>
      <c r="KC195" s="15"/>
      <c r="KD195" s="15"/>
      <c r="KE195" s="15"/>
      <c r="KF195" s="15"/>
      <c r="KG195" s="15"/>
      <c r="KH195" s="15"/>
      <c r="KI195" s="15"/>
      <c r="KJ195" s="15"/>
      <c r="KK195" s="15"/>
      <c r="KL195" s="15"/>
      <c r="KM195" s="15"/>
      <c r="KN195" s="15"/>
      <c r="KO195" s="15"/>
      <c r="KP195" s="15"/>
      <c r="KQ195" s="15"/>
      <c r="KR195" s="15"/>
      <c r="KS195" s="15"/>
      <c r="KT195" s="15"/>
      <c r="KU195" s="15"/>
      <c r="KV195" s="15"/>
      <c r="KW195" s="15"/>
      <c r="KX195" s="15"/>
      <c r="KY195" s="15"/>
      <c r="KZ195" s="15"/>
      <c r="LA195" s="15"/>
      <c r="LB195" s="15"/>
      <c r="LC195" s="15"/>
      <c r="LD195" s="15"/>
      <c r="LE195" s="15"/>
      <c r="LF195" s="15"/>
      <c r="LG195" s="15"/>
      <c r="LH195" s="15"/>
      <c r="LI195" s="15"/>
      <c r="LJ195" s="15"/>
      <c r="LK195" s="15"/>
      <c r="LL195" s="15"/>
      <c r="LM195" s="15"/>
      <c r="LN195" s="15"/>
      <c r="LO195" s="15"/>
      <c r="LP195" s="15"/>
      <c r="LQ195" s="15"/>
      <c r="LR195" s="15"/>
      <c r="LS195" s="15"/>
      <c r="LT195" s="15"/>
      <c r="LU195" s="15"/>
      <c r="LV195" s="15"/>
      <c r="LW195" s="15"/>
      <c r="LX195" s="15"/>
      <c r="LY195" s="15"/>
      <c r="LZ195" s="15"/>
      <c r="MA195" s="15"/>
      <c r="MB195" s="15"/>
      <c r="MC195" s="15"/>
      <c r="MD195" s="15"/>
      <c r="ME195" s="15"/>
      <c r="MF195" s="15"/>
      <c r="MG195" s="15"/>
      <c r="MH195" s="15"/>
      <c r="MI195" s="15"/>
      <c r="MJ195" s="15"/>
      <c r="MK195" s="15"/>
      <c r="ML195" s="15"/>
      <c r="MM195" s="15"/>
      <c r="MN195" s="15"/>
      <c r="MO195" s="15"/>
      <c r="MP195" s="15"/>
      <c r="MQ195" s="15"/>
      <c r="MR195" s="15"/>
      <c r="MS195" s="15"/>
      <c r="MT195" s="15"/>
      <c r="MU195" s="15"/>
      <c r="MV195" s="15"/>
      <c r="MW195" s="15"/>
    </row>
    <row r="196" ht="41.25" customHeight="1">
      <c r="A196" s="13" t="s">
        <v>195</v>
      </c>
      <c r="B196" s="14" t="s">
        <v>10217</v>
      </c>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c r="DE196" s="15"/>
      <c r="DF196" s="15"/>
      <c r="DG196" s="15"/>
      <c r="DH196" s="15"/>
      <c r="DI196" s="15"/>
      <c r="DJ196" s="15"/>
      <c r="DK196" s="15"/>
      <c r="DL196" s="15"/>
      <c r="DM196" s="15"/>
      <c r="DN196" s="15"/>
      <c r="DO196" s="15"/>
      <c r="DP196" s="15"/>
      <c r="DQ196" s="15"/>
      <c r="DR196" s="15"/>
      <c r="DS196" s="15"/>
      <c r="DT196" s="15"/>
      <c r="DU196" s="15"/>
      <c r="DV196" s="15"/>
      <c r="DW196" s="15"/>
      <c r="DX196" s="15"/>
      <c r="DY196" s="15"/>
      <c r="DZ196" s="15"/>
      <c r="EA196" s="15"/>
      <c r="EB196" s="15"/>
      <c r="EC196" s="15"/>
      <c r="ED196" s="15"/>
      <c r="EE196" s="15"/>
      <c r="EF196" s="15"/>
      <c r="EG196" s="15"/>
      <c r="EH196" s="15"/>
      <c r="EI196" s="15"/>
      <c r="EJ196" s="15"/>
      <c r="EK196" s="15"/>
      <c r="EL196" s="15"/>
      <c r="EM196" s="15"/>
      <c r="EN196" s="15"/>
      <c r="EO196" s="15"/>
      <c r="EP196" s="15"/>
      <c r="EQ196" s="15"/>
      <c r="ER196" s="15"/>
      <c r="ES196" s="15"/>
      <c r="ET196" s="15"/>
      <c r="EU196" s="15"/>
      <c r="EV196" s="15"/>
      <c r="EW196" s="15"/>
      <c r="EX196" s="15"/>
      <c r="EY196" s="15"/>
      <c r="EZ196" s="15"/>
      <c r="FA196" s="15"/>
      <c r="FB196" s="15"/>
      <c r="FC196" s="15"/>
      <c r="FD196" s="15"/>
      <c r="FE196" s="15"/>
      <c r="FF196" s="15"/>
      <c r="FG196" s="15"/>
      <c r="FH196" s="15"/>
      <c r="FI196" s="15"/>
      <c r="FJ196" s="15"/>
      <c r="FK196" s="15"/>
      <c r="FL196" s="15"/>
      <c r="FM196" s="15"/>
      <c r="FN196" s="15"/>
      <c r="FO196" s="15"/>
      <c r="FP196" s="15"/>
      <c r="FQ196" s="15"/>
      <c r="FR196" s="15"/>
      <c r="FS196" s="15"/>
      <c r="FT196" s="15"/>
      <c r="FU196" s="15"/>
      <c r="FV196" s="15"/>
      <c r="FW196" s="15"/>
      <c r="FX196" s="15"/>
      <c r="FY196" s="15"/>
      <c r="FZ196" s="15"/>
      <c r="GA196" s="15"/>
      <c r="GB196" s="15"/>
      <c r="GC196" s="15"/>
      <c r="GD196" s="15"/>
      <c r="GE196" s="15"/>
      <c r="GF196" s="15"/>
      <c r="GG196" s="15"/>
      <c r="GH196" s="15"/>
      <c r="GI196" s="15"/>
      <c r="GJ196" s="15"/>
      <c r="GK196" s="15"/>
      <c r="GL196" s="15"/>
      <c r="GM196" s="15"/>
      <c r="GN196" s="15"/>
      <c r="GO196" s="15"/>
      <c r="GP196" s="15"/>
      <c r="GQ196" s="15"/>
      <c r="GR196" s="15"/>
      <c r="GS196" s="15"/>
      <c r="GT196" s="15"/>
      <c r="GU196" s="15"/>
      <c r="GV196" s="15"/>
      <c r="GW196" s="15"/>
      <c r="GX196" s="15"/>
      <c r="GY196" s="15"/>
      <c r="GZ196" s="15"/>
      <c r="HA196" s="15"/>
      <c r="HB196" s="15"/>
      <c r="HC196" s="15"/>
      <c r="HD196" s="15"/>
      <c r="HE196" s="15"/>
      <c r="HF196" s="15"/>
      <c r="HG196" s="15"/>
      <c r="HH196" s="15"/>
      <c r="HI196" s="15"/>
      <c r="HJ196" s="15"/>
      <c r="HK196" s="15"/>
      <c r="HL196" s="15"/>
      <c r="HM196" s="15"/>
      <c r="HN196" s="15"/>
      <c r="HO196" s="15"/>
      <c r="HP196" s="15"/>
      <c r="HQ196" s="15"/>
      <c r="HR196" s="15"/>
      <c r="HS196" s="15"/>
      <c r="HT196" s="15"/>
      <c r="HU196" s="15"/>
      <c r="HV196" s="15"/>
      <c r="HW196" s="15"/>
      <c r="HX196" s="15"/>
      <c r="HY196" s="15"/>
      <c r="HZ196" s="15"/>
      <c r="IA196" s="15"/>
      <c r="IB196" s="15"/>
      <c r="IC196" s="15"/>
      <c r="ID196" s="15"/>
      <c r="IE196" s="15"/>
      <c r="IF196" s="15"/>
      <c r="IG196" s="15"/>
      <c r="IH196" s="15"/>
      <c r="II196" s="15"/>
      <c r="IJ196" s="15"/>
      <c r="IK196" s="15"/>
      <c r="IL196" s="15"/>
      <c r="IM196" s="15"/>
      <c r="IN196" s="15"/>
      <c r="IO196" s="15"/>
      <c r="IP196" s="15"/>
      <c r="IQ196" s="15"/>
      <c r="IR196" s="15"/>
      <c r="IS196" s="15"/>
      <c r="IT196" s="15"/>
      <c r="IU196" s="15"/>
      <c r="IV196" s="15"/>
      <c r="IW196" s="15"/>
      <c r="IX196" s="15"/>
      <c r="IY196" s="15"/>
      <c r="IZ196" s="15"/>
      <c r="JA196" s="15"/>
      <c r="JB196" s="15"/>
      <c r="JC196" s="15"/>
      <c r="JD196" s="15"/>
      <c r="JE196" s="15"/>
      <c r="JF196" s="15"/>
      <c r="JG196" s="15"/>
      <c r="JH196" s="15"/>
      <c r="JI196" s="15"/>
      <c r="JJ196" s="15"/>
      <c r="JK196" s="15"/>
      <c r="JL196" s="15"/>
      <c r="JM196" s="15"/>
      <c r="JN196" s="15"/>
      <c r="JO196" s="15"/>
      <c r="JP196" s="15"/>
      <c r="JQ196" s="15"/>
      <c r="JR196" s="15"/>
      <c r="JS196" s="15"/>
      <c r="JT196" s="15"/>
      <c r="JU196" s="15"/>
      <c r="JV196" s="15"/>
      <c r="JW196" s="15"/>
      <c r="JX196" s="15"/>
      <c r="JY196" s="15"/>
      <c r="JZ196" s="15"/>
      <c r="KA196" s="15"/>
      <c r="KB196" s="15"/>
      <c r="KC196" s="15"/>
      <c r="KD196" s="15"/>
      <c r="KE196" s="15"/>
      <c r="KF196" s="15"/>
      <c r="KG196" s="15"/>
      <c r="KH196" s="15"/>
      <c r="KI196" s="15"/>
      <c r="KJ196" s="15"/>
      <c r="KK196" s="15"/>
      <c r="KL196" s="15"/>
      <c r="KM196" s="15"/>
      <c r="KN196" s="15"/>
      <c r="KO196" s="15"/>
      <c r="KP196" s="15"/>
      <c r="KQ196" s="15"/>
      <c r="KR196" s="15"/>
      <c r="KS196" s="15"/>
      <c r="KT196" s="15"/>
      <c r="KU196" s="15"/>
      <c r="KV196" s="15"/>
      <c r="KW196" s="15"/>
      <c r="KX196" s="15"/>
      <c r="KY196" s="15"/>
      <c r="KZ196" s="15"/>
      <c r="LA196" s="15"/>
      <c r="LB196" s="15"/>
      <c r="LC196" s="15"/>
      <c r="LD196" s="15"/>
      <c r="LE196" s="15"/>
      <c r="LF196" s="15"/>
      <c r="LG196" s="15"/>
      <c r="LH196" s="15"/>
      <c r="LI196" s="15"/>
      <c r="LJ196" s="15"/>
      <c r="LK196" s="15"/>
      <c r="LL196" s="15"/>
      <c r="LM196" s="15"/>
      <c r="LN196" s="15"/>
      <c r="LO196" s="15"/>
      <c r="LP196" s="15"/>
      <c r="LQ196" s="15"/>
      <c r="LR196" s="15"/>
      <c r="LS196" s="15"/>
      <c r="LT196" s="15"/>
      <c r="LU196" s="15"/>
      <c r="LV196" s="15"/>
      <c r="LW196" s="15"/>
      <c r="LX196" s="15"/>
      <c r="LY196" s="15"/>
      <c r="LZ196" s="15"/>
      <c r="MA196" s="15"/>
      <c r="MB196" s="15"/>
      <c r="MC196" s="15"/>
      <c r="MD196" s="15"/>
      <c r="ME196" s="15"/>
      <c r="MF196" s="15"/>
      <c r="MG196" s="15"/>
      <c r="MH196" s="15"/>
      <c r="MI196" s="15"/>
      <c r="MJ196" s="15"/>
      <c r="MK196" s="15"/>
      <c r="ML196" s="15"/>
      <c r="MM196" s="15"/>
      <c r="MN196" s="15"/>
      <c r="MO196" s="15"/>
      <c r="MP196" s="15"/>
      <c r="MQ196" s="15"/>
      <c r="MR196" s="15"/>
      <c r="MS196" s="15"/>
      <c r="MT196" s="15"/>
      <c r="MU196" s="15"/>
      <c r="MV196" s="15"/>
      <c r="MW196" s="15"/>
    </row>
    <row r="197" ht="119.25" customHeight="1">
      <c r="A197" s="13" t="s">
        <v>196</v>
      </c>
      <c r="B197" s="14" t="s">
        <v>10218</v>
      </c>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c r="DE197" s="15"/>
      <c r="DF197" s="15"/>
      <c r="DG197" s="15"/>
      <c r="DH197" s="15"/>
      <c r="DI197" s="15"/>
      <c r="DJ197" s="15"/>
      <c r="DK197" s="15"/>
      <c r="DL197" s="15"/>
      <c r="DM197" s="15"/>
      <c r="DN197" s="15"/>
      <c r="DO197" s="15"/>
      <c r="DP197" s="15"/>
      <c r="DQ197" s="15"/>
      <c r="DR197" s="15"/>
      <c r="DS197" s="15"/>
      <c r="DT197" s="15"/>
      <c r="DU197" s="15"/>
      <c r="DV197" s="15"/>
      <c r="DW197" s="15"/>
      <c r="DX197" s="15"/>
      <c r="DY197" s="15"/>
      <c r="DZ197" s="15"/>
      <c r="EA197" s="15"/>
      <c r="EB197" s="15"/>
      <c r="EC197" s="15"/>
      <c r="ED197" s="15"/>
      <c r="EE197" s="15"/>
      <c r="EF197" s="15"/>
      <c r="EG197" s="15"/>
      <c r="EH197" s="15"/>
      <c r="EI197" s="15"/>
      <c r="EJ197" s="15"/>
      <c r="EK197" s="15"/>
      <c r="EL197" s="15"/>
      <c r="EM197" s="15"/>
      <c r="EN197" s="15"/>
      <c r="EO197" s="15"/>
      <c r="EP197" s="15"/>
      <c r="EQ197" s="15"/>
      <c r="ER197" s="15"/>
      <c r="ES197" s="15"/>
      <c r="ET197" s="15"/>
      <c r="EU197" s="15"/>
      <c r="EV197" s="15"/>
      <c r="EW197" s="15"/>
      <c r="EX197" s="15"/>
      <c r="EY197" s="15"/>
      <c r="EZ197" s="15"/>
      <c r="FA197" s="15"/>
      <c r="FB197" s="15"/>
      <c r="FC197" s="15"/>
      <c r="FD197" s="15"/>
      <c r="FE197" s="15"/>
      <c r="FF197" s="15"/>
      <c r="FG197" s="15"/>
      <c r="FH197" s="15"/>
      <c r="FI197" s="15"/>
      <c r="FJ197" s="15"/>
      <c r="FK197" s="15"/>
      <c r="FL197" s="15"/>
      <c r="FM197" s="15"/>
      <c r="FN197" s="15"/>
      <c r="FO197" s="15"/>
      <c r="FP197" s="15"/>
      <c r="FQ197" s="15"/>
      <c r="FR197" s="15"/>
      <c r="FS197" s="15"/>
      <c r="FT197" s="15"/>
      <c r="FU197" s="15"/>
      <c r="FV197" s="15"/>
      <c r="FW197" s="15"/>
      <c r="FX197" s="15"/>
      <c r="FY197" s="15"/>
      <c r="FZ197" s="15"/>
      <c r="GA197" s="15"/>
      <c r="GB197" s="15"/>
      <c r="GC197" s="15"/>
      <c r="GD197" s="15"/>
      <c r="GE197" s="15"/>
      <c r="GF197" s="15"/>
      <c r="GG197" s="15"/>
      <c r="GH197" s="15"/>
      <c r="GI197" s="15"/>
      <c r="GJ197" s="15"/>
      <c r="GK197" s="15"/>
      <c r="GL197" s="15"/>
      <c r="GM197" s="15"/>
      <c r="GN197" s="15"/>
      <c r="GO197" s="15"/>
      <c r="GP197" s="15"/>
      <c r="GQ197" s="15"/>
      <c r="GR197" s="15"/>
      <c r="GS197" s="15"/>
      <c r="GT197" s="15"/>
      <c r="GU197" s="15"/>
      <c r="GV197" s="15"/>
      <c r="GW197" s="15"/>
      <c r="GX197" s="15"/>
      <c r="GY197" s="15"/>
      <c r="GZ197" s="15"/>
      <c r="HA197" s="15"/>
      <c r="HB197" s="15"/>
      <c r="HC197" s="15"/>
      <c r="HD197" s="15"/>
      <c r="HE197" s="15"/>
      <c r="HF197" s="15"/>
      <c r="HG197" s="15"/>
      <c r="HH197" s="15"/>
      <c r="HI197" s="15"/>
      <c r="HJ197" s="15"/>
      <c r="HK197" s="15"/>
      <c r="HL197" s="15"/>
      <c r="HM197" s="15"/>
      <c r="HN197" s="15"/>
      <c r="HO197" s="15"/>
      <c r="HP197" s="15"/>
      <c r="HQ197" s="15"/>
      <c r="HR197" s="15"/>
      <c r="HS197" s="15"/>
      <c r="HT197" s="15"/>
      <c r="HU197" s="15"/>
      <c r="HV197" s="15"/>
      <c r="HW197" s="15"/>
      <c r="HX197" s="15"/>
      <c r="HY197" s="15"/>
      <c r="HZ197" s="15"/>
      <c r="IA197" s="15"/>
      <c r="IB197" s="15"/>
      <c r="IC197" s="15"/>
      <c r="ID197" s="15"/>
      <c r="IE197" s="15"/>
      <c r="IF197" s="15"/>
      <c r="IG197" s="15"/>
      <c r="IH197" s="15"/>
      <c r="II197" s="15"/>
      <c r="IJ197" s="15"/>
      <c r="IK197" s="15"/>
      <c r="IL197" s="15"/>
      <c r="IM197" s="15"/>
      <c r="IN197" s="15"/>
      <c r="IO197" s="15"/>
      <c r="IP197" s="15"/>
      <c r="IQ197" s="15"/>
      <c r="IR197" s="15"/>
      <c r="IS197" s="15"/>
      <c r="IT197" s="15"/>
      <c r="IU197" s="15"/>
      <c r="IV197" s="15"/>
      <c r="IW197" s="15"/>
      <c r="IX197" s="15"/>
      <c r="IY197" s="15"/>
      <c r="IZ197" s="15"/>
      <c r="JA197" s="15"/>
      <c r="JB197" s="15"/>
      <c r="JC197" s="15"/>
      <c r="JD197" s="15"/>
      <c r="JE197" s="15"/>
      <c r="JF197" s="15"/>
      <c r="JG197" s="15"/>
      <c r="JH197" s="15"/>
      <c r="JI197" s="15"/>
      <c r="JJ197" s="15"/>
      <c r="JK197" s="15"/>
      <c r="JL197" s="15"/>
      <c r="JM197" s="15"/>
      <c r="JN197" s="15"/>
      <c r="JO197" s="15"/>
      <c r="JP197" s="15"/>
      <c r="JQ197" s="15"/>
      <c r="JR197" s="15"/>
      <c r="JS197" s="15"/>
      <c r="JT197" s="15"/>
      <c r="JU197" s="15"/>
      <c r="JV197" s="15"/>
      <c r="JW197" s="15"/>
      <c r="JX197" s="15"/>
      <c r="JY197" s="15"/>
      <c r="JZ197" s="15"/>
      <c r="KA197" s="15"/>
      <c r="KB197" s="15"/>
      <c r="KC197" s="15"/>
      <c r="KD197" s="15"/>
      <c r="KE197" s="15"/>
      <c r="KF197" s="15"/>
      <c r="KG197" s="15"/>
      <c r="KH197" s="15"/>
      <c r="KI197" s="15"/>
      <c r="KJ197" s="15"/>
      <c r="KK197" s="15"/>
      <c r="KL197" s="15"/>
      <c r="KM197" s="15"/>
      <c r="KN197" s="15"/>
      <c r="KO197" s="15"/>
      <c r="KP197" s="15"/>
      <c r="KQ197" s="15"/>
      <c r="KR197" s="15"/>
      <c r="KS197" s="15"/>
      <c r="KT197" s="15"/>
      <c r="KU197" s="15"/>
      <c r="KV197" s="15"/>
      <c r="KW197" s="15"/>
      <c r="KX197" s="15"/>
      <c r="KY197" s="15"/>
      <c r="KZ197" s="15"/>
      <c r="LA197" s="15"/>
      <c r="LB197" s="15"/>
      <c r="LC197" s="15"/>
      <c r="LD197" s="15"/>
      <c r="LE197" s="15"/>
      <c r="LF197" s="15"/>
      <c r="LG197" s="15"/>
      <c r="LH197" s="15"/>
      <c r="LI197" s="15"/>
      <c r="LJ197" s="15"/>
      <c r="LK197" s="15"/>
      <c r="LL197" s="15"/>
      <c r="LM197" s="15"/>
      <c r="LN197" s="15"/>
      <c r="LO197" s="15"/>
      <c r="LP197" s="15"/>
      <c r="LQ197" s="15"/>
      <c r="LR197" s="15"/>
      <c r="LS197" s="15"/>
      <c r="LT197" s="15"/>
      <c r="LU197" s="15"/>
      <c r="LV197" s="15"/>
      <c r="LW197" s="15"/>
      <c r="LX197" s="15"/>
      <c r="LY197" s="15"/>
      <c r="LZ197" s="15"/>
      <c r="MA197" s="15"/>
      <c r="MB197" s="15"/>
      <c r="MC197" s="15"/>
      <c r="MD197" s="15"/>
      <c r="ME197" s="15"/>
      <c r="MF197" s="15"/>
      <c r="MG197" s="15"/>
      <c r="MH197" s="15"/>
      <c r="MI197" s="15"/>
      <c r="MJ197" s="15"/>
      <c r="MK197" s="15"/>
      <c r="ML197" s="15"/>
      <c r="MM197" s="15"/>
      <c r="MN197" s="15"/>
      <c r="MO197" s="15"/>
      <c r="MP197" s="15"/>
      <c r="MQ197" s="15"/>
      <c r="MR197" s="15"/>
      <c r="MS197" s="15"/>
      <c r="MT197" s="15"/>
      <c r="MU197" s="15"/>
      <c r="MV197" s="15"/>
      <c r="MW197" s="15"/>
    </row>
    <row r="198" ht="41.25" customHeight="1">
      <c r="A198" s="13" t="s">
        <v>197</v>
      </c>
      <c r="B198" s="14" t="s">
        <v>10219</v>
      </c>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c r="DE198" s="15"/>
      <c r="DF198" s="15"/>
      <c r="DG198" s="15"/>
      <c r="DH198" s="15"/>
      <c r="DI198" s="15"/>
      <c r="DJ198" s="15"/>
      <c r="DK198" s="15"/>
      <c r="DL198" s="15"/>
      <c r="DM198" s="15"/>
      <c r="DN198" s="15"/>
      <c r="DO198" s="15"/>
      <c r="DP198" s="15"/>
      <c r="DQ198" s="15"/>
      <c r="DR198" s="15"/>
      <c r="DS198" s="15"/>
      <c r="DT198" s="15"/>
      <c r="DU198" s="15"/>
      <c r="DV198" s="15"/>
      <c r="DW198" s="15"/>
      <c r="DX198" s="15"/>
      <c r="DY198" s="15"/>
      <c r="DZ198" s="15"/>
      <c r="EA198" s="15"/>
      <c r="EB198" s="15"/>
      <c r="EC198" s="15"/>
      <c r="ED198" s="15"/>
      <c r="EE198" s="15"/>
      <c r="EF198" s="15"/>
      <c r="EG198" s="15"/>
      <c r="EH198" s="15"/>
      <c r="EI198" s="15"/>
      <c r="EJ198" s="15"/>
      <c r="EK198" s="15"/>
      <c r="EL198" s="15"/>
      <c r="EM198" s="15"/>
      <c r="EN198" s="15"/>
      <c r="EO198" s="15"/>
      <c r="EP198" s="15"/>
      <c r="EQ198" s="15"/>
      <c r="ER198" s="15"/>
      <c r="ES198" s="15"/>
      <c r="ET198" s="15"/>
      <c r="EU198" s="15"/>
      <c r="EV198" s="15"/>
      <c r="EW198" s="15"/>
      <c r="EX198" s="15"/>
      <c r="EY198" s="15"/>
      <c r="EZ198" s="15"/>
      <c r="FA198" s="15"/>
      <c r="FB198" s="15"/>
      <c r="FC198" s="15"/>
      <c r="FD198" s="15"/>
      <c r="FE198" s="15"/>
      <c r="FF198" s="15"/>
      <c r="FG198" s="15"/>
      <c r="FH198" s="15"/>
      <c r="FI198" s="15"/>
      <c r="FJ198" s="15"/>
      <c r="FK198" s="15"/>
      <c r="FL198" s="15"/>
      <c r="FM198" s="15"/>
      <c r="FN198" s="15"/>
      <c r="FO198" s="15"/>
      <c r="FP198" s="15"/>
      <c r="FQ198" s="15"/>
      <c r="FR198" s="15"/>
      <c r="FS198" s="15"/>
      <c r="FT198" s="15"/>
      <c r="FU198" s="15"/>
      <c r="FV198" s="15"/>
      <c r="FW198" s="15"/>
      <c r="FX198" s="15"/>
      <c r="FY198" s="15"/>
      <c r="FZ198" s="15"/>
      <c r="GA198" s="15"/>
      <c r="GB198" s="15"/>
      <c r="GC198" s="15"/>
      <c r="GD198" s="15"/>
      <c r="GE198" s="15"/>
      <c r="GF198" s="15"/>
      <c r="GG198" s="15"/>
      <c r="GH198" s="15"/>
      <c r="GI198" s="15"/>
      <c r="GJ198" s="15"/>
      <c r="GK198" s="15"/>
      <c r="GL198" s="15"/>
      <c r="GM198" s="15"/>
      <c r="GN198" s="15"/>
      <c r="GO198" s="15"/>
      <c r="GP198" s="15"/>
      <c r="GQ198" s="15"/>
      <c r="GR198" s="15"/>
      <c r="GS198" s="15"/>
      <c r="GT198" s="15"/>
      <c r="GU198" s="15"/>
      <c r="GV198" s="15"/>
      <c r="GW198" s="15"/>
      <c r="GX198" s="15"/>
      <c r="GY198" s="15"/>
      <c r="GZ198" s="15"/>
      <c r="HA198" s="15"/>
      <c r="HB198" s="15"/>
      <c r="HC198" s="15"/>
      <c r="HD198" s="15"/>
      <c r="HE198" s="15"/>
      <c r="HF198" s="15"/>
      <c r="HG198" s="15"/>
      <c r="HH198" s="15"/>
      <c r="HI198" s="15"/>
      <c r="HJ198" s="15"/>
      <c r="HK198" s="15"/>
      <c r="HL198" s="15"/>
      <c r="HM198" s="15"/>
      <c r="HN198" s="15"/>
      <c r="HO198" s="15"/>
      <c r="HP198" s="15"/>
      <c r="HQ198" s="15"/>
      <c r="HR198" s="15"/>
      <c r="HS198" s="15"/>
      <c r="HT198" s="15"/>
      <c r="HU198" s="15"/>
      <c r="HV198" s="15"/>
      <c r="HW198" s="15"/>
      <c r="HX198" s="15"/>
      <c r="HY198" s="15"/>
      <c r="HZ198" s="15"/>
      <c r="IA198" s="15"/>
      <c r="IB198" s="15"/>
      <c r="IC198" s="15"/>
      <c r="ID198" s="15"/>
      <c r="IE198" s="15"/>
      <c r="IF198" s="15"/>
      <c r="IG198" s="15"/>
      <c r="IH198" s="15"/>
      <c r="II198" s="15"/>
      <c r="IJ198" s="15"/>
      <c r="IK198" s="15"/>
      <c r="IL198" s="15"/>
      <c r="IM198" s="15"/>
      <c r="IN198" s="15"/>
      <c r="IO198" s="15"/>
      <c r="IP198" s="15"/>
      <c r="IQ198" s="15"/>
      <c r="IR198" s="15"/>
      <c r="IS198" s="15"/>
      <c r="IT198" s="15"/>
      <c r="IU198" s="15"/>
      <c r="IV198" s="15"/>
      <c r="IW198" s="15"/>
      <c r="IX198" s="15"/>
      <c r="IY198" s="15"/>
      <c r="IZ198" s="15"/>
      <c r="JA198" s="15"/>
      <c r="JB198" s="15"/>
      <c r="JC198" s="15"/>
      <c r="JD198" s="15"/>
      <c r="JE198" s="15"/>
      <c r="JF198" s="15"/>
      <c r="JG198" s="15"/>
      <c r="JH198" s="15"/>
      <c r="JI198" s="15"/>
      <c r="JJ198" s="15"/>
      <c r="JK198" s="15"/>
      <c r="JL198" s="15"/>
      <c r="JM198" s="15"/>
      <c r="JN198" s="15"/>
      <c r="JO198" s="15"/>
      <c r="JP198" s="15"/>
      <c r="JQ198" s="15"/>
      <c r="JR198" s="15"/>
      <c r="JS198" s="15"/>
      <c r="JT198" s="15"/>
      <c r="JU198" s="15"/>
      <c r="JV198" s="15"/>
      <c r="JW198" s="15"/>
      <c r="JX198" s="15"/>
      <c r="JY198" s="15"/>
      <c r="JZ198" s="15"/>
      <c r="KA198" s="15"/>
      <c r="KB198" s="15"/>
      <c r="KC198" s="15"/>
      <c r="KD198" s="15"/>
      <c r="KE198" s="15"/>
      <c r="KF198" s="15"/>
      <c r="KG198" s="15"/>
      <c r="KH198" s="15"/>
      <c r="KI198" s="15"/>
      <c r="KJ198" s="15"/>
      <c r="KK198" s="15"/>
      <c r="KL198" s="15"/>
      <c r="KM198" s="15"/>
      <c r="KN198" s="15"/>
      <c r="KO198" s="15"/>
      <c r="KP198" s="15"/>
      <c r="KQ198" s="15"/>
      <c r="KR198" s="15"/>
      <c r="KS198" s="15"/>
      <c r="KT198" s="15"/>
      <c r="KU198" s="15"/>
      <c r="KV198" s="15"/>
      <c r="KW198" s="15"/>
      <c r="KX198" s="15"/>
      <c r="KY198" s="15"/>
      <c r="KZ198" s="15"/>
      <c r="LA198" s="15"/>
      <c r="LB198" s="15"/>
      <c r="LC198" s="15"/>
      <c r="LD198" s="15"/>
      <c r="LE198" s="15"/>
      <c r="LF198" s="15"/>
      <c r="LG198" s="15"/>
      <c r="LH198" s="15"/>
      <c r="LI198" s="15"/>
      <c r="LJ198" s="15"/>
      <c r="LK198" s="15"/>
      <c r="LL198" s="15"/>
      <c r="LM198" s="15"/>
      <c r="LN198" s="15"/>
      <c r="LO198" s="15"/>
      <c r="LP198" s="15"/>
      <c r="LQ198" s="15"/>
      <c r="LR198" s="15"/>
      <c r="LS198" s="15"/>
      <c r="LT198" s="15"/>
      <c r="LU198" s="15"/>
      <c r="LV198" s="15"/>
      <c r="LW198" s="15"/>
      <c r="LX198" s="15"/>
      <c r="LY198" s="15"/>
      <c r="LZ198" s="15"/>
      <c r="MA198" s="15"/>
      <c r="MB198" s="15"/>
      <c r="MC198" s="15"/>
      <c r="MD198" s="15"/>
      <c r="ME198" s="15"/>
      <c r="MF198" s="15"/>
      <c r="MG198" s="15"/>
      <c r="MH198" s="15"/>
      <c r="MI198" s="15"/>
      <c r="MJ198" s="15"/>
      <c r="MK198" s="15"/>
      <c r="ML198" s="15"/>
      <c r="MM198" s="15"/>
      <c r="MN198" s="15"/>
      <c r="MO198" s="15"/>
      <c r="MP198" s="15"/>
      <c r="MQ198" s="15"/>
      <c r="MR198" s="15"/>
      <c r="MS198" s="15"/>
      <c r="MT198" s="15"/>
      <c r="MU198" s="15"/>
      <c r="MV198" s="15"/>
      <c r="MW198" s="15"/>
    </row>
    <row r="199" ht="119.25" customHeight="1">
      <c r="A199" s="13" t="s">
        <v>198</v>
      </c>
      <c r="B199" s="14" t="s">
        <v>10220</v>
      </c>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c r="DE199" s="15"/>
      <c r="DF199" s="15"/>
      <c r="DG199" s="15"/>
      <c r="DH199" s="15"/>
      <c r="DI199" s="15"/>
      <c r="DJ199" s="15"/>
      <c r="DK199" s="15"/>
      <c r="DL199" s="15"/>
      <c r="DM199" s="15"/>
      <c r="DN199" s="15"/>
      <c r="DO199" s="15"/>
      <c r="DP199" s="15"/>
      <c r="DQ199" s="15"/>
      <c r="DR199" s="15"/>
      <c r="DS199" s="15"/>
      <c r="DT199" s="15"/>
      <c r="DU199" s="15"/>
      <c r="DV199" s="15"/>
      <c r="DW199" s="15"/>
      <c r="DX199" s="15"/>
      <c r="DY199" s="15"/>
      <c r="DZ199" s="15"/>
      <c r="EA199" s="15"/>
      <c r="EB199" s="15"/>
      <c r="EC199" s="15"/>
      <c r="ED199" s="15"/>
      <c r="EE199" s="15"/>
      <c r="EF199" s="15"/>
      <c r="EG199" s="15"/>
      <c r="EH199" s="15"/>
      <c r="EI199" s="15"/>
      <c r="EJ199" s="15"/>
      <c r="EK199" s="15"/>
      <c r="EL199" s="15"/>
      <c r="EM199" s="15"/>
      <c r="EN199" s="15"/>
      <c r="EO199" s="15"/>
      <c r="EP199" s="15"/>
      <c r="EQ199" s="15"/>
      <c r="ER199" s="15"/>
      <c r="ES199" s="15"/>
      <c r="ET199" s="15"/>
      <c r="EU199" s="15"/>
      <c r="EV199" s="15"/>
      <c r="EW199" s="15"/>
      <c r="EX199" s="15"/>
      <c r="EY199" s="15"/>
      <c r="EZ199" s="15"/>
      <c r="FA199" s="15"/>
      <c r="FB199" s="15"/>
      <c r="FC199" s="15"/>
      <c r="FD199" s="15"/>
      <c r="FE199" s="15"/>
      <c r="FF199" s="15"/>
      <c r="FG199" s="15"/>
      <c r="FH199" s="15"/>
      <c r="FI199" s="15"/>
      <c r="FJ199" s="15"/>
      <c r="FK199" s="15"/>
      <c r="FL199" s="15"/>
      <c r="FM199" s="15"/>
      <c r="FN199" s="15"/>
      <c r="FO199" s="15"/>
      <c r="FP199" s="15"/>
      <c r="FQ199" s="15"/>
      <c r="FR199" s="15"/>
      <c r="FS199" s="15"/>
      <c r="FT199" s="15"/>
      <c r="FU199" s="15"/>
      <c r="FV199" s="15"/>
      <c r="FW199" s="15"/>
      <c r="FX199" s="15"/>
      <c r="FY199" s="15"/>
      <c r="FZ199" s="15"/>
      <c r="GA199" s="15"/>
      <c r="GB199" s="15"/>
      <c r="GC199" s="15"/>
      <c r="GD199" s="15"/>
      <c r="GE199" s="15"/>
      <c r="GF199" s="15"/>
      <c r="GG199" s="15"/>
      <c r="GH199" s="15"/>
      <c r="GI199" s="15"/>
      <c r="GJ199" s="15"/>
      <c r="GK199" s="15"/>
      <c r="GL199" s="15"/>
      <c r="GM199" s="15"/>
      <c r="GN199" s="15"/>
      <c r="GO199" s="15"/>
      <c r="GP199" s="15"/>
      <c r="GQ199" s="15"/>
      <c r="GR199" s="15"/>
      <c r="GS199" s="15"/>
      <c r="GT199" s="15"/>
      <c r="GU199" s="15"/>
      <c r="GV199" s="15"/>
      <c r="GW199" s="15"/>
      <c r="GX199" s="15"/>
      <c r="GY199" s="15"/>
      <c r="GZ199" s="15"/>
      <c r="HA199" s="15"/>
      <c r="HB199" s="15"/>
      <c r="HC199" s="15"/>
      <c r="HD199" s="15"/>
      <c r="HE199" s="15"/>
      <c r="HF199" s="15"/>
      <c r="HG199" s="15"/>
      <c r="HH199" s="15"/>
      <c r="HI199" s="15"/>
      <c r="HJ199" s="15"/>
      <c r="HK199" s="15"/>
      <c r="HL199" s="15"/>
      <c r="HM199" s="15"/>
      <c r="HN199" s="15"/>
      <c r="HO199" s="15"/>
      <c r="HP199" s="15"/>
      <c r="HQ199" s="15"/>
      <c r="HR199" s="15"/>
      <c r="HS199" s="15"/>
      <c r="HT199" s="15"/>
      <c r="HU199" s="15"/>
      <c r="HV199" s="15"/>
      <c r="HW199" s="15"/>
      <c r="HX199" s="15"/>
      <c r="HY199" s="15"/>
      <c r="HZ199" s="15"/>
      <c r="IA199" s="15"/>
      <c r="IB199" s="15"/>
      <c r="IC199" s="15"/>
      <c r="ID199" s="15"/>
      <c r="IE199" s="15"/>
      <c r="IF199" s="15"/>
      <c r="IG199" s="15"/>
      <c r="IH199" s="15"/>
      <c r="II199" s="15"/>
      <c r="IJ199" s="15"/>
      <c r="IK199" s="15"/>
      <c r="IL199" s="15"/>
      <c r="IM199" s="15"/>
      <c r="IN199" s="15"/>
      <c r="IO199" s="15"/>
      <c r="IP199" s="15"/>
      <c r="IQ199" s="15"/>
      <c r="IR199" s="15"/>
      <c r="IS199" s="15"/>
      <c r="IT199" s="15"/>
      <c r="IU199" s="15"/>
      <c r="IV199" s="15"/>
      <c r="IW199" s="15"/>
      <c r="IX199" s="15"/>
      <c r="IY199" s="15"/>
      <c r="IZ199" s="15"/>
      <c r="JA199" s="15"/>
      <c r="JB199" s="15"/>
      <c r="JC199" s="15"/>
      <c r="JD199" s="15"/>
      <c r="JE199" s="15"/>
      <c r="JF199" s="15"/>
      <c r="JG199" s="15"/>
      <c r="JH199" s="15"/>
      <c r="JI199" s="15"/>
      <c r="JJ199" s="15"/>
      <c r="JK199" s="15"/>
      <c r="JL199" s="15"/>
      <c r="JM199" s="15"/>
      <c r="JN199" s="15"/>
      <c r="JO199" s="15"/>
      <c r="JP199" s="15"/>
      <c r="JQ199" s="15"/>
      <c r="JR199" s="15"/>
      <c r="JS199" s="15"/>
      <c r="JT199" s="15"/>
      <c r="JU199" s="15"/>
      <c r="JV199" s="15"/>
      <c r="JW199" s="15"/>
      <c r="JX199" s="15"/>
      <c r="JY199" s="15"/>
      <c r="JZ199" s="15"/>
      <c r="KA199" s="15"/>
      <c r="KB199" s="15"/>
      <c r="KC199" s="15"/>
      <c r="KD199" s="15"/>
      <c r="KE199" s="15"/>
      <c r="KF199" s="15"/>
      <c r="KG199" s="15"/>
      <c r="KH199" s="15"/>
      <c r="KI199" s="15"/>
      <c r="KJ199" s="15"/>
      <c r="KK199" s="15"/>
      <c r="KL199" s="15"/>
      <c r="KM199" s="15"/>
      <c r="KN199" s="15"/>
      <c r="KO199" s="15"/>
      <c r="KP199" s="15"/>
      <c r="KQ199" s="15"/>
      <c r="KR199" s="15"/>
      <c r="KS199" s="15"/>
      <c r="KT199" s="15"/>
      <c r="KU199" s="15"/>
      <c r="KV199" s="15"/>
      <c r="KW199" s="15"/>
      <c r="KX199" s="15"/>
      <c r="KY199" s="15"/>
      <c r="KZ199" s="15"/>
      <c r="LA199" s="15"/>
      <c r="LB199" s="15"/>
      <c r="LC199" s="15"/>
      <c r="LD199" s="15"/>
      <c r="LE199" s="15"/>
      <c r="LF199" s="15"/>
      <c r="LG199" s="15"/>
      <c r="LH199" s="15"/>
      <c r="LI199" s="15"/>
      <c r="LJ199" s="15"/>
      <c r="LK199" s="15"/>
      <c r="LL199" s="15"/>
      <c r="LM199" s="15"/>
      <c r="LN199" s="15"/>
      <c r="LO199" s="15"/>
      <c r="LP199" s="15"/>
      <c r="LQ199" s="15"/>
      <c r="LR199" s="15"/>
      <c r="LS199" s="15"/>
      <c r="LT199" s="15"/>
      <c r="LU199" s="15"/>
      <c r="LV199" s="15"/>
      <c r="LW199" s="15"/>
      <c r="LX199" s="15"/>
      <c r="LY199" s="15"/>
      <c r="LZ199" s="15"/>
      <c r="MA199" s="15"/>
      <c r="MB199" s="15"/>
      <c r="MC199" s="15"/>
      <c r="MD199" s="15"/>
      <c r="ME199" s="15"/>
      <c r="MF199" s="15"/>
      <c r="MG199" s="15"/>
      <c r="MH199" s="15"/>
      <c r="MI199" s="15"/>
      <c r="MJ199" s="15"/>
      <c r="MK199" s="15"/>
      <c r="ML199" s="15"/>
      <c r="MM199" s="15"/>
      <c r="MN199" s="15"/>
      <c r="MO199" s="15"/>
      <c r="MP199" s="15"/>
      <c r="MQ199" s="15"/>
      <c r="MR199" s="15"/>
      <c r="MS199" s="15"/>
      <c r="MT199" s="15"/>
      <c r="MU199" s="15"/>
      <c r="MV199" s="15"/>
      <c r="MW199" s="15"/>
    </row>
    <row r="200" ht="41.25" customHeight="1">
      <c r="A200" s="13" t="s">
        <v>199</v>
      </c>
      <c r="B200" s="14" t="s">
        <v>10221</v>
      </c>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c r="DF200" s="15"/>
      <c r="DG200" s="15"/>
      <c r="DH200" s="15"/>
      <c r="DI200" s="15"/>
      <c r="DJ200" s="15"/>
      <c r="DK200" s="15"/>
      <c r="DL200" s="15"/>
      <c r="DM200" s="15"/>
      <c r="DN200" s="15"/>
      <c r="DO200" s="15"/>
      <c r="DP200" s="15"/>
      <c r="DQ200" s="15"/>
      <c r="DR200" s="15"/>
      <c r="DS200" s="15"/>
      <c r="DT200" s="15"/>
      <c r="DU200" s="15"/>
      <c r="DV200" s="15"/>
      <c r="DW200" s="15"/>
      <c r="DX200" s="15"/>
      <c r="DY200" s="15"/>
      <c r="DZ200" s="15"/>
      <c r="EA200" s="15"/>
      <c r="EB200" s="15"/>
      <c r="EC200" s="15"/>
      <c r="ED200" s="15"/>
      <c r="EE200" s="15"/>
      <c r="EF200" s="15"/>
      <c r="EG200" s="15"/>
      <c r="EH200" s="15"/>
      <c r="EI200" s="15"/>
      <c r="EJ200" s="15"/>
      <c r="EK200" s="15"/>
      <c r="EL200" s="15"/>
      <c r="EM200" s="15"/>
      <c r="EN200" s="15"/>
      <c r="EO200" s="15"/>
      <c r="EP200" s="15"/>
      <c r="EQ200" s="15"/>
      <c r="ER200" s="15"/>
      <c r="ES200" s="15"/>
      <c r="ET200" s="15"/>
      <c r="EU200" s="15"/>
      <c r="EV200" s="15"/>
      <c r="EW200" s="15"/>
      <c r="EX200" s="15"/>
      <c r="EY200" s="15"/>
      <c r="EZ200" s="15"/>
      <c r="FA200" s="15"/>
      <c r="FB200" s="15"/>
      <c r="FC200" s="15"/>
      <c r="FD200" s="15"/>
      <c r="FE200" s="15"/>
      <c r="FF200" s="15"/>
      <c r="FG200" s="15"/>
      <c r="FH200" s="15"/>
      <c r="FI200" s="15"/>
      <c r="FJ200" s="15"/>
      <c r="FK200" s="15"/>
      <c r="FL200" s="15"/>
      <c r="FM200" s="15"/>
      <c r="FN200" s="15"/>
      <c r="FO200" s="15"/>
      <c r="FP200" s="15"/>
      <c r="FQ200" s="15"/>
      <c r="FR200" s="15"/>
      <c r="FS200" s="15"/>
      <c r="FT200" s="15"/>
      <c r="FU200" s="15"/>
      <c r="FV200" s="15"/>
      <c r="FW200" s="15"/>
      <c r="FX200" s="15"/>
      <c r="FY200" s="15"/>
      <c r="FZ200" s="15"/>
      <c r="GA200" s="15"/>
      <c r="GB200" s="15"/>
      <c r="GC200" s="15"/>
      <c r="GD200" s="15"/>
      <c r="GE200" s="15"/>
      <c r="GF200" s="15"/>
      <c r="GG200" s="15"/>
      <c r="GH200" s="15"/>
      <c r="GI200" s="15"/>
      <c r="GJ200" s="15"/>
      <c r="GK200" s="15"/>
      <c r="GL200" s="15"/>
      <c r="GM200" s="15"/>
      <c r="GN200" s="15"/>
      <c r="GO200" s="15"/>
      <c r="GP200" s="15"/>
      <c r="GQ200" s="15"/>
      <c r="GR200" s="15"/>
      <c r="GS200" s="15"/>
      <c r="GT200" s="15"/>
      <c r="GU200" s="15"/>
      <c r="GV200" s="15"/>
      <c r="GW200" s="15"/>
      <c r="GX200" s="15"/>
      <c r="GY200" s="15"/>
      <c r="GZ200" s="15"/>
      <c r="HA200" s="15"/>
      <c r="HB200" s="15"/>
      <c r="HC200" s="15"/>
      <c r="HD200" s="15"/>
      <c r="HE200" s="15"/>
      <c r="HF200" s="15"/>
      <c r="HG200" s="15"/>
      <c r="HH200" s="15"/>
      <c r="HI200" s="15"/>
      <c r="HJ200" s="15"/>
      <c r="HK200" s="15"/>
      <c r="HL200" s="15"/>
      <c r="HM200" s="15"/>
      <c r="HN200" s="15"/>
      <c r="HO200" s="15"/>
      <c r="HP200" s="15"/>
      <c r="HQ200" s="15"/>
      <c r="HR200" s="15"/>
      <c r="HS200" s="15"/>
      <c r="HT200" s="15"/>
      <c r="HU200" s="15"/>
      <c r="HV200" s="15"/>
      <c r="HW200" s="15"/>
      <c r="HX200" s="15"/>
      <c r="HY200" s="15"/>
      <c r="HZ200" s="15"/>
      <c r="IA200" s="15"/>
      <c r="IB200" s="15"/>
      <c r="IC200" s="15"/>
      <c r="ID200" s="15"/>
      <c r="IE200" s="15"/>
      <c r="IF200" s="15"/>
      <c r="IG200" s="15"/>
      <c r="IH200" s="15"/>
      <c r="II200" s="15"/>
      <c r="IJ200" s="15"/>
      <c r="IK200" s="15"/>
      <c r="IL200" s="15"/>
      <c r="IM200" s="15"/>
      <c r="IN200" s="15"/>
      <c r="IO200" s="15"/>
      <c r="IP200" s="15"/>
      <c r="IQ200" s="15"/>
      <c r="IR200" s="15"/>
      <c r="IS200" s="15"/>
      <c r="IT200" s="15"/>
      <c r="IU200" s="15"/>
      <c r="IV200" s="15"/>
      <c r="IW200" s="15"/>
      <c r="IX200" s="15"/>
      <c r="IY200" s="15"/>
      <c r="IZ200" s="15"/>
      <c r="JA200" s="15"/>
      <c r="JB200" s="15"/>
      <c r="JC200" s="15"/>
      <c r="JD200" s="15"/>
      <c r="JE200" s="15"/>
      <c r="JF200" s="15"/>
      <c r="JG200" s="15"/>
      <c r="JH200" s="15"/>
      <c r="JI200" s="15"/>
      <c r="JJ200" s="15"/>
      <c r="JK200" s="15"/>
      <c r="JL200" s="15"/>
      <c r="JM200" s="15"/>
      <c r="JN200" s="15"/>
      <c r="JO200" s="15"/>
      <c r="JP200" s="15"/>
      <c r="JQ200" s="15"/>
      <c r="JR200" s="15"/>
      <c r="JS200" s="15"/>
      <c r="JT200" s="15"/>
      <c r="JU200" s="15"/>
      <c r="JV200" s="15"/>
      <c r="JW200" s="15"/>
      <c r="JX200" s="15"/>
      <c r="JY200" s="15"/>
      <c r="JZ200" s="15"/>
      <c r="KA200" s="15"/>
      <c r="KB200" s="15"/>
      <c r="KC200" s="15"/>
      <c r="KD200" s="15"/>
      <c r="KE200" s="15"/>
      <c r="KF200" s="15"/>
      <c r="KG200" s="15"/>
      <c r="KH200" s="15"/>
      <c r="KI200" s="15"/>
      <c r="KJ200" s="15"/>
      <c r="KK200" s="15"/>
      <c r="KL200" s="15"/>
      <c r="KM200" s="15"/>
      <c r="KN200" s="15"/>
      <c r="KO200" s="15"/>
      <c r="KP200" s="15"/>
      <c r="KQ200" s="15"/>
      <c r="KR200" s="15"/>
      <c r="KS200" s="15"/>
      <c r="KT200" s="15"/>
      <c r="KU200" s="15"/>
      <c r="KV200" s="15"/>
      <c r="KW200" s="15"/>
      <c r="KX200" s="15"/>
      <c r="KY200" s="15"/>
      <c r="KZ200" s="15"/>
      <c r="LA200" s="15"/>
      <c r="LB200" s="15"/>
      <c r="LC200" s="15"/>
      <c r="LD200" s="15"/>
      <c r="LE200" s="15"/>
      <c r="LF200" s="15"/>
      <c r="LG200" s="15"/>
      <c r="LH200" s="15"/>
      <c r="LI200" s="15"/>
      <c r="LJ200" s="15"/>
      <c r="LK200" s="15"/>
      <c r="LL200" s="15"/>
      <c r="LM200" s="15"/>
      <c r="LN200" s="15"/>
      <c r="LO200" s="15"/>
      <c r="LP200" s="15"/>
      <c r="LQ200" s="15"/>
      <c r="LR200" s="15"/>
      <c r="LS200" s="15"/>
      <c r="LT200" s="15"/>
      <c r="LU200" s="15"/>
      <c r="LV200" s="15"/>
      <c r="LW200" s="15"/>
      <c r="LX200" s="15"/>
      <c r="LY200" s="15"/>
      <c r="LZ200" s="15"/>
      <c r="MA200" s="15"/>
      <c r="MB200" s="15"/>
      <c r="MC200" s="15"/>
      <c r="MD200" s="15"/>
      <c r="ME200" s="15"/>
      <c r="MF200" s="15"/>
      <c r="MG200" s="15"/>
      <c r="MH200" s="15"/>
      <c r="MI200" s="15"/>
      <c r="MJ200" s="15"/>
      <c r="MK200" s="15"/>
      <c r="ML200" s="15"/>
      <c r="MM200" s="15"/>
      <c r="MN200" s="15"/>
      <c r="MO200" s="15"/>
      <c r="MP200" s="15"/>
      <c r="MQ200" s="15"/>
      <c r="MR200" s="15"/>
      <c r="MS200" s="15"/>
      <c r="MT200" s="15"/>
      <c r="MU200" s="15"/>
      <c r="MV200" s="15"/>
      <c r="MW200" s="15"/>
    </row>
    <row r="201" ht="119.25" customHeight="1">
      <c r="A201" s="13" t="s">
        <v>200</v>
      </c>
      <c r="B201" s="14" t="s">
        <v>10222</v>
      </c>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c r="DE201" s="15"/>
      <c r="DF201" s="15"/>
      <c r="DG201" s="15"/>
      <c r="DH201" s="15"/>
      <c r="DI201" s="15"/>
      <c r="DJ201" s="15"/>
      <c r="DK201" s="15"/>
      <c r="DL201" s="15"/>
      <c r="DM201" s="15"/>
      <c r="DN201" s="15"/>
      <c r="DO201" s="15"/>
      <c r="DP201" s="15"/>
      <c r="DQ201" s="15"/>
      <c r="DR201" s="15"/>
      <c r="DS201" s="15"/>
      <c r="DT201" s="15"/>
      <c r="DU201" s="15"/>
      <c r="DV201" s="15"/>
      <c r="DW201" s="15"/>
      <c r="DX201" s="15"/>
      <c r="DY201" s="15"/>
      <c r="DZ201" s="15"/>
      <c r="EA201" s="15"/>
      <c r="EB201" s="15"/>
      <c r="EC201" s="15"/>
      <c r="ED201" s="15"/>
      <c r="EE201" s="15"/>
      <c r="EF201" s="15"/>
      <c r="EG201" s="15"/>
      <c r="EH201" s="15"/>
      <c r="EI201" s="15"/>
      <c r="EJ201" s="15"/>
      <c r="EK201" s="15"/>
      <c r="EL201" s="15"/>
      <c r="EM201" s="15"/>
      <c r="EN201" s="15"/>
      <c r="EO201" s="15"/>
      <c r="EP201" s="15"/>
      <c r="EQ201" s="15"/>
      <c r="ER201" s="15"/>
      <c r="ES201" s="15"/>
      <c r="ET201" s="15"/>
      <c r="EU201" s="15"/>
      <c r="EV201" s="15"/>
      <c r="EW201" s="15"/>
      <c r="EX201" s="15"/>
      <c r="EY201" s="15"/>
      <c r="EZ201" s="15"/>
      <c r="FA201" s="15"/>
      <c r="FB201" s="15"/>
      <c r="FC201" s="15"/>
      <c r="FD201" s="15"/>
      <c r="FE201" s="15"/>
      <c r="FF201" s="15"/>
      <c r="FG201" s="15"/>
      <c r="FH201" s="15"/>
      <c r="FI201" s="15"/>
      <c r="FJ201" s="15"/>
      <c r="FK201" s="15"/>
      <c r="FL201" s="15"/>
      <c r="FM201" s="15"/>
      <c r="FN201" s="15"/>
      <c r="FO201" s="15"/>
      <c r="FP201" s="15"/>
      <c r="FQ201" s="15"/>
      <c r="FR201" s="15"/>
      <c r="FS201" s="15"/>
      <c r="FT201" s="15"/>
      <c r="FU201" s="15"/>
      <c r="FV201" s="15"/>
      <c r="FW201" s="15"/>
      <c r="FX201" s="15"/>
      <c r="FY201" s="15"/>
      <c r="FZ201" s="15"/>
      <c r="GA201" s="15"/>
      <c r="GB201" s="15"/>
      <c r="GC201" s="15"/>
      <c r="GD201" s="15"/>
      <c r="GE201" s="15"/>
      <c r="GF201" s="15"/>
      <c r="GG201" s="15"/>
      <c r="GH201" s="15"/>
      <c r="GI201" s="15"/>
      <c r="GJ201" s="15"/>
      <c r="GK201" s="15"/>
      <c r="GL201" s="15"/>
      <c r="GM201" s="15"/>
      <c r="GN201" s="15"/>
      <c r="GO201" s="15"/>
      <c r="GP201" s="15"/>
      <c r="GQ201" s="15"/>
      <c r="GR201" s="15"/>
      <c r="GS201" s="15"/>
      <c r="GT201" s="15"/>
      <c r="GU201" s="15"/>
      <c r="GV201" s="15"/>
      <c r="GW201" s="15"/>
      <c r="GX201" s="15"/>
      <c r="GY201" s="15"/>
      <c r="GZ201" s="15"/>
      <c r="HA201" s="15"/>
      <c r="HB201" s="15"/>
      <c r="HC201" s="15"/>
      <c r="HD201" s="15"/>
      <c r="HE201" s="15"/>
      <c r="HF201" s="15"/>
      <c r="HG201" s="15"/>
      <c r="HH201" s="15"/>
      <c r="HI201" s="15"/>
      <c r="HJ201" s="15"/>
      <c r="HK201" s="15"/>
      <c r="HL201" s="15"/>
      <c r="HM201" s="15"/>
      <c r="HN201" s="15"/>
      <c r="HO201" s="15"/>
      <c r="HP201" s="15"/>
      <c r="HQ201" s="15"/>
      <c r="HR201" s="15"/>
      <c r="HS201" s="15"/>
      <c r="HT201" s="15"/>
      <c r="HU201" s="15"/>
      <c r="HV201" s="15"/>
      <c r="HW201" s="15"/>
      <c r="HX201" s="15"/>
      <c r="HY201" s="15"/>
      <c r="HZ201" s="15"/>
      <c r="IA201" s="15"/>
      <c r="IB201" s="15"/>
      <c r="IC201" s="15"/>
      <c r="ID201" s="15"/>
      <c r="IE201" s="15"/>
      <c r="IF201" s="15"/>
      <c r="IG201" s="15"/>
      <c r="IH201" s="15"/>
      <c r="II201" s="15"/>
      <c r="IJ201" s="15"/>
      <c r="IK201" s="15"/>
      <c r="IL201" s="15"/>
      <c r="IM201" s="15"/>
      <c r="IN201" s="15"/>
      <c r="IO201" s="15"/>
      <c r="IP201" s="15"/>
      <c r="IQ201" s="15"/>
      <c r="IR201" s="15"/>
      <c r="IS201" s="15"/>
      <c r="IT201" s="15"/>
      <c r="IU201" s="15"/>
      <c r="IV201" s="15"/>
      <c r="IW201" s="15"/>
      <c r="IX201" s="15"/>
      <c r="IY201" s="15"/>
      <c r="IZ201" s="15"/>
      <c r="JA201" s="15"/>
      <c r="JB201" s="15"/>
      <c r="JC201" s="15"/>
      <c r="JD201" s="15"/>
      <c r="JE201" s="15"/>
      <c r="JF201" s="15"/>
      <c r="JG201" s="15"/>
      <c r="JH201" s="15"/>
      <c r="JI201" s="15"/>
      <c r="JJ201" s="15"/>
      <c r="JK201" s="15"/>
      <c r="JL201" s="15"/>
      <c r="JM201" s="15"/>
      <c r="JN201" s="15"/>
      <c r="JO201" s="15"/>
      <c r="JP201" s="15"/>
      <c r="JQ201" s="15"/>
      <c r="JR201" s="15"/>
      <c r="JS201" s="15"/>
      <c r="JT201" s="15"/>
      <c r="JU201" s="15"/>
      <c r="JV201" s="15"/>
      <c r="JW201" s="15"/>
      <c r="JX201" s="15"/>
      <c r="JY201" s="15"/>
      <c r="JZ201" s="15"/>
      <c r="KA201" s="15"/>
      <c r="KB201" s="15"/>
      <c r="KC201" s="15"/>
      <c r="KD201" s="15"/>
      <c r="KE201" s="15"/>
      <c r="KF201" s="15"/>
      <c r="KG201" s="15"/>
      <c r="KH201" s="15"/>
      <c r="KI201" s="15"/>
      <c r="KJ201" s="15"/>
      <c r="KK201" s="15"/>
      <c r="KL201" s="15"/>
      <c r="KM201" s="15"/>
      <c r="KN201" s="15"/>
      <c r="KO201" s="15"/>
      <c r="KP201" s="15"/>
      <c r="KQ201" s="15"/>
      <c r="KR201" s="15"/>
      <c r="KS201" s="15"/>
      <c r="KT201" s="15"/>
      <c r="KU201" s="15"/>
      <c r="KV201" s="15"/>
      <c r="KW201" s="15"/>
      <c r="KX201" s="15"/>
      <c r="KY201" s="15"/>
      <c r="KZ201" s="15"/>
      <c r="LA201" s="15"/>
      <c r="LB201" s="15"/>
      <c r="LC201" s="15"/>
      <c r="LD201" s="15"/>
      <c r="LE201" s="15"/>
      <c r="LF201" s="15"/>
      <c r="LG201" s="15"/>
      <c r="LH201" s="15"/>
      <c r="LI201" s="15"/>
      <c r="LJ201" s="15"/>
      <c r="LK201" s="15"/>
      <c r="LL201" s="15"/>
      <c r="LM201" s="15"/>
      <c r="LN201" s="15"/>
      <c r="LO201" s="15"/>
      <c r="LP201" s="15"/>
      <c r="LQ201" s="15"/>
      <c r="LR201" s="15"/>
      <c r="LS201" s="15"/>
      <c r="LT201" s="15"/>
      <c r="LU201" s="15"/>
      <c r="LV201" s="15"/>
      <c r="LW201" s="15"/>
      <c r="LX201" s="15"/>
      <c r="LY201" s="15"/>
      <c r="LZ201" s="15"/>
      <c r="MA201" s="15"/>
      <c r="MB201" s="15"/>
      <c r="MC201" s="15"/>
      <c r="MD201" s="15"/>
      <c r="ME201" s="15"/>
      <c r="MF201" s="15"/>
      <c r="MG201" s="15"/>
      <c r="MH201" s="15"/>
      <c r="MI201" s="15"/>
      <c r="MJ201" s="15"/>
      <c r="MK201" s="15"/>
      <c r="ML201" s="15"/>
      <c r="MM201" s="15"/>
      <c r="MN201" s="15"/>
      <c r="MO201" s="15"/>
      <c r="MP201" s="15"/>
      <c r="MQ201" s="15"/>
      <c r="MR201" s="15"/>
      <c r="MS201" s="15"/>
      <c r="MT201" s="15"/>
      <c r="MU201" s="15"/>
      <c r="MV201" s="15"/>
      <c r="MW201" s="15"/>
    </row>
    <row r="202" ht="41.25" customHeight="1">
      <c r="A202" s="13" t="s">
        <v>201</v>
      </c>
      <c r="B202" s="14" t="s">
        <v>10223</v>
      </c>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c r="DE202" s="15"/>
      <c r="DF202" s="15"/>
      <c r="DG202" s="15"/>
      <c r="DH202" s="15"/>
      <c r="DI202" s="15"/>
      <c r="DJ202" s="15"/>
      <c r="DK202" s="15"/>
      <c r="DL202" s="15"/>
      <c r="DM202" s="15"/>
      <c r="DN202" s="15"/>
      <c r="DO202" s="15"/>
      <c r="DP202" s="15"/>
      <c r="DQ202" s="15"/>
      <c r="DR202" s="15"/>
      <c r="DS202" s="15"/>
      <c r="DT202" s="15"/>
      <c r="DU202" s="15"/>
      <c r="DV202" s="15"/>
      <c r="DW202" s="15"/>
      <c r="DX202" s="15"/>
      <c r="DY202" s="15"/>
      <c r="DZ202" s="15"/>
      <c r="EA202" s="15"/>
      <c r="EB202" s="15"/>
      <c r="EC202" s="15"/>
      <c r="ED202" s="15"/>
      <c r="EE202" s="15"/>
      <c r="EF202" s="15"/>
      <c r="EG202" s="15"/>
      <c r="EH202" s="15"/>
      <c r="EI202" s="15"/>
      <c r="EJ202" s="15"/>
      <c r="EK202" s="15"/>
      <c r="EL202" s="15"/>
      <c r="EM202" s="15"/>
      <c r="EN202" s="15"/>
      <c r="EO202" s="15"/>
      <c r="EP202" s="15"/>
      <c r="EQ202" s="15"/>
      <c r="ER202" s="15"/>
      <c r="ES202" s="15"/>
      <c r="ET202" s="15"/>
      <c r="EU202" s="15"/>
      <c r="EV202" s="15"/>
      <c r="EW202" s="15"/>
      <c r="EX202" s="15"/>
      <c r="EY202" s="15"/>
      <c r="EZ202" s="15"/>
      <c r="FA202" s="15"/>
      <c r="FB202" s="15"/>
      <c r="FC202" s="15"/>
      <c r="FD202" s="15"/>
      <c r="FE202" s="15"/>
      <c r="FF202" s="15"/>
      <c r="FG202" s="15"/>
      <c r="FH202" s="15"/>
      <c r="FI202" s="15"/>
      <c r="FJ202" s="15"/>
      <c r="FK202" s="15"/>
      <c r="FL202" s="15"/>
      <c r="FM202" s="15"/>
      <c r="FN202" s="15"/>
      <c r="FO202" s="15"/>
      <c r="FP202" s="15"/>
      <c r="FQ202" s="15"/>
      <c r="FR202" s="15"/>
      <c r="FS202" s="15"/>
      <c r="FT202" s="15"/>
      <c r="FU202" s="15"/>
      <c r="FV202" s="15"/>
      <c r="FW202" s="15"/>
      <c r="FX202" s="15"/>
      <c r="FY202" s="15"/>
      <c r="FZ202" s="15"/>
      <c r="GA202" s="15"/>
      <c r="GB202" s="15"/>
      <c r="GC202" s="15"/>
      <c r="GD202" s="15"/>
      <c r="GE202" s="15"/>
      <c r="GF202" s="15"/>
      <c r="GG202" s="15"/>
      <c r="GH202" s="15"/>
      <c r="GI202" s="15"/>
      <c r="GJ202" s="15"/>
      <c r="GK202" s="15"/>
      <c r="GL202" s="15"/>
      <c r="GM202" s="15"/>
      <c r="GN202" s="15"/>
      <c r="GO202" s="15"/>
      <c r="GP202" s="15"/>
      <c r="GQ202" s="15"/>
      <c r="GR202" s="15"/>
      <c r="GS202" s="15"/>
      <c r="GT202" s="15"/>
      <c r="GU202" s="15"/>
      <c r="GV202" s="15"/>
      <c r="GW202" s="15"/>
      <c r="GX202" s="15"/>
      <c r="GY202" s="15"/>
      <c r="GZ202" s="15"/>
      <c r="HA202" s="15"/>
      <c r="HB202" s="15"/>
      <c r="HC202" s="15"/>
      <c r="HD202" s="15"/>
      <c r="HE202" s="15"/>
      <c r="HF202" s="15"/>
      <c r="HG202" s="15"/>
      <c r="HH202" s="15"/>
      <c r="HI202" s="15"/>
      <c r="HJ202" s="15"/>
      <c r="HK202" s="15"/>
      <c r="HL202" s="15"/>
      <c r="HM202" s="15"/>
      <c r="HN202" s="15"/>
      <c r="HO202" s="15"/>
      <c r="HP202" s="15"/>
      <c r="HQ202" s="15"/>
      <c r="HR202" s="15"/>
      <c r="HS202" s="15"/>
      <c r="HT202" s="15"/>
      <c r="HU202" s="15"/>
      <c r="HV202" s="15"/>
      <c r="HW202" s="15"/>
      <c r="HX202" s="15"/>
      <c r="HY202" s="15"/>
      <c r="HZ202" s="15"/>
      <c r="IA202" s="15"/>
      <c r="IB202" s="15"/>
      <c r="IC202" s="15"/>
      <c r="ID202" s="15"/>
      <c r="IE202" s="15"/>
      <c r="IF202" s="15"/>
      <c r="IG202" s="15"/>
      <c r="IH202" s="15"/>
      <c r="II202" s="15"/>
      <c r="IJ202" s="15"/>
      <c r="IK202" s="15"/>
      <c r="IL202" s="15"/>
      <c r="IM202" s="15"/>
      <c r="IN202" s="15"/>
      <c r="IO202" s="15"/>
      <c r="IP202" s="15"/>
      <c r="IQ202" s="15"/>
      <c r="IR202" s="15"/>
      <c r="IS202" s="15"/>
      <c r="IT202" s="15"/>
      <c r="IU202" s="15"/>
      <c r="IV202" s="15"/>
      <c r="IW202" s="15"/>
      <c r="IX202" s="15"/>
      <c r="IY202" s="15"/>
      <c r="IZ202" s="15"/>
      <c r="JA202" s="15"/>
      <c r="JB202" s="15"/>
      <c r="JC202" s="15"/>
      <c r="JD202" s="15"/>
      <c r="JE202" s="15"/>
      <c r="JF202" s="15"/>
      <c r="JG202" s="15"/>
      <c r="JH202" s="15"/>
      <c r="JI202" s="15"/>
      <c r="JJ202" s="15"/>
      <c r="JK202" s="15"/>
      <c r="JL202" s="15"/>
      <c r="JM202" s="15"/>
      <c r="JN202" s="15"/>
      <c r="JO202" s="15"/>
      <c r="JP202" s="15"/>
      <c r="JQ202" s="15"/>
      <c r="JR202" s="15"/>
      <c r="JS202" s="15"/>
      <c r="JT202" s="15"/>
      <c r="JU202" s="15"/>
      <c r="JV202" s="15"/>
      <c r="JW202" s="15"/>
      <c r="JX202" s="15"/>
      <c r="JY202" s="15"/>
      <c r="JZ202" s="15"/>
      <c r="KA202" s="15"/>
      <c r="KB202" s="15"/>
      <c r="KC202" s="15"/>
      <c r="KD202" s="15"/>
      <c r="KE202" s="15"/>
      <c r="KF202" s="15"/>
      <c r="KG202" s="15"/>
      <c r="KH202" s="15"/>
      <c r="KI202" s="15"/>
      <c r="KJ202" s="15"/>
      <c r="KK202" s="15"/>
      <c r="KL202" s="15"/>
      <c r="KM202" s="15"/>
      <c r="KN202" s="15"/>
      <c r="KO202" s="15"/>
      <c r="KP202" s="15"/>
      <c r="KQ202" s="15"/>
      <c r="KR202" s="15"/>
      <c r="KS202" s="15"/>
      <c r="KT202" s="15"/>
      <c r="KU202" s="15"/>
      <c r="KV202" s="15"/>
      <c r="KW202" s="15"/>
      <c r="KX202" s="15"/>
      <c r="KY202" s="15"/>
      <c r="KZ202" s="15"/>
      <c r="LA202" s="15"/>
      <c r="LB202" s="15"/>
      <c r="LC202" s="15"/>
      <c r="LD202" s="15"/>
      <c r="LE202" s="15"/>
      <c r="LF202" s="15"/>
      <c r="LG202" s="15"/>
      <c r="LH202" s="15"/>
      <c r="LI202" s="15"/>
      <c r="LJ202" s="15"/>
      <c r="LK202" s="15"/>
      <c r="LL202" s="15"/>
      <c r="LM202" s="15"/>
      <c r="LN202" s="15"/>
      <c r="LO202" s="15"/>
      <c r="LP202" s="15"/>
      <c r="LQ202" s="15"/>
      <c r="LR202" s="15"/>
      <c r="LS202" s="15"/>
      <c r="LT202" s="15"/>
      <c r="LU202" s="15"/>
      <c r="LV202" s="15"/>
      <c r="LW202" s="15"/>
      <c r="LX202" s="15"/>
      <c r="LY202" s="15"/>
      <c r="LZ202" s="15"/>
      <c r="MA202" s="15"/>
      <c r="MB202" s="15"/>
      <c r="MC202" s="15"/>
      <c r="MD202" s="15"/>
      <c r="ME202" s="15"/>
      <c r="MF202" s="15"/>
      <c r="MG202" s="15"/>
      <c r="MH202" s="15"/>
      <c r="MI202" s="15"/>
      <c r="MJ202" s="15"/>
      <c r="MK202" s="15"/>
      <c r="ML202" s="15"/>
      <c r="MM202" s="15"/>
      <c r="MN202" s="15"/>
      <c r="MO202" s="15"/>
      <c r="MP202" s="15"/>
      <c r="MQ202" s="15"/>
      <c r="MR202" s="15"/>
      <c r="MS202" s="15"/>
      <c r="MT202" s="15"/>
      <c r="MU202" s="15"/>
      <c r="MV202" s="15"/>
      <c r="MW202" s="15"/>
    </row>
    <row r="203" ht="119.25" customHeight="1">
      <c r="A203" s="13" t="s">
        <v>202</v>
      </c>
      <c r="B203" s="14" t="s">
        <v>10224</v>
      </c>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c r="DE203" s="15"/>
      <c r="DF203" s="15"/>
      <c r="DG203" s="15"/>
      <c r="DH203" s="15"/>
      <c r="DI203" s="15"/>
      <c r="DJ203" s="15"/>
      <c r="DK203" s="15"/>
      <c r="DL203" s="15"/>
      <c r="DM203" s="15"/>
      <c r="DN203" s="15"/>
      <c r="DO203" s="15"/>
      <c r="DP203" s="15"/>
      <c r="DQ203" s="15"/>
      <c r="DR203" s="15"/>
      <c r="DS203" s="15"/>
      <c r="DT203" s="15"/>
      <c r="DU203" s="15"/>
      <c r="DV203" s="15"/>
      <c r="DW203" s="15"/>
      <c r="DX203" s="15"/>
      <c r="DY203" s="15"/>
      <c r="DZ203" s="15"/>
      <c r="EA203" s="15"/>
      <c r="EB203" s="15"/>
      <c r="EC203" s="15"/>
      <c r="ED203" s="15"/>
      <c r="EE203" s="15"/>
      <c r="EF203" s="15"/>
      <c r="EG203" s="15"/>
      <c r="EH203" s="15"/>
      <c r="EI203" s="15"/>
      <c r="EJ203" s="15"/>
      <c r="EK203" s="15"/>
      <c r="EL203" s="15"/>
      <c r="EM203" s="15"/>
      <c r="EN203" s="15"/>
      <c r="EO203" s="15"/>
      <c r="EP203" s="15"/>
      <c r="EQ203" s="15"/>
      <c r="ER203" s="15"/>
      <c r="ES203" s="15"/>
      <c r="ET203" s="15"/>
      <c r="EU203" s="15"/>
      <c r="EV203" s="15"/>
      <c r="EW203" s="15"/>
      <c r="EX203" s="15"/>
      <c r="EY203" s="15"/>
      <c r="EZ203" s="15"/>
      <c r="FA203" s="15"/>
      <c r="FB203" s="15"/>
      <c r="FC203" s="15"/>
      <c r="FD203" s="15"/>
      <c r="FE203" s="15"/>
      <c r="FF203" s="15"/>
      <c r="FG203" s="15"/>
      <c r="FH203" s="15"/>
      <c r="FI203" s="15"/>
      <c r="FJ203" s="15"/>
      <c r="FK203" s="15"/>
      <c r="FL203" s="15"/>
      <c r="FM203" s="15"/>
      <c r="FN203" s="15"/>
      <c r="FO203" s="15"/>
      <c r="FP203" s="15"/>
      <c r="FQ203" s="15"/>
      <c r="FR203" s="15"/>
      <c r="FS203" s="15"/>
      <c r="FT203" s="15"/>
      <c r="FU203" s="15"/>
      <c r="FV203" s="15"/>
      <c r="FW203" s="15"/>
      <c r="FX203" s="15"/>
      <c r="FY203" s="15"/>
      <c r="FZ203" s="15"/>
      <c r="GA203" s="15"/>
      <c r="GB203" s="15"/>
      <c r="GC203" s="15"/>
      <c r="GD203" s="15"/>
      <c r="GE203" s="15"/>
      <c r="GF203" s="15"/>
      <c r="GG203" s="15"/>
      <c r="GH203" s="15"/>
      <c r="GI203" s="15"/>
      <c r="GJ203" s="15"/>
      <c r="GK203" s="15"/>
      <c r="GL203" s="15"/>
      <c r="GM203" s="15"/>
      <c r="GN203" s="15"/>
      <c r="GO203" s="15"/>
      <c r="GP203" s="15"/>
      <c r="GQ203" s="15"/>
      <c r="GR203" s="15"/>
      <c r="GS203" s="15"/>
      <c r="GT203" s="15"/>
      <c r="GU203" s="15"/>
      <c r="GV203" s="15"/>
      <c r="GW203" s="15"/>
      <c r="GX203" s="15"/>
      <c r="GY203" s="15"/>
      <c r="GZ203" s="15"/>
      <c r="HA203" s="15"/>
      <c r="HB203" s="15"/>
      <c r="HC203" s="15"/>
      <c r="HD203" s="15"/>
      <c r="HE203" s="15"/>
      <c r="HF203" s="15"/>
      <c r="HG203" s="15"/>
      <c r="HH203" s="15"/>
      <c r="HI203" s="15"/>
      <c r="HJ203" s="15"/>
      <c r="HK203" s="15"/>
      <c r="HL203" s="15"/>
      <c r="HM203" s="15"/>
      <c r="HN203" s="15"/>
      <c r="HO203" s="15"/>
      <c r="HP203" s="15"/>
      <c r="HQ203" s="15"/>
      <c r="HR203" s="15"/>
      <c r="HS203" s="15"/>
      <c r="HT203" s="15"/>
      <c r="HU203" s="15"/>
      <c r="HV203" s="15"/>
      <c r="HW203" s="15"/>
      <c r="HX203" s="15"/>
      <c r="HY203" s="15"/>
      <c r="HZ203" s="15"/>
      <c r="IA203" s="15"/>
      <c r="IB203" s="15"/>
      <c r="IC203" s="15"/>
      <c r="ID203" s="15"/>
      <c r="IE203" s="15"/>
      <c r="IF203" s="15"/>
      <c r="IG203" s="15"/>
      <c r="IH203" s="15"/>
      <c r="II203" s="15"/>
      <c r="IJ203" s="15"/>
      <c r="IK203" s="15"/>
      <c r="IL203" s="15"/>
      <c r="IM203" s="15"/>
      <c r="IN203" s="15"/>
      <c r="IO203" s="15"/>
      <c r="IP203" s="15"/>
      <c r="IQ203" s="15"/>
      <c r="IR203" s="15"/>
      <c r="IS203" s="15"/>
      <c r="IT203" s="15"/>
      <c r="IU203" s="15"/>
      <c r="IV203" s="15"/>
      <c r="IW203" s="15"/>
      <c r="IX203" s="15"/>
      <c r="IY203" s="15"/>
      <c r="IZ203" s="15"/>
      <c r="JA203" s="15"/>
      <c r="JB203" s="15"/>
      <c r="JC203" s="15"/>
      <c r="JD203" s="15"/>
      <c r="JE203" s="15"/>
      <c r="JF203" s="15"/>
      <c r="JG203" s="15"/>
      <c r="JH203" s="15"/>
      <c r="JI203" s="15"/>
      <c r="JJ203" s="15"/>
      <c r="JK203" s="15"/>
      <c r="JL203" s="15"/>
      <c r="JM203" s="15"/>
      <c r="JN203" s="15"/>
      <c r="JO203" s="15"/>
      <c r="JP203" s="15"/>
      <c r="JQ203" s="15"/>
      <c r="JR203" s="15"/>
      <c r="JS203" s="15"/>
      <c r="JT203" s="15"/>
      <c r="JU203" s="15"/>
      <c r="JV203" s="15"/>
      <c r="JW203" s="15"/>
      <c r="JX203" s="15"/>
      <c r="JY203" s="15"/>
      <c r="JZ203" s="15"/>
      <c r="KA203" s="15"/>
      <c r="KB203" s="15"/>
      <c r="KC203" s="15"/>
      <c r="KD203" s="15"/>
      <c r="KE203" s="15"/>
      <c r="KF203" s="15"/>
      <c r="KG203" s="15"/>
      <c r="KH203" s="15"/>
      <c r="KI203" s="15"/>
      <c r="KJ203" s="15"/>
      <c r="KK203" s="15"/>
      <c r="KL203" s="15"/>
      <c r="KM203" s="15"/>
      <c r="KN203" s="15"/>
      <c r="KO203" s="15"/>
      <c r="KP203" s="15"/>
      <c r="KQ203" s="15"/>
      <c r="KR203" s="15"/>
      <c r="KS203" s="15"/>
      <c r="KT203" s="15"/>
      <c r="KU203" s="15"/>
      <c r="KV203" s="15"/>
      <c r="KW203" s="15"/>
      <c r="KX203" s="15"/>
      <c r="KY203" s="15"/>
      <c r="KZ203" s="15"/>
      <c r="LA203" s="15"/>
      <c r="LB203" s="15"/>
      <c r="LC203" s="15"/>
      <c r="LD203" s="15"/>
      <c r="LE203" s="15"/>
      <c r="LF203" s="15"/>
      <c r="LG203" s="15"/>
      <c r="LH203" s="15"/>
      <c r="LI203" s="15"/>
      <c r="LJ203" s="15"/>
      <c r="LK203" s="15"/>
      <c r="LL203" s="15"/>
      <c r="LM203" s="15"/>
      <c r="LN203" s="15"/>
      <c r="LO203" s="15"/>
      <c r="LP203" s="15"/>
      <c r="LQ203" s="15"/>
      <c r="LR203" s="15"/>
      <c r="LS203" s="15"/>
      <c r="LT203" s="15"/>
      <c r="LU203" s="15"/>
      <c r="LV203" s="15"/>
      <c r="LW203" s="15"/>
      <c r="LX203" s="15"/>
      <c r="LY203" s="15"/>
      <c r="LZ203" s="15"/>
      <c r="MA203" s="15"/>
      <c r="MB203" s="15"/>
      <c r="MC203" s="15"/>
      <c r="MD203" s="15"/>
      <c r="ME203" s="15"/>
      <c r="MF203" s="15"/>
      <c r="MG203" s="15"/>
      <c r="MH203" s="15"/>
      <c r="MI203" s="15"/>
      <c r="MJ203" s="15"/>
      <c r="MK203" s="15"/>
      <c r="ML203" s="15"/>
      <c r="MM203" s="15"/>
      <c r="MN203" s="15"/>
      <c r="MO203" s="15"/>
      <c r="MP203" s="15"/>
      <c r="MQ203" s="15"/>
      <c r="MR203" s="15"/>
      <c r="MS203" s="15"/>
      <c r="MT203" s="15"/>
      <c r="MU203" s="15"/>
      <c r="MV203" s="15"/>
      <c r="MW203" s="15"/>
    </row>
    <row r="204" ht="41.25" customHeight="1">
      <c r="A204" s="13" t="s">
        <v>203</v>
      </c>
      <c r="B204" s="14" t="s">
        <v>10225</v>
      </c>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c r="DE204" s="15"/>
      <c r="DF204" s="15"/>
      <c r="DG204" s="15"/>
      <c r="DH204" s="15"/>
      <c r="DI204" s="15"/>
      <c r="DJ204" s="15"/>
      <c r="DK204" s="15"/>
      <c r="DL204" s="15"/>
      <c r="DM204" s="15"/>
      <c r="DN204" s="15"/>
      <c r="DO204" s="15"/>
      <c r="DP204" s="15"/>
      <c r="DQ204" s="15"/>
      <c r="DR204" s="15"/>
      <c r="DS204" s="15"/>
      <c r="DT204" s="15"/>
      <c r="DU204" s="15"/>
      <c r="DV204" s="15"/>
      <c r="DW204" s="15"/>
      <c r="DX204" s="15"/>
      <c r="DY204" s="15"/>
      <c r="DZ204" s="15"/>
      <c r="EA204" s="15"/>
      <c r="EB204" s="15"/>
      <c r="EC204" s="15"/>
      <c r="ED204" s="15"/>
      <c r="EE204" s="15"/>
      <c r="EF204" s="15"/>
      <c r="EG204" s="15"/>
      <c r="EH204" s="15"/>
      <c r="EI204" s="15"/>
      <c r="EJ204" s="15"/>
      <c r="EK204" s="15"/>
      <c r="EL204" s="15"/>
      <c r="EM204" s="15"/>
      <c r="EN204" s="15"/>
      <c r="EO204" s="15"/>
      <c r="EP204" s="15"/>
      <c r="EQ204" s="15"/>
      <c r="ER204" s="15"/>
      <c r="ES204" s="15"/>
      <c r="ET204" s="15"/>
      <c r="EU204" s="15"/>
      <c r="EV204" s="15"/>
      <c r="EW204" s="15"/>
      <c r="EX204" s="15"/>
      <c r="EY204" s="15"/>
      <c r="EZ204" s="15"/>
      <c r="FA204" s="15"/>
      <c r="FB204" s="15"/>
      <c r="FC204" s="15"/>
      <c r="FD204" s="15"/>
      <c r="FE204" s="15"/>
      <c r="FF204" s="15"/>
      <c r="FG204" s="15"/>
      <c r="FH204" s="15"/>
      <c r="FI204" s="15"/>
      <c r="FJ204" s="15"/>
      <c r="FK204" s="15"/>
      <c r="FL204" s="15"/>
      <c r="FM204" s="15"/>
      <c r="FN204" s="15"/>
      <c r="FO204" s="15"/>
      <c r="FP204" s="15"/>
      <c r="FQ204" s="15"/>
      <c r="FR204" s="15"/>
      <c r="FS204" s="15"/>
      <c r="FT204" s="15"/>
      <c r="FU204" s="15"/>
      <c r="FV204" s="15"/>
      <c r="FW204" s="15"/>
      <c r="FX204" s="15"/>
      <c r="FY204" s="15"/>
      <c r="FZ204" s="15"/>
      <c r="GA204" s="15"/>
      <c r="GB204" s="15"/>
      <c r="GC204" s="15"/>
      <c r="GD204" s="15"/>
      <c r="GE204" s="15"/>
      <c r="GF204" s="15"/>
      <c r="GG204" s="15"/>
      <c r="GH204" s="15"/>
      <c r="GI204" s="15"/>
      <c r="GJ204" s="15"/>
      <c r="GK204" s="15"/>
      <c r="GL204" s="15"/>
      <c r="GM204" s="15"/>
      <c r="GN204" s="15"/>
      <c r="GO204" s="15"/>
      <c r="GP204" s="15"/>
      <c r="GQ204" s="15"/>
      <c r="GR204" s="15"/>
      <c r="GS204" s="15"/>
      <c r="GT204" s="15"/>
      <c r="GU204" s="15"/>
      <c r="GV204" s="15"/>
      <c r="GW204" s="15"/>
      <c r="GX204" s="15"/>
      <c r="GY204" s="15"/>
      <c r="GZ204" s="15"/>
      <c r="HA204" s="15"/>
      <c r="HB204" s="15"/>
      <c r="HC204" s="15"/>
      <c r="HD204" s="15"/>
      <c r="HE204" s="15"/>
      <c r="HF204" s="15"/>
      <c r="HG204" s="15"/>
      <c r="HH204" s="15"/>
      <c r="HI204" s="15"/>
      <c r="HJ204" s="15"/>
      <c r="HK204" s="15"/>
      <c r="HL204" s="15"/>
      <c r="HM204" s="15"/>
      <c r="HN204" s="15"/>
      <c r="HO204" s="15"/>
      <c r="HP204" s="15"/>
      <c r="HQ204" s="15"/>
      <c r="HR204" s="15"/>
      <c r="HS204" s="15"/>
      <c r="HT204" s="15"/>
      <c r="HU204" s="15"/>
      <c r="HV204" s="15"/>
      <c r="HW204" s="15"/>
      <c r="HX204" s="15"/>
      <c r="HY204" s="15"/>
      <c r="HZ204" s="15"/>
      <c r="IA204" s="15"/>
      <c r="IB204" s="15"/>
      <c r="IC204" s="15"/>
      <c r="ID204" s="15"/>
      <c r="IE204" s="15"/>
      <c r="IF204" s="15"/>
      <c r="IG204" s="15"/>
      <c r="IH204" s="15"/>
      <c r="II204" s="15"/>
      <c r="IJ204" s="15"/>
      <c r="IK204" s="15"/>
      <c r="IL204" s="15"/>
      <c r="IM204" s="15"/>
      <c r="IN204" s="15"/>
      <c r="IO204" s="15"/>
      <c r="IP204" s="15"/>
      <c r="IQ204" s="15"/>
      <c r="IR204" s="15"/>
      <c r="IS204" s="15"/>
      <c r="IT204" s="15"/>
      <c r="IU204" s="15"/>
      <c r="IV204" s="15"/>
      <c r="IW204" s="15"/>
      <c r="IX204" s="15"/>
      <c r="IY204" s="15"/>
      <c r="IZ204" s="15"/>
      <c r="JA204" s="15"/>
      <c r="JB204" s="15"/>
      <c r="JC204" s="15"/>
      <c r="JD204" s="15"/>
      <c r="JE204" s="15"/>
      <c r="JF204" s="15"/>
      <c r="JG204" s="15"/>
      <c r="JH204" s="15"/>
      <c r="JI204" s="15"/>
      <c r="JJ204" s="15"/>
      <c r="JK204" s="15"/>
      <c r="JL204" s="15"/>
      <c r="JM204" s="15"/>
      <c r="JN204" s="15"/>
      <c r="JO204" s="15"/>
      <c r="JP204" s="15"/>
      <c r="JQ204" s="15"/>
      <c r="JR204" s="15"/>
      <c r="JS204" s="15"/>
      <c r="JT204" s="15"/>
      <c r="JU204" s="15"/>
      <c r="JV204" s="15"/>
      <c r="JW204" s="15"/>
      <c r="JX204" s="15"/>
      <c r="JY204" s="15"/>
      <c r="JZ204" s="15"/>
      <c r="KA204" s="15"/>
      <c r="KB204" s="15"/>
      <c r="KC204" s="15"/>
      <c r="KD204" s="15"/>
      <c r="KE204" s="15"/>
      <c r="KF204" s="15"/>
      <c r="KG204" s="15"/>
      <c r="KH204" s="15"/>
      <c r="KI204" s="15"/>
      <c r="KJ204" s="15"/>
      <c r="KK204" s="15"/>
      <c r="KL204" s="15"/>
      <c r="KM204" s="15"/>
      <c r="KN204" s="15"/>
      <c r="KO204" s="15"/>
      <c r="KP204" s="15"/>
      <c r="KQ204" s="15"/>
      <c r="KR204" s="15"/>
      <c r="KS204" s="15"/>
      <c r="KT204" s="15"/>
      <c r="KU204" s="15"/>
      <c r="KV204" s="15"/>
      <c r="KW204" s="15"/>
      <c r="KX204" s="15"/>
      <c r="KY204" s="15"/>
      <c r="KZ204" s="15"/>
      <c r="LA204" s="15"/>
      <c r="LB204" s="15"/>
      <c r="LC204" s="15"/>
      <c r="LD204" s="15"/>
      <c r="LE204" s="15"/>
      <c r="LF204" s="15"/>
      <c r="LG204" s="15"/>
      <c r="LH204" s="15"/>
      <c r="LI204" s="15"/>
      <c r="LJ204" s="15"/>
      <c r="LK204" s="15"/>
      <c r="LL204" s="15"/>
      <c r="LM204" s="15"/>
      <c r="LN204" s="15"/>
      <c r="LO204" s="15"/>
      <c r="LP204" s="15"/>
      <c r="LQ204" s="15"/>
      <c r="LR204" s="15"/>
      <c r="LS204" s="15"/>
      <c r="LT204" s="15"/>
      <c r="LU204" s="15"/>
      <c r="LV204" s="15"/>
      <c r="LW204" s="15"/>
      <c r="LX204" s="15"/>
      <c r="LY204" s="15"/>
      <c r="LZ204" s="15"/>
      <c r="MA204" s="15"/>
      <c r="MB204" s="15"/>
      <c r="MC204" s="15"/>
      <c r="MD204" s="15"/>
      <c r="ME204" s="15"/>
      <c r="MF204" s="15"/>
      <c r="MG204" s="15"/>
      <c r="MH204" s="15"/>
      <c r="MI204" s="15"/>
      <c r="MJ204" s="15"/>
      <c r="MK204" s="15"/>
      <c r="ML204" s="15"/>
      <c r="MM204" s="15"/>
      <c r="MN204" s="15"/>
      <c r="MO204" s="15"/>
      <c r="MP204" s="15"/>
      <c r="MQ204" s="15"/>
      <c r="MR204" s="15"/>
      <c r="MS204" s="15"/>
      <c r="MT204" s="15"/>
      <c r="MU204" s="15"/>
      <c r="MV204" s="15"/>
      <c r="MW204" s="15"/>
    </row>
    <row r="205" ht="119.25" customHeight="1">
      <c r="A205" s="13" t="s">
        <v>204</v>
      </c>
      <c r="B205" s="14" t="s">
        <v>10226</v>
      </c>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c r="DE205" s="15"/>
      <c r="DF205" s="15"/>
      <c r="DG205" s="15"/>
      <c r="DH205" s="15"/>
      <c r="DI205" s="15"/>
      <c r="DJ205" s="15"/>
      <c r="DK205" s="15"/>
      <c r="DL205" s="15"/>
      <c r="DM205" s="15"/>
      <c r="DN205" s="15"/>
      <c r="DO205" s="15"/>
      <c r="DP205" s="15"/>
      <c r="DQ205" s="15"/>
      <c r="DR205" s="15"/>
      <c r="DS205" s="15"/>
      <c r="DT205" s="15"/>
      <c r="DU205" s="15"/>
      <c r="DV205" s="15"/>
      <c r="DW205" s="15"/>
      <c r="DX205" s="15"/>
      <c r="DY205" s="15"/>
      <c r="DZ205" s="15"/>
      <c r="EA205" s="15"/>
      <c r="EB205" s="15"/>
      <c r="EC205" s="15"/>
      <c r="ED205" s="15"/>
      <c r="EE205" s="15"/>
      <c r="EF205" s="15"/>
      <c r="EG205" s="15"/>
      <c r="EH205" s="15"/>
      <c r="EI205" s="15"/>
      <c r="EJ205" s="15"/>
      <c r="EK205" s="15"/>
      <c r="EL205" s="15"/>
      <c r="EM205" s="15"/>
      <c r="EN205" s="15"/>
      <c r="EO205" s="15"/>
      <c r="EP205" s="15"/>
      <c r="EQ205" s="15"/>
      <c r="ER205" s="15"/>
      <c r="ES205" s="15"/>
      <c r="ET205" s="15"/>
      <c r="EU205" s="15"/>
      <c r="EV205" s="15"/>
      <c r="EW205" s="15"/>
      <c r="EX205" s="15"/>
      <c r="EY205" s="15"/>
      <c r="EZ205" s="15"/>
      <c r="FA205" s="15"/>
      <c r="FB205" s="15"/>
      <c r="FC205" s="15"/>
      <c r="FD205" s="15"/>
      <c r="FE205" s="15"/>
      <c r="FF205" s="15"/>
      <c r="FG205" s="15"/>
      <c r="FH205" s="15"/>
      <c r="FI205" s="15"/>
      <c r="FJ205" s="15"/>
      <c r="FK205" s="15"/>
      <c r="FL205" s="15"/>
      <c r="FM205" s="15"/>
      <c r="FN205" s="15"/>
      <c r="FO205" s="15"/>
      <c r="FP205" s="15"/>
      <c r="FQ205" s="15"/>
      <c r="FR205" s="15"/>
      <c r="FS205" s="15"/>
      <c r="FT205" s="15"/>
      <c r="FU205" s="15"/>
      <c r="FV205" s="15"/>
      <c r="FW205" s="15"/>
      <c r="FX205" s="15"/>
      <c r="FY205" s="15"/>
      <c r="FZ205" s="15"/>
      <c r="GA205" s="15"/>
      <c r="GB205" s="15"/>
      <c r="GC205" s="15"/>
      <c r="GD205" s="15"/>
      <c r="GE205" s="15"/>
      <c r="GF205" s="15"/>
      <c r="GG205" s="15"/>
      <c r="GH205" s="15"/>
      <c r="GI205" s="15"/>
      <c r="GJ205" s="15"/>
      <c r="GK205" s="15"/>
      <c r="GL205" s="15"/>
      <c r="GM205" s="15"/>
      <c r="GN205" s="15"/>
      <c r="GO205" s="15"/>
      <c r="GP205" s="15"/>
      <c r="GQ205" s="15"/>
      <c r="GR205" s="15"/>
      <c r="GS205" s="15"/>
      <c r="GT205" s="15"/>
      <c r="GU205" s="15"/>
      <c r="GV205" s="15"/>
      <c r="GW205" s="15"/>
      <c r="GX205" s="15"/>
      <c r="GY205" s="15"/>
      <c r="GZ205" s="15"/>
      <c r="HA205" s="15"/>
      <c r="HB205" s="15"/>
      <c r="HC205" s="15"/>
      <c r="HD205" s="15"/>
      <c r="HE205" s="15"/>
      <c r="HF205" s="15"/>
      <c r="HG205" s="15"/>
      <c r="HH205" s="15"/>
      <c r="HI205" s="15"/>
      <c r="HJ205" s="15"/>
      <c r="HK205" s="15"/>
      <c r="HL205" s="15"/>
      <c r="HM205" s="15"/>
      <c r="HN205" s="15"/>
      <c r="HO205" s="15"/>
      <c r="HP205" s="15"/>
      <c r="HQ205" s="15"/>
      <c r="HR205" s="15"/>
      <c r="HS205" s="15"/>
      <c r="HT205" s="15"/>
      <c r="HU205" s="15"/>
      <c r="HV205" s="15"/>
      <c r="HW205" s="15"/>
      <c r="HX205" s="15"/>
      <c r="HY205" s="15"/>
      <c r="HZ205" s="15"/>
      <c r="IA205" s="15"/>
      <c r="IB205" s="15"/>
      <c r="IC205" s="15"/>
      <c r="ID205" s="15"/>
      <c r="IE205" s="15"/>
      <c r="IF205" s="15"/>
      <c r="IG205" s="15"/>
      <c r="IH205" s="15"/>
      <c r="II205" s="15"/>
      <c r="IJ205" s="15"/>
      <c r="IK205" s="15"/>
      <c r="IL205" s="15"/>
      <c r="IM205" s="15"/>
      <c r="IN205" s="15"/>
      <c r="IO205" s="15"/>
      <c r="IP205" s="15"/>
      <c r="IQ205" s="15"/>
      <c r="IR205" s="15"/>
      <c r="IS205" s="15"/>
      <c r="IT205" s="15"/>
      <c r="IU205" s="15"/>
      <c r="IV205" s="15"/>
      <c r="IW205" s="15"/>
      <c r="IX205" s="15"/>
      <c r="IY205" s="15"/>
      <c r="IZ205" s="15"/>
      <c r="JA205" s="15"/>
      <c r="JB205" s="15"/>
      <c r="JC205" s="15"/>
      <c r="JD205" s="15"/>
      <c r="JE205" s="15"/>
      <c r="JF205" s="15"/>
      <c r="JG205" s="15"/>
      <c r="JH205" s="15"/>
      <c r="JI205" s="15"/>
      <c r="JJ205" s="15"/>
      <c r="JK205" s="15"/>
      <c r="JL205" s="15"/>
      <c r="JM205" s="15"/>
      <c r="JN205" s="15"/>
      <c r="JO205" s="15"/>
      <c r="JP205" s="15"/>
      <c r="JQ205" s="15"/>
      <c r="JR205" s="15"/>
      <c r="JS205" s="15"/>
      <c r="JT205" s="15"/>
      <c r="JU205" s="15"/>
      <c r="JV205" s="15"/>
      <c r="JW205" s="15"/>
      <c r="JX205" s="15"/>
      <c r="JY205" s="15"/>
      <c r="JZ205" s="15"/>
      <c r="KA205" s="15"/>
      <c r="KB205" s="15"/>
      <c r="KC205" s="15"/>
      <c r="KD205" s="15"/>
      <c r="KE205" s="15"/>
      <c r="KF205" s="15"/>
      <c r="KG205" s="15"/>
      <c r="KH205" s="15"/>
      <c r="KI205" s="15"/>
      <c r="KJ205" s="15"/>
      <c r="KK205" s="15"/>
      <c r="KL205" s="15"/>
      <c r="KM205" s="15"/>
      <c r="KN205" s="15"/>
      <c r="KO205" s="15"/>
      <c r="KP205" s="15"/>
      <c r="KQ205" s="15"/>
      <c r="KR205" s="15"/>
      <c r="KS205" s="15"/>
      <c r="KT205" s="15"/>
      <c r="KU205" s="15"/>
      <c r="KV205" s="15"/>
      <c r="KW205" s="15"/>
      <c r="KX205" s="15"/>
      <c r="KY205" s="15"/>
      <c r="KZ205" s="15"/>
      <c r="LA205" s="15"/>
      <c r="LB205" s="15"/>
      <c r="LC205" s="15"/>
      <c r="LD205" s="15"/>
      <c r="LE205" s="15"/>
      <c r="LF205" s="15"/>
      <c r="LG205" s="15"/>
      <c r="LH205" s="15"/>
      <c r="LI205" s="15"/>
      <c r="LJ205" s="15"/>
      <c r="LK205" s="15"/>
      <c r="LL205" s="15"/>
      <c r="LM205" s="15"/>
      <c r="LN205" s="15"/>
      <c r="LO205" s="15"/>
      <c r="LP205" s="15"/>
      <c r="LQ205" s="15"/>
      <c r="LR205" s="15"/>
      <c r="LS205" s="15"/>
      <c r="LT205" s="15"/>
      <c r="LU205" s="15"/>
      <c r="LV205" s="15"/>
      <c r="LW205" s="15"/>
      <c r="LX205" s="15"/>
      <c r="LY205" s="15"/>
      <c r="LZ205" s="15"/>
      <c r="MA205" s="15"/>
      <c r="MB205" s="15"/>
      <c r="MC205" s="15"/>
      <c r="MD205" s="15"/>
      <c r="ME205" s="15"/>
      <c r="MF205" s="15"/>
      <c r="MG205" s="15"/>
      <c r="MH205" s="15"/>
      <c r="MI205" s="15"/>
      <c r="MJ205" s="15"/>
      <c r="MK205" s="15"/>
      <c r="ML205" s="15"/>
      <c r="MM205" s="15"/>
      <c r="MN205" s="15"/>
      <c r="MO205" s="15"/>
      <c r="MP205" s="15"/>
      <c r="MQ205" s="15"/>
      <c r="MR205" s="15"/>
      <c r="MS205" s="15"/>
      <c r="MT205" s="15"/>
      <c r="MU205" s="15"/>
      <c r="MV205" s="15"/>
      <c r="MW205" s="15"/>
    </row>
    <row r="206" ht="41.25" customHeight="1">
      <c r="A206" s="13" t="s">
        <v>205</v>
      </c>
      <c r="B206" s="14" t="s">
        <v>10227</v>
      </c>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c r="DE206" s="15"/>
      <c r="DF206" s="15"/>
      <c r="DG206" s="15"/>
      <c r="DH206" s="15"/>
      <c r="DI206" s="15"/>
      <c r="DJ206" s="15"/>
      <c r="DK206" s="15"/>
      <c r="DL206" s="15"/>
      <c r="DM206" s="15"/>
      <c r="DN206" s="15"/>
      <c r="DO206" s="15"/>
      <c r="DP206" s="15"/>
      <c r="DQ206" s="15"/>
      <c r="DR206" s="15"/>
      <c r="DS206" s="15"/>
      <c r="DT206" s="15"/>
      <c r="DU206" s="15"/>
      <c r="DV206" s="15"/>
      <c r="DW206" s="15"/>
      <c r="DX206" s="15"/>
      <c r="DY206" s="15"/>
      <c r="DZ206" s="15"/>
      <c r="EA206" s="15"/>
      <c r="EB206" s="15"/>
      <c r="EC206" s="15"/>
      <c r="ED206" s="15"/>
      <c r="EE206" s="15"/>
      <c r="EF206" s="15"/>
      <c r="EG206" s="15"/>
      <c r="EH206" s="15"/>
      <c r="EI206" s="15"/>
      <c r="EJ206" s="15"/>
      <c r="EK206" s="15"/>
      <c r="EL206" s="15"/>
      <c r="EM206" s="15"/>
      <c r="EN206" s="15"/>
      <c r="EO206" s="15"/>
      <c r="EP206" s="15"/>
      <c r="EQ206" s="15"/>
      <c r="ER206" s="15"/>
      <c r="ES206" s="15"/>
      <c r="ET206" s="15"/>
      <c r="EU206" s="15"/>
      <c r="EV206" s="15"/>
      <c r="EW206" s="15"/>
      <c r="EX206" s="15"/>
      <c r="EY206" s="15"/>
      <c r="EZ206" s="15"/>
      <c r="FA206" s="15"/>
      <c r="FB206" s="15"/>
      <c r="FC206" s="15"/>
      <c r="FD206" s="15"/>
      <c r="FE206" s="15"/>
      <c r="FF206" s="15"/>
      <c r="FG206" s="15"/>
      <c r="FH206" s="15"/>
      <c r="FI206" s="15"/>
      <c r="FJ206" s="15"/>
      <c r="FK206" s="15"/>
      <c r="FL206" s="15"/>
      <c r="FM206" s="15"/>
      <c r="FN206" s="15"/>
      <c r="FO206" s="15"/>
      <c r="FP206" s="15"/>
      <c r="FQ206" s="15"/>
      <c r="FR206" s="15"/>
      <c r="FS206" s="15"/>
      <c r="FT206" s="15"/>
      <c r="FU206" s="15"/>
      <c r="FV206" s="15"/>
      <c r="FW206" s="15"/>
      <c r="FX206" s="15"/>
      <c r="FY206" s="15"/>
      <c r="FZ206" s="15"/>
      <c r="GA206" s="15"/>
      <c r="GB206" s="15"/>
      <c r="GC206" s="15"/>
      <c r="GD206" s="15"/>
      <c r="GE206" s="15"/>
      <c r="GF206" s="15"/>
      <c r="GG206" s="15"/>
      <c r="GH206" s="15"/>
      <c r="GI206" s="15"/>
      <c r="GJ206" s="15"/>
      <c r="GK206" s="15"/>
      <c r="GL206" s="15"/>
      <c r="GM206" s="15"/>
      <c r="GN206" s="15"/>
      <c r="GO206" s="15"/>
      <c r="GP206" s="15"/>
      <c r="GQ206" s="15"/>
      <c r="GR206" s="15"/>
      <c r="GS206" s="15"/>
      <c r="GT206" s="15"/>
      <c r="GU206" s="15"/>
      <c r="GV206" s="15"/>
      <c r="GW206" s="15"/>
      <c r="GX206" s="15"/>
      <c r="GY206" s="15"/>
      <c r="GZ206" s="15"/>
      <c r="HA206" s="15"/>
      <c r="HB206" s="15"/>
      <c r="HC206" s="15"/>
      <c r="HD206" s="15"/>
      <c r="HE206" s="15"/>
      <c r="HF206" s="15"/>
      <c r="HG206" s="15"/>
      <c r="HH206" s="15"/>
      <c r="HI206" s="15"/>
      <c r="HJ206" s="15"/>
      <c r="HK206" s="15"/>
      <c r="HL206" s="15"/>
      <c r="HM206" s="15"/>
      <c r="HN206" s="15"/>
      <c r="HO206" s="15"/>
      <c r="HP206" s="15"/>
      <c r="HQ206" s="15"/>
      <c r="HR206" s="15"/>
      <c r="HS206" s="15"/>
      <c r="HT206" s="15"/>
      <c r="HU206" s="15"/>
      <c r="HV206" s="15"/>
      <c r="HW206" s="15"/>
      <c r="HX206" s="15"/>
      <c r="HY206" s="15"/>
      <c r="HZ206" s="15"/>
      <c r="IA206" s="15"/>
      <c r="IB206" s="15"/>
      <c r="IC206" s="15"/>
      <c r="ID206" s="15"/>
      <c r="IE206" s="15"/>
      <c r="IF206" s="15"/>
      <c r="IG206" s="15"/>
      <c r="IH206" s="15"/>
      <c r="II206" s="15"/>
      <c r="IJ206" s="15"/>
      <c r="IK206" s="15"/>
      <c r="IL206" s="15"/>
      <c r="IM206" s="15"/>
      <c r="IN206" s="15"/>
      <c r="IO206" s="15"/>
      <c r="IP206" s="15"/>
      <c r="IQ206" s="15"/>
      <c r="IR206" s="15"/>
      <c r="IS206" s="15"/>
      <c r="IT206" s="15"/>
      <c r="IU206" s="15"/>
      <c r="IV206" s="15"/>
      <c r="IW206" s="15"/>
      <c r="IX206" s="15"/>
      <c r="IY206" s="15"/>
      <c r="IZ206" s="15"/>
      <c r="JA206" s="15"/>
      <c r="JB206" s="15"/>
      <c r="JC206" s="15"/>
      <c r="JD206" s="15"/>
      <c r="JE206" s="15"/>
      <c r="JF206" s="15"/>
      <c r="JG206" s="15"/>
      <c r="JH206" s="15"/>
      <c r="JI206" s="15"/>
      <c r="JJ206" s="15"/>
      <c r="JK206" s="15"/>
      <c r="JL206" s="15"/>
      <c r="JM206" s="15"/>
      <c r="JN206" s="15"/>
      <c r="JO206" s="15"/>
      <c r="JP206" s="15"/>
      <c r="JQ206" s="15"/>
      <c r="JR206" s="15"/>
      <c r="JS206" s="15"/>
      <c r="JT206" s="15"/>
      <c r="JU206" s="15"/>
      <c r="JV206" s="15"/>
      <c r="JW206" s="15"/>
      <c r="JX206" s="15"/>
      <c r="JY206" s="15"/>
      <c r="JZ206" s="15"/>
      <c r="KA206" s="15"/>
      <c r="KB206" s="15"/>
      <c r="KC206" s="15"/>
      <c r="KD206" s="15"/>
      <c r="KE206" s="15"/>
      <c r="KF206" s="15"/>
      <c r="KG206" s="15"/>
      <c r="KH206" s="15"/>
      <c r="KI206" s="15"/>
      <c r="KJ206" s="15"/>
      <c r="KK206" s="15"/>
      <c r="KL206" s="15"/>
      <c r="KM206" s="15"/>
      <c r="KN206" s="15"/>
      <c r="KO206" s="15"/>
      <c r="KP206" s="15"/>
      <c r="KQ206" s="15"/>
      <c r="KR206" s="15"/>
      <c r="KS206" s="15"/>
      <c r="KT206" s="15"/>
      <c r="KU206" s="15"/>
      <c r="KV206" s="15"/>
      <c r="KW206" s="15"/>
      <c r="KX206" s="15"/>
      <c r="KY206" s="15"/>
      <c r="KZ206" s="15"/>
      <c r="LA206" s="15"/>
      <c r="LB206" s="15"/>
      <c r="LC206" s="15"/>
      <c r="LD206" s="15"/>
      <c r="LE206" s="15"/>
      <c r="LF206" s="15"/>
      <c r="LG206" s="15"/>
      <c r="LH206" s="15"/>
      <c r="LI206" s="15"/>
      <c r="LJ206" s="15"/>
      <c r="LK206" s="15"/>
      <c r="LL206" s="15"/>
      <c r="LM206" s="15"/>
      <c r="LN206" s="15"/>
      <c r="LO206" s="15"/>
      <c r="LP206" s="15"/>
      <c r="LQ206" s="15"/>
      <c r="LR206" s="15"/>
      <c r="LS206" s="15"/>
      <c r="LT206" s="15"/>
      <c r="LU206" s="15"/>
      <c r="LV206" s="15"/>
      <c r="LW206" s="15"/>
      <c r="LX206" s="15"/>
      <c r="LY206" s="15"/>
      <c r="LZ206" s="15"/>
      <c r="MA206" s="15"/>
      <c r="MB206" s="15"/>
      <c r="MC206" s="15"/>
      <c r="MD206" s="15"/>
      <c r="ME206" s="15"/>
      <c r="MF206" s="15"/>
      <c r="MG206" s="15"/>
      <c r="MH206" s="15"/>
      <c r="MI206" s="15"/>
      <c r="MJ206" s="15"/>
      <c r="MK206" s="15"/>
      <c r="ML206" s="15"/>
      <c r="MM206" s="15"/>
      <c r="MN206" s="15"/>
      <c r="MO206" s="15"/>
      <c r="MP206" s="15"/>
      <c r="MQ206" s="15"/>
      <c r="MR206" s="15"/>
      <c r="MS206" s="15"/>
      <c r="MT206" s="15"/>
      <c r="MU206" s="15"/>
      <c r="MV206" s="15"/>
      <c r="MW206" s="15"/>
    </row>
    <row r="207" ht="119.25" customHeight="1">
      <c r="A207" s="13" t="s">
        <v>206</v>
      </c>
      <c r="B207" s="14" t="s">
        <v>10228</v>
      </c>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5"/>
      <c r="DL207" s="15"/>
      <c r="DM207" s="15"/>
      <c r="DN207" s="15"/>
      <c r="DO207" s="15"/>
      <c r="DP207" s="15"/>
      <c r="DQ207" s="15"/>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5"/>
      <c r="EY207" s="15"/>
      <c r="EZ207" s="15"/>
      <c r="FA207" s="15"/>
      <c r="FB207" s="15"/>
      <c r="FC207" s="15"/>
      <c r="FD207" s="15"/>
      <c r="FE207" s="15"/>
      <c r="FF207" s="15"/>
      <c r="FG207" s="15"/>
      <c r="FH207" s="15"/>
      <c r="FI207" s="15"/>
      <c r="FJ207" s="15"/>
      <c r="FK207" s="15"/>
      <c r="FL207" s="15"/>
      <c r="FM207" s="15"/>
      <c r="FN207" s="15"/>
      <c r="FO207" s="15"/>
      <c r="FP207" s="15"/>
      <c r="FQ207" s="15"/>
      <c r="FR207" s="15"/>
      <c r="FS207" s="15"/>
      <c r="FT207" s="15"/>
      <c r="FU207" s="15"/>
      <c r="FV207" s="15"/>
      <c r="FW207" s="15"/>
      <c r="FX207" s="15"/>
      <c r="FY207" s="15"/>
      <c r="FZ207" s="15"/>
      <c r="GA207" s="15"/>
      <c r="GB207" s="15"/>
      <c r="GC207" s="15"/>
      <c r="GD207" s="15"/>
      <c r="GE207" s="15"/>
      <c r="GF207" s="15"/>
      <c r="GG207" s="15"/>
      <c r="GH207" s="15"/>
      <c r="GI207" s="15"/>
      <c r="GJ207" s="15"/>
      <c r="GK207" s="15"/>
      <c r="GL207" s="15"/>
      <c r="GM207" s="15"/>
      <c r="GN207" s="15"/>
      <c r="GO207" s="15"/>
      <c r="GP207" s="15"/>
      <c r="GQ207" s="15"/>
      <c r="GR207" s="15"/>
      <c r="GS207" s="15"/>
      <c r="GT207" s="15"/>
      <c r="GU207" s="15"/>
      <c r="GV207" s="15"/>
      <c r="GW207" s="15"/>
      <c r="GX207" s="15"/>
      <c r="GY207" s="15"/>
      <c r="GZ207" s="15"/>
      <c r="HA207" s="15"/>
      <c r="HB207" s="15"/>
      <c r="HC207" s="15"/>
      <c r="HD207" s="15"/>
      <c r="HE207" s="15"/>
      <c r="HF207" s="15"/>
      <c r="HG207" s="15"/>
      <c r="HH207" s="15"/>
      <c r="HI207" s="15"/>
      <c r="HJ207" s="15"/>
      <c r="HK207" s="15"/>
      <c r="HL207" s="15"/>
      <c r="HM207" s="15"/>
      <c r="HN207" s="15"/>
      <c r="HO207" s="15"/>
      <c r="HP207" s="15"/>
      <c r="HQ207" s="15"/>
      <c r="HR207" s="15"/>
      <c r="HS207" s="15"/>
      <c r="HT207" s="15"/>
      <c r="HU207" s="15"/>
      <c r="HV207" s="15"/>
      <c r="HW207" s="15"/>
      <c r="HX207" s="15"/>
      <c r="HY207" s="15"/>
      <c r="HZ207" s="15"/>
      <c r="IA207" s="15"/>
      <c r="IB207" s="15"/>
      <c r="IC207" s="15"/>
      <c r="ID207" s="15"/>
      <c r="IE207" s="15"/>
      <c r="IF207" s="15"/>
      <c r="IG207" s="15"/>
      <c r="IH207" s="15"/>
      <c r="II207" s="15"/>
      <c r="IJ207" s="15"/>
      <c r="IK207" s="15"/>
      <c r="IL207" s="15"/>
      <c r="IM207" s="15"/>
      <c r="IN207" s="15"/>
      <c r="IO207" s="15"/>
      <c r="IP207" s="15"/>
      <c r="IQ207" s="15"/>
      <c r="IR207" s="15"/>
      <c r="IS207" s="15"/>
      <c r="IT207" s="15"/>
      <c r="IU207" s="15"/>
      <c r="IV207" s="15"/>
      <c r="IW207" s="15"/>
      <c r="IX207" s="15"/>
      <c r="IY207" s="15"/>
      <c r="IZ207" s="15"/>
      <c r="JA207" s="15"/>
      <c r="JB207" s="15"/>
      <c r="JC207" s="15"/>
      <c r="JD207" s="15"/>
      <c r="JE207" s="15"/>
      <c r="JF207" s="15"/>
      <c r="JG207" s="15"/>
      <c r="JH207" s="15"/>
      <c r="JI207" s="15"/>
      <c r="JJ207" s="15"/>
      <c r="JK207" s="15"/>
      <c r="JL207" s="15"/>
      <c r="JM207" s="15"/>
      <c r="JN207" s="15"/>
      <c r="JO207" s="15"/>
      <c r="JP207" s="15"/>
      <c r="JQ207" s="15"/>
      <c r="JR207" s="15"/>
      <c r="JS207" s="15"/>
      <c r="JT207" s="15"/>
      <c r="JU207" s="15"/>
      <c r="JV207" s="15"/>
      <c r="JW207" s="15"/>
      <c r="JX207" s="15"/>
      <c r="JY207" s="15"/>
      <c r="JZ207" s="15"/>
      <c r="KA207" s="15"/>
      <c r="KB207" s="15"/>
      <c r="KC207" s="15"/>
      <c r="KD207" s="15"/>
      <c r="KE207" s="15"/>
      <c r="KF207" s="15"/>
      <c r="KG207" s="15"/>
      <c r="KH207" s="15"/>
      <c r="KI207" s="15"/>
      <c r="KJ207" s="15"/>
      <c r="KK207" s="15"/>
      <c r="KL207" s="15"/>
      <c r="KM207" s="15"/>
      <c r="KN207" s="15"/>
      <c r="KO207" s="15"/>
      <c r="KP207" s="15"/>
      <c r="KQ207" s="15"/>
      <c r="KR207" s="15"/>
      <c r="KS207" s="15"/>
      <c r="KT207" s="15"/>
      <c r="KU207" s="15"/>
      <c r="KV207" s="15"/>
      <c r="KW207" s="15"/>
      <c r="KX207" s="15"/>
      <c r="KY207" s="15"/>
      <c r="KZ207" s="15"/>
      <c r="LA207" s="15"/>
      <c r="LB207" s="15"/>
      <c r="LC207" s="15"/>
      <c r="LD207" s="15"/>
      <c r="LE207" s="15"/>
      <c r="LF207" s="15"/>
      <c r="LG207" s="15"/>
      <c r="LH207" s="15"/>
      <c r="LI207" s="15"/>
      <c r="LJ207" s="15"/>
      <c r="LK207" s="15"/>
      <c r="LL207" s="15"/>
      <c r="LM207" s="15"/>
      <c r="LN207" s="15"/>
      <c r="LO207" s="15"/>
      <c r="LP207" s="15"/>
      <c r="LQ207" s="15"/>
      <c r="LR207" s="15"/>
      <c r="LS207" s="15"/>
      <c r="LT207" s="15"/>
      <c r="LU207" s="15"/>
      <c r="LV207" s="15"/>
      <c r="LW207" s="15"/>
      <c r="LX207" s="15"/>
      <c r="LY207" s="15"/>
      <c r="LZ207" s="15"/>
      <c r="MA207" s="15"/>
      <c r="MB207" s="15"/>
      <c r="MC207" s="15"/>
      <c r="MD207" s="15"/>
      <c r="ME207" s="15"/>
      <c r="MF207" s="15"/>
      <c r="MG207" s="15"/>
      <c r="MH207" s="15"/>
      <c r="MI207" s="15"/>
      <c r="MJ207" s="15"/>
      <c r="MK207" s="15"/>
      <c r="ML207" s="15"/>
      <c r="MM207" s="15"/>
      <c r="MN207" s="15"/>
      <c r="MO207" s="15"/>
      <c r="MP207" s="15"/>
      <c r="MQ207" s="15"/>
      <c r="MR207" s="15"/>
      <c r="MS207" s="15"/>
      <c r="MT207" s="15"/>
      <c r="MU207" s="15"/>
      <c r="MV207" s="15"/>
      <c r="MW207" s="15"/>
    </row>
    <row r="208" ht="41.25" customHeight="1">
      <c r="A208" s="13" t="s">
        <v>207</v>
      </c>
      <c r="B208" s="14" t="s">
        <v>10229</v>
      </c>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5"/>
      <c r="DL208" s="15"/>
      <c r="DM208" s="15"/>
      <c r="DN208" s="15"/>
      <c r="DO208" s="15"/>
      <c r="DP208" s="15"/>
      <c r="DQ208" s="15"/>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5"/>
      <c r="EY208" s="15"/>
      <c r="EZ208" s="15"/>
      <c r="FA208" s="15"/>
      <c r="FB208" s="15"/>
      <c r="FC208" s="15"/>
      <c r="FD208" s="15"/>
      <c r="FE208" s="15"/>
      <c r="FF208" s="15"/>
      <c r="FG208" s="15"/>
      <c r="FH208" s="15"/>
      <c r="FI208" s="15"/>
      <c r="FJ208" s="15"/>
      <c r="FK208" s="15"/>
      <c r="FL208" s="15"/>
      <c r="FM208" s="15"/>
      <c r="FN208" s="15"/>
      <c r="FO208" s="15"/>
      <c r="FP208" s="15"/>
      <c r="FQ208" s="15"/>
      <c r="FR208" s="15"/>
      <c r="FS208" s="15"/>
      <c r="FT208" s="15"/>
      <c r="FU208" s="15"/>
      <c r="FV208" s="15"/>
      <c r="FW208" s="15"/>
      <c r="FX208" s="15"/>
      <c r="FY208" s="15"/>
      <c r="FZ208" s="15"/>
      <c r="GA208" s="15"/>
      <c r="GB208" s="15"/>
      <c r="GC208" s="15"/>
      <c r="GD208" s="15"/>
      <c r="GE208" s="15"/>
      <c r="GF208" s="15"/>
      <c r="GG208" s="15"/>
      <c r="GH208" s="15"/>
      <c r="GI208" s="15"/>
      <c r="GJ208" s="15"/>
      <c r="GK208" s="15"/>
      <c r="GL208" s="15"/>
      <c r="GM208" s="15"/>
      <c r="GN208" s="15"/>
      <c r="GO208" s="15"/>
      <c r="GP208" s="15"/>
      <c r="GQ208" s="15"/>
      <c r="GR208" s="15"/>
      <c r="GS208" s="15"/>
      <c r="GT208" s="15"/>
      <c r="GU208" s="15"/>
      <c r="GV208" s="15"/>
      <c r="GW208" s="15"/>
      <c r="GX208" s="15"/>
      <c r="GY208" s="15"/>
      <c r="GZ208" s="15"/>
      <c r="HA208" s="15"/>
      <c r="HB208" s="15"/>
      <c r="HC208" s="15"/>
      <c r="HD208" s="15"/>
      <c r="HE208" s="15"/>
      <c r="HF208" s="15"/>
      <c r="HG208" s="15"/>
      <c r="HH208" s="15"/>
      <c r="HI208" s="15"/>
      <c r="HJ208" s="15"/>
      <c r="HK208" s="15"/>
      <c r="HL208" s="15"/>
      <c r="HM208" s="15"/>
      <c r="HN208" s="15"/>
      <c r="HO208" s="15"/>
      <c r="HP208" s="15"/>
      <c r="HQ208" s="15"/>
      <c r="HR208" s="15"/>
      <c r="HS208" s="15"/>
      <c r="HT208" s="15"/>
      <c r="HU208" s="15"/>
      <c r="HV208" s="15"/>
      <c r="HW208" s="15"/>
      <c r="HX208" s="15"/>
      <c r="HY208" s="15"/>
      <c r="HZ208" s="15"/>
      <c r="IA208" s="15"/>
      <c r="IB208" s="15"/>
      <c r="IC208" s="15"/>
      <c r="ID208" s="15"/>
      <c r="IE208" s="15"/>
      <c r="IF208" s="15"/>
      <c r="IG208" s="15"/>
      <c r="IH208" s="15"/>
      <c r="II208" s="15"/>
      <c r="IJ208" s="15"/>
      <c r="IK208" s="15"/>
      <c r="IL208" s="15"/>
      <c r="IM208" s="15"/>
      <c r="IN208" s="15"/>
      <c r="IO208" s="15"/>
      <c r="IP208" s="15"/>
      <c r="IQ208" s="15"/>
      <c r="IR208" s="15"/>
      <c r="IS208" s="15"/>
      <c r="IT208" s="15"/>
      <c r="IU208" s="15"/>
      <c r="IV208" s="15"/>
      <c r="IW208" s="15"/>
      <c r="IX208" s="15"/>
      <c r="IY208" s="15"/>
      <c r="IZ208" s="15"/>
      <c r="JA208" s="15"/>
      <c r="JB208" s="15"/>
      <c r="JC208" s="15"/>
      <c r="JD208" s="15"/>
      <c r="JE208" s="15"/>
      <c r="JF208" s="15"/>
      <c r="JG208" s="15"/>
      <c r="JH208" s="15"/>
      <c r="JI208" s="15"/>
      <c r="JJ208" s="15"/>
      <c r="JK208" s="15"/>
      <c r="JL208" s="15"/>
      <c r="JM208" s="15"/>
      <c r="JN208" s="15"/>
      <c r="JO208" s="15"/>
      <c r="JP208" s="15"/>
      <c r="JQ208" s="15"/>
      <c r="JR208" s="15"/>
      <c r="JS208" s="15"/>
      <c r="JT208" s="15"/>
      <c r="JU208" s="15"/>
      <c r="JV208" s="15"/>
      <c r="JW208" s="15"/>
      <c r="JX208" s="15"/>
      <c r="JY208" s="15"/>
      <c r="JZ208" s="15"/>
      <c r="KA208" s="15"/>
      <c r="KB208" s="15"/>
      <c r="KC208" s="15"/>
      <c r="KD208" s="15"/>
      <c r="KE208" s="15"/>
      <c r="KF208" s="15"/>
      <c r="KG208" s="15"/>
      <c r="KH208" s="15"/>
      <c r="KI208" s="15"/>
      <c r="KJ208" s="15"/>
      <c r="KK208" s="15"/>
      <c r="KL208" s="15"/>
      <c r="KM208" s="15"/>
      <c r="KN208" s="15"/>
      <c r="KO208" s="15"/>
      <c r="KP208" s="15"/>
      <c r="KQ208" s="15"/>
      <c r="KR208" s="15"/>
      <c r="KS208" s="15"/>
      <c r="KT208" s="15"/>
      <c r="KU208" s="15"/>
      <c r="KV208" s="15"/>
      <c r="KW208" s="15"/>
      <c r="KX208" s="15"/>
      <c r="KY208" s="15"/>
      <c r="KZ208" s="15"/>
      <c r="LA208" s="15"/>
      <c r="LB208" s="15"/>
      <c r="LC208" s="15"/>
      <c r="LD208" s="15"/>
      <c r="LE208" s="15"/>
      <c r="LF208" s="15"/>
      <c r="LG208" s="15"/>
      <c r="LH208" s="15"/>
      <c r="LI208" s="15"/>
      <c r="LJ208" s="15"/>
      <c r="LK208" s="15"/>
      <c r="LL208" s="15"/>
      <c r="LM208" s="15"/>
      <c r="LN208" s="15"/>
      <c r="LO208" s="15"/>
      <c r="LP208" s="15"/>
      <c r="LQ208" s="15"/>
      <c r="LR208" s="15"/>
      <c r="LS208" s="15"/>
      <c r="LT208" s="15"/>
      <c r="LU208" s="15"/>
      <c r="LV208" s="15"/>
      <c r="LW208" s="15"/>
      <c r="LX208" s="15"/>
      <c r="LY208" s="15"/>
      <c r="LZ208" s="15"/>
      <c r="MA208" s="15"/>
      <c r="MB208" s="15"/>
      <c r="MC208" s="15"/>
      <c r="MD208" s="15"/>
      <c r="ME208" s="15"/>
      <c r="MF208" s="15"/>
      <c r="MG208" s="15"/>
      <c r="MH208" s="15"/>
      <c r="MI208" s="15"/>
      <c r="MJ208" s="15"/>
      <c r="MK208" s="15"/>
      <c r="ML208" s="15"/>
      <c r="MM208" s="15"/>
      <c r="MN208" s="15"/>
      <c r="MO208" s="15"/>
      <c r="MP208" s="15"/>
      <c r="MQ208" s="15"/>
      <c r="MR208" s="15"/>
      <c r="MS208" s="15"/>
      <c r="MT208" s="15"/>
      <c r="MU208" s="15"/>
      <c r="MV208" s="15"/>
      <c r="MW208" s="15"/>
    </row>
    <row r="209" ht="119.25" customHeight="1">
      <c r="A209" s="13" t="s">
        <v>208</v>
      </c>
      <c r="B209" s="14" t="s">
        <v>10230</v>
      </c>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5"/>
      <c r="DL209" s="15"/>
      <c r="DM209" s="15"/>
      <c r="DN209" s="15"/>
      <c r="DO209" s="15"/>
      <c r="DP209" s="15"/>
      <c r="DQ209" s="15"/>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5"/>
      <c r="EY209" s="15"/>
      <c r="EZ209" s="15"/>
      <c r="FA209" s="15"/>
      <c r="FB209" s="15"/>
      <c r="FC209" s="15"/>
      <c r="FD209" s="15"/>
      <c r="FE209" s="15"/>
      <c r="FF209" s="15"/>
      <c r="FG209" s="15"/>
      <c r="FH209" s="15"/>
      <c r="FI209" s="15"/>
      <c r="FJ209" s="15"/>
      <c r="FK209" s="15"/>
      <c r="FL209" s="15"/>
      <c r="FM209" s="15"/>
      <c r="FN209" s="15"/>
      <c r="FO209" s="15"/>
      <c r="FP209" s="15"/>
      <c r="FQ209" s="15"/>
      <c r="FR209" s="15"/>
      <c r="FS209" s="15"/>
      <c r="FT209" s="15"/>
      <c r="FU209" s="15"/>
      <c r="FV209" s="15"/>
      <c r="FW209" s="15"/>
      <c r="FX209" s="15"/>
      <c r="FY209" s="15"/>
      <c r="FZ209" s="15"/>
      <c r="GA209" s="15"/>
      <c r="GB209" s="15"/>
      <c r="GC209" s="15"/>
      <c r="GD209" s="15"/>
      <c r="GE209" s="15"/>
      <c r="GF209" s="15"/>
      <c r="GG209" s="15"/>
      <c r="GH209" s="15"/>
      <c r="GI209" s="15"/>
      <c r="GJ209" s="15"/>
      <c r="GK209" s="15"/>
      <c r="GL209" s="15"/>
      <c r="GM209" s="15"/>
      <c r="GN209" s="15"/>
      <c r="GO209" s="15"/>
      <c r="GP209" s="15"/>
      <c r="GQ209" s="15"/>
      <c r="GR209" s="15"/>
      <c r="GS209" s="15"/>
      <c r="GT209" s="15"/>
      <c r="GU209" s="15"/>
      <c r="GV209" s="15"/>
      <c r="GW209" s="15"/>
      <c r="GX209" s="15"/>
      <c r="GY209" s="15"/>
      <c r="GZ209" s="15"/>
      <c r="HA209" s="15"/>
      <c r="HB209" s="15"/>
      <c r="HC209" s="15"/>
      <c r="HD209" s="15"/>
      <c r="HE209" s="15"/>
      <c r="HF209" s="15"/>
      <c r="HG209" s="15"/>
      <c r="HH209" s="15"/>
      <c r="HI209" s="15"/>
      <c r="HJ209" s="15"/>
      <c r="HK209" s="15"/>
      <c r="HL209" s="15"/>
      <c r="HM209" s="15"/>
      <c r="HN209" s="15"/>
      <c r="HO209" s="15"/>
      <c r="HP209" s="15"/>
      <c r="HQ209" s="15"/>
      <c r="HR209" s="15"/>
      <c r="HS209" s="15"/>
      <c r="HT209" s="15"/>
      <c r="HU209" s="15"/>
      <c r="HV209" s="15"/>
      <c r="HW209" s="15"/>
      <c r="HX209" s="15"/>
      <c r="HY209" s="15"/>
      <c r="HZ209" s="15"/>
      <c r="IA209" s="15"/>
      <c r="IB209" s="15"/>
      <c r="IC209" s="15"/>
      <c r="ID209" s="15"/>
      <c r="IE209" s="15"/>
      <c r="IF209" s="15"/>
      <c r="IG209" s="15"/>
      <c r="IH209" s="15"/>
      <c r="II209" s="15"/>
      <c r="IJ209" s="15"/>
      <c r="IK209" s="15"/>
      <c r="IL209" s="15"/>
      <c r="IM209" s="15"/>
      <c r="IN209" s="15"/>
      <c r="IO209" s="15"/>
      <c r="IP209" s="15"/>
      <c r="IQ209" s="15"/>
      <c r="IR209" s="15"/>
      <c r="IS209" s="15"/>
      <c r="IT209" s="15"/>
      <c r="IU209" s="15"/>
      <c r="IV209" s="15"/>
      <c r="IW209" s="15"/>
      <c r="IX209" s="15"/>
      <c r="IY209" s="15"/>
      <c r="IZ209" s="15"/>
      <c r="JA209" s="15"/>
      <c r="JB209" s="15"/>
      <c r="JC209" s="15"/>
      <c r="JD209" s="15"/>
      <c r="JE209" s="15"/>
      <c r="JF209" s="15"/>
      <c r="JG209" s="15"/>
      <c r="JH209" s="15"/>
      <c r="JI209" s="15"/>
      <c r="JJ209" s="15"/>
      <c r="JK209" s="15"/>
      <c r="JL209" s="15"/>
      <c r="JM209" s="15"/>
      <c r="JN209" s="15"/>
      <c r="JO209" s="15"/>
      <c r="JP209" s="15"/>
      <c r="JQ209" s="15"/>
      <c r="JR209" s="15"/>
      <c r="JS209" s="15"/>
      <c r="JT209" s="15"/>
      <c r="JU209" s="15"/>
      <c r="JV209" s="15"/>
      <c r="JW209" s="15"/>
      <c r="JX209" s="15"/>
      <c r="JY209" s="15"/>
      <c r="JZ209" s="15"/>
      <c r="KA209" s="15"/>
      <c r="KB209" s="15"/>
      <c r="KC209" s="15"/>
      <c r="KD209" s="15"/>
      <c r="KE209" s="15"/>
      <c r="KF209" s="15"/>
      <c r="KG209" s="15"/>
      <c r="KH209" s="15"/>
      <c r="KI209" s="15"/>
      <c r="KJ209" s="15"/>
      <c r="KK209" s="15"/>
      <c r="KL209" s="15"/>
      <c r="KM209" s="15"/>
      <c r="KN209" s="15"/>
      <c r="KO209" s="15"/>
      <c r="KP209" s="15"/>
      <c r="KQ209" s="15"/>
      <c r="KR209" s="15"/>
      <c r="KS209" s="15"/>
      <c r="KT209" s="15"/>
      <c r="KU209" s="15"/>
      <c r="KV209" s="15"/>
      <c r="KW209" s="15"/>
      <c r="KX209" s="15"/>
      <c r="KY209" s="15"/>
      <c r="KZ209" s="15"/>
      <c r="LA209" s="15"/>
      <c r="LB209" s="15"/>
      <c r="LC209" s="15"/>
      <c r="LD209" s="15"/>
      <c r="LE209" s="15"/>
      <c r="LF209" s="15"/>
      <c r="LG209" s="15"/>
      <c r="LH209" s="15"/>
      <c r="LI209" s="15"/>
      <c r="LJ209" s="15"/>
      <c r="LK209" s="15"/>
      <c r="LL209" s="15"/>
      <c r="LM209" s="15"/>
      <c r="LN209" s="15"/>
      <c r="LO209" s="15"/>
      <c r="LP209" s="15"/>
      <c r="LQ209" s="15"/>
      <c r="LR209" s="15"/>
      <c r="LS209" s="15"/>
      <c r="LT209" s="15"/>
      <c r="LU209" s="15"/>
      <c r="LV209" s="15"/>
      <c r="LW209" s="15"/>
      <c r="LX209" s="15"/>
      <c r="LY209" s="15"/>
      <c r="LZ209" s="15"/>
      <c r="MA209" s="15"/>
      <c r="MB209" s="15"/>
      <c r="MC209" s="15"/>
      <c r="MD209" s="15"/>
      <c r="ME209" s="15"/>
      <c r="MF209" s="15"/>
      <c r="MG209" s="15"/>
      <c r="MH209" s="15"/>
      <c r="MI209" s="15"/>
      <c r="MJ209" s="15"/>
      <c r="MK209" s="15"/>
      <c r="ML209" s="15"/>
      <c r="MM209" s="15"/>
      <c r="MN209" s="15"/>
      <c r="MO209" s="15"/>
      <c r="MP209" s="15"/>
      <c r="MQ209" s="15"/>
      <c r="MR209" s="15"/>
      <c r="MS209" s="15"/>
      <c r="MT209" s="15"/>
      <c r="MU209" s="15"/>
      <c r="MV209" s="15"/>
      <c r="MW209" s="15"/>
    </row>
    <row r="210" ht="41.25" customHeight="1">
      <c r="A210" s="13" t="s">
        <v>209</v>
      </c>
      <c r="B210" s="14" t="s">
        <v>10231</v>
      </c>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5"/>
      <c r="DL210" s="15"/>
      <c r="DM210" s="15"/>
      <c r="DN210" s="15"/>
      <c r="DO210" s="15"/>
      <c r="DP210" s="15"/>
      <c r="DQ210" s="15"/>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5"/>
      <c r="EY210" s="15"/>
      <c r="EZ210" s="15"/>
      <c r="FA210" s="15"/>
      <c r="FB210" s="15"/>
      <c r="FC210" s="15"/>
      <c r="FD210" s="15"/>
      <c r="FE210" s="15"/>
      <c r="FF210" s="15"/>
      <c r="FG210" s="15"/>
      <c r="FH210" s="15"/>
      <c r="FI210" s="15"/>
      <c r="FJ210" s="15"/>
      <c r="FK210" s="15"/>
      <c r="FL210" s="15"/>
      <c r="FM210" s="15"/>
      <c r="FN210" s="15"/>
      <c r="FO210" s="15"/>
      <c r="FP210" s="15"/>
      <c r="FQ210" s="15"/>
      <c r="FR210" s="15"/>
      <c r="FS210" s="15"/>
      <c r="FT210" s="15"/>
      <c r="FU210" s="15"/>
      <c r="FV210" s="15"/>
      <c r="FW210" s="15"/>
      <c r="FX210" s="15"/>
      <c r="FY210" s="15"/>
      <c r="FZ210" s="15"/>
      <c r="GA210" s="15"/>
      <c r="GB210" s="15"/>
      <c r="GC210" s="15"/>
      <c r="GD210" s="15"/>
      <c r="GE210" s="15"/>
      <c r="GF210" s="15"/>
      <c r="GG210" s="15"/>
      <c r="GH210" s="15"/>
      <c r="GI210" s="15"/>
      <c r="GJ210" s="15"/>
      <c r="GK210" s="15"/>
      <c r="GL210" s="15"/>
      <c r="GM210" s="15"/>
      <c r="GN210" s="15"/>
      <c r="GO210" s="15"/>
      <c r="GP210" s="15"/>
      <c r="GQ210" s="15"/>
      <c r="GR210" s="15"/>
      <c r="GS210" s="15"/>
      <c r="GT210" s="15"/>
      <c r="GU210" s="15"/>
      <c r="GV210" s="15"/>
      <c r="GW210" s="15"/>
      <c r="GX210" s="15"/>
      <c r="GY210" s="15"/>
      <c r="GZ210" s="15"/>
      <c r="HA210" s="15"/>
      <c r="HB210" s="15"/>
      <c r="HC210" s="15"/>
      <c r="HD210" s="15"/>
      <c r="HE210" s="15"/>
      <c r="HF210" s="15"/>
      <c r="HG210" s="15"/>
      <c r="HH210" s="15"/>
      <c r="HI210" s="15"/>
      <c r="HJ210" s="15"/>
      <c r="HK210" s="15"/>
      <c r="HL210" s="15"/>
      <c r="HM210" s="15"/>
      <c r="HN210" s="15"/>
      <c r="HO210" s="15"/>
      <c r="HP210" s="15"/>
      <c r="HQ210" s="15"/>
      <c r="HR210" s="15"/>
      <c r="HS210" s="15"/>
      <c r="HT210" s="15"/>
      <c r="HU210" s="15"/>
      <c r="HV210" s="15"/>
      <c r="HW210" s="15"/>
      <c r="HX210" s="15"/>
      <c r="HY210" s="15"/>
      <c r="HZ210" s="15"/>
      <c r="IA210" s="15"/>
      <c r="IB210" s="15"/>
      <c r="IC210" s="15"/>
      <c r="ID210" s="15"/>
      <c r="IE210" s="15"/>
      <c r="IF210" s="15"/>
      <c r="IG210" s="15"/>
      <c r="IH210" s="15"/>
      <c r="II210" s="15"/>
      <c r="IJ210" s="15"/>
      <c r="IK210" s="15"/>
      <c r="IL210" s="15"/>
      <c r="IM210" s="15"/>
      <c r="IN210" s="15"/>
      <c r="IO210" s="15"/>
      <c r="IP210" s="15"/>
      <c r="IQ210" s="15"/>
      <c r="IR210" s="15"/>
      <c r="IS210" s="15"/>
      <c r="IT210" s="15"/>
      <c r="IU210" s="15"/>
      <c r="IV210" s="15"/>
      <c r="IW210" s="15"/>
      <c r="IX210" s="15"/>
      <c r="IY210" s="15"/>
      <c r="IZ210" s="15"/>
      <c r="JA210" s="15"/>
      <c r="JB210" s="15"/>
      <c r="JC210" s="15"/>
      <c r="JD210" s="15"/>
      <c r="JE210" s="15"/>
      <c r="JF210" s="15"/>
      <c r="JG210" s="15"/>
      <c r="JH210" s="15"/>
      <c r="JI210" s="15"/>
      <c r="JJ210" s="15"/>
      <c r="JK210" s="15"/>
      <c r="JL210" s="15"/>
      <c r="JM210" s="15"/>
      <c r="JN210" s="15"/>
      <c r="JO210" s="15"/>
      <c r="JP210" s="15"/>
      <c r="JQ210" s="15"/>
      <c r="JR210" s="15"/>
      <c r="JS210" s="15"/>
      <c r="JT210" s="15"/>
      <c r="JU210" s="15"/>
      <c r="JV210" s="15"/>
      <c r="JW210" s="15"/>
      <c r="JX210" s="15"/>
      <c r="JY210" s="15"/>
      <c r="JZ210" s="15"/>
      <c r="KA210" s="15"/>
      <c r="KB210" s="15"/>
      <c r="KC210" s="15"/>
      <c r="KD210" s="15"/>
      <c r="KE210" s="15"/>
      <c r="KF210" s="15"/>
      <c r="KG210" s="15"/>
      <c r="KH210" s="15"/>
      <c r="KI210" s="15"/>
      <c r="KJ210" s="15"/>
      <c r="KK210" s="15"/>
      <c r="KL210" s="15"/>
      <c r="KM210" s="15"/>
      <c r="KN210" s="15"/>
      <c r="KO210" s="15"/>
      <c r="KP210" s="15"/>
      <c r="KQ210" s="15"/>
      <c r="KR210" s="15"/>
      <c r="KS210" s="15"/>
      <c r="KT210" s="15"/>
      <c r="KU210" s="15"/>
      <c r="KV210" s="15"/>
      <c r="KW210" s="15"/>
      <c r="KX210" s="15"/>
      <c r="KY210" s="15"/>
      <c r="KZ210" s="15"/>
      <c r="LA210" s="15"/>
      <c r="LB210" s="15"/>
      <c r="LC210" s="15"/>
      <c r="LD210" s="15"/>
      <c r="LE210" s="15"/>
      <c r="LF210" s="15"/>
      <c r="LG210" s="15"/>
      <c r="LH210" s="15"/>
      <c r="LI210" s="15"/>
      <c r="LJ210" s="15"/>
      <c r="LK210" s="15"/>
      <c r="LL210" s="15"/>
      <c r="LM210" s="15"/>
      <c r="LN210" s="15"/>
      <c r="LO210" s="15"/>
      <c r="LP210" s="15"/>
      <c r="LQ210" s="15"/>
      <c r="LR210" s="15"/>
      <c r="LS210" s="15"/>
      <c r="LT210" s="15"/>
      <c r="LU210" s="15"/>
      <c r="LV210" s="15"/>
      <c r="LW210" s="15"/>
      <c r="LX210" s="15"/>
      <c r="LY210" s="15"/>
      <c r="LZ210" s="15"/>
      <c r="MA210" s="15"/>
      <c r="MB210" s="15"/>
      <c r="MC210" s="15"/>
      <c r="MD210" s="15"/>
      <c r="ME210" s="15"/>
      <c r="MF210" s="15"/>
      <c r="MG210" s="15"/>
      <c r="MH210" s="15"/>
      <c r="MI210" s="15"/>
      <c r="MJ210" s="15"/>
      <c r="MK210" s="15"/>
      <c r="ML210" s="15"/>
      <c r="MM210" s="15"/>
      <c r="MN210" s="15"/>
      <c r="MO210" s="15"/>
      <c r="MP210" s="15"/>
      <c r="MQ210" s="15"/>
      <c r="MR210" s="15"/>
      <c r="MS210" s="15"/>
      <c r="MT210" s="15"/>
      <c r="MU210" s="15"/>
      <c r="MV210" s="15"/>
      <c r="MW210" s="15"/>
    </row>
    <row r="211" ht="119.25" customHeight="1">
      <c r="A211" s="13" t="s">
        <v>210</v>
      </c>
      <c r="B211" s="14" t="s">
        <v>10232</v>
      </c>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5"/>
      <c r="DL211" s="15"/>
      <c r="DM211" s="15"/>
      <c r="DN211" s="15"/>
      <c r="DO211" s="15"/>
      <c r="DP211" s="15"/>
      <c r="DQ211" s="15"/>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5"/>
      <c r="EY211" s="15"/>
      <c r="EZ211" s="15"/>
      <c r="FA211" s="15"/>
      <c r="FB211" s="15"/>
      <c r="FC211" s="15"/>
      <c r="FD211" s="15"/>
      <c r="FE211" s="15"/>
      <c r="FF211" s="15"/>
      <c r="FG211" s="15"/>
      <c r="FH211" s="15"/>
      <c r="FI211" s="15"/>
      <c r="FJ211" s="15"/>
      <c r="FK211" s="15"/>
      <c r="FL211" s="15"/>
      <c r="FM211" s="15"/>
      <c r="FN211" s="15"/>
      <c r="FO211" s="15"/>
      <c r="FP211" s="15"/>
      <c r="FQ211" s="15"/>
      <c r="FR211" s="15"/>
      <c r="FS211" s="15"/>
      <c r="FT211" s="15"/>
      <c r="FU211" s="15"/>
      <c r="FV211" s="15"/>
      <c r="FW211" s="15"/>
      <c r="FX211" s="15"/>
      <c r="FY211" s="15"/>
      <c r="FZ211" s="15"/>
      <c r="GA211" s="15"/>
      <c r="GB211" s="15"/>
      <c r="GC211" s="15"/>
      <c r="GD211" s="15"/>
      <c r="GE211" s="15"/>
      <c r="GF211" s="15"/>
      <c r="GG211" s="15"/>
      <c r="GH211" s="15"/>
      <c r="GI211" s="15"/>
      <c r="GJ211" s="15"/>
      <c r="GK211" s="15"/>
      <c r="GL211" s="15"/>
      <c r="GM211" s="15"/>
      <c r="GN211" s="15"/>
      <c r="GO211" s="15"/>
      <c r="GP211" s="15"/>
      <c r="GQ211" s="15"/>
      <c r="GR211" s="15"/>
      <c r="GS211" s="15"/>
      <c r="GT211" s="15"/>
      <c r="GU211" s="15"/>
      <c r="GV211" s="15"/>
      <c r="GW211" s="15"/>
      <c r="GX211" s="15"/>
      <c r="GY211" s="15"/>
      <c r="GZ211" s="15"/>
      <c r="HA211" s="15"/>
      <c r="HB211" s="15"/>
      <c r="HC211" s="15"/>
      <c r="HD211" s="15"/>
      <c r="HE211" s="15"/>
      <c r="HF211" s="15"/>
      <c r="HG211" s="15"/>
      <c r="HH211" s="15"/>
      <c r="HI211" s="15"/>
      <c r="HJ211" s="15"/>
      <c r="HK211" s="15"/>
      <c r="HL211" s="15"/>
      <c r="HM211" s="15"/>
      <c r="HN211" s="15"/>
      <c r="HO211" s="15"/>
      <c r="HP211" s="15"/>
      <c r="HQ211" s="15"/>
      <c r="HR211" s="15"/>
      <c r="HS211" s="15"/>
      <c r="HT211" s="15"/>
      <c r="HU211" s="15"/>
      <c r="HV211" s="15"/>
      <c r="HW211" s="15"/>
      <c r="HX211" s="15"/>
      <c r="HY211" s="15"/>
      <c r="HZ211" s="15"/>
      <c r="IA211" s="15"/>
      <c r="IB211" s="15"/>
      <c r="IC211" s="15"/>
      <c r="ID211" s="15"/>
      <c r="IE211" s="15"/>
      <c r="IF211" s="15"/>
      <c r="IG211" s="15"/>
      <c r="IH211" s="15"/>
      <c r="II211" s="15"/>
      <c r="IJ211" s="15"/>
      <c r="IK211" s="15"/>
      <c r="IL211" s="15"/>
      <c r="IM211" s="15"/>
      <c r="IN211" s="15"/>
      <c r="IO211" s="15"/>
      <c r="IP211" s="15"/>
      <c r="IQ211" s="15"/>
      <c r="IR211" s="15"/>
      <c r="IS211" s="15"/>
      <c r="IT211" s="15"/>
      <c r="IU211" s="15"/>
      <c r="IV211" s="15"/>
      <c r="IW211" s="15"/>
      <c r="IX211" s="15"/>
      <c r="IY211" s="15"/>
      <c r="IZ211" s="15"/>
      <c r="JA211" s="15"/>
      <c r="JB211" s="15"/>
      <c r="JC211" s="15"/>
      <c r="JD211" s="15"/>
      <c r="JE211" s="15"/>
      <c r="JF211" s="15"/>
      <c r="JG211" s="15"/>
      <c r="JH211" s="15"/>
      <c r="JI211" s="15"/>
      <c r="JJ211" s="15"/>
      <c r="JK211" s="15"/>
      <c r="JL211" s="15"/>
      <c r="JM211" s="15"/>
      <c r="JN211" s="15"/>
      <c r="JO211" s="15"/>
      <c r="JP211" s="15"/>
      <c r="JQ211" s="15"/>
      <c r="JR211" s="15"/>
      <c r="JS211" s="15"/>
      <c r="JT211" s="15"/>
      <c r="JU211" s="15"/>
      <c r="JV211" s="15"/>
      <c r="JW211" s="15"/>
      <c r="JX211" s="15"/>
      <c r="JY211" s="15"/>
      <c r="JZ211" s="15"/>
      <c r="KA211" s="15"/>
      <c r="KB211" s="15"/>
      <c r="KC211" s="15"/>
      <c r="KD211" s="15"/>
      <c r="KE211" s="15"/>
      <c r="KF211" s="15"/>
      <c r="KG211" s="15"/>
      <c r="KH211" s="15"/>
      <c r="KI211" s="15"/>
      <c r="KJ211" s="15"/>
      <c r="KK211" s="15"/>
      <c r="KL211" s="15"/>
      <c r="KM211" s="15"/>
      <c r="KN211" s="15"/>
      <c r="KO211" s="15"/>
      <c r="KP211" s="15"/>
      <c r="KQ211" s="15"/>
      <c r="KR211" s="15"/>
      <c r="KS211" s="15"/>
      <c r="KT211" s="15"/>
      <c r="KU211" s="15"/>
      <c r="KV211" s="15"/>
      <c r="KW211" s="15"/>
      <c r="KX211" s="15"/>
      <c r="KY211" s="15"/>
      <c r="KZ211" s="15"/>
      <c r="LA211" s="15"/>
      <c r="LB211" s="15"/>
      <c r="LC211" s="15"/>
      <c r="LD211" s="15"/>
      <c r="LE211" s="15"/>
      <c r="LF211" s="15"/>
      <c r="LG211" s="15"/>
      <c r="LH211" s="15"/>
      <c r="LI211" s="15"/>
      <c r="LJ211" s="15"/>
      <c r="LK211" s="15"/>
      <c r="LL211" s="15"/>
      <c r="LM211" s="15"/>
      <c r="LN211" s="15"/>
      <c r="LO211" s="15"/>
      <c r="LP211" s="15"/>
      <c r="LQ211" s="15"/>
      <c r="LR211" s="15"/>
      <c r="LS211" s="15"/>
      <c r="LT211" s="15"/>
      <c r="LU211" s="15"/>
      <c r="LV211" s="15"/>
      <c r="LW211" s="15"/>
      <c r="LX211" s="15"/>
      <c r="LY211" s="15"/>
      <c r="LZ211" s="15"/>
      <c r="MA211" s="15"/>
      <c r="MB211" s="15"/>
      <c r="MC211" s="15"/>
      <c r="MD211" s="15"/>
      <c r="ME211" s="15"/>
      <c r="MF211" s="15"/>
      <c r="MG211" s="15"/>
      <c r="MH211" s="15"/>
      <c r="MI211" s="15"/>
      <c r="MJ211" s="15"/>
      <c r="MK211" s="15"/>
      <c r="ML211" s="15"/>
      <c r="MM211" s="15"/>
      <c r="MN211" s="15"/>
      <c r="MO211" s="15"/>
      <c r="MP211" s="15"/>
      <c r="MQ211" s="15"/>
      <c r="MR211" s="15"/>
      <c r="MS211" s="15"/>
      <c r="MT211" s="15"/>
      <c r="MU211" s="15"/>
      <c r="MV211" s="15"/>
      <c r="MW211" s="15"/>
    </row>
    <row r="212" ht="41.25" customHeight="1">
      <c r="A212" s="13" t="s">
        <v>211</v>
      </c>
      <c r="B212" s="14" t="s">
        <v>10233</v>
      </c>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5"/>
      <c r="DL212" s="15"/>
      <c r="DM212" s="15"/>
      <c r="DN212" s="15"/>
      <c r="DO212" s="15"/>
      <c r="DP212" s="15"/>
      <c r="DQ212" s="15"/>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5"/>
      <c r="EY212" s="15"/>
      <c r="EZ212" s="15"/>
      <c r="FA212" s="15"/>
      <c r="FB212" s="15"/>
      <c r="FC212" s="15"/>
      <c r="FD212" s="15"/>
      <c r="FE212" s="15"/>
      <c r="FF212" s="15"/>
      <c r="FG212" s="15"/>
      <c r="FH212" s="15"/>
      <c r="FI212" s="15"/>
      <c r="FJ212" s="15"/>
      <c r="FK212" s="15"/>
      <c r="FL212" s="15"/>
      <c r="FM212" s="15"/>
      <c r="FN212" s="15"/>
      <c r="FO212" s="15"/>
      <c r="FP212" s="15"/>
      <c r="FQ212" s="15"/>
      <c r="FR212" s="15"/>
      <c r="FS212" s="15"/>
      <c r="FT212" s="15"/>
      <c r="FU212" s="15"/>
      <c r="FV212" s="15"/>
      <c r="FW212" s="15"/>
      <c r="FX212" s="15"/>
      <c r="FY212" s="15"/>
      <c r="FZ212" s="15"/>
      <c r="GA212" s="15"/>
      <c r="GB212" s="15"/>
      <c r="GC212" s="15"/>
      <c r="GD212" s="15"/>
      <c r="GE212" s="15"/>
      <c r="GF212" s="15"/>
      <c r="GG212" s="15"/>
      <c r="GH212" s="15"/>
      <c r="GI212" s="15"/>
      <c r="GJ212" s="15"/>
      <c r="GK212" s="15"/>
      <c r="GL212" s="15"/>
      <c r="GM212" s="15"/>
      <c r="GN212" s="15"/>
      <c r="GO212" s="15"/>
      <c r="GP212" s="15"/>
      <c r="GQ212" s="15"/>
      <c r="GR212" s="15"/>
      <c r="GS212" s="15"/>
      <c r="GT212" s="15"/>
      <c r="GU212" s="15"/>
      <c r="GV212" s="15"/>
      <c r="GW212" s="15"/>
      <c r="GX212" s="15"/>
      <c r="GY212" s="15"/>
      <c r="GZ212" s="15"/>
      <c r="HA212" s="15"/>
      <c r="HB212" s="15"/>
      <c r="HC212" s="15"/>
      <c r="HD212" s="15"/>
      <c r="HE212" s="15"/>
      <c r="HF212" s="15"/>
      <c r="HG212" s="15"/>
      <c r="HH212" s="15"/>
      <c r="HI212" s="15"/>
      <c r="HJ212" s="15"/>
      <c r="HK212" s="15"/>
      <c r="HL212" s="15"/>
      <c r="HM212" s="15"/>
      <c r="HN212" s="15"/>
      <c r="HO212" s="15"/>
      <c r="HP212" s="15"/>
      <c r="HQ212" s="15"/>
      <c r="HR212" s="15"/>
      <c r="HS212" s="15"/>
      <c r="HT212" s="15"/>
      <c r="HU212" s="15"/>
      <c r="HV212" s="15"/>
      <c r="HW212" s="15"/>
      <c r="HX212" s="15"/>
      <c r="HY212" s="15"/>
      <c r="HZ212" s="15"/>
      <c r="IA212" s="15"/>
      <c r="IB212" s="15"/>
      <c r="IC212" s="15"/>
      <c r="ID212" s="15"/>
      <c r="IE212" s="15"/>
      <c r="IF212" s="15"/>
      <c r="IG212" s="15"/>
      <c r="IH212" s="15"/>
      <c r="II212" s="15"/>
      <c r="IJ212" s="15"/>
      <c r="IK212" s="15"/>
      <c r="IL212" s="15"/>
      <c r="IM212" s="15"/>
      <c r="IN212" s="15"/>
      <c r="IO212" s="15"/>
      <c r="IP212" s="15"/>
      <c r="IQ212" s="15"/>
      <c r="IR212" s="15"/>
      <c r="IS212" s="15"/>
      <c r="IT212" s="15"/>
      <c r="IU212" s="15"/>
      <c r="IV212" s="15"/>
      <c r="IW212" s="15"/>
      <c r="IX212" s="15"/>
      <c r="IY212" s="15"/>
      <c r="IZ212" s="15"/>
      <c r="JA212" s="15"/>
      <c r="JB212" s="15"/>
      <c r="JC212" s="15"/>
      <c r="JD212" s="15"/>
      <c r="JE212" s="15"/>
      <c r="JF212" s="15"/>
      <c r="JG212" s="15"/>
      <c r="JH212" s="15"/>
      <c r="JI212" s="15"/>
      <c r="JJ212" s="15"/>
      <c r="JK212" s="15"/>
      <c r="JL212" s="15"/>
      <c r="JM212" s="15"/>
      <c r="JN212" s="15"/>
      <c r="JO212" s="15"/>
      <c r="JP212" s="15"/>
      <c r="JQ212" s="15"/>
      <c r="JR212" s="15"/>
      <c r="JS212" s="15"/>
      <c r="JT212" s="15"/>
      <c r="JU212" s="15"/>
      <c r="JV212" s="15"/>
      <c r="JW212" s="15"/>
      <c r="JX212" s="15"/>
      <c r="JY212" s="15"/>
      <c r="JZ212" s="15"/>
      <c r="KA212" s="15"/>
      <c r="KB212" s="15"/>
      <c r="KC212" s="15"/>
      <c r="KD212" s="15"/>
      <c r="KE212" s="15"/>
      <c r="KF212" s="15"/>
      <c r="KG212" s="15"/>
      <c r="KH212" s="15"/>
      <c r="KI212" s="15"/>
      <c r="KJ212" s="15"/>
      <c r="KK212" s="15"/>
      <c r="KL212" s="15"/>
      <c r="KM212" s="15"/>
      <c r="KN212" s="15"/>
      <c r="KO212" s="15"/>
      <c r="KP212" s="15"/>
      <c r="KQ212" s="15"/>
      <c r="KR212" s="15"/>
      <c r="KS212" s="15"/>
      <c r="KT212" s="15"/>
      <c r="KU212" s="15"/>
      <c r="KV212" s="15"/>
      <c r="KW212" s="15"/>
      <c r="KX212" s="15"/>
      <c r="KY212" s="15"/>
      <c r="KZ212" s="15"/>
      <c r="LA212" s="15"/>
      <c r="LB212" s="15"/>
      <c r="LC212" s="15"/>
      <c r="LD212" s="15"/>
      <c r="LE212" s="15"/>
      <c r="LF212" s="15"/>
      <c r="LG212" s="15"/>
      <c r="LH212" s="15"/>
      <c r="LI212" s="15"/>
      <c r="LJ212" s="15"/>
      <c r="LK212" s="15"/>
      <c r="LL212" s="15"/>
      <c r="LM212" s="15"/>
      <c r="LN212" s="15"/>
      <c r="LO212" s="15"/>
      <c r="LP212" s="15"/>
      <c r="LQ212" s="15"/>
      <c r="LR212" s="15"/>
      <c r="LS212" s="15"/>
      <c r="LT212" s="15"/>
      <c r="LU212" s="15"/>
      <c r="LV212" s="15"/>
      <c r="LW212" s="15"/>
      <c r="LX212" s="15"/>
      <c r="LY212" s="15"/>
      <c r="LZ212" s="15"/>
      <c r="MA212" s="15"/>
      <c r="MB212" s="15"/>
      <c r="MC212" s="15"/>
      <c r="MD212" s="15"/>
      <c r="ME212" s="15"/>
      <c r="MF212" s="15"/>
      <c r="MG212" s="15"/>
      <c r="MH212" s="15"/>
      <c r="MI212" s="15"/>
      <c r="MJ212" s="15"/>
      <c r="MK212" s="15"/>
      <c r="ML212" s="15"/>
      <c r="MM212" s="15"/>
      <c r="MN212" s="15"/>
      <c r="MO212" s="15"/>
      <c r="MP212" s="15"/>
      <c r="MQ212" s="15"/>
      <c r="MR212" s="15"/>
      <c r="MS212" s="15"/>
      <c r="MT212" s="15"/>
      <c r="MU212" s="15"/>
      <c r="MV212" s="15"/>
      <c r="MW212" s="15"/>
    </row>
    <row r="213" ht="119.25" customHeight="1">
      <c r="A213" s="13" t="s">
        <v>212</v>
      </c>
      <c r="B213" s="14" t="s">
        <v>10234</v>
      </c>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c r="DE213" s="15"/>
      <c r="DF213" s="15"/>
      <c r="DG213" s="15"/>
      <c r="DH213" s="15"/>
      <c r="DI213" s="15"/>
      <c r="DJ213" s="15"/>
      <c r="DK213" s="15"/>
      <c r="DL213" s="15"/>
      <c r="DM213" s="15"/>
      <c r="DN213" s="15"/>
      <c r="DO213" s="15"/>
      <c r="DP213" s="15"/>
      <c r="DQ213" s="15"/>
      <c r="DR213" s="15"/>
      <c r="DS213" s="15"/>
      <c r="DT213" s="15"/>
      <c r="DU213" s="15"/>
      <c r="DV213" s="15"/>
      <c r="DW213" s="15"/>
      <c r="DX213" s="15"/>
      <c r="DY213" s="15"/>
      <c r="DZ213" s="15"/>
      <c r="EA213" s="15"/>
      <c r="EB213" s="15"/>
      <c r="EC213" s="15"/>
      <c r="ED213" s="15"/>
      <c r="EE213" s="15"/>
      <c r="EF213" s="15"/>
      <c r="EG213" s="15"/>
      <c r="EH213" s="15"/>
      <c r="EI213" s="15"/>
      <c r="EJ213" s="15"/>
      <c r="EK213" s="15"/>
      <c r="EL213" s="15"/>
      <c r="EM213" s="15"/>
      <c r="EN213" s="15"/>
      <c r="EO213" s="15"/>
      <c r="EP213" s="15"/>
      <c r="EQ213" s="15"/>
      <c r="ER213" s="15"/>
      <c r="ES213" s="15"/>
      <c r="ET213" s="15"/>
      <c r="EU213" s="15"/>
      <c r="EV213" s="15"/>
      <c r="EW213" s="15"/>
      <c r="EX213" s="15"/>
      <c r="EY213" s="15"/>
      <c r="EZ213" s="15"/>
      <c r="FA213" s="15"/>
      <c r="FB213" s="15"/>
      <c r="FC213" s="15"/>
      <c r="FD213" s="15"/>
      <c r="FE213" s="15"/>
      <c r="FF213" s="15"/>
      <c r="FG213" s="15"/>
      <c r="FH213" s="15"/>
      <c r="FI213" s="15"/>
      <c r="FJ213" s="15"/>
      <c r="FK213" s="15"/>
      <c r="FL213" s="15"/>
      <c r="FM213" s="15"/>
      <c r="FN213" s="15"/>
      <c r="FO213" s="15"/>
      <c r="FP213" s="15"/>
      <c r="FQ213" s="15"/>
      <c r="FR213" s="15"/>
      <c r="FS213" s="15"/>
      <c r="FT213" s="15"/>
      <c r="FU213" s="15"/>
      <c r="FV213" s="15"/>
      <c r="FW213" s="15"/>
      <c r="FX213" s="15"/>
      <c r="FY213" s="15"/>
      <c r="FZ213" s="15"/>
      <c r="GA213" s="15"/>
      <c r="GB213" s="15"/>
      <c r="GC213" s="15"/>
      <c r="GD213" s="15"/>
      <c r="GE213" s="15"/>
      <c r="GF213" s="15"/>
      <c r="GG213" s="15"/>
      <c r="GH213" s="15"/>
      <c r="GI213" s="15"/>
      <c r="GJ213" s="15"/>
      <c r="GK213" s="15"/>
      <c r="GL213" s="15"/>
      <c r="GM213" s="15"/>
      <c r="GN213" s="15"/>
      <c r="GO213" s="15"/>
      <c r="GP213" s="15"/>
      <c r="GQ213" s="15"/>
      <c r="GR213" s="15"/>
      <c r="GS213" s="15"/>
      <c r="GT213" s="15"/>
      <c r="GU213" s="15"/>
      <c r="GV213" s="15"/>
      <c r="GW213" s="15"/>
      <c r="GX213" s="15"/>
      <c r="GY213" s="15"/>
      <c r="GZ213" s="15"/>
      <c r="HA213" s="15"/>
      <c r="HB213" s="15"/>
      <c r="HC213" s="15"/>
      <c r="HD213" s="15"/>
      <c r="HE213" s="15"/>
      <c r="HF213" s="15"/>
      <c r="HG213" s="15"/>
      <c r="HH213" s="15"/>
      <c r="HI213" s="15"/>
      <c r="HJ213" s="15"/>
      <c r="HK213" s="15"/>
      <c r="HL213" s="15"/>
      <c r="HM213" s="15"/>
      <c r="HN213" s="15"/>
      <c r="HO213" s="15"/>
      <c r="HP213" s="15"/>
      <c r="HQ213" s="15"/>
      <c r="HR213" s="15"/>
      <c r="HS213" s="15"/>
      <c r="HT213" s="15"/>
      <c r="HU213" s="15"/>
      <c r="HV213" s="15"/>
      <c r="HW213" s="15"/>
      <c r="HX213" s="15"/>
      <c r="HY213" s="15"/>
      <c r="HZ213" s="15"/>
      <c r="IA213" s="15"/>
      <c r="IB213" s="15"/>
      <c r="IC213" s="15"/>
      <c r="ID213" s="15"/>
      <c r="IE213" s="15"/>
      <c r="IF213" s="15"/>
      <c r="IG213" s="15"/>
      <c r="IH213" s="15"/>
      <c r="II213" s="15"/>
      <c r="IJ213" s="15"/>
      <c r="IK213" s="15"/>
      <c r="IL213" s="15"/>
      <c r="IM213" s="15"/>
      <c r="IN213" s="15"/>
      <c r="IO213" s="15"/>
      <c r="IP213" s="15"/>
      <c r="IQ213" s="15"/>
      <c r="IR213" s="15"/>
      <c r="IS213" s="15"/>
      <c r="IT213" s="15"/>
      <c r="IU213" s="15"/>
      <c r="IV213" s="15"/>
      <c r="IW213" s="15"/>
      <c r="IX213" s="15"/>
      <c r="IY213" s="15"/>
      <c r="IZ213" s="15"/>
      <c r="JA213" s="15"/>
      <c r="JB213" s="15"/>
      <c r="JC213" s="15"/>
      <c r="JD213" s="15"/>
      <c r="JE213" s="15"/>
      <c r="JF213" s="15"/>
      <c r="JG213" s="15"/>
      <c r="JH213" s="15"/>
      <c r="JI213" s="15"/>
      <c r="JJ213" s="15"/>
      <c r="JK213" s="15"/>
      <c r="JL213" s="15"/>
      <c r="JM213" s="15"/>
      <c r="JN213" s="15"/>
      <c r="JO213" s="15"/>
      <c r="JP213" s="15"/>
      <c r="JQ213" s="15"/>
      <c r="JR213" s="15"/>
      <c r="JS213" s="15"/>
      <c r="JT213" s="15"/>
      <c r="JU213" s="15"/>
      <c r="JV213" s="15"/>
      <c r="JW213" s="15"/>
      <c r="JX213" s="15"/>
      <c r="JY213" s="15"/>
      <c r="JZ213" s="15"/>
      <c r="KA213" s="15"/>
      <c r="KB213" s="15"/>
      <c r="KC213" s="15"/>
      <c r="KD213" s="15"/>
      <c r="KE213" s="15"/>
      <c r="KF213" s="15"/>
      <c r="KG213" s="15"/>
      <c r="KH213" s="15"/>
      <c r="KI213" s="15"/>
      <c r="KJ213" s="15"/>
      <c r="KK213" s="15"/>
      <c r="KL213" s="15"/>
      <c r="KM213" s="15"/>
      <c r="KN213" s="15"/>
      <c r="KO213" s="15"/>
      <c r="KP213" s="15"/>
      <c r="KQ213" s="15"/>
      <c r="KR213" s="15"/>
      <c r="KS213" s="15"/>
      <c r="KT213" s="15"/>
      <c r="KU213" s="15"/>
      <c r="KV213" s="15"/>
      <c r="KW213" s="15"/>
      <c r="KX213" s="15"/>
      <c r="KY213" s="15"/>
      <c r="KZ213" s="15"/>
      <c r="LA213" s="15"/>
      <c r="LB213" s="15"/>
      <c r="LC213" s="15"/>
      <c r="LD213" s="15"/>
      <c r="LE213" s="15"/>
      <c r="LF213" s="15"/>
      <c r="LG213" s="15"/>
      <c r="LH213" s="15"/>
      <c r="LI213" s="15"/>
      <c r="LJ213" s="15"/>
      <c r="LK213" s="15"/>
      <c r="LL213" s="15"/>
      <c r="LM213" s="15"/>
      <c r="LN213" s="15"/>
      <c r="LO213" s="15"/>
      <c r="LP213" s="15"/>
      <c r="LQ213" s="15"/>
      <c r="LR213" s="15"/>
      <c r="LS213" s="15"/>
      <c r="LT213" s="15"/>
      <c r="LU213" s="15"/>
      <c r="LV213" s="15"/>
      <c r="LW213" s="15"/>
      <c r="LX213" s="15"/>
      <c r="LY213" s="15"/>
      <c r="LZ213" s="15"/>
      <c r="MA213" s="15"/>
      <c r="MB213" s="15"/>
      <c r="MC213" s="15"/>
      <c r="MD213" s="15"/>
      <c r="ME213" s="15"/>
      <c r="MF213" s="15"/>
      <c r="MG213" s="15"/>
      <c r="MH213" s="15"/>
      <c r="MI213" s="15"/>
      <c r="MJ213" s="15"/>
      <c r="MK213" s="15"/>
      <c r="ML213" s="15"/>
      <c r="MM213" s="15"/>
      <c r="MN213" s="15"/>
      <c r="MO213" s="15"/>
      <c r="MP213" s="15"/>
      <c r="MQ213" s="15"/>
      <c r="MR213" s="15"/>
      <c r="MS213" s="15"/>
      <c r="MT213" s="15"/>
      <c r="MU213" s="15"/>
      <c r="MV213" s="15"/>
      <c r="MW213" s="15"/>
    </row>
    <row r="214" ht="41.25" customHeight="1">
      <c r="A214" s="13" t="s">
        <v>213</v>
      </c>
      <c r="B214" s="14" t="s">
        <v>10235</v>
      </c>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c r="DF214" s="15"/>
      <c r="DG214" s="15"/>
      <c r="DH214" s="15"/>
      <c r="DI214" s="15"/>
      <c r="DJ214" s="15"/>
      <c r="DK214" s="15"/>
      <c r="DL214" s="15"/>
      <c r="DM214" s="15"/>
      <c r="DN214" s="15"/>
      <c r="DO214" s="15"/>
      <c r="DP214" s="15"/>
      <c r="DQ214" s="15"/>
      <c r="DR214" s="15"/>
      <c r="DS214" s="15"/>
      <c r="DT214" s="15"/>
      <c r="DU214" s="15"/>
      <c r="DV214" s="15"/>
      <c r="DW214" s="15"/>
      <c r="DX214" s="15"/>
      <c r="DY214" s="15"/>
      <c r="DZ214" s="15"/>
      <c r="EA214" s="15"/>
      <c r="EB214" s="15"/>
      <c r="EC214" s="15"/>
      <c r="ED214" s="15"/>
      <c r="EE214" s="15"/>
      <c r="EF214" s="15"/>
      <c r="EG214" s="15"/>
      <c r="EH214" s="15"/>
      <c r="EI214" s="15"/>
      <c r="EJ214" s="15"/>
      <c r="EK214" s="15"/>
      <c r="EL214" s="15"/>
      <c r="EM214" s="15"/>
      <c r="EN214" s="15"/>
      <c r="EO214" s="15"/>
      <c r="EP214" s="15"/>
      <c r="EQ214" s="15"/>
      <c r="ER214" s="15"/>
      <c r="ES214" s="15"/>
      <c r="ET214" s="15"/>
      <c r="EU214" s="15"/>
      <c r="EV214" s="15"/>
      <c r="EW214" s="15"/>
      <c r="EX214" s="15"/>
      <c r="EY214" s="15"/>
      <c r="EZ214" s="15"/>
      <c r="FA214" s="15"/>
      <c r="FB214" s="15"/>
      <c r="FC214" s="15"/>
      <c r="FD214" s="15"/>
      <c r="FE214" s="15"/>
      <c r="FF214" s="15"/>
      <c r="FG214" s="15"/>
      <c r="FH214" s="15"/>
      <c r="FI214" s="15"/>
      <c r="FJ214" s="15"/>
      <c r="FK214" s="15"/>
      <c r="FL214" s="15"/>
      <c r="FM214" s="15"/>
      <c r="FN214" s="15"/>
      <c r="FO214" s="15"/>
      <c r="FP214" s="15"/>
      <c r="FQ214" s="15"/>
      <c r="FR214" s="15"/>
      <c r="FS214" s="15"/>
      <c r="FT214" s="15"/>
      <c r="FU214" s="15"/>
      <c r="FV214" s="15"/>
      <c r="FW214" s="15"/>
      <c r="FX214" s="15"/>
      <c r="FY214" s="15"/>
      <c r="FZ214" s="15"/>
      <c r="GA214" s="15"/>
      <c r="GB214" s="15"/>
      <c r="GC214" s="15"/>
      <c r="GD214" s="15"/>
      <c r="GE214" s="15"/>
      <c r="GF214" s="15"/>
      <c r="GG214" s="15"/>
      <c r="GH214" s="15"/>
      <c r="GI214" s="15"/>
      <c r="GJ214" s="15"/>
      <c r="GK214" s="15"/>
      <c r="GL214" s="15"/>
      <c r="GM214" s="15"/>
      <c r="GN214" s="15"/>
      <c r="GO214" s="15"/>
      <c r="GP214" s="15"/>
      <c r="GQ214" s="15"/>
      <c r="GR214" s="15"/>
      <c r="GS214" s="15"/>
      <c r="GT214" s="15"/>
      <c r="GU214" s="15"/>
      <c r="GV214" s="15"/>
      <c r="GW214" s="15"/>
      <c r="GX214" s="15"/>
      <c r="GY214" s="15"/>
      <c r="GZ214" s="15"/>
      <c r="HA214" s="15"/>
      <c r="HB214" s="15"/>
      <c r="HC214" s="15"/>
      <c r="HD214" s="15"/>
      <c r="HE214" s="15"/>
      <c r="HF214" s="15"/>
      <c r="HG214" s="15"/>
      <c r="HH214" s="15"/>
      <c r="HI214" s="15"/>
      <c r="HJ214" s="15"/>
      <c r="HK214" s="15"/>
      <c r="HL214" s="15"/>
      <c r="HM214" s="15"/>
      <c r="HN214" s="15"/>
      <c r="HO214" s="15"/>
      <c r="HP214" s="15"/>
      <c r="HQ214" s="15"/>
      <c r="HR214" s="15"/>
      <c r="HS214" s="15"/>
      <c r="HT214" s="15"/>
      <c r="HU214" s="15"/>
      <c r="HV214" s="15"/>
      <c r="HW214" s="15"/>
      <c r="HX214" s="15"/>
      <c r="HY214" s="15"/>
      <c r="HZ214" s="15"/>
      <c r="IA214" s="15"/>
      <c r="IB214" s="15"/>
      <c r="IC214" s="15"/>
      <c r="ID214" s="15"/>
      <c r="IE214" s="15"/>
      <c r="IF214" s="15"/>
      <c r="IG214" s="15"/>
      <c r="IH214" s="15"/>
      <c r="II214" s="15"/>
      <c r="IJ214" s="15"/>
      <c r="IK214" s="15"/>
      <c r="IL214" s="15"/>
      <c r="IM214" s="15"/>
      <c r="IN214" s="15"/>
      <c r="IO214" s="15"/>
      <c r="IP214" s="15"/>
      <c r="IQ214" s="15"/>
      <c r="IR214" s="15"/>
      <c r="IS214" s="15"/>
      <c r="IT214" s="15"/>
      <c r="IU214" s="15"/>
      <c r="IV214" s="15"/>
      <c r="IW214" s="15"/>
      <c r="IX214" s="15"/>
      <c r="IY214" s="15"/>
      <c r="IZ214" s="15"/>
      <c r="JA214" s="15"/>
      <c r="JB214" s="15"/>
      <c r="JC214" s="15"/>
      <c r="JD214" s="15"/>
      <c r="JE214" s="15"/>
      <c r="JF214" s="15"/>
      <c r="JG214" s="15"/>
      <c r="JH214" s="15"/>
      <c r="JI214" s="15"/>
      <c r="JJ214" s="15"/>
      <c r="JK214" s="15"/>
      <c r="JL214" s="15"/>
      <c r="JM214" s="15"/>
      <c r="JN214" s="15"/>
      <c r="JO214" s="15"/>
      <c r="JP214" s="15"/>
      <c r="JQ214" s="15"/>
      <c r="JR214" s="15"/>
      <c r="JS214" s="15"/>
      <c r="JT214" s="15"/>
      <c r="JU214" s="15"/>
      <c r="JV214" s="15"/>
      <c r="JW214" s="15"/>
      <c r="JX214" s="15"/>
      <c r="JY214" s="15"/>
      <c r="JZ214" s="15"/>
      <c r="KA214" s="15"/>
      <c r="KB214" s="15"/>
      <c r="KC214" s="15"/>
      <c r="KD214" s="15"/>
      <c r="KE214" s="15"/>
      <c r="KF214" s="15"/>
      <c r="KG214" s="15"/>
      <c r="KH214" s="15"/>
      <c r="KI214" s="15"/>
      <c r="KJ214" s="15"/>
      <c r="KK214" s="15"/>
      <c r="KL214" s="15"/>
      <c r="KM214" s="15"/>
      <c r="KN214" s="15"/>
      <c r="KO214" s="15"/>
      <c r="KP214" s="15"/>
      <c r="KQ214" s="15"/>
      <c r="KR214" s="15"/>
      <c r="KS214" s="15"/>
      <c r="KT214" s="15"/>
      <c r="KU214" s="15"/>
      <c r="KV214" s="15"/>
      <c r="KW214" s="15"/>
      <c r="KX214" s="15"/>
      <c r="KY214" s="15"/>
      <c r="KZ214" s="15"/>
      <c r="LA214" s="15"/>
      <c r="LB214" s="15"/>
      <c r="LC214" s="15"/>
      <c r="LD214" s="15"/>
      <c r="LE214" s="15"/>
      <c r="LF214" s="15"/>
      <c r="LG214" s="15"/>
      <c r="LH214" s="15"/>
      <c r="LI214" s="15"/>
      <c r="LJ214" s="15"/>
      <c r="LK214" s="15"/>
      <c r="LL214" s="15"/>
      <c r="LM214" s="15"/>
      <c r="LN214" s="15"/>
      <c r="LO214" s="15"/>
      <c r="LP214" s="15"/>
      <c r="LQ214" s="15"/>
      <c r="LR214" s="15"/>
      <c r="LS214" s="15"/>
      <c r="LT214" s="15"/>
      <c r="LU214" s="15"/>
      <c r="LV214" s="15"/>
      <c r="LW214" s="15"/>
      <c r="LX214" s="15"/>
      <c r="LY214" s="15"/>
      <c r="LZ214" s="15"/>
      <c r="MA214" s="15"/>
      <c r="MB214" s="15"/>
      <c r="MC214" s="15"/>
      <c r="MD214" s="15"/>
      <c r="ME214" s="15"/>
      <c r="MF214" s="15"/>
      <c r="MG214" s="15"/>
      <c r="MH214" s="15"/>
      <c r="MI214" s="15"/>
      <c r="MJ214" s="15"/>
      <c r="MK214" s="15"/>
      <c r="ML214" s="15"/>
      <c r="MM214" s="15"/>
      <c r="MN214" s="15"/>
      <c r="MO214" s="15"/>
      <c r="MP214" s="15"/>
      <c r="MQ214" s="15"/>
      <c r="MR214" s="15"/>
      <c r="MS214" s="15"/>
      <c r="MT214" s="15"/>
      <c r="MU214" s="15"/>
      <c r="MV214" s="15"/>
      <c r="MW214" s="15"/>
    </row>
    <row r="215" ht="119.25" customHeight="1">
      <c r="A215" s="13" t="s">
        <v>214</v>
      </c>
      <c r="B215" s="14" t="s">
        <v>10236</v>
      </c>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c r="DF215" s="15"/>
      <c r="DG215" s="15"/>
      <c r="DH215" s="15"/>
      <c r="DI215" s="15"/>
      <c r="DJ215" s="15"/>
      <c r="DK215" s="15"/>
      <c r="DL215" s="15"/>
      <c r="DM215" s="15"/>
      <c r="DN215" s="15"/>
      <c r="DO215" s="15"/>
      <c r="DP215" s="15"/>
      <c r="DQ215" s="15"/>
      <c r="DR215" s="15"/>
      <c r="DS215" s="15"/>
      <c r="DT215" s="15"/>
      <c r="DU215" s="15"/>
      <c r="DV215" s="15"/>
      <c r="DW215" s="15"/>
      <c r="DX215" s="15"/>
      <c r="DY215" s="15"/>
      <c r="DZ215" s="15"/>
      <c r="EA215" s="15"/>
      <c r="EB215" s="15"/>
      <c r="EC215" s="15"/>
      <c r="ED215" s="15"/>
      <c r="EE215" s="15"/>
      <c r="EF215" s="15"/>
      <c r="EG215" s="15"/>
      <c r="EH215" s="15"/>
      <c r="EI215" s="15"/>
      <c r="EJ215" s="15"/>
      <c r="EK215" s="15"/>
      <c r="EL215" s="15"/>
      <c r="EM215" s="15"/>
      <c r="EN215" s="15"/>
      <c r="EO215" s="15"/>
      <c r="EP215" s="15"/>
      <c r="EQ215" s="15"/>
      <c r="ER215" s="15"/>
      <c r="ES215" s="15"/>
      <c r="ET215" s="15"/>
      <c r="EU215" s="15"/>
      <c r="EV215" s="15"/>
      <c r="EW215" s="15"/>
      <c r="EX215" s="15"/>
      <c r="EY215" s="15"/>
      <c r="EZ215" s="15"/>
      <c r="FA215" s="15"/>
      <c r="FB215" s="15"/>
      <c r="FC215" s="15"/>
      <c r="FD215" s="15"/>
      <c r="FE215" s="15"/>
      <c r="FF215" s="15"/>
      <c r="FG215" s="15"/>
      <c r="FH215" s="15"/>
      <c r="FI215" s="15"/>
      <c r="FJ215" s="15"/>
      <c r="FK215" s="15"/>
      <c r="FL215" s="15"/>
      <c r="FM215" s="15"/>
      <c r="FN215" s="15"/>
      <c r="FO215" s="15"/>
      <c r="FP215" s="15"/>
      <c r="FQ215" s="15"/>
      <c r="FR215" s="15"/>
      <c r="FS215" s="15"/>
      <c r="FT215" s="15"/>
      <c r="FU215" s="15"/>
      <c r="FV215" s="15"/>
      <c r="FW215" s="15"/>
      <c r="FX215" s="15"/>
      <c r="FY215" s="15"/>
      <c r="FZ215" s="15"/>
      <c r="GA215" s="15"/>
      <c r="GB215" s="15"/>
      <c r="GC215" s="15"/>
      <c r="GD215" s="15"/>
      <c r="GE215" s="15"/>
      <c r="GF215" s="15"/>
      <c r="GG215" s="15"/>
      <c r="GH215" s="15"/>
      <c r="GI215" s="15"/>
      <c r="GJ215" s="15"/>
      <c r="GK215" s="15"/>
      <c r="GL215" s="15"/>
      <c r="GM215" s="15"/>
      <c r="GN215" s="15"/>
      <c r="GO215" s="15"/>
      <c r="GP215" s="15"/>
      <c r="GQ215" s="15"/>
      <c r="GR215" s="15"/>
      <c r="GS215" s="15"/>
      <c r="GT215" s="15"/>
      <c r="GU215" s="15"/>
      <c r="GV215" s="15"/>
      <c r="GW215" s="15"/>
      <c r="GX215" s="15"/>
      <c r="GY215" s="15"/>
      <c r="GZ215" s="15"/>
      <c r="HA215" s="15"/>
      <c r="HB215" s="15"/>
      <c r="HC215" s="15"/>
      <c r="HD215" s="15"/>
      <c r="HE215" s="15"/>
      <c r="HF215" s="15"/>
      <c r="HG215" s="15"/>
      <c r="HH215" s="15"/>
      <c r="HI215" s="15"/>
      <c r="HJ215" s="15"/>
      <c r="HK215" s="15"/>
      <c r="HL215" s="15"/>
      <c r="HM215" s="15"/>
      <c r="HN215" s="15"/>
      <c r="HO215" s="15"/>
      <c r="HP215" s="15"/>
      <c r="HQ215" s="15"/>
      <c r="HR215" s="15"/>
      <c r="HS215" s="15"/>
      <c r="HT215" s="15"/>
      <c r="HU215" s="15"/>
      <c r="HV215" s="15"/>
      <c r="HW215" s="15"/>
      <c r="HX215" s="15"/>
      <c r="HY215" s="15"/>
      <c r="HZ215" s="15"/>
      <c r="IA215" s="15"/>
      <c r="IB215" s="15"/>
      <c r="IC215" s="15"/>
      <c r="ID215" s="15"/>
      <c r="IE215" s="15"/>
      <c r="IF215" s="15"/>
      <c r="IG215" s="15"/>
      <c r="IH215" s="15"/>
      <c r="II215" s="15"/>
      <c r="IJ215" s="15"/>
      <c r="IK215" s="15"/>
      <c r="IL215" s="15"/>
      <c r="IM215" s="15"/>
      <c r="IN215" s="15"/>
      <c r="IO215" s="15"/>
      <c r="IP215" s="15"/>
      <c r="IQ215" s="15"/>
      <c r="IR215" s="15"/>
      <c r="IS215" s="15"/>
      <c r="IT215" s="15"/>
      <c r="IU215" s="15"/>
      <c r="IV215" s="15"/>
      <c r="IW215" s="15"/>
      <c r="IX215" s="15"/>
      <c r="IY215" s="15"/>
      <c r="IZ215" s="15"/>
      <c r="JA215" s="15"/>
      <c r="JB215" s="15"/>
      <c r="JC215" s="15"/>
      <c r="JD215" s="15"/>
      <c r="JE215" s="15"/>
      <c r="JF215" s="15"/>
      <c r="JG215" s="15"/>
      <c r="JH215" s="15"/>
      <c r="JI215" s="15"/>
      <c r="JJ215" s="15"/>
      <c r="JK215" s="15"/>
      <c r="JL215" s="15"/>
      <c r="JM215" s="15"/>
      <c r="JN215" s="15"/>
      <c r="JO215" s="15"/>
      <c r="JP215" s="15"/>
      <c r="JQ215" s="15"/>
      <c r="JR215" s="15"/>
      <c r="JS215" s="15"/>
      <c r="JT215" s="15"/>
      <c r="JU215" s="15"/>
      <c r="JV215" s="15"/>
      <c r="JW215" s="15"/>
      <c r="JX215" s="15"/>
      <c r="JY215" s="15"/>
      <c r="JZ215" s="15"/>
      <c r="KA215" s="15"/>
      <c r="KB215" s="15"/>
      <c r="KC215" s="15"/>
      <c r="KD215" s="15"/>
      <c r="KE215" s="15"/>
      <c r="KF215" s="15"/>
      <c r="KG215" s="15"/>
      <c r="KH215" s="15"/>
      <c r="KI215" s="15"/>
      <c r="KJ215" s="15"/>
      <c r="KK215" s="15"/>
      <c r="KL215" s="15"/>
      <c r="KM215" s="15"/>
      <c r="KN215" s="15"/>
      <c r="KO215" s="15"/>
      <c r="KP215" s="15"/>
      <c r="KQ215" s="15"/>
      <c r="KR215" s="15"/>
      <c r="KS215" s="15"/>
      <c r="KT215" s="15"/>
      <c r="KU215" s="15"/>
      <c r="KV215" s="15"/>
      <c r="KW215" s="15"/>
      <c r="KX215" s="15"/>
      <c r="KY215" s="15"/>
      <c r="KZ215" s="15"/>
      <c r="LA215" s="15"/>
      <c r="LB215" s="15"/>
      <c r="LC215" s="15"/>
      <c r="LD215" s="15"/>
      <c r="LE215" s="15"/>
      <c r="LF215" s="15"/>
      <c r="LG215" s="15"/>
      <c r="LH215" s="15"/>
      <c r="LI215" s="15"/>
      <c r="LJ215" s="15"/>
      <c r="LK215" s="15"/>
      <c r="LL215" s="15"/>
      <c r="LM215" s="15"/>
      <c r="LN215" s="15"/>
      <c r="LO215" s="15"/>
      <c r="LP215" s="15"/>
      <c r="LQ215" s="15"/>
      <c r="LR215" s="15"/>
      <c r="LS215" s="15"/>
      <c r="LT215" s="15"/>
      <c r="LU215" s="15"/>
      <c r="LV215" s="15"/>
      <c r="LW215" s="15"/>
      <c r="LX215" s="15"/>
      <c r="LY215" s="15"/>
      <c r="LZ215" s="15"/>
      <c r="MA215" s="15"/>
      <c r="MB215" s="15"/>
      <c r="MC215" s="15"/>
      <c r="MD215" s="15"/>
      <c r="ME215" s="15"/>
      <c r="MF215" s="15"/>
      <c r="MG215" s="15"/>
      <c r="MH215" s="15"/>
      <c r="MI215" s="15"/>
      <c r="MJ215" s="15"/>
      <c r="MK215" s="15"/>
      <c r="ML215" s="15"/>
      <c r="MM215" s="15"/>
      <c r="MN215" s="15"/>
      <c r="MO215" s="15"/>
      <c r="MP215" s="15"/>
      <c r="MQ215" s="15"/>
      <c r="MR215" s="15"/>
      <c r="MS215" s="15"/>
      <c r="MT215" s="15"/>
      <c r="MU215" s="15"/>
      <c r="MV215" s="15"/>
      <c r="MW215" s="15"/>
    </row>
    <row r="216" ht="41.25" customHeight="1">
      <c r="A216" s="13" t="s">
        <v>215</v>
      </c>
      <c r="B216" s="14" t="s">
        <v>10237</v>
      </c>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c r="DF216" s="15"/>
      <c r="DG216" s="15"/>
      <c r="DH216" s="15"/>
      <c r="DI216" s="15"/>
      <c r="DJ216" s="15"/>
      <c r="DK216" s="15"/>
      <c r="DL216" s="15"/>
      <c r="DM216" s="15"/>
      <c r="DN216" s="15"/>
      <c r="DO216" s="15"/>
      <c r="DP216" s="15"/>
      <c r="DQ216" s="15"/>
      <c r="DR216" s="15"/>
      <c r="DS216" s="15"/>
      <c r="DT216" s="15"/>
      <c r="DU216" s="15"/>
      <c r="DV216" s="15"/>
      <c r="DW216" s="15"/>
      <c r="DX216" s="15"/>
      <c r="DY216" s="15"/>
      <c r="DZ216" s="15"/>
      <c r="EA216" s="15"/>
      <c r="EB216" s="15"/>
      <c r="EC216" s="15"/>
      <c r="ED216" s="15"/>
      <c r="EE216" s="15"/>
      <c r="EF216" s="15"/>
      <c r="EG216" s="15"/>
      <c r="EH216" s="15"/>
      <c r="EI216" s="15"/>
      <c r="EJ216" s="15"/>
      <c r="EK216" s="15"/>
      <c r="EL216" s="15"/>
      <c r="EM216" s="15"/>
      <c r="EN216" s="15"/>
      <c r="EO216" s="15"/>
      <c r="EP216" s="15"/>
      <c r="EQ216" s="15"/>
      <c r="ER216" s="15"/>
      <c r="ES216" s="15"/>
      <c r="ET216" s="15"/>
      <c r="EU216" s="15"/>
      <c r="EV216" s="15"/>
      <c r="EW216" s="15"/>
      <c r="EX216" s="15"/>
      <c r="EY216" s="15"/>
      <c r="EZ216" s="15"/>
      <c r="FA216" s="15"/>
      <c r="FB216" s="15"/>
      <c r="FC216" s="15"/>
      <c r="FD216" s="15"/>
      <c r="FE216" s="15"/>
      <c r="FF216" s="15"/>
      <c r="FG216" s="15"/>
      <c r="FH216" s="15"/>
      <c r="FI216" s="15"/>
      <c r="FJ216" s="15"/>
      <c r="FK216" s="15"/>
      <c r="FL216" s="15"/>
      <c r="FM216" s="15"/>
      <c r="FN216" s="15"/>
      <c r="FO216" s="15"/>
      <c r="FP216" s="15"/>
      <c r="FQ216" s="15"/>
      <c r="FR216" s="15"/>
      <c r="FS216" s="15"/>
      <c r="FT216" s="15"/>
      <c r="FU216" s="15"/>
      <c r="FV216" s="15"/>
      <c r="FW216" s="15"/>
      <c r="FX216" s="15"/>
      <c r="FY216" s="15"/>
      <c r="FZ216" s="15"/>
      <c r="GA216" s="15"/>
      <c r="GB216" s="15"/>
      <c r="GC216" s="15"/>
      <c r="GD216" s="15"/>
      <c r="GE216" s="15"/>
      <c r="GF216" s="15"/>
      <c r="GG216" s="15"/>
      <c r="GH216" s="15"/>
      <c r="GI216" s="15"/>
      <c r="GJ216" s="15"/>
      <c r="GK216" s="15"/>
      <c r="GL216" s="15"/>
      <c r="GM216" s="15"/>
      <c r="GN216" s="15"/>
      <c r="GO216" s="15"/>
      <c r="GP216" s="15"/>
      <c r="GQ216" s="15"/>
      <c r="GR216" s="15"/>
      <c r="GS216" s="15"/>
      <c r="GT216" s="15"/>
      <c r="GU216" s="15"/>
      <c r="GV216" s="15"/>
      <c r="GW216" s="15"/>
      <c r="GX216" s="15"/>
      <c r="GY216" s="15"/>
      <c r="GZ216" s="15"/>
      <c r="HA216" s="15"/>
      <c r="HB216" s="15"/>
      <c r="HC216" s="15"/>
      <c r="HD216" s="15"/>
      <c r="HE216" s="15"/>
      <c r="HF216" s="15"/>
      <c r="HG216" s="15"/>
      <c r="HH216" s="15"/>
      <c r="HI216" s="15"/>
      <c r="HJ216" s="15"/>
      <c r="HK216" s="15"/>
      <c r="HL216" s="15"/>
      <c r="HM216" s="15"/>
      <c r="HN216" s="15"/>
      <c r="HO216" s="15"/>
      <c r="HP216" s="15"/>
      <c r="HQ216" s="15"/>
      <c r="HR216" s="15"/>
      <c r="HS216" s="15"/>
      <c r="HT216" s="15"/>
      <c r="HU216" s="15"/>
      <c r="HV216" s="15"/>
      <c r="HW216" s="15"/>
      <c r="HX216" s="15"/>
      <c r="HY216" s="15"/>
      <c r="HZ216" s="15"/>
      <c r="IA216" s="15"/>
      <c r="IB216" s="15"/>
      <c r="IC216" s="15"/>
      <c r="ID216" s="15"/>
      <c r="IE216" s="15"/>
      <c r="IF216" s="15"/>
      <c r="IG216" s="15"/>
      <c r="IH216" s="15"/>
      <c r="II216" s="15"/>
      <c r="IJ216" s="15"/>
      <c r="IK216" s="15"/>
      <c r="IL216" s="15"/>
      <c r="IM216" s="15"/>
      <c r="IN216" s="15"/>
      <c r="IO216" s="15"/>
      <c r="IP216" s="15"/>
      <c r="IQ216" s="15"/>
      <c r="IR216" s="15"/>
      <c r="IS216" s="15"/>
      <c r="IT216" s="15"/>
      <c r="IU216" s="15"/>
      <c r="IV216" s="15"/>
      <c r="IW216" s="15"/>
      <c r="IX216" s="15"/>
      <c r="IY216" s="15"/>
      <c r="IZ216" s="15"/>
      <c r="JA216" s="15"/>
      <c r="JB216" s="15"/>
      <c r="JC216" s="15"/>
      <c r="JD216" s="15"/>
      <c r="JE216" s="15"/>
      <c r="JF216" s="15"/>
      <c r="JG216" s="15"/>
      <c r="JH216" s="15"/>
      <c r="JI216" s="15"/>
      <c r="JJ216" s="15"/>
      <c r="JK216" s="15"/>
      <c r="JL216" s="15"/>
      <c r="JM216" s="15"/>
      <c r="JN216" s="15"/>
      <c r="JO216" s="15"/>
      <c r="JP216" s="15"/>
      <c r="JQ216" s="15"/>
      <c r="JR216" s="15"/>
      <c r="JS216" s="15"/>
      <c r="JT216" s="15"/>
      <c r="JU216" s="15"/>
      <c r="JV216" s="15"/>
      <c r="JW216" s="15"/>
      <c r="JX216" s="15"/>
      <c r="JY216" s="15"/>
      <c r="JZ216" s="15"/>
      <c r="KA216" s="15"/>
      <c r="KB216" s="15"/>
      <c r="KC216" s="15"/>
      <c r="KD216" s="15"/>
      <c r="KE216" s="15"/>
      <c r="KF216" s="15"/>
      <c r="KG216" s="15"/>
      <c r="KH216" s="15"/>
      <c r="KI216" s="15"/>
      <c r="KJ216" s="15"/>
      <c r="KK216" s="15"/>
      <c r="KL216" s="15"/>
      <c r="KM216" s="15"/>
      <c r="KN216" s="15"/>
      <c r="KO216" s="15"/>
      <c r="KP216" s="15"/>
      <c r="KQ216" s="15"/>
      <c r="KR216" s="15"/>
      <c r="KS216" s="15"/>
      <c r="KT216" s="15"/>
      <c r="KU216" s="15"/>
      <c r="KV216" s="15"/>
      <c r="KW216" s="15"/>
      <c r="KX216" s="15"/>
      <c r="KY216" s="15"/>
      <c r="KZ216" s="15"/>
      <c r="LA216" s="15"/>
      <c r="LB216" s="15"/>
      <c r="LC216" s="15"/>
      <c r="LD216" s="15"/>
      <c r="LE216" s="15"/>
      <c r="LF216" s="15"/>
      <c r="LG216" s="15"/>
      <c r="LH216" s="15"/>
      <c r="LI216" s="15"/>
      <c r="LJ216" s="15"/>
      <c r="LK216" s="15"/>
      <c r="LL216" s="15"/>
      <c r="LM216" s="15"/>
      <c r="LN216" s="15"/>
      <c r="LO216" s="15"/>
      <c r="LP216" s="15"/>
      <c r="LQ216" s="15"/>
      <c r="LR216" s="15"/>
      <c r="LS216" s="15"/>
      <c r="LT216" s="15"/>
      <c r="LU216" s="15"/>
      <c r="LV216" s="15"/>
      <c r="LW216" s="15"/>
      <c r="LX216" s="15"/>
      <c r="LY216" s="15"/>
      <c r="LZ216" s="15"/>
      <c r="MA216" s="15"/>
      <c r="MB216" s="15"/>
      <c r="MC216" s="15"/>
      <c r="MD216" s="15"/>
      <c r="ME216" s="15"/>
      <c r="MF216" s="15"/>
      <c r="MG216" s="15"/>
      <c r="MH216" s="15"/>
      <c r="MI216" s="15"/>
      <c r="MJ216" s="15"/>
      <c r="MK216" s="15"/>
      <c r="ML216" s="15"/>
      <c r="MM216" s="15"/>
      <c r="MN216" s="15"/>
      <c r="MO216" s="15"/>
      <c r="MP216" s="15"/>
      <c r="MQ216" s="15"/>
      <c r="MR216" s="15"/>
      <c r="MS216" s="15"/>
      <c r="MT216" s="15"/>
      <c r="MU216" s="15"/>
      <c r="MV216" s="15"/>
      <c r="MW216" s="15"/>
    </row>
    <row r="217" ht="119.25" customHeight="1">
      <c r="A217" s="13" t="s">
        <v>216</v>
      </c>
      <c r="B217" s="14" t="s">
        <v>10238</v>
      </c>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c r="DF217" s="15"/>
      <c r="DG217" s="15"/>
      <c r="DH217" s="15"/>
      <c r="DI217" s="15"/>
      <c r="DJ217" s="15"/>
      <c r="DK217" s="15"/>
      <c r="DL217" s="15"/>
      <c r="DM217" s="15"/>
      <c r="DN217" s="15"/>
      <c r="DO217" s="15"/>
      <c r="DP217" s="15"/>
      <c r="DQ217" s="15"/>
      <c r="DR217" s="15"/>
      <c r="DS217" s="15"/>
      <c r="DT217" s="15"/>
      <c r="DU217" s="15"/>
      <c r="DV217" s="15"/>
      <c r="DW217" s="15"/>
      <c r="DX217" s="15"/>
      <c r="DY217" s="15"/>
      <c r="DZ217" s="15"/>
      <c r="EA217" s="15"/>
      <c r="EB217" s="15"/>
      <c r="EC217" s="15"/>
      <c r="ED217" s="15"/>
      <c r="EE217" s="15"/>
      <c r="EF217" s="15"/>
      <c r="EG217" s="15"/>
      <c r="EH217" s="15"/>
      <c r="EI217" s="15"/>
      <c r="EJ217" s="15"/>
      <c r="EK217" s="15"/>
      <c r="EL217" s="15"/>
      <c r="EM217" s="15"/>
      <c r="EN217" s="15"/>
      <c r="EO217" s="15"/>
      <c r="EP217" s="15"/>
      <c r="EQ217" s="15"/>
      <c r="ER217" s="15"/>
      <c r="ES217" s="15"/>
      <c r="ET217" s="15"/>
      <c r="EU217" s="15"/>
      <c r="EV217" s="15"/>
      <c r="EW217" s="15"/>
      <c r="EX217" s="15"/>
      <c r="EY217" s="15"/>
      <c r="EZ217" s="15"/>
      <c r="FA217" s="15"/>
      <c r="FB217" s="15"/>
      <c r="FC217" s="15"/>
      <c r="FD217" s="15"/>
      <c r="FE217" s="15"/>
      <c r="FF217" s="15"/>
      <c r="FG217" s="15"/>
      <c r="FH217" s="15"/>
      <c r="FI217" s="15"/>
      <c r="FJ217" s="15"/>
      <c r="FK217" s="15"/>
      <c r="FL217" s="15"/>
      <c r="FM217" s="15"/>
      <c r="FN217" s="15"/>
      <c r="FO217" s="15"/>
      <c r="FP217" s="15"/>
      <c r="FQ217" s="15"/>
      <c r="FR217" s="15"/>
      <c r="FS217" s="15"/>
      <c r="FT217" s="15"/>
      <c r="FU217" s="15"/>
      <c r="FV217" s="15"/>
      <c r="FW217" s="15"/>
      <c r="FX217" s="15"/>
      <c r="FY217" s="15"/>
      <c r="FZ217" s="15"/>
      <c r="GA217" s="15"/>
      <c r="GB217" s="15"/>
      <c r="GC217" s="15"/>
      <c r="GD217" s="15"/>
      <c r="GE217" s="15"/>
      <c r="GF217" s="15"/>
      <c r="GG217" s="15"/>
      <c r="GH217" s="15"/>
      <c r="GI217" s="15"/>
      <c r="GJ217" s="15"/>
      <c r="GK217" s="15"/>
      <c r="GL217" s="15"/>
      <c r="GM217" s="15"/>
      <c r="GN217" s="15"/>
      <c r="GO217" s="15"/>
      <c r="GP217" s="15"/>
      <c r="GQ217" s="15"/>
      <c r="GR217" s="15"/>
      <c r="GS217" s="15"/>
      <c r="GT217" s="15"/>
      <c r="GU217" s="15"/>
      <c r="GV217" s="15"/>
      <c r="GW217" s="15"/>
      <c r="GX217" s="15"/>
      <c r="GY217" s="15"/>
      <c r="GZ217" s="15"/>
      <c r="HA217" s="15"/>
      <c r="HB217" s="15"/>
      <c r="HC217" s="15"/>
      <c r="HD217" s="15"/>
      <c r="HE217" s="15"/>
      <c r="HF217" s="15"/>
      <c r="HG217" s="15"/>
      <c r="HH217" s="15"/>
      <c r="HI217" s="15"/>
      <c r="HJ217" s="15"/>
      <c r="HK217" s="15"/>
      <c r="HL217" s="15"/>
      <c r="HM217" s="15"/>
      <c r="HN217" s="15"/>
      <c r="HO217" s="15"/>
      <c r="HP217" s="15"/>
      <c r="HQ217" s="15"/>
      <c r="HR217" s="15"/>
      <c r="HS217" s="15"/>
      <c r="HT217" s="15"/>
      <c r="HU217" s="15"/>
      <c r="HV217" s="15"/>
      <c r="HW217" s="15"/>
      <c r="HX217" s="15"/>
      <c r="HY217" s="15"/>
      <c r="HZ217" s="15"/>
      <c r="IA217" s="15"/>
      <c r="IB217" s="15"/>
      <c r="IC217" s="15"/>
      <c r="ID217" s="15"/>
      <c r="IE217" s="15"/>
      <c r="IF217" s="15"/>
      <c r="IG217" s="15"/>
      <c r="IH217" s="15"/>
      <c r="II217" s="15"/>
      <c r="IJ217" s="15"/>
      <c r="IK217" s="15"/>
      <c r="IL217" s="15"/>
      <c r="IM217" s="15"/>
      <c r="IN217" s="15"/>
      <c r="IO217" s="15"/>
      <c r="IP217" s="15"/>
      <c r="IQ217" s="15"/>
      <c r="IR217" s="15"/>
      <c r="IS217" s="15"/>
      <c r="IT217" s="15"/>
      <c r="IU217" s="15"/>
      <c r="IV217" s="15"/>
      <c r="IW217" s="15"/>
      <c r="IX217" s="15"/>
      <c r="IY217" s="15"/>
      <c r="IZ217" s="15"/>
      <c r="JA217" s="15"/>
      <c r="JB217" s="15"/>
      <c r="JC217" s="15"/>
      <c r="JD217" s="15"/>
      <c r="JE217" s="15"/>
      <c r="JF217" s="15"/>
      <c r="JG217" s="15"/>
      <c r="JH217" s="15"/>
      <c r="JI217" s="15"/>
      <c r="JJ217" s="15"/>
      <c r="JK217" s="15"/>
      <c r="JL217" s="15"/>
      <c r="JM217" s="15"/>
      <c r="JN217" s="15"/>
      <c r="JO217" s="15"/>
      <c r="JP217" s="15"/>
      <c r="JQ217" s="15"/>
      <c r="JR217" s="15"/>
      <c r="JS217" s="15"/>
      <c r="JT217" s="15"/>
      <c r="JU217" s="15"/>
      <c r="JV217" s="15"/>
      <c r="JW217" s="15"/>
      <c r="JX217" s="15"/>
      <c r="JY217" s="15"/>
      <c r="JZ217" s="15"/>
      <c r="KA217" s="15"/>
      <c r="KB217" s="15"/>
      <c r="KC217" s="15"/>
      <c r="KD217" s="15"/>
      <c r="KE217" s="15"/>
      <c r="KF217" s="15"/>
      <c r="KG217" s="15"/>
      <c r="KH217" s="15"/>
      <c r="KI217" s="15"/>
      <c r="KJ217" s="15"/>
      <c r="KK217" s="15"/>
      <c r="KL217" s="15"/>
      <c r="KM217" s="15"/>
      <c r="KN217" s="15"/>
      <c r="KO217" s="15"/>
      <c r="KP217" s="15"/>
      <c r="KQ217" s="15"/>
      <c r="KR217" s="15"/>
      <c r="KS217" s="15"/>
      <c r="KT217" s="15"/>
      <c r="KU217" s="15"/>
      <c r="KV217" s="15"/>
      <c r="KW217" s="15"/>
      <c r="KX217" s="15"/>
      <c r="KY217" s="15"/>
      <c r="KZ217" s="15"/>
      <c r="LA217" s="15"/>
      <c r="LB217" s="15"/>
      <c r="LC217" s="15"/>
      <c r="LD217" s="15"/>
      <c r="LE217" s="15"/>
      <c r="LF217" s="15"/>
      <c r="LG217" s="15"/>
      <c r="LH217" s="15"/>
      <c r="LI217" s="15"/>
      <c r="LJ217" s="15"/>
      <c r="LK217" s="15"/>
      <c r="LL217" s="15"/>
      <c r="LM217" s="15"/>
      <c r="LN217" s="15"/>
      <c r="LO217" s="15"/>
      <c r="LP217" s="15"/>
      <c r="LQ217" s="15"/>
      <c r="LR217" s="15"/>
      <c r="LS217" s="15"/>
      <c r="LT217" s="15"/>
      <c r="LU217" s="15"/>
      <c r="LV217" s="15"/>
      <c r="LW217" s="15"/>
      <c r="LX217" s="15"/>
      <c r="LY217" s="15"/>
      <c r="LZ217" s="15"/>
      <c r="MA217" s="15"/>
      <c r="MB217" s="15"/>
      <c r="MC217" s="15"/>
      <c r="MD217" s="15"/>
      <c r="ME217" s="15"/>
      <c r="MF217" s="15"/>
      <c r="MG217" s="15"/>
      <c r="MH217" s="15"/>
      <c r="MI217" s="15"/>
      <c r="MJ217" s="15"/>
      <c r="MK217" s="15"/>
      <c r="ML217" s="15"/>
      <c r="MM217" s="15"/>
      <c r="MN217" s="15"/>
      <c r="MO217" s="15"/>
      <c r="MP217" s="15"/>
      <c r="MQ217" s="15"/>
      <c r="MR217" s="15"/>
      <c r="MS217" s="15"/>
      <c r="MT217" s="15"/>
      <c r="MU217" s="15"/>
      <c r="MV217" s="15"/>
      <c r="MW217" s="15"/>
    </row>
    <row r="218" ht="41.25" customHeight="1">
      <c r="A218" s="13" t="s">
        <v>217</v>
      </c>
      <c r="B218" s="14" t="s">
        <v>10239</v>
      </c>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c r="DF218" s="15"/>
      <c r="DG218" s="15"/>
      <c r="DH218" s="15"/>
      <c r="DI218" s="15"/>
      <c r="DJ218" s="15"/>
      <c r="DK218" s="15"/>
      <c r="DL218" s="15"/>
      <c r="DM218" s="15"/>
      <c r="DN218" s="15"/>
      <c r="DO218" s="15"/>
      <c r="DP218" s="15"/>
      <c r="DQ218" s="15"/>
      <c r="DR218" s="15"/>
      <c r="DS218" s="15"/>
      <c r="DT218" s="15"/>
      <c r="DU218" s="15"/>
      <c r="DV218" s="15"/>
      <c r="DW218" s="15"/>
      <c r="DX218" s="15"/>
      <c r="DY218" s="15"/>
      <c r="DZ218" s="15"/>
      <c r="EA218" s="15"/>
      <c r="EB218" s="15"/>
      <c r="EC218" s="15"/>
      <c r="ED218" s="15"/>
      <c r="EE218" s="15"/>
      <c r="EF218" s="15"/>
      <c r="EG218" s="15"/>
      <c r="EH218" s="15"/>
      <c r="EI218" s="15"/>
      <c r="EJ218" s="15"/>
      <c r="EK218" s="15"/>
      <c r="EL218" s="15"/>
      <c r="EM218" s="15"/>
      <c r="EN218" s="15"/>
      <c r="EO218" s="15"/>
      <c r="EP218" s="15"/>
      <c r="EQ218" s="15"/>
      <c r="ER218" s="15"/>
      <c r="ES218" s="15"/>
      <c r="ET218" s="15"/>
      <c r="EU218" s="15"/>
      <c r="EV218" s="15"/>
      <c r="EW218" s="15"/>
      <c r="EX218" s="15"/>
      <c r="EY218" s="15"/>
      <c r="EZ218" s="15"/>
      <c r="FA218" s="15"/>
      <c r="FB218" s="15"/>
      <c r="FC218" s="15"/>
      <c r="FD218" s="15"/>
      <c r="FE218" s="15"/>
      <c r="FF218" s="15"/>
      <c r="FG218" s="15"/>
      <c r="FH218" s="15"/>
      <c r="FI218" s="15"/>
      <c r="FJ218" s="15"/>
      <c r="FK218" s="15"/>
      <c r="FL218" s="15"/>
      <c r="FM218" s="15"/>
      <c r="FN218" s="15"/>
      <c r="FO218" s="15"/>
      <c r="FP218" s="15"/>
      <c r="FQ218" s="15"/>
      <c r="FR218" s="15"/>
      <c r="FS218" s="15"/>
      <c r="FT218" s="15"/>
      <c r="FU218" s="15"/>
      <c r="FV218" s="15"/>
      <c r="FW218" s="15"/>
      <c r="FX218" s="15"/>
      <c r="FY218" s="15"/>
      <c r="FZ218" s="15"/>
      <c r="GA218" s="15"/>
      <c r="GB218" s="15"/>
      <c r="GC218" s="15"/>
      <c r="GD218" s="15"/>
      <c r="GE218" s="15"/>
      <c r="GF218" s="15"/>
      <c r="GG218" s="15"/>
      <c r="GH218" s="15"/>
      <c r="GI218" s="15"/>
      <c r="GJ218" s="15"/>
      <c r="GK218" s="15"/>
      <c r="GL218" s="15"/>
      <c r="GM218" s="15"/>
      <c r="GN218" s="15"/>
      <c r="GO218" s="15"/>
      <c r="GP218" s="15"/>
      <c r="GQ218" s="15"/>
      <c r="GR218" s="15"/>
      <c r="GS218" s="15"/>
      <c r="GT218" s="15"/>
      <c r="GU218" s="15"/>
      <c r="GV218" s="15"/>
      <c r="GW218" s="15"/>
      <c r="GX218" s="15"/>
      <c r="GY218" s="15"/>
      <c r="GZ218" s="15"/>
      <c r="HA218" s="15"/>
      <c r="HB218" s="15"/>
      <c r="HC218" s="15"/>
      <c r="HD218" s="15"/>
      <c r="HE218" s="15"/>
      <c r="HF218" s="15"/>
      <c r="HG218" s="15"/>
      <c r="HH218" s="15"/>
      <c r="HI218" s="15"/>
      <c r="HJ218" s="15"/>
      <c r="HK218" s="15"/>
      <c r="HL218" s="15"/>
      <c r="HM218" s="15"/>
      <c r="HN218" s="15"/>
      <c r="HO218" s="15"/>
      <c r="HP218" s="15"/>
      <c r="HQ218" s="15"/>
      <c r="HR218" s="15"/>
      <c r="HS218" s="15"/>
      <c r="HT218" s="15"/>
      <c r="HU218" s="15"/>
      <c r="HV218" s="15"/>
      <c r="HW218" s="15"/>
      <c r="HX218" s="15"/>
      <c r="HY218" s="15"/>
      <c r="HZ218" s="15"/>
      <c r="IA218" s="15"/>
      <c r="IB218" s="15"/>
      <c r="IC218" s="15"/>
      <c r="ID218" s="15"/>
      <c r="IE218" s="15"/>
      <c r="IF218" s="15"/>
      <c r="IG218" s="15"/>
      <c r="IH218" s="15"/>
      <c r="II218" s="15"/>
      <c r="IJ218" s="15"/>
      <c r="IK218" s="15"/>
      <c r="IL218" s="15"/>
      <c r="IM218" s="15"/>
      <c r="IN218" s="15"/>
      <c r="IO218" s="15"/>
      <c r="IP218" s="15"/>
      <c r="IQ218" s="15"/>
      <c r="IR218" s="15"/>
      <c r="IS218" s="15"/>
      <c r="IT218" s="15"/>
      <c r="IU218" s="15"/>
      <c r="IV218" s="15"/>
      <c r="IW218" s="15"/>
      <c r="IX218" s="15"/>
      <c r="IY218" s="15"/>
      <c r="IZ218" s="15"/>
      <c r="JA218" s="15"/>
      <c r="JB218" s="15"/>
      <c r="JC218" s="15"/>
      <c r="JD218" s="15"/>
      <c r="JE218" s="15"/>
      <c r="JF218" s="15"/>
      <c r="JG218" s="15"/>
      <c r="JH218" s="15"/>
      <c r="JI218" s="15"/>
      <c r="JJ218" s="15"/>
      <c r="JK218" s="15"/>
      <c r="JL218" s="15"/>
      <c r="JM218" s="15"/>
      <c r="JN218" s="15"/>
      <c r="JO218" s="15"/>
      <c r="JP218" s="15"/>
      <c r="JQ218" s="15"/>
      <c r="JR218" s="15"/>
      <c r="JS218" s="15"/>
      <c r="JT218" s="15"/>
      <c r="JU218" s="15"/>
      <c r="JV218" s="15"/>
      <c r="JW218" s="15"/>
      <c r="JX218" s="15"/>
      <c r="JY218" s="15"/>
      <c r="JZ218" s="15"/>
      <c r="KA218" s="15"/>
      <c r="KB218" s="15"/>
      <c r="KC218" s="15"/>
      <c r="KD218" s="15"/>
      <c r="KE218" s="15"/>
      <c r="KF218" s="15"/>
      <c r="KG218" s="15"/>
      <c r="KH218" s="15"/>
      <c r="KI218" s="15"/>
      <c r="KJ218" s="15"/>
      <c r="KK218" s="15"/>
      <c r="KL218" s="15"/>
      <c r="KM218" s="15"/>
      <c r="KN218" s="15"/>
      <c r="KO218" s="15"/>
      <c r="KP218" s="15"/>
      <c r="KQ218" s="15"/>
      <c r="KR218" s="15"/>
      <c r="KS218" s="15"/>
      <c r="KT218" s="15"/>
      <c r="KU218" s="15"/>
      <c r="KV218" s="15"/>
      <c r="KW218" s="15"/>
      <c r="KX218" s="15"/>
      <c r="KY218" s="15"/>
      <c r="KZ218" s="15"/>
      <c r="LA218" s="15"/>
      <c r="LB218" s="15"/>
      <c r="LC218" s="15"/>
      <c r="LD218" s="15"/>
      <c r="LE218" s="15"/>
      <c r="LF218" s="15"/>
      <c r="LG218" s="15"/>
      <c r="LH218" s="15"/>
      <c r="LI218" s="15"/>
      <c r="LJ218" s="15"/>
      <c r="LK218" s="15"/>
      <c r="LL218" s="15"/>
      <c r="LM218" s="15"/>
      <c r="LN218" s="15"/>
      <c r="LO218" s="15"/>
      <c r="LP218" s="15"/>
      <c r="LQ218" s="15"/>
      <c r="LR218" s="15"/>
      <c r="LS218" s="15"/>
      <c r="LT218" s="15"/>
      <c r="LU218" s="15"/>
      <c r="LV218" s="15"/>
      <c r="LW218" s="15"/>
      <c r="LX218" s="15"/>
      <c r="LY218" s="15"/>
      <c r="LZ218" s="15"/>
      <c r="MA218" s="15"/>
      <c r="MB218" s="15"/>
      <c r="MC218" s="15"/>
      <c r="MD218" s="15"/>
      <c r="ME218" s="15"/>
      <c r="MF218" s="15"/>
      <c r="MG218" s="15"/>
      <c r="MH218" s="15"/>
      <c r="MI218" s="15"/>
      <c r="MJ218" s="15"/>
      <c r="MK218" s="15"/>
      <c r="ML218" s="15"/>
      <c r="MM218" s="15"/>
      <c r="MN218" s="15"/>
      <c r="MO218" s="15"/>
      <c r="MP218" s="15"/>
      <c r="MQ218" s="15"/>
      <c r="MR218" s="15"/>
      <c r="MS218" s="15"/>
      <c r="MT218" s="15"/>
      <c r="MU218" s="15"/>
      <c r="MV218" s="15"/>
      <c r="MW218" s="15"/>
    </row>
    <row r="219" ht="119.25" customHeight="1">
      <c r="A219" s="13" t="s">
        <v>218</v>
      </c>
      <c r="B219" s="14" t="s">
        <v>10240</v>
      </c>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c r="DF219" s="15"/>
      <c r="DG219" s="15"/>
      <c r="DH219" s="15"/>
      <c r="DI219" s="15"/>
      <c r="DJ219" s="15"/>
      <c r="DK219" s="15"/>
      <c r="DL219" s="15"/>
      <c r="DM219" s="15"/>
      <c r="DN219" s="15"/>
      <c r="DO219" s="15"/>
      <c r="DP219" s="15"/>
      <c r="DQ219" s="15"/>
      <c r="DR219" s="15"/>
      <c r="DS219" s="15"/>
      <c r="DT219" s="15"/>
      <c r="DU219" s="15"/>
      <c r="DV219" s="15"/>
      <c r="DW219" s="15"/>
      <c r="DX219" s="15"/>
      <c r="DY219" s="15"/>
      <c r="DZ219" s="15"/>
      <c r="EA219" s="15"/>
      <c r="EB219" s="15"/>
      <c r="EC219" s="15"/>
      <c r="ED219" s="15"/>
      <c r="EE219" s="15"/>
      <c r="EF219" s="15"/>
      <c r="EG219" s="15"/>
      <c r="EH219" s="15"/>
      <c r="EI219" s="15"/>
      <c r="EJ219" s="15"/>
      <c r="EK219" s="15"/>
      <c r="EL219" s="15"/>
      <c r="EM219" s="15"/>
      <c r="EN219" s="15"/>
      <c r="EO219" s="15"/>
      <c r="EP219" s="15"/>
      <c r="EQ219" s="15"/>
      <c r="ER219" s="15"/>
      <c r="ES219" s="15"/>
      <c r="ET219" s="15"/>
      <c r="EU219" s="15"/>
      <c r="EV219" s="15"/>
      <c r="EW219" s="15"/>
      <c r="EX219" s="15"/>
      <c r="EY219" s="15"/>
      <c r="EZ219" s="15"/>
      <c r="FA219" s="15"/>
      <c r="FB219" s="15"/>
      <c r="FC219" s="15"/>
      <c r="FD219" s="15"/>
      <c r="FE219" s="15"/>
      <c r="FF219" s="15"/>
      <c r="FG219" s="15"/>
      <c r="FH219" s="15"/>
      <c r="FI219" s="15"/>
      <c r="FJ219" s="15"/>
      <c r="FK219" s="15"/>
      <c r="FL219" s="15"/>
      <c r="FM219" s="15"/>
      <c r="FN219" s="15"/>
      <c r="FO219" s="15"/>
      <c r="FP219" s="15"/>
      <c r="FQ219" s="15"/>
      <c r="FR219" s="15"/>
      <c r="FS219" s="15"/>
      <c r="FT219" s="15"/>
      <c r="FU219" s="15"/>
      <c r="FV219" s="15"/>
      <c r="FW219" s="15"/>
      <c r="FX219" s="15"/>
      <c r="FY219" s="15"/>
      <c r="FZ219" s="15"/>
      <c r="GA219" s="15"/>
      <c r="GB219" s="15"/>
      <c r="GC219" s="15"/>
      <c r="GD219" s="15"/>
      <c r="GE219" s="15"/>
      <c r="GF219" s="15"/>
      <c r="GG219" s="15"/>
      <c r="GH219" s="15"/>
      <c r="GI219" s="15"/>
      <c r="GJ219" s="15"/>
      <c r="GK219" s="15"/>
      <c r="GL219" s="15"/>
      <c r="GM219" s="15"/>
      <c r="GN219" s="15"/>
      <c r="GO219" s="15"/>
      <c r="GP219" s="15"/>
      <c r="GQ219" s="15"/>
      <c r="GR219" s="15"/>
      <c r="GS219" s="15"/>
      <c r="GT219" s="15"/>
      <c r="GU219" s="15"/>
      <c r="GV219" s="15"/>
      <c r="GW219" s="15"/>
      <c r="GX219" s="15"/>
      <c r="GY219" s="15"/>
      <c r="GZ219" s="15"/>
      <c r="HA219" s="15"/>
      <c r="HB219" s="15"/>
      <c r="HC219" s="15"/>
      <c r="HD219" s="15"/>
      <c r="HE219" s="15"/>
      <c r="HF219" s="15"/>
      <c r="HG219" s="15"/>
      <c r="HH219" s="15"/>
      <c r="HI219" s="15"/>
      <c r="HJ219" s="15"/>
      <c r="HK219" s="15"/>
      <c r="HL219" s="15"/>
      <c r="HM219" s="15"/>
      <c r="HN219" s="15"/>
      <c r="HO219" s="15"/>
      <c r="HP219" s="15"/>
      <c r="HQ219" s="15"/>
      <c r="HR219" s="15"/>
      <c r="HS219" s="15"/>
      <c r="HT219" s="15"/>
      <c r="HU219" s="15"/>
      <c r="HV219" s="15"/>
      <c r="HW219" s="15"/>
      <c r="HX219" s="15"/>
      <c r="HY219" s="15"/>
      <c r="HZ219" s="15"/>
      <c r="IA219" s="15"/>
      <c r="IB219" s="15"/>
      <c r="IC219" s="15"/>
      <c r="ID219" s="15"/>
      <c r="IE219" s="15"/>
      <c r="IF219" s="15"/>
      <c r="IG219" s="15"/>
      <c r="IH219" s="15"/>
      <c r="II219" s="15"/>
      <c r="IJ219" s="15"/>
      <c r="IK219" s="15"/>
      <c r="IL219" s="15"/>
      <c r="IM219" s="15"/>
      <c r="IN219" s="15"/>
      <c r="IO219" s="15"/>
      <c r="IP219" s="15"/>
      <c r="IQ219" s="15"/>
      <c r="IR219" s="15"/>
      <c r="IS219" s="15"/>
      <c r="IT219" s="15"/>
      <c r="IU219" s="15"/>
      <c r="IV219" s="15"/>
      <c r="IW219" s="15"/>
      <c r="IX219" s="15"/>
      <c r="IY219" s="15"/>
      <c r="IZ219" s="15"/>
      <c r="JA219" s="15"/>
      <c r="JB219" s="15"/>
      <c r="JC219" s="15"/>
      <c r="JD219" s="15"/>
      <c r="JE219" s="15"/>
      <c r="JF219" s="15"/>
      <c r="JG219" s="15"/>
      <c r="JH219" s="15"/>
      <c r="JI219" s="15"/>
      <c r="JJ219" s="15"/>
      <c r="JK219" s="15"/>
      <c r="JL219" s="15"/>
      <c r="JM219" s="15"/>
      <c r="JN219" s="15"/>
      <c r="JO219" s="15"/>
      <c r="JP219" s="15"/>
      <c r="JQ219" s="15"/>
      <c r="JR219" s="15"/>
      <c r="JS219" s="15"/>
      <c r="JT219" s="15"/>
      <c r="JU219" s="15"/>
      <c r="JV219" s="15"/>
      <c r="JW219" s="15"/>
      <c r="JX219" s="15"/>
      <c r="JY219" s="15"/>
      <c r="JZ219" s="15"/>
      <c r="KA219" s="15"/>
      <c r="KB219" s="15"/>
      <c r="KC219" s="15"/>
      <c r="KD219" s="15"/>
      <c r="KE219" s="15"/>
      <c r="KF219" s="15"/>
      <c r="KG219" s="15"/>
      <c r="KH219" s="15"/>
      <c r="KI219" s="15"/>
      <c r="KJ219" s="15"/>
      <c r="KK219" s="15"/>
      <c r="KL219" s="15"/>
      <c r="KM219" s="15"/>
      <c r="KN219" s="15"/>
      <c r="KO219" s="15"/>
      <c r="KP219" s="15"/>
      <c r="KQ219" s="15"/>
      <c r="KR219" s="15"/>
      <c r="KS219" s="15"/>
      <c r="KT219" s="15"/>
      <c r="KU219" s="15"/>
      <c r="KV219" s="15"/>
      <c r="KW219" s="15"/>
      <c r="KX219" s="15"/>
      <c r="KY219" s="15"/>
      <c r="KZ219" s="15"/>
      <c r="LA219" s="15"/>
      <c r="LB219" s="15"/>
      <c r="LC219" s="15"/>
      <c r="LD219" s="15"/>
      <c r="LE219" s="15"/>
      <c r="LF219" s="15"/>
      <c r="LG219" s="15"/>
      <c r="LH219" s="15"/>
      <c r="LI219" s="15"/>
      <c r="LJ219" s="15"/>
      <c r="LK219" s="15"/>
      <c r="LL219" s="15"/>
      <c r="LM219" s="15"/>
      <c r="LN219" s="15"/>
      <c r="LO219" s="15"/>
      <c r="LP219" s="15"/>
      <c r="LQ219" s="15"/>
      <c r="LR219" s="15"/>
      <c r="LS219" s="15"/>
      <c r="LT219" s="15"/>
      <c r="LU219" s="15"/>
      <c r="LV219" s="15"/>
      <c r="LW219" s="15"/>
      <c r="LX219" s="15"/>
      <c r="LY219" s="15"/>
      <c r="LZ219" s="15"/>
      <c r="MA219" s="15"/>
      <c r="MB219" s="15"/>
      <c r="MC219" s="15"/>
      <c r="MD219" s="15"/>
      <c r="ME219" s="15"/>
      <c r="MF219" s="15"/>
      <c r="MG219" s="15"/>
      <c r="MH219" s="15"/>
      <c r="MI219" s="15"/>
      <c r="MJ219" s="15"/>
      <c r="MK219" s="15"/>
      <c r="ML219" s="15"/>
      <c r="MM219" s="15"/>
      <c r="MN219" s="15"/>
      <c r="MO219" s="15"/>
      <c r="MP219" s="15"/>
      <c r="MQ219" s="15"/>
      <c r="MR219" s="15"/>
      <c r="MS219" s="15"/>
      <c r="MT219" s="15"/>
      <c r="MU219" s="15"/>
      <c r="MV219" s="15"/>
      <c r="MW219" s="15"/>
    </row>
    <row r="220" ht="41.25" customHeight="1">
      <c r="A220" s="13" t="s">
        <v>219</v>
      </c>
      <c r="B220" s="14" t="s">
        <v>10241</v>
      </c>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c r="DE220" s="15"/>
      <c r="DF220" s="15"/>
      <c r="DG220" s="15"/>
      <c r="DH220" s="15"/>
      <c r="DI220" s="15"/>
      <c r="DJ220" s="15"/>
      <c r="DK220" s="15"/>
      <c r="DL220" s="15"/>
      <c r="DM220" s="15"/>
      <c r="DN220" s="15"/>
      <c r="DO220" s="15"/>
      <c r="DP220" s="15"/>
      <c r="DQ220" s="15"/>
      <c r="DR220" s="15"/>
      <c r="DS220" s="15"/>
      <c r="DT220" s="15"/>
      <c r="DU220" s="15"/>
      <c r="DV220" s="15"/>
      <c r="DW220" s="15"/>
      <c r="DX220" s="15"/>
      <c r="DY220" s="15"/>
      <c r="DZ220" s="15"/>
      <c r="EA220" s="15"/>
      <c r="EB220" s="15"/>
      <c r="EC220" s="15"/>
      <c r="ED220" s="15"/>
      <c r="EE220" s="15"/>
      <c r="EF220" s="15"/>
      <c r="EG220" s="15"/>
      <c r="EH220" s="15"/>
      <c r="EI220" s="15"/>
      <c r="EJ220" s="15"/>
      <c r="EK220" s="15"/>
      <c r="EL220" s="15"/>
      <c r="EM220" s="15"/>
      <c r="EN220" s="15"/>
      <c r="EO220" s="15"/>
      <c r="EP220" s="15"/>
      <c r="EQ220" s="15"/>
      <c r="ER220" s="15"/>
      <c r="ES220" s="15"/>
      <c r="ET220" s="15"/>
      <c r="EU220" s="15"/>
      <c r="EV220" s="15"/>
      <c r="EW220" s="15"/>
      <c r="EX220" s="15"/>
      <c r="EY220" s="15"/>
      <c r="EZ220" s="15"/>
      <c r="FA220" s="15"/>
      <c r="FB220" s="15"/>
      <c r="FC220" s="15"/>
      <c r="FD220" s="15"/>
      <c r="FE220" s="15"/>
      <c r="FF220" s="15"/>
      <c r="FG220" s="15"/>
      <c r="FH220" s="15"/>
      <c r="FI220" s="15"/>
      <c r="FJ220" s="15"/>
      <c r="FK220" s="15"/>
      <c r="FL220" s="15"/>
      <c r="FM220" s="15"/>
      <c r="FN220" s="15"/>
      <c r="FO220" s="15"/>
      <c r="FP220" s="15"/>
      <c r="FQ220" s="15"/>
      <c r="FR220" s="15"/>
      <c r="FS220" s="15"/>
      <c r="FT220" s="15"/>
      <c r="FU220" s="15"/>
      <c r="FV220" s="15"/>
      <c r="FW220" s="15"/>
      <c r="FX220" s="15"/>
      <c r="FY220" s="15"/>
      <c r="FZ220" s="15"/>
      <c r="GA220" s="15"/>
      <c r="GB220" s="15"/>
      <c r="GC220" s="15"/>
      <c r="GD220" s="15"/>
      <c r="GE220" s="15"/>
      <c r="GF220" s="15"/>
      <c r="GG220" s="15"/>
      <c r="GH220" s="15"/>
      <c r="GI220" s="15"/>
      <c r="GJ220" s="15"/>
      <c r="GK220" s="15"/>
      <c r="GL220" s="15"/>
      <c r="GM220" s="15"/>
      <c r="GN220" s="15"/>
      <c r="GO220" s="15"/>
      <c r="GP220" s="15"/>
      <c r="GQ220" s="15"/>
      <c r="GR220" s="15"/>
      <c r="GS220" s="15"/>
      <c r="GT220" s="15"/>
      <c r="GU220" s="15"/>
      <c r="GV220" s="15"/>
      <c r="GW220" s="15"/>
      <c r="GX220" s="15"/>
      <c r="GY220" s="15"/>
      <c r="GZ220" s="15"/>
      <c r="HA220" s="15"/>
      <c r="HB220" s="15"/>
      <c r="HC220" s="15"/>
      <c r="HD220" s="15"/>
      <c r="HE220" s="15"/>
      <c r="HF220" s="15"/>
      <c r="HG220" s="15"/>
      <c r="HH220" s="15"/>
      <c r="HI220" s="15"/>
      <c r="HJ220" s="15"/>
      <c r="HK220" s="15"/>
      <c r="HL220" s="15"/>
      <c r="HM220" s="15"/>
      <c r="HN220" s="15"/>
      <c r="HO220" s="15"/>
      <c r="HP220" s="15"/>
      <c r="HQ220" s="15"/>
      <c r="HR220" s="15"/>
      <c r="HS220" s="15"/>
      <c r="HT220" s="15"/>
      <c r="HU220" s="15"/>
      <c r="HV220" s="15"/>
      <c r="HW220" s="15"/>
      <c r="HX220" s="15"/>
      <c r="HY220" s="15"/>
      <c r="HZ220" s="15"/>
      <c r="IA220" s="15"/>
      <c r="IB220" s="15"/>
      <c r="IC220" s="15"/>
      <c r="ID220" s="15"/>
      <c r="IE220" s="15"/>
      <c r="IF220" s="15"/>
      <c r="IG220" s="15"/>
      <c r="IH220" s="15"/>
      <c r="II220" s="15"/>
      <c r="IJ220" s="15"/>
      <c r="IK220" s="15"/>
      <c r="IL220" s="15"/>
      <c r="IM220" s="15"/>
      <c r="IN220" s="15"/>
      <c r="IO220" s="15"/>
      <c r="IP220" s="15"/>
      <c r="IQ220" s="15"/>
      <c r="IR220" s="15"/>
      <c r="IS220" s="15"/>
      <c r="IT220" s="15"/>
      <c r="IU220" s="15"/>
      <c r="IV220" s="15"/>
      <c r="IW220" s="15"/>
      <c r="IX220" s="15"/>
      <c r="IY220" s="15"/>
      <c r="IZ220" s="15"/>
      <c r="JA220" s="15"/>
      <c r="JB220" s="15"/>
      <c r="JC220" s="15"/>
      <c r="JD220" s="15"/>
      <c r="JE220" s="15"/>
      <c r="JF220" s="15"/>
      <c r="JG220" s="15"/>
      <c r="JH220" s="15"/>
      <c r="JI220" s="15"/>
      <c r="JJ220" s="15"/>
      <c r="JK220" s="15"/>
      <c r="JL220" s="15"/>
      <c r="JM220" s="15"/>
      <c r="JN220" s="15"/>
      <c r="JO220" s="15"/>
      <c r="JP220" s="15"/>
      <c r="JQ220" s="15"/>
      <c r="JR220" s="15"/>
      <c r="JS220" s="15"/>
      <c r="JT220" s="15"/>
      <c r="JU220" s="15"/>
      <c r="JV220" s="15"/>
      <c r="JW220" s="15"/>
      <c r="JX220" s="15"/>
      <c r="JY220" s="15"/>
      <c r="JZ220" s="15"/>
      <c r="KA220" s="15"/>
      <c r="KB220" s="15"/>
      <c r="KC220" s="15"/>
      <c r="KD220" s="15"/>
      <c r="KE220" s="15"/>
      <c r="KF220" s="15"/>
      <c r="KG220" s="15"/>
      <c r="KH220" s="15"/>
      <c r="KI220" s="15"/>
      <c r="KJ220" s="15"/>
      <c r="KK220" s="15"/>
      <c r="KL220" s="15"/>
      <c r="KM220" s="15"/>
      <c r="KN220" s="15"/>
      <c r="KO220" s="15"/>
      <c r="KP220" s="15"/>
      <c r="KQ220" s="15"/>
      <c r="KR220" s="15"/>
      <c r="KS220" s="15"/>
      <c r="KT220" s="15"/>
      <c r="KU220" s="15"/>
      <c r="KV220" s="15"/>
      <c r="KW220" s="15"/>
      <c r="KX220" s="15"/>
      <c r="KY220" s="15"/>
      <c r="KZ220" s="15"/>
      <c r="LA220" s="15"/>
      <c r="LB220" s="15"/>
      <c r="LC220" s="15"/>
      <c r="LD220" s="15"/>
      <c r="LE220" s="15"/>
      <c r="LF220" s="15"/>
      <c r="LG220" s="15"/>
      <c r="LH220" s="15"/>
      <c r="LI220" s="15"/>
      <c r="LJ220" s="15"/>
      <c r="LK220" s="15"/>
      <c r="LL220" s="15"/>
      <c r="LM220" s="15"/>
      <c r="LN220" s="15"/>
      <c r="LO220" s="15"/>
      <c r="LP220" s="15"/>
      <c r="LQ220" s="15"/>
      <c r="LR220" s="15"/>
      <c r="LS220" s="15"/>
      <c r="LT220" s="15"/>
      <c r="LU220" s="15"/>
      <c r="LV220" s="15"/>
      <c r="LW220" s="15"/>
      <c r="LX220" s="15"/>
      <c r="LY220" s="15"/>
      <c r="LZ220" s="15"/>
      <c r="MA220" s="15"/>
      <c r="MB220" s="15"/>
      <c r="MC220" s="15"/>
      <c r="MD220" s="15"/>
      <c r="ME220" s="15"/>
      <c r="MF220" s="15"/>
      <c r="MG220" s="15"/>
      <c r="MH220" s="15"/>
      <c r="MI220" s="15"/>
      <c r="MJ220" s="15"/>
      <c r="MK220" s="15"/>
      <c r="ML220" s="15"/>
      <c r="MM220" s="15"/>
      <c r="MN220" s="15"/>
      <c r="MO220" s="15"/>
      <c r="MP220" s="15"/>
      <c r="MQ220" s="15"/>
      <c r="MR220" s="15"/>
      <c r="MS220" s="15"/>
      <c r="MT220" s="15"/>
      <c r="MU220" s="15"/>
      <c r="MV220" s="15"/>
      <c r="MW220" s="15"/>
    </row>
    <row r="221" ht="119.25" customHeight="1">
      <c r="A221" s="13" t="s">
        <v>220</v>
      </c>
      <c r="B221" s="14" t="s">
        <v>10242</v>
      </c>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c r="DE221" s="15"/>
      <c r="DF221" s="15"/>
      <c r="DG221" s="15"/>
      <c r="DH221" s="15"/>
      <c r="DI221" s="15"/>
      <c r="DJ221" s="15"/>
      <c r="DK221" s="15"/>
      <c r="DL221" s="15"/>
      <c r="DM221" s="15"/>
      <c r="DN221" s="15"/>
      <c r="DO221" s="15"/>
      <c r="DP221" s="15"/>
      <c r="DQ221" s="15"/>
      <c r="DR221" s="15"/>
      <c r="DS221" s="15"/>
      <c r="DT221" s="15"/>
      <c r="DU221" s="15"/>
      <c r="DV221" s="15"/>
      <c r="DW221" s="15"/>
      <c r="DX221" s="15"/>
      <c r="DY221" s="15"/>
      <c r="DZ221" s="15"/>
      <c r="EA221" s="15"/>
      <c r="EB221" s="15"/>
      <c r="EC221" s="15"/>
      <c r="ED221" s="15"/>
      <c r="EE221" s="15"/>
      <c r="EF221" s="15"/>
      <c r="EG221" s="15"/>
      <c r="EH221" s="15"/>
      <c r="EI221" s="15"/>
      <c r="EJ221" s="15"/>
      <c r="EK221" s="15"/>
      <c r="EL221" s="15"/>
      <c r="EM221" s="15"/>
      <c r="EN221" s="15"/>
      <c r="EO221" s="15"/>
      <c r="EP221" s="15"/>
      <c r="EQ221" s="15"/>
      <c r="ER221" s="15"/>
      <c r="ES221" s="15"/>
      <c r="ET221" s="15"/>
      <c r="EU221" s="15"/>
      <c r="EV221" s="15"/>
      <c r="EW221" s="15"/>
      <c r="EX221" s="15"/>
      <c r="EY221" s="15"/>
      <c r="EZ221" s="15"/>
      <c r="FA221" s="15"/>
      <c r="FB221" s="15"/>
      <c r="FC221" s="15"/>
      <c r="FD221" s="15"/>
      <c r="FE221" s="15"/>
      <c r="FF221" s="15"/>
      <c r="FG221" s="15"/>
      <c r="FH221" s="15"/>
      <c r="FI221" s="15"/>
      <c r="FJ221" s="15"/>
      <c r="FK221" s="15"/>
      <c r="FL221" s="15"/>
      <c r="FM221" s="15"/>
      <c r="FN221" s="15"/>
      <c r="FO221" s="15"/>
      <c r="FP221" s="15"/>
      <c r="FQ221" s="15"/>
      <c r="FR221" s="15"/>
      <c r="FS221" s="15"/>
      <c r="FT221" s="15"/>
      <c r="FU221" s="15"/>
      <c r="FV221" s="15"/>
      <c r="FW221" s="15"/>
      <c r="FX221" s="15"/>
      <c r="FY221" s="15"/>
      <c r="FZ221" s="15"/>
      <c r="GA221" s="15"/>
      <c r="GB221" s="15"/>
      <c r="GC221" s="15"/>
      <c r="GD221" s="15"/>
      <c r="GE221" s="15"/>
      <c r="GF221" s="15"/>
      <c r="GG221" s="15"/>
      <c r="GH221" s="15"/>
      <c r="GI221" s="15"/>
      <c r="GJ221" s="15"/>
      <c r="GK221" s="15"/>
      <c r="GL221" s="15"/>
      <c r="GM221" s="15"/>
      <c r="GN221" s="15"/>
      <c r="GO221" s="15"/>
      <c r="GP221" s="15"/>
      <c r="GQ221" s="15"/>
      <c r="GR221" s="15"/>
      <c r="GS221" s="15"/>
      <c r="GT221" s="15"/>
      <c r="GU221" s="15"/>
      <c r="GV221" s="15"/>
      <c r="GW221" s="15"/>
      <c r="GX221" s="15"/>
      <c r="GY221" s="15"/>
      <c r="GZ221" s="15"/>
      <c r="HA221" s="15"/>
      <c r="HB221" s="15"/>
      <c r="HC221" s="15"/>
      <c r="HD221" s="15"/>
      <c r="HE221" s="15"/>
      <c r="HF221" s="15"/>
      <c r="HG221" s="15"/>
      <c r="HH221" s="15"/>
      <c r="HI221" s="15"/>
      <c r="HJ221" s="15"/>
      <c r="HK221" s="15"/>
      <c r="HL221" s="15"/>
      <c r="HM221" s="15"/>
      <c r="HN221" s="15"/>
      <c r="HO221" s="15"/>
      <c r="HP221" s="15"/>
      <c r="HQ221" s="15"/>
      <c r="HR221" s="15"/>
      <c r="HS221" s="15"/>
      <c r="HT221" s="15"/>
      <c r="HU221" s="15"/>
      <c r="HV221" s="15"/>
      <c r="HW221" s="15"/>
      <c r="HX221" s="15"/>
      <c r="HY221" s="15"/>
      <c r="HZ221" s="15"/>
      <c r="IA221" s="15"/>
      <c r="IB221" s="15"/>
      <c r="IC221" s="15"/>
      <c r="ID221" s="15"/>
      <c r="IE221" s="15"/>
      <c r="IF221" s="15"/>
      <c r="IG221" s="15"/>
      <c r="IH221" s="15"/>
      <c r="II221" s="15"/>
      <c r="IJ221" s="15"/>
      <c r="IK221" s="15"/>
      <c r="IL221" s="15"/>
      <c r="IM221" s="15"/>
      <c r="IN221" s="15"/>
      <c r="IO221" s="15"/>
      <c r="IP221" s="15"/>
      <c r="IQ221" s="15"/>
      <c r="IR221" s="15"/>
      <c r="IS221" s="15"/>
      <c r="IT221" s="15"/>
      <c r="IU221" s="15"/>
      <c r="IV221" s="15"/>
      <c r="IW221" s="15"/>
      <c r="IX221" s="15"/>
      <c r="IY221" s="15"/>
      <c r="IZ221" s="15"/>
      <c r="JA221" s="15"/>
      <c r="JB221" s="15"/>
      <c r="JC221" s="15"/>
      <c r="JD221" s="15"/>
      <c r="JE221" s="15"/>
      <c r="JF221" s="15"/>
      <c r="JG221" s="15"/>
      <c r="JH221" s="15"/>
      <c r="JI221" s="15"/>
      <c r="JJ221" s="15"/>
      <c r="JK221" s="15"/>
      <c r="JL221" s="15"/>
      <c r="JM221" s="15"/>
      <c r="JN221" s="15"/>
      <c r="JO221" s="15"/>
      <c r="JP221" s="15"/>
      <c r="JQ221" s="15"/>
      <c r="JR221" s="15"/>
      <c r="JS221" s="15"/>
      <c r="JT221" s="15"/>
      <c r="JU221" s="15"/>
      <c r="JV221" s="15"/>
      <c r="JW221" s="15"/>
      <c r="JX221" s="15"/>
      <c r="JY221" s="15"/>
      <c r="JZ221" s="15"/>
      <c r="KA221" s="15"/>
      <c r="KB221" s="15"/>
      <c r="KC221" s="15"/>
      <c r="KD221" s="15"/>
      <c r="KE221" s="15"/>
      <c r="KF221" s="15"/>
      <c r="KG221" s="15"/>
      <c r="KH221" s="15"/>
      <c r="KI221" s="15"/>
      <c r="KJ221" s="15"/>
      <c r="KK221" s="15"/>
      <c r="KL221" s="15"/>
      <c r="KM221" s="15"/>
      <c r="KN221" s="15"/>
      <c r="KO221" s="15"/>
      <c r="KP221" s="15"/>
      <c r="KQ221" s="15"/>
      <c r="KR221" s="15"/>
      <c r="KS221" s="15"/>
      <c r="KT221" s="15"/>
      <c r="KU221" s="15"/>
      <c r="KV221" s="15"/>
      <c r="KW221" s="15"/>
      <c r="KX221" s="15"/>
      <c r="KY221" s="15"/>
      <c r="KZ221" s="15"/>
      <c r="LA221" s="15"/>
      <c r="LB221" s="15"/>
      <c r="LC221" s="15"/>
      <c r="LD221" s="15"/>
      <c r="LE221" s="15"/>
      <c r="LF221" s="15"/>
      <c r="LG221" s="15"/>
      <c r="LH221" s="15"/>
      <c r="LI221" s="15"/>
      <c r="LJ221" s="15"/>
      <c r="LK221" s="15"/>
      <c r="LL221" s="15"/>
      <c r="LM221" s="15"/>
      <c r="LN221" s="15"/>
      <c r="LO221" s="15"/>
      <c r="LP221" s="15"/>
      <c r="LQ221" s="15"/>
      <c r="LR221" s="15"/>
      <c r="LS221" s="15"/>
      <c r="LT221" s="15"/>
      <c r="LU221" s="15"/>
      <c r="LV221" s="15"/>
      <c r="LW221" s="15"/>
      <c r="LX221" s="15"/>
      <c r="LY221" s="15"/>
      <c r="LZ221" s="15"/>
      <c r="MA221" s="15"/>
      <c r="MB221" s="15"/>
      <c r="MC221" s="15"/>
      <c r="MD221" s="15"/>
      <c r="ME221" s="15"/>
      <c r="MF221" s="15"/>
      <c r="MG221" s="15"/>
      <c r="MH221" s="15"/>
      <c r="MI221" s="15"/>
      <c r="MJ221" s="15"/>
      <c r="MK221" s="15"/>
      <c r="ML221" s="15"/>
      <c r="MM221" s="15"/>
      <c r="MN221" s="15"/>
      <c r="MO221" s="15"/>
      <c r="MP221" s="15"/>
      <c r="MQ221" s="15"/>
      <c r="MR221" s="15"/>
      <c r="MS221" s="15"/>
      <c r="MT221" s="15"/>
      <c r="MU221" s="15"/>
      <c r="MV221" s="15"/>
      <c r="MW221" s="15"/>
    </row>
    <row r="222" ht="41.25" customHeight="1">
      <c r="A222" s="13" t="s">
        <v>221</v>
      </c>
      <c r="B222" s="14" t="s">
        <v>10243</v>
      </c>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c r="DE222" s="15"/>
      <c r="DF222" s="15"/>
      <c r="DG222" s="15"/>
      <c r="DH222" s="15"/>
      <c r="DI222" s="15"/>
      <c r="DJ222" s="15"/>
      <c r="DK222" s="15"/>
      <c r="DL222" s="15"/>
      <c r="DM222" s="15"/>
      <c r="DN222" s="15"/>
      <c r="DO222" s="15"/>
      <c r="DP222" s="15"/>
      <c r="DQ222" s="15"/>
      <c r="DR222" s="15"/>
      <c r="DS222" s="15"/>
      <c r="DT222" s="15"/>
      <c r="DU222" s="15"/>
      <c r="DV222" s="15"/>
      <c r="DW222" s="15"/>
      <c r="DX222" s="15"/>
      <c r="DY222" s="15"/>
      <c r="DZ222" s="15"/>
      <c r="EA222" s="15"/>
      <c r="EB222" s="15"/>
      <c r="EC222" s="15"/>
      <c r="ED222" s="15"/>
      <c r="EE222" s="15"/>
      <c r="EF222" s="15"/>
      <c r="EG222" s="15"/>
      <c r="EH222" s="15"/>
      <c r="EI222" s="15"/>
      <c r="EJ222" s="15"/>
      <c r="EK222" s="15"/>
      <c r="EL222" s="15"/>
      <c r="EM222" s="15"/>
      <c r="EN222" s="15"/>
      <c r="EO222" s="15"/>
      <c r="EP222" s="15"/>
      <c r="EQ222" s="15"/>
      <c r="ER222" s="15"/>
      <c r="ES222" s="15"/>
      <c r="ET222" s="15"/>
      <c r="EU222" s="15"/>
      <c r="EV222" s="15"/>
      <c r="EW222" s="15"/>
      <c r="EX222" s="15"/>
      <c r="EY222" s="15"/>
      <c r="EZ222" s="15"/>
      <c r="FA222" s="15"/>
      <c r="FB222" s="15"/>
      <c r="FC222" s="15"/>
      <c r="FD222" s="15"/>
      <c r="FE222" s="15"/>
      <c r="FF222" s="15"/>
      <c r="FG222" s="15"/>
      <c r="FH222" s="15"/>
      <c r="FI222" s="15"/>
      <c r="FJ222" s="15"/>
      <c r="FK222" s="15"/>
      <c r="FL222" s="15"/>
      <c r="FM222" s="15"/>
      <c r="FN222" s="15"/>
      <c r="FO222" s="15"/>
      <c r="FP222" s="15"/>
      <c r="FQ222" s="15"/>
      <c r="FR222" s="15"/>
      <c r="FS222" s="15"/>
      <c r="FT222" s="15"/>
      <c r="FU222" s="15"/>
      <c r="FV222" s="15"/>
      <c r="FW222" s="15"/>
      <c r="FX222" s="15"/>
      <c r="FY222" s="15"/>
      <c r="FZ222" s="15"/>
      <c r="GA222" s="15"/>
      <c r="GB222" s="15"/>
      <c r="GC222" s="15"/>
      <c r="GD222" s="15"/>
      <c r="GE222" s="15"/>
      <c r="GF222" s="15"/>
      <c r="GG222" s="15"/>
      <c r="GH222" s="15"/>
      <c r="GI222" s="15"/>
      <c r="GJ222" s="15"/>
      <c r="GK222" s="15"/>
      <c r="GL222" s="15"/>
      <c r="GM222" s="15"/>
      <c r="GN222" s="15"/>
      <c r="GO222" s="15"/>
      <c r="GP222" s="15"/>
      <c r="GQ222" s="15"/>
      <c r="GR222" s="15"/>
      <c r="GS222" s="15"/>
      <c r="GT222" s="15"/>
      <c r="GU222" s="15"/>
      <c r="GV222" s="15"/>
      <c r="GW222" s="15"/>
      <c r="GX222" s="15"/>
      <c r="GY222" s="15"/>
      <c r="GZ222" s="15"/>
      <c r="HA222" s="15"/>
      <c r="HB222" s="15"/>
      <c r="HC222" s="15"/>
      <c r="HD222" s="15"/>
      <c r="HE222" s="15"/>
      <c r="HF222" s="15"/>
      <c r="HG222" s="15"/>
      <c r="HH222" s="15"/>
      <c r="HI222" s="15"/>
      <c r="HJ222" s="15"/>
      <c r="HK222" s="15"/>
      <c r="HL222" s="15"/>
      <c r="HM222" s="15"/>
      <c r="HN222" s="15"/>
      <c r="HO222" s="15"/>
      <c r="HP222" s="15"/>
      <c r="HQ222" s="15"/>
      <c r="HR222" s="15"/>
      <c r="HS222" s="15"/>
      <c r="HT222" s="15"/>
      <c r="HU222" s="15"/>
      <c r="HV222" s="15"/>
      <c r="HW222" s="15"/>
      <c r="HX222" s="15"/>
      <c r="HY222" s="15"/>
      <c r="HZ222" s="15"/>
      <c r="IA222" s="15"/>
      <c r="IB222" s="15"/>
      <c r="IC222" s="15"/>
      <c r="ID222" s="15"/>
      <c r="IE222" s="15"/>
      <c r="IF222" s="15"/>
      <c r="IG222" s="15"/>
      <c r="IH222" s="15"/>
      <c r="II222" s="15"/>
      <c r="IJ222" s="15"/>
      <c r="IK222" s="15"/>
      <c r="IL222" s="15"/>
      <c r="IM222" s="15"/>
      <c r="IN222" s="15"/>
      <c r="IO222" s="15"/>
      <c r="IP222" s="15"/>
      <c r="IQ222" s="15"/>
      <c r="IR222" s="15"/>
      <c r="IS222" s="15"/>
      <c r="IT222" s="15"/>
      <c r="IU222" s="15"/>
      <c r="IV222" s="15"/>
      <c r="IW222" s="15"/>
      <c r="IX222" s="15"/>
      <c r="IY222" s="15"/>
      <c r="IZ222" s="15"/>
      <c r="JA222" s="15"/>
      <c r="JB222" s="15"/>
      <c r="JC222" s="15"/>
      <c r="JD222" s="15"/>
      <c r="JE222" s="15"/>
      <c r="JF222" s="15"/>
      <c r="JG222" s="15"/>
      <c r="JH222" s="15"/>
      <c r="JI222" s="15"/>
      <c r="JJ222" s="15"/>
      <c r="JK222" s="15"/>
      <c r="JL222" s="15"/>
      <c r="JM222" s="15"/>
      <c r="JN222" s="15"/>
      <c r="JO222" s="15"/>
      <c r="JP222" s="15"/>
      <c r="JQ222" s="15"/>
      <c r="JR222" s="15"/>
      <c r="JS222" s="15"/>
      <c r="JT222" s="15"/>
      <c r="JU222" s="15"/>
      <c r="JV222" s="15"/>
      <c r="JW222" s="15"/>
      <c r="JX222" s="15"/>
      <c r="JY222" s="15"/>
      <c r="JZ222" s="15"/>
      <c r="KA222" s="15"/>
      <c r="KB222" s="15"/>
      <c r="KC222" s="15"/>
      <c r="KD222" s="15"/>
      <c r="KE222" s="15"/>
      <c r="KF222" s="15"/>
      <c r="KG222" s="15"/>
      <c r="KH222" s="15"/>
      <c r="KI222" s="15"/>
      <c r="KJ222" s="15"/>
      <c r="KK222" s="15"/>
      <c r="KL222" s="15"/>
      <c r="KM222" s="15"/>
      <c r="KN222" s="15"/>
      <c r="KO222" s="15"/>
      <c r="KP222" s="15"/>
      <c r="KQ222" s="15"/>
      <c r="KR222" s="15"/>
      <c r="KS222" s="15"/>
      <c r="KT222" s="15"/>
      <c r="KU222" s="15"/>
      <c r="KV222" s="15"/>
      <c r="KW222" s="15"/>
      <c r="KX222" s="15"/>
      <c r="KY222" s="15"/>
      <c r="KZ222" s="15"/>
      <c r="LA222" s="15"/>
      <c r="LB222" s="15"/>
      <c r="LC222" s="15"/>
      <c r="LD222" s="15"/>
      <c r="LE222" s="15"/>
      <c r="LF222" s="15"/>
      <c r="LG222" s="15"/>
      <c r="LH222" s="15"/>
      <c r="LI222" s="15"/>
      <c r="LJ222" s="15"/>
      <c r="LK222" s="15"/>
      <c r="LL222" s="15"/>
      <c r="LM222" s="15"/>
      <c r="LN222" s="15"/>
      <c r="LO222" s="15"/>
      <c r="LP222" s="15"/>
      <c r="LQ222" s="15"/>
      <c r="LR222" s="15"/>
      <c r="LS222" s="15"/>
      <c r="LT222" s="15"/>
      <c r="LU222" s="15"/>
      <c r="LV222" s="15"/>
      <c r="LW222" s="15"/>
      <c r="LX222" s="15"/>
      <c r="LY222" s="15"/>
      <c r="LZ222" s="15"/>
      <c r="MA222" s="15"/>
      <c r="MB222" s="15"/>
      <c r="MC222" s="15"/>
      <c r="MD222" s="15"/>
      <c r="ME222" s="15"/>
      <c r="MF222" s="15"/>
      <c r="MG222" s="15"/>
      <c r="MH222" s="15"/>
      <c r="MI222" s="15"/>
      <c r="MJ222" s="15"/>
      <c r="MK222" s="15"/>
      <c r="ML222" s="15"/>
      <c r="MM222" s="15"/>
      <c r="MN222" s="15"/>
      <c r="MO222" s="15"/>
      <c r="MP222" s="15"/>
      <c r="MQ222" s="15"/>
      <c r="MR222" s="15"/>
      <c r="MS222" s="15"/>
      <c r="MT222" s="15"/>
      <c r="MU222" s="15"/>
      <c r="MV222" s="15"/>
      <c r="MW222" s="15"/>
    </row>
    <row r="223" ht="119.25" customHeight="1">
      <c r="A223" s="13" t="s">
        <v>222</v>
      </c>
      <c r="B223" s="14" t="s">
        <v>10244</v>
      </c>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c r="DE223" s="15"/>
      <c r="DF223" s="15"/>
      <c r="DG223" s="15"/>
      <c r="DH223" s="15"/>
      <c r="DI223" s="15"/>
      <c r="DJ223" s="15"/>
      <c r="DK223" s="15"/>
      <c r="DL223" s="15"/>
      <c r="DM223" s="15"/>
      <c r="DN223" s="15"/>
      <c r="DO223" s="15"/>
      <c r="DP223" s="15"/>
      <c r="DQ223" s="15"/>
      <c r="DR223" s="15"/>
      <c r="DS223" s="15"/>
      <c r="DT223" s="15"/>
      <c r="DU223" s="15"/>
      <c r="DV223" s="15"/>
      <c r="DW223" s="15"/>
      <c r="DX223" s="15"/>
      <c r="DY223" s="15"/>
      <c r="DZ223" s="15"/>
      <c r="EA223" s="15"/>
      <c r="EB223" s="15"/>
      <c r="EC223" s="15"/>
      <c r="ED223" s="15"/>
      <c r="EE223" s="15"/>
      <c r="EF223" s="15"/>
      <c r="EG223" s="15"/>
      <c r="EH223" s="15"/>
      <c r="EI223" s="15"/>
      <c r="EJ223" s="15"/>
      <c r="EK223" s="15"/>
      <c r="EL223" s="15"/>
      <c r="EM223" s="15"/>
      <c r="EN223" s="15"/>
      <c r="EO223" s="15"/>
      <c r="EP223" s="15"/>
      <c r="EQ223" s="15"/>
      <c r="ER223" s="15"/>
      <c r="ES223" s="15"/>
      <c r="ET223" s="15"/>
      <c r="EU223" s="15"/>
      <c r="EV223" s="15"/>
      <c r="EW223" s="15"/>
      <c r="EX223" s="15"/>
      <c r="EY223" s="15"/>
      <c r="EZ223" s="15"/>
      <c r="FA223" s="15"/>
      <c r="FB223" s="15"/>
      <c r="FC223" s="15"/>
      <c r="FD223" s="15"/>
      <c r="FE223" s="15"/>
      <c r="FF223" s="15"/>
      <c r="FG223" s="15"/>
      <c r="FH223" s="15"/>
      <c r="FI223" s="15"/>
      <c r="FJ223" s="15"/>
      <c r="FK223" s="15"/>
      <c r="FL223" s="15"/>
      <c r="FM223" s="15"/>
      <c r="FN223" s="15"/>
      <c r="FO223" s="15"/>
      <c r="FP223" s="15"/>
      <c r="FQ223" s="15"/>
      <c r="FR223" s="15"/>
      <c r="FS223" s="15"/>
      <c r="FT223" s="15"/>
      <c r="FU223" s="15"/>
      <c r="FV223" s="15"/>
      <c r="FW223" s="15"/>
      <c r="FX223" s="15"/>
      <c r="FY223" s="15"/>
      <c r="FZ223" s="15"/>
      <c r="GA223" s="15"/>
      <c r="GB223" s="15"/>
      <c r="GC223" s="15"/>
      <c r="GD223" s="15"/>
      <c r="GE223" s="15"/>
      <c r="GF223" s="15"/>
      <c r="GG223" s="15"/>
      <c r="GH223" s="15"/>
      <c r="GI223" s="15"/>
      <c r="GJ223" s="15"/>
      <c r="GK223" s="15"/>
      <c r="GL223" s="15"/>
      <c r="GM223" s="15"/>
      <c r="GN223" s="15"/>
      <c r="GO223" s="15"/>
      <c r="GP223" s="15"/>
      <c r="GQ223" s="15"/>
      <c r="GR223" s="15"/>
      <c r="GS223" s="15"/>
      <c r="GT223" s="15"/>
      <c r="GU223" s="15"/>
      <c r="GV223" s="15"/>
      <c r="GW223" s="15"/>
      <c r="GX223" s="15"/>
      <c r="GY223" s="15"/>
      <c r="GZ223" s="15"/>
      <c r="HA223" s="15"/>
      <c r="HB223" s="15"/>
      <c r="HC223" s="15"/>
      <c r="HD223" s="15"/>
      <c r="HE223" s="15"/>
      <c r="HF223" s="15"/>
      <c r="HG223" s="15"/>
      <c r="HH223" s="15"/>
      <c r="HI223" s="15"/>
      <c r="HJ223" s="15"/>
      <c r="HK223" s="15"/>
      <c r="HL223" s="15"/>
      <c r="HM223" s="15"/>
      <c r="HN223" s="15"/>
      <c r="HO223" s="15"/>
      <c r="HP223" s="15"/>
      <c r="HQ223" s="15"/>
      <c r="HR223" s="15"/>
      <c r="HS223" s="15"/>
      <c r="HT223" s="15"/>
      <c r="HU223" s="15"/>
      <c r="HV223" s="15"/>
      <c r="HW223" s="15"/>
      <c r="HX223" s="15"/>
      <c r="HY223" s="15"/>
      <c r="HZ223" s="15"/>
      <c r="IA223" s="15"/>
      <c r="IB223" s="15"/>
      <c r="IC223" s="15"/>
      <c r="ID223" s="15"/>
      <c r="IE223" s="15"/>
      <c r="IF223" s="15"/>
      <c r="IG223" s="15"/>
      <c r="IH223" s="15"/>
      <c r="II223" s="15"/>
      <c r="IJ223" s="15"/>
      <c r="IK223" s="15"/>
      <c r="IL223" s="15"/>
      <c r="IM223" s="15"/>
      <c r="IN223" s="15"/>
      <c r="IO223" s="15"/>
      <c r="IP223" s="15"/>
      <c r="IQ223" s="15"/>
      <c r="IR223" s="15"/>
      <c r="IS223" s="15"/>
      <c r="IT223" s="15"/>
      <c r="IU223" s="15"/>
      <c r="IV223" s="15"/>
      <c r="IW223" s="15"/>
      <c r="IX223" s="15"/>
      <c r="IY223" s="15"/>
      <c r="IZ223" s="15"/>
      <c r="JA223" s="15"/>
      <c r="JB223" s="15"/>
      <c r="JC223" s="15"/>
      <c r="JD223" s="15"/>
      <c r="JE223" s="15"/>
      <c r="JF223" s="15"/>
      <c r="JG223" s="15"/>
      <c r="JH223" s="15"/>
      <c r="JI223" s="15"/>
      <c r="JJ223" s="15"/>
      <c r="JK223" s="15"/>
      <c r="JL223" s="15"/>
      <c r="JM223" s="15"/>
      <c r="JN223" s="15"/>
      <c r="JO223" s="15"/>
      <c r="JP223" s="15"/>
      <c r="JQ223" s="15"/>
      <c r="JR223" s="15"/>
      <c r="JS223" s="15"/>
      <c r="JT223" s="15"/>
      <c r="JU223" s="15"/>
      <c r="JV223" s="15"/>
      <c r="JW223" s="15"/>
      <c r="JX223" s="15"/>
      <c r="JY223" s="15"/>
      <c r="JZ223" s="15"/>
      <c r="KA223" s="15"/>
      <c r="KB223" s="15"/>
      <c r="KC223" s="15"/>
      <c r="KD223" s="15"/>
      <c r="KE223" s="15"/>
      <c r="KF223" s="15"/>
      <c r="KG223" s="15"/>
      <c r="KH223" s="15"/>
      <c r="KI223" s="15"/>
      <c r="KJ223" s="15"/>
      <c r="KK223" s="15"/>
      <c r="KL223" s="15"/>
      <c r="KM223" s="15"/>
      <c r="KN223" s="15"/>
      <c r="KO223" s="15"/>
      <c r="KP223" s="15"/>
      <c r="KQ223" s="15"/>
      <c r="KR223" s="15"/>
      <c r="KS223" s="15"/>
      <c r="KT223" s="15"/>
      <c r="KU223" s="15"/>
      <c r="KV223" s="15"/>
      <c r="KW223" s="15"/>
      <c r="KX223" s="15"/>
      <c r="KY223" s="15"/>
      <c r="KZ223" s="15"/>
      <c r="LA223" s="15"/>
      <c r="LB223" s="15"/>
      <c r="LC223" s="15"/>
      <c r="LD223" s="15"/>
      <c r="LE223" s="15"/>
      <c r="LF223" s="15"/>
      <c r="LG223" s="15"/>
      <c r="LH223" s="15"/>
      <c r="LI223" s="15"/>
      <c r="LJ223" s="15"/>
      <c r="LK223" s="15"/>
      <c r="LL223" s="15"/>
      <c r="LM223" s="15"/>
      <c r="LN223" s="15"/>
      <c r="LO223" s="15"/>
      <c r="LP223" s="15"/>
      <c r="LQ223" s="15"/>
      <c r="LR223" s="15"/>
      <c r="LS223" s="15"/>
      <c r="LT223" s="15"/>
      <c r="LU223" s="15"/>
      <c r="LV223" s="15"/>
      <c r="LW223" s="15"/>
      <c r="LX223" s="15"/>
      <c r="LY223" s="15"/>
      <c r="LZ223" s="15"/>
      <c r="MA223" s="15"/>
      <c r="MB223" s="15"/>
      <c r="MC223" s="15"/>
      <c r="MD223" s="15"/>
      <c r="ME223" s="15"/>
      <c r="MF223" s="15"/>
      <c r="MG223" s="15"/>
      <c r="MH223" s="15"/>
      <c r="MI223" s="15"/>
      <c r="MJ223" s="15"/>
      <c r="MK223" s="15"/>
      <c r="ML223" s="15"/>
      <c r="MM223" s="15"/>
      <c r="MN223" s="15"/>
      <c r="MO223" s="15"/>
      <c r="MP223" s="15"/>
      <c r="MQ223" s="15"/>
      <c r="MR223" s="15"/>
      <c r="MS223" s="15"/>
      <c r="MT223" s="15"/>
      <c r="MU223" s="15"/>
      <c r="MV223" s="15"/>
      <c r="MW223" s="15"/>
    </row>
    <row r="224" ht="41.25" customHeight="1">
      <c r="A224" s="16" t="s">
        <v>223</v>
      </c>
      <c r="B224" s="14" t="s">
        <v>10245</v>
      </c>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c r="DF224" s="15"/>
      <c r="DG224" s="15"/>
      <c r="DH224" s="15"/>
      <c r="DI224" s="15"/>
      <c r="DJ224" s="15"/>
      <c r="DK224" s="15"/>
      <c r="DL224" s="15"/>
      <c r="DM224" s="15"/>
      <c r="DN224" s="15"/>
      <c r="DO224" s="15"/>
      <c r="DP224" s="15"/>
      <c r="DQ224" s="15"/>
      <c r="DR224" s="15"/>
      <c r="DS224" s="15"/>
      <c r="DT224" s="15"/>
      <c r="DU224" s="15"/>
      <c r="DV224" s="15"/>
      <c r="DW224" s="15"/>
      <c r="DX224" s="15"/>
      <c r="DY224" s="15"/>
      <c r="DZ224" s="15"/>
      <c r="EA224" s="15"/>
      <c r="EB224" s="15"/>
      <c r="EC224" s="15"/>
      <c r="ED224" s="15"/>
      <c r="EE224" s="15"/>
      <c r="EF224" s="15"/>
      <c r="EG224" s="15"/>
      <c r="EH224" s="15"/>
      <c r="EI224" s="15"/>
      <c r="EJ224" s="15"/>
      <c r="EK224" s="15"/>
      <c r="EL224" s="15"/>
      <c r="EM224" s="15"/>
      <c r="EN224" s="15"/>
      <c r="EO224" s="15"/>
      <c r="EP224" s="15"/>
      <c r="EQ224" s="15"/>
      <c r="ER224" s="15"/>
      <c r="ES224" s="15"/>
      <c r="ET224" s="15"/>
      <c r="EU224" s="15"/>
      <c r="EV224" s="15"/>
      <c r="EW224" s="15"/>
      <c r="EX224" s="15"/>
      <c r="EY224" s="15"/>
      <c r="EZ224" s="15"/>
      <c r="FA224" s="15"/>
      <c r="FB224" s="15"/>
      <c r="FC224" s="15"/>
      <c r="FD224" s="15"/>
      <c r="FE224" s="15"/>
      <c r="FF224" s="15"/>
      <c r="FG224" s="15"/>
      <c r="FH224" s="15"/>
      <c r="FI224" s="15"/>
      <c r="FJ224" s="15"/>
      <c r="FK224" s="15"/>
      <c r="FL224" s="15"/>
      <c r="FM224" s="15"/>
      <c r="FN224" s="15"/>
      <c r="FO224" s="15"/>
      <c r="FP224" s="15"/>
      <c r="FQ224" s="15"/>
      <c r="FR224" s="15"/>
      <c r="FS224" s="15"/>
      <c r="FT224" s="15"/>
      <c r="FU224" s="15"/>
      <c r="FV224" s="15"/>
      <c r="FW224" s="15"/>
      <c r="FX224" s="15"/>
      <c r="FY224" s="15"/>
      <c r="FZ224" s="15"/>
      <c r="GA224" s="15"/>
      <c r="GB224" s="15"/>
      <c r="GC224" s="15"/>
      <c r="GD224" s="15"/>
      <c r="GE224" s="15"/>
      <c r="GF224" s="15"/>
      <c r="GG224" s="15"/>
      <c r="GH224" s="15"/>
      <c r="GI224" s="15"/>
      <c r="GJ224" s="15"/>
      <c r="GK224" s="15"/>
      <c r="GL224" s="15"/>
      <c r="GM224" s="15"/>
      <c r="GN224" s="15"/>
      <c r="GO224" s="15"/>
      <c r="GP224" s="15"/>
      <c r="GQ224" s="15"/>
      <c r="GR224" s="15"/>
      <c r="GS224" s="15"/>
      <c r="GT224" s="15"/>
      <c r="GU224" s="15"/>
      <c r="GV224" s="15"/>
      <c r="GW224" s="15"/>
      <c r="GX224" s="15"/>
      <c r="GY224" s="15"/>
      <c r="GZ224" s="15"/>
      <c r="HA224" s="15"/>
      <c r="HB224" s="15"/>
      <c r="HC224" s="15"/>
      <c r="HD224" s="15"/>
      <c r="HE224" s="15"/>
      <c r="HF224" s="15"/>
      <c r="HG224" s="15"/>
      <c r="HH224" s="15"/>
      <c r="HI224" s="15"/>
      <c r="HJ224" s="15"/>
      <c r="HK224" s="15"/>
      <c r="HL224" s="15"/>
      <c r="HM224" s="15"/>
      <c r="HN224" s="15"/>
      <c r="HO224" s="15"/>
      <c r="HP224" s="15"/>
      <c r="HQ224" s="15"/>
      <c r="HR224" s="15"/>
      <c r="HS224" s="15"/>
      <c r="HT224" s="15"/>
      <c r="HU224" s="15"/>
      <c r="HV224" s="15"/>
      <c r="HW224" s="15"/>
      <c r="HX224" s="15"/>
      <c r="HY224" s="15"/>
      <c r="HZ224" s="15"/>
      <c r="IA224" s="15"/>
      <c r="IB224" s="15"/>
      <c r="IC224" s="15"/>
      <c r="ID224" s="15"/>
      <c r="IE224" s="15"/>
      <c r="IF224" s="15"/>
      <c r="IG224" s="15"/>
      <c r="IH224" s="15"/>
      <c r="II224" s="15"/>
      <c r="IJ224" s="15"/>
      <c r="IK224" s="15"/>
      <c r="IL224" s="15"/>
      <c r="IM224" s="15"/>
      <c r="IN224" s="15"/>
      <c r="IO224" s="15"/>
      <c r="IP224" s="15"/>
      <c r="IQ224" s="15"/>
      <c r="IR224" s="15"/>
      <c r="IS224" s="15"/>
      <c r="IT224" s="15"/>
      <c r="IU224" s="15"/>
      <c r="IV224" s="15"/>
      <c r="IW224" s="15"/>
      <c r="IX224" s="15"/>
      <c r="IY224" s="15"/>
      <c r="IZ224" s="15"/>
      <c r="JA224" s="15"/>
      <c r="JB224" s="15"/>
      <c r="JC224" s="15"/>
      <c r="JD224" s="15"/>
      <c r="JE224" s="15"/>
      <c r="JF224" s="15"/>
      <c r="JG224" s="15"/>
      <c r="JH224" s="15"/>
      <c r="JI224" s="15"/>
      <c r="JJ224" s="15"/>
      <c r="JK224" s="15"/>
      <c r="JL224" s="15"/>
      <c r="JM224" s="15"/>
      <c r="JN224" s="15"/>
      <c r="JO224" s="15"/>
      <c r="JP224" s="15"/>
      <c r="JQ224" s="15"/>
      <c r="JR224" s="15"/>
      <c r="JS224" s="15"/>
      <c r="JT224" s="15"/>
      <c r="JU224" s="15"/>
      <c r="JV224" s="15"/>
      <c r="JW224" s="15"/>
      <c r="JX224" s="15"/>
      <c r="JY224" s="15"/>
      <c r="JZ224" s="15"/>
      <c r="KA224" s="15"/>
      <c r="KB224" s="15"/>
      <c r="KC224" s="15"/>
      <c r="KD224" s="15"/>
      <c r="KE224" s="15"/>
      <c r="KF224" s="15"/>
      <c r="KG224" s="15"/>
      <c r="KH224" s="15"/>
      <c r="KI224" s="15"/>
      <c r="KJ224" s="15"/>
      <c r="KK224" s="15"/>
      <c r="KL224" s="15"/>
      <c r="KM224" s="15"/>
      <c r="KN224" s="15"/>
      <c r="KO224" s="15"/>
      <c r="KP224" s="15"/>
      <c r="KQ224" s="15"/>
      <c r="KR224" s="15"/>
      <c r="KS224" s="15"/>
      <c r="KT224" s="15"/>
      <c r="KU224" s="15"/>
      <c r="KV224" s="15"/>
      <c r="KW224" s="15"/>
      <c r="KX224" s="15"/>
      <c r="KY224" s="15"/>
      <c r="KZ224" s="15"/>
      <c r="LA224" s="15"/>
      <c r="LB224" s="15"/>
      <c r="LC224" s="15"/>
      <c r="LD224" s="15"/>
      <c r="LE224" s="15"/>
      <c r="LF224" s="15"/>
      <c r="LG224" s="15"/>
      <c r="LH224" s="15"/>
      <c r="LI224" s="15"/>
      <c r="LJ224" s="15"/>
      <c r="LK224" s="15"/>
      <c r="LL224" s="15"/>
      <c r="LM224" s="15"/>
      <c r="LN224" s="15"/>
      <c r="LO224" s="15"/>
      <c r="LP224" s="15"/>
      <c r="LQ224" s="15"/>
      <c r="LR224" s="15"/>
      <c r="LS224" s="15"/>
      <c r="LT224" s="15"/>
      <c r="LU224" s="15"/>
      <c r="LV224" s="15"/>
      <c r="LW224" s="15"/>
      <c r="LX224" s="15"/>
      <c r="LY224" s="15"/>
      <c r="LZ224" s="15"/>
      <c r="MA224" s="15"/>
      <c r="MB224" s="15"/>
      <c r="MC224" s="15"/>
      <c r="MD224" s="15"/>
      <c r="ME224" s="15"/>
      <c r="MF224" s="15"/>
      <c r="MG224" s="15"/>
      <c r="MH224" s="15"/>
      <c r="MI224" s="15"/>
      <c r="MJ224" s="15"/>
      <c r="MK224" s="15"/>
      <c r="ML224" s="15"/>
      <c r="MM224" s="15"/>
      <c r="MN224" s="15"/>
      <c r="MO224" s="15"/>
      <c r="MP224" s="15"/>
      <c r="MQ224" s="15"/>
      <c r="MR224" s="15"/>
      <c r="MS224" s="15"/>
      <c r="MT224" s="15"/>
      <c r="MU224" s="15"/>
      <c r="MV224" s="15"/>
      <c r="MW224" s="15"/>
    </row>
    <row r="225" ht="119.25" customHeight="1">
      <c r="A225" s="16" t="s">
        <v>224</v>
      </c>
      <c r="B225" s="14" t="s">
        <v>10246</v>
      </c>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c r="DC225" s="15"/>
      <c r="DD225" s="15"/>
      <c r="DE225" s="15"/>
      <c r="DF225" s="15"/>
      <c r="DG225" s="15"/>
      <c r="DH225" s="15"/>
      <c r="DI225" s="15"/>
      <c r="DJ225" s="15"/>
      <c r="DK225" s="15"/>
      <c r="DL225" s="15"/>
      <c r="DM225" s="15"/>
      <c r="DN225" s="15"/>
      <c r="DO225" s="15"/>
      <c r="DP225" s="15"/>
      <c r="DQ225" s="15"/>
      <c r="DR225" s="15"/>
      <c r="DS225" s="15"/>
      <c r="DT225" s="15"/>
      <c r="DU225" s="15"/>
      <c r="DV225" s="15"/>
      <c r="DW225" s="15"/>
      <c r="DX225" s="15"/>
      <c r="DY225" s="15"/>
      <c r="DZ225" s="15"/>
      <c r="EA225" s="15"/>
      <c r="EB225" s="15"/>
      <c r="EC225" s="15"/>
      <c r="ED225" s="15"/>
      <c r="EE225" s="15"/>
      <c r="EF225" s="15"/>
      <c r="EG225" s="15"/>
      <c r="EH225" s="15"/>
      <c r="EI225" s="15"/>
      <c r="EJ225" s="15"/>
      <c r="EK225" s="15"/>
      <c r="EL225" s="15"/>
      <c r="EM225" s="15"/>
      <c r="EN225" s="15"/>
      <c r="EO225" s="15"/>
      <c r="EP225" s="15"/>
      <c r="EQ225" s="15"/>
      <c r="ER225" s="15"/>
      <c r="ES225" s="15"/>
      <c r="ET225" s="15"/>
      <c r="EU225" s="15"/>
      <c r="EV225" s="15"/>
      <c r="EW225" s="15"/>
      <c r="EX225" s="15"/>
      <c r="EY225" s="15"/>
      <c r="EZ225" s="15"/>
      <c r="FA225" s="15"/>
      <c r="FB225" s="15"/>
      <c r="FC225" s="15"/>
      <c r="FD225" s="15"/>
      <c r="FE225" s="15"/>
      <c r="FF225" s="15"/>
      <c r="FG225" s="15"/>
      <c r="FH225" s="15"/>
      <c r="FI225" s="15"/>
      <c r="FJ225" s="15"/>
      <c r="FK225" s="15"/>
      <c r="FL225" s="15"/>
      <c r="FM225" s="15"/>
      <c r="FN225" s="15"/>
      <c r="FO225" s="15"/>
      <c r="FP225" s="15"/>
      <c r="FQ225" s="15"/>
      <c r="FR225" s="15"/>
      <c r="FS225" s="15"/>
      <c r="FT225" s="15"/>
      <c r="FU225" s="15"/>
      <c r="FV225" s="15"/>
      <c r="FW225" s="15"/>
      <c r="FX225" s="15"/>
      <c r="FY225" s="15"/>
      <c r="FZ225" s="15"/>
      <c r="GA225" s="15"/>
      <c r="GB225" s="15"/>
      <c r="GC225" s="15"/>
      <c r="GD225" s="15"/>
      <c r="GE225" s="15"/>
      <c r="GF225" s="15"/>
      <c r="GG225" s="15"/>
      <c r="GH225" s="15"/>
      <c r="GI225" s="15"/>
      <c r="GJ225" s="15"/>
      <c r="GK225" s="15"/>
      <c r="GL225" s="15"/>
      <c r="GM225" s="15"/>
      <c r="GN225" s="15"/>
      <c r="GO225" s="15"/>
      <c r="GP225" s="15"/>
      <c r="GQ225" s="15"/>
      <c r="GR225" s="15"/>
      <c r="GS225" s="15"/>
      <c r="GT225" s="15"/>
      <c r="GU225" s="15"/>
      <c r="GV225" s="15"/>
      <c r="GW225" s="15"/>
      <c r="GX225" s="15"/>
      <c r="GY225" s="15"/>
      <c r="GZ225" s="15"/>
      <c r="HA225" s="15"/>
      <c r="HB225" s="15"/>
      <c r="HC225" s="15"/>
      <c r="HD225" s="15"/>
      <c r="HE225" s="15"/>
      <c r="HF225" s="15"/>
      <c r="HG225" s="15"/>
      <c r="HH225" s="15"/>
      <c r="HI225" s="15"/>
      <c r="HJ225" s="15"/>
      <c r="HK225" s="15"/>
      <c r="HL225" s="15"/>
      <c r="HM225" s="15"/>
      <c r="HN225" s="15"/>
      <c r="HO225" s="15"/>
      <c r="HP225" s="15"/>
      <c r="HQ225" s="15"/>
      <c r="HR225" s="15"/>
      <c r="HS225" s="15"/>
      <c r="HT225" s="15"/>
      <c r="HU225" s="15"/>
      <c r="HV225" s="15"/>
      <c r="HW225" s="15"/>
      <c r="HX225" s="15"/>
      <c r="HY225" s="15"/>
      <c r="HZ225" s="15"/>
      <c r="IA225" s="15"/>
      <c r="IB225" s="15"/>
      <c r="IC225" s="15"/>
      <c r="ID225" s="15"/>
      <c r="IE225" s="15"/>
      <c r="IF225" s="15"/>
      <c r="IG225" s="15"/>
      <c r="IH225" s="15"/>
      <c r="II225" s="15"/>
      <c r="IJ225" s="15"/>
      <c r="IK225" s="15"/>
      <c r="IL225" s="15"/>
      <c r="IM225" s="15"/>
      <c r="IN225" s="15"/>
      <c r="IO225" s="15"/>
      <c r="IP225" s="15"/>
      <c r="IQ225" s="15"/>
      <c r="IR225" s="15"/>
      <c r="IS225" s="15"/>
      <c r="IT225" s="15"/>
      <c r="IU225" s="15"/>
      <c r="IV225" s="15"/>
      <c r="IW225" s="15"/>
      <c r="IX225" s="15"/>
      <c r="IY225" s="15"/>
      <c r="IZ225" s="15"/>
      <c r="JA225" s="15"/>
      <c r="JB225" s="15"/>
      <c r="JC225" s="15"/>
      <c r="JD225" s="15"/>
      <c r="JE225" s="15"/>
      <c r="JF225" s="15"/>
      <c r="JG225" s="15"/>
      <c r="JH225" s="15"/>
      <c r="JI225" s="15"/>
      <c r="JJ225" s="15"/>
      <c r="JK225" s="15"/>
      <c r="JL225" s="15"/>
      <c r="JM225" s="15"/>
      <c r="JN225" s="15"/>
      <c r="JO225" s="15"/>
      <c r="JP225" s="15"/>
      <c r="JQ225" s="15"/>
      <c r="JR225" s="15"/>
      <c r="JS225" s="15"/>
      <c r="JT225" s="15"/>
      <c r="JU225" s="15"/>
      <c r="JV225" s="15"/>
      <c r="JW225" s="15"/>
      <c r="JX225" s="15"/>
      <c r="JY225" s="15"/>
      <c r="JZ225" s="15"/>
      <c r="KA225" s="15"/>
      <c r="KB225" s="15"/>
      <c r="KC225" s="15"/>
      <c r="KD225" s="15"/>
      <c r="KE225" s="15"/>
      <c r="KF225" s="15"/>
      <c r="KG225" s="15"/>
      <c r="KH225" s="15"/>
      <c r="KI225" s="15"/>
      <c r="KJ225" s="15"/>
      <c r="KK225" s="15"/>
      <c r="KL225" s="15"/>
      <c r="KM225" s="15"/>
      <c r="KN225" s="15"/>
      <c r="KO225" s="15"/>
      <c r="KP225" s="15"/>
      <c r="KQ225" s="15"/>
      <c r="KR225" s="15"/>
      <c r="KS225" s="15"/>
      <c r="KT225" s="15"/>
      <c r="KU225" s="15"/>
      <c r="KV225" s="15"/>
      <c r="KW225" s="15"/>
      <c r="KX225" s="15"/>
      <c r="KY225" s="15"/>
      <c r="KZ225" s="15"/>
      <c r="LA225" s="15"/>
      <c r="LB225" s="15"/>
      <c r="LC225" s="15"/>
      <c r="LD225" s="15"/>
      <c r="LE225" s="15"/>
      <c r="LF225" s="15"/>
      <c r="LG225" s="15"/>
      <c r="LH225" s="15"/>
      <c r="LI225" s="15"/>
      <c r="LJ225" s="15"/>
      <c r="LK225" s="15"/>
      <c r="LL225" s="15"/>
      <c r="LM225" s="15"/>
      <c r="LN225" s="15"/>
      <c r="LO225" s="15"/>
      <c r="LP225" s="15"/>
      <c r="LQ225" s="15"/>
      <c r="LR225" s="15"/>
      <c r="LS225" s="15"/>
      <c r="LT225" s="15"/>
      <c r="LU225" s="15"/>
      <c r="LV225" s="15"/>
      <c r="LW225" s="15"/>
      <c r="LX225" s="15"/>
      <c r="LY225" s="15"/>
      <c r="LZ225" s="15"/>
      <c r="MA225" s="15"/>
      <c r="MB225" s="15"/>
      <c r="MC225" s="15"/>
      <c r="MD225" s="15"/>
      <c r="ME225" s="15"/>
      <c r="MF225" s="15"/>
      <c r="MG225" s="15"/>
      <c r="MH225" s="15"/>
      <c r="MI225" s="15"/>
      <c r="MJ225" s="15"/>
      <c r="MK225" s="15"/>
      <c r="ML225" s="15"/>
      <c r="MM225" s="15"/>
      <c r="MN225" s="15"/>
      <c r="MO225" s="15"/>
      <c r="MP225" s="15"/>
      <c r="MQ225" s="15"/>
      <c r="MR225" s="15"/>
      <c r="MS225" s="15"/>
      <c r="MT225" s="15"/>
      <c r="MU225" s="15"/>
      <c r="MV225" s="15"/>
      <c r="MW225" s="15"/>
    </row>
    <row r="226" ht="41.25" customHeight="1">
      <c r="A226" s="16" t="s">
        <v>225</v>
      </c>
      <c r="B226" s="14" t="s">
        <v>10247</v>
      </c>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c r="DE226" s="15"/>
      <c r="DF226" s="15"/>
      <c r="DG226" s="15"/>
      <c r="DH226" s="15"/>
      <c r="DI226" s="15"/>
      <c r="DJ226" s="15"/>
      <c r="DK226" s="15"/>
      <c r="DL226" s="15"/>
      <c r="DM226" s="15"/>
      <c r="DN226" s="15"/>
      <c r="DO226" s="15"/>
      <c r="DP226" s="15"/>
      <c r="DQ226" s="15"/>
      <c r="DR226" s="15"/>
      <c r="DS226" s="15"/>
      <c r="DT226" s="15"/>
      <c r="DU226" s="15"/>
      <c r="DV226" s="15"/>
      <c r="DW226" s="15"/>
      <c r="DX226" s="15"/>
      <c r="DY226" s="15"/>
      <c r="DZ226" s="15"/>
      <c r="EA226" s="15"/>
      <c r="EB226" s="15"/>
      <c r="EC226" s="15"/>
      <c r="ED226" s="15"/>
      <c r="EE226" s="15"/>
      <c r="EF226" s="15"/>
      <c r="EG226" s="15"/>
      <c r="EH226" s="15"/>
      <c r="EI226" s="15"/>
      <c r="EJ226" s="15"/>
      <c r="EK226" s="15"/>
      <c r="EL226" s="15"/>
      <c r="EM226" s="15"/>
      <c r="EN226" s="15"/>
      <c r="EO226" s="15"/>
      <c r="EP226" s="15"/>
      <c r="EQ226" s="15"/>
      <c r="ER226" s="15"/>
      <c r="ES226" s="15"/>
      <c r="ET226" s="15"/>
      <c r="EU226" s="15"/>
      <c r="EV226" s="15"/>
      <c r="EW226" s="15"/>
      <c r="EX226" s="15"/>
      <c r="EY226" s="15"/>
      <c r="EZ226" s="15"/>
      <c r="FA226" s="15"/>
      <c r="FB226" s="15"/>
      <c r="FC226" s="15"/>
      <c r="FD226" s="15"/>
      <c r="FE226" s="15"/>
      <c r="FF226" s="15"/>
      <c r="FG226" s="15"/>
      <c r="FH226" s="15"/>
      <c r="FI226" s="15"/>
      <c r="FJ226" s="15"/>
      <c r="FK226" s="15"/>
      <c r="FL226" s="15"/>
      <c r="FM226" s="15"/>
      <c r="FN226" s="15"/>
      <c r="FO226" s="15"/>
      <c r="FP226" s="15"/>
      <c r="FQ226" s="15"/>
      <c r="FR226" s="15"/>
      <c r="FS226" s="15"/>
      <c r="FT226" s="15"/>
      <c r="FU226" s="15"/>
      <c r="FV226" s="15"/>
      <c r="FW226" s="15"/>
      <c r="FX226" s="15"/>
      <c r="FY226" s="15"/>
      <c r="FZ226" s="15"/>
      <c r="GA226" s="15"/>
      <c r="GB226" s="15"/>
      <c r="GC226" s="15"/>
      <c r="GD226" s="15"/>
      <c r="GE226" s="15"/>
      <c r="GF226" s="15"/>
      <c r="GG226" s="15"/>
      <c r="GH226" s="15"/>
      <c r="GI226" s="15"/>
      <c r="GJ226" s="15"/>
      <c r="GK226" s="15"/>
      <c r="GL226" s="15"/>
      <c r="GM226" s="15"/>
      <c r="GN226" s="15"/>
      <c r="GO226" s="15"/>
      <c r="GP226" s="15"/>
      <c r="GQ226" s="15"/>
      <c r="GR226" s="15"/>
      <c r="GS226" s="15"/>
      <c r="GT226" s="15"/>
      <c r="GU226" s="15"/>
      <c r="GV226" s="15"/>
      <c r="GW226" s="15"/>
      <c r="GX226" s="15"/>
      <c r="GY226" s="15"/>
      <c r="GZ226" s="15"/>
      <c r="HA226" s="15"/>
      <c r="HB226" s="15"/>
      <c r="HC226" s="15"/>
      <c r="HD226" s="15"/>
      <c r="HE226" s="15"/>
      <c r="HF226" s="15"/>
      <c r="HG226" s="15"/>
      <c r="HH226" s="15"/>
      <c r="HI226" s="15"/>
      <c r="HJ226" s="15"/>
      <c r="HK226" s="15"/>
      <c r="HL226" s="15"/>
      <c r="HM226" s="15"/>
      <c r="HN226" s="15"/>
      <c r="HO226" s="15"/>
      <c r="HP226" s="15"/>
      <c r="HQ226" s="15"/>
      <c r="HR226" s="15"/>
      <c r="HS226" s="15"/>
      <c r="HT226" s="15"/>
      <c r="HU226" s="15"/>
      <c r="HV226" s="15"/>
      <c r="HW226" s="15"/>
      <c r="HX226" s="15"/>
      <c r="HY226" s="15"/>
      <c r="HZ226" s="15"/>
      <c r="IA226" s="15"/>
      <c r="IB226" s="15"/>
      <c r="IC226" s="15"/>
      <c r="ID226" s="15"/>
      <c r="IE226" s="15"/>
      <c r="IF226" s="15"/>
      <c r="IG226" s="15"/>
      <c r="IH226" s="15"/>
      <c r="II226" s="15"/>
      <c r="IJ226" s="15"/>
      <c r="IK226" s="15"/>
      <c r="IL226" s="15"/>
      <c r="IM226" s="15"/>
      <c r="IN226" s="15"/>
      <c r="IO226" s="15"/>
      <c r="IP226" s="15"/>
      <c r="IQ226" s="15"/>
      <c r="IR226" s="15"/>
      <c r="IS226" s="15"/>
      <c r="IT226" s="15"/>
      <c r="IU226" s="15"/>
      <c r="IV226" s="15"/>
      <c r="IW226" s="15"/>
      <c r="IX226" s="15"/>
      <c r="IY226" s="15"/>
      <c r="IZ226" s="15"/>
      <c r="JA226" s="15"/>
      <c r="JB226" s="15"/>
      <c r="JC226" s="15"/>
      <c r="JD226" s="15"/>
      <c r="JE226" s="15"/>
      <c r="JF226" s="15"/>
      <c r="JG226" s="15"/>
      <c r="JH226" s="15"/>
      <c r="JI226" s="15"/>
      <c r="JJ226" s="15"/>
      <c r="JK226" s="15"/>
      <c r="JL226" s="15"/>
      <c r="JM226" s="15"/>
      <c r="JN226" s="15"/>
      <c r="JO226" s="15"/>
      <c r="JP226" s="15"/>
      <c r="JQ226" s="15"/>
      <c r="JR226" s="15"/>
      <c r="JS226" s="15"/>
      <c r="JT226" s="15"/>
      <c r="JU226" s="15"/>
      <c r="JV226" s="15"/>
      <c r="JW226" s="15"/>
      <c r="JX226" s="15"/>
      <c r="JY226" s="15"/>
      <c r="JZ226" s="15"/>
      <c r="KA226" s="15"/>
      <c r="KB226" s="15"/>
      <c r="KC226" s="15"/>
      <c r="KD226" s="15"/>
      <c r="KE226" s="15"/>
      <c r="KF226" s="15"/>
      <c r="KG226" s="15"/>
      <c r="KH226" s="15"/>
      <c r="KI226" s="15"/>
      <c r="KJ226" s="15"/>
      <c r="KK226" s="15"/>
      <c r="KL226" s="15"/>
      <c r="KM226" s="15"/>
      <c r="KN226" s="15"/>
      <c r="KO226" s="15"/>
      <c r="KP226" s="15"/>
      <c r="KQ226" s="15"/>
      <c r="KR226" s="15"/>
      <c r="KS226" s="15"/>
      <c r="KT226" s="15"/>
      <c r="KU226" s="15"/>
      <c r="KV226" s="15"/>
      <c r="KW226" s="15"/>
      <c r="KX226" s="15"/>
      <c r="KY226" s="15"/>
      <c r="KZ226" s="15"/>
      <c r="LA226" s="15"/>
      <c r="LB226" s="15"/>
      <c r="LC226" s="15"/>
      <c r="LD226" s="15"/>
      <c r="LE226" s="15"/>
      <c r="LF226" s="15"/>
      <c r="LG226" s="15"/>
      <c r="LH226" s="15"/>
      <c r="LI226" s="15"/>
      <c r="LJ226" s="15"/>
      <c r="LK226" s="15"/>
      <c r="LL226" s="15"/>
      <c r="LM226" s="15"/>
      <c r="LN226" s="15"/>
      <c r="LO226" s="15"/>
      <c r="LP226" s="15"/>
      <c r="LQ226" s="15"/>
      <c r="LR226" s="15"/>
      <c r="LS226" s="15"/>
      <c r="LT226" s="15"/>
      <c r="LU226" s="15"/>
      <c r="LV226" s="15"/>
      <c r="LW226" s="15"/>
      <c r="LX226" s="15"/>
      <c r="LY226" s="15"/>
      <c r="LZ226" s="15"/>
      <c r="MA226" s="15"/>
      <c r="MB226" s="15"/>
      <c r="MC226" s="15"/>
      <c r="MD226" s="15"/>
      <c r="ME226" s="15"/>
      <c r="MF226" s="15"/>
      <c r="MG226" s="15"/>
      <c r="MH226" s="15"/>
      <c r="MI226" s="15"/>
      <c r="MJ226" s="15"/>
      <c r="MK226" s="15"/>
      <c r="ML226" s="15"/>
      <c r="MM226" s="15"/>
      <c r="MN226" s="15"/>
      <c r="MO226" s="15"/>
      <c r="MP226" s="15"/>
      <c r="MQ226" s="15"/>
      <c r="MR226" s="15"/>
      <c r="MS226" s="15"/>
      <c r="MT226" s="15"/>
      <c r="MU226" s="15"/>
      <c r="MV226" s="15"/>
      <c r="MW226" s="15"/>
    </row>
    <row r="227" ht="119.25" customHeight="1">
      <c r="A227" s="16" t="s">
        <v>226</v>
      </c>
      <c r="B227" s="14" t="s">
        <v>10248</v>
      </c>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c r="DE227" s="15"/>
      <c r="DF227" s="15"/>
      <c r="DG227" s="15"/>
      <c r="DH227" s="15"/>
      <c r="DI227" s="15"/>
      <c r="DJ227" s="15"/>
      <c r="DK227" s="15"/>
      <c r="DL227" s="15"/>
      <c r="DM227" s="15"/>
      <c r="DN227" s="15"/>
      <c r="DO227" s="15"/>
      <c r="DP227" s="15"/>
      <c r="DQ227" s="15"/>
      <c r="DR227" s="15"/>
      <c r="DS227" s="15"/>
      <c r="DT227" s="15"/>
      <c r="DU227" s="15"/>
      <c r="DV227" s="15"/>
      <c r="DW227" s="15"/>
      <c r="DX227" s="15"/>
      <c r="DY227" s="15"/>
      <c r="DZ227" s="15"/>
      <c r="EA227" s="15"/>
      <c r="EB227" s="15"/>
      <c r="EC227" s="15"/>
      <c r="ED227" s="15"/>
      <c r="EE227" s="15"/>
      <c r="EF227" s="15"/>
      <c r="EG227" s="15"/>
      <c r="EH227" s="15"/>
      <c r="EI227" s="15"/>
      <c r="EJ227" s="15"/>
      <c r="EK227" s="15"/>
      <c r="EL227" s="15"/>
      <c r="EM227" s="15"/>
      <c r="EN227" s="15"/>
      <c r="EO227" s="15"/>
      <c r="EP227" s="15"/>
      <c r="EQ227" s="15"/>
      <c r="ER227" s="15"/>
      <c r="ES227" s="15"/>
      <c r="ET227" s="15"/>
      <c r="EU227" s="15"/>
      <c r="EV227" s="15"/>
      <c r="EW227" s="15"/>
      <c r="EX227" s="15"/>
      <c r="EY227" s="15"/>
      <c r="EZ227" s="15"/>
      <c r="FA227" s="15"/>
      <c r="FB227" s="15"/>
      <c r="FC227" s="15"/>
      <c r="FD227" s="15"/>
      <c r="FE227" s="15"/>
      <c r="FF227" s="15"/>
      <c r="FG227" s="15"/>
      <c r="FH227" s="15"/>
      <c r="FI227" s="15"/>
      <c r="FJ227" s="15"/>
      <c r="FK227" s="15"/>
      <c r="FL227" s="15"/>
      <c r="FM227" s="15"/>
      <c r="FN227" s="15"/>
      <c r="FO227" s="15"/>
      <c r="FP227" s="15"/>
      <c r="FQ227" s="15"/>
      <c r="FR227" s="15"/>
      <c r="FS227" s="15"/>
      <c r="FT227" s="15"/>
      <c r="FU227" s="15"/>
      <c r="FV227" s="15"/>
      <c r="FW227" s="15"/>
      <c r="FX227" s="15"/>
      <c r="FY227" s="15"/>
      <c r="FZ227" s="15"/>
      <c r="GA227" s="15"/>
      <c r="GB227" s="15"/>
      <c r="GC227" s="15"/>
      <c r="GD227" s="15"/>
      <c r="GE227" s="15"/>
      <c r="GF227" s="15"/>
      <c r="GG227" s="15"/>
      <c r="GH227" s="15"/>
      <c r="GI227" s="15"/>
      <c r="GJ227" s="15"/>
      <c r="GK227" s="15"/>
      <c r="GL227" s="15"/>
      <c r="GM227" s="15"/>
      <c r="GN227" s="15"/>
      <c r="GO227" s="15"/>
      <c r="GP227" s="15"/>
      <c r="GQ227" s="15"/>
      <c r="GR227" s="15"/>
      <c r="GS227" s="15"/>
      <c r="GT227" s="15"/>
      <c r="GU227" s="15"/>
      <c r="GV227" s="15"/>
      <c r="GW227" s="15"/>
      <c r="GX227" s="15"/>
      <c r="GY227" s="15"/>
      <c r="GZ227" s="15"/>
      <c r="HA227" s="15"/>
      <c r="HB227" s="15"/>
      <c r="HC227" s="15"/>
      <c r="HD227" s="15"/>
      <c r="HE227" s="15"/>
      <c r="HF227" s="15"/>
      <c r="HG227" s="15"/>
      <c r="HH227" s="15"/>
      <c r="HI227" s="15"/>
      <c r="HJ227" s="15"/>
      <c r="HK227" s="15"/>
      <c r="HL227" s="15"/>
      <c r="HM227" s="15"/>
      <c r="HN227" s="15"/>
      <c r="HO227" s="15"/>
      <c r="HP227" s="15"/>
      <c r="HQ227" s="15"/>
      <c r="HR227" s="15"/>
      <c r="HS227" s="15"/>
      <c r="HT227" s="15"/>
      <c r="HU227" s="15"/>
      <c r="HV227" s="15"/>
      <c r="HW227" s="15"/>
      <c r="HX227" s="15"/>
      <c r="HY227" s="15"/>
      <c r="HZ227" s="15"/>
      <c r="IA227" s="15"/>
      <c r="IB227" s="15"/>
      <c r="IC227" s="15"/>
      <c r="ID227" s="15"/>
      <c r="IE227" s="15"/>
      <c r="IF227" s="15"/>
      <c r="IG227" s="15"/>
      <c r="IH227" s="15"/>
      <c r="II227" s="15"/>
      <c r="IJ227" s="15"/>
      <c r="IK227" s="15"/>
      <c r="IL227" s="15"/>
      <c r="IM227" s="15"/>
      <c r="IN227" s="15"/>
      <c r="IO227" s="15"/>
      <c r="IP227" s="15"/>
      <c r="IQ227" s="15"/>
      <c r="IR227" s="15"/>
      <c r="IS227" s="15"/>
      <c r="IT227" s="15"/>
      <c r="IU227" s="15"/>
      <c r="IV227" s="15"/>
      <c r="IW227" s="15"/>
      <c r="IX227" s="15"/>
      <c r="IY227" s="15"/>
      <c r="IZ227" s="15"/>
      <c r="JA227" s="15"/>
      <c r="JB227" s="15"/>
      <c r="JC227" s="15"/>
      <c r="JD227" s="15"/>
      <c r="JE227" s="15"/>
      <c r="JF227" s="15"/>
      <c r="JG227" s="15"/>
      <c r="JH227" s="15"/>
      <c r="JI227" s="15"/>
      <c r="JJ227" s="15"/>
      <c r="JK227" s="15"/>
      <c r="JL227" s="15"/>
      <c r="JM227" s="15"/>
      <c r="JN227" s="15"/>
      <c r="JO227" s="15"/>
      <c r="JP227" s="15"/>
      <c r="JQ227" s="15"/>
      <c r="JR227" s="15"/>
      <c r="JS227" s="15"/>
      <c r="JT227" s="15"/>
      <c r="JU227" s="15"/>
      <c r="JV227" s="15"/>
      <c r="JW227" s="15"/>
      <c r="JX227" s="15"/>
      <c r="JY227" s="15"/>
      <c r="JZ227" s="15"/>
      <c r="KA227" s="15"/>
      <c r="KB227" s="15"/>
      <c r="KC227" s="15"/>
      <c r="KD227" s="15"/>
      <c r="KE227" s="15"/>
      <c r="KF227" s="15"/>
      <c r="KG227" s="15"/>
      <c r="KH227" s="15"/>
      <c r="KI227" s="15"/>
      <c r="KJ227" s="15"/>
      <c r="KK227" s="15"/>
      <c r="KL227" s="15"/>
      <c r="KM227" s="15"/>
      <c r="KN227" s="15"/>
      <c r="KO227" s="15"/>
      <c r="KP227" s="15"/>
      <c r="KQ227" s="15"/>
      <c r="KR227" s="15"/>
      <c r="KS227" s="15"/>
      <c r="KT227" s="15"/>
      <c r="KU227" s="15"/>
      <c r="KV227" s="15"/>
      <c r="KW227" s="15"/>
      <c r="KX227" s="15"/>
      <c r="KY227" s="15"/>
      <c r="KZ227" s="15"/>
      <c r="LA227" s="15"/>
      <c r="LB227" s="15"/>
      <c r="LC227" s="15"/>
      <c r="LD227" s="15"/>
      <c r="LE227" s="15"/>
      <c r="LF227" s="15"/>
      <c r="LG227" s="15"/>
      <c r="LH227" s="15"/>
      <c r="LI227" s="15"/>
      <c r="LJ227" s="15"/>
      <c r="LK227" s="15"/>
      <c r="LL227" s="15"/>
      <c r="LM227" s="15"/>
      <c r="LN227" s="15"/>
      <c r="LO227" s="15"/>
      <c r="LP227" s="15"/>
      <c r="LQ227" s="15"/>
      <c r="LR227" s="15"/>
      <c r="LS227" s="15"/>
      <c r="LT227" s="15"/>
      <c r="LU227" s="15"/>
      <c r="LV227" s="15"/>
      <c r="LW227" s="15"/>
      <c r="LX227" s="15"/>
      <c r="LY227" s="15"/>
      <c r="LZ227" s="15"/>
      <c r="MA227" s="15"/>
      <c r="MB227" s="15"/>
      <c r="MC227" s="15"/>
      <c r="MD227" s="15"/>
      <c r="ME227" s="15"/>
      <c r="MF227" s="15"/>
      <c r="MG227" s="15"/>
      <c r="MH227" s="15"/>
      <c r="MI227" s="15"/>
      <c r="MJ227" s="15"/>
      <c r="MK227" s="15"/>
      <c r="ML227" s="15"/>
      <c r="MM227" s="15"/>
      <c r="MN227" s="15"/>
      <c r="MO227" s="15"/>
      <c r="MP227" s="15"/>
      <c r="MQ227" s="15"/>
      <c r="MR227" s="15"/>
      <c r="MS227" s="15"/>
      <c r="MT227" s="15"/>
      <c r="MU227" s="15"/>
      <c r="MV227" s="15"/>
      <c r="MW227" s="15"/>
    </row>
    <row r="228" ht="41.25" customHeight="1">
      <c r="A228" s="16" t="s">
        <v>227</v>
      </c>
      <c r="B228" s="14" t="s">
        <v>10249</v>
      </c>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c r="DE228" s="15"/>
      <c r="DF228" s="15"/>
      <c r="DG228" s="15"/>
      <c r="DH228" s="15"/>
      <c r="DI228" s="15"/>
      <c r="DJ228" s="15"/>
      <c r="DK228" s="15"/>
      <c r="DL228" s="15"/>
      <c r="DM228" s="15"/>
      <c r="DN228" s="15"/>
      <c r="DO228" s="15"/>
      <c r="DP228" s="15"/>
      <c r="DQ228" s="15"/>
      <c r="DR228" s="15"/>
      <c r="DS228" s="15"/>
      <c r="DT228" s="15"/>
      <c r="DU228" s="15"/>
      <c r="DV228" s="15"/>
      <c r="DW228" s="15"/>
      <c r="DX228" s="15"/>
      <c r="DY228" s="15"/>
      <c r="DZ228" s="15"/>
      <c r="EA228" s="15"/>
      <c r="EB228" s="15"/>
      <c r="EC228" s="15"/>
      <c r="ED228" s="15"/>
      <c r="EE228" s="15"/>
      <c r="EF228" s="15"/>
      <c r="EG228" s="15"/>
      <c r="EH228" s="15"/>
      <c r="EI228" s="15"/>
      <c r="EJ228" s="15"/>
      <c r="EK228" s="15"/>
      <c r="EL228" s="15"/>
      <c r="EM228" s="15"/>
      <c r="EN228" s="15"/>
      <c r="EO228" s="15"/>
      <c r="EP228" s="15"/>
      <c r="EQ228" s="15"/>
      <c r="ER228" s="15"/>
      <c r="ES228" s="15"/>
      <c r="ET228" s="15"/>
      <c r="EU228" s="15"/>
      <c r="EV228" s="15"/>
      <c r="EW228" s="15"/>
      <c r="EX228" s="15"/>
      <c r="EY228" s="15"/>
      <c r="EZ228" s="15"/>
      <c r="FA228" s="15"/>
      <c r="FB228" s="15"/>
      <c r="FC228" s="15"/>
      <c r="FD228" s="15"/>
      <c r="FE228" s="15"/>
      <c r="FF228" s="15"/>
      <c r="FG228" s="15"/>
      <c r="FH228" s="15"/>
      <c r="FI228" s="15"/>
      <c r="FJ228" s="15"/>
      <c r="FK228" s="15"/>
      <c r="FL228" s="15"/>
      <c r="FM228" s="15"/>
      <c r="FN228" s="15"/>
      <c r="FO228" s="15"/>
      <c r="FP228" s="15"/>
      <c r="FQ228" s="15"/>
      <c r="FR228" s="15"/>
      <c r="FS228" s="15"/>
      <c r="FT228" s="15"/>
      <c r="FU228" s="15"/>
      <c r="FV228" s="15"/>
      <c r="FW228" s="15"/>
      <c r="FX228" s="15"/>
      <c r="FY228" s="15"/>
      <c r="FZ228" s="15"/>
      <c r="GA228" s="15"/>
      <c r="GB228" s="15"/>
      <c r="GC228" s="15"/>
      <c r="GD228" s="15"/>
      <c r="GE228" s="15"/>
      <c r="GF228" s="15"/>
      <c r="GG228" s="15"/>
      <c r="GH228" s="15"/>
      <c r="GI228" s="15"/>
      <c r="GJ228" s="15"/>
      <c r="GK228" s="15"/>
      <c r="GL228" s="15"/>
      <c r="GM228" s="15"/>
      <c r="GN228" s="15"/>
      <c r="GO228" s="15"/>
      <c r="GP228" s="15"/>
      <c r="GQ228" s="15"/>
      <c r="GR228" s="15"/>
      <c r="GS228" s="15"/>
      <c r="GT228" s="15"/>
      <c r="GU228" s="15"/>
      <c r="GV228" s="15"/>
      <c r="GW228" s="15"/>
      <c r="GX228" s="15"/>
      <c r="GY228" s="15"/>
      <c r="GZ228" s="15"/>
      <c r="HA228" s="15"/>
      <c r="HB228" s="15"/>
      <c r="HC228" s="15"/>
      <c r="HD228" s="15"/>
      <c r="HE228" s="15"/>
      <c r="HF228" s="15"/>
      <c r="HG228" s="15"/>
      <c r="HH228" s="15"/>
      <c r="HI228" s="15"/>
      <c r="HJ228" s="15"/>
      <c r="HK228" s="15"/>
      <c r="HL228" s="15"/>
      <c r="HM228" s="15"/>
      <c r="HN228" s="15"/>
      <c r="HO228" s="15"/>
      <c r="HP228" s="15"/>
      <c r="HQ228" s="15"/>
      <c r="HR228" s="15"/>
      <c r="HS228" s="15"/>
      <c r="HT228" s="15"/>
      <c r="HU228" s="15"/>
      <c r="HV228" s="15"/>
      <c r="HW228" s="15"/>
      <c r="HX228" s="15"/>
      <c r="HY228" s="15"/>
      <c r="HZ228" s="15"/>
      <c r="IA228" s="15"/>
      <c r="IB228" s="15"/>
      <c r="IC228" s="15"/>
      <c r="ID228" s="15"/>
      <c r="IE228" s="15"/>
      <c r="IF228" s="15"/>
      <c r="IG228" s="15"/>
      <c r="IH228" s="15"/>
      <c r="II228" s="15"/>
      <c r="IJ228" s="15"/>
      <c r="IK228" s="15"/>
      <c r="IL228" s="15"/>
      <c r="IM228" s="15"/>
      <c r="IN228" s="15"/>
      <c r="IO228" s="15"/>
      <c r="IP228" s="15"/>
      <c r="IQ228" s="15"/>
      <c r="IR228" s="15"/>
      <c r="IS228" s="15"/>
      <c r="IT228" s="15"/>
      <c r="IU228" s="15"/>
      <c r="IV228" s="15"/>
      <c r="IW228" s="15"/>
      <c r="IX228" s="15"/>
      <c r="IY228" s="15"/>
      <c r="IZ228" s="15"/>
      <c r="JA228" s="15"/>
      <c r="JB228" s="15"/>
      <c r="JC228" s="15"/>
      <c r="JD228" s="15"/>
      <c r="JE228" s="15"/>
      <c r="JF228" s="15"/>
      <c r="JG228" s="15"/>
      <c r="JH228" s="15"/>
      <c r="JI228" s="15"/>
      <c r="JJ228" s="15"/>
      <c r="JK228" s="15"/>
      <c r="JL228" s="15"/>
      <c r="JM228" s="15"/>
      <c r="JN228" s="15"/>
      <c r="JO228" s="15"/>
      <c r="JP228" s="15"/>
      <c r="JQ228" s="15"/>
      <c r="JR228" s="15"/>
      <c r="JS228" s="15"/>
      <c r="JT228" s="15"/>
      <c r="JU228" s="15"/>
      <c r="JV228" s="15"/>
      <c r="JW228" s="15"/>
      <c r="JX228" s="15"/>
      <c r="JY228" s="15"/>
      <c r="JZ228" s="15"/>
      <c r="KA228" s="15"/>
      <c r="KB228" s="15"/>
      <c r="KC228" s="15"/>
      <c r="KD228" s="15"/>
      <c r="KE228" s="15"/>
      <c r="KF228" s="15"/>
      <c r="KG228" s="15"/>
      <c r="KH228" s="15"/>
      <c r="KI228" s="15"/>
      <c r="KJ228" s="15"/>
      <c r="KK228" s="15"/>
      <c r="KL228" s="15"/>
      <c r="KM228" s="15"/>
      <c r="KN228" s="15"/>
      <c r="KO228" s="15"/>
      <c r="KP228" s="15"/>
      <c r="KQ228" s="15"/>
      <c r="KR228" s="15"/>
      <c r="KS228" s="15"/>
      <c r="KT228" s="15"/>
      <c r="KU228" s="15"/>
      <c r="KV228" s="15"/>
      <c r="KW228" s="15"/>
      <c r="KX228" s="15"/>
      <c r="KY228" s="15"/>
      <c r="KZ228" s="15"/>
      <c r="LA228" s="15"/>
      <c r="LB228" s="15"/>
      <c r="LC228" s="15"/>
      <c r="LD228" s="15"/>
      <c r="LE228" s="15"/>
      <c r="LF228" s="15"/>
      <c r="LG228" s="15"/>
      <c r="LH228" s="15"/>
      <c r="LI228" s="15"/>
      <c r="LJ228" s="15"/>
      <c r="LK228" s="15"/>
      <c r="LL228" s="15"/>
      <c r="LM228" s="15"/>
      <c r="LN228" s="15"/>
      <c r="LO228" s="15"/>
      <c r="LP228" s="15"/>
      <c r="LQ228" s="15"/>
      <c r="LR228" s="15"/>
      <c r="LS228" s="15"/>
      <c r="LT228" s="15"/>
      <c r="LU228" s="15"/>
      <c r="LV228" s="15"/>
      <c r="LW228" s="15"/>
      <c r="LX228" s="15"/>
      <c r="LY228" s="15"/>
      <c r="LZ228" s="15"/>
      <c r="MA228" s="15"/>
      <c r="MB228" s="15"/>
      <c r="MC228" s="15"/>
      <c r="MD228" s="15"/>
      <c r="ME228" s="15"/>
      <c r="MF228" s="15"/>
      <c r="MG228" s="15"/>
      <c r="MH228" s="15"/>
      <c r="MI228" s="15"/>
      <c r="MJ228" s="15"/>
      <c r="MK228" s="15"/>
      <c r="ML228" s="15"/>
      <c r="MM228" s="15"/>
      <c r="MN228" s="15"/>
      <c r="MO228" s="15"/>
      <c r="MP228" s="15"/>
      <c r="MQ228" s="15"/>
      <c r="MR228" s="15"/>
      <c r="MS228" s="15"/>
      <c r="MT228" s="15"/>
      <c r="MU228" s="15"/>
      <c r="MV228" s="15"/>
      <c r="MW228" s="15"/>
    </row>
    <row r="229" ht="119.25" customHeight="1">
      <c r="A229" s="16" t="s">
        <v>228</v>
      </c>
      <c r="B229" s="14" t="s">
        <v>10250</v>
      </c>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c r="DE229" s="15"/>
      <c r="DF229" s="15"/>
      <c r="DG229" s="15"/>
      <c r="DH229" s="15"/>
      <c r="DI229" s="15"/>
      <c r="DJ229" s="15"/>
      <c r="DK229" s="15"/>
      <c r="DL229" s="15"/>
      <c r="DM229" s="15"/>
      <c r="DN229" s="15"/>
      <c r="DO229" s="15"/>
      <c r="DP229" s="15"/>
      <c r="DQ229" s="15"/>
      <c r="DR229" s="15"/>
      <c r="DS229" s="15"/>
      <c r="DT229" s="15"/>
      <c r="DU229" s="15"/>
      <c r="DV229" s="15"/>
      <c r="DW229" s="15"/>
      <c r="DX229" s="15"/>
      <c r="DY229" s="15"/>
      <c r="DZ229" s="15"/>
      <c r="EA229" s="15"/>
      <c r="EB229" s="15"/>
      <c r="EC229" s="15"/>
      <c r="ED229" s="15"/>
      <c r="EE229" s="15"/>
      <c r="EF229" s="15"/>
      <c r="EG229" s="15"/>
      <c r="EH229" s="15"/>
      <c r="EI229" s="15"/>
      <c r="EJ229" s="15"/>
      <c r="EK229" s="15"/>
      <c r="EL229" s="15"/>
      <c r="EM229" s="15"/>
      <c r="EN229" s="15"/>
      <c r="EO229" s="15"/>
      <c r="EP229" s="15"/>
      <c r="EQ229" s="15"/>
      <c r="ER229" s="15"/>
      <c r="ES229" s="15"/>
      <c r="ET229" s="15"/>
      <c r="EU229" s="15"/>
      <c r="EV229" s="15"/>
      <c r="EW229" s="15"/>
      <c r="EX229" s="15"/>
      <c r="EY229" s="15"/>
      <c r="EZ229" s="15"/>
      <c r="FA229" s="15"/>
      <c r="FB229" s="15"/>
      <c r="FC229" s="15"/>
      <c r="FD229" s="15"/>
      <c r="FE229" s="15"/>
      <c r="FF229" s="15"/>
      <c r="FG229" s="15"/>
      <c r="FH229" s="15"/>
      <c r="FI229" s="15"/>
      <c r="FJ229" s="15"/>
      <c r="FK229" s="15"/>
      <c r="FL229" s="15"/>
      <c r="FM229" s="15"/>
      <c r="FN229" s="15"/>
      <c r="FO229" s="15"/>
      <c r="FP229" s="15"/>
      <c r="FQ229" s="15"/>
      <c r="FR229" s="15"/>
      <c r="FS229" s="15"/>
      <c r="FT229" s="15"/>
      <c r="FU229" s="15"/>
      <c r="FV229" s="15"/>
      <c r="FW229" s="15"/>
      <c r="FX229" s="15"/>
      <c r="FY229" s="15"/>
      <c r="FZ229" s="15"/>
      <c r="GA229" s="15"/>
      <c r="GB229" s="15"/>
      <c r="GC229" s="15"/>
      <c r="GD229" s="15"/>
      <c r="GE229" s="15"/>
      <c r="GF229" s="15"/>
      <c r="GG229" s="15"/>
      <c r="GH229" s="15"/>
      <c r="GI229" s="15"/>
      <c r="GJ229" s="15"/>
      <c r="GK229" s="15"/>
      <c r="GL229" s="15"/>
      <c r="GM229" s="15"/>
      <c r="GN229" s="15"/>
      <c r="GO229" s="15"/>
      <c r="GP229" s="15"/>
      <c r="GQ229" s="15"/>
      <c r="GR229" s="15"/>
      <c r="GS229" s="15"/>
      <c r="GT229" s="15"/>
      <c r="GU229" s="15"/>
      <c r="GV229" s="15"/>
      <c r="GW229" s="15"/>
      <c r="GX229" s="15"/>
      <c r="GY229" s="15"/>
      <c r="GZ229" s="15"/>
      <c r="HA229" s="15"/>
      <c r="HB229" s="15"/>
      <c r="HC229" s="15"/>
      <c r="HD229" s="15"/>
      <c r="HE229" s="15"/>
      <c r="HF229" s="15"/>
      <c r="HG229" s="15"/>
      <c r="HH229" s="15"/>
      <c r="HI229" s="15"/>
      <c r="HJ229" s="15"/>
      <c r="HK229" s="15"/>
      <c r="HL229" s="15"/>
      <c r="HM229" s="15"/>
      <c r="HN229" s="15"/>
      <c r="HO229" s="15"/>
      <c r="HP229" s="15"/>
      <c r="HQ229" s="15"/>
      <c r="HR229" s="15"/>
      <c r="HS229" s="15"/>
      <c r="HT229" s="15"/>
      <c r="HU229" s="15"/>
      <c r="HV229" s="15"/>
      <c r="HW229" s="15"/>
      <c r="HX229" s="15"/>
      <c r="HY229" s="15"/>
      <c r="HZ229" s="15"/>
      <c r="IA229" s="15"/>
      <c r="IB229" s="15"/>
      <c r="IC229" s="15"/>
      <c r="ID229" s="15"/>
      <c r="IE229" s="15"/>
      <c r="IF229" s="15"/>
      <c r="IG229" s="15"/>
      <c r="IH229" s="15"/>
      <c r="II229" s="15"/>
      <c r="IJ229" s="15"/>
      <c r="IK229" s="15"/>
      <c r="IL229" s="15"/>
      <c r="IM229" s="15"/>
      <c r="IN229" s="15"/>
      <c r="IO229" s="15"/>
      <c r="IP229" s="15"/>
      <c r="IQ229" s="15"/>
      <c r="IR229" s="15"/>
      <c r="IS229" s="15"/>
      <c r="IT229" s="15"/>
      <c r="IU229" s="15"/>
      <c r="IV229" s="15"/>
      <c r="IW229" s="15"/>
      <c r="IX229" s="15"/>
      <c r="IY229" s="15"/>
      <c r="IZ229" s="15"/>
      <c r="JA229" s="15"/>
      <c r="JB229" s="15"/>
      <c r="JC229" s="15"/>
      <c r="JD229" s="15"/>
      <c r="JE229" s="15"/>
      <c r="JF229" s="15"/>
      <c r="JG229" s="15"/>
      <c r="JH229" s="15"/>
      <c r="JI229" s="15"/>
      <c r="JJ229" s="15"/>
      <c r="JK229" s="15"/>
      <c r="JL229" s="15"/>
      <c r="JM229" s="15"/>
      <c r="JN229" s="15"/>
      <c r="JO229" s="15"/>
      <c r="JP229" s="15"/>
      <c r="JQ229" s="15"/>
      <c r="JR229" s="15"/>
      <c r="JS229" s="15"/>
      <c r="JT229" s="15"/>
      <c r="JU229" s="15"/>
      <c r="JV229" s="15"/>
      <c r="JW229" s="15"/>
      <c r="JX229" s="15"/>
      <c r="JY229" s="15"/>
      <c r="JZ229" s="15"/>
      <c r="KA229" s="15"/>
      <c r="KB229" s="15"/>
      <c r="KC229" s="15"/>
      <c r="KD229" s="15"/>
      <c r="KE229" s="15"/>
      <c r="KF229" s="15"/>
      <c r="KG229" s="15"/>
      <c r="KH229" s="15"/>
      <c r="KI229" s="15"/>
      <c r="KJ229" s="15"/>
      <c r="KK229" s="15"/>
      <c r="KL229" s="15"/>
      <c r="KM229" s="15"/>
      <c r="KN229" s="15"/>
      <c r="KO229" s="15"/>
      <c r="KP229" s="15"/>
      <c r="KQ229" s="15"/>
      <c r="KR229" s="15"/>
      <c r="KS229" s="15"/>
      <c r="KT229" s="15"/>
      <c r="KU229" s="15"/>
      <c r="KV229" s="15"/>
      <c r="KW229" s="15"/>
      <c r="KX229" s="15"/>
      <c r="KY229" s="15"/>
      <c r="KZ229" s="15"/>
      <c r="LA229" s="15"/>
      <c r="LB229" s="15"/>
      <c r="LC229" s="15"/>
      <c r="LD229" s="15"/>
      <c r="LE229" s="15"/>
      <c r="LF229" s="15"/>
      <c r="LG229" s="15"/>
      <c r="LH229" s="15"/>
      <c r="LI229" s="15"/>
      <c r="LJ229" s="15"/>
      <c r="LK229" s="15"/>
      <c r="LL229" s="15"/>
      <c r="LM229" s="15"/>
      <c r="LN229" s="15"/>
      <c r="LO229" s="15"/>
      <c r="LP229" s="15"/>
      <c r="LQ229" s="15"/>
      <c r="LR229" s="15"/>
      <c r="LS229" s="15"/>
      <c r="LT229" s="15"/>
      <c r="LU229" s="15"/>
      <c r="LV229" s="15"/>
      <c r="LW229" s="15"/>
      <c r="LX229" s="15"/>
      <c r="LY229" s="15"/>
      <c r="LZ229" s="15"/>
      <c r="MA229" s="15"/>
      <c r="MB229" s="15"/>
      <c r="MC229" s="15"/>
      <c r="MD229" s="15"/>
      <c r="ME229" s="15"/>
      <c r="MF229" s="15"/>
      <c r="MG229" s="15"/>
      <c r="MH229" s="15"/>
      <c r="MI229" s="15"/>
      <c r="MJ229" s="15"/>
      <c r="MK229" s="15"/>
      <c r="ML229" s="15"/>
      <c r="MM229" s="15"/>
      <c r="MN229" s="15"/>
      <c r="MO229" s="15"/>
      <c r="MP229" s="15"/>
      <c r="MQ229" s="15"/>
      <c r="MR229" s="15"/>
      <c r="MS229" s="15"/>
      <c r="MT229" s="15"/>
      <c r="MU229" s="15"/>
      <c r="MV229" s="15"/>
      <c r="MW229" s="15"/>
    </row>
    <row r="230" ht="41.25" customHeight="1">
      <c r="A230" s="16" t="s">
        <v>229</v>
      </c>
      <c r="B230" s="14" t="s">
        <v>10251</v>
      </c>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c r="DE230" s="15"/>
      <c r="DF230" s="15"/>
      <c r="DG230" s="15"/>
      <c r="DH230" s="15"/>
      <c r="DI230" s="15"/>
      <c r="DJ230" s="15"/>
      <c r="DK230" s="15"/>
      <c r="DL230" s="15"/>
      <c r="DM230" s="15"/>
      <c r="DN230" s="15"/>
      <c r="DO230" s="15"/>
      <c r="DP230" s="15"/>
      <c r="DQ230" s="15"/>
      <c r="DR230" s="15"/>
      <c r="DS230" s="15"/>
      <c r="DT230" s="15"/>
      <c r="DU230" s="15"/>
      <c r="DV230" s="15"/>
      <c r="DW230" s="15"/>
      <c r="DX230" s="15"/>
      <c r="DY230" s="15"/>
      <c r="DZ230" s="15"/>
      <c r="EA230" s="15"/>
      <c r="EB230" s="15"/>
      <c r="EC230" s="15"/>
      <c r="ED230" s="15"/>
      <c r="EE230" s="15"/>
      <c r="EF230" s="15"/>
      <c r="EG230" s="15"/>
      <c r="EH230" s="15"/>
      <c r="EI230" s="15"/>
      <c r="EJ230" s="15"/>
      <c r="EK230" s="15"/>
      <c r="EL230" s="15"/>
      <c r="EM230" s="15"/>
      <c r="EN230" s="15"/>
      <c r="EO230" s="15"/>
      <c r="EP230" s="15"/>
      <c r="EQ230" s="15"/>
      <c r="ER230" s="15"/>
      <c r="ES230" s="15"/>
      <c r="ET230" s="15"/>
      <c r="EU230" s="15"/>
      <c r="EV230" s="15"/>
      <c r="EW230" s="15"/>
      <c r="EX230" s="15"/>
      <c r="EY230" s="15"/>
      <c r="EZ230" s="15"/>
      <c r="FA230" s="15"/>
      <c r="FB230" s="15"/>
      <c r="FC230" s="15"/>
      <c r="FD230" s="15"/>
      <c r="FE230" s="15"/>
      <c r="FF230" s="15"/>
      <c r="FG230" s="15"/>
      <c r="FH230" s="15"/>
      <c r="FI230" s="15"/>
      <c r="FJ230" s="15"/>
      <c r="FK230" s="15"/>
      <c r="FL230" s="15"/>
      <c r="FM230" s="15"/>
      <c r="FN230" s="15"/>
      <c r="FO230" s="15"/>
      <c r="FP230" s="15"/>
      <c r="FQ230" s="15"/>
      <c r="FR230" s="15"/>
      <c r="FS230" s="15"/>
      <c r="FT230" s="15"/>
      <c r="FU230" s="15"/>
      <c r="FV230" s="15"/>
      <c r="FW230" s="15"/>
      <c r="FX230" s="15"/>
      <c r="FY230" s="15"/>
      <c r="FZ230" s="15"/>
      <c r="GA230" s="15"/>
      <c r="GB230" s="15"/>
      <c r="GC230" s="15"/>
      <c r="GD230" s="15"/>
      <c r="GE230" s="15"/>
      <c r="GF230" s="15"/>
      <c r="GG230" s="15"/>
      <c r="GH230" s="15"/>
      <c r="GI230" s="15"/>
      <c r="GJ230" s="15"/>
      <c r="GK230" s="15"/>
      <c r="GL230" s="15"/>
      <c r="GM230" s="15"/>
      <c r="GN230" s="15"/>
      <c r="GO230" s="15"/>
      <c r="GP230" s="15"/>
      <c r="GQ230" s="15"/>
      <c r="GR230" s="15"/>
      <c r="GS230" s="15"/>
      <c r="GT230" s="15"/>
      <c r="GU230" s="15"/>
      <c r="GV230" s="15"/>
      <c r="GW230" s="15"/>
      <c r="GX230" s="15"/>
      <c r="GY230" s="15"/>
      <c r="GZ230" s="15"/>
      <c r="HA230" s="15"/>
      <c r="HB230" s="15"/>
      <c r="HC230" s="15"/>
      <c r="HD230" s="15"/>
      <c r="HE230" s="15"/>
      <c r="HF230" s="15"/>
      <c r="HG230" s="15"/>
      <c r="HH230" s="15"/>
      <c r="HI230" s="15"/>
      <c r="HJ230" s="15"/>
      <c r="HK230" s="15"/>
      <c r="HL230" s="15"/>
      <c r="HM230" s="15"/>
      <c r="HN230" s="15"/>
      <c r="HO230" s="15"/>
      <c r="HP230" s="15"/>
      <c r="HQ230" s="15"/>
      <c r="HR230" s="15"/>
      <c r="HS230" s="15"/>
      <c r="HT230" s="15"/>
      <c r="HU230" s="15"/>
      <c r="HV230" s="15"/>
      <c r="HW230" s="15"/>
      <c r="HX230" s="15"/>
      <c r="HY230" s="15"/>
      <c r="HZ230" s="15"/>
      <c r="IA230" s="15"/>
      <c r="IB230" s="15"/>
      <c r="IC230" s="15"/>
      <c r="ID230" s="15"/>
      <c r="IE230" s="15"/>
      <c r="IF230" s="15"/>
      <c r="IG230" s="15"/>
      <c r="IH230" s="15"/>
      <c r="II230" s="15"/>
      <c r="IJ230" s="15"/>
      <c r="IK230" s="15"/>
      <c r="IL230" s="15"/>
      <c r="IM230" s="15"/>
      <c r="IN230" s="15"/>
      <c r="IO230" s="15"/>
      <c r="IP230" s="15"/>
      <c r="IQ230" s="15"/>
      <c r="IR230" s="15"/>
      <c r="IS230" s="15"/>
      <c r="IT230" s="15"/>
      <c r="IU230" s="15"/>
      <c r="IV230" s="15"/>
      <c r="IW230" s="15"/>
      <c r="IX230" s="15"/>
      <c r="IY230" s="15"/>
      <c r="IZ230" s="15"/>
      <c r="JA230" s="15"/>
      <c r="JB230" s="15"/>
      <c r="JC230" s="15"/>
      <c r="JD230" s="15"/>
      <c r="JE230" s="15"/>
      <c r="JF230" s="15"/>
      <c r="JG230" s="15"/>
      <c r="JH230" s="15"/>
      <c r="JI230" s="15"/>
      <c r="JJ230" s="15"/>
      <c r="JK230" s="15"/>
      <c r="JL230" s="15"/>
      <c r="JM230" s="15"/>
      <c r="JN230" s="15"/>
      <c r="JO230" s="15"/>
      <c r="JP230" s="15"/>
      <c r="JQ230" s="15"/>
      <c r="JR230" s="15"/>
      <c r="JS230" s="15"/>
      <c r="JT230" s="15"/>
      <c r="JU230" s="15"/>
      <c r="JV230" s="15"/>
      <c r="JW230" s="15"/>
      <c r="JX230" s="15"/>
      <c r="JY230" s="15"/>
      <c r="JZ230" s="15"/>
      <c r="KA230" s="15"/>
      <c r="KB230" s="15"/>
      <c r="KC230" s="15"/>
      <c r="KD230" s="15"/>
      <c r="KE230" s="15"/>
      <c r="KF230" s="15"/>
      <c r="KG230" s="15"/>
      <c r="KH230" s="15"/>
      <c r="KI230" s="15"/>
      <c r="KJ230" s="15"/>
      <c r="KK230" s="15"/>
      <c r="KL230" s="15"/>
      <c r="KM230" s="15"/>
      <c r="KN230" s="15"/>
      <c r="KO230" s="15"/>
      <c r="KP230" s="15"/>
      <c r="KQ230" s="15"/>
      <c r="KR230" s="15"/>
      <c r="KS230" s="15"/>
      <c r="KT230" s="15"/>
      <c r="KU230" s="15"/>
      <c r="KV230" s="15"/>
      <c r="KW230" s="15"/>
      <c r="KX230" s="15"/>
      <c r="KY230" s="15"/>
      <c r="KZ230" s="15"/>
      <c r="LA230" s="15"/>
      <c r="LB230" s="15"/>
      <c r="LC230" s="15"/>
      <c r="LD230" s="15"/>
      <c r="LE230" s="15"/>
      <c r="LF230" s="15"/>
      <c r="LG230" s="15"/>
      <c r="LH230" s="15"/>
      <c r="LI230" s="15"/>
      <c r="LJ230" s="15"/>
      <c r="LK230" s="15"/>
      <c r="LL230" s="15"/>
      <c r="LM230" s="15"/>
      <c r="LN230" s="15"/>
      <c r="LO230" s="15"/>
      <c r="LP230" s="15"/>
      <c r="LQ230" s="15"/>
      <c r="LR230" s="15"/>
      <c r="LS230" s="15"/>
      <c r="LT230" s="15"/>
      <c r="LU230" s="15"/>
      <c r="LV230" s="15"/>
      <c r="LW230" s="15"/>
      <c r="LX230" s="15"/>
      <c r="LY230" s="15"/>
      <c r="LZ230" s="15"/>
      <c r="MA230" s="15"/>
      <c r="MB230" s="15"/>
      <c r="MC230" s="15"/>
      <c r="MD230" s="15"/>
      <c r="ME230" s="15"/>
      <c r="MF230" s="15"/>
      <c r="MG230" s="15"/>
      <c r="MH230" s="15"/>
      <c r="MI230" s="15"/>
      <c r="MJ230" s="15"/>
      <c r="MK230" s="15"/>
      <c r="ML230" s="15"/>
      <c r="MM230" s="15"/>
      <c r="MN230" s="15"/>
      <c r="MO230" s="15"/>
      <c r="MP230" s="15"/>
      <c r="MQ230" s="15"/>
      <c r="MR230" s="15"/>
      <c r="MS230" s="15"/>
      <c r="MT230" s="15"/>
      <c r="MU230" s="15"/>
      <c r="MV230" s="15"/>
      <c r="MW230" s="15"/>
    </row>
    <row r="231" ht="119.25" customHeight="1">
      <c r="A231" s="16" t="s">
        <v>230</v>
      </c>
      <c r="B231" s="14" t="s">
        <v>10252</v>
      </c>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c r="DE231" s="15"/>
      <c r="DF231" s="15"/>
      <c r="DG231" s="15"/>
      <c r="DH231" s="15"/>
      <c r="DI231" s="15"/>
      <c r="DJ231" s="15"/>
      <c r="DK231" s="15"/>
      <c r="DL231" s="15"/>
      <c r="DM231" s="15"/>
      <c r="DN231" s="15"/>
      <c r="DO231" s="15"/>
      <c r="DP231" s="15"/>
      <c r="DQ231" s="15"/>
      <c r="DR231" s="15"/>
      <c r="DS231" s="15"/>
      <c r="DT231" s="15"/>
      <c r="DU231" s="15"/>
      <c r="DV231" s="15"/>
      <c r="DW231" s="15"/>
      <c r="DX231" s="15"/>
      <c r="DY231" s="15"/>
      <c r="DZ231" s="15"/>
      <c r="EA231" s="15"/>
      <c r="EB231" s="15"/>
      <c r="EC231" s="15"/>
      <c r="ED231" s="15"/>
      <c r="EE231" s="15"/>
      <c r="EF231" s="15"/>
      <c r="EG231" s="15"/>
      <c r="EH231" s="15"/>
      <c r="EI231" s="15"/>
      <c r="EJ231" s="15"/>
      <c r="EK231" s="15"/>
      <c r="EL231" s="15"/>
      <c r="EM231" s="15"/>
      <c r="EN231" s="15"/>
      <c r="EO231" s="15"/>
      <c r="EP231" s="15"/>
      <c r="EQ231" s="15"/>
      <c r="ER231" s="15"/>
      <c r="ES231" s="15"/>
      <c r="ET231" s="15"/>
      <c r="EU231" s="15"/>
      <c r="EV231" s="15"/>
      <c r="EW231" s="15"/>
      <c r="EX231" s="15"/>
      <c r="EY231" s="15"/>
      <c r="EZ231" s="15"/>
      <c r="FA231" s="15"/>
      <c r="FB231" s="15"/>
      <c r="FC231" s="15"/>
      <c r="FD231" s="15"/>
      <c r="FE231" s="15"/>
      <c r="FF231" s="15"/>
      <c r="FG231" s="15"/>
      <c r="FH231" s="15"/>
      <c r="FI231" s="15"/>
      <c r="FJ231" s="15"/>
      <c r="FK231" s="15"/>
      <c r="FL231" s="15"/>
      <c r="FM231" s="15"/>
      <c r="FN231" s="15"/>
      <c r="FO231" s="15"/>
      <c r="FP231" s="15"/>
      <c r="FQ231" s="15"/>
      <c r="FR231" s="15"/>
      <c r="FS231" s="15"/>
      <c r="FT231" s="15"/>
      <c r="FU231" s="15"/>
      <c r="FV231" s="15"/>
      <c r="FW231" s="15"/>
      <c r="FX231" s="15"/>
      <c r="FY231" s="15"/>
      <c r="FZ231" s="15"/>
      <c r="GA231" s="15"/>
      <c r="GB231" s="15"/>
      <c r="GC231" s="15"/>
      <c r="GD231" s="15"/>
      <c r="GE231" s="15"/>
      <c r="GF231" s="15"/>
      <c r="GG231" s="15"/>
      <c r="GH231" s="15"/>
      <c r="GI231" s="15"/>
      <c r="GJ231" s="15"/>
      <c r="GK231" s="15"/>
      <c r="GL231" s="15"/>
      <c r="GM231" s="15"/>
      <c r="GN231" s="15"/>
      <c r="GO231" s="15"/>
      <c r="GP231" s="15"/>
      <c r="GQ231" s="15"/>
      <c r="GR231" s="15"/>
      <c r="GS231" s="15"/>
      <c r="GT231" s="15"/>
      <c r="GU231" s="15"/>
      <c r="GV231" s="15"/>
      <c r="GW231" s="15"/>
      <c r="GX231" s="15"/>
      <c r="GY231" s="15"/>
      <c r="GZ231" s="15"/>
      <c r="HA231" s="15"/>
      <c r="HB231" s="15"/>
      <c r="HC231" s="15"/>
      <c r="HD231" s="15"/>
      <c r="HE231" s="15"/>
      <c r="HF231" s="15"/>
      <c r="HG231" s="15"/>
      <c r="HH231" s="15"/>
      <c r="HI231" s="15"/>
      <c r="HJ231" s="15"/>
      <c r="HK231" s="15"/>
      <c r="HL231" s="15"/>
      <c r="HM231" s="15"/>
      <c r="HN231" s="15"/>
      <c r="HO231" s="15"/>
      <c r="HP231" s="15"/>
      <c r="HQ231" s="15"/>
      <c r="HR231" s="15"/>
      <c r="HS231" s="15"/>
      <c r="HT231" s="15"/>
      <c r="HU231" s="15"/>
      <c r="HV231" s="15"/>
      <c r="HW231" s="15"/>
      <c r="HX231" s="15"/>
      <c r="HY231" s="15"/>
      <c r="HZ231" s="15"/>
      <c r="IA231" s="15"/>
      <c r="IB231" s="15"/>
      <c r="IC231" s="15"/>
      <c r="ID231" s="15"/>
      <c r="IE231" s="15"/>
      <c r="IF231" s="15"/>
      <c r="IG231" s="15"/>
      <c r="IH231" s="15"/>
      <c r="II231" s="15"/>
      <c r="IJ231" s="15"/>
      <c r="IK231" s="15"/>
      <c r="IL231" s="15"/>
      <c r="IM231" s="15"/>
      <c r="IN231" s="15"/>
      <c r="IO231" s="15"/>
      <c r="IP231" s="15"/>
      <c r="IQ231" s="15"/>
      <c r="IR231" s="15"/>
      <c r="IS231" s="15"/>
      <c r="IT231" s="15"/>
      <c r="IU231" s="15"/>
      <c r="IV231" s="15"/>
      <c r="IW231" s="15"/>
      <c r="IX231" s="15"/>
      <c r="IY231" s="15"/>
      <c r="IZ231" s="15"/>
      <c r="JA231" s="15"/>
      <c r="JB231" s="15"/>
      <c r="JC231" s="15"/>
      <c r="JD231" s="15"/>
      <c r="JE231" s="15"/>
      <c r="JF231" s="15"/>
      <c r="JG231" s="15"/>
      <c r="JH231" s="15"/>
      <c r="JI231" s="15"/>
      <c r="JJ231" s="15"/>
      <c r="JK231" s="15"/>
      <c r="JL231" s="15"/>
      <c r="JM231" s="15"/>
      <c r="JN231" s="15"/>
      <c r="JO231" s="15"/>
      <c r="JP231" s="15"/>
      <c r="JQ231" s="15"/>
      <c r="JR231" s="15"/>
      <c r="JS231" s="15"/>
      <c r="JT231" s="15"/>
      <c r="JU231" s="15"/>
      <c r="JV231" s="15"/>
      <c r="JW231" s="15"/>
      <c r="JX231" s="15"/>
      <c r="JY231" s="15"/>
      <c r="JZ231" s="15"/>
      <c r="KA231" s="15"/>
      <c r="KB231" s="15"/>
      <c r="KC231" s="15"/>
      <c r="KD231" s="15"/>
      <c r="KE231" s="15"/>
      <c r="KF231" s="15"/>
      <c r="KG231" s="15"/>
      <c r="KH231" s="15"/>
      <c r="KI231" s="15"/>
      <c r="KJ231" s="15"/>
      <c r="KK231" s="15"/>
      <c r="KL231" s="15"/>
      <c r="KM231" s="15"/>
      <c r="KN231" s="15"/>
      <c r="KO231" s="15"/>
      <c r="KP231" s="15"/>
      <c r="KQ231" s="15"/>
      <c r="KR231" s="15"/>
      <c r="KS231" s="15"/>
      <c r="KT231" s="15"/>
      <c r="KU231" s="15"/>
      <c r="KV231" s="15"/>
      <c r="KW231" s="15"/>
      <c r="KX231" s="15"/>
      <c r="KY231" s="15"/>
      <c r="KZ231" s="15"/>
      <c r="LA231" s="15"/>
      <c r="LB231" s="15"/>
      <c r="LC231" s="15"/>
      <c r="LD231" s="15"/>
      <c r="LE231" s="15"/>
      <c r="LF231" s="15"/>
      <c r="LG231" s="15"/>
      <c r="LH231" s="15"/>
      <c r="LI231" s="15"/>
      <c r="LJ231" s="15"/>
      <c r="LK231" s="15"/>
      <c r="LL231" s="15"/>
      <c r="LM231" s="15"/>
      <c r="LN231" s="15"/>
      <c r="LO231" s="15"/>
      <c r="LP231" s="15"/>
      <c r="LQ231" s="15"/>
      <c r="LR231" s="15"/>
      <c r="LS231" s="15"/>
      <c r="LT231" s="15"/>
      <c r="LU231" s="15"/>
      <c r="LV231" s="15"/>
      <c r="LW231" s="15"/>
      <c r="LX231" s="15"/>
      <c r="LY231" s="15"/>
      <c r="LZ231" s="15"/>
      <c r="MA231" s="15"/>
      <c r="MB231" s="15"/>
      <c r="MC231" s="15"/>
      <c r="MD231" s="15"/>
      <c r="ME231" s="15"/>
      <c r="MF231" s="15"/>
      <c r="MG231" s="15"/>
      <c r="MH231" s="15"/>
      <c r="MI231" s="15"/>
      <c r="MJ231" s="15"/>
      <c r="MK231" s="15"/>
      <c r="ML231" s="15"/>
      <c r="MM231" s="15"/>
      <c r="MN231" s="15"/>
      <c r="MO231" s="15"/>
      <c r="MP231" s="15"/>
      <c r="MQ231" s="15"/>
      <c r="MR231" s="15"/>
      <c r="MS231" s="15"/>
      <c r="MT231" s="15"/>
      <c r="MU231" s="15"/>
      <c r="MV231" s="15"/>
      <c r="MW231" s="15"/>
    </row>
    <row r="232" ht="41.25" customHeight="1">
      <c r="A232" s="16" t="s">
        <v>231</v>
      </c>
      <c r="B232" s="14" t="s">
        <v>10253</v>
      </c>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c r="DF232" s="15"/>
      <c r="DG232" s="15"/>
      <c r="DH232" s="15"/>
      <c r="DI232" s="15"/>
      <c r="DJ232" s="15"/>
      <c r="DK232" s="15"/>
      <c r="DL232" s="15"/>
      <c r="DM232" s="15"/>
      <c r="DN232" s="15"/>
      <c r="DO232" s="15"/>
      <c r="DP232" s="15"/>
      <c r="DQ232" s="15"/>
      <c r="DR232" s="15"/>
      <c r="DS232" s="15"/>
      <c r="DT232" s="15"/>
      <c r="DU232" s="15"/>
      <c r="DV232" s="15"/>
      <c r="DW232" s="15"/>
      <c r="DX232" s="15"/>
      <c r="DY232" s="15"/>
      <c r="DZ232" s="15"/>
      <c r="EA232" s="15"/>
      <c r="EB232" s="15"/>
      <c r="EC232" s="15"/>
      <c r="ED232" s="15"/>
      <c r="EE232" s="15"/>
      <c r="EF232" s="15"/>
      <c r="EG232" s="15"/>
      <c r="EH232" s="15"/>
      <c r="EI232" s="15"/>
      <c r="EJ232" s="15"/>
      <c r="EK232" s="15"/>
      <c r="EL232" s="15"/>
      <c r="EM232" s="15"/>
      <c r="EN232" s="15"/>
      <c r="EO232" s="15"/>
      <c r="EP232" s="15"/>
      <c r="EQ232" s="15"/>
      <c r="ER232" s="15"/>
      <c r="ES232" s="15"/>
      <c r="ET232" s="15"/>
      <c r="EU232" s="15"/>
      <c r="EV232" s="15"/>
      <c r="EW232" s="15"/>
      <c r="EX232" s="15"/>
      <c r="EY232" s="15"/>
      <c r="EZ232" s="15"/>
      <c r="FA232" s="15"/>
      <c r="FB232" s="15"/>
      <c r="FC232" s="15"/>
      <c r="FD232" s="15"/>
      <c r="FE232" s="15"/>
      <c r="FF232" s="15"/>
      <c r="FG232" s="15"/>
      <c r="FH232" s="15"/>
      <c r="FI232" s="15"/>
      <c r="FJ232" s="15"/>
      <c r="FK232" s="15"/>
      <c r="FL232" s="15"/>
      <c r="FM232" s="15"/>
      <c r="FN232" s="15"/>
      <c r="FO232" s="15"/>
      <c r="FP232" s="15"/>
      <c r="FQ232" s="15"/>
      <c r="FR232" s="15"/>
      <c r="FS232" s="15"/>
      <c r="FT232" s="15"/>
      <c r="FU232" s="15"/>
      <c r="FV232" s="15"/>
      <c r="FW232" s="15"/>
      <c r="FX232" s="15"/>
      <c r="FY232" s="15"/>
      <c r="FZ232" s="15"/>
      <c r="GA232" s="15"/>
      <c r="GB232" s="15"/>
      <c r="GC232" s="15"/>
      <c r="GD232" s="15"/>
      <c r="GE232" s="15"/>
      <c r="GF232" s="15"/>
      <c r="GG232" s="15"/>
      <c r="GH232" s="15"/>
      <c r="GI232" s="15"/>
      <c r="GJ232" s="15"/>
      <c r="GK232" s="15"/>
      <c r="GL232" s="15"/>
      <c r="GM232" s="15"/>
      <c r="GN232" s="15"/>
      <c r="GO232" s="15"/>
      <c r="GP232" s="15"/>
      <c r="GQ232" s="15"/>
      <c r="GR232" s="15"/>
      <c r="GS232" s="15"/>
      <c r="GT232" s="15"/>
      <c r="GU232" s="15"/>
      <c r="GV232" s="15"/>
      <c r="GW232" s="15"/>
      <c r="GX232" s="15"/>
      <c r="GY232" s="15"/>
      <c r="GZ232" s="15"/>
      <c r="HA232" s="15"/>
      <c r="HB232" s="15"/>
      <c r="HC232" s="15"/>
      <c r="HD232" s="15"/>
      <c r="HE232" s="15"/>
      <c r="HF232" s="15"/>
      <c r="HG232" s="15"/>
      <c r="HH232" s="15"/>
      <c r="HI232" s="15"/>
      <c r="HJ232" s="15"/>
      <c r="HK232" s="15"/>
      <c r="HL232" s="15"/>
      <c r="HM232" s="15"/>
      <c r="HN232" s="15"/>
      <c r="HO232" s="15"/>
      <c r="HP232" s="15"/>
      <c r="HQ232" s="15"/>
      <c r="HR232" s="15"/>
      <c r="HS232" s="15"/>
      <c r="HT232" s="15"/>
      <c r="HU232" s="15"/>
      <c r="HV232" s="15"/>
      <c r="HW232" s="15"/>
      <c r="HX232" s="15"/>
      <c r="HY232" s="15"/>
      <c r="HZ232" s="15"/>
      <c r="IA232" s="15"/>
      <c r="IB232" s="15"/>
      <c r="IC232" s="15"/>
      <c r="ID232" s="15"/>
      <c r="IE232" s="15"/>
      <c r="IF232" s="15"/>
      <c r="IG232" s="15"/>
      <c r="IH232" s="15"/>
      <c r="II232" s="15"/>
      <c r="IJ232" s="15"/>
      <c r="IK232" s="15"/>
      <c r="IL232" s="15"/>
      <c r="IM232" s="15"/>
      <c r="IN232" s="15"/>
      <c r="IO232" s="15"/>
      <c r="IP232" s="15"/>
      <c r="IQ232" s="15"/>
      <c r="IR232" s="15"/>
      <c r="IS232" s="15"/>
      <c r="IT232" s="15"/>
      <c r="IU232" s="15"/>
      <c r="IV232" s="15"/>
      <c r="IW232" s="15"/>
      <c r="IX232" s="15"/>
      <c r="IY232" s="15"/>
      <c r="IZ232" s="15"/>
      <c r="JA232" s="15"/>
      <c r="JB232" s="15"/>
      <c r="JC232" s="15"/>
      <c r="JD232" s="15"/>
      <c r="JE232" s="15"/>
      <c r="JF232" s="15"/>
      <c r="JG232" s="15"/>
      <c r="JH232" s="15"/>
      <c r="JI232" s="15"/>
      <c r="JJ232" s="15"/>
      <c r="JK232" s="15"/>
      <c r="JL232" s="15"/>
      <c r="JM232" s="15"/>
      <c r="JN232" s="15"/>
      <c r="JO232" s="15"/>
      <c r="JP232" s="15"/>
      <c r="JQ232" s="15"/>
      <c r="JR232" s="15"/>
      <c r="JS232" s="15"/>
      <c r="JT232" s="15"/>
      <c r="JU232" s="15"/>
      <c r="JV232" s="15"/>
      <c r="JW232" s="15"/>
      <c r="JX232" s="15"/>
      <c r="JY232" s="15"/>
      <c r="JZ232" s="15"/>
      <c r="KA232" s="15"/>
      <c r="KB232" s="15"/>
      <c r="KC232" s="15"/>
      <c r="KD232" s="15"/>
      <c r="KE232" s="15"/>
      <c r="KF232" s="15"/>
      <c r="KG232" s="15"/>
      <c r="KH232" s="15"/>
      <c r="KI232" s="15"/>
      <c r="KJ232" s="15"/>
      <c r="KK232" s="15"/>
      <c r="KL232" s="15"/>
      <c r="KM232" s="15"/>
      <c r="KN232" s="15"/>
      <c r="KO232" s="15"/>
      <c r="KP232" s="15"/>
      <c r="KQ232" s="15"/>
      <c r="KR232" s="15"/>
      <c r="KS232" s="15"/>
      <c r="KT232" s="15"/>
      <c r="KU232" s="15"/>
      <c r="KV232" s="15"/>
      <c r="KW232" s="15"/>
      <c r="KX232" s="15"/>
      <c r="KY232" s="15"/>
      <c r="KZ232" s="15"/>
      <c r="LA232" s="15"/>
      <c r="LB232" s="15"/>
      <c r="LC232" s="15"/>
      <c r="LD232" s="15"/>
      <c r="LE232" s="15"/>
      <c r="LF232" s="15"/>
      <c r="LG232" s="15"/>
      <c r="LH232" s="15"/>
      <c r="LI232" s="15"/>
      <c r="LJ232" s="15"/>
      <c r="LK232" s="15"/>
      <c r="LL232" s="15"/>
      <c r="LM232" s="15"/>
      <c r="LN232" s="15"/>
      <c r="LO232" s="15"/>
      <c r="LP232" s="15"/>
      <c r="LQ232" s="15"/>
      <c r="LR232" s="15"/>
      <c r="LS232" s="15"/>
      <c r="LT232" s="15"/>
      <c r="LU232" s="15"/>
      <c r="LV232" s="15"/>
      <c r="LW232" s="15"/>
      <c r="LX232" s="15"/>
      <c r="LY232" s="15"/>
      <c r="LZ232" s="15"/>
      <c r="MA232" s="15"/>
      <c r="MB232" s="15"/>
      <c r="MC232" s="15"/>
      <c r="MD232" s="15"/>
      <c r="ME232" s="15"/>
      <c r="MF232" s="15"/>
      <c r="MG232" s="15"/>
      <c r="MH232" s="15"/>
      <c r="MI232" s="15"/>
      <c r="MJ232" s="15"/>
      <c r="MK232" s="15"/>
      <c r="ML232" s="15"/>
      <c r="MM232" s="15"/>
      <c r="MN232" s="15"/>
      <c r="MO232" s="15"/>
      <c r="MP232" s="15"/>
      <c r="MQ232" s="15"/>
      <c r="MR232" s="15"/>
      <c r="MS232" s="15"/>
      <c r="MT232" s="15"/>
      <c r="MU232" s="15"/>
      <c r="MV232" s="15"/>
      <c r="MW232" s="15"/>
    </row>
    <row r="233" ht="119.25" customHeight="1">
      <c r="A233" s="16" t="s">
        <v>232</v>
      </c>
      <c r="B233" s="14" t="s">
        <v>10254</v>
      </c>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c r="DF233" s="15"/>
      <c r="DG233" s="15"/>
      <c r="DH233" s="15"/>
      <c r="DI233" s="15"/>
      <c r="DJ233" s="15"/>
      <c r="DK233" s="15"/>
      <c r="DL233" s="15"/>
      <c r="DM233" s="15"/>
      <c r="DN233" s="15"/>
      <c r="DO233" s="15"/>
      <c r="DP233" s="15"/>
      <c r="DQ233" s="15"/>
      <c r="DR233" s="15"/>
      <c r="DS233" s="15"/>
      <c r="DT233" s="15"/>
      <c r="DU233" s="15"/>
      <c r="DV233" s="15"/>
      <c r="DW233" s="15"/>
      <c r="DX233" s="15"/>
      <c r="DY233" s="15"/>
      <c r="DZ233" s="15"/>
      <c r="EA233" s="15"/>
      <c r="EB233" s="15"/>
      <c r="EC233" s="15"/>
      <c r="ED233" s="15"/>
      <c r="EE233" s="15"/>
      <c r="EF233" s="15"/>
      <c r="EG233" s="15"/>
      <c r="EH233" s="15"/>
      <c r="EI233" s="15"/>
      <c r="EJ233" s="15"/>
      <c r="EK233" s="15"/>
      <c r="EL233" s="15"/>
      <c r="EM233" s="15"/>
      <c r="EN233" s="15"/>
      <c r="EO233" s="15"/>
      <c r="EP233" s="15"/>
      <c r="EQ233" s="15"/>
      <c r="ER233" s="15"/>
      <c r="ES233" s="15"/>
      <c r="ET233" s="15"/>
      <c r="EU233" s="15"/>
      <c r="EV233" s="15"/>
      <c r="EW233" s="15"/>
      <c r="EX233" s="15"/>
      <c r="EY233" s="15"/>
      <c r="EZ233" s="15"/>
      <c r="FA233" s="15"/>
      <c r="FB233" s="15"/>
      <c r="FC233" s="15"/>
      <c r="FD233" s="15"/>
      <c r="FE233" s="15"/>
      <c r="FF233" s="15"/>
      <c r="FG233" s="15"/>
      <c r="FH233" s="15"/>
      <c r="FI233" s="15"/>
      <c r="FJ233" s="15"/>
      <c r="FK233" s="15"/>
      <c r="FL233" s="15"/>
      <c r="FM233" s="15"/>
      <c r="FN233" s="15"/>
      <c r="FO233" s="15"/>
      <c r="FP233" s="15"/>
      <c r="FQ233" s="15"/>
      <c r="FR233" s="15"/>
      <c r="FS233" s="15"/>
      <c r="FT233" s="15"/>
      <c r="FU233" s="15"/>
      <c r="FV233" s="15"/>
      <c r="FW233" s="15"/>
      <c r="FX233" s="15"/>
      <c r="FY233" s="15"/>
      <c r="FZ233" s="15"/>
      <c r="GA233" s="15"/>
      <c r="GB233" s="15"/>
      <c r="GC233" s="15"/>
      <c r="GD233" s="15"/>
      <c r="GE233" s="15"/>
      <c r="GF233" s="15"/>
      <c r="GG233" s="15"/>
      <c r="GH233" s="15"/>
      <c r="GI233" s="15"/>
      <c r="GJ233" s="15"/>
      <c r="GK233" s="15"/>
      <c r="GL233" s="15"/>
      <c r="GM233" s="15"/>
      <c r="GN233" s="15"/>
      <c r="GO233" s="15"/>
      <c r="GP233" s="15"/>
      <c r="GQ233" s="15"/>
      <c r="GR233" s="15"/>
      <c r="GS233" s="15"/>
      <c r="GT233" s="15"/>
      <c r="GU233" s="15"/>
      <c r="GV233" s="15"/>
      <c r="GW233" s="15"/>
      <c r="GX233" s="15"/>
      <c r="GY233" s="15"/>
      <c r="GZ233" s="15"/>
      <c r="HA233" s="15"/>
      <c r="HB233" s="15"/>
      <c r="HC233" s="15"/>
      <c r="HD233" s="15"/>
      <c r="HE233" s="15"/>
      <c r="HF233" s="15"/>
      <c r="HG233" s="15"/>
      <c r="HH233" s="15"/>
      <c r="HI233" s="15"/>
      <c r="HJ233" s="15"/>
      <c r="HK233" s="15"/>
      <c r="HL233" s="15"/>
      <c r="HM233" s="15"/>
      <c r="HN233" s="15"/>
      <c r="HO233" s="15"/>
      <c r="HP233" s="15"/>
      <c r="HQ233" s="15"/>
      <c r="HR233" s="15"/>
      <c r="HS233" s="15"/>
      <c r="HT233" s="15"/>
      <c r="HU233" s="15"/>
      <c r="HV233" s="15"/>
      <c r="HW233" s="15"/>
      <c r="HX233" s="15"/>
      <c r="HY233" s="15"/>
      <c r="HZ233" s="15"/>
      <c r="IA233" s="15"/>
      <c r="IB233" s="15"/>
      <c r="IC233" s="15"/>
      <c r="ID233" s="15"/>
      <c r="IE233" s="15"/>
      <c r="IF233" s="15"/>
      <c r="IG233" s="15"/>
      <c r="IH233" s="15"/>
      <c r="II233" s="15"/>
      <c r="IJ233" s="15"/>
      <c r="IK233" s="15"/>
      <c r="IL233" s="15"/>
      <c r="IM233" s="15"/>
      <c r="IN233" s="15"/>
      <c r="IO233" s="15"/>
      <c r="IP233" s="15"/>
      <c r="IQ233" s="15"/>
      <c r="IR233" s="15"/>
      <c r="IS233" s="15"/>
      <c r="IT233" s="15"/>
      <c r="IU233" s="15"/>
      <c r="IV233" s="15"/>
      <c r="IW233" s="15"/>
      <c r="IX233" s="15"/>
      <c r="IY233" s="15"/>
      <c r="IZ233" s="15"/>
      <c r="JA233" s="15"/>
      <c r="JB233" s="15"/>
      <c r="JC233" s="15"/>
      <c r="JD233" s="15"/>
      <c r="JE233" s="15"/>
      <c r="JF233" s="15"/>
      <c r="JG233" s="15"/>
      <c r="JH233" s="15"/>
      <c r="JI233" s="15"/>
      <c r="JJ233" s="15"/>
      <c r="JK233" s="15"/>
      <c r="JL233" s="15"/>
      <c r="JM233" s="15"/>
      <c r="JN233" s="15"/>
      <c r="JO233" s="15"/>
      <c r="JP233" s="15"/>
      <c r="JQ233" s="15"/>
      <c r="JR233" s="15"/>
      <c r="JS233" s="15"/>
      <c r="JT233" s="15"/>
      <c r="JU233" s="15"/>
      <c r="JV233" s="15"/>
      <c r="JW233" s="15"/>
      <c r="JX233" s="15"/>
      <c r="JY233" s="15"/>
      <c r="JZ233" s="15"/>
      <c r="KA233" s="15"/>
      <c r="KB233" s="15"/>
      <c r="KC233" s="15"/>
      <c r="KD233" s="15"/>
      <c r="KE233" s="15"/>
      <c r="KF233" s="15"/>
      <c r="KG233" s="15"/>
      <c r="KH233" s="15"/>
      <c r="KI233" s="15"/>
      <c r="KJ233" s="15"/>
      <c r="KK233" s="15"/>
      <c r="KL233" s="15"/>
      <c r="KM233" s="15"/>
      <c r="KN233" s="15"/>
      <c r="KO233" s="15"/>
      <c r="KP233" s="15"/>
      <c r="KQ233" s="15"/>
      <c r="KR233" s="15"/>
      <c r="KS233" s="15"/>
      <c r="KT233" s="15"/>
      <c r="KU233" s="15"/>
      <c r="KV233" s="15"/>
      <c r="KW233" s="15"/>
      <c r="KX233" s="15"/>
      <c r="KY233" s="15"/>
      <c r="KZ233" s="15"/>
      <c r="LA233" s="15"/>
      <c r="LB233" s="15"/>
      <c r="LC233" s="15"/>
      <c r="LD233" s="15"/>
      <c r="LE233" s="15"/>
      <c r="LF233" s="15"/>
      <c r="LG233" s="15"/>
      <c r="LH233" s="15"/>
      <c r="LI233" s="15"/>
      <c r="LJ233" s="15"/>
      <c r="LK233" s="15"/>
      <c r="LL233" s="15"/>
      <c r="LM233" s="15"/>
      <c r="LN233" s="15"/>
      <c r="LO233" s="15"/>
      <c r="LP233" s="15"/>
      <c r="LQ233" s="15"/>
      <c r="LR233" s="15"/>
      <c r="LS233" s="15"/>
      <c r="LT233" s="15"/>
      <c r="LU233" s="15"/>
      <c r="LV233" s="15"/>
      <c r="LW233" s="15"/>
      <c r="LX233" s="15"/>
      <c r="LY233" s="15"/>
      <c r="LZ233" s="15"/>
      <c r="MA233" s="15"/>
      <c r="MB233" s="15"/>
      <c r="MC233" s="15"/>
      <c r="MD233" s="15"/>
      <c r="ME233" s="15"/>
      <c r="MF233" s="15"/>
      <c r="MG233" s="15"/>
      <c r="MH233" s="15"/>
      <c r="MI233" s="15"/>
      <c r="MJ233" s="15"/>
      <c r="MK233" s="15"/>
      <c r="ML233" s="15"/>
      <c r="MM233" s="15"/>
      <c r="MN233" s="15"/>
      <c r="MO233" s="15"/>
      <c r="MP233" s="15"/>
      <c r="MQ233" s="15"/>
      <c r="MR233" s="15"/>
      <c r="MS233" s="15"/>
      <c r="MT233" s="15"/>
      <c r="MU233" s="15"/>
      <c r="MV233" s="15"/>
      <c r="MW233" s="15"/>
    </row>
    <row r="234" ht="41.25" customHeight="1">
      <c r="A234" s="16" t="s">
        <v>233</v>
      </c>
      <c r="B234" s="14" t="s">
        <v>10255</v>
      </c>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c r="DE234" s="15"/>
      <c r="DF234" s="15"/>
      <c r="DG234" s="15"/>
      <c r="DH234" s="15"/>
      <c r="DI234" s="15"/>
      <c r="DJ234" s="15"/>
      <c r="DK234" s="15"/>
      <c r="DL234" s="15"/>
      <c r="DM234" s="15"/>
      <c r="DN234" s="15"/>
      <c r="DO234" s="15"/>
      <c r="DP234" s="15"/>
      <c r="DQ234" s="15"/>
      <c r="DR234" s="15"/>
      <c r="DS234" s="15"/>
      <c r="DT234" s="15"/>
      <c r="DU234" s="15"/>
      <c r="DV234" s="15"/>
      <c r="DW234" s="15"/>
      <c r="DX234" s="15"/>
      <c r="DY234" s="15"/>
      <c r="DZ234" s="15"/>
      <c r="EA234" s="15"/>
      <c r="EB234" s="15"/>
      <c r="EC234" s="15"/>
      <c r="ED234" s="15"/>
      <c r="EE234" s="15"/>
      <c r="EF234" s="15"/>
      <c r="EG234" s="15"/>
      <c r="EH234" s="15"/>
      <c r="EI234" s="15"/>
      <c r="EJ234" s="15"/>
      <c r="EK234" s="15"/>
      <c r="EL234" s="15"/>
      <c r="EM234" s="15"/>
      <c r="EN234" s="15"/>
      <c r="EO234" s="15"/>
      <c r="EP234" s="15"/>
      <c r="EQ234" s="15"/>
      <c r="ER234" s="15"/>
      <c r="ES234" s="15"/>
      <c r="ET234" s="15"/>
      <c r="EU234" s="15"/>
      <c r="EV234" s="15"/>
      <c r="EW234" s="15"/>
      <c r="EX234" s="15"/>
      <c r="EY234" s="15"/>
      <c r="EZ234" s="15"/>
      <c r="FA234" s="15"/>
      <c r="FB234" s="15"/>
      <c r="FC234" s="15"/>
      <c r="FD234" s="15"/>
      <c r="FE234" s="15"/>
      <c r="FF234" s="15"/>
      <c r="FG234" s="15"/>
      <c r="FH234" s="15"/>
      <c r="FI234" s="15"/>
      <c r="FJ234" s="15"/>
      <c r="FK234" s="15"/>
      <c r="FL234" s="15"/>
      <c r="FM234" s="15"/>
      <c r="FN234" s="15"/>
      <c r="FO234" s="15"/>
      <c r="FP234" s="15"/>
      <c r="FQ234" s="15"/>
      <c r="FR234" s="15"/>
      <c r="FS234" s="15"/>
      <c r="FT234" s="15"/>
      <c r="FU234" s="15"/>
      <c r="FV234" s="15"/>
      <c r="FW234" s="15"/>
      <c r="FX234" s="15"/>
      <c r="FY234" s="15"/>
      <c r="FZ234" s="15"/>
      <c r="GA234" s="15"/>
      <c r="GB234" s="15"/>
      <c r="GC234" s="15"/>
      <c r="GD234" s="15"/>
      <c r="GE234" s="15"/>
      <c r="GF234" s="15"/>
      <c r="GG234" s="15"/>
      <c r="GH234" s="15"/>
      <c r="GI234" s="15"/>
      <c r="GJ234" s="15"/>
      <c r="GK234" s="15"/>
      <c r="GL234" s="15"/>
      <c r="GM234" s="15"/>
      <c r="GN234" s="15"/>
      <c r="GO234" s="15"/>
      <c r="GP234" s="15"/>
      <c r="GQ234" s="15"/>
      <c r="GR234" s="15"/>
      <c r="GS234" s="15"/>
      <c r="GT234" s="15"/>
      <c r="GU234" s="15"/>
      <c r="GV234" s="15"/>
      <c r="GW234" s="15"/>
      <c r="GX234" s="15"/>
      <c r="GY234" s="15"/>
      <c r="GZ234" s="15"/>
      <c r="HA234" s="15"/>
      <c r="HB234" s="15"/>
      <c r="HC234" s="15"/>
      <c r="HD234" s="15"/>
      <c r="HE234" s="15"/>
      <c r="HF234" s="15"/>
      <c r="HG234" s="15"/>
      <c r="HH234" s="15"/>
      <c r="HI234" s="15"/>
      <c r="HJ234" s="15"/>
      <c r="HK234" s="15"/>
      <c r="HL234" s="15"/>
      <c r="HM234" s="15"/>
      <c r="HN234" s="15"/>
      <c r="HO234" s="15"/>
      <c r="HP234" s="15"/>
      <c r="HQ234" s="15"/>
      <c r="HR234" s="15"/>
      <c r="HS234" s="15"/>
      <c r="HT234" s="15"/>
      <c r="HU234" s="15"/>
      <c r="HV234" s="15"/>
      <c r="HW234" s="15"/>
      <c r="HX234" s="15"/>
      <c r="HY234" s="15"/>
      <c r="HZ234" s="15"/>
      <c r="IA234" s="15"/>
      <c r="IB234" s="15"/>
      <c r="IC234" s="15"/>
      <c r="ID234" s="15"/>
      <c r="IE234" s="15"/>
      <c r="IF234" s="15"/>
      <c r="IG234" s="15"/>
      <c r="IH234" s="15"/>
      <c r="II234" s="15"/>
      <c r="IJ234" s="15"/>
      <c r="IK234" s="15"/>
      <c r="IL234" s="15"/>
      <c r="IM234" s="15"/>
      <c r="IN234" s="15"/>
      <c r="IO234" s="15"/>
      <c r="IP234" s="15"/>
      <c r="IQ234" s="15"/>
      <c r="IR234" s="15"/>
      <c r="IS234" s="15"/>
      <c r="IT234" s="15"/>
      <c r="IU234" s="15"/>
      <c r="IV234" s="15"/>
      <c r="IW234" s="15"/>
      <c r="IX234" s="15"/>
      <c r="IY234" s="15"/>
      <c r="IZ234" s="15"/>
      <c r="JA234" s="15"/>
      <c r="JB234" s="15"/>
      <c r="JC234" s="15"/>
      <c r="JD234" s="15"/>
      <c r="JE234" s="15"/>
      <c r="JF234" s="15"/>
      <c r="JG234" s="15"/>
      <c r="JH234" s="15"/>
      <c r="JI234" s="15"/>
      <c r="JJ234" s="15"/>
      <c r="JK234" s="15"/>
      <c r="JL234" s="15"/>
      <c r="JM234" s="15"/>
      <c r="JN234" s="15"/>
      <c r="JO234" s="15"/>
      <c r="JP234" s="15"/>
      <c r="JQ234" s="15"/>
      <c r="JR234" s="15"/>
      <c r="JS234" s="15"/>
      <c r="JT234" s="15"/>
      <c r="JU234" s="15"/>
      <c r="JV234" s="15"/>
      <c r="JW234" s="15"/>
      <c r="JX234" s="15"/>
      <c r="JY234" s="15"/>
      <c r="JZ234" s="15"/>
      <c r="KA234" s="15"/>
      <c r="KB234" s="15"/>
      <c r="KC234" s="15"/>
      <c r="KD234" s="15"/>
      <c r="KE234" s="15"/>
      <c r="KF234" s="15"/>
      <c r="KG234" s="15"/>
      <c r="KH234" s="15"/>
      <c r="KI234" s="15"/>
      <c r="KJ234" s="15"/>
      <c r="KK234" s="15"/>
      <c r="KL234" s="15"/>
      <c r="KM234" s="15"/>
      <c r="KN234" s="15"/>
      <c r="KO234" s="15"/>
      <c r="KP234" s="15"/>
      <c r="KQ234" s="15"/>
      <c r="KR234" s="15"/>
      <c r="KS234" s="15"/>
      <c r="KT234" s="15"/>
      <c r="KU234" s="15"/>
      <c r="KV234" s="15"/>
      <c r="KW234" s="15"/>
      <c r="KX234" s="15"/>
      <c r="KY234" s="15"/>
      <c r="KZ234" s="15"/>
      <c r="LA234" s="15"/>
      <c r="LB234" s="15"/>
      <c r="LC234" s="15"/>
      <c r="LD234" s="15"/>
      <c r="LE234" s="15"/>
      <c r="LF234" s="15"/>
      <c r="LG234" s="15"/>
      <c r="LH234" s="15"/>
      <c r="LI234" s="15"/>
      <c r="LJ234" s="15"/>
      <c r="LK234" s="15"/>
      <c r="LL234" s="15"/>
      <c r="LM234" s="15"/>
      <c r="LN234" s="15"/>
      <c r="LO234" s="15"/>
      <c r="LP234" s="15"/>
      <c r="LQ234" s="15"/>
      <c r="LR234" s="15"/>
      <c r="LS234" s="15"/>
      <c r="LT234" s="15"/>
      <c r="LU234" s="15"/>
      <c r="LV234" s="15"/>
      <c r="LW234" s="15"/>
      <c r="LX234" s="15"/>
      <c r="LY234" s="15"/>
      <c r="LZ234" s="15"/>
      <c r="MA234" s="15"/>
      <c r="MB234" s="15"/>
      <c r="MC234" s="15"/>
      <c r="MD234" s="15"/>
      <c r="ME234" s="15"/>
      <c r="MF234" s="15"/>
      <c r="MG234" s="15"/>
      <c r="MH234" s="15"/>
      <c r="MI234" s="15"/>
      <c r="MJ234" s="15"/>
      <c r="MK234" s="15"/>
      <c r="ML234" s="15"/>
      <c r="MM234" s="15"/>
      <c r="MN234" s="15"/>
      <c r="MO234" s="15"/>
      <c r="MP234" s="15"/>
      <c r="MQ234" s="15"/>
      <c r="MR234" s="15"/>
      <c r="MS234" s="15"/>
      <c r="MT234" s="15"/>
      <c r="MU234" s="15"/>
      <c r="MV234" s="15"/>
      <c r="MW234" s="15"/>
    </row>
    <row r="235" ht="119.25" customHeight="1">
      <c r="A235" s="16" t="s">
        <v>234</v>
      </c>
      <c r="B235" s="14" t="s">
        <v>10256</v>
      </c>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c r="DE235" s="15"/>
      <c r="DF235" s="15"/>
      <c r="DG235" s="15"/>
      <c r="DH235" s="15"/>
      <c r="DI235" s="15"/>
      <c r="DJ235" s="15"/>
      <c r="DK235" s="15"/>
      <c r="DL235" s="15"/>
      <c r="DM235" s="15"/>
      <c r="DN235" s="15"/>
      <c r="DO235" s="15"/>
      <c r="DP235" s="15"/>
      <c r="DQ235" s="15"/>
      <c r="DR235" s="15"/>
      <c r="DS235" s="15"/>
      <c r="DT235" s="15"/>
      <c r="DU235" s="15"/>
      <c r="DV235" s="15"/>
      <c r="DW235" s="15"/>
      <c r="DX235" s="15"/>
      <c r="DY235" s="15"/>
      <c r="DZ235" s="15"/>
      <c r="EA235" s="15"/>
      <c r="EB235" s="15"/>
      <c r="EC235" s="15"/>
      <c r="ED235" s="15"/>
      <c r="EE235" s="15"/>
      <c r="EF235" s="15"/>
      <c r="EG235" s="15"/>
      <c r="EH235" s="15"/>
      <c r="EI235" s="15"/>
      <c r="EJ235" s="15"/>
      <c r="EK235" s="15"/>
      <c r="EL235" s="15"/>
      <c r="EM235" s="15"/>
      <c r="EN235" s="15"/>
      <c r="EO235" s="15"/>
      <c r="EP235" s="15"/>
      <c r="EQ235" s="15"/>
      <c r="ER235" s="15"/>
      <c r="ES235" s="15"/>
      <c r="ET235" s="15"/>
      <c r="EU235" s="15"/>
      <c r="EV235" s="15"/>
      <c r="EW235" s="15"/>
      <c r="EX235" s="15"/>
      <c r="EY235" s="15"/>
      <c r="EZ235" s="15"/>
      <c r="FA235" s="15"/>
      <c r="FB235" s="15"/>
      <c r="FC235" s="15"/>
      <c r="FD235" s="15"/>
      <c r="FE235" s="15"/>
      <c r="FF235" s="15"/>
      <c r="FG235" s="15"/>
      <c r="FH235" s="15"/>
      <c r="FI235" s="15"/>
      <c r="FJ235" s="15"/>
      <c r="FK235" s="15"/>
      <c r="FL235" s="15"/>
      <c r="FM235" s="15"/>
      <c r="FN235" s="15"/>
      <c r="FO235" s="15"/>
      <c r="FP235" s="15"/>
      <c r="FQ235" s="15"/>
      <c r="FR235" s="15"/>
      <c r="FS235" s="15"/>
      <c r="FT235" s="15"/>
      <c r="FU235" s="15"/>
      <c r="FV235" s="15"/>
      <c r="FW235" s="15"/>
      <c r="FX235" s="15"/>
      <c r="FY235" s="15"/>
      <c r="FZ235" s="15"/>
      <c r="GA235" s="15"/>
      <c r="GB235" s="15"/>
      <c r="GC235" s="15"/>
      <c r="GD235" s="15"/>
      <c r="GE235" s="15"/>
      <c r="GF235" s="15"/>
      <c r="GG235" s="15"/>
      <c r="GH235" s="15"/>
      <c r="GI235" s="15"/>
      <c r="GJ235" s="15"/>
      <c r="GK235" s="15"/>
      <c r="GL235" s="15"/>
      <c r="GM235" s="15"/>
      <c r="GN235" s="15"/>
      <c r="GO235" s="15"/>
      <c r="GP235" s="15"/>
      <c r="GQ235" s="15"/>
      <c r="GR235" s="15"/>
      <c r="GS235" s="15"/>
      <c r="GT235" s="15"/>
      <c r="GU235" s="15"/>
      <c r="GV235" s="15"/>
      <c r="GW235" s="15"/>
      <c r="GX235" s="15"/>
      <c r="GY235" s="15"/>
      <c r="GZ235" s="15"/>
      <c r="HA235" s="15"/>
      <c r="HB235" s="15"/>
      <c r="HC235" s="15"/>
      <c r="HD235" s="15"/>
      <c r="HE235" s="15"/>
      <c r="HF235" s="15"/>
      <c r="HG235" s="15"/>
      <c r="HH235" s="15"/>
      <c r="HI235" s="15"/>
      <c r="HJ235" s="15"/>
      <c r="HK235" s="15"/>
      <c r="HL235" s="15"/>
      <c r="HM235" s="15"/>
      <c r="HN235" s="15"/>
      <c r="HO235" s="15"/>
      <c r="HP235" s="15"/>
      <c r="HQ235" s="15"/>
      <c r="HR235" s="15"/>
      <c r="HS235" s="15"/>
      <c r="HT235" s="15"/>
      <c r="HU235" s="15"/>
      <c r="HV235" s="15"/>
      <c r="HW235" s="15"/>
      <c r="HX235" s="15"/>
      <c r="HY235" s="15"/>
      <c r="HZ235" s="15"/>
      <c r="IA235" s="15"/>
      <c r="IB235" s="15"/>
      <c r="IC235" s="15"/>
      <c r="ID235" s="15"/>
      <c r="IE235" s="15"/>
      <c r="IF235" s="15"/>
      <c r="IG235" s="15"/>
      <c r="IH235" s="15"/>
      <c r="II235" s="15"/>
      <c r="IJ235" s="15"/>
      <c r="IK235" s="15"/>
      <c r="IL235" s="15"/>
      <c r="IM235" s="15"/>
      <c r="IN235" s="15"/>
      <c r="IO235" s="15"/>
      <c r="IP235" s="15"/>
      <c r="IQ235" s="15"/>
      <c r="IR235" s="15"/>
      <c r="IS235" s="15"/>
      <c r="IT235" s="15"/>
      <c r="IU235" s="15"/>
      <c r="IV235" s="15"/>
      <c r="IW235" s="15"/>
      <c r="IX235" s="15"/>
      <c r="IY235" s="15"/>
      <c r="IZ235" s="15"/>
      <c r="JA235" s="15"/>
      <c r="JB235" s="15"/>
      <c r="JC235" s="15"/>
      <c r="JD235" s="15"/>
      <c r="JE235" s="15"/>
      <c r="JF235" s="15"/>
      <c r="JG235" s="15"/>
      <c r="JH235" s="15"/>
      <c r="JI235" s="15"/>
      <c r="JJ235" s="15"/>
      <c r="JK235" s="15"/>
      <c r="JL235" s="15"/>
      <c r="JM235" s="15"/>
      <c r="JN235" s="15"/>
      <c r="JO235" s="15"/>
      <c r="JP235" s="15"/>
      <c r="JQ235" s="15"/>
      <c r="JR235" s="15"/>
      <c r="JS235" s="15"/>
      <c r="JT235" s="15"/>
      <c r="JU235" s="15"/>
      <c r="JV235" s="15"/>
      <c r="JW235" s="15"/>
      <c r="JX235" s="15"/>
      <c r="JY235" s="15"/>
      <c r="JZ235" s="15"/>
      <c r="KA235" s="15"/>
      <c r="KB235" s="15"/>
      <c r="KC235" s="15"/>
      <c r="KD235" s="15"/>
      <c r="KE235" s="15"/>
      <c r="KF235" s="15"/>
      <c r="KG235" s="15"/>
      <c r="KH235" s="15"/>
      <c r="KI235" s="15"/>
      <c r="KJ235" s="15"/>
      <c r="KK235" s="15"/>
      <c r="KL235" s="15"/>
      <c r="KM235" s="15"/>
      <c r="KN235" s="15"/>
      <c r="KO235" s="15"/>
      <c r="KP235" s="15"/>
      <c r="KQ235" s="15"/>
      <c r="KR235" s="15"/>
      <c r="KS235" s="15"/>
      <c r="KT235" s="15"/>
      <c r="KU235" s="15"/>
      <c r="KV235" s="15"/>
      <c r="KW235" s="15"/>
      <c r="KX235" s="15"/>
      <c r="KY235" s="15"/>
      <c r="KZ235" s="15"/>
      <c r="LA235" s="15"/>
      <c r="LB235" s="15"/>
      <c r="LC235" s="15"/>
      <c r="LD235" s="15"/>
      <c r="LE235" s="15"/>
      <c r="LF235" s="15"/>
      <c r="LG235" s="15"/>
      <c r="LH235" s="15"/>
      <c r="LI235" s="15"/>
      <c r="LJ235" s="15"/>
      <c r="LK235" s="15"/>
      <c r="LL235" s="15"/>
      <c r="LM235" s="15"/>
      <c r="LN235" s="15"/>
      <c r="LO235" s="15"/>
      <c r="LP235" s="15"/>
      <c r="LQ235" s="15"/>
      <c r="LR235" s="15"/>
      <c r="LS235" s="15"/>
      <c r="LT235" s="15"/>
      <c r="LU235" s="15"/>
      <c r="LV235" s="15"/>
      <c r="LW235" s="15"/>
      <c r="LX235" s="15"/>
      <c r="LY235" s="15"/>
      <c r="LZ235" s="15"/>
      <c r="MA235" s="15"/>
      <c r="MB235" s="15"/>
      <c r="MC235" s="15"/>
      <c r="MD235" s="15"/>
      <c r="ME235" s="15"/>
      <c r="MF235" s="15"/>
      <c r="MG235" s="15"/>
      <c r="MH235" s="15"/>
      <c r="MI235" s="15"/>
      <c r="MJ235" s="15"/>
      <c r="MK235" s="15"/>
      <c r="ML235" s="15"/>
      <c r="MM235" s="15"/>
      <c r="MN235" s="15"/>
      <c r="MO235" s="15"/>
      <c r="MP235" s="15"/>
      <c r="MQ235" s="15"/>
      <c r="MR235" s="15"/>
      <c r="MS235" s="15"/>
      <c r="MT235" s="15"/>
      <c r="MU235" s="15"/>
      <c r="MV235" s="15"/>
      <c r="MW235" s="15"/>
    </row>
    <row r="236" ht="41.25" customHeight="1">
      <c r="A236" s="16" t="s">
        <v>235</v>
      </c>
      <c r="B236" s="14" t="s">
        <v>10257</v>
      </c>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c r="DE236" s="15"/>
      <c r="DF236" s="15"/>
      <c r="DG236" s="15"/>
      <c r="DH236" s="15"/>
      <c r="DI236" s="15"/>
      <c r="DJ236" s="15"/>
      <c r="DK236" s="15"/>
      <c r="DL236" s="15"/>
      <c r="DM236" s="15"/>
      <c r="DN236" s="15"/>
      <c r="DO236" s="15"/>
      <c r="DP236" s="15"/>
      <c r="DQ236" s="15"/>
      <c r="DR236" s="15"/>
      <c r="DS236" s="15"/>
      <c r="DT236" s="15"/>
      <c r="DU236" s="15"/>
      <c r="DV236" s="15"/>
      <c r="DW236" s="15"/>
      <c r="DX236" s="15"/>
      <c r="DY236" s="15"/>
      <c r="DZ236" s="15"/>
      <c r="EA236" s="15"/>
      <c r="EB236" s="15"/>
      <c r="EC236" s="15"/>
      <c r="ED236" s="15"/>
      <c r="EE236" s="15"/>
      <c r="EF236" s="15"/>
      <c r="EG236" s="15"/>
      <c r="EH236" s="15"/>
      <c r="EI236" s="15"/>
      <c r="EJ236" s="15"/>
      <c r="EK236" s="15"/>
      <c r="EL236" s="15"/>
      <c r="EM236" s="15"/>
      <c r="EN236" s="15"/>
      <c r="EO236" s="15"/>
      <c r="EP236" s="15"/>
      <c r="EQ236" s="15"/>
      <c r="ER236" s="15"/>
      <c r="ES236" s="15"/>
      <c r="ET236" s="15"/>
      <c r="EU236" s="15"/>
      <c r="EV236" s="15"/>
      <c r="EW236" s="15"/>
      <c r="EX236" s="15"/>
      <c r="EY236" s="15"/>
      <c r="EZ236" s="15"/>
      <c r="FA236" s="15"/>
      <c r="FB236" s="15"/>
      <c r="FC236" s="15"/>
      <c r="FD236" s="15"/>
      <c r="FE236" s="15"/>
      <c r="FF236" s="15"/>
      <c r="FG236" s="15"/>
      <c r="FH236" s="15"/>
      <c r="FI236" s="15"/>
      <c r="FJ236" s="15"/>
      <c r="FK236" s="15"/>
      <c r="FL236" s="15"/>
      <c r="FM236" s="15"/>
      <c r="FN236" s="15"/>
      <c r="FO236" s="15"/>
      <c r="FP236" s="15"/>
      <c r="FQ236" s="15"/>
      <c r="FR236" s="15"/>
      <c r="FS236" s="15"/>
      <c r="FT236" s="15"/>
      <c r="FU236" s="15"/>
      <c r="FV236" s="15"/>
      <c r="FW236" s="15"/>
      <c r="FX236" s="15"/>
      <c r="FY236" s="15"/>
      <c r="FZ236" s="15"/>
      <c r="GA236" s="15"/>
      <c r="GB236" s="15"/>
      <c r="GC236" s="15"/>
      <c r="GD236" s="15"/>
      <c r="GE236" s="15"/>
      <c r="GF236" s="15"/>
      <c r="GG236" s="15"/>
      <c r="GH236" s="15"/>
      <c r="GI236" s="15"/>
      <c r="GJ236" s="15"/>
      <c r="GK236" s="15"/>
      <c r="GL236" s="15"/>
      <c r="GM236" s="15"/>
      <c r="GN236" s="15"/>
      <c r="GO236" s="15"/>
      <c r="GP236" s="15"/>
      <c r="GQ236" s="15"/>
      <c r="GR236" s="15"/>
      <c r="GS236" s="15"/>
      <c r="GT236" s="15"/>
      <c r="GU236" s="15"/>
      <c r="GV236" s="15"/>
      <c r="GW236" s="15"/>
      <c r="GX236" s="15"/>
      <c r="GY236" s="15"/>
      <c r="GZ236" s="15"/>
      <c r="HA236" s="15"/>
      <c r="HB236" s="15"/>
      <c r="HC236" s="15"/>
      <c r="HD236" s="15"/>
      <c r="HE236" s="15"/>
      <c r="HF236" s="15"/>
      <c r="HG236" s="15"/>
      <c r="HH236" s="15"/>
      <c r="HI236" s="15"/>
      <c r="HJ236" s="15"/>
      <c r="HK236" s="15"/>
      <c r="HL236" s="15"/>
      <c r="HM236" s="15"/>
      <c r="HN236" s="15"/>
      <c r="HO236" s="15"/>
      <c r="HP236" s="15"/>
      <c r="HQ236" s="15"/>
      <c r="HR236" s="15"/>
      <c r="HS236" s="15"/>
      <c r="HT236" s="15"/>
      <c r="HU236" s="15"/>
      <c r="HV236" s="15"/>
      <c r="HW236" s="15"/>
      <c r="HX236" s="15"/>
      <c r="HY236" s="15"/>
      <c r="HZ236" s="15"/>
      <c r="IA236" s="15"/>
      <c r="IB236" s="15"/>
      <c r="IC236" s="15"/>
      <c r="ID236" s="15"/>
      <c r="IE236" s="15"/>
      <c r="IF236" s="15"/>
      <c r="IG236" s="15"/>
      <c r="IH236" s="15"/>
      <c r="II236" s="15"/>
      <c r="IJ236" s="15"/>
      <c r="IK236" s="15"/>
      <c r="IL236" s="15"/>
      <c r="IM236" s="15"/>
      <c r="IN236" s="15"/>
      <c r="IO236" s="15"/>
      <c r="IP236" s="15"/>
      <c r="IQ236" s="15"/>
      <c r="IR236" s="15"/>
      <c r="IS236" s="15"/>
      <c r="IT236" s="15"/>
      <c r="IU236" s="15"/>
      <c r="IV236" s="15"/>
      <c r="IW236" s="15"/>
      <c r="IX236" s="15"/>
      <c r="IY236" s="15"/>
      <c r="IZ236" s="15"/>
      <c r="JA236" s="15"/>
      <c r="JB236" s="15"/>
      <c r="JC236" s="15"/>
      <c r="JD236" s="15"/>
      <c r="JE236" s="15"/>
      <c r="JF236" s="15"/>
      <c r="JG236" s="15"/>
      <c r="JH236" s="15"/>
      <c r="JI236" s="15"/>
      <c r="JJ236" s="15"/>
      <c r="JK236" s="15"/>
      <c r="JL236" s="15"/>
      <c r="JM236" s="15"/>
      <c r="JN236" s="15"/>
      <c r="JO236" s="15"/>
      <c r="JP236" s="15"/>
      <c r="JQ236" s="15"/>
      <c r="JR236" s="15"/>
      <c r="JS236" s="15"/>
      <c r="JT236" s="15"/>
      <c r="JU236" s="15"/>
      <c r="JV236" s="15"/>
      <c r="JW236" s="15"/>
      <c r="JX236" s="15"/>
      <c r="JY236" s="15"/>
      <c r="JZ236" s="15"/>
      <c r="KA236" s="15"/>
      <c r="KB236" s="15"/>
      <c r="KC236" s="15"/>
      <c r="KD236" s="15"/>
      <c r="KE236" s="15"/>
      <c r="KF236" s="15"/>
      <c r="KG236" s="15"/>
      <c r="KH236" s="15"/>
      <c r="KI236" s="15"/>
      <c r="KJ236" s="15"/>
      <c r="KK236" s="15"/>
      <c r="KL236" s="15"/>
      <c r="KM236" s="15"/>
      <c r="KN236" s="15"/>
      <c r="KO236" s="15"/>
      <c r="KP236" s="15"/>
      <c r="KQ236" s="15"/>
      <c r="KR236" s="15"/>
      <c r="KS236" s="15"/>
      <c r="KT236" s="15"/>
      <c r="KU236" s="15"/>
      <c r="KV236" s="15"/>
      <c r="KW236" s="15"/>
      <c r="KX236" s="15"/>
      <c r="KY236" s="15"/>
      <c r="KZ236" s="15"/>
      <c r="LA236" s="15"/>
      <c r="LB236" s="15"/>
      <c r="LC236" s="15"/>
      <c r="LD236" s="15"/>
      <c r="LE236" s="15"/>
      <c r="LF236" s="15"/>
      <c r="LG236" s="15"/>
      <c r="LH236" s="15"/>
      <c r="LI236" s="15"/>
      <c r="LJ236" s="15"/>
      <c r="LK236" s="15"/>
      <c r="LL236" s="15"/>
      <c r="LM236" s="15"/>
      <c r="LN236" s="15"/>
      <c r="LO236" s="15"/>
      <c r="LP236" s="15"/>
      <c r="LQ236" s="15"/>
      <c r="LR236" s="15"/>
      <c r="LS236" s="15"/>
      <c r="LT236" s="15"/>
      <c r="LU236" s="15"/>
      <c r="LV236" s="15"/>
      <c r="LW236" s="15"/>
      <c r="LX236" s="15"/>
      <c r="LY236" s="15"/>
      <c r="LZ236" s="15"/>
      <c r="MA236" s="15"/>
      <c r="MB236" s="15"/>
      <c r="MC236" s="15"/>
      <c r="MD236" s="15"/>
      <c r="ME236" s="15"/>
      <c r="MF236" s="15"/>
      <c r="MG236" s="15"/>
      <c r="MH236" s="15"/>
      <c r="MI236" s="15"/>
      <c r="MJ236" s="15"/>
      <c r="MK236" s="15"/>
      <c r="ML236" s="15"/>
      <c r="MM236" s="15"/>
      <c r="MN236" s="15"/>
      <c r="MO236" s="15"/>
      <c r="MP236" s="15"/>
      <c r="MQ236" s="15"/>
      <c r="MR236" s="15"/>
      <c r="MS236" s="15"/>
      <c r="MT236" s="15"/>
      <c r="MU236" s="15"/>
      <c r="MV236" s="15"/>
      <c r="MW236" s="15"/>
    </row>
    <row r="237" ht="119.25" customHeight="1">
      <c r="A237" s="16" t="s">
        <v>236</v>
      </c>
      <c r="B237" s="14" t="s">
        <v>10258</v>
      </c>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c r="DF237" s="15"/>
      <c r="DG237" s="15"/>
      <c r="DH237" s="15"/>
      <c r="DI237" s="15"/>
      <c r="DJ237" s="15"/>
      <c r="DK237" s="15"/>
      <c r="DL237" s="15"/>
      <c r="DM237" s="15"/>
      <c r="DN237" s="15"/>
      <c r="DO237" s="15"/>
      <c r="DP237" s="15"/>
      <c r="DQ237" s="15"/>
      <c r="DR237" s="15"/>
      <c r="DS237" s="15"/>
      <c r="DT237" s="15"/>
      <c r="DU237" s="15"/>
      <c r="DV237" s="15"/>
      <c r="DW237" s="15"/>
      <c r="DX237" s="15"/>
      <c r="DY237" s="15"/>
      <c r="DZ237" s="15"/>
      <c r="EA237" s="15"/>
      <c r="EB237" s="15"/>
      <c r="EC237" s="15"/>
      <c r="ED237" s="15"/>
      <c r="EE237" s="15"/>
      <c r="EF237" s="15"/>
      <c r="EG237" s="15"/>
      <c r="EH237" s="15"/>
      <c r="EI237" s="15"/>
      <c r="EJ237" s="15"/>
      <c r="EK237" s="15"/>
      <c r="EL237" s="15"/>
      <c r="EM237" s="15"/>
      <c r="EN237" s="15"/>
      <c r="EO237" s="15"/>
      <c r="EP237" s="15"/>
      <c r="EQ237" s="15"/>
      <c r="ER237" s="15"/>
      <c r="ES237" s="15"/>
      <c r="ET237" s="15"/>
      <c r="EU237" s="15"/>
      <c r="EV237" s="15"/>
      <c r="EW237" s="15"/>
      <c r="EX237" s="15"/>
      <c r="EY237" s="15"/>
      <c r="EZ237" s="15"/>
      <c r="FA237" s="15"/>
      <c r="FB237" s="15"/>
      <c r="FC237" s="15"/>
      <c r="FD237" s="15"/>
      <c r="FE237" s="15"/>
      <c r="FF237" s="15"/>
      <c r="FG237" s="15"/>
      <c r="FH237" s="15"/>
      <c r="FI237" s="15"/>
      <c r="FJ237" s="15"/>
      <c r="FK237" s="15"/>
      <c r="FL237" s="15"/>
      <c r="FM237" s="15"/>
      <c r="FN237" s="15"/>
      <c r="FO237" s="15"/>
      <c r="FP237" s="15"/>
      <c r="FQ237" s="15"/>
      <c r="FR237" s="15"/>
      <c r="FS237" s="15"/>
      <c r="FT237" s="15"/>
      <c r="FU237" s="15"/>
      <c r="FV237" s="15"/>
      <c r="FW237" s="15"/>
      <c r="FX237" s="15"/>
      <c r="FY237" s="15"/>
      <c r="FZ237" s="15"/>
      <c r="GA237" s="15"/>
      <c r="GB237" s="15"/>
      <c r="GC237" s="15"/>
      <c r="GD237" s="15"/>
      <c r="GE237" s="15"/>
      <c r="GF237" s="15"/>
      <c r="GG237" s="15"/>
      <c r="GH237" s="15"/>
      <c r="GI237" s="15"/>
      <c r="GJ237" s="15"/>
      <c r="GK237" s="15"/>
      <c r="GL237" s="15"/>
      <c r="GM237" s="15"/>
      <c r="GN237" s="15"/>
      <c r="GO237" s="15"/>
      <c r="GP237" s="15"/>
      <c r="GQ237" s="15"/>
      <c r="GR237" s="15"/>
      <c r="GS237" s="15"/>
      <c r="GT237" s="15"/>
      <c r="GU237" s="15"/>
      <c r="GV237" s="15"/>
      <c r="GW237" s="15"/>
      <c r="GX237" s="15"/>
      <c r="GY237" s="15"/>
      <c r="GZ237" s="15"/>
      <c r="HA237" s="15"/>
      <c r="HB237" s="15"/>
      <c r="HC237" s="15"/>
      <c r="HD237" s="15"/>
      <c r="HE237" s="15"/>
      <c r="HF237" s="15"/>
      <c r="HG237" s="15"/>
      <c r="HH237" s="15"/>
      <c r="HI237" s="15"/>
      <c r="HJ237" s="15"/>
      <c r="HK237" s="15"/>
      <c r="HL237" s="15"/>
      <c r="HM237" s="15"/>
      <c r="HN237" s="15"/>
      <c r="HO237" s="15"/>
      <c r="HP237" s="15"/>
      <c r="HQ237" s="15"/>
      <c r="HR237" s="15"/>
      <c r="HS237" s="15"/>
      <c r="HT237" s="15"/>
      <c r="HU237" s="15"/>
      <c r="HV237" s="15"/>
      <c r="HW237" s="15"/>
      <c r="HX237" s="15"/>
      <c r="HY237" s="15"/>
      <c r="HZ237" s="15"/>
      <c r="IA237" s="15"/>
      <c r="IB237" s="15"/>
      <c r="IC237" s="15"/>
      <c r="ID237" s="15"/>
      <c r="IE237" s="15"/>
      <c r="IF237" s="15"/>
      <c r="IG237" s="15"/>
      <c r="IH237" s="15"/>
      <c r="II237" s="15"/>
      <c r="IJ237" s="15"/>
      <c r="IK237" s="15"/>
      <c r="IL237" s="15"/>
      <c r="IM237" s="15"/>
      <c r="IN237" s="15"/>
      <c r="IO237" s="15"/>
      <c r="IP237" s="15"/>
      <c r="IQ237" s="15"/>
      <c r="IR237" s="15"/>
      <c r="IS237" s="15"/>
      <c r="IT237" s="15"/>
      <c r="IU237" s="15"/>
      <c r="IV237" s="15"/>
      <c r="IW237" s="15"/>
      <c r="IX237" s="15"/>
      <c r="IY237" s="15"/>
      <c r="IZ237" s="15"/>
      <c r="JA237" s="15"/>
      <c r="JB237" s="15"/>
      <c r="JC237" s="15"/>
      <c r="JD237" s="15"/>
      <c r="JE237" s="15"/>
      <c r="JF237" s="15"/>
      <c r="JG237" s="15"/>
      <c r="JH237" s="15"/>
      <c r="JI237" s="15"/>
      <c r="JJ237" s="15"/>
      <c r="JK237" s="15"/>
      <c r="JL237" s="15"/>
      <c r="JM237" s="15"/>
      <c r="JN237" s="15"/>
      <c r="JO237" s="15"/>
      <c r="JP237" s="15"/>
      <c r="JQ237" s="15"/>
      <c r="JR237" s="15"/>
      <c r="JS237" s="15"/>
      <c r="JT237" s="15"/>
      <c r="JU237" s="15"/>
      <c r="JV237" s="15"/>
      <c r="JW237" s="15"/>
      <c r="JX237" s="15"/>
      <c r="JY237" s="15"/>
      <c r="JZ237" s="15"/>
      <c r="KA237" s="15"/>
      <c r="KB237" s="15"/>
      <c r="KC237" s="15"/>
      <c r="KD237" s="15"/>
      <c r="KE237" s="15"/>
      <c r="KF237" s="15"/>
      <c r="KG237" s="15"/>
      <c r="KH237" s="15"/>
      <c r="KI237" s="15"/>
      <c r="KJ237" s="15"/>
      <c r="KK237" s="15"/>
      <c r="KL237" s="15"/>
      <c r="KM237" s="15"/>
      <c r="KN237" s="15"/>
      <c r="KO237" s="15"/>
      <c r="KP237" s="15"/>
      <c r="KQ237" s="15"/>
      <c r="KR237" s="15"/>
      <c r="KS237" s="15"/>
      <c r="KT237" s="15"/>
      <c r="KU237" s="15"/>
      <c r="KV237" s="15"/>
      <c r="KW237" s="15"/>
      <c r="KX237" s="15"/>
      <c r="KY237" s="15"/>
      <c r="KZ237" s="15"/>
      <c r="LA237" s="15"/>
      <c r="LB237" s="15"/>
      <c r="LC237" s="15"/>
      <c r="LD237" s="15"/>
      <c r="LE237" s="15"/>
      <c r="LF237" s="15"/>
      <c r="LG237" s="15"/>
      <c r="LH237" s="15"/>
      <c r="LI237" s="15"/>
      <c r="LJ237" s="15"/>
      <c r="LK237" s="15"/>
      <c r="LL237" s="15"/>
      <c r="LM237" s="15"/>
      <c r="LN237" s="15"/>
      <c r="LO237" s="15"/>
      <c r="LP237" s="15"/>
      <c r="LQ237" s="15"/>
      <c r="LR237" s="15"/>
      <c r="LS237" s="15"/>
      <c r="LT237" s="15"/>
      <c r="LU237" s="15"/>
      <c r="LV237" s="15"/>
      <c r="LW237" s="15"/>
      <c r="LX237" s="15"/>
      <c r="LY237" s="15"/>
      <c r="LZ237" s="15"/>
      <c r="MA237" s="15"/>
      <c r="MB237" s="15"/>
      <c r="MC237" s="15"/>
      <c r="MD237" s="15"/>
      <c r="ME237" s="15"/>
      <c r="MF237" s="15"/>
      <c r="MG237" s="15"/>
      <c r="MH237" s="15"/>
      <c r="MI237" s="15"/>
      <c r="MJ237" s="15"/>
      <c r="MK237" s="15"/>
      <c r="ML237" s="15"/>
      <c r="MM237" s="15"/>
      <c r="MN237" s="15"/>
      <c r="MO237" s="15"/>
      <c r="MP237" s="15"/>
      <c r="MQ237" s="15"/>
      <c r="MR237" s="15"/>
      <c r="MS237" s="15"/>
      <c r="MT237" s="15"/>
      <c r="MU237" s="15"/>
      <c r="MV237" s="15"/>
      <c r="MW237" s="15"/>
    </row>
    <row r="238" ht="41.25" customHeight="1">
      <c r="A238" s="16" t="s">
        <v>237</v>
      </c>
      <c r="B238" s="14" t="s">
        <v>10259</v>
      </c>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c r="DF238" s="15"/>
      <c r="DG238" s="15"/>
      <c r="DH238" s="15"/>
      <c r="DI238" s="15"/>
      <c r="DJ238" s="15"/>
      <c r="DK238" s="15"/>
      <c r="DL238" s="15"/>
      <c r="DM238" s="15"/>
      <c r="DN238" s="15"/>
      <c r="DO238" s="15"/>
      <c r="DP238" s="15"/>
      <c r="DQ238" s="15"/>
      <c r="DR238" s="15"/>
      <c r="DS238" s="15"/>
      <c r="DT238" s="15"/>
      <c r="DU238" s="15"/>
      <c r="DV238" s="15"/>
      <c r="DW238" s="15"/>
      <c r="DX238" s="15"/>
      <c r="DY238" s="15"/>
      <c r="DZ238" s="15"/>
      <c r="EA238" s="15"/>
      <c r="EB238" s="15"/>
      <c r="EC238" s="15"/>
      <c r="ED238" s="15"/>
      <c r="EE238" s="15"/>
      <c r="EF238" s="15"/>
      <c r="EG238" s="15"/>
      <c r="EH238" s="15"/>
      <c r="EI238" s="15"/>
      <c r="EJ238" s="15"/>
      <c r="EK238" s="15"/>
      <c r="EL238" s="15"/>
      <c r="EM238" s="15"/>
      <c r="EN238" s="15"/>
      <c r="EO238" s="15"/>
      <c r="EP238" s="15"/>
      <c r="EQ238" s="15"/>
      <c r="ER238" s="15"/>
      <c r="ES238" s="15"/>
      <c r="ET238" s="15"/>
      <c r="EU238" s="15"/>
      <c r="EV238" s="15"/>
      <c r="EW238" s="15"/>
      <c r="EX238" s="15"/>
      <c r="EY238" s="15"/>
      <c r="EZ238" s="15"/>
      <c r="FA238" s="15"/>
      <c r="FB238" s="15"/>
      <c r="FC238" s="15"/>
      <c r="FD238" s="15"/>
      <c r="FE238" s="15"/>
      <c r="FF238" s="15"/>
      <c r="FG238" s="15"/>
      <c r="FH238" s="15"/>
      <c r="FI238" s="15"/>
      <c r="FJ238" s="15"/>
      <c r="FK238" s="15"/>
      <c r="FL238" s="15"/>
      <c r="FM238" s="15"/>
      <c r="FN238" s="15"/>
      <c r="FO238" s="15"/>
      <c r="FP238" s="15"/>
      <c r="FQ238" s="15"/>
      <c r="FR238" s="15"/>
      <c r="FS238" s="15"/>
      <c r="FT238" s="15"/>
      <c r="FU238" s="15"/>
      <c r="FV238" s="15"/>
      <c r="FW238" s="15"/>
      <c r="FX238" s="15"/>
      <c r="FY238" s="15"/>
      <c r="FZ238" s="15"/>
      <c r="GA238" s="15"/>
      <c r="GB238" s="15"/>
      <c r="GC238" s="15"/>
      <c r="GD238" s="15"/>
      <c r="GE238" s="15"/>
      <c r="GF238" s="15"/>
      <c r="GG238" s="15"/>
      <c r="GH238" s="15"/>
      <c r="GI238" s="15"/>
      <c r="GJ238" s="15"/>
      <c r="GK238" s="15"/>
      <c r="GL238" s="15"/>
      <c r="GM238" s="15"/>
      <c r="GN238" s="15"/>
      <c r="GO238" s="15"/>
      <c r="GP238" s="15"/>
      <c r="GQ238" s="15"/>
      <c r="GR238" s="15"/>
      <c r="GS238" s="15"/>
      <c r="GT238" s="15"/>
      <c r="GU238" s="15"/>
      <c r="GV238" s="15"/>
      <c r="GW238" s="15"/>
      <c r="GX238" s="15"/>
      <c r="GY238" s="15"/>
      <c r="GZ238" s="15"/>
      <c r="HA238" s="15"/>
      <c r="HB238" s="15"/>
      <c r="HC238" s="15"/>
      <c r="HD238" s="15"/>
      <c r="HE238" s="15"/>
      <c r="HF238" s="15"/>
      <c r="HG238" s="15"/>
      <c r="HH238" s="15"/>
      <c r="HI238" s="15"/>
      <c r="HJ238" s="15"/>
      <c r="HK238" s="15"/>
      <c r="HL238" s="15"/>
      <c r="HM238" s="15"/>
      <c r="HN238" s="15"/>
      <c r="HO238" s="15"/>
      <c r="HP238" s="15"/>
      <c r="HQ238" s="15"/>
      <c r="HR238" s="15"/>
      <c r="HS238" s="15"/>
      <c r="HT238" s="15"/>
      <c r="HU238" s="15"/>
      <c r="HV238" s="15"/>
      <c r="HW238" s="15"/>
      <c r="HX238" s="15"/>
      <c r="HY238" s="15"/>
      <c r="HZ238" s="15"/>
      <c r="IA238" s="15"/>
      <c r="IB238" s="15"/>
      <c r="IC238" s="15"/>
      <c r="ID238" s="15"/>
      <c r="IE238" s="15"/>
      <c r="IF238" s="15"/>
      <c r="IG238" s="15"/>
      <c r="IH238" s="15"/>
      <c r="II238" s="15"/>
      <c r="IJ238" s="15"/>
      <c r="IK238" s="15"/>
      <c r="IL238" s="15"/>
      <c r="IM238" s="15"/>
      <c r="IN238" s="15"/>
      <c r="IO238" s="15"/>
      <c r="IP238" s="15"/>
      <c r="IQ238" s="15"/>
      <c r="IR238" s="15"/>
      <c r="IS238" s="15"/>
      <c r="IT238" s="15"/>
      <c r="IU238" s="15"/>
      <c r="IV238" s="15"/>
      <c r="IW238" s="15"/>
      <c r="IX238" s="15"/>
      <c r="IY238" s="15"/>
      <c r="IZ238" s="15"/>
      <c r="JA238" s="15"/>
      <c r="JB238" s="15"/>
      <c r="JC238" s="15"/>
      <c r="JD238" s="15"/>
      <c r="JE238" s="15"/>
      <c r="JF238" s="15"/>
      <c r="JG238" s="15"/>
      <c r="JH238" s="15"/>
      <c r="JI238" s="15"/>
      <c r="JJ238" s="15"/>
      <c r="JK238" s="15"/>
      <c r="JL238" s="15"/>
      <c r="JM238" s="15"/>
      <c r="JN238" s="15"/>
      <c r="JO238" s="15"/>
      <c r="JP238" s="15"/>
      <c r="JQ238" s="15"/>
      <c r="JR238" s="15"/>
      <c r="JS238" s="15"/>
      <c r="JT238" s="15"/>
      <c r="JU238" s="15"/>
      <c r="JV238" s="15"/>
      <c r="JW238" s="15"/>
      <c r="JX238" s="15"/>
      <c r="JY238" s="15"/>
      <c r="JZ238" s="15"/>
      <c r="KA238" s="15"/>
      <c r="KB238" s="15"/>
      <c r="KC238" s="15"/>
      <c r="KD238" s="15"/>
      <c r="KE238" s="15"/>
      <c r="KF238" s="15"/>
      <c r="KG238" s="15"/>
      <c r="KH238" s="15"/>
      <c r="KI238" s="15"/>
      <c r="KJ238" s="15"/>
      <c r="KK238" s="15"/>
      <c r="KL238" s="15"/>
      <c r="KM238" s="15"/>
      <c r="KN238" s="15"/>
      <c r="KO238" s="15"/>
      <c r="KP238" s="15"/>
      <c r="KQ238" s="15"/>
      <c r="KR238" s="15"/>
      <c r="KS238" s="15"/>
      <c r="KT238" s="15"/>
      <c r="KU238" s="15"/>
      <c r="KV238" s="15"/>
      <c r="KW238" s="15"/>
      <c r="KX238" s="15"/>
      <c r="KY238" s="15"/>
      <c r="KZ238" s="15"/>
      <c r="LA238" s="15"/>
      <c r="LB238" s="15"/>
      <c r="LC238" s="15"/>
      <c r="LD238" s="15"/>
      <c r="LE238" s="15"/>
      <c r="LF238" s="15"/>
      <c r="LG238" s="15"/>
      <c r="LH238" s="15"/>
      <c r="LI238" s="15"/>
      <c r="LJ238" s="15"/>
      <c r="LK238" s="15"/>
      <c r="LL238" s="15"/>
      <c r="LM238" s="15"/>
      <c r="LN238" s="15"/>
      <c r="LO238" s="15"/>
      <c r="LP238" s="15"/>
      <c r="LQ238" s="15"/>
      <c r="LR238" s="15"/>
      <c r="LS238" s="15"/>
      <c r="LT238" s="15"/>
      <c r="LU238" s="15"/>
      <c r="LV238" s="15"/>
      <c r="LW238" s="15"/>
      <c r="LX238" s="15"/>
      <c r="LY238" s="15"/>
      <c r="LZ238" s="15"/>
      <c r="MA238" s="15"/>
      <c r="MB238" s="15"/>
      <c r="MC238" s="15"/>
      <c r="MD238" s="15"/>
      <c r="ME238" s="15"/>
      <c r="MF238" s="15"/>
      <c r="MG238" s="15"/>
      <c r="MH238" s="15"/>
      <c r="MI238" s="15"/>
      <c r="MJ238" s="15"/>
      <c r="MK238" s="15"/>
      <c r="ML238" s="15"/>
      <c r="MM238" s="15"/>
      <c r="MN238" s="15"/>
      <c r="MO238" s="15"/>
      <c r="MP238" s="15"/>
      <c r="MQ238" s="15"/>
      <c r="MR238" s="15"/>
      <c r="MS238" s="15"/>
      <c r="MT238" s="15"/>
      <c r="MU238" s="15"/>
      <c r="MV238" s="15"/>
      <c r="MW238" s="15"/>
    </row>
    <row r="239" ht="119.25" customHeight="1">
      <c r="A239" s="16" t="s">
        <v>238</v>
      </c>
      <c r="B239" s="14" t="s">
        <v>10260</v>
      </c>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c r="DF239" s="15"/>
      <c r="DG239" s="15"/>
      <c r="DH239" s="15"/>
      <c r="DI239" s="15"/>
      <c r="DJ239" s="15"/>
      <c r="DK239" s="15"/>
      <c r="DL239" s="15"/>
      <c r="DM239" s="15"/>
      <c r="DN239" s="15"/>
      <c r="DO239" s="15"/>
      <c r="DP239" s="15"/>
      <c r="DQ239" s="15"/>
      <c r="DR239" s="15"/>
      <c r="DS239" s="15"/>
      <c r="DT239" s="15"/>
      <c r="DU239" s="15"/>
      <c r="DV239" s="15"/>
      <c r="DW239" s="15"/>
      <c r="DX239" s="15"/>
      <c r="DY239" s="15"/>
      <c r="DZ239" s="15"/>
      <c r="EA239" s="15"/>
      <c r="EB239" s="15"/>
      <c r="EC239" s="15"/>
      <c r="ED239" s="15"/>
      <c r="EE239" s="15"/>
      <c r="EF239" s="15"/>
      <c r="EG239" s="15"/>
      <c r="EH239" s="15"/>
      <c r="EI239" s="15"/>
      <c r="EJ239" s="15"/>
      <c r="EK239" s="15"/>
      <c r="EL239" s="15"/>
      <c r="EM239" s="15"/>
      <c r="EN239" s="15"/>
      <c r="EO239" s="15"/>
      <c r="EP239" s="15"/>
      <c r="EQ239" s="15"/>
      <c r="ER239" s="15"/>
      <c r="ES239" s="15"/>
      <c r="ET239" s="15"/>
      <c r="EU239" s="15"/>
      <c r="EV239" s="15"/>
      <c r="EW239" s="15"/>
      <c r="EX239" s="15"/>
      <c r="EY239" s="15"/>
      <c r="EZ239" s="15"/>
      <c r="FA239" s="15"/>
      <c r="FB239" s="15"/>
      <c r="FC239" s="15"/>
      <c r="FD239" s="15"/>
      <c r="FE239" s="15"/>
      <c r="FF239" s="15"/>
      <c r="FG239" s="15"/>
      <c r="FH239" s="15"/>
      <c r="FI239" s="15"/>
      <c r="FJ239" s="15"/>
      <c r="FK239" s="15"/>
      <c r="FL239" s="15"/>
      <c r="FM239" s="15"/>
      <c r="FN239" s="15"/>
      <c r="FO239" s="15"/>
      <c r="FP239" s="15"/>
      <c r="FQ239" s="15"/>
      <c r="FR239" s="15"/>
      <c r="FS239" s="15"/>
      <c r="FT239" s="15"/>
      <c r="FU239" s="15"/>
      <c r="FV239" s="15"/>
      <c r="FW239" s="15"/>
      <c r="FX239" s="15"/>
      <c r="FY239" s="15"/>
      <c r="FZ239" s="15"/>
      <c r="GA239" s="15"/>
      <c r="GB239" s="15"/>
      <c r="GC239" s="15"/>
      <c r="GD239" s="15"/>
      <c r="GE239" s="15"/>
      <c r="GF239" s="15"/>
      <c r="GG239" s="15"/>
      <c r="GH239" s="15"/>
      <c r="GI239" s="15"/>
      <c r="GJ239" s="15"/>
      <c r="GK239" s="15"/>
      <c r="GL239" s="15"/>
      <c r="GM239" s="15"/>
      <c r="GN239" s="15"/>
      <c r="GO239" s="15"/>
      <c r="GP239" s="15"/>
      <c r="GQ239" s="15"/>
      <c r="GR239" s="15"/>
      <c r="GS239" s="15"/>
      <c r="GT239" s="15"/>
      <c r="GU239" s="15"/>
      <c r="GV239" s="15"/>
      <c r="GW239" s="15"/>
      <c r="GX239" s="15"/>
      <c r="GY239" s="15"/>
      <c r="GZ239" s="15"/>
      <c r="HA239" s="15"/>
      <c r="HB239" s="15"/>
      <c r="HC239" s="15"/>
      <c r="HD239" s="15"/>
      <c r="HE239" s="15"/>
      <c r="HF239" s="15"/>
      <c r="HG239" s="15"/>
      <c r="HH239" s="15"/>
      <c r="HI239" s="15"/>
      <c r="HJ239" s="15"/>
      <c r="HK239" s="15"/>
      <c r="HL239" s="15"/>
      <c r="HM239" s="15"/>
      <c r="HN239" s="15"/>
      <c r="HO239" s="15"/>
      <c r="HP239" s="15"/>
      <c r="HQ239" s="15"/>
      <c r="HR239" s="15"/>
      <c r="HS239" s="15"/>
      <c r="HT239" s="15"/>
      <c r="HU239" s="15"/>
      <c r="HV239" s="15"/>
      <c r="HW239" s="15"/>
      <c r="HX239" s="15"/>
      <c r="HY239" s="15"/>
      <c r="HZ239" s="15"/>
      <c r="IA239" s="15"/>
      <c r="IB239" s="15"/>
      <c r="IC239" s="15"/>
      <c r="ID239" s="15"/>
      <c r="IE239" s="15"/>
      <c r="IF239" s="15"/>
      <c r="IG239" s="15"/>
      <c r="IH239" s="15"/>
      <c r="II239" s="15"/>
      <c r="IJ239" s="15"/>
      <c r="IK239" s="15"/>
      <c r="IL239" s="15"/>
      <c r="IM239" s="15"/>
      <c r="IN239" s="15"/>
      <c r="IO239" s="15"/>
      <c r="IP239" s="15"/>
      <c r="IQ239" s="15"/>
      <c r="IR239" s="15"/>
      <c r="IS239" s="15"/>
      <c r="IT239" s="15"/>
      <c r="IU239" s="15"/>
      <c r="IV239" s="15"/>
      <c r="IW239" s="15"/>
      <c r="IX239" s="15"/>
      <c r="IY239" s="15"/>
      <c r="IZ239" s="15"/>
      <c r="JA239" s="15"/>
      <c r="JB239" s="15"/>
      <c r="JC239" s="15"/>
      <c r="JD239" s="15"/>
      <c r="JE239" s="15"/>
      <c r="JF239" s="15"/>
      <c r="JG239" s="15"/>
      <c r="JH239" s="15"/>
      <c r="JI239" s="15"/>
      <c r="JJ239" s="15"/>
      <c r="JK239" s="15"/>
      <c r="JL239" s="15"/>
      <c r="JM239" s="15"/>
      <c r="JN239" s="15"/>
      <c r="JO239" s="15"/>
      <c r="JP239" s="15"/>
      <c r="JQ239" s="15"/>
      <c r="JR239" s="15"/>
      <c r="JS239" s="15"/>
      <c r="JT239" s="15"/>
      <c r="JU239" s="15"/>
      <c r="JV239" s="15"/>
      <c r="JW239" s="15"/>
      <c r="JX239" s="15"/>
      <c r="JY239" s="15"/>
      <c r="JZ239" s="15"/>
      <c r="KA239" s="15"/>
      <c r="KB239" s="15"/>
      <c r="KC239" s="15"/>
      <c r="KD239" s="15"/>
      <c r="KE239" s="15"/>
      <c r="KF239" s="15"/>
      <c r="KG239" s="15"/>
      <c r="KH239" s="15"/>
      <c r="KI239" s="15"/>
      <c r="KJ239" s="15"/>
      <c r="KK239" s="15"/>
      <c r="KL239" s="15"/>
      <c r="KM239" s="15"/>
      <c r="KN239" s="15"/>
      <c r="KO239" s="15"/>
      <c r="KP239" s="15"/>
      <c r="KQ239" s="15"/>
      <c r="KR239" s="15"/>
      <c r="KS239" s="15"/>
      <c r="KT239" s="15"/>
      <c r="KU239" s="15"/>
      <c r="KV239" s="15"/>
      <c r="KW239" s="15"/>
      <c r="KX239" s="15"/>
      <c r="KY239" s="15"/>
      <c r="KZ239" s="15"/>
      <c r="LA239" s="15"/>
      <c r="LB239" s="15"/>
      <c r="LC239" s="15"/>
      <c r="LD239" s="15"/>
      <c r="LE239" s="15"/>
      <c r="LF239" s="15"/>
      <c r="LG239" s="15"/>
      <c r="LH239" s="15"/>
      <c r="LI239" s="15"/>
      <c r="LJ239" s="15"/>
      <c r="LK239" s="15"/>
      <c r="LL239" s="15"/>
      <c r="LM239" s="15"/>
      <c r="LN239" s="15"/>
      <c r="LO239" s="15"/>
      <c r="LP239" s="15"/>
      <c r="LQ239" s="15"/>
      <c r="LR239" s="15"/>
      <c r="LS239" s="15"/>
      <c r="LT239" s="15"/>
      <c r="LU239" s="15"/>
      <c r="LV239" s="15"/>
      <c r="LW239" s="15"/>
      <c r="LX239" s="15"/>
      <c r="LY239" s="15"/>
      <c r="LZ239" s="15"/>
      <c r="MA239" s="15"/>
      <c r="MB239" s="15"/>
      <c r="MC239" s="15"/>
      <c r="MD239" s="15"/>
      <c r="ME239" s="15"/>
      <c r="MF239" s="15"/>
      <c r="MG239" s="15"/>
      <c r="MH239" s="15"/>
      <c r="MI239" s="15"/>
      <c r="MJ239" s="15"/>
      <c r="MK239" s="15"/>
      <c r="ML239" s="15"/>
      <c r="MM239" s="15"/>
      <c r="MN239" s="15"/>
      <c r="MO239" s="15"/>
      <c r="MP239" s="15"/>
      <c r="MQ239" s="15"/>
      <c r="MR239" s="15"/>
      <c r="MS239" s="15"/>
      <c r="MT239" s="15"/>
      <c r="MU239" s="15"/>
      <c r="MV239" s="15"/>
      <c r="MW239" s="15"/>
    </row>
    <row r="240" ht="41.25" customHeight="1">
      <c r="A240" s="16" t="s">
        <v>239</v>
      </c>
      <c r="B240" s="14" t="s">
        <v>10261</v>
      </c>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c r="DF240" s="15"/>
      <c r="DG240" s="15"/>
      <c r="DH240" s="15"/>
      <c r="DI240" s="15"/>
      <c r="DJ240" s="15"/>
      <c r="DK240" s="15"/>
      <c r="DL240" s="15"/>
      <c r="DM240" s="15"/>
      <c r="DN240" s="15"/>
      <c r="DO240" s="15"/>
      <c r="DP240" s="15"/>
      <c r="DQ240" s="15"/>
      <c r="DR240" s="15"/>
      <c r="DS240" s="15"/>
      <c r="DT240" s="15"/>
      <c r="DU240" s="15"/>
      <c r="DV240" s="15"/>
      <c r="DW240" s="15"/>
      <c r="DX240" s="15"/>
      <c r="DY240" s="15"/>
      <c r="DZ240" s="15"/>
      <c r="EA240" s="15"/>
      <c r="EB240" s="15"/>
      <c r="EC240" s="15"/>
      <c r="ED240" s="15"/>
      <c r="EE240" s="15"/>
      <c r="EF240" s="15"/>
      <c r="EG240" s="15"/>
      <c r="EH240" s="15"/>
      <c r="EI240" s="15"/>
      <c r="EJ240" s="15"/>
      <c r="EK240" s="15"/>
      <c r="EL240" s="15"/>
      <c r="EM240" s="15"/>
      <c r="EN240" s="15"/>
      <c r="EO240" s="15"/>
      <c r="EP240" s="15"/>
      <c r="EQ240" s="15"/>
      <c r="ER240" s="15"/>
      <c r="ES240" s="15"/>
      <c r="ET240" s="15"/>
      <c r="EU240" s="15"/>
      <c r="EV240" s="15"/>
      <c r="EW240" s="15"/>
      <c r="EX240" s="15"/>
      <c r="EY240" s="15"/>
      <c r="EZ240" s="15"/>
      <c r="FA240" s="15"/>
      <c r="FB240" s="15"/>
      <c r="FC240" s="15"/>
      <c r="FD240" s="15"/>
      <c r="FE240" s="15"/>
      <c r="FF240" s="15"/>
      <c r="FG240" s="15"/>
      <c r="FH240" s="15"/>
      <c r="FI240" s="15"/>
      <c r="FJ240" s="15"/>
      <c r="FK240" s="15"/>
      <c r="FL240" s="15"/>
      <c r="FM240" s="15"/>
      <c r="FN240" s="15"/>
      <c r="FO240" s="15"/>
      <c r="FP240" s="15"/>
      <c r="FQ240" s="15"/>
      <c r="FR240" s="15"/>
      <c r="FS240" s="15"/>
      <c r="FT240" s="15"/>
      <c r="FU240" s="15"/>
      <c r="FV240" s="15"/>
      <c r="FW240" s="15"/>
      <c r="FX240" s="15"/>
      <c r="FY240" s="15"/>
      <c r="FZ240" s="15"/>
      <c r="GA240" s="15"/>
      <c r="GB240" s="15"/>
      <c r="GC240" s="15"/>
      <c r="GD240" s="15"/>
      <c r="GE240" s="15"/>
      <c r="GF240" s="15"/>
      <c r="GG240" s="15"/>
      <c r="GH240" s="15"/>
      <c r="GI240" s="15"/>
      <c r="GJ240" s="15"/>
      <c r="GK240" s="15"/>
      <c r="GL240" s="15"/>
      <c r="GM240" s="15"/>
      <c r="GN240" s="15"/>
      <c r="GO240" s="15"/>
      <c r="GP240" s="15"/>
      <c r="GQ240" s="15"/>
      <c r="GR240" s="15"/>
      <c r="GS240" s="15"/>
      <c r="GT240" s="15"/>
      <c r="GU240" s="15"/>
      <c r="GV240" s="15"/>
      <c r="GW240" s="15"/>
      <c r="GX240" s="15"/>
      <c r="GY240" s="15"/>
      <c r="GZ240" s="15"/>
      <c r="HA240" s="15"/>
      <c r="HB240" s="15"/>
      <c r="HC240" s="15"/>
      <c r="HD240" s="15"/>
      <c r="HE240" s="15"/>
      <c r="HF240" s="15"/>
      <c r="HG240" s="15"/>
      <c r="HH240" s="15"/>
      <c r="HI240" s="15"/>
      <c r="HJ240" s="15"/>
      <c r="HK240" s="15"/>
      <c r="HL240" s="15"/>
      <c r="HM240" s="15"/>
      <c r="HN240" s="15"/>
      <c r="HO240" s="15"/>
      <c r="HP240" s="15"/>
      <c r="HQ240" s="15"/>
      <c r="HR240" s="15"/>
      <c r="HS240" s="15"/>
      <c r="HT240" s="15"/>
      <c r="HU240" s="15"/>
      <c r="HV240" s="15"/>
      <c r="HW240" s="15"/>
      <c r="HX240" s="15"/>
      <c r="HY240" s="15"/>
      <c r="HZ240" s="15"/>
      <c r="IA240" s="15"/>
      <c r="IB240" s="15"/>
      <c r="IC240" s="15"/>
      <c r="ID240" s="15"/>
      <c r="IE240" s="15"/>
      <c r="IF240" s="15"/>
      <c r="IG240" s="15"/>
      <c r="IH240" s="15"/>
      <c r="II240" s="15"/>
      <c r="IJ240" s="15"/>
      <c r="IK240" s="15"/>
      <c r="IL240" s="15"/>
      <c r="IM240" s="15"/>
      <c r="IN240" s="15"/>
      <c r="IO240" s="15"/>
      <c r="IP240" s="15"/>
      <c r="IQ240" s="15"/>
      <c r="IR240" s="15"/>
      <c r="IS240" s="15"/>
      <c r="IT240" s="15"/>
      <c r="IU240" s="15"/>
      <c r="IV240" s="15"/>
      <c r="IW240" s="15"/>
      <c r="IX240" s="15"/>
      <c r="IY240" s="15"/>
      <c r="IZ240" s="15"/>
      <c r="JA240" s="15"/>
      <c r="JB240" s="15"/>
      <c r="JC240" s="15"/>
      <c r="JD240" s="15"/>
      <c r="JE240" s="15"/>
      <c r="JF240" s="15"/>
      <c r="JG240" s="15"/>
      <c r="JH240" s="15"/>
      <c r="JI240" s="15"/>
      <c r="JJ240" s="15"/>
      <c r="JK240" s="15"/>
      <c r="JL240" s="15"/>
      <c r="JM240" s="15"/>
      <c r="JN240" s="15"/>
      <c r="JO240" s="15"/>
      <c r="JP240" s="15"/>
      <c r="JQ240" s="15"/>
      <c r="JR240" s="15"/>
      <c r="JS240" s="15"/>
      <c r="JT240" s="15"/>
      <c r="JU240" s="15"/>
      <c r="JV240" s="15"/>
      <c r="JW240" s="15"/>
      <c r="JX240" s="15"/>
      <c r="JY240" s="15"/>
      <c r="JZ240" s="15"/>
      <c r="KA240" s="15"/>
      <c r="KB240" s="15"/>
      <c r="KC240" s="15"/>
      <c r="KD240" s="15"/>
      <c r="KE240" s="15"/>
      <c r="KF240" s="15"/>
      <c r="KG240" s="15"/>
      <c r="KH240" s="15"/>
      <c r="KI240" s="15"/>
      <c r="KJ240" s="15"/>
      <c r="KK240" s="15"/>
      <c r="KL240" s="15"/>
      <c r="KM240" s="15"/>
      <c r="KN240" s="15"/>
      <c r="KO240" s="15"/>
      <c r="KP240" s="15"/>
      <c r="KQ240" s="15"/>
      <c r="KR240" s="15"/>
      <c r="KS240" s="15"/>
      <c r="KT240" s="15"/>
      <c r="KU240" s="15"/>
      <c r="KV240" s="15"/>
      <c r="KW240" s="15"/>
      <c r="KX240" s="15"/>
      <c r="KY240" s="15"/>
      <c r="KZ240" s="15"/>
      <c r="LA240" s="15"/>
      <c r="LB240" s="15"/>
      <c r="LC240" s="15"/>
      <c r="LD240" s="15"/>
      <c r="LE240" s="15"/>
      <c r="LF240" s="15"/>
      <c r="LG240" s="15"/>
      <c r="LH240" s="15"/>
      <c r="LI240" s="15"/>
      <c r="LJ240" s="15"/>
      <c r="LK240" s="15"/>
      <c r="LL240" s="15"/>
      <c r="LM240" s="15"/>
      <c r="LN240" s="15"/>
      <c r="LO240" s="15"/>
      <c r="LP240" s="15"/>
      <c r="LQ240" s="15"/>
      <c r="LR240" s="15"/>
      <c r="LS240" s="15"/>
      <c r="LT240" s="15"/>
      <c r="LU240" s="15"/>
      <c r="LV240" s="15"/>
      <c r="LW240" s="15"/>
      <c r="LX240" s="15"/>
      <c r="LY240" s="15"/>
      <c r="LZ240" s="15"/>
      <c r="MA240" s="15"/>
      <c r="MB240" s="15"/>
      <c r="MC240" s="15"/>
      <c r="MD240" s="15"/>
      <c r="ME240" s="15"/>
      <c r="MF240" s="15"/>
      <c r="MG240" s="15"/>
      <c r="MH240" s="15"/>
      <c r="MI240" s="15"/>
      <c r="MJ240" s="15"/>
      <c r="MK240" s="15"/>
      <c r="ML240" s="15"/>
      <c r="MM240" s="15"/>
      <c r="MN240" s="15"/>
      <c r="MO240" s="15"/>
      <c r="MP240" s="15"/>
      <c r="MQ240" s="15"/>
      <c r="MR240" s="15"/>
      <c r="MS240" s="15"/>
      <c r="MT240" s="15"/>
      <c r="MU240" s="15"/>
      <c r="MV240" s="15"/>
      <c r="MW240" s="15"/>
    </row>
    <row r="241" ht="119.25" customHeight="1">
      <c r="A241" s="16" t="s">
        <v>240</v>
      </c>
      <c r="B241" s="14" t="s">
        <v>10262</v>
      </c>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c r="DF241" s="15"/>
      <c r="DG241" s="15"/>
      <c r="DH241" s="15"/>
      <c r="DI241" s="15"/>
      <c r="DJ241" s="15"/>
      <c r="DK241" s="15"/>
      <c r="DL241" s="15"/>
      <c r="DM241" s="15"/>
      <c r="DN241" s="15"/>
      <c r="DO241" s="15"/>
      <c r="DP241" s="15"/>
      <c r="DQ241" s="15"/>
      <c r="DR241" s="15"/>
      <c r="DS241" s="15"/>
      <c r="DT241" s="15"/>
      <c r="DU241" s="15"/>
      <c r="DV241" s="15"/>
      <c r="DW241" s="15"/>
      <c r="DX241" s="15"/>
      <c r="DY241" s="15"/>
      <c r="DZ241" s="15"/>
      <c r="EA241" s="15"/>
      <c r="EB241" s="15"/>
      <c r="EC241" s="15"/>
      <c r="ED241" s="15"/>
      <c r="EE241" s="15"/>
      <c r="EF241" s="15"/>
      <c r="EG241" s="15"/>
      <c r="EH241" s="15"/>
      <c r="EI241" s="15"/>
      <c r="EJ241" s="15"/>
      <c r="EK241" s="15"/>
      <c r="EL241" s="15"/>
      <c r="EM241" s="15"/>
      <c r="EN241" s="15"/>
      <c r="EO241" s="15"/>
      <c r="EP241" s="15"/>
      <c r="EQ241" s="15"/>
      <c r="ER241" s="15"/>
      <c r="ES241" s="15"/>
      <c r="ET241" s="15"/>
      <c r="EU241" s="15"/>
      <c r="EV241" s="15"/>
      <c r="EW241" s="15"/>
      <c r="EX241" s="15"/>
      <c r="EY241" s="15"/>
      <c r="EZ241" s="15"/>
      <c r="FA241" s="15"/>
      <c r="FB241" s="15"/>
      <c r="FC241" s="15"/>
      <c r="FD241" s="15"/>
      <c r="FE241" s="15"/>
      <c r="FF241" s="15"/>
      <c r="FG241" s="15"/>
      <c r="FH241" s="15"/>
      <c r="FI241" s="15"/>
      <c r="FJ241" s="15"/>
      <c r="FK241" s="15"/>
      <c r="FL241" s="15"/>
      <c r="FM241" s="15"/>
      <c r="FN241" s="15"/>
      <c r="FO241" s="15"/>
      <c r="FP241" s="15"/>
      <c r="FQ241" s="15"/>
      <c r="FR241" s="15"/>
      <c r="FS241" s="15"/>
      <c r="FT241" s="15"/>
      <c r="FU241" s="15"/>
      <c r="FV241" s="15"/>
      <c r="FW241" s="15"/>
      <c r="FX241" s="15"/>
      <c r="FY241" s="15"/>
      <c r="FZ241" s="15"/>
      <c r="GA241" s="15"/>
      <c r="GB241" s="15"/>
      <c r="GC241" s="15"/>
      <c r="GD241" s="15"/>
      <c r="GE241" s="15"/>
      <c r="GF241" s="15"/>
      <c r="GG241" s="15"/>
      <c r="GH241" s="15"/>
      <c r="GI241" s="15"/>
      <c r="GJ241" s="15"/>
      <c r="GK241" s="15"/>
      <c r="GL241" s="15"/>
      <c r="GM241" s="15"/>
      <c r="GN241" s="15"/>
      <c r="GO241" s="15"/>
      <c r="GP241" s="15"/>
      <c r="GQ241" s="15"/>
      <c r="GR241" s="15"/>
      <c r="GS241" s="15"/>
      <c r="GT241" s="15"/>
      <c r="GU241" s="15"/>
      <c r="GV241" s="15"/>
      <c r="GW241" s="15"/>
      <c r="GX241" s="15"/>
      <c r="GY241" s="15"/>
      <c r="GZ241" s="15"/>
      <c r="HA241" s="15"/>
      <c r="HB241" s="15"/>
      <c r="HC241" s="15"/>
      <c r="HD241" s="15"/>
      <c r="HE241" s="15"/>
      <c r="HF241" s="15"/>
      <c r="HG241" s="15"/>
      <c r="HH241" s="15"/>
      <c r="HI241" s="15"/>
      <c r="HJ241" s="15"/>
      <c r="HK241" s="15"/>
      <c r="HL241" s="15"/>
      <c r="HM241" s="15"/>
      <c r="HN241" s="15"/>
      <c r="HO241" s="15"/>
      <c r="HP241" s="15"/>
      <c r="HQ241" s="15"/>
      <c r="HR241" s="15"/>
      <c r="HS241" s="15"/>
      <c r="HT241" s="15"/>
      <c r="HU241" s="15"/>
      <c r="HV241" s="15"/>
      <c r="HW241" s="15"/>
      <c r="HX241" s="15"/>
      <c r="HY241" s="15"/>
      <c r="HZ241" s="15"/>
      <c r="IA241" s="15"/>
      <c r="IB241" s="15"/>
      <c r="IC241" s="15"/>
      <c r="ID241" s="15"/>
      <c r="IE241" s="15"/>
      <c r="IF241" s="15"/>
      <c r="IG241" s="15"/>
      <c r="IH241" s="15"/>
      <c r="II241" s="15"/>
      <c r="IJ241" s="15"/>
      <c r="IK241" s="15"/>
      <c r="IL241" s="15"/>
      <c r="IM241" s="15"/>
      <c r="IN241" s="15"/>
      <c r="IO241" s="15"/>
      <c r="IP241" s="15"/>
      <c r="IQ241" s="15"/>
      <c r="IR241" s="15"/>
      <c r="IS241" s="15"/>
      <c r="IT241" s="15"/>
      <c r="IU241" s="15"/>
      <c r="IV241" s="15"/>
      <c r="IW241" s="15"/>
      <c r="IX241" s="15"/>
      <c r="IY241" s="15"/>
      <c r="IZ241" s="15"/>
      <c r="JA241" s="15"/>
      <c r="JB241" s="15"/>
      <c r="JC241" s="15"/>
      <c r="JD241" s="15"/>
      <c r="JE241" s="15"/>
      <c r="JF241" s="15"/>
      <c r="JG241" s="15"/>
      <c r="JH241" s="15"/>
      <c r="JI241" s="15"/>
      <c r="JJ241" s="15"/>
      <c r="JK241" s="15"/>
      <c r="JL241" s="15"/>
      <c r="JM241" s="15"/>
      <c r="JN241" s="15"/>
      <c r="JO241" s="15"/>
      <c r="JP241" s="15"/>
      <c r="JQ241" s="15"/>
      <c r="JR241" s="15"/>
      <c r="JS241" s="15"/>
      <c r="JT241" s="15"/>
      <c r="JU241" s="15"/>
      <c r="JV241" s="15"/>
      <c r="JW241" s="15"/>
      <c r="JX241" s="15"/>
      <c r="JY241" s="15"/>
      <c r="JZ241" s="15"/>
      <c r="KA241" s="15"/>
      <c r="KB241" s="15"/>
      <c r="KC241" s="15"/>
      <c r="KD241" s="15"/>
      <c r="KE241" s="15"/>
      <c r="KF241" s="15"/>
      <c r="KG241" s="15"/>
      <c r="KH241" s="15"/>
      <c r="KI241" s="15"/>
      <c r="KJ241" s="15"/>
      <c r="KK241" s="15"/>
      <c r="KL241" s="15"/>
      <c r="KM241" s="15"/>
      <c r="KN241" s="15"/>
      <c r="KO241" s="15"/>
      <c r="KP241" s="15"/>
      <c r="KQ241" s="15"/>
      <c r="KR241" s="15"/>
      <c r="KS241" s="15"/>
      <c r="KT241" s="15"/>
      <c r="KU241" s="15"/>
      <c r="KV241" s="15"/>
      <c r="KW241" s="15"/>
      <c r="KX241" s="15"/>
      <c r="KY241" s="15"/>
      <c r="KZ241" s="15"/>
      <c r="LA241" s="15"/>
      <c r="LB241" s="15"/>
      <c r="LC241" s="15"/>
      <c r="LD241" s="15"/>
      <c r="LE241" s="15"/>
      <c r="LF241" s="15"/>
      <c r="LG241" s="15"/>
      <c r="LH241" s="15"/>
      <c r="LI241" s="15"/>
      <c r="LJ241" s="15"/>
      <c r="LK241" s="15"/>
      <c r="LL241" s="15"/>
      <c r="LM241" s="15"/>
      <c r="LN241" s="15"/>
      <c r="LO241" s="15"/>
      <c r="LP241" s="15"/>
      <c r="LQ241" s="15"/>
      <c r="LR241" s="15"/>
      <c r="LS241" s="15"/>
      <c r="LT241" s="15"/>
      <c r="LU241" s="15"/>
      <c r="LV241" s="15"/>
      <c r="LW241" s="15"/>
      <c r="LX241" s="15"/>
      <c r="LY241" s="15"/>
      <c r="LZ241" s="15"/>
      <c r="MA241" s="15"/>
      <c r="MB241" s="15"/>
      <c r="MC241" s="15"/>
      <c r="MD241" s="15"/>
      <c r="ME241" s="15"/>
      <c r="MF241" s="15"/>
      <c r="MG241" s="15"/>
      <c r="MH241" s="15"/>
      <c r="MI241" s="15"/>
      <c r="MJ241" s="15"/>
      <c r="MK241" s="15"/>
      <c r="ML241" s="15"/>
      <c r="MM241" s="15"/>
      <c r="MN241" s="15"/>
      <c r="MO241" s="15"/>
      <c r="MP241" s="15"/>
      <c r="MQ241" s="15"/>
      <c r="MR241" s="15"/>
      <c r="MS241" s="15"/>
      <c r="MT241" s="15"/>
      <c r="MU241" s="15"/>
      <c r="MV241" s="15"/>
      <c r="MW241" s="15"/>
    </row>
    <row r="242" ht="41.25" customHeight="1">
      <c r="A242" s="16" t="s">
        <v>241</v>
      </c>
      <c r="B242" s="14" t="s">
        <v>10263</v>
      </c>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c r="DF242" s="15"/>
      <c r="DG242" s="15"/>
      <c r="DH242" s="15"/>
      <c r="DI242" s="15"/>
      <c r="DJ242" s="15"/>
      <c r="DK242" s="15"/>
      <c r="DL242" s="15"/>
      <c r="DM242" s="15"/>
      <c r="DN242" s="15"/>
      <c r="DO242" s="15"/>
      <c r="DP242" s="15"/>
      <c r="DQ242" s="15"/>
      <c r="DR242" s="15"/>
      <c r="DS242" s="15"/>
      <c r="DT242" s="15"/>
      <c r="DU242" s="15"/>
      <c r="DV242" s="15"/>
      <c r="DW242" s="15"/>
      <c r="DX242" s="15"/>
      <c r="DY242" s="15"/>
      <c r="DZ242" s="15"/>
      <c r="EA242" s="15"/>
      <c r="EB242" s="15"/>
      <c r="EC242" s="15"/>
      <c r="ED242" s="15"/>
      <c r="EE242" s="15"/>
      <c r="EF242" s="15"/>
      <c r="EG242" s="15"/>
      <c r="EH242" s="15"/>
      <c r="EI242" s="15"/>
      <c r="EJ242" s="15"/>
      <c r="EK242" s="15"/>
      <c r="EL242" s="15"/>
      <c r="EM242" s="15"/>
      <c r="EN242" s="15"/>
      <c r="EO242" s="15"/>
      <c r="EP242" s="15"/>
      <c r="EQ242" s="15"/>
      <c r="ER242" s="15"/>
      <c r="ES242" s="15"/>
      <c r="ET242" s="15"/>
      <c r="EU242" s="15"/>
      <c r="EV242" s="15"/>
      <c r="EW242" s="15"/>
      <c r="EX242" s="15"/>
      <c r="EY242" s="15"/>
      <c r="EZ242" s="15"/>
      <c r="FA242" s="15"/>
      <c r="FB242" s="15"/>
      <c r="FC242" s="15"/>
      <c r="FD242" s="15"/>
      <c r="FE242" s="15"/>
      <c r="FF242" s="15"/>
      <c r="FG242" s="15"/>
      <c r="FH242" s="15"/>
      <c r="FI242" s="15"/>
      <c r="FJ242" s="15"/>
      <c r="FK242" s="15"/>
      <c r="FL242" s="15"/>
      <c r="FM242" s="15"/>
      <c r="FN242" s="15"/>
      <c r="FO242" s="15"/>
      <c r="FP242" s="15"/>
      <c r="FQ242" s="15"/>
      <c r="FR242" s="15"/>
      <c r="FS242" s="15"/>
      <c r="FT242" s="15"/>
      <c r="FU242" s="15"/>
      <c r="FV242" s="15"/>
      <c r="FW242" s="15"/>
      <c r="FX242" s="15"/>
      <c r="FY242" s="15"/>
      <c r="FZ242" s="15"/>
      <c r="GA242" s="15"/>
      <c r="GB242" s="15"/>
      <c r="GC242" s="15"/>
      <c r="GD242" s="15"/>
      <c r="GE242" s="15"/>
      <c r="GF242" s="15"/>
      <c r="GG242" s="15"/>
      <c r="GH242" s="15"/>
      <c r="GI242" s="15"/>
      <c r="GJ242" s="15"/>
      <c r="GK242" s="15"/>
      <c r="GL242" s="15"/>
      <c r="GM242" s="15"/>
      <c r="GN242" s="15"/>
      <c r="GO242" s="15"/>
      <c r="GP242" s="15"/>
      <c r="GQ242" s="15"/>
      <c r="GR242" s="15"/>
      <c r="GS242" s="15"/>
      <c r="GT242" s="15"/>
      <c r="GU242" s="15"/>
      <c r="GV242" s="15"/>
      <c r="GW242" s="15"/>
      <c r="GX242" s="15"/>
      <c r="GY242" s="15"/>
      <c r="GZ242" s="15"/>
      <c r="HA242" s="15"/>
      <c r="HB242" s="15"/>
      <c r="HC242" s="15"/>
      <c r="HD242" s="15"/>
      <c r="HE242" s="15"/>
      <c r="HF242" s="15"/>
      <c r="HG242" s="15"/>
      <c r="HH242" s="15"/>
      <c r="HI242" s="15"/>
      <c r="HJ242" s="15"/>
      <c r="HK242" s="15"/>
      <c r="HL242" s="15"/>
      <c r="HM242" s="15"/>
      <c r="HN242" s="15"/>
      <c r="HO242" s="15"/>
      <c r="HP242" s="15"/>
      <c r="HQ242" s="15"/>
      <c r="HR242" s="15"/>
      <c r="HS242" s="15"/>
      <c r="HT242" s="15"/>
      <c r="HU242" s="15"/>
      <c r="HV242" s="15"/>
      <c r="HW242" s="15"/>
      <c r="HX242" s="15"/>
      <c r="HY242" s="15"/>
      <c r="HZ242" s="15"/>
      <c r="IA242" s="15"/>
      <c r="IB242" s="15"/>
      <c r="IC242" s="15"/>
      <c r="ID242" s="15"/>
      <c r="IE242" s="15"/>
      <c r="IF242" s="15"/>
      <c r="IG242" s="15"/>
      <c r="IH242" s="15"/>
      <c r="II242" s="15"/>
      <c r="IJ242" s="15"/>
      <c r="IK242" s="15"/>
      <c r="IL242" s="15"/>
      <c r="IM242" s="15"/>
      <c r="IN242" s="15"/>
      <c r="IO242" s="15"/>
      <c r="IP242" s="15"/>
      <c r="IQ242" s="15"/>
      <c r="IR242" s="15"/>
      <c r="IS242" s="15"/>
      <c r="IT242" s="15"/>
      <c r="IU242" s="15"/>
      <c r="IV242" s="15"/>
      <c r="IW242" s="15"/>
      <c r="IX242" s="15"/>
      <c r="IY242" s="15"/>
      <c r="IZ242" s="15"/>
      <c r="JA242" s="15"/>
      <c r="JB242" s="15"/>
      <c r="JC242" s="15"/>
      <c r="JD242" s="15"/>
      <c r="JE242" s="15"/>
      <c r="JF242" s="15"/>
      <c r="JG242" s="15"/>
      <c r="JH242" s="15"/>
      <c r="JI242" s="15"/>
      <c r="JJ242" s="15"/>
      <c r="JK242" s="15"/>
      <c r="JL242" s="15"/>
      <c r="JM242" s="15"/>
      <c r="JN242" s="15"/>
      <c r="JO242" s="15"/>
      <c r="JP242" s="15"/>
      <c r="JQ242" s="15"/>
      <c r="JR242" s="15"/>
      <c r="JS242" s="15"/>
      <c r="JT242" s="15"/>
      <c r="JU242" s="15"/>
      <c r="JV242" s="15"/>
      <c r="JW242" s="15"/>
      <c r="JX242" s="15"/>
      <c r="JY242" s="15"/>
      <c r="JZ242" s="15"/>
      <c r="KA242" s="15"/>
      <c r="KB242" s="15"/>
      <c r="KC242" s="15"/>
      <c r="KD242" s="15"/>
      <c r="KE242" s="15"/>
      <c r="KF242" s="15"/>
      <c r="KG242" s="15"/>
      <c r="KH242" s="15"/>
      <c r="KI242" s="15"/>
      <c r="KJ242" s="15"/>
      <c r="KK242" s="15"/>
      <c r="KL242" s="15"/>
      <c r="KM242" s="15"/>
      <c r="KN242" s="15"/>
      <c r="KO242" s="15"/>
      <c r="KP242" s="15"/>
      <c r="KQ242" s="15"/>
      <c r="KR242" s="15"/>
      <c r="KS242" s="15"/>
      <c r="KT242" s="15"/>
      <c r="KU242" s="15"/>
      <c r="KV242" s="15"/>
      <c r="KW242" s="15"/>
      <c r="KX242" s="15"/>
      <c r="KY242" s="15"/>
      <c r="KZ242" s="15"/>
      <c r="LA242" s="15"/>
      <c r="LB242" s="15"/>
      <c r="LC242" s="15"/>
      <c r="LD242" s="15"/>
      <c r="LE242" s="15"/>
      <c r="LF242" s="15"/>
      <c r="LG242" s="15"/>
      <c r="LH242" s="15"/>
      <c r="LI242" s="15"/>
      <c r="LJ242" s="15"/>
      <c r="LK242" s="15"/>
      <c r="LL242" s="15"/>
      <c r="LM242" s="15"/>
      <c r="LN242" s="15"/>
      <c r="LO242" s="15"/>
      <c r="LP242" s="15"/>
      <c r="LQ242" s="15"/>
      <c r="LR242" s="15"/>
      <c r="LS242" s="15"/>
      <c r="LT242" s="15"/>
      <c r="LU242" s="15"/>
      <c r="LV242" s="15"/>
      <c r="LW242" s="15"/>
      <c r="LX242" s="15"/>
      <c r="LY242" s="15"/>
      <c r="LZ242" s="15"/>
      <c r="MA242" s="15"/>
      <c r="MB242" s="15"/>
      <c r="MC242" s="15"/>
      <c r="MD242" s="15"/>
      <c r="ME242" s="15"/>
      <c r="MF242" s="15"/>
      <c r="MG242" s="15"/>
      <c r="MH242" s="15"/>
      <c r="MI242" s="15"/>
      <c r="MJ242" s="15"/>
      <c r="MK242" s="15"/>
      <c r="ML242" s="15"/>
      <c r="MM242" s="15"/>
      <c r="MN242" s="15"/>
      <c r="MO242" s="15"/>
      <c r="MP242" s="15"/>
      <c r="MQ242" s="15"/>
      <c r="MR242" s="15"/>
      <c r="MS242" s="15"/>
      <c r="MT242" s="15"/>
      <c r="MU242" s="15"/>
      <c r="MV242" s="15"/>
      <c r="MW242" s="15"/>
    </row>
    <row r="243" ht="119.25" customHeight="1">
      <c r="A243" s="16" t="s">
        <v>242</v>
      </c>
      <c r="B243" s="14" t="s">
        <v>10264</v>
      </c>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c r="DF243" s="15"/>
      <c r="DG243" s="15"/>
      <c r="DH243" s="15"/>
      <c r="DI243" s="15"/>
      <c r="DJ243" s="15"/>
      <c r="DK243" s="15"/>
      <c r="DL243" s="15"/>
      <c r="DM243" s="15"/>
      <c r="DN243" s="15"/>
      <c r="DO243" s="15"/>
      <c r="DP243" s="15"/>
      <c r="DQ243" s="15"/>
      <c r="DR243" s="15"/>
      <c r="DS243" s="15"/>
      <c r="DT243" s="15"/>
      <c r="DU243" s="15"/>
      <c r="DV243" s="15"/>
      <c r="DW243" s="15"/>
      <c r="DX243" s="15"/>
      <c r="DY243" s="15"/>
      <c r="DZ243" s="15"/>
      <c r="EA243" s="15"/>
      <c r="EB243" s="15"/>
      <c r="EC243" s="15"/>
      <c r="ED243" s="15"/>
      <c r="EE243" s="15"/>
      <c r="EF243" s="15"/>
      <c r="EG243" s="15"/>
      <c r="EH243" s="15"/>
      <c r="EI243" s="15"/>
      <c r="EJ243" s="15"/>
      <c r="EK243" s="15"/>
      <c r="EL243" s="15"/>
      <c r="EM243" s="15"/>
      <c r="EN243" s="15"/>
      <c r="EO243" s="15"/>
      <c r="EP243" s="15"/>
      <c r="EQ243" s="15"/>
      <c r="ER243" s="15"/>
      <c r="ES243" s="15"/>
      <c r="ET243" s="15"/>
      <c r="EU243" s="15"/>
      <c r="EV243" s="15"/>
      <c r="EW243" s="15"/>
      <c r="EX243" s="15"/>
      <c r="EY243" s="15"/>
      <c r="EZ243" s="15"/>
      <c r="FA243" s="15"/>
      <c r="FB243" s="15"/>
      <c r="FC243" s="15"/>
      <c r="FD243" s="15"/>
      <c r="FE243" s="15"/>
      <c r="FF243" s="15"/>
      <c r="FG243" s="15"/>
      <c r="FH243" s="15"/>
      <c r="FI243" s="15"/>
      <c r="FJ243" s="15"/>
      <c r="FK243" s="15"/>
      <c r="FL243" s="15"/>
      <c r="FM243" s="15"/>
      <c r="FN243" s="15"/>
      <c r="FO243" s="15"/>
      <c r="FP243" s="15"/>
      <c r="FQ243" s="15"/>
      <c r="FR243" s="15"/>
      <c r="FS243" s="15"/>
      <c r="FT243" s="15"/>
      <c r="FU243" s="15"/>
      <c r="FV243" s="15"/>
      <c r="FW243" s="15"/>
      <c r="FX243" s="15"/>
      <c r="FY243" s="15"/>
      <c r="FZ243" s="15"/>
      <c r="GA243" s="15"/>
      <c r="GB243" s="15"/>
      <c r="GC243" s="15"/>
      <c r="GD243" s="15"/>
      <c r="GE243" s="15"/>
      <c r="GF243" s="15"/>
      <c r="GG243" s="15"/>
      <c r="GH243" s="15"/>
      <c r="GI243" s="15"/>
      <c r="GJ243" s="15"/>
      <c r="GK243" s="15"/>
      <c r="GL243" s="15"/>
      <c r="GM243" s="15"/>
      <c r="GN243" s="15"/>
      <c r="GO243" s="15"/>
      <c r="GP243" s="15"/>
      <c r="GQ243" s="15"/>
      <c r="GR243" s="15"/>
      <c r="GS243" s="15"/>
      <c r="GT243" s="15"/>
      <c r="GU243" s="15"/>
      <c r="GV243" s="15"/>
      <c r="GW243" s="15"/>
      <c r="GX243" s="15"/>
      <c r="GY243" s="15"/>
      <c r="GZ243" s="15"/>
      <c r="HA243" s="15"/>
      <c r="HB243" s="15"/>
      <c r="HC243" s="15"/>
      <c r="HD243" s="15"/>
      <c r="HE243" s="15"/>
      <c r="HF243" s="15"/>
      <c r="HG243" s="15"/>
      <c r="HH243" s="15"/>
      <c r="HI243" s="15"/>
      <c r="HJ243" s="15"/>
      <c r="HK243" s="15"/>
      <c r="HL243" s="15"/>
      <c r="HM243" s="15"/>
      <c r="HN243" s="15"/>
      <c r="HO243" s="15"/>
      <c r="HP243" s="15"/>
      <c r="HQ243" s="15"/>
      <c r="HR243" s="15"/>
      <c r="HS243" s="15"/>
      <c r="HT243" s="15"/>
      <c r="HU243" s="15"/>
      <c r="HV243" s="15"/>
      <c r="HW243" s="15"/>
      <c r="HX243" s="15"/>
      <c r="HY243" s="15"/>
      <c r="HZ243" s="15"/>
      <c r="IA243" s="15"/>
      <c r="IB243" s="15"/>
      <c r="IC243" s="15"/>
      <c r="ID243" s="15"/>
      <c r="IE243" s="15"/>
      <c r="IF243" s="15"/>
      <c r="IG243" s="15"/>
      <c r="IH243" s="15"/>
      <c r="II243" s="15"/>
      <c r="IJ243" s="15"/>
      <c r="IK243" s="15"/>
      <c r="IL243" s="15"/>
      <c r="IM243" s="15"/>
      <c r="IN243" s="15"/>
      <c r="IO243" s="15"/>
      <c r="IP243" s="15"/>
      <c r="IQ243" s="15"/>
      <c r="IR243" s="15"/>
      <c r="IS243" s="15"/>
      <c r="IT243" s="15"/>
      <c r="IU243" s="15"/>
      <c r="IV243" s="15"/>
      <c r="IW243" s="15"/>
      <c r="IX243" s="15"/>
      <c r="IY243" s="15"/>
      <c r="IZ243" s="15"/>
      <c r="JA243" s="15"/>
      <c r="JB243" s="15"/>
      <c r="JC243" s="15"/>
      <c r="JD243" s="15"/>
      <c r="JE243" s="15"/>
      <c r="JF243" s="15"/>
      <c r="JG243" s="15"/>
      <c r="JH243" s="15"/>
      <c r="JI243" s="15"/>
      <c r="JJ243" s="15"/>
      <c r="JK243" s="15"/>
      <c r="JL243" s="15"/>
      <c r="JM243" s="15"/>
      <c r="JN243" s="15"/>
      <c r="JO243" s="15"/>
      <c r="JP243" s="15"/>
      <c r="JQ243" s="15"/>
      <c r="JR243" s="15"/>
      <c r="JS243" s="15"/>
      <c r="JT243" s="15"/>
      <c r="JU243" s="15"/>
      <c r="JV243" s="15"/>
      <c r="JW243" s="15"/>
      <c r="JX243" s="15"/>
      <c r="JY243" s="15"/>
      <c r="JZ243" s="15"/>
      <c r="KA243" s="15"/>
      <c r="KB243" s="15"/>
      <c r="KC243" s="15"/>
      <c r="KD243" s="15"/>
      <c r="KE243" s="15"/>
      <c r="KF243" s="15"/>
      <c r="KG243" s="15"/>
      <c r="KH243" s="15"/>
      <c r="KI243" s="15"/>
      <c r="KJ243" s="15"/>
      <c r="KK243" s="15"/>
      <c r="KL243" s="15"/>
      <c r="KM243" s="15"/>
      <c r="KN243" s="15"/>
      <c r="KO243" s="15"/>
      <c r="KP243" s="15"/>
      <c r="KQ243" s="15"/>
      <c r="KR243" s="15"/>
      <c r="KS243" s="15"/>
      <c r="KT243" s="15"/>
      <c r="KU243" s="15"/>
      <c r="KV243" s="15"/>
      <c r="KW243" s="15"/>
      <c r="KX243" s="15"/>
      <c r="KY243" s="15"/>
      <c r="KZ243" s="15"/>
      <c r="LA243" s="15"/>
      <c r="LB243" s="15"/>
      <c r="LC243" s="15"/>
      <c r="LD243" s="15"/>
      <c r="LE243" s="15"/>
      <c r="LF243" s="15"/>
      <c r="LG243" s="15"/>
      <c r="LH243" s="15"/>
      <c r="LI243" s="15"/>
      <c r="LJ243" s="15"/>
      <c r="LK243" s="15"/>
      <c r="LL243" s="15"/>
      <c r="LM243" s="15"/>
      <c r="LN243" s="15"/>
      <c r="LO243" s="15"/>
      <c r="LP243" s="15"/>
      <c r="LQ243" s="15"/>
      <c r="LR243" s="15"/>
      <c r="LS243" s="15"/>
      <c r="LT243" s="15"/>
      <c r="LU243" s="15"/>
      <c r="LV243" s="15"/>
      <c r="LW243" s="15"/>
      <c r="LX243" s="15"/>
      <c r="LY243" s="15"/>
      <c r="LZ243" s="15"/>
      <c r="MA243" s="15"/>
      <c r="MB243" s="15"/>
      <c r="MC243" s="15"/>
      <c r="MD243" s="15"/>
      <c r="ME243" s="15"/>
      <c r="MF243" s="15"/>
      <c r="MG243" s="15"/>
      <c r="MH243" s="15"/>
      <c r="MI243" s="15"/>
      <c r="MJ243" s="15"/>
      <c r="MK243" s="15"/>
      <c r="ML243" s="15"/>
      <c r="MM243" s="15"/>
      <c r="MN243" s="15"/>
      <c r="MO243" s="15"/>
      <c r="MP243" s="15"/>
      <c r="MQ243" s="15"/>
      <c r="MR243" s="15"/>
      <c r="MS243" s="15"/>
      <c r="MT243" s="15"/>
      <c r="MU243" s="15"/>
      <c r="MV243" s="15"/>
      <c r="MW243" s="15"/>
    </row>
    <row r="244" ht="41.25" customHeight="1">
      <c r="A244" s="16" t="s">
        <v>243</v>
      </c>
      <c r="B244" s="14" t="s">
        <v>10265</v>
      </c>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c r="DF244" s="15"/>
      <c r="DG244" s="15"/>
      <c r="DH244" s="15"/>
      <c r="DI244" s="15"/>
      <c r="DJ244" s="15"/>
      <c r="DK244" s="15"/>
      <c r="DL244" s="15"/>
      <c r="DM244" s="15"/>
      <c r="DN244" s="15"/>
      <c r="DO244" s="15"/>
      <c r="DP244" s="15"/>
      <c r="DQ244" s="15"/>
      <c r="DR244" s="15"/>
      <c r="DS244" s="15"/>
      <c r="DT244" s="15"/>
      <c r="DU244" s="15"/>
      <c r="DV244" s="15"/>
      <c r="DW244" s="15"/>
      <c r="DX244" s="15"/>
      <c r="DY244" s="15"/>
      <c r="DZ244" s="15"/>
      <c r="EA244" s="15"/>
      <c r="EB244" s="15"/>
      <c r="EC244" s="15"/>
      <c r="ED244" s="15"/>
      <c r="EE244" s="15"/>
      <c r="EF244" s="15"/>
      <c r="EG244" s="15"/>
      <c r="EH244" s="15"/>
      <c r="EI244" s="15"/>
      <c r="EJ244" s="15"/>
      <c r="EK244" s="15"/>
      <c r="EL244" s="15"/>
      <c r="EM244" s="15"/>
      <c r="EN244" s="15"/>
      <c r="EO244" s="15"/>
      <c r="EP244" s="15"/>
      <c r="EQ244" s="15"/>
      <c r="ER244" s="15"/>
      <c r="ES244" s="15"/>
      <c r="ET244" s="15"/>
      <c r="EU244" s="15"/>
      <c r="EV244" s="15"/>
      <c r="EW244" s="15"/>
      <c r="EX244" s="15"/>
      <c r="EY244" s="15"/>
      <c r="EZ244" s="15"/>
      <c r="FA244" s="15"/>
      <c r="FB244" s="15"/>
      <c r="FC244" s="15"/>
      <c r="FD244" s="15"/>
      <c r="FE244" s="15"/>
      <c r="FF244" s="15"/>
      <c r="FG244" s="15"/>
      <c r="FH244" s="15"/>
      <c r="FI244" s="15"/>
      <c r="FJ244" s="15"/>
      <c r="FK244" s="15"/>
      <c r="FL244" s="15"/>
      <c r="FM244" s="15"/>
      <c r="FN244" s="15"/>
      <c r="FO244" s="15"/>
      <c r="FP244" s="15"/>
      <c r="FQ244" s="15"/>
      <c r="FR244" s="15"/>
      <c r="FS244" s="15"/>
      <c r="FT244" s="15"/>
      <c r="FU244" s="15"/>
      <c r="FV244" s="15"/>
      <c r="FW244" s="15"/>
      <c r="FX244" s="15"/>
      <c r="FY244" s="15"/>
      <c r="FZ244" s="15"/>
      <c r="GA244" s="15"/>
      <c r="GB244" s="15"/>
      <c r="GC244" s="15"/>
      <c r="GD244" s="15"/>
      <c r="GE244" s="15"/>
      <c r="GF244" s="15"/>
      <c r="GG244" s="15"/>
      <c r="GH244" s="15"/>
      <c r="GI244" s="15"/>
      <c r="GJ244" s="15"/>
      <c r="GK244" s="15"/>
      <c r="GL244" s="15"/>
      <c r="GM244" s="15"/>
      <c r="GN244" s="15"/>
      <c r="GO244" s="15"/>
      <c r="GP244" s="15"/>
      <c r="GQ244" s="15"/>
      <c r="GR244" s="15"/>
      <c r="GS244" s="15"/>
      <c r="GT244" s="15"/>
      <c r="GU244" s="15"/>
      <c r="GV244" s="15"/>
      <c r="GW244" s="15"/>
      <c r="GX244" s="15"/>
      <c r="GY244" s="15"/>
      <c r="GZ244" s="15"/>
      <c r="HA244" s="15"/>
      <c r="HB244" s="15"/>
      <c r="HC244" s="15"/>
      <c r="HD244" s="15"/>
      <c r="HE244" s="15"/>
      <c r="HF244" s="15"/>
      <c r="HG244" s="15"/>
      <c r="HH244" s="15"/>
      <c r="HI244" s="15"/>
      <c r="HJ244" s="15"/>
      <c r="HK244" s="15"/>
      <c r="HL244" s="15"/>
      <c r="HM244" s="15"/>
      <c r="HN244" s="15"/>
      <c r="HO244" s="15"/>
      <c r="HP244" s="15"/>
      <c r="HQ244" s="15"/>
      <c r="HR244" s="15"/>
      <c r="HS244" s="15"/>
      <c r="HT244" s="15"/>
      <c r="HU244" s="15"/>
      <c r="HV244" s="15"/>
      <c r="HW244" s="15"/>
      <c r="HX244" s="15"/>
      <c r="HY244" s="15"/>
      <c r="HZ244" s="15"/>
      <c r="IA244" s="15"/>
      <c r="IB244" s="15"/>
      <c r="IC244" s="15"/>
      <c r="ID244" s="15"/>
      <c r="IE244" s="15"/>
      <c r="IF244" s="15"/>
      <c r="IG244" s="15"/>
      <c r="IH244" s="15"/>
      <c r="II244" s="15"/>
      <c r="IJ244" s="15"/>
      <c r="IK244" s="15"/>
      <c r="IL244" s="15"/>
      <c r="IM244" s="15"/>
      <c r="IN244" s="15"/>
      <c r="IO244" s="15"/>
      <c r="IP244" s="15"/>
      <c r="IQ244" s="15"/>
      <c r="IR244" s="15"/>
      <c r="IS244" s="15"/>
      <c r="IT244" s="15"/>
      <c r="IU244" s="15"/>
      <c r="IV244" s="15"/>
      <c r="IW244" s="15"/>
      <c r="IX244" s="15"/>
      <c r="IY244" s="15"/>
      <c r="IZ244" s="15"/>
      <c r="JA244" s="15"/>
      <c r="JB244" s="15"/>
      <c r="JC244" s="15"/>
      <c r="JD244" s="15"/>
      <c r="JE244" s="15"/>
      <c r="JF244" s="15"/>
      <c r="JG244" s="15"/>
      <c r="JH244" s="15"/>
      <c r="JI244" s="15"/>
      <c r="JJ244" s="15"/>
      <c r="JK244" s="15"/>
      <c r="JL244" s="15"/>
      <c r="JM244" s="15"/>
      <c r="JN244" s="15"/>
      <c r="JO244" s="15"/>
      <c r="JP244" s="15"/>
      <c r="JQ244" s="15"/>
      <c r="JR244" s="15"/>
      <c r="JS244" s="15"/>
      <c r="JT244" s="15"/>
      <c r="JU244" s="15"/>
      <c r="JV244" s="15"/>
      <c r="JW244" s="15"/>
      <c r="JX244" s="15"/>
      <c r="JY244" s="15"/>
      <c r="JZ244" s="15"/>
      <c r="KA244" s="15"/>
      <c r="KB244" s="15"/>
      <c r="KC244" s="15"/>
      <c r="KD244" s="15"/>
      <c r="KE244" s="15"/>
      <c r="KF244" s="15"/>
      <c r="KG244" s="15"/>
      <c r="KH244" s="15"/>
      <c r="KI244" s="15"/>
      <c r="KJ244" s="15"/>
      <c r="KK244" s="15"/>
      <c r="KL244" s="15"/>
      <c r="KM244" s="15"/>
      <c r="KN244" s="15"/>
      <c r="KO244" s="15"/>
      <c r="KP244" s="15"/>
      <c r="KQ244" s="15"/>
      <c r="KR244" s="15"/>
      <c r="KS244" s="15"/>
      <c r="KT244" s="15"/>
      <c r="KU244" s="15"/>
      <c r="KV244" s="15"/>
      <c r="KW244" s="15"/>
      <c r="KX244" s="15"/>
      <c r="KY244" s="15"/>
      <c r="KZ244" s="15"/>
      <c r="LA244" s="15"/>
      <c r="LB244" s="15"/>
      <c r="LC244" s="15"/>
      <c r="LD244" s="15"/>
      <c r="LE244" s="15"/>
      <c r="LF244" s="15"/>
      <c r="LG244" s="15"/>
      <c r="LH244" s="15"/>
      <c r="LI244" s="15"/>
      <c r="LJ244" s="15"/>
      <c r="LK244" s="15"/>
      <c r="LL244" s="15"/>
      <c r="LM244" s="15"/>
      <c r="LN244" s="15"/>
      <c r="LO244" s="15"/>
      <c r="LP244" s="15"/>
      <c r="LQ244" s="15"/>
      <c r="LR244" s="15"/>
      <c r="LS244" s="15"/>
      <c r="LT244" s="15"/>
      <c r="LU244" s="15"/>
      <c r="LV244" s="15"/>
      <c r="LW244" s="15"/>
      <c r="LX244" s="15"/>
      <c r="LY244" s="15"/>
      <c r="LZ244" s="15"/>
      <c r="MA244" s="15"/>
      <c r="MB244" s="15"/>
      <c r="MC244" s="15"/>
      <c r="MD244" s="15"/>
      <c r="ME244" s="15"/>
      <c r="MF244" s="15"/>
      <c r="MG244" s="15"/>
      <c r="MH244" s="15"/>
      <c r="MI244" s="15"/>
      <c r="MJ244" s="15"/>
      <c r="MK244" s="15"/>
      <c r="ML244" s="15"/>
      <c r="MM244" s="15"/>
      <c r="MN244" s="15"/>
      <c r="MO244" s="15"/>
      <c r="MP244" s="15"/>
      <c r="MQ244" s="15"/>
      <c r="MR244" s="15"/>
      <c r="MS244" s="15"/>
      <c r="MT244" s="15"/>
      <c r="MU244" s="15"/>
      <c r="MV244" s="15"/>
      <c r="MW244" s="15"/>
    </row>
    <row r="245" ht="119.25" customHeight="1">
      <c r="A245" s="16" t="s">
        <v>244</v>
      </c>
      <c r="B245" s="14" t="s">
        <v>10266</v>
      </c>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c r="DF245" s="15"/>
      <c r="DG245" s="15"/>
      <c r="DH245" s="15"/>
      <c r="DI245" s="15"/>
      <c r="DJ245" s="15"/>
      <c r="DK245" s="15"/>
      <c r="DL245" s="15"/>
      <c r="DM245" s="15"/>
      <c r="DN245" s="15"/>
      <c r="DO245" s="15"/>
      <c r="DP245" s="15"/>
      <c r="DQ245" s="15"/>
      <c r="DR245" s="15"/>
      <c r="DS245" s="15"/>
      <c r="DT245" s="15"/>
      <c r="DU245" s="15"/>
      <c r="DV245" s="15"/>
      <c r="DW245" s="15"/>
      <c r="DX245" s="15"/>
      <c r="DY245" s="15"/>
      <c r="DZ245" s="15"/>
      <c r="EA245" s="15"/>
      <c r="EB245" s="15"/>
      <c r="EC245" s="15"/>
      <c r="ED245" s="15"/>
      <c r="EE245" s="15"/>
      <c r="EF245" s="15"/>
      <c r="EG245" s="15"/>
      <c r="EH245" s="15"/>
      <c r="EI245" s="15"/>
      <c r="EJ245" s="15"/>
      <c r="EK245" s="15"/>
      <c r="EL245" s="15"/>
      <c r="EM245" s="15"/>
      <c r="EN245" s="15"/>
      <c r="EO245" s="15"/>
      <c r="EP245" s="15"/>
      <c r="EQ245" s="15"/>
      <c r="ER245" s="15"/>
      <c r="ES245" s="15"/>
      <c r="ET245" s="15"/>
      <c r="EU245" s="15"/>
      <c r="EV245" s="15"/>
      <c r="EW245" s="15"/>
      <c r="EX245" s="15"/>
      <c r="EY245" s="15"/>
      <c r="EZ245" s="15"/>
      <c r="FA245" s="15"/>
      <c r="FB245" s="15"/>
      <c r="FC245" s="15"/>
      <c r="FD245" s="15"/>
      <c r="FE245" s="15"/>
      <c r="FF245" s="15"/>
      <c r="FG245" s="15"/>
      <c r="FH245" s="15"/>
      <c r="FI245" s="15"/>
      <c r="FJ245" s="15"/>
      <c r="FK245" s="15"/>
      <c r="FL245" s="15"/>
      <c r="FM245" s="15"/>
      <c r="FN245" s="15"/>
      <c r="FO245" s="15"/>
      <c r="FP245" s="15"/>
      <c r="FQ245" s="15"/>
      <c r="FR245" s="15"/>
      <c r="FS245" s="15"/>
      <c r="FT245" s="15"/>
      <c r="FU245" s="15"/>
      <c r="FV245" s="15"/>
      <c r="FW245" s="15"/>
      <c r="FX245" s="15"/>
      <c r="FY245" s="15"/>
      <c r="FZ245" s="15"/>
      <c r="GA245" s="15"/>
      <c r="GB245" s="15"/>
      <c r="GC245" s="15"/>
      <c r="GD245" s="15"/>
      <c r="GE245" s="15"/>
      <c r="GF245" s="15"/>
      <c r="GG245" s="15"/>
      <c r="GH245" s="15"/>
      <c r="GI245" s="15"/>
      <c r="GJ245" s="15"/>
      <c r="GK245" s="15"/>
      <c r="GL245" s="15"/>
      <c r="GM245" s="15"/>
      <c r="GN245" s="15"/>
      <c r="GO245" s="15"/>
      <c r="GP245" s="15"/>
      <c r="GQ245" s="15"/>
      <c r="GR245" s="15"/>
      <c r="GS245" s="15"/>
      <c r="GT245" s="15"/>
      <c r="GU245" s="15"/>
      <c r="GV245" s="15"/>
      <c r="GW245" s="15"/>
      <c r="GX245" s="15"/>
      <c r="GY245" s="15"/>
      <c r="GZ245" s="15"/>
      <c r="HA245" s="15"/>
      <c r="HB245" s="15"/>
      <c r="HC245" s="15"/>
      <c r="HD245" s="15"/>
      <c r="HE245" s="15"/>
      <c r="HF245" s="15"/>
      <c r="HG245" s="15"/>
      <c r="HH245" s="15"/>
      <c r="HI245" s="15"/>
      <c r="HJ245" s="15"/>
      <c r="HK245" s="15"/>
      <c r="HL245" s="15"/>
      <c r="HM245" s="15"/>
      <c r="HN245" s="15"/>
      <c r="HO245" s="15"/>
      <c r="HP245" s="15"/>
      <c r="HQ245" s="15"/>
      <c r="HR245" s="15"/>
      <c r="HS245" s="15"/>
      <c r="HT245" s="15"/>
      <c r="HU245" s="15"/>
      <c r="HV245" s="15"/>
      <c r="HW245" s="15"/>
      <c r="HX245" s="15"/>
      <c r="HY245" s="15"/>
      <c r="HZ245" s="15"/>
      <c r="IA245" s="15"/>
      <c r="IB245" s="15"/>
      <c r="IC245" s="15"/>
      <c r="ID245" s="15"/>
      <c r="IE245" s="15"/>
      <c r="IF245" s="15"/>
      <c r="IG245" s="15"/>
      <c r="IH245" s="15"/>
      <c r="II245" s="15"/>
      <c r="IJ245" s="15"/>
      <c r="IK245" s="15"/>
      <c r="IL245" s="15"/>
      <c r="IM245" s="15"/>
      <c r="IN245" s="15"/>
      <c r="IO245" s="15"/>
      <c r="IP245" s="15"/>
      <c r="IQ245" s="15"/>
      <c r="IR245" s="15"/>
      <c r="IS245" s="15"/>
      <c r="IT245" s="15"/>
      <c r="IU245" s="15"/>
      <c r="IV245" s="15"/>
      <c r="IW245" s="15"/>
      <c r="IX245" s="15"/>
      <c r="IY245" s="15"/>
      <c r="IZ245" s="15"/>
      <c r="JA245" s="15"/>
      <c r="JB245" s="15"/>
      <c r="JC245" s="15"/>
      <c r="JD245" s="15"/>
      <c r="JE245" s="15"/>
      <c r="JF245" s="15"/>
      <c r="JG245" s="15"/>
      <c r="JH245" s="15"/>
      <c r="JI245" s="15"/>
      <c r="JJ245" s="15"/>
      <c r="JK245" s="15"/>
      <c r="JL245" s="15"/>
      <c r="JM245" s="15"/>
      <c r="JN245" s="15"/>
      <c r="JO245" s="15"/>
      <c r="JP245" s="15"/>
      <c r="JQ245" s="15"/>
      <c r="JR245" s="15"/>
      <c r="JS245" s="15"/>
      <c r="JT245" s="15"/>
      <c r="JU245" s="15"/>
      <c r="JV245" s="15"/>
      <c r="JW245" s="15"/>
      <c r="JX245" s="15"/>
      <c r="JY245" s="15"/>
      <c r="JZ245" s="15"/>
      <c r="KA245" s="15"/>
      <c r="KB245" s="15"/>
      <c r="KC245" s="15"/>
      <c r="KD245" s="15"/>
      <c r="KE245" s="15"/>
      <c r="KF245" s="15"/>
      <c r="KG245" s="15"/>
      <c r="KH245" s="15"/>
      <c r="KI245" s="15"/>
      <c r="KJ245" s="15"/>
      <c r="KK245" s="15"/>
      <c r="KL245" s="15"/>
      <c r="KM245" s="15"/>
      <c r="KN245" s="15"/>
      <c r="KO245" s="15"/>
      <c r="KP245" s="15"/>
      <c r="KQ245" s="15"/>
      <c r="KR245" s="15"/>
      <c r="KS245" s="15"/>
      <c r="KT245" s="15"/>
      <c r="KU245" s="15"/>
      <c r="KV245" s="15"/>
      <c r="KW245" s="15"/>
      <c r="KX245" s="15"/>
      <c r="KY245" s="15"/>
      <c r="KZ245" s="15"/>
      <c r="LA245" s="15"/>
      <c r="LB245" s="15"/>
      <c r="LC245" s="15"/>
      <c r="LD245" s="15"/>
      <c r="LE245" s="15"/>
      <c r="LF245" s="15"/>
      <c r="LG245" s="15"/>
      <c r="LH245" s="15"/>
      <c r="LI245" s="15"/>
      <c r="LJ245" s="15"/>
      <c r="LK245" s="15"/>
      <c r="LL245" s="15"/>
      <c r="LM245" s="15"/>
      <c r="LN245" s="15"/>
      <c r="LO245" s="15"/>
      <c r="LP245" s="15"/>
      <c r="LQ245" s="15"/>
      <c r="LR245" s="15"/>
      <c r="LS245" s="15"/>
      <c r="LT245" s="15"/>
      <c r="LU245" s="15"/>
      <c r="LV245" s="15"/>
      <c r="LW245" s="15"/>
      <c r="LX245" s="15"/>
      <c r="LY245" s="15"/>
      <c r="LZ245" s="15"/>
      <c r="MA245" s="15"/>
      <c r="MB245" s="15"/>
      <c r="MC245" s="15"/>
      <c r="MD245" s="15"/>
      <c r="ME245" s="15"/>
      <c r="MF245" s="15"/>
      <c r="MG245" s="15"/>
      <c r="MH245" s="15"/>
      <c r="MI245" s="15"/>
      <c r="MJ245" s="15"/>
      <c r="MK245" s="15"/>
      <c r="ML245" s="15"/>
      <c r="MM245" s="15"/>
      <c r="MN245" s="15"/>
      <c r="MO245" s="15"/>
      <c r="MP245" s="15"/>
      <c r="MQ245" s="15"/>
      <c r="MR245" s="15"/>
      <c r="MS245" s="15"/>
      <c r="MT245" s="15"/>
      <c r="MU245" s="15"/>
      <c r="MV245" s="15"/>
      <c r="MW245" s="15"/>
    </row>
    <row r="246" ht="41.25" customHeight="1">
      <c r="A246" s="16" t="s">
        <v>245</v>
      </c>
      <c r="B246" s="14" t="s">
        <v>10267</v>
      </c>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c r="DF246" s="15"/>
      <c r="DG246" s="15"/>
      <c r="DH246" s="15"/>
      <c r="DI246" s="15"/>
      <c r="DJ246" s="15"/>
      <c r="DK246" s="15"/>
      <c r="DL246" s="15"/>
      <c r="DM246" s="15"/>
      <c r="DN246" s="15"/>
      <c r="DO246" s="15"/>
      <c r="DP246" s="15"/>
      <c r="DQ246" s="15"/>
      <c r="DR246" s="15"/>
      <c r="DS246" s="15"/>
      <c r="DT246" s="15"/>
      <c r="DU246" s="15"/>
      <c r="DV246" s="15"/>
      <c r="DW246" s="15"/>
      <c r="DX246" s="15"/>
      <c r="DY246" s="15"/>
      <c r="DZ246" s="15"/>
      <c r="EA246" s="15"/>
      <c r="EB246" s="15"/>
      <c r="EC246" s="15"/>
      <c r="ED246" s="15"/>
      <c r="EE246" s="15"/>
      <c r="EF246" s="15"/>
      <c r="EG246" s="15"/>
      <c r="EH246" s="15"/>
      <c r="EI246" s="15"/>
      <c r="EJ246" s="15"/>
      <c r="EK246" s="15"/>
      <c r="EL246" s="15"/>
      <c r="EM246" s="15"/>
      <c r="EN246" s="15"/>
      <c r="EO246" s="15"/>
      <c r="EP246" s="15"/>
      <c r="EQ246" s="15"/>
      <c r="ER246" s="15"/>
      <c r="ES246" s="15"/>
      <c r="ET246" s="15"/>
      <c r="EU246" s="15"/>
      <c r="EV246" s="15"/>
      <c r="EW246" s="15"/>
      <c r="EX246" s="15"/>
      <c r="EY246" s="15"/>
      <c r="EZ246" s="15"/>
      <c r="FA246" s="15"/>
      <c r="FB246" s="15"/>
      <c r="FC246" s="15"/>
      <c r="FD246" s="15"/>
      <c r="FE246" s="15"/>
      <c r="FF246" s="15"/>
      <c r="FG246" s="15"/>
      <c r="FH246" s="15"/>
      <c r="FI246" s="15"/>
      <c r="FJ246" s="15"/>
      <c r="FK246" s="15"/>
      <c r="FL246" s="15"/>
      <c r="FM246" s="15"/>
      <c r="FN246" s="15"/>
      <c r="FO246" s="15"/>
      <c r="FP246" s="15"/>
      <c r="FQ246" s="15"/>
      <c r="FR246" s="15"/>
      <c r="FS246" s="15"/>
      <c r="FT246" s="15"/>
      <c r="FU246" s="15"/>
      <c r="FV246" s="15"/>
      <c r="FW246" s="15"/>
      <c r="FX246" s="15"/>
      <c r="FY246" s="15"/>
      <c r="FZ246" s="15"/>
      <c r="GA246" s="15"/>
      <c r="GB246" s="15"/>
      <c r="GC246" s="15"/>
      <c r="GD246" s="15"/>
      <c r="GE246" s="15"/>
      <c r="GF246" s="15"/>
      <c r="GG246" s="15"/>
      <c r="GH246" s="15"/>
      <c r="GI246" s="15"/>
      <c r="GJ246" s="15"/>
      <c r="GK246" s="15"/>
      <c r="GL246" s="15"/>
      <c r="GM246" s="15"/>
      <c r="GN246" s="15"/>
      <c r="GO246" s="15"/>
      <c r="GP246" s="15"/>
      <c r="GQ246" s="15"/>
      <c r="GR246" s="15"/>
      <c r="GS246" s="15"/>
      <c r="GT246" s="15"/>
      <c r="GU246" s="15"/>
      <c r="GV246" s="15"/>
      <c r="GW246" s="15"/>
      <c r="GX246" s="15"/>
      <c r="GY246" s="15"/>
      <c r="GZ246" s="15"/>
      <c r="HA246" s="15"/>
      <c r="HB246" s="15"/>
      <c r="HC246" s="15"/>
      <c r="HD246" s="15"/>
      <c r="HE246" s="15"/>
      <c r="HF246" s="15"/>
      <c r="HG246" s="15"/>
      <c r="HH246" s="15"/>
      <c r="HI246" s="15"/>
      <c r="HJ246" s="15"/>
      <c r="HK246" s="15"/>
      <c r="HL246" s="15"/>
      <c r="HM246" s="15"/>
      <c r="HN246" s="15"/>
      <c r="HO246" s="15"/>
      <c r="HP246" s="15"/>
      <c r="HQ246" s="15"/>
      <c r="HR246" s="15"/>
      <c r="HS246" s="15"/>
      <c r="HT246" s="15"/>
      <c r="HU246" s="15"/>
      <c r="HV246" s="15"/>
      <c r="HW246" s="15"/>
      <c r="HX246" s="15"/>
      <c r="HY246" s="15"/>
      <c r="HZ246" s="15"/>
      <c r="IA246" s="15"/>
      <c r="IB246" s="15"/>
      <c r="IC246" s="15"/>
      <c r="ID246" s="15"/>
      <c r="IE246" s="15"/>
      <c r="IF246" s="15"/>
      <c r="IG246" s="15"/>
      <c r="IH246" s="15"/>
      <c r="II246" s="15"/>
      <c r="IJ246" s="15"/>
      <c r="IK246" s="15"/>
      <c r="IL246" s="15"/>
      <c r="IM246" s="15"/>
      <c r="IN246" s="15"/>
      <c r="IO246" s="15"/>
      <c r="IP246" s="15"/>
      <c r="IQ246" s="15"/>
      <c r="IR246" s="15"/>
      <c r="IS246" s="15"/>
      <c r="IT246" s="15"/>
      <c r="IU246" s="15"/>
      <c r="IV246" s="15"/>
      <c r="IW246" s="15"/>
      <c r="IX246" s="15"/>
      <c r="IY246" s="15"/>
      <c r="IZ246" s="15"/>
      <c r="JA246" s="15"/>
      <c r="JB246" s="15"/>
      <c r="JC246" s="15"/>
      <c r="JD246" s="15"/>
      <c r="JE246" s="15"/>
      <c r="JF246" s="15"/>
      <c r="JG246" s="15"/>
      <c r="JH246" s="15"/>
      <c r="JI246" s="15"/>
      <c r="JJ246" s="15"/>
      <c r="JK246" s="15"/>
      <c r="JL246" s="15"/>
      <c r="JM246" s="15"/>
      <c r="JN246" s="15"/>
      <c r="JO246" s="15"/>
      <c r="JP246" s="15"/>
      <c r="JQ246" s="15"/>
      <c r="JR246" s="15"/>
      <c r="JS246" s="15"/>
      <c r="JT246" s="15"/>
      <c r="JU246" s="15"/>
      <c r="JV246" s="15"/>
      <c r="JW246" s="15"/>
      <c r="JX246" s="15"/>
      <c r="JY246" s="15"/>
      <c r="JZ246" s="15"/>
      <c r="KA246" s="15"/>
      <c r="KB246" s="15"/>
      <c r="KC246" s="15"/>
      <c r="KD246" s="15"/>
      <c r="KE246" s="15"/>
      <c r="KF246" s="15"/>
      <c r="KG246" s="15"/>
      <c r="KH246" s="15"/>
      <c r="KI246" s="15"/>
      <c r="KJ246" s="15"/>
      <c r="KK246" s="15"/>
      <c r="KL246" s="15"/>
      <c r="KM246" s="15"/>
      <c r="KN246" s="15"/>
      <c r="KO246" s="15"/>
      <c r="KP246" s="15"/>
      <c r="KQ246" s="15"/>
      <c r="KR246" s="15"/>
      <c r="KS246" s="15"/>
      <c r="KT246" s="15"/>
      <c r="KU246" s="15"/>
      <c r="KV246" s="15"/>
      <c r="KW246" s="15"/>
      <c r="KX246" s="15"/>
      <c r="KY246" s="15"/>
      <c r="KZ246" s="15"/>
      <c r="LA246" s="15"/>
      <c r="LB246" s="15"/>
      <c r="LC246" s="15"/>
      <c r="LD246" s="15"/>
      <c r="LE246" s="15"/>
      <c r="LF246" s="15"/>
      <c r="LG246" s="15"/>
      <c r="LH246" s="15"/>
      <c r="LI246" s="15"/>
      <c r="LJ246" s="15"/>
      <c r="LK246" s="15"/>
      <c r="LL246" s="15"/>
      <c r="LM246" s="15"/>
      <c r="LN246" s="15"/>
      <c r="LO246" s="15"/>
      <c r="LP246" s="15"/>
      <c r="LQ246" s="15"/>
      <c r="LR246" s="15"/>
      <c r="LS246" s="15"/>
      <c r="LT246" s="15"/>
      <c r="LU246" s="15"/>
      <c r="LV246" s="15"/>
      <c r="LW246" s="15"/>
      <c r="LX246" s="15"/>
      <c r="LY246" s="15"/>
      <c r="LZ246" s="15"/>
      <c r="MA246" s="15"/>
      <c r="MB246" s="15"/>
      <c r="MC246" s="15"/>
      <c r="MD246" s="15"/>
      <c r="ME246" s="15"/>
      <c r="MF246" s="15"/>
      <c r="MG246" s="15"/>
      <c r="MH246" s="15"/>
      <c r="MI246" s="15"/>
      <c r="MJ246" s="15"/>
      <c r="MK246" s="15"/>
      <c r="ML246" s="15"/>
      <c r="MM246" s="15"/>
      <c r="MN246" s="15"/>
      <c r="MO246" s="15"/>
      <c r="MP246" s="15"/>
      <c r="MQ246" s="15"/>
      <c r="MR246" s="15"/>
      <c r="MS246" s="15"/>
      <c r="MT246" s="15"/>
      <c r="MU246" s="15"/>
      <c r="MV246" s="15"/>
      <c r="MW246" s="15"/>
    </row>
    <row r="247" ht="119.25" customHeight="1">
      <c r="A247" s="16" t="s">
        <v>246</v>
      </c>
      <c r="B247" s="14" t="s">
        <v>10268</v>
      </c>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c r="DF247" s="15"/>
      <c r="DG247" s="15"/>
      <c r="DH247" s="15"/>
      <c r="DI247" s="15"/>
      <c r="DJ247" s="15"/>
      <c r="DK247" s="15"/>
      <c r="DL247" s="15"/>
      <c r="DM247" s="15"/>
      <c r="DN247" s="15"/>
      <c r="DO247" s="15"/>
      <c r="DP247" s="15"/>
      <c r="DQ247" s="15"/>
      <c r="DR247" s="15"/>
      <c r="DS247" s="15"/>
      <c r="DT247" s="15"/>
      <c r="DU247" s="15"/>
      <c r="DV247" s="15"/>
      <c r="DW247" s="15"/>
      <c r="DX247" s="15"/>
      <c r="DY247" s="15"/>
      <c r="DZ247" s="15"/>
      <c r="EA247" s="15"/>
      <c r="EB247" s="15"/>
      <c r="EC247" s="15"/>
      <c r="ED247" s="15"/>
      <c r="EE247" s="15"/>
      <c r="EF247" s="15"/>
      <c r="EG247" s="15"/>
      <c r="EH247" s="15"/>
      <c r="EI247" s="15"/>
      <c r="EJ247" s="15"/>
      <c r="EK247" s="15"/>
      <c r="EL247" s="15"/>
      <c r="EM247" s="15"/>
      <c r="EN247" s="15"/>
      <c r="EO247" s="15"/>
      <c r="EP247" s="15"/>
      <c r="EQ247" s="15"/>
      <c r="ER247" s="15"/>
      <c r="ES247" s="15"/>
      <c r="ET247" s="15"/>
      <c r="EU247" s="15"/>
      <c r="EV247" s="15"/>
      <c r="EW247" s="15"/>
      <c r="EX247" s="15"/>
      <c r="EY247" s="15"/>
      <c r="EZ247" s="15"/>
      <c r="FA247" s="15"/>
      <c r="FB247" s="15"/>
      <c r="FC247" s="15"/>
      <c r="FD247" s="15"/>
      <c r="FE247" s="15"/>
      <c r="FF247" s="15"/>
      <c r="FG247" s="15"/>
      <c r="FH247" s="15"/>
      <c r="FI247" s="15"/>
      <c r="FJ247" s="15"/>
      <c r="FK247" s="15"/>
      <c r="FL247" s="15"/>
      <c r="FM247" s="15"/>
      <c r="FN247" s="15"/>
      <c r="FO247" s="15"/>
      <c r="FP247" s="15"/>
      <c r="FQ247" s="15"/>
      <c r="FR247" s="15"/>
      <c r="FS247" s="15"/>
      <c r="FT247" s="15"/>
      <c r="FU247" s="15"/>
      <c r="FV247" s="15"/>
      <c r="FW247" s="15"/>
      <c r="FX247" s="15"/>
      <c r="FY247" s="15"/>
      <c r="FZ247" s="15"/>
      <c r="GA247" s="15"/>
      <c r="GB247" s="15"/>
      <c r="GC247" s="15"/>
      <c r="GD247" s="15"/>
      <c r="GE247" s="15"/>
      <c r="GF247" s="15"/>
      <c r="GG247" s="15"/>
      <c r="GH247" s="15"/>
      <c r="GI247" s="15"/>
      <c r="GJ247" s="15"/>
      <c r="GK247" s="15"/>
      <c r="GL247" s="15"/>
      <c r="GM247" s="15"/>
      <c r="GN247" s="15"/>
      <c r="GO247" s="15"/>
      <c r="GP247" s="15"/>
      <c r="GQ247" s="15"/>
      <c r="GR247" s="15"/>
      <c r="GS247" s="15"/>
      <c r="GT247" s="15"/>
      <c r="GU247" s="15"/>
      <c r="GV247" s="15"/>
      <c r="GW247" s="15"/>
      <c r="GX247" s="15"/>
      <c r="GY247" s="15"/>
      <c r="GZ247" s="15"/>
      <c r="HA247" s="15"/>
      <c r="HB247" s="15"/>
      <c r="HC247" s="15"/>
      <c r="HD247" s="15"/>
      <c r="HE247" s="15"/>
      <c r="HF247" s="15"/>
      <c r="HG247" s="15"/>
      <c r="HH247" s="15"/>
      <c r="HI247" s="15"/>
      <c r="HJ247" s="15"/>
      <c r="HK247" s="15"/>
      <c r="HL247" s="15"/>
      <c r="HM247" s="15"/>
      <c r="HN247" s="15"/>
      <c r="HO247" s="15"/>
      <c r="HP247" s="15"/>
      <c r="HQ247" s="15"/>
      <c r="HR247" s="15"/>
      <c r="HS247" s="15"/>
      <c r="HT247" s="15"/>
      <c r="HU247" s="15"/>
      <c r="HV247" s="15"/>
      <c r="HW247" s="15"/>
      <c r="HX247" s="15"/>
      <c r="HY247" s="15"/>
      <c r="HZ247" s="15"/>
      <c r="IA247" s="15"/>
      <c r="IB247" s="15"/>
      <c r="IC247" s="15"/>
      <c r="ID247" s="15"/>
      <c r="IE247" s="15"/>
      <c r="IF247" s="15"/>
      <c r="IG247" s="15"/>
      <c r="IH247" s="15"/>
      <c r="II247" s="15"/>
      <c r="IJ247" s="15"/>
      <c r="IK247" s="15"/>
      <c r="IL247" s="15"/>
      <c r="IM247" s="15"/>
      <c r="IN247" s="15"/>
      <c r="IO247" s="15"/>
      <c r="IP247" s="15"/>
      <c r="IQ247" s="15"/>
      <c r="IR247" s="15"/>
      <c r="IS247" s="15"/>
      <c r="IT247" s="15"/>
      <c r="IU247" s="15"/>
      <c r="IV247" s="15"/>
      <c r="IW247" s="15"/>
      <c r="IX247" s="15"/>
      <c r="IY247" s="15"/>
      <c r="IZ247" s="15"/>
      <c r="JA247" s="15"/>
      <c r="JB247" s="15"/>
      <c r="JC247" s="15"/>
      <c r="JD247" s="15"/>
      <c r="JE247" s="15"/>
      <c r="JF247" s="15"/>
      <c r="JG247" s="15"/>
      <c r="JH247" s="15"/>
      <c r="JI247" s="15"/>
      <c r="JJ247" s="15"/>
      <c r="JK247" s="15"/>
      <c r="JL247" s="15"/>
      <c r="JM247" s="15"/>
      <c r="JN247" s="15"/>
      <c r="JO247" s="15"/>
      <c r="JP247" s="15"/>
      <c r="JQ247" s="15"/>
      <c r="JR247" s="15"/>
      <c r="JS247" s="15"/>
      <c r="JT247" s="15"/>
      <c r="JU247" s="15"/>
      <c r="JV247" s="15"/>
      <c r="JW247" s="15"/>
      <c r="JX247" s="15"/>
      <c r="JY247" s="15"/>
      <c r="JZ247" s="15"/>
      <c r="KA247" s="15"/>
      <c r="KB247" s="15"/>
      <c r="KC247" s="15"/>
      <c r="KD247" s="15"/>
      <c r="KE247" s="15"/>
      <c r="KF247" s="15"/>
      <c r="KG247" s="15"/>
      <c r="KH247" s="15"/>
      <c r="KI247" s="15"/>
      <c r="KJ247" s="15"/>
      <c r="KK247" s="15"/>
      <c r="KL247" s="15"/>
      <c r="KM247" s="15"/>
      <c r="KN247" s="15"/>
      <c r="KO247" s="15"/>
      <c r="KP247" s="15"/>
      <c r="KQ247" s="15"/>
      <c r="KR247" s="15"/>
      <c r="KS247" s="15"/>
      <c r="KT247" s="15"/>
      <c r="KU247" s="15"/>
      <c r="KV247" s="15"/>
      <c r="KW247" s="15"/>
      <c r="KX247" s="15"/>
      <c r="KY247" s="15"/>
      <c r="KZ247" s="15"/>
      <c r="LA247" s="15"/>
      <c r="LB247" s="15"/>
      <c r="LC247" s="15"/>
      <c r="LD247" s="15"/>
      <c r="LE247" s="15"/>
      <c r="LF247" s="15"/>
      <c r="LG247" s="15"/>
      <c r="LH247" s="15"/>
      <c r="LI247" s="15"/>
      <c r="LJ247" s="15"/>
      <c r="LK247" s="15"/>
      <c r="LL247" s="15"/>
      <c r="LM247" s="15"/>
      <c r="LN247" s="15"/>
      <c r="LO247" s="15"/>
      <c r="LP247" s="15"/>
      <c r="LQ247" s="15"/>
      <c r="LR247" s="15"/>
      <c r="LS247" s="15"/>
      <c r="LT247" s="15"/>
      <c r="LU247" s="15"/>
      <c r="LV247" s="15"/>
      <c r="LW247" s="15"/>
      <c r="LX247" s="15"/>
      <c r="LY247" s="15"/>
      <c r="LZ247" s="15"/>
      <c r="MA247" s="15"/>
      <c r="MB247" s="15"/>
      <c r="MC247" s="15"/>
      <c r="MD247" s="15"/>
      <c r="ME247" s="15"/>
      <c r="MF247" s="15"/>
      <c r="MG247" s="15"/>
      <c r="MH247" s="15"/>
      <c r="MI247" s="15"/>
      <c r="MJ247" s="15"/>
      <c r="MK247" s="15"/>
      <c r="ML247" s="15"/>
      <c r="MM247" s="15"/>
      <c r="MN247" s="15"/>
      <c r="MO247" s="15"/>
      <c r="MP247" s="15"/>
      <c r="MQ247" s="15"/>
      <c r="MR247" s="15"/>
      <c r="MS247" s="15"/>
      <c r="MT247" s="15"/>
      <c r="MU247" s="15"/>
      <c r="MV247" s="15"/>
      <c r="MW247" s="15"/>
    </row>
    <row r="248" ht="41.25" customHeight="1">
      <c r="A248" s="16" t="s">
        <v>247</v>
      </c>
      <c r="B248" s="14" t="s">
        <v>10269</v>
      </c>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c r="DF248" s="15"/>
      <c r="DG248" s="15"/>
      <c r="DH248" s="15"/>
      <c r="DI248" s="15"/>
      <c r="DJ248" s="15"/>
      <c r="DK248" s="15"/>
      <c r="DL248" s="15"/>
      <c r="DM248" s="15"/>
      <c r="DN248" s="15"/>
      <c r="DO248" s="15"/>
      <c r="DP248" s="15"/>
      <c r="DQ248" s="15"/>
      <c r="DR248" s="15"/>
      <c r="DS248" s="15"/>
      <c r="DT248" s="15"/>
      <c r="DU248" s="15"/>
      <c r="DV248" s="15"/>
      <c r="DW248" s="15"/>
      <c r="DX248" s="15"/>
      <c r="DY248" s="15"/>
      <c r="DZ248" s="15"/>
      <c r="EA248" s="15"/>
      <c r="EB248" s="15"/>
      <c r="EC248" s="15"/>
      <c r="ED248" s="15"/>
      <c r="EE248" s="15"/>
      <c r="EF248" s="15"/>
      <c r="EG248" s="15"/>
      <c r="EH248" s="15"/>
      <c r="EI248" s="15"/>
      <c r="EJ248" s="15"/>
      <c r="EK248" s="15"/>
      <c r="EL248" s="15"/>
      <c r="EM248" s="15"/>
      <c r="EN248" s="15"/>
      <c r="EO248" s="15"/>
      <c r="EP248" s="15"/>
      <c r="EQ248" s="15"/>
      <c r="ER248" s="15"/>
      <c r="ES248" s="15"/>
      <c r="ET248" s="15"/>
      <c r="EU248" s="15"/>
      <c r="EV248" s="15"/>
      <c r="EW248" s="15"/>
      <c r="EX248" s="15"/>
      <c r="EY248" s="15"/>
      <c r="EZ248" s="15"/>
      <c r="FA248" s="15"/>
      <c r="FB248" s="15"/>
      <c r="FC248" s="15"/>
      <c r="FD248" s="15"/>
      <c r="FE248" s="15"/>
      <c r="FF248" s="15"/>
      <c r="FG248" s="15"/>
      <c r="FH248" s="15"/>
      <c r="FI248" s="15"/>
      <c r="FJ248" s="15"/>
      <c r="FK248" s="15"/>
      <c r="FL248" s="15"/>
      <c r="FM248" s="15"/>
      <c r="FN248" s="15"/>
      <c r="FO248" s="15"/>
      <c r="FP248" s="15"/>
      <c r="FQ248" s="15"/>
      <c r="FR248" s="15"/>
      <c r="FS248" s="15"/>
      <c r="FT248" s="15"/>
      <c r="FU248" s="15"/>
      <c r="FV248" s="15"/>
      <c r="FW248" s="15"/>
      <c r="FX248" s="15"/>
      <c r="FY248" s="15"/>
      <c r="FZ248" s="15"/>
      <c r="GA248" s="15"/>
      <c r="GB248" s="15"/>
      <c r="GC248" s="15"/>
      <c r="GD248" s="15"/>
      <c r="GE248" s="15"/>
      <c r="GF248" s="15"/>
      <c r="GG248" s="15"/>
      <c r="GH248" s="15"/>
      <c r="GI248" s="15"/>
      <c r="GJ248" s="15"/>
      <c r="GK248" s="15"/>
      <c r="GL248" s="15"/>
      <c r="GM248" s="15"/>
      <c r="GN248" s="15"/>
      <c r="GO248" s="15"/>
      <c r="GP248" s="15"/>
      <c r="GQ248" s="15"/>
      <c r="GR248" s="15"/>
      <c r="GS248" s="15"/>
      <c r="GT248" s="15"/>
      <c r="GU248" s="15"/>
      <c r="GV248" s="15"/>
      <c r="GW248" s="15"/>
      <c r="GX248" s="15"/>
      <c r="GY248" s="15"/>
      <c r="GZ248" s="15"/>
      <c r="HA248" s="15"/>
      <c r="HB248" s="15"/>
      <c r="HC248" s="15"/>
      <c r="HD248" s="15"/>
      <c r="HE248" s="15"/>
      <c r="HF248" s="15"/>
      <c r="HG248" s="15"/>
      <c r="HH248" s="15"/>
      <c r="HI248" s="15"/>
      <c r="HJ248" s="15"/>
      <c r="HK248" s="15"/>
      <c r="HL248" s="15"/>
      <c r="HM248" s="15"/>
      <c r="HN248" s="15"/>
      <c r="HO248" s="15"/>
      <c r="HP248" s="15"/>
      <c r="HQ248" s="15"/>
      <c r="HR248" s="15"/>
      <c r="HS248" s="15"/>
      <c r="HT248" s="15"/>
      <c r="HU248" s="15"/>
      <c r="HV248" s="15"/>
      <c r="HW248" s="15"/>
      <c r="HX248" s="15"/>
      <c r="HY248" s="15"/>
      <c r="HZ248" s="15"/>
      <c r="IA248" s="15"/>
      <c r="IB248" s="15"/>
      <c r="IC248" s="15"/>
      <c r="ID248" s="15"/>
      <c r="IE248" s="15"/>
      <c r="IF248" s="15"/>
      <c r="IG248" s="15"/>
      <c r="IH248" s="15"/>
      <c r="II248" s="15"/>
      <c r="IJ248" s="15"/>
      <c r="IK248" s="15"/>
      <c r="IL248" s="15"/>
      <c r="IM248" s="15"/>
      <c r="IN248" s="15"/>
      <c r="IO248" s="15"/>
      <c r="IP248" s="15"/>
      <c r="IQ248" s="15"/>
      <c r="IR248" s="15"/>
      <c r="IS248" s="15"/>
      <c r="IT248" s="15"/>
      <c r="IU248" s="15"/>
      <c r="IV248" s="15"/>
      <c r="IW248" s="15"/>
      <c r="IX248" s="15"/>
      <c r="IY248" s="15"/>
      <c r="IZ248" s="15"/>
      <c r="JA248" s="15"/>
      <c r="JB248" s="15"/>
      <c r="JC248" s="15"/>
      <c r="JD248" s="15"/>
      <c r="JE248" s="15"/>
      <c r="JF248" s="15"/>
      <c r="JG248" s="15"/>
      <c r="JH248" s="15"/>
      <c r="JI248" s="15"/>
      <c r="JJ248" s="15"/>
      <c r="JK248" s="15"/>
      <c r="JL248" s="15"/>
      <c r="JM248" s="15"/>
      <c r="JN248" s="15"/>
      <c r="JO248" s="15"/>
      <c r="JP248" s="15"/>
      <c r="JQ248" s="15"/>
      <c r="JR248" s="15"/>
      <c r="JS248" s="15"/>
      <c r="JT248" s="15"/>
      <c r="JU248" s="15"/>
      <c r="JV248" s="15"/>
      <c r="JW248" s="15"/>
      <c r="JX248" s="15"/>
      <c r="JY248" s="15"/>
      <c r="JZ248" s="15"/>
      <c r="KA248" s="15"/>
      <c r="KB248" s="15"/>
      <c r="KC248" s="15"/>
      <c r="KD248" s="15"/>
      <c r="KE248" s="15"/>
      <c r="KF248" s="15"/>
      <c r="KG248" s="15"/>
      <c r="KH248" s="15"/>
      <c r="KI248" s="15"/>
      <c r="KJ248" s="15"/>
      <c r="KK248" s="15"/>
      <c r="KL248" s="15"/>
      <c r="KM248" s="15"/>
      <c r="KN248" s="15"/>
      <c r="KO248" s="15"/>
      <c r="KP248" s="15"/>
      <c r="KQ248" s="15"/>
      <c r="KR248" s="15"/>
      <c r="KS248" s="15"/>
      <c r="KT248" s="15"/>
      <c r="KU248" s="15"/>
      <c r="KV248" s="15"/>
      <c r="KW248" s="15"/>
      <c r="KX248" s="15"/>
      <c r="KY248" s="15"/>
      <c r="KZ248" s="15"/>
      <c r="LA248" s="15"/>
      <c r="LB248" s="15"/>
      <c r="LC248" s="15"/>
      <c r="LD248" s="15"/>
      <c r="LE248" s="15"/>
      <c r="LF248" s="15"/>
      <c r="LG248" s="15"/>
      <c r="LH248" s="15"/>
      <c r="LI248" s="15"/>
      <c r="LJ248" s="15"/>
      <c r="LK248" s="15"/>
      <c r="LL248" s="15"/>
      <c r="LM248" s="15"/>
      <c r="LN248" s="15"/>
      <c r="LO248" s="15"/>
      <c r="LP248" s="15"/>
      <c r="LQ248" s="15"/>
      <c r="LR248" s="15"/>
      <c r="LS248" s="15"/>
      <c r="LT248" s="15"/>
      <c r="LU248" s="15"/>
      <c r="LV248" s="15"/>
      <c r="LW248" s="15"/>
      <c r="LX248" s="15"/>
      <c r="LY248" s="15"/>
      <c r="LZ248" s="15"/>
      <c r="MA248" s="15"/>
      <c r="MB248" s="15"/>
      <c r="MC248" s="15"/>
      <c r="MD248" s="15"/>
      <c r="ME248" s="15"/>
      <c r="MF248" s="15"/>
      <c r="MG248" s="15"/>
      <c r="MH248" s="15"/>
      <c r="MI248" s="15"/>
      <c r="MJ248" s="15"/>
      <c r="MK248" s="15"/>
      <c r="ML248" s="15"/>
      <c r="MM248" s="15"/>
      <c r="MN248" s="15"/>
      <c r="MO248" s="15"/>
      <c r="MP248" s="15"/>
      <c r="MQ248" s="15"/>
      <c r="MR248" s="15"/>
      <c r="MS248" s="15"/>
      <c r="MT248" s="15"/>
      <c r="MU248" s="15"/>
      <c r="MV248" s="15"/>
      <c r="MW248" s="15"/>
    </row>
    <row r="249" ht="119.25" customHeight="1">
      <c r="A249" s="16" t="s">
        <v>248</v>
      </c>
      <c r="B249" s="14" t="s">
        <v>10270</v>
      </c>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c r="DE249" s="15"/>
      <c r="DF249" s="15"/>
      <c r="DG249" s="15"/>
      <c r="DH249" s="15"/>
      <c r="DI249" s="15"/>
      <c r="DJ249" s="15"/>
      <c r="DK249" s="15"/>
      <c r="DL249" s="15"/>
      <c r="DM249" s="15"/>
      <c r="DN249" s="15"/>
      <c r="DO249" s="15"/>
      <c r="DP249" s="15"/>
      <c r="DQ249" s="15"/>
      <c r="DR249" s="15"/>
      <c r="DS249" s="15"/>
      <c r="DT249" s="15"/>
      <c r="DU249" s="15"/>
      <c r="DV249" s="15"/>
      <c r="DW249" s="15"/>
      <c r="DX249" s="15"/>
      <c r="DY249" s="15"/>
      <c r="DZ249" s="15"/>
      <c r="EA249" s="15"/>
      <c r="EB249" s="15"/>
      <c r="EC249" s="15"/>
      <c r="ED249" s="15"/>
      <c r="EE249" s="15"/>
      <c r="EF249" s="15"/>
      <c r="EG249" s="15"/>
      <c r="EH249" s="15"/>
      <c r="EI249" s="15"/>
      <c r="EJ249" s="15"/>
      <c r="EK249" s="15"/>
      <c r="EL249" s="15"/>
      <c r="EM249" s="15"/>
      <c r="EN249" s="15"/>
      <c r="EO249" s="15"/>
      <c r="EP249" s="15"/>
      <c r="EQ249" s="15"/>
      <c r="ER249" s="15"/>
      <c r="ES249" s="15"/>
      <c r="ET249" s="15"/>
      <c r="EU249" s="15"/>
      <c r="EV249" s="15"/>
      <c r="EW249" s="15"/>
      <c r="EX249" s="15"/>
      <c r="EY249" s="15"/>
      <c r="EZ249" s="15"/>
      <c r="FA249" s="15"/>
      <c r="FB249" s="15"/>
      <c r="FC249" s="15"/>
      <c r="FD249" s="15"/>
      <c r="FE249" s="15"/>
      <c r="FF249" s="15"/>
      <c r="FG249" s="15"/>
      <c r="FH249" s="15"/>
      <c r="FI249" s="15"/>
      <c r="FJ249" s="15"/>
      <c r="FK249" s="15"/>
      <c r="FL249" s="15"/>
      <c r="FM249" s="15"/>
      <c r="FN249" s="15"/>
      <c r="FO249" s="15"/>
      <c r="FP249" s="15"/>
      <c r="FQ249" s="15"/>
      <c r="FR249" s="15"/>
      <c r="FS249" s="15"/>
      <c r="FT249" s="15"/>
      <c r="FU249" s="15"/>
      <c r="FV249" s="15"/>
      <c r="FW249" s="15"/>
      <c r="FX249" s="15"/>
      <c r="FY249" s="15"/>
      <c r="FZ249" s="15"/>
      <c r="GA249" s="15"/>
      <c r="GB249" s="15"/>
      <c r="GC249" s="15"/>
      <c r="GD249" s="15"/>
      <c r="GE249" s="15"/>
      <c r="GF249" s="15"/>
      <c r="GG249" s="15"/>
      <c r="GH249" s="15"/>
      <c r="GI249" s="15"/>
      <c r="GJ249" s="15"/>
      <c r="GK249" s="15"/>
      <c r="GL249" s="15"/>
      <c r="GM249" s="15"/>
      <c r="GN249" s="15"/>
      <c r="GO249" s="15"/>
      <c r="GP249" s="15"/>
      <c r="GQ249" s="15"/>
      <c r="GR249" s="15"/>
      <c r="GS249" s="15"/>
      <c r="GT249" s="15"/>
      <c r="GU249" s="15"/>
      <c r="GV249" s="15"/>
      <c r="GW249" s="15"/>
      <c r="GX249" s="15"/>
      <c r="GY249" s="15"/>
      <c r="GZ249" s="15"/>
      <c r="HA249" s="15"/>
      <c r="HB249" s="15"/>
      <c r="HC249" s="15"/>
      <c r="HD249" s="15"/>
      <c r="HE249" s="15"/>
      <c r="HF249" s="15"/>
      <c r="HG249" s="15"/>
      <c r="HH249" s="15"/>
      <c r="HI249" s="15"/>
      <c r="HJ249" s="15"/>
      <c r="HK249" s="15"/>
      <c r="HL249" s="15"/>
      <c r="HM249" s="15"/>
      <c r="HN249" s="15"/>
      <c r="HO249" s="15"/>
      <c r="HP249" s="15"/>
      <c r="HQ249" s="15"/>
      <c r="HR249" s="15"/>
      <c r="HS249" s="15"/>
      <c r="HT249" s="15"/>
      <c r="HU249" s="15"/>
      <c r="HV249" s="15"/>
      <c r="HW249" s="15"/>
      <c r="HX249" s="15"/>
      <c r="HY249" s="15"/>
      <c r="HZ249" s="15"/>
      <c r="IA249" s="15"/>
      <c r="IB249" s="15"/>
      <c r="IC249" s="15"/>
      <c r="ID249" s="15"/>
      <c r="IE249" s="15"/>
      <c r="IF249" s="15"/>
      <c r="IG249" s="15"/>
      <c r="IH249" s="15"/>
      <c r="II249" s="15"/>
      <c r="IJ249" s="15"/>
      <c r="IK249" s="15"/>
      <c r="IL249" s="15"/>
      <c r="IM249" s="15"/>
      <c r="IN249" s="15"/>
      <c r="IO249" s="15"/>
      <c r="IP249" s="15"/>
      <c r="IQ249" s="15"/>
      <c r="IR249" s="15"/>
      <c r="IS249" s="15"/>
      <c r="IT249" s="15"/>
      <c r="IU249" s="15"/>
      <c r="IV249" s="15"/>
      <c r="IW249" s="15"/>
      <c r="IX249" s="15"/>
      <c r="IY249" s="15"/>
      <c r="IZ249" s="15"/>
      <c r="JA249" s="15"/>
      <c r="JB249" s="15"/>
      <c r="JC249" s="15"/>
      <c r="JD249" s="15"/>
      <c r="JE249" s="15"/>
      <c r="JF249" s="15"/>
      <c r="JG249" s="15"/>
      <c r="JH249" s="15"/>
      <c r="JI249" s="15"/>
      <c r="JJ249" s="15"/>
      <c r="JK249" s="15"/>
      <c r="JL249" s="15"/>
      <c r="JM249" s="15"/>
      <c r="JN249" s="15"/>
      <c r="JO249" s="15"/>
      <c r="JP249" s="15"/>
      <c r="JQ249" s="15"/>
      <c r="JR249" s="15"/>
      <c r="JS249" s="15"/>
      <c r="JT249" s="15"/>
      <c r="JU249" s="15"/>
      <c r="JV249" s="15"/>
      <c r="JW249" s="15"/>
      <c r="JX249" s="15"/>
      <c r="JY249" s="15"/>
      <c r="JZ249" s="15"/>
      <c r="KA249" s="15"/>
      <c r="KB249" s="15"/>
      <c r="KC249" s="15"/>
      <c r="KD249" s="15"/>
      <c r="KE249" s="15"/>
      <c r="KF249" s="15"/>
      <c r="KG249" s="15"/>
      <c r="KH249" s="15"/>
      <c r="KI249" s="15"/>
      <c r="KJ249" s="15"/>
      <c r="KK249" s="15"/>
      <c r="KL249" s="15"/>
      <c r="KM249" s="15"/>
      <c r="KN249" s="15"/>
      <c r="KO249" s="15"/>
      <c r="KP249" s="15"/>
      <c r="KQ249" s="15"/>
      <c r="KR249" s="15"/>
      <c r="KS249" s="15"/>
      <c r="KT249" s="15"/>
      <c r="KU249" s="15"/>
      <c r="KV249" s="15"/>
      <c r="KW249" s="15"/>
      <c r="KX249" s="15"/>
      <c r="KY249" s="15"/>
      <c r="KZ249" s="15"/>
      <c r="LA249" s="15"/>
      <c r="LB249" s="15"/>
      <c r="LC249" s="15"/>
      <c r="LD249" s="15"/>
      <c r="LE249" s="15"/>
      <c r="LF249" s="15"/>
      <c r="LG249" s="15"/>
      <c r="LH249" s="15"/>
      <c r="LI249" s="15"/>
      <c r="LJ249" s="15"/>
      <c r="LK249" s="15"/>
      <c r="LL249" s="15"/>
      <c r="LM249" s="15"/>
      <c r="LN249" s="15"/>
      <c r="LO249" s="15"/>
      <c r="LP249" s="15"/>
      <c r="LQ249" s="15"/>
      <c r="LR249" s="15"/>
      <c r="LS249" s="15"/>
      <c r="LT249" s="15"/>
      <c r="LU249" s="15"/>
      <c r="LV249" s="15"/>
      <c r="LW249" s="15"/>
      <c r="LX249" s="15"/>
      <c r="LY249" s="15"/>
      <c r="LZ249" s="15"/>
      <c r="MA249" s="15"/>
      <c r="MB249" s="15"/>
      <c r="MC249" s="15"/>
      <c r="MD249" s="15"/>
      <c r="ME249" s="15"/>
      <c r="MF249" s="15"/>
      <c r="MG249" s="15"/>
      <c r="MH249" s="15"/>
      <c r="MI249" s="15"/>
      <c r="MJ249" s="15"/>
      <c r="MK249" s="15"/>
      <c r="ML249" s="15"/>
      <c r="MM249" s="15"/>
      <c r="MN249" s="15"/>
      <c r="MO249" s="15"/>
      <c r="MP249" s="15"/>
      <c r="MQ249" s="15"/>
      <c r="MR249" s="15"/>
      <c r="MS249" s="15"/>
      <c r="MT249" s="15"/>
      <c r="MU249" s="15"/>
      <c r="MV249" s="15"/>
      <c r="MW249" s="15"/>
    </row>
    <row r="250" ht="41.25" customHeight="1">
      <c r="A250" s="16" t="s">
        <v>249</v>
      </c>
      <c r="B250" s="14" t="s">
        <v>10271</v>
      </c>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c r="DF250" s="15"/>
      <c r="DG250" s="15"/>
      <c r="DH250" s="15"/>
      <c r="DI250" s="15"/>
      <c r="DJ250" s="15"/>
      <c r="DK250" s="15"/>
      <c r="DL250" s="15"/>
      <c r="DM250" s="15"/>
      <c r="DN250" s="15"/>
      <c r="DO250" s="15"/>
      <c r="DP250" s="15"/>
      <c r="DQ250" s="15"/>
      <c r="DR250" s="15"/>
      <c r="DS250" s="15"/>
      <c r="DT250" s="15"/>
      <c r="DU250" s="15"/>
      <c r="DV250" s="15"/>
      <c r="DW250" s="15"/>
      <c r="DX250" s="15"/>
      <c r="DY250" s="15"/>
      <c r="DZ250" s="15"/>
      <c r="EA250" s="15"/>
      <c r="EB250" s="15"/>
      <c r="EC250" s="15"/>
      <c r="ED250" s="15"/>
      <c r="EE250" s="15"/>
      <c r="EF250" s="15"/>
      <c r="EG250" s="15"/>
      <c r="EH250" s="15"/>
      <c r="EI250" s="15"/>
      <c r="EJ250" s="15"/>
      <c r="EK250" s="15"/>
      <c r="EL250" s="15"/>
      <c r="EM250" s="15"/>
      <c r="EN250" s="15"/>
      <c r="EO250" s="15"/>
      <c r="EP250" s="15"/>
      <c r="EQ250" s="15"/>
      <c r="ER250" s="15"/>
      <c r="ES250" s="15"/>
      <c r="ET250" s="15"/>
      <c r="EU250" s="15"/>
      <c r="EV250" s="15"/>
      <c r="EW250" s="15"/>
      <c r="EX250" s="15"/>
      <c r="EY250" s="15"/>
      <c r="EZ250" s="15"/>
      <c r="FA250" s="15"/>
      <c r="FB250" s="15"/>
      <c r="FC250" s="15"/>
      <c r="FD250" s="15"/>
      <c r="FE250" s="15"/>
      <c r="FF250" s="15"/>
      <c r="FG250" s="15"/>
      <c r="FH250" s="15"/>
      <c r="FI250" s="15"/>
      <c r="FJ250" s="15"/>
      <c r="FK250" s="15"/>
      <c r="FL250" s="15"/>
      <c r="FM250" s="15"/>
      <c r="FN250" s="15"/>
      <c r="FO250" s="15"/>
      <c r="FP250" s="15"/>
      <c r="FQ250" s="15"/>
      <c r="FR250" s="15"/>
      <c r="FS250" s="15"/>
      <c r="FT250" s="15"/>
      <c r="FU250" s="15"/>
      <c r="FV250" s="15"/>
      <c r="FW250" s="15"/>
      <c r="FX250" s="15"/>
      <c r="FY250" s="15"/>
      <c r="FZ250" s="15"/>
      <c r="GA250" s="15"/>
      <c r="GB250" s="15"/>
      <c r="GC250" s="15"/>
      <c r="GD250" s="15"/>
      <c r="GE250" s="15"/>
      <c r="GF250" s="15"/>
      <c r="GG250" s="15"/>
      <c r="GH250" s="15"/>
      <c r="GI250" s="15"/>
      <c r="GJ250" s="15"/>
      <c r="GK250" s="15"/>
      <c r="GL250" s="15"/>
      <c r="GM250" s="15"/>
      <c r="GN250" s="15"/>
      <c r="GO250" s="15"/>
      <c r="GP250" s="15"/>
      <c r="GQ250" s="15"/>
      <c r="GR250" s="15"/>
      <c r="GS250" s="15"/>
      <c r="GT250" s="15"/>
      <c r="GU250" s="15"/>
      <c r="GV250" s="15"/>
      <c r="GW250" s="15"/>
      <c r="GX250" s="15"/>
      <c r="GY250" s="15"/>
      <c r="GZ250" s="15"/>
      <c r="HA250" s="15"/>
      <c r="HB250" s="15"/>
      <c r="HC250" s="15"/>
      <c r="HD250" s="15"/>
      <c r="HE250" s="15"/>
      <c r="HF250" s="15"/>
      <c r="HG250" s="15"/>
      <c r="HH250" s="15"/>
      <c r="HI250" s="15"/>
      <c r="HJ250" s="15"/>
      <c r="HK250" s="15"/>
      <c r="HL250" s="15"/>
      <c r="HM250" s="15"/>
      <c r="HN250" s="15"/>
      <c r="HO250" s="15"/>
      <c r="HP250" s="15"/>
      <c r="HQ250" s="15"/>
      <c r="HR250" s="15"/>
      <c r="HS250" s="15"/>
      <c r="HT250" s="15"/>
      <c r="HU250" s="15"/>
      <c r="HV250" s="15"/>
      <c r="HW250" s="15"/>
      <c r="HX250" s="15"/>
      <c r="HY250" s="15"/>
      <c r="HZ250" s="15"/>
      <c r="IA250" s="15"/>
      <c r="IB250" s="15"/>
      <c r="IC250" s="15"/>
      <c r="ID250" s="15"/>
      <c r="IE250" s="15"/>
      <c r="IF250" s="15"/>
      <c r="IG250" s="15"/>
      <c r="IH250" s="15"/>
      <c r="II250" s="15"/>
      <c r="IJ250" s="15"/>
      <c r="IK250" s="15"/>
      <c r="IL250" s="15"/>
      <c r="IM250" s="15"/>
      <c r="IN250" s="15"/>
      <c r="IO250" s="15"/>
      <c r="IP250" s="15"/>
      <c r="IQ250" s="15"/>
      <c r="IR250" s="15"/>
      <c r="IS250" s="15"/>
      <c r="IT250" s="15"/>
      <c r="IU250" s="15"/>
      <c r="IV250" s="15"/>
      <c r="IW250" s="15"/>
      <c r="IX250" s="15"/>
      <c r="IY250" s="15"/>
      <c r="IZ250" s="15"/>
      <c r="JA250" s="15"/>
      <c r="JB250" s="15"/>
      <c r="JC250" s="15"/>
      <c r="JD250" s="15"/>
      <c r="JE250" s="15"/>
      <c r="JF250" s="15"/>
      <c r="JG250" s="15"/>
      <c r="JH250" s="15"/>
      <c r="JI250" s="15"/>
      <c r="JJ250" s="15"/>
      <c r="JK250" s="15"/>
      <c r="JL250" s="15"/>
      <c r="JM250" s="15"/>
      <c r="JN250" s="15"/>
      <c r="JO250" s="15"/>
      <c r="JP250" s="15"/>
      <c r="JQ250" s="15"/>
      <c r="JR250" s="15"/>
      <c r="JS250" s="15"/>
      <c r="JT250" s="15"/>
      <c r="JU250" s="15"/>
      <c r="JV250" s="15"/>
      <c r="JW250" s="15"/>
      <c r="JX250" s="15"/>
      <c r="JY250" s="15"/>
      <c r="JZ250" s="15"/>
      <c r="KA250" s="15"/>
      <c r="KB250" s="15"/>
      <c r="KC250" s="15"/>
      <c r="KD250" s="15"/>
      <c r="KE250" s="15"/>
      <c r="KF250" s="15"/>
      <c r="KG250" s="15"/>
      <c r="KH250" s="15"/>
      <c r="KI250" s="15"/>
      <c r="KJ250" s="15"/>
      <c r="KK250" s="15"/>
      <c r="KL250" s="15"/>
      <c r="KM250" s="15"/>
      <c r="KN250" s="15"/>
      <c r="KO250" s="15"/>
      <c r="KP250" s="15"/>
      <c r="KQ250" s="15"/>
      <c r="KR250" s="15"/>
      <c r="KS250" s="15"/>
      <c r="KT250" s="15"/>
      <c r="KU250" s="15"/>
      <c r="KV250" s="15"/>
      <c r="KW250" s="15"/>
      <c r="KX250" s="15"/>
      <c r="KY250" s="15"/>
      <c r="KZ250" s="15"/>
      <c r="LA250" s="15"/>
      <c r="LB250" s="15"/>
      <c r="LC250" s="15"/>
      <c r="LD250" s="15"/>
      <c r="LE250" s="15"/>
      <c r="LF250" s="15"/>
      <c r="LG250" s="15"/>
      <c r="LH250" s="15"/>
      <c r="LI250" s="15"/>
      <c r="LJ250" s="15"/>
      <c r="LK250" s="15"/>
      <c r="LL250" s="15"/>
      <c r="LM250" s="15"/>
      <c r="LN250" s="15"/>
      <c r="LO250" s="15"/>
      <c r="LP250" s="15"/>
      <c r="LQ250" s="15"/>
      <c r="LR250" s="15"/>
      <c r="LS250" s="15"/>
      <c r="LT250" s="15"/>
      <c r="LU250" s="15"/>
      <c r="LV250" s="15"/>
      <c r="LW250" s="15"/>
      <c r="LX250" s="15"/>
      <c r="LY250" s="15"/>
      <c r="LZ250" s="15"/>
      <c r="MA250" s="15"/>
      <c r="MB250" s="15"/>
      <c r="MC250" s="15"/>
      <c r="MD250" s="15"/>
      <c r="ME250" s="15"/>
      <c r="MF250" s="15"/>
      <c r="MG250" s="15"/>
      <c r="MH250" s="15"/>
      <c r="MI250" s="15"/>
      <c r="MJ250" s="15"/>
      <c r="MK250" s="15"/>
      <c r="ML250" s="15"/>
      <c r="MM250" s="15"/>
      <c r="MN250" s="15"/>
      <c r="MO250" s="15"/>
      <c r="MP250" s="15"/>
      <c r="MQ250" s="15"/>
      <c r="MR250" s="15"/>
      <c r="MS250" s="15"/>
      <c r="MT250" s="15"/>
      <c r="MU250" s="15"/>
      <c r="MV250" s="15"/>
      <c r="MW250" s="15"/>
    </row>
    <row r="251" ht="119.25" customHeight="1">
      <c r="A251" s="16" t="s">
        <v>250</v>
      </c>
      <c r="B251" s="14" t="s">
        <v>10272</v>
      </c>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c r="DF251" s="15"/>
      <c r="DG251" s="15"/>
      <c r="DH251" s="15"/>
      <c r="DI251" s="15"/>
      <c r="DJ251" s="15"/>
      <c r="DK251" s="15"/>
      <c r="DL251" s="15"/>
      <c r="DM251" s="15"/>
      <c r="DN251" s="15"/>
      <c r="DO251" s="15"/>
      <c r="DP251" s="15"/>
      <c r="DQ251" s="15"/>
      <c r="DR251" s="15"/>
      <c r="DS251" s="15"/>
      <c r="DT251" s="15"/>
      <c r="DU251" s="15"/>
      <c r="DV251" s="15"/>
      <c r="DW251" s="15"/>
      <c r="DX251" s="15"/>
      <c r="DY251" s="15"/>
      <c r="DZ251" s="15"/>
      <c r="EA251" s="15"/>
      <c r="EB251" s="15"/>
      <c r="EC251" s="15"/>
      <c r="ED251" s="15"/>
      <c r="EE251" s="15"/>
      <c r="EF251" s="15"/>
      <c r="EG251" s="15"/>
      <c r="EH251" s="15"/>
      <c r="EI251" s="15"/>
      <c r="EJ251" s="15"/>
      <c r="EK251" s="15"/>
      <c r="EL251" s="15"/>
      <c r="EM251" s="15"/>
      <c r="EN251" s="15"/>
      <c r="EO251" s="15"/>
      <c r="EP251" s="15"/>
      <c r="EQ251" s="15"/>
      <c r="ER251" s="15"/>
      <c r="ES251" s="15"/>
      <c r="ET251" s="15"/>
      <c r="EU251" s="15"/>
      <c r="EV251" s="15"/>
      <c r="EW251" s="15"/>
      <c r="EX251" s="15"/>
      <c r="EY251" s="15"/>
      <c r="EZ251" s="15"/>
      <c r="FA251" s="15"/>
      <c r="FB251" s="15"/>
      <c r="FC251" s="15"/>
      <c r="FD251" s="15"/>
      <c r="FE251" s="15"/>
      <c r="FF251" s="15"/>
      <c r="FG251" s="15"/>
      <c r="FH251" s="15"/>
      <c r="FI251" s="15"/>
      <c r="FJ251" s="15"/>
      <c r="FK251" s="15"/>
      <c r="FL251" s="15"/>
      <c r="FM251" s="15"/>
      <c r="FN251" s="15"/>
      <c r="FO251" s="15"/>
      <c r="FP251" s="15"/>
      <c r="FQ251" s="15"/>
      <c r="FR251" s="15"/>
      <c r="FS251" s="15"/>
      <c r="FT251" s="15"/>
      <c r="FU251" s="15"/>
      <c r="FV251" s="15"/>
      <c r="FW251" s="15"/>
      <c r="FX251" s="15"/>
      <c r="FY251" s="15"/>
      <c r="FZ251" s="15"/>
      <c r="GA251" s="15"/>
      <c r="GB251" s="15"/>
      <c r="GC251" s="15"/>
      <c r="GD251" s="15"/>
      <c r="GE251" s="15"/>
      <c r="GF251" s="15"/>
      <c r="GG251" s="15"/>
      <c r="GH251" s="15"/>
      <c r="GI251" s="15"/>
      <c r="GJ251" s="15"/>
      <c r="GK251" s="15"/>
      <c r="GL251" s="15"/>
      <c r="GM251" s="15"/>
      <c r="GN251" s="15"/>
      <c r="GO251" s="15"/>
      <c r="GP251" s="15"/>
      <c r="GQ251" s="15"/>
      <c r="GR251" s="15"/>
      <c r="GS251" s="15"/>
      <c r="GT251" s="15"/>
      <c r="GU251" s="15"/>
      <c r="GV251" s="15"/>
      <c r="GW251" s="15"/>
      <c r="GX251" s="15"/>
      <c r="GY251" s="15"/>
      <c r="GZ251" s="15"/>
      <c r="HA251" s="15"/>
      <c r="HB251" s="15"/>
      <c r="HC251" s="15"/>
      <c r="HD251" s="15"/>
      <c r="HE251" s="15"/>
      <c r="HF251" s="15"/>
      <c r="HG251" s="15"/>
      <c r="HH251" s="15"/>
      <c r="HI251" s="15"/>
      <c r="HJ251" s="15"/>
      <c r="HK251" s="15"/>
      <c r="HL251" s="15"/>
      <c r="HM251" s="15"/>
      <c r="HN251" s="15"/>
      <c r="HO251" s="15"/>
      <c r="HP251" s="15"/>
      <c r="HQ251" s="15"/>
      <c r="HR251" s="15"/>
      <c r="HS251" s="15"/>
      <c r="HT251" s="15"/>
      <c r="HU251" s="15"/>
      <c r="HV251" s="15"/>
      <c r="HW251" s="15"/>
      <c r="HX251" s="15"/>
      <c r="HY251" s="15"/>
      <c r="HZ251" s="15"/>
      <c r="IA251" s="15"/>
      <c r="IB251" s="15"/>
      <c r="IC251" s="15"/>
      <c r="ID251" s="15"/>
      <c r="IE251" s="15"/>
      <c r="IF251" s="15"/>
      <c r="IG251" s="15"/>
      <c r="IH251" s="15"/>
      <c r="II251" s="15"/>
      <c r="IJ251" s="15"/>
      <c r="IK251" s="15"/>
      <c r="IL251" s="15"/>
      <c r="IM251" s="15"/>
      <c r="IN251" s="15"/>
      <c r="IO251" s="15"/>
      <c r="IP251" s="15"/>
      <c r="IQ251" s="15"/>
      <c r="IR251" s="15"/>
      <c r="IS251" s="15"/>
      <c r="IT251" s="15"/>
      <c r="IU251" s="15"/>
      <c r="IV251" s="15"/>
      <c r="IW251" s="15"/>
      <c r="IX251" s="15"/>
      <c r="IY251" s="15"/>
      <c r="IZ251" s="15"/>
      <c r="JA251" s="15"/>
      <c r="JB251" s="15"/>
      <c r="JC251" s="15"/>
      <c r="JD251" s="15"/>
      <c r="JE251" s="15"/>
      <c r="JF251" s="15"/>
      <c r="JG251" s="15"/>
      <c r="JH251" s="15"/>
      <c r="JI251" s="15"/>
      <c r="JJ251" s="15"/>
      <c r="JK251" s="15"/>
      <c r="JL251" s="15"/>
      <c r="JM251" s="15"/>
      <c r="JN251" s="15"/>
      <c r="JO251" s="15"/>
      <c r="JP251" s="15"/>
      <c r="JQ251" s="15"/>
      <c r="JR251" s="15"/>
      <c r="JS251" s="15"/>
      <c r="JT251" s="15"/>
      <c r="JU251" s="15"/>
      <c r="JV251" s="15"/>
      <c r="JW251" s="15"/>
      <c r="JX251" s="15"/>
      <c r="JY251" s="15"/>
      <c r="JZ251" s="15"/>
      <c r="KA251" s="15"/>
      <c r="KB251" s="15"/>
      <c r="KC251" s="15"/>
      <c r="KD251" s="15"/>
      <c r="KE251" s="15"/>
      <c r="KF251" s="15"/>
      <c r="KG251" s="15"/>
      <c r="KH251" s="15"/>
      <c r="KI251" s="15"/>
      <c r="KJ251" s="15"/>
      <c r="KK251" s="15"/>
      <c r="KL251" s="15"/>
      <c r="KM251" s="15"/>
      <c r="KN251" s="15"/>
      <c r="KO251" s="15"/>
      <c r="KP251" s="15"/>
      <c r="KQ251" s="15"/>
      <c r="KR251" s="15"/>
      <c r="KS251" s="15"/>
      <c r="KT251" s="15"/>
      <c r="KU251" s="15"/>
      <c r="KV251" s="15"/>
      <c r="KW251" s="15"/>
      <c r="KX251" s="15"/>
      <c r="KY251" s="15"/>
      <c r="KZ251" s="15"/>
      <c r="LA251" s="15"/>
      <c r="LB251" s="15"/>
      <c r="LC251" s="15"/>
      <c r="LD251" s="15"/>
      <c r="LE251" s="15"/>
      <c r="LF251" s="15"/>
      <c r="LG251" s="15"/>
      <c r="LH251" s="15"/>
      <c r="LI251" s="15"/>
      <c r="LJ251" s="15"/>
      <c r="LK251" s="15"/>
      <c r="LL251" s="15"/>
      <c r="LM251" s="15"/>
      <c r="LN251" s="15"/>
      <c r="LO251" s="15"/>
      <c r="LP251" s="15"/>
      <c r="LQ251" s="15"/>
      <c r="LR251" s="15"/>
      <c r="LS251" s="15"/>
      <c r="LT251" s="15"/>
      <c r="LU251" s="15"/>
      <c r="LV251" s="15"/>
      <c r="LW251" s="15"/>
      <c r="LX251" s="15"/>
      <c r="LY251" s="15"/>
      <c r="LZ251" s="15"/>
      <c r="MA251" s="15"/>
      <c r="MB251" s="15"/>
      <c r="MC251" s="15"/>
      <c r="MD251" s="15"/>
      <c r="ME251" s="15"/>
      <c r="MF251" s="15"/>
      <c r="MG251" s="15"/>
      <c r="MH251" s="15"/>
      <c r="MI251" s="15"/>
      <c r="MJ251" s="15"/>
      <c r="MK251" s="15"/>
      <c r="ML251" s="15"/>
      <c r="MM251" s="15"/>
      <c r="MN251" s="15"/>
      <c r="MO251" s="15"/>
      <c r="MP251" s="15"/>
      <c r="MQ251" s="15"/>
      <c r="MR251" s="15"/>
      <c r="MS251" s="15"/>
      <c r="MT251" s="15"/>
      <c r="MU251" s="15"/>
      <c r="MV251" s="15"/>
      <c r="MW251" s="15"/>
    </row>
    <row r="252" ht="41.25" customHeight="1">
      <c r="A252" s="16" t="s">
        <v>251</v>
      </c>
      <c r="B252" s="14" t="s">
        <v>10273</v>
      </c>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c r="DF252" s="15"/>
      <c r="DG252" s="15"/>
      <c r="DH252" s="15"/>
      <c r="DI252" s="15"/>
      <c r="DJ252" s="15"/>
      <c r="DK252" s="15"/>
      <c r="DL252" s="15"/>
      <c r="DM252" s="15"/>
      <c r="DN252" s="15"/>
      <c r="DO252" s="15"/>
      <c r="DP252" s="15"/>
      <c r="DQ252" s="15"/>
      <c r="DR252" s="15"/>
      <c r="DS252" s="15"/>
      <c r="DT252" s="15"/>
      <c r="DU252" s="15"/>
      <c r="DV252" s="15"/>
      <c r="DW252" s="15"/>
      <c r="DX252" s="15"/>
      <c r="DY252" s="15"/>
      <c r="DZ252" s="15"/>
      <c r="EA252" s="15"/>
      <c r="EB252" s="15"/>
      <c r="EC252" s="15"/>
      <c r="ED252" s="15"/>
      <c r="EE252" s="15"/>
      <c r="EF252" s="15"/>
      <c r="EG252" s="15"/>
      <c r="EH252" s="15"/>
      <c r="EI252" s="15"/>
      <c r="EJ252" s="15"/>
      <c r="EK252" s="15"/>
      <c r="EL252" s="15"/>
      <c r="EM252" s="15"/>
      <c r="EN252" s="15"/>
      <c r="EO252" s="15"/>
      <c r="EP252" s="15"/>
      <c r="EQ252" s="15"/>
      <c r="ER252" s="15"/>
      <c r="ES252" s="15"/>
      <c r="ET252" s="15"/>
      <c r="EU252" s="15"/>
      <c r="EV252" s="15"/>
      <c r="EW252" s="15"/>
      <c r="EX252" s="15"/>
      <c r="EY252" s="15"/>
      <c r="EZ252" s="15"/>
      <c r="FA252" s="15"/>
      <c r="FB252" s="15"/>
      <c r="FC252" s="15"/>
      <c r="FD252" s="15"/>
      <c r="FE252" s="15"/>
      <c r="FF252" s="15"/>
      <c r="FG252" s="15"/>
      <c r="FH252" s="15"/>
      <c r="FI252" s="15"/>
      <c r="FJ252" s="15"/>
      <c r="FK252" s="15"/>
      <c r="FL252" s="15"/>
      <c r="FM252" s="15"/>
      <c r="FN252" s="15"/>
      <c r="FO252" s="15"/>
      <c r="FP252" s="15"/>
      <c r="FQ252" s="15"/>
      <c r="FR252" s="15"/>
      <c r="FS252" s="15"/>
      <c r="FT252" s="15"/>
      <c r="FU252" s="15"/>
      <c r="FV252" s="15"/>
      <c r="FW252" s="15"/>
      <c r="FX252" s="15"/>
      <c r="FY252" s="15"/>
      <c r="FZ252" s="15"/>
      <c r="GA252" s="15"/>
      <c r="GB252" s="15"/>
      <c r="GC252" s="15"/>
      <c r="GD252" s="15"/>
      <c r="GE252" s="15"/>
      <c r="GF252" s="15"/>
      <c r="GG252" s="15"/>
      <c r="GH252" s="15"/>
      <c r="GI252" s="15"/>
      <c r="GJ252" s="15"/>
      <c r="GK252" s="15"/>
      <c r="GL252" s="15"/>
      <c r="GM252" s="15"/>
      <c r="GN252" s="15"/>
      <c r="GO252" s="15"/>
      <c r="GP252" s="15"/>
      <c r="GQ252" s="15"/>
      <c r="GR252" s="15"/>
      <c r="GS252" s="15"/>
      <c r="GT252" s="15"/>
      <c r="GU252" s="15"/>
      <c r="GV252" s="15"/>
      <c r="GW252" s="15"/>
      <c r="GX252" s="15"/>
      <c r="GY252" s="15"/>
      <c r="GZ252" s="15"/>
      <c r="HA252" s="15"/>
      <c r="HB252" s="15"/>
      <c r="HC252" s="15"/>
      <c r="HD252" s="15"/>
      <c r="HE252" s="15"/>
      <c r="HF252" s="15"/>
      <c r="HG252" s="15"/>
      <c r="HH252" s="15"/>
      <c r="HI252" s="15"/>
      <c r="HJ252" s="15"/>
      <c r="HK252" s="15"/>
      <c r="HL252" s="15"/>
      <c r="HM252" s="15"/>
      <c r="HN252" s="15"/>
      <c r="HO252" s="15"/>
      <c r="HP252" s="15"/>
      <c r="HQ252" s="15"/>
      <c r="HR252" s="15"/>
      <c r="HS252" s="15"/>
      <c r="HT252" s="15"/>
      <c r="HU252" s="15"/>
      <c r="HV252" s="15"/>
      <c r="HW252" s="15"/>
      <c r="HX252" s="15"/>
      <c r="HY252" s="15"/>
      <c r="HZ252" s="15"/>
      <c r="IA252" s="15"/>
      <c r="IB252" s="15"/>
      <c r="IC252" s="15"/>
      <c r="ID252" s="15"/>
      <c r="IE252" s="15"/>
      <c r="IF252" s="15"/>
      <c r="IG252" s="15"/>
      <c r="IH252" s="15"/>
      <c r="II252" s="15"/>
      <c r="IJ252" s="15"/>
      <c r="IK252" s="15"/>
      <c r="IL252" s="15"/>
      <c r="IM252" s="15"/>
      <c r="IN252" s="15"/>
      <c r="IO252" s="15"/>
      <c r="IP252" s="15"/>
      <c r="IQ252" s="15"/>
      <c r="IR252" s="15"/>
      <c r="IS252" s="15"/>
      <c r="IT252" s="15"/>
      <c r="IU252" s="15"/>
      <c r="IV252" s="15"/>
      <c r="IW252" s="15"/>
      <c r="IX252" s="15"/>
      <c r="IY252" s="15"/>
      <c r="IZ252" s="15"/>
      <c r="JA252" s="15"/>
      <c r="JB252" s="15"/>
      <c r="JC252" s="15"/>
      <c r="JD252" s="15"/>
      <c r="JE252" s="15"/>
      <c r="JF252" s="15"/>
      <c r="JG252" s="15"/>
      <c r="JH252" s="15"/>
      <c r="JI252" s="15"/>
      <c r="JJ252" s="15"/>
      <c r="JK252" s="15"/>
      <c r="JL252" s="15"/>
      <c r="JM252" s="15"/>
      <c r="JN252" s="15"/>
      <c r="JO252" s="15"/>
      <c r="JP252" s="15"/>
      <c r="JQ252" s="15"/>
      <c r="JR252" s="15"/>
      <c r="JS252" s="15"/>
      <c r="JT252" s="15"/>
      <c r="JU252" s="15"/>
      <c r="JV252" s="15"/>
      <c r="JW252" s="15"/>
      <c r="JX252" s="15"/>
      <c r="JY252" s="15"/>
      <c r="JZ252" s="15"/>
      <c r="KA252" s="15"/>
      <c r="KB252" s="15"/>
      <c r="KC252" s="15"/>
      <c r="KD252" s="15"/>
      <c r="KE252" s="15"/>
      <c r="KF252" s="15"/>
      <c r="KG252" s="15"/>
      <c r="KH252" s="15"/>
      <c r="KI252" s="15"/>
      <c r="KJ252" s="15"/>
      <c r="KK252" s="15"/>
      <c r="KL252" s="15"/>
      <c r="KM252" s="15"/>
      <c r="KN252" s="15"/>
      <c r="KO252" s="15"/>
      <c r="KP252" s="15"/>
      <c r="KQ252" s="15"/>
      <c r="KR252" s="15"/>
      <c r="KS252" s="15"/>
      <c r="KT252" s="15"/>
      <c r="KU252" s="15"/>
      <c r="KV252" s="15"/>
      <c r="KW252" s="15"/>
      <c r="KX252" s="15"/>
      <c r="KY252" s="15"/>
      <c r="KZ252" s="15"/>
      <c r="LA252" s="15"/>
      <c r="LB252" s="15"/>
      <c r="LC252" s="15"/>
      <c r="LD252" s="15"/>
      <c r="LE252" s="15"/>
      <c r="LF252" s="15"/>
      <c r="LG252" s="15"/>
      <c r="LH252" s="15"/>
      <c r="LI252" s="15"/>
      <c r="LJ252" s="15"/>
      <c r="LK252" s="15"/>
      <c r="LL252" s="15"/>
      <c r="LM252" s="15"/>
      <c r="LN252" s="15"/>
      <c r="LO252" s="15"/>
      <c r="LP252" s="15"/>
      <c r="LQ252" s="15"/>
      <c r="LR252" s="15"/>
      <c r="LS252" s="15"/>
      <c r="LT252" s="15"/>
      <c r="LU252" s="15"/>
      <c r="LV252" s="15"/>
      <c r="LW252" s="15"/>
      <c r="LX252" s="15"/>
      <c r="LY252" s="15"/>
      <c r="LZ252" s="15"/>
      <c r="MA252" s="15"/>
      <c r="MB252" s="15"/>
      <c r="MC252" s="15"/>
      <c r="MD252" s="15"/>
      <c r="ME252" s="15"/>
      <c r="MF252" s="15"/>
      <c r="MG252" s="15"/>
      <c r="MH252" s="15"/>
      <c r="MI252" s="15"/>
      <c r="MJ252" s="15"/>
      <c r="MK252" s="15"/>
      <c r="ML252" s="15"/>
      <c r="MM252" s="15"/>
      <c r="MN252" s="15"/>
      <c r="MO252" s="15"/>
      <c r="MP252" s="15"/>
      <c r="MQ252" s="15"/>
      <c r="MR252" s="15"/>
      <c r="MS252" s="15"/>
      <c r="MT252" s="15"/>
      <c r="MU252" s="15"/>
      <c r="MV252" s="15"/>
      <c r="MW252" s="15"/>
    </row>
    <row r="253" ht="119.25" customHeight="1">
      <c r="A253" s="16" t="s">
        <v>252</v>
      </c>
      <c r="B253" s="14" t="s">
        <v>10274</v>
      </c>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c r="DF253" s="15"/>
      <c r="DG253" s="15"/>
      <c r="DH253" s="15"/>
      <c r="DI253" s="15"/>
      <c r="DJ253" s="15"/>
      <c r="DK253" s="15"/>
      <c r="DL253" s="15"/>
      <c r="DM253" s="15"/>
      <c r="DN253" s="15"/>
      <c r="DO253" s="15"/>
      <c r="DP253" s="15"/>
      <c r="DQ253" s="15"/>
      <c r="DR253" s="15"/>
      <c r="DS253" s="15"/>
      <c r="DT253" s="15"/>
      <c r="DU253" s="15"/>
      <c r="DV253" s="15"/>
      <c r="DW253" s="15"/>
      <c r="DX253" s="15"/>
      <c r="DY253" s="15"/>
      <c r="DZ253" s="15"/>
      <c r="EA253" s="15"/>
      <c r="EB253" s="15"/>
      <c r="EC253" s="15"/>
      <c r="ED253" s="15"/>
      <c r="EE253" s="15"/>
      <c r="EF253" s="15"/>
      <c r="EG253" s="15"/>
      <c r="EH253" s="15"/>
      <c r="EI253" s="15"/>
      <c r="EJ253" s="15"/>
      <c r="EK253" s="15"/>
      <c r="EL253" s="15"/>
      <c r="EM253" s="15"/>
      <c r="EN253" s="15"/>
      <c r="EO253" s="15"/>
      <c r="EP253" s="15"/>
      <c r="EQ253" s="15"/>
      <c r="ER253" s="15"/>
      <c r="ES253" s="15"/>
      <c r="ET253" s="15"/>
      <c r="EU253" s="15"/>
      <c r="EV253" s="15"/>
      <c r="EW253" s="15"/>
      <c r="EX253" s="15"/>
      <c r="EY253" s="15"/>
      <c r="EZ253" s="15"/>
      <c r="FA253" s="15"/>
      <c r="FB253" s="15"/>
      <c r="FC253" s="15"/>
      <c r="FD253" s="15"/>
      <c r="FE253" s="15"/>
      <c r="FF253" s="15"/>
      <c r="FG253" s="15"/>
      <c r="FH253" s="15"/>
      <c r="FI253" s="15"/>
      <c r="FJ253" s="15"/>
      <c r="FK253" s="15"/>
      <c r="FL253" s="15"/>
      <c r="FM253" s="15"/>
      <c r="FN253" s="15"/>
      <c r="FO253" s="15"/>
      <c r="FP253" s="15"/>
      <c r="FQ253" s="15"/>
      <c r="FR253" s="15"/>
      <c r="FS253" s="15"/>
      <c r="FT253" s="15"/>
      <c r="FU253" s="15"/>
      <c r="FV253" s="15"/>
      <c r="FW253" s="15"/>
      <c r="FX253" s="15"/>
      <c r="FY253" s="15"/>
      <c r="FZ253" s="15"/>
      <c r="GA253" s="15"/>
      <c r="GB253" s="15"/>
      <c r="GC253" s="15"/>
      <c r="GD253" s="15"/>
      <c r="GE253" s="15"/>
      <c r="GF253" s="15"/>
      <c r="GG253" s="15"/>
      <c r="GH253" s="15"/>
      <c r="GI253" s="15"/>
      <c r="GJ253" s="15"/>
      <c r="GK253" s="15"/>
      <c r="GL253" s="15"/>
      <c r="GM253" s="15"/>
      <c r="GN253" s="15"/>
      <c r="GO253" s="15"/>
      <c r="GP253" s="15"/>
      <c r="GQ253" s="15"/>
      <c r="GR253" s="15"/>
      <c r="GS253" s="15"/>
      <c r="GT253" s="15"/>
      <c r="GU253" s="15"/>
      <c r="GV253" s="15"/>
      <c r="GW253" s="15"/>
      <c r="GX253" s="15"/>
      <c r="GY253" s="15"/>
      <c r="GZ253" s="15"/>
      <c r="HA253" s="15"/>
      <c r="HB253" s="15"/>
      <c r="HC253" s="15"/>
      <c r="HD253" s="15"/>
      <c r="HE253" s="15"/>
      <c r="HF253" s="15"/>
      <c r="HG253" s="15"/>
      <c r="HH253" s="15"/>
      <c r="HI253" s="15"/>
      <c r="HJ253" s="15"/>
      <c r="HK253" s="15"/>
      <c r="HL253" s="15"/>
      <c r="HM253" s="15"/>
      <c r="HN253" s="15"/>
      <c r="HO253" s="15"/>
      <c r="HP253" s="15"/>
      <c r="HQ253" s="15"/>
      <c r="HR253" s="15"/>
      <c r="HS253" s="15"/>
      <c r="HT253" s="15"/>
      <c r="HU253" s="15"/>
      <c r="HV253" s="15"/>
      <c r="HW253" s="15"/>
      <c r="HX253" s="15"/>
      <c r="HY253" s="15"/>
      <c r="HZ253" s="15"/>
      <c r="IA253" s="15"/>
      <c r="IB253" s="15"/>
      <c r="IC253" s="15"/>
      <c r="ID253" s="15"/>
      <c r="IE253" s="15"/>
      <c r="IF253" s="15"/>
      <c r="IG253" s="15"/>
      <c r="IH253" s="15"/>
      <c r="II253" s="15"/>
      <c r="IJ253" s="15"/>
      <c r="IK253" s="15"/>
      <c r="IL253" s="15"/>
      <c r="IM253" s="15"/>
      <c r="IN253" s="15"/>
      <c r="IO253" s="15"/>
      <c r="IP253" s="15"/>
      <c r="IQ253" s="15"/>
      <c r="IR253" s="15"/>
      <c r="IS253" s="15"/>
      <c r="IT253" s="15"/>
      <c r="IU253" s="15"/>
      <c r="IV253" s="15"/>
      <c r="IW253" s="15"/>
      <c r="IX253" s="15"/>
      <c r="IY253" s="15"/>
      <c r="IZ253" s="15"/>
      <c r="JA253" s="15"/>
      <c r="JB253" s="15"/>
      <c r="JC253" s="15"/>
      <c r="JD253" s="15"/>
      <c r="JE253" s="15"/>
      <c r="JF253" s="15"/>
      <c r="JG253" s="15"/>
      <c r="JH253" s="15"/>
      <c r="JI253" s="15"/>
      <c r="JJ253" s="15"/>
      <c r="JK253" s="15"/>
      <c r="JL253" s="15"/>
      <c r="JM253" s="15"/>
      <c r="JN253" s="15"/>
      <c r="JO253" s="15"/>
      <c r="JP253" s="15"/>
      <c r="JQ253" s="15"/>
      <c r="JR253" s="15"/>
      <c r="JS253" s="15"/>
      <c r="JT253" s="15"/>
      <c r="JU253" s="15"/>
      <c r="JV253" s="15"/>
      <c r="JW253" s="15"/>
      <c r="JX253" s="15"/>
      <c r="JY253" s="15"/>
      <c r="JZ253" s="15"/>
      <c r="KA253" s="15"/>
      <c r="KB253" s="15"/>
      <c r="KC253" s="15"/>
      <c r="KD253" s="15"/>
      <c r="KE253" s="15"/>
      <c r="KF253" s="15"/>
      <c r="KG253" s="15"/>
      <c r="KH253" s="15"/>
      <c r="KI253" s="15"/>
      <c r="KJ253" s="15"/>
      <c r="KK253" s="15"/>
      <c r="KL253" s="15"/>
      <c r="KM253" s="15"/>
      <c r="KN253" s="15"/>
      <c r="KO253" s="15"/>
      <c r="KP253" s="15"/>
      <c r="KQ253" s="15"/>
      <c r="KR253" s="15"/>
      <c r="KS253" s="15"/>
      <c r="KT253" s="15"/>
      <c r="KU253" s="15"/>
      <c r="KV253" s="15"/>
      <c r="KW253" s="15"/>
      <c r="KX253" s="15"/>
      <c r="KY253" s="15"/>
      <c r="KZ253" s="15"/>
      <c r="LA253" s="15"/>
      <c r="LB253" s="15"/>
      <c r="LC253" s="15"/>
      <c r="LD253" s="15"/>
      <c r="LE253" s="15"/>
      <c r="LF253" s="15"/>
      <c r="LG253" s="15"/>
      <c r="LH253" s="15"/>
      <c r="LI253" s="15"/>
      <c r="LJ253" s="15"/>
      <c r="LK253" s="15"/>
      <c r="LL253" s="15"/>
      <c r="LM253" s="15"/>
      <c r="LN253" s="15"/>
      <c r="LO253" s="15"/>
      <c r="LP253" s="15"/>
      <c r="LQ253" s="15"/>
      <c r="LR253" s="15"/>
      <c r="LS253" s="15"/>
      <c r="LT253" s="15"/>
      <c r="LU253" s="15"/>
      <c r="LV253" s="15"/>
      <c r="LW253" s="15"/>
      <c r="LX253" s="15"/>
      <c r="LY253" s="15"/>
      <c r="LZ253" s="15"/>
      <c r="MA253" s="15"/>
      <c r="MB253" s="15"/>
      <c r="MC253" s="15"/>
      <c r="MD253" s="15"/>
      <c r="ME253" s="15"/>
      <c r="MF253" s="15"/>
      <c r="MG253" s="15"/>
      <c r="MH253" s="15"/>
      <c r="MI253" s="15"/>
      <c r="MJ253" s="15"/>
      <c r="MK253" s="15"/>
      <c r="ML253" s="15"/>
      <c r="MM253" s="15"/>
      <c r="MN253" s="15"/>
      <c r="MO253" s="15"/>
      <c r="MP253" s="15"/>
      <c r="MQ253" s="15"/>
      <c r="MR253" s="15"/>
      <c r="MS253" s="15"/>
      <c r="MT253" s="15"/>
      <c r="MU253" s="15"/>
      <c r="MV253" s="15"/>
      <c r="MW253" s="15"/>
    </row>
    <row r="254" ht="41.25" customHeight="1">
      <c r="A254" s="16" t="s">
        <v>253</v>
      </c>
      <c r="B254" s="14" t="s">
        <v>10275</v>
      </c>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c r="DF254" s="15"/>
      <c r="DG254" s="15"/>
      <c r="DH254" s="15"/>
      <c r="DI254" s="15"/>
      <c r="DJ254" s="15"/>
      <c r="DK254" s="15"/>
      <c r="DL254" s="15"/>
      <c r="DM254" s="15"/>
      <c r="DN254" s="15"/>
      <c r="DO254" s="15"/>
      <c r="DP254" s="15"/>
      <c r="DQ254" s="15"/>
      <c r="DR254" s="15"/>
      <c r="DS254" s="15"/>
      <c r="DT254" s="15"/>
      <c r="DU254" s="15"/>
      <c r="DV254" s="15"/>
      <c r="DW254" s="15"/>
      <c r="DX254" s="15"/>
      <c r="DY254" s="15"/>
      <c r="DZ254" s="15"/>
      <c r="EA254" s="15"/>
      <c r="EB254" s="15"/>
      <c r="EC254" s="15"/>
      <c r="ED254" s="15"/>
      <c r="EE254" s="15"/>
      <c r="EF254" s="15"/>
      <c r="EG254" s="15"/>
      <c r="EH254" s="15"/>
      <c r="EI254" s="15"/>
      <c r="EJ254" s="15"/>
      <c r="EK254" s="15"/>
      <c r="EL254" s="15"/>
      <c r="EM254" s="15"/>
      <c r="EN254" s="15"/>
      <c r="EO254" s="15"/>
      <c r="EP254" s="15"/>
      <c r="EQ254" s="15"/>
      <c r="ER254" s="15"/>
      <c r="ES254" s="15"/>
      <c r="ET254" s="15"/>
      <c r="EU254" s="15"/>
      <c r="EV254" s="15"/>
      <c r="EW254" s="15"/>
      <c r="EX254" s="15"/>
      <c r="EY254" s="15"/>
      <c r="EZ254" s="15"/>
      <c r="FA254" s="15"/>
      <c r="FB254" s="15"/>
      <c r="FC254" s="15"/>
      <c r="FD254" s="15"/>
      <c r="FE254" s="15"/>
      <c r="FF254" s="15"/>
      <c r="FG254" s="15"/>
      <c r="FH254" s="15"/>
      <c r="FI254" s="15"/>
      <c r="FJ254" s="15"/>
      <c r="FK254" s="15"/>
      <c r="FL254" s="15"/>
      <c r="FM254" s="15"/>
      <c r="FN254" s="15"/>
      <c r="FO254" s="15"/>
      <c r="FP254" s="15"/>
      <c r="FQ254" s="15"/>
      <c r="FR254" s="15"/>
      <c r="FS254" s="15"/>
      <c r="FT254" s="15"/>
      <c r="FU254" s="15"/>
      <c r="FV254" s="15"/>
      <c r="FW254" s="15"/>
      <c r="FX254" s="15"/>
      <c r="FY254" s="15"/>
      <c r="FZ254" s="15"/>
      <c r="GA254" s="15"/>
      <c r="GB254" s="15"/>
      <c r="GC254" s="15"/>
      <c r="GD254" s="15"/>
      <c r="GE254" s="15"/>
      <c r="GF254" s="15"/>
      <c r="GG254" s="15"/>
      <c r="GH254" s="15"/>
      <c r="GI254" s="15"/>
      <c r="GJ254" s="15"/>
      <c r="GK254" s="15"/>
      <c r="GL254" s="15"/>
      <c r="GM254" s="15"/>
      <c r="GN254" s="15"/>
      <c r="GO254" s="15"/>
      <c r="GP254" s="15"/>
      <c r="GQ254" s="15"/>
      <c r="GR254" s="15"/>
      <c r="GS254" s="15"/>
      <c r="GT254" s="15"/>
      <c r="GU254" s="15"/>
      <c r="GV254" s="15"/>
      <c r="GW254" s="15"/>
      <c r="GX254" s="15"/>
      <c r="GY254" s="15"/>
      <c r="GZ254" s="15"/>
      <c r="HA254" s="15"/>
      <c r="HB254" s="15"/>
      <c r="HC254" s="15"/>
      <c r="HD254" s="15"/>
      <c r="HE254" s="15"/>
      <c r="HF254" s="15"/>
      <c r="HG254" s="15"/>
      <c r="HH254" s="15"/>
      <c r="HI254" s="15"/>
      <c r="HJ254" s="15"/>
      <c r="HK254" s="15"/>
      <c r="HL254" s="15"/>
      <c r="HM254" s="15"/>
      <c r="HN254" s="15"/>
      <c r="HO254" s="15"/>
      <c r="HP254" s="15"/>
      <c r="HQ254" s="15"/>
      <c r="HR254" s="15"/>
      <c r="HS254" s="15"/>
      <c r="HT254" s="15"/>
      <c r="HU254" s="15"/>
      <c r="HV254" s="15"/>
      <c r="HW254" s="15"/>
      <c r="HX254" s="15"/>
      <c r="HY254" s="15"/>
      <c r="HZ254" s="15"/>
      <c r="IA254" s="15"/>
      <c r="IB254" s="15"/>
      <c r="IC254" s="15"/>
      <c r="ID254" s="15"/>
      <c r="IE254" s="15"/>
      <c r="IF254" s="15"/>
      <c r="IG254" s="15"/>
      <c r="IH254" s="15"/>
      <c r="II254" s="15"/>
      <c r="IJ254" s="15"/>
      <c r="IK254" s="15"/>
      <c r="IL254" s="15"/>
      <c r="IM254" s="15"/>
      <c r="IN254" s="15"/>
      <c r="IO254" s="15"/>
      <c r="IP254" s="15"/>
      <c r="IQ254" s="15"/>
      <c r="IR254" s="15"/>
      <c r="IS254" s="15"/>
      <c r="IT254" s="15"/>
      <c r="IU254" s="15"/>
      <c r="IV254" s="15"/>
      <c r="IW254" s="15"/>
      <c r="IX254" s="15"/>
      <c r="IY254" s="15"/>
      <c r="IZ254" s="15"/>
      <c r="JA254" s="15"/>
      <c r="JB254" s="15"/>
      <c r="JC254" s="15"/>
      <c r="JD254" s="15"/>
      <c r="JE254" s="15"/>
      <c r="JF254" s="15"/>
      <c r="JG254" s="15"/>
      <c r="JH254" s="15"/>
      <c r="JI254" s="15"/>
      <c r="JJ254" s="15"/>
      <c r="JK254" s="15"/>
      <c r="JL254" s="15"/>
      <c r="JM254" s="15"/>
      <c r="JN254" s="15"/>
      <c r="JO254" s="15"/>
      <c r="JP254" s="15"/>
      <c r="JQ254" s="15"/>
      <c r="JR254" s="15"/>
      <c r="JS254" s="15"/>
      <c r="JT254" s="15"/>
      <c r="JU254" s="15"/>
      <c r="JV254" s="15"/>
      <c r="JW254" s="15"/>
      <c r="JX254" s="15"/>
      <c r="JY254" s="15"/>
      <c r="JZ254" s="15"/>
      <c r="KA254" s="15"/>
      <c r="KB254" s="15"/>
      <c r="KC254" s="15"/>
      <c r="KD254" s="15"/>
      <c r="KE254" s="15"/>
      <c r="KF254" s="15"/>
      <c r="KG254" s="15"/>
      <c r="KH254" s="15"/>
      <c r="KI254" s="15"/>
      <c r="KJ254" s="15"/>
      <c r="KK254" s="15"/>
      <c r="KL254" s="15"/>
      <c r="KM254" s="15"/>
      <c r="KN254" s="15"/>
      <c r="KO254" s="15"/>
      <c r="KP254" s="15"/>
      <c r="KQ254" s="15"/>
      <c r="KR254" s="15"/>
      <c r="KS254" s="15"/>
      <c r="KT254" s="15"/>
      <c r="KU254" s="15"/>
      <c r="KV254" s="15"/>
      <c r="KW254" s="15"/>
      <c r="KX254" s="15"/>
      <c r="KY254" s="15"/>
      <c r="KZ254" s="15"/>
      <c r="LA254" s="15"/>
      <c r="LB254" s="15"/>
      <c r="LC254" s="15"/>
      <c r="LD254" s="15"/>
      <c r="LE254" s="15"/>
      <c r="LF254" s="15"/>
      <c r="LG254" s="15"/>
      <c r="LH254" s="15"/>
      <c r="LI254" s="15"/>
      <c r="LJ254" s="15"/>
      <c r="LK254" s="15"/>
      <c r="LL254" s="15"/>
      <c r="LM254" s="15"/>
      <c r="LN254" s="15"/>
      <c r="LO254" s="15"/>
      <c r="LP254" s="15"/>
      <c r="LQ254" s="15"/>
      <c r="LR254" s="15"/>
      <c r="LS254" s="15"/>
      <c r="LT254" s="15"/>
      <c r="LU254" s="15"/>
      <c r="LV254" s="15"/>
      <c r="LW254" s="15"/>
      <c r="LX254" s="15"/>
      <c r="LY254" s="15"/>
      <c r="LZ254" s="15"/>
      <c r="MA254" s="15"/>
      <c r="MB254" s="15"/>
      <c r="MC254" s="15"/>
      <c r="MD254" s="15"/>
      <c r="ME254" s="15"/>
      <c r="MF254" s="15"/>
      <c r="MG254" s="15"/>
      <c r="MH254" s="15"/>
      <c r="MI254" s="15"/>
      <c r="MJ254" s="15"/>
      <c r="MK254" s="15"/>
      <c r="ML254" s="15"/>
      <c r="MM254" s="15"/>
      <c r="MN254" s="15"/>
      <c r="MO254" s="15"/>
      <c r="MP254" s="15"/>
      <c r="MQ254" s="15"/>
      <c r="MR254" s="15"/>
      <c r="MS254" s="15"/>
      <c r="MT254" s="15"/>
      <c r="MU254" s="15"/>
      <c r="MV254" s="15"/>
      <c r="MW254" s="15"/>
    </row>
    <row r="255" ht="41.25" customHeight="1">
      <c r="A255" s="16" t="s">
        <v>254</v>
      </c>
      <c r="B255" s="14" t="s">
        <v>10276</v>
      </c>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c r="DF255" s="15"/>
      <c r="DG255" s="15"/>
      <c r="DH255" s="15"/>
      <c r="DI255" s="15"/>
      <c r="DJ255" s="15"/>
      <c r="DK255" s="15"/>
      <c r="DL255" s="15"/>
      <c r="DM255" s="15"/>
      <c r="DN255" s="15"/>
      <c r="DO255" s="15"/>
      <c r="DP255" s="15"/>
      <c r="DQ255" s="15"/>
      <c r="DR255" s="15"/>
      <c r="DS255" s="15"/>
      <c r="DT255" s="15"/>
      <c r="DU255" s="15"/>
      <c r="DV255" s="15"/>
      <c r="DW255" s="15"/>
      <c r="DX255" s="15"/>
      <c r="DY255" s="15"/>
      <c r="DZ255" s="15"/>
      <c r="EA255" s="15"/>
      <c r="EB255" s="15"/>
      <c r="EC255" s="15"/>
      <c r="ED255" s="15"/>
      <c r="EE255" s="15"/>
      <c r="EF255" s="15"/>
      <c r="EG255" s="15"/>
      <c r="EH255" s="15"/>
      <c r="EI255" s="15"/>
      <c r="EJ255" s="15"/>
      <c r="EK255" s="15"/>
      <c r="EL255" s="15"/>
      <c r="EM255" s="15"/>
      <c r="EN255" s="15"/>
      <c r="EO255" s="15"/>
      <c r="EP255" s="15"/>
      <c r="EQ255" s="15"/>
      <c r="ER255" s="15"/>
      <c r="ES255" s="15"/>
      <c r="ET255" s="15"/>
      <c r="EU255" s="15"/>
      <c r="EV255" s="15"/>
      <c r="EW255" s="15"/>
      <c r="EX255" s="15"/>
      <c r="EY255" s="15"/>
      <c r="EZ255" s="15"/>
      <c r="FA255" s="15"/>
      <c r="FB255" s="15"/>
      <c r="FC255" s="15"/>
      <c r="FD255" s="15"/>
      <c r="FE255" s="15"/>
      <c r="FF255" s="15"/>
      <c r="FG255" s="15"/>
      <c r="FH255" s="15"/>
      <c r="FI255" s="15"/>
      <c r="FJ255" s="15"/>
      <c r="FK255" s="15"/>
      <c r="FL255" s="15"/>
      <c r="FM255" s="15"/>
      <c r="FN255" s="15"/>
      <c r="FO255" s="15"/>
      <c r="FP255" s="15"/>
      <c r="FQ255" s="15"/>
      <c r="FR255" s="15"/>
      <c r="FS255" s="15"/>
      <c r="FT255" s="15"/>
      <c r="FU255" s="15"/>
      <c r="FV255" s="15"/>
      <c r="FW255" s="15"/>
      <c r="FX255" s="15"/>
      <c r="FY255" s="15"/>
      <c r="FZ255" s="15"/>
      <c r="GA255" s="15"/>
      <c r="GB255" s="15"/>
      <c r="GC255" s="15"/>
      <c r="GD255" s="15"/>
      <c r="GE255" s="15"/>
      <c r="GF255" s="15"/>
      <c r="GG255" s="15"/>
      <c r="GH255" s="15"/>
      <c r="GI255" s="15"/>
      <c r="GJ255" s="15"/>
      <c r="GK255" s="15"/>
      <c r="GL255" s="15"/>
      <c r="GM255" s="15"/>
      <c r="GN255" s="15"/>
      <c r="GO255" s="15"/>
      <c r="GP255" s="15"/>
      <c r="GQ255" s="15"/>
      <c r="GR255" s="15"/>
      <c r="GS255" s="15"/>
      <c r="GT255" s="15"/>
      <c r="GU255" s="15"/>
      <c r="GV255" s="15"/>
      <c r="GW255" s="15"/>
      <c r="GX255" s="15"/>
      <c r="GY255" s="15"/>
      <c r="GZ255" s="15"/>
      <c r="HA255" s="15"/>
      <c r="HB255" s="15"/>
      <c r="HC255" s="15"/>
      <c r="HD255" s="15"/>
      <c r="HE255" s="15"/>
      <c r="HF255" s="15"/>
      <c r="HG255" s="15"/>
      <c r="HH255" s="15"/>
      <c r="HI255" s="15"/>
      <c r="HJ255" s="15"/>
      <c r="HK255" s="15"/>
      <c r="HL255" s="15"/>
      <c r="HM255" s="15"/>
      <c r="HN255" s="15"/>
      <c r="HO255" s="15"/>
      <c r="HP255" s="15"/>
      <c r="HQ255" s="15"/>
      <c r="HR255" s="15"/>
      <c r="HS255" s="15"/>
      <c r="HT255" s="15"/>
      <c r="HU255" s="15"/>
      <c r="HV255" s="15"/>
      <c r="HW255" s="15"/>
      <c r="HX255" s="15"/>
      <c r="HY255" s="15"/>
      <c r="HZ255" s="15"/>
      <c r="IA255" s="15"/>
      <c r="IB255" s="15"/>
      <c r="IC255" s="15"/>
      <c r="ID255" s="15"/>
      <c r="IE255" s="15"/>
      <c r="IF255" s="15"/>
      <c r="IG255" s="15"/>
      <c r="IH255" s="15"/>
      <c r="II255" s="15"/>
      <c r="IJ255" s="15"/>
      <c r="IK255" s="15"/>
      <c r="IL255" s="15"/>
      <c r="IM255" s="15"/>
      <c r="IN255" s="15"/>
      <c r="IO255" s="15"/>
      <c r="IP255" s="15"/>
      <c r="IQ255" s="15"/>
      <c r="IR255" s="15"/>
      <c r="IS255" s="15"/>
      <c r="IT255" s="15"/>
      <c r="IU255" s="15"/>
      <c r="IV255" s="15"/>
      <c r="IW255" s="15"/>
      <c r="IX255" s="15"/>
      <c r="IY255" s="15"/>
      <c r="IZ255" s="15"/>
      <c r="JA255" s="15"/>
      <c r="JB255" s="15"/>
      <c r="JC255" s="15"/>
      <c r="JD255" s="15"/>
      <c r="JE255" s="15"/>
      <c r="JF255" s="15"/>
      <c r="JG255" s="15"/>
      <c r="JH255" s="15"/>
      <c r="JI255" s="15"/>
      <c r="JJ255" s="15"/>
      <c r="JK255" s="15"/>
      <c r="JL255" s="15"/>
      <c r="JM255" s="15"/>
      <c r="JN255" s="15"/>
      <c r="JO255" s="15"/>
      <c r="JP255" s="15"/>
      <c r="JQ255" s="15"/>
      <c r="JR255" s="15"/>
      <c r="JS255" s="15"/>
      <c r="JT255" s="15"/>
      <c r="JU255" s="15"/>
      <c r="JV255" s="15"/>
      <c r="JW255" s="15"/>
      <c r="JX255" s="15"/>
      <c r="JY255" s="15"/>
      <c r="JZ255" s="15"/>
      <c r="KA255" s="15"/>
      <c r="KB255" s="15"/>
      <c r="KC255" s="15"/>
      <c r="KD255" s="15"/>
      <c r="KE255" s="15"/>
      <c r="KF255" s="15"/>
      <c r="KG255" s="15"/>
      <c r="KH255" s="15"/>
      <c r="KI255" s="15"/>
      <c r="KJ255" s="15"/>
      <c r="KK255" s="15"/>
      <c r="KL255" s="15"/>
      <c r="KM255" s="15"/>
      <c r="KN255" s="15"/>
      <c r="KO255" s="15"/>
      <c r="KP255" s="15"/>
      <c r="KQ255" s="15"/>
      <c r="KR255" s="15"/>
      <c r="KS255" s="15"/>
      <c r="KT255" s="15"/>
      <c r="KU255" s="15"/>
      <c r="KV255" s="15"/>
      <c r="KW255" s="15"/>
      <c r="KX255" s="15"/>
      <c r="KY255" s="15"/>
      <c r="KZ255" s="15"/>
      <c r="LA255" s="15"/>
      <c r="LB255" s="15"/>
      <c r="LC255" s="15"/>
      <c r="LD255" s="15"/>
      <c r="LE255" s="15"/>
      <c r="LF255" s="15"/>
      <c r="LG255" s="15"/>
      <c r="LH255" s="15"/>
      <c r="LI255" s="15"/>
      <c r="LJ255" s="15"/>
      <c r="LK255" s="15"/>
      <c r="LL255" s="15"/>
      <c r="LM255" s="15"/>
      <c r="LN255" s="15"/>
      <c r="LO255" s="15"/>
      <c r="LP255" s="15"/>
      <c r="LQ255" s="15"/>
      <c r="LR255" s="15"/>
      <c r="LS255" s="15"/>
      <c r="LT255" s="15"/>
      <c r="LU255" s="15"/>
      <c r="LV255" s="15"/>
      <c r="LW255" s="15"/>
      <c r="LX255" s="15"/>
      <c r="LY255" s="15"/>
      <c r="LZ255" s="15"/>
      <c r="MA255" s="15"/>
      <c r="MB255" s="15"/>
      <c r="MC255" s="15"/>
      <c r="MD255" s="15"/>
      <c r="ME255" s="15"/>
      <c r="MF255" s="15"/>
      <c r="MG255" s="15"/>
      <c r="MH255" s="15"/>
      <c r="MI255" s="15"/>
      <c r="MJ255" s="15"/>
      <c r="MK255" s="15"/>
      <c r="ML255" s="15"/>
      <c r="MM255" s="15"/>
      <c r="MN255" s="15"/>
      <c r="MO255" s="15"/>
      <c r="MP255" s="15"/>
      <c r="MQ255" s="15"/>
      <c r="MR255" s="15"/>
      <c r="MS255" s="15"/>
      <c r="MT255" s="15"/>
      <c r="MU255" s="15"/>
      <c r="MV255" s="15"/>
      <c r="MW255" s="15"/>
    </row>
    <row r="256" ht="119.25" customHeight="1">
      <c r="A256" s="16" t="s">
        <v>10277</v>
      </c>
      <c r="B256" s="14" t="s">
        <v>10150</v>
      </c>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c r="DF256" s="15"/>
      <c r="DG256" s="15"/>
      <c r="DH256" s="15"/>
      <c r="DI256" s="15"/>
      <c r="DJ256" s="15"/>
      <c r="DK256" s="15"/>
      <c r="DL256" s="15"/>
      <c r="DM256" s="15"/>
      <c r="DN256" s="15"/>
      <c r="DO256" s="15"/>
      <c r="DP256" s="15"/>
      <c r="DQ256" s="15"/>
      <c r="DR256" s="15"/>
      <c r="DS256" s="15"/>
      <c r="DT256" s="15"/>
      <c r="DU256" s="15"/>
      <c r="DV256" s="15"/>
      <c r="DW256" s="15"/>
      <c r="DX256" s="15"/>
      <c r="DY256" s="15"/>
      <c r="DZ256" s="15"/>
      <c r="EA256" s="15"/>
      <c r="EB256" s="15"/>
      <c r="EC256" s="15"/>
      <c r="ED256" s="15"/>
      <c r="EE256" s="15"/>
      <c r="EF256" s="15"/>
      <c r="EG256" s="15"/>
      <c r="EH256" s="15"/>
      <c r="EI256" s="15"/>
      <c r="EJ256" s="15"/>
      <c r="EK256" s="15"/>
      <c r="EL256" s="15"/>
      <c r="EM256" s="15"/>
      <c r="EN256" s="15"/>
      <c r="EO256" s="15"/>
      <c r="EP256" s="15"/>
      <c r="EQ256" s="15"/>
      <c r="ER256" s="15"/>
      <c r="ES256" s="15"/>
      <c r="ET256" s="15"/>
      <c r="EU256" s="15"/>
      <c r="EV256" s="15"/>
      <c r="EW256" s="15"/>
      <c r="EX256" s="15"/>
      <c r="EY256" s="15"/>
      <c r="EZ256" s="15"/>
      <c r="FA256" s="15"/>
      <c r="FB256" s="15"/>
      <c r="FC256" s="15"/>
      <c r="FD256" s="15"/>
      <c r="FE256" s="15"/>
      <c r="FF256" s="15"/>
      <c r="FG256" s="15"/>
      <c r="FH256" s="15"/>
      <c r="FI256" s="15"/>
      <c r="FJ256" s="15"/>
      <c r="FK256" s="15"/>
      <c r="FL256" s="15"/>
      <c r="FM256" s="15"/>
      <c r="FN256" s="15"/>
      <c r="FO256" s="15"/>
      <c r="FP256" s="15"/>
      <c r="FQ256" s="15"/>
      <c r="FR256" s="15"/>
      <c r="FS256" s="15"/>
      <c r="FT256" s="15"/>
      <c r="FU256" s="15"/>
      <c r="FV256" s="15"/>
      <c r="FW256" s="15"/>
      <c r="FX256" s="15"/>
      <c r="FY256" s="15"/>
      <c r="FZ256" s="15"/>
      <c r="GA256" s="15"/>
      <c r="GB256" s="15"/>
      <c r="GC256" s="15"/>
      <c r="GD256" s="15"/>
      <c r="GE256" s="15"/>
      <c r="GF256" s="15"/>
      <c r="GG256" s="15"/>
      <c r="GH256" s="15"/>
      <c r="GI256" s="15"/>
      <c r="GJ256" s="15"/>
      <c r="GK256" s="15"/>
      <c r="GL256" s="15"/>
      <c r="GM256" s="15"/>
      <c r="GN256" s="15"/>
      <c r="GO256" s="15"/>
      <c r="GP256" s="15"/>
      <c r="GQ256" s="15"/>
      <c r="GR256" s="15"/>
      <c r="GS256" s="15"/>
      <c r="GT256" s="15"/>
      <c r="GU256" s="15"/>
      <c r="GV256" s="15"/>
      <c r="GW256" s="15"/>
      <c r="GX256" s="15"/>
      <c r="GY256" s="15"/>
      <c r="GZ256" s="15"/>
      <c r="HA256" s="15"/>
      <c r="HB256" s="15"/>
      <c r="HC256" s="15"/>
      <c r="HD256" s="15"/>
      <c r="HE256" s="15"/>
      <c r="HF256" s="15"/>
      <c r="HG256" s="15"/>
      <c r="HH256" s="15"/>
      <c r="HI256" s="15"/>
      <c r="HJ256" s="15"/>
      <c r="HK256" s="15"/>
      <c r="HL256" s="15"/>
      <c r="HM256" s="15"/>
      <c r="HN256" s="15"/>
      <c r="HO256" s="15"/>
      <c r="HP256" s="15"/>
      <c r="HQ256" s="15"/>
      <c r="HR256" s="15"/>
      <c r="HS256" s="15"/>
      <c r="HT256" s="15"/>
      <c r="HU256" s="15"/>
      <c r="HV256" s="15"/>
      <c r="HW256" s="15"/>
      <c r="HX256" s="15"/>
      <c r="HY256" s="15"/>
      <c r="HZ256" s="15"/>
      <c r="IA256" s="15"/>
      <c r="IB256" s="15"/>
      <c r="IC256" s="15"/>
      <c r="ID256" s="15"/>
      <c r="IE256" s="15"/>
      <c r="IF256" s="15"/>
      <c r="IG256" s="15"/>
      <c r="IH256" s="15"/>
      <c r="II256" s="15"/>
      <c r="IJ256" s="15"/>
      <c r="IK256" s="15"/>
      <c r="IL256" s="15"/>
      <c r="IM256" s="15"/>
      <c r="IN256" s="15"/>
      <c r="IO256" s="15"/>
      <c r="IP256" s="15"/>
      <c r="IQ256" s="15"/>
      <c r="IR256" s="15"/>
      <c r="IS256" s="15"/>
      <c r="IT256" s="15"/>
      <c r="IU256" s="15"/>
      <c r="IV256" s="15"/>
      <c r="IW256" s="15"/>
      <c r="IX256" s="15"/>
      <c r="IY256" s="15"/>
      <c r="IZ256" s="15"/>
      <c r="JA256" s="15"/>
      <c r="JB256" s="15"/>
      <c r="JC256" s="15"/>
      <c r="JD256" s="15"/>
      <c r="JE256" s="15"/>
      <c r="JF256" s="15"/>
      <c r="JG256" s="15"/>
      <c r="JH256" s="15"/>
      <c r="JI256" s="15"/>
      <c r="JJ256" s="15"/>
      <c r="JK256" s="15"/>
      <c r="JL256" s="15"/>
      <c r="JM256" s="15"/>
      <c r="JN256" s="15"/>
      <c r="JO256" s="15"/>
      <c r="JP256" s="15"/>
      <c r="JQ256" s="15"/>
      <c r="JR256" s="15"/>
      <c r="JS256" s="15"/>
      <c r="JT256" s="15"/>
      <c r="JU256" s="15"/>
      <c r="JV256" s="15"/>
      <c r="JW256" s="15"/>
      <c r="JX256" s="15"/>
      <c r="JY256" s="15"/>
      <c r="JZ256" s="15"/>
      <c r="KA256" s="15"/>
      <c r="KB256" s="15"/>
      <c r="KC256" s="15"/>
      <c r="KD256" s="15"/>
      <c r="KE256" s="15"/>
      <c r="KF256" s="15"/>
      <c r="KG256" s="15"/>
      <c r="KH256" s="15"/>
      <c r="KI256" s="15"/>
      <c r="KJ256" s="15"/>
      <c r="KK256" s="15"/>
      <c r="KL256" s="15"/>
      <c r="KM256" s="15"/>
      <c r="KN256" s="15"/>
      <c r="KO256" s="15"/>
      <c r="KP256" s="15"/>
      <c r="KQ256" s="15"/>
      <c r="KR256" s="15"/>
      <c r="KS256" s="15"/>
      <c r="KT256" s="15"/>
      <c r="KU256" s="15"/>
      <c r="KV256" s="15"/>
      <c r="KW256" s="15"/>
      <c r="KX256" s="15"/>
      <c r="KY256" s="15"/>
      <c r="KZ256" s="15"/>
      <c r="LA256" s="15"/>
      <c r="LB256" s="15"/>
      <c r="LC256" s="15"/>
      <c r="LD256" s="15"/>
      <c r="LE256" s="15"/>
      <c r="LF256" s="15"/>
      <c r="LG256" s="15"/>
      <c r="LH256" s="15"/>
      <c r="LI256" s="15"/>
      <c r="LJ256" s="15"/>
      <c r="LK256" s="15"/>
      <c r="LL256" s="15"/>
      <c r="LM256" s="15"/>
      <c r="LN256" s="15"/>
      <c r="LO256" s="15"/>
      <c r="LP256" s="15"/>
      <c r="LQ256" s="15"/>
      <c r="LR256" s="15"/>
      <c r="LS256" s="15"/>
      <c r="LT256" s="15"/>
      <c r="LU256" s="15"/>
      <c r="LV256" s="15"/>
      <c r="LW256" s="15"/>
      <c r="LX256" s="15"/>
      <c r="LY256" s="15"/>
      <c r="LZ256" s="15"/>
      <c r="MA256" s="15"/>
      <c r="MB256" s="15"/>
      <c r="MC256" s="15"/>
      <c r="MD256" s="15"/>
      <c r="ME256" s="15"/>
      <c r="MF256" s="15"/>
      <c r="MG256" s="15"/>
      <c r="MH256" s="15"/>
      <c r="MI256" s="15"/>
      <c r="MJ256" s="15"/>
      <c r="MK256" s="15"/>
      <c r="ML256" s="15"/>
      <c r="MM256" s="15"/>
      <c r="MN256" s="15"/>
      <c r="MO256" s="15"/>
      <c r="MP256" s="15"/>
      <c r="MQ256" s="15"/>
      <c r="MR256" s="15"/>
      <c r="MS256" s="15"/>
      <c r="MT256" s="15"/>
      <c r="MU256" s="15"/>
      <c r="MV256" s="15"/>
      <c r="MW256" s="15"/>
    </row>
    <row r="257" ht="41.25" customHeight="1">
      <c r="A257" s="16" t="s">
        <v>256</v>
      </c>
      <c r="B257" s="14" t="s">
        <v>10278</v>
      </c>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5"/>
      <c r="DL257" s="15"/>
      <c r="DM257" s="15"/>
      <c r="DN257" s="15"/>
      <c r="DO257" s="15"/>
      <c r="DP257" s="15"/>
      <c r="DQ257" s="15"/>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5"/>
      <c r="EY257" s="15"/>
      <c r="EZ257" s="15"/>
      <c r="FA257" s="15"/>
      <c r="FB257" s="15"/>
      <c r="FC257" s="15"/>
      <c r="FD257" s="15"/>
      <c r="FE257" s="15"/>
      <c r="FF257" s="15"/>
      <c r="FG257" s="15"/>
      <c r="FH257" s="15"/>
      <c r="FI257" s="15"/>
      <c r="FJ257" s="15"/>
      <c r="FK257" s="15"/>
      <c r="FL257" s="15"/>
      <c r="FM257" s="15"/>
      <c r="FN257" s="15"/>
      <c r="FO257" s="15"/>
      <c r="FP257" s="15"/>
      <c r="FQ257" s="15"/>
      <c r="FR257" s="15"/>
      <c r="FS257" s="15"/>
      <c r="FT257" s="15"/>
      <c r="FU257" s="15"/>
      <c r="FV257" s="15"/>
      <c r="FW257" s="15"/>
      <c r="FX257" s="15"/>
      <c r="FY257" s="15"/>
      <c r="FZ257" s="15"/>
      <c r="GA257" s="15"/>
      <c r="GB257" s="15"/>
      <c r="GC257" s="15"/>
      <c r="GD257" s="15"/>
      <c r="GE257" s="15"/>
      <c r="GF257" s="15"/>
      <c r="GG257" s="15"/>
      <c r="GH257" s="15"/>
      <c r="GI257" s="15"/>
      <c r="GJ257" s="15"/>
      <c r="GK257" s="15"/>
      <c r="GL257" s="15"/>
      <c r="GM257" s="15"/>
      <c r="GN257" s="15"/>
      <c r="GO257" s="15"/>
      <c r="GP257" s="15"/>
      <c r="GQ257" s="15"/>
      <c r="GR257" s="15"/>
      <c r="GS257" s="15"/>
      <c r="GT257" s="15"/>
      <c r="GU257" s="15"/>
      <c r="GV257" s="15"/>
      <c r="GW257" s="15"/>
      <c r="GX257" s="15"/>
      <c r="GY257" s="15"/>
      <c r="GZ257" s="15"/>
      <c r="HA257" s="15"/>
      <c r="HB257" s="15"/>
      <c r="HC257" s="15"/>
      <c r="HD257" s="15"/>
      <c r="HE257" s="15"/>
      <c r="HF257" s="15"/>
      <c r="HG257" s="15"/>
      <c r="HH257" s="15"/>
      <c r="HI257" s="15"/>
      <c r="HJ257" s="15"/>
      <c r="HK257" s="15"/>
      <c r="HL257" s="15"/>
      <c r="HM257" s="15"/>
      <c r="HN257" s="15"/>
      <c r="HO257" s="15"/>
      <c r="HP257" s="15"/>
      <c r="HQ257" s="15"/>
      <c r="HR257" s="15"/>
      <c r="HS257" s="15"/>
      <c r="HT257" s="15"/>
      <c r="HU257" s="15"/>
      <c r="HV257" s="15"/>
      <c r="HW257" s="15"/>
      <c r="HX257" s="15"/>
      <c r="HY257" s="15"/>
      <c r="HZ257" s="15"/>
      <c r="IA257" s="15"/>
      <c r="IB257" s="15"/>
      <c r="IC257" s="15"/>
      <c r="ID257" s="15"/>
      <c r="IE257" s="15"/>
      <c r="IF257" s="15"/>
      <c r="IG257" s="15"/>
      <c r="IH257" s="15"/>
      <c r="II257" s="15"/>
      <c r="IJ257" s="15"/>
      <c r="IK257" s="15"/>
      <c r="IL257" s="15"/>
      <c r="IM257" s="15"/>
      <c r="IN257" s="15"/>
      <c r="IO257" s="15"/>
      <c r="IP257" s="15"/>
      <c r="IQ257" s="15"/>
      <c r="IR257" s="15"/>
      <c r="IS257" s="15"/>
      <c r="IT257" s="15"/>
      <c r="IU257" s="15"/>
      <c r="IV257" s="15"/>
      <c r="IW257" s="15"/>
      <c r="IX257" s="15"/>
      <c r="IY257" s="15"/>
      <c r="IZ257" s="15"/>
      <c r="JA257" s="15"/>
      <c r="JB257" s="15"/>
      <c r="JC257" s="15"/>
      <c r="JD257" s="15"/>
      <c r="JE257" s="15"/>
      <c r="JF257" s="15"/>
      <c r="JG257" s="15"/>
      <c r="JH257" s="15"/>
      <c r="JI257" s="15"/>
      <c r="JJ257" s="15"/>
      <c r="JK257" s="15"/>
      <c r="JL257" s="15"/>
      <c r="JM257" s="15"/>
      <c r="JN257" s="15"/>
      <c r="JO257" s="15"/>
      <c r="JP257" s="15"/>
      <c r="JQ257" s="15"/>
      <c r="JR257" s="15"/>
      <c r="JS257" s="15"/>
      <c r="JT257" s="15"/>
      <c r="JU257" s="15"/>
      <c r="JV257" s="15"/>
      <c r="JW257" s="15"/>
      <c r="JX257" s="15"/>
      <c r="JY257" s="15"/>
      <c r="JZ257" s="15"/>
      <c r="KA257" s="15"/>
      <c r="KB257" s="15"/>
      <c r="KC257" s="15"/>
      <c r="KD257" s="15"/>
      <c r="KE257" s="15"/>
      <c r="KF257" s="15"/>
      <c r="KG257" s="15"/>
      <c r="KH257" s="15"/>
      <c r="KI257" s="15"/>
      <c r="KJ257" s="15"/>
      <c r="KK257" s="15"/>
      <c r="KL257" s="15"/>
      <c r="KM257" s="15"/>
      <c r="KN257" s="15"/>
      <c r="KO257" s="15"/>
      <c r="KP257" s="15"/>
      <c r="KQ257" s="15"/>
      <c r="KR257" s="15"/>
      <c r="KS257" s="15"/>
      <c r="KT257" s="15"/>
      <c r="KU257" s="15"/>
      <c r="KV257" s="15"/>
      <c r="KW257" s="15"/>
      <c r="KX257" s="15"/>
      <c r="KY257" s="15"/>
      <c r="KZ257" s="15"/>
      <c r="LA257" s="15"/>
      <c r="LB257" s="15"/>
      <c r="LC257" s="15"/>
      <c r="LD257" s="15"/>
      <c r="LE257" s="15"/>
      <c r="LF257" s="15"/>
      <c r="LG257" s="15"/>
      <c r="LH257" s="15"/>
      <c r="LI257" s="15"/>
      <c r="LJ257" s="15"/>
      <c r="LK257" s="15"/>
      <c r="LL257" s="15"/>
      <c r="LM257" s="15"/>
      <c r="LN257" s="15"/>
      <c r="LO257" s="15"/>
      <c r="LP257" s="15"/>
      <c r="LQ257" s="15"/>
      <c r="LR257" s="15"/>
      <c r="LS257" s="15"/>
      <c r="LT257" s="15"/>
      <c r="LU257" s="15"/>
      <c r="LV257" s="15"/>
      <c r="LW257" s="15"/>
      <c r="LX257" s="15"/>
      <c r="LY257" s="15"/>
      <c r="LZ257" s="15"/>
      <c r="MA257" s="15"/>
      <c r="MB257" s="15"/>
      <c r="MC257" s="15"/>
      <c r="MD257" s="15"/>
      <c r="ME257" s="15"/>
      <c r="MF257" s="15"/>
      <c r="MG257" s="15"/>
      <c r="MH257" s="15"/>
      <c r="MI257" s="15"/>
      <c r="MJ257" s="15"/>
      <c r="MK257" s="15"/>
      <c r="ML257" s="15"/>
      <c r="MM257" s="15"/>
      <c r="MN257" s="15"/>
      <c r="MO257" s="15"/>
      <c r="MP257" s="15"/>
      <c r="MQ257" s="15"/>
      <c r="MR257" s="15"/>
      <c r="MS257" s="15"/>
      <c r="MT257" s="15"/>
      <c r="MU257" s="15"/>
      <c r="MV257" s="15"/>
      <c r="MW257" s="15"/>
    </row>
    <row r="258" ht="119.25" customHeight="1">
      <c r="A258" s="16" t="s">
        <v>257</v>
      </c>
      <c r="B258" s="14" t="s">
        <v>10279</v>
      </c>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5"/>
      <c r="DL258" s="15"/>
      <c r="DM258" s="15"/>
      <c r="DN258" s="15"/>
      <c r="DO258" s="15"/>
      <c r="DP258" s="15"/>
      <c r="DQ258" s="15"/>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5"/>
      <c r="EY258" s="15"/>
      <c r="EZ258" s="15"/>
      <c r="FA258" s="15"/>
      <c r="FB258" s="15"/>
      <c r="FC258" s="15"/>
      <c r="FD258" s="15"/>
      <c r="FE258" s="15"/>
      <c r="FF258" s="15"/>
      <c r="FG258" s="15"/>
      <c r="FH258" s="15"/>
      <c r="FI258" s="15"/>
      <c r="FJ258" s="15"/>
      <c r="FK258" s="15"/>
      <c r="FL258" s="15"/>
      <c r="FM258" s="15"/>
      <c r="FN258" s="15"/>
      <c r="FO258" s="15"/>
      <c r="FP258" s="15"/>
      <c r="FQ258" s="15"/>
      <c r="FR258" s="15"/>
      <c r="FS258" s="15"/>
      <c r="FT258" s="15"/>
      <c r="FU258" s="15"/>
      <c r="FV258" s="15"/>
      <c r="FW258" s="15"/>
      <c r="FX258" s="15"/>
      <c r="FY258" s="15"/>
      <c r="FZ258" s="15"/>
      <c r="GA258" s="15"/>
      <c r="GB258" s="15"/>
      <c r="GC258" s="15"/>
      <c r="GD258" s="15"/>
      <c r="GE258" s="15"/>
      <c r="GF258" s="15"/>
      <c r="GG258" s="15"/>
      <c r="GH258" s="15"/>
      <c r="GI258" s="15"/>
      <c r="GJ258" s="15"/>
      <c r="GK258" s="15"/>
      <c r="GL258" s="15"/>
      <c r="GM258" s="15"/>
      <c r="GN258" s="15"/>
      <c r="GO258" s="15"/>
      <c r="GP258" s="15"/>
      <c r="GQ258" s="15"/>
      <c r="GR258" s="15"/>
      <c r="GS258" s="15"/>
      <c r="GT258" s="15"/>
      <c r="GU258" s="15"/>
      <c r="GV258" s="15"/>
      <c r="GW258" s="15"/>
      <c r="GX258" s="15"/>
      <c r="GY258" s="15"/>
      <c r="GZ258" s="15"/>
      <c r="HA258" s="15"/>
      <c r="HB258" s="15"/>
      <c r="HC258" s="15"/>
      <c r="HD258" s="15"/>
      <c r="HE258" s="15"/>
      <c r="HF258" s="15"/>
      <c r="HG258" s="15"/>
      <c r="HH258" s="15"/>
      <c r="HI258" s="15"/>
      <c r="HJ258" s="15"/>
      <c r="HK258" s="15"/>
      <c r="HL258" s="15"/>
      <c r="HM258" s="15"/>
      <c r="HN258" s="15"/>
      <c r="HO258" s="15"/>
      <c r="HP258" s="15"/>
      <c r="HQ258" s="15"/>
      <c r="HR258" s="15"/>
      <c r="HS258" s="15"/>
      <c r="HT258" s="15"/>
      <c r="HU258" s="15"/>
      <c r="HV258" s="15"/>
      <c r="HW258" s="15"/>
      <c r="HX258" s="15"/>
      <c r="HY258" s="15"/>
      <c r="HZ258" s="15"/>
      <c r="IA258" s="15"/>
      <c r="IB258" s="15"/>
      <c r="IC258" s="15"/>
      <c r="ID258" s="15"/>
      <c r="IE258" s="15"/>
      <c r="IF258" s="15"/>
      <c r="IG258" s="15"/>
      <c r="IH258" s="15"/>
      <c r="II258" s="15"/>
      <c r="IJ258" s="15"/>
      <c r="IK258" s="15"/>
      <c r="IL258" s="15"/>
      <c r="IM258" s="15"/>
      <c r="IN258" s="15"/>
      <c r="IO258" s="15"/>
      <c r="IP258" s="15"/>
      <c r="IQ258" s="15"/>
      <c r="IR258" s="15"/>
      <c r="IS258" s="15"/>
      <c r="IT258" s="15"/>
      <c r="IU258" s="15"/>
      <c r="IV258" s="15"/>
      <c r="IW258" s="15"/>
      <c r="IX258" s="15"/>
      <c r="IY258" s="15"/>
      <c r="IZ258" s="15"/>
      <c r="JA258" s="15"/>
      <c r="JB258" s="15"/>
      <c r="JC258" s="15"/>
      <c r="JD258" s="15"/>
      <c r="JE258" s="15"/>
      <c r="JF258" s="15"/>
      <c r="JG258" s="15"/>
      <c r="JH258" s="15"/>
      <c r="JI258" s="15"/>
      <c r="JJ258" s="15"/>
      <c r="JK258" s="15"/>
      <c r="JL258" s="15"/>
      <c r="JM258" s="15"/>
      <c r="JN258" s="15"/>
      <c r="JO258" s="15"/>
      <c r="JP258" s="15"/>
      <c r="JQ258" s="15"/>
      <c r="JR258" s="15"/>
      <c r="JS258" s="15"/>
      <c r="JT258" s="15"/>
      <c r="JU258" s="15"/>
      <c r="JV258" s="15"/>
      <c r="JW258" s="15"/>
      <c r="JX258" s="15"/>
      <c r="JY258" s="15"/>
      <c r="JZ258" s="15"/>
      <c r="KA258" s="15"/>
      <c r="KB258" s="15"/>
      <c r="KC258" s="15"/>
      <c r="KD258" s="15"/>
      <c r="KE258" s="15"/>
      <c r="KF258" s="15"/>
      <c r="KG258" s="15"/>
      <c r="KH258" s="15"/>
      <c r="KI258" s="15"/>
      <c r="KJ258" s="15"/>
      <c r="KK258" s="15"/>
      <c r="KL258" s="15"/>
      <c r="KM258" s="15"/>
      <c r="KN258" s="15"/>
      <c r="KO258" s="15"/>
      <c r="KP258" s="15"/>
      <c r="KQ258" s="15"/>
      <c r="KR258" s="15"/>
      <c r="KS258" s="15"/>
      <c r="KT258" s="15"/>
      <c r="KU258" s="15"/>
      <c r="KV258" s="15"/>
      <c r="KW258" s="15"/>
      <c r="KX258" s="15"/>
      <c r="KY258" s="15"/>
      <c r="KZ258" s="15"/>
      <c r="LA258" s="15"/>
      <c r="LB258" s="15"/>
      <c r="LC258" s="15"/>
      <c r="LD258" s="15"/>
      <c r="LE258" s="15"/>
      <c r="LF258" s="15"/>
      <c r="LG258" s="15"/>
      <c r="LH258" s="15"/>
      <c r="LI258" s="15"/>
      <c r="LJ258" s="15"/>
      <c r="LK258" s="15"/>
      <c r="LL258" s="15"/>
      <c r="LM258" s="15"/>
      <c r="LN258" s="15"/>
      <c r="LO258" s="15"/>
      <c r="LP258" s="15"/>
      <c r="LQ258" s="15"/>
      <c r="LR258" s="15"/>
      <c r="LS258" s="15"/>
      <c r="LT258" s="15"/>
      <c r="LU258" s="15"/>
      <c r="LV258" s="15"/>
      <c r="LW258" s="15"/>
      <c r="LX258" s="15"/>
      <c r="LY258" s="15"/>
      <c r="LZ258" s="15"/>
      <c r="MA258" s="15"/>
      <c r="MB258" s="15"/>
      <c r="MC258" s="15"/>
      <c r="MD258" s="15"/>
      <c r="ME258" s="15"/>
      <c r="MF258" s="15"/>
      <c r="MG258" s="15"/>
      <c r="MH258" s="15"/>
      <c r="MI258" s="15"/>
      <c r="MJ258" s="15"/>
      <c r="MK258" s="15"/>
      <c r="ML258" s="15"/>
      <c r="MM258" s="15"/>
      <c r="MN258" s="15"/>
      <c r="MO258" s="15"/>
      <c r="MP258" s="15"/>
      <c r="MQ258" s="15"/>
      <c r="MR258" s="15"/>
      <c r="MS258" s="15"/>
      <c r="MT258" s="15"/>
      <c r="MU258" s="15"/>
      <c r="MV258" s="15"/>
      <c r="MW258" s="15"/>
    </row>
    <row r="259" ht="41.25" customHeight="1">
      <c r="A259" s="16" t="s">
        <v>258</v>
      </c>
      <c r="B259" s="14" t="s">
        <v>10280</v>
      </c>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5"/>
      <c r="DL259" s="15"/>
      <c r="DM259" s="15"/>
      <c r="DN259" s="15"/>
      <c r="DO259" s="15"/>
      <c r="DP259" s="15"/>
      <c r="DQ259" s="15"/>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5"/>
      <c r="EY259" s="15"/>
      <c r="EZ259" s="15"/>
      <c r="FA259" s="15"/>
      <c r="FB259" s="15"/>
      <c r="FC259" s="15"/>
      <c r="FD259" s="15"/>
      <c r="FE259" s="15"/>
      <c r="FF259" s="15"/>
      <c r="FG259" s="15"/>
      <c r="FH259" s="15"/>
      <c r="FI259" s="15"/>
      <c r="FJ259" s="15"/>
      <c r="FK259" s="15"/>
      <c r="FL259" s="15"/>
      <c r="FM259" s="15"/>
      <c r="FN259" s="15"/>
      <c r="FO259" s="15"/>
      <c r="FP259" s="15"/>
      <c r="FQ259" s="15"/>
      <c r="FR259" s="15"/>
      <c r="FS259" s="15"/>
      <c r="FT259" s="15"/>
      <c r="FU259" s="15"/>
      <c r="FV259" s="15"/>
      <c r="FW259" s="15"/>
      <c r="FX259" s="15"/>
      <c r="FY259" s="15"/>
      <c r="FZ259" s="15"/>
      <c r="GA259" s="15"/>
      <c r="GB259" s="15"/>
      <c r="GC259" s="15"/>
      <c r="GD259" s="15"/>
      <c r="GE259" s="15"/>
      <c r="GF259" s="15"/>
      <c r="GG259" s="15"/>
      <c r="GH259" s="15"/>
      <c r="GI259" s="15"/>
      <c r="GJ259" s="15"/>
      <c r="GK259" s="15"/>
      <c r="GL259" s="15"/>
      <c r="GM259" s="15"/>
      <c r="GN259" s="15"/>
      <c r="GO259" s="15"/>
      <c r="GP259" s="15"/>
      <c r="GQ259" s="15"/>
      <c r="GR259" s="15"/>
      <c r="GS259" s="15"/>
      <c r="GT259" s="15"/>
      <c r="GU259" s="15"/>
      <c r="GV259" s="15"/>
      <c r="GW259" s="15"/>
      <c r="GX259" s="15"/>
      <c r="GY259" s="15"/>
      <c r="GZ259" s="15"/>
      <c r="HA259" s="15"/>
      <c r="HB259" s="15"/>
      <c r="HC259" s="15"/>
      <c r="HD259" s="15"/>
      <c r="HE259" s="15"/>
      <c r="HF259" s="15"/>
      <c r="HG259" s="15"/>
      <c r="HH259" s="15"/>
      <c r="HI259" s="15"/>
      <c r="HJ259" s="15"/>
      <c r="HK259" s="15"/>
      <c r="HL259" s="15"/>
      <c r="HM259" s="15"/>
      <c r="HN259" s="15"/>
      <c r="HO259" s="15"/>
      <c r="HP259" s="15"/>
      <c r="HQ259" s="15"/>
      <c r="HR259" s="15"/>
      <c r="HS259" s="15"/>
      <c r="HT259" s="15"/>
      <c r="HU259" s="15"/>
      <c r="HV259" s="15"/>
      <c r="HW259" s="15"/>
      <c r="HX259" s="15"/>
      <c r="HY259" s="15"/>
      <c r="HZ259" s="15"/>
      <c r="IA259" s="15"/>
      <c r="IB259" s="15"/>
      <c r="IC259" s="15"/>
      <c r="ID259" s="15"/>
      <c r="IE259" s="15"/>
      <c r="IF259" s="15"/>
      <c r="IG259" s="15"/>
      <c r="IH259" s="15"/>
      <c r="II259" s="15"/>
      <c r="IJ259" s="15"/>
      <c r="IK259" s="15"/>
      <c r="IL259" s="15"/>
      <c r="IM259" s="15"/>
      <c r="IN259" s="15"/>
      <c r="IO259" s="15"/>
      <c r="IP259" s="15"/>
      <c r="IQ259" s="15"/>
      <c r="IR259" s="15"/>
      <c r="IS259" s="15"/>
      <c r="IT259" s="15"/>
      <c r="IU259" s="15"/>
      <c r="IV259" s="15"/>
      <c r="IW259" s="15"/>
      <c r="IX259" s="15"/>
      <c r="IY259" s="15"/>
      <c r="IZ259" s="15"/>
      <c r="JA259" s="15"/>
      <c r="JB259" s="15"/>
      <c r="JC259" s="15"/>
      <c r="JD259" s="15"/>
      <c r="JE259" s="15"/>
      <c r="JF259" s="15"/>
      <c r="JG259" s="15"/>
      <c r="JH259" s="15"/>
      <c r="JI259" s="15"/>
      <c r="JJ259" s="15"/>
      <c r="JK259" s="15"/>
      <c r="JL259" s="15"/>
      <c r="JM259" s="15"/>
      <c r="JN259" s="15"/>
      <c r="JO259" s="15"/>
      <c r="JP259" s="15"/>
      <c r="JQ259" s="15"/>
      <c r="JR259" s="15"/>
      <c r="JS259" s="15"/>
      <c r="JT259" s="15"/>
      <c r="JU259" s="15"/>
      <c r="JV259" s="15"/>
      <c r="JW259" s="15"/>
      <c r="JX259" s="15"/>
      <c r="JY259" s="15"/>
      <c r="JZ259" s="15"/>
      <c r="KA259" s="15"/>
      <c r="KB259" s="15"/>
      <c r="KC259" s="15"/>
      <c r="KD259" s="15"/>
      <c r="KE259" s="15"/>
      <c r="KF259" s="15"/>
      <c r="KG259" s="15"/>
      <c r="KH259" s="15"/>
      <c r="KI259" s="15"/>
      <c r="KJ259" s="15"/>
      <c r="KK259" s="15"/>
      <c r="KL259" s="15"/>
      <c r="KM259" s="15"/>
      <c r="KN259" s="15"/>
      <c r="KO259" s="15"/>
      <c r="KP259" s="15"/>
      <c r="KQ259" s="15"/>
      <c r="KR259" s="15"/>
      <c r="KS259" s="15"/>
      <c r="KT259" s="15"/>
      <c r="KU259" s="15"/>
      <c r="KV259" s="15"/>
      <c r="KW259" s="15"/>
      <c r="KX259" s="15"/>
      <c r="KY259" s="15"/>
      <c r="KZ259" s="15"/>
      <c r="LA259" s="15"/>
      <c r="LB259" s="15"/>
      <c r="LC259" s="15"/>
      <c r="LD259" s="15"/>
      <c r="LE259" s="15"/>
      <c r="LF259" s="15"/>
      <c r="LG259" s="15"/>
      <c r="LH259" s="15"/>
      <c r="LI259" s="15"/>
      <c r="LJ259" s="15"/>
      <c r="LK259" s="15"/>
      <c r="LL259" s="15"/>
      <c r="LM259" s="15"/>
      <c r="LN259" s="15"/>
      <c r="LO259" s="15"/>
      <c r="LP259" s="15"/>
      <c r="LQ259" s="15"/>
      <c r="LR259" s="15"/>
      <c r="LS259" s="15"/>
      <c r="LT259" s="15"/>
      <c r="LU259" s="15"/>
      <c r="LV259" s="15"/>
      <c r="LW259" s="15"/>
      <c r="LX259" s="15"/>
      <c r="LY259" s="15"/>
      <c r="LZ259" s="15"/>
      <c r="MA259" s="15"/>
      <c r="MB259" s="15"/>
      <c r="MC259" s="15"/>
      <c r="MD259" s="15"/>
      <c r="ME259" s="15"/>
      <c r="MF259" s="15"/>
      <c r="MG259" s="15"/>
      <c r="MH259" s="15"/>
      <c r="MI259" s="15"/>
      <c r="MJ259" s="15"/>
      <c r="MK259" s="15"/>
      <c r="ML259" s="15"/>
      <c r="MM259" s="15"/>
      <c r="MN259" s="15"/>
      <c r="MO259" s="15"/>
      <c r="MP259" s="15"/>
      <c r="MQ259" s="15"/>
      <c r="MR259" s="15"/>
      <c r="MS259" s="15"/>
      <c r="MT259" s="15"/>
      <c r="MU259" s="15"/>
      <c r="MV259" s="15"/>
      <c r="MW259" s="15"/>
    </row>
    <row r="260" ht="119.25" customHeight="1">
      <c r="A260" s="16" t="s">
        <v>259</v>
      </c>
      <c r="B260" s="14" t="s">
        <v>10281</v>
      </c>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5"/>
      <c r="DL260" s="15"/>
      <c r="DM260" s="15"/>
      <c r="DN260" s="15"/>
      <c r="DO260" s="15"/>
      <c r="DP260" s="15"/>
      <c r="DQ260" s="15"/>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5"/>
      <c r="EY260" s="15"/>
      <c r="EZ260" s="15"/>
      <c r="FA260" s="15"/>
      <c r="FB260" s="15"/>
      <c r="FC260" s="15"/>
      <c r="FD260" s="15"/>
      <c r="FE260" s="15"/>
      <c r="FF260" s="15"/>
      <c r="FG260" s="15"/>
      <c r="FH260" s="15"/>
      <c r="FI260" s="15"/>
      <c r="FJ260" s="15"/>
      <c r="FK260" s="15"/>
      <c r="FL260" s="15"/>
      <c r="FM260" s="15"/>
      <c r="FN260" s="15"/>
      <c r="FO260" s="15"/>
      <c r="FP260" s="15"/>
      <c r="FQ260" s="15"/>
      <c r="FR260" s="15"/>
      <c r="FS260" s="15"/>
      <c r="FT260" s="15"/>
      <c r="FU260" s="15"/>
      <c r="FV260" s="15"/>
      <c r="FW260" s="15"/>
      <c r="FX260" s="15"/>
      <c r="FY260" s="15"/>
      <c r="FZ260" s="15"/>
      <c r="GA260" s="15"/>
      <c r="GB260" s="15"/>
      <c r="GC260" s="15"/>
      <c r="GD260" s="15"/>
      <c r="GE260" s="15"/>
      <c r="GF260" s="15"/>
      <c r="GG260" s="15"/>
      <c r="GH260" s="15"/>
      <c r="GI260" s="15"/>
      <c r="GJ260" s="15"/>
      <c r="GK260" s="15"/>
      <c r="GL260" s="15"/>
      <c r="GM260" s="15"/>
      <c r="GN260" s="15"/>
      <c r="GO260" s="15"/>
      <c r="GP260" s="15"/>
      <c r="GQ260" s="15"/>
      <c r="GR260" s="15"/>
      <c r="GS260" s="15"/>
      <c r="GT260" s="15"/>
      <c r="GU260" s="15"/>
      <c r="GV260" s="15"/>
      <c r="GW260" s="15"/>
      <c r="GX260" s="15"/>
      <c r="GY260" s="15"/>
      <c r="GZ260" s="15"/>
      <c r="HA260" s="15"/>
      <c r="HB260" s="15"/>
      <c r="HC260" s="15"/>
      <c r="HD260" s="15"/>
      <c r="HE260" s="15"/>
      <c r="HF260" s="15"/>
      <c r="HG260" s="15"/>
      <c r="HH260" s="15"/>
      <c r="HI260" s="15"/>
      <c r="HJ260" s="15"/>
      <c r="HK260" s="15"/>
      <c r="HL260" s="15"/>
      <c r="HM260" s="15"/>
      <c r="HN260" s="15"/>
      <c r="HO260" s="15"/>
      <c r="HP260" s="15"/>
      <c r="HQ260" s="15"/>
      <c r="HR260" s="15"/>
      <c r="HS260" s="15"/>
      <c r="HT260" s="15"/>
      <c r="HU260" s="15"/>
      <c r="HV260" s="15"/>
      <c r="HW260" s="15"/>
      <c r="HX260" s="15"/>
      <c r="HY260" s="15"/>
      <c r="HZ260" s="15"/>
      <c r="IA260" s="15"/>
      <c r="IB260" s="15"/>
      <c r="IC260" s="15"/>
      <c r="ID260" s="15"/>
      <c r="IE260" s="15"/>
      <c r="IF260" s="15"/>
      <c r="IG260" s="15"/>
      <c r="IH260" s="15"/>
      <c r="II260" s="15"/>
      <c r="IJ260" s="15"/>
      <c r="IK260" s="15"/>
      <c r="IL260" s="15"/>
      <c r="IM260" s="15"/>
      <c r="IN260" s="15"/>
      <c r="IO260" s="15"/>
      <c r="IP260" s="15"/>
      <c r="IQ260" s="15"/>
      <c r="IR260" s="15"/>
      <c r="IS260" s="15"/>
      <c r="IT260" s="15"/>
      <c r="IU260" s="15"/>
      <c r="IV260" s="15"/>
      <c r="IW260" s="15"/>
      <c r="IX260" s="15"/>
      <c r="IY260" s="15"/>
      <c r="IZ260" s="15"/>
      <c r="JA260" s="15"/>
      <c r="JB260" s="15"/>
      <c r="JC260" s="15"/>
      <c r="JD260" s="15"/>
      <c r="JE260" s="15"/>
      <c r="JF260" s="15"/>
      <c r="JG260" s="15"/>
      <c r="JH260" s="15"/>
      <c r="JI260" s="15"/>
      <c r="JJ260" s="15"/>
      <c r="JK260" s="15"/>
      <c r="JL260" s="15"/>
      <c r="JM260" s="15"/>
      <c r="JN260" s="15"/>
      <c r="JO260" s="15"/>
      <c r="JP260" s="15"/>
      <c r="JQ260" s="15"/>
      <c r="JR260" s="15"/>
      <c r="JS260" s="15"/>
      <c r="JT260" s="15"/>
      <c r="JU260" s="15"/>
      <c r="JV260" s="15"/>
      <c r="JW260" s="15"/>
      <c r="JX260" s="15"/>
      <c r="JY260" s="15"/>
      <c r="JZ260" s="15"/>
      <c r="KA260" s="15"/>
      <c r="KB260" s="15"/>
      <c r="KC260" s="15"/>
      <c r="KD260" s="15"/>
      <c r="KE260" s="15"/>
      <c r="KF260" s="15"/>
      <c r="KG260" s="15"/>
      <c r="KH260" s="15"/>
      <c r="KI260" s="15"/>
      <c r="KJ260" s="15"/>
      <c r="KK260" s="15"/>
      <c r="KL260" s="15"/>
      <c r="KM260" s="15"/>
      <c r="KN260" s="15"/>
      <c r="KO260" s="15"/>
      <c r="KP260" s="15"/>
      <c r="KQ260" s="15"/>
      <c r="KR260" s="15"/>
      <c r="KS260" s="15"/>
      <c r="KT260" s="15"/>
      <c r="KU260" s="15"/>
      <c r="KV260" s="15"/>
      <c r="KW260" s="15"/>
      <c r="KX260" s="15"/>
      <c r="KY260" s="15"/>
      <c r="KZ260" s="15"/>
      <c r="LA260" s="15"/>
      <c r="LB260" s="15"/>
      <c r="LC260" s="15"/>
      <c r="LD260" s="15"/>
      <c r="LE260" s="15"/>
      <c r="LF260" s="15"/>
      <c r="LG260" s="15"/>
      <c r="LH260" s="15"/>
      <c r="LI260" s="15"/>
      <c r="LJ260" s="15"/>
      <c r="LK260" s="15"/>
      <c r="LL260" s="15"/>
      <c r="LM260" s="15"/>
      <c r="LN260" s="15"/>
      <c r="LO260" s="15"/>
      <c r="LP260" s="15"/>
      <c r="LQ260" s="15"/>
      <c r="LR260" s="15"/>
      <c r="LS260" s="15"/>
      <c r="LT260" s="15"/>
      <c r="LU260" s="15"/>
      <c r="LV260" s="15"/>
      <c r="LW260" s="15"/>
      <c r="LX260" s="15"/>
      <c r="LY260" s="15"/>
      <c r="LZ260" s="15"/>
      <c r="MA260" s="15"/>
      <c r="MB260" s="15"/>
      <c r="MC260" s="15"/>
      <c r="MD260" s="15"/>
      <c r="ME260" s="15"/>
      <c r="MF260" s="15"/>
      <c r="MG260" s="15"/>
      <c r="MH260" s="15"/>
      <c r="MI260" s="15"/>
      <c r="MJ260" s="15"/>
      <c r="MK260" s="15"/>
      <c r="ML260" s="15"/>
      <c r="MM260" s="15"/>
      <c r="MN260" s="15"/>
      <c r="MO260" s="15"/>
      <c r="MP260" s="15"/>
      <c r="MQ260" s="15"/>
      <c r="MR260" s="15"/>
      <c r="MS260" s="15"/>
      <c r="MT260" s="15"/>
      <c r="MU260" s="15"/>
      <c r="MV260" s="15"/>
      <c r="MW260" s="15"/>
    </row>
    <row r="261" ht="41.25" customHeight="1">
      <c r="A261" s="16" t="s">
        <v>260</v>
      </c>
      <c r="B261" s="14" t="s">
        <v>10282</v>
      </c>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5"/>
      <c r="DL261" s="15"/>
      <c r="DM261" s="15"/>
      <c r="DN261" s="15"/>
      <c r="DO261" s="15"/>
      <c r="DP261" s="15"/>
      <c r="DQ261" s="15"/>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5"/>
      <c r="EY261" s="15"/>
      <c r="EZ261" s="15"/>
      <c r="FA261" s="15"/>
      <c r="FB261" s="15"/>
      <c r="FC261" s="15"/>
      <c r="FD261" s="15"/>
      <c r="FE261" s="15"/>
      <c r="FF261" s="15"/>
      <c r="FG261" s="15"/>
      <c r="FH261" s="15"/>
      <c r="FI261" s="15"/>
      <c r="FJ261" s="15"/>
      <c r="FK261" s="15"/>
      <c r="FL261" s="15"/>
      <c r="FM261" s="15"/>
      <c r="FN261" s="15"/>
      <c r="FO261" s="15"/>
      <c r="FP261" s="15"/>
      <c r="FQ261" s="15"/>
      <c r="FR261" s="15"/>
      <c r="FS261" s="15"/>
      <c r="FT261" s="15"/>
      <c r="FU261" s="15"/>
      <c r="FV261" s="15"/>
      <c r="FW261" s="15"/>
      <c r="FX261" s="15"/>
      <c r="FY261" s="15"/>
      <c r="FZ261" s="15"/>
      <c r="GA261" s="15"/>
      <c r="GB261" s="15"/>
      <c r="GC261" s="15"/>
      <c r="GD261" s="15"/>
      <c r="GE261" s="15"/>
      <c r="GF261" s="15"/>
      <c r="GG261" s="15"/>
      <c r="GH261" s="15"/>
      <c r="GI261" s="15"/>
      <c r="GJ261" s="15"/>
      <c r="GK261" s="15"/>
      <c r="GL261" s="15"/>
      <c r="GM261" s="15"/>
      <c r="GN261" s="15"/>
      <c r="GO261" s="15"/>
      <c r="GP261" s="15"/>
      <c r="GQ261" s="15"/>
      <c r="GR261" s="15"/>
      <c r="GS261" s="15"/>
      <c r="GT261" s="15"/>
      <c r="GU261" s="15"/>
      <c r="GV261" s="15"/>
      <c r="GW261" s="15"/>
      <c r="GX261" s="15"/>
      <c r="GY261" s="15"/>
      <c r="GZ261" s="15"/>
      <c r="HA261" s="15"/>
      <c r="HB261" s="15"/>
      <c r="HC261" s="15"/>
      <c r="HD261" s="15"/>
      <c r="HE261" s="15"/>
      <c r="HF261" s="15"/>
      <c r="HG261" s="15"/>
      <c r="HH261" s="15"/>
      <c r="HI261" s="15"/>
      <c r="HJ261" s="15"/>
      <c r="HK261" s="15"/>
      <c r="HL261" s="15"/>
      <c r="HM261" s="15"/>
      <c r="HN261" s="15"/>
      <c r="HO261" s="15"/>
      <c r="HP261" s="15"/>
      <c r="HQ261" s="15"/>
      <c r="HR261" s="15"/>
      <c r="HS261" s="15"/>
      <c r="HT261" s="15"/>
      <c r="HU261" s="15"/>
      <c r="HV261" s="15"/>
      <c r="HW261" s="15"/>
      <c r="HX261" s="15"/>
      <c r="HY261" s="15"/>
      <c r="HZ261" s="15"/>
      <c r="IA261" s="15"/>
      <c r="IB261" s="15"/>
      <c r="IC261" s="15"/>
      <c r="ID261" s="15"/>
      <c r="IE261" s="15"/>
      <c r="IF261" s="15"/>
      <c r="IG261" s="15"/>
      <c r="IH261" s="15"/>
      <c r="II261" s="15"/>
      <c r="IJ261" s="15"/>
      <c r="IK261" s="15"/>
      <c r="IL261" s="15"/>
      <c r="IM261" s="15"/>
      <c r="IN261" s="15"/>
      <c r="IO261" s="15"/>
      <c r="IP261" s="15"/>
      <c r="IQ261" s="15"/>
      <c r="IR261" s="15"/>
      <c r="IS261" s="15"/>
      <c r="IT261" s="15"/>
      <c r="IU261" s="15"/>
      <c r="IV261" s="15"/>
      <c r="IW261" s="15"/>
      <c r="IX261" s="15"/>
      <c r="IY261" s="15"/>
      <c r="IZ261" s="15"/>
      <c r="JA261" s="15"/>
      <c r="JB261" s="15"/>
      <c r="JC261" s="15"/>
      <c r="JD261" s="15"/>
      <c r="JE261" s="15"/>
      <c r="JF261" s="15"/>
      <c r="JG261" s="15"/>
      <c r="JH261" s="15"/>
      <c r="JI261" s="15"/>
      <c r="JJ261" s="15"/>
      <c r="JK261" s="15"/>
      <c r="JL261" s="15"/>
      <c r="JM261" s="15"/>
      <c r="JN261" s="15"/>
      <c r="JO261" s="15"/>
      <c r="JP261" s="15"/>
      <c r="JQ261" s="15"/>
      <c r="JR261" s="15"/>
      <c r="JS261" s="15"/>
      <c r="JT261" s="15"/>
      <c r="JU261" s="15"/>
      <c r="JV261" s="15"/>
      <c r="JW261" s="15"/>
      <c r="JX261" s="15"/>
      <c r="JY261" s="15"/>
      <c r="JZ261" s="15"/>
      <c r="KA261" s="15"/>
      <c r="KB261" s="15"/>
      <c r="KC261" s="15"/>
      <c r="KD261" s="15"/>
      <c r="KE261" s="15"/>
      <c r="KF261" s="15"/>
      <c r="KG261" s="15"/>
      <c r="KH261" s="15"/>
      <c r="KI261" s="15"/>
      <c r="KJ261" s="15"/>
      <c r="KK261" s="15"/>
      <c r="KL261" s="15"/>
      <c r="KM261" s="15"/>
      <c r="KN261" s="15"/>
      <c r="KO261" s="15"/>
      <c r="KP261" s="15"/>
      <c r="KQ261" s="15"/>
      <c r="KR261" s="15"/>
      <c r="KS261" s="15"/>
      <c r="KT261" s="15"/>
      <c r="KU261" s="15"/>
      <c r="KV261" s="15"/>
      <c r="KW261" s="15"/>
      <c r="KX261" s="15"/>
      <c r="KY261" s="15"/>
      <c r="KZ261" s="15"/>
      <c r="LA261" s="15"/>
      <c r="LB261" s="15"/>
      <c r="LC261" s="15"/>
      <c r="LD261" s="15"/>
      <c r="LE261" s="15"/>
      <c r="LF261" s="15"/>
      <c r="LG261" s="15"/>
      <c r="LH261" s="15"/>
      <c r="LI261" s="15"/>
      <c r="LJ261" s="15"/>
      <c r="LK261" s="15"/>
      <c r="LL261" s="15"/>
      <c r="LM261" s="15"/>
      <c r="LN261" s="15"/>
      <c r="LO261" s="15"/>
      <c r="LP261" s="15"/>
      <c r="LQ261" s="15"/>
      <c r="LR261" s="15"/>
      <c r="LS261" s="15"/>
      <c r="LT261" s="15"/>
      <c r="LU261" s="15"/>
      <c r="LV261" s="15"/>
      <c r="LW261" s="15"/>
      <c r="LX261" s="15"/>
      <c r="LY261" s="15"/>
      <c r="LZ261" s="15"/>
      <c r="MA261" s="15"/>
      <c r="MB261" s="15"/>
      <c r="MC261" s="15"/>
      <c r="MD261" s="15"/>
      <c r="ME261" s="15"/>
      <c r="MF261" s="15"/>
      <c r="MG261" s="15"/>
      <c r="MH261" s="15"/>
      <c r="MI261" s="15"/>
      <c r="MJ261" s="15"/>
      <c r="MK261" s="15"/>
      <c r="ML261" s="15"/>
      <c r="MM261" s="15"/>
      <c r="MN261" s="15"/>
      <c r="MO261" s="15"/>
      <c r="MP261" s="15"/>
      <c r="MQ261" s="15"/>
      <c r="MR261" s="15"/>
      <c r="MS261" s="15"/>
      <c r="MT261" s="15"/>
      <c r="MU261" s="15"/>
      <c r="MV261" s="15"/>
      <c r="MW261" s="15"/>
    </row>
    <row r="262" ht="119.25" customHeight="1">
      <c r="A262" s="16" t="s">
        <v>261</v>
      </c>
      <c r="B262" s="14" t="s">
        <v>10283</v>
      </c>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5"/>
      <c r="DL262" s="15"/>
      <c r="DM262" s="15"/>
      <c r="DN262" s="15"/>
      <c r="DO262" s="15"/>
      <c r="DP262" s="15"/>
      <c r="DQ262" s="15"/>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5"/>
      <c r="EY262" s="15"/>
      <c r="EZ262" s="15"/>
      <c r="FA262" s="15"/>
      <c r="FB262" s="15"/>
      <c r="FC262" s="15"/>
      <c r="FD262" s="15"/>
      <c r="FE262" s="15"/>
      <c r="FF262" s="15"/>
      <c r="FG262" s="15"/>
      <c r="FH262" s="15"/>
      <c r="FI262" s="15"/>
      <c r="FJ262" s="15"/>
      <c r="FK262" s="15"/>
      <c r="FL262" s="15"/>
      <c r="FM262" s="15"/>
      <c r="FN262" s="15"/>
      <c r="FO262" s="15"/>
      <c r="FP262" s="15"/>
      <c r="FQ262" s="15"/>
      <c r="FR262" s="15"/>
      <c r="FS262" s="15"/>
      <c r="FT262" s="15"/>
      <c r="FU262" s="15"/>
      <c r="FV262" s="15"/>
      <c r="FW262" s="15"/>
      <c r="FX262" s="15"/>
      <c r="FY262" s="15"/>
      <c r="FZ262" s="15"/>
      <c r="GA262" s="15"/>
      <c r="GB262" s="15"/>
      <c r="GC262" s="15"/>
      <c r="GD262" s="15"/>
      <c r="GE262" s="15"/>
      <c r="GF262" s="15"/>
      <c r="GG262" s="15"/>
      <c r="GH262" s="15"/>
      <c r="GI262" s="15"/>
      <c r="GJ262" s="15"/>
      <c r="GK262" s="15"/>
      <c r="GL262" s="15"/>
      <c r="GM262" s="15"/>
      <c r="GN262" s="15"/>
      <c r="GO262" s="15"/>
      <c r="GP262" s="15"/>
      <c r="GQ262" s="15"/>
      <c r="GR262" s="15"/>
      <c r="GS262" s="15"/>
      <c r="GT262" s="15"/>
      <c r="GU262" s="15"/>
      <c r="GV262" s="15"/>
      <c r="GW262" s="15"/>
      <c r="GX262" s="15"/>
      <c r="GY262" s="15"/>
      <c r="GZ262" s="15"/>
      <c r="HA262" s="15"/>
      <c r="HB262" s="15"/>
      <c r="HC262" s="15"/>
      <c r="HD262" s="15"/>
      <c r="HE262" s="15"/>
      <c r="HF262" s="15"/>
      <c r="HG262" s="15"/>
      <c r="HH262" s="15"/>
      <c r="HI262" s="15"/>
      <c r="HJ262" s="15"/>
      <c r="HK262" s="15"/>
      <c r="HL262" s="15"/>
      <c r="HM262" s="15"/>
      <c r="HN262" s="15"/>
      <c r="HO262" s="15"/>
      <c r="HP262" s="15"/>
      <c r="HQ262" s="15"/>
      <c r="HR262" s="15"/>
      <c r="HS262" s="15"/>
      <c r="HT262" s="15"/>
      <c r="HU262" s="15"/>
      <c r="HV262" s="15"/>
      <c r="HW262" s="15"/>
      <c r="HX262" s="15"/>
      <c r="HY262" s="15"/>
      <c r="HZ262" s="15"/>
      <c r="IA262" s="15"/>
      <c r="IB262" s="15"/>
      <c r="IC262" s="15"/>
      <c r="ID262" s="15"/>
      <c r="IE262" s="15"/>
      <c r="IF262" s="15"/>
      <c r="IG262" s="15"/>
      <c r="IH262" s="15"/>
      <c r="II262" s="15"/>
      <c r="IJ262" s="15"/>
      <c r="IK262" s="15"/>
      <c r="IL262" s="15"/>
      <c r="IM262" s="15"/>
      <c r="IN262" s="15"/>
      <c r="IO262" s="15"/>
      <c r="IP262" s="15"/>
      <c r="IQ262" s="15"/>
      <c r="IR262" s="15"/>
      <c r="IS262" s="15"/>
      <c r="IT262" s="15"/>
      <c r="IU262" s="15"/>
      <c r="IV262" s="15"/>
      <c r="IW262" s="15"/>
      <c r="IX262" s="15"/>
      <c r="IY262" s="15"/>
      <c r="IZ262" s="15"/>
      <c r="JA262" s="15"/>
      <c r="JB262" s="15"/>
      <c r="JC262" s="15"/>
      <c r="JD262" s="15"/>
      <c r="JE262" s="15"/>
      <c r="JF262" s="15"/>
      <c r="JG262" s="15"/>
      <c r="JH262" s="15"/>
      <c r="JI262" s="15"/>
      <c r="JJ262" s="15"/>
      <c r="JK262" s="15"/>
      <c r="JL262" s="15"/>
      <c r="JM262" s="15"/>
      <c r="JN262" s="15"/>
      <c r="JO262" s="15"/>
      <c r="JP262" s="15"/>
      <c r="JQ262" s="15"/>
      <c r="JR262" s="15"/>
      <c r="JS262" s="15"/>
      <c r="JT262" s="15"/>
      <c r="JU262" s="15"/>
      <c r="JV262" s="15"/>
      <c r="JW262" s="15"/>
      <c r="JX262" s="15"/>
      <c r="JY262" s="15"/>
      <c r="JZ262" s="15"/>
      <c r="KA262" s="15"/>
      <c r="KB262" s="15"/>
      <c r="KC262" s="15"/>
      <c r="KD262" s="15"/>
      <c r="KE262" s="15"/>
      <c r="KF262" s="15"/>
      <c r="KG262" s="15"/>
      <c r="KH262" s="15"/>
      <c r="KI262" s="15"/>
      <c r="KJ262" s="15"/>
      <c r="KK262" s="15"/>
      <c r="KL262" s="15"/>
      <c r="KM262" s="15"/>
      <c r="KN262" s="15"/>
      <c r="KO262" s="15"/>
      <c r="KP262" s="15"/>
      <c r="KQ262" s="15"/>
      <c r="KR262" s="15"/>
      <c r="KS262" s="15"/>
      <c r="KT262" s="15"/>
      <c r="KU262" s="15"/>
      <c r="KV262" s="15"/>
      <c r="KW262" s="15"/>
      <c r="KX262" s="15"/>
      <c r="KY262" s="15"/>
      <c r="KZ262" s="15"/>
      <c r="LA262" s="15"/>
      <c r="LB262" s="15"/>
      <c r="LC262" s="15"/>
      <c r="LD262" s="15"/>
      <c r="LE262" s="15"/>
      <c r="LF262" s="15"/>
      <c r="LG262" s="15"/>
      <c r="LH262" s="15"/>
      <c r="LI262" s="15"/>
      <c r="LJ262" s="15"/>
      <c r="LK262" s="15"/>
      <c r="LL262" s="15"/>
      <c r="LM262" s="15"/>
      <c r="LN262" s="15"/>
      <c r="LO262" s="15"/>
      <c r="LP262" s="15"/>
      <c r="LQ262" s="15"/>
      <c r="LR262" s="15"/>
      <c r="LS262" s="15"/>
      <c r="LT262" s="15"/>
      <c r="LU262" s="15"/>
      <c r="LV262" s="15"/>
      <c r="LW262" s="15"/>
      <c r="LX262" s="15"/>
      <c r="LY262" s="15"/>
      <c r="LZ262" s="15"/>
      <c r="MA262" s="15"/>
      <c r="MB262" s="15"/>
      <c r="MC262" s="15"/>
      <c r="MD262" s="15"/>
      <c r="ME262" s="15"/>
      <c r="MF262" s="15"/>
      <c r="MG262" s="15"/>
      <c r="MH262" s="15"/>
      <c r="MI262" s="15"/>
      <c r="MJ262" s="15"/>
      <c r="MK262" s="15"/>
      <c r="ML262" s="15"/>
      <c r="MM262" s="15"/>
      <c r="MN262" s="15"/>
      <c r="MO262" s="15"/>
      <c r="MP262" s="15"/>
      <c r="MQ262" s="15"/>
      <c r="MR262" s="15"/>
      <c r="MS262" s="15"/>
      <c r="MT262" s="15"/>
      <c r="MU262" s="15"/>
      <c r="MV262" s="15"/>
      <c r="MW262" s="15"/>
    </row>
    <row r="263" ht="41.25" customHeight="1">
      <c r="A263" s="16" t="s">
        <v>146</v>
      </c>
      <c r="B263" s="14" t="s">
        <v>10284</v>
      </c>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c r="DF263" s="15"/>
      <c r="DG263" s="15"/>
      <c r="DH263" s="15"/>
      <c r="DI263" s="15"/>
      <c r="DJ263" s="15"/>
      <c r="DK263" s="15"/>
      <c r="DL263" s="15"/>
      <c r="DM263" s="15"/>
      <c r="DN263" s="15"/>
      <c r="DO263" s="15"/>
      <c r="DP263" s="15"/>
      <c r="DQ263" s="15"/>
      <c r="DR263" s="15"/>
      <c r="DS263" s="15"/>
      <c r="DT263" s="15"/>
      <c r="DU263" s="15"/>
      <c r="DV263" s="15"/>
      <c r="DW263" s="15"/>
      <c r="DX263" s="15"/>
      <c r="DY263" s="15"/>
      <c r="DZ263" s="15"/>
      <c r="EA263" s="15"/>
      <c r="EB263" s="15"/>
      <c r="EC263" s="15"/>
      <c r="ED263" s="15"/>
      <c r="EE263" s="15"/>
      <c r="EF263" s="15"/>
      <c r="EG263" s="15"/>
      <c r="EH263" s="15"/>
      <c r="EI263" s="15"/>
      <c r="EJ263" s="15"/>
      <c r="EK263" s="15"/>
      <c r="EL263" s="15"/>
      <c r="EM263" s="15"/>
      <c r="EN263" s="15"/>
      <c r="EO263" s="15"/>
      <c r="EP263" s="15"/>
      <c r="EQ263" s="15"/>
      <c r="ER263" s="15"/>
      <c r="ES263" s="15"/>
      <c r="ET263" s="15"/>
      <c r="EU263" s="15"/>
      <c r="EV263" s="15"/>
      <c r="EW263" s="15"/>
      <c r="EX263" s="15"/>
      <c r="EY263" s="15"/>
      <c r="EZ263" s="15"/>
      <c r="FA263" s="15"/>
      <c r="FB263" s="15"/>
      <c r="FC263" s="15"/>
      <c r="FD263" s="15"/>
      <c r="FE263" s="15"/>
      <c r="FF263" s="15"/>
      <c r="FG263" s="15"/>
      <c r="FH263" s="15"/>
      <c r="FI263" s="15"/>
      <c r="FJ263" s="15"/>
      <c r="FK263" s="15"/>
      <c r="FL263" s="15"/>
      <c r="FM263" s="15"/>
      <c r="FN263" s="15"/>
      <c r="FO263" s="15"/>
      <c r="FP263" s="15"/>
      <c r="FQ263" s="15"/>
      <c r="FR263" s="15"/>
      <c r="FS263" s="15"/>
      <c r="FT263" s="15"/>
      <c r="FU263" s="15"/>
      <c r="FV263" s="15"/>
      <c r="FW263" s="15"/>
      <c r="FX263" s="15"/>
      <c r="FY263" s="15"/>
      <c r="FZ263" s="15"/>
      <c r="GA263" s="15"/>
      <c r="GB263" s="15"/>
      <c r="GC263" s="15"/>
      <c r="GD263" s="15"/>
      <c r="GE263" s="15"/>
      <c r="GF263" s="15"/>
      <c r="GG263" s="15"/>
      <c r="GH263" s="15"/>
      <c r="GI263" s="15"/>
      <c r="GJ263" s="15"/>
      <c r="GK263" s="15"/>
      <c r="GL263" s="15"/>
      <c r="GM263" s="15"/>
      <c r="GN263" s="15"/>
      <c r="GO263" s="15"/>
      <c r="GP263" s="15"/>
      <c r="GQ263" s="15"/>
      <c r="GR263" s="15"/>
      <c r="GS263" s="15"/>
      <c r="GT263" s="15"/>
      <c r="GU263" s="15"/>
      <c r="GV263" s="15"/>
      <c r="GW263" s="15"/>
      <c r="GX263" s="15"/>
      <c r="GY263" s="15"/>
      <c r="GZ263" s="15"/>
      <c r="HA263" s="15"/>
      <c r="HB263" s="15"/>
      <c r="HC263" s="15"/>
      <c r="HD263" s="15"/>
      <c r="HE263" s="15"/>
      <c r="HF263" s="15"/>
      <c r="HG263" s="15"/>
      <c r="HH263" s="15"/>
      <c r="HI263" s="15"/>
      <c r="HJ263" s="15"/>
      <c r="HK263" s="15"/>
      <c r="HL263" s="15"/>
      <c r="HM263" s="15"/>
      <c r="HN263" s="15"/>
      <c r="HO263" s="15"/>
      <c r="HP263" s="15"/>
      <c r="HQ263" s="15"/>
      <c r="HR263" s="15"/>
      <c r="HS263" s="15"/>
      <c r="HT263" s="15"/>
      <c r="HU263" s="15"/>
      <c r="HV263" s="15"/>
      <c r="HW263" s="15"/>
      <c r="HX263" s="15"/>
      <c r="HY263" s="15"/>
      <c r="HZ263" s="15"/>
      <c r="IA263" s="15"/>
      <c r="IB263" s="15"/>
      <c r="IC263" s="15"/>
      <c r="ID263" s="15"/>
      <c r="IE263" s="15"/>
      <c r="IF263" s="15"/>
      <c r="IG263" s="15"/>
      <c r="IH263" s="15"/>
      <c r="II263" s="15"/>
      <c r="IJ263" s="15"/>
      <c r="IK263" s="15"/>
      <c r="IL263" s="15"/>
      <c r="IM263" s="15"/>
      <c r="IN263" s="15"/>
      <c r="IO263" s="15"/>
      <c r="IP263" s="15"/>
      <c r="IQ263" s="15"/>
      <c r="IR263" s="15"/>
      <c r="IS263" s="15"/>
      <c r="IT263" s="15"/>
      <c r="IU263" s="15"/>
      <c r="IV263" s="15"/>
      <c r="IW263" s="15"/>
      <c r="IX263" s="15"/>
      <c r="IY263" s="15"/>
      <c r="IZ263" s="15"/>
      <c r="JA263" s="15"/>
      <c r="JB263" s="15"/>
      <c r="JC263" s="15"/>
      <c r="JD263" s="15"/>
      <c r="JE263" s="15"/>
      <c r="JF263" s="15"/>
      <c r="JG263" s="15"/>
      <c r="JH263" s="15"/>
      <c r="JI263" s="15"/>
      <c r="JJ263" s="15"/>
      <c r="JK263" s="15"/>
      <c r="JL263" s="15"/>
      <c r="JM263" s="15"/>
      <c r="JN263" s="15"/>
      <c r="JO263" s="15"/>
      <c r="JP263" s="15"/>
      <c r="JQ263" s="15"/>
      <c r="JR263" s="15"/>
      <c r="JS263" s="15"/>
      <c r="JT263" s="15"/>
      <c r="JU263" s="15"/>
      <c r="JV263" s="15"/>
      <c r="JW263" s="15"/>
      <c r="JX263" s="15"/>
      <c r="JY263" s="15"/>
      <c r="JZ263" s="15"/>
      <c r="KA263" s="15"/>
      <c r="KB263" s="15"/>
      <c r="KC263" s="15"/>
      <c r="KD263" s="15"/>
      <c r="KE263" s="15"/>
      <c r="KF263" s="15"/>
      <c r="KG263" s="15"/>
      <c r="KH263" s="15"/>
      <c r="KI263" s="15"/>
      <c r="KJ263" s="15"/>
      <c r="KK263" s="15"/>
      <c r="KL263" s="15"/>
      <c r="KM263" s="15"/>
      <c r="KN263" s="15"/>
      <c r="KO263" s="15"/>
      <c r="KP263" s="15"/>
      <c r="KQ263" s="15"/>
      <c r="KR263" s="15"/>
      <c r="KS263" s="15"/>
      <c r="KT263" s="15"/>
      <c r="KU263" s="15"/>
      <c r="KV263" s="15"/>
      <c r="KW263" s="15"/>
      <c r="KX263" s="15"/>
      <c r="KY263" s="15"/>
      <c r="KZ263" s="15"/>
      <c r="LA263" s="15"/>
      <c r="LB263" s="15"/>
      <c r="LC263" s="15"/>
      <c r="LD263" s="15"/>
      <c r="LE263" s="15"/>
      <c r="LF263" s="15"/>
      <c r="LG263" s="15"/>
      <c r="LH263" s="15"/>
      <c r="LI263" s="15"/>
      <c r="LJ263" s="15"/>
      <c r="LK263" s="15"/>
      <c r="LL263" s="15"/>
      <c r="LM263" s="15"/>
      <c r="LN263" s="15"/>
      <c r="LO263" s="15"/>
      <c r="LP263" s="15"/>
      <c r="LQ263" s="15"/>
      <c r="LR263" s="15"/>
      <c r="LS263" s="15"/>
      <c r="LT263" s="15"/>
      <c r="LU263" s="15"/>
      <c r="LV263" s="15"/>
      <c r="LW263" s="15"/>
      <c r="LX263" s="15"/>
      <c r="LY263" s="15"/>
      <c r="LZ263" s="15"/>
      <c r="MA263" s="15"/>
      <c r="MB263" s="15"/>
      <c r="MC263" s="15"/>
      <c r="MD263" s="15"/>
      <c r="ME263" s="15"/>
      <c r="MF263" s="15"/>
      <c r="MG263" s="15"/>
      <c r="MH263" s="15"/>
      <c r="MI263" s="15"/>
      <c r="MJ263" s="15"/>
      <c r="MK263" s="15"/>
      <c r="ML263" s="15"/>
      <c r="MM263" s="15"/>
      <c r="MN263" s="15"/>
      <c r="MO263" s="15"/>
      <c r="MP263" s="15"/>
      <c r="MQ263" s="15"/>
      <c r="MR263" s="15"/>
      <c r="MS263" s="15"/>
      <c r="MT263" s="15"/>
      <c r="MU263" s="15"/>
      <c r="MV263" s="15"/>
      <c r="MW263" s="15"/>
    </row>
    <row r="264" ht="119.25" customHeight="1">
      <c r="A264" s="16" t="s">
        <v>219</v>
      </c>
      <c r="B264" s="14" t="s">
        <v>10285</v>
      </c>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c r="DF264" s="15"/>
      <c r="DG264" s="15"/>
      <c r="DH264" s="15"/>
      <c r="DI264" s="15"/>
      <c r="DJ264" s="15"/>
      <c r="DK264" s="15"/>
      <c r="DL264" s="15"/>
      <c r="DM264" s="15"/>
      <c r="DN264" s="15"/>
      <c r="DO264" s="15"/>
      <c r="DP264" s="15"/>
      <c r="DQ264" s="15"/>
      <c r="DR264" s="15"/>
      <c r="DS264" s="15"/>
      <c r="DT264" s="15"/>
      <c r="DU264" s="15"/>
      <c r="DV264" s="15"/>
      <c r="DW264" s="15"/>
      <c r="DX264" s="15"/>
      <c r="DY264" s="15"/>
      <c r="DZ264" s="15"/>
      <c r="EA264" s="15"/>
      <c r="EB264" s="15"/>
      <c r="EC264" s="15"/>
      <c r="ED264" s="15"/>
      <c r="EE264" s="15"/>
      <c r="EF264" s="15"/>
      <c r="EG264" s="15"/>
      <c r="EH264" s="15"/>
      <c r="EI264" s="15"/>
      <c r="EJ264" s="15"/>
      <c r="EK264" s="15"/>
      <c r="EL264" s="15"/>
      <c r="EM264" s="15"/>
      <c r="EN264" s="15"/>
      <c r="EO264" s="15"/>
      <c r="EP264" s="15"/>
      <c r="EQ264" s="15"/>
      <c r="ER264" s="15"/>
      <c r="ES264" s="15"/>
      <c r="ET264" s="15"/>
      <c r="EU264" s="15"/>
      <c r="EV264" s="15"/>
      <c r="EW264" s="15"/>
      <c r="EX264" s="15"/>
      <c r="EY264" s="15"/>
      <c r="EZ264" s="15"/>
      <c r="FA264" s="15"/>
      <c r="FB264" s="15"/>
      <c r="FC264" s="15"/>
      <c r="FD264" s="15"/>
      <c r="FE264" s="15"/>
      <c r="FF264" s="15"/>
      <c r="FG264" s="15"/>
      <c r="FH264" s="15"/>
      <c r="FI264" s="15"/>
      <c r="FJ264" s="15"/>
      <c r="FK264" s="15"/>
      <c r="FL264" s="15"/>
      <c r="FM264" s="15"/>
      <c r="FN264" s="15"/>
      <c r="FO264" s="15"/>
      <c r="FP264" s="15"/>
      <c r="FQ264" s="15"/>
      <c r="FR264" s="15"/>
      <c r="FS264" s="15"/>
      <c r="FT264" s="15"/>
      <c r="FU264" s="15"/>
      <c r="FV264" s="15"/>
      <c r="FW264" s="15"/>
      <c r="FX264" s="15"/>
      <c r="FY264" s="15"/>
      <c r="FZ264" s="15"/>
      <c r="GA264" s="15"/>
      <c r="GB264" s="15"/>
      <c r="GC264" s="15"/>
      <c r="GD264" s="15"/>
      <c r="GE264" s="15"/>
      <c r="GF264" s="15"/>
      <c r="GG264" s="15"/>
      <c r="GH264" s="15"/>
      <c r="GI264" s="15"/>
      <c r="GJ264" s="15"/>
      <c r="GK264" s="15"/>
      <c r="GL264" s="15"/>
      <c r="GM264" s="15"/>
      <c r="GN264" s="15"/>
      <c r="GO264" s="15"/>
      <c r="GP264" s="15"/>
      <c r="GQ264" s="15"/>
      <c r="GR264" s="15"/>
      <c r="GS264" s="15"/>
      <c r="GT264" s="15"/>
      <c r="GU264" s="15"/>
      <c r="GV264" s="15"/>
      <c r="GW264" s="15"/>
      <c r="GX264" s="15"/>
      <c r="GY264" s="15"/>
      <c r="GZ264" s="15"/>
      <c r="HA264" s="15"/>
      <c r="HB264" s="15"/>
      <c r="HC264" s="15"/>
      <c r="HD264" s="15"/>
      <c r="HE264" s="15"/>
      <c r="HF264" s="15"/>
      <c r="HG264" s="15"/>
      <c r="HH264" s="15"/>
      <c r="HI264" s="15"/>
      <c r="HJ264" s="15"/>
      <c r="HK264" s="15"/>
      <c r="HL264" s="15"/>
      <c r="HM264" s="15"/>
      <c r="HN264" s="15"/>
      <c r="HO264" s="15"/>
      <c r="HP264" s="15"/>
      <c r="HQ264" s="15"/>
      <c r="HR264" s="15"/>
      <c r="HS264" s="15"/>
      <c r="HT264" s="15"/>
      <c r="HU264" s="15"/>
      <c r="HV264" s="15"/>
      <c r="HW264" s="15"/>
      <c r="HX264" s="15"/>
      <c r="HY264" s="15"/>
      <c r="HZ264" s="15"/>
      <c r="IA264" s="15"/>
      <c r="IB264" s="15"/>
      <c r="IC264" s="15"/>
      <c r="ID264" s="15"/>
      <c r="IE264" s="15"/>
      <c r="IF264" s="15"/>
      <c r="IG264" s="15"/>
      <c r="IH264" s="15"/>
      <c r="II264" s="15"/>
      <c r="IJ264" s="15"/>
      <c r="IK264" s="15"/>
      <c r="IL264" s="15"/>
      <c r="IM264" s="15"/>
      <c r="IN264" s="15"/>
      <c r="IO264" s="15"/>
      <c r="IP264" s="15"/>
      <c r="IQ264" s="15"/>
      <c r="IR264" s="15"/>
      <c r="IS264" s="15"/>
      <c r="IT264" s="15"/>
      <c r="IU264" s="15"/>
      <c r="IV264" s="15"/>
      <c r="IW264" s="15"/>
      <c r="IX264" s="15"/>
      <c r="IY264" s="15"/>
      <c r="IZ264" s="15"/>
      <c r="JA264" s="15"/>
      <c r="JB264" s="15"/>
      <c r="JC264" s="15"/>
      <c r="JD264" s="15"/>
      <c r="JE264" s="15"/>
      <c r="JF264" s="15"/>
      <c r="JG264" s="15"/>
      <c r="JH264" s="15"/>
      <c r="JI264" s="15"/>
      <c r="JJ264" s="15"/>
      <c r="JK264" s="15"/>
      <c r="JL264" s="15"/>
      <c r="JM264" s="15"/>
      <c r="JN264" s="15"/>
      <c r="JO264" s="15"/>
      <c r="JP264" s="15"/>
      <c r="JQ264" s="15"/>
      <c r="JR264" s="15"/>
      <c r="JS264" s="15"/>
      <c r="JT264" s="15"/>
      <c r="JU264" s="15"/>
      <c r="JV264" s="15"/>
      <c r="JW264" s="15"/>
      <c r="JX264" s="15"/>
      <c r="JY264" s="15"/>
      <c r="JZ264" s="15"/>
      <c r="KA264" s="15"/>
      <c r="KB264" s="15"/>
      <c r="KC264" s="15"/>
      <c r="KD264" s="15"/>
      <c r="KE264" s="15"/>
      <c r="KF264" s="15"/>
      <c r="KG264" s="15"/>
      <c r="KH264" s="15"/>
      <c r="KI264" s="15"/>
      <c r="KJ264" s="15"/>
      <c r="KK264" s="15"/>
      <c r="KL264" s="15"/>
      <c r="KM264" s="15"/>
      <c r="KN264" s="15"/>
      <c r="KO264" s="15"/>
      <c r="KP264" s="15"/>
      <c r="KQ264" s="15"/>
      <c r="KR264" s="15"/>
      <c r="KS264" s="15"/>
      <c r="KT264" s="15"/>
      <c r="KU264" s="15"/>
      <c r="KV264" s="15"/>
      <c r="KW264" s="15"/>
      <c r="KX264" s="15"/>
      <c r="KY264" s="15"/>
      <c r="KZ264" s="15"/>
      <c r="LA264" s="15"/>
      <c r="LB264" s="15"/>
      <c r="LC264" s="15"/>
      <c r="LD264" s="15"/>
      <c r="LE264" s="15"/>
      <c r="LF264" s="15"/>
      <c r="LG264" s="15"/>
      <c r="LH264" s="15"/>
      <c r="LI264" s="15"/>
      <c r="LJ264" s="15"/>
      <c r="LK264" s="15"/>
      <c r="LL264" s="15"/>
      <c r="LM264" s="15"/>
      <c r="LN264" s="15"/>
      <c r="LO264" s="15"/>
      <c r="LP264" s="15"/>
      <c r="LQ264" s="15"/>
      <c r="LR264" s="15"/>
      <c r="LS264" s="15"/>
      <c r="LT264" s="15"/>
      <c r="LU264" s="15"/>
      <c r="LV264" s="15"/>
      <c r="LW264" s="15"/>
      <c r="LX264" s="15"/>
      <c r="LY264" s="15"/>
      <c r="LZ264" s="15"/>
      <c r="MA264" s="15"/>
      <c r="MB264" s="15"/>
      <c r="MC264" s="15"/>
      <c r="MD264" s="15"/>
      <c r="ME264" s="15"/>
      <c r="MF264" s="15"/>
      <c r="MG264" s="15"/>
      <c r="MH264" s="15"/>
      <c r="MI264" s="15"/>
      <c r="MJ264" s="15"/>
      <c r="MK264" s="15"/>
      <c r="ML264" s="15"/>
      <c r="MM264" s="15"/>
      <c r="MN264" s="15"/>
      <c r="MO264" s="15"/>
      <c r="MP264" s="15"/>
      <c r="MQ264" s="15"/>
      <c r="MR264" s="15"/>
      <c r="MS264" s="15"/>
      <c r="MT264" s="15"/>
      <c r="MU264" s="15"/>
      <c r="MV264" s="15"/>
      <c r="MW264" s="15"/>
    </row>
    <row r="265" ht="41.25" customHeight="1">
      <c r="A265" s="16" t="s">
        <v>221</v>
      </c>
      <c r="B265" s="14" t="s">
        <v>10286</v>
      </c>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c r="DF265" s="15"/>
      <c r="DG265" s="15"/>
      <c r="DH265" s="15"/>
      <c r="DI265" s="15"/>
      <c r="DJ265" s="15"/>
      <c r="DK265" s="15"/>
      <c r="DL265" s="15"/>
      <c r="DM265" s="15"/>
      <c r="DN265" s="15"/>
      <c r="DO265" s="15"/>
      <c r="DP265" s="15"/>
      <c r="DQ265" s="15"/>
      <c r="DR265" s="15"/>
      <c r="DS265" s="15"/>
      <c r="DT265" s="15"/>
      <c r="DU265" s="15"/>
      <c r="DV265" s="15"/>
      <c r="DW265" s="15"/>
      <c r="DX265" s="15"/>
      <c r="DY265" s="15"/>
      <c r="DZ265" s="15"/>
      <c r="EA265" s="15"/>
      <c r="EB265" s="15"/>
      <c r="EC265" s="15"/>
      <c r="ED265" s="15"/>
      <c r="EE265" s="15"/>
      <c r="EF265" s="15"/>
      <c r="EG265" s="15"/>
      <c r="EH265" s="15"/>
      <c r="EI265" s="15"/>
      <c r="EJ265" s="15"/>
      <c r="EK265" s="15"/>
      <c r="EL265" s="15"/>
      <c r="EM265" s="15"/>
      <c r="EN265" s="15"/>
      <c r="EO265" s="15"/>
      <c r="EP265" s="15"/>
      <c r="EQ265" s="15"/>
      <c r="ER265" s="15"/>
      <c r="ES265" s="15"/>
      <c r="ET265" s="15"/>
      <c r="EU265" s="15"/>
      <c r="EV265" s="15"/>
      <c r="EW265" s="15"/>
      <c r="EX265" s="15"/>
      <c r="EY265" s="15"/>
      <c r="EZ265" s="15"/>
      <c r="FA265" s="15"/>
      <c r="FB265" s="15"/>
      <c r="FC265" s="15"/>
      <c r="FD265" s="15"/>
      <c r="FE265" s="15"/>
      <c r="FF265" s="15"/>
      <c r="FG265" s="15"/>
      <c r="FH265" s="15"/>
      <c r="FI265" s="15"/>
      <c r="FJ265" s="15"/>
      <c r="FK265" s="15"/>
      <c r="FL265" s="15"/>
      <c r="FM265" s="15"/>
      <c r="FN265" s="15"/>
      <c r="FO265" s="15"/>
      <c r="FP265" s="15"/>
      <c r="FQ265" s="15"/>
      <c r="FR265" s="15"/>
      <c r="FS265" s="15"/>
      <c r="FT265" s="15"/>
      <c r="FU265" s="15"/>
      <c r="FV265" s="15"/>
      <c r="FW265" s="15"/>
      <c r="FX265" s="15"/>
      <c r="FY265" s="15"/>
      <c r="FZ265" s="15"/>
      <c r="GA265" s="15"/>
      <c r="GB265" s="15"/>
      <c r="GC265" s="15"/>
      <c r="GD265" s="15"/>
      <c r="GE265" s="15"/>
      <c r="GF265" s="15"/>
      <c r="GG265" s="15"/>
      <c r="GH265" s="15"/>
      <c r="GI265" s="15"/>
      <c r="GJ265" s="15"/>
      <c r="GK265" s="15"/>
      <c r="GL265" s="15"/>
      <c r="GM265" s="15"/>
      <c r="GN265" s="15"/>
      <c r="GO265" s="15"/>
      <c r="GP265" s="15"/>
      <c r="GQ265" s="15"/>
      <c r="GR265" s="15"/>
      <c r="GS265" s="15"/>
      <c r="GT265" s="15"/>
      <c r="GU265" s="15"/>
      <c r="GV265" s="15"/>
      <c r="GW265" s="15"/>
      <c r="GX265" s="15"/>
      <c r="GY265" s="15"/>
      <c r="GZ265" s="15"/>
      <c r="HA265" s="15"/>
      <c r="HB265" s="15"/>
      <c r="HC265" s="15"/>
      <c r="HD265" s="15"/>
      <c r="HE265" s="15"/>
      <c r="HF265" s="15"/>
      <c r="HG265" s="15"/>
      <c r="HH265" s="15"/>
      <c r="HI265" s="15"/>
      <c r="HJ265" s="15"/>
      <c r="HK265" s="15"/>
      <c r="HL265" s="15"/>
      <c r="HM265" s="15"/>
      <c r="HN265" s="15"/>
      <c r="HO265" s="15"/>
      <c r="HP265" s="15"/>
      <c r="HQ265" s="15"/>
      <c r="HR265" s="15"/>
      <c r="HS265" s="15"/>
      <c r="HT265" s="15"/>
      <c r="HU265" s="15"/>
      <c r="HV265" s="15"/>
      <c r="HW265" s="15"/>
      <c r="HX265" s="15"/>
      <c r="HY265" s="15"/>
      <c r="HZ265" s="15"/>
      <c r="IA265" s="15"/>
      <c r="IB265" s="15"/>
      <c r="IC265" s="15"/>
      <c r="ID265" s="15"/>
      <c r="IE265" s="15"/>
      <c r="IF265" s="15"/>
      <c r="IG265" s="15"/>
      <c r="IH265" s="15"/>
      <c r="II265" s="15"/>
      <c r="IJ265" s="15"/>
      <c r="IK265" s="15"/>
      <c r="IL265" s="15"/>
      <c r="IM265" s="15"/>
      <c r="IN265" s="15"/>
      <c r="IO265" s="15"/>
      <c r="IP265" s="15"/>
      <c r="IQ265" s="15"/>
      <c r="IR265" s="15"/>
      <c r="IS265" s="15"/>
      <c r="IT265" s="15"/>
      <c r="IU265" s="15"/>
      <c r="IV265" s="15"/>
      <c r="IW265" s="15"/>
      <c r="IX265" s="15"/>
      <c r="IY265" s="15"/>
      <c r="IZ265" s="15"/>
      <c r="JA265" s="15"/>
      <c r="JB265" s="15"/>
      <c r="JC265" s="15"/>
      <c r="JD265" s="15"/>
      <c r="JE265" s="15"/>
      <c r="JF265" s="15"/>
      <c r="JG265" s="15"/>
      <c r="JH265" s="15"/>
      <c r="JI265" s="15"/>
      <c r="JJ265" s="15"/>
      <c r="JK265" s="15"/>
      <c r="JL265" s="15"/>
      <c r="JM265" s="15"/>
      <c r="JN265" s="15"/>
      <c r="JO265" s="15"/>
      <c r="JP265" s="15"/>
      <c r="JQ265" s="15"/>
      <c r="JR265" s="15"/>
      <c r="JS265" s="15"/>
      <c r="JT265" s="15"/>
      <c r="JU265" s="15"/>
      <c r="JV265" s="15"/>
      <c r="JW265" s="15"/>
      <c r="JX265" s="15"/>
      <c r="JY265" s="15"/>
      <c r="JZ265" s="15"/>
      <c r="KA265" s="15"/>
      <c r="KB265" s="15"/>
      <c r="KC265" s="15"/>
      <c r="KD265" s="15"/>
      <c r="KE265" s="15"/>
      <c r="KF265" s="15"/>
      <c r="KG265" s="15"/>
      <c r="KH265" s="15"/>
      <c r="KI265" s="15"/>
      <c r="KJ265" s="15"/>
      <c r="KK265" s="15"/>
      <c r="KL265" s="15"/>
      <c r="KM265" s="15"/>
      <c r="KN265" s="15"/>
      <c r="KO265" s="15"/>
      <c r="KP265" s="15"/>
      <c r="KQ265" s="15"/>
      <c r="KR265" s="15"/>
      <c r="KS265" s="15"/>
      <c r="KT265" s="15"/>
      <c r="KU265" s="15"/>
      <c r="KV265" s="15"/>
      <c r="KW265" s="15"/>
      <c r="KX265" s="15"/>
      <c r="KY265" s="15"/>
      <c r="KZ265" s="15"/>
      <c r="LA265" s="15"/>
      <c r="LB265" s="15"/>
      <c r="LC265" s="15"/>
      <c r="LD265" s="15"/>
      <c r="LE265" s="15"/>
      <c r="LF265" s="15"/>
      <c r="LG265" s="15"/>
      <c r="LH265" s="15"/>
      <c r="LI265" s="15"/>
      <c r="LJ265" s="15"/>
      <c r="LK265" s="15"/>
      <c r="LL265" s="15"/>
      <c r="LM265" s="15"/>
      <c r="LN265" s="15"/>
      <c r="LO265" s="15"/>
      <c r="LP265" s="15"/>
      <c r="LQ265" s="15"/>
      <c r="LR265" s="15"/>
      <c r="LS265" s="15"/>
      <c r="LT265" s="15"/>
      <c r="LU265" s="15"/>
      <c r="LV265" s="15"/>
      <c r="LW265" s="15"/>
      <c r="LX265" s="15"/>
      <c r="LY265" s="15"/>
      <c r="LZ265" s="15"/>
      <c r="MA265" s="15"/>
      <c r="MB265" s="15"/>
      <c r="MC265" s="15"/>
      <c r="MD265" s="15"/>
      <c r="ME265" s="15"/>
      <c r="MF265" s="15"/>
      <c r="MG265" s="15"/>
      <c r="MH265" s="15"/>
      <c r="MI265" s="15"/>
      <c r="MJ265" s="15"/>
      <c r="MK265" s="15"/>
      <c r="ML265" s="15"/>
      <c r="MM265" s="15"/>
      <c r="MN265" s="15"/>
      <c r="MO265" s="15"/>
      <c r="MP265" s="15"/>
      <c r="MQ265" s="15"/>
      <c r="MR265" s="15"/>
      <c r="MS265" s="15"/>
      <c r="MT265" s="15"/>
      <c r="MU265" s="15"/>
      <c r="MV265" s="15"/>
      <c r="MW265" s="15"/>
    </row>
    <row r="266" ht="119.25" customHeight="1">
      <c r="A266" s="16" t="s">
        <v>220</v>
      </c>
      <c r="B266" s="14" t="s">
        <v>10287</v>
      </c>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c r="DF266" s="15"/>
      <c r="DG266" s="15"/>
      <c r="DH266" s="15"/>
      <c r="DI266" s="15"/>
      <c r="DJ266" s="15"/>
      <c r="DK266" s="15"/>
      <c r="DL266" s="15"/>
      <c r="DM266" s="15"/>
      <c r="DN266" s="15"/>
      <c r="DO266" s="15"/>
      <c r="DP266" s="15"/>
      <c r="DQ266" s="15"/>
      <c r="DR266" s="15"/>
      <c r="DS266" s="15"/>
      <c r="DT266" s="15"/>
      <c r="DU266" s="15"/>
      <c r="DV266" s="15"/>
      <c r="DW266" s="15"/>
      <c r="DX266" s="15"/>
      <c r="DY266" s="15"/>
      <c r="DZ266" s="15"/>
      <c r="EA266" s="15"/>
      <c r="EB266" s="15"/>
      <c r="EC266" s="15"/>
      <c r="ED266" s="15"/>
      <c r="EE266" s="15"/>
      <c r="EF266" s="15"/>
      <c r="EG266" s="15"/>
      <c r="EH266" s="15"/>
      <c r="EI266" s="15"/>
      <c r="EJ266" s="15"/>
      <c r="EK266" s="15"/>
      <c r="EL266" s="15"/>
      <c r="EM266" s="15"/>
      <c r="EN266" s="15"/>
      <c r="EO266" s="15"/>
      <c r="EP266" s="15"/>
      <c r="EQ266" s="15"/>
      <c r="ER266" s="15"/>
      <c r="ES266" s="15"/>
      <c r="ET266" s="15"/>
      <c r="EU266" s="15"/>
      <c r="EV266" s="15"/>
      <c r="EW266" s="15"/>
      <c r="EX266" s="15"/>
      <c r="EY266" s="15"/>
      <c r="EZ266" s="15"/>
      <c r="FA266" s="15"/>
      <c r="FB266" s="15"/>
      <c r="FC266" s="15"/>
      <c r="FD266" s="15"/>
      <c r="FE266" s="15"/>
      <c r="FF266" s="15"/>
      <c r="FG266" s="15"/>
      <c r="FH266" s="15"/>
      <c r="FI266" s="15"/>
      <c r="FJ266" s="15"/>
      <c r="FK266" s="15"/>
      <c r="FL266" s="15"/>
      <c r="FM266" s="15"/>
      <c r="FN266" s="15"/>
      <c r="FO266" s="15"/>
      <c r="FP266" s="15"/>
      <c r="FQ266" s="15"/>
      <c r="FR266" s="15"/>
      <c r="FS266" s="15"/>
      <c r="FT266" s="15"/>
      <c r="FU266" s="15"/>
      <c r="FV266" s="15"/>
      <c r="FW266" s="15"/>
      <c r="FX266" s="15"/>
      <c r="FY266" s="15"/>
      <c r="FZ266" s="15"/>
      <c r="GA266" s="15"/>
      <c r="GB266" s="15"/>
      <c r="GC266" s="15"/>
      <c r="GD266" s="15"/>
      <c r="GE266" s="15"/>
      <c r="GF266" s="15"/>
      <c r="GG266" s="15"/>
      <c r="GH266" s="15"/>
      <c r="GI266" s="15"/>
      <c r="GJ266" s="15"/>
      <c r="GK266" s="15"/>
      <c r="GL266" s="15"/>
      <c r="GM266" s="15"/>
      <c r="GN266" s="15"/>
      <c r="GO266" s="15"/>
      <c r="GP266" s="15"/>
      <c r="GQ266" s="15"/>
      <c r="GR266" s="15"/>
      <c r="GS266" s="15"/>
      <c r="GT266" s="15"/>
      <c r="GU266" s="15"/>
      <c r="GV266" s="15"/>
      <c r="GW266" s="15"/>
      <c r="GX266" s="15"/>
      <c r="GY266" s="15"/>
      <c r="GZ266" s="15"/>
      <c r="HA266" s="15"/>
      <c r="HB266" s="15"/>
      <c r="HC266" s="15"/>
      <c r="HD266" s="15"/>
      <c r="HE266" s="15"/>
      <c r="HF266" s="15"/>
      <c r="HG266" s="15"/>
      <c r="HH266" s="15"/>
      <c r="HI266" s="15"/>
      <c r="HJ266" s="15"/>
      <c r="HK266" s="15"/>
      <c r="HL266" s="15"/>
      <c r="HM266" s="15"/>
      <c r="HN266" s="15"/>
      <c r="HO266" s="15"/>
      <c r="HP266" s="15"/>
      <c r="HQ266" s="15"/>
      <c r="HR266" s="15"/>
      <c r="HS266" s="15"/>
      <c r="HT266" s="15"/>
      <c r="HU266" s="15"/>
      <c r="HV266" s="15"/>
      <c r="HW266" s="15"/>
      <c r="HX266" s="15"/>
      <c r="HY266" s="15"/>
      <c r="HZ266" s="15"/>
      <c r="IA266" s="15"/>
      <c r="IB266" s="15"/>
      <c r="IC266" s="15"/>
      <c r="ID266" s="15"/>
      <c r="IE266" s="15"/>
      <c r="IF266" s="15"/>
      <c r="IG266" s="15"/>
      <c r="IH266" s="15"/>
      <c r="II266" s="15"/>
      <c r="IJ266" s="15"/>
      <c r="IK266" s="15"/>
      <c r="IL266" s="15"/>
      <c r="IM266" s="15"/>
      <c r="IN266" s="15"/>
      <c r="IO266" s="15"/>
      <c r="IP266" s="15"/>
      <c r="IQ266" s="15"/>
      <c r="IR266" s="15"/>
      <c r="IS266" s="15"/>
      <c r="IT266" s="15"/>
      <c r="IU266" s="15"/>
      <c r="IV266" s="15"/>
      <c r="IW266" s="15"/>
      <c r="IX266" s="15"/>
      <c r="IY266" s="15"/>
      <c r="IZ266" s="15"/>
      <c r="JA266" s="15"/>
      <c r="JB266" s="15"/>
      <c r="JC266" s="15"/>
      <c r="JD266" s="15"/>
      <c r="JE266" s="15"/>
      <c r="JF266" s="15"/>
      <c r="JG266" s="15"/>
      <c r="JH266" s="15"/>
      <c r="JI266" s="15"/>
      <c r="JJ266" s="15"/>
      <c r="JK266" s="15"/>
      <c r="JL266" s="15"/>
      <c r="JM266" s="15"/>
      <c r="JN266" s="15"/>
      <c r="JO266" s="15"/>
      <c r="JP266" s="15"/>
      <c r="JQ266" s="15"/>
      <c r="JR266" s="15"/>
      <c r="JS266" s="15"/>
      <c r="JT266" s="15"/>
      <c r="JU266" s="15"/>
      <c r="JV266" s="15"/>
      <c r="JW266" s="15"/>
      <c r="JX266" s="15"/>
      <c r="JY266" s="15"/>
      <c r="JZ266" s="15"/>
      <c r="KA266" s="15"/>
      <c r="KB266" s="15"/>
      <c r="KC266" s="15"/>
      <c r="KD266" s="15"/>
      <c r="KE266" s="15"/>
      <c r="KF266" s="15"/>
      <c r="KG266" s="15"/>
      <c r="KH266" s="15"/>
      <c r="KI266" s="15"/>
      <c r="KJ266" s="15"/>
      <c r="KK266" s="15"/>
      <c r="KL266" s="15"/>
      <c r="KM266" s="15"/>
      <c r="KN266" s="15"/>
      <c r="KO266" s="15"/>
      <c r="KP266" s="15"/>
      <c r="KQ266" s="15"/>
      <c r="KR266" s="15"/>
      <c r="KS266" s="15"/>
      <c r="KT266" s="15"/>
      <c r="KU266" s="15"/>
      <c r="KV266" s="15"/>
      <c r="KW266" s="15"/>
      <c r="KX266" s="15"/>
      <c r="KY266" s="15"/>
      <c r="KZ266" s="15"/>
      <c r="LA266" s="15"/>
      <c r="LB266" s="15"/>
      <c r="LC266" s="15"/>
      <c r="LD266" s="15"/>
      <c r="LE266" s="15"/>
      <c r="LF266" s="15"/>
      <c r="LG266" s="15"/>
      <c r="LH266" s="15"/>
      <c r="LI266" s="15"/>
      <c r="LJ266" s="15"/>
      <c r="LK266" s="15"/>
      <c r="LL266" s="15"/>
      <c r="LM266" s="15"/>
      <c r="LN266" s="15"/>
      <c r="LO266" s="15"/>
      <c r="LP266" s="15"/>
      <c r="LQ266" s="15"/>
      <c r="LR266" s="15"/>
      <c r="LS266" s="15"/>
      <c r="LT266" s="15"/>
      <c r="LU266" s="15"/>
      <c r="LV266" s="15"/>
      <c r="LW266" s="15"/>
      <c r="LX266" s="15"/>
      <c r="LY266" s="15"/>
      <c r="LZ266" s="15"/>
      <c r="MA266" s="15"/>
      <c r="MB266" s="15"/>
      <c r="MC266" s="15"/>
      <c r="MD266" s="15"/>
      <c r="ME266" s="15"/>
      <c r="MF266" s="15"/>
      <c r="MG266" s="15"/>
      <c r="MH266" s="15"/>
      <c r="MI266" s="15"/>
      <c r="MJ266" s="15"/>
      <c r="MK266" s="15"/>
      <c r="ML266" s="15"/>
      <c r="MM266" s="15"/>
      <c r="MN266" s="15"/>
      <c r="MO266" s="15"/>
      <c r="MP266" s="15"/>
      <c r="MQ266" s="15"/>
      <c r="MR266" s="15"/>
      <c r="MS266" s="15"/>
      <c r="MT266" s="15"/>
      <c r="MU266" s="15"/>
      <c r="MV266" s="15"/>
      <c r="MW266" s="15"/>
    </row>
    <row r="267" ht="41.25" customHeight="1">
      <c r="A267" s="16" t="s">
        <v>218</v>
      </c>
      <c r="B267" s="14" t="s">
        <v>10288</v>
      </c>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c r="DF267" s="15"/>
      <c r="DG267" s="15"/>
      <c r="DH267" s="15"/>
      <c r="DI267" s="15"/>
      <c r="DJ267" s="15"/>
      <c r="DK267" s="15"/>
      <c r="DL267" s="15"/>
      <c r="DM267" s="15"/>
      <c r="DN267" s="15"/>
      <c r="DO267" s="15"/>
      <c r="DP267" s="15"/>
      <c r="DQ267" s="15"/>
      <c r="DR267" s="15"/>
      <c r="DS267" s="15"/>
      <c r="DT267" s="15"/>
      <c r="DU267" s="15"/>
      <c r="DV267" s="15"/>
      <c r="DW267" s="15"/>
      <c r="DX267" s="15"/>
      <c r="DY267" s="15"/>
      <c r="DZ267" s="15"/>
      <c r="EA267" s="15"/>
      <c r="EB267" s="15"/>
      <c r="EC267" s="15"/>
      <c r="ED267" s="15"/>
      <c r="EE267" s="15"/>
      <c r="EF267" s="15"/>
      <c r="EG267" s="15"/>
      <c r="EH267" s="15"/>
      <c r="EI267" s="15"/>
      <c r="EJ267" s="15"/>
      <c r="EK267" s="15"/>
      <c r="EL267" s="15"/>
      <c r="EM267" s="15"/>
      <c r="EN267" s="15"/>
      <c r="EO267" s="15"/>
      <c r="EP267" s="15"/>
      <c r="EQ267" s="15"/>
      <c r="ER267" s="15"/>
      <c r="ES267" s="15"/>
      <c r="ET267" s="15"/>
      <c r="EU267" s="15"/>
      <c r="EV267" s="15"/>
      <c r="EW267" s="15"/>
      <c r="EX267" s="15"/>
      <c r="EY267" s="15"/>
      <c r="EZ267" s="15"/>
      <c r="FA267" s="15"/>
      <c r="FB267" s="15"/>
      <c r="FC267" s="15"/>
      <c r="FD267" s="15"/>
      <c r="FE267" s="15"/>
      <c r="FF267" s="15"/>
      <c r="FG267" s="15"/>
      <c r="FH267" s="15"/>
      <c r="FI267" s="15"/>
      <c r="FJ267" s="15"/>
      <c r="FK267" s="15"/>
      <c r="FL267" s="15"/>
      <c r="FM267" s="15"/>
      <c r="FN267" s="15"/>
      <c r="FO267" s="15"/>
      <c r="FP267" s="15"/>
      <c r="FQ267" s="15"/>
      <c r="FR267" s="15"/>
      <c r="FS267" s="15"/>
      <c r="FT267" s="15"/>
      <c r="FU267" s="15"/>
      <c r="FV267" s="15"/>
      <c r="FW267" s="15"/>
      <c r="FX267" s="15"/>
      <c r="FY267" s="15"/>
      <c r="FZ267" s="15"/>
      <c r="GA267" s="15"/>
      <c r="GB267" s="15"/>
      <c r="GC267" s="15"/>
      <c r="GD267" s="15"/>
      <c r="GE267" s="15"/>
      <c r="GF267" s="15"/>
      <c r="GG267" s="15"/>
      <c r="GH267" s="15"/>
      <c r="GI267" s="15"/>
      <c r="GJ267" s="15"/>
      <c r="GK267" s="15"/>
      <c r="GL267" s="15"/>
      <c r="GM267" s="15"/>
      <c r="GN267" s="15"/>
      <c r="GO267" s="15"/>
      <c r="GP267" s="15"/>
      <c r="GQ267" s="15"/>
      <c r="GR267" s="15"/>
      <c r="GS267" s="15"/>
      <c r="GT267" s="15"/>
      <c r="GU267" s="15"/>
      <c r="GV267" s="15"/>
      <c r="GW267" s="15"/>
      <c r="GX267" s="15"/>
      <c r="GY267" s="15"/>
      <c r="GZ267" s="15"/>
      <c r="HA267" s="15"/>
      <c r="HB267" s="15"/>
      <c r="HC267" s="15"/>
      <c r="HD267" s="15"/>
      <c r="HE267" s="15"/>
      <c r="HF267" s="15"/>
      <c r="HG267" s="15"/>
      <c r="HH267" s="15"/>
      <c r="HI267" s="15"/>
      <c r="HJ267" s="15"/>
      <c r="HK267" s="15"/>
      <c r="HL267" s="15"/>
      <c r="HM267" s="15"/>
      <c r="HN267" s="15"/>
      <c r="HO267" s="15"/>
      <c r="HP267" s="15"/>
      <c r="HQ267" s="15"/>
      <c r="HR267" s="15"/>
      <c r="HS267" s="15"/>
      <c r="HT267" s="15"/>
      <c r="HU267" s="15"/>
      <c r="HV267" s="15"/>
      <c r="HW267" s="15"/>
      <c r="HX267" s="15"/>
      <c r="HY267" s="15"/>
      <c r="HZ267" s="15"/>
      <c r="IA267" s="15"/>
      <c r="IB267" s="15"/>
      <c r="IC267" s="15"/>
      <c r="ID267" s="15"/>
      <c r="IE267" s="15"/>
      <c r="IF267" s="15"/>
      <c r="IG267" s="15"/>
      <c r="IH267" s="15"/>
      <c r="II267" s="15"/>
      <c r="IJ267" s="15"/>
      <c r="IK267" s="15"/>
      <c r="IL267" s="15"/>
      <c r="IM267" s="15"/>
      <c r="IN267" s="15"/>
      <c r="IO267" s="15"/>
      <c r="IP267" s="15"/>
      <c r="IQ267" s="15"/>
      <c r="IR267" s="15"/>
      <c r="IS267" s="15"/>
      <c r="IT267" s="15"/>
      <c r="IU267" s="15"/>
      <c r="IV267" s="15"/>
      <c r="IW267" s="15"/>
      <c r="IX267" s="15"/>
      <c r="IY267" s="15"/>
      <c r="IZ267" s="15"/>
      <c r="JA267" s="15"/>
      <c r="JB267" s="15"/>
      <c r="JC267" s="15"/>
      <c r="JD267" s="15"/>
      <c r="JE267" s="15"/>
      <c r="JF267" s="15"/>
      <c r="JG267" s="15"/>
      <c r="JH267" s="15"/>
      <c r="JI267" s="15"/>
      <c r="JJ267" s="15"/>
      <c r="JK267" s="15"/>
      <c r="JL267" s="15"/>
      <c r="JM267" s="15"/>
      <c r="JN267" s="15"/>
      <c r="JO267" s="15"/>
      <c r="JP267" s="15"/>
      <c r="JQ267" s="15"/>
      <c r="JR267" s="15"/>
      <c r="JS267" s="15"/>
      <c r="JT267" s="15"/>
      <c r="JU267" s="15"/>
      <c r="JV267" s="15"/>
      <c r="JW267" s="15"/>
      <c r="JX267" s="15"/>
      <c r="JY267" s="15"/>
      <c r="JZ267" s="15"/>
      <c r="KA267" s="15"/>
      <c r="KB267" s="15"/>
      <c r="KC267" s="15"/>
      <c r="KD267" s="15"/>
      <c r="KE267" s="15"/>
      <c r="KF267" s="15"/>
      <c r="KG267" s="15"/>
      <c r="KH267" s="15"/>
      <c r="KI267" s="15"/>
      <c r="KJ267" s="15"/>
      <c r="KK267" s="15"/>
      <c r="KL267" s="15"/>
      <c r="KM267" s="15"/>
      <c r="KN267" s="15"/>
      <c r="KO267" s="15"/>
      <c r="KP267" s="15"/>
      <c r="KQ267" s="15"/>
      <c r="KR267" s="15"/>
      <c r="KS267" s="15"/>
      <c r="KT267" s="15"/>
      <c r="KU267" s="15"/>
      <c r="KV267" s="15"/>
      <c r="KW267" s="15"/>
      <c r="KX267" s="15"/>
      <c r="KY267" s="15"/>
      <c r="KZ267" s="15"/>
      <c r="LA267" s="15"/>
      <c r="LB267" s="15"/>
      <c r="LC267" s="15"/>
      <c r="LD267" s="15"/>
      <c r="LE267" s="15"/>
      <c r="LF267" s="15"/>
      <c r="LG267" s="15"/>
      <c r="LH267" s="15"/>
      <c r="LI267" s="15"/>
      <c r="LJ267" s="15"/>
      <c r="LK267" s="15"/>
      <c r="LL267" s="15"/>
      <c r="LM267" s="15"/>
      <c r="LN267" s="15"/>
      <c r="LO267" s="15"/>
      <c r="LP267" s="15"/>
      <c r="LQ267" s="15"/>
      <c r="LR267" s="15"/>
      <c r="LS267" s="15"/>
      <c r="LT267" s="15"/>
      <c r="LU267" s="15"/>
      <c r="LV267" s="15"/>
      <c r="LW267" s="15"/>
      <c r="LX267" s="15"/>
      <c r="LY267" s="15"/>
      <c r="LZ267" s="15"/>
      <c r="MA267" s="15"/>
      <c r="MB267" s="15"/>
      <c r="MC267" s="15"/>
      <c r="MD267" s="15"/>
      <c r="ME267" s="15"/>
      <c r="MF267" s="15"/>
      <c r="MG267" s="15"/>
      <c r="MH267" s="15"/>
      <c r="MI267" s="15"/>
      <c r="MJ267" s="15"/>
      <c r="MK267" s="15"/>
      <c r="ML267" s="15"/>
      <c r="MM267" s="15"/>
      <c r="MN267" s="15"/>
      <c r="MO267" s="15"/>
      <c r="MP267" s="15"/>
      <c r="MQ267" s="15"/>
      <c r="MR267" s="15"/>
      <c r="MS267" s="15"/>
      <c r="MT267" s="15"/>
      <c r="MU267" s="15"/>
      <c r="MV267" s="15"/>
      <c r="MW267" s="15"/>
    </row>
    <row r="268" ht="119.25" customHeight="1">
      <c r="A268" s="16" t="s">
        <v>147</v>
      </c>
      <c r="B268" s="14" t="s">
        <v>10289</v>
      </c>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c r="DF268" s="15"/>
      <c r="DG268" s="15"/>
      <c r="DH268" s="15"/>
      <c r="DI268" s="15"/>
      <c r="DJ268" s="15"/>
      <c r="DK268" s="15"/>
      <c r="DL268" s="15"/>
      <c r="DM268" s="15"/>
      <c r="DN268" s="15"/>
      <c r="DO268" s="15"/>
      <c r="DP268" s="15"/>
      <c r="DQ268" s="15"/>
      <c r="DR268" s="15"/>
      <c r="DS268" s="15"/>
      <c r="DT268" s="15"/>
      <c r="DU268" s="15"/>
      <c r="DV268" s="15"/>
      <c r="DW268" s="15"/>
      <c r="DX268" s="15"/>
      <c r="DY268" s="15"/>
      <c r="DZ268" s="15"/>
      <c r="EA268" s="15"/>
      <c r="EB268" s="15"/>
      <c r="EC268" s="15"/>
      <c r="ED268" s="15"/>
      <c r="EE268" s="15"/>
      <c r="EF268" s="15"/>
      <c r="EG268" s="15"/>
      <c r="EH268" s="15"/>
      <c r="EI268" s="15"/>
      <c r="EJ268" s="15"/>
      <c r="EK268" s="15"/>
      <c r="EL268" s="15"/>
      <c r="EM268" s="15"/>
      <c r="EN268" s="15"/>
      <c r="EO268" s="15"/>
      <c r="EP268" s="15"/>
      <c r="EQ268" s="15"/>
      <c r="ER268" s="15"/>
      <c r="ES268" s="15"/>
      <c r="ET268" s="15"/>
      <c r="EU268" s="15"/>
      <c r="EV268" s="15"/>
      <c r="EW268" s="15"/>
      <c r="EX268" s="15"/>
      <c r="EY268" s="15"/>
      <c r="EZ268" s="15"/>
      <c r="FA268" s="15"/>
      <c r="FB268" s="15"/>
      <c r="FC268" s="15"/>
      <c r="FD268" s="15"/>
      <c r="FE268" s="15"/>
      <c r="FF268" s="15"/>
      <c r="FG268" s="15"/>
      <c r="FH268" s="15"/>
      <c r="FI268" s="15"/>
      <c r="FJ268" s="15"/>
      <c r="FK268" s="15"/>
      <c r="FL268" s="15"/>
      <c r="FM268" s="15"/>
      <c r="FN268" s="15"/>
      <c r="FO268" s="15"/>
      <c r="FP268" s="15"/>
      <c r="FQ268" s="15"/>
      <c r="FR268" s="15"/>
      <c r="FS268" s="15"/>
      <c r="FT268" s="15"/>
      <c r="FU268" s="15"/>
      <c r="FV268" s="15"/>
      <c r="FW268" s="15"/>
      <c r="FX268" s="15"/>
      <c r="FY268" s="15"/>
      <c r="FZ268" s="15"/>
      <c r="GA268" s="15"/>
      <c r="GB268" s="15"/>
      <c r="GC268" s="15"/>
      <c r="GD268" s="15"/>
      <c r="GE268" s="15"/>
      <c r="GF268" s="15"/>
      <c r="GG268" s="15"/>
      <c r="GH268" s="15"/>
      <c r="GI268" s="15"/>
      <c r="GJ268" s="15"/>
      <c r="GK268" s="15"/>
      <c r="GL268" s="15"/>
      <c r="GM268" s="15"/>
      <c r="GN268" s="15"/>
      <c r="GO268" s="15"/>
      <c r="GP268" s="15"/>
      <c r="GQ268" s="15"/>
      <c r="GR268" s="15"/>
      <c r="GS268" s="15"/>
      <c r="GT268" s="15"/>
      <c r="GU268" s="15"/>
      <c r="GV268" s="15"/>
      <c r="GW268" s="15"/>
      <c r="GX268" s="15"/>
      <c r="GY268" s="15"/>
      <c r="GZ268" s="15"/>
      <c r="HA268" s="15"/>
      <c r="HB268" s="15"/>
      <c r="HC268" s="15"/>
      <c r="HD268" s="15"/>
      <c r="HE268" s="15"/>
      <c r="HF268" s="15"/>
      <c r="HG268" s="15"/>
      <c r="HH268" s="15"/>
      <c r="HI268" s="15"/>
      <c r="HJ268" s="15"/>
      <c r="HK268" s="15"/>
      <c r="HL268" s="15"/>
      <c r="HM268" s="15"/>
      <c r="HN268" s="15"/>
      <c r="HO268" s="15"/>
      <c r="HP268" s="15"/>
      <c r="HQ268" s="15"/>
      <c r="HR268" s="15"/>
      <c r="HS268" s="15"/>
      <c r="HT268" s="15"/>
      <c r="HU268" s="15"/>
      <c r="HV268" s="15"/>
      <c r="HW268" s="15"/>
      <c r="HX268" s="15"/>
      <c r="HY268" s="15"/>
      <c r="HZ268" s="15"/>
      <c r="IA268" s="15"/>
      <c r="IB268" s="15"/>
      <c r="IC268" s="15"/>
      <c r="ID268" s="15"/>
      <c r="IE268" s="15"/>
      <c r="IF268" s="15"/>
      <c r="IG268" s="15"/>
      <c r="IH268" s="15"/>
      <c r="II268" s="15"/>
      <c r="IJ268" s="15"/>
      <c r="IK268" s="15"/>
      <c r="IL268" s="15"/>
      <c r="IM268" s="15"/>
      <c r="IN268" s="15"/>
      <c r="IO268" s="15"/>
      <c r="IP268" s="15"/>
      <c r="IQ268" s="15"/>
      <c r="IR268" s="15"/>
      <c r="IS268" s="15"/>
      <c r="IT268" s="15"/>
      <c r="IU268" s="15"/>
      <c r="IV268" s="15"/>
      <c r="IW268" s="15"/>
      <c r="IX268" s="15"/>
      <c r="IY268" s="15"/>
      <c r="IZ268" s="15"/>
      <c r="JA268" s="15"/>
      <c r="JB268" s="15"/>
      <c r="JC268" s="15"/>
      <c r="JD268" s="15"/>
      <c r="JE268" s="15"/>
      <c r="JF268" s="15"/>
      <c r="JG268" s="15"/>
      <c r="JH268" s="15"/>
      <c r="JI268" s="15"/>
      <c r="JJ268" s="15"/>
      <c r="JK268" s="15"/>
      <c r="JL268" s="15"/>
      <c r="JM268" s="15"/>
      <c r="JN268" s="15"/>
      <c r="JO268" s="15"/>
      <c r="JP268" s="15"/>
      <c r="JQ268" s="15"/>
      <c r="JR268" s="15"/>
      <c r="JS268" s="15"/>
      <c r="JT268" s="15"/>
      <c r="JU268" s="15"/>
      <c r="JV268" s="15"/>
      <c r="JW268" s="15"/>
      <c r="JX268" s="15"/>
      <c r="JY268" s="15"/>
      <c r="JZ268" s="15"/>
      <c r="KA268" s="15"/>
      <c r="KB268" s="15"/>
      <c r="KC268" s="15"/>
      <c r="KD268" s="15"/>
      <c r="KE268" s="15"/>
      <c r="KF268" s="15"/>
      <c r="KG268" s="15"/>
      <c r="KH268" s="15"/>
      <c r="KI268" s="15"/>
      <c r="KJ268" s="15"/>
      <c r="KK268" s="15"/>
      <c r="KL268" s="15"/>
      <c r="KM268" s="15"/>
      <c r="KN268" s="15"/>
      <c r="KO268" s="15"/>
      <c r="KP268" s="15"/>
      <c r="KQ268" s="15"/>
      <c r="KR268" s="15"/>
      <c r="KS268" s="15"/>
      <c r="KT268" s="15"/>
      <c r="KU268" s="15"/>
      <c r="KV268" s="15"/>
      <c r="KW268" s="15"/>
      <c r="KX268" s="15"/>
      <c r="KY268" s="15"/>
      <c r="KZ268" s="15"/>
      <c r="LA268" s="15"/>
      <c r="LB268" s="15"/>
      <c r="LC268" s="15"/>
      <c r="LD268" s="15"/>
      <c r="LE268" s="15"/>
      <c r="LF268" s="15"/>
      <c r="LG268" s="15"/>
      <c r="LH268" s="15"/>
      <c r="LI268" s="15"/>
      <c r="LJ268" s="15"/>
      <c r="LK268" s="15"/>
      <c r="LL268" s="15"/>
      <c r="LM268" s="15"/>
      <c r="LN268" s="15"/>
      <c r="LO268" s="15"/>
      <c r="LP268" s="15"/>
      <c r="LQ268" s="15"/>
      <c r="LR268" s="15"/>
      <c r="LS268" s="15"/>
      <c r="LT268" s="15"/>
      <c r="LU268" s="15"/>
      <c r="LV268" s="15"/>
      <c r="LW268" s="15"/>
      <c r="LX268" s="15"/>
      <c r="LY268" s="15"/>
      <c r="LZ268" s="15"/>
      <c r="MA268" s="15"/>
      <c r="MB268" s="15"/>
      <c r="MC268" s="15"/>
      <c r="MD268" s="15"/>
      <c r="ME268" s="15"/>
      <c r="MF268" s="15"/>
      <c r="MG268" s="15"/>
      <c r="MH268" s="15"/>
      <c r="MI268" s="15"/>
      <c r="MJ268" s="15"/>
      <c r="MK268" s="15"/>
      <c r="ML268" s="15"/>
      <c r="MM268" s="15"/>
      <c r="MN268" s="15"/>
      <c r="MO268" s="15"/>
      <c r="MP268" s="15"/>
      <c r="MQ268" s="15"/>
      <c r="MR268" s="15"/>
      <c r="MS268" s="15"/>
      <c r="MT268" s="15"/>
      <c r="MU268" s="15"/>
      <c r="MV268" s="15"/>
      <c r="MW268" s="15"/>
    </row>
    <row r="269" ht="41.25" customHeight="1">
      <c r="A269" s="16" t="s">
        <v>148</v>
      </c>
      <c r="B269" s="14" t="s">
        <v>10290</v>
      </c>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c r="DF269" s="15"/>
      <c r="DG269" s="15"/>
      <c r="DH269" s="15"/>
      <c r="DI269" s="15"/>
      <c r="DJ269" s="15"/>
      <c r="DK269" s="15"/>
      <c r="DL269" s="15"/>
      <c r="DM269" s="15"/>
      <c r="DN269" s="15"/>
      <c r="DO269" s="15"/>
      <c r="DP269" s="15"/>
      <c r="DQ269" s="15"/>
      <c r="DR269" s="15"/>
      <c r="DS269" s="15"/>
      <c r="DT269" s="15"/>
      <c r="DU269" s="15"/>
      <c r="DV269" s="15"/>
      <c r="DW269" s="15"/>
      <c r="DX269" s="15"/>
      <c r="DY269" s="15"/>
      <c r="DZ269" s="15"/>
      <c r="EA269" s="15"/>
      <c r="EB269" s="15"/>
      <c r="EC269" s="15"/>
      <c r="ED269" s="15"/>
      <c r="EE269" s="15"/>
      <c r="EF269" s="15"/>
      <c r="EG269" s="15"/>
      <c r="EH269" s="15"/>
      <c r="EI269" s="15"/>
      <c r="EJ269" s="15"/>
      <c r="EK269" s="15"/>
      <c r="EL269" s="15"/>
      <c r="EM269" s="15"/>
      <c r="EN269" s="15"/>
      <c r="EO269" s="15"/>
      <c r="EP269" s="15"/>
      <c r="EQ269" s="15"/>
      <c r="ER269" s="15"/>
      <c r="ES269" s="15"/>
      <c r="ET269" s="15"/>
      <c r="EU269" s="15"/>
      <c r="EV269" s="15"/>
      <c r="EW269" s="15"/>
      <c r="EX269" s="15"/>
      <c r="EY269" s="15"/>
      <c r="EZ269" s="15"/>
      <c r="FA269" s="15"/>
      <c r="FB269" s="15"/>
      <c r="FC269" s="15"/>
      <c r="FD269" s="15"/>
      <c r="FE269" s="15"/>
      <c r="FF269" s="15"/>
      <c r="FG269" s="15"/>
      <c r="FH269" s="15"/>
      <c r="FI269" s="15"/>
      <c r="FJ269" s="15"/>
      <c r="FK269" s="15"/>
      <c r="FL269" s="15"/>
      <c r="FM269" s="15"/>
      <c r="FN269" s="15"/>
      <c r="FO269" s="15"/>
      <c r="FP269" s="15"/>
      <c r="FQ269" s="15"/>
      <c r="FR269" s="15"/>
      <c r="FS269" s="15"/>
      <c r="FT269" s="15"/>
      <c r="FU269" s="15"/>
      <c r="FV269" s="15"/>
      <c r="FW269" s="15"/>
      <c r="FX269" s="15"/>
      <c r="FY269" s="15"/>
      <c r="FZ269" s="15"/>
      <c r="GA269" s="15"/>
      <c r="GB269" s="15"/>
      <c r="GC269" s="15"/>
      <c r="GD269" s="15"/>
      <c r="GE269" s="15"/>
      <c r="GF269" s="15"/>
      <c r="GG269" s="15"/>
      <c r="GH269" s="15"/>
      <c r="GI269" s="15"/>
      <c r="GJ269" s="15"/>
      <c r="GK269" s="15"/>
      <c r="GL269" s="15"/>
      <c r="GM269" s="15"/>
      <c r="GN269" s="15"/>
      <c r="GO269" s="15"/>
      <c r="GP269" s="15"/>
      <c r="GQ269" s="15"/>
      <c r="GR269" s="15"/>
      <c r="GS269" s="15"/>
      <c r="GT269" s="15"/>
      <c r="GU269" s="15"/>
      <c r="GV269" s="15"/>
      <c r="GW269" s="15"/>
      <c r="GX269" s="15"/>
      <c r="GY269" s="15"/>
      <c r="GZ269" s="15"/>
      <c r="HA269" s="15"/>
      <c r="HB269" s="15"/>
      <c r="HC269" s="15"/>
      <c r="HD269" s="15"/>
      <c r="HE269" s="15"/>
      <c r="HF269" s="15"/>
      <c r="HG269" s="15"/>
      <c r="HH269" s="15"/>
      <c r="HI269" s="15"/>
      <c r="HJ269" s="15"/>
      <c r="HK269" s="15"/>
      <c r="HL269" s="15"/>
      <c r="HM269" s="15"/>
      <c r="HN269" s="15"/>
      <c r="HO269" s="15"/>
      <c r="HP269" s="15"/>
      <c r="HQ269" s="15"/>
      <c r="HR269" s="15"/>
      <c r="HS269" s="15"/>
      <c r="HT269" s="15"/>
      <c r="HU269" s="15"/>
      <c r="HV269" s="15"/>
      <c r="HW269" s="15"/>
      <c r="HX269" s="15"/>
      <c r="HY269" s="15"/>
      <c r="HZ269" s="15"/>
      <c r="IA269" s="15"/>
      <c r="IB269" s="15"/>
      <c r="IC269" s="15"/>
      <c r="ID269" s="15"/>
      <c r="IE269" s="15"/>
      <c r="IF269" s="15"/>
      <c r="IG269" s="15"/>
      <c r="IH269" s="15"/>
      <c r="II269" s="15"/>
      <c r="IJ269" s="15"/>
      <c r="IK269" s="15"/>
      <c r="IL269" s="15"/>
      <c r="IM269" s="15"/>
      <c r="IN269" s="15"/>
      <c r="IO269" s="15"/>
      <c r="IP269" s="15"/>
      <c r="IQ269" s="15"/>
      <c r="IR269" s="15"/>
      <c r="IS269" s="15"/>
      <c r="IT269" s="15"/>
      <c r="IU269" s="15"/>
      <c r="IV269" s="15"/>
      <c r="IW269" s="15"/>
      <c r="IX269" s="15"/>
      <c r="IY269" s="15"/>
      <c r="IZ269" s="15"/>
      <c r="JA269" s="15"/>
      <c r="JB269" s="15"/>
      <c r="JC269" s="15"/>
      <c r="JD269" s="15"/>
      <c r="JE269" s="15"/>
      <c r="JF269" s="15"/>
      <c r="JG269" s="15"/>
      <c r="JH269" s="15"/>
      <c r="JI269" s="15"/>
      <c r="JJ269" s="15"/>
      <c r="JK269" s="15"/>
      <c r="JL269" s="15"/>
      <c r="JM269" s="15"/>
      <c r="JN269" s="15"/>
      <c r="JO269" s="15"/>
      <c r="JP269" s="15"/>
      <c r="JQ269" s="15"/>
      <c r="JR269" s="15"/>
      <c r="JS269" s="15"/>
      <c r="JT269" s="15"/>
      <c r="JU269" s="15"/>
      <c r="JV269" s="15"/>
      <c r="JW269" s="15"/>
      <c r="JX269" s="15"/>
      <c r="JY269" s="15"/>
      <c r="JZ269" s="15"/>
      <c r="KA269" s="15"/>
      <c r="KB269" s="15"/>
      <c r="KC269" s="15"/>
      <c r="KD269" s="15"/>
      <c r="KE269" s="15"/>
      <c r="KF269" s="15"/>
      <c r="KG269" s="15"/>
      <c r="KH269" s="15"/>
      <c r="KI269" s="15"/>
      <c r="KJ269" s="15"/>
      <c r="KK269" s="15"/>
      <c r="KL269" s="15"/>
      <c r="KM269" s="15"/>
      <c r="KN269" s="15"/>
      <c r="KO269" s="15"/>
      <c r="KP269" s="15"/>
      <c r="KQ269" s="15"/>
      <c r="KR269" s="15"/>
      <c r="KS269" s="15"/>
      <c r="KT269" s="15"/>
      <c r="KU269" s="15"/>
      <c r="KV269" s="15"/>
      <c r="KW269" s="15"/>
      <c r="KX269" s="15"/>
      <c r="KY269" s="15"/>
      <c r="KZ269" s="15"/>
      <c r="LA269" s="15"/>
      <c r="LB269" s="15"/>
      <c r="LC269" s="15"/>
      <c r="LD269" s="15"/>
      <c r="LE269" s="15"/>
      <c r="LF269" s="15"/>
      <c r="LG269" s="15"/>
      <c r="LH269" s="15"/>
      <c r="LI269" s="15"/>
      <c r="LJ269" s="15"/>
      <c r="LK269" s="15"/>
      <c r="LL269" s="15"/>
      <c r="LM269" s="15"/>
      <c r="LN269" s="15"/>
      <c r="LO269" s="15"/>
      <c r="LP269" s="15"/>
      <c r="LQ269" s="15"/>
      <c r="LR269" s="15"/>
      <c r="LS269" s="15"/>
      <c r="LT269" s="15"/>
      <c r="LU269" s="15"/>
      <c r="LV269" s="15"/>
      <c r="LW269" s="15"/>
      <c r="LX269" s="15"/>
      <c r="LY269" s="15"/>
      <c r="LZ269" s="15"/>
      <c r="MA269" s="15"/>
      <c r="MB269" s="15"/>
      <c r="MC269" s="15"/>
      <c r="MD269" s="15"/>
      <c r="ME269" s="15"/>
      <c r="MF269" s="15"/>
      <c r="MG269" s="15"/>
      <c r="MH269" s="15"/>
      <c r="MI269" s="15"/>
      <c r="MJ269" s="15"/>
      <c r="MK269" s="15"/>
      <c r="ML269" s="15"/>
      <c r="MM269" s="15"/>
      <c r="MN269" s="15"/>
      <c r="MO269" s="15"/>
      <c r="MP269" s="15"/>
      <c r="MQ269" s="15"/>
      <c r="MR269" s="15"/>
      <c r="MS269" s="15"/>
      <c r="MT269" s="15"/>
      <c r="MU269" s="15"/>
      <c r="MV269" s="15"/>
      <c r="MW269" s="15"/>
    </row>
    <row r="270" ht="119.25" customHeight="1">
      <c r="A270" s="16" t="s">
        <v>263</v>
      </c>
      <c r="B270" s="14" t="s">
        <v>10291</v>
      </c>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c r="DF270" s="15"/>
      <c r="DG270" s="15"/>
      <c r="DH270" s="15"/>
      <c r="DI270" s="15"/>
      <c r="DJ270" s="15"/>
      <c r="DK270" s="15"/>
      <c r="DL270" s="15"/>
      <c r="DM270" s="15"/>
      <c r="DN270" s="15"/>
      <c r="DO270" s="15"/>
      <c r="DP270" s="15"/>
      <c r="DQ270" s="15"/>
      <c r="DR270" s="15"/>
      <c r="DS270" s="15"/>
      <c r="DT270" s="15"/>
      <c r="DU270" s="15"/>
      <c r="DV270" s="15"/>
      <c r="DW270" s="15"/>
      <c r="DX270" s="15"/>
      <c r="DY270" s="15"/>
      <c r="DZ270" s="15"/>
      <c r="EA270" s="15"/>
      <c r="EB270" s="15"/>
      <c r="EC270" s="15"/>
      <c r="ED270" s="15"/>
      <c r="EE270" s="15"/>
      <c r="EF270" s="15"/>
      <c r="EG270" s="15"/>
      <c r="EH270" s="15"/>
      <c r="EI270" s="15"/>
      <c r="EJ270" s="15"/>
      <c r="EK270" s="15"/>
      <c r="EL270" s="15"/>
      <c r="EM270" s="15"/>
      <c r="EN270" s="15"/>
      <c r="EO270" s="15"/>
      <c r="EP270" s="15"/>
      <c r="EQ270" s="15"/>
      <c r="ER270" s="15"/>
      <c r="ES270" s="15"/>
      <c r="ET270" s="15"/>
      <c r="EU270" s="15"/>
      <c r="EV270" s="15"/>
      <c r="EW270" s="15"/>
      <c r="EX270" s="15"/>
      <c r="EY270" s="15"/>
      <c r="EZ270" s="15"/>
      <c r="FA270" s="15"/>
      <c r="FB270" s="15"/>
      <c r="FC270" s="15"/>
      <c r="FD270" s="15"/>
      <c r="FE270" s="15"/>
      <c r="FF270" s="15"/>
      <c r="FG270" s="15"/>
      <c r="FH270" s="15"/>
      <c r="FI270" s="15"/>
      <c r="FJ270" s="15"/>
      <c r="FK270" s="15"/>
      <c r="FL270" s="15"/>
      <c r="FM270" s="15"/>
      <c r="FN270" s="15"/>
      <c r="FO270" s="15"/>
      <c r="FP270" s="15"/>
      <c r="FQ270" s="15"/>
      <c r="FR270" s="15"/>
      <c r="FS270" s="15"/>
      <c r="FT270" s="15"/>
      <c r="FU270" s="15"/>
      <c r="FV270" s="15"/>
      <c r="FW270" s="15"/>
      <c r="FX270" s="15"/>
      <c r="FY270" s="15"/>
      <c r="FZ270" s="15"/>
      <c r="GA270" s="15"/>
      <c r="GB270" s="15"/>
      <c r="GC270" s="15"/>
      <c r="GD270" s="15"/>
      <c r="GE270" s="15"/>
      <c r="GF270" s="15"/>
      <c r="GG270" s="15"/>
      <c r="GH270" s="15"/>
      <c r="GI270" s="15"/>
      <c r="GJ270" s="15"/>
      <c r="GK270" s="15"/>
      <c r="GL270" s="15"/>
      <c r="GM270" s="15"/>
      <c r="GN270" s="15"/>
      <c r="GO270" s="15"/>
      <c r="GP270" s="15"/>
      <c r="GQ270" s="15"/>
      <c r="GR270" s="15"/>
      <c r="GS270" s="15"/>
      <c r="GT270" s="15"/>
      <c r="GU270" s="15"/>
      <c r="GV270" s="15"/>
      <c r="GW270" s="15"/>
      <c r="GX270" s="15"/>
      <c r="GY270" s="15"/>
      <c r="GZ270" s="15"/>
      <c r="HA270" s="15"/>
      <c r="HB270" s="15"/>
      <c r="HC270" s="15"/>
      <c r="HD270" s="15"/>
      <c r="HE270" s="15"/>
      <c r="HF270" s="15"/>
      <c r="HG270" s="15"/>
      <c r="HH270" s="15"/>
      <c r="HI270" s="15"/>
      <c r="HJ270" s="15"/>
      <c r="HK270" s="15"/>
      <c r="HL270" s="15"/>
      <c r="HM270" s="15"/>
      <c r="HN270" s="15"/>
      <c r="HO270" s="15"/>
      <c r="HP270" s="15"/>
      <c r="HQ270" s="15"/>
      <c r="HR270" s="15"/>
      <c r="HS270" s="15"/>
      <c r="HT270" s="15"/>
      <c r="HU270" s="15"/>
      <c r="HV270" s="15"/>
      <c r="HW270" s="15"/>
      <c r="HX270" s="15"/>
      <c r="HY270" s="15"/>
      <c r="HZ270" s="15"/>
      <c r="IA270" s="15"/>
      <c r="IB270" s="15"/>
      <c r="IC270" s="15"/>
      <c r="ID270" s="15"/>
      <c r="IE270" s="15"/>
      <c r="IF270" s="15"/>
      <c r="IG270" s="15"/>
      <c r="IH270" s="15"/>
      <c r="II270" s="15"/>
      <c r="IJ270" s="15"/>
      <c r="IK270" s="15"/>
      <c r="IL270" s="15"/>
      <c r="IM270" s="15"/>
      <c r="IN270" s="15"/>
      <c r="IO270" s="15"/>
      <c r="IP270" s="15"/>
      <c r="IQ270" s="15"/>
      <c r="IR270" s="15"/>
      <c r="IS270" s="15"/>
      <c r="IT270" s="15"/>
      <c r="IU270" s="15"/>
      <c r="IV270" s="15"/>
      <c r="IW270" s="15"/>
      <c r="IX270" s="15"/>
      <c r="IY270" s="15"/>
      <c r="IZ270" s="15"/>
      <c r="JA270" s="15"/>
      <c r="JB270" s="15"/>
      <c r="JC270" s="15"/>
      <c r="JD270" s="15"/>
      <c r="JE270" s="15"/>
      <c r="JF270" s="15"/>
      <c r="JG270" s="15"/>
      <c r="JH270" s="15"/>
      <c r="JI270" s="15"/>
      <c r="JJ270" s="15"/>
      <c r="JK270" s="15"/>
      <c r="JL270" s="15"/>
      <c r="JM270" s="15"/>
      <c r="JN270" s="15"/>
      <c r="JO270" s="15"/>
      <c r="JP270" s="15"/>
      <c r="JQ270" s="15"/>
      <c r="JR270" s="15"/>
      <c r="JS270" s="15"/>
      <c r="JT270" s="15"/>
      <c r="JU270" s="15"/>
      <c r="JV270" s="15"/>
      <c r="JW270" s="15"/>
      <c r="JX270" s="15"/>
      <c r="JY270" s="15"/>
      <c r="JZ270" s="15"/>
      <c r="KA270" s="15"/>
      <c r="KB270" s="15"/>
      <c r="KC270" s="15"/>
      <c r="KD270" s="15"/>
      <c r="KE270" s="15"/>
      <c r="KF270" s="15"/>
      <c r="KG270" s="15"/>
      <c r="KH270" s="15"/>
      <c r="KI270" s="15"/>
      <c r="KJ270" s="15"/>
      <c r="KK270" s="15"/>
      <c r="KL270" s="15"/>
      <c r="KM270" s="15"/>
      <c r="KN270" s="15"/>
      <c r="KO270" s="15"/>
      <c r="KP270" s="15"/>
      <c r="KQ270" s="15"/>
      <c r="KR270" s="15"/>
      <c r="KS270" s="15"/>
      <c r="KT270" s="15"/>
      <c r="KU270" s="15"/>
      <c r="KV270" s="15"/>
      <c r="KW270" s="15"/>
      <c r="KX270" s="15"/>
      <c r="KY270" s="15"/>
      <c r="KZ270" s="15"/>
      <c r="LA270" s="15"/>
      <c r="LB270" s="15"/>
      <c r="LC270" s="15"/>
      <c r="LD270" s="15"/>
      <c r="LE270" s="15"/>
      <c r="LF270" s="15"/>
      <c r="LG270" s="15"/>
      <c r="LH270" s="15"/>
      <c r="LI270" s="15"/>
      <c r="LJ270" s="15"/>
      <c r="LK270" s="15"/>
      <c r="LL270" s="15"/>
      <c r="LM270" s="15"/>
      <c r="LN270" s="15"/>
      <c r="LO270" s="15"/>
      <c r="LP270" s="15"/>
      <c r="LQ270" s="15"/>
      <c r="LR270" s="15"/>
      <c r="LS270" s="15"/>
      <c r="LT270" s="15"/>
      <c r="LU270" s="15"/>
      <c r="LV270" s="15"/>
      <c r="LW270" s="15"/>
      <c r="LX270" s="15"/>
      <c r="LY270" s="15"/>
      <c r="LZ270" s="15"/>
      <c r="MA270" s="15"/>
      <c r="MB270" s="15"/>
      <c r="MC270" s="15"/>
      <c r="MD270" s="15"/>
      <c r="ME270" s="15"/>
      <c r="MF270" s="15"/>
      <c r="MG270" s="15"/>
      <c r="MH270" s="15"/>
      <c r="MI270" s="15"/>
      <c r="MJ270" s="15"/>
      <c r="MK270" s="15"/>
      <c r="ML270" s="15"/>
      <c r="MM270" s="15"/>
      <c r="MN270" s="15"/>
      <c r="MO270" s="15"/>
      <c r="MP270" s="15"/>
      <c r="MQ270" s="15"/>
      <c r="MR270" s="15"/>
      <c r="MS270" s="15"/>
      <c r="MT270" s="15"/>
      <c r="MU270" s="15"/>
      <c r="MV270" s="15"/>
      <c r="MW270" s="15"/>
    </row>
    <row r="271" ht="41.25" customHeight="1">
      <c r="A271" s="16" t="s">
        <v>264</v>
      </c>
      <c r="B271" s="14" t="s">
        <v>10292</v>
      </c>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c r="DF271" s="15"/>
      <c r="DG271" s="15"/>
      <c r="DH271" s="15"/>
      <c r="DI271" s="15"/>
      <c r="DJ271" s="15"/>
      <c r="DK271" s="15"/>
      <c r="DL271" s="15"/>
      <c r="DM271" s="15"/>
      <c r="DN271" s="15"/>
      <c r="DO271" s="15"/>
      <c r="DP271" s="15"/>
      <c r="DQ271" s="15"/>
      <c r="DR271" s="15"/>
      <c r="DS271" s="15"/>
      <c r="DT271" s="15"/>
      <c r="DU271" s="15"/>
      <c r="DV271" s="15"/>
      <c r="DW271" s="15"/>
      <c r="DX271" s="15"/>
      <c r="DY271" s="15"/>
      <c r="DZ271" s="15"/>
      <c r="EA271" s="15"/>
      <c r="EB271" s="15"/>
      <c r="EC271" s="15"/>
      <c r="ED271" s="15"/>
      <c r="EE271" s="15"/>
      <c r="EF271" s="15"/>
      <c r="EG271" s="15"/>
      <c r="EH271" s="15"/>
      <c r="EI271" s="15"/>
      <c r="EJ271" s="15"/>
      <c r="EK271" s="15"/>
      <c r="EL271" s="15"/>
      <c r="EM271" s="15"/>
      <c r="EN271" s="15"/>
      <c r="EO271" s="15"/>
      <c r="EP271" s="15"/>
      <c r="EQ271" s="15"/>
      <c r="ER271" s="15"/>
      <c r="ES271" s="15"/>
      <c r="ET271" s="15"/>
      <c r="EU271" s="15"/>
      <c r="EV271" s="15"/>
      <c r="EW271" s="15"/>
      <c r="EX271" s="15"/>
      <c r="EY271" s="15"/>
      <c r="EZ271" s="15"/>
      <c r="FA271" s="15"/>
      <c r="FB271" s="15"/>
      <c r="FC271" s="15"/>
      <c r="FD271" s="15"/>
      <c r="FE271" s="15"/>
      <c r="FF271" s="15"/>
      <c r="FG271" s="15"/>
      <c r="FH271" s="15"/>
      <c r="FI271" s="15"/>
      <c r="FJ271" s="15"/>
      <c r="FK271" s="15"/>
      <c r="FL271" s="15"/>
      <c r="FM271" s="15"/>
      <c r="FN271" s="15"/>
      <c r="FO271" s="15"/>
      <c r="FP271" s="15"/>
      <c r="FQ271" s="15"/>
      <c r="FR271" s="15"/>
      <c r="FS271" s="15"/>
      <c r="FT271" s="15"/>
      <c r="FU271" s="15"/>
      <c r="FV271" s="15"/>
      <c r="FW271" s="15"/>
      <c r="FX271" s="15"/>
      <c r="FY271" s="15"/>
      <c r="FZ271" s="15"/>
      <c r="GA271" s="15"/>
      <c r="GB271" s="15"/>
      <c r="GC271" s="15"/>
      <c r="GD271" s="15"/>
      <c r="GE271" s="15"/>
      <c r="GF271" s="15"/>
      <c r="GG271" s="15"/>
      <c r="GH271" s="15"/>
      <c r="GI271" s="15"/>
      <c r="GJ271" s="15"/>
      <c r="GK271" s="15"/>
      <c r="GL271" s="15"/>
      <c r="GM271" s="15"/>
      <c r="GN271" s="15"/>
      <c r="GO271" s="15"/>
      <c r="GP271" s="15"/>
      <c r="GQ271" s="15"/>
      <c r="GR271" s="15"/>
      <c r="GS271" s="15"/>
      <c r="GT271" s="15"/>
      <c r="GU271" s="15"/>
      <c r="GV271" s="15"/>
      <c r="GW271" s="15"/>
      <c r="GX271" s="15"/>
      <c r="GY271" s="15"/>
      <c r="GZ271" s="15"/>
      <c r="HA271" s="15"/>
      <c r="HB271" s="15"/>
      <c r="HC271" s="15"/>
      <c r="HD271" s="15"/>
      <c r="HE271" s="15"/>
      <c r="HF271" s="15"/>
      <c r="HG271" s="15"/>
      <c r="HH271" s="15"/>
      <c r="HI271" s="15"/>
      <c r="HJ271" s="15"/>
      <c r="HK271" s="15"/>
      <c r="HL271" s="15"/>
      <c r="HM271" s="15"/>
      <c r="HN271" s="15"/>
      <c r="HO271" s="15"/>
      <c r="HP271" s="15"/>
      <c r="HQ271" s="15"/>
      <c r="HR271" s="15"/>
      <c r="HS271" s="15"/>
      <c r="HT271" s="15"/>
      <c r="HU271" s="15"/>
      <c r="HV271" s="15"/>
      <c r="HW271" s="15"/>
      <c r="HX271" s="15"/>
      <c r="HY271" s="15"/>
      <c r="HZ271" s="15"/>
      <c r="IA271" s="15"/>
      <c r="IB271" s="15"/>
      <c r="IC271" s="15"/>
      <c r="ID271" s="15"/>
      <c r="IE271" s="15"/>
      <c r="IF271" s="15"/>
      <c r="IG271" s="15"/>
      <c r="IH271" s="15"/>
      <c r="II271" s="15"/>
      <c r="IJ271" s="15"/>
      <c r="IK271" s="15"/>
      <c r="IL271" s="15"/>
      <c r="IM271" s="15"/>
      <c r="IN271" s="15"/>
      <c r="IO271" s="15"/>
      <c r="IP271" s="15"/>
      <c r="IQ271" s="15"/>
      <c r="IR271" s="15"/>
      <c r="IS271" s="15"/>
      <c r="IT271" s="15"/>
      <c r="IU271" s="15"/>
      <c r="IV271" s="15"/>
      <c r="IW271" s="15"/>
      <c r="IX271" s="15"/>
      <c r="IY271" s="15"/>
      <c r="IZ271" s="15"/>
      <c r="JA271" s="15"/>
      <c r="JB271" s="15"/>
      <c r="JC271" s="15"/>
      <c r="JD271" s="15"/>
      <c r="JE271" s="15"/>
      <c r="JF271" s="15"/>
      <c r="JG271" s="15"/>
      <c r="JH271" s="15"/>
      <c r="JI271" s="15"/>
      <c r="JJ271" s="15"/>
      <c r="JK271" s="15"/>
      <c r="JL271" s="15"/>
      <c r="JM271" s="15"/>
      <c r="JN271" s="15"/>
      <c r="JO271" s="15"/>
      <c r="JP271" s="15"/>
      <c r="JQ271" s="15"/>
      <c r="JR271" s="15"/>
      <c r="JS271" s="15"/>
      <c r="JT271" s="15"/>
      <c r="JU271" s="15"/>
      <c r="JV271" s="15"/>
      <c r="JW271" s="15"/>
      <c r="JX271" s="15"/>
      <c r="JY271" s="15"/>
      <c r="JZ271" s="15"/>
      <c r="KA271" s="15"/>
      <c r="KB271" s="15"/>
      <c r="KC271" s="15"/>
      <c r="KD271" s="15"/>
      <c r="KE271" s="15"/>
      <c r="KF271" s="15"/>
      <c r="KG271" s="15"/>
      <c r="KH271" s="15"/>
      <c r="KI271" s="15"/>
      <c r="KJ271" s="15"/>
      <c r="KK271" s="15"/>
      <c r="KL271" s="15"/>
      <c r="KM271" s="15"/>
      <c r="KN271" s="15"/>
      <c r="KO271" s="15"/>
      <c r="KP271" s="15"/>
      <c r="KQ271" s="15"/>
      <c r="KR271" s="15"/>
      <c r="KS271" s="15"/>
      <c r="KT271" s="15"/>
      <c r="KU271" s="15"/>
      <c r="KV271" s="15"/>
      <c r="KW271" s="15"/>
      <c r="KX271" s="15"/>
      <c r="KY271" s="15"/>
      <c r="KZ271" s="15"/>
      <c r="LA271" s="15"/>
      <c r="LB271" s="15"/>
      <c r="LC271" s="15"/>
      <c r="LD271" s="15"/>
      <c r="LE271" s="15"/>
      <c r="LF271" s="15"/>
      <c r="LG271" s="15"/>
      <c r="LH271" s="15"/>
      <c r="LI271" s="15"/>
      <c r="LJ271" s="15"/>
      <c r="LK271" s="15"/>
      <c r="LL271" s="15"/>
      <c r="LM271" s="15"/>
      <c r="LN271" s="15"/>
      <c r="LO271" s="15"/>
      <c r="LP271" s="15"/>
      <c r="LQ271" s="15"/>
      <c r="LR271" s="15"/>
      <c r="LS271" s="15"/>
      <c r="LT271" s="15"/>
      <c r="LU271" s="15"/>
      <c r="LV271" s="15"/>
      <c r="LW271" s="15"/>
      <c r="LX271" s="15"/>
      <c r="LY271" s="15"/>
      <c r="LZ271" s="15"/>
      <c r="MA271" s="15"/>
      <c r="MB271" s="15"/>
      <c r="MC271" s="15"/>
      <c r="MD271" s="15"/>
      <c r="ME271" s="15"/>
      <c r="MF271" s="15"/>
      <c r="MG271" s="15"/>
      <c r="MH271" s="15"/>
      <c r="MI271" s="15"/>
      <c r="MJ271" s="15"/>
      <c r="MK271" s="15"/>
      <c r="ML271" s="15"/>
      <c r="MM271" s="15"/>
      <c r="MN271" s="15"/>
      <c r="MO271" s="15"/>
      <c r="MP271" s="15"/>
      <c r="MQ271" s="15"/>
      <c r="MR271" s="15"/>
      <c r="MS271" s="15"/>
      <c r="MT271" s="15"/>
      <c r="MU271" s="15"/>
      <c r="MV271" s="15"/>
      <c r="MW271" s="15"/>
    </row>
    <row r="272" ht="119.25" customHeight="1">
      <c r="A272" s="16" t="s">
        <v>265</v>
      </c>
      <c r="B272" s="14" t="s">
        <v>10293</v>
      </c>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c r="DF272" s="15"/>
      <c r="DG272" s="15"/>
      <c r="DH272" s="15"/>
      <c r="DI272" s="15"/>
      <c r="DJ272" s="15"/>
      <c r="DK272" s="15"/>
      <c r="DL272" s="15"/>
      <c r="DM272" s="15"/>
      <c r="DN272" s="15"/>
      <c r="DO272" s="15"/>
      <c r="DP272" s="15"/>
      <c r="DQ272" s="15"/>
      <c r="DR272" s="15"/>
      <c r="DS272" s="15"/>
      <c r="DT272" s="15"/>
      <c r="DU272" s="15"/>
      <c r="DV272" s="15"/>
      <c r="DW272" s="15"/>
      <c r="DX272" s="15"/>
      <c r="DY272" s="15"/>
      <c r="DZ272" s="15"/>
      <c r="EA272" s="15"/>
      <c r="EB272" s="15"/>
      <c r="EC272" s="15"/>
      <c r="ED272" s="15"/>
      <c r="EE272" s="15"/>
      <c r="EF272" s="15"/>
      <c r="EG272" s="15"/>
      <c r="EH272" s="15"/>
      <c r="EI272" s="15"/>
      <c r="EJ272" s="15"/>
      <c r="EK272" s="15"/>
      <c r="EL272" s="15"/>
      <c r="EM272" s="15"/>
      <c r="EN272" s="15"/>
      <c r="EO272" s="15"/>
      <c r="EP272" s="15"/>
      <c r="EQ272" s="15"/>
      <c r="ER272" s="15"/>
      <c r="ES272" s="15"/>
      <c r="ET272" s="15"/>
      <c r="EU272" s="15"/>
      <c r="EV272" s="15"/>
      <c r="EW272" s="15"/>
      <c r="EX272" s="15"/>
      <c r="EY272" s="15"/>
      <c r="EZ272" s="15"/>
      <c r="FA272" s="15"/>
      <c r="FB272" s="15"/>
      <c r="FC272" s="15"/>
      <c r="FD272" s="15"/>
      <c r="FE272" s="15"/>
      <c r="FF272" s="15"/>
      <c r="FG272" s="15"/>
      <c r="FH272" s="15"/>
      <c r="FI272" s="15"/>
      <c r="FJ272" s="15"/>
      <c r="FK272" s="15"/>
      <c r="FL272" s="15"/>
      <c r="FM272" s="15"/>
      <c r="FN272" s="15"/>
      <c r="FO272" s="15"/>
      <c r="FP272" s="15"/>
      <c r="FQ272" s="15"/>
      <c r="FR272" s="15"/>
      <c r="FS272" s="15"/>
      <c r="FT272" s="15"/>
      <c r="FU272" s="15"/>
      <c r="FV272" s="15"/>
      <c r="FW272" s="15"/>
      <c r="FX272" s="15"/>
      <c r="FY272" s="15"/>
      <c r="FZ272" s="15"/>
      <c r="GA272" s="15"/>
      <c r="GB272" s="15"/>
      <c r="GC272" s="15"/>
      <c r="GD272" s="15"/>
      <c r="GE272" s="15"/>
      <c r="GF272" s="15"/>
      <c r="GG272" s="15"/>
      <c r="GH272" s="15"/>
      <c r="GI272" s="15"/>
      <c r="GJ272" s="15"/>
      <c r="GK272" s="15"/>
      <c r="GL272" s="15"/>
      <c r="GM272" s="15"/>
      <c r="GN272" s="15"/>
      <c r="GO272" s="15"/>
      <c r="GP272" s="15"/>
      <c r="GQ272" s="15"/>
      <c r="GR272" s="15"/>
      <c r="GS272" s="15"/>
      <c r="GT272" s="15"/>
      <c r="GU272" s="15"/>
      <c r="GV272" s="15"/>
      <c r="GW272" s="15"/>
      <c r="GX272" s="15"/>
      <c r="GY272" s="15"/>
      <c r="GZ272" s="15"/>
      <c r="HA272" s="15"/>
      <c r="HB272" s="15"/>
      <c r="HC272" s="15"/>
      <c r="HD272" s="15"/>
      <c r="HE272" s="15"/>
      <c r="HF272" s="15"/>
      <c r="HG272" s="15"/>
      <c r="HH272" s="15"/>
      <c r="HI272" s="15"/>
      <c r="HJ272" s="15"/>
      <c r="HK272" s="15"/>
      <c r="HL272" s="15"/>
      <c r="HM272" s="15"/>
      <c r="HN272" s="15"/>
      <c r="HO272" s="15"/>
      <c r="HP272" s="15"/>
      <c r="HQ272" s="15"/>
      <c r="HR272" s="15"/>
      <c r="HS272" s="15"/>
      <c r="HT272" s="15"/>
      <c r="HU272" s="15"/>
      <c r="HV272" s="15"/>
      <c r="HW272" s="15"/>
      <c r="HX272" s="15"/>
      <c r="HY272" s="15"/>
      <c r="HZ272" s="15"/>
      <c r="IA272" s="15"/>
      <c r="IB272" s="15"/>
      <c r="IC272" s="15"/>
      <c r="ID272" s="15"/>
      <c r="IE272" s="15"/>
      <c r="IF272" s="15"/>
      <c r="IG272" s="15"/>
      <c r="IH272" s="15"/>
      <c r="II272" s="15"/>
      <c r="IJ272" s="15"/>
      <c r="IK272" s="15"/>
      <c r="IL272" s="15"/>
      <c r="IM272" s="15"/>
      <c r="IN272" s="15"/>
      <c r="IO272" s="15"/>
      <c r="IP272" s="15"/>
      <c r="IQ272" s="15"/>
      <c r="IR272" s="15"/>
      <c r="IS272" s="15"/>
      <c r="IT272" s="15"/>
      <c r="IU272" s="15"/>
      <c r="IV272" s="15"/>
      <c r="IW272" s="15"/>
      <c r="IX272" s="15"/>
      <c r="IY272" s="15"/>
      <c r="IZ272" s="15"/>
      <c r="JA272" s="15"/>
      <c r="JB272" s="15"/>
      <c r="JC272" s="15"/>
      <c r="JD272" s="15"/>
      <c r="JE272" s="15"/>
      <c r="JF272" s="15"/>
      <c r="JG272" s="15"/>
      <c r="JH272" s="15"/>
      <c r="JI272" s="15"/>
      <c r="JJ272" s="15"/>
      <c r="JK272" s="15"/>
      <c r="JL272" s="15"/>
      <c r="JM272" s="15"/>
      <c r="JN272" s="15"/>
      <c r="JO272" s="15"/>
      <c r="JP272" s="15"/>
      <c r="JQ272" s="15"/>
      <c r="JR272" s="15"/>
      <c r="JS272" s="15"/>
      <c r="JT272" s="15"/>
      <c r="JU272" s="15"/>
      <c r="JV272" s="15"/>
      <c r="JW272" s="15"/>
      <c r="JX272" s="15"/>
      <c r="JY272" s="15"/>
      <c r="JZ272" s="15"/>
      <c r="KA272" s="15"/>
      <c r="KB272" s="15"/>
      <c r="KC272" s="15"/>
      <c r="KD272" s="15"/>
      <c r="KE272" s="15"/>
      <c r="KF272" s="15"/>
      <c r="KG272" s="15"/>
      <c r="KH272" s="15"/>
      <c r="KI272" s="15"/>
      <c r="KJ272" s="15"/>
      <c r="KK272" s="15"/>
      <c r="KL272" s="15"/>
      <c r="KM272" s="15"/>
      <c r="KN272" s="15"/>
      <c r="KO272" s="15"/>
      <c r="KP272" s="15"/>
      <c r="KQ272" s="15"/>
      <c r="KR272" s="15"/>
      <c r="KS272" s="15"/>
      <c r="KT272" s="15"/>
      <c r="KU272" s="15"/>
      <c r="KV272" s="15"/>
      <c r="KW272" s="15"/>
      <c r="KX272" s="15"/>
      <c r="KY272" s="15"/>
      <c r="KZ272" s="15"/>
      <c r="LA272" s="15"/>
      <c r="LB272" s="15"/>
      <c r="LC272" s="15"/>
      <c r="LD272" s="15"/>
      <c r="LE272" s="15"/>
      <c r="LF272" s="15"/>
      <c r="LG272" s="15"/>
      <c r="LH272" s="15"/>
      <c r="LI272" s="15"/>
      <c r="LJ272" s="15"/>
      <c r="LK272" s="15"/>
      <c r="LL272" s="15"/>
      <c r="LM272" s="15"/>
      <c r="LN272" s="15"/>
      <c r="LO272" s="15"/>
      <c r="LP272" s="15"/>
      <c r="LQ272" s="15"/>
      <c r="LR272" s="15"/>
      <c r="LS272" s="15"/>
      <c r="LT272" s="15"/>
      <c r="LU272" s="15"/>
      <c r="LV272" s="15"/>
      <c r="LW272" s="15"/>
      <c r="LX272" s="15"/>
      <c r="LY272" s="15"/>
      <c r="LZ272" s="15"/>
      <c r="MA272" s="15"/>
      <c r="MB272" s="15"/>
      <c r="MC272" s="15"/>
      <c r="MD272" s="15"/>
      <c r="ME272" s="15"/>
      <c r="MF272" s="15"/>
      <c r="MG272" s="15"/>
      <c r="MH272" s="15"/>
      <c r="MI272" s="15"/>
      <c r="MJ272" s="15"/>
      <c r="MK272" s="15"/>
      <c r="ML272" s="15"/>
      <c r="MM272" s="15"/>
      <c r="MN272" s="15"/>
      <c r="MO272" s="15"/>
      <c r="MP272" s="15"/>
      <c r="MQ272" s="15"/>
      <c r="MR272" s="15"/>
      <c r="MS272" s="15"/>
      <c r="MT272" s="15"/>
      <c r="MU272" s="15"/>
      <c r="MV272" s="15"/>
      <c r="MW272" s="15"/>
    </row>
    <row r="273" ht="41.25" customHeight="1">
      <c r="A273" s="16" t="s">
        <v>266</v>
      </c>
      <c r="B273" s="14" t="s">
        <v>10294</v>
      </c>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c r="DF273" s="15"/>
      <c r="DG273" s="15"/>
      <c r="DH273" s="15"/>
      <c r="DI273" s="15"/>
      <c r="DJ273" s="15"/>
      <c r="DK273" s="15"/>
      <c r="DL273" s="15"/>
      <c r="DM273" s="15"/>
      <c r="DN273" s="15"/>
      <c r="DO273" s="15"/>
      <c r="DP273" s="15"/>
      <c r="DQ273" s="15"/>
      <c r="DR273" s="15"/>
      <c r="DS273" s="15"/>
      <c r="DT273" s="15"/>
      <c r="DU273" s="15"/>
      <c r="DV273" s="15"/>
      <c r="DW273" s="15"/>
      <c r="DX273" s="15"/>
      <c r="DY273" s="15"/>
      <c r="DZ273" s="15"/>
      <c r="EA273" s="15"/>
      <c r="EB273" s="15"/>
      <c r="EC273" s="15"/>
      <c r="ED273" s="15"/>
      <c r="EE273" s="15"/>
      <c r="EF273" s="15"/>
      <c r="EG273" s="15"/>
      <c r="EH273" s="15"/>
      <c r="EI273" s="15"/>
      <c r="EJ273" s="15"/>
      <c r="EK273" s="15"/>
      <c r="EL273" s="15"/>
      <c r="EM273" s="15"/>
      <c r="EN273" s="15"/>
      <c r="EO273" s="15"/>
      <c r="EP273" s="15"/>
      <c r="EQ273" s="15"/>
      <c r="ER273" s="15"/>
      <c r="ES273" s="15"/>
      <c r="ET273" s="15"/>
      <c r="EU273" s="15"/>
      <c r="EV273" s="15"/>
      <c r="EW273" s="15"/>
      <c r="EX273" s="15"/>
      <c r="EY273" s="15"/>
      <c r="EZ273" s="15"/>
      <c r="FA273" s="15"/>
      <c r="FB273" s="15"/>
      <c r="FC273" s="15"/>
      <c r="FD273" s="15"/>
      <c r="FE273" s="15"/>
      <c r="FF273" s="15"/>
      <c r="FG273" s="15"/>
      <c r="FH273" s="15"/>
      <c r="FI273" s="15"/>
      <c r="FJ273" s="15"/>
      <c r="FK273" s="15"/>
      <c r="FL273" s="15"/>
      <c r="FM273" s="15"/>
      <c r="FN273" s="15"/>
      <c r="FO273" s="15"/>
      <c r="FP273" s="15"/>
      <c r="FQ273" s="15"/>
      <c r="FR273" s="15"/>
      <c r="FS273" s="15"/>
      <c r="FT273" s="15"/>
      <c r="FU273" s="15"/>
      <c r="FV273" s="15"/>
      <c r="FW273" s="15"/>
      <c r="FX273" s="15"/>
      <c r="FY273" s="15"/>
      <c r="FZ273" s="15"/>
      <c r="GA273" s="15"/>
      <c r="GB273" s="15"/>
      <c r="GC273" s="15"/>
      <c r="GD273" s="15"/>
      <c r="GE273" s="15"/>
      <c r="GF273" s="15"/>
      <c r="GG273" s="15"/>
      <c r="GH273" s="15"/>
      <c r="GI273" s="15"/>
      <c r="GJ273" s="15"/>
      <c r="GK273" s="15"/>
      <c r="GL273" s="15"/>
      <c r="GM273" s="15"/>
      <c r="GN273" s="15"/>
      <c r="GO273" s="15"/>
      <c r="GP273" s="15"/>
      <c r="GQ273" s="15"/>
      <c r="GR273" s="15"/>
      <c r="GS273" s="15"/>
      <c r="GT273" s="15"/>
      <c r="GU273" s="15"/>
      <c r="GV273" s="15"/>
      <c r="GW273" s="15"/>
      <c r="GX273" s="15"/>
      <c r="GY273" s="15"/>
      <c r="GZ273" s="15"/>
      <c r="HA273" s="15"/>
      <c r="HB273" s="15"/>
      <c r="HC273" s="15"/>
      <c r="HD273" s="15"/>
      <c r="HE273" s="15"/>
      <c r="HF273" s="15"/>
      <c r="HG273" s="15"/>
      <c r="HH273" s="15"/>
      <c r="HI273" s="15"/>
      <c r="HJ273" s="15"/>
      <c r="HK273" s="15"/>
      <c r="HL273" s="15"/>
      <c r="HM273" s="15"/>
      <c r="HN273" s="15"/>
      <c r="HO273" s="15"/>
      <c r="HP273" s="15"/>
      <c r="HQ273" s="15"/>
      <c r="HR273" s="15"/>
      <c r="HS273" s="15"/>
      <c r="HT273" s="15"/>
      <c r="HU273" s="15"/>
      <c r="HV273" s="15"/>
      <c r="HW273" s="15"/>
      <c r="HX273" s="15"/>
      <c r="HY273" s="15"/>
      <c r="HZ273" s="15"/>
      <c r="IA273" s="15"/>
      <c r="IB273" s="15"/>
      <c r="IC273" s="15"/>
      <c r="ID273" s="15"/>
      <c r="IE273" s="15"/>
      <c r="IF273" s="15"/>
      <c r="IG273" s="15"/>
      <c r="IH273" s="15"/>
      <c r="II273" s="15"/>
      <c r="IJ273" s="15"/>
      <c r="IK273" s="15"/>
      <c r="IL273" s="15"/>
      <c r="IM273" s="15"/>
      <c r="IN273" s="15"/>
      <c r="IO273" s="15"/>
      <c r="IP273" s="15"/>
      <c r="IQ273" s="15"/>
      <c r="IR273" s="15"/>
      <c r="IS273" s="15"/>
      <c r="IT273" s="15"/>
      <c r="IU273" s="15"/>
      <c r="IV273" s="15"/>
      <c r="IW273" s="15"/>
      <c r="IX273" s="15"/>
      <c r="IY273" s="15"/>
      <c r="IZ273" s="15"/>
      <c r="JA273" s="15"/>
      <c r="JB273" s="15"/>
      <c r="JC273" s="15"/>
      <c r="JD273" s="15"/>
      <c r="JE273" s="15"/>
      <c r="JF273" s="15"/>
      <c r="JG273" s="15"/>
      <c r="JH273" s="15"/>
      <c r="JI273" s="15"/>
      <c r="JJ273" s="15"/>
      <c r="JK273" s="15"/>
      <c r="JL273" s="15"/>
      <c r="JM273" s="15"/>
      <c r="JN273" s="15"/>
      <c r="JO273" s="15"/>
      <c r="JP273" s="15"/>
      <c r="JQ273" s="15"/>
      <c r="JR273" s="15"/>
      <c r="JS273" s="15"/>
      <c r="JT273" s="15"/>
      <c r="JU273" s="15"/>
      <c r="JV273" s="15"/>
      <c r="JW273" s="15"/>
      <c r="JX273" s="15"/>
      <c r="JY273" s="15"/>
      <c r="JZ273" s="15"/>
      <c r="KA273" s="15"/>
      <c r="KB273" s="15"/>
      <c r="KC273" s="15"/>
      <c r="KD273" s="15"/>
      <c r="KE273" s="15"/>
      <c r="KF273" s="15"/>
      <c r="KG273" s="15"/>
      <c r="KH273" s="15"/>
      <c r="KI273" s="15"/>
      <c r="KJ273" s="15"/>
      <c r="KK273" s="15"/>
      <c r="KL273" s="15"/>
      <c r="KM273" s="15"/>
      <c r="KN273" s="15"/>
      <c r="KO273" s="15"/>
      <c r="KP273" s="15"/>
      <c r="KQ273" s="15"/>
      <c r="KR273" s="15"/>
      <c r="KS273" s="15"/>
      <c r="KT273" s="15"/>
      <c r="KU273" s="15"/>
      <c r="KV273" s="15"/>
      <c r="KW273" s="15"/>
      <c r="KX273" s="15"/>
      <c r="KY273" s="15"/>
      <c r="KZ273" s="15"/>
      <c r="LA273" s="15"/>
      <c r="LB273" s="15"/>
      <c r="LC273" s="15"/>
      <c r="LD273" s="15"/>
      <c r="LE273" s="15"/>
      <c r="LF273" s="15"/>
      <c r="LG273" s="15"/>
      <c r="LH273" s="15"/>
      <c r="LI273" s="15"/>
      <c r="LJ273" s="15"/>
      <c r="LK273" s="15"/>
      <c r="LL273" s="15"/>
      <c r="LM273" s="15"/>
      <c r="LN273" s="15"/>
      <c r="LO273" s="15"/>
      <c r="LP273" s="15"/>
      <c r="LQ273" s="15"/>
      <c r="LR273" s="15"/>
      <c r="LS273" s="15"/>
      <c r="LT273" s="15"/>
      <c r="LU273" s="15"/>
      <c r="LV273" s="15"/>
      <c r="LW273" s="15"/>
      <c r="LX273" s="15"/>
      <c r="LY273" s="15"/>
      <c r="LZ273" s="15"/>
      <c r="MA273" s="15"/>
      <c r="MB273" s="15"/>
      <c r="MC273" s="15"/>
      <c r="MD273" s="15"/>
      <c r="ME273" s="15"/>
      <c r="MF273" s="15"/>
      <c r="MG273" s="15"/>
      <c r="MH273" s="15"/>
      <c r="MI273" s="15"/>
      <c r="MJ273" s="15"/>
      <c r="MK273" s="15"/>
      <c r="ML273" s="15"/>
      <c r="MM273" s="15"/>
      <c r="MN273" s="15"/>
      <c r="MO273" s="15"/>
      <c r="MP273" s="15"/>
      <c r="MQ273" s="15"/>
      <c r="MR273" s="15"/>
      <c r="MS273" s="15"/>
      <c r="MT273" s="15"/>
      <c r="MU273" s="15"/>
      <c r="MV273" s="15"/>
      <c r="MW273" s="15"/>
    </row>
    <row r="274" ht="119.25" customHeight="1">
      <c r="A274" s="16" t="s">
        <v>267</v>
      </c>
      <c r="B274" s="14" t="s">
        <v>10295</v>
      </c>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c r="DF274" s="15"/>
      <c r="DG274" s="15"/>
      <c r="DH274" s="15"/>
      <c r="DI274" s="15"/>
      <c r="DJ274" s="15"/>
      <c r="DK274" s="15"/>
      <c r="DL274" s="15"/>
      <c r="DM274" s="15"/>
      <c r="DN274" s="15"/>
      <c r="DO274" s="15"/>
      <c r="DP274" s="15"/>
      <c r="DQ274" s="15"/>
      <c r="DR274" s="15"/>
      <c r="DS274" s="15"/>
      <c r="DT274" s="15"/>
      <c r="DU274" s="15"/>
      <c r="DV274" s="15"/>
      <c r="DW274" s="15"/>
      <c r="DX274" s="15"/>
      <c r="DY274" s="15"/>
      <c r="DZ274" s="15"/>
      <c r="EA274" s="15"/>
      <c r="EB274" s="15"/>
      <c r="EC274" s="15"/>
      <c r="ED274" s="15"/>
      <c r="EE274" s="15"/>
      <c r="EF274" s="15"/>
      <c r="EG274" s="15"/>
      <c r="EH274" s="15"/>
      <c r="EI274" s="15"/>
      <c r="EJ274" s="15"/>
      <c r="EK274" s="15"/>
      <c r="EL274" s="15"/>
      <c r="EM274" s="15"/>
      <c r="EN274" s="15"/>
      <c r="EO274" s="15"/>
      <c r="EP274" s="15"/>
      <c r="EQ274" s="15"/>
      <c r="ER274" s="15"/>
      <c r="ES274" s="15"/>
      <c r="ET274" s="15"/>
      <c r="EU274" s="15"/>
      <c r="EV274" s="15"/>
      <c r="EW274" s="15"/>
      <c r="EX274" s="15"/>
      <c r="EY274" s="15"/>
      <c r="EZ274" s="15"/>
      <c r="FA274" s="15"/>
      <c r="FB274" s="15"/>
      <c r="FC274" s="15"/>
      <c r="FD274" s="15"/>
      <c r="FE274" s="15"/>
      <c r="FF274" s="15"/>
      <c r="FG274" s="15"/>
      <c r="FH274" s="15"/>
      <c r="FI274" s="15"/>
      <c r="FJ274" s="15"/>
      <c r="FK274" s="15"/>
      <c r="FL274" s="15"/>
      <c r="FM274" s="15"/>
      <c r="FN274" s="15"/>
      <c r="FO274" s="15"/>
      <c r="FP274" s="15"/>
      <c r="FQ274" s="15"/>
      <c r="FR274" s="15"/>
      <c r="FS274" s="15"/>
      <c r="FT274" s="15"/>
      <c r="FU274" s="15"/>
      <c r="FV274" s="15"/>
      <c r="FW274" s="15"/>
      <c r="FX274" s="15"/>
      <c r="FY274" s="15"/>
      <c r="FZ274" s="15"/>
      <c r="GA274" s="15"/>
      <c r="GB274" s="15"/>
      <c r="GC274" s="15"/>
      <c r="GD274" s="15"/>
      <c r="GE274" s="15"/>
      <c r="GF274" s="15"/>
      <c r="GG274" s="15"/>
      <c r="GH274" s="15"/>
      <c r="GI274" s="15"/>
      <c r="GJ274" s="15"/>
      <c r="GK274" s="15"/>
      <c r="GL274" s="15"/>
      <c r="GM274" s="15"/>
      <c r="GN274" s="15"/>
      <c r="GO274" s="15"/>
      <c r="GP274" s="15"/>
      <c r="GQ274" s="15"/>
      <c r="GR274" s="15"/>
      <c r="GS274" s="15"/>
      <c r="GT274" s="15"/>
      <c r="GU274" s="15"/>
      <c r="GV274" s="15"/>
      <c r="GW274" s="15"/>
      <c r="GX274" s="15"/>
      <c r="GY274" s="15"/>
      <c r="GZ274" s="15"/>
      <c r="HA274" s="15"/>
      <c r="HB274" s="15"/>
      <c r="HC274" s="15"/>
      <c r="HD274" s="15"/>
      <c r="HE274" s="15"/>
      <c r="HF274" s="15"/>
      <c r="HG274" s="15"/>
      <c r="HH274" s="15"/>
      <c r="HI274" s="15"/>
      <c r="HJ274" s="15"/>
      <c r="HK274" s="15"/>
      <c r="HL274" s="15"/>
      <c r="HM274" s="15"/>
      <c r="HN274" s="15"/>
      <c r="HO274" s="15"/>
      <c r="HP274" s="15"/>
      <c r="HQ274" s="15"/>
      <c r="HR274" s="15"/>
      <c r="HS274" s="15"/>
      <c r="HT274" s="15"/>
      <c r="HU274" s="15"/>
      <c r="HV274" s="15"/>
      <c r="HW274" s="15"/>
      <c r="HX274" s="15"/>
      <c r="HY274" s="15"/>
      <c r="HZ274" s="15"/>
      <c r="IA274" s="15"/>
      <c r="IB274" s="15"/>
      <c r="IC274" s="15"/>
      <c r="ID274" s="15"/>
      <c r="IE274" s="15"/>
      <c r="IF274" s="15"/>
      <c r="IG274" s="15"/>
      <c r="IH274" s="15"/>
      <c r="II274" s="15"/>
      <c r="IJ274" s="15"/>
      <c r="IK274" s="15"/>
      <c r="IL274" s="15"/>
      <c r="IM274" s="15"/>
      <c r="IN274" s="15"/>
      <c r="IO274" s="15"/>
      <c r="IP274" s="15"/>
      <c r="IQ274" s="15"/>
      <c r="IR274" s="15"/>
      <c r="IS274" s="15"/>
      <c r="IT274" s="15"/>
      <c r="IU274" s="15"/>
      <c r="IV274" s="15"/>
      <c r="IW274" s="15"/>
      <c r="IX274" s="15"/>
      <c r="IY274" s="15"/>
      <c r="IZ274" s="15"/>
      <c r="JA274" s="15"/>
      <c r="JB274" s="15"/>
      <c r="JC274" s="15"/>
      <c r="JD274" s="15"/>
      <c r="JE274" s="15"/>
      <c r="JF274" s="15"/>
      <c r="JG274" s="15"/>
      <c r="JH274" s="15"/>
      <c r="JI274" s="15"/>
      <c r="JJ274" s="15"/>
      <c r="JK274" s="15"/>
      <c r="JL274" s="15"/>
      <c r="JM274" s="15"/>
      <c r="JN274" s="15"/>
      <c r="JO274" s="15"/>
      <c r="JP274" s="15"/>
      <c r="JQ274" s="15"/>
      <c r="JR274" s="15"/>
      <c r="JS274" s="15"/>
      <c r="JT274" s="15"/>
      <c r="JU274" s="15"/>
      <c r="JV274" s="15"/>
      <c r="JW274" s="15"/>
      <c r="JX274" s="15"/>
      <c r="JY274" s="15"/>
      <c r="JZ274" s="15"/>
      <c r="KA274" s="15"/>
      <c r="KB274" s="15"/>
      <c r="KC274" s="15"/>
      <c r="KD274" s="15"/>
      <c r="KE274" s="15"/>
      <c r="KF274" s="15"/>
      <c r="KG274" s="15"/>
      <c r="KH274" s="15"/>
      <c r="KI274" s="15"/>
      <c r="KJ274" s="15"/>
      <c r="KK274" s="15"/>
      <c r="KL274" s="15"/>
      <c r="KM274" s="15"/>
      <c r="KN274" s="15"/>
      <c r="KO274" s="15"/>
      <c r="KP274" s="15"/>
      <c r="KQ274" s="15"/>
      <c r="KR274" s="15"/>
      <c r="KS274" s="15"/>
      <c r="KT274" s="15"/>
      <c r="KU274" s="15"/>
      <c r="KV274" s="15"/>
      <c r="KW274" s="15"/>
      <c r="KX274" s="15"/>
      <c r="KY274" s="15"/>
      <c r="KZ274" s="15"/>
      <c r="LA274" s="15"/>
      <c r="LB274" s="15"/>
      <c r="LC274" s="15"/>
      <c r="LD274" s="15"/>
      <c r="LE274" s="15"/>
      <c r="LF274" s="15"/>
      <c r="LG274" s="15"/>
      <c r="LH274" s="15"/>
      <c r="LI274" s="15"/>
      <c r="LJ274" s="15"/>
      <c r="LK274" s="15"/>
      <c r="LL274" s="15"/>
      <c r="LM274" s="15"/>
      <c r="LN274" s="15"/>
      <c r="LO274" s="15"/>
      <c r="LP274" s="15"/>
      <c r="LQ274" s="15"/>
      <c r="LR274" s="15"/>
      <c r="LS274" s="15"/>
      <c r="LT274" s="15"/>
      <c r="LU274" s="15"/>
      <c r="LV274" s="15"/>
      <c r="LW274" s="15"/>
      <c r="LX274" s="15"/>
      <c r="LY274" s="15"/>
      <c r="LZ274" s="15"/>
      <c r="MA274" s="15"/>
      <c r="MB274" s="15"/>
      <c r="MC274" s="15"/>
      <c r="MD274" s="15"/>
      <c r="ME274" s="15"/>
      <c r="MF274" s="15"/>
      <c r="MG274" s="15"/>
      <c r="MH274" s="15"/>
      <c r="MI274" s="15"/>
      <c r="MJ274" s="15"/>
      <c r="MK274" s="15"/>
      <c r="ML274" s="15"/>
      <c r="MM274" s="15"/>
      <c r="MN274" s="15"/>
      <c r="MO274" s="15"/>
      <c r="MP274" s="15"/>
      <c r="MQ274" s="15"/>
      <c r="MR274" s="15"/>
      <c r="MS274" s="15"/>
      <c r="MT274" s="15"/>
      <c r="MU274" s="15"/>
      <c r="MV274" s="15"/>
      <c r="MW274" s="15"/>
    </row>
    <row r="275" ht="41.25" customHeight="1">
      <c r="A275" s="16" t="s">
        <v>10296</v>
      </c>
      <c r="B275" s="14" t="s">
        <v>10297</v>
      </c>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c r="DF275" s="15"/>
      <c r="DG275" s="15"/>
      <c r="DH275" s="15"/>
      <c r="DI275" s="15"/>
      <c r="DJ275" s="15"/>
      <c r="DK275" s="15"/>
      <c r="DL275" s="15"/>
      <c r="DM275" s="15"/>
      <c r="DN275" s="15"/>
      <c r="DO275" s="15"/>
      <c r="DP275" s="15"/>
      <c r="DQ275" s="15"/>
      <c r="DR275" s="15"/>
      <c r="DS275" s="15"/>
      <c r="DT275" s="15"/>
      <c r="DU275" s="15"/>
      <c r="DV275" s="15"/>
      <c r="DW275" s="15"/>
      <c r="DX275" s="15"/>
      <c r="DY275" s="15"/>
      <c r="DZ275" s="15"/>
      <c r="EA275" s="15"/>
      <c r="EB275" s="15"/>
      <c r="EC275" s="15"/>
      <c r="ED275" s="15"/>
      <c r="EE275" s="15"/>
      <c r="EF275" s="15"/>
      <c r="EG275" s="15"/>
      <c r="EH275" s="15"/>
      <c r="EI275" s="15"/>
      <c r="EJ275" s="15"/>
      <c r="EK275" s="15"/>
      <c r="EL275" s="15"/>
      <c r="EM275" s="15"/>
      <c r="EN275" s="15"/>
      <c r="EO275" s="15"/>
      <c r="EP275" s="15"/>
      <c r="EQ275" s="15"/>
      <c r="ER275" s="15"/>
      <c r="ES275" s="15"/>
      <c r="ET275" s="15"/>
      <c r="EU275" s="15"/>
      <c r="EV275" s="15"/>
      <c r="EW275" s="15"/>
      <c r="EX275" s="15"/>
      <c r="EY275" s="15"/>
      <c r="EZ275" s="15"/>
      <c r="FA275" s="15"/>
      <c r="FB275" s="15"/>
      <c r="FC275" s="15"/>
      <c r="FD275" s="15"/>
      <c r="FE275" s="15"/>
      <c r="FF275" s="15"/>
      <c r="FG275" s="15"/>
      <c r="FH275" s="15"/>
      <c r="FI275" s="15"/>
      <c r="FJ275" s="15"/>
      <c r="FK275" s="15"/>
      <c r="FL275" s="15"/>
      <c r="FM275" s="15"/>
      <c r="FN275" s="15"/>
      <c r="FO275" s="15"/>
      <c r="FP275" s="15"/>
      <c r="FQ275" s="15"/>
      <c r="FR275" s="15"/>
      <c r="FS275" s="15"/>
      <c r="FT275" s="15"/>
      <c r="FU275" s="15"/>
      <c r="FV275" s="15"/>
      <c r="FW275" s="15"/>
      <c r="FX275" s="15"/>
      <c r="FY275" s="15"/>
      <c r="FZ275" s="15"/>
      <c r="GA275" s="15"/>
      <c r="GB275" s="15"/>
      <c r="GC275" s="15"/>
      <c r="GD275" s="15"/>
      <c r="GE275" s="15"/>
      <c r="GF275" s="15"/>
      <c r="GG275" s="15"/>
      <c r="GH275" s="15"/>
      <c r="GI275" s="15"/>
      <c r="GJ275" s="15"/>
      <c r="GK275" s="15"/>
      <c r="GL275" s="15"/>
      <c r="GM275" s="15"/>
      <c r="GN275" s="15"/>
      <c r="GO275" s="15"/>
      <c r="GP275" s="15"/>
      <c r="GQ275" s="15"/>
      <c r="GR275" s="15"/>
      <c r="GS275" s="15"/>
      <c r="GT275" s="15"/>
      <c r="GU275" s="15"/>
      <c r="GV275" s="15"/>
      <c r="GW275" s="15"/>
      <c r="GX275" s="15"/>
      <c r="GY275" s="15"/>
      <c r="GZ275" s="15"/>
      <c r="HA275" s="15"/>
      <c r="HB275" s="15"/>
      <c r="HC275" s="15"/>
      <c r="HD275" s="15"/>
      <c r="HE275" s="15"/>
      <c r="HF275" s="15"/>
      <c r="HG275" s="15"/>
      <c r="HH275" s="15"/>
      <c r="HI275" s="15"/>
      <c r="HJ275" s="15"/>
      <c r="HK275" s="15"/>
      <c r="HL275" s="15"/>
      <c r="HM275" s="15"/>
      <c r="HN275" s="15"/>
      <c r="HO275" s="15"/>
      <c r="HP275" s="15"/>
      <c r="HQ275" s="15"/>
      <c r="HR275" s="15"/>
      <c r="HS275" s="15"/>
      <c r="HT275" s="15"/>
      <c r="HU275" s="15"/>
      <c r="HV275" s="15"/>
      <c r="HW275" s="15"/>
      <c r="HX275" s="15"/>
      <c r="HY275" s="15"/>
      <c r="HZ275" s="15"/>
      <c r="IA275" s="15"/>
      <c r="IB275" s="15"/>
      <c r="IC275" s="15"/>
      <c r="ID275" s="15"/>
      <c r="IE275" s="15"/>
      <c r="IF275" s="15"/>
      <c r="IG275" s="15"/>
      <c r="IH275" s="15"/>
      <c r="II275" s="15"/>
      <c r="IJ275" s="15"/>
      <c r="IK275" s="15"/>
      <c r="IL275" s="15"/>
      <c r="IM275" s="15"/>
      <c r="IN275" s="15"/>
      <c r="IO275" s="15"/>
      <c r="IP275" s="15"/>
      <c r="IQ275" s="15"/>
      <c r="IR275" s="15"/>
      <c r="IS275" s="15"/>
      <c r="IT275" s="15"/>
      <c r="IU275" s="15"/>
      <c r="IV275" s="15"/>
      <c r="IW275" s="15"/>
      <c r="IX275" s="15"/>
      <c r="IY275" s="15"/>
      <c r="IZ275" s="15"/>
      <c r="JA275" s="15"/>
      <c r="JB275" s="15"/>
      <c r="JC275" s="15"/>
      <c r="JD275" s="15"/>
      <c r="JE275" s="15"/>
      <c r="JF275" s="15"/>
      <c r="JG275" s="15"/>
      <c r="JH275" s="15"/>
      <c r="JI275" s="15"/>
      <c r="JJ275" s="15"/>
      <c r="JK275" s="15"/>
      <c r="JL275" s="15"/>
      <c r="JM275" s="15"/>
      <c r="JN275" s="15"/>
      <c r="JO275" s="15"/>
      <c r="JP275" s="15"/>
      <c r="JQ275" s="15"/>
      <c r="JR275" s="15"/>
      <c r="JS275" s="15"/>
      <c r="JT275" s="15"/>
      <c r="JU275" s="15"/>
      <c r="JV275" s="15"/>
      <c r="JW275" s="15"/>
      <c r="JX275" s="15"/>
      <c r="JY275" s="15"/>
      <c r="JZ275" s="15"/>
      <c r="KA275" s="15"/>
      <c r="KB275" s="15"/>
      <c r="KC275" s="15"/>
      <c r="KD275" s="15"/>
      <c r="KE275" s="15"/>
      <c r="KF275" s="15"/>
      <c r="KG275" s="15"/>
      <c r="KH275" s="15"/>
      <c r="KI275" s="15"/>
      <c r="KJ275" s="15"/>
      <c r="KK275" s="15"/>
      <c r="KL275" s="15"/>
      <c r="KM275" s="15"/>
      <c r="KN275" s="15"/>
      <c r="KO275" s="15"/>
      <c r="KP275" s="15"/>
      <c r="KQ275" s="15"/>
      <c r="KR275" s="15"/>
      <c r="KS275" s="15"/>
      <c r="KT275" s="15"/>
      <c r="KU275" s="15"/>
      <c r="KV275" s="15"/>
      <c r="KW275" s="15"/>
      <c r="KX275" s="15"/>
      <c r="KY275" s="15"/>
      <c r="KZ275" s="15"/>
      <c r="LA275" s="15"/>
      <c r="LB275" s="15"/>
      <c r="LC275" s="15"/>
      <c r="LD275" s="15"/>
      <c r="LE275" s="15"/>
      <c r="LF275" s="15"/>
      <c r="LG275" s="15"/>
      <c r="LH275" s="15"/>
      <c r="LI275" s="15"/>
      <c r="LJ275" s="15"/>
      <c r="LK275" s="15"/>
      <c r="LL275" s="15"/>
      <c r="LM275" s="15"/>
      <c r="LN275" s="15"/>
      <c r="LO275" s="15"/>
      <c r="LP275" s="15"/>
      <c r="LQ275" s="15"/>
      <c r="LR275" s="15"/>
      <c r="LS275" s="15"/>
      <c r="LT275" s="15"/>
      <c r="LU275" s="15"/>
      <c r="LV275" s="15"/>
      <c r="LW275" s="15"/>
      <c r="LX275" s="15"/>
      <c r="LY275" s="15"/>
      <c r="LZ275" s="15"/>
      <c r="MA275" s="15"/>
      <c r="MB275" s="15"/>
      <c r="MC275" s="15"/>
      <c r="MD275" s="15"/>
      <c r="ME275" s="15"/>
      <c r="MF275" s="15"/>
      <c r="MG275" s="15"/>
      <c r="MH275" s="15"/>
      <c r="MI275" s="15"/>
      <c r="MJ275" s="15"/>
      <c r="MK275" s="15"/>
      <c r="ML275" s="15"/>
      <c r="MM275" s="15"/>
      <c r="MN275" s="15"/>
      <c r="MO275" s="15"/>
      <c r="MP275" s="15"/>
      <c r="MQ275" s="15"/>
      <c r="MR275" s="15"/>
      <c r="MS275" s="15"/>
      <c r="MT275" s="15"/>
      <c r="MU275" s="15"/>
      <c r="MV275" s="15"/>
      <c r="MW275" s="15"/>
    </row>
    <row r="276" ht="119.25" customHeight="1">
      <c r="A276" s="16" t="s">
        <v>10298</v>
      </c>
      <c r="B276" s="14" t="s">
        <v>10299</v>
      </c>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c r="DF276" s="15"/>
      <c r="DG276" s="15"/>
      <c r="DH276" s="15"/>
      <c r="DI276" s="15"/>
      <c r="DJ276" s="15"/>
      <c r="DK276" s="15"/>
      <c r="DL276" s="15"/>
      <c r="DM276" s="15"/>
      <c r="DN276" s="15"/>
      <c r="DO276" s="15"/>
      <c r="DP276" s="15"/>
      <c r="DQ276" s="15"/>
      <c r="DR276" s="15"/>
      <c r="DS276" s="15"/>
      <c r="DT276" s="15"/>
      <c r="DU276" s="15"/>
      <c r="DV276" s="15"/>
      <c r="DW276" s="15"/>
      <c r="DX276" s="15"/>
      <c r="DY276" s="15"/>
      <c r="DZ276" s="15"/>
      <c r="EA276" s="15"/>
      <c r="EB276" s="15"/>
      <c r="EC276" s="15"/>
      <c r="ED276" s="15"/>
      <c r="EE276" s="15"/>
      <c r="EF276" s="15"/>
      <c r="EG276" s="15"/>
      <c r="EH276" s="15"/>
      <c r="EI276" s="15"/>
      <c r="EJ276" s="15"/>
      <c r="EK276" s="15"/>
      <c r="EL276" s="15"/>
      <c r="EM276" s="15"/>
      <c r="EN276" s="15"/>
      <c r="EO276" s="15"/>
      <c r="EP276" s="15"/>
      <c r="EQ276" s="15"/>
      <c r="ER276" s="15"/>
      <c r="ES276" s="15"/>
      <c r="ET276" s="15"/>
      <c r="EU276" s="15"/>
      <c r="EV276" s="15"/>
      <c r="EW276" s="15"/>
      <c r="EX276" s="15"/>
      <c r="EY276" s="15"/>
      <c r="EZ276" s="15"/>
      <c r="FA276" s="15"/>
      <c r="FB276" s="15"/>
      <c r="FC276" s="15"/>
      <c r="FD276" s="15"/>
      <c r="FE276" s="15"/>
      <c r="FF276" s="15"/>
      <c r="FG276" s="15"/>
      <c r="FH276" s="15"/>
      <c r="FI276" s="15"/>
      <c r="FJ276" s="15"/>
      <c r="FK276" s="15"/>
      <c r="FL276" s="15"/>
      <c r="FM276" s="15"/>
      <c r="FN276" s="15"/>
      <c r="FO276" s="15"/>
      <c r="FP276" s="15"/>
      <c r="FQ276" s="15"/>
      <c r="FR276" s="15"/>
      <c r="FS276" s="15"/>
      <c r="FT276" s="15"/>
      <c r="FU276" s="15"/>
      <c r="FV276" s="15"/>
      <c r="FW276" s="15"/>
      <c r="FX276" s="15"/>
      <c r="FY276" s="15"/>
      <c r="FZ276" s="15"/>
      <c r="GA276" s="15"/>
      <c r="GB276" s="15"/>
      <c r="GC276" s="15"/>
      <c r="GD276" s="15"/>
      <c r="GE276" s="15"/>
      <c r="GF276" s="15"/>
      <c r="GG276" s="15"/>
      <c r="GH276" s="15"/>
      <c r="GI276" s="15"/>
      <c r="GJ276" s="15"/>
      <c r="GK276" s="15"/>
      <c r="GL276" s="15"/>
      <c r="GM276" s="15"/>
      <c r="GN276" s="15"/>
      <c r="GO276" s="15"/>
      <c r="GP276" s="15"/>
      <c r="GQ276" s="15"/>
      <c r="GR276" s="15"/>
      <c r="GS276" s="15"/>
      <c r="GT276" s="15"/>
      <c r="GU276" s="15"/>
      <c r="GV276" s="15"/>
      <c r="GW276" s="15"/>
      <c r="GX276" s="15"/>
      <c r="GY276" s="15"/>
      <c r="GZ276" s="15"/>
      <c r="HA276" s="15"/>
      <c r="HB276" s="15"/>
      <c r="HC276" s="15"/>
      <c r="HD276" s="15"/>
      <c r="HE276" s="15"/>
      <c r="HF276" s="15"/>
      <c r="HG276" s="15"/>
      <c r="HH276" s="15"/>
      <c r="HI276" s="15"/>
      <c r="HJ276" s="15"/>
      <c r="HK276" s="15"/>
      <c r="HL276" s="15"/>
      <c r="HM276" s="15"/>
      <c r="HN276" s="15"/>
      <c r="HO276" s="15"/>
      <c r="HP276" s="15"/>
      <c r="HQ276" s="15"/>
      <c r="HR276" s="15"/>
      <c r="HS276" s="15"/>
      <c r="HT276" s="15"/>
      <c r="HU276" s="15"/>
      <c r="HV276" s="15"/>
      <c r="HW276" s="15"/>
      <c r="HX276" s="15"/>
      <c r="HY276" s="15"/>
      <c r="HZ276" s="15"/>
      <c r="IA276" s="15"/>
      <c r="IB276" s="15"/>
      <c r="IC276" s="15"/>
      <c r="ID276" s="15"/>
      <c r="IE276" s="15"/>
      <c r="IF276" s="15"/>
      <c r="IG276" s="15"/>
      <c r="IH276" s="15"/>
      <c r="II276" s="15"/>
      <c r="IJ276" s="15"/>
      <c r="IK276" s="15"/>
      <c r="IL276" s="15"/>
      <c r="IM276" s="15"/>
      <c r="IN276" s="15"/>
      <c r="IO276" s="15"/>
      <c r="IP276" s="15"/>
      <c r="IQ276" s="15"/>
      <c r="IR276" s="15"/>
      <c r="IS276" s="15"/>
      <c r="IT276" s="15"/>
      <c r="IU276" s="15"/>
      <c r="IV276" s="15"/>
      <c r="IW276" s="15"/>
      <c r="IX276" s="15"/>
      <c r="IY276" s="15"/>
      <c r="IZ276" s="15"/>
      <c r="JA276" s="15"/>
      <c r="JB276" s="15"/>
      <c r="JC276" s="15"/>
      <c r="JD276" s="15"/>
      <c r="JE276" s="15"/>
      <c r="JF276" s="15"/>
      <c r="JG276" s="15"/>
      <c r="JH276" s="15"/>
      <c r="JI276" s="15"/>
      <c r="JJ276" s="15"/>
      <c r="JK276" s="15"/>
      <c r="JL276" s="15"/>
      <c r="JM276" s="15"/>
      <c r="JN276" s="15"/>
      <c r="JO276" s="15"/>
      <c r="JP276" s="15"/>
      <c r="JQ276" s="15"/>
      <c r="JR276" s="15"/>
      <c r="JS276" s="15"/>
      <c r="JT276" s="15"/>
      <c r="JU276" s="15"/>
      <c r="JV276" s="15"/>
      <c r="JW276" s="15"/>
      <c r="JX276" s="15"/>
      <c r="JY276" s="15"/>
      <c r="JZ276" s="15"/>
      <c r="KA276" s="15"/>
      <c r="KB276" s="15"/>
      <c r="KC276" s="15"/>
      <c r="KD276" s="15"/>
      <c r="KE276" s="15"/>
      <c r="KF276" s="15"/>
      <c r="KG276" s="15"/>
      <c r="KH276" s="15"/>
      <c r="KI276" s="15"/>
      <c r="KJ276" s="15"/>
      <c r="KK276" s="15"/>
      <c r="KL276" s="15"/>
      <c r="KM276" s="15"/>
      <c r="KN276" s="15"/>
      <c r="KO276" s="15"/>
      <c r="KP276" s="15"/>
      <c r="KQ276" s="15"/>
      <c r="KR276" s="15"/>
      <c r="KS276" s="15"/>
      <c r="KT276" s="15"/>
      <c r="KU276" s="15"/>
      <c r="KV276" s="15"/>
      <c r="KW276" s="15"/>
      <c r="KX276" s="15"/>
      <c r="KY276" s="15"/>
      <c r="KZ276" s="15"/>
      <c r="LA276" s="15"/>
      <c r="LB276" s="15"/>
      <c r="LC276" s="15"/>
      <c r="LD276" s="15"/>
      <c r="LE276" s="15"/>
      <c r="LF276" s="15"/>
      <c r="LG276" s="15"/>
      <c r="LH276" s="15"/>
      <c r="LI276" s="15"/>
      <c r="LJ276" s="15"/>
      <c r="LK276" s="15"/>
      <c r="LL276" s="15"/>
      <c r="LM276" s="15"/>
      <c r="LN276" s="15"/>
      <c r="LO276" s="15"/>
      <c r="LP276" s="15"/>
      <c r="LQ276" s="15"/>
      <c r="LR276" s="15"/>
      <c r="LS276" s="15"/>
      <c r="LT276" s="15"/>
      <c r="LU276" s="15"/>
      <c r="LV276" s="15"/>
      <c r="LW276" s="15"/>
      <c r="LX276" s="15"/>
      <c r="LY276" s="15"/>
      <c r="LZ276" s="15"/>
      <c r="MA276" s="15"/>
      <c r="MB276" s="15"/>
      <c r="MC276" s="15"/>
      <c r="MD276" s="15"/>
      <c r="ME276" s="15"/>
      <c r="MF276" s="15"/>
      <c r="MG276" s="15"/>
      <c r="MH276" s="15"/>
      <c r="MI276" s="15"/>
      <c r="MJ276" s="15"/>
      <c r="MK276" s="15"/>
      <c r="ML276" s="15"/>
      <c r="MM276" s="15"/>
      <c r="MN276" s="15"/>
      <c r="MO276" s="15"/>
      <c r="MP276" s="15"/>
      <c r="MQ276" s="15"/>
      <c r="MR276" s="15"/>
      <c r="MS276" s="15"/>
      <c r="MT276" s="15"/>
      <c r="MU276" s="15"/>
      <c r="MV276" s="15"/>
      <c r="MW276" s="15"/>
    </row>
    <row r="277" ht="41.25" customHeight="1">
      <c r="A277" s="16" t="s">
        <v>270</v>
      </c>
      <c r="B277" s="14" t="s">
        <v>10300</v>
      </c>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c r="DF277" s="15"/>
      <c r="DG277" s="15"/>
      <c r="DH277" s="15"/>
      <c r="DI277" s="15"/>
      <c r="DJ277" s="15"/>
      <c r="DK277" s="15"/>
      <c r="DL277" s="15"/>
      <c r="DM277" s="15"/>
      <c r="DN277" s="15"/>
      <c r="DO277" s="15"/>
      <c r="DP277" s="15"/>
      <c r="DQ277" s="15"/>
      <c r="DR277" s="15"/>
      <c r="DS277" s="15"/>
      <c r="DT277" s="15"/>
      <c r="DU277" s="15"/>
      <c r="DV277" s="15"/>
      <c r="DW277" s="15"/>
      <c r="DX277" s="15"/>
      <c r="DY277" s="15"/>
      <c r="DZ277" s="15"/>
      <c r="EA277" s="15"/>
      <c r="EB277" s="15"/>
      <c r="EC277" s="15"/>
      <c r="ED277" s="15"/>
      <c r="EE277" s="15"/>
      <c r="EF277" s="15"/>
      <c r="EG277" s="15"/>
      <c r="EH277" s="15"/>
      <c r="EI277" s="15"/>
      <c r="EJ277" s="15"/>
      <c r="EK277" s="15"/>
      <c r="EL277" s="15"/>
      <c r="EM277" s="15"/>
      <c r="EN277" s="15"/>
      <c r="EO277" s="15"/>
      <c r="EP277" s="15"/>
      <c r="EQ277" s="15"/>
      <c r="ER277" s="15"/>
      <c r="ES277" s="15"/>
      <c r="ET277" s="15"/>
      <c r="EU277" s="15"/>
      <c r="EV277" s="15"/>
      <c r="EW277" s="15"/>
      <c r="EX277" s="15"/>
      <c r="EY277" s="15"/>
      <c r="EZ277" s="15"/>
      <c r="FA277" s="15"/>
      <c r="FB277" s="15"/>
      <c r="FC277" s="15"/>
      <c r="FD277" s="15"/>
      <c r="FE277" s="15"/>
      <c r="FF277" s="15"/>
      <c r="FG277" s="15"/>
      <c r="FH277" s="15"/>
      <c r="FI277" s="15"/>
      <c r="FJ277" s="15"/>
      <c r="FK277" s="15"/>
      <c r="FL277" s="15"/>
      <c r="FM277" s="15"/>
      <c r="FN277" s="15"/>
      <c r="FO277" s="15"/>
      <c r="FP277" s="15"/>
      <c r="FQ277" s="15"/>
      <c r="FR277" s="15"/>
      <c r="FS277" s="15"/>
      <c r="FT277" s="15"/>
      <c r="FU277" s="15"/>
      <c r="FV277" s="15"/>
      <c r="FW277" s="15"/>
      <c r="FX277" s="15"/>
      <c r="FY277" s="15"/>
      <c r="FZ277" s="15"/>
      <c r="GA277" s="15"/>
      <c r="GB277" s="15"/>
      <c r="GC277" s="15"/>
      <c r="GD277" s="15"/>
      <c r="GE277" s="15"/>
      <c r="GF277" s="15"/>
      <c r="GG277" s="15"/>
      <c r="GH277" s="15"/>
      <c r="GI277" s="15"/>
      <c r="GJ277" s="15"/>
      <c r="GK277" s="15"/>
      <c r="GL277" s="15"/>
      <c r="GM277" s="15"/>
      <c r="GN277" s="15"/>
      <c r="GO277" s="15"/>
      <c r="GP277" s="15"/>
      <c r="GQ277" s="15"/>
      <c r="GR277" s="15"/>
      <c r="GS277" s="15"/>
      <c r="GT277" s="15"/>
      <c r="GU277" s="15"/>
      <c r="GV277" s="15"/>
      <c r="GW277" s="15"/>
      <c r="GX277" s="15"/>
      <c r="GY277" s="15"/>
      <c r="GZ277" s="15"/>
      <c r="HA277" s="15"/>
      <c r="HB277" s="15"/>
      <c r="HC277" s="15"/>
      <c r="HD277" s="15"/>
      <c r="HE277" s="15"/>
      <c r="HF277" s="15"/>
      <c r="HG277" s="15"/>
      <c r="HH277" s="15"/>
      <c r="HI277" s="15"/>
      <c r="HJ277" s="15"/>
      <c r="HK277" s="15"/>
      <c r="HL277" s="15"/>
      <c r="HM277" s="15"/>
      <c r="HN277" s="15"/>
      <c r="HO277" s="15"/>
      <c r="HP277" s="15"/>
      <c r="HQ277" s="15"/>
      <c r="HR277" s="15"/>
      <c r="HS277" s="15"/>
      <c r="HT277" s="15"/>
      <c r="HU277" s="15"/>
      <c r="HV277" s="15"/>
      <c r="HW277" s="15"/>
      <c r="HX277" s="15"/>
      <c r="HY277" s="15"/>
      <c r="HZ277" s="15"/>
      <c r="IA277" s="15"/>
      <c r="IB277" s="15"/>
      <c r="IC277" s="15"/>
      <c r="ID277" s="15"/>
      <c r="IE277" s="15"/>
      <c r="IF277" s="15"/>
      <c r="IG277" s="15"/>
      <c r="IH277" s="15"/>
      <c r="II277" s="15"/>
      <c r="IJ277" s="15"/>
      <c r="IK277" s="15"/>
      <c r="IL277" s="15"/>
      <c r="IM277" s="15"/>
      <c r="IN277" s="15"/>
      <c r="IO277" s="15"/>
      <c r="IP277" s="15"/>
      <c r="IQ277" s="15"/>
      <c r="IR277" s="15"/>
      <c r="IS277" s="15"/>
      <c r="IT277" s="15"/>
      <c r="IU277" s="15"/>
      <c r="IV277" s="15"/>
      <c r="IW277" s="15"/>
      <c r="IX277" s="15"/>
      <c r="IY277" s="15"/>
      <c r="IZ277" s="15"/>
      <c r="JA277" s="15"/>
      <c r="JB277" s="15"/>
      <c r="JC277" s="15"/>
      <c r="JD277" s="15"/>
      <c r="JE277" s="15"/>
      <c r="JF277" s="15"/>
      <c r="JG277" s="15"/>
      <c r="JH277" s="15"/>
      <c r="JI277" s="15"/>
      <c r="JJ277" s="15"/>
      <c r="JK277" s="15"/>
      <c r="JL277" s="15"/>
      <c r="JM277" s="15"/>
      <c r="JN277" s="15"/>
      <c r="JO277" s="15"/>
      <c r="JP277" s="15"/>
      <c r="JQ277" s="15"/>
      <c r="JR277" s="15"/>
      <c r="JS277" s="15"/>
      <c r="JT277" s="15"/>
      <c r="JU277" s="15"/>
      <c r="JV277" s="15"/>
      <c r="JW277" s="15"/>
      <c r="JX277" s="15"/>
      <c r="JY277" s="15"/>
      <c r="JZ277" s="15"/>
      <c r="KA277" s="15"/>
      <c r="KB277" s="15"/>
      <c r="KC277" s="15"/>
      <c r="KD277" s="15"/>
      <c r="KE277" s="15"/>
      <c r="KF277" s="15"/>
      <c r="KG277" s="15"/>
      <c r="KH277" s="15"/>
      <c r="KI277" s="15"/>
      <c r="KJ277" s="15"/>
      <c r="KK277" s="15"/>
      <c r="KL277" s="15"/>
      <c r="KM277" s="15"/>
      <c r="KN277" s="15"/>
      <c r="KO277" s="15"/>
      <c r="KP277" s="15"/>
      <c r="KQ277" s="15"/>
      <c r="KR277" s="15"/>
      <c r="KS277" s="15"/>
      <c r="KT277" s="15"/>
      <c r="KU277" s="15"/>
      <c r="KV277" s="15"/>
      <c r="KW277" s="15"/>
      <c r="KX277" s="15"/>
      <c r="KY277" s="15"/>
      <c r="KZ277" s="15"/>
      <c r="LA277" s="15"/>
      <c r="LB277" s="15"/>
      <c r="LC277" s="15"/>
      <c r="LD277" s="15"/>
      <c r="LE277" s="15"/>
      <c r="LF277" s="15"/>
      <c r="LG277" s="15"/>
      <c r="LH277" s="15"/>
      <c r="LI277" s="15"/>
      <c r="LJ277" s="15"/>
      <c r="LK277" s="15"/>
      <c r="LL277" s="15"/>
      <c r="LM277" s="15"/>
      <c r="LN277" s="15"/>
      <c r="LO277" s="15"/>
      <c r="LP277" s="15"/>
      <c r="LQ277" s="15"/>
      <c r="LR277" s="15"/>
      <c r="LS277" s="15"/>
      <c r="LT277" s="15"/>
      <c r="LU277" s="15"/>
      <c r="LV277" s="15"/>
      <c r="LW277" s="15"/>
      <c r="LX277" s="15"/>
      <c r="LY277" s="15"/>
      <c r="LZ277" s="15"/>
      <c r="MA277" s="15"/>
      <c r="MB277" s="15"/>
      <c r="MC277" s="15"/>
      <c r="MD277" s="15"/>
      <c r="ME277" s="15"/>
      <c r="MF277" s="15"/>
      <c r="MG277" s="15"/>
      <c r="MH277" s="15"/>
      <c r="MI277" s="15"/>
      <c r="MJ277" s="15"/>
      <c r="MK277" s="15"/>
      <c r="ML277" s="15"/>
      <c r="MM277" s="15"/>
      <c r="MN277" s="15"/>
      <c r="MO277" s="15"/>
      <c r="MP277" s="15"/>
      <c r="MQ277" s="15"/>
      <c r="MR277" s="15"/>
      <c r="MS277" s="15"/>
      <c r="MT277" s="15"/>
      <c r="MU277" s="15"/>
      <c r="MV277" s="15"/>
      <c r="MW277" s="15"/>
    </row>
    <row r="278" ht="119.25" customHeight="1">
      <c r="A278" s="16" t="s">
        <v>271</v>
      </c>
      <c r="B278" s="14" t="s">
        <v>10301</v>
      </c>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c r="DF278" s="15"/>
      <c r="DG278" s="15"/>
      <c r="DH278" s="15"/>
      <c r="DI278" s="15"/>
      <c r="DJ278" s="15"/>
      <c r="DK278" s="15"/>
      <c r="DL278" s="15"/>
      <c r="DM278" s="15"/>
      <c r="DN278" s="15"/>
      <c r="DO278" s="15"/>
      <c r="DP278" s="15"/>
      <c r="DQ278" s="15"/>
      <c r="DR278" s="15"/>
      <c r="DS278" s="15"/>
      <c r="DT278" s="15"/>
      <c r="DU278" s="15"/>
      <c r="DV278" s="15"/>
      <c r="DW278" s="15"/>
      <c r="DX278" s="15"/>
      <c r="DY278" s="15"/>
      <c r="DZ278" s="15"/>
      <c r="EA278" s="15"/>
      <c r="EB278" s="15"/>
      <c r="EC278" s="15"/>
      <c r="ED278" s="15"/>
      <c r="EE278" s="15"/>
      <c r="EF278" s="15"/>
      <c r="EG278" s="15"/>
      <c r="EH278" s="15"/>
      <c r="EI278" s="15"/>
      <c r="EJ278" s="15"/>
      <c r="EK278" s="15"/>
      <c r="EL278" s="15"/>
      <c r="EM278" s="15"/>
      <c r="EN278" s="15"/>
      <c r="EO278" s="15"/>
      <c r="EP278" s="15"/>
      <c r="EQ278" s="15"/>
      <c r="ER278" s="15"/>
      <c r="ES278" s="15"/>
      <c r="ET278" s="15"/>
      <c r="EU278" s="15"/>
      <c r="EV278" s="15"/>
      <c r="EW278" s="15"/>
      <c r="EX278" s="15"/>
      <c r="EY278" s="15"/>
      <c r="EZ278" s="15"/>
      <c r="FA278" s="15"/>
      <c r="FB278" s="15"/>
      <c r="FC278" s="15"/>
      <c r="FD278" s="15"/>
      <c r="FE278" s="15"/>
      <c r="FF278" s="15"/>
      <c r="FG278" s="15"/>
      <c r="FH278" s="15"/>
      <c r="FI278" s="15"/>
      <c r="FJ278" s="15"/>
      <c r="FK278" s="15"/>
      <c r="FL278" s="15"/>
      <c r="FM278" s="15"/>
      <c r="FN278" s="15"/>
      <c r="FO278" s="15"/>
      <c r="FP278" s="15"/>
      <c r="FQ278" s="15"/>
      <c r="FR278" s="15"/>
      <c r="FS278" s="15"/>
      <c r="FT278" s="15"/>
      <c r="FU278" s="15"/>
      <c r="FV278" s="15"/>
      <c r="FW278" s="15"/>
      <c r="FX278" s="15"/>
      <c r="FY278" s="15"/>
      <c r="FZ278" s="15"/>
      <c r="GA278" s="15"/>
      <c r="GB278" s="15"/>
      <c r="GC278" s="15"/>
      <c r="GD278" s="15"/>
      <c r="GE278" s="15"/>
      <c r="GF278" s="15"/>
      <c r="GG278" s="15"/>
      <c r="GH278" s="15"/>
      <c r="GI278" s="15"/>
      <c r="GJ278" s="15"/>
      <c r="GK278" s="15"/>
      <c r="GL278" s="15"/>
      <c r="GM278" s="15"/>
      <c r="GN278" s="15"/>
      <c r="GO278" s="15"/>
      <c r="GP278" s="15"/>
      <c r="GQ278" s="15"/>
      <c r="GR278" s="15"/>
      <c r="GS278" s="15"/>
      <c r="GT278" s="15"/>
      <c r="GU278" s="15"/>
      <c r="GV278" s="15"/>
      <c r="GW278" s="15"/>
      <c r="GX278" s="15"/>
      <c r="GY278" s="15"/>
      <c r="GZ278" s="15"/>
      <c r="HA278" s="15"/>
      <c r="HB278" s="15"/>
      <c r="HC278" s="15"/>
      <c r="HD278" s="15"/>
      <c r="HE278" s="15"/>
      <c r="HF278" s="15"/>
      <c r="HG278" s="15"/>
      <c r="HH278" s="15"/>
      <c r="HI278" s="15"/>
      <c r="HJ278" s="15"/>
      <c r="HK278" s="15"/>
      <c r="HL278" s="15"/>
      <c r="HM278" s="15"/>
      <c r="HN278" s="15"/>
      <c r="HO278" s="15"/>
      <c r="HP278" s="15"/>
      <c r="HQ278" s="15"/>
      <c r="HR278" s="15"/>
      <c r="HS278" s="15"/>
      <c r="HT278" s="15"/>
      <c r="HU278" s="15"/>
      <c r="HV278" s="15"/>
      <c r="HW278" s="15"/>
      <c r="HX278" s="15"/>
      <c r="HY278" s="15"/>
      <c r="HZ278" s="15"/>
      <c r="IA278" s="15"/>
      <c r="IB278" s="15"/>
      <c r="IC278" s="15"/>
      <c r="ID278" s="15"/>
      <c r="IE278" s="15"/>
      <c r="IF278" s="15"/>
      <c r="IG278" s="15"/>
      <c r="IH278" s="15"/>
      <c r="II278" s="15"/>
      <c r="IJ278" s="15"/>
      <c r="IK278" s="15"/>
      <c r="IL278" s="15"/>
      <c r="IM278" s="15"/>
      <c r="IN278" s="15"/>
      <c r="IO278" s="15"/>
      <c r="IP278" s="15"/>
      <c r="IQ278" s="15"/>
      <c r="IR278" s="15"/>
      <c r="IS278" s="15"/>
      <c r="IT278" s="15"/>
      <c r="IU278" s="15"/>
      <c r="IV278" s="15"/>
      <c r="IW278" s="15"/>
      <c r="IX278" s="15"/>
      <c r="IY278" s="15"/>
      <c r="IZ278" s="15"/>
      <c r="JA278" s="15"/>
      <c r="JB278" s="15"/>
      <c r="JC278" s="15"/>
      <c r="JD278" s="15"/>
      <c r="JE278" s="15"/>
      <c r="JF278" s="15"/>
      <c r="JG278" s="15"/>
      <c r="JH278" s="15"/>
      <c r="JI278" s="15"/>
      <c r="JJ278" s="15"/>
      <c r="JK278" s="15"/>
      <c r="JL278" s="15"/>
      <c r="JM278" s="15"/>
      <c r="JN278" s="15"/>
      <c r="JO278" s="15"/>
      <c r="JP278" s="15"/>
      <c r="JQ278" s="15"/>
      <c r="JR278" s="15"/>
      <c r="JS278" s="15"/>
      <c r="JT278" s="15"/>
      <c r="JU278" s="15"/>
      <c r="JV278" s="15"/>
      <c r="JW278" s="15"/>
      <c r="JX278" s="15"/>
      <c r="JY278" s="15"/>
      <c r="JZ278" s="15"/>
      <c r="KA278" s="15"/>
      <c r="KB278" s="15"/>
      <c r="KC278" s="15"/>
      <c r="KD278" s="15"/>
      <c r="KE278" s="15"/>
      <c r="KF278" s="15"/>
      <c r="KG278" s="15"/>
      <c r="KH278" s="15"/>
      <c r="KI278" s="15"/>
      <c r="KJ278" s="15"/>
      <c r="KK278" s="15"/>
      <c r="KL278" s="15"/>
      <c r="KM278" s="15"/>
      <c r="KN278" s="15"/>
      <c r="KO278" s="15"/>
      <c r="KP278" s="15"/>
      <c r="KQ278" s="15"/>
      <c r="KR278" s="15"/>
      <c r="KS278" s="15"/>
      <c r="KT278" s="15"/>
      <c r="KU278" s="15"/>
      <c r="KV278" s="15"/>
      <c r="KW278" s="15"/>
      <c r="KX278" s="15"/>
      <c r="KY278" s="15"/>
      <c r="KZ278" s="15"/>
      <c r="LA278" s="15"/>
      <c r="LB278" s="15"/>
      <c r="LC278" s="15"/>
      <c r="LD278" s="15"/>
      <c r="LE278" s="15"/>
      <c r="LF278" s="15"/>
      <c r="LG278" s="15"/>
      <c r="LH278" s="15"/>
      <c r="LI278" s="15"/>
      <c r="LJ278" s="15"/>
      <c r="LK278" s="15"/>
      <c r="LL278" s="15"/>
      <c r="LM278" s="15"/>
      <c r="LN278" s="15"/>
      <c r="LO278" s="15"/>
      <c r="LP278" s="15"/>
      <c r="LQ278" s="15"/>
      <c r="LR278" s="15"/>
      <c r="LS278" s="15"/>
      <c r="LT278" s="15"/>
      <c r="LU278" s="15"/>
      <c r="LV278" s="15"/>
      <c r="LW278" s="15"/>
      <c r="LX278" s="15"/>
      <c r="LY278" s="15"/>
      <c r="LZ278" s="15"/>
      <c r="MA278" s="15"/>
      <c r="MB278" s="15"/>
      <c r="MC278" s="15"/>
      <c r="MD278" s="15"/>
      <c r="ME278" s="15"/>
      <c r="MF278" s="15"/>
      <c r="MG278" s="15"/>
      <c r="MH278" s="15"/>
      <c r="MI278" s="15"/>
      <c r="MJ278" s="15"/>
      <c r="MK278" s="15"/>
      <c r="ML278" s="15"/>
      <c r="MM278" s="15"/>
      <c r="MN278" s="15"/>
      <c r="MO278" s="15"/>
      <c r="MP278" s="15"/>
      <c r="MQ278" s="15"/>
      <c r="MR278" s="15"/>
      <c r="MS278" s="15"/>
      <c r="MT278" s="15"/>
      <c r="MU278" s="15"/>
      <c r="MV278" s="15"/>
      <c r="MW278" s="15"/>
    </row>
    <row r="279" ht="41.25" customHeight="1">
      <c r="A279" s="16" t="s">
        <v>10302</v>
      </c>
      <c r="B279" s="14" t="s">
        <v>10303</v>
      </c>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c r="DF279" s="15"/>
      <c r="DG279" s="15"/>
      <c r="DH279" s="15"/>
      <c r="DI279" s="15"/>
      <c r="DJ279" s="15"/>
      <c r="DK279" s="15"/>
      <c r="DL279" s="15"/>
      <c r="DM279" s="15"/>
      <c r="DN279" s="15"/>
      <c r="DO279" s="15"/>
      <c r="DP279" s="15"/>
      <c r="DQ279" s="15"/>
      <c r="DR279" s="15"/>
      <c r="DS279" s="15"/>
      <c r="DT279" s="15"/>
      <c r="DU279" s="15"/>
      <c r="DV279" s="15"/>
      <c r="DW279" s="15"/>
      <c r="DX279" s="15"/>
      <c r="DY279" s="15"/>
      <c r="DZ279" s="15"/>
      <c r="EA279" s="15"/>
      <c r="EB279" s="15"/>
      <c r="EC279" s="15"/>
      <c r="ED279" s="15"/>
      <c r="EE279" s="15"/>
      <c r="EF279" s="15"/>
      <c r="EG279" s="15"/>
      <c r="EH279" s="15"/>
      <c r="EI279" s="15"/>
      <c r="EJ279" s="15"/>
      <c r="EK279" s="15"/>
      <c r="EL279" s="15"/>
      <c r="EM279" s="15"/>
      <c r="EN279" s="15"/>
      <c r="EO279" s="15"/>
      <c r="EP279" s="15"/>
      <c r="EQ279" s="15"/>
      <c r="ER279" s="15"/>
      <c r="ES279" s="15"/>
      <c r="ET279" s="15"/>
      <c r="EU279" s="15"/>
      <c r="EV279" s="15"/>
      <c r="EW279" s="15"/>
      <c r="EX279" s="15"/>
      <c r="EY279" s="15"/>
      <c r="EZ279" s="15"/>
      <c r="FA279" s="15"/>
      <c r="FB279" s="15"/>
      <c r="FC279" s="15"/>
      <c r="FD279" s="15"/>
      <c r="FE279" s="15"/>
      <c r="FF279" s="15"/>
      <c r="FG279" s="15"/>
      <c r="FH279" s="15"/>
      <c r="FI279" s="15"/>
      <c r="FJ279" s="15"/>
      <c r="FK279" s="15"/>
      <c r="FL279" s="15"/>
      <c r="FM279" s="15"/>
      <c r="FN279" s="15"/>
      <c r="FO279" s="15"/>
      <c r="FP279" s="15"/>
      <c r="FQ279" s="15"/>
      <c r="FR279" s="15"/>
      <c r="FS279" s="15"/>
      <c r="FT279" s="15"/>
      <c r="FU279" s="15"/>
      <c r="FV279" s="15"/>
      <c r="FW279" s="15"/>
      <c r="FX279" s="15"/>
      <c r="FY279" s="15"/>
      <c r="FZ279" s="15"/>
      <c r="GA279" s="15"/>
      <c r="GB279" s="15"/>
      <c r="GC279" s="15"/>
      <c r="GD279" s="15"/>
      <c r="GE279" s="15"/>
      <c r="GF279" s="15"/>
      <c r="GG279" s="15"/>
      <c r="GH279" s="15"/>
      <c r="GI279" s="15"/>
      <c r="GJ279" s="15"/>
      <c r="GK279" s="15"/>
      <c r="GL279" s="15"/>
      <c r="GM279" s="15"/>
      <c r="GN279" s="15"/>
      <c r="GO279" s="15"/>
      <c r="GP279" s="15"/>
      <c r="GQ279" s="15"/>
      <c r="GR279" s="15"/>
      <c r="GS279" s="15"/>
      <c r="GT279" s="15"/>
      <c r="GU279" s="15"/>
      <c r="GV279" s="15"/>
      <c r="GW279" s="15"/>
      <c r="GX279" s="15"/>
      <c r="GY279" s="15"/>
      <c r="GZ279" s="15"/>
      <c r="HA279" s="15"/>
      <c r="HB279" s="15"/>
      <c r="HC279" s="15"/>
      <c r="HD279" s="15"/>
      <c r="HE279" s="15"/>
      <c r="HF279" s="15"/>
      <c r="HG279" s="15"/>
      <c r="HH279" s="15"/>
      <c r="HI279" s="15"/>
      <c r="HJ279" s="15"/>
      <c r="HK279" s="15"/>
      <c r="HL279" s="15"/>
      <c r="HM279" s="15"/>
      <c r="HN279" s="15"/>
      <c r="HO279" s="15"/>
      <c r="HP279" s="15"/>
      <c r="HQ279" s="15"/>
      <c r="HR279" s="15"/>
      <c r="HS279" s="15"/>
      <c r="HT279" s="15"/>
      <c r="HU279" s="15"/>
      <c r="HV279" s="15"/>
      <c r="HW279" s="15"/>
      <c r="HX279" s="15"/>
      <c r="HY279" s="15"/>
      <c r="HZ279" s="15"/>
      <c r="IA279" s="15"/>
      <c r="IB279" s="15"/>
      <c r="IC279" s="15"/>
      <c r="ID279" s="15"/>
      <c r="IE279" s="15"/>
      <c r="IF279" s="15"/>
      <c r="IG279" s="15"/>
      <c r="IH279" s="15"/>
      <c r="II279" s="15"/>
      <c r="IJ279" s="15"/>
      <c r="IK279" s="15"/>
      <c r="IL279" s="15"/>
      <c r="IM279" s="15"/>
      <c r="IN279" s="15"/>
      <c r="IO279" s="15"/>
      <c r="IP279" s="15"/>
      <c r="IQ279" s="15"/>
      <c r="IR279" s="15"/>
      <c r="IS279" s="15"/>
      <c r="IT279" s="15"/>
      <c r="IU279" s="15"/>
      <c r="IV279" s="15"/>
      <c r="IW279" s="15"/>
      <c r="IX279" s="15"/>
      <c r="IY279" s="15"/>
      <c r="IZ279" s="15"/>
      <c r="JA279" s="15"/>
      <c r="JB279" s="15"/>
      <c r="JC279" s="15"/>
      <c r="JD279" s="15"/>
      <c r="JE279" s="15"/>
      <c r="JF279" s="15"/>
      <c r="JG279" s="15"/>
      <c r="JH279" s="15"/>
      <c r="JI279" s="15"/>
      <c r="JJ279" s="15"/>
      <c r="JK279" s="15"/>
      <c r="JL279" s="15"/>
      <c r="JM279" s="15"/>
      <c r="JN279" s="15"/>
      <c r="JO279" s="15"/>
      <c r="JP279" s="15"/>
      <c r="JQ279" s="15"/>
      <c r="JR279" s="15"/>
      <c r="JS279" s="15"/>
      <c r="JT279" s="15"/>
      <c r="JU279" s="15"/>
      <c r="JV279" s="15"/>
      <c r="JW279" s="15"/>
      <c r="JX279" s="15"/>
      <c r="JY279" s="15"/>
      <c r="JZ279" s="15"/>
      <c r="KA279" s="15"/>
      <c r="KB279" s="15"/>
      <c r="KC279" s="15"/>
      <c r="KD279" s="15"/>
      <c r="KE279" s="15"/>
      <c r="KF279" s="15"/>
      <c r="KG279" s="15"/>
      <c r="KH279" s="15"/>
      <c r="KI279" s="15"/>
      <c r="KJ279" s="15"/>
      <c r="KK279" s="15"/>
      <c r="KL279" s="15"/>
      <c r="KM279" s="15"/>
      <c r="KN279" s="15"/>
      <c r="KO279" s="15"/>
      <c r="KP279" s="15"/>
      <c r="KQ279" s="15"/>
      <c r="KR279" s="15"/>
      <c r="KS279" s="15"/>
      <c r="KT279" s="15"/>
      <c r="KU279" s="15"/>
      <c r="KV279" s="15"/>
      <c r="KW279" s="15"/>
      <c r="KX279" s="15"/>
      <c r="KY279" s="15"/>
      <c r="KZ279" s="15"/>
      <c r="LA279" s="15"/>
      <c r="LB279" s="15"/>
      <c r="LC279" s="15"/>
      <c r="LD279" s="15"/>
      <c r="LE279" s="15"/>
      <c r="LF279" s="15"/>
      <c r="LG279" s="15"/>
      <c r="LH279" s="15"/>
      <c r="LI279" s="15"/>
      <c r="LJ279" s="15"/>
      <c r="LK279" s="15"/>
      <c r="LL279" s="15"/>
      <c r="LM279" s="15"/>
      <c r="LN279" s="15"/>
      <c r="LO279" s="15"/>
      <c r="LP279" s="15"/>
      <c r="LQ279" s="15"/>
      <c r="LR279" s="15"/>
      <c r="LS279" s="15"/>
      <c r="LT279" s="15"/>
      <c r="LU279" s="15"/>
      <c r="LV279" s="15"/>
      <c r="LW279" s="15"/>
      <c r="LX279" s="15"/>
      <c r="LY279" s="15"/>
      <c r="LZ279" s="15"/>
      <c r="MA279" s="15"/>
      <c r="MB279" s="15"/>
      <c r="MC279" s="15"/>
      <c r="MD279" s="15"/>
      <c r="ME279" s="15"/>
      <c r="MF279" s="15"/>
      <c r="MG279" s="15"/>
      <c r="MH279" s="15"/>
      <c r="MI279" s="15"/>
      <c r="MJ279" s="15"/>
      <c r="MK279" s="15"/>
      <c r="ML279" s="15"/>
      <c r="MM279" s="15"/>
      <c r="MN279" s="15"/>
      <c r="MO279" s="15"/>
      <c r="MP279" s="15"/>
      <c r="MQ279" s="15"/>
      <c r="MR279" s="15"/>
      <c r="MS279" s="15"/>
      <c r="MT279" s="15"/>
      <c r="MU279" s="15"/>
      <c r="MV279" s="15"/>
      <c r="MW279" s="15"/>
    </row>
    <row r="280" ht="119.25" customHeight="1">
      <c r="A280" s="16" t="s">
        <v>273</v>
      </c>
      <c r="B280" s="14" t="s">
        <v>10304</v>
      </c>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c r="DF280" s="15"/>
      <c r="DG280" s="15"/>
      <c r="DH280" s="15"/>
      <c r="DI280" s="15"/>
      <c r="DJ280" s="15"/>
      <c r="DK280" s="15"/>
      <c r="DL280" s="15"/>
      <c r="DM280" s="15"/>
      <c r="DN280" s="15"/>
      <c r="DO280" s="15"/>
      <c r="DP280" s="15"/>
      <c r="DQ280" s="15"/>
      <c r="DR280" s="15"/>
      <c r="DS280" s="15"/>
      <c r="DT280" s="15"/>
      <c r="DU280" s="15"/>
      <c r="DV280" s="15"/>
      <c r="DW280" s="15"/>
      <c r="DX280" s="15"/>
      <c r="DY280" s="15"/>
      <c r="DZ280" s="15"/>
      <c r="EA280" s="15"/>
      <c r="EB280" s="15"/>
      <c r="EC280" s="15"/>
      <c r="ED280" s="15"/>
      <c r="EE280" s="15"/>
      <c r="EF280" s="15"/>
      <c r="EG280" s="15"/>
      <c r="EH280" s="15"/>
      <c r="EI280" s="15"/>
      <c r="EJ280" s="15"/>
      <c r="EK280" s="15"/>
      <c r="EL280" s="15"/>
      <c r="EM280" s="15"/>
      <c r="EN280" s="15"/>
      <c r="EO280" s="15"/>
      <c r="EP280" s="15"/>
      <c r="EQ280" s="15"/>
      <c r="ER280" s="15"/>
      <c r="ES280" s="15"/>
      <c r="ET280" s="15"/>
      <c r="EU280" s="15"/>
      <c r="EV280" s="15"/>
      <c r="EW280" s="15"/>
      <c r="EX280" s="15"/>
      <c r="EY280" s="15"/>
      <c r="EZ280" s="15"/>
      <c r="FA280" s="15"/>
      <c r="FB280" s="15"/>
      <c r="FC280" s="15"/>
      <c r="FD280" s="15"/>
      <c r="FE280" s="15"/>
      <c r="FF280" s="15"/>
      <c r="FG280" s="15"/>
      <c r="FH280" s="15"/>
      <c r="FI280" s="15"/>
      <c r="FJ280" s="15"/>
      <c r="FK280" s="15"/>
      <c r="FL280" s="15"/>
      <c r="FM280" s="15"/>
      <c r="FN280" s="15"/>
      <c r="FO280" s="15"/>
      <c r="FP280" s="15"/>
      <c r="FQ280" s="15"/>
      <c r="FR280" s="15"/>
      <c r="FS280" s="15"/>
      <c r="FT280" s="15"/>
      <c r="FU280" s="15"/>
      <c r="FV280" s="15"/>
      <c r="FW280" s="15"/>
      <c r="FX280" s="15"/>
      <c r="FY280" s="15"/>
      <c r="FZ280" s="15"/>
      <c r="GA280" s="15"/>
      <c r="GB280" s="15"/>
      <c r="GC280" s="15"/>
      <c r="GD280" s="15"/>
      <c r="GE280" s="15"/>
      <c r="GF280" s="15"/>
      <c r="GG280" s="15"/>
      <c r="GH280" s="15"/>
      <c r="GI280" s="15"/>
      <c r="GJ280" s="15"/>
      <c r="GK280" s="15"/>
      <c r="GL280" s="15"/>
      <c r="GM280" s="15"/>
      <c r="GN280" s="15"/>
      <c r="GO280" s="15"/>
      <c r="GP280" s="15"/>
      <c r="GQ280" s="15"/>
      <c r="GR280" s="15"/>
      <c r="GS280" s="15"/>
      <c r="GT280" s="15"/>
      <c r="GU280" s="15"/>
      <c r="GV280" s="15"/>
      <c r="GW280" s="15"/>
      <c r="GX280" s="15"/>
      <c r="GY280" s="15"/>
      <c r="GZ280" s="15"/>
      <c r="HA280" s="15"/>
      <c r="HB280" s="15"/>
      <c r="HC280" s="15"/>
      <c r="HD280" s="15"/>
      <c r="HE280" s="15"/>
      <c r="HF280" s="15"/>
      <c r="HG280" s="15"/>
      <c r="HH280" s="15"/>
      <c r="HI280" s="15"/>
      <c r="HJ280" s="15"/>
      <c r="HK280" s="15"/>
      <c r="HL280" s="15"/>
      <c r="HM280" s="15"/>
      <c r="HN280" s="15"/>
      <c r="HO280" s="15"/>
      <c r="HP280" s="15"/>
      <c r="HQ280" s="15"/>
      <c r="HR280" s="15"/>
      <c r="HS280" s="15"/>
      <c r="HT280" s="15"/>
      <c r="HU280" s="15"/>
      <c r="HV280" s="15"/>
      <c r="HW280" s="15"/>
      <c r="HX280" s="15"/>
      <c r="HY280" s="15"/>
      <c r="HZ280" s="15"/>
      <c r="IA280" s="15"/>
      <c r="IB280" s="15"/>
      <c r="IC280" s="15"/>
      <c r="ID280" s="15"/>
      <c r="IE280" s="15"/>
      <c r="IF280" s="15"/>
      <c r="IG280" s="15"/>
      <c r="IH280" s="15"/>
      <c r="II280" s="15"/>
      <c r="IJ280" s="15"/>
      <c r="IK280" s="15"/>
      <c r="IL280" s="15"/>
      <c r="IM280" s="15"/>
      <c r="IN280" s="15"/>
      <c r="IO280" s="15"/>
      <c r="IP280" s="15"/>
      <c r="IQ280" s="15"/>
      <c r="IR280" s="15"/>
      <c r="IS280" s="15"/>
      <c r="IT280" s="15"/>
      <c r="IU280" s="15"/>
      <c r="IV280" s="15"/>
      <c r="IW280" s="15"/>
      <c r="IX280" s="15"/>
      <c r="IY280" s="15"/>
      <c r="IZ280" s="15"/>
      <c r="JA280" s="15"/>
      <c r="JB280" s="15"/>
      <c r="JC280" s="15"/>
      <c r="JD280" s="15"/>
      <c r="JE280" s="15"/>
      <c r="JF280" s="15"/>
      <c r="JG280" s="15"/>
      <c r="JH280" s="15"/>
      <c r="JI280" s="15"/>
      <c r="JJ280" s="15"/>
      <c r="JK280" s="15"/>
      <c r="JL280" s="15"/>
      <c r="JM280" s="15"/>
      <c r="JN280" s="15"/>
      <c r="JO280" s="15"/>
      <c r="JP280" s="15"/>
      <c r="JQ280" s="15"/>
      <c r="JR280" s="15"/>
      <c r="JS280" s="15"/>
      <c r="JT280" s="15"/>
      <c r="JU280" s="15"/>
      <c r="JV280" s="15"/>
      <c r="JW280" s="15"/>
      <c r="JX280" s="15"/>
      <c r="JY280" s="15"/>
      <c r="JZ280" s="15"/>
      <c r="KA280" s="15"/>
      <c r="KB280" s="15"/>
      <c r="KC280" s="15"/>
      <c r="KD280" s="15"/>
      <c r="KE280" s="15"/>
      <c r="KF280" s="15"/>
      <c r="KG280" s="15"/>
      <c r="KH280" s="15"/>
      <c r="KI280" s="15"/>
      <c r="KJ280" s="15"/>
      <c r="KK280" s="15"/>
      <c r="KL280" s="15"/>
      <c r="KM280" s="15"/>
      <c r="KN280" s="15"/>
      <c r="KO280" s="15"/>
      <c r="KP280" s="15"/>
      <c r="KQ280" s="15"/>
      <c r="KR280" s="15"/>
      <c r="KS280" s="15"/>
      <c r="KT280" s="15"/>
      <c r="KU280" s="15"/>
      <c r="KV280" s="15"/>
      <c r="KW280" s="15"/>
      <c r="KX280" s="15"/>
      <c r="KY280" s="15"/>
      <c r="KZ280" s="15"/>
      <c r="LA280" s="15"/>
      <c r="LB280" s="15"/>
      <c r="LC280" s="15"/>
      <c r="LD280" s="15"/>
      <c r="LE280" s="15"/>
      <c r="LF280" s="15"/>
      <c r="LG280" s="15"/>
      <c r="LH280" s="15"/>
      <c r="LI280" s="15"/>
      <c r="LJ280" s="15"/>
      <c r="LK280" s="15"/>
      <c r="LL280" s="15"/>
      <c r="LM280" s="15"/>
      <c r="LN280" s="15"/>
      <c r="LO280" s="15"/>
      <c r="LP280" s="15"/>
      <c r="LQ280" s="15"/>
      <c r="LR280" s="15"/>
      <c r="LS280" s="15"/>
      <c r="LT280" s="15"/>
      <c r="LU280" s="15"/>
      <c r="LV280" s="15"/>
      <c r="LW280" s="15"/>
      <c r="LX280" s="15"/>
      <c r="LY280" s="15"/>
      <c r="LZ280" s="15"/>
      <c r="MA280" s="15"/>
      <c r="MB280" s="15"/>
      <c r="MC280" s="15"/>
      <c r="MD280" s="15"/>
      <c r="ME280" s="15"/>
      <c r="MF280" s="15"/>
      <c r="MG280" s="15"/>
      <c r="MH280" s="15"/>
      <c r="MI280" s="15"/>
      <c r="MJ280" s="15"/>
      <c r="MK280" s="15"/>
      <c r="ML280" s="15"/>
      <c r="MM280" s="15"/>
      <c r="MN280" s="15"/>
      <c r="MO280" s="15"/>
      <c r="MP280" s="15"/>
      <c r="MQ280" s="15"/>
      <c r="MR280" s="15"/>
      <c r="MS280" s="15"/>
      <c r="MT280" s="15"/>
      <c r="MU280" s="15"/>
      <c r="MV280" s="15"/>
      <c r="MW280" s="15"/>
    </row>
    <row r="281" ht="41.25" customHeight="1">
      <c r="A281" s="16" t="s">
        <v>274</v>
      </c>
      <c r="B281" s="14" t="s">
        <v>10305</v>
      </c>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c r="DF281" s="15"/>
      <c r="DG281" s="15"/>
      <c r="DH281" s="15"/>
      <c r="DI281" s="15"/>
      <c r="DJ281" s="15"/>
      <c r="DK281" s="15"/>
      <c r="DL281" s="15"/>
      <c r="DM281" s="15"/>
      <c r="DN281" s="15"/>
      <c r="DO281" s="15"/>
      <c r="DP281" s="15"/>
      <c r="DQ281" s="15"/>
      <c r="DR281" s="15"/>
      <c r="DS281" s="15"/>
      <c r="DT281" s="15"/>
      <c r="DU281" s="15"/>
      <c r="DV281" s="15"/>
      <c r="DW281" s="15"/>
      <c r="DX281" s="15"/>
      <c r="DY281" s="15"/>
      <c r="DZ281" s="15"/>
      <c r="EA281" s="15"/>
      <c r="EB281" s="15"/>
      <c r="EC281" s="15"/>
      <c r="ED281" s="15"/>
      <c r="EE281" s="15"/>
      <c r="EF281" s="15"/>
      <c r="EG281" s="15"/>
      <c r="EH281" s="15"/>
      <c r="EI281" s="15"/>
      <c r="EJ281" s="15"/>
      <c r="EK281" s="15"/>
      <c r="EL281" s="15"/>
      <c r="EM281" s="15"/>
      <c r="EN281" s="15"/>
      <c r="EO281" s="15"/>
      <c r="EP281" s="15"/>
      <c r="EQ281" s="15"/>
      <c r="ER281" s="15"/>
      <c r="ES281" s="15"/>
      <c r="ET281" s="15"/>
      <c r="EU281" s="15"/>
      <c r="EV281" s="15"/>
      <c r="EW281" s="15"/>
      <c r="EX281" s="15"/>
      <c r="EY281" s="15"/>
      <c r="EZ281" s="15"/>
      <c r="FA281" s="15"/>
      <c r="FB281" s="15"/>
      <c r="FC281" s="15"/>
      <c r="FD281" s="15"/>
      <c r="FE281" s="15"/>
      <c r="FF281" s="15"/>
      <c r="FG281" s="15"/>
      <c r="FH281" s="15"/>
      <c r="FI281" s="15"/>
      <c r="FJ281" s="15"/>
      <c r="FK281" s="15"/>
      <c r="FL281" s="15"/>
      <c r="FM281" s="15"/>
      <c r="FN281" s="15"/>
      <c r="FO281" s="15"/>
      <c r="FP281" s="15"/>
      <c r="FQ281" s="15"/>
      <c r="FR281" s="15"/>
      <c r="FS281" s="15"/>
      <c r="FT281" s="15"/>
      <c r="FU281" s="15"/>
      <c r="FV281" s="15"/>
      <c r="FW281" s="15"/>
      <c r="FX281" s="15"/>
      <c r="FY281" s="15"/>
      <c r="FZ281" s="15"/>
      <c r="GA281" s="15"/>
      <c r="GB281" s="15"/>
      <c r="GC281" s="15"/>
      <c r="GD281" s="15"/>
      <c r="GE281" s="15"/>
      <c r="GF281" s="15"/>
      <c r="GG281" s="15"/>
      <c r="GH281" s="15"/>
      <c r="GI281" s="15"/>
      <c r="GJ281" s="15"/>
      <c r="GK281" s="15"/>
      <c r="GL281" s="15"/>
      <c r="GM281" s="15"/>
      <c r="GN281" s="15"/>
      <c r="GO281" s="15"/>
      <c r="GP281" s="15"/>
      <c r="GQ281" s="15"/>
      <c r="GR281" s="15"/>
      <c r="GS281" s="15"/>
      <c r="GT281" s="15"/>
      <c r="GU281" s="15"/>
      <c r="GV281" s="15"/>
      <c r="GW281" s="15"/>
      <c r="GX281" s="15"/>
      <c r="GY281" s="15"/>
      <c r="GZ281" s="15"/>
      <c r="HA281" s="15"/>
      <c r="HB281" s="15"/>
      <c r="HC281" s="15"/>
      <c r="HD281" s="15"/>
      <c r="HE281" s="15"/>
      <c r="HF281" s="15"/>
      <c r="HG281" s="15"/>
      <c r="HH281" s="15"/>
      <c r="HI281" s="15"/>
      <c r="HJ281" s="15"/>
      <c r="HK281" s="15"/>
      <c r="HL281" s="15"/>
      <c r="HM281" s="15"/>
      <c r="HN281" s="15"/>
      <c r="HO281" s="15"/>
      <c r="HP281" s="15"/>
      <c r="HQ281" s="15"/>
      <c r="HR281" s="15"/>
      <c r="HS281" s="15"/>
      <c r="HT281" s="15"/>
      <c r="HU281" s="15"/>
      <c r="HV281" s="15"/>
      <c r="HW281" s="15"/>
      <c r="HX281" s="15"/>
      <c r="HY281" s="15"/>
      <c r="HZ281" s="15"/>
      <c r="IA281" s="15"/>
      <c r="IB281" s="15"/>
      <c r="IC281" s="15"/>
      <c r="ID281" s="15"/>
      <c r="IE281" s="15"/>
      <c r="IF281" s="15"/>
      <c r="IG281" s="15"/>
      <c r="IH281" s="15"/>
      <c r="II281" s="15"/>
      <c r="IJ281" s="15"/>
      <c r="IK281" s="15"/>
      <c r="IL281" s="15"/>
      <c r="IM281" s="15"/>
      <c r="IN281" s="15"/>
      <c r="IO281" s="15"/>
      <c r="IP281" s="15"/>
      <c r="IQ281" s="15"/>
      <c r="IR281" s="15"/>
      <c r="IS281" s="15"/>
      <c r="IT281" s="15"/>
      <c r="IU281" s="15"/>
      <c r="IV281" s="15"/>
      <c r="IW281" s="15"/>
      <c r="IX281" s="15"/>
      <c r="IY281" s="15"/>
      <c r="IZ281" s="15"/>
      <c r="JA281" s="15"/>
      <c r="JB281" s="15"/>
      <c r="JC281" s="15"/>
      <c r="JD281" s="15"/>
      <c r="JE281" s="15"/>
      <c r="JF281" s="15"/>
      <c r="JG281" s="15"/>
      <c r="JH281" s="15"/>
      <c r="JI281" s="15"/>
      <c r="JJ281" s="15"/>
      <c r="JK281" s="15"/>
      <c r="JL281" s="15"/>
      <c r="JM281" s="15"/>
      <c r="JN281" s="15"/>
      <c r="JO281" s="15"/>
      <c r="JP281" s="15"/>
      <c r="JQ281" s="15"/>
      <c r="JR281" s="15"/>
      <c r="JS281" s="15"/>
      <c r="JT281" s="15"/>
      <c r="JU281" s="15"/>
      <c r="JV281" s="15"/>
      <c r="JW281" s="15"/>
      <c r="JX281" s="15"/>
      <c r="JY281" s="15"/>
      <c r="JZ281" s="15"/>
      <c r="KA281" s="15"/>
      <c r="KB281" s="15"/>
      <c r="KC281" s="15"/>
      <c r="KD281" s="15"/>
      <c r="KE281" s="15"/>
      <c r="KF281" s="15"/>
      <c r="KG281" s="15"/>
      <c r="KH281" s="15"/>
      <c r="KI281" s="15"/>
      <c r="KJ281" s="15"/>
      <c r="KK281" s="15"/>
      <c r="KL281" s="15"/>
      <c r="KM281" s="15"/>
      <c r="KN281" s="15"/>
      <c r="KO281" s="15"/>
      <c r="KP281" s="15"/>
      <c r="KQ281" s="15"/>
      <c r="KR281" s="15"/>
      <c r="KS281" s="15"/>
      <c r="KT281" s="15"/>
      <c r="KU281" s="15"/>
      <c r="KV281" s="15"/>
      <c r="KW281" s="15"/>
      <c r="KX281" s="15"/>
      <c r="KY281" s="15"/>
      <c r="KZ281" s="15"/>
      <c r="LA281" s="15"/>
      <c r="LB281" s="15"/>
      <c r="LC281" s="15"/>
      <c r="LD281" s="15"/>
      <c r="LE281" s="15"/>
      <c r="LF281" s="15"/>
      <c r="LG281" s="15"/>
      <c r="LH281" s="15"/>
      <c r="LI281" s="15"/>
      <c r="LJ281" s="15"/>
      <c r="LK281" s="15"/>
      <c r="LL281" s="15"/>
      <c r="LM281" s="15"/>
      <c r="LN281" s="15"/>
      <c r="LO281" s="15"/>
      <c r="LP281" s="15"/>
      <c r="LQ281" s="15"/>
      <c r="LR281" s="15"/>
      <c r="LS281" s="15"/>
      <c r="LT281" s="15"/>
      <c r="LU281" s="15"/>
      <c r="LV281" s="15"/>
      <c r="LW281" s="15"/>
      <c r="LX281" s="15"/>
      <c r="LY281" s="15"/>
      <c r="LZ281" s="15"/>
      <c r="MA281" s="15"/>
      <c r="MB281" s="15"/>
      <c r="MC281" s="15"/>
      <c r="MD281" s="15"/>
      <c r="ME281" s="15"/>
      <c r="MF281" s="15"/>
      <c r="MG281" s="15"/>
      <c r="MH281" s="15"/>
      <c r="MI281" s="15"/>
      <c r="MJ281" s="15"/>
      <c r="MK281" s="15"/>
      <c r="ML281" s="15"/>
      <c r="MM281" s="15"/>
      <c r="MN281" s="15"/>
      <c r="MO281" s="15"/>
      <c r="MP281" s="15"/>
      <c r="MQ281" s="15"/>
      <c r="MR281" s="15"/>
      <c r="MS281" s="15"/>
      <c r="MT281" s="15"/>
      <c r="MU281" s="15"/>
      <c r="MV281" s="15"/>
      <c r="MW281" s="15"/>
    </row>
    <row r="282" ht="119.25" customHeight="1">
      <c r="A282" s="16" t="s">
        <v>275</v>
      </c>
      <c r="B282" s="14" t="s">
        <v>10306</v>
      </c>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c r="DF282" s="15"/>
      <c r="DG282" s="15"/>
      <c r="DH282" s="15"/>
      <c r="DI282" s="15"/>
      <c r="DJ282" s="15"/>
      <c r="DK282" s="15"/>
      <c r="DL282" s="15"/>
      <c r="DM282" s="15"/>
      <c r="DN282" s="15"/>
      <c r="DO282" s="15"/>
      <c r="DP282" s="15"/>
      <c r="DQ282" s="15"/>
      <c r="DR282" s="15"/>
      <c r="DS282" s="15"/>
      <c r="DT282" s="15"/>
      <c r="DU282" s="15"/>
      <c r="DV282" s="15"/>
      <c r="DW282" s="15"/>
      <c r="DX282" s="15"/>
      <c r="DY282" s="15"/>
      <c r="DZ282" s="15"/>
      <c r="EA282" s="15"/>
      <c r="EB282" s="15"/>
      <c r="EC282" s="15"/>
      <c r="ED282" s="15"/>
      <c r="EE282" s="15"/>
      <c r="EF282" s="15"/>
      <c r="EG282" s="15"/>
      <c r="EH282" s="15"/>
      <c r="EI282" s="15"/>
      <c r="EJ282" s="15"/>
      <c r="EK282" s="15"/>
      <c r="EL282" s="15"/>
      <c r="EM282" s="15"/>
      <c r="EN282" s="15"/>
      <c r="EO282" s="15"/>
      <c r="EP282" s="15"/>
      <c r="EQ282" s="15"/>
      <c r="ER282" s="15"/>
      <c r="ES282" s="15"/>
      <c r="ET282" s="15"/>
      <c r="EU282" s="15"/>
      <c r="EV282" s="15"/>
      <c r="EW282" s="15"/>
      <c r="EX282" s="15"/>
      <c r="EY282" s="15"/>
      <c r="EZ282" s="15"/>
      <c r="FA282" s="15"/>
      <c r="FB282" s="15"/>
      <c r="FC282" s="15"/>
      <c r="FD282" s="15"/>
      <c r="FE282" s="15"/>
      <c r="FF282" s="15"/>
      <c r="FG282" s="15"/>
      <c r="FH282" s="15"/>
      <c r="FI282" s="15"/>
      <c r="FJ282" s="15"/>
      <c r="FK282" s="15"/>
      <c r="FL282" s="15"/>
      <c r="FM282" s="15"/>
      <c r="FN282" s="15"/>
      <c r="FO282" s="15"/>
      <c r="FP282" s="15"/>
      <c r="FQ282" s="15"/>
      <c r="FR282" s="15"/>
      <c r="FS282" s="15"/>
      <c r="FT282" s="15"/>
      <c r="FU282" s="15"/>
      <c r="FV282" s="15"/>
      <c r="FW282" s="15"/>
      <c r="FX282" s="15"/>
      <c r="FY282" s="15"/>
      <c r="FZ282" s="15"/>
      <c r="GA282" s="15"/>
      <c r="GB282" s="15"/>
      <c r="GC282" s="15"/>
      <c r="GD282" s="15"/>
      <c r="GE282" s="15"/>
      <c r="GF282" s="15"/>
      <c r="GG282" s="15"/>
      <c r="GH282" s="15"/>
      <c r="GI282" s="15"/>
      <c r="GJ282" s="15"/>
      <c r="GK282" s="15"/>
      <c r="GL282" s="15"/>
      <c r="GM282" s="15"/>
      <c r="GN282" s="15"/>
      <c r="GO282" s="15"/>
      <c r="GP282" s="15"/>
      <c r="GQ282" s="15"/>
      <c r="GR282" s="15"/>
      <c r="GS282" s="15"/>
      <c r="GT282" s="15"/>
      <c r="GU282" s="15"/>
      <c r="GV282" s="15"/>
      <c r="GW282" s="15"/>
      <c r="GX282" s="15"/>
      <c r="GY282" s="15"/>
      <c r="GZ282" s="15"/>
      <c r="HA282" s="15"/>
      <c r="HB282" s="15"/>
      <c r="HC282" s="15"/>
      <c r="HD282" s="15"/>
      <c r="HE282" s="15"/>
      <c r="HF282" s="15"/>
      <c r="HG282" s="15"/>
      <c r="HH282" s="15"/>
      <c r="HI282" s="15"/>
      <c r="HJ282" s="15"/>
      <c r="HK282" s="15"/>
      <c r="HL282" s="15"/>
      <c r="HM282" s="15"/>
      <c r="HN282" s="15"/>
      <c r="HO282" s="15"/>
      <c r="HP282" s="15"/>
      <c r="HQ282" s="15"/>
      <c r="HR282" s="15"/>
      <c r="HS282" s="15"/>
      <c r="HT282" s="15"/>
      <c r="HU282" s="15"/>
      <c r="HV282" s="15"/>
      <c r="HW282" s="15"/>
      <c r="HX282" s="15"/>
      <c r="HY282" s="15"/>
      <c r="HZ282" s="15"/>
      <c r="IA282" s="15"/>
      <c r="IB282" s="15"/>
      <c r="IC282" s="15"/>
      <c r="ID282" s="15"/>
      <c r="IE282" s="15"/>
      <c r="IF282" s="15"/>
      <c r="IG282" s="15"/>
      <c r="IH282" s="15"/>
      <c r="II282" s="15"/>
      <c r="IJ282" s="15"/>
      <c r="IK282" s="15"/>
      <c r="IL282" s="15"/>
      <c r="IM282" s="15"/>
      <c r="IN282" s="15"/>
      <c r="IO282" s="15"/>
      <c r="IP282" s="15"/>
      <c r="IQ282" s="15"/>
      <c r="IR282" s="15"/>
      <c r="IS282" s="15"/>
      <c r="IT282" s="15"/>
      <c r="IU282" s="15"/>
      <c r="IV282" s="15"/>
      <c r="IW282" s="15"/>
      <c r="IX282" s="15"/>
      <c r="IY282" s="15"/>
      <c r="IZ282" s="15"/>
      <c r="JA282" s="15"/>
      <c r="JB282" s="15"/>
      <c r="JC282" s="15"/>
      <c r="JD282" s="15"/>
      <c r="JE282" s="15"/>
      <c r="JF282" s="15"/>
      <c r="JG282" s="15"/>
      <c r="JH282" s="15"/>
      <c r="JI282" s="15"/>
      <c r="JJ282" s="15"/>
      <c r="JK282" s="15"/>
      <c r="JL282" s="15"/>
      <c r="JM282" s="15"/>
      <c r="JN282" s="15"/>
      <c r="JO282" s="15"/>
      <c r="JP282" s="15"/>
      <c r="JQ282" s="15"/>
      <c r="JR282" s="15"/>
      <c r="JS282" s="15"/>
      <c r="JT282" s="15"/>
      <c r="JU282" s="15"/>
      <c r="JV282" s="15"/>
      <c r="JW282" s="15"/>
      <c r="JX282" s="15"/>
      <c r="JY282" s="15"/>
      <c r="JZ282" s="15"/>
      <c r="KA282" s="15"/>
      <c r="KB282" s="15"/>
      <c r="KC282" s="15"/>
      <c r="KD282" s="15"/>
      <c r="KE282" s="15"/>
      <c r="KF282" s="15"/>
      <c r="KG282" s="15"/>
      <c r="KH282" s="15"/>
      <c r="KI282" s="15"/>
      <c r="KJ282" s="15"/>
      <c r="KK282" s="15"/>
      <c r="KL282" s="15"/>
      <c r="KM282" s="15"/>
      <c r="KN282" s="15"/>
      <c r="KO282" s="15"/>
      <c r="KP282" s="15"/>
      <c r="KQ282" s="15"/>
      <c r="KR282" s="15"/>
      <c r="KS282" s="15"/>
      <c r="KT282" s="15"/>
      <c r="KU282" s="15"/>
      <c r="KV282" s="15"/>
      <c r="KW282" s="15"/>
      <c r="KX282" s="15"/>
      <c r="KY282" s="15"/>
      <c r="KZ282" s="15"/>
      <c r="LA282" s="15"/>
      <c r="LB282" s="15"/>
      <c r="LC282" s="15"/>
      <c r="LD282" s="15"/>
      <c r="LE282" s="15"/>
      <c r="LF282" s="15"/>
      <c r="LG282" s="15"/>
      <c r="LH282" s="15"/>
      <c r="LI282" s="15"/>
      <c r="LJ282" s="15"/>
      <c r="LK282" s="15"/>
      <c r="LL282" s="15"/>
      <c r="LM282" s="15"/>
      <c r="LN282" s="15"/>
      <c r="LO282" s="15"/>
      <c r="LP282" s="15"/>
      <c r="LQ282" s="15"/>
      <c r="LR282" s="15"/>
      <c r="LS282" s="15"/>
      <c r="LT282" s="15"/>
      <c r="LU282" s="15"/>
      <c r="LV282" s="15"/>
      <c r="LW282" s="15"/>
      <c r="LX282" s="15"/>
      <c r="LY282" s="15"/>
      <c r="LZ282" s="15"/>
      <c r="MA282" s="15"/>
      <c r="MB282" s="15"/>
      <c r="MC282" s="15"/>
      <c r="MD282" s="15"/>
      <c r="ME282" s="15"/>
      <c r="MF282" s="15"/>
      <c r="MG282" s="15"/>
      <c r="MH282" s="15"/>
      <c r="MI282" s="15"/>
      <c r="MJ282" s="15"/>
      <c r="MK282" s="15"/>
      <c r="ML282" s="15"/>
      <c r="MM282" s="15"/>
      <c r="MN282" s="15"/>
      <c r="MO282" s="15"/>
      <c r="MP282" s="15"/>
      <c r="MQ282" s="15"/>
      <c r="MR282" s="15"/>
      <c r="MS282" s="15"/>
      <c r="MT282" s="15"/>
      <c r="MU282" s="15"/>
      <c r="MV282" s="15"/>
      <c r="MW282" s="15"/>
    </row>
    <row r="283" ht="41.25" customHeight="1">
      <c r="A283" s="16" t="s">
        <v>276</v>
      </c>
      <c r="B283" s="14" t="s">
        <v>10307</v>
      </c>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c r="DE283" s="15"/>
      <c r="DF283" s="15"/>
      <c r="DG283" s="15"/>
      <c r="DH283" s="15"/>
      <c r="DI283" s="15"/>
      <c r="DJ283" s="15"/>
      <c r="DK283" s="15"/>
      <c r="DL283" s="15"/>
      <c r="DM283" s="15"/>
      <c r="DN283" s="15"/>
      <c r="DO283" s="15"/>
      <c r="DP283" s="15"/>
      <c r="DQ283" s="15"/>
      <c r="DR283" s="15"/>
      <c r="DS283" s="15"/>
      <c r="DT283" s="15"/>
      <c r="DU283" s="15"/>
      <c r="DV283" s="15"/>
      <c r="DW283" s="15"/>
      <c r="DX283" s="15"/>
      <c r="DY283" s="15"/>
      <c r="DZ283" s="15"/>
      <c r="EA283" s="15"/>
      <c r="EB283" s="15"/>
      <c r="EC283" s="15"/>
      <c r="ED283" s="15"/>
      <c r="EE283" s="15"/>
      <c r="EF283" s="15"/>
      <c r="EG283" s="15"/>
      <c r="EH283" s="15"/>
      <c r="EI283" s="15"/>
      <c r="EJ283" s="15"/>
      <c r="EK283" s="15"/>
      <c r="EL283" s="15"/>
      <c r="EM283" s="15"/>
      <c r="EN283" s="15"/>
      <c r="EO283" s="15"/>
      <c r="EP283" s="15"/>
      <c r="EQ283" s="15"/>
      <c r="ER283" s="15"/>
      <c r="ES283" s="15"/>
      <c r="ET283" s="15"/>
      <c r="EU283" s="15"/>
      <c r="EV283" s="15"/>
      <c r="EW283" s="15"/>
      <c r="EX283" s="15"/>
      <c r="EY283" s="15"/>
      <c r="EZ283" s="15"/>
      <c r="FA283" s="15"/>
      <c r="FB283" s="15"/>
      <c r="FC283" s="15"/>
      <c r="FD283" s="15"/>
      <c r="FE283" s="15"/>
      <c r="FF283" s="15"/>
      <c r="FG283" s="15"/>
      <c r="FH283" s="15"/>
      <c r="FI283" s="15"/>
      <c r="FJ283" s="15"/>
      <c r="FK283" s="15"/>
      <c r="FL283" s="15"/>
      <c r="FM283" s="15"/>
      <c r="FN283" s="15"/>
      <c r="FO283" s="15"/>
      <c r="FP283" s="15"/>
      <c r="FQ283" s="15"/>
      <c r="FR283" s="15"/>
      <c r="FS283" s="15"/>
      <c r="FT283" s="15"/>
      <c r="FU283" s="15"/>
      <c r="FV283" s="15"/>
      <c r="FW283" s="15"/>
      <c r="FX283" s="15"/>
      <c r="FY283" s="15"/>
      <c r="FZ283" s="15"/>
      <c r="GA283" s="15"/>
      <c r="GB283" s="15"/>
      <c r="GC283" s="15"/>
      <c r="GD283" s="15"/>
      <c r="GE283" s="15"/>
      <c r="GF283" s="15"/>
      <c r="GG283" s="15"/>
      <c r="GH283" s="15"/>
      <c r="GI283" s="15"/>
      <c r="GJ283" s="15"/>
      <c r="GK283" s="15"/>
      <c r="GL283" s="15"/>
      <c r="GM283" s="15"/>
      <c r="GN283" s="15"/>
      <c r="GO283" s="15"/>
      <c r="GP283" s="15"/>
      <c r="GQ283" s="15"/>
      <c r="GR283" s="15"/>
      <c r="GS283" s="15"/>
      <c r="GT283" s="15"/>
      <c r="GU283" s="15"/>
      <c r="GV283" s="15"/>
      <c r="GW283" s="15"/>
      <c r="GX283" s="15"/>
      <c r="GY283" s="15"/>
      <c r="GZ283" s="15"/>
      <c r="HA283" s="15"/>
      <c r="HB283" s="15"/>
      <c r="HC283" s="15"/>
      <c r="HD283" s="15"/>
      <c r="HE283" s="15"/>
      <c r="HF283" s="15"/>
      <c r="HG283" s="15"/>
      <c r="HH283" s="15"/>
      <c r="HI283" s="15"/>
      <c r="HJ283" s="15"/>
      <c r="HK283" s="15"/>
      <c r="HL283" s="15"/>
      <c r="HM283" s="15"/>
      <c r="HN283" s="15"/>
      <c r="HO283" s="15"/>
      <c r="HP283" s="15"/>
      <c r="HQ283" s="15"/>
      <c r="HR283" s="15"/>
      <c r="HS283" s="15"/>
      <c r="HT283" s="15"/>
      <c r="HU283" s="15"/>
      <c r="HV283" s="15"/>
      <c r="HW283" s="15"/>
      <c r="HX283" s="15"/>
      <c r="HY283" s="15"/>
      <c r="HZ283" s="15"/>
      <c r="IA283" s="15"/>
      <c r="IB283" s="15"/>
      <c r="IC283" s="15"/>
      <c r="ID283" s="15"/>
      <c r="IE283" s="15"/>
      <c r="IF283" s="15"/>
      <c r="IG283" s="15"/>
      <c r="IH283" s="15"/>
      <c r="II283" s="15"/>
      <c r="IJ283" s="15"/>
      <c r="IK283" s="15"/>
      <c r="IL283" s="15"/>
      <c r="IM283" s="15"/>
      <c r="IN283" s="15"/>
      <c r="IO283" s="15"/>
      <c r="IP283" s="15"/>
      <c r="IQ283" s="15"/>
      <c r="IR283" s="15"/>
      <c r="IS283" s="15"/>
      <c r="IT283" s="15"/>
      <c r="IU283" s="15"/>
      <c r="IV283" s="15"/>
      <c r="IW283" s="15"/>
      <c r="IX283" s="15"/>
      <c r="IY283" s="15"/>
      <c r="IZ283" s="15"/>
      <c r="JA283" s="15"/>
      <c r="JB283" s="15"/>
      <c r="JC283" s="15"/>
      <c r="JD283" s="15"/>
      <c r="JE283" s="15"/>
      <c r="JF283" s="15"/>
      <c r="JG283" s="15"/>
      <c r="JH283" s="15"/>
      <c r="JI283" s="15"/>
      <c r="JJ283" s="15"/>
      <c r="JK283" s="15"/>
      <c r="JL283" s="15"/>
      <c r="JM283" s="15"/>
      <c r="JN283" s="15"/>
      <c r="JO283" s="15"/>
      <c r="JP283" s="15"/>
      <c r="JQ283" s="15"/>
      <c r="JR283" s="15"/>
      <c r="JS283" s="15"/>
      <c r="JT283" s="15"/>
      <c r="JU283" s="15"/>
      <c r="JV283" s="15"/>
      <c r="JW283" s="15"/>
      <c r="JX283" s="15"/>
      <c r="JY283" s="15"/>
      <c r="JZ283" s="15"/>
      <c r="KA283" s="15"/>
      <c r="KB283" s="15"/>
      <c r="KC283" s="15"/>
      <c r="KD283" s="15"/>
      <c r="KE283" s="15"/>
      <c r="KF283" s="15"/>
      <c r="KG283" s="15"/>
      <c r="KH283" s="15"/>
      <c r="KI283" s="15"/>
      <c r="KJ283" s="15"/>
      <c r="KK283" s="15"/>
      <c r="KL283" s="15"/>
      <c r="KM283" s="15"/>
      <c r="KN283" s="15"/>
      <c r="KO283" s="15"/>
      <c r="KP283" s="15"/>
      <c r="KQ283" s="15"/>
      <c r="KR283" s="15"/>
      <c r="KS283" s="15"/>
      <c r="KT283" s="15"/>
      <c r="KU283" s="15"/>
      <c r="KV283" s="15"/>
      <c r="KW283" s="15"/>
      <c r="KX283" s="15"/>
      <c r="KY283" s="15"/>
      <c r="KZ283" s="15"/>
      <c r="LA283" s="15"/>
      <c r="LB283" s="15"/>
      <c r="LC283" s="15"/>
      <c r="LD283" s="15"/>
      <c r="LE283" s="15"/>
      <c r="LF283" s="15"/>
      <c r="LG283" s="15"/>
      <c r="LH283" s="15"/>
      <c r="LI283" s="15"/>
      <c r="LJ283" s="15"/>
      <c r="LK283" s="15"/>
      <c r="LL283" s="15"/>
      <c r="LM283" s="15"/>
      <c r="LN283" s="15"/>
      <c r="LO283" s="15"/>
      <c r="LP283" s="15"/>
      <c r="LQ283" s="15"/>
      <c r="LR283" s="15"/>
      <c r="LS283" s="15"/>
      <c r="LT283" s="15"/>
      <c r="LU283" s="15"/>
      <c r="LV283" s="15"/>
      <c r="LW283" s="15"/>
      <c r="LX283" s="15"/>
      <c r="LY283" s="15"/>
      <c r="LZ283" s="15"/>
      <c r="MA283" s="15"/>
      <c r="MB283" s="15"/>
      <c r="MC283" s="15"/>
      <c r="MD283" s="15"/>
      <c r="ME283" s="15"/>
      <c r="MF283" s="15"/>
      <c r="MG283" s="15"/>
      <c r="MH283" s="15"/>
      <c r="MI283" s="15"/>
      <c r="MJ283" s="15"/>
      <c r="MK283" s="15"/>
      <c r="ML283" s="15"/>
      <c r="MM283" s="15"/>
      <c r="MN283" s="15"/>
      <c r="MO283" s="15"/>
      <c r="MP283" s="15"/>
      <c r="MQ283" s="15"/>
      <c r="MR283" s="15"/>
      <c r="MS283" s="15"/>
      <c r="MT283" s="15"/>
      <c r="MU283" s="15"/>
      <c r="MV283" s="15"/>
      <c r="MW283" s="15"/>
    </row>
    <row r="284" ht="119.25" customHeight="1">
      <c r="A284" s="16" t="s">
        <v>277</v>
      </c>
      <c r="B284" s="14" t="s">
        <v>10308</v>
      </c>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c r="DE284" s="15"/>
      <c r="DF284" s="15"/>
      <c r="DG284" s="15"/>
      <c r="DH284" s="15"/>
      <c r="DI284" s="15"/>
      <c r="DJ284" s="15"/>
      <c r="DK284" s="15"/>
      <c r="DL284" s="15"/>
      <c r="DM284" s="15"/>
      <c r="DN284" s="15"/>
      <c r="DO284" s="15"/>
      <c r="DP284" s="15"/>
      <c r="DQ284" s="15"/>
      <c r="DR284" s="15"/>
      <c r="DS284" s="15"/>
      <c r="DT284" s="15"/>
      <c r="DU284" s="15"/>
      <c r="DV284" s="15"/>
      <c r="DW284" s="15"/>
      <c r="DX284" s="15"/>
      <c r="DY284" s="15"/>
      <c r="DZ284" s="15"/>
      <c r="EA284" s="15"/>
      <c r="EB284" s="15"/>
      <c r="EC284" s="15"/>
      <c r="ED284" s="15"/>
      <c r="EE284" s="15"/>
      <c r="EF284" s="15"/>
      <c r="EG284" s="15"/>
      <c r="EH284" s="15"/>
      <c r="EI284" s="15"/>
      <c r="EJ284" s="15"/>
      <c r="EK284" s="15"/>
      <c r="EL284" s="15"/>
      <c r="EM284" s="15"/>
      <c r="EN284" s="15"/>
      <c r="EO284" s="15"/>
      <c r="EP284" s="15"/>
      <c r="EQ284" s="15"/>
      <c r="ER284" s="15"/>
      <c r="ES284" s="15"/>
      <c r="ET284" s="15"/>
      <c r="EU284" s="15"/>
      <c r="EV284" s="15"/>
      <c r="EW284" s="15"/>
      <c r="EX284" s="15"/>
      <c r="EY284" s="15"/>
      <c r="EZ284" s="15"/>
      <c r="FA284" s="15"/>
      <c r="FB284" s="15"/>
      <c r="FC284" s="15"/>
      <c r="FD284" s="15"/>
      <c r="FE284" s="15"/>
      <c r="FF284" s="15"/>
      <c r="FG284" s="15"/>
      <c r="FH284" s="15"/>
      <c r="FI284" s="15"/>
      <c r="FJ284" s="15"/>
      <c r="FK284" s="15"/>
      <c r="FL284" s="15"/>
      <c r="FM284" s="15"/>
      <c r="FN284" s="15"/>
      <c r="FO284" s="15"/>
      <c r="FP284" s="15"/>
      <c r="FQ284" s="15"/>
      <c r="FR284" s="15"/>
      <c r="FS284" s="15"/>
      <c r="FT284" s="15"/>
      <c r="FU284" s="15"/>
      <c r="FV284" s="15"/>
      <c r="FW284" s="15"/>
      <c r="FX284" s="15"/>
      <c r="FY284" s="15"/>
      <c r="FZ284" s="15"/>
      <c r="GA284" s="15"/>
      <c r="GB284" s="15"/>
      <c r="GC284" s="15"/>
      <c r="GD284" s="15"/>
      <c r="GE284" s="15"/>
      <c r="GF284" s="15"/>
      <c r="GG284" s="15"/>
      <c r="GH284" s="15"/>
      <c r="GI284" s="15"/>
      <c r="GJ284" s="15"/>
      <c r="GK284" s="15"/>
      <c r="GL284" s="15"/>
      <c r="GM284" s="15"/>
      <c r="GN284" s="15"/>
      <c r="GO284" s="15"/>
      <c r="GP284" s="15"/>
      <c r="GQ284" s="15"/>
      <c r="GR284" s="15"/>
      <c r="GS284" s="15"/>
      <c r="GT284" s="15"/>
      <c r="GU284" s="15"/>
      <c r="GV284" s="15"/>
      <c r="GW284" s="15"/>
      <c r="GX284" s="15"/>
      <c r="GY284" s="15"/>
      <c r="GZ284" s="15"/>
      <c r="HA284" s="15"/>
      <c r="HB284" s="15"/>
      <c r="HC284" s="15"/>
      <c r="HD284" s="15"/>
      <c r="HE284" s="15"/>
      <c r="HF284" s="15"/>
      <c r="HG284" s="15"/>
      <c r="HH284" s="15"/>
      <c r="HI284" s="15"/>
      <c r="HJ284" s="15"/>
      <c r="HK284" s="15"/>
      <c r="HL284" s="15"/>
      <c r="HM284" s="15"/>
      <c r="HN284" s="15"/>
      <c r="HO284" s="15"/>
      <c r="HP284" s="15"/>
      <c r="HQ284" s="15"/>
      <c r="HR284" s="15"/>
      <c r="HS284" s="15"/>
      <c r="HT284" s="15"/>
      <c r="HU284" s="15"/>
      <c r="HV284" s="15"/>
      <c r="HW284" s="15"/>
      <c r="HX284" s="15"/>
      <c r="HY284" s="15"/>
      <c r="HZ284" s="15"/>
      <c r="IA284" s="15"/>
      <c r="IB284" s="15"/>
      <c r="IC284" s="15"/>
      <c r="ID284" s="15"/>
      <c r="IE284" s="15"/>
      <c r="IF284" s="15"/>
      <c r="IG284" s="15"/>
      <c r="IH284" s="15"/>
      <c r="II284" s="15"/>
      <c r="IJ284" s="15"/>
      <c r="IK284" s="15"/>
      <c r="IL284" s="15"/>
      <c r="IM284" s="15"/>
      <c r="IN284" s="15"/>
      <c r="IO284" s="15"/>
      <c r="IP284" s="15"/>
      <c r="IQ284" s="15"/>
      <c r="IR284" s="15"/>
      <c r="IS284" s="15"/>
      <c r="IT284" s="15"/>
      <c r="IU284" s="15"/>
      <c r="IV284" s="15"/>
      <c r="IW284" s="15"/>
      <c r="IX284" s="15"/>
      <c r="IY284" s="15"/>
      <c r="IZ284" s="15"/>
      <c r="JA284" s="15"/>
      <c r="JB284" s="15"/>
      <c r="JC284" s="15"/>
      <c r="JD284" s="15"/>
      <c r="JE284" s="15"/>
      <c r="JF284" s="15"/>
      <c r="JG284" s="15"/>
      <c r="JH284" s="15"/>
      <c r="JI284" s="15"/>
      <c r="JJ284" s="15"/>
      <c r="JK284" s="15"/>
      <c r="JL284" s="15"/>
      <c r="JM284" s="15"/>
      <c r="JN284" s="15"/>
      <c r="JO284" s="15"/>
      <c r="JP284" s="15"/>
      <c r="JQ284" s="15"/>
      <c r="JR284" s="15"/>
      <c r="JS284" s="15"/>
      <c r="JT284" s="15"/>
      <c r="JU284" s="15"/>
      <c r="JV284" s="15"/>
      <c r="JW284" s="15"/>
      <c r="JX284" s="15"/>
      <c r="JY284" s="15"/>
      <c r="JZ284" s="15"/>
      <c r="KA284" s="15"/>
      <c r="KB284" s="15"/>
      <c r="KC284" s="15"/>
      <c r="KD284" s="15"/>
      <c r="KE284" s="15"/>
      <c r="KF284" s="15"/>
      <c r="KG284" s="15"/>
      <c r="KH284" s="15"/>
      <c r="KI284" s="15"/>
      <c r="KJ284" s="15"/>
      <c r="KK284" s="15"/>
      <c r="KL284" s="15"/>
      <c r="KM284" s="15"/>
      <c r="KN284" s="15"/>
      <c r="KO284" s="15"/>
      <c r="KP284" s="15"/>
      <c r="KQ284" s="15"/>
      <c r="KR284" s="15"/>
      <c r="KS284" s="15"/>
      <c r="KT284" s="15"/>
      <c r="KU284" s="15"/>
      <c r="KV284" s="15"/>
      <c r="KW284" s="15"/>
      <c r="KX284" s="15"/>
      <c r="KY284" s="15"/>
      <c r="KZ284" s="15"/>
      <c r="LA284" s="15"/>
      <c r="LB284" s="15"/>
      <c r="LC284" s="15"/>
      <c r="LD284" s="15"/>
      <c r="LE284" s="15"/>
      <c r="LF284" s="15"/>
      <c r="LG284" s="15"/>
      <c r="LH284" s="15"/>
      <c r="LI284" s="15"/>
      <c r="LJ284" s="15"/>
      <c r="LK284" s="15"/>
      <c r="LL284" s="15"/>
      <c r="LM284" s="15"/>
      <c r="LN284" s="15"/>
      <c r="LO284" s="15"/>
      <c r="LP284" s="15"/>
      <c r="LQ284" s="15"/>
      <c r="LR284" s="15"/>
      <c r="LS284" s="15"/>
      <c r="LT284" s="15"/>
      <c r="LU284" s="15"/>
      <c r="LV284" s="15"/>
      <c r="LW284" s="15"/>
      <c r="LX284" s="15"/>
      <c r="LY284" s="15"/>
      <c r="LZ284" s="15"/>
      <c r="MA284" s="15"/>
      <c r="MB284" s="15"/>
      <c r="MC284" s="15"/>
      <c r="MD284" s="15"/>
      <c r="ME284" s="15"/>
      <c r="MF284" s="15"/>
      <c r="MG284" s="15"/>
      <c r="MH284" s="15"/>
      <c r="MI284" s="15"/>
      <c r="MJ284" s="15"/>
      <c r="MK284" s="15"/>
      <c r="ML284" s="15"/>
      <c r="MM284" s="15"/>
      <c r="MN284" s="15"/>
      <c r="MO284" s="15"/>
      <c r="MP284" s="15"/>
      <c r="MQ284" s="15"/>
      <c r="MR284" s="15"/>
      <c r="MS284" s="15"/>
      <c r="MT284" s="15"/>
      <c r="MU284" s="15"/>
      <c r="MV284" s="15"/>
      <c r="MW284" s="15"/>
    </row>
    <row r="285" ht="41.25" customHeight="1">
      <c r="A285" s="16" t="s">
        <v>10309</v>
      </c>
      <c r="B285" s="14" t="s">
        <v>10310</v>
      </c>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c r="DE285" s="15"/>
      <c r="DF285" s="15"/>
      <c r="DG285" s="15"/>
      <c r="DH285" s="15"/>
      <c r="DI285" s="15"/>
      <c r="DJ285" s="15"/>
      <c r="DK285" s="15"/>
      <c r="DL285" s="15"/>
      <c r="DM285" s="15"/>
      <c r="DN285" s="15"/>
      <c r="DO285" s="15"/>
      <c r="DP285" s="15"/>
      <c r="DQ285" s="15"/>
      <c r="DR285" s="15"/>
      <c r="DS285" s="15"/>
      <c r="DT285" s="15"/>
      <c r="DU285" s="15"/>
      <c r="DV285" s="15"/>
      <c r="DW285" s="15"/>
      <c r="DX285" s="15"/>
      <c r="DY285" s="15"/>
      <c r="DZ285" s="15"/>
      <c r="EA285" s="15"/>
      <c r="EB285" s="15"/>
      <c r="EC285" s="15"/>
      <c r="ED285" s="15"/>
      <c r="EE285" s="15"/>
      <c r="EF285" s="15"/>
      <c r="EG285" s="15"/>
      <c r="EH285" s="15"/>
      <c r="EI285" s="15"/>
      <c r="EJ285" s="15"/>
      <c r="EK285" s="15"/>
      <c r="EL285" s="15"/>
      <c r="EM285" s="15"/>
      <c r="EN285" s="15"/>
      <c r="EO285" s="15"/>
      <c r="EP285" s="15"/>
      <c r="EQ285" s="15"/>
      <c r="ER285" s="15"/>
      <c r="ES285" s="15"/>
      <c r="ET285" s="15"/>
      <c r="EU285" s="15"/>
      <c r="EV285" s="15"/>
      <c r="EW285" s="15"/>
      <c r="EX285" s="15"/>
      <c r="EY285" s="15"/>
      <c r="EZ285" s="15"/>
      <c r="FA285" s="15"/>
      <c r="FB285" s="15"/>
      <c r="FC285" s="15"/>
      <c r="FD285" s="15"/>
      <c r="FE285" s="15"/>
      <c r="FF285" s="15"/>
      <c r="FG285" s="15"/>
      <c r="FH285" s="15"/>
      <c r="FI285" s="15"/>
      <c r="FJ285" s="15"/>
      <c r="FK285" s="15"/>
      <c r="FL285" s="15"/>
      <c r="FM285" s="15"/>
      <c r="FN285" s="15"/>
      <c r="FO285" s="15"/>
      <c r="FP285" s="15"/>
      <c r="FQ285" s="15"/>
      <c r="FR285" s="15"/>
      <c r="FS285" s="15"/>
      <c r="FT285" s="15"/>
      <c r="FU285" s="15"/>
      <c r="FV285" s="15"/>
      <c r="FW285" s="15"/>
      <c r="FX285" s="15"/>
      <c r="FY285" s="15"/>
      <c r="FZ285" s="15"/>
      <c r="GA285" s="15"/>
      <c r="GB285" s="15"/>
      <c r="GC285" s="15"/>
      <c r="GD285" s="15"/>
      <c r="GE285" s="15"/>
      <c r="GF285" s="15"/>
      <c r="GG285" s="15"/>
      <c r="GH285" s="15"/>
      <c r="GI285" s="15"/>
      <c r="GJ285" s="15"/>
      <c r="GK285" s="15"/>
      <c r="GL285" s="15"/>
      <c r="GM285" s="15"/>
      <c r="GN285" s="15"/>
      <c r="GO285" s="15"/>
      <c r="GP285" s="15"/>
      <c r="GQ285" s="15"/>
      <c r="GR285" s="15"/>
      <c r="GS285" s="15"/>
      <c r="GT285" s="15"/>
      <c r="GU285" s="15"/>
      <c r="GV285" s="15"/>
      <c r="GW285" s="15"/>
      <c r="GX285" s="15"/>
      <c r="GY285" s="15"/>
      <c r="GZ285" s="15"/>
      <c r="HA285" s="15"/>
      <c r="HB285" s="15"/>
      <c r="HC285" s="15"/>
      <c r="HD285" s="15"/>
      <c r="HE285" s="15"/>
      <c r="HF285" s="15"/>
      <c r="HG285" s="15"/>
      <c r="HH285" s="15"/>
      <c r="HI285" s="15"/>
      <c r="HJ285" s="15"/>
      <c r="HK285" s="15"/>
      <c r="HL285" s="15"/>
      <c r="HM285" s="15"/>
      <c r="HN285" s="15"/>
      <c r="HO285" s="15"/>
      <c r="HP285" s="15"/>
      <c r="HQ285" s="15"/>
      <c r="HR285" s="15"/>
      <c r="HS285" s="15"/>
      <c r="HT285" s="15"/>
      <c r="HU285" s="15"/>
      <c r="HV285" s="15"/>
      <c r="HW285" s="15"/>
      <c r="HX285" s="15"/>
      <c r="HY285" s="15"/>
      <c r="HZ285" s="15"/>
      <c r="IA285" s="15"/>
      <c r="IB285" s="15"/>
      <c r="IC285" s="15"/>
      <c r="ID285" s="15"/>
      <c r="IE285" s="15"/>
      <c r="IF285" s="15"/>
      <c r="IG285" s="15"/>
      <c r="IH285" s="15"/>
      <c r="II285" s="15"/>
      <c r="IJ285" s="15"/>
      <c r="IK285" s="15"/>
      <c r="IL285" s="15"/>
      <c r="IM285" s="15"/>
      <c r="IN285" s="15"/>
      <c r="IO285" s="15"/>
      <c r="IP285" s="15"/>
      <c r="IQ285" s="15"/>
      <c r="IR285" s="15"/>
      <c r="IS285" s="15"/>
      <c r="IT285" s="15"/>
      <c r="IU285" s="15"/>
      <c r="IV285" s="15"/>
      <c r="IW285" s="15"/>
      <c r="IX285" s="15"/>
      <c r="IY285" s="15"/>
      <c r="IZ285" s="15"/>
      <c r="JA285" s="15"/>
      <c r="JB285" s="15"/>
      <c r="JC285" s="15"/>
      <c r="JD285" s="15"/>
      <c r="JE285" s="15"/>
      <c r="JF285" s="15"/>
      <c r="JG285" s="15"/>
      <c r="JH285" s="15"/>
      <c r="JI285" s="15"/>
      <c r="JJ285" s="15"/>
      <c r="JK285" s="15"/>
      <c r="JL285" s="15"/>
      <c r="JM285" s="15"/>
      <c r="JN285" s="15"/>
      <c r="JO285" s="15"/>
      <c r="JP285" s="15"/>
      <c r="JQ285" s="15"/>
      <c r="JR285" s="15"/>
      <c r="JS285" s="15"/>
      <c r="JT285" s="15"/>
      <c r="JU285" s="15"/>
      <c r="JV285" s="15"/>
      <c r="JW285" s="15"/>
      <c r="JX285" s="15"/>
      <c r="JY285" s="15"/>
      <c r="JZ285" s="15"/>
      <c r="KA285" s="15"/>
      <c r="KB285" s="15"/>
      <c r="KC285" s="15"/>
      <c r="KD285" s="15"/>
      <c r="KE285" s="15"/>
      <c r="KF285" s="15"/>
      <c r="KG285" s="15"/>
      <c r="KH285" s="15"/>
      <c r="KI285" s="15"/>
      <c r="KJ285" s="15"/>
      <c r="KK285" s="15"/>
      <c r="KL285" s="15"/>
      <c r="KM285" s="15"/>
      <c r="KN285" s="15"/>
      <c r="KO285" s="15"/>
      <c r="KP285" s="15"/>
      <c r="KQ285" s="15"/>
      <c r="KR285" s="15"/>
      <c r="KS285" s="15"/>
      <c r="KT285" s="15"/>
      <c r="KU285" s="15"/>
      <c r="KV285" s="15"/>
      <c r="KW285" s="15"/>
      <c r="KX285" s="15"/>
      <c r="KY285" s="15"/>
      <c r="KZ285" s="15"/>
      <c r="LA285" s="15"/>
      <c r="LB285" s="15"/>
      <c r="LC285" s="15"/>
      <c r="LD285" s="15"/>
      <c r="LE285" s="15"/>
      <c r="LF285" s="15"/>
      <c r="LG285" s="15"/>
      <c r="LH285" s="15"/>
      <c r="LI285" s="15"/>
      <c r="LJ285" s="15"/>
      <c r="LK285" s="15"/>
      <c r="LL285" s="15"/>
      <c r="LM285" s="15"/>
      <c r="LN285" s="15"/>
      <c r="LO285" s="15"/>
      <c r="LP285" s="15"/>
      <c r="LQ285" s="15"/>
      <c r="LR285" s="15"/>
      <c r="LS285" s="15"/>
      <c r="LT285" s="15"/>
      <c r="LU285" s="15"/>
      <c r="LV285" s="15"/>
      <c r="LW285" s="15"/>
      <c r="LX285" s="15"/>
      <c r="LY285" s="15"/>
      <c r="LZ285" s="15"/>
      <c r="MA285" s="15"/>
      <c r="MB285" s="15"/>
      <c r="MC285" s="15"/>
      <c r="MD285" s="15"/>
      <c r="ME285" s="15"/>
      <c r="MF285" s="15"/>
      <c r="MG285" s="15"/>
      <c r="MH285" s="15"/>
      <c r="MI285" s="15"/>
      <c r="MJ285" s="15"/>
      <c r="MK285" s="15"/>
      <c r="ML285" s="15"/>
      <c r="MM285" s="15"/>
      <c r="MN285" s="15"/>
      <c r="MO285" s="15"/>
      <c r="MP285" s="15"/>
      <c r="MQ285" s="15"/>
      <c r="MR285" s="15"/>
      <c r="MS285" s="15"/>
      <c r="MT285" s="15"/>
      <c r="MU285" s="15"/>
      <c r="MV285" s="15"/>
      <c r="MW285" s="15"/>
    </row>
    <row r="286" ht="119.25" customHeight="1">
      <c r="A286" s="16" t="s">
        <v>279</v>
      </c>
      <c r="B286" s="14" t="s">
        <v>10311</v>
      </c>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c r="DF286" s="15"/>
      <c r="DG286" s="15"/>
      <c r="DH286" s="15"/>
      <c r="DI286" s="15"/>
      <c r="DJ286" s="15"/>
      <c r="DK286" s="15"/>
      <c r="DL286" s="15"/>
      <c r="DM286" s="15"/>
      <c r="DN286" s="15"/>
      <c r="DO286" s="15"/>
      <c r="DP286" s="15"/>
      <c r="DQ286" s="15"/>
      <c r="DR286" s="15"/>
      <c r="DS286" s="15"/>
      <c r="DT286" s="15"/>
      <c r="DU286" s="15"/>
      <c r="DV286" s="15"/>
      <c r="DW286" s="15"/>
      <c r="DX286" s="15"/>
      <c r="DY286" s="15"/>
      <c r="DZ286" s="15"/>
      <c r="EA286" s="15"/>
      <c r="EB286" s="15"/>
      <c r="EC286" s="15"/>
      <c r="ED286" s="15"/>
      <c r="EE286" s="15"/>
      <c r="EF286" s="15"/>
      <c r="EG286" s="15"/>
      <c r="EH286" s="15"/>
      <c r="EI286" s="15"/>
      <c r="EJ286" s="15"/>
      <c r="EK286" s="15"/>
      <c r="EL286" s="15"/>
      <c r="EM286" s="15"/>
      <c r="EN286" s="15"/>
      <c r="EO286" s="15"/>
      <c r="EP286" s="15"/>
      <c r="EQ286" s="15"/>
      <c r="ER286" s="15"/>
      <c r="ES286" s="15"/>
      <c r="ET286" s="15"/>
      <c r="EU286" s="15"/>
      <c r="EV286" s="15"/>
      <c r="EW286" s="15"/>
      <c r="EX286" s="15"/>
      <c r="EY286" s="15"/>
      <c r="EZ286" s="15"/>
      <c r="FA286" s="15"/>
      <c r="FB286" s="15"/>
      <c r="FC286" s="15"/>
      <c r="FD286" s="15"/>
      <c r="FE286" s="15"/>
      <c r="FF286" s="15"/>
      <c r="FG286" s="15"/>
      <c r="FH286" s="15"/>
      <c r="FI286" s="15"/>
      <c r="FJ286" s="15"/>
      <c r="FK286" s="15"/>
      <c r="FL286" s="15"/>
      <c r="FM286" s="15"/>
      <c r="FN286" s="15"/>
      <c r="FO286" s="15"/>
      <c r="FP286" s="15"/>
      <c r="FQ286" s="15"/>
      <c r="FR286" s="15"/>
      <c r="FS286" s="15"/>
      <c r="FT286" s="15"/>
      <c r="FU286" s="15"/>
      <c r="FV286" s="15"/>
      <c r="FW286" s="15"/>
      <c r="FX286" s="15"/>
      <c r="FY286" s="15"/>
      <c r="FZ286" s="15"/>
      <c r="GA286" s="15"/>
      <c r="GB286" s="15"/>
      <c r="GC286" s="15"/>
      <c r="GD286" s="15"/>
      <c r="GE286" s="15"/>
      <c r="GF286" s="15"/>
      <c r="GG286" s="15"/>
      <c r="GH286" s="15"/>
      <c r="GI286" s="15"/>
      <c r="GJ286" s="15"/>
      <c r="GK286" s="15"/>
      <c r="GL286" s="15"/>
      <c r="GM286" s="15"/>
      <c r="GN286" s="15"/>
      <c r="GO286" s="15"/>
      <c r="GP286" s="15"/>
      <c r="GQ286" s="15"/>
      <c r="GR286" s="15"/>
      <c r="GS286" s="15"/>
      <c r="GT286" s="15"/>
      <c r="GU286" s="15"/>
      <c r="GV286" s="15"/>
      <c r="GW286" s="15"/>
      <c r="GX286" s="15"/>
      <c r="GY286" s="15"/>
      <c r="GZ286" s="15"/>
      <c r="HA286" s="15"/>
      <c r="HB286" s="15"/>
      <c r="HC286" s="15"/>
      <c r="HD286" s="15"/>
      <c r="HE286" s="15"/>
      <c r="HF286" s="15"/>
      <c r="HG286" s="15"/>
      <c r="HH286" s="15"/>
      <c r="HI286" s="15"/>
      <c r="HJ286" s="15"/>
      <c r="HK286" s="15"/>
      <c r="HL286" s="15"/>
      <c r="HM286" s="15"/>
      <c r="HN286" s="15"/>
      <c r="HO286" s="15"/>
      <c r="HP286" s="15"/>
      <c r="HQ286" s="15"/>
      <c r="HR286" s="15"/>
      <c r="HS286" s="15"/>
      <c r="HT286" s="15"/>
      <c r="HU286" s="15"/>
      <c r="HV286" s="15"/>
      <c r="HW286" s="15"/>
      <c r="HX286" s="15"/>
      <c r="HY286" s="15"/>
      <c r="HZ286" s="15"/>
      <c r="IA286" s="15"/>
      <c r="IB286" s="15"/>
      <c r="IC286" s="15"/>
      <c r="ID286" s="15"/>
      <c r="IE286" s="15"/>
      <c r="IF286" s="15"/>
      <c r="IG286" s="15"/>
      <c r="IH286" s="15"/>
      <c r="II286" s="15"/>
      <c r="IJ286" s="15"/>
      <c r="IK286" s="15"/>
      <c r="IL286" s="15"/>
      <c r="IM286" s="15"/>
      <c r="IN286" s="15"/>
      <c r="IO286" s="15"/>
      <c r="IP286" s="15"/>
      <c r="IQ286" s="15"/>
      <c r="IR286" s="15"/>
      <c r="IS286" s="15"/>
      <c r="IT286" s="15"/>
      <c r="IU286" s="15"/>
      <c r="IV286" s="15"/>
      <c r="IW286" s="15"/>
      <c r="IX286" s="15"/>
      <c r="IY286" s="15"/>
      <c r="IZ286" s="15"/>
      <c r="JA286" s="15"/>
      <c r="JB286" s="15"/>
      <c r="JC286" s="15"/>
      <c r="JD286" s="15"/>
      <c r="JE286" s="15"/>
      <c r="JF286" s="15"/>
      <c r="JG286" s="15"/>
      <c r="JH286" s="15"/>
      <c r="JI286" s="15"/>
      <c r="JJ286" s="15"/>
      <c r="JK286" s="15"/>
      <c r="JL286" s="15"/>
      <c r="JM286" s="15"/>
      <c r="JN286" s="15"/>
      <c r="JO286" s="15"/>
      <c r="JP286" s="15"/>
      <c r="JQ286" s="15"/>
      <c r="JR286" s="15"/>
      <c r="JS286" s="15"/>
      <c r="JT286" s="15"/>
      <c r="JU286" s="15"/>
      <c r="JV286" s="15"/>
      <c r="JW286" s="15"/>
      <c r="JX286" s="15"/>
      <c r="JY286" s="15"/>
      <c r="JZ286" s="15"/>
      <c r="KA286" s="15"/>
      <c r="KB286" s="15"/>
      <c r="KC286" s="15"/>
      <c r="KD286" s="15"/>
      <c r="KE286" s="15"/>
      <c r="KF286" s="15"/>
      <c r="KG286" s="15"/>
      <c r="KH286" s="15"/>
      <c r="KI286" s="15"/>
      <c r="KJ286" s="15"/>
      <c r="KK286" s="15"/>
      <c r="KL286" s="15"/>
      <c r="KM286" s="15"/>
      <c r="KN286" s="15"/>
      <c r="KO286" s="15"/>
      <c r="KP286" s="15"/>
      <c r="KQ286" s="15"/>
      <c r="KR286" s="15"/>
      <c r="KS286" s="15"/>
      <c r="KT286" s="15"/>
      <c r="KU286" s="15"/>
      <c r="KV286" s="15"/>
      <c r="KW286" s="15"/>
      <c r="KX286" s="15"/>
      <c r="KY286" s="15"/>
      <c r="KZ286" s="15"/>
      <c r="LA286" s="15"/>
      <c r="LB286" s="15"/>
      <c r="LC286" s="15"/>
      <c r="LD286" s="15"/>
      <c r="LE286" s="15"/>
      <c r="LF286" s="15"/>
      <c r="LG286" s="15"/>
      <c r="LH286" s="15"/>
      <c r="LI286" s="15"/>
      <c r="LJ286" s="15"/>
      <c r="LK286" s="15"/>
      <c r="LL286" s="15"/>
      <c r="LM286" s="15"/>
      <c r="LN286" s="15"/>
      <c r="LO286" s="15"/>
      <c r="LP286" s="15"/>
      <c r="LQ286" s="15"/>
      <c r="LR286" s="15"/>
      <c r="LS286" s="15"/>
      <c r="LT286" s="15"/>
      <c r="LU286" s="15"/>
      <c r="LV286" s="15"/>
      <c r="LW286" s="15"/>
      <c r="LX286" s="15"/>
      <c r="LY286" s="15"/>
      <c r="LZ286" s="15"/>
      <c r="MA286" s="15"/>
      <c r="MB286" s="15"/>
      <c r="MC286" s="15"/>
      <c r="MD286" s="15"/>
      <c r="ME286" s="15"/>
      <c r="MF286" s="15"/>
      <c r="MG286" s="15"/>
      <c r="MH286" s="15"/>
      <c r="MI286" s="15"/>
      <c r="MJ286" s="15"/>
      <c r="MK286" s="15"/>
      <c r="ML286" s="15"/>
      <c r="MM286" s="15"/>
      <c r="MN286" s="15"/>
      <c r="MO286" s="15"/>
      <c r="MP286" s="15"/>
      <c r="MQ286" s="15"/>
      <c r="MR286" s="15"/>
      <c r="MS286" s="15"/>
      <c r="MT286" s="15"/>
      <c r="MU286" s="15"/>
      <c r="MV286" s="15"/>
      <c r="MW286" s="15"/>
    </row>
    <row r="287" ht="41.25" customHeight="1">
      <c r="A287" s="16" t="s">
        <v>280</v>
      </c>
      <c r="B287" s="14" t="s">
        <v>10312</v>
      </c>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c r="DF287" s="15"/>
      <c r="DG287" s="15"/>
      <c r="DH287" s="15"/>
      <c r="DI287" s="15"/>
      <c r="DJ287" s="15"/>
      <c r="DK287" s="15"/>
      <c r="DL287" s="15"/>
      <c r="DM287" s="15"/>
      <c r="DN287" s="15"/>
      <c r="DO287" s="15"/>
      <c r="DP287" s="15"/>
      <c r="DQ287" s="15"/>
      <c r="DR287" s="15"/>
      <c r="DS287" s="15"/>
      <c r="DT287" s="15"/>
      <c r="DU287" s="15"/>
      <c r="DV287" s="15"/>
      <c r="DW287" s="15"/>
      <c r="DX287" s="15"/>
      <c r="DY287" s="15"/>
      <c r="DZ287" s="15"/>
      <c r="EA287" s="15"/>
      <c r="EB287" s="15"/>
      <c r="EC287" s="15"/>
      <c r="ED287" s="15"/>
      <c r="EE287" s="15"/>
      <c r="EF287" s="15"/>
      <c r="EG287" s="15"/>
      <c r="EH287" s="15"/>
      <c r="EI287" s="15"/>
      <c r="EJ287" s="15"/>
      <c r="EK287" s="15"/>
      <c r="EL287" s="15"/>
      <c r="EM287" s="15"/>
      <c r="EN287" s="15"/>
      <c r="EO287" s="15"/>
      <c r="EP287" s="15"/>
      <c r="EQ287" s="15"/>
      <c r="ER287" s="15"/>
      <c r="ES287" s="15"/>
      <c r="ET287" s="15"/>
      <c r="EU287" s="15"/>
      <c r="EV287" s="15"/>
      <c r="EW287" s="15"/>
      <c r="EX287" s="15"/>
      <c r="EY287" s="15"/>
      <c r="EZ287" s="15"/>
      <c r="FA287" s="15"/>
      <c r="FB287" s="15"/>
      <c r="FC287" s="15"/>
      <c r="FD287" s="15"/>
      <c r="FE287" s="15"/>
      <c r="FF287" s="15"/>
      <c r="FG287" s="15"/>
      <c r="FH287" s="15"/>
      <c r="FI287" s="15"/>
      <c r="FJ287" s="15"/>
      <c r="FK287" s="15"/>
      <c r="FL287" s="15"/>
      <c r="FM287" s="15"/>
      <c r="FN287" s="15"/>
      <c r="FO287" s="15"/>
      <c r="FP287" s="15"/>
      <c r="FQ287" s="15"/>
      <c r="FR287" s="15"/>
      <c r="FS287" s="15"/>
      <c r="FT287" s="15"/>
      <c r="FU287" s="15"/>
      <c r="FV287" s="15"/>
      <c r="FW287" s="15"/>
      <c r="FX287" s="15"/>
      <c r="FY287" s="15"/>
      <c r="FZ287" s="15"/>
      <c r="GA287" s="15"/>
      <c r="GB287" s="15"/>
      <c r="GC287" s="15"/>
      <c r="GD287" s="15"/>
      <c r="GE287" s="15"/>
      <c r="GF287" s="15"/>
      <c r="GG287" s="15"/>
      <c r="GH287" s="15"/>
      <c r="GI287" s="15"/>
      <c r="GJ287" s="15"/>
      <c r="GK287" s="15"/>
      <c r="GL287" s="15"/>
      <c r="GM287" s="15"/>
      <c r="GN287" s="15"/>
      <c r="GO287" s="15"/>
      <c r="GP287" s="15"/>
      <c r="GQ287" s="15"/>
      <c r="GR287" s="15"/>
      <c r="GS287" s="15"/>
      <c r="GT287" s="15"/>
      <c r="GU287" s="15"/>
      <c r="GV287" s="15"/>
      <c r="GW287" s="15"/>
      <c r="GX287" s="15"/>
      <c r="GY287" s="15"/>
      <c r="GZ287" s="15"/>
      <c r="HA287" s="15"/>
      <c r="HB287" s="15"/>
      <c r="HC287" s="15"/>
      <c r="HD287" s="15"/>
      <c r="HE287" s="15"/>
      <c r="HF287" s="15"/>
      <c r="HG287" s="15"/>
      <c r="HH287" s="15"/>
      <c r="HI287" s="15"/>
      <c r="HJ287" s="15"/>
      <c r="HK287" s="15"/>
      <c r="HL287" s="15"/>
      <c r="HM287" s="15"/>
      <c r="HN287" s="15"/>
      <c r="HO287" s="15"/>
      <c r="HP287" s="15"/>
      <c r="HQ287" s="15"/>
      <c r="HR287" s="15"/>
      <c r="HS287" s="15"/>
      <c r="HT287" s="15"/>
      <c r="HU287" s="15"/>
      <c r="HV287" s="15"/>
      <c r="HW287" s="15"/>
      <c r="HX287" s="15"/>
      <c r="HY287" s="15"/>
      <c r="HZ287" s="15"/>
      <c r="IA287" s="15"/>
      <c r="IB287" s="15"/>
      <c r="IC287" s="15"/>
      <c r="ID287" s="15"/>
      <c r="IE287" s="15"/>
      <c r="IF287" s="15"/>
      <c r="IG287" s="15"/>
      <c r="IH287" s="15"/>
      <c r="II287" s="15"/>
      <c r="IJ287" s="15"/>
      <c r="IK287" s="15"/>
      <c r="IL287" s="15"/>
      <c r="IM287" s="15"/>
      <c r="IN287" s="15"/>
      <c r="IO287" s="15"/>
      <c r="IP287" s="15"/>
      <c r="IQ287" s="15"/>
      <c r="IR287" s="15"/>
      <c r="IS287" s="15"/>
      <c r="IT287" s="15"/>
      <c r="IU287" s="15"/>
      <c r="IV287" s="15"/>
      <c r="IW287" s="15"/>
      <c r="IX287" s="15"/>
      <c r="IY287" s="15"/>
      <c r="IZ287" s="15"/>
      <c r="JA287" s="15"/>
      <c r="JB287" s="15"/>
      <c r="JC287" s="15"/>
      <c r="JD287" s="15"/>
      <c r="JE287" s="15"/>
      <c r="JF287" s="15"/>
      <c r="JG287" s="15"/>
      <c r="JH287" s="15"/>
      <c r="JI287" s="15"/>
      <c r="JJ287" s="15"/>
      <c r="JK287" s="15"/>
      <c r="JL287" s="15"/>
      <c r="JM287" s="15"/>
      <c r="JN287" s="15"/>
      <c r="JO287" s="15"/>
      <c r="JP287" s="15"/>
      <c r="JQ287" s="15"/>
      <c r="JR287" s="15"/>
      <c r="JS287" s="15"/>
      <c r="JT287" s="15"/>
      <c r="JU287" s="15"/>
      <c r="JV287" s="15"/>
      <c r="JW287" s="15"/>
      <c r="JX287" s="15"/>
      <c r="JY287" s="15"/>
      <c r="JZ287" s="15"/>
      <c r="KA287" s="15"/>
      <c r="KB287" s="15"/>
      <c r="KC287" s="15"/>
      <c r="KD287" s="15"/>
      <c r="KE287" s="15"/>
      <c r="KF287" s="15"/>
      <c r="KG287" s="15"/>
      <c r="KH287" s="15"/>
      <c r="KI287" s="15"/>
      <c r="KJ287" s="15"/>
      <c r="KK287" s="15"/>
      <c r="KL287" s="15"/>
      <c r="KM287" s="15"/>
      <c r="KN287" s="15"/>
      <c r="KO287" s="15"/>
      <c r="KP287" s="15"/>
      <c r="KQ287" s="15"/>
      <c r="KR287" s="15"/>
      <c r="KS287" s="15"/>
      <c r="KT287" s="15"/>
      <c r="KU287" s="15"/>
      <c r="KV287" s="15"/>
      <c r="KW287" s="15"/>
      <c r="KX287" s="15"/>
      <c r="KY287" s="15"/>
      <c r="KZ287" s="15"/>
      <c r="LA287" s="15"/>
      <c r="LB287" s="15"/>
      <c r="LC287" s="15"/>
      <c r="LD287" s="15"/>
      <c r="LE287" s="15"/>
      <c r="LF287" s="15"/>
      <c r="LG287" s="15"/>
      <c r="LH287" s="15"/>
      <c r="LI287" s="15"/>
      <c r="LJ287" s="15"/>
      <c r="LK287" s="15"/>
      <c r="LL287" s="15"/>
      <c r="LM287" s="15"/>
      <c r="LN287" s="15"/>
      <c r="LO287" s="15"/>
      <c r="LP287" s="15"/>
      <c r="LQ287" s="15"/>
      <c r="LR287" s="15"/>
      <c r="LS287" s="15"/>
      <c r="LT287" s="15"/>
      <c r="LU287" s="15"/>
      <c r="LV287" s="15"/>
      <c r="LW287" s="15"/>
      <c r="LX287" s="15"/>
      <c r="LY287" s="15"/>
      <c r="LZ287" s="15"/>
      <c r="MA287" s="15"/>
      <c r="MB287" s="15"/>
      <c r="MC287" s="15"/>
      <c r="MD287" s="15"/>
      <c r="ME287" s="15"/>
      <c r="MF287" s="15"/>
      <c r="MG287" s="15"/>
      <c r="MH287" s="15"/>
      <c r="MI287" s="15"/>
      <c r="MJ287" s="15"/>
      <c r="MK287" s="15"/>
      <c r="ML287" s="15"/>
      <c r="MM287" s="15"/>
      <c r="MN287" s="15"/>
      <c r="MO287" s="15"/>
      <c r="MP287" s="15"/>
      <c r="MQ287" s="15"/>
      <c r="MR287" s="15"/>
      <c r="MS287" s="15"/>
      <c r="MT287" s="15"/>
      <c r="MU287" s="15"/>
      <c r="MV287" s="15"/>
      <c r="MW287" s="15"/>
    </row>
    <row r="288" ht="119.25" customHeight="1">
      <c r="A288" s="16" t="s">
        <v>281</v>
      </c>
      <c r="B288" s="14" t="s">
        <v>10313</v>
      </c>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c r="DF288" s="15"/>
      <c r="DG288" s="15"/>
      <c r="DH288" s="15"/>
      <c r="DI288" s="15"/>
      <c r="DJ288" s="15"/>
      <c r="DK288" s="15"/>
      <c r="DL288" s="15"/>
      <c r="DM288" s="15"/>
      <c r="DN288" s="15"/>
      <c r="DO288" s="15"/>
      <c r="DP288" s="15"/>
      <c r="DQ288" s="15"/>
      <c r="DR288" s="15"/>
      <c r="DS288" s="15"/>
      <c r="DT288" s="15"/>
      <c r="DU288" s="15"/>
      <c r="DV288" s="15"/>
      <c r="DW288" s="15"/>
      <c r="DX288" s="15"/>
      <c r="DY288" s="15"/>
      <c r="DZ288" s="15"/>
      <c r="EA288" s="15"/>
      <c r="EB288" s="15"/>
      <c r="EC288" s="15"/>
      <c r="ED288" s="15"/>
      <c r="EE288" s="15"/>
      <c r="EF288" s="15"/>
      <c r="EG288" s="15"/>
      <c r="EH288" s="15"/>
      <c r="EI288" s="15"/>
      <c r="EJ288" s="15"/>
      <c r="EK288" s="15"/>
      <c r="EL288" s="15"/>
      <c r="EM288" s="15"/>
      <c r="EN288" s="15"/>
      <c r="EO288" s="15"/>
      <c r="EP288" s="15"/>
      <c r="EQ288" s="15"/>
      <c r="ER288" s="15"/>
      <c r="ES288" s="15"/>
      <c r="ET288" s="15"/>
      <c r="EU288" s="15"/>
      <c r="EV288" s="15"/>
      <c r="EW288" s="15"/>
      <c r="EX288" s="15"/>
      <c r="EY288" s="15"/>
      <c r="EZ288" s="15"/>
      <c r="FA288" s="15"/>
      <c r="FB288" s="15"/>
      <c r="FC288" s="15"/>
      <c r="FD288" s="15"/>
      <c r="FE288" s="15"/>
      <c r="FF288" s="15"/>
      <c r="FG288" s="15"/>
      <c r="FH288" s="15"/>
      <c r="FI288" s="15"/>
      <c r="FJ288" s="15"/>
      <c r="FK288" s="15"/>
      <c r="FL288" s="15"/>
      <c r="FM288" s="15"/>
      <c r="FN288" s="15"/>
      <c r="FO288" s="15"/>
      <c r="FP288" s="15"/>
      <c r="FQ288" s="15"/>
      <c r="FR288" s="15"/>
      <c r="FS288" s="15"/>
      <c r="FT288" s="15"/>
      <c r="FU288" s="15"/>
      <c r="FV288" s="15"/>
      <c r="FW288" s="15"/>
      <c r="FX288" s="15"/>
      <c r="FY288" s="15"/>
      <c r="FZ288" s="15"/>
      <c r="GA288" s="15"/>
      <c r="GB288" s="15"/>
      <c r="GC288" s="15"/>
      <c r="GD288" s="15"/>
      <c r="GE288" s="15"/>
      <c r="GF288" s="15"/>
      <c r="GG288" s="15"/>
      <c r="GH288" s="15"/>
      <c r="GI288" s="15"/>
      <c r="GJ288" s="15"/>
      <c r="GK288" s="15"/>
      <c r="GL288" s="15"/>
      <c r="GM288" s="15"/>
      <c r="GN288" s="15"/>
      <c r="GO288" s="15"/>
      <c r="GP288" s="15"/>
      <c r="GQ288" s="15"/>
      <c r="GR288" s="15"/>
      <c r="GS288" s="15"/>
      <c r="GT288" s="15"/>
      <c r="GU288" s="15"/>
      <c r="GV288" s="15"/>
      <c r="GW288" s="15"/>
      <c r="GX288" s="15"/>
      <c r="GY288" s="15"/>
      <c r="GZ288" s="15"/>
      <c r="HA288" s="15"/>
      <c r="HB288" s="15"/>
      <c r="HC288" s="15"/>
      <c r="HD288" s="15"/>
      <c r="HE288" s="15"/>
      <c r="HF288" s="15"/>
      <c r="HG288" s="15"/>
      <c r="HH288" s="15"/>
      <c r="HI288" s="15"/>
      <c r="HJ288" s="15"/>
      <c r="HK288" s="15"/>
      <c r="HL288" s="15"/>
      <c r="HM288" s="15"/>
      <c r="HN288" s="15"/>
      <c r="HO288" s="15"/>
      <c r="HP288" s="15"/>
      <c r="HQ288" s="15"/>
      <c r="HR288" s="15"/>
      <c r="HS288" s="15"/>
      <c r="HT288" s="15"/>
      <c r="HU288" s="15"/>
      <c r="HV288" s="15"/>
      <c r="HW288" s="15"/>
      <c r="HX288" s="15"/>
      <c r="HY288" s="15"/>
      <c r="HZ288" s="15"/>
      <c r="IA288" s="15"/>
      <c r="IB288" s="15"/>
      <c r="IC288" s="15"/>
      <c r="ID288" s="15"/>
      <c r="IE288" s="15"/>
      <c r="IF288" s="15"/>
      <c r="IG288" s="15"/>
      <c r="IH288" s="15"/>
      <c r="II288" s="15"/>
      <c r="IJ288" s="15"/>
      <c r="IK288" s="15"/>
      <c r="IL288" s="15"/>
      <c r="IM288" s="15"/>
      <c r="IN288" s="15"/>
      <c r="IO288" s="15"/>
      <c r="IP288" s="15"/>
      <c r="IQ288" s="15"/>
      <c r="IR288" s="15"/>
      <c r="IS288" s="15"/>
      <c r="IT288" s="15"/>
      <c r="IU288" s="15"/>
      <c r="IV288" s="15"/>
      <c r="IW288" s="15"/>
      <c r="IX288" s="15"/>
      <c r="IY288" s="15"/>
      <c r="IZ288" s="15"/>
      <c r="JA288" s="15"/>
      <c r="JB288" s="15"/>
      <c r="JC288" s="15"/>
      <c r="JD288" s="15"/>
      <c r="JE288" s="15"/>
      <c r="JF288" s="15"/>
      <c r="JG288" s="15"/>
      <c r="JH288" s="15"/>
      <c r="JI288" s="15"/>
      <c r="JJ288" s="15"/>
      <c r="JK288" s="15"/>
      <c r="JL288" s="15"/>
      <c r="JM288" s="15"/>
      <c r="JN288" s="15"/>
      <c r="JO288" s="15"/>
      <c r="JP288" s="15"/>
      <c r="JQ288" s="15"/>
      <c r="JR288" s="15"/>
      <c r="JS288" s="15"/>
      <c r="JT288" s="15"/>
      <c r="JU288" s="15"/>
      <c r="JV288" s="15"/>
      <c r="JW288" s="15"/>
      <c r="JX288" s="15"/>
      <c r="JY288" s="15"/>
      <c r="JZ288" s="15"/>
      <c r="KA288" s="15"/>
      <c r="KB288" s="15"/>
      <c r="KC288" s="15"/>
      <c r="KD288" s="15"/>
      <c r="KE288" s="15"/>
      <c r="KF288" s="15"/>
      <c r="KG288" s="15"/>
      <c r="KH288" s="15"/>
      <c r="KI288" s="15"/>
      <c r="KJ288" s="15"/>
      <c r="KK288" s="15"/>
      <c r="KL288" s="15"/>
      <c r="KM288" s="15"/>
      <c r="KN288" s="15"/>
      <c r="KO288" s="15"/>
      <c r="KP288" s="15"/>
      <c r="KQ288" s="15"/>
      <c r="KR288" s="15"/>
      <c r="KS288" s="15"/>
      <c r="KT288" s="15"/>
      <c r="KU288" s="15"/>
      <c r="KV288" s="15"/>
      <c r="KW288" s="15"/>
      <c r="KX288" s="15"/>
      <c r="KY288" s="15"/>
      <c r="KZ288" s="15"/>
      <c r="LA288" s="15"/>
      <c r="LB288" s="15"/>
      <c r="LC288" s="15"/>
      <c r="LD288" s="15"/>
      <c r="LE288" s="15"/>
      <c r="LF288" s="15"/>
      <c r="LG288" s="15"/>
      <c r="LH288" s="15"/>
      <c r="LI288" s="15"/>
      <c r="LJ288" s="15"/>
      <c r="LK288" s="15"/>
      <c r="LL288" s="15"/>
      <c r="LM288" s="15"/>
      <c r="LN288" s="15"/>
      <c r="LO288" s="15"/>
      <c r="LP288" s="15"/>
      <c r="LQ288" s="15"/>
      <c r="LR288" s="15"/>
      <c r="LS288" s="15"/>
      <c r="LT288" s="15"/>
      <c r="LU288" s="15"/>
      <c r="LV288" s="15"/>
      <c r="LW288" s="15"/>
      <c r="LX288" s="15"/>
      <c r="LY288" s="15"/>
      <c r="LZ288" s="15"/>
      <c r="MA288" s="15"/>
      <c r="MB288" s="15"/>
      <c r="MC288" s="15"/>
      <c r="MD288" s="15"/>
      <c r="ME288" s="15"/>
      <c r="MF288" s="15"/>
      <c r="MG288" s="15"/>
      <c r="MH288" s="15"/>
      <c r="MI288" s="15"/>
      <c r="MJ288" s="15"/>
      <c r="MK288" s="15"/>
      <c r="ML288" s="15"/>
      <c r="MM288" s="15"/>
      <c r="MN288" s="15"/>
      <c r="MO288" s="15"/>
      <c r="MP288" s="15"/>
      <c r="MQ288" s="15"/>
      <c r="MR288" s="15"/>
      <c r="MS288" s="15"/>
      <c r="MT288" s="15"/>
      <c r="MU288" s="15"/>
      <c r="MV288" s="15"/>
      <c r="MW288" s="15"/>
    </row>
    <row r="289" ht="41.25" customHeight="1">
      <c r="A289" s="16" t="s">
        <v>282</v>
      </c>
      <c r="B289" s="14" t="s">
        <v>10314</v>
      </c>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c r="DE289" s="15"/>
      <c r="DF289" s="15"/>
      <c r="DG289" s="15"/>
      <c r="DH289" s="15"/>
      <c r="DI289" s="15"/>
      <c r="DJ289" s="15"/>
      <c r="DK289" s="15"/>
      <c r="DL289" s="15"/>
      <c r="DM289" s="15"/>
      <c r="DN289" s="15"/>
      <c r="DO289" s="15"/>
      <c r="DP289" s="15"/>
      <c r="DQ289" s="15"/>
      <c r="DR289" s="15"/>
      <c r="DS289" s="15"/>
      <c r="DT289" s="15"/>
      <c r="DU289" s="15"/>
      <c r="DV289" s="15"/>
      <c r="DW289" s="15"/>
      <c r="DX289" s="15"/>
      <c r="DY289" s="15"/>
      <c r="DZ289" s="15"/>
      <c r="EA289" s="15"/>
      <c r="EB289" s="15"/>
      <c r="EC289" s="15"/>
      <c r="ED289" s="15"/>
      <c r="EE289" s="15"/>
      <c r="EF289" s="15"/>
      <c r="EG289" s="15"/>
      <c r="EH289" s="15"/>
      <c r="EI289" s="15"/>
      <c r="EJ289" s="15"/>
      <c r="EK289" s="15"/>
      <c r="EL289" s="15"/>
      <c r="EM289" s="15"/>
      <c r="EN289" s="15"/>
      <c r="EO289" s="15"/>
      <c r="EP289" s="15"/>
      <c r="EQ289" s="15"/>
      <c r="ER289" s="15"/>
      <c r="ES289" s="15"/>
      <c r="ET289" s="15"/>
      <c r="EU289" s="15"/>
      <c r="EV289" s="15"/>
      <c r="EW289" s="15"/>
      <c r="EX289" s="15"/>
      <c r="EY289" s="15"/>
      <c r="EZ289" s="15"/>
      <c r="FA289" s="15"/>
      <c r="FB289" s="15"/>
      <c r="FC289" s="15"/>
      <c r="FD289" s="15"/>
      <c r="FE289" s="15"/>
      <c r="FF289" s="15"/>
      <c r="FG289" s="15"/>
      <c r="FH289" s="15"/>
      <c r="FI289" s="15"/>
      <c r="FJ289" s="15"/>
      <c r="FK289" s="15"/>
      <c r="FL289" s="15"/>
      <c r="FM289" s="15"/>
      <c r="FN289" s="15"/>
      <c r="FO289" s="15"/>
      <c r="FP289" s="15"/>
      <c r="FQ289" s="15"/>
      <c r="FR289" s="15"/>
      <c r="FS289" s="15"/>
      <c r="FT289" s="15"/>
      <c r="FU289" s="15"/>
      <c r="FV289" s="15"/>
      <c r="FW289" s="15"/>
      <c r="FX289" s="15"/>
      <c r="FY289" s="15"/>
      <c r="FZ289" s="15"/>
      <c r="GA289" s="15"/>
      <c r="GB289" s="15"/>
      <c r="GC289" s="15"/>
      <c r="GD289" s="15"/>
      <c r="GE289" s="15"/>
      <c r="GF289" s="15"/>
      <c r="GG289" s="15"/>
      <c r="GH289" s="15"/>
      <c r="GI289" s="15"/>
      <c r="GJ289" s="15"/>
      <c r="GK289" s="15"/>
      <c r="GL289" s="15"/>
      <c r="GM289" s="15"/>
      <c r="GN289" s="15"/>
      <c r="GO289" s="15"/>
      <c r="GP289" s="15"/>
      <c r="GQ289" s="15"/>
      <c r="GR289" s="15"/>
      <c r="GS289" s="15"/>
      <c r="GT289" s="15"/>
      <c r="GU289" s="15"/>
      <c r="GV289" s="15"/>
      <c r="GW289" s="15"/>
      <c r="GX289" s="15"/>
      <c r="GY289" s="15"/>
      <c r="GZ289" s="15"/>
      <c r="HA289" s="15"/>
      <c r="HB289" s="15"/>
      <c r="HC289" s="15"/>
      <c r="HD289" s="15"/>
      <c r="HE289" s="15"/>
      <c r="HF289" s="15"/>
      <c r="HG289" s="15"/>
      <c r="HH289" s="15"/>
      <c r="HI289" s="15"/>
      <c r="HJ289" s="15"/>
      <c r="HK289" s="15"/>
      <c r="HL289" s="15"/>
      <c r="HM289" s="15"/>
      <c r="HN289" s="15"/>
      <c r="HO289" s="15"/>
      <c r="HP289" s="15"/>
      <c r="HQ289" s="15"/>
      <c r="HR289" s="15"/>
      <c r="HS289" s="15"/>
      <c r="HT289" s="15"/>
      <c r="HU289" s="15"/>
      <c r="HV289" s="15"/>
      <c r="HW289" s="15"/>
      <c r="HX289" s="15"/>
      <c r="HY289" s="15"/>
      <c r="HZ289" s="15"/>
      <c r="IA289" s="15"/>
      <c r="IB289" s="15"/>
      <c r="IC289" s="15"/>
      <c r="ID289" s="15"/>
      <c r="IE289" s="15"/>
      <c r="IF289" s="15"/>
      <c r="IG289" s="15"/>
      <c r="IH289" s="15"/>
      <c r="II289" s="15"/>
      <c r="IJ289" s="15"/>
      <c r="IK289" s="15"/>
      <c r="IL289" s="15"/>
      <c r="IM289" s="15"/>
      <c r="IN289" s="15"/>
      <c r="IO289" s="15"/>
      <c r="IP289" s="15"/>
      <c r="IQ289" s="15"/>
      <c r="IR289" s="15"/>
      <c r="IS289" s="15"/>
      <c r="IT289" s="15"/>
      <c r="IU289" s="15"/>
      <c r="IV289" s="15"/>
      <c r="IW289" s="15"/>
      <c r="IX289" s="15"/>
      <c r="IY289" s="15"/>
      <c r="IZ289" s="15"/>
      <c r="JA289" s="15"/>
      <c r="JB289" s="15"/>
      <c r="JC289" s="15"/>
      <c r="JD289" s="15"/>
      <c r="JE289" s="15"/>
      <c r="JF289" s="15"/>
      <c r="JG289" s="15"/>
      <c r="JH289" s="15"/>
      <c r="JI289" s="15"/>
      <c r="JJ289" s="15"/>
      <c r="JK289" s="15"/>
      <c r="JL289" s="15"/>
      <c r="JM289" s="15"/>
      <c r="JN289" s="15"/>
      <c r="JO289" s="15"/>
      <c r="JP289" s="15"/>
      <c r="JQ289" s="15"/>
      <c r="JR289" s="15"/>
      <c r="JS289" s="15"/>
      <c r="JT289" s="15"/>
      <c r="JU289" s="15"/>
      <c r="JV289" s="15"/>
      <c r="JW289" s="15"/>
      <c r="JX289" s="15"/>
      <c r="JY289" s="15"/>
      <c r="JZ289" s="15"/>
      <c r="KA289" s="15"/>
      <c r="KB289" s="15"/>
      <c r="KC289" s="15"/>
      <c r="KD289" s="15"/>
      <c r="KE289" s="15"/>
      <c r="KF289" s="15"/>
      <c r="KG289" s="15"/>
      <c r="KH289" s="15"/>
      <c r="KI289" s="15"/>
      <c r="KJ289" s="15"/>
      <c r="KK289" s="15"/>
      <c r="KL289" s="15"/>
      <c r="KM289" s="15"/>
      <c r="KN289" s="15"/>
      <c r="KO289" s="15"/>
      <c r="KP289" s="15"/>
      <c r="KQ289" s="15"/>
      <c r="KR289" s="15"/>
      <c r="KS289" s="15"/>
      <c r="KT289" s="15"/>
      <c r="KU289" s="15"/>
      <c r="KV289" s="15"/>
      <c r="KW289" s="15"/>
      <c r="KX289" s="15"/>
      <c r="KY289" s="15"/>
      <c r="KZ289" s="15"/>
      <c r="LA289" s="15"/>
      <c r="LB289" s="15"/>
      <c r="LC289" s="15"/>
      <c r="LD289" s="15"/>
      <c r="LE289" s="15"/>
      <c r="LF289" s="15"/>
      <c r="LG289" s="15"/>
      <c r="LH289" s="15"/>
      <c r="LI289" s="15"/>
      <c r="LJ289" s="15"/>
      <c r="LK289" s="15"/>
      <c r="LL289" s="15"/>
      <c r="LM289" s="15"/>
      <c r="LN289" s="15"/>
      <c r="LO289" s="15"/>
      <c r="LP289" s="15"/>
      <c r="LQ289" s="15"/>
      <c r="LR289" s="15"/>
      <c r="LS289" s="15"/>
      <c r="LT289" s="15"/>
      <c r="LU289" s="15"/>
      <c r="LV289" s="15"/>
      <c r="LW289" s="15"/>
      <c r="LX289" s="15"/>
      <c r="LY289" s="15"/>
      <c r="LZ289" s="15"/>
      <c r="MA289" s="15"/>
      <c r="MB289" s="15"/>
      <c r="MC289" s="15"/>
      <c r="MD289" s="15"/>
      <c r="ME289" s="15"/>
      <c r="MF289" s="15"/>
      <c r="MG289" s="15"/>
      <c r="MH289" s="15"/>
      <c r="MI289" s="15"/>
      <c r="MJ289" s="15"/>
      <c r="MK289" s="15"/>
      <c r="ML289" s="15"/>
      <c r="MM289" s="15"/>
      <c r="MN289" s="15"/>
      <c r="MO289" s="15"/>
      <c r="MP289" s="15"/>
      <c r="MQ289" s="15"/>
      <c r="MR289" s="15"/>
      <c r="MS289" s="15"/>
      <c r="MT289" s="15"/>
      <c r="MU289" s="15"/>
      <c r="MV289" s="15"/>
      <c r="MW289" s="15"/>
    </row>
    <row r="290" ht="119.25" customHeight="1">
      <c r="A290" s="16" t="s">
        <v>283</v>
      </c>
      <c r="B290" s="14" t="s">
        <v>10315</v>
      </c>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s="15"/>
      <c r="DF290" s="15"/>
      <c r="DG290" s="15"/>
      <c r="DH290" s="15"/>
      <c r="DI290" s="15"/>
      <c r="DJ290" s="15"/>
      <c r="DK290" s="15"/>
      <c r="DL290" s="15"/>
      <c r="DM290" s="15"/>
      <c r="DN290" s="15"/>
      <c r="DO290" s="15"/>
      <c r="DP290" s="15"/>
      <c r="DQ290" s="15"/>
      <c r="DR290" s="15"/>
      <c r="DS290" s="15"/>
      <c r="DT290" s="15"/>
      <c r="DU290" s="15"/>
      <c r="DV290" s="15"/>
      <c r="DW290" s="15"/>
      <c r="DX290" s="15"/>
      <c r="DY290" s="15"/>
      <c r="DZ290" s="15"/>
      <c r="EA290" s="15"/>
      <c r="EB290" s="15"/>
      <c r="EC290" s="15"/>
      <c r="ED290" s="15"/>
      <c r="EE290" s="15"/>
      <c r="EF290" s="15"/>
      <c r="EG290" s="15"/>
      <c r="EH290" s="15"/>
      <c r="EI290" s="15"/>
      <c r="EJ290" s="15"/>
      <c r="EK290" s="15"/>
      <c r="EL290" s="15"/>
      <c r="EM290" s="15"/>
      <c r="EN290" s="15"/>
      <c r="EO290" s="15"/>
      <c r="EP290" s="15"/>
      <c r="EQ290" s="15"/>
      <c r="ER290" s="15"/>
      <c r="ES290" s="15"/>
      <c r="ET290" s="15"/>
      <c r="EU290" s="15"/>
      <c r="EV290" s="15"/>
      <c r="EW290" s="15"/>
      <c r="EX290" s="15"/>
      <c r="EY290" s="15"/>
      <c r="EZ290" s="15"/>
      <c r="FA290" s="15"/>
      <c r="FB290" s="15"/>
      <c r="FC290" s="15"/>
      <c r="FD290" s="15"/>
      <c r="FE290" s="15"/>
      <c r="FF290" s="15"/>
      <c r="FG290" s="15"/>
      <c r="FH290" s="15"/>
      <c r="FI290" s="15"/>
      <c r="FJ290" s="15"/>
      <c r="FK290" s="15"/>
      <c r="FL290" s="15"/>
      <c r="FM290" s="15"/>
      <c r="FN290" s="15"/>
      <c r="FO290" s="15"/>
      <c r="FP290" s="15"/>
      <c r="FQ290" s="15"/>
      <c r="FR290" s="15"/>
      <c r="FS290" s="15"/>
      <c r="FT290" s="15"/>
      <c r="FU290" s="15"/>
      <c r="FV290" s="15"/>
      <c r="FW290" s="15"/>
      <c r="FX290" s="15"/>
      <c r="FY290" s="15"/>
      <c r="FZ290" s="15"/>
      <c r="GA290" s="15"/>
      <c r="GB290" s="15"/>
      <c r="GC290" s="15"/>
      <c r="GD290" s="15"/>
      <c r="GE290" s="15"/>
      <c r="GF290" s="15"/>
      <c r="GG290" s="15"/>
      <c r="GH290" s="15"/>
      <c r="GI290" s="15"/>
      <c r="GJ290" s="15"/>
      <c r="GK290" s="15"/>
      <c r="GL290" s="15"/>
      <c r="GM290" s="15"/>
      <c r="GN290" s="15"/>
      <c r="GO290" s="15"/>
      <c r="GP290" s="15"/>
      <c r="GQ290" s="15"/>
      <c r="GR290" s="15"/>
      <c r="GS290" s="15"/>
      <c r="GT290" s="15"/>
      <c r="GU290" s="15"/>
      <c r="GV290" s="15"/>
      <c r="GW290" s="15"/>
      <c r="GX290" s="15"/>
      <c r="GY290" s="15"/>
      <c r="GZ290" s="15"/>
      <c r="HA290" s="15"/>
      <c r="HB290" s="15"/>
      <c r="HC290" s="15"/>
      <c r="HD290" s="15"/>
      <c r="HE290" s="15"/>
      <c r="HF290" s="15"/>
      <c r="HG290" s="15"/>
      <c r="HH290" s="15"/>
      <c r="HI290" s="15"/>
      <c r="HJ290" s="15"/>
      <c r="HK290" s="15"/>
      <c r="HL290" s="15"/>
      <c r="HM290" s="15"/>
      <c r="HN290" s="15"/>
      <c r="HO290" s="15"/>
      <c r="HP290" s="15"/>
      <c r="HQ290" s="15"/>
      <c r="HR290" s="15"/>
      <c r="HS290" s="15"/>
      <c r="HT290" s="15"/>
      <c r="HU290" s="15"/>
      <c r="HV290" s="15"/>
      <c r="HW290" s="15"/>
      <c r="HX290" s="15"/>
      <c r="HY290" s="15"/>
      <c r="HZ290" s="15"/>
      <c r="IA290" s="15"/>
      <c r="IB290" s="15"/>
      <c r="IC290" s="15"/>
      <c r="ID290" s="15"/>
      <c r="IE290" s="15"/>
      <c r="IF290" s="15"/>
      <c r="IG290" s="15"/>
      <c r="IH290" s="15"/>
      <c r="II290" s="15"/>
      <c r="IJ290" s="15"/>
      <c r="IK290" s="15"/>
      <c r="IL290" s="15"/>
      <c r="IM290" s="15"/>
      <c r="IN290" s="15"/>
      <c r="IO290" s="15"/>
      <c r="IP290" s="15"/>
      <c r="IQ290" s="15"/>
      <c r="IR290" s="15"/>
      <c r="IS290" s="15"/>
      <c r="IT290" s="15"/>
      <c r="IU290" s="15"/>
      <c r="IV290" s="15"/>
      <c r="IW290" s="15"/>
      <c r="IX290" s="15"/>
      <c r="IY290" s="15"/>
      <c r="IZ290" s="15"/>
      <c r="JA290" s="15"/>
      <c r="JB290" s="15"/>
      <c r="JC290" s="15"/>
      <c r="JD290" s="15"/>
      <c r="JE290" s="15"/>
      <c r="JF290" s="15"/>
      <c r="JG290" s="15"/>
      <c r="JH290" s="15"/>
      <c r="JI290" s="15"/>
      <c r="JJ290" s="15"/>
      <c r="JK290" s="15"/>
      <c r="JL290" s="15"/>
      <c r="JM290" s="15"/>
      <c r="JN290" s="15"/>
      <c r="JO290" s="15"/>
      <c r="JP290" s="15"/>
      <c r="JQ290" s="15"/>
      <c r="JR290" s="15"/>
      <c r="JS290" s="15"/>
      <c r="JT290" s="15"/>
      <c r="JU290" s="15"/>
      <c r="JV290" s="15"/>
      <c r="JW290" s="15"/>
      <c r="JX290" s="15"/>
      <c r="JY290" s="15"/>
      <c r="JZ290" s="15"/>
      <c r="KA290" s="15"/>
      <c r="KB290" s="15"/>
      <c r="KC290" s="15"/>
      <c r="KD290" s="15"/>
      <c r="KE290" s="15"/>
      <c r="KF290" s="15"/>
      <c r="KG290" s="15"/>
      <c r="KH290" s="15"/>
      <c r="KI290" s="15"/>
      <c r="KJ290" s="15"/>
      <c r="KK290" s="15"/>
      <c r="KL290" s="15"/>
      <c r="KM290" s="15"/>
      <c r="KN290" s="15"/>
      <c r="KO290" s="15"/>
      <c r="KP290" s="15"/>
      <c r="KQ290" s="15"/>
      <c r="KR290" s="15"/>
      <c r="KS290" s="15"/>
      <c r="KT290" s="15"/>
      <c r="KU290" s="15"/>
      <c r="KV290" s="15"/>
      <c r="KW290" s="15"/>
      <c r="KX290" s="15"/>
      <c r="KY290" s="15"/>
      <c r="KZ290" s="15"/>
      <c r="LA290" s="15"/>
      <c r="LB290" s="15"/>
      <c r="LC290" s="15"/>
      <c r="LD290" s="15"/>
      <c r="LE290" s="15"/>
      <c r="LF290" s="15"/>
      <c r="LG290" s="15"/>
      <c r="LH290" s="15"/>
      <c r="LI290" s="15"/>
      <c r="LJ290" s="15"/>
      <c r="LK290" s="15"/>
      <c r="LL290" s="15"/>
      <c r="LM290" s="15"/>
      <c r="LN290" s="15"/>
      <c r="LO290" s="15"/>
      <c r="LP290" s="15"/>
      <c r="LQ290" s="15"/>
      <c r="LR290" s="15"/>
      <c r="LS290" s="15"/>
      <c r="LT290" s="15"/>
      <c r="LU290" s="15"/>
      <c r="LV290" s="15"/>
      <c r="LW290" s="15"/>
      <c r="LX290" s="15"/>
      <c r="LY290" s="15"/>
      <c r="LZ290" s="15"/>
      <c r="MA290" s="15"/>
      <c r="MB290" s="15"/>
      <c r="MC290" s="15"/>
      <c r="MD290" s="15"/>
      <c r="ME290" s="15"/>
      <c r="MF290" s="15"/>
      <c r="MG290" s="15"/>
      <c r="MH290" s="15"/>
      <c r="MI290" s="15"/>
      <c r="MJ290" s="15"/>
      <c r="MK290" s="15"/>
      <c r="ML290" s="15"/>
      <c r="MM290" s="15"/>
      <c r="MN290" s="15"/>
      <c r="MO290" s="15"/>
      <c r="MP290" s="15"/>
      <c r="MQ290" s="15"/>
      <c r="MR290" s="15"/>
      <c r="MS290" s="15"/>
      <c r="MT290" s="15"/>
      <c r="MU290" s="15"/>
      <c r="MV290" s="15"/>
      <c r="MW290" s="15"/>
    </row>
    <row r="291" ht="41.25" customHeight="1">
      <c r="A291" s="16" t="s">
        <v>284</v>
      </c>
      <c r="B291" s="14" t="s">
        <v>10316</v>
      </c>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c r="DE291" s="15"/>
      <c r="DF291" s="15"/>
      <c r="DG291" s="15"/>
      <c r="DH291" s="15"/>
      <c r="DI291" s="15"/>
      <c r="DJ291" s="15"/>
      <c r="DK291" s="15"/>
      <c r="DL291" s="15"/>
      <c r="DM291" s="15"/>
      <c r="DN291" s="15"/>
      <c r="DO291" s="15"/>
      <c r="DP291" s="15"/>
      <c r="DQ291" s="15"/>
      <c r="DR291" s="15"/>
      <c r="DS291" s="15"/>
      <c r="DT291" s="15"/>
      <c r="DU291" s="15"/>
      <c r="DV291" s="15"/>
      <c r="DW291" s="15"/>
      <c r="DX291" s="15"/>
      <c r="DY291" s="15"/>
      <c r="DZ291" s="15"/>
      <c r="EA291" s="15"/>
      <c r="EB291" s="15"/>
      <c r="EC291" s="15"/>
      <c r="ED291" s="15"/>
      <c r="EE291" s="15"/>
      <c r="EF291" s="15"/>
      <c r="EG291" s="15"/>
      <c r="EH291" s="15"/>
      <c r="EI291" s="15"/>
      <c r="EJ291" s="15"/>
      <c r="EK291" s="15"/>
      <c r="EL291" s="15"/>
      <c r="EM291" s="15"/>
      <c r="EN291" s="15"/>
      <c r="EO291" s="15"/>
      <c r="EP291" s="15"/>
      <c r="EQ291" s="15"/>
      <c r="ER291" s="15"/>
      <c r="ES291" s="15"/>
      <c r="ET291" s="15"/>
      <c r="EU291" s="15"/>
      <c r="EV291" s="15"/>
      <c r="EW291" s="15"/>
      <c r="EX291" s="15"/>
      <c r="EY291" s="15"/>
      <c r="EZ291" s="15"/>
      <c r="FA291" s="15"/>
      <c r="FB291" s="15"/>
      <c r="FC291" s="15"/>
      <c r="FD291" s="15"/>
      <c r="FE291" s="15"/>
      <c r="FF291" s="15"/>
      <c r="FG291" s="15"/>
      <c r="FH291" s="15"/>
      <c r="FI291" s="15"/>
      <c r="FJ291" s="15"/>
      <c r="FK291" s="15"/>
      <c r="FL291" s="15"/>
      <c r="FM291" s="15"/>
      <c r="FN291" s="15"/>
      <c r="FO291" s="15"/>
      <c r="FP291" s="15"/>
      <c r="FQ291" s="15"/>
      <c r="FR291" s="15"/>
      <c r="FS291" s="15"/>
      <c r="FT291" s="15"/>
      <c r="FU291" s="15"/>
      <c r="FV291" s="15"/>
      <c r="FW291" s="15"/>
      <c r="FX291" s="15"/>
      <c r="FY291" s="15"/>
      <c r="FZ291" s="15"/>
      <c r="GA291" s="15"/>
      <c r="GB291" s="15"/>
      <c r="GC291" s="15"/>
      <c r="GD291" s="15"/>
      <c r="GE291" s="15"/>
      <c r="GF291" s="15"/>
      <c r="GG291" s="15"/>
      <c r="GH291" s="15"/>
      <c r="GI291" s="15"/>
      <c r="GJ291" s="15"/>
      <c r="GK291" s="15"/>
      <c r="GL291" s="15"/>
      <c r="GM291" s="15"/>
      <c r="GN291" s="15"/>
      <c r="GO291" s="15"/>
      <c r="GP291" s="15"/>
      <c r="GQ291" s="15"/>
      <c r="GR291" s="15"/>
      <c r="GS291" s="15"/>
      <c r="GT291" s="15"/>
      <c r="GU291" s="15"/>
      <c r="GV291" s="15"/>
      <c r="GW291" s="15"/>
      <c r="GX291" s="15"/>
      <c r="GY291" s="15"/>
      <c r="GZ291" s="15"/>
      <c r="HA291" s="15"/>
      <c r="HB291" s="15"/>
      <c r="HC291" s="15"/>
      <c r="HD291" s="15"/>
      <c r="HE291" s="15"/>
      <c r="HF291" s="15"/>
      <c r="HG291" s="15"/>
      <c r="HH291" s="15"/>
      <c r="HI291" s="15"/>
      <c r="HJ291" s="15"/>
      <c r="HK291" s="15"/>
      <c r="HL291" s="15"/>
      <c r="HM291" s="15"/>
      <c r="HN291" s="15"/>
      <c r="HO291" s="15"/>
      <c r="HP291" s="15"/>
      <c r="HQ291" s="15"/>
      <c r="HR291" s="15"/>
      <c r="HS291" s="15"/>
      <c r="HT291" s="15"/>
      <c r="HU291" s="15"/>
      <c r="HV291" s="15"/>
      <c r="HW291" s="15"/>
      <c r="HX291" s="15"/>
      <c r="HY291" s="15"/>
      <c r="HZ291" s="15"/>
      <c r="IA291" s="15"/>
      <c r="IB291" s="15"/>
      <c r="IC291" s="15"/>
      <c r="ID291" s="15"/>
      <c r="IE291" s="15"/>
      <c r="IF291" s="15"/>
      <c r="IG291" s="15"/>
      <c r="IH291" s="15"/>
      <c r="II291" s="15"/>
      <c r="IJ291" s="15"/>
      <c r="IK291" s="15"/>
      <c r="IL291" s="15"/>
      <c r="IM291" s="15"/>
      <c r="IN291" s="15"/>
      <c r="IO291" s="15"/>
      <c r="IP291" s="15"/>
      <c r="IQ291" s="15"/>
      <c r="IR291" s="15"/>
      <c r="IS291" s="15"/>
      <c r="IT291" s="15"/>
      <c r="IU291" s="15"/>
      <c r="IV291" s="15"/>
      <c r="IW291" s="15"/>
      <c r="IX291" s="15"/>
      <c r="IY291" s="15"/>
      <c r="IZ291" s="15"/>
      <c r="JA291" s="15"/>
      <c r="JB291" s="15"/>
      <c r="JC291" s="15"/>
      <c r="JD291" s="15"/>
      <c r="JE291" s="15"/>
      <c r="JF291" s="15"/>
      <c r="JG291" s="15"/>
      <c r="JH291" s="15"/>
      <c r="JI291" s="15"/>
      <c r="JJ291" s="15"/>
      <c r="JK291" s="15"/>
      <c r="JL291" s="15"/>
      <c r="JM291" s="15"/>
      <c r="JN291" s="15"/>
      <c r="JO291" s="15"/>
      <c r="JP291" s="15"/>
      <c r="JQ291" s="15"/>
      <c r="JR291" s="15"/>
      <c r="JS291" s="15"/>
      <c r="JT291" s="15"/>
      <c r="JU291" s="15"/>
      <c r="JV291" s="15"/>
      <c r="JW291" s="15"/>
      <c r="JX291" s="15"/>
      <c r="JY291" s="15"/>
      <c r="JZ291" s="15"/>
      <c r="KA291" s="15"/>
      <c r="KB291" s="15"/>
      <c r="KC291" s="15"/>
      <c r="KD291" s="15"/>
      <c r="KE291" s="15"/>
      <c r="KF291" s="15"/>
      <c r="KG291" s="15"/>
      <c r="KH291" s="15"/>
      <c r="KI291" s="15"/>
      <c r="KJ291" s="15"/>
      <c r="KK291" s="15"/>
      <c r="KL291" s="15"/>
      <c r="KM291" s="15"/>
      <c r="KN291" s="15"/>
      <c r="KO291" s="15"/>
      <c r="KP291" s="15"/>
      <c r="KQ291" s="15"/>
      <c r="KR291" s="15"/>
      <c r="KS291" s="15"/>
      <c r="KT291" s="15"/>
      <c r="KU291" s="15"/>
      <c r="KV291" s="15"/>
      <c r="KW291" s="15"/>
      <c r="KX291" s="15"/>
      <c r="KY291" s="15"/>
      <c r="KZ291" s="15"/>
      <c r="LA291" s="15"/>
      <c r="LB291" s="15"/>
      <c r="LC291" s="15"/>
      <c r="LD291" s="15"/>
      <c r="LE291" s="15"/>
      <c r="LF291" s="15"/>
      <c r="LG291" s="15"/>
      <c r="LH291" s="15"/>
      <c r="LI291" s="15"/>
      <c r="LJ291" s="15"/>
      <c r="LK291" s="15"/>
      <c r="LL291" s="15"/>
      <c r="LM291" s="15"/>
      <c r="LN291" s="15"/>
      <c r="LO291" s="15"/>
      <c r="LP291" s="15"/>
      <c r="LQ291" s="15"/>
      <c r="LR291" s="15"/>
      <c r="LS291" s="15"/>
      <c r="LT291" s="15"/>
      <c r="LU291" s="15"/>
      <c r="LV291" s="15"/>
      <c r="LW291" s="15"/>
      <c r="LX291" s="15"/>
      <c r="LY291" s="15"/>
      <c r="LZ291" s="15"/>
      <c r="MA291" s="15"/>
      <c r="MB291" s="15"/>
      <c r="MC291" s="15"/>
      <c r="MD291" s="15"/>
      <c r="ME291" s="15"/>
      <c r="MF291" s="15"/>
      <c r="MG291" s="15"/>
      <c r="MH291" s="15"/>
      <c r="MI291" s="15"/>
      <c r="MJ291" s="15"/>
      <c r="MK291" s="15"/>
      <c r="ML291" s="15"/>
      <c r="MM291" s="15"/>
      <c r="MN291" s="15"/>
      <c r="MO291" s="15"/>
      <c r="MP291" s="15"/>
      <c r="MQ291" s="15"/>
      <c r="MR291" s="15"/>
      <c r="MS291" s="15"/>
      <c r="MT291" s="15"/>
      <c r="MU291" s="15"/>
      <c r="MV291" s="15"/>
      <c r="MW291" s="15"/>
    </row>
    <row r="292" ht="119.25" customHeight="1">
      <c r="A292" s="16" t="s">
        <v>285</v>
      </c>
      <c r="B292" s="14" t="s">
        <v>10317</v>
      </c>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c r="DE292" s="15"/>
      <c r="DF292" s="15"/>
      <c r="DG292" s="15"/>
      <c r="DH292" s="15"/>
      <c r="DI292" s="15"/>
      <c r="DJ292" s="15"/>
      <c r="DK292" s="15"/>
      <c r="DL292" s="15"/>
      <c r="DM292" s="15"/>
      <c r="DN292" s="15"/>
      <c r="DO292" s="15"/>
      <c r="DP292" s="15"/>
      <c r="DQ292" s="15"/>
      <c r="DR292" s="15"/>
      <c r="DS292" s="15"/>
      <c r="DT292" s="15"/>
      <c r="DU292" s="15"/>
      <c r="DV292" s="15"/>
      <c r="DW292" s="15"/>
      <c r="DX292" s="15"/>
      <c r="DY292" s="15"/>
      <c r="DZ292" s="15"/>
      <c r="EA292" s="15"/>
      <c r="EB292" s="15"/>
      <c r="EC292" s="15"/>
      <c r="ED292" s="15"/>
      <c r="EE292" s="15"/>
      <c r="EF292" s="15"/>
      <c r="EG292" s="15"/>
      <c r="EH292" s="15"/>
      <c r="EI292" s="15"/>
      <c r="EJ292" s="15"/>
      <c r="EK292" s="15"/>
      <c r="EL292" s="15"/>
      <c r="EM292" s="15"/>
      <c r="EN292" s="15"/>
      <c r="EO292" s="15"/>
      <c r="EP292" s="15"/>
      <c r="EQ292" s="15"/>
      <c r="ER292" s="15"/>
      <c r="ES292" s="15"/>
      <c r="ET292" s="15"/>
      <c r="EU292" s="15"/>
      <c r="EV292" s="15"/>
      <c r="EW292" s="15"/>
      <c r="EX292" s="15"/>
      <c r="EY292" s="15"/>
      <c r="EZ292" s="15"/>
      <c r="FA292" s="15"/>
      <c r="FB292" s="15"/>
      <c r="FC292" s="15"/>
      <c r="FD292" s="15"/>
      <c r="FE292" s="15"/>
      <c r="FF292" s="15"/>
      <c r="FG292" s="15"/>
      <c r="FH292" s="15"/>
      <c r="FI292" s="15"/>
      <c r="FJ292" s="15"/>
      <c r="FK292" s="15"/>
      <c r="FL292" s="15"/>
      <c r="FM292" s="15"/>
      <c r="FN292" s="15"/>
      <c r="FO292" s="15"/>
      <c r="FP292" s="15"/>
      <c r="FQ292" s="15"/>
      <c r="FR292" s="15"/>
      <c r="FS292" s="15"/>
      <c r="FT292" s="15"/>
      <c r="FU292" s="15"/>
      <c r="FV292" s="15"/>
      <c r="FW292" s="15"/>
      <c r="FX292" s="15"/>
      <c r="FY292" s="15"/>
      <c r="FZ292" s="15"/>
      <c r="GA292" s="15"/>
      <c r="GB292" s="15"/>
      <c r="GC292" s="15"/>
      <c r="GD292" s="15"/>
      <c r="GE292" s="15"/>
      <c r="GF292" s="15"/>
      <c r="GG292" s="15"/>
      <c r="GH292" s="15"/>
      <c r="GI292" s="15"/>
      <c r="GJ292" s="15"/>
      <c r="GK292" s="15"/>
      <c r="GL292" s="15"/>
      <c r="GM292" s="15"/>
      <c r="GN292" s="15"/>
      <c r="GO292" s="15"/>
      <c r="GP292" s="15"/>
      <c r="GQ292" s="15"/>
      <c r="GR292" s="15"/>
      <c r="GS292" s="15"/>
      <c r="GT292" s="15"/>
      <c r="GU292" s="15"/>
      <c r="GV292" s="15"/>
      <c r="GW292" s="15"/>
      <c r="GX292" s="15"/>
      <c r="GY292" s="15"/>
      <c r="GZ292" s="15"/>
      <c r="HA292" s="15"/>
      <c r="HB292" s="15"/>
      <c r="HC292" s="15"/>
      <c r="HD292" s="15"/>
      <c r="HE292" s="15"/>
      <c r="HF292" s="15"/>
      <c r="HG292" s="15"/>
      <c r="HH292" s="15"/>
      <c r="HI292" s="15"/>
      <c r="HJ292" s="15"/>
      <c r="HK292" s="15"/>
      <c r="HL292" s="15"/>
      <c r="HM292" s="15"/>
      <c r="HN292" s="15"/>
      <c r="HO292" s="15"/>
      <c r="HP292" s="15"/>
      <c r="HQ292" s="15"/>
      <c r="HR292" s="15"/>
      <c r="HS292" s="15"/>
      <c r="HT292" s="15"/>
      <c r="HU292" s="15"/>
      <c r="HV292" s="15"/>
      <c r="HW292" s="15"/>
      <c r="HX292" s="15"/>
      <c r="HY292" s="15"/>
      <c r="HZ292" s="15"/>
      <c r="IA292" s="15"/>
      <c r="IB292" s="15"/>
      <c r="IC292" s="15"/>
      <c r="ID292" s="15"/>
      <c r="IE292" s="15"/>
      <c r="IF292" s="15"/>
      <c r="IG292" s="15"/>
      <c r="IH292" s="15"/>
      <c r="II292" s="15"/>
      <c r="IJ292" s="15"/>
      <c r="IK292" s="15"/>
      <c r="IL292" s="15"/>
      <c r="IM292" s="15"/>
      <c r="IN292" s="15"/>
      <c r="IO292" s="15"/>
      <c r="IP292" s="15"/>
      <c r="IQ292" s="15"/>
      <c r="IR292" s="15"/>
      <c r="IS292" s="15"/>
      <c r="IT292" s="15"/>
      <c r="IU292" s="15"/>
      <c r="IV292" s="15"/>
      <c r="IW292" s="15"/>
      <c r="IX292" s="15"/>
      <c r="IY292" s="15"/>
      <c r="IZ292" s="15"/>
      <c r="JA292" s="15"/>
      <c r="JB292" s="15"/>
      <c r="JC292" s="15"/>
      <c r="JD292" s="15"/>
      <c r="JE292" s="15"/>
      <c r="JF292" s="15"/>
      <c r="JG292" s="15"/>
      <c r="JH292" s="15"/>
      <c r="JI292" s="15"/>
      <c r="JJ292" s="15"/>
      <c r="JK292" s="15"/>
      <c r="JL292" s="15"/>
      <c r="JM292" s="15"/>
      <c r="JN292" s="15"/>
      <c r="JO292" s="15"/>
      <c r="JP292" s="15"/>
      <c r="JQ292" s="15"/>
      <c r="JR292" s="15"/>
      <c r="JS292" s="15"/>
      <c r="JT292" s="15"/>
      <c r="JU292" s="15"/>
      <c r="JV292" s="15"/>
      <c r="JW292" s="15"/>
      <c r="JX292" s="15"/>
      <c r="JY292" s="15"/>
      <c r="JZ292" s="15"/>
      <c r="KA292" s="15"/>
      <c r="KB292" s="15"/>
      <c r="KC292" s="15"/>
      <c r="KD292" s="15"/>
      <c r="KE292" s="15"/>
      <c r="KF292" s="15"/>
      <c r="KG292" s="15"/>
      <c r="KH292" s="15"/>
      <c r="KI292" s="15"/>
      <c r="KJ292" s="15"/>
      <c r="KK292" s="15"/>
      <c r="KL292" s="15"/>
      <c r="KM292" s="15"/>
      <c r="KN292" s="15"/>
      <c r="KO292" s="15"/>
      <c r="KP292" s="15"/>
      <c r="KQ292" s="15"/>
      <c r="KR292" s="15"/>
      <c r="KS292" s="15"/>
      <c r="KT292" s="15"/>
      <c r="KU292" s="15"/>
      <c r="KV292" s="15"/>
      <c r="KW292" s="15"/>
      <c r="KX292" s="15"/>
      <c r="KY292" s="15"/>
      <c r="KZ292" s="15"/>
      <c r="LA292" s="15"/>
      <c r="LB292" s="15"/>
      <c r="LC292" s="15"/>
      <c r="LD292" s="15"/>
      <c r="LE292" s="15"/>
      <c r="LF292" s="15"/>
      <c r="LG292" s="15"/>
      <c r="LH292" s="15"/>
      <c r="LI292" s="15"/>
      <c r="LJ292" s="15"/>
      <c r="LK292" s="15"/>
      <c r="LL292" s="15"/>
      <c r="LM292" s="15"/>
      <c r="LN292" s="15"/>
      <c r="LO292" s="15"/>
      <c r="LP292" s="15"/>
      <c r="LQ292" s="15"/>
      <c r="LR292" s="15"/>
      <c r="LS292" s="15"/>
      <c r="LT292" s="15"/>
      <c r="LU292" s="15"/>
      <c r="LV292" s="15"/>
      <c r="LW292" s="15"/>
      <c r="LX292" s="15"/>
      <c r="LY292" s="15"/>
      <c r="LZ292" s="15"/>
      <c r="MA292" s="15"/>
      <c r="MB292" s="15"/>
      <c r="MC292" s="15"/>
      <c r="MD292" s="15"/>
      <c r="ME292" s="15"/>
      <c r="MF292" s="15"/>
      <c r="MG292" s="15"/>
      <c r="MH292" s="15"/>
      <c r="MI292" s="15"/>
      <c r="MJ292" s="15"/>
      <c r="MK292" s="15"/>
      <c r="ML292" s="15"/>
      <c r="MM292" s="15"/>
      <c r="MN292" s="15"/>
      <c r="MO292" s="15"/>
      <c r="MP292" s="15"/>
      <c r="MQ292" s="15"/>
      <c r="MR292" s="15"/>
      <c r="MS292" s="15"/>
      <c r="MT292" s="15"/>
      <c r="MU292" s="15"/>
      <c r="MV292" s="15"/>
      <c r="MW292" s="15"/>
    </row>
    <row r="293" ht="41.25" customHeight="1">
      <c r="A293" s="16" t="s">
        <v>286</v>
      </c>
      <c r="B293" s="14" t="s">
        <v>10318</v>
      </c>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c r="DF293" s="15"/>
      <c r="DG293" s="15"/>
      <c r="DH293" s="15"/>
      <c r="DI293" s="15"/>
      <c r="DJ293" s="15"/>
      <c r="DK293" s="15"/>
      <c r="DL293" s="15"/>
      <c r="DM293" s="15"/>
      <c r="DN293" s="15"/>
      <c r="DO293" s="15"/>
      <c r="DP293" s="15"/>
      <c r="DQ293" s="15"/>
      <c r="DR293" s="15"/>
      <c r="DS293" s="15"/>
      <c r="DT293" s="15"/>
      <c r="DU293" s="15"/>
      <c r="DV293" s="15"/>
      <c r="DW293" s="15"/>
      <c r="DX293" s="15"/>
      <c r="DY293" s="15"/>
      <c r="DZ293" s="15"/>
      <c r="EA293" s="15"/>
      <c r="EB293" s="15"/>
      <c r="EC293" s="15"/>
      <c r="ED293" s="15"/>
      <c r="EE293" s="15"/>
      <c r="EF293" s="15"/>
      <c r="EG293" s="15"/>
      <c r="EH293" s="15"/>
      <c r="EI293" s="15"/>
      <c r="EJ293" s="15"/>
      <c r="EK293" s="15"/>
      <c r="EL293" s="15"/>
      <c r="EM293" s="15"/>
      <c r="EN293" s="15"/>
      <c r="EO293" s="15"/>
      <c r="EP293" s="15"/>
      <c r="EQ293" s="15"/>
      <c r="ER293" s="15"/>
      <c r="ES293" s="15"/>
      <c r="ET293" s="15"/>
      <c r="EU293" s="15"/>
      <c r="EV293" s="15"/>
      <c r="EW293" s="15"/>
      <c r="EX293" s="15"/>
      <c r="EY293" s="15"/>
      <c r="EZ293" s="15"/>
      <c r="FA293" s="15"/>
      <c r="FB293" s="15"/>
      <c r="FC293" s="15"/>
      <c r="FD293" s="15"/>
      <c r="FE293" s="15"/>
      <c r="FF293" s="15"/>
      <c r="FG293" s="15"/>
      <c r="FH293" s="15"/>
      <c r="FI293" s="15"/>
      <c r="FJ293" s="15"/>
      <c r="FK293" s="15"/>
      <c r="FL293" s="15"/>
      <c r="FM293" s="15"/>
      <c r="FN293" s="15"/>
      <c r="FO293" s="15"/>
      <c r="FP293" s="15"/>
      <c r="FQ293" s="15"/>
      <c r="FR293" s="15"/>
      <c r="FS293" s="15"/>
      <c r="FT293" s="15"/>
      <c r="FU293" s="15"/>
      <c r="FV293" s="15"/>
      <c r="FW293" s="15"/>
      <c r="FX293" s="15"/>
      <c r="FY293" s="15"/>
      <c r="FZ293" s="15"/>
      <c r="GA293" s="15"/>
      <c r="GB293" s="15"/>
      <c r="GC293" s="15"/>
      <c r="GD293" s="15"/>
      <c r="GE293" s="15"/>
      <c r="GF293" s="15"/>
      <c r="GG293" s="15"/>
      <c r="GH293" s="15"/>
      <c r="GI293" s="15"/>
      <c r="GJ293" s="15"/>
      <c r="GK293" s="15"/>
      <c r="GL293" s="15"/>
      <c r="GM293" s="15"/>
      <c r="GN293" s="15"/>
      <c r="GO293" s="15"/>
      <c r="GP293" s="15"/>
      <c r="GQ293" s="15"/>
      <c r="GR293" s="15"/>
      <c r="GS293" s="15"/>
      <c r="GT293" s="15"/>
      <c r="GU293" s="15"/>
      <c r="GV293" s="15"/>
      <c r="GW293" s="15"/>
      <c r="GX293" s="15"/>
      <c r="GY293" s="15"/>
      <c r="GZ293" s="15"/>
      <c r="HA293" s="15"/>
      <c r="HB293" s="15"/>
      <c r="HC293" s="15"/>
      <c r="HD293" s="15"/>
      <c r="HE293" s="15"/>
      <c r="HF293" s="15"/>
      <c r="HG293" s="15"/>
      <c r="HH293" s="15"/>
      <c r="HI293" s="15"/>
      <c r="HJ293" s="15"/>
      <c r="HK293" s="15"/>
      <c r="HL293" s="15"/>
      <c r="HM293" s="15"/>
      <c r="HN293" s="15"/>
      <c r="HO293" s="15"/>
      <c r="HP293" s="15"/>
      <c r="HQ293" s="15"/>
      <c r="HR293" s="15"/>
      <c r="HS293" s="15"/>
      <c r="HT293" s="15"/>
      <c r="HU293" s="15"/>
      <c r="HV293" s="15"/>
      <c r="HW293" s="15"/>
      <c r="HX293" s="15"/>
      <c r="HY293" s="15"/>
      <c r="HZ293" s="15"/>
      <c r="IA293" s="15"/>
      <c r="IB293" s="15"/>
      <c r="IC293" s="15"/>
      <c r="ID293" s="15"/>
      <c r="IE293" s="15"/>
      <c r="IF293" s="15"/>
      <c r="IG293" s="15"/>
      <c r="IH293" s="15"/>
      <c r="II293" s="15"/>
      <c r="IJ293" s="15"/>
      <c r="IK293" s="15"/>
      <c r="IL293" s="15"/>
      <c r="IM293" s="15"/>
      <c r="IN293" s="15"/>
      <c r="IO293" s="15"/>
      <c r="IP293" s="15"/>
      <c r="IQ293" s="15"/>
      <c r="IR293" s="15"/>
      <c r="IS293" s="15"/>
      <c r="IT293" s="15"/>
      <c r="IU293" s="15"/>
      <c r="IV293" s="15"/>
      <c r="IW293" s="15"/>
      <c r="IX293" s="15"/>
      <c r="IY293" s="15"/>
      <c r="IZ293" s="15"/>
      <c r="JA293" s="15"/>
      <c r="JB293" s="15"/>
      <c r="JC293" s="15"/>
      <c r="JD293" s="15"/>
      <c r="JE293" s="15"/>
      <c r="JF293" s="15"/>
      <c r="JG293" s="15"/>
      <c r="JH293" s="15"/>
      <c r="JI293" s="15"/>
      <c r="JJ293" s="15"/>
      <c r="JK293" s="15"/>
      <c r="JL293" s="15"/>
      <c r="JM293" s="15"/>
      <c r="JN293" s="15"/>
      <c r="JO293" s="15"/>
      <c r="JP293" s="15"/>
      <c r="JQ293" s="15"/>
      <c r="JR293" s="15"/>
      <c r="JS293" s="15"/>
      <c r="JT293" s="15"/>
      <c r="JU293" s="15"/>
      <c r="JV293" s="15"/>
      <c r="JW293" s="15"/>
      <c r="JX293" s="15"/>
      <c r="JY293" s="15"/>
      <c r="JZ293" s="15"/>
      <c r="KA293" s="15"/>
      <c r="KB293" s="15"/>
      <c r="KC293" s="15"/>
      <c r="KD293" s="15"/>
      <c r="KE293" s="15"/>
      <c r="KF293" s="15"/>
      <c r="KG293" s="15"/>
      <c r="KH293" s="15"/>
      <c r="KI293" s="15"/>
      <c r="KJ293" s="15"/>
      <c r="KK293" s="15"/>
      <c r="KL293" s="15"/>
      <c r="KM293" s="15"/>
      <c r="KN293" s="15"/>
      <c r="KO293" s="15"/>
      <c r="KP293" s="15"/>
      <c r="KQ293" s="15"/>
      <c r="KR293" s="15"/>
      <c r="KS293" s="15"/>
      <c r="KT293" s="15"/>
      <c r="KU293" s="15"/>
      <c r="KV293" s="15"/>
      <c r="KW293" s="15"/>
      <c r="KX293" s="15"/>
      <c r="KY293" s="15"/>
      <c r="KZ293" s="15"/>
      <c r="LA293" s="15"/>
      <c r="LB293" s="15"/>
      <c r="LC293" s="15"/>
      <c r="LD293" s="15"/>
      <c r="LE293" s="15"/>
      <c r="LF293" s="15"/>
      <c r="LG293" s="15"/>
      <c r="LH293" s="15"/>
      <c r="LI293" s="15"/>
      <c r="LJ293" s="15"/>
      <c r="LK293" s="15"/>
      <c r="LL293" s="15"/>
      <c r="LM293" s="15"/>
      <c r="LN293" s="15"/>
      <c r="LO293" s="15"/>
      <c r="LP293" s="15"/>
      <c r="LQ293" s="15"/>
      <c r="LR293" s="15"/>
      <c r="LS293" s="15"/>
      <c r="LT293" s="15"/>
      <c r="LU293" s="15"/>
      <c r="LV293" s="15"/>
      <c r="LW293" s="15"/>
      <c r="LX293" s="15"/>
      <c r="LY293" s="15"/>
      <c r="LZ293" s="15"/>
      <c r="MA293" s="15"/>
      <c r="MB293" s="15"/>
      <c r="MC293" s="15"/>
      <c r="MD293" s="15"/>
      <c r="ME293" s="15"/>
      <c r="MF293" s="15"/>
      <c r="MG293" s="15"/>
      <c r="MH293" s="15"/>
      <c r="MI293" s="15"/>
      <c r="MJ293" s="15"/>
      <c r="MK293" s="15"/>
      <c r="ML293" s="15"/>
      <c r="MM293" s="15"/>
      <c r="MN293" s="15"/>
      <c r="MO293" s="15"/>
      <c r="MP293" s="15"/>
      <c r="MQ293" s="15"/>
      <c r="MR293" s="15"/>
      <c r="MS293" s="15"/>
      <c r="MT293" s="15"/>
      <c r="MU293" s="15"/>
      <c r="MV293" s="15"/>
      <c r="MW293" s="15"/>
    </row>
    <row r="294" ht="119.25" customHeight="1">
      <c r="A294" s="16" t="s">
        <v>287</v>
      </c>
      <c r="B294" s="14" t="s">
        <v>10319</v>
      </c>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c r="DF294" s="15"/>
      <c r="DG294" s="15"/>
      <c r="DH294" s="15"/>
      <c r="DI294" s="15"/>
      <c r="DJ294" s="15"/>
      <c r="DK294" s="15"/>
      <c r="DL294" s="15"/>
      <c r="DM294" s="15"/>
      <c r="DN294" s="15"/>
      <c r="DO294" s="15"/>
      <c r="DP294" s="15"/>
      <c r="DQ294" s="15"/>
      <c r="DR294" s="15"/>
      <c r="DS294" s="15"/>
      <c r="DT294" s="15"/>
      <c r="DU294" s="15"/>
      <c r="DV294" s="15"/>
      <c r="DW294" s="15"/>
      <c r="DX294" s="15"/>
      <c r="DY294" s="15"/>
      <c r="DZ294" s="15"/>
      <c r="EA294" s="15"/>
      <c r="EB294" s="15"/>
      <c r="EC294" s="15"/>
      <c r="ED294" s="15"/>
      <c r="EE294" s="15"/>
      <c r="EF294" s="15"/>
      <c r="EG294" s="15"/>
      <c r="EH294" s="15"/>
      <c r="EI294" s="15"/>
      <c r="EJ294" s="15"/>
      <c r="EK294" s="15"/>
      <c r="EL294" s="15"/>
      <c r="EM294" s="15"/>
      <c r="EN294" s="15"/>
      <c r="EO294" s="15"/>
      <c r="EP294" s="15"/>
      <c r="EQ294" s="15"/>
      <c r="ER294" s="15"/>
      <c r="ES294" s="15"/>
      <c r="ET294" s="15"/>
      <c r="EU294" s="15"/>
      <c r="EV294" s="15"/>
      <c r="EW294" s="15"/>
      <c r="EX294" s="15"/>
      <c r="EY294" s="15"/>
      <c r="EZ294" s="15"/>
      <c r="FA294" s="15"/>
      <c r="FB294" s="15"/>
      <c r="FC294" s="15"/>
      <c r="FD294" s="15"/>
      <c r="FE294" s="15"/>
      <c r="FF294" s="15"/>
      <c r="FG294" s="15"/>
      <c r="FH294" s="15"/>
      <c r="FI294" s="15"/>
      <c r="FJ294" s="15"/>
      <c r="FK294" s="15"/>
      <c r="FL294" s="15"/>
      <c r="FM294" s="15"/>
      <c r="FN294" s="15"/>
      <c r="FO294" s="15"/>
      <c r="FP294" s="15"/>
      <c r="FQ294" s="15"/>
      <c r="FR294" s="15"/>
      <c r="FS294" s="15"/>
      <c r="FT294" s="15"/>
      <c r="FU294" s="15"/>
      <c r="FV294" s="15"/>
      <c r="FW294" s="15"/>
      <c r="FX294" s="15"/>
      <c r="FY294" s="15"/>
      <c r="FZ294" s="15"/>
      <c r="GA294" s="15"/>
      <c r="GB294" s="15"/>
      <c r="GC294" s="15"/>
      <c r="GD294" s="15"/>
      <c r="GE294" s="15"/>
      <c r="GF294" s="15"/>
      <c r="GG294" s="15"/>
      <c r="GH294" s="15"/>
      <c r="GI294" s="15"/>
      <c r="GJ294" s="15"/>
      <c r="GK294" s="15"/>
      <c r="GL294" s="15"/>
      <c r="GM294" s="15"/>
      <c r="GN294" s="15"/>
      <c r="GO294" s="15"/>
      <c r="GP294" s="15"/>
      <c r="GQ294" s="15"/>
      <c r="GR294" s="15"/>
      <c r="GS294" s="15"/>
      <c r="GT294" s="15"/>
      <c r="GU294" s="15"/>
      <c r="GV294" s="15"/>
      <c r="GW294" s="15"/>
      <c r="GX294" s="15"/>
      <c r="GY294" s="15"/>
      <c r="GZ294" s="15"/>
      <c r="HA294" s="15"/>
      <c r="HB294" s="15"/>
      <c r="HC294" s="15"/>
      <c r="HD294" s="15"/>
      <c r="HE294" s="15"/>
      <c r="HF294" s="15"/>
      <c r="HG294" s="15"/>
      <c r="HH294" s="15"/>
      <c r="HI294" s="15"/>
      <c r="HJ294" s="15"/>
      <c r="HK294" s="15"/>
      <c r="HL294" s="15"/>
      <c r="HM294" s="15"/>
      <c r="HN294" s="15"/>
      <c r="HO294" s="15"/>
      <c r="HP294" s="15"/>
      <c r="HQ294" s="15"/>
      <c r="HR294" s="15"/>
      <c r="HS294" s="15"/>
      <c r="HT294" s="15"/>
      <c r="HU294" s="15"/>
      <c r="HV294" s="15"/>
      <c r="HW294" s="15"/>
      <c r="HX294" s="15"/>
      <c r="HY294" s="15"/>
      <c r="HZ294" s="15"/>
      <c r="IA294" s="15"/>
      <c r="IB294" s="15"/>
      <c r="IC294" s="15"/>
      <c r="ID294" s="15"/>
      <c r="IE294" s="15"/>
      <c r="IF294" s="15"/>
      <c r="IG294" s="15"/>
      <c r="IH294" s="15"/>
      <c r="II294" s="15"/>
      <c r="IJ294" s="15"/>
      <c r="IK294" s="15"/>
      <c r="IL294" s="15"/>
      <c r="IM294" s="15"/>
      <c r="IN294" s="15"/>
      <c r="IO294" s="15"/>
      <c r="IP294" s="15"/>
      <c r="IQ294" s="15"/>
      <c r="IR294" s="15"/>
      <c r="IS294" s="15"/>
      <c r="IT294" s="15"/>
      <c r="IU294" s="15"/>
      <c r="IV294" s="15"/>
      <c r="IW294" s="15"/>
      <c r="IX294" s="15"/>
      <c r="IY294" s="15"/>
      <c r="IZ294" s="15"/>
      <c r="JA294" s="15"/>
      <c r="JB294" s="15"/>
      <c r="JC294" s="15"/>
      <c r="JD294" s="15"/>
      <c r="JE294" s="15"/>
      <c r="JF294" s="15"/>
      <c r="JG294" s="15"/>
      <c r="JH294" s="15"/>
      <c r="JI294" s="15"/>
      <c r="JJ294" s="15"/>
      <c r="JK294" s="15"/>
      <c r="JL294" s="15"/>
      <c r="JM294" s="15"/>
      <c r="JN294" s="15"/>
      <c r="JO294" s="15"/>
      <c r="JP294" s="15"/>
      <c r="JQ294" s="15"/>
      <c r="JR294" s="15"/>
      <c r="JS294" s="15"/>
      <c r="JT294" s="15"/>
      <c r="JU294" s="15"/>
      <c r="JV294" s="15"/>
      <c r="JW294" s="15"/>
      <c r="JX294" s="15"/>
      <c r="JY294" s="15"/>
      <c r="JZ294" s="15"/>
      <c r="KA294" s="15"/>
      <c r="KB294" s="15"/>
      <c r="KC294" s="15"/>
      <c r="KD294" s="15"/>
      <c r="KE294" s="15"/>
      <c r="KF294" s="15"/>
      <c r="KG294" s="15"/>
      <c r="KH294" s="15"/>
      <c r="KI294" s="15"/>
      <c r="KJ294" s="15"/>
      <c r="KK294" s="15"/>
      <c r="KL294" s="15"/>
      <c r="KM294" s="15"/>
      <c r="KN294" s="15"/>
      <c r="KO294" s="15"/>
      <c r="KP294" s="15"/>
      <c r="KQ294" s="15"/>
      <c r="KR294" s="15"/>
      <c r="KS294" s="15"/>
      <c r="KT294" s="15"/>
      <c r="KU294" s="15"/>
      <c r="KV294" s="15"/>
      <c r="KW294" s="15"/>
      <c r="KX294" s="15"/>
      <c r="KY294" s="15"/>
      <c r="KZ294" s="15"/>
      <c r="LA294" s="15"/>
      <c r="LB294" s="15"/>
      <c r="LC294" s="15"/>
      <c r="LD294" s="15"/>
      <c r="LE294" s="15"/>
      <c r="LF294" s="15"/>
      <c r="LG294" s="15"/>
      <c r="LH294" s="15"/>
      <c r="LI294" s="15"/>
      <c r="LJ294" s="15"/>
      <c r="LK294" s="15"/>
      <c r="LL294" s="15"/>
      <c r="LM294" s="15"/>
      <c r="LN294" s="15"/>
      <c r="LO294" s="15"/>
      <c r="LP294" s="15"/>
      <c r="LQ294" s="15"/>
      <c r="LR294" s="15"/>
      <c r="LS294" s="15"/>
      <c r="LT294" s="15"/>
      <c r="LU294" s="15"/>
      <c r="LV294" s="15"/>
      <c r="LW294" s="15"/>
      <c r="LX294" s="15"/>
      <c r="LY294" s="15"/>
      <c r="LZ294" s="15"/>
      <c r="MA294" s="15"/>
      <c r="MB294" s="15"/>
      <c r="MC294" s="15"/>
      <c r="MD294" s="15"/>
      <c r="ME294" s="15"/>
      <c r="MF294" s="15"/>
      <c r="MG294" s="15"/>
      <c r="MH294" s="15"/>
      <c r="MI294" s="15"/>
      <c r="MJ294" s="15"/>
      <c r="MK294" s="15"/>
      <c r="ML294" s="15"/>
      <c r="MM294" s="15"/>
      <c r="MN294" s="15"/>
      <c r="MO294" s="15"/>
      <c r="MP294" s="15"/>
      <c r="MQ294" s="15"/>
      <c r="MR294" s="15"/>
      <c r="MS294" s="15"/>
      <c r="MT294" s="15"/>
      <c r="MU294" s="15"/>
      <c r="MV294" s="15"/>
      <c r="MW294" s="15"/>
    </row>
    <row r="295" ht="41.25" customHeight="1">
      <c r="A295" s="16" t="s">
        <v>288</v>
      </c>
      <c r="B295" s="14" t="s">
        <v>10320</v>
      </c>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c r="DC295" s="15"/>
      <c r="DD295" s="15"/>
      <c r="DE295" s="15"/>
      <c r="DF295" s="15"/>
      <c r="DG295" s="15"/>
      <c r="DH295" s="15"/>
      <c r="DI295" s="15"/>
      <c r="DJ295" s="15"/>
      <c r="DK295" s="15"/>
      <c r="DL295" s="15"/>
      <c r="DM295" s="15"/>
      <c r="DN295" s="15"/>
      <c r="DO295" s="15"/>
      <c r="DP295" s="15"/>
      <c r="DQ295" s="15"/>
      <c r="DR295" s="15"/>
      <c r="DS295" s="15"/>
      <c r="DT295" s="15"/>
      <c r="DU295" s="15"/>
      <c r="DV295" s="15"/>
      <c r="DW295" s="15"/>
      <c r="DX295" s="15"/>
      <c r="DY295" s="15"/>
      <c r="DZ295" s="15"/>
      <c r="EA295" s="15"/>
      <c r="EB295" s="15"/>
      <c r="EC295" s="15"/>
      <c r="ED295" s="15"/>
      <c r="EE295" s="15"/>
      <c r="EF295" s="15"/>
      <c r="EG295" s="15"/>
      <c r="EH295" s="15"/>
      <c r="EI295" s="15"/>
      <c r="EJ295" s="15"/>
      <c r="EK295" s="15"/>
      <c r="EL295" s="15"/>
      <c r="EM295" s="15"/>
      <c r="EN295" s="15"/>
      <c r="EO295" s="15"/>
      <c r="EP295" s="15"/>
      <c r="EQ295" s="15"/>
      <c r="ER295" s="15"/>
      <c r="ES295" s="15"/>
      <c r="ET295" s="15"/>
      <c r="EU295" s="15"/>
      <c r="EV295" s="15"/>
      <c r="EW295" s="15"/>
      <c r="EX295" s="15"/>
      <c r="EY295" s="15"/>
      <c r="EZ295" s="15"/>
      <c r="FA295" s="15"/>
      <c r="FB295" s="15"/>
      <c r="FC295" s="15"/>
      <c r="FD295" s="15"/>
      <c r="FE295" s="15"/>
      <c r="FF295" s="15"/>
      <c r="FG295" s="15"/>
      <c r="FH295" s="15"/>
      <c r="FI295" s="15"/>
      <c r="FJ295" s="15"/>
      <c r="FK295" s="15"/>
      <c r="FL295" s="15"/>
      <c r="FM295" s="15"/>
      <c r="FN295" s="15"/>
      <c r="FO295" s="15"/>
      <c r="FP295" s="15"/>
      <c r="FQ295" s="15"/>
      <c r="FR295" s="15"/>
      <c r="FS295" s="15"/>
      <c r="FT295" s="15"/>
      <c r="FU295" s="15"/>
      <c r="FV295" s="15"/>
      <c r="FW295" s="15"/>
      <c r="FX295" s="15"/>
      <c r="FY295" s="15"/>
      <c r="FZ295" s="15"/>
      <c r="GA295" s="15"/>
      <c r="GB295" s="15"/>
      <c r="GC295" s="15"/>
      <c r="GD295" s="15"/>
      <c r="GE295" s="15"/>
      <c r="GF295" s="15"/>
      <c r="GG295" s="15"/>
      <c r="GH295" s="15"/>
      <c r="GI295" s="15"/>
      <c r="GJ295" s="15"/>
      <c r="GK295" s="15"/>
      <c r="GL295" s="15"/>
      <c r="GM295" s="15"/>
      <c r="GN295" s="15"/>
      <c r="GO295" s="15"/>
      <c r="GP295" s="15"/>
      <c r="GQ295" s="15"/>
      <c r="GR295" s="15"/>
      <c r="GS295" s="15"/>
      <c r="GT295" s="15"/>
      <c r="GU295" s="15"/>
      <c r="GV295" s="15"/>
      <c r="GW295" s="15"/>
      <c r="GX295" s="15"/>
      <c r="GY295" s="15"/>
      <c r="GZ295" s="15"/>
      <c r="HA295" s="15"/>
      <c r="HB295" s="15"/>
      <c r="HC295" s="15"/>
      <c r="HD295" s="15"/>
      <c r="HE295" s="15"/>
      <c r="HF295" s="15"/>
      <c r="HG295" s="15"/>
      <c r="HH295" s="15"/>
      <c r="HI295" s="15"/>
      <c r="HJ295" s="15"/>
      <c r="HK295" s="15"/>
      <c r="HL295" s="15"/>
      <c r="HM295" s="15"/>
      <c r="HN295" s="15"/>
      <c r="HO295" s="15"/>
      <c r="HP295" s="15"/>
      <c r="HQ295" s="15"/>
      <c r="HR295" s="15"/>
      <c r="HS295" s="15"/>
      <c r="HT295" s="15"/>
      <c r="HU295" s="15"/>
      <c r="HV295" s="15"/>
      <c r="HW295" s="15"/>
      <c r="HX295" s="15"/>
      <c r="HY295" s="15"/>
      <c r="HZ295" s="15"/>
      <c r="IA295" s="15"/>
      <c r="IB295" s="15"/>
      <c r="IC295" s="15"/>
      <c r="ID295" s="15"/>
      <c r="IE295" s="15"/>
      <c r="IF295" s="15"/>
      <c r="IG295" s="15"/>
      <c r="IH295" s="15"/>
      <c r="II295" s="15"/>
      <c r="IJ295" s="15"/>
      <c r="IK295" s="15"/>
      <c r="IL295" s="15"/>
      <c r="IM295" s="15"/>
      <c r="IN295" s="15"/>
      <c r="IO295" s="15"/>
      <c r="IP295" s="15"/>
      <c r="IQ295" s="15"/>
      <c r="IR295" s="15"/>
      <c r="IS295" s="15"/>
      <c r="IT295" s="15"/>
      <c r="IU295" s="15"/>
      <c r="IV295" s="15"/>
      <c r="IW295" s="15"/>
      <c r="IX295" s="15"/>
      <c r="IY295" s="15"/>
      <c r="IZ295" s="15"/>
      <c r="JA295" s="15"/>
      <c r="JB295" s="15"/>
      <c r="JC295" s="15"/>
      <c r="JD295" s="15"/>
      <c r="JE295" s="15"/>
      <c r="JF295" s="15"/>
      <c r="JG295" s="15"/>
      <c r="JH295" s="15"/>
      <c r="JI295" s="15"/>
      <c r="JJ295" s="15"/>
      <c r="JK295" s="15"/>
      <c r="JL295" s="15"/>
      <c r="JM295" s="15"/>
      <c r="JN295" s="15"/>
      <c r="JO295" s="15"/>
      <c r="JP295" s="15"/>
      <c r="JQ295" s="15"/>
      <c r="JR295" s="15"/>
      <c r="JS295" s="15"/>
      <c r="JT295" s="15"/>
      <c r="JU295" s="15"/>
      <c r="JV295" s="15"/>
      <c r="JW295" s="15"/>
      <c r="JX295" s="15"/>
      <c r="JY295" s="15"/>
      <c r="JZ295" s="15"/>
      <c r="KA295" s="15"/>
      <c r="KB295" s="15"/>
      <c r="KC295" s="15"/>
      <c r="KD295" s="15"/>
      <c r="KE295" s="15"/>
      <c r="KF295" s="15"/>
      <c r="KG295" s="15"/>
      <c r="KH295" s="15"/>
      <c r="KI295" s="15"/>
      <c r="KJ295" s="15"/>
      <c r="KK295" s="15"/>
      <c r="KL295" s="15"/>
      <c r="KM295" s="15"/>
      <c r="KN295" s="15"/>
      <c r="KO295" s="15"/>
      <c r="KP295" s="15"/>
      <c r="KQ295" s="15"/>
      <c r="KR295" s="15"/>
      <c r="KS295" s="15"/>
      <c r="KT295" s="15"/>
      <c r="KU295" s="15"/>
      <c r="KV295" s="15"/>
      <c r="KW295" s="15"/>
      <c r="KX295" s="15"/>
      <c r="KY295" s="15"/>
      <c r="KZ295" s="15"/>
      <c r="LA295" s="15"/>
      <c r="LB295" s="15"/>
      <c r="LC295" s="15"/>
      <c r="LD295" s="15"/>
      <c r="LE295" s="15"/>
      <c r="LF295" s="15"/>
      <c r="LG295" s="15"/>
      <c r="LH295" s="15"/>
      <c r="LI295" s="15"/>
      <c r="LJ295" s="15"/>
      <c r="LK295" s="15"/>
      <c r="LL295" s="15"/>
      <c r="LM295" s="15"/>
      <c r="LN295" s="15"/>
      <c r="LO295" s="15"/>
      <c r="LP295" s="15"/>
      <c r="LQ295" s="15"/>
      <c r="LR295" s="15"/>
      <c r="LS295" s="15"/>
      <c r="LT295" s="15"/>
      <c r="LU295" s="15"/>
      <c r="LV295" s="15"/>
      <c r="LW295" s="15"/>
      <c r="LX295" s="15"/>
      <c r="LY295" s="15"/>
      <c r="LZ295" s="15"/>
      <c r="MA295" s="15"/>
      <c r="MB295" s="15"/>
      <c r="MC295" s="15"/>
      <c r="MD295" s="15"/>
      <c r="ME295" s="15"/>
      <c r="MF295" s="15"/>
      <c r="MG295" s="15"/>
      <c r="MH295" s="15"/>
      <c r="MI295" s="15"/>
      <c r="MJ295" s="15"/>
      <c r="MK295" s="15"/>
      <c r="ML295" s="15"/>
      <c r="MM295" s="15"/>
      <c r="MN295" s="15"/>
      <c r="MO295" s="15"/>
      <c r="MP295" s="15"/>
      <c r="MQ295" s="15"/>
      <c r="MR295" s="15"/>
      <c r="MS295" s="15"/>
      <c r="MT295" s="15"/>
      <c r="MU295" s="15"/>
      <c r="MV295" s="15"/>
      <c r="MW295" s="15"/>
    </row>
    <row r="296" ht="119.25" customHeight="1">
      <c r="A296" s="16" t="s">
        <v>289</v>
      </c>
      <c r="B296" s="14" t="s">
        <v>10321</v>
      </c>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c r="DF296" s="15"/>
      <c r="DG296" s="15"/>
      <c r="DH296" s="15"/>
      <c r="DI296" s="15"/>
      <c r="DJ296" s="15"/>
      <c r="DK296" s="15"/>
      <c r="DL296" s="15"/>
      <c r="DM296" s="15"/>
      <c r="DN296" s="15"/>
      <c r="DO296" s="15"/>
      <c r="DP296" s="15"/>
      <c r="DQ296" s="15"/>
      <c r="DR296" s="15"/>
      <c r="DS296" s="15"/>
      <c r="DT296" s="15"/>
      <c r="DU296" s="15"/>
      <c r="DV296" s="15"/>
      <c r="DW296" s="15"/>
      <c r="DX296" s="15"/>
      <c r="DY296" s="15"/>
      <c r="DZ296" s="15"/>
      <c r="EA296" s="15"/>
      <c r="EB296" s="15"/>
      <c r="EC296" s="15"/>
      <c r="ED296" s="15"/>
      <c r="EE296" s="15"/>
      <c r="EF296" s="15"/>
      <c r="EG296" s="15"/>
      <c r="EH296" s="15"/>
      <c r="EI296" s="15"/>
      <c r="EJ296" s="15"/>
      <c r="EK296" s="15"/>
      <c r="EL296" s="15"/>
      <c r="EM296" s="15"/>
      <c r="EN296" s="15"/>
      <c r="EO296" s="15"/>
      <c r="EP296" s="15"/>
      <c r="EQ296" s="15"/>
      <c r="ER296" s="15"/>
      <c r="ES296" s="15"/>
      <c r="ET296" s="15"/>
      <c r="EU296" s="15"/>
      <c r="EV296" s="15"/>
      <c r="EW296" s="15"/>
      <c r="EX296" s="15"/>
      <c r="EY296" s="15"/>
      <c r="EZ296" s="15"/>
      <c r="FA296" s="15"/>
      <c r="FB296" s="15"/>
      <c r="FC296" s="15"/>
      <c r="FD296" s="15"/>
      <c r="FE296" s="15"/>
      <c r="FF296" s="15"/>
      <c r="FG296" s="15"/>
      <c r="FH296" s="15"/>
      <c r="FI296" s="15"/>
      <c r="FJ296" s="15"/>
      <c r="FK296" s="15"/>
      <c r="FL296" s="15"/>
      <c r="FM296" s="15"/>
      <c r="FN296" s="15"/>
      <c r="FO296" s="15"/>
      <c r="FP296" s="15"/>
      <c r="FQ296" s="15"/>
      <c r="FR296" s="15"/>
      <c r="FS296" s="15"/>
      <c r="FT296" s="15"/>
      <c r="FU296" s="15"/>
      <c r="FV296" s="15"/>
      <c r="FW296" s="15"/>
      <c r="FX296" s="15"/>
      <c r="FY296" s="15"/>
      <c r="FZ296" s="15"/>
      <c r="GA296" s="15"/>
      <c r="GB296" s="15"/>
      <c r="GC296" s="15"/>
      <c r="GD296" s="15"/>
      <c r="GE296" s="15"/>
      <c r="GF296" s="15"/>
      <c r="GG296" s="15"/>
      <c r="GH296" s="15"/>
      <c r="GI296" s="15"/>
      <c r="GJ296" s="15"/>
      <c r="GK296" s="15"/>
      <c r="GL296" s="15"/>
      <c r="GM296" s="15"/>
      <c r="GN296" s="15"/>
      <c r="GO296" s="15"/>
      <c r="GP296" s="15"/>
      <c r="GQ296" s="15"/>
      <c r="GR296" s="15"/>
      <c r="GS296" s="15"/>
      <c r="GT296" s="15"/>
      <c r="GU296" s="15"/>
      <c r="GV296" s="15"/>
      <c r="GW296" s="15"/>
      <c r="GX296" s="15"/>
      <c r="GY296" s="15"/>
      <c r="GZ296" s="15"/>
      <c r="HA296" s="15"/>
      <c r="HB296" s="15"/>
      <c r="HC296" s="15"/>
      <c r="HD296" s="15"/>
      <c r="HE296" s="15"/>
      <c r="HF296" s="15"/>
      <c r="HG296" s="15"/>
      <c r="HH296" s="15"/>
      <c r="HI296" s="15"/>
      <c r="HJ296" s="15"/>
      <c r="HK296" s="15"/>
      <c r="HL296" s="15"/>
      <c r="HM296" s="15"/>
      <c r="HN296" s="15"/>
      <c r="HO296" s="15"/>
      <c r="HP296" s="15"/>
      <c r="HQ296" s="15"/>
      <c r="HR296" s="15"/>
      <c r="HS296" s="15"/>
      <c r="HT296" s="15"/>
      <c r="HU296" s="15"/>
      <c r="HV296" s="15"/>
      <c r="HW296" s="15"/>
      <c r="HX296" s="15"/>
      <c r="HY296" s="15"/>
      <c r="HZ296" s="15"/>
      <c r="IA296" s="15"/>
      <c r="IB296" s="15"/>
      <c r="IC296" s="15"/>
      <c r="ID296" s="15"/>
      <c r="IE296" s="15"/>
      <c r="IF296" s="15"/>
      <c r="IG296" s="15"/>
      <c r="IH296" s="15"/>
      <c r="II296" s="15"/>
      <c r="IJ296" s="15"/>
      <c r="IK296" s="15"/>
      <c r="IL296" s="15"/>
      <c r="IM296" s="15"/>
      <c r="IN296" s="15"/>
      <c r="IO296" s="15"/>
      <c r="IP296" s="15"/>
      <c r="IQ296" s="15"/>
      <c r="IR296" s="15"/>
      <c r="IS296" s="15"/>
      <c r="IT296" s="15"/>
      <c r="IU296" s="15"/>
      <c r="IV296" s="15"/>
      <c r="IW296" s="15"/>
      <c r="IX296" s="15"/>
      <c r="IY296" s="15"/>
      <c r="IZ296" s="15"/>
      <c r="JA296" s="15"/>
      <c r="JB296" s="15"/>
      <c r="JC296" s="15"/>
      <c r="JD296" s="15"/>
      <c r="JE296" s="15"/>
      <c r="JF296" s="15"/>
      <c r="JG296" s="15"/>
      <c r="JH296" s="15"/>
      <c r="JI296" s="15"/>
      <c r="JJ296" s="15"/>
      <c r="JK296" s="15"/>
      <c r="JL296" s="15"/>
      <c r="JM296" s="15"/>
      <c r="JN296" s="15"/>
      <c r="JO296" s="15"/>
      <c r="JP296" s="15"/>
      <c r="JQ296" s="15"/>
      <c r="JR296" s="15"/>
      <c r="JS296" s="15"/>
      <c r="JT296" s="15"/>
      <c r="JU296" s="15"/>
      <c r="JV296" s="15"/>
      <c r="JW296" s="15"/>
      <c r="JX296" s="15"/>
      <c r="JY296" s="15"/>
      <c r="JZ296" s="15"/>
      <c r="KA296" s="15"/>
      <c r="KB296" s="15"/>
      <c r="KC296" s="15"/>
      <c r="KD296" s="15"/>
      <c r="KE296" s="15"/>
      <c r="KF296" s="15"/>
      <c r="KG296" s="15"/>
      <c r="KH296" s="15"/>
      <c r="KI296" s="15"/>
      <c r="KJ296" s="15"/>
      <c r="KK296" s="15"/>
      <c r="KL296" s="15"/>
      <c r="KM296" s="15"/>
      <c r="KN296" s="15"/>
      <c r="KO296" s="15"/>
      <c r="KP296" s="15"/>
      <c r="KQ296" s="15"/>
      <c r="KR296" s="15"/>
      <c r="KS296" s="15"/>
      <c r="KT296" s="15"/>
      <c r="KU296" s="15"/>
      <c r="KV296" s="15"/>
      <c r="KW296" s="15"/>
      <c r="KX296" s="15"/>
      <c r="KY296" s="15"/>
      <c r="KZ296" s="15"/>
      <c r="LA296" s="15"/>
      <c r="LB296" s="15"/>
      <c r="LC296" s="15"/>
      <c r="LD296" s="15"/>
      <c r="LE296" s="15"/>
      <c r="LF296" s="15"/>
      <c r="LG296" s="15"/>
      <c r="LH296" s="15"/>
      <c r="LI296" s="15"/>
      <c r="LJ296" s="15"/>
      <c r="LK296" s="15"/>
      <c r="LL296" s="15"/>
      <c r="LM296" s="15"/>
      <c r="LN296" s="15"/>
      <c r="LO296" s="15"/>
      <c r="LP296" s="15"/>
      <c r="LQ296" s="15"/>
      <c r="LR296" s="15"/>
      <c r="LS296" s="15"/>
      <c r="LT296" s="15"/>
      <c r="LU296" s="15"/>
      <c r="LV296" s="15"/>
      <c r="LW296" s="15"/>
      <c r="LX296" s="15"/>
      <c r="LY296" s="15"/>
      <c r="LZ296" s="15"/>
      <c r="MA296" s="15"/>
      <c r="MB296" s="15"/>
      <c r="MC296" s="15"/>
      <c r="MD296" s="15"/>
      <c r="ME296" s="15"/>
      <c r="MF296" s="15"/>
      <c r="MG296" s="15"/>
      <c r="MH296" s="15"/>
      <c r="MI296" s="15"/>
      <c r="MJ296" s="15"/>
      <c r="MK296" s="15"/>
      <c r="ML296" s="15"/>
      <c r="MM296" s="15"/>
      <c r="MN296" s="15"/>
      <c r="MO296" s="15"/>
      <c r="MP296" s="15"/>
      <c r="MQ296" s="15"/>
      <c r="MR296" s="15"/>
      <c r="MS296" s="15"/>
      <c r="MT296" s="15"/>
      <c r="MU296" s="15"/>
      <c r="MV296" s="15"/>
      <c r="MW296" s="15"/>
    </row>
    <row r="297" ht="41.25" customHeight="1">
      <c r="A297" s="16" t="s">
        <v>290</v>
      </c>
      <c r="B297" s="14" t="s">
        <v>10322</v>
      </c>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c r="DF297" s="15"/>
      <c r="DG297" s="15"/>
      <c r="DH297" s="15"/>
      <c r="DI297" s="15"/>
      <c r="DJ297" s="15"/>
      <c r="DK297" s="15"/>
      <c r="DL297" s="15"/>
      <c r="DM297" s="15"/>
      <c r="DN297" s="15"/>
      <c r="DO297" s="15"/>
      <c r="DP297" s="15"/>
      <c r="DQ297" s="15"/>
      <c r="DR297" s="15"/>
      <c r="DS297" s="15"/>
      <c r="DT297" s="15"/>
      <c r="DU297" s="15"/>
      <c r="DV297" s="15"/>
      <c r="DW297" s="15"/>
      <c r="DX297" s="15"/>
      <c r="DY297" s="15"/>
      <c r="DZ297" s="15"/>
      <c r="EA297" s="15"/>
      <c r="EB297" s="15"/>
      <c r="EC297" s="15"/>
      <c r="ED297" s="15"/>
      <c r="EE297" s="15"/>
      <c r="EF297" s="15"/>
      <c r="EG297" s="15"/>
      <c r="EH297" s="15"/>
      <c r="EI297" s="15"/>
      <c r="EJ297" s="15"/>
      <c r="EK297" s="15"/>
      <c r="EL297" s="15"/>
      <c r="EM297" s="15"/>
      <c r="EN297" s="15"/>
      <c r="EO297" s="15"/>
      <c r="EP297" s="15"/>
      <c r="EQ297" s="15"/>
      <c r="ER297" s="15"/>
      <c r="ES297" s="15"/>
      <c r="ET297" s="15"/>
      <c r="EU297" s="15"/>
      <c r="EV297" s="15"/>
      <c r="EW297" s="15"/>
      <c r="EX297" s="15"/>
      <c r="EY297" s="15"/>
      <c r="EZ297" s="15"/>
      <c r="FA297" s="15"/>
      <c r="FB297" s="15"/>
      <c r="FC297" s="15"/>
      <c r="FD297" s="15"/>
      <c r="FE297" s="15"/>
      <c r="FF297" s="15"/>
      <c r="FG297" s="15"/>
      <c r="FH297" s="15"/>
      <c r="FI297" s="15"/>
      <c r="FJ297" s="15"/>
      <c r="FK297" s="15"/>
      <c r="FL297" s="15"/>
      <c r="FM297" s="15"/>
      <c r="FN297" s="15"/>
      <c r="FO297" s="15"/>
      <c r="FP297" s="15"/>
      <c r="FQ297" s="15"/>
      <c r="FR297" s="15"/>
      <c r="FS297" s="15"/>
      <c r="FT297" s="15"/>
      <c r="FU297" s="15"/>
      <c r="FV297" s="15"/>
      <c r="FW297" s="15"/>
      <c r="FX297" s="15"/>
      <c r="FY297" s="15"/>
      <c r="FZ297" s="15"/>
      <c r="GA297" s="15"/>
      <c r="GB297" s="15"/>
      <c r="GC297" s="15"/>
      <c r="GD297" s="15"/>
      <c r="GE297" s="15"/>
      <c r="GF297" s="15"/>
      <c r="GG297" s="15"/>
      <c r="GH297" s="15"/>
      <c r="GI297" s="15"/>
      <c r="GJ297" s="15"/>
      <c r="GK297" s="15"/>
      <c r="GL297" s="15"/>
      <c r="GM297" s="15"/>
      <c r="GN297" s="15"/>
      <c r="GO297" s="15"/>
      <c r="GP297" s="15"/>
      <c r="GQ297" s="15"/>
      <c r="GR297" s="15"/>
      <c r="GS297" s="15"/>
      <c r="GT297" s="15"/>
      <c r="GU297" s="15"/>
      <c r="GV297" s="15"/>
      <c r="GW297" s="15"/>
      <c r="GX297" s="15"/>
      <c r="GY297" s="15"/>
      <c r="GZ297" s="15"/>
      <c r="HA297" s="15"/>
      <c r="HB297" s="15"/>
      <c r="HC297" s="15"/>
      <c r="HD297" s="15"/>
      <c r="HE297" s="15"/>
      <c r="HF297" s="15"/>
      <c r="HG297" s="15"/>
      <c r="HH297" s="15"/>
      <c r="HI297" s="15"/>
      <c r="HJ297" s="15"/>
      <c r="HK297" s="15"/>
      <c r="HL297" s="15"/>
      <c r="HM297" s="15"/>
      <c r="HN297" s="15"/>
      <c r="HO297" s="15"/>
      <c r="HP297" s="15"/>
      <c r="HQ297" s="15"/>
      <c r="HR297" s="15"/>
      <c r="HS297" s="15"/>
      <c r="HT297" s="15"/>
      <c r="HU297" s="15"/>
      <c r="HV297" s="15"/>
      <c r="HW297" s="15"/>
      <c r="HX297" s="15"/>
      <c r="HY297" s="15"/>
      <c r="HZ297" s="15"/>
      <c r="IA297" s="15"/>
      <c r="IB297" s="15"/>
      <c r="IC297" s="15"/>
      <c r="ID297" s="15"/>
      <c r="IE297" s="15"/>
      <c r="IF297" s="15"/>
      <c r="IG297" s="15"/>
      <c r="IH297" s="15"/>
      <c r="II297" s="15"/>
      <c r="IJ297" s="15"/>
      <c r="IK297" s="15"/>
      <c r="IL297" s="15"/>
      <c r="IM297" s="15"/>
      <c r="IN297" s="15"/>
      <c r="IO297" s="15"/>
      <c r="IP297" s="15"/>
      <c r="IQ297" s="15"/>
      <c r="IR297" s="15"/>
      <c r="IS297" s="15"/>
      <c r="IT297" s="15"/>
      <c r="IU297" s="15"/>
      <c r="IV297" s="15"/>
      <c r="IW297" s="15"/>
      <c r="IX297" s="15"/>
      <c r="IY297" s="15"/>
      <c r="IZ297" s="15"/>
      <c r="JA297" s="15"/>
      <c r="JB297" s="15"/>
      <c r="JC297" s="15"/>
      <c r="JD297" s="15"/>
      <c r="JE297" s="15"/>
      <c r="JF297" s="15"/>
      <c r="JG297" s="15"/>
      <c r="JH297" s="15"/>
      <c r="JI297" s="15"/>
      <c r="JJ297" s="15"/>
      <c r="JK297" s="15"/>
      <c r="JL297" s="15"/>
      <c r="JM297" s="15"/>
      <c r="JN297" s="15"/>
      <c r="JO297" s="15"/>
      <c r="JP297" s="15"/>
      <c r="JQ297" s="15"/>
      <c r="JR297" s="15"/>
      <c r="JS297" s="15"/>
      <c r="JT297" s="15"/>
      <c r="JU297" s="15"/>
      <c r="JV297" s="15"/>
      <c r="JW297" s="15"/>
      <c r="JX297" s="15"/>
      <c r="JY297" s="15"/>
      <c r="JZ297" s="15"/>
      <c r="KA297" s="15"/>
      <c r="KB297" s="15"/>
      <c r="KC297" s="15"/>
      <c r="KD297" s="15"/>
      <c r="KE297" s="15"/>
      <c r="KF297" s="15"/>
      <c r="KG297" s="15"/>
      <c r="KH297" s="15"/>
      <c r="KI297" s="15"/>
      <c r="KJ297" s="15"/>
      <c r="KK297" s="15"/>
      <c r="KL297" s="15"/>
      <c r="KM297" s="15"/>
      <c r="KN297" s="15"/>
      <c r="KO297" s="15"/>
      <c r="KP297" s="15"/>
      <c r="KQ297" s="15"/>
      <c r="KR297" s="15"/>
      <c r="KS297" s="15"/>
      <c r="KT297" s="15"/>
      <c r="KU297" s="15"/>
      <c r="KV297" s="15"/>
      <c r="KW297" s="15"/>
      <c r="KX297" s="15"/>
      <c r="KY297" s="15"/>
      <c r="KZ297" s="15"/>
      <c r="LA297" s="15"/>
      <c r="LB297" s="15"/>
      <c r="LC297" s="15"/>
      <c r="LD297" s="15"/>
      <c r="LE297" s="15"/>
      <c r="LF297" s="15"/>
      <c r="LG297" s="15"/>
      <c r="LH297" s="15"/>
      <c r="LI297" s="15"/>
      <c r="LJ297" s="15"/>
      <c r="LK297" s="15"/>
      <c r="LL297" s="15"/>
      <c r="LM297" s="15"/>
      <c r="LN297" s="15"/>
      <c r="LO297" s="15"/>
      <c r="LP297" s="15"/>
      <c r="LQ297" s="15"/>
      <c r="LR297" s="15"/>
      <c r="LS297" s="15"/>
      <c r="LT297" s="15"/>
      <c r="LU297" s="15"/>
      <c r="LV297" s="15"/>
      <c r="LW297" s="15"/>
      <c r="LX297" s="15"/>
      <c r="LY297" s="15"/>
      <c r="LZ297" s="15"/>
      <c r="MA297" s="15"/>
      <c r="MB297" s="15"/>
      <c r="MC297" s="15"/>
      <c r="MD297" s="15"/>
      <c r="ME297" s="15"/>
      <c r="MF297" s="15"/>
      <c r="MG297" s="15"/>
      <c r="MH297" s="15"/>
      <c r="MI297" s="15"/>
      <c r="MJ297" s="15"/>
      <c r="MK297" s="15"/>
      <c r="ML297" s="15"/>
      <c r="MM297" s="15"/>
      <c r="MN297" s="15"/>
      <c r="MO297" s="15"/>
      <c r="MP297" s="15"/>
      <c r="MQ297" s="15"/>
      <c r="MR297" s="15"/>
      <c r="MS297" s="15"/>
      <c r="MT297" s="15"/>
      <c r="MU297" s="15"/>
      <c r="MV297" s="15"/>
      <c r="MW297" s="15"/>
    </row>
    <row r="298" ht="119.25" customHeight="1">
      <c r="A298" s="16" t="s">
        <v>291</v>
      </c>
      <c r="B298" s="14" t="s">
        <v>10323</v>
      </c>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c r="DF298" s="15"/>
      <c r="DG298" s="15"/>
      <c r="DH298" s="15"/>
      <c r="DI298" s="15"/>
      <c r="DJ298" s="15"/>
      <c r="DK298" s="15"/>
      <c r="DL298" s="15"/>
      <c r="DM298" s="15"/>
      <c r="DN298" s="15"/>
      <c r="DO298" s="15"/>
      <c r="DP298" s="15"/>
      <c r="DQ298" s="15"/>
      <c r="DR298" s="15"/>
      <c r="DS298" s="15"/>
      <c r="DT298" s="15"/>
      <c r="DU298" s="15"/>
      <c r="DV298" s="15"/>
      <c r="DW298" s="15"/>
      <c r="DX298" s="15"/>
      <c r="DY298" s="15"/>
      <c r="DZ298" s="15"/>
      <c r="EA298" s="15"/>
      <c r="EB298" s="15"/>
      <c r="EC298" s="15"/>
      <c r="ED298" s="15"/>
      <c r="EE298" s="15"/>
      <c r="EF298" s="15"/>
      <c r="EG298" s="15"/>
      <c r="EH298" s="15"/>
      <c r="EI298" s="15"/>
      <c r="EJ298" s="15"/>
      <c r="EK298" s="15"/>
      <c r="EL298" s="15"/>
      <c r="EM298" s="15"/>
      <c r="EN298" s="15"/>
      <c r="EO298" s="15"/>
      <c r="EP298" s="15"/>
      <c r="EQ298" s="15"/>
      <c r="ER298" s="15"/>
      <c r="ES298" s="15"/>
      <c r="ET298" s="15"/>
      <c r="EU298" s="15"/>
      <c r="EV298" s="15"/>
      <c r="EW298" s="15"/>
      <c r="EX298" s="15"/>
      <c r="EY298" s="15"/>
      <c r="EZ298" s="15"/>
      <c r="FA298" s="15"/>
      <c r="FB298" s="15"/>
      <c r="FC298" s="15"/>
      <c r="FD298" s="15"/>
      <c r="FE298" s="15"/>
      <c r="FF298" s="15"/>
      <c r="FG298" s="15"/>
      <c r="FH298" s="15"/>
      <c r="FI298" s="15"/>
      <c r="FJ298" s="15"/>
      <c r="FK298" s="15"/>
      <c r="FL298" s="15"/>
      <c r="FM298" s="15"/>
      <c r="FN298" s="15"/>
      <c r="FO298" s="15"/>
      <c r="FP298" s="15"/>
      <c r="FQ298" s="15"/>
      <c r="FR298" s="15"/>
      <c r="FS298" s="15"/>
      <c r="FT298" s="15"/>
      <c r="FU298" s="15"/>
      <c r="FV298" s="15"/>
      <c r="FW298" s="15"/>
      <c r="FX298" s="15"/>
      <c r="FY298" s="15"/>
      <c r="FZ298" s="15"/>
      <c r="GA298" s="15"/>
      <c r="GB298" s="15"/>
      <c r="GC298" s="15"/>
      <c r="GD298" s="15"/>
      <c r="GE298" s="15"/>
      <c r="GF298" s="15"/>
      <c r="GG298" s="15"/>
      <c r="GH298" s="15"/>
      <c r="GI298" s="15"/>
      <c r="GJ298" s="15"/>
      <c r="GK298" s="15"/>
      <c r="GL298" s="15"/>
      <c r="GM298" s="15"/>
      <c r="GN298" s="15"/>
      <c r="GO298" s="15"/>
      <c r="GP298" s="15"/>
      <c r="GQ298" s="15"/>
      <c r="GR298" s="15"/>
      <c r="GS298" s="15"/>
      <c r="GT298" s="15"/>
      <c r="GU298" s="15"/>
      <c r="GV298" s="15"/>
      <c r="GW298" s="15"/>
      <c r="GX298" s="15"/>
      <c r="GY298" s="15"/>
      <c r="GZ298" s="15"/>
      <c r="HA298" s="15"/>
      <c r="HB298" s="15"/>
      <c r="HC298" s="15"/>
      <c r="HD298" s="15"/>
      <c r="HE298" s="15"/>
      <c r="HF298" s="15"/>
      <c r="HG298" s="15"/>
      <c r="HH298" s="15"/>
      <c r="HI298" s="15"/>
      <c r="HJ298" s="15"/>
      <c r="HK298" s="15"/>
      <c r="HL298" s="15"/>
      <c r="HM298" s="15"/>
      <c r="HN298" s="15"/>
      <c r="HO298" s="15"/>
      <c r="HP298" s="15"/>
      <c r="HQ298" s="15"/>
      <c r="HR298" s="15"/>
      <c r="HS298" s="15"/>
      <c r="HT298" s="15"/>
      <c r="HU298" s="15"/>
      <c r="HV298" s="15"/>
      <c r="HW298" s="15"/>
      <c r="HX298" s="15"/>
      <c r="HY298" s="15"/>
      <c r="HZ298" s="15"/>
      <c r="IA298" s="15"/>
      <c r="IB298" s="15"/>
      <c r="IC298" s="15"/>
      <c r="ID298" s="15"/>
      <c r="IE298" s="15"/>
      <c r="IF298" s="15"/>
      <c r="IG298" s="15"/>
      <c r="IH298" s="15"/>
      <c r="II298" s="15"/>
      <c r="IJ298" s="15"/>
      <c r="IK298" s="15"/>
      <c r="IL298" s="15"/>
      <c r="IM298" s="15"/>
      <c r="IN298" s="15"/>
      <c r="IO298" s="15"/>
      <c r="IP298" s="15"/>
      <c r="IQ298" s="15"/>
      <c r="IR298" s="15"/>
      <c r="IS298" s="15"/>
      <c r="IT298" s="15"/>
      <c r="IU298" s="15"/>
      <c r="IV298" s="15"/>
      <c r="IW298" s="15"/>
      <c r="IX298" s="15"/>
      <c r="IY298" s="15"/>
      <c r="IZ298" s="15"/>
      <c r="JA298" s="15"/>
      <c r="JB298" s="15"/>
      <c r="JC298" s="15"/>
      <c r="JD298" s="15"/>
      <c r="JE298" s="15"/>
      <c r="JF298" s="15"/>
      <c r="JG298" s="15"/>
      <c r="JH298" s="15"/>
      <c r="JI298" s="15"/>
      <c r="JJ298" s="15"/>
      <c r="JK298" s="15"/>
      <c r="JL298" s="15"/>
      <c r="JM298" s="15"/>
      <c r="JN298" s="15"/>
      <c r="JO298" s="15"/>
      <c r="JP298" s="15"/>
      <c r="JQ298" s="15"/>
      <c r="JR298" s="15"/>
      <c r="JS298" s="15"/>
      <c r="JT298" s="15"/>
      <c r="JU298" s="15"/>
      <c r="JV298" s="15"/>
      <c r="JW298" s="15"/>
      <c r="JX298" s="15"/>
      <c r="JY298" s="15"/>
      <c r="JZ298" s="15"/>
      <c r="KA298" s="15"/>
      <c r="KB298" s="15"/>
      <c r="KC298" s="15"/>
      <c r="KD298" s="15"/>
      <c r="KE298" s="15"/>
      <c r="KF298" s="15"/>
      <c r="KG298" s="15"/>
      <c r="KH298" s="15"/>
      <c r="KI298" s="15"/>
      <c r="KJ298" s="15"/>
      <c r="KK298" s="15"/>
      <c r="KL298" s="15"/>
      <c r="KM298" s="15"/>
      <c r="KN298" s="15"/>
      <c r="KO298" s="15"/>
      <c r="KP298" s="15"/>
      <c r="KQ298" s="15"/>
      <c r="KR298" s="15"/>
      <c r="KS298" s="15"/>
      <c r="KT298" s="15"/>
      <c r="KU298" s="15"/>
      <c r="KV298" s="15"/>
      <c r="KW298" s="15"/>
      <c r="KX298" s="15"/>
      <c r="KY298" s="15"/>
      <c r="KZ298" s="15"/>
      <c r="LA298" s="15"/>
      <c r="LB298" s="15"/>
      <c r="LC298" s="15"/>
      <c r="LD298" s="15"/>
      <c r="LE298" s="15"/>
      <c r="LF298" s="15"/>
      <c r="LG298" s="15"/>
      <c r="LH298" s="15"/>
      <c r="LI298" s="15"/>
      <c r="LJ298" s="15"/>
      <c r="LK298" s="15"/>
      <c r="LL298" s="15"/>
      <c r="LM298" s="15"/>
      <c r="LN298" s="15"/>
      <c r="LO298" s="15"/>
      <c r="LP298" s="15"/>
      <c r="LQ298" s="15"/>
      <c r="LR298" s="15"/>
      <c r="LS298" s="15"/>
      <c r="LT298" s="15"/>
      <c r="LU298" s="15"/>
      <c r="LV298" s="15"/>
      <c r="LW298" s="15"/>
      <c r="LX298" s="15"/>
      <c r="LY298" s="15"/>
      <c r="LZ298" s="15"/>
      <c r="MA298" s="15"/>
      <c r="MB298" s="15"/>
      <c r="MC298" s="15"/>
      <c r="MD298" s="15"/>
      <c r="ME298" s="15"/>
      <c r="MF298" s="15"/>
      <c r="MG298" s="15"/>
      <c r="MH298" s="15"/>
      <c r="MI298" s="15"/>
      <c r="MJ298" s="15"/>
      <c r="MK298" s="15"/>
      <c r="ML298" s="15"/>
      <c r="MM298" s="15"/>
      <c r="MN298" s="15"/>
      <c r="MO298" s="15"/>
      <c r="MP298" s="15"/>
      <c r="MQ298" s="15"/>
      <c r="MR298" s="15"/>
      <c r="MS298" s="15"/>
      <c r="MT298" s="15"/>
      <c r="MU298" s="15"/>
      <c r="MV298" s="15"/>
      <c r="MW298" s="15"/>
    </row>
    <row r="299" ht="41.25" customHeight="1">
      <c r="A299" s="16" t="s">
        <v>292</v>
      </c>
      <c r="B299" s="14" t="s">
        <v>10324</v>
      </c>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c r="DF299" s="15"/>
      <c r="DG299" s="15"/>
      <c r="DH299" s="15"/>
      <c r="DI299" s="15"/>
      <c r="DJ299" s="15"/>
      <c r="DK299" s="15"/>
      <c r="DL299" s="15"/>
      <c r="DM299" s="15"/>
      <c r="DN299" s="15"/>
      <c r="DO299" s="15"/>
      <c r="DP299" s="15"/>
      <c r="DQ299" s="15"/>
      <c r="DR299" s="15"/>
      <c r="DS299" s="15"/>
      <c r="DT299" s="15"/>
      <c r="DU299" s="15"/>
      <c r="DV299" s="15"/>
      <c r="DW299" s="15"/>
      <c r="DX299" s="15"/>
      <c r="DY299" s="15"/>
      <c r="DZ299" s="15"/>
      <c r="EA299" s="15"/>
      <c r="EB299" s="15"/>
      <c r="EC299" s="15"/>
      <c r="ED299" s="15"/>
      <c r="EE299" s="15"/>
      <c r="EF299" s="15"/>
      <c r="EG299" s="15"/>
      <c r="EH299" s="15"/>
      <c r="EI299" s="15"/>
      <c r="EJ299" s="15"/>
      <c r="EK299" s="15"/>
      <c r="EL299" s="15"/>
      <c r="EM299" s="15"/>
      <c r="EN299" s="15"/>
      <c r="EO299" s="15"/>
      <c r="EP299" s="15"/>
      <c r="EQ299" s="15"/>
      <c r="ER299" s="15"/>
      <c r="ES299" s="15"/>
      <c r="ET299" s="15"/>
      <c r="EU299" s="15"/>
      <c r="EV299" s="15"/>
      <c r="EW299" s="15"/>
      <c r="EX299" s="15"/>
      <c r="EY299" s="15"/>
      <c r="EZ299" s="15"/>
      <c r="FA299" s="15"/>
      <c r="FB299" s="15"/>
      <c r="FC299" s="15"/>
      <c r="FD299" s="15"/>
      <c r="FE299" s="15"/>
      <c r="FF299" s="15"/>
      <c r="FG299" s="15"/>
      <c r="FH299" s="15"/>
      <c r="FI299" s="15"/>
      <c r="FJ299" s="15"/>
      <c r="FK299" s="15"/>
      <c r="FL299" s="15"/>
      <c r="FM299" s="15"/>
      <c r="FN299" s="15"/>
      <c r="FO299" s="15"/>
      <c r="FP299" s="15"/>
      <c r="FQ299" s="15"/>
      <c r="FR299" s="15"/>
      <c r="FS299" s="15"/>
      <c r="FT299" s="15"/>
      <c r="FU299" s="15"/>
      <c r="FV299" s="15"/>
      <c r="FW299" s="15"/>
      <c r="FX299" s="15"/>
      <c r="FY299" s="15"/>
      <c r="FZ299" s="15"/>
      <c r="GA299" s="15"/>
      <c r="GB299" s="15"/>
      <c r="GC299" s="15"/>
      <c r="GD299" s="15"/>
      <c r="GE299" s="15"/>
      <c r="GF299" s="15"/>
      <c r="GG299" s="15"/>
      <c r="GH299" s="15"/>
      <c r="GI299" s="15"/>
      <c r="GJ299" s="15"/>
      <c r="GK299" s="15"/>
      <c r="GL299" s="15"/>
      <c r="GM299" s="15"/>
      <c r="GN299" s="15"/>
      <c r="GO299" s="15"/>
      <c r="GP299" s="15"/>
      <c r="GQ299" s="15"/>
      <c r="GR299" s="15"/>
      <c r="GS299" s="15"/>
      <c r="GT299" s="15"/>
      <c r="GU299" s="15"/>
      <c r="GV299" s="15"/>
      <c r="GW299" s="15"/>
      <c r="GX299" s="15"/>
      <c r="GY299" s="15"/>
      <c r="GZ299" s="15"/>
      <c r="HA299" s="15"/>
      <c r="HB299" s="15"/>
      <c r="HC299" s="15"/>
      <c r="HD299" s="15"/>
      <c r="HE299" s="15"/>
      <c r="HF299" s="15"/>
      <c r="HG299" s="15"/>
      <c r="HH299" s="15"/>
      <c r="HI299" s="15"/>
      <c r="HJ299" s="15"/>
      <c r="HK299" s="15"/>
      <c r="HL299" s="15"/>
      <c r="HM299" s="15"/>
      <c r="HN299" s="15"/>
      <c r="HO299" s="15"/>
      <c r="HP299" s="15"/>
      <c r="HQ299" s="15"/>
      <c r="HR299" s="15"/>
      <c r="HS299" s="15"/>
      <c r="HT299" s="15"/>
      <c r="HU299" s="15"/>
      <c r="HV299" s="15"/>
      <c r="HW299" s="15"/>
      <c r="HX299" s="15"/>
      <c r="HY299" s="15"/>
      <c r="HZ299" s="15"/>
      <c r="IA299" s="15"/>
      <c r="IB299" s="15"/>
      <c r="IC299" s="15"/>
      <c r="ID299" s="15"/>
      <c r="IE299" s="15"/>
      <c r="IF299" s="15"/>
      <c r="IG299" s="15"/>
      <c r="IH299" s="15"/>
      <c r="II299" s="15"/>
      <c r="IJ299" s="15"/>
      <c r="IK299" s="15"/>
      <c r="IL299" s="15"/>
      <c r="IM299" s="15"/>
      <c r="IN299" s="15"/>
      <c r="IO299" s="15"/>
      <c r="IP299" s="15"/>
      <c r="IQ299" s="15"/>
      <c r="IR299" s="15"/>
      <c r="IS299" s="15"/>
      <c r="IT299" s="15"/>
      <c r="IU299" s="15"/>
      <c r="IV299" s="15"/>
      <c r="IW299" s="15"/>
      <c r="IX299" s="15"/>
      <c r="IY299" s="15"/>
      <c r="IZ299" s="15"/>
      <c r="JA299" s="15"/>
      <c r="JB299" s="15"/>
      <c r="JC299" s="15"/>
      <c r="JD299" s="15"/>
      <c r="JE299" s="15"/>
      <c r="JF299" s="15"/>
      <c r="JG299" s="15"/>
      <c r="JH299" s="15"/>
      <c r="JI299" s="15"/>
      <c r="JJ299" s="15"/>
      <c r="JK299" s="15"/>
      <c r="JL299" s="15"/>
      <c r="JM299" s="15"/>
      <c r="JN299" s="15"/>
      <c r="JO299" s="15"/>
      <c r="JP299" s="15"/>
      <c r="JQ299" s="15"/>
      <c r="JR299" s="15"/>
      <c r="JS299" s="15"/>
      <c r="JT299" s="15"/>
      <c r="JU299" s="15"/>
      <c r="JV299" s="15"/>
      <c r="JW299" s="15"/>
      <c r="JX299" s="15"/>
      <c r="JY299" s="15"/>
      <c r="JZ299" s="15"/>
      <c r="KA299" s="15"/>
      <c r="KB299" s="15"/>
      <c r="KC299" s="15"/>
      <c r="KD299" s="15"/>
      <c r="KE299" s="15"/>
      <c r="KF299" s="15"/>
      <c r="KG299" s="15"/>
      <c r="KH299" s="15"/>
      <c r="KI299" s="15"/>
      <c r="KJ299" s="15"/>
      <c r="KK299" s="15"/>
      <c r="KL299" s="15"/>
      <c r="KM299" s="15"/>
      <c r="KN299" s="15"/>
      <c r="KO299" s="15"/>
      <c r="KP299" s="15"/>
      <c r="KQ299" s="15"/>
      <c r="KR299" s="15"/>
      <c r="KS299" s="15"/>
      <c r="KT299" s="15"/>
      <c r="KU299" s="15"/>
      <c r="KV299" s="15"/>
      <c r="KW299" s="15"/>
      <c r="KX299" s="15"/>
      <c r="KY299" s="15"/>
      <c r="KZ299" s="15"/>
      <c r="LA299" s="15"/>
      <c r="LB299" s="15"/>
      <c r="LC299" s="15"/>
      <c r="LD299" s="15"/>
      <c r="LE299" s="15"/>
      <c r="LF299" s="15"/>
      <c r="LG299" s="15"/>
      <c r="LH299" s="15"/>
      <c r="LI299" s="15"/>
      <c r="LJ299" s="15"/>
      <c r="LK299" s="15"/>
      <c r="LL299" s="15"/>
      <c r="LM299" s="15"/>
      <c r="LN299" s="15"/>
      <c r="LO299" s="15"/>
      <c r="LP299" s="15"/>
      <c r="LQ299" s="15"/>
      <c r="LR299" s="15"/>
      <c r="LS299" s="15"/>
      <c r="LT299" s="15"/>
      <c r="LU299" s="15"/>
      <c r="LV299" s="15"/>
      <c r="LW299" s="15"/>
      <c r="LX299" s="15"/>
      <c r="LY299" s="15"/>
      <c r="LZ299" s="15"/>
      <c r="MA299" s="15"/>
      <c r="MB299" s="15"/>
      <c r="MC299" s="15"/>
      <c r="MD299" s="15"/>
      <c r="ME299" s="15"/>
      <c r="MF299" s="15"/>
      <c r="MG299" s="15"/>
      <c r="MH299" s="15"/>
      <c r="MI299" s="15"/>
      <c r="MJ299" s="15"/>
      <c r="MK299" s="15"/>
      <c r="ML299" s="15"/>
      <c r="MM299" s="15"/>
      <c r="MN299" s="15"/>
      <c r="MO299" s="15"/>
      <c r="MP299" s="15"/>
      <c r="MQ299" s="15"/>
      <c r="MR299" s="15"/>
      <c r="MS299" s="15"/>
      <c r="MT299" s="15"/>
      <c r="MU299" s="15"/>
      <c r="MV299" s="15"/>
      <c r="MW299" s="15"/>
    </row>
    <row r="300" ht="119.25" customHeight="1">
      <c r="A300" s="16" t="s">
        <v>293</v>
      </c>
      <c r="B300" s="14" t="s">
        <v>10325</v>
      </c>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c r="DF300" s="15"/>
      <c r="DG300" s="15"/>
      <c r="DH300" s="15"/>
      <c r="DI300" s="15"/>
      <c r="DJ300" s="15"/>
      <c r="DK300" s="15"/>
      <c r="DL300" s="15"/>
      <c r="DM300" s="15"/>
      <c r="DN300" s="15"/>
      <c r="DO300" s="15"/>
      <c r="DP300" s="15"/>
      <c r="DQ300" s="15"/>
      <c r="DR300" s="15"/>
      <c r="DS300" s="15"/>
      <c r="DT300" s="15"/>
      <c r="DU300" s="15"/>
      <c r="DV300" s="15"/>
      <c r="DW300" s="15"/>
      <c r="DX300" s="15"/>
      <c r="DY300" s="15"/>
      <c r="DZ300" s="15"/>
      <c r="EA300" s="15"/>
      <c r="EB300" s="15"/>
      <c r="EC300" s="15"/>
      <c r="ED300" s="15"/>
      <c r="EE300" s="15"/>
      <c r="EF300" s="15"/>
      <c r="EG300" s="15"/>
      <c r="EH300" s="15"/>
      <c r="EI300" s="15"/>
      <c r="EJ300" s="15"/>
      <c r="EK300" s="15"/>
      <c r="EL300" s="15"/>
      <c r="EM300" s="15"/>
      <c r="EN300" s="15"/>
      <c r="EO300" s="15"/>
      <c r="EP300" s="15"/>
      <c r="EQ300" s="15"/>
      <c r="ER300" s="15"/>
      <c r="ES300" s="15"/>
      <c r="ET300" s="15"/>
      <c r="EU300" s="15"/>
      <c r="EV300" s="15"/>
      <c r="EW300" s="15"/>
      <c r="EX300" s="15"/>
      <c r="EY300" s="15"/>
      <c r="EZ300" s="15"/>
      <c r="FA300" s="15"/>
      <c r="FB300" s="15"/>
      <c r="FC300" s="15"/>
      <c r="FD300" s="15"/>
      <c r="FE300" s="15"/>
      <c r="FF300" s="15"/>
      <c r="FG300" s="15"/>
      <c r="FH300" s="15"/>
      <c r="FI300" s="15"/>
      <c r="FJ300" s="15"/>
      <c r="FK300" s="15"/>
      <c r="FL300" s="15"/>
      <c r="FM300" s="15"/>
      <c r="FN300" s="15"/>
      <c r="FO300" s="15"/>
      <c r="FP300" s="15"/>
      <c r="FQ300" s="15"/>
      <c r="FR300" s="15"/>
      <c r="FS300" s="15"/>
      <c r="FT300" s="15"/>
      <c r="FU300" s="15"/>
      <c r="FV300" s="15"/>
      <c r="FW300" s="15"/>
      <c r="FX300" s="15"/>
      <c r="FY300" s="15"/>
      <c r="FZ300" s="15"/>
      <c r="GA300" s="15"/>
      <c r="GB300" s="15"/>
      <c r="GC300" s="15"/>
      <c r="GD300" s="15"/>
      <c r="GE300" s="15"/>
      <c r="GF300" s="15"/>
      <c r="GG300" s="15"/>
      <c r="GH300" s="15"/>
      <c r="GI300" s="15"/>
      <c r="GJ300" s="15"/>
      <c r="GK300" s="15"/>
      <c r="GL300" s="15"/>
      <c r="GM300" s="15"/>
      <c r="GN300" s="15"/>
      <c r="GO300" s="15"/>
      <c r="GP300" s="15"/>
      <c r="GQ300" s="15"/>
      <c r="GR300" s="15"/>
      <c r="GS300" s="15"/>
      <c r="GT300" s="15"/>
      <c r="GU300" s="15"/>
      <c r="GV300" s="15"/>
      <c r="GW300" s="15"/>
      <c r="GX300" s="15"/>
      <c r="GY300" s="15"/>
      <c r="GZ300" s="15"/>
      <c r="HA300" s="15"/>
      <c r="HB300" s="15"/>
      <c r="HC300" s="15"/>
      <c r="HD300" s="15"/>
      <c r="HE300" s="15"/>
      <c r="HF300" s="15"/>
      <c r="HG300" s="15"/>
      <c r="HH300" s="15"/>
      <c r="HI300" s="15"/>
      <c r="HJ300" s="15"/>
      <c r="HK300" s="15"/>
      <c r="HL300" s="15"/>
      <c r="HM300" s="15"/>
      <c r="HN300" s="15"/>
      <c r="HO300" s="15"/>
      <c r="HP300" s="15"/>
      <c r="HQ300" s="15"/>
      <c r="HR300" s="15"/>
      <c r="HS300" s="15"/>
      <c r="HT300" s="15"/>
      <c r="HU300" s="15"/>
      <c r="HV300" s="15"/>
      <c r="HW300" s="15"/>
      <c r="HX300" s="15"/>
      <c r="HY300" s="15"/>
      <c r="HZ300" s="15"/>
      <c r="IA300" s="15"/>
      <c r="IB300" s="15"/>
      <c r="IC300" s="15"/>
      <c r="ID300" s="15"/>
      <c r="IE300" s="15"/>
      <c r="IF300" s="15"/>
      <c r="IG300" s="15"/>
      <c r="IH300" s="15"/>
      <c r="II300" s="15"/>
      <c r="IJ300" s="15"/>
      <c r="IK300" s="15"/>
      <c r="IL300" s="15"/>
      <c r="IM300" s="15"/>
      <c r="IN300" s="15"/>
      <c r="IO300" s="15"/>
      <c r="IP300" s="15"/>
      <c r="IQ300" s="15"/>
      <c r="IR300" s="15"/>
      <c r="IS300" s="15"/>
      <c r="IT300" s="15"/>
      <c r="IU300" s="15"/>
      <c r="IV300" s="15"/>
      <c r="IW300" s="15"/>
      <c r="IX300" s="15"/>
      <c r="IY300" s="15"/>
      <c r="IZ300" s="15"/>
      <c r="JA300" s="15"/>
      <c r="JB300" s="15"/>
      <c r="JC300" s="15"/>
      <c r="JD300" s="15"/>
      <c r="JE300" s="15"/>
      <c r="JF300" s="15"/>
      <c r="JG300" s="15"/>
      <c r="JH300" s="15"/>
      <c r="JI300" s="15"/>
      <c r="JJ300" s="15"/>
      <c r="JK300" s="15"/>
      <c r="JL300" s="15"/>
      <c r="JM300" s="15"/>
      <c r="JN300" s="15"/>
      <c r="JO300" s="15"/>
      <c r="JP300" s="15"/>
      <c r="JQ300" s="15"/>
      <c r="JR300" s="15"/>
      <c r="JS300" s="15"/>
      <c r="JT300" s="15"/>
      <c r="JU300" s="15"/>
      <c r="JV300" s="15"/>
      <c r="JW300" s="15"/>
      <c r="JX300" s="15"/>
      <c r="JY300" s="15"/>
      <c r="JZ300" s="15"/>
      <c r="KA300" s="15"/>
      <c r="KB300" s="15"/>
      <c r="KC300" s="15"/>
      <c r="KD300" s="15"/>
      <c r="KE300" s="15"/>
      <c r="KF300" s="15"/>
      <c r="KG300" s="15"/>
      <c r="KH300" s="15"/>
      <c r="KI300" s="15"/>
      <c r="KJ300" s="15"/>
      <c r="KK300" s="15"/>
      <c r="KL300" s="15"/>
      <c r="KM300" s="15"/>
      <c r="KN300" s="15"/>
      <c r="KO300" s="15"/>
      <c r="KP300" s="15"/>
      <c r="KQ300" s="15"/>
      <c r="KR300" s="15"/>
      <c r="KS300" s="15"/>
      <c r="KT300" s="15"/>
      <c r="KU300" s="15"/>
      <c r="KV300" s="15"/>
      <c r="KW300" s="15"/>
      <c r="KX300" s="15"/>
      <c r="KY300" s="15"/>
      <c r="KZ300" s="15"/>
      <c r="LA300" s="15"/>
      <c r="LB300" s="15"/>
      <c r="LC300" s="15"/>
      <c r="LD300" s="15"/>
      <c r="LE300" s="15"/>
      <c r="LF300" s="15"/>
      <c r="LG300" s="15"/>
      <c r="LH300" s="15"/>
      <c r="LI300" s="15"/>
      <c r="LJ300" s="15"/>
      <c r="LK300" s="15"/>
      <c r="LL300" s="15"/>
      <c r="LM300" s="15"/>
      <c r="LN300" s="15"/>
      <c r="LO300" s="15"/>
      <c r="LP300" s="15"/>
      <c r="LQ300" s="15"/>
      <c r="LR300" s="15"/>
      <c r="LS300" s="15"/>
      <c r="LT300" s="15"/>
      <c r="LU300" s="15"/>
      <c r="LV300" s="15"/>
      <c r="LW300" s="15"/>
      <c r="LX300" s="15"/>
      <c r="LY300" s="15"/>
      <c r="LZ300" s="15"/>
      <c r="MA300" s="15"/>
      <c r="MB300" s="15"/>
      <c r="MC300" s="15"/>
      <c r="MD300" s="15"/>
      <c r="ME300" s="15"/>
      <c r="MF300" s="15"/>
      <c r="MG300" s="15"/>
      <c r="MH300" s="15"/>
      <c r="MI300" s="15"/>
      <c r="MJ300" s="15"/>
      <c r="MK300" s="15"/>
      <c r="ML300" s="15"/>
      <c r="MM300" s="15"/>
      <c r="MN300" s="15"/>
      <c r="MO300" s="15"/>
      <c r="MP300" s="15"/>
      <c r="MQ300" s="15"/>
      <c r="MR300" s="15"/>
      <c r="MS300" s="15"/>
      <c r="MT300" s="15"/>
      <c r="MU300" s="15"/>
      <c r="MV300" s="15"/>
      <c r="MW300" s="15"/>
    </row>
    <row r="301" ht="41.25" customHeight="1">
      <c r="A301" s="16" t="s">
        <v>285</v>
      </c>
      <c r="B301" s="14" t="s">
        <v>10326</v>
      </c>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c r="DF301" s="15"/>
      <c r="DG301" s="15"/>
      <c r="DH301" s="15"/>
      <c r="DI301" s="15"/>
      <c r="DJ301" s="15"/>
      <c r="DK301" s="15"/>
      <c r="DL301" s="15"/>
      <c r="DM301" s="15"/>
      <c r="DN301" s="15"/>
      <c r="DO301" s="15"/>
      <c r="DP301" s="15"/>
      <c r="DQ301" s="15"/>
      <c r="DR301" s="15"/>
      <c r="DS301" s="15"/>
      <c r="DT301" s="15"/>
      <c r="DU301" s="15"/>
      <c r="DV301" s="15"/>
      <c r="DW301" s="15"/>
      <c r="DX301" s="15"/>
      <c r="DY301" s="15"/>
      <c r="DZ301" s="15"/>
      <c r="EA301" s="15"/>
      <c r="EB301" s="15"/>
      <c r="EC301" s="15"/>
      <c r="ED301" s="15"/>
      <c r="EE301" s="15"/>
      <c r="EF301" s="15"/>
      <c r="EG301" s="15"/>
      <c r="EH301" s="15"/>
      <c r="EI301" s="15"/>
      <c r="EJ301" s="15"/>
      <c r="EK301" s="15"/>
      <c r="EL301" s="15"/>
      <c r="EM301" s="15"/>
      <c r="EN301" s="15"/>
      <c r="EO301" s="15"/>
      <c r="EP301" s="15"/>
      <c r="EQ301" s="15"/>
      <c r="ER301" s="15"/>
      <c r="ES301" s="15"/>
      <c r="ET301" s="15"/>
      <c r="EU301" s="15"/>
      <c r="EV301" s="15"/>
      <c r="EW301" s="15"/>
      <c r="EX301" s="15"/>
      <c r="EY301" s="15"/>
      <c r="EZ301" s="15"/>
      <c r="FA301" s="15"/>
      <c r="FB301" s="15"/>
      <c r="FC301" s="15"/>
      <c r="FD301" s="15"/>
      <c r="FE301" s="15"/>
      <c r="FF301" s="15"/>
      <c r="FG301" s="15"/>
      <c r="FH301" s="15"/>
      <c r="FI301" s="15"/>
      <c r="FJ301" s="15"/>
      <c r="FK301" s="15"/>
      <c r="FL301" s="15"/>
      <c r="FM301" s="15"/>
      <c r="FN301" s="15"/>
      <c r="FO301" s="15"/>
      <c r="FP301" s="15"/>
      <c r="FQ301" s="15"/>
      <c r="FR301" s="15"/>
      <c r="FS301" s="15"/>
      <c r="FT301" s="15"/>
      <c r="FU301" s="15"/>
      <c r="FV301" s="15"/>
      <c r="FW301" s="15"/>
      <c r="FX301" s="15"/>
      <c r="FY301" s="15"/>
      <c r="FZ301" s="15"/>
      <c r="GA301" s="15"/>
      <c r="GB301" s="15"/>
      <c r="GC301" s="15"/>
      <c r="GD301" s="15"/>
      <c r="GE301" s="15"/>
      <c r="GF301" s="15"/>
      <c r="GG301" s="15"/>
      <c r="GH301" s="15"/>
      <c r="GI301" s="15"/>
      <c r="GJ301" s="15"/>
      <c r="GK301" s="15"/>
      <c r="GL301" s="15"/>
      <c r="GM301" s="15"/>
      <c r="GN301" s="15"/>
      <c r="GO301" s="15"/>
      <c r="GP301" s="15"/>
      <c r="GQ301" s="15"/>
      <c r="GR301" s="15"/>
      <c r="GS301" s="15"/>
      <c r="GT301" s="15"/>
      <c r="GU301" s="15"/>
      <c r="GV301" s="15"/>
      <c r="GW301" s="15"/>
      <c r="GX301" s="15"/>
      <c r="GY301" s="15"/>
      <c r="GZ301" s="15"/>
      <c r="HA301" s="15"/>
      <c r="HB301" s="15"/>
      <c r="HC301" s="15"/>
      <c r="HD301" s="15"/>
      <c r="HE301" s="15"/>
      <c r="HF301" s="15"/>
      <c r="HG301" s="15"/>
      <c r="HH301" s="15"/>
      <c r="HI301" s="15"/>
      <c r="HJ301" s="15"/>
      <c r="HK301" s="15"/>
      <c r="HL301" s="15"/>
      <c r="HM301" s="15"/>
      <c r="HN301" s="15"/>
      <c r="HO301" s="15"/>
      <c r="HP301" s="15"/>
      <c r="HQ301" s="15"/>
      <c r="HR301" s="15"/>
      <c r="HS301" s="15"/>
      <c r="HT301" s="15"/>
      <c r="HU301" s="15"/>
      <c r="HV301" s="15"/>
      <c r="HW301" s="15"/>
      <c r="HX301" s="15"/>
      <c r="HY301" s="15"/>
      <c r="HZ301" s="15"/>
      <c r="IA301" s="15"/>
      <c r="IB301" s="15"/>
      <c r="IC301" s="15"/>
      <c r="ID301" s="15"/>
      <c r="IE301" s="15"/>
      <c r="IF301" s="15"/>
      <c r="IG301" s="15"/>
      <c r="IH301" s="15"/>
      <c r="II301" s="15"/>
      <c r="IJ301" s="15"/>
      <c r="IK301" s="15"/>
      <c r="IL301" s="15"/>
      <c r="IM301" s="15"/>
      <c r="IN301" s="15"/>
      <c r="IO301" s="15"/>
      <c r="IP301" s="15"/>
      <c r="IQ301" s="15"/>
      <c r="IR301" s="15"/>
      <c r="IS301" s="15"/>
      <c r="IT301" s="15"/>
      <c r="IU301" s="15"/>
      <c r="IV301" s="15"/>
      <c r="IW301" s="15"/>
      <c r="IX301" s="15"/>
      <c r="IY301" s="15"/>
      <c r="IZ301" s="15"/>
      <c r="JA301" s="15"/>
      <c r="JB301" s="15"/>
      <c r="JC301" s="15"/>
      <c r="JD301" s="15"/>
      <c r="JE301" s="15"/>
      <c r="JF301" s="15"/>
      <c r="JG301" s="15"/>
      <c r="JH301" s="15"/>
      <c r="JI301" s="15"/>
      <c r="JJ301" s="15"/>
      <c r="JK301" s="15"/>
      <c r="JL301" s="15"/>
      <c r="JM301" s="15"/>
      <c r="JN301" s="15"/>
      <c r="JO301" s="15"/>
      <c r="JP301" s="15"/>
      <c r="JQ301" s="15"/>
      <c r="JR301" s="15"/>
      <c r="JS301" s="15"/>
      <c r="JT301" s="15"/>
      <c r="JU301" s="15"/>
      <c r="JV301" s="15"/>
      <c r="JW301" s="15"/>
      <c r="JX301" s="15"/>
      <c r="JY301" s="15"/>
      <c r="JZ301" s="15"/>
      <c r="KA301" s="15"/>
      <c r="KB301" s="15"/>
      <c r="KC301" s="15"/>
      <c r="KD301" s="15"/>
      <c r="KE301" s="15"/>
      <c r="KF301" s="15"/>
      <c r="KG301" s="15"/>
      <c r="KH301" s="15"/>
      <c r="KI301" s="15"/>
      <c r="KJ301" s="15"/>
      <c r="KK301" s="15"/>
      <c r="KL301" s="15"/>
      <c r="KM301" s="15"/>
      <c r="KN301" s="15"/>
      <c r="KO301" s="15"/>
      <c r="KP301" s="15"/>
      <c r="KQ301" s="15"/>
      <c r="KR301" s="15"/>
      <c r="KS301" s="15"/>
      <c r="KT301" s="15"/>
      <c r="KU301" s="15"/>
      <c r="KV301" s="15"/>
      <c r="KW301" s="15"/>
      <c r="KX301" s="15"/>
      <c r="KY301" s="15"/>
      <c r="KZ301" s="15"/>
      <c r="LA301" s="15"/>
      <c r="LB301" s="15"/>
      <c r="LC301" s="15"/>
      <c r="LD301" s="15"/>
      <c r="LE301" s="15"/>
      <c r="LF301" s="15"/>
      <c r="LG301" s="15"/>
      <c r="LH301" s="15"/>
      <c r="LI301" s="15"/>
      <c r="LJ301" s="15"/>
      <c r="LK301" s="15"/>
      <c r="LL301" s="15"/>
      <c r="LM301" s="15"/>
      <c r="LN301" s="15"/>
      <c r="LO301" s="15"/>
      <c r="LP301" s="15"/>
      <c r="LQ301" s="15"/>
      <c r="LR301" s="15"/>
      <c r="LS301" s="15"/>
      <c r="LT301" s="15"/>
      <c r="LU301" s="15"/>
      <c r="LV301" s="15"/>
      <c r="LW301" s="15"/>
      <c r="LX301" s="15"/>
      <c r="LY301" s="15"/>
      <c r="LZ301" s="15"/>
      <c r="MA301" s="15"/>
      <c r="MB301" s="15"/>
      <c r="MC301" s="15"/>
      <c r="MD301" s="15"/>
      <c r="ME301" s="15"/>
      <c r="MF301" s="15"/>
      <c r="MG301" s="15"/>
      <c r="MH301" s="15"/>
      <c r="MI301" s="15"/>
      <c r="MJ301" s="15"/>
      <c r="MK301" s="15"/>
      <c r="ML301" s="15"/>
      <c r="MM301" s="15"/>
      <c r="MN301" s="15"/>
      <c r="MO301" s="15"/>
      <c r="MP301" s="15"/>
      <c r="MQ301" s="15"/>
      <c r="MR301" s="15"/>
      <c r="MS301" s="15"/>
      <c r="MT301" s="15"/>
      <c r="MU301" s="15"/>
      <c r="MV301" s="15"/>
      <c r="MW301" s="15"/>
    </row>
    <row r="302" ht="119.25" customHeight="1">
      <c r="A302" s="16" t="s">
        <v>295</v>
      </c>
      <c r="B302" s="14" t="s">
        <v>10327</v>
      </c>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c r="DF302" s="15"/>
      <c r="DG302" s="15"/>
      <c r="DH302" s="15"/>
      <c r="DI302" s="15"/>
      <c r="DJ302" s="15"/>
      <c r="DK302" s="15"/>
      <c r="DL302" s="15"/>
      <c r="DM302" s="15"/>
      <c r="DN302" s="15"/>
      <c r="DO302" s="15"/>
      <c r="DP302" s="15"/>
      <c r="DQ302" s="15"/>
      <c r="DR302" s="15"/>
      <c r="DS302" s="15"/>
      <c r="DT302" s="15"/>
      <c r="DU302" s="15"/>
      <c r="DV302" s="15"/>
      <c r="DW302" s="15"/>
      <c r="DX302" s="15"/>
      <c r="DY302" s="15"/>
      <c r="DZ302" s="15"/>
      <c r="EA302" s="15"/>
      <c r="EB302" s="15"/>
      <c r="EC302" s="15"/>
      <c r="ED302" s="15"/>
      <c r="EE302" s="15"/>
      <c r="EF302" s="15"/>
      <c r="EG302" s="15"/>
      <c r="EH302" s="15"/>
      <c r="EI302" s="15"/>
      <c r="EJ302" s="15"/>
      <c r="EK302" s="15"/>
      <c r="EL302" s="15"/>
      <c r="EM302" s="15"/>
      <c r="EN302" s="15"/>
      <c r="EO302" s="15"/>
      <c r="EP302" s="15"/>
      <c r="EQ302" s="15"/>
      <c r="ER302" s="15"/>
      <c r="ES302" s="15"/>
      <c r="ET302" s="15"/>
      <c r="EU302" s="15"/>
      <c r="EV302" s="15"/>
      <c r="EW302" s="15"/>
      <c r="EX302" s="15"/>
      <c r="EY302" s="15"/>
      <c r="EZ302" s="15"/>
      <c r="FA302" s="15"/>
      <c r="FB302" s="15"/>
      <c r="FC302" s="15"/>
      <c r="FD302" s="15"/>
      <c r="FE302" s="15"/>
      <c r="FF302" s="15"/>
      <c r="FG302" s="15"/>
      <c r="FH302" s="15"/>
      <c r="FI302" s="15"/>
      <c r="FJ302" s="15"/>
      <c r="FK302" s="15"/>
      <c r="FL302" s="15"/>
      <c r="FM302" s="15"/>
      <c r="FN302" s="15"/>
      <c r="FO302" s="15"/>
      <c r="FP302" s="15"/>
      <c r="FQ302" s="15"/>
      <c r="FR302" s="15"/>
      <c r="FS302" s="15"/>
      <c r="FT302" s="15"/>
      <c r="FU302" s="15"/>
      <c r="FV302" s="15"/>
      <c r="FW302" s="15"/>
      <c r="FX302" s="15"/>
      <c r="FY302" s="15"/>
      <c r="FZ302" s="15"/>
      <c r="GA302" s="15"/>
      <c r="GB302" s="15"/>
      <c r="GC302" s="15"/>
      <c r="GD302" s="15"/>
      <c r="GE302" s="15"/>
      <c r="GF302" s="15"/>
      <c r="GG302" s="15"/>
      <c r="GH302" s="15"/>
      <c r="GI302" s="15"/>
      <c r="GJ302" s="15"/>
      <c r="GK302" s="15"/>
      <c r="GL302" s="15"/>
      <c r="GM302" s="15"/>
      <c r="GN302" s="15"/>
      <c r="GO302" s="15"/>
      <c r="GP302" s="15"/>
      <c r="GQ302" s="15"/>
      <c r="GR302" s="15"/>
      <c r="GS302" s="15"/>
      <c r="GT302" s="15"/>
      <c r="GU302" s="15"/>
      <c r="GV302" s="15"/>
      <c r="GW302" s="15"/>
      <c r="GX302" s="15"/>
      <c r="GY302" s="15"/>
      <c r="GZ302" s="15"/>
      <c r="HA302" s="15"/>
      <c r="HB302" s="15"/>
      <c r="HC302" s="15"/>
      <c r="HD302" s="15"/>
      <c r="HE302" s="15"/>
      <c r="HF302" s="15"/>
      <c r="HG302" s="15"/>
      <c r="HH302" s="15"/>
      <c r="HI302" s="15"/>
      <c r="HJ302" s="15"/>
      <c r="HK302" s="15"/>
      <c r="HL302" s="15"/>
      <c r="HM302" s="15"/>
      <c r="HN302" s="15"/>
      <c r="HO302" s="15"/>
      <c r="HP302" s="15"/>
      <c r="HQ302" s="15"/>
      <c r="HR302" s="15"/>
      <c r="HS302" s="15"/>
      <c r="HT302" s="15"/>
      <c r="HU302" s="15"/>
      <c r="HV302" s="15"/>
      <c r="HW302" s="15"/>
      <c r="HX302" s="15"/>
      <c r="HY302" s="15"/>
      <c r="HZ302" s="15"/>
      <c r="IA302" s="15"/>
      <c r="IB302" s="15"/>
      <c r="IC302" s="15"/>
      <c r="ID302" s="15"/>
      <c r="IE302" s="15"/>
      <c r="IF302" s="15"/>
      <c r="IG302" s="15"/>
      <c r="IH302" s="15"/>
      <c r="II302" s="15"/>
      <c r="IJ302" s="15"/>
      <c r="IK302" s="15"/>
      <c r="IL302" s="15"/>
      <c r="IM302" s="15"/>
      <c r="IN302" s="15"/>
      <c r="IO302" s="15"/>
      <c r="IP302" s="15"/>
      <c r="IQ302" s="15"/>
      <c r="IR302" s="15"/>
      <c r="IS302" s="15"/>
      <c r="IT302" s="15"/>
      <c r="IU302" s="15"/>
      <c r="IV302" s="15"/>
      <c r="IW302" s="15"/>
      <c r="IX302" s="15"/>
      <c r="IY302" s="15"/>
      <c r="IZ302" s="15"/>
      <c r="JA302" s="15"/>
      <c r="JB302" s="15"/>
      <c r="JC302" s="15"/>
      <c r="JD302" s="15"/>
      <c r="JE302" s="15"/>
      <c r="JF302" s="15"/>
      <c r="JG302" s="15"/>
      <c r="JH302" s="15"/>
      <c r="JI302" s="15"/>
      <c r="JJ302" s="15"/>
      <c r="JK302" s="15"/>
      <c r="JL302" s="15"/>
      <c r="JM302" s="15"/>
      <c r="JN302" s="15"/>
      <c r="JO302" s="15"/>
      <c r="JP302" s="15"/>
      <c r="JQ302" s="15"/>
      <c r="JR302" s="15"/>
      <c r="JS302" s="15"/>
      <c r="JT302" s="15"/>
      <c r="JU302" s="15"/>
      <c r="JV302" s="15"/>
      <c r="JW302" s="15"/>
      <c r="JX302" s="15"/>
      <c r="JY302" s="15"/>
      <c r="JZ302" s="15"/>
      <c r="KA302" s="15"/>
      <c r="KB302" s="15"/>
      <c r="KC302" s="15"/>
      <c r="KD302" s="15"/>
      <c r="KE302" s="15"/>
      <c r="KF302" s="15"/>
      <c r="KG302" s="15"/>
      <c r="KH302" s="15"/>
      <c r="KI302" s="15"/>
      <c r="KJ302" s="15"/>
      <c r="KK302" s="15"/>
      <c r="KL302" s="15"/>
      <c r="KM302" s="15"/>
      <c r="KN302" s="15"/>
      <c r="KO302" s="15"/>
      <c r="KP302" s="15"/>
      <c r="KQ302" s="15"/>
      <c r="KR302" s="15"/>
      <c r="KS302" s="15"/>
      <c r="KT302" s="15"/>
      <c r="KU302" s="15"/>
      <c r="KV302" s="15"/>
      <c r="KW302" s="15"/>
      <c r="KX302" s="15"/>
      <c r="KY302" s="15"/>
      <c r="KZ302" s="15"/>
      <c r="LA302" s="15"/>
      <c r="LB302" s="15"/>
      <c r="LC302" s="15"/>
      <c r="LD302" s="15"/>
      <c r="LE302" s="15"/>
      <c r="LF302" s="15"/>
      <c r="LG302" s="15"/>
      <c r="LH302" s="15"/>
      <c r="LI302" s="15"/>
      <c r="LJ302" s="15"/>
      <c r="LK302" s="15"/>
      <c r="LL302" s="15"/>
      <c r="LM302" s="15"/>
      <c r="LN302" s="15"/>
      <c r="LO302" s="15"/>
      <c r="LP302" s="15"/>
      <c r="LQ302" s="15"/>
      <c r="LR302" s="15"/>
      <c r="LS302" s="15"/>
      <c r="LT302" s="15"/>
      <c r="LU302" s="15"/>
      <c r="LV302" s="15"/>
      <c r="LW302" s="15"/>
      <c r="LX302" s="15"/>
      <c r="LY302" s="15"/>
      <c r="LZ302" s="15"/>
      <c r="MA302" s="15"/>
      <c r="MB302" s="15"/>
      <c r="MC302" s="15"/>
      <c r="MD302" s="15"/>
      <c r="ME302" s="15"/>
      <c r="MF302" s="15"/>
      <c r="MG302" s="15"/>
      <c r="MH302" s="15"/>
      <c r="MI302" s="15"/>
      <c r="MJ302" s="15"/>
      <c r="MK302" s="15"/>
      <c r="ML302" s="15"/>
      <c r="MM302" s="15"/>
      <c r="MN302" s="15"/>
      <c r="MO302" s="15"/>
      <c r="MP302" s="15"/>
      <c r="MQ302" s="15"/>
      <c r="MR302" s="15"/>
      <c r="MS302" s="15"/>
      <c r="MT302" s="15"/>
      <c r="MU302" s="15"/>
      <c r="MV302" s="15"/>
      <c r="MW302" s="15"/>
    </row>
    <row r="303" ht="41.25" customHeight="1">
      <c r="A303" s="16" t="s">
        <v>296</v>
      </c>
      <c r="B303" s="14" t="s">
        <v>10328</v>
      </c>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c r="DF303" s="15"/>
      <c r="DG303" s="15"/>
      <c r="DH303" s="15"/>
      <c r="DI303" s="15"/>
      <c r="DJ303" s="15"/>
      <c r="DK303" s="15"/>
      <c r="DL303" s="15"/>
      <c r="DM303" s="15"/>
      <c r="DN303" s="15"/>
      <c r="DO303" s="15"/>
      <c r="DP303" s="15"/>
      <c r="DQ303" s="15"/>
      <c r="DR303" s="15"/>
      <c r="DS303" s="15"/>
      <c r="DT303" s="15"/>
      <c r="DU303" s="15"/>
      <c r="DV303" s="15"/>
      <c r="DW303" s="15"/>
      <c r="DX303" s="15"/>
      <c r="DY303" s="15"/>
      <c r="DZ303" s="15"/>
      <c r="EA303" s="15"/>
      <c r="EB303" s="15"/>
      <c r="EC303" s="15"/>
      <c r="ED303" s="15"/>
      <c r="EE303" s="15"/>
      <c r="EF303" s="15"/>
      <c r="EG303" s="15"/>
      <c r="EH303" s="15"/>
      <c r="EI303" s="15"/>
      <c r="EJ303" s="15"/>
      <c r="EK303" s="15"/>
      <c r="EL303" s="15"/>
      <c r="EM303" s="15"/>
      <c r="EN303" s="15"/>
      <c r="EO303" s="15"/>
      <c r="EP303" s="15"/>
      <c r="EQ303" s="15"/>
      <c r="ER303" s="15"/>
      <c r="ES303" s="15"/>
      <c r="ET303" s="15"/>
      <c r="EU303" s="15"/>
      <c r="EV303" s="15"/>
      <c r="EW303" s="15"/>
      <c r="EX303" s="15"/>
      <c r="EY303" s="15"/>
      <c r="EZ303" s="15"/>
      <c r="FA303" s="15"/>
      <c r="FB303" s="15"/>
      <c r="FC303" s="15"/>
      <c r="FD303" s="15"/>
      <c r="FE303" s="15"/>
      <c r="FF303" s="15"/>
      <c r="FG303" s="15"/>
      <c r="FH303" s="15"/>
      <c r="FI303" s="15"/>
      <c r="FJ303" s="15"/>
      <c r="FK303" s="15"/>
      <c r="FL303" s="15"/>
      <c r="FM303" s="15"/>
      <c r="FN303" s="15"/>
      <c r="FO303" s="15"/>
      <c r="FP303" s="15"/>
      <c r="FQ303" s="15"/>
      <c r="FR303" s="15"/>
      <c r="FS303" s="15"/>
      <c r="FT303" s="15"/>
      <c r="FU303" s="15"/>
      <c r="FV303" s="15"/>
      <c r="FW303" s="15"/>
      <c r="FX303" s="15"/>
      <c r="FY303" s="15"/>
      <c r="FZ303" s="15"/>
      <c r="GA303" s="15"/>
      <c r="GB303" s="15"/>
      <c r="GC303" s="15"/>
      <c r="GD303" s="15"/>
      <c r="GE303" s="15"/>
      <c r="GF303" s="15"/>
      <c r="GG303" s="15"/>
      <c r="GH303" s="15"/>
      <c r="GI303" s="15"/>
      <c r="GJ303" s="15"/>
      <c r="GK303" s="15"/>
      <c r="GL303" s="15"/>
      <c r="GM303" s="15"/>
      <c r="GN303" s="15"/>
      <c r="GO303" s="15"/>
      <c r="GP303" s="15"/>
      <c r="GQ303" s="15"/>
      <c r="GR303" s="15"/>
      <c r="GS303" s="15"/>
      <c r="GT303" s="15"/>
      <c r="GU303" s="15"/>
      <c r="GV303" s="15"/>
      <c r="GW303" s="15"/>
      <c r="GX303" s="15"/>
      <c r="GY303" s="15"/>
      <c r="GZ303" s="15"/>
      <c r="HA303" s="15"/>
      <c r="HB303" s="15"/>
      <c r="HC303" s="15"/>
      <c r="HD303" s="15"/>
      <c r="HE303" s="15"/>
      <c r="HF303" s="15"/>
      <c r="HG303" s="15"/>
      <c r="HH303" s="15"/>
      <c r="HI303" s="15"/>
      <c r="HJ303" s="15"/>
      <c r="HK303" s="15"/>
      <c r="HL303" s="15"/>
      <c r="HM303" s="15"/>
      <c r="HN303" s="15"/>
      <c r="HO303" s="15"/>
      <c r="HP303" s="15"/>
      <c r="HQ303" s="15"/>
      <c r="HR303" s="15"/>
      <c r="HS303" s="15"/>
      <c r="HT303" s="15"/>
      <c r="HU303" s="15"/>
      <c r="HV303" s="15"/>
      <c r="HW303" s="15"/>
      <c r="HX303" s="15"/>
      <c r="HY303" s="15"/>
      <c r="HZ303" s="15"/>
      <c r="IA303" s="15"/>
      <c r="IB303" s="15"/>
      <c r="IC303" s="15"/>
      <c r="ID303" s="15"/>
      <c r="IE303" s="15"/>
      <c r="IF303" s="15"/>
      <c r="IG303" s="15"/>
      <c r="IH303" s="15"/>
      <c r="II303" s="15"/>
      <c r="IJ303" s="15"/>
      <c r="IK303" s="15"/>
      <c r="IL303" s="15"/>
      <c r="IM303" s="15"/>
      <c r="IN303" s="15"/>
      <c r="IO303" s="15"/>
      <c r="IP303" s="15"/>
      <c r="IQ303" s="15"/>
      <c r="IR303" s="15"/>
      <c r="IS303" s="15"/>
      <c r="IT303" s="15"/>
      <c r="IU303" s="15"/>
      <c r="IV303" s="15"/>
      <c r="IW303" s="15"/>
      <c r="IX303" s="15"/>
      <c r="IY303" s="15"/>
      <c r="IZ303" s="15"/>
      <c r="JA303" s="15"/>
      <c r="JB303" s="15"/>
      <c r="JC303" s="15"/>
      <c r="JD303" s="15"/>
      <c r="JE303" s="15"/>
      <c r="JF303" s="15"/>
      <c r="JG303" s="15"/>
      <c r="JH303" s="15"/>
      <c r="JI303" s="15"/>
      <c r="JJ303" s="15"/>
      <c r="JK303" s="15"/>
      <c r="JL303" s="15"/>
      <c r="JM303" s="15"/>
      <c r="JN303" s="15"/>
      <c r="JO303" s="15"/>
      <c r="JP303" s="15"/>
      <c r="JQ303" s="15"/>
      <c r="JR303" s="15"/>
      <c r="JS303" s="15"/>
      <c r="JT303" s="15"/>
      <c r="JU303" s="15"/>
      <c r="JV303" s="15"/>
      <c r="JW303" s="15"/>
      <c r="JX303" s="15"/>
      <c r="JY303" s="15"/>
      <c r="JZ303" s="15"/>
      <c r="KA303" s="15"/>
      <c r="KB303" s="15"/>
      <c r="KC303" s="15"/>
      <c r="KD303" s="15"/>
      <c r="KE303" s="15"/>
      <c r="KF303" s="15"/>
      <c r="KG303" s="15"/>
      <c r="KH303" s="15"/>
      <c r="KI303" s="15"/>
      <c r="KJ303" s="15"/>
      <c r="KK303" s="15"/>
      <c r="KL303" s="15"/>
      <c r="KM303" s="15"/>
      <c r="KN303" s="15"/>
      <c r="KO303" s="15"/>
      <c r="KP303" s="15"/>
      <c r="KQ303" s="15"/>
      <c r="KR303" s="15"/>
      <c r="KS303" s="15"/>
      <c r="KT303" s="15"/>
      <c r="KU303" s="15"/>
      <c r="KV303" s="15"/>
      <c r="KW303" s="15"/>
      <c r="KX303" s="15"/>
      <c r="KY303" s="15"/>
      <c r="KZ303" s="15"/>
      <c r="LA303" s="15"/>
      <c r="LB303" s="15"/>
      <c r="LC303" s="15"/>
      <c r="LD303" s="15"/>
      <c r="LE303" s="15"/>
      <c r="LF303" s="15"/>
      <c r="LG303" s="15"/>
      <c r="LH303" s="15"/>
      <c r="LI303" s="15"/>
      <c r="LJ303" s="15"/>
      <c r="LK303" s="15"/>
      <c r="LL303" s="15"/>
      <c r="LM303" s="15"/>
      <c r="LN303" s="15"/>
      <c r="LO303" s="15"/>
      <c r="LP303" s="15"/>
      <c r="LQ303" s="15"/>
      <c r="LR303" s="15"/>
      <c r="LS303" s="15"/>
      <c r="LT303" s="15"/>
      <c r="LU303" s="15"/>
      <c r="LV303" s="15"/>
      <c r="LW303" s="15"/>
      <c r="LX303" s="15"/>
      <c r="LY303" s="15"/>
      <c r="LZ303" s="15"/>
      <c r="MA303" s="15"/>
      <c r="MB303" s="15"/>
      <c r="MC303" s="15"/>
      <c r="MD303" s="15"/>
      <c r="ME303" s="15"/>
      <c r="MF303" s="15"/>
      <c r="MG303" s="15"/>
      <c r="MH303" s="15"/>
      <c r="MI303" s="15"/>
      <c r="MJ303" s="15"/>
      <c r="MK303" s="15"/>
      <c r="ML303" s="15"/>
      <c r="MM303" s="15"/>
      <c r="MN303" s="15"/>
      <c r="MO303" s="15"/>
      <c r="MP303" s="15"/>
      <c r="MQ303" s="15"/>
      <c r="MR303" s="15"/>
      <c r="MS303" s="15"/>
      <c r="MT303" s="15"/>
      <c r="MU303" s="15"/>
      <c r="MV303" s="15"/>
      <c r="MW303" s="15"/>
    </row>
    <row r="304" ht="119.25" customHeight="1">
      <c r="A304" s="16" t="s">
        <v>297</v>
      </c>
      <c r="B304" s="14" t="s">
        <v>10329</v>
      </c>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c r="DF304" s="15"/>
      <c r="DG304" s="15"/>
      <c r="DH304" s="15"/>
      <c r="DI304" s="15"/>
      <c r="DJ304" s="15"/>
      <c r="DK304" s="15"/>
      <c r="DL304" s="15"/>
      <c r="DM304" s="15"/>
      <c r="DN304" s="15"/>
      <c r="DO304" s="15"/>
      <c r="DP304" s="15"/>
      <c r="DQ304" s="15"/>
      <c r="DR304" s="15"/>
      <c r="DS304" s="15"/>
      <c r="DT304" s="15"/>
      <c r="DU304" s="15"/>
      <c r="DV304" s="15"/>
      <c r="DW304" s="15"/>
      <c r="DX304" s="15"/>
      <c r="DY304" s="15"/>
      <c r="DZ304" s="15"/>
      <c r="EA304" s="15"/>
      <c r="EB304" s="15"/>
      <c r="EC304" s="15"/>
      <c r="ED304" s="15"/>
      <c r="EE304" s="15"/>
      <c r="EF304" s="15"/>
      <c r="EG304" s="15"/>
      <c r="EH304" s="15"/>
      <c r="EI304" s="15"/>
      <c r="EJ304" s="15"/>
      <c r="EK304" s="15"/>
      <c r="EL304" s="15"/>
      <c r="EM304" s="15"/>
      <c r="EN304" s="15"/>
      <c r="EO304" s="15"/>
      <c r="EP304" s="15"/>
      <c r="EQ304" s="15"/>
      <c r="ER304" s="15"/>
      <c r="ES304" s="15"/>
      <c r="ET304" s="15"/>
      <c r="EU304" s="15"/>
      <c r="EV304" s="15"/>
      <c r="EW304" s="15"/>
      <c r="EX304" s="15"/>
      <c r="EY304" s="15"/>
      <c r="EZ304" s="15"/>
      <c r="FA304" s="15"/>
      <c r="FB304" s="15"/>
      <c r="FC304" s="15"/>
      <c r="FD304" s="15"/>
      <c r="FE304" s="15"/>
      <c r="FF304" s="15"/>
      <c r="FG304" s="15"/>
      <c r="FH304" s="15"/>
      <c r="FI304" s="15"/>
      <c r="FJ304" s="15"/>
      <c r="FK304" s="15"/>
      <c r="FL304" s="15"/>
      <c r="FM304" s="15"/>
      <c r="FN304" s="15"/>
      <c r="FO304" s="15"/>
      <c r="FP304" s="15"/>
      <c r="FQ304" s="15"/>
      <c r="FR304" s="15"/>
      <c r="FS304" s="15"/>
      <c r="FT304" s="15"/>
      <c r="FU304" s="15"/>
      <c r="FV304" s="15"/>
      <c r="FW304" s="15"/>
      <c r="FX304" s="15"/>
      <c r="FY304" s="15"/>
      <c r="FZ304" s="15"/>
      <c r="GA304" s="15"/>
      <c r="GB304" s="15"/>
      <c r="GC304" s="15"/>
      <c r="GD304" s="15"/>
      <c r="GE304" s="15"/>
      <c r="GF304" s="15"/>
      <c r="GG304" s="15"/>
      <c r="GH304" s="15"/>
      <c r="GI304" s="15"/>
      <c r="GJ304" s="15"/>
      <c r="GK304" s="15"/>
      <c r="GL304" s="15"/>
      <c r="GM304" s="15"/>
      <c r="GN304" s="15"/>
      <c r="GO304" s="15"/>
      <c r="GP304" s="15"/>
      <c r="GQ304" s="15"/>
      <c r="GR304" s="15"/>
      <c r="GS304" s="15"/>
      <c r="GT304" s="15"/>
      <c r="GU304" s="15"/>
      <c r="GV304" s="15"/>
      <c r="GW304" s="15"/>
      <c r="GX304" s="15"/>
      <c r="GY304" s="15"/>
      <c r="GZ304" s="15"/>
      <c r="HA304" s="15"/>
      <c r="HB304" s="15"/>
      <c r="HC304" s="15"/>
      <c r="HD304" s="15"/>
      <c r="HE304" s="15"/>
      <c r="HF304" s="15"/>
      <c r="HG304" s="15"/>
      <c r="HH304" s="15"/>
      <c r="HI304" s="15"/>
      <c r="HJ304" s="15"/>
      <c r="HK304" s="15"/>
      <c r="HL304" s="15"/>
      <c r="HM304" s="15"/>
      <c r="HN304" s="15"/>
      <c r="HO304" s="15"/>
      <c r="HP304" s="15"/>
      <c r="HQ304" s="15"/>
      <c r="HR304" s="15"/>
      <c r="HS304" s="15"/>
      <c r="HT304" s="15"/>
      <c r="HU304" s="15"/>
      <c r="HV304" s="15"/>
      <c r="HW304" s="15"/>
      <c r="HX304" s="15"/>
      <c r="HY304" s="15"/>
      <c r="HZ304" s="15"/>
      <c r="IA304" s="15"/>
      <c r="IB304" s="15"/>
      <c r="IC304" s="15"/>
      <c r="ID304" s="15"/>
      <c r="IE304" s="15"/>
      <c r="IF304" s="15"/>
      <c r="IG304" s="15"/>
      <c r="IH304" s="15"/>
      <c r="II304" s="15"/>
      <c r="IJ304" s="15"/>
      <c r="IK304" s="15"/>
      <c r="IL304" s="15"/>
      <c r="IM304" s="15"/>
      <c r="IN304" s="15"/>
      <c r="IO304" s="15"/>
      <c r="IP304" s="15"/>
      <c r="IQ304" s="15"/>
      <c r="IR304" s="15"/>
      <c r="IS304" s="15"/>
      <c r="IT304" s="15"/>
      <c r="IU304" s="15"/>
      <c r="IV304" s="15"/>
      <c r="IW304" s="15"/>
      <c r="IX304" s="15"/>
      <c r="IY304" s="15"/>
      <c r="IZ304" s="15"/>
      <c r="JA304" s="15"/>
      <c r="JB304" s="15"/>
      <c r="JC304" s="15"/>
      <c r="JD304" s="15"/>
      <c r="JE304" s="15"/>
      <c r="JF304" s="15"/>
      <c r="JG304" s="15"/>
      <c r="JH304" s="15"/>
      <c r="JI304" s="15"/>
      <c r="JJ304" s="15"/>
      <c r="JK304" s="15"/>
      <c r="JL304" s="15"/>
      <c r="JM304" s="15"/>
      <c r="JN304" s="15"/>
      <c r="JO304" s="15"/>
      <c r="JP304" s="15"/>
      <c r="JQ304" s="15"/>
      <c r="JR304" s="15"/>
      <c r="JS304" s="15"/>
      <c r="JT304" s="15"/>
      <c r="JU304" s="15"/>
      <c r="JV304" s="15"/>
      <c r="JW304" s="15"/>
      <c r="JX304" s="15"/>
      <c r="JY304" s="15"/>
      <c r="JZ304" s="15"/>
      <c r="KA304" s="15"/>
      <c r="KB304" s="15"/>
      <c r="KC304" s="15"/>
      <c r="KD304" s="15"/>
      <c r="KE304" s="15"/>
      <c r="KF304" s="15"/>
      <c r="KG304" s="15"/>
      <c r="KH304" s="15"/>
      <c r="KI304" s="15"/>
      <c r="KJ304" s="15"/>
      <c r="KK304" s="15"/>
      <c r="KL304" s="15"/>
      <c r="KM304" s="15"/>
      <c r="KN304" s="15"/>
      <c r="KO304" s="15"/>
      <c r="KP304" s="15"/>
      <c r="KQ304" s="15"/>
      <c r="KR304" s="15"/>
      <c r="KS304" s="15"/>
      <c r="KT304" s="15"/>
      <c r="KU304" s="15"/>
      <c r="KV304" s="15"/>
      <c r="KW304" s="15"/>
      <c r="KX304" s="15"/>
      <c r="KY304" s="15"/>
      <c r="KZ304" s="15"/>
      <c r="LA304" s="15"/>
      <c r="LB304" s="15"/>
      <c r="LC304" s="15"/>
      <c r="LD304" s="15"/>
      <c r="LE304" s="15"/>
      <c r="LF304" s="15"/>
      <c r="LG304" s="15"/>
      <c r="LH304" s="15"/>
      <c r="LI304" s="15"/>
      <c r="LJ304" s="15"/>
      <c r="LK304" s="15"/>
      <c r="LL304" s="15"/>
      <c r="LM304" s="15"/>
      <c r="LN304" s="15"/>
      <c r="LO304" s="15"/>
      <c r="LP304" s="15"/>
      <c r="LQ304" s="15"/>
      <c r="LR304" s="15"/>
      <c r="LS304" s="15"/>
      <c r="LT304" s="15"/>
      <c r="LU304" s="15"/>
      <c r="LV304" s="15"/>
      <c r="LW304" s="15"/>
      <c r="LX304" s="15"/>
      <c r="LY304" s="15"/>
      <c r="LZ304" s="15"/>
      <c r="MA304" s="15"/>
      <c r="MB304" s="15"/>
      <c r="MC304" s="15"/>
      <c r="MD304" s="15"/>
      <c r="ME304" s="15"/>
      <c r="MF304" s="15"/>
      <c r="MG304" s="15"/>
      <c r="MH304" s="15"/>
      <c r="MI304" s="15"/>
      <c r="MJ304" s="15"/>
      <c r="MK304" s="15"/>
      <c r="ML304" s="15"/>
      <c r="MM304" s="15"/>
      <c r="MN304" s="15"/>
      <c r="MO304" s="15"/>
      <c r="MP304" s="15"/>
      <c r="MQ304" s="15"/>
      <c r="MR304" s="15"/>
      <c r="MS304" s="15"/>
      <c r="MT304" s="15"/>
      <c r="MU304" s="15"/>
      <c r="MV304" s="15"/>
      <c r="MW304" s="15"/>
    </row>
    <row r="305" ht="41.25" customHeight="1">
      <c r="A305" s="16" t="s">
        <v>298</v>
      </c>
      <c r="B305" s="14" t="s">
        <v>10330</v>
      </c>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c r="DF305" s="15"/>
      <c r="DG305" s="15"/>
      <c r="DH305" s="15"/>
      <c r="DI305" s="15"/>
      <c r="DJ305" s="15"/>
      <c r="DK305" s="15"/>
      <c r="DL305" s="15"/>
      <c r="DM305" s="15"/>
      <c r="DN305" s="15"/>
      <c r="DO305" s="15"/>
      <c r="DP305" s="15"/>
      <c r="DQ305" s="15"/>
      <c r="DR305" s="15"/>
      <c r="DS305" s="15"/>
      <c r="DT305" s="15"/>
      <c r="DU305" s="15"/>
      <c r="DV305" s="15"/>
      <c r="DW305" s="15"/>
      <c r="DX305" s="15"/>
      <c r="DY305" s="15"/>
      <c r="DZ305" s="15"/>
      <c r="EA305" s="15"/>
      <c r="EB305" s="15"/>
      <c r="EC305" s="15"/>
      <c r="ED305" s="15"/>
      <c r="EE305" s="15"/>
      <c r="EF305" s="15"/>
      <c r="EG305" s="15"/>
      <c r="EH305" s="15"/>
      <c r="EI305" s="15"/>
      <c r="EJ305" s="15"/>
      <c r="EK305" s="15"/>
      <c r="EL305" s="15"/>
      <c r="EM305" s="15"/>
      <c r="EN305" s="15"/>
      <c r="EO305" s="15"/>
      <c r="EP305" s="15"/>
      <c r="EQ305" s="15"/>
      <c r="ER305" s="15"/>
      <c r="ES305" s="15"/>
      <c r="ET305" s="15"/>
      <c r="EU305" s="15"/>
      <c r="EV305" s="15"/>
      <c r="EW305" s="15"/>
      <c r="EX305" s="15"/>
      <c r="EY305" s="15"/>
      <c r="EZ305" s="15"/>
      <c r="FA305" s="15"/>
      <c r="FB305" s="15"/>
      <c r="FC305" s="15"/>
      <c r="FD305" s="15"/>
      <c r="FE305" s="15"/>
      <c r="FF305" s="15"/>
      <c r="FG305" s="15"/>
      <c r="FH305" s="15"/>
      <c r="FI305" s="15"/>
      <c r="FJ305" s="15"/>
      <c r="FK305" s="15"/>
      <c r="FL305" s="15"/>
      <c r="FM305" s="15"/>
      <c r="FN305" s="15"/>
      <c r="FO305" s="15"/>
      <c r="FP305" s="15"/>
      <c r="FQ305" s="15"/>
      <c r="FR305" s="15"/>
      <c r="FS305" s="15"/>
      <c r="FT305" s="15"/>
      <c r="FU305" s="15"/>
      <c r="FV305" s="15"/>
      <c r="FW305" s="15"/>
      <c r="FX305" s="15"/>
      <c r="FY305" s="15"/>
      <c r="FZ305" s="15"/>
      <c r="GA305" s="15"/>
      <c r="GB305" s="15"/>
      <c r="GC305" s="15"/>
      <c r="GD305" s="15"/>
      <c r="GE305" s="15"/>
      <c r="GF305" s="15"/>
      <c r="GG305" s="15"/>
      <c r="GH305" s="15"/>
      <c r="GI305" s="15"/>
      <c r="GJ305" s="15"/>
      <c r="GK305" s="15"/>
      <c r="GL305" s="15"/>
      <c r="GM305" s="15"/>
      <c r="GN305" s="15"/>
      <c r="GO305" s="15"/>
      <c r="GP305" s="15"/>
      <c r="GQ305" s="15"/>
      <c r="GR305" s="15"/>
      <c r="GS305" s="15"/>
      <c r="GT305" s="15"/>
      <c r="GU305" s="15"/>
      <c r="GV305" s="15"/>
      <c r="GW305" s="15"/>
      <c r="GX305" s="15"/>
      <c r="GY305" s="15"/>
      <c r="GZ305" s="15"/>
      <c r="HA305" s="15"/>
      <c r="HB305" s="15"/>
      <c r="HC305" s="15"/>
      <c r="HD305" s="15"/>
      <c r="HE305" s="15"/>
      <c r="HF305" s="15"/>
      <c r="HG305" s="15"/>
      <c r="HH305" s="15"/>
      <c r="HI305" s="15"/>
      <c r="HJ305" s="15"/>
      <c r="HK305" s="15"/>
      <c r="HL305" s="15"/>
      <c r="HM305" s="15"/>
      <c r="HN305" s="15"/>
      <c r="HO305" s="15"/>
      <c r="HP305" s="15"/>
      <c r="HQ305" s="15"/>
      <c r="HR305" s="15"/>
      <c r="HS305" s="15"/>
      <c r="HT305" s="15"/>
      <c r="HU305" s="15"/>
      <c r="HV305" s="15"/>
      <c r="HW305" s="15"/>
      <c r="HX305" s="15"/>
      <c r="HY305" s="15"/>
      <c r="HZ305" s="15"/>
      <c r="IA305" s="15"/>
      <c r="IB305" s="15"/>
      <c r="IC305" s="15"/>
      <c r="ID305" s="15"/>
      <c r="IE305" s="15"/>
      <c r="IF305" s="15"/>
      <c r="IG305" s="15"/>
      <c r="IH305" s="15"/>
      <c r="II305" s="15"/>
      <c r="IJ305" s="15"/>
      <c r="IK305" s="15"/>
      <c r="IL305" s="15"/>
      <c r="IM305" s="15"/>
      <c r="IN305" s="15"/>
      <c r="IO305" s="15"/>
      <c r="IP305" s="15"/>
      <c r="IQ305" s="15"/>
      <c r="IR305" s="15"/>
      <c r="IS305" s="15"/>
      <c r="IT305" s="15"/>
      <c r="IU305" s="15"/>
      <c r="IV305" s="15"/>
      <c r="IW305" s="15"/>
      <c r="IX305" s="15"/>
      <c r="IY305" s="15"/>
      <c r="IZ305" s="15"/>
      <c r="JA305" s="15"/>
      <c r="JB305" s="15"/>
      <c r="JC305" s="15"/>
      <c r="JD305" s="15"/>
      <c r="JE305" s="15"/>
      <c r="JF305" s="15"/>
      <c r="JG305" s="15"/>
      <c r="JH305" s="15"/>
      <c r="JI305" s="15"/>
      <c r="JJ305" s="15"/>
      <c r="JK305" s="15"/>
      <c r="JL305" s="15"/>
      <c r="JM305" s="15"/>
      <c r="JN305" s="15"/>
      <c r="JO305" s="15"/>
      <c r="JP305" s="15"/>
      <c r="JQ305" s="15"/>
      <c r="JR305" s="15"/>
      <c r="JS305" s="15"/>
      <c r="JT305" s="15"/>
      <c r="JU305" s="15"/>
      <c r="JV305" s="15"/>
      <c r="JW305" s="15"/>
      <c r="JX305" s="15"/>
      <c r="JY305" s="15"/>
      <c r="JZ305" s="15"/>
      <c r="KA305" s="15"/>
      <c r="KB305" s="15"/>
      <c r="KC305" s="15"/>
      <c r="KD305" s="15"/>
      <c r="KE305" s="15"/>
      <c r="KF305" s="15"/>
      <c r="KG305" s="15"/>
      <c r="KH305" s="15"/>
      <c r="KI305" s="15"/>
      <c r="KJ305" s="15"/>
      <c r="KK305" s="15"/>
      <c r="KL305" s="15"/>
      <c r="KM305" s="15"/>
      <c r="KN305" s="15"/>
      <c r="KO305" s="15"/>
      <c r="KP305" s="15"/>
      <c r="KQ305" s="15"/>
      <c r="KR305" s="15"/>
      <c r="KS305" s="15"/>
      <c r="KT305" s="15"/>
      <c r="KU305" s="15"/>
      <c r="KV305" s="15"/>
      <c r="KW305" s="15"/>
      <c r="KX305" s="15"/>
      <c r="KY305" s="15"/>
      <c r="KZ305" s="15"/>
      <c r="LA305" s="15"/>
      <c r="LB305" s="15"/>
      <c r="LC305" s="15"/>
      <c r="LD305" s="15"/>
      <c r="LE305" s="15"/>
      <c r="LF305" s="15"/>
      <c r="LG305" s="15"/>
      <c r="LH305" s="15"/>
      <c r="LI305" s="15"/>
      <c r="LJ305" s="15"/>
      <c r="LK305" s="15"/>
      <c r="LL305" s="15"/>
      <c r="LM305" s="15"/>
      <c r="LN305" s="15"/>
      <c r="LO305" s="15"/>
      <c r="LP305" s="15"/>
      <c r="LQ305" s="15"/>
      <c r="LR305" s="15"/>
      <c r="LS305" s="15"/>
      <c r="LT305" s="15"/>
      <c r="LU305" s="15"/>
      <c r="LV305" s="15"/>
      <c r="LW305" s="15"/>
      <c r="LX305" s="15"/>
      <c r="LY305" s="15"/>
      <c r="LZ305" s="15"/>
      <c r="MA305" s="15"/>
      <c r="MB305" s="15"/>
      <c r="MC305" s="15"/>
      <c r="MD305" s="15"/>
      <c r="ME305" s="15"/>
      <c r="MF305" s="15"/>
      <c r="MG305" s="15"/>
      <c r="MH305" s="15"/>
      <c r="MI305" s="15"/>
      <c r="MJ305" s="15"/>
      <c r="MK305" s="15"/>
      <c r="ML305" s="15"/>
      <c r="MM305" s="15"/>
      <c r="MN305" s="15"/>
      <c r="MO305" s="15"/>
      <c r="MP305" s="15"/>
      <c r="MQ305" s="15"/>
      <c r="MR305" s="15"/>
      <c r="MS305" s="15"/>
      <c r="MT305" s="15"/>
      <c r="MU305" s="15"/>
      <c r="MV305" s="15"/>
      <c r="MW305" s="15"/>
    </row>
    <row r="306" ht="119.25" customHeight="1">
      <c r="A306" s="16" t="s">
        <v>299</v>
      </c>
      <c r="B306" s="14" t="s">
        <v>10331</v>
      </c>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c r="DF306" s="15"/>
      <c r="DG306" s="15"/>
      <c r="DH306" s="15"/>
      <c r="DI306" s="15"/>
      <c r="DJ306" s="15"/>
      <c r="DK306" s="15"/>
      <c r="DL306" s="15"/>
      <c r="DM306" s="15"/>
      <c r="DN306" s="15"/>
      <c r="DO306" s="15"/>
      <c r="DP306" s="15"/>
      <c r="DQ306" s="15"/>
      <c r="DR306" s="15"/>
      <c r="DS306" s="15"/>
      <c r="DT306" s="15"/>
      <c r="DU306" s="15"/>
      <c r="DV306" s="15"/>
      <c r="DW306" s="15"/>
      <c r="DX306" s="15"/>
      <c r="DY306" s="15"/>
      <c r="DZ306" s="15"/>
      <c r="EA306" s="15"/>
      <c r="EB306" s="15"/>
      <c r="EC306" s="15"/>
      <c r="ED306" s="15"/>
      <c r="EE306" s="15"/>
      <c r="EF306" s="15"/>
      <c r="EG306" s="15"/>
      <c r="EH306" s="15"/>
      <c r="EI306" s="15"/>
      <c r="EJ306" s="15"/>
      <c r="EK306" s="15"/>
      <c r="EL306" s="15"/>
      <c r="EM306" s="15"/>
      <c r="EN306" s="15"/>
      <c r="EO306" s="15"/>
      <c r="EP306" s="15"/>
      <c r="EQ306" s="15"/>
      <c r="ER306" s="15"/>
      <c r="ES306" s="15"/>
      <c r="ET306" s="15"/>
      <c r="EU306" s="15"/>
      <c r="EV306" s="15"/>
      <c r="EW306" s="15"/>
      <c r="EX306" s="15"/>
      <c r="EY306" s="15"/>
      <c r="EZ306" s="15"/>
      <c r="FA306" s="15"/>
      <c r="FB306" s="15"/>
      <c r="FC306" s="15"/>
      <c r="FD306" s="15"/>
      <c r="FE306" s="15"/>
      <c r="FF306" s="15"/>
      <c r="FG306" s="15"/>
      <c r="FH306" s="15"/>
      <c r="FI306" s="15"/>
      <c r="FJ306" s="15"/>
      <c r="FK306" s="15"/>
      <c r="FL306" s="15"/>
      <c r="FM306" s="15"/>
      <c r="FN306" s="15"/>
      <c r="FO306" s="15"/>
      <c r="FP306" s="15"/>
      <c r="FQ306" s="15"/>
      <c r="FR306" s="15"/>
      <c r="FS306" s="15"/>
      <c r="FT306" s="15"/>
      <c r="FU306" s="15"/>
      <c r="FV306" s="15"/>
      <c r="FW306" s="15"/>
      <c r="FX306" s="15"/>
      <c r="FY306" s="15"/>
      <c r="FZ306" s="15"/>
      <c r="GA306" s="15"/>
      <c r="GB306" s="15"/>
      <c r="GC306" s="15"/>
      <c r="GD306" s="15"/>
      <c r="GE306" s="15"/>
      <c r="GF306" s="15"/>
      <c r="GG306" s="15"/>
      <c r="GH306" s="15"/>
      <c r="GI306" s="15"/>
      <c r="GJ306" s="15"/>
      <c r="GK306" s="15"/>
      <c r="GL306" s="15"/>
      <c r="GM306" s="15"/>
      <c r="GN306" s="15"/>
      <c r="GO306" s="15"/>
      <c r="GP306" s="15"/>
      <c r="GQ306" s="15"/>
      <c r="GR306" s="15"/>
      <c r="GS306" s="15"/>
      <c r="GT306" s="15"/>
      <c r="GU306" s="15"/>
      <c r="GV306" s="15"/>
      <c r="GW306" s="15"/>
      <c r="GX306" s="15"/>
      <c r="GY306" s="15"/>
      <c r="GZ306" s="15"/>
      <c r="HA306" s="15"/>
      <c r="HB306" s="15"/>
      <c r="HC306" s="15"/>
      <c r="HD306" s="15"/>
      <c r="HE306" s="15"/>
      <c r="HF306" s="15"/>
      <c r="HG306" s="15"/>
      <c r="HH306" s="15"/>
      <c r="HI306" s="15"/>
      <c r="HJ306" s="15"/>
      <c r="HK306" s="15"/>
      <c r="HL306" s="15"/>
      <c r="HM306" s="15"/>
      <c r="HN306" s="15"/>
      <c r="HO306" s="15"/>
      <c r="HP306" s="15"/>
      <c r="HQ306" s="15"/>
      <c r="HR306" s="15"/>
      <c r="HS306" s="15"/>
      <c r="HT306" s="15"/>
      <c r="HU306" s="15"/>
      <c r="HV306" s="15"/>
      <c r="HW306" s="15"/>
      <c r="HX306" s="15"/>
      <c r="HY306" s="15"/>
      <c r="HZ306" s="15"/>
      <c r="IA306" s="15"/>
      <c r="IB306" s="15"/>
      <c r="IC306" s="15"/>
      <c r="ID306" s="15"/>
      <c r="IE306" s="15"/>
      <c r="IF306" s="15"/>
      <c r="IG306" s="15"/>
      <c r="IH306" s="15"/>
      <c r="II306" s="15"/>
      <c r="IJ306" s="15"/>
      <c r="IK306" s="15"/>
      <c r="IL306" s="15"/>
      <c r="IM306" s="15"/>
      <c r="IN306" s="15"/>
      <c r="IO306" s="15"/>
      <c r="IP306" s="15"/>
      <c r="IQ306" s="15"/>
      <c r="IR306" s="15"/>
      <c r="IS306" s="15"/>
      <c r="IT306" s="15"/>
      <c r="IU306" s="15"/>
      <c r="IV306" s="15"/>
      <c r="IW306" s="15"/>
      <c r="IX306" s="15"/>
      <c r="IY306" s="15"/>
      <c r="IZ306" s="15"/>
      <c r="JA306" s="15"/>
      <c r="JB306" s="15"/>
      <c r="JC306" s="15"/>
      <c r="JD306" s="15"/>
      <c r="JE306" s="15"/>
      <c r="JF306" s="15"/>
      <c r="JG306" s="15"/>
      <c r="JH306" s="15"/>
      <c r="JI306" s="15"/>
      <c r="JJ306" s="15"/>
      <c r="JK306" s="15"/>
      <c r="JL306" s="15"/>
      <c r="JM306" s="15"/>
      <c r="JN306" s="15"/>
      <c r="JO306" s="15"/>
      <c r="JP306" s="15"/>
      <c r="JQ306" s="15"/>
      <c r="JR306" s="15"/>
      <c r="JS306" s="15"/>
      <c r="JT306" s="15"/>
      <c r="JU306" s="15"/>
      <c r="JV306" s="15"/>
      <c r="JW306" s="15"/>
      <c r="JX306" s="15"/>
      <c r="JY306" s="15"/>
      <c r="JZ306" s="15"/>
      <c r="KA306" s="15"/>
      <c r="KB306" s="15"/>
      <c r="KC306" s="15"/>
      <c r="KD306" s="15"/>
      <c r="KE306" s="15"/>
      <c r="KF306" s="15"/>
      <c r="KG306" s="15"/>
      <c r="KH306" s="15"/>
      <c r="KI306" s="15"/>
      <c r="KJ306" s="15"/>
      <c r="KK306" s="15"/>
      <c r="KL306" s="15"/>
      <c r="KM306" s="15"/>
      <c r="KN306" s="15"/>
      <c r="KO306" s="15"/>
      <c r="KP306" s="15"/>
      <c r="KQ306" s="15"/>
      <c r="KR306" s="15"/>
      <c r="KS306" s="15"/>
      <c r="KT306" s="15"/>
      <c r="KU306" s="15"/>
      <c r="KV306" s="15"/>
      <c r="KW306" s="15"/>
      <c r="KX306" s="15"/>
      <c r="KY306" s="15"/>
      <c r="KZ306" s="15"/>
      <c r="LA306" s="15"/>
      <c r="LB306" s="15"/>
      <c r="LC306" s="15"/>
      <c r="LD306" s="15"/>
      <c r="LE306" s="15"/>
      <c r="LF306" s="15"/>
      <c r="LG306" s="15"/>
      <c r="LH306" s="15"/>
      <c r="LI306" s="15"/>
      <c r="LJ306" s="15"/>
      <c r="LK306" s="15"/>
      <c r="LL306" s="15"/>
      <c r="LM306" s="15"/>
      <c r="LN306" s="15"/>
      <c r="LO306" s="15"/>
      <c r="LP306" s="15"/>
      <c r="LQ306" s="15"/>
      <c r="LR306" s="15"/>
      <c r="LS306" s="15"/>
      <c r="LT306" s="15"/>
      <c r="LU306" s="15"/>
      <c r="LV306" s="15"/>
      <c r="LW306" s="15"/>
      <c r="LX306" s="15"/>
      <c r="LY306" s="15"/>
      <c r="LZ306" s="15"/>
      <c r="MA306" s="15"/>
      <c r="MB306" s="15"/>
      <c r="MC306" s="15"/>
      <c r="MD306" s="15"/>
      <c r="ME306" s="15"/>
      <c r="MF306" s="15"/>
      <c r="MG306" s="15"/>
      <c r="MH306" s="15"/>
      <c r="MI306" s="15"/>
      <c r="MJ306" s="15"/>
      <c r="MK306" s="15"/>
      <c r="ML306" s="15"/>
      <c r="MM306" s="15"/>
      <c r="MN306" s="15"/>
      <c r="MO306" s="15"/>
      <c r="MP306" s="15"/>
      <c r="MQ306" s="15"/>
      <c r="MR306" s="15"/>
      <c r="MS306" s="15"/>
      <c r="MT306" s="15"/>
      <c r="MU306" s="15"/>
      <c r="MV306" s="15"/>
      <c r="MW306" s="15"/>
    </row>
    <row r="307" ht="41.25" customHeight="1">
      <c r="A307" s="16" t="s">
        <v>297</v>
      </c>
      <c r="B307" s="14" t="s">
        <v>10332</v>
      </c>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5"/>
      <c r="DL307" s="15"/>
      <c r="DM307" s="15"/>
      <c r="DN307" s="15"/>
      <c r="DO307" s="15"/>
      <c r="DP307" s="15"/>
      <c r="DQ307" s="15"/>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5"/>
      <c r="EY307" s="15"/>
      <c r="EZ307" s="15"/>
      <c r="FA307" s="15"/>
      <c r="FB307" s="15"/>
      <c r="FC307" s="15"/>
      <c r="FD307" s="15"/>
      <c r="FE307" s="15"/>
      <c r="FF307" s="15"/>
      <c r="FG307" s="15"/>
      <c r="FH307" s="15"/>
      <c r="FI307" s="15"/>
      <c r="FJ307" s="15"/>
      <c r="FK307" s="15"/>
      <c r="FL307" s="15"/>
      <c r="FM307" s="15"/>
      <c r="FN307" s="15"/>
      <c r="FO307" s="15"/>
      <c r="FP307" s="15"/>
      <c r="FQ307" s="15"/>
      <c r="FR307" s="15"/>
      <c r="FS307" s="15"/>
      <c r="FT307" s="15"/>
      <c r="FU307" s="15"/>
      <c r="FV307" s="15"/>
      <c r="FW307" s="15"/>
      <c r="FX307" s="15"/>
      <c r="FY307" s="15"/>
      <c r="FZ307" s="15"/>
      <c r="GA307" s="15"/>
      <c r="GB307" s="15"/>
      <c r="GC307" s="15"/>
      <c r="GD307" s="15"/>
      <c r="GE307" s="15"/>
      <c r="GF307" s="15"/>
      <c r="GG307" s="15"/>
      <c r="GH307" s="15"/>
      <c r="GI307" s="15"/>
      <c r="GJ307" s="15"/>
      <c r="GK307" s="15"/>
      <c r="GL307" s="15"/>
      <c r="GM307" s="15"/>
      <c r="GN307" s="15"/>
      <c r="GO307" s="15"/>
      <c r="GP307" s="15"/>
      <c r="GQ307" s="15"/>
      <c r="GR307" s="15"/>
      <c r="GS307" s="15"/>
      <c r="GT307" s="15"/>
      <c r="GU307" s="15"/>
      <c r="GV307" s="15"/>
      <c r="GW307" s="15"/>
      <c r="GX307" s="15"/>
      <c r="GY307" s="15"/>
      <c r="GZ307" s="15"/>
      <c r="HA307" s="15"/>
      <c r="HB307" s="15"/>
      <c r="HC307" s="15"/>
      <c r="HD307" s="15"/>
      <c r="HE307" s="15"/>
      <c r="HF307" s="15"/>
      <c r="HG307" s="15"/>
      <c r="HH307" s="15"/>
      <c r="HI307" s="15"/>
      <c r="HJ307" s="15"/>
      <c r="HK307" s="15"/>
      <c r="HL307" s="15"/>
      <c r="HM307" s="15"/>
      <c r="HN307" s="15"/>
      <c r="HO307" s="15"/>
      <c r="HP307" s="15"/>
      <c r="HQ307" s="15"/>
      <c r="HR307" s="15"/>
      <c r="HS307" s="15"/>
      <c r="HT307" s="15"/>
      <c r="HU307" s="15"/>
      <c r="HV307" s="15"/>
      <c r="HW307" s="15"/>
      <c r="HX307" s="15"/>
      <c r="HY307" s="15"/>
      <c r="HZ307" s="15"/>
      <c r="IA307" s="15"/>
      <c r="IB307" s="15"/>
      <c r="IC307" s="15"/>
      <c r="ID307" s="15"/>
      <c r="IE307" s="15"/>
      <c r="IF307" s="15"/>
      <c r="IG307" s="15"/>
      <c r="IH307" s="15"/>
      <c r="II307" s="15"/>
      <c r="IJ307" s="15"/>
      <c r="IK307" s="15"/>
      <c r="IL307" s="15"/>
      <c r="IM307" s="15"/>
      <c r="IN307" s="15"/>
      <c r="IO307" s="15"/>
      <c r="IP307" s="15"/>
      <c r="IQ307" s="15"/>
      <c r="IR307" s="15"/>
      <c r="IS307" s="15"/>
      <c r="IT307" s="15"/>
      <c r="IU307" s="15"/>
      <c r="IV307" s="15"/>
      <c r="IW307" s="15"/>
      <c r="IX307" s="15"/>
      <c r="IY307" s="15"/>
      <c r="IZ307" s="15"/>
      <c r="JA307" s="15"/>
      <c r="JB307" s="15"/>
      <c r="JC307" s="15"/>
      <c r="JD307" s="15"/>
      <c r="JE307" s="15"/>
      <c r="JF307" s="15"/>
      <c r="JG307" s="15"/>
      <c r="JH307" s="15"/>
      <c r="JI307" s="15"/>
      <c r="JJ307" s="15"/>
      <c r="JK307" s="15"/>
      <c r="JL307" s="15"/>
      <c r="JM307" s="15"/>
      <c r="JN307" s="15"/>
      <c r="JO307" s="15"/>
      <c r="JP307" s="15"/>
      <c r="JQ307" s="15"/>
      <c r="JR307" s="15"/>
      <c r="JS307" s="15"/>
      <c r="JT307" s="15"/>
      <c r="JU307" s="15"/>
      <c r="JV307" s="15"/>
      <c r="JW307" s="15"/>
      <c r="JX307" s="15"/>
      <c r="JY307" s="15"/>
      <c r="JZ307" s="15"/>
      <c r="KA307" s="15"/>
      <c r="KB307" s="15"/>
      <c r="KC307" s="15"/>
      <c r="KD307" s="15"/>
      <c r="KE307" s="15"/>
      <c r="KF307" s="15"/>
      <c r="KG307" s="15"/>
      <c r="KH307" s="15"/>
      <c r="KI307" s="15"/>
      <c r="KJ307" s="15"/>
      <c r="KK307" s="15"/>
      <c r="KL307" s="15"/>
      <c r="KM307" s="15"/>
      <c r="KN307" s="15"/>
      <c r="KO307" s="15"/>
      <c r="KP307" s="15"/>
      <c r="KQ307" s="15"/>
      <c r="KR307" s="15"/>
      <c r="KS307" s="15"/>
      <c r="KT307" s="15"/>
      <c r="KU307" s="15"/>
      <c r="KV307" s="15"/>
      <c r="KW307" s="15"/>
      <c r="KX307" s="15"/>
      <c r="KY307" s="15"/>
      <c r="KZ307" s="15"/>
      <c r="LA307" s="15"/>
      <c r="LB307" s="15"/>
      <c r="LC307" s="15"/>
      <c r="LD307" s="15"/>
      <c r="LE307" s="15"/>
      <c r="LF307" s="15"/>
      <c r="LG307" s="15"/>
      <c r="LH307" s="15"/>
      <c r="LI307" s="15"/>
      <c r="LJ307" s="15"/>
      <c r="LK307" s="15"/>
      <c r="LL307" s="15"/>
      <c r="LM307" s="15"/>
      <c r="LN307" s="15"/>
      <c r="LO307" s="15"/>
      <c r="LP307" s="15"/>
      <c r="LQ307" s="15"/>
      <c r="LR307" s="15"/>
      <c r="LS307" s="15"/>
      <c r="LT307" s="15"/>
      <c r="LU307" s="15"/>
      <c r="LV307" s="15"/>
      <c r="LW307" s="15"/>
      <c r="LX307" s="15"/>
      <c r="LY307" s="15"/>
      <c r="LZ307" s="15"/>
      <c r="MA307" s="15"/>
      <c r="MB307" s="15"/>
      <c r="MC307" s="15"/>
      <c r="MD307" s="15"/>
      <c r="ME307" s="15"/>
      <c r="MF307" s="15"/>
      <c r="MG307" s="15"/>
      <c r="MH307" s="15"/>
      <c r="MI307" s="15"/>
      <c r="MJ307" s="15"/>
      <c r="MK307" s="15"/>
      <c r="ML307" s="15"/>
      <c r="MM307" s="15"/>
      <c r="MN307" s="15"/>
      <c r="MO307" s="15"/>
      <c r="MP307" s="15"/>
      <c r="MQ307" s="15"/>
      <c r="MR307" s="15"/>
      <c r="MS307" s="15"/>
      <c r="MT307" s="15"/>
      <c r="MU307" s="15"/>
      <c r="MV307" s="15"/>
      <c r="MW307" s="15"/>
    </row>
    <row r="308" ht="119.25" customHeight="1">
      <c r="A308" s="16" t="s">
        <v>301</v>
      </c>
      <c r="B308" s="14" t="s">
        <v>10333</v>
      </c>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5"/>
      <c r="DL308" s="15"/>
      <c r="DM308" s="15"/>
      <c r="DN308" s="15"/>
      <c r="DO308" s="15"/>
      <c r="DP308" s="15"/>
      <c r="DQ308" s="15"/>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5"/>
      <c r="EY308" s="15"/>
      <c r="EZ308" s="15"/>
      <c r="FA308" s="15"/>
      <c r="FB308" s="15"/>
      <c r="FC308" s="15"/>
      <c r="FD308" s="15"/>
      <c r="FE308" s="15"/>
      <c r="FF308" s="15"/>
      <c r="FG308" s="15"/>
      <c r="FH308" s="15"/>
      <c r="FI308" s="15"/>
      <c r="FJ308" s="15"/>
      <c r="FK308" s="15"/>
      <c r="FL308" s="15"/>
      <c r="FM308" s="15"/>
      <c r="FN308" s="15"/>
      <c r="FO308" s="15"/>
      <c r="FP308" s="15"/>
      <c r="FQ308" s="15"/>
      <c r="FR308" s="15"/>
      <c r="FS308" s="15"/>
      <c r="FT308" s="15"/>
      <c r="FU308" s="15"/>
      <c r="FV308" s="15"/>
      <c r="FW308" s="15"/>
      <c r="FX308" s="15"/>
      <c r="FY308" s="15"/>
      <c r="FZ308" s="15"/>
      <c r="GA308" s="15"/>
      <c r="GB308" s="15"/>
      <c r="GC308" s="15"/>
      <c r="GD308" s="15"/>
      <c r="GE308" s="15"/>
      <c r="GF308" s="15"/>
      <c r="GG308" s="15"/>
      <c r="GH308" s="15"/>
      <c r="GI308" s="15"/>
      <c r="GJ308" s="15"/>
      <c r="GK308" s="15"/>
      <c r="GL308" s="15"/>
      <c r="GM308" s="15"/>
      <c r="GN308" s="15"/>
      <c r="GO308" s="15"/>
      <c r="GP308" s="15"/>
      <c r="GQ308" s="15"/>
      <c r="GR308" s="15"/>
      <c r="GS308" s="15"/>
      <c r="GT308" s="15"/>
      <c r="GU308" s="15"/>
      <c r="GV308" s="15"/>
      <c r="GW308" s="15"/>
      <c r="GX308" s="15"/>
      <c r="GY308" s="15"/>
      <c r="GZ308" s="15"/>
      <c r="HA308" s="15"/>
      <c r="HB308" s="15"/>
      <c r="HC308" s="15"/>
      <c r="HD308" s="15"/>
      <c r="HE308" s="15"/>
      <c r="HF308" s="15"/>
      <c r="HG308" s="15"/>
      <c r="HH308" s="15"/>
      <c r="HI308" s="15"/>
      <c r="HJ308" s="15"/>
      <c r="HK308" s="15"/>
      <c r="HL308" s="15"/>
      <c r="HM308" s="15"/>
      <c r="HN308" s="15"/>
      <c r="HO308" s="15"/>
      <c r="HP308" s="15"/>
      <c r="HQ308" s="15"/>
      <c r="HR308" s="15"/>
      <c r="HS308" s="15"/>
      <c r="HT308" s="15"/>
      <c r="HU308" s="15"/>
      <c r="HV308" s="15"/>
      <c r="HW308" s="15"/>
      <c r="HX308" s="15"/>
      <c r="HY308" s="15"/>
      <c r="HZ308" s="15"/>
      <c r="IA308" s="15"/>
      <c r="IB308" s="15"/>
      <c r="IC308" s="15"/>
      <c r="ID308" s="15"/>
      <c r="IE308" s="15"/>
      <c r="IF308" s="15"/>
      <c r="IG308" s="15"/>
      <c r="IH308" s="15"/>
      <c r="II308" s="15"/>
      <c r="IJ308" s="15"/>
      <c r="IK308" s="15"/>
      <c r="IL308" s="15"/>
      <c r="IM308" s="15"/>
      <c r="IN308" s="15"/>
      <c r="IO308" s="15"/>
      <c r="IP308" s="15"/>
      <c r="IQ308" s="15"/>
      <c r="IR308" s="15"/>
      <c r="IS308" s="15"/>
      <c r="IT308" s="15"/>
      <c r="IU308" s="15"/>
      <c r="IV308" s="15"/>
      <c r="IW308" s="15"/>
      <c r="IX308" s="15"/>
      <c r="IY308" s="15"/>
      <c r="IZ308" s="15"/>
      <c r="JA308" s="15"/>
      <c r="JB308" s="15"/>
      <c r="JC308" s="15"/>
      <c r="JD308" s="15"/>
      <c r="JE308" s="15"/>
      <c r="JF308" s="15"/>
      <c r="JG308" s="15"/>
      <c r="JH308" s="15"/>
      <c r="JI308" s="15"/>
      <c r="JJ308" s="15"/>
      <c r="JK308" s="15"/>
      <c r="JL308" s="15"/>
      <c r="JM308" s="15"/>
      <c r="JN308" s="15"/>
      <c r="JO308" s="15"/>
      <c r="JP308" s="15"/>
      <c r="JQ308" s="15"/>
      <c r="JR308" s="15"/>
      <c r="JS308" s="15"/>
      <c r="JT308" s="15"/>
      <c r="JU308" s="15"/>
      <c r="JV308" s="15"/>
      <c r="JW308" s="15"/>
      <c r="JX308" s="15"/>
      <c r="JY308" s="15"/>
      <c r="JZ308" s="15"/>
      <c r="KA308" s="15"/>
      <c r="KB308" s="15"/>
      <c r="KC308" s="15"/>
      <c r="KD308" s="15"/>
      <c r="KE308" s="15"/>
      <c r="KF308" s="15"/>
      <c r="KG308" s="15"/>
      <c r="KH308" s="15"/>
      <c r="KI308" s="15"/>
      <c r="KJ308" s="15"/>
      <c r="KK308" s="15"/>
      <c r="KL308" s="15"/>
      <c r="KM308" s="15"/>
      <c r="KN308" s="15"/>
      <c r="KO308" s="15"/>
      <c r="KP308" s="15"/>
      <c r="KQ308" s="15"/>
      <c r="KR308" s="15"/>
      <c r="KS308" s="15"/>
      <c r="KT308" s="15"/>
      <c r="KU308" s="15"/>
      <c r="KV308" s="15"/>
      <c r="KW308" s="15"/>
      <c r="KX308" s="15"/>
      <c r="KY308" s="15"/>
      <c r="KZ308" s="15"/>
      <c r="LA308" s="15"/>
      <c r="LB308" s="15"/>
      <c r="LC308" s="15"/>
      <c r="LD308" s="15"/>
      <c r="LE308" s="15"/>
      <c r="LF308" s="15"/>
      <c r="LG308" s="15"/>
      <c r="LH308" s="15"/>
      <c r="LI308" s="15"/>
      <c r="LJ308" s="15"/>
      <c r="LK308" s="15"/>
      <c r="LL308" s="15"/>
      <c r="LM308" s="15"/>
      <c r="LN308" s="15"/>
      <c r="LO308" s="15"/>
      <c r="LP308" s="15"/>
      <c r="LQ308" s="15"/>
      <c r="LR308" s="15"/>
      <c r="LS308" s="15"/>
      <c r="LT308" s="15"/>
      <c r="LU308" s="15"/>
      <c r="LV308" s="15"/>
      <c r="LW308" s="15"/>
      <c r="LX308" s="15"/>
      <c r="LY308" s="15"/>
      <c r="LZ308" s="15"/>
      <c r="MA308" s="15"/>
      <c r="MB308" s="15"/>
      <c r="MC308" s="15"/>
      <c r="MD308" s="15"/>
      <c r="ME308" s="15"/>
      <c r="MF308" s="15"/>
      <c r="MG308" s="15"/>
      <c r="MH308" s="15"/>
      <c r="MI308" s="15"/>
      <c r="MJ308" s="15"/>
      <c r="MK308" s="15"/>
      <c r="ML308" s="15"/>
      <c r="MM308" s="15"/>
      <c r="MN308" s="15"/>
      <c r="MO308" s="15"/>
      <c r="MP308" s="15"/>
      <c r="MQ308" s="15"/>
      <c r="MR308" s="15"/>
      <c r="MS308" s="15"/>
      <c r="MT308" s="15"/>
      <c r="MU308" s="15"/>
      <c r="MV308" s="15"/>
      <c r="MW308" s="15"/>
    </row>
    <row r="309" ht="41.25" customHeight="1">
      <c r="A309" s="16" t="s">
        <v>10334</v>
      </c>
      <c r="B309" s="14" t="s">
        <v>10335</v>
      </c>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5"/>
      <c r="DL309" s="15"/>
      <c r="DM309" s="15"/>
      <c r="DN309" s="15"/>
      <c r="DO309" s="15"/>
      <c r="DP309" s="15"/>
      <c r="DQ309" s="15"/>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5"/>
      <c r="EY309" s="15"/>
      <c r="EZ309" s="15"/>
      <c r="FA309" s="15"/>
      <c r="FB309" s="15"/>
      <c r="FC309" s="15"/>
      <c r="FD309" s="15"/>
      <c r="FE309" s="15"/>
      <c r="FF309" s="15"/>
      <c r="FG309" s="15"/>
      <c r="FH309" s="15"/>
      <c r="FI309" s="15"/>
      <c r="FJ309" s="15"/>
      <c r="FK309" s="15"/>
      <c r="FL309" s="15"/>
      <c r="FM309" s="15"/>
      <c r="FN309" s="15"/>
      <c r="FO309" s="15"/>
      <c r="FP309" s="15"/>
      <c r="FQ309" s="15"/>
      <c r="FR309" s="15"/>
      <c r="FS309" s="15"/>
      <c r="FT309" s="15"/>
      <c r="FU309" s="15"/>
      <c r="FV309" s="15"/>
      <c r="FW309" s="15"/>
      <c r="FX309" s="15"/>
      <c r="FY309" s="15"/>
      <c r="FZ309" s="15"/>
      <c r="GA309" s="15"/>
      <c r="GB309" s="15"/>
      <c r="GC309" s="15"/>
      <c r="GD309" s="15"/>
      <c r="GE309" s="15"/>
      <c r="GF309" s="15"/>
      <c r="GG309" s="15"/>
      <c r="GH309" s="15"/>
      <c r="GI309" s="15"/>
      <c r="GJ309" s="15"/>
      <c r="GK309" s="15"/>
      <c r="GL309" s="15"/>
      <c r="GM309" s="15"/>
      <c r="GN309" s="15"/>
      <c r="GO309" s="15"/>
      <c r="GP309" s="15"/>
      <c r="GQ309" s="15"/>
      <c r="GR309" s="15"/>
      <c r="GS309" s="15"/>
      <c r="GT309" s="15"/>
      <c r="GU309" s="15"/>
      <c r="GV309" s="15"/>
      <c r="GW309" s="15"/>
      <c r="GX309" s="15"/>
      <c r="GY309" s="15"/>
      <c r="GZ309" s="15"/>
      <c r="HA309" s="15"/>
      <c r="HB309" s="15"/>
      <c r="HC309" s="15"/>
      <c r="HD309" s="15"/>
      <c r="HE309" s="15"/>
      <c r="HF309" s="15"/>
      <c r="HG309" s="15"/>
      <c r="HH309" s="15"/>
      <c r="HI309" s="15"/>
      <c r="HJ309" s="15"/>
      <c r="HK309" s="15"/>
      <c r="HL309" s="15"/>
      <c r="HM309" s="15"/>
      <c r="HN309" s="15"/>
      <c r="HO309" s="15"/>
      <c r="HP309" s="15"/>
      <c r="HQ309" s="15"/>
      <c r="HR309" s="15"/>
      <c r="HS309" s="15"/>
      <c r="HT309" s="15"/>
      <c r="HU309" s="15"/>
      <c r="HV309" s="15"/>
      <c r="HW309" s="15"/>
      <c r="HX309" s="15"/>
      <c r="HY309" s="15"/>
      <c r="HZ309" s="15"/>
      <c r="IA309" s="15"/>
      <c r="IB309" s="15"/>
      <c r="IC309" s="15"/>
      <c r="ID309" s="15"/>
      <c r="IE309" s="15"/>
      <c r="IF309" s="15"/>
      <c r="IG309" s="15"/>
      <c r="IH309" s="15"/>
      <c r="II309" s="15"/>
      <c r="IJ309" s="15"/>
      <c r="IK309" s="15"/>
      <c r="IL309" s="15"/>
      <c r="IM309" s="15"/>
      <c r="IN309" s="15"/>
      <c r="IO309" s="15"/>
      <c r="IP309" s="15"/>
      <c r="IQ309" s="15"/>
      <c r="IR309" s="15"/>
      <c r="IS309" s="15"/>
      <c r="IT309" s="15"/>
      <c r="IU309" s="15"/>
      <c r="IV309" s="15"/>
      <c r="IW309" s="15"/>
      <c r="IX309" s="15"/>
      <c r="IY309" s="15"/>
      <c r="IZ309" s="15"/>
      <c r="JA309" s="15"/>
      <c r="JB309" s="15"/>
      <c r="JC309" s="15"/>
      <c r="JD309" s="15"/>
      <c r="JE309" s="15"/>
      <c r="JF309" s="15"/>
      <c r="JG309" s="15"/>
      <c r="JH309" s="15"/>
      <c r="JI309" s="15"/>
      <c r="JJ309" s="15"/>
      <c r="JK309" s="15"/>
      <c r="JL309" s="15"/>
      <c r="JM309" s="15"/>
      <c r="JN309" s="15"/>
      <c r="JO309" s="15"/>
      <c r="JP309" s="15"/>
      <c r="JQ309" s="15"/>
      <c r="JR309" s="15"/>
      <c r="JS309" s="15"/>
      <c r="JT309" s="15"/>
      <c r="JU309" s="15"/>
      <c r="JV309" s="15"/>
      <c r="JW309" s="15"/>
      <c r="JX309" s="15"/>
      <c r="JY309" s="15"/>
      <c r="JZ309" s="15"/>
      <c r="KA309" s="15"/>
      <c r="KB309" s="15"/>
      <c r="KC309" s="15"/>
      <c r="KD309" s="15"/>
      <c r="KE309" s="15"/>
      <c r="KF309" s="15"/>
      <c r="KG309" s="15"/>
      <c r="KH309" s="15"/>
      <c r="KI309" s="15"/>
      <c r="KJ309" s="15"/>
      <c r="KK309" s="15"/>
      <c r="KL309" s="15"/>
      <c r="KM309" s="15"/>
      <c r="KN309" s="15"/>
      <c r="KO309" s="15"/>
      <c r="KP309" s="15"/>
      <c r="KQ309" s="15"/>
      <c r="KR309" s="15"/>
      <c r="KS309" s="15"/>
      <c r="KT309" s="15"/>
      <c r="KU309" s="15"/>
      <c r="KV309" s="15"/>
      <c r="KW309" s="15"/>
      <c r="KX309" s="15"/>
      <c r="KY309" s="15"/>
      <c r="KZ309" s="15"/>
      <c r="LA309" s="15"/>
      <c r="LB309" s="15"/>
      <c r="LC309" s="15"/>
      <c r="LD309" s="15"/>
      <c r="LE309" s="15"/>
      <c r="LF309" s="15"/>
      <c r="LG309" s="15"/>
      <c r="LH309" s="15"/>
      <c r="LI309" s="15"/>
      <c r="LJ309" s="15"/>
      <c r="LK309" s="15"/>
      <c r="LL309" s="15"/>
      <c r="LM309" s="15"/>
      <c r="LN309" s="15"/>
      <c r="LO309" s="15"/>
      <c r="LP309" s="15"/>
      <c r="LQ309" s="15"/>
      <c r="LR309" s="15"/>
      <c r="LS309" s="15"/>
      <c r="LT309" s="15"/>
      <c r="LU309" s="15"/>
      <c r="LV309" s="15"/>
      <c r="LW309" s="15"/>
      <c r="LX309" s="15"/>
      <c r="LY309" s="15"/>
      <c r="LZ309" s="15"/>
      <c r="MA309" s="15"/>
      <c r="MB309" s="15"/>
      <c r="MC309" s="15"/>
      <c r="MD309" s="15"/>
      <c r="ME309" s="15"/>
      <c r="MF309" s="15"/>
      <c r="MG309" s="15"/>
      <c r="MH309" s="15"/>
      <c r="MI309" s="15"/>
      <c r="MJ309" s="15"/>
      <c r="MK309" s="15"/>
      <c r="ML309" s="15"/>
      <c r="MM309" s="15"/>
      <c r="MN309" s="15"/>
      <c r="MO309" s="15"/>
      <c r="MP309" s="15"/>
      <c r="MQ309" s="15"/>
      <c r="MR309" s="15"/>
      <c r="MS309" s="15"/>
      <c r="MT309" s="15"/>
      <c r="MU309" s="15"/>
      <c r="MV309" s="15"/>
      <c r="MW309" s="15"/>
    </row>
    <row r="310" ht="119.25" customHeight="1">
      <c r="A310" s="16" t="s">
        <v>10336</v>
      </c>
      <c r="B310" s="14" t="s">
        <v>10337</v>
      </c>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5"/>
      <c r="DL310" s="15"/>
      <c r="DM310" s="15"/>
      <c r="DN310" s="15"/>
      <c r="DO310" s="15"/>
      <c r="DP310" s="15"/>
      <c r="DQ310" s="15"/>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5"/>
      <c r="EY310" s="15"/>
      <c r="EZ310" s="15"/>
      <c r="FA310" s="15"/>
      <c r="FB310" s="15"/>
      <c r="FC310" s="15"/>
      <c r="FD310" s="15"/>
      <c r="FE310" s="15"/>
      <c r="FF310" s="15"/>
      <c r="FG310" s="15"/>
      <c r="FH310" s="15"/>
      <c r="FI310" s="15"/>
      <c r="FJ310" s="15"/>
      <c r="FK310" s="15"/>
      <c r="FL310" s="15"/>
      <c r="FM310" s="15"/>
      <c r="FN310" s="15"/>
      <c r="FO310" s="15"/>
      <c r="FP310" s="15"/>
      <c r="FQ310" s="15"/>
      <c r="FR310" s="15"/>
      <c r="FS310" s="15"/>
      <c r="FT310" s="15"/>
      <c r="FU310" s="15"/>
      <c r="FV310" s="15"/>
      <c r="FW310" s="15"/>
      <c r="FX310" s="15"/>
      <c r="FY310" s="15"/>
      <c r="FZ310" s="15"/>
      <c r="GA310" s="15"/>
      <c r="GB310" s="15"/>
      <c r="GC310" s="15"/>
      <c r="GD310" s="15"/>
      <c r="GE310" s="15"/>
      <c r="GF310" s="15"/>
      <c r="GG310" s="15"/>
      <c r="GH310" s="15"/>
      <c r="GI310" s="15"/>
      <c r="GJ310" s="15"/>
      <c r="GK310" s="15"/>
      <c r="GL310" s="15"/>
      <c r="GM310" s="15"/>
      <c r="GN310" s="15"/>
      <c r="GO310" s="15"/>
      <c r="GP310" s="15"/>
      <c r="GQ310" s="15"/>
      <c r="GR310" s="15"/>
      <c r="GS310" s="15"/>
      <c r="GT310" s="15"/>
      <c r="GU310" s="15"/>
      <c r="GV310" s="15"/>
      <c r="GW310" s="15"/>
      <c r="GX310" s="15"/>
      <c r="GY310" s="15"/>
      <c r="GZ310" s="15"/>
      <c r="HA310" s="15"/>
      <c r="HB310" s="15"/>
      <c r="HC310" s="15"/>
      <c r="HD310" s="15"/>
      <c r="HE310" s="15"/>
      <c r="HF310" s="15"/>
      <c r="HG310" s="15"/>
      <c r="HH310" s="15"/>
      <c r="HI310" s="15"/>
      <c r="HJ310" s="15"/>
      <c r="HK310" s="15"/>
      <c r="HL310" s="15"/>
      <c r="HM310" s="15"/>
      <c r="HN310" s="15"/>
      <c r="HO310" s="15"/>
      <c r="HP310" s="15"/>
      <c r="HQ310" s="15"/>
      <c r="HR310" s="15"/>
      <c r="HS310" s="15"/>
      <c r="HT310" s="15"/>
      <c r="HU310" s="15"/>
      <c r="HV310" s="15"/>
      <c r="HW310" s="15"/>
      <c r="HX310" s="15"/>
      <c r="HY310" s="15"/>
      <c r="HZ310" s="15"/>
      <c r="IA310" s="15"/>
      <c r="IB310" s="15"/>
      <c r="IC310" s="15"/>
      <c r="ID310" s="15"/>
      <c r="IE310" s="15"/>
      <c r="IF310" s="15"/>
      <c r="IG310" s="15"/>
      <c r="IH310" s="15"/>
      <c r="II310" s="15"/>
      <c r="IJ310" s="15"/>
      <c r="IK310" s="15"/>
      <c r="IL310" s="15"/>
      <c r="IM310" s="15"/>
      <c r="IN310" s="15"/>
      <c r="IO310" s="15"/>
      <c r="IP310" s="15"/>
      <c r="IQ310" s="15"/>
      <c r="IR310" s="15"/>
      <c r="IS310" s="15"/>
      <c r="IT310" s="15"/>
      <c r="IU310" s="15"/>
      <c r="IV310" s="15"/>
      <c r="IW310" s="15"/>
      <c r="IX310" s="15"/>
      <c r="IY310" s="15"/>
      <c r="IZ310" s="15"/>
      <c r="JA310" s="15"/>
      <c r="JB310" s="15"/>
      <c r="JC310" s="15"/>
      <c r="JD310" s="15"/>
      <c r="JE310" s="15"/>
      <c r="JF310" s="15"/>
      <c r="JG310" s="15"/>
      <c r="JH310" s="15"/>
      <c r="JI310" s="15"/>
      <c r="JJ310" s="15"/>
      <c r="JK310" s="15"/>
      <c r="JL310" s="15"/>
      <c r="JM310" s="15"/>
      <c r="JN310" s="15"/>
      <c r="JO310" s="15"/>
      <c r="JP310" s="15"/>
      <c r="JQ310" s="15"/>
      <c r="JR310" s="15"/>
      <c r="JS310" s="15"/>
      <c r="JT310" s="15"/>
      <c r="JU310" s="15"/>
      <c r="JV310" s="15"/>
      <c r="JW310" s="15"/>
      <c r="JX310" s="15"/>
      <c r="JY310" s="15"/>
      <c r="JZ310" s="15"/>
      <c r="KA310" s="15"/>
      <c r="KB310" s="15"/>
      <c r="KC310" s="15"/>
      <c r="KD310" s="15"/>
      <c r="KE310" s="15"/>
      <c r="KF310" s="15"/>
      <c r="KG310" s="15"/>
      <c r="KH310" s="15"/>
      <c r="KI310" s="15"/>
      <c r="KJ310" s="15"/>
      <c r="KK310" s="15"/>
      <c r="KL310" s="15"/>
      <c r="KM310" s="15"/>
      <c r="KN310" s="15"/>
      <c r="KO310" s="15"/>
      <c r="KP310" s="15"/>
      <c r="KQ310" s="15"/>
      <c r="KR310" s="15"/>
      <c r="KS310" s="15"/>
      <c r="KT310" s="15"/>
      <c r="KU310" s="15"/>
      <c r="KV310" s="15"/>
      <c r="KW310" s="15"/>
      <c r="KX310" s="15"/>
      <c r="KY310" s="15"/>
      <c r="KZ310" s="15"/>
      <c r="LA310" s="15"/>
      <c r="LB310" s="15"/>
      <c r="LC310" s="15"/>
      <c r="LD310" s="15"/>
      <c r="LE310" s="15"/>
      <c r="LF310" s="15"/>
      <c r="LG310" s="15"/>
      <c r="LH310" s="15"/>
      <c r="LI310" s="15"/>
      <c r="LJ310" s="15"/>
      <c r="LK310" s="15"/>
      <c r="LL310" s="15"/>
      <c r="LM310" s="15"/>
      <c r="LN310" s="15"/>
      <c r="LO310" s="15"/>
      <c r="LP310" s="15"/>
      <c r="LQ310" s="15"/>
      <c r="LR310" s="15"/>
      <c r="LS310" s="15"/>
      <c r="LT310" s="15"/>
      <c r="LU310" s="15"/>
      <c r="LV310" s="15"/>
      <c r="LW310" s="15"/>
      <c r="LX310" s="15"/>
      <c r="LY310" s="15"/>
      <c r="LZ310" s="15"/>
      <c r="MA310" s="15"/>
      <c r="MB310" s="15"/>
      <c r="MC310" s="15"/>
      <c r="MD310" s="15"/>
      <c r="ME310" s="15"/>
      <c r="MF310" s="15"/>
      <c r="MG310" s="15"/>
      <c r="MH310" s="15"/>
      <c r="MI310" s="15"/>
      <c r="MJ310" s="15"/>
      <c r="MK310" s="15"/>
      <c r="ML310" s="15"/>
      <c r="MM310" s="15"/>
      <c r="MN310" s="15"/>
      <c r="MO310" s="15"/>
      <c r="MP310" s="15"/>
      <c r="MQ310" s="15"/>
      <c r="MR310" s="15"/>
      <c r="MS310" s="15"/>
      <c r="MT310" s="15"/>
      <c r="MU310" s="15"/>
      <c r="MV310" s="15"/>
      <c r="MW310" s="15"/>
    </row>
    <row r="311" ht="41.25" customHeight="1">
      <c r="A311" s="16" t="s">
        <v>10338</v>
      </c>
      <c r="B311" s="14" t="s">
        <v>10339</v>
      </c>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5"/>
      <c r="DL311" s="15"/>
      <c r="DM311" s="15"/>
      <c r="DN311" s="15"/>
      <c r="DO311" s="15"/>
      <c r="DP311" s="15"/>
      <c r="DQ311" s="15"/>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5"/>
      <c r="EY311" s="15"/>
      <c r="EZ311" s="15"/>
      <c r="FA311" s="15"/>
      <c r="FB311" s="15"/>
      <c r="FC311" s="15"/>
      <c r="FD311" s="15"/>
      <c r="FE311" s="15"/>
      <c r="FF311" s="15"/>
      <c r="FG311" s="15"/>
      <c r="FH311" s="15"/>
      <c r="FI311" s="15"/>
      <c r="FJ311" s="15"/>
      <c r="FK311" s="15"/>
      <c r="FL311" s="15"/>
      <c r="FM311" s="15"/>
      <c r="FN311" s="15"/>
      <c r="FO311" s="15"/>
      <c r="FP311" s="15"/>
      <c r="FQ311" s="15"/>
      <c r="FR311" s="15"/>
      <c r="FS311" s="15"/>
      <c r="FT311" s="15"/>
      <c r="FU311" s="15"/>
      <c r="FV311" s="15"/>
      <c r="FW311" s="15"/>
      <c r="FX311" s="15"/>
      <c r="FY311" s="15"/>
      <c r="FZ311" s="15"/>
      <c r="GA311" s="15"/>
      <c r="GB311" s="15"/>
      <c r="GC311" s="15"/>
      <c r="GD311" s="15"/>
      <c r="GE311" s="15"/>
      <c r="GF311" s="15"/>
      <c r="GG311" s="15"/>
      <c r="GH311" s="15"/>
      <c r="GI311" s="15"/>
      <c r="GJ311" s="15"/>
      <c r="GK311" s="15"/>
      <c r="GL311" s="15"/>
      <c r="GM311" s="15"/>
      <c r="GN311" s="15"/>
      <c r="GO311" s="15"/>
      <c r="GP311" s="15"/>
      <c r="GQ311" s="15"/>
      <c r="GR311" s="15"/>
      <c r="GS311" s="15"/>
      <c r="GT311" s="15"/>
      <c r="GU311" s="15"/>
      <c r="GV311" s="15"/>
      <c r="GW311" s="15"/>
      <c r="GX311" s="15"/>
      <c r="GY311" s="15"/>
      <c r="GZ311" s="15"/>
      <c r="HA311" s="15"/>
      <c r="HB311" s="15"/>
      <c r="HC311" s="15"/>
      <c r="HD311" s="15"/>
      <c r="HE311" s="15"/>
      <c r="HF311" s="15"/>
      <c r="HG311" s="15"/>
      <c r="HH311" s="15"/>
      <c r="HI311" s="15"/>
      <c r="HJ311" s="15"/>
      <c r="HK311" s="15"/>
      <c r="HL311" s="15"/>
      <c r="HM311" s="15"/>
      <c r="HN311" s="15"/>
      <c r="HO311" s="15"/>
      <c r="HP311" s="15"/>
      <c r="HQ311" s="15"/>
      <c r="HR311" s="15"/>
      <c r="HS311" s="15"/>
      <c r="HT311" s="15"/>
      <c r="HU311" s="15"/>
      <c r="HV311" s="15"/>
      <c r="HW311" s="15"/>
      <c r="HX311" s="15"/>
      <c r="HY311" s="15"/>
      <c r="HZ311" s="15"/>
      <c r="IA311" s="15"/>
      <c r="IB311" s="15"/>
      <c r="IC311" s="15"/>
      <c r="ID311" s="15"/>
      <c r="IE311" s="15"/>
      <c r="IF311" s="15"/>
      <c r="IG311" s="15"/>
      <c r="IH311" s="15"/>
      <c r="II311" s="15"/>
      <c r="IJ311" s="15"/>
      <c r="IK311" s="15"/>
      <c r="IL311" s="15"/>
      <c r="IM311" s="15"/>
      <c r="IN311" s="15"/>
      <c r="IO311" s="15"/>
      <c r="IP311" s="15"/>
      <c r="IQ311" s="15"/>
      <c r="IR311" s="15"/>
      <c r="IS311" s="15"/>
      <c r="IT311" s="15"/>
      <c r="IU311" s="15"/>
      <c r="IV311" s="15"/>
      <c r="IW311" s="15"/>
      <c r="IX311" s="15"/>
      <c r="IY311" s="15"/>
      <c r="IZ311" s="15"/>
      <c r="JA311" s="15"/>
      <c r="JB311" s="15"/>
      <c r="JC311" s="15"/>
      <c r="JD311" s="15"/>
      <c r="JE311" s="15"/>
      <c r="JF311" s="15"/>
      <c r="JG311" s="15"/>
      <c r="JH311" s="15"/>
      <c r="JI311" s="15"/>
      <c r="JJ311" s="15"/>
      <c r="JK311" s="15"/>
      <c r="JL311" s="15"/>
      <c r="JM311" s="15"/>
      <c r="JN311" s="15"/>
      <c r="JO311" s="15"/>
      <c r="JP311" s="15"/>
      <c r="JQ311" s="15"/>
      <c r="JR311" s="15"/>
      <c r="JS311" s="15"/>
      <c r="JT311" s="15"/>
      <c r="JU311" s="15"/>
      <c r="JV311" s="15"/>
      <c r="JW311" s="15"/>
      <c r="JX311" s="15"/>
      <c r="JY311" s="15"/>
      <c r="JZ311" s="15"/>
      <c r="KA311" s="15"/>
      <c r="KB311" s="15"/>
      <c r="KC311" s="15"/>
      <c r="KD311" s="15"/>
      <c r="KE311" s="15"/>
      <c r="KF311" s="15"/>
      <c r="KG311" s="15"/>
      <c r="KH311" s="15"/>
      <c r="KI311" s="15"/>
      <c r="KJ311" s="15"/>
      <c r="KK311" s="15"/>
      <c r="KL311" s="15"/>
      <c r="KM311" s="15"/>
      <c r="KN311" s="15"/>
      <c r="KO311" s="15"/>
      <c r="KP311" s="15"/>
      <c r="KQ311" s="15"/>
      <c r="KR311" s="15"/>
      <c r="KS311" s="15"/>
      <c r="KT311" s="15"/>
      <c r="KU311" s="15"/>
      <c r="KV311" s="15"/>
      <c r="KW311" s="15"/>
      <c r="KX311" s="15"/>
      <c r="KY311" s="15"/>
      <c r="KZ311" s="15"/>
      <c r="LA311" s="15"/>
      <c r="LB311" s="15"/>
      <c r="LC311" s="15"/>
      <c r="LD311" s="15"/>
      <c r="LE311" s="15"/>
      <c r="LF311" s="15"/>
      <c r="LG311" s="15"/>
      <c r="LH311" s="15"/>
      <c r="LI311" s="15"/>
      <c r="LJ311" s="15"/>
      <c r="LK311" s="15"/>
      <c r="LL311" s="15"/>
      <c r="LM311" s="15"/>
      <c r="LN311" s="15"/>
      <c r="LO311" s="15"/>
      <c r="LP311" s="15"/>
      <c r="LQ311" s="15"/>
      <c r="LR311" s="15"/>
      <c r="LS311" s="15"/>
      <c r="LT311" s="15"/>
      <c r="LU311" s="15"/>
      <c r="LV311" s="15"/>
      <c r="LW311" s="15"/>
      <c r="LX311" s="15"/>
      <c r="LY311" s="15"/>
      <c r="LZ311" s="15"/>
      <c r="MA311" s="15"/>
      <c r="MB311" s="15"/>
      <c r="MC311" s="15"/>
      <c r="MD311" s="15"/>
      <c r="ME311" s="15"/>
      <c r="MF311" s="15"/>
      <c r="MG311" s="15"/>
      <c r="MH311" s="15"/>
      <c r="MI311" s="15"/>
      <c r="MJ311" s="15"/>
      <c r="MK311" s="15"/>
      <c r="ML311" s="15"/>
      <c r="MM311" s="15"/>
      <c r="MN311" s="15"/>
      <c r="MO311" s="15"/>
      <c r="MP311" s="15"/>
      <c r="MQ311" s="15"/>
      <c r="MR311" s="15"/>
      <c r="MS311" s="15"/>
      <c r="MT311" s="15"/>
      <c r="MU311" s="15"/>
      <c r="MV311" s="15"/>
      <c r="MW311" s="15"/>
    </row>
    <row r="312" ht="119.25" customHeight="1">
      <c r="A312" s="16" t="s">
        <v>10340</v>
      </c>
      <c r="B312" s="14" t="s">
        <v>10341</v>
      </c>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5"/>
      <c r="DL312" s="15"/>
      <c r="DM312" s="15"/>
      <c r="DN312" s="15"/>
      <c r="DO312" s="15"/>
      <c r="DP312" s="15"/>
      <c r="DQ312" s="15"/>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5"/>
      <c r="EY312" s="15"/>
      <c r="EZ312" s="15"/>
      <c r="FA312" s="15"/>
      <c r="FB312" s="15"/>
      <c r="FC312" s="15"/>
      <c r="FD312" s="15"/>
      <c r="FE312" s="15"/>
      <c r="FF312" s="15"/>
      <c r="FG312" s="15"/>
      <c r="FH312" s="15"/>
      <c r="FI312" s="15"/>
      <c r="FJ312" s="15"/>
      <c r="FK312" s="15"/>
      <c r="FL312" s="15"/>
      <c r="FM312" s="15"/>
      <c r="FN312" s="15"/>
      <c r="FO312" s="15"/>
      <c r="FP312" s="15"/>
      <c r="FQ312" s="15"/>
      <c r="FR312" s="15"/>
      <c r="FS312" s="15"/>
      <c r="FT312" s="15"/>
      <c r="FU312" s="15"/>
      <c r="FV312" s="15"/>
      <c r="FW312" s="15"/>
      <c r="FX312" s="15"/>
      <c r="FY312" s="15"/>
      <c r="FZ312" s="15"/>
      <c r="GA312" s="15"/>
      <c r="GB312" s="15"/>
      <c r="GC312" s="15"/>
      <c r="GD312" s="15"/>
      <c r="GE312" s="15"/>
      <c r="GF312" s="15"/>
      <c r="GG312" s="15"/>
      <c r="GH312" s="15"/>
      <c r="GI312" s="15"/>
      <c r="GJ312" s="15"/>
      <c r="GK312" s="15"/>
      <c r="GL312" s="15"/>
      <c r="GM312" s="15"/>
      <c r="GN312" s="15"/>
      <c r="GO312" s="15"/>
      <c r="GP312" s="15"/>
      <c r="GQ312" s="15"/>
      <c r="GR312" s="15"/>
      <c r="GS312" s="15"/>
      <c r="GT312" s="15"/>
      <c r="GU312" s="15"/>
      <c r="GV312" s="15"/>
      <c r="GW312" s="15"/>
      <c r="GX312" s="15"/>
      <c r="GY312" s="15"/>
      <c r="GZ312" s="15"/>
      <c r="HA312" s="15"/>
      <c r="HB312" s="15"/>
      <c r="HC312" s="15"/>
      <c r="HD312" s="15"/>
      <c r="HE312" s="15"/>
      <c r="HF312" s="15"/>
      <c r="HG312" s="15"/>
      <c r="HH312" s="15"/>
      <c r="HI312" s="15"/>
      <c r="HJ312" s="15"/>
      <c r="HK312" s="15"/>
      <c r="HL312" s="15"/>
      <c r="HM312" s="15"/>
      <c r="HN312" s="15"/>
      <c r="HO312" s="15"/>
      <c r="HP312" s="15"/>
      <c r="HQ312" s="15"/>
      <c r="HR312" s="15"/>
      <c r="HS312" s="15"/>
      <c r="HT312" s="15"/>
      <c r="HU312" s="15"/>
      <c r="HV312" s="15"/>
      <c r="HW312" s="15"/>
      <c r="HX312" s="15"/>
      <c r="HY312" s="15"/>
      <c r="HZ312" s="15"/>
      <c r="IA312" s="15"/>
      <c r="IB312" s="15"/>
      <c r="IC312" s="15"/>
      <c r="ID312" s="15"/>
      <c r="IE312" s="15"/>
      <c r="IF312" s="15"/>
      <c r="IG312" s="15"/>
      <c r="IH312" s="15"/>
      <c r="II312" s="15"/>
      <c r="IJ312" s="15"/>
      <c r="IK312" s="15"/>
      <c r="IL312" s="15"/>
      <c r="IM312" s="15"/>
      <c r="IN312" s="15"/>
      <c r="IO312" s="15"/>
      <c r="IP312" s="15"/>
      <c r="IQ312" s="15"/>
      <c r="IR312" s="15"/>
      <c r="IS312" s="15"/>
      <c r="IT312" s="15"/>
      <c r="IU312" s="15"/>
      <c r="IV312" s="15"/>
      <c r="IW312" s="15"/>
      <c r="IX312" s="15"/>
      <c r="IY312" s="15"/>
      <c r="IZ312" s="15"/>
      <c r="JA312" s="15"/>
      <c r="JB312" s="15"/>
      <c r="JC312" s="15"/>
      <c r="JD312" s="15"/>
      <c r="JE312" s="15"/>
      <c r="JF312" s="15"/>
      <c r="JG312" s="15"/>
      <c r="JH312" s="15"/>
      <c r="JI312" s="15"/>
      <c r="JJ312" s="15"/>
      <c r="JK312" s="15"/>
      <c r="JL312" s="15"/>
      <c r="JM312" s="15"/>
      <c r="JN312" s="15"/>
      <c r="JO312" s="15"/>
      <c r="JP312" s="15"/>
      <c r="JQ312" s="15"/>
      <c r="JR312" s="15"/>
      <c r="JS312" s="15"/>
      <c r="JT312" s="15"/>
      <c r="JU312" s="15"/>
      <c r="JV312" s="15"/>
      <c r="JW312" s="15"/>
      <c r="JX312" s="15"/>
      <c r="JY312" s="15"/>
      <c r="JZ312" s="15"/>
      <c r="KA312" s="15"/>
      <c r="KB312" s="15"/>
      <c r="KC312" s="15"/>
      <c r="KD312" s="15"/>
      <c r="KE312" s="15"/>
      <c r="KF312" s="15"/>
      <c r="KG312" s="15"/>
      <c r="KH312" s="15"/>
      <c r="KI312" s="15"/>
      <c r="KJ312" s="15"/>
      <c r="KK312" s="15"/>
      <c r="KL312" s="15"/>
      <c r="KM312" s="15"/>
      <c r="KN312" s="15"/>
      <c r="KO312" s="15"/>
      <c r="KP312" s="15"/>
      <c r="KQ312" s="15"/>
      <c r="KR312" s="15"/>
      <c r="KS312" s="15"/>
      <c r="KT312" s="15"/>
      <c r="KU312" s="15"/>
      <c r="KV312" s="15"/>
      <c r="KW312" s="15"/>
      <c r="KX312" s="15"/>
      <c r="KY312" s="15"/>
      <c r="KZ312" s="15"/>
      <c r="LA312" s="15"/>
      <c r="LB312" s="15"/>
      <c r="LC312" s="15"/>
      <c r="LD312" s="15"/>
      <c r="LE312" s="15"/>
      <c r="LF312" s="15"/>
      <c r="LG312" s="15"/>
      <c r="LH312" s="15"/>
      <c r="LI312" s="15"/>
      <c r="LJ312" s="15"/>
      <c r="LK312" s="15"/>
      <c r="LL312" s="15"/>
      <c r="LM312" s="15"/>
      <c r="LN312" s="15"/>
      <c r="LO312" s="15"/>
      <c r="LP312" s="15"/>
      <c r="LQ312" s="15"/>
      <c r="LR312" s="15"/>
      <c r="LS312" s="15"/>
      <c r="LT312" s="15"/>
      <c r="LU312" s="15"/>
      <c r="LV312" s="15"/>
      <c r="LW312" s="15"/>
      <c r="LX312" s="15"/>
      <c r="LY312" s="15"/>
      <c r="LZ312" s="15"/>
      <c r="MA312" s="15"/>
      <c r="MB312" s="15"/>
      <c r="MC312" s="15"/>
      <c r="MD312" s="15"/>
      <c r="ME312" s="15"/>
      <c r="MF312" s="15"/>
      <c r="MG312" s="15"/>
      <c r="MH312" s="15"/>
      <c r="MI312" s="15"/>
      <c r="MJ312" s="15"/>
      <c r="MK312" s="15"/>
      <c r="ML312" s="15"/>
      <c r="MM312" s="15"/>
      <c r="MN312" s="15"/>
      <c r="MO312" s="15"/>
      <c r="MP312" s="15"/>
      <c r="MQ312" s="15"/>
      <c r="MR312" s="15"/>
      <c r="MS312" s="15"/>
      <c r="MT312" s="15"/>
      <c r="MU312" s="15"/>
      <c r="MV312" s="15"/>
      <c r="MW312" s="15"/>
    </row>
    <row r="313" ht="41.25" customHeight="1">
      <c r="A313" s="16" t="s">
        <v>306</v>
      </c>
      <c r="B313" s="14" t="s">
        <v>10342</v>
      </c>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c r="DE313" s="15"/>
      <c r="DF313" s="15"/>
      <c r="DG313" s="15"/>
      <c r="DH313" s="15"/>
      <c r="DI313" s="15"/>
      <c r="DJ313" s="15"/>
      <c r="DK313" s="15"/>
      <c r="DL313" s="15"/>
      <c r="DM313" s="15"/>
      <c r="DN313" s="15"/>
      <c r="DO313" s="15"/>
      <c r="DP313" s="15"/>
      <c r="DQ313" s="15"/>
      <c r="DR313" s="15"/>
      <c r="DS313" s="15"/>
      <c r="DT313" s="15"/>
      <c r="DU313" s="15"/>
      <c r="DV313" s="15"/>
      <c r="DW313" s="15"/>
      <c r="DX313" s="15"/>
      <c r="DY313" s="15"/>
      <c r="DZ313" s="15"/>
      <c r="EA313" s="15"/>
      <c r="EB313" s="15"/>
      <c r="EC313" s="15"/>
      <c r="ED313" s="15"/>
      <c r="EE313" s="15"/>
      <c r="EF313" s="15"/>
      <c r="EG313" s="15"/>
      <c r="EH313" s="15"/>
      <c r="EI313" s="15"/>
      <c r="EJ313" s="15"/>
      <c r="EK313" s="15"/>
      <c r="EL313" s="15"/>
      <c r="EM313" s="15"/>
      <c r="EN313" s="15"/>
      <c r="EO313" s="15"/>
      <c r="EP313" s="15"/>
      <c r="EQ313" s="15"/>
      <c r="ER313" s="15"/>
      <c r="ES313" s="15"/>
      <c r="ET313" s="15"/>
      <c r="EU313" s="15"/>
      <c r="EV313" s="15"/>
      <c r="EW313" s="15"/>
      <c r="EX313" s="15"/>
      <c r="EY313" s="15"/>
      <c r="EZ313" s="15"/>
      <c r="FA313" s="15"/>
      <c r="FB313" s="15"/>
      <c r="FC313" s="15"/>
      <c r="FD313" s="15"/>
      <c r="FE313" s="15"/>
      <c r="FF313" s="15"/>
      <c r="FG313" s="15"/>
      <c r="FH313" s="15"/>
      <c r="FI313" s="15"/>
      <c r="FJ313" s="15"/>
      <c r="FK313" s="15"/>
      <c r="FL313" s="15"/>
      <c r="FM313" s="15"/>
      <c r="FN313" s="15"/>
      <c r="FO313" s="15"/>
      <c r="FP313" s="15"/>
      <c r="FQ313" s="15"/>
      <c r="FR313" s="15"/>
      <c r="FS313" s="15"/>
      <c r="FT313" s="15"/>
      <c r="FU313" s="15"/>
      <c r="FV313" s="15"/>
      <c r="FW313" s="15"/>
      <c r="FX313" s="15"/>
      <c r="FY313" s="15"/>
      <c r="FZ313" s="15"/>
      <c r="GA313" s="15"/>
      <c r="GB313" s="15"/>
      <c r="GC313" s="15"/>
      <c r="GD313" s="15"/>
      <c r="GE313" s="15"/>
      <c r="GF313" s="15"/>
      <c r="GG313" s="15"/>
      <c r="GH313" s="15"/>
      <c r="GI313" s="15"/>
      <c r="GJ313" s="15"/>
      <c r="GK313" s="15"/>
      <c r="GL313" s="15"/>
      <c r="GM313" s="15"/>
      <c r="GN313" s="15"/>
      <c r="GO313" s="15"/>
      <c r="GP313" s="15"/>
      <c r="GQ313" s="15"/>
      <c r="GR313" s="15"/>
      <c r="GS313" s="15"/>
      <c r="GT313" s="15"/>
      <c r="GU313" s="15"/>
      <c r="GV313" s="15"/>
      <c r="GW313" s="15"/>
      <c r="GX313" s="15"/>
      <c r="GY313" s="15"/>
      <c r="GZ313" s="15"/>
      <c r="HA313" s="15"/>
      <c r="HB313" s="15"/>
      <c r="HC313" s="15"/>
      <c r="HD313" s="15"/>
      <c r="HE313" s="15"/>
      <c r="HF313" s="15"/>
      <c r="HG313" s="15"/>
      <c r="HH313" s="15"/>
      <c r="HI313" s="15"/>
      <c r="HJ313" s="15"/>
      <c r="HK313" s="15"/>
      <c r="HL313" s="15"/>
      <c r="HM313" s="15"/>
      <c r="HN313" s="15"/>
      <c r="HO313" s="15"/>
      <c r="HP313" s="15"/>
      <c r="HQ313" s="15"/>
      <c r="HR313" s="15"/>
      <c r="HS313" s="15"/>
      <c r="HT313" s="15"/>
      <c r="HU313" s="15"/>
      <c r="HV313" s="15"/>
      <c r="HW313" s="15"/>
      <c r="HX313" s="15"/>
      <c r="HY313" s="15"/>
      <c r="HZ313" s="15"/>
      <c r="IA313" s="15"/>
      <c r="IB313" s="15"/>
      <c r="IC313" s="15"/>
      <c r="ID313" s="15"/>
      <c r="IE313" s="15"/>
      <c r="IF313" s="15"/>
      <c r="IG313" s="15"/>
      <c r="IH313" s="15"/>
      <c r="II313" s="15"/>
      <c r="IJ313" s="15"/>
      <c r="IK313" s="15"/>
      <c r="IL313" s="15"/>
      <c r="IM313" s="15"/>
      <c r="IN313" s="15"/>
      <c r="IO313" s="15"/>
      <c r="IP313" s="15"/>
      <c r="IQ313" s="15"/>
      <c r="IR313" s="15"/>
      <c r="IS313" s="15"/>
      <c r="IT313" s="15"/>
      <c r="IU313" s="15"/>
      <c r="IV313" s="15"/>
      <c r="IW313" s="15"/>
      <c r="IX313" s="15"/>
      <c r="IY313" s="15"/>
      <c r="IZ313" s="15"/>
      <c r="JA313" s="15"/>
      <c r="JB313" s="15"/>
      <c r="JC313" s="15"/>
      <c r="JD313" s="15"/>
      <c r="JE313" s="15"/>
      <c r="JF313" s="15"/>
      <c r="JG313" s="15"/>
      <c r="JH313" s="15"/>
      <c r="JI313" s="15"/>
      <c r="JJ313" s="15"/>
      <c r="JK313" s="15"/>
      <c r="JL313" s="15"/>
      <c r="JM313" s="15"/>
      <c r="JN313" s="15"/>
      <c r="JO313" s="15"/>
      <c r="JP313" s="15"/>
      <c r="JQ313" s="15"/>
      <c r="JR313" s="15"/>
      <c r="JS313" s="15"/>
      <c r="JT313" s="15"/>
      <c r="JU313" s="15"/>
      <c r="JV313" s="15"/>
      <c r="JW313" s="15"/>
      <c r="JX313" s="15"/>
      <c r="JY313" s="15"/>
      <c r="JZ313" s="15"/>
      <c r="KA313" s="15"/>
      <c r="KB313" s="15"/>
      <c r="KC313" s="15"/>
      <c r="KD313" s="15"/>
      <c r="KE313" s="15"/>
      <c r="KF313" s="15"/>
      <c r="KG313" s="15"/>
      <c r="KH313" s="15"/>
      <c r="KI313" s="15"/>
      <c r="KJ313" s="15"/>
      <c r="KK313" s="15"/>
      <c r="KL313" s="15"/>
      <c r="KM313" s="15"/>
      <c r="KN313" s="15"/>
      <c r="KO313" s="15"/>
      <c r="KP313" s="15"/>
      <c r="KQ313" s="15"/>
      <c r="KR313" s="15"/>
      <c r="KS313" s="15"/>
      <c r="KT313" s="15"/>
      <c r="KU313" s="15"/>
      <c r="KV313" s="15"/>
      <c r="KW313" s="15"/>
      <c r="KX313" s="15"/>
      <c r="KY313" s="15"/>
      <c r="KZ313" s="15"/>
      <c r="LA313" s="15"/>
      <c r="LB313" s="15"/>
      <c r="LC313" s="15"/>
      <c r="LD313" s="15"/>
      <c r="LE313" s="15"/>
      <c r="LF313" s="15"/>
      <c r="LG313" s="15"/>
      <c r="LH313" s="15"/>
      <c r="LI313" s="15"/>
      <c r="LJ313" s="15"/>
      <c r="LK313" s="15"/>
      <c r="LL313" s="15"/>
      <c r="LM313" s="15"/>
      <c r="LN313" s="15"/>
      <c r="LO313" s="15"/>
      <c r="LP313" s="15"/>
      <c r="LQ313" s="15"/>
      <c r="LR313" s="15"/>
      <c r="LS313" s="15"/>
      <c r="LT313" s="15"/>
      <c r="LU313" s="15"/>
      <c r="LV313" s="15"/>
      <c r="LW313" s="15"/>
      <c r="LX313" s="15"/>
      <c r="LY313" s="15"/>
      <c r="LZ313" s="15"/>
      <c r="MA313" s="15"/>
      <c r="MB313" s="15"/>
      <c r="MC313" s="15"/>
      <c r="MD313" s="15"/>
      <c r="ME313" s="15"/>
      <c r="MF313" s="15"/>
      <c r="MG313" s="15"/>
      <c r="MH313" s="15"/>
      <c r="MI313" s="15"/>
      <c r="MJ313" s="15"/>
      <c r="MK313" s="15"/>
      <c r="ML313" s="15"/>
      <c r="MM313" s="15"/>
      <c r="MN313" s="15"/>
      <c r="MO313" s="15"/>
      <c r="MP313" s="15"/>
      <c r="MQ313" s="15"/>
      <c r="MR313" s="15"/>
      <c r="MS313" s="15"/>
      <c r="MT313" s="15"/>
      <c r="MU313" s="15"/>
      <c r="MV313" s="15"/>
      <c r="MW313" s="15"/>
    </row>
    <row r="314" ht="119.25" customHeight="1">
      <c r="A314" s="16" t="s">
        <v>307</v>
      </c>
      <c r="B314" s="14" t="s">
        <v>10343</v>
      </c>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c r="DF314" s="15"/>
      <c r="DG314" s="15"/>
      <c r="DH314" s="15"/>
      <c r="DI314" s="15"/>
      <c r="DJ314" s="15"/>
      <c r="DK314" s="15"/>
      <c r="DL314" s="15"/>
      <c r="DM314" s="15"/>
      <c r="DN314" s="15"/>
      <c r="DO314" s="15"/>
      <c r="DP314" s="15"/>
      <c r="DQ314" s="15"/>
      <c r="DR314" s="15"/>
      <c r="DS314" s="15"/>
      <c r="DT314" s="15"/>
      <c r="DU314" s="15"/>
      <c r="DV314" s="15"/>
      <c r="DW314" s="15"/>
      <c r="DX314" s="15"/>
      <c r="DY314" s="15"/>
      <c r="DZ314" s="15"/>
      <c r="EA314" s="15"/>
      <c r="EB314" s="15"/>
      <c r="EC314" s="15"/>
      <c r="ED314" s="15"/>
      <c r="EE314" s="15"/>
      <c r="EF314" s="15"/>
      <c r="EG314" s="15"/>
      <c r="EH314" s="15"/>
      <c r="EI314" s="15"/>
      <c r="EJ314" s="15"/>
      <c r="EK314" s="15"/>
      <c r="EL314" s="15"/>
      <c r="EM314" s="15"/>
      <c r="EN314" s="15"/>
      <c r="EO314" s="15"/>
      <c r="EP314" s="15"/>
      <c r="EQ314" s="15"/>
      <c r="ER314" s="15"/>
      <c r="ES314" s="15"/>
      <c r="ET314" s="15"/>
      <c r="EU314" s="15"/>
      <c r="EV314" s="15"/>
      <c r="EW314" s="15"/>
      <c r="EX314" s="15"/>
      <c r="EY314" s="15"/>
      <c r="EZ314" s="15"/>
      <c r="FA314" s="15"/>
      <c r="FB314" s="15"/>
      <c r="FC314" s="15"/>
      <c r="FD314" s="15"/>
      <c r="FE314" s="15"/>
      <c r="FF314" s="15"/>
      <c r="FG314" s="15"/>
      <c r="FH314" s="15"/>
      <c r="FI314" s="15"/>
      <c r="FJ314" s="15"/>
      <c r="FK314" s="15"/>
      <c r="FL314" s="15"/>
      <c r="FM314" s="15"/>
      <c r="FN314" s="15"/>
      <c r="FO314" s="15"/>
      <c r="FP314" s="15"/>
      <c r="FQ314" s="15"/>
      <c r="FR314" s="15"/>
      <c r="FS314" s="15"/>
      <c r="FT314" s="15"/>
      <c r="FU314" s="15"/>
      <c r="FV314" s="15"/>
      <c r="FW314" s="15"/>
      <c r="FX314" s="15"/>
      <c r="FY314" s="15"/>
      <c r="FZ314" s="15"/>
      <c r="GA314" s="15"/>
      <c r="GB314" s="15"/>
      <c r="GC314" s="15"/>
      <c r="GD314" s="15"/>
      <c r="GE314" s="15"/>
      <c r="GF314" s="15"/>
      <c r="GG314" s="15"/>
      <c r="GH314" s="15"/>
      <c r="GI314" s="15"/>
      <c r="GJ314" s="15"/>
      <c r="GK314" s="15"/>
      <c r="GL314" s="15"/>
      <c r="GM314" s="15"/>
      <c r="GN314" s="15"/>
      <c r="GO314" s="15"/>
      <c r="GP314" s="15"/>
      <c r="GQ314" s="15"/>
      <c r="GR314" s="15"/>
      <c r="GS314" s="15"/>
      <c r="GT314" s="15"/>
      <c r="GU314" s="15"/>
      <c r="GV314" s="15"/>
      <c r="GW314" s="15"/>
      <c r="GX314" s="15"/>
      <c r="GY314" s="15"/>
      <c r="GZ314" s="15"/>
      <c r="HA314" s="15"/>
      <c r="HB314" s="15"/>
      <c r="HC314" s="15"/>
      <c r="HD314" s="15"/>
      <c r="HE314" s="15"/>
      <c r="HF314" s="15"/>
      <c r="HG314" s="15"/>
      <c r="HH314" s="15"/>
      <c r="HI314" s="15"/>
      <c r="HJ314" s="15"/>
      <c r="HK314" s="15"/>
      <c r="HL314" s="15"/>
      <c r="HM314" s="15"/>
      <c r="HN314" s="15"/>
      <c r="HO314" s="15"/>
      <c r="HP314" s="15"/>
      <c r="HQ314" s="15"/>
      <c r="HR314" s="15"/>
      <c r="HS314" s="15"/>
      <c r="HT314" s="15"/>
      <c r="HU314" s="15"/>
      <c r="HV314" s="15"/>
      <c r="HW314" s="15"/>
      <c r="HX314" s="15"/>
      <c r="HY314" s="15"/>
      <c r="HZ314" s="15"/>
      <c r="IA314" s="15"/>
      <c r="IB314" s="15"/>
      <c r="IC314" s="15"/>
      <c r="ID314" s="15"/>
      <c r="IE314" s="15"/>
      <c r="IF314" s="15"/>
      <c r="IG314" s="15"/>
      <c r="IH314" s="15"/>
      <c r="II314" s="15"/>
      <c r="IJ314" s="15"/>
      <c r="IK314" s="15"/>
      <c r="IL314" s="15"/>
      <c r="IM314" s="15"/>
      <c r="IN314" s="15"/>
      <c r="IO314" s="15"/>
      <c r="IP314" s="15"/>
      <c r="IQ314" s="15"/>
      <c r="IR314" s="15"/>
      <c r="IS314" s="15"/>
      <c r="IT314" s="15"/>
      <c r="IU314" s="15"/>
      <c r="IV314" s="15"/>
      <c r="IW314" s="15"/>
      <c r="IX314" s="15"/>
      <c r="IY314" s="15"/>
      <c r="IZ314" s="15"/>
      <c r="JA314" s="15"/>
      <c r="JB314" s="15"/>
      <c r="JC314" s="15"/>
      <c r="JD314" s="15"/>
      <c r="JE314" s="15"/>
      <c r="JF314" s="15"/>
      <c r="JG314" s="15"/>
      <c r="JH314" s="15"/>
      <c r="JI314" s="15"/>
      <c r="JJ314" s="15"/>
      <c r="JK314" s="15"/>
      <c r="JL314" s="15"/>
      <c r="JM314" s="15"/>
      <c r="JN314" s="15"/>
      <c r="JO314" s="15"/>
      <c r="JP314" s="15"/>
      <c r="JQ314" s="15"/>
      <c r="JR314" s="15"/>
      <c r="JS314" s="15"/>
      <c r="JT314" s="15"/>
      <c r="JU314" s="15"/>
      <c r="JV314" s="15"/>
      <c r="JW314" s="15"/>
      <c r="JX314" s="15"/>
      <c r="JY314" s="15"/>
      <c r="JZ314" s="15"/>
      <c r="KA314" s="15"/>
      <c r="KB314" s="15"/>
      <c r="KC314" s="15"/>
      <c r="KD314" s="15"/>
      <c r="KE314" s="15"/>
      <c r="KF314" s="15"/>
      <c r="KG314" s="15"/>
      <c r="KH314" s="15"/>
      <c r="KI314" s="15"/>
      <c r="KJ314" s="15"/>
      <c r="KK314" s="15"/>
      <c r="KL314" s="15"/>
      <c r="KM314" s="15"/>
      <c r="KN314" s="15"/>
      <c r="KO314" s="15"/>
      <c r="KP314" s="15"/>
      <c r="KQ314" s="15"/>
      <c r="KR314" s="15"/>
      <c r="KS314" s="15"/>
      <c r="KT314" s="15"/>
      <c r="KU314" s="15"/>
      <c r="KV314" s="15"/>
      <c r="KW314" s="15"/>
      <c r="KX314" s="15"/>
      <c r="KY314" s="15"/>
      <c r="KZ314" s="15"/>
      <c r="LA314" s="15"/>
      <c r="LB314" s="15"/>
      <c r="LC314" s="15"/>
      <c r="LD314" s="15"/>
      <c r="LE314" s="15"/>
      <c r="LF314" s="15"/>
      <c r="LG314" s="15"/>
      <c r="LH314" s="15"/>
      <c r="LI314" s="15"/>
      <c r="LJ314" s="15"/>
      <c r="LK314" s="15"/>
      <c r="LL314" s="15"/>
      <c r="LM314" s="15"/>
      <c r="LN314" s="15"/>
      <c r="LO314" s="15"/>
      <c r="LP314" s="15"/>
      <c r="LQ314" s="15"/>
      <c r="LR314" s="15"/>
      <c r="LS314" s="15"/>
      <c r="LT314" s="15"/>
      <c r="LU314" s="15"/>
      <c r="LV314" s="15"/>
      <c r="LW314" s="15"/>
      <c r="LX314" s="15"/>
      <c r="LY314" s="15"/>
      <c r="LZ314" s="15"/>
      <c r="MA314" s="15"/>
      <c r="MB314" s="15"/>
      <c r="MC314" s="15"/>
      <c r="MD314" s="15"/>
      <c r="ME314" s="15"/>
      <c r="MF314" s="15"/>
      <c r="MG314" s="15"/>
      <c r="MH314" s="15"/>
      <c r="MI314" s="15"/>
      <c r="MJ314" s="15"/>
      <c r="MK314" s="15"/>
      <c r="ML314" s="15"/>
      <c r="MM314" s="15"/>
      <c r="MN314" s="15"/>
      <c r="MO314" s="15"/>
      <c r="MP314" s="15"/>
      <c r="MQ314" s="15"/>
      <c r="MR314" s="15"/>
      <c r="MS314" s="15"/>
      <c r="MT314" s="15"/>
      <c r="MU314" s="15"/>
      <c r="MV314" s="15"/>
      <c r="MW314" s="15"/>
    </row>
    <row r="315" ht="41.25" customHeight="1">
      <c r="A315" s="16" t="s">
        <v>308</v>
      </c>
      <c r="B315" s="14" t="s">
        <v>10344</v>
      </c>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c r="DF315" s="15"/>
      <c r="DG315" s="15"/>
      <c r="DH315" s="15"/>
      <c r="DI315" s="15"/>
      <c r="DJ315" s="15"/>
      <c r="DK315" s="15"/>
      <c r="DL315" s="15"/>
      <c r="DM315" s="15"/>
      <c r="DN315" s="15"/>
      <c r="DO315" s="15"/>
      <c r="DP315" s="15"/>
      <c r="DQ315" s="15"/>
      <c r="DR315" s="15"/>
      <c r="DS315" s="15"/>
      <c r="DT315" s="15"/>
      <c r="DU315" s="15"/>
      <c r="DV315" s="15"/>
      <c r="DW315" s="15"/>
      <c r="DX315" s="15"/>
      <c r="DY315" s="15"/>
      <c r="DZ315" s="15"/>
      <c r="EA315" s="15"/>
      <c r="EB315" s="15"/>
      <c r="EC315" s="15"/>
      <c r="ED315" s="15"/>
      <c r="EE315" s="15"/>
      <c r="EF315" s="15"/>
      <c r="EG315" s="15"/>
      <c r="EH315" s="15"/>
      <c r="EI315" s="15"/>
      <c r="EJ315" s="15"/>
      <c r="EK315" s="15"/>
      <c r="EL315" s="15"/>
      <c r="EM315" s="15"/>
      <c r="EN315" s="15"/>
      <c r="EO315" s="15"/>
      <c r="EP315" s="15"/>
      <c r="EQ315" s="15"/>
      <c r="ER315" s="15"/>
      <c r="ES315" s="15"/>
      <c r="ET315" s="15"/>
      <c r="EU315" s="15"/>
      <c r="EV315" s="15"/>
      <c r="EW315" s="15"/>
      <c r="EX315" s="15"/>
      <c r="EY315" s="15"/>
      <c r="EZ315" s="15"/>
      <c r="FA315" s="15"/>
      <c r="FB315" s="15"/>
      <c r="FC315" s="15"/>
      <c r="FD315" s="15"/>
      <c r="FE315" s="15"/>
      <c r="FF315" s="15"/>
      <c r="FG315" s="15"/>
      <c r="FH315" s="15"/>
      <c r="FI315" s="15"/>
      <c r="FJ315" s="15"/>
      <c r="FK315" s="15"/>
      <c r="FL315" s="15"/>
      <c r="FM315" s="15"/>
      <c r="FN315" s="15"/>
      <c r="FO315" s="15"/>
      <c r="FP315" s="15"/>
      <c r="FQ315" s="15"/>
      <c r="FR315" s="15"/>
      <c r="FS315" s="15"/>
      <c r="FT315" s="15"/>
      <c r="FU315" s="15"/>
      <c r="FV315" s="15"/>
      <c r="FW315" s="15"/>
      <c r="FX315" s="15"/>
      <c r="FY315" s="15"/>
      <c r="FZ315" s="15"/>
      <c r="GA315" s="15"/>
      <c r="GB315" s="15"/>
      <c r="GC315" s="15"/>
      <c r="GD315" s="15"/>
      <c r="GE315" s="15"/>
      <c r="GF315" s="15"/>
      <c r="GG315" s="15"/>
      <c r="GH315" s="15"/>
      <c r="GI315" s="15"/>
      <c r="GJ315" s="15"/>
      <c r="GK315" s="15"/>
      <c r="GL315" s="15"/>
      <c r="GM315" s="15"/>
      <c r="GN315" s="15"/>
      <c r="GO315" s="15"/>
      <c r="GP315" s="15"/>
      <c r="GQ315" s="15"/>
      <c r="GR315" s="15"/>
      <c r="GS315" s="15"/>
      <c r="GT315" s="15"/>
      <c r="GU315" s="15"/>
      <c r="GV315" s="15"/>
      <c r="GW315" s="15"/>
      <c r="GX315" s="15"/>
      <c r="GY315" s="15"/>
      <c r="GZ315" s="15"/>
      <c r="HA315" s="15"/>
      <c r="HB315" s="15"/>
      <c r="HC315" s="15"/>
      <c r="HD315" s="15"/>
      <c r="HE315" s="15"/>
      <c r="HF315" s="15"/>
      <c r="HG315" s="15"/>
      <c r="HH315" s="15"/>
      <c r="HI315" s="15"/>
      <c r="HJ315" s="15"/>
      <c r="HK315" s="15"/>
      <c r="HL315" s="15"/>
      <c r="HM315" s="15"/>
      <c r="HN315" s="15"/>
      <c r="HO315" s="15"/>
      <c r="HP315" s="15"/>
      <c r="HQ315" s="15"/>
      <c r="HR315" s="15"/>
      <c r="HS315" s="15"/>
      <c r="HT315" s="15"/>
      <c r="HU315" s="15"/>
      <c r="HV315" s="15"/>
      <c r="HW315" s="15"/>
      <c r="HX315" s="15"/>
      <c r="HY315" s="15"/>
      <c r="HZ315" s="15"/>
      <c r="IA315" s="15"/>
      <c r="IB315" s="15"/>
      <c r="IC315" s="15"/>
      <c r="ID315" s="15"/>
      <c r="IE315" s="15"/>
      <c r="IF315" s="15"/>
      <c r="IG315" s="15"/>
      <c r="IH315" s="15"/>
      <c r="II315" s="15"/>
      <c r="IJ315" s="15"/>
      <c r="IK315" s="15"/>
      <c r="IL315" s="15"/>
      <c r="IM315" s="15"/>
      <c r="IN315" s="15"/>
      <c r="IO315" s="15"/>
      <c r="IP315" s="15"/>
      <c r="IQ315" s="15"/>
      <c r="IR315" s="15"/>
      <c r="IS315" s="15"/>
      <c r="IT315" s="15"/>
      <c r="IU315" s="15"/>
      <c r="IV315" s="15"/>
      <c r="IW315" s="15"/>
      <c r="IX315" s="15"/>
      <c r="IY315" s="15"/>
      <c r="IZ315" s="15"/>
      <c r="JA315" s="15"/>
      <c r="JB315" s="15"/>
      <c r="JC315" s="15"/>
      <c r="JD315" s="15"/>
      <c r="JE315" s="15"/>
      <c r="JF315" s="15"/>
      <c r="JG315" s="15"/>
      <c r="JH315" s="15"/>
      <c r="JI315" s="15"/>
      <c r="JJ315" s="15"/>
      <c r="JK315" s="15"/>
      <c r="JL315" s="15"/>
      <c r="JM315" s="15"/>
      <c r="JN315" s="15"/>
      <c r="JO315" s="15"/>
      <c r="JP315" s="15"/>
      <c r="JQ315" s="15"/>
      <c r="JR315" s="15"/>
      <c r="JS315" s="15"/>
      <c r="JT315" s="15"/>
      <c r="JU315" s="15"/>
      <c r="JV315" s="15"/>
      <c r="JW315" s="15"/>
      <c r="JX315" s="15"/>
      <c r="JY315" s="15"/>
      <c r="JZ315" s="15"/>
      <c r="KA315" s="15"/>
      <c r="KB315" s="15"/>
      <c r="KC315" s="15"/>
      <c r="KD315" s="15"/>
      <c r="KE315" s="15"/>
      <c r="KF315" s="15"/>
      <c r="KG315" s="15"/>
      <c r="KH315" s="15"/>
      <c r="KI315" s="15"/>
      <c r="KJ315" s="15"/>
      <c r="KK315" s="15"/>
      <c r="KL315" s="15"/>
      <c r="KM315" s="15"/>
      <c r="KN315" s="15"/>
      <c r="KO315" s="15"/>
      <c r="KP315" s="15"/>
      <c r="KQ315" s="15"/>
      <c r="KR315" s="15"/>
      <c r="KS315" s="15"/>
      <c r="KT315" s="15"/>
      <c r="KU315" s="15"/>
      <c r="KV315" s="15"/>
      <c r="KW315" s="15"/>
      <c r="KX315" s="15"/>
      <c r="KY315" s="15"/>
      <c r="KZ315" s="15"/>
      <c r="LA315" s="15"/>
      <c r="LB315" s="15"/>
      <c r="LC315" s="15"/>
      <c r="LD315" s="15"/>
      <c r="LE315" s="15"/>
      <c r="LF315" s="15"/>
      <c r="LG315" s="15"/>
      <c r="LH315" s="15"/>
      <c r="LI315" s="15"/>
      <c r="LJ315" s="15"/>
      <c r="LK315" s="15"/>
      <c r="LL315" s="15"/>
      <c r="LM315" s="15"/>
      <c r="LN315" s="15"/>
      <c r="LO315" s="15"/>
      <c r="LP315" s="15"/>
      <c r="LQ315" s="15"/>
      <c r="LR315" s="15"/>
      <c r="LS315" s="15"/>
      <c r="LT315" s="15"/>
      <c r="LU315" s="15"/>
      <c r="LV315" s="15"/>
      <c r="LW315" s="15"/>
      <c r="LX315" s="15"/>
      <c r="LY315" s="15"/>
      <c r="LZ315" s="15"/>
      <c r="MA315" s="15"/>
      <c r="MB315" s="15"/>
      <c r="MC315" s="15"/>
      <c r="MD315" s="15"/>
      <c r="ME315" s="15"/>
      <c r="MF315" s="15"/>
      <c r="MG315" s="15"/>
      <c r="MH315" s="15"/>
      <c r="MI315" s="15"/>
      <c r="MJ315" s="15"/>
      <c r="MK315" s="15"/>
      <c r="ML315" s="15"/>
      <c r="MM315" s="15"/>
      <c r="MN315" s="15"/>
      <c r="MO315" s="15"/>
      <c r="MP315" s="15"/>
      <c r="MQ315" s="15"/>
      <c r="MR315" s="15"/>
      <c r="MS315" s="15"/>
      <c r="MT315" s="15"/>
      <c r="MU315" s="15"/>
      <c r="MV315" s="15"/>
      <c r="MW315" s="15"/>
    </row>
    <row r="316" ht="119.25" customHeight="1">
      <c r="A316" s="16" t="s">
        <v>309</v>
      </c>
      <c r="B316" s="14" t="s">
        <v>10345</v>
      </c>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c r="DF316" s="15"/>
      <c r="DG316" s="15"/>
      <c r="DH316" s="15"/>
      <c r="DI316" s="15"/>
      <c r="DJ316" s="15"/>
      <c r="DK316" s="15"/>
      <c r="DL316" s="15"/>
      <c r="DM316" s="15"/>
      <c r="DN316" s="15"/>
      <c r="DO316" s="15"/>
      <c r="DP316" s="15"/>
      <c r="DQ316" s="15"/>
      <c r="DR316" s="15"/>
      <c r="DS316" s="15"/>
      <c r="DT316" s="15"/>
      <c r="DU316" s="15"/>
      <c r="DV316" s="15"/>
      <c r="DW316" s="15"/>
      <c r="DX316" s="15"/>
      <c r="DY316" s="15"/>
      <c r="DZ316" s="15"/>
      <c r="EA316" s="15"/>
      <c r="EB316" s="15"/>
      <c r="EC316" s="15"/>
      <c r="ED316" s="15"/>
      <c r="EE316" s="15"/>
      <c r="EF316" s="15"/>
      <c r="EG316" s="15"/>
      <c r="EH316" s="15"/>
      <c r="EI316" s="15"/>
      <c r="EJ316" s="15"/>
      <c r="EK316" s="15"/>
      <c r="EL316" s="15"/>
      <c r="EM316" s="15"/>
      <c r="EN316" s="15"/>
      <c r="EO316" s="15"/>
      <c r="EP316" s="15"/>
      <c r="EQ316" s="15"/>
      <c r="ER316" s="15"/>
      <c r="ES316" s="15"/>
      <c r="ET316" s="15"/>
      <c r="EU316" s="15"/>
      <c r="EV316" s="15"/>
      <c r="EW316" s="15"/>
      <c r="EX316" s="15"/>
      <c r="EY316" s="15"/>
      <c r="EZ316" s="15"/>
      <c r="FA316" s="15"/>
      <c r="FB316" s="15"/>
      <c r="FC316" s="15"/>
      <c r="FD316" s="15"/>
      <c r="FE316" s="15"/>
      <c r="FF316" s="15"/>
      <c r="FG316" s="15"/>
      <c r="FH316" s="15"/>
      <c r="FI316" s="15"/>
      <c r="FJ316" s="15"/>
      <c r="FK316" s="15"/>
      <c r="FL316" s="15"/>
      <c r="FM316" s="15"/>
      <c r="FN316" s="15"/>
      <c r="FO316" s="15"/>
      <c r="FP316" s="15"/>
      <c r="FQ316" s="15"/>
      <c r="FR316" s="15"/>
      <c r="FS316" s="15"/>
      <c r="FT316" s="15"/>
      <c r="FU316" s="15"/>
      <c r="FV316" s="15"/>
      <c r="FW316" s="15"/>
      <c r="FX316" s="15"/>
      <c r="FY316" s="15"/>
      <c r="FZ316" s="15"/>
      <c r="GA316" s="15"/>
      <c r="GB316" s="15"/>
      <c r="GC316" s="15"/>
      <c r="GD316" s="15"/>
      <c r="GE316" s="15"/>
      <c r="GF316" s="15"/>
      <c r="GG316" s="15"/>
      <c r="GH316" s="15"/>
      <c r="GI316" s="15"/>
      <c r="GJ316" s="15"/>
      <c r="GK316" s="15"/>
      <c r="GL316" s="15"/>
      <c r="GM316" s="15"/>
      <c r="GN316" s="15"/>
      <c r="GO316" s="15"/>
      <c r="GP316" s="15"/>
      <c r="GQ316" s="15"/>
      <c r="GR316" s="15"/>
      <c r="GS316" s="15"/>
      <c r="GT316" s="15"/>
      <c r="GU316" s="15"/>
      <c r="GV316" s="15"/>
      <c r="GW316" s="15"/>
      <c r="GX316" s="15"/>
      <c r="GY316" s="15"/>
      <c r="GZ316" s="15"/>
      <c r="HA316" s="15"/>
      <c r="HB316" s="15"/>
      <c r="HC316" s="15"/>
      <c r="HD316" s="15"/>
      <c r="HE316" s="15"/>
      <c r="HF316" s="15"/>
      <c r="HG316" s="15"/>
      <c r="HH316" s="15"/>
      <c r="HI316" s="15"/>
      <c r="HJ316" s="15"/>
      <c r="HK316" s="15"/>
      <c r="HL316" s="15"/>
      <c r="HM316" s="15"/>
      <c r="HN316" s="15"/>
      <c r="HO316" s="15"/>
      <c r="HP316" s="15"/>
      <c r="HQ316" s="15"/>
      <c r="HR316" s="15"/>
      <c r="HS316" s="15"/>
      <c r="HT316" s="15"/>
      <c r="HU316" s="15"/>
      <c r="HV316" s="15"/>
      <c r="HW316" s="15"/>
      <c r="HX316" s="15"/>
      <c r="HY316" s="15"/>
      <c r="HZ316" s="15"/>
      <c r="IA316" s="15"/>
      <c r="IB316" s="15"/>
      <c r="IC316" s="15"/>
      <c r="ID316" s="15"/>
      <c r="IE316" s="15"/>
      <c r="IF316" s="15"/>
      <c r="IG316" s="15"/>
      <c r="IH316" s="15"/>
      <c r="II316" s="15"/>
      <c r="IJ316" s="15"/>
      <c r="IK316" s="15"/>
      <c r="IL316" s="15"/>
      <c r="IM316" s="15"/>
      <c r="IN316" s="15"/>
      <c r="IO316" s="15"/>
      <c r="IP316" s="15"/>
      <c r="IQ316" s="15"/>
      <c r="IR316" s="15"/>
      <c r="IS316" s="15"/>
      <c r="IT316" s="15"/>
      <c r="IU316" s="15"/>
      <c r="IV316" s="15"/>
      <c r="IW316" s="15"/>
      <c r="IX316" s="15"/>
      <c r="IY316" s="15"/>
      <c r="IZ316" s="15"/>
      <c r="JA316" s="15"/>
      <c r="JB316" s="15"/>
      <c r="JC316" s="15"/>
      <c r="JD316" s="15"/>
      <c r="JE316" s="15"/>
      <c r="JF316" s="15"/>
      <c r="JG316" s="15"/>
      <c r="JH316" s="15"/>
      <c r="JI316" s="15"/>
      <c r="JJ316" s="15"/>
      <c r="JK316" s="15"/>
      <c r="JL316" s="15"/>
      <c r="JM316" s="15"/>
      <c r="JN316" s="15"/>
      <c r="JO316" s="15"/>
      <c r="JP316" s="15"/>
      <c r="JQ316" s="15"/>
      <c r="JR316" s="15"/>
      <c r="JS316" s="15"/>
      <c r="JT316" s="15"/>
      <c r="JU316" s="15"/>
      <c r="JV316" s="15"/>
      <c r="JW316" s="15"/>
      <c r="JX316" s="15"/>
      <c r="JY316" s="15"/>
      <c r="JZ316" s="15"/>
      <c r="KA316" s="15"/>
      <c r="KB316" s="15"/>
      <c r="KC316" s="15"/>
      <c r="KD316" s="15"/>
      <c r="KE316" s="15"/>
      <c r="KF316" s="15"/>
      <c r="KG316" s="15"/>
      <c r="KH316" s="15"/>
      <c r="KI316" s="15"/>
      <c r="KJ316" s="15"/>
      <c r="KK316" s="15"/>
      <c r="KL316" s="15"/>
      <c r="KM316" s="15"/>
      <c r="KN316" s="15"/>
      <c r="KO316" s="15"/>
      <c r="KP316" s="15"/>
      <c r="KQ316" s="15"/>
      <c r="KR316" s="15"/>
      <c r="KS316" s="15"/>
      <c r="KT316" s="15"/>
      <c r="KU316" s="15"/>
      <c r="KV316" s="15"/>
      <c r="KW316" s="15"/>
      <c r="KX316" s="15"/>
      <c r="KY316" s="15"/>
      <c r="KZ316" s="15"/>
      <c r="LA316" s="15"/>
      <c r="LB316" s="15"/>
      <c r="LC316" s="15"/>
      <c r="LD316" s="15"/>
      <c r="LE316" s="15"/>
      <c r="LF316" s="15"/>
      <c r="LG316" s="15"/>
      <c r="LH316" s="15"/>
      <c r="LI316" s="15"/>
      <c r="LJ316" s="15"/>
      <c r="LK316" s="15"/>
      <c r="LL316" s="15"/>
      <c r="LM316" s="15"/>
      <c r="LN316" s="15"/>
      <c r="LO316" s="15"/>
      <c r="LP316" s="15"/>
      <c r="LQ316" s="15"/>
      <c r="LR316" s="15"/>
      <c r="LS316" s="15"/>
      <c r="LT316" s="15"/>
      <c r="LU316" s="15"/>
      <c r="LV316" s="15"/>
      <c r="LW316" s="15"/>
      <c r="LX316" s="15"/>
      <c r="LY316" s="15"/>
      <c r="LZ316" s="15"/>
      <c r="MA316" s="15"/>
      <c r="MB316" s="15"/>
      <c r="MC316" s="15"/>
      <c r="MD316" s="15"/>
      <c r="ME316" s="15"/>
      <c r="MF316" s="15"/>
      <c r="MG316" s="15"/>
      <c r="MH316" s="15"/>
      <c r="MI316" s="15"/>
      <c r="MJ316" s="15"/>
      <c r="MK316" s="15"/>
      <c r="ML316" s="15"/>
      <c r="MM316" s="15"/>
      <c r="MN316" s="15"/>
      <c r="MO316" s="15"/>
      <c r="MP316" s="15"/>
      <c r="MQ316" s="15"/>
      <c r="MR316" s="15"/>
      <c r="MS316" s="15"/>
      <c r="MT316" s="15"/>
      <c r="MU316" s="15"/>
      <c r="MV316" s="15"/>
      <c r="MW316" s="15"/>
    </row>
    <row r="317" ht="41.25" customHeight="1">
      <c r="A317" s="16" t="s">
        <v>310</v>
      </c>
      <c r="B317" s="14" t="s">
        <v>10346</v>
      </c>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c r="DF317" s="15"/>
      <c r="DG317" s="15"/>
      <c r="DH317" s="15"/>
      <c r="DI317" s="15"/>
      <c r="DJ317" s="15"/>
      <c r="DK317" s="15"/>
      <c r="DL317" s="15"/>
      <c r="DM317" s="15"/>
      <c r="DN317" s="15"/>
      <c r="DO317" s="15"/>
      <c r="DP317" s="15"/>
      <c r="DQ317" s="15"/>
      <c r="DR317" s="15"/>
      <c r="DS317" s="15"/>
      <c r="DT317" s="15"/>
      <c r="DU317" s="15"/>
      <c r="DV317" s="15"/>
      <c r="DW317" s="15"/>
      <c r="DX317" s="15"/>
      <c r="DY317" s="15"/>
      <c r="DZ317" s="15"/>
      <c r="EA317" s="15"/>
      <c r="EB317" s="15"/>
      <c r="EC317" s="15"/>
      <c r="ED317" s="15"/>
      <c r="EE317" s="15"/>
      <c r="EF317" s="15"/>
      <c r="EG317" s="15"/>
      <c r="EH317" s="15"/>
      <c r="EI317" s="15"/>
      <c r="EJ317" s="15"/>
      <c r="EK317" s="15"/>
      <c r="EL317" s="15"/>
      <c r="EM317" s="15"/>
      <c r="EN317" s="15"/>
      <c r="EO317" s="15"/>
      <c r="EP317" s="15"/>
      <c r="EQ317" s="15"/>
      <c r="ER317" s="15"/>
      <c r="ES317" s="15"/>
      <c r="ET317" s="15"/>
      <c r="EU317" s="15"/>
      <c r="EV317" s="15"/>
      <c r="EW317" s="15"/>
      <c r="EX317" s="15"/>
      <c r="EY317" s="15"/>
      <c r="EZ317" s="15"/>
      <c r="FA317" s="15"/>
      <c r="FB317" s="15"/>
      <c r="FC317" s="15"/>
      <c r="FD317" s="15"/>
      <c r="FE317" s="15"/>
      <c r="FF317" s="15"/>
      <c r="FG317" s="15"/>
      <c r="FH317" s="15"/>
      <c r="FI317" s="15"/>
      <c r="FJ317" s="15"/>
      <c r="FK317" s="15"/>
      <c r="FL317" s="15"/>
      <c r="FM317" s="15"/>
      <c r="FN317" s="15"/>
      <c r="FO317" s="15"/>
      <c r="FP317" s="15"/>
      <c r="FQ317" s="15"/>
      <c r="FR317" s="15"/>
      <c r="FS317" s="15"/>
      <c r="FT317" s="15"/>
      <c r="FU317" s="15"/>
      <c r="FV317" s="15"/>
      <c r="FW317" s="15"/>
      <c r="FX317" s="15"/>
      <c r="FY317" s="15"/>
      <c r="FZ317" s="15"/>
      <c r="GA317" s="15"/>
      <c r="GB317" s="15"/>
      <c r="GC317" s="15"/>
      <c r="GD317" s="15"/>
      <c r="GE317" s="15"/>
      <c r="GF317" s="15"/>
      <c r="GG317" s="15"/>
      <c r="GH317" s="15"/>
      <c r="GI317" s="15"/>
      <c r="GJ317" s="15"/>
      <c r="GK317" s="15"/>
      <c r="GL317" s="15"/>
      <c r="GM317" s="15"/>
      <c r="GN317" s="15"/>
      <c r="GO317" s="15"/>
      <c r="GP317" s="15"/>
      <c r="GQ317" s="15"/>
      <c r="GR317" s="15"/>
      <c r="GS317" s="15"/>
      <c r="GT317" s="15"/>
      <c r="GU317" s="15"/>
      <c r="GV317" s="15"/>
      <c r="GW317" s="15"/>
      <c r="GX317" s="15"/>
      <c r="GY317" s="15"/>
      <c r="GZ317" s="15"/>
      <c r="HA317" s="15"/>
      <c r="HB317" s="15"/>
      <c r="HC317" s="15"/>
      <c r="HD317" s="15"/>
      <c r="HE317" s="15"/>
      <c r="HF317" s="15"/>
      <c r="HG317" s="15"/>
      <c r="HH317" s="15"/>
      <c r="HI317" s="15"/>
      <c r="HJ317" s="15"/>
      <c r="HK317" s="15"/>
      <c r="HL317" s="15"/>
      <c r="HM317" s="15"/>
      <c r="HN317" s="15"/>
      <c r="HO317" s="15"/>
      <c r="HP317" s="15"/>
      <c r="HQ317" s="15"/>
      <c r="HR317" s="15"/>
      <c r="HS317" s="15"/>
      <c r="HT317" s="15"/>
      <c r="HU317" s="15"/>
      <c r="HV317" s="15"/>
      <c r="HW317" s="15"/>
      <c r="HX317" s="15"/>
      <c r="HY317" s="15"/>
      <c r="HZ317" s="15"/>
      <c r="IA317" s="15"/>
      <c r="IB317" s="15"/>
      <c r="IC317" s="15"/>
      <c r="ID317" s="15"/>
      <c r="IE317" s="15"/>
      <c r="IF317" s="15"/>
      <c r="IG317" s="15"/>
      <c r="IH317" s="15"/>
      <c r="II317" s="15"/>
      <c r="IJ317" s="15"/>
      <c r="IK317" s="15"/>
      <c r="IL317" s="15"/>
      <c r="IM317" s="15"/>
      <c r="IN317" s="15"/>
      <c r="IO317" s="15"/>
      <c r="IP317" s="15"/>
      <c r="IQ317" s="15"/>
      <c r="IR317" s="15"/>
      <c r="IS317" s="15"/>
      <c r="IT317" s="15"/>
      <c r="IU317" s="15"/>
      <c r="IV317" s="15"/>
      <c r="IW317" s="15"/>
      <c r="IX317" s="15"/>
      <c r="IY317" s="15"/>
      <c r="IZ317" s="15"/>
      <c r="JA317" s="15"/>
      <c r="JB317" s="15"/>
      <c r="JC317" s="15"/>
      <c r="JD317" s="15"/>
      <c r="JE317" s="15"/>
      <c r="JF317" s="15"/>
      <c r="JG317" s="15"/>
      <c r="JH317" s="15"/>
      <c r="JI317" s="15"/>
      <c r="JJ317" s="15"/>
      <c r="JK317" s="15"/>
      <c r="JL317" s="15"/>
      <c r="JM317" s="15"/>
      <c r="JN317" s="15"/>
      <c r="JO317" s="15"/>
      <c r="JP317" s="15"/>
      <c r="JQ317" s="15"/>
      <c r="JR317" s="15"/>
      <c r="JS317" s="15"/>
      <c r="JT317" s="15"/>
      <c r="JU317" s="15"/>
      <c r="JV317" s="15"/>
      <c r="JW317" s="15"/>
      <c r="JX317" s="15"/>
      <c r="JY317" s="15"/>
      <c r="JZ317" s="15"/>
      <c r="KA317" s="15"/>
      <c r="KB317" s="15"/>
      <c r="KC317" s="15"/>
      <c r="KD317" s="15"/>
      <c r="KE317" s="15"/>
      <c r="KF317" s="15"/>
      <c r="KG317" s="15"/>
      <c r="KH317" s="15"/>
      <c r="KI317" s="15"/>
      <c r="KJ317" s="15"/>
      <c r="KK317" s="15"/>
      <c r="KL317" s="15"/>
      <c r="KM317" s="15"/>
      <c r="KN317" s="15"/>
      <c r="KO317" s="15"/>
      <c r="KP317" s="15"/>
      <c r="KQ317" s="15"/>
      <c r="KR317" s="15"/>
      <c r="KS317" s="15"/>
      <c r="KT317" s="15"/>
      <c r="KU317" s="15"/>
      <c r="KV317" s="15"/>
      <c r="KW317" s="15"/>
      <c r="KX317" s="15"/>
      <c r="KY317" s="15"/>
      <c r="KZ317" s="15"/>
      <c r="LA317" s="15"/>
      <c r="LB317" s="15"/>
      <c r="LC317" s="15"/>
      <c r="LD317" s="15"/>
      <c r="LE317" s="15"/>
      <c r="LF317" s="15"/>
      <c r="LG317" s="15"/>
      <c r="LH317" s="15"/>
      <c r="LI317" s="15"/>
      <c r="LJ317" s="15"/>
      <c r="LK317" s="15"/>
      <c r="LL317" s="15"/>
      <c r="LM317" s="15"/>
      <c r="LN317" s="15"/>
      <c r="LO317" s="15"/>
      <c r="LP317" s="15"/>
      <c r="LQ317" s="15"/>
      <c r="LR317" s="15"/>
      <c r="LS317" s="15"/>
      <c r="LT317" s="15"/>
      <c r="LU317" s="15"/>
      <c r="LV317" s="15"/>
      <c r="LW317" s="15"/>
      <c r="LX317" s="15"/>
      <c r="LY317" s="15"/>
      <c r="LZ317" s="15"/>
      <c r="MA317" s="15"/>
      <c r="MB317" s="15"/>
      <c r="MC317" s="15"/>
      <c r="MD317" s="15"/>
      <c r="ME317" s="15"/>
      <c r="MF317" s="15"/>
      <c r="MG317" s="15"/>
      <c r="MH317" s="15"/>
      <c r="MI317" s="15"/>
      <c r="MJ317" s="15"/>
      <c r="MK317" s="15"/>
      <c r="ML317" s="15"/>
      <c r="MM317" s="15"/>
      <c r="MN317" s="15"/>
      <c r="MO317" s="15"/>
      <c r="MP317" s="15"/>
      <c r="MQ317" s="15"/>
      <c r="MR317" s="15"/>
      <c r="MS317" s="15"/>
      <c r="MT317" s="15"/>
      <c r="MU317" s="15"/>
      <c r="MV317" s="15"/>
      <c r="MW317" s="15"/>
    </row>
    <row r="318" ht="119.25" customHeight="1">
      <c r="A318" s="16" t="s">
        <v>311</v>
      </c>
      <c r="B318" s="14" t="s">
        <v>10347</v>
      </c>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c r="DF318" s="15"/>
      <c r="DG318" s="15"/>
      <c r="DH318" s="15"/>
      <c r="DI318" s="15"/>
      <c r="DJ318" s="15"/>
      <c r="DK318" s="15"/>
      <c r="DL318" s="15"/>
      <c r="DM318" s="15"/>
      <c r="DN318" s="15"/>
      <c r="DO318" s="15"/>
      <c r="DP318" s="15"/>
      <c r="DQ318" s="15"/>
      <c r="DR318" s="15"/>
      <c r="DS318" s="15"/>
      <c r="DT318" s="15"/>
      <c r="DU318" s="15"/>
      <c r="DV318" s="15"/>
      <c r="DW318" s="15"/>
      <c r="DX318" s="15"/>
      <c r="DY318" s="15"/>
      <c r="DZ318" s="15"/>
      <c r="EA318" s="15"/>
      <c r="EB318" s="15"/>
      <c r="EC318" s="15"/>
      <c r="ED318" s="15"/>
      <c r="EE318" s="15"/>
      <c r="EF318" s="15"/>
      <c r="EG318" s="15"/>
      <c r="EH318" s="15"/>
      <c r="EI318" s="15"/>
      <c r="EJ318" s="15"/>
      <c r="EK318" s="15"/>
      <c r="EL318" s="15"/>
      <c r="EM318" s="15"/>
      <c r="EN318" s="15"/>
      <c r="EO318" s="15"/>
      <c r="EP318" s="15"/>
      <c r="EQ318" s="15"/>
      <c r="ER318" s="15"/>
      <c r="ES318" s="15"/>
      <c r="ET318" s="15"/>
      <c r="EU318" s="15"/>
      <c r="EV318" s="15"/>
      <c r="EW318" s="15"/>
      <c r="EX318" s="15"/>
      <c r="EY318" s="15"/>
      <c r="EZ318" s="15"/>
      <c r="FA318" s="15"/>
      <c r="FB318" s="15"/>
      <c r="FC318" s="15"/>
      <c r="FD318" s="15"/>
      <c r="FE318" s="15"/>
      <c r="FF318" s="15"/>
      <c r="FG318" s="15"/>
      <c r="FH318" s="15"/>
      <c r="FI318" s="15"/>
      <c r="FJ318" s="15"/>
      <c r="FK318" s="15"/>
      <c r="FL318" s="15"/>
      <c r="FM318" s="15"/>
      <c r="FN318" s="15"/>
      <c r="FO318" s="15"/>
      <c r="FP318" s="15"/>
      <c r="FQ318" s="15"/>
      <c r="FR318" s="15"/>
      <c r="FS318" s="15"/>
      <c r="FT318" s="15"/>
      <c r="FU318" s="15"/>
      <c r="FV318" s="15"/>
      <c r="FW318" s="15"/>
      <c r="FX318" s="15"/>
      <c r="FY318" s="15"/>
      <c r="FZ318" s="15"/>
      <c r="GA318" s="15"/>
      <c r="GB318" s="15"/>
      <c r="GC318" s="15"/>
      <c r="GD318" s="15"/>
      <c r="GE318" s="15"/>
      <c r="GF318" s="15"/>
      <c r="GG318" s="15"/>
      <c r="GH318" s="15"/>
      <c r="GI318" s="15"/>
      <c r="GJ318" s="15"/>
      <c r="GK318" s="15"/>
      <c r="GL318" s="15"/>
      <c r="GM318" s="15"/>
      <c r="GN318" s="15"/>
      <c r="GO318" s="15"/>
      <c r="GP318" s="15"/>
      <c r="GQ318" s="15"/>
      <c r="GR318" s="15"/>
      <c r="GS318" s="15"/>
      <c r="GT318" s="15"/>
      <c r="GU318" s="15"/>
      <c r="GV318" s="15"/>
      <c r="GW318" s="15"/>
      <c r="GX318" s="15"/>
      <c r="GY318" s="15"/>
      <c r="GZ318" s="15"/>
      <c r="HA318" s="15"/>
      <c r="HB318" s="15"/>
      <c r="HC318" s="15"/>
      <c r="HD318" s="15"/>
      <c r="HE318" s="15"/>
      <c r="HF318" s="15"/>
      <c r="HG318" s="15"/>
      <c r="HH318" s="15"/>
      <c r="HI318" s="15"/>
      <c r="HJ318" s="15"/>
      <c r="HK318" s="15"/>
      <c r="HL318" s="15"/>
      <c r="HM318" s="15"/>
      <c r="HN318" s="15"/>
      <c r="HO318" s="15"/>
      <c r="HP318" s="15"/>
      <c r="HQ318" s="15"/>
      <c r="HR318" s="15"/>
      <c r="HS318" s="15"/>
      <c r="HT318" s="15"/>
      <c r="HU318" s="15"/>
      <c r="HV318" s="15"/>
      <c r="HW318" s="15"/>
      <c r="HX318" s="15"/>
      <c r="HY318" s="15"/>
      <c r="HZ318" s="15"/>
      <c r="IA318" s="15"/>
      <c r="IB318" s="15"/>
      <c r="IC318" s="15"/>
      <c r="ID318" s="15"/>
      <c r="IE318" s="15"/>
      <c r="IF318" s="15"/>
      <c r="IG318" s="15"/>
      <c r="IH318" s="15"/>
      <c r="II318" s="15"/>
      <c r="IJ318" s="15"/>
      <c r="IK318" s="15"/>
      <c r="IL318" s="15"/>
      <c r="IM318" s="15"/>
      <c r="IN318" s="15"/>
      <c r="IO318" s="15"/>
      <c r="IP318" s="15"/>
      <c r="IQ318" s="15"/>
      <c r="IR318" s="15"/>
      <c r="IS318" s="15"/>
      <c r="IT318" s="15"/>
      <c r="IU318" s="15"/>
      <c r="IV318" s="15"/>
      <c r="IW318" s="15"/>
      <c r="IX318" s="15"/>
      <c r="IY318" s="15"/>
      <c r="IZ318" s="15"/>
      <c r="JA318" s="15"/>
      <c r="JB318" s="15"/>
      <c r="JC318" s="15"/>
      <c r="JD318" s="15"/>
      <c r="JE318" s="15"/>
      <c r="JF318" s="15"/>
      <c r="JG318" s="15"/>
      <c r="JH318" s="15"/>
      <c r="JI318" s="15"/>
      <c r="JJ318" s="15"/>
      <c r="JK318" s="15"/>
      <c r="JL318" s="15"/>
      <c r="JM318" s="15"/>
      <c r="JN318" s="15"/>
      <c r="JO318" s="15"/>
      <c r="JP318" s="15"/>
      <c r="JQ318" s="15"/>
      <c r="JR318" s="15"/>
      <c r="JS318" s="15"/>
      <c r="JT318" s="15"/>
      <c r="JU318" s="15"/>
      <c r="JV318" s="15"/>
      <c r="JW318" s="15"/>
      <c r="JX318" s="15"/>
      <c r="JY318" s="15"/>
      <c r="JZ318" s="15"/>
      <c r="KA318" s="15"/>
      <c r="KB318" s="15"/>
      <c r="KC318" s="15"/>
      <c r="KD318" s="15"/>
      <c r="KE318" s="15"/>
      <c r="KF318" s="15"/>
      <c r="KG318" s="15"/>
      <c r="KH318" s="15"/>
      <c r="KI318" s="15"/>
      <c r="KJ318" s="15"/>
      <c r="KK318" s="15"/>
      <c r="KL318" s="15"/>
      <c r="KM318" s="15"/>
      <c r="KN318" s="15"/>
      <c r="KO318" s="15"/>
      <c r="KP318" s="15"/>
      <c r="KQ318" s="15"/>
      <c r="KR318" s="15"/>
      <c r="KS318" s="15"/>
      <c r="KT318" s="15"/>
      <c r="KU318" s="15"/>
      <c r="KV318" s="15"/>
      <c r="KW318" s="15"/>
      <c r="KX318" s="15"/>
      <c r="KY318" s="15"/>
      <c r="KZ318" s="15"/>
      <c r="LA318" s="15"/>
      <c r="LB318" s="15"/>
      <c r="LC318" s="15"/>
      <c r="LD318" s="15"/>
      <c r="LE318" s="15"/>
      <c r="LF318" s="15"/>
      <c r="LG318" s="15"/>
      <c r="LH318" s="15"/>
      <c r="LI318" s="15"/>
      <c r="LJ318" s="15"/>
      <c r="LK318" s="15"/>
      <c r="LL318" s="15"/>
      <c r="LM318" s="15"/>
      <c r="LN318" s="15"/>
      <c r="LO318" s="15"/>
      <c r="LP318" s="15"/>
      <c r="LQ318" s="15"/>
      <c r="LR318" s="15"/>
      <c r="LS318" s="15"/>
      <c r="LT318" s="15"/>
      <c r="LU318" s="15"/>
      <c r="LV318" s="15"/>
      <c r="LW318" s="15"/>
      <c r="LX318" s="15"/>
      <c r="LY318" s="15"/>
      <c r="LZ318" s="15"/>
      <c r="MA318" s="15"/>
      <c r="MB318" s="15"/>
      <c r="MC318" s="15"/>
      <c r="MD318" s="15"/>
      <c r="ME318" s="15"/>
      <c r="MF318" s="15"/>
      <c r="MG318" s="15"/>
      <c r="MH318" s="15"/>
      <c r="MI318" s="15"/>
      <c r="MJ318" s="15"/>
      <c r="MK318" s="15"/>
      <c r="ML318" s="15"/>
      <c r="MM318" s="15"/>
      <c r="MN318" s="15"/>
      <c r="MO318" s="15"/>
      <c r="MP318" s="15"/>
      <c r="MQ318" s="15"/>
      <c r="MR318" s="15"/>
      <c r="MS318" s="15"/>
      <c r="MT318" s="15"/>
      <c r="MU318" s="15"/>
      <c r="MV318" s="15"/>
      <c r="MW318" s="15"/>
    </row>
    <row r="319" ht="41.25" customHeight="1">
      <c r="A319" s="16" t="s">
        <v>312</v>
      </c>
      <c r="B319" s="14" t="s">
        <v>10348</v>
      </c>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c r="DF319" s="15"/>
      <c r="DG319" s="15"/>
      <c r="DH319" s="15"/>
      <c r="DI319" s="15"/>
      <c r="DJ319" s="15"/>
      <c r="DK319" s="15"/>
      <c r="DL319" s="15"/>
      <c r="DM319" s="15"/>
      <c r="DN319" s="15"/>
      <c r="DO319" s="15"/>
      <c r="DP319" s="15"/>
      <c r="DQ319" s="15"/>
      <c r="DR319" s="15"/>
      <c r="DS319" s="15"/>
      <c r="DT319" s="15"/>
      <c r="DU319" s="15"/>
      <c r="DV319" s="15"/>
      <c r="DW319" s="15"/>
      <c r="DX319" s="15"/>
      <c r="DY319" s="15"/>
      <c r="DZ319" s="15"/>
      <c r="EA319" s="15"/>
      <c r="EB319" s="15"/>
      <c r="EC319" s="15"/>
      <c r="ED319" s="15"/>
      <c r="EE319" s="15"/>
      <c r="EF319" s="15"/>
      <c r="EG319" s="15"/>
      <c r="EH319" s="15"/>
      <c r="EI319" s="15"/>
      <c r="EJ319" s="15"/>
      <c r="EK319" s="15"/>
      <c r="EL319" s="15"/>
      <c r="EM319" s="15"/>
      <c r="EN319" s="15"/>
      <c r="EO319" s="15"/>
      <c r="EP319" s="15"/>
      <c r="EQ319" s="15"/>
      <c r="ER319" s="15"/>
      <c r="ES319" s="15"/>
      <c r="ET319" s="15"/>
      <c r="EU319" s="15"/>
      <c r="EV319" s="15"/>
      <c r="EW319" s="15"/>
      <c r="EX319" s="15"/>
      <c r="EY319" s="15"/>
      <c r="EZ319" s="15"/>
      <c r="FA319" s="15"/>
      <c r="FB319" s="15"/>
      <c r="FC319" s="15"/>
      <c r="FD319" s="15"/>
      <c r="FE319" s="15"/>
      <c r="FF319" s="15"/>
      <c r="FG319" s="15"/>
      <c r="FH319" s="15"/>
      <c r="FI319" s="15"/>
      <c r="FJ319" s="15"/>
      <c r="FK319" s="15"/>
      <c r="FL319" s="15"/>
      <c r="FM319" s="15"/>
      <c r="FN319" s="15"/>
      <c r="FO319" s="15"/>
      <c r="FP319" s="15"/>
      <c r="FQ319" s="15"/>
      <c r="FR319" s="15"/>
      <c r="FS319" s="15"/>
      <c r="FT319" s="15"/>
      <c r="FU319" s="15"/>
      <c r="FV319" s="15"/>
      <c r="FW319" s="15"/>
      <c r="FX319" s="15"/>
      <c r="FY319" s="15"/>
      <c r="FZ319" s="15"/>
      <c r="GA319" s="15"/>
      <c r="GB319" s="15"/>
      <c r="GC319" s="15"/>
      <c r="GD319" s="15"/>
      <c r="GE319" s="15"/>
      <c r="GF319" s="15"/>
      <c r="GG319" s="15"/>
      <c r="GH319" s="15"/>
      <c r="GI319" s="15"/>
      <c r="GJ319" s="15"/>
      <c r="GK319" s="15"/>
      <c r="GL319" s="15"/>
      <c r="GM319" s="15"/>
      <c r="GN319" s="15"/>
      <c r="GO319" s="15"/>
      <c r="GP319" s="15"/>
      <c r="GQ319" s="15"/>
      <c r="GR319" s="15"/>
      <c r="GS319" s="15"/>
      <c r="GT319" s="15"/>
      <c r="GU319" s="15"/>
      <c r="GV319" s="15"/>
      <c r="GW319" s="15"/>
      <c r="GX319" s="15"/>
      <c r="GY319" s="15"/>
      <c r="GZ319" s="15"/>
      <c r="HA319" s="15"/>
      <c r="HB319" s="15"/>
      <c r="HC319" s="15"/>
      <c r="HD319" s="15"/>
      <c r="HE319" s="15"/>
      <c r="HF319" s="15"/>
      <c r="HG319" s="15"/>
      <c r="HH319" s="15"/>
      <c r="HI319" s="15"/>
      <c r="HJ319" s="15"/>
      <c r="HK319" s="15"/>
      <c r="HL319" s="15"/>
      <c r="HM319" s="15"/>
      <c r="HN319" s="15"/>
      <c r="HO319" s="15"/>
      <c r="HP319" s="15"/>
      <c r="HQ319" s="15"/>
      <c r="HR319" s="15"/>
      <c r="HS319" s="15"/>
      <c r="HT319" s="15"/>
      <c r="HU319" s="15"/>
      <c r="HV319" s="15"/>
      <c r="HW319" s="15"/>
      <c r="HX319" s="15"/>
      <c r="HY319" s="15"/>
      <c r="HZ319" s="15"/>
      <c r="IA319" s="15"/>
      <c r="IB319" s="15"/>
      <c r="IC319" s="15"/>
      <c r="ID319" s="15"/>
      <c r="IE319" s="15"/>
      <c r="IF319" s="15"/>
      <c r="IG319" s="15"/>
      <c r="IH319" s="15"/>
      <c r="II319" s="15"/>
      <c r="IJ319" s="15"/>
      <c r="IK319" s="15"/>
      <c r="IL319" s="15"/>
      <c r="IM319" s="15"/>
      <c r="IN319" s="15"/>
      <c r="IO319" s="15"/>
      <c r="IP319" s="15"/>
      <c r="IQ319" s="15"/>
      <c r="IR319" s="15"/>
      <c r="IS319" s="15"/>
      <c r="IT319" s="15"/>
      <c r="IU319" s="15"/>
      <c r="IV319" s="15"/>
      <c r="IW319" s="15"/>
      <c r="IX319" s="15"/>
      <c r="IY319" s="15"/>
      <c r="IZ319" s="15"/>
      <c r="JA319" s="15"/>
      <c r="JB319" s="15"/>
      <c r="JC319" s="15"/>
      <c r="JD319" s="15"/>
      <c r="JE319" s="15"/>
      <c r="JF319" s="15"/>
      <c r="JG319" s="15"/>
      <c r="JH319" s="15"/>
      <c r="JI319" s="15"/>
      <c r="JJ319" s="15"/>
      <c r="JK319" s="15"/>
      <c r="JL319" s="15"/>
      <c r="JM319" s="15"/>
      <c r="JN319" s="15"/>
      <c r="JO319" s="15"/>
      <c r="JP319" s="15"/>
      <c r="JQ319" s="15"/>
      <c r="JR319" s="15"/>
      <c r="JS319" s="15"/>
      <c r="JT319" s="15"/>
      <c r="JU319" s="15"/>
      <c r="JV319" s="15"/>
      <c r="JW319" s="15"/>
      <c r="JX319" s="15"/>
      <c r="JY319" s="15"/>
      <c r="JZ319" s="15"/>
      <c r="KA319" s="15"/>
      <c r="KB319" s="15"/>
      <c r="KC319" s="15"/>
      <c r="KD319" s="15"/>
      <c r="KE319" s="15"/>
      <c r="KF319" s="15"/>
      <c r="KG319" s="15"/>
      <c r="KH319" s="15"/>
      <c r="KI319" s="15"/>
      <c r="KJ319" s="15"/>
      <c r="KK319" s="15"/>
      <c r="KL319" s="15"/>
      <c r="KM319" s="15"/>
      <c r="KN319" s="15"/>
      <c r="KO319" s="15"/>
      <c r="KP319" s="15"/>
      <c r="KQ319" s="15"/>
      <c r="KR319" s="15"/>
      <c r="KS319" s="15"/>
      <c r="KT319" s="15"/>
      <c r="KU319" s="15"/>
      <c r="KV319" s="15"/>
      <c r="KW319" s="15"/>
      <c r="KX319" s="15"/>
      <c r="KY319" s="15"/>
      <c r="KZ319" s="15"/>
      <c r="LA319" s="15"/>
      <c r="LB319" s="15"/>
      <c r="LC319" s="15"/>
      <c r="LD319" s="15"/>
      <c r="LE319" s="15"/>
      <c r="LF319" s="15"/>
      <c r="LG319" s="15"/>
      <c r="LH319" s="15"/>
      <c r="LI319" s="15"/>
      <c r="LJ319" s="15"/>
      <c r="LK319" s="15"/>
      <c r="LL319" s="15"/>
      <c r="LM319" s="15"/>
      <c r="LN319" s="15"/>
      <c r="LO319" s="15"/>
      <c r="LP319" s="15"/>
      <c r="LQ319" s="15"/>
      <c r="LR319" s="15"/>
      <c r="LS319" s="15"/>
      <c r="LT319" s="15"/>
      <c r="LU319" s="15"/>
      <c r="LV319" s="15"/>
      <c r="LW319" s="15"/>
      <c r="LX319" s="15"/>
      <c r="LY319" s="15"/>
      <c r="LZ319" s="15"/>
      <c r="MA319" s="15"/>
      <c r="MB319" s="15"/>
      <c r="MC319" s="15"/>
      <c r="MD319" s="15"/>
      <c r="ME319" s="15"/>
      <c r="MF319" s="15"/>
      <c r="MG319" s="15"/>
      <c r="MH319" s="15"/>
      <c r="MI319" s="15"/>
      <c r="MJ319" s="15"/>
      <c r="MK319" s="15"/>
      <c r="ML319" s="15"/>
      <c r="MM319" s="15"/>
      <c r="MN319" s="15"/>
      <c r="MO319" s="15"/>
      <c r="MP319" s="15"/>
      <c r="MQ319" s="15"/>
      <c r="MR319" s="15"/>
      <c r="MS319" s="15"/>
      <c r="MT319" s="15"/>
      <c r="MU319" s="15"/>
      <c r="MV319" s="15"/>
      <c r="MW319" s="15"/>
    </row>
    <row r="320" ht="119.25" customHeight="1">
      <c r="A320" s="16" t="s">
        <v>313</v>
      </c>
      <c r="B320" s="14" t="s">
        <v>10349</v>
      </c>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c r="DE320" s="15"/>
      <c r="DF320" s="15"/>
      <c r="DG320" s="15"/>
      <c r="DH320" s="15"/>
      <c r="DI320" s="15"/>
      <c r="DJ320" s="15"/>
      <c r="DK320" s="15"/>
      <c r="DL320" s="15"/>
      <c r="DM320" s="15"/>
      <c r="DN320" s="15"/>
      <c r="DO320" s="15"/>
      <c r="DP320" s="15"/>
      <c r="DQ320" s="15"/>
      <c r="DR320" s="15"/>
      <c r="DS320" s="15"/>
      <c r="DT320" s="15"/>
      <c r="DU320" s="15"/>
      <c r="DV320" s="15"/>
      <c r="DW320" s="15"/>
      <c r="DX320" s="15"/>
      <c r="DY320" s="15"/>
      <c r="DZ320" s="15"/>
      <c r="EA320" s="15"/>
      <c r="EB320" s="15"/>
      <c r="EC320" s="15"/>
      <c r="ED320" s="15"/>
      <c r="EE320" s="15"/>
      <c r="EF320" s="15"/>
      <c r="EG320" s="15"/>
      <c r="EH320" s="15"/>
      <c r="EI320" s="15"/>
      <c r="EJ320" s="15"/>
      <c r="EK320" s="15"/>
      <c r="EL320" s="15"/>
      <c r="EM320" s="15"/>
      <c r="EN320" s="15"/>
      <c r="EO320" s="15"/>
      <c r="EP320" s="15"/>
      <c r="EQ320" s="15"/>
      <c r="ER320" s="15"/>
      <c r="ES320" s="15"/>
      <c r="ET320" s="15"/>
      <c r="EU320" s="15"/>
      <c r="EV320" s="15"/>
      <c r="EW320" s="15"/>
      <c r="EX320" s="15"/>
      <c r="EY320" s="15"/>
      <c r="EZ320" s="15"/>
      <c r="FA320" s="15"/>
      <c r="FB320" s="15"/>
      <c r="FC320" s="15"/>
      <c r="FD320" s="15"/>
      <c r="FE320" s="15"/>
      <c r="FF320" s="15"/>
      <c r="FG320" s="15"/>
      <c r="FH320" s="15"/>
      <c r="FI320" s="15"/>
      <c r="FJ320" s="15"/>
      <c r="FK320" s="15"/>
      <c r="FL320" s="15"/>
      <c r="FM320" s="15"/>
      <c r="FN320" s="15"/>
      <c r="FO320" s="15"/>
      <c r="FP320" s="15"/>
      <c r="FQ320" s="15"/>
      <c r="FR320" s="15"/>
      <c r="FS320" s="15"/>
      <c r="FT320" s="15"/>
      <c r="FU320" s="15"/>
      <c r="FV320" s="15"/>
      <c r="FW320" s="15"/>
      <c r="FX320" s="15"/>
      <c r="FY320" s="15"/>
      <c r="FZ320" s="15"/>
      <c r="GA320" s="15"/>
      <c r="GB320" s="15"/>
      <c r="GC320" s="15"/>
      <c r="GD320" s="15"/>
      <c r="GE320" s="15"/>
      <c r="GF320" s="15"/>
      <c r="GG320" s="15"/>
      <c r="GH320" s="15"/>
      <c r="GI320" s="15"/>
      <c r="GJ320" s="15"/>
      <c r="GK320" s="15"/>
      <c r="GL320" s="15"/>
      <c r="GM320" s="15"/>
      <c r="GN320" s="15"/>
      <c r="GO320" s="15"/>
      <c r="GP320" s="15"/>
      <c r="GQ320" s="15"/>
      <c r="GR320" s="15"/>
      <c r="GS320" s="15"/>
      <c r="GT320" s="15"/>
      <c r="GU320" s="15"/>
      <c r="GV320" s="15"/>
      <c r="GW320" s="15"/>
      <c r="GX320" s="15"/>
      <c r="GY320" s="15"/>
      <c r="GZ320" s="15"/>
      <c r="HA320" s="15"/>
      <c r="HB320" s="15"/>
      <c r="HC320" s="15"/>
      <c r="HD320" s="15"/>
      <c r="HE320" s="15"/>
      <c r="HF320" s="15"/>
      <c r="HG320" s="15"/>
      <c r="HH320" s="15"/>
      <c r="HI320" s="15"/>
      <c r="HJ320" s="15"/>
      <c r="HK320" s="15"/>
      <c r="HL320" s="15"/>
      <c r="HM320" s="15"/>
      <c r="HN320" s="15"/>
      <c r="HO320" s="15"/>
      <c r="HP320" s="15"/>
      <c r="HQ320" s="15"/>
      <c r="HR320" s="15"/>
      <c r="HS320" s="15"/>
      <c r="HT320" s="15"/>
      <c r="HU320" s="15"/>
      <c r="HV320" s="15"/>
      <c r="HW320" s="15"/>
      <c r="HX320" s="15"/>
      <c r="HY320" s="15"/>
      <c r="HZ320" s="15"/>
      <c r="IA320" s="15"/>
      <c r="IB320" s="15"/>
      <c r="IC320" s="15"/>
      <c r="ID320" s="15"/>
      <c r="IE320" s="15"/>
      <c r="IF320" s="15"/>
      <c r="IG320" s="15"/>
      <c r="IH320" s="15"/>
      <c r="II320" s="15"/>
      <c r="IJ320" s="15"/>
      <c r="IK320" s="15"/>
      <c r="IL320" s="15"/>
      <c r="IM320" s="15"/>
      <c r="IN320" s="15"/>
      <c r="IO320" s="15"/>
      <c r="IP320" s="15"/>
      <c r="IQ320" s="15"/>
      <c r="IR320" s="15"/>
      <c r="IS320" s="15"/>
      <c r="IT320" s="15"/>
      <c r="IU320" s="15"/>
      <c r="IV320" s="15"/>
      <c r="IW320" s="15"/>
      <c r="IX320" s="15"/>
      <c r="IY320" s="15"/>
      <c r="IZ320" s="15"/>
      <c r="JA320" s="15"/>
      <c r="JB320" s="15"/>
      <c r="JC320" s="15"/>
      <c r="JD320" s="15"/>
      <c r="JE320" s="15"/>
      <c r="JF320" s="15"/>
      <c r="JG320" s="15"/>
      <c r="JH320" s="15"/>
      <c r="JI320" s="15"/>
      <c r="JJ320" s="15"/>
      <c r="JK320" s="15"/>
      <c r="JL320" s="15"/>
      <c r="JM320" s="15"/>
      <c r="JN320" s="15"/>
      <c r="JO320" s="15"/>
      <c r="JP320" s="15"/>
      <c r="JQ320" s="15"/>
      <c r="JR320" s="15"/>
      <c r="JS320" s="15"/>
      <c r="JT320" s="15"/>
      <c r="JU320" s="15"/>
      <c r="JV320" s="15"/>
      <c r="JW320" s="15"/>
      <c r="JX320" s="15"/>
      <c r="JY320" s="15"/>
      <c r="JZ320" s="15"/>
      <c r="KA320" s="15"/>
      <c r="KB320" s="15"/>
      <c r="KC320" s="15"/>
      <c r="KD320" s="15"/>
      <c r="KE320" s="15"/>
      <c r="KF320" s="15"/>
      <c r="KG320" s="15"/>
      <c r="KH320" s="15"/>
      <c r="KI320" s="15"/>
      <c r="KJ320" s="15"/>
      <c r="KK320" s="15"/>
      <c r="KL320" s="15"/>
      <c r="KM320" s="15"/>
      <c r="KN320" s="15"/>
      <c r="KO320" s="15"/>
      <c r="KP320" s="15"/>
      <c r="KQ320" s="15"/>
      <c r="KR320" s="15"/>
      <c r="KS320" s="15"/>
      <c r="KT320" s="15"/>
      <c r="KU320" s="15"/>
      <c r="KV320" s="15"/>
      <c r="KW320" s="15"/>
      <c r="KX320" s="15"/>
      <c r="KY320" s="15"/>
      <c r="KZ320" s="15"/>
      <c r="LA320" s="15"/>
      <c r="LB320" s="15"/>
      <c r="LC320" s="15"/>
      <c r="LD320" s="15"/>
      <c r="LE320" s="15"/>
      <c r="LF320" s="15"/>
      <c r="LG320" s="15"/>
      <c r="LH320" s="15"/>
      <c r="LI320" s="15"/>
      <c r="LJ320" s="15"/>
      <c r="LK320" s="15"/>
      <c r="LL320" s="15"/>
      <c r="LM320" s="15"/>
      <c r="LN320" s="15"/>
      <c r="LO320" s="15"/>
      <c r="LP320" s="15"/>
      <c r="LQ320" s="15"/>
      <c r="LR320" s="15"/>
      <c r="LS320" s="15"/>
      <c r="LT320" s="15"/>
      <c r="LU320" s="15"/>
      <c r="LV320" s="15"/>
      <c r="LW320" s="15"/>
      <c r="LX320" s="15"/>
      <c r="LY320" s="15"/>
      <c r="LZ320" s="15"/>
      <c r="MA320" s="15"/>
      <c r="MB320" s="15"/>
      <c r="MC320" s="15"/>
      <c r="MD320" s="15"/>
      <c r="ME320" s="15"/>
      <c r="MF320" s="15"/>
      <c r="MG320" s="15"/>
      <c r="MH320" s="15"/>
      <c r="MI320" s="15"/>
      <c r="MJ320" s="15"/>
      <c r="MK320" s="15"/>
      <c r="ML320" s="15"/>
      <c r="MM320" s="15"/>
      <c r="MN320" s="15"/>
      <c r="MO320" s="15"/>
      <c r="MP320" s="15"/>
      <c r="MQ320" s="15"/>
      <c r="MR320" s="15"/>
      <c r="MS320" s="15"/>
      <c r="MT320" s="15"/>
      <c r="MU320" s="15"/>
      <c r="MV320" s="15"/>
      <c r="MW320" s="15"/>
    </row>
    <row r="321" ht="41.25" customHeight="1">
      <c r="A321" s="16" t="s">
        <v>314</v>
      </c>
      <c r="B321" s="14" t="s">
        <v>10350</v>
      </c>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c r="DE321" s="15"/>
      <c r="DF321" s="15"/>
      <c r="DG321" s="15"/>
      <c r="DH321" s="15"/>
      <c r="DI321" s="15"/>
      <c r="DJ321" s="15"/>
      <c r="DK321" s="15"/>
      <c r="DL321" s="15"/>
      <c r="DM321" s="15"/>
      <c r="DN321" s="15"/>
      <c r="DO321" s="15"/>
      <c r="DP321" s="15"/>
      <c r="DQ321" s="15"/>
      <c r="DR321" s="15"/>
      <c r="DS321" s="15"/>
      <c r="DT321" s="15"/>
      <c r="DU321" s="15"/>
      <c r="DV321" s="15"/>
      <c r="DW321" s="15"/>
      <c r="DX321" s="15"/>
      <c r="DY321" s="15"/>
      <c r="DZ321" s="15"/>
      <c r="EA321" s="15"/>
      <c r="EB321" s="15"/>
      <c r="EC321" s="15"/>
      <c r="ED321" s="15"/>
      <c r="EE321" s="15"/>
      <c r="EF321" s="15"/>
      <c r="EG321" s="15"/>
      <c r="EH321" s="15"/>
      <c r="EI321" s="15"/>
      <c r="EJ321" s="15"/>
      <c r="EK321" s="15"/>
      <c r="EL321" s="15"/>
      <c r="EM321" s="15"/>
      <c r="EN321" s="15"/>
      <c r="EO321" s="15"/>
      <c r="EP321" s="15"/>
      <c r="EQ321" s="15"/>
      <c r="ER321" s="15"/>
      <c r="ES321" s="15"/>
      <c r="ET321" s="15"/>
      <c r="EU321" s="15"/>
      <c r="EV321" s="15"/>
      <c r="EW321" s="15"/>
      <c r="EX321" s="15"/>
      <c r="EY321" s="15"/>
      <c r="EZ321" s="15"/>
      <c r="FA321" s="15"/>
      <c r="FB321" s="15"/>
      <c r="FC321" s="15"/>
      <c r="FD321" s="15"/>
      <c r="FE321" s="15"/>
      <c r="FF321" s="15"/>
      <c r="FG321" s="15"/>
      <c r="FH321" s="15"/>
      <c r="FI321" s="15"/>
      <c r="FJ321" s="15"/>
      <c r="FK321" s="15"/>
      <c r="FL321" s="15"/>
      <c r="FM321" s="15"/>
      <c r="FN321" s="15"/>
      <c r="FO321" s="15"/>
      <c r="FP321" s="15"/>
      <c r="FQ321" s="15"/>
      <c r="FR321" s="15"/>
      <c r="FS321" s="15"/>
      <c r="FT321" s="15"/>
      <c r="FU321" s="15"/>
      <c r="FV321" s="15"/>
      <c r="FW321" s="15"/>
      <c r="FX321" s="15"/>
      <c r="FY321" s="15"/>
      <c r="FZ321" s="15"/>
      <c r="GA321" s="15"/>
      <c r="GB321" s="15"/>
      <c r="GC321" s="15"/>
      <c r="GD321" s="15"/>
      <c r="GE321" s="15"/>
      <c r="GF321" s="15"/>
      <c r="GG321" s="15"/>
      <c r="GH321" s="15"/>
      <c r="GI321" s="15"/>
      <c r="GJ321" s="15"/>
      <c r="GK321" s="15"/>
      <c r="GL321" s="15"/>
      <c r="GM321" s="15"/>
      <c r="GN321" s="15"/>
      <c r="GO321" s="15"/>
      <c r="GP321" s="15"/>
      <c r="GQ321" s="15"/>
      <c r="GR321" s="15"/>
      <c r="GS321" s="15"/>
      <c r="GT321" s="15"/>
      <c r="GU321" s="15"/>
      <c r="GV321" s="15"/>
      <c r="GW321" s="15"/>
      <c r="GX321" s="15"/>
      <c r="GY321" s="15"/>
      <c r="GZ321" s="15"/>
      <c r="HA321" s="15"/>
      <c r="HB321" s="15"/>
      <c r="HC321" s="15"/>
      <c r="HD321" s="15"/>
      <c r="HE321" s="15"/>
      <c r="HF321" s="15"/>
      <c r="HG321" s="15"/>
      <c r="HH321" s="15"/>
      <c r="HI321" s="15"/>
      <c r="HJ321" s="15"/>
      <c r="HK321" s="15"/>
      <c r="HL321" s="15"/>
      <c r="HM321" s="15"/>
      <c r="HN321" s="15"/>
      <c r="HO321" s="15"/>
      <c r="HP321" s="15"/>
      <c r="HQ321" s="15"/>
      <c r="HR321" s="15"/>
      <c r="HS321" s="15"/>
      <c r="HT321" s="15"/>
      <c r="HU321" s="15"/>
      <c r="HV321" s="15"/>
      <c r="HW321" s="15"/>
      <c r="HX321" s="15"/>
      <c r="HY321" s="15"/>
      <c r="HZ321" s="15"/>
      <c r="IA321" s="15"/>
      <c r="IB321" s="15"/>
      <c r="IC321" s="15"/>
      <c r="ID321" s="15"/>
      <c r="IE321" s="15"/>
      <c r="IF321" s="15"/>
      <c r="IG321" s="15"/>
      <c r="IH321" s="15"/>
      <c r="II321" s="15"/>
      <c r="IJ321" s="15"/>
      <c r="IK321" s="15"/>
      <c r="IL321" s="15"/>
      <c r="IM321" s="15"/>
      <c r="IN321" s="15"/>
      <c r="IO321" s="15"/>
      <c r="IP321" s="15"/>
      <c r="IQ321" s="15"/>
      <c r="IR321" s="15"/>
      <c r="IS321" s="15"/>
      <c r="IT321" s="15"/>
      <c r="IU321" s="15"/>
      <c r="IV321" s="15"/>
      <c r="IW321" s="15"/>
      <c r="IX321" s="15"/>
      <c r="IY321" s="15"/>
      <c r="IZ321" s="15"/>
      <c r="JA321" s="15"/>
      <c r="JB321" s="15"/>
      <c r="JC321" s="15"/>
      <c r="JD321" s="15"/>
      <c r="JE321" s="15"/>
      <c r="JF321" s="15"/>
      <c r="JG321" s="15"/>
      <c r="JH321" s="15"/>
      <c r="JI321" s="15"/>
      <c r="JJ321" s="15"/>
      <c r="JK321" s="15"/>
      <c r="JL321" s="15"/>
      <c r="JM321" s="15"/>
      <c r="JN321" s="15"/>
      <c r="JO321" s="15"/>
      <c r="JP321" s="15"/>
      <c r="JQ321" s="15"/>
      <c r="JR321" s="15"/>
      <c r="JS321" s="15"/>
      <c r="JT321" s="15"/>
      <c r="JU321" s="15"/>
      <c r="JV321" s="15"/>
      <c r="JW321" s="15"/>
      <c r="JX321" s="15"/>
      <c r="JY321" s="15"/>
      <c r="JZ321" s="15"/>
      <c r="KA321" s="15"/>
      <c r="KB321" s="15"/>
      <c r="KC321" s="15"/>
      <c r="KD321" s="15"/>
      <c r="KE321" s="15"/>
      <c r="KF321" s="15"/>
      <c r="KG321" s="15"/>
      <c r="KH321" s="15"/>
      <c r="KI321" s="15"/>
      <c r="KJ321" s="15"/>
      <c r="KK321" s="15"/>
      <c r="KL321" s="15"/>
      <c r="KM321" s="15"/>
      <c r="KN321" s="15"/>
      <c r="KO321" s="15"/>
      <c r="KP321" s="15"/>
      <c r="KQ321" s="15"/>
      <c r="KR321" s="15"/>
      <c r="KS321" s="15"/>
      <c r="KT321" s="15"/>
      <c r="KU321" s="15"/>
      <c r="KV321" s="15"/>
      <c r="KW321" s="15"/>
      <c r="KX321" s="15"/>
      <c r="KY321" s="15"/>
      <c r="KZ321" s="15"/>
      <c r="LA321" s="15"/>
      <c r="LB321" s="15"/>
      <c r="LC321" s="15"/>
      <c r="LD321" s="15"/>
      <c r="LE321" s="15"/>
      <c r="LF321" s="15"/>
      <c r="LG321" s="15"/>
      <c r="LH321" s="15"/>
      <c r="LI321" s="15"/>
      <c r="LJ321" s="15"/>
      <c r="LK321" s="15"/>
      <c r="LL321" s="15"/>
      <c r="LM321" s="15"/>
      <c r="LN321" s="15"/>
      <c r="LO321" s="15"/>
      <c r="LP321" s="15"/>
      <c r="LQ321" s="15"/>
      <c r="LR321" s="15"/>
      <c r="LS321" s="15"/>
      <c r="LT321" s="15"/>
      <c r="LU321" s="15"/>
      <c r="LV321" s="15"/>
      <c r="LW321" s="15"/>
      <c r="LX321" s="15"/>
      <c r="LY321" s="15"/>
      <c r="LZ321" s="15"/>
      <c r="MA321" s="15"/>
      <c r="MB321" s="15"/>
      <c r="MC321" s="15"/>
      <c r="MD321" s="15"/>
      <c r="ME321" s="15"/>
      <c r="MF321" s="15"/>
      <c r="MG321" s="15"/>
      <c r="MH321" s="15"/>
      <c r="MI321" s="15"/>
      <c r="MJ321" s="15"/>
      <c r="MK321" s="15"/>
      <c r="ML321" s="15"/>
      <c r="MM321" s="15"/>
      <c r="MN321" s="15"/>
      <c r="MO321" s="15"/>
      <c r="MP321" s="15"/>
      <c r="MQ321" s="15"/>
      <c r="MR321" s="15"/>
      <c r="MS321" s="15"/>
      <c r="MT321" s="15"/>
      <c r="MU321" s="15"/>
      <c r="MV321" s="15"/>
      <c r="MW321" s="15"/>
    </row>
    <row r="322" ht="119.25" customHeight="1">
      <c r="A322" s="16" t="s">
        <v>315</v>
      </c>
      <c r="B322" s="14" t="s">
        <v>10351</v>
      </c>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c r="DE322" s="15"/>
      <c r="DF322" s="15"/>
      <c r="DG322" s="15"/>
      <c r="DH322" s="15"/>
      <c r="DI322" s="15"/>
      <c r="DJ322" s="15"/>
      <c r="DK322" s="15"/>
      <c r="DL322" s="15"/>
      <c r="DM322" s="15"/>
      <c r="DN322" s="15"/>
      <c r="DO322" s="15"/>
      <c r="DP322" s="15"/>
      <c r="DQ322" s="15"/>
      <c r="DR322" s="15"/>
      <c r="DS322" s="15"/>
      <c r="DT322" s="15"/>
      <c r="DU322" s="15"/>
      <c r="DV322" s="15"/>
      <c r="DW322" s="15"/>
      <c r="DX322" s="15"/>
      <c r="DY322" s="15"/>
      <c r="DZ322" s="15"/>
      <c r="EA322" s="15"/>
      <c r="EB322" s="15"/>
      <c r="EC322" s="15"/>
      <c r="ED322" s="15"/>
      <c r="EE322" s="15"/>
      <c r="EF322" s="15"/>
      <c r="EG322" s="15"/>
      <c r="EH322" s="15"/>
      <c r="EI322" s="15"/>
      <c r="EJ322" s="15"/>
      <c r="EK322" s="15"/>
      <c r="EL322" s="15"/>
      <c r="EM322" s="15"/>
      <c r="EN322" s="15"/>
      <c r="EO322" s="15"/>
      <c r="EP322" s="15"/>
      <c r="EQ322" s="15"/>
      <c r="ER322" s="15"/>
      <c r="ES322" s="15"/>
      <c r="ET322" s="15"/>
      <c r="EU322" s="15"/>
      <c r="EV322" s="15"/>
      <c r="EW322" s="15"/>
      <c r="EX322" s="15"/>
      <c r="EY322" s="15"/>
      <c r="EZ322" s="15"/>
      <c r="FA322" s="15"/>
      <c r="FB322" s="15"/>
      <c r="FC322" s="15"/>
      <c r="FD322" s="15"/>
      <c r="FE322" s="15"/>
      <c r="FF322" s="15"/>
      <c r="FG322" s="15"/>
      <c r="FH322" s="15"/>
      <c r="FI322" s="15"/>
      <c r="FJ322" s="15"/>
      <c r="FK322" s="15"/>
      <c r="FL322" s="15"/>
      <c r="FM322" s="15"/>
      <c r="FN322" s="15"/>
      <c r="FO322" s="15"/>
      <c r="FP322" s="15"/>
      <c r="FQ322" s="15"/>
      <c r="FR322" s="15"/>
      <c r="FS322" s="15"/>
      <c r="FT322" s="15"/>
      <c r="FU322" s="15"/>
      <c r="FV322" s="15"/>
      <c r="FW322" s="15"/>
      <c r="FX322" s="15"/>
      <c r="FY322" s="15"/>
      <c r="FZ322" s="15"/>
      <c r="GA322" s="15"/>
      <c r="GB322" s="15"/>
      <c r="GC322" s="15"/>
      <c r="GD322" s="15"/>
      <c r="GE322" s="15"/>
      <c r="GF322" s="15"/>
      <c r="GG322" s="15"/>
      <c r="GH322" s="15"/>
      <c r="GI322" s="15"/>
      <c r="GJ322" s="15"/>
      <c r="GK322" s="15"/>
      <c r="GL322" s="15"/>
      <c r="GM322" s="15"/>
      <c r="GN322" s="15"/>
      <c r="GO322" s="15"/>
      <c r="GP322" s="15"/>
      <c r="GQ322" s="15"/>
      <c r="GR322" s="15"/>
      <c r="GS322" s="15"/>
      <c r="GT322" s="15"/>
      <c r="GU322" s="15"/>
      <c r="GV322" s="15"/>
      <c r="GW322" s="15"/>
      <c r="GX322" s="15"/>
      <c r="GY322" s="15"/>
      <c r="GZ322" s="15"/>
      <c r="HA322" s="15"/>
      <c r="HB322" s="15"/>
      <c r="HC322" s="15"/>
      <c r="HD322" s="15"/>
      <c r="HE322" s="15"/>
      <c r="HF322" s="15"/>
      <c r="HG322" s="15"/>
      <c r="HH322" s="15"/>
      <c r="HI322" s="15"/>
      <c r="HJ322" s="15"/>
      <c r="HK322" s="15"/>
      <c r="HL322" s="15"/>
      <c r="HM322" s="15"/>
      <c r="HN322" s="15"/>
      <c r="HO322" s="15"/>
      <c r="HP322" s="15"/>
      <c r="HQ322" s="15"/>
      <c r="HR322" s="15"/>
      <c r="HS322" s="15"/>
      <c r="HT322" s="15"/>
      <c r="HU322" s="15"/>
      <c r="HV322" s="15"/>
      <c r="HW322" s="15"/>
      <c r="HX322" s="15"/>
      <c r="HY322" s="15"/>
      <c r="HZ322" s="15"/>
      <c r="IA322" s="15"/>
      <c r="IB322" s="15"/>
      <c r="IC322" s="15"/>
      <c r="ID322" s="15"/>
      <c r="IE322" s="15"/>
      <c r="IF322" s="15"/>
      <c r="IG322" s="15"/>
      <c r="IH322" s="15"/>
      <c r="II322" s="15"/>
      <c r="IJ322" s="15"/>
      <c r="IK322" s="15"/>
      <c r="IL322" s="15"/>
      <c r="IM322" s="15"/>
      <c r="IN322" s="15"/>
      <c r="IO322" s="15"/>
      <c r="IP322" s="15"/>
      <c r="IQ322" s="15"/>
      <c r="IR322" s="15"/>
      <c r="IS322" s="15"/>
      <c r="IT322" s="15"/>
      <c r="IU322" s="15"/>
      <c r="IV322" s="15"/>
      <c r="IW322" s="15"/>
      <c r="IX322" s="15"/>
      <c r="IY322" s="15"/>
      <c r="IZ322" s="15"/>
      <c r="JA322" s="15"/>
      <c r="JB322" s="15"/>
      <c r="JC322" s="15"/>
      <c r="JD322" s="15"/>
      <c r="JE322" s="15"/>
      <c r="JF322" s="15"/>
      <c r="JG322" s="15"/>
      <c r="JH322" s="15"/>
      <c r="JI322" s="15"/>
      <c r="JJ322" s="15"/>
      <c r="JK322" s="15"/>
      <c r="JL322" s="15"/>
      <c r="JM322" s="15"/>
      <c r="JN322" s="15"/>
      <c r="JO322" s="15"/>
      <c r="JP322" s="15"/>
      <c r="JQ322" s="15"/>
      <c r="JR322" s="15"/>
      <c r="JS322" s="15"/>
      <c r="JT322" s="15"/>
      <c r="JU322" s="15"/>
      <c r="JV322" s="15"/>
      <c r="JW322" s="15"/>
      <c r="JX322" s="15"/>
      <c r="JY322" s="15"/>
      <c r="JZ322" s="15"/>
      <c r="KA322" s="15"/>
      <c r="KB322" s="15"/>
      <c r="KC322" s="15"/>
      <c r="KD322" s="15"/>
      <c r="KE322" s="15"/>
      <c r="KF322" s="15"/>
      <c r="KG322" s="15"/>
      <c r="KH322" s="15"/>
      <c r="KI322" s="15"/>
      <c r="KJ322" s="15"/>
      <c r="KK322" s="15"/>
      <c r="KL322" s="15"/>
      <c r="KM322" s="15"/>
      <c r="KN322" s="15"/>
      <c r="KO322" s="15"/>
      <c r="KP322" s="15"/>
      <c r="KQ322" s="15"/>
      <c r="KR322" s="15"/>
      <c r="KS322" s="15"/>
      <c r="KT322" s="15"/>
      <c r="KU322" s="15"/>
      <c r="KV322" s="15"/>
      <c r="KW322" s="15"/>
      <c r="KX322" s="15"/>
      <c r="KY322" s="15"/>
      <c r="KZ322" s="15"/>
      <c r="LA322" s="15"/>
      <c r="LB322" s="15"/>
      <c r="LC322" s="15"/>
      <c r="LD322" s="15"/>
      <c r="LE322" s="15"/>
      <c r="LF322" s="15"/>
      <c r="LG322" s="15"/>
      <c r="LH322" s="15"/>
      <c r="LI322" s="15"/>
      <c r="LJ322" s="15"/>
      <c r="LK322" s="15"/>
      <c r="LL322" s="15"/>
      <c r="LM322" s="15"/>
      <c r="LN322" s="15"/>
      <c r="LO322" s="15"/>
      <c r="LP322" s="15"/>
      <c r="LQ322" s="15"/>
      <c r="LR322" s="15"/>
      <c r="LS322" s="15"/>
      <c r="LT322" s="15"/>
      <c r="LU322" s="15"/>
      <c r="LV322" s="15"/>
      <c r="LW322" s="15"/>
      <c r="LX322" s="15"/>
      <c r="LY322" s="15"/>
      <c r="LZ322" s="15"/>
      <c r="MA322" s="15"/>
      <c r="MB322" s="15"/>
      <c r="MC322" s="15"/>
      <c r="MD322" s="15"/>
      <c r="ME322" s="15"/>
      <c r="MF322" s="15"/>
      <c r="MG322" s="15"/>
      <c r="MH322" s="15"/>
      <c r="MI322" s="15"/>
      <c r="MJ322" s="15"/>
      <c r="MK322" s="15"/>
      <c r="ML322" s="15"/>
      <c r="MM322" s="15"/>
      <c r="MN322" s="15"/>
      <c r="MO322" s="15"/>
      <c r="MP322" s="15"/>
      <c r="MQ322" s="15"/>
      <c r="MR322" s="15"/>
      <c r="MS322" s="15"/>
      <c r="MT322" s="15"/>
      <c r="MU322" s="15"/>
      <c r="MV322" s="15"/>
      <c r="MW322" s="15"/>
    </row>
    <row r="323" ht="41.25" customHeight="1">
      <c r="A323" s="16" t="s">
        <v>10352</v>
      </c>
      <c r="B323" s="14" t="s">
        <v>10353</v>
      </c>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c r="DE323" s="15"/>
      <c r="DF323" s="15"/>
      <c r="DG323" s="15"/>
      <c r="DH323" s="15"/>
      <c r="DI323" s="15"/>
      <c r="DJ323" s="15"/>
      <c r="DK323" s="15"/>
      <c r="DL323" s="15"/>
      <c r="DM323" s="15"/>
      <c r="DN323" s="15"/>
      <c r="DO323" s="15"/>
      <c r="DP323" s="15"/>
      <c r="DQ323" s="15"/>
      <c r="DR323" s="15"/>
      <c r="DS323" s="15"/>
      <c r="DT323" s="15"/>
      <c r="DU323" s="15"/>
      <c r="DV323" s="15"/>
      <c r="DW323" s="15"/>
      <c r="DX323" s="15"/>
      <c r="DY323" s="15"/>
      <c r="DZ323" s="15"/>
      <c r="EA323" s="15"/>
      <c r="EB323" s="15"/>
      <c r="EC323" s="15"/>
      <c r="ED323" s="15"/>
      <c r="EE323" s="15"/>
      <c r="EF323" s="15"/>
      <c r="EG323" s="15"/>
      <c r="EH323" s="15"/>
      <c r="EI323" s="15"/>
      <c r="EJ323" s="15"/>
      <c r="EK323" s="15"/>
      <c r="EL323" s="15"/>
      <c r="EM323" s="15"/>
      <c r="EN323" s="15"/>
      <c r="EO323" s="15"/>
      <c r="EP323" s="15"/>
      <c r="EQ323" s="15"/>
      <c r="ER323" s="15"/>
      <c r="ES323" s="15"/>
      <c r="ET323" s="15"/>
      <c r="EU323" s="15"/>
      <c r="EV323" s="15"/>
      <c r="EW323" s="15"/>
      <c r="EX323" s="15"/>
      <c r="EY323" s="15"/>
      <c r="EZ323" s="15"/>
      <c r="FA323" s="15"/>
      <c r="FB323" s="15"/>
      <c r="FC323" s="15"/>
      <c r="FD323" s="15"/>
      <c r="FE323" s="15"/>
      <c r="FF323" s="15"/>
      <c r="FG323" s="15"/>
      <c r="FH323" s="15"/>
      <c r="FI323" s="15"/>
      <c r="FJ323" s="15"/>
      <c r="FK323" s="15"/>
      <c r="FL323" s="15"/>
      <c r="FM323" s="15"/>
      <c r="FN323" s="15"/>
      <c r="FO323" s="15"/>
      <c r="FP323" s="15"/>
      <c r="FQ323" s="15"/>
      <c r="FR323" s="15"/>
      <c r="FS323" s="15"/>
      <c r="FT323" s="15"/>
      <c r="FU323" s="15"/>
      <c r="FV323" s="15"/>
      <c r="FW323" s="15"/>
      <c r="FX323" s="15"/>
      <c r="FY323" s="15"/>
      <c r="FZ323" s="15"/>
      <c r="GA323" s="15"/>
      <c r="GB323" s="15"/>
      <c r="GC323" s="15"/>
      <c r="GD323" s="15"/>
      <c r="GE323" s="15"/>
      <c r="GF323" s="15"/>
      <c r="GG323" s="15"/>
      <c r="GH323" s="15"/>
      <c r="GI323" s="15"/>
      <c r="GJ323" s="15"/>
      <c r="GK323" s="15"/>
      <c r="GL323" s="15"/>
      <c r="GM323" s="15"/>
      <c r="GN323" s="15"/>
      <c r="GO323" s="15"/>
      <c r="GP323" s="15"/>
      <c r="GQ323" s="15"/>
      <c r="GR323" s="15"/>
      <c r="GS323" s="15"/>
      <c r="GT323" s="15"/>
      <c r="GU323" s="15"/>
      <c r="GV323" s="15"/>
      <c r="GW323" s="15"/>
      <c r="GX323" s="15"/>
      <c r="GY323" s="15"/>
      <c r="GZ323" s="15"/>
      <c r="HA323" s="15"/>
      <c r="HB323" s="15"/>
      <c r="HC323" s="15"/>
      <c r="HD323" s="15"/>
      <c r="HE323" s="15"/>
      <c r="HF323" s="15"/>
      <c r="HG323" s="15"/>
      <c r="HH323" s="15"/>
      <c r="HI323" s="15"/>
      <c r="HJ323" s="15"/>
      <c r="HK323" s="15"/>
      <c r="HL323" s="15"/>
      <c r="HM323" s="15"/>
      <c r="HN323" s="15"/>
      <c r="HO323" s="15"/>
      <c r="HP323" s="15"/>
      <c r="HQ323" s="15"/>
      <c r="HR323" s="15"/>
      <c r="HS323" s="15"/>
      <c r="HT323" s="15"/>
      <c r="HU323" s="15"/>
      <c r="HV323" s="15"/>
      <c r="HW323" s="15"/>
      <c r="HX323" s="15"/>
      <c r="HY323" s="15"/>
      <c r="HZ323" s="15"/>
      <c r="IA323" s="15"/>
      <c r="IB323" s="15"/>
      <c r="IC323" s="15"/>
      <c r="ID323" s="15"/>
      <c r="IE323" s="15"/>
      <c r="IF323" s="15"/>
      <c r="IG323" s="15"/>
      <c r="IH323" s="15"/>
      <c r="II323" s="15"/>
      <c r="IJ323" s="15"/>
      <c r="IK323" s="15"/>
      <c r="IL323" s="15"/>
      <c r="IM323" s="15"/>
      <c r="IN323" s="15"/>
      <c r="IO323" s="15"/>
      <c r="IP323" s="15"/>
      <c r="IQ323" s="15"/>
      <c r="IR323" s="15"/>
      <c r="IS323" s="15"/>
      <c r="IT323" s="15"/>
      <c r="IU323" s="15"/>
      <c r="IV323" s="15"/>
      <c r="IW323" s="15"/>
      <c r="IX323" s="15"/>
      <c r="IY323" s="15"/>
      <c r="IZ323" s="15"/>
      <c r="JA323" s="15"/>
      <c r="JB323" s="15"/>
      <c r="JC323" s="15"/>
      <c r="JD323" s="15"/>
      <c r="JE323" s="15"/>
      <c r="JF323" s="15"/>
      <c r="JG323" s="15"/>
      <c r="JH323" s="15"/>
      <c r="JI323" s="15"/>
      <c r="JJ323" s="15"/>
      <c r="JK323" s="15"/>
      <c r="JL323" s="15"/>
      <c r="JM323" s="15"/>
      <c r="JN323" s="15"/>
      <c r="JO323" s="15"/>
      <c r="JP323" s="15"/>
      <c r="JQ323" s="15"/>
      <c r="JR323" s="15"/>
      <c r="JS323" s="15"/>
      <c r="JT323" s="15"/>
      <c r="JU323" s="15"/>
      <c r="JV323" s="15"/>
      <c r="JW323" s="15"/>
      <c r="JX323" s="15"/>
      <c r="JY323" s="15"/>
      <c r="JZ323" s="15"/>
      <c r="KA323" s="15"/>
      <c r="KB323" s="15"/>
      <c r="KC323" s="15"/>
      <c r="KD323" s="15"/>
      <c r="KE323" s="15"/>
      <c r="KF323" s="15"/>
      <c r="KG323" s="15"/>
      <c r="KH323" s="15"/>
      <c r="KI323" s="15"/>
      <c r="KJ323" s="15"/>
      <c r="KK323" s="15"/>
      <c r="KL323" s="15"/>
      <c r="KM323" s="15"/>
      <c r="KN323" s="15"/>
      <c r="KO323" s="15"/>
      <c r="KP323" s="15"/>
      <c r="KQ323" s="15"/>
      <c r="KR323" s="15"/>
      <c r="KS323" s="15"/>
      <c r="KT323" s="15"/>
      <c r="KU323" s="15"/>
      <c r="KV323" s="15"/>
      <c r="KW323" s="15"/>
      <c r="KX323" s="15"/>
      <c r="KY323" s="15"/>
      <c r="KZ323" s="15"/>
      <c r="LA323" s="15"/>
      <c r="LB323" s="15"/>
      <c r="LC323" s="15"/>
      <c r="LD323" s="15"/>
      <c r="LE323" s="15"/>
      <c r="LF323" s="15"/>
      <c r="LG323" s="15"/>
      <c r="LH323" s="15"/>
      <c r="LI323" s="15"/>
      <c r="LJ323" s="15"/>
      <c r="LK323" s="15"/>
      <c r="LL323" s="15"/>
      <c r="LM323" s="15"/>
      <c r="LN323" s="15"/>
      <c r="LO323" s="15"/>
      <c r="LP323" s="15"/>
      <c r="LQ323" s="15"/>
      <c r="LR323" s="15"/>
      <c r="LS323" s="15"/>
      <c r="LT323" s="15"/>
      <c r="LU323" s="15"/>
      <c r="LV323" s="15"/>
      <c r="LW323" s="15"/>
      <c r="LX323" s="15"/>
      <c r="LY323" s="15"/>
      <c r="LZ323" s="15"/>
      <c r="MA323" s="15"/>
      <c r="MB323" s="15"/>
      <c r="MC323" s="15"/>
      <c r="MD323" s="15"/>
      <c r="ME323" s="15"/>
      <c r="MF323" s="15"/>
      <c r="MG323" s="15"/>
      <c r="MH323" s="15"/>
      <c r="MI323" s="15"/>
      <c r="MJ323" s="15"/>
      <c r="MK323" s="15"/>
      <c r="ML323" s="15"/>
      <c r="MM323" s="15"/>
      <c r="MN323" s="15"/>
      <c r="MO323" s="15"/>
      <c r="MP323" s="15"/>
      <c r="MQ323" s="15"/>
      <c r="MR323" s="15"/>
      <c r="MS323" s="15"/>
      <c r="MT323" s="15"/>
      <c r="MU323" s="15"/>
      <c r="MV323" s="15"/>
      <c r="MW323" s="15"/>
    </row>
    <row r="324" ht="119.25" customHeight="1">
      <c r="A324" s="16" t="s">
        <v>317</v>
      </c>
      <c r="B324" s="14" t="s">
        <v>10354</v>
      </c>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c r="DF324" s="15"/>
      <c r="DG324" s="15"/>
      <c r="DH324" s="15"/>
      <c r="DI324" s="15"/>
      <c r="DJ324" s="15"/>
      <c r="DK324" s="15"/>
      <c r="DL324" s="15"/>
      <c r="DM324" s="15"/>
      <c r="DN324" s="15"/>
      <c r="DO324" s="15"/>
      <c r="DP324" s="15"/>
      <c r="DQ324" s="15"/>
      <c r="DR324" s="15"/>
      <c r="DS324" s="15"/>
      <c r="DT324" s="15"/>
      <c r="DU324" s="15"/>
      <c r="DV324" s="15"/>
      <c r="DW324" s="15"/>
      <c r="DX324" s="15"/>
      <c r="DY324" s="15"/>
      <c r="DZ324" s="15"/>
      <c r="EA324" s="15"/>
      <c r="EB324" s="15"/>
      <c r="EC324" s="15"/>
      <c r="ED324" s="15"/>
      <c r="EE324" s="15"/>
      <c r="EF324" s="15"/>
      <c r="EG324" s="15"/>
      <c r="EH324" s="15"/>
      <c r="EI324" s="15"/>
      <c r="EJ324" s="15"/>
      <c r="EK324" s="15"/>
      <c r="EL324" s="15"/>
      <c r="EM324" s="15"/>
      <c r="EN324" s="15"/>
      <c r="EO324" s="15"/>
      <c r="EP324" s="15"/>
      <c r="EQ324" s="15"/>
      <c r="ER324" s="15"/>
      <c r="ES324" s="15"/>
      <c r="ET324" s="15"/>
      <c r="EU324" s="15"/>
      <c r="EV324" s="15"/>
      <c r="EW324" s="15"/>
      <c r="EX324" s="15"/>
      <c r="EY324" s="15"/>
      <c r="EZ324" s="15"/>
      <c r="FA324" s="15"/>
      <c r="FB324" s="15"/>
      <c r="FC324" s="15"/>
      <c r="FD324" s="15"/>
      <c r="FE324" s="15"/>
      <c r="FF324" s="15"/>
      <c r="FG324" s="15"/>
      <c r="FH324" s="15"/>
      <c r="FI324" s="15"/>
      <c r="FJ324" s="15"/>
      <c r="FK324" s="15"/>
      <c r="FL324" s="15"/>
      <c r="FM324" s="15"/>
      <c r="FN324" s="15"/>
      <c r="FO324" s="15"/>
      <c r="FP324" s="15"/>
      <c r="FQ324" s="15"/>
      <c r="FR324" s="15"/>
      <c r="FS324" s="15"/>
      <c r="FT324" s="15"/>
      <c r="FU324" s="15"/>
      <c r="FV324" s="15"/>
      <c r="FW324" s="15"/>
      <c r="FX324" s="15"/>
      <c r="FY324" s="15"/>
      <c r="FZ324" s="15"/>
      <c r="GA324" s="15"/>
      <c r="GB324" s="15"/>
      <c r="GC324" s="15"/>
      <c r="GD324" s="15"/>
      <c r="GE324" s="15"/>
      <c r="GF324" s="15"/>
      <c r="GG324" s="15"/>
      <c r="GH324" s="15"/>
      <c r="GI324" s="15"/>
      <c r="GJ324" s="15"/>
      <c r="GK324" s="15"/>
      <c r="GL324" s="15"/>
      <c r="GM324" s="15"/>
      <c r="GN324" s="15"/>
      <c r="GO324" s="15"/>
      <c r="GP324" s="15"/>
      <c r="GQ324" s="15"/>
      <c r="GR324" s="15"/>
      <c r="GS324" s="15"/>
      <c r="GT324" s="15"/>
      <c r="GU324" s="15"/>
      <c r="GV324" s="15"/>
      <c r="GW324" s="15"/>
      <c r="GX324" s="15"/>
      <c r="GY324" s="15"/>
      <c r="GZ324" s="15"/>
      <c r="HA324" s="15"/>
      <c r="HB324" s="15"/>
      <c r="HC324" s="15"/>
      <c r="HD324" s="15"/>
      <c r="HE324" s="15"/>
      <c r="HF324" s="15"/>
      <c r="HG324" s="15"/>
      <c r="HH324" s="15"/>
      <c r="HI324" s="15"/>
      <c r="HJ324" s="15"/>
      <c r="HK324" s="15"/>
      <c r="HL324" s="15"/>
      <c r="HM324" s="15"/>
      <c r="HN324" s="15"/>
      <c r="HO324" s="15"/>
      <c r="HP324" s="15"/>
      <c r="HQ324" s="15"/>
      <c r="HR324" s="15"/>
      <c r="HS324" s="15"/>
      <c r="HT324" s="15"/>
      <c r="HU324" s="15"/>
      <c r="HV324" s="15"/>
      <c r="HW324" s="15"/>
      <c r="HX324" s="15"/>
      <c r="HY324" s="15"/>
      <c r="HZ324" s="15"/>
      <c r="IA324" s="15"/>
      <c r="IB324" s="15"/>
      <c r="IC324" s="15"/>
      <c r="ID324" s="15"/>
      <c r="IE324" s="15"/>
      <c r="IF324" s="15"/>
      <c r="IG324" s="15"/>
      <c r="IH324" s="15"/>
      <c r="II324" s="15"/>
      <c r="IJ324" s="15"/>
      <c r="IK324" s="15"/>
      <c r="IL324" s="15"/>
      <c r="IM324" s="15"/>
      <c r="IN324" s="15"/>
      <c r="IO324" s="15"/>
      <c r="IP324" s="15"/>
      <c r="IQ324" s="15"/>
      <c r="IR324" s="15"/>
      <c r="IS324" s="15"/>
      <c r="IT324" s="15"/>
      <c r="IU324" s="15"/>
      <c r="IV324" s="15"/>
      <c r="IW324" s="15"/>
      <c r="IX324" s="15"/>
      <c r="IY324" s="15"/>
      <c r="IZ324" s="15"/>
      <c r="JA324" s="15"/>
      <c r="JB324" s="15"/>
      <c r="JC324" s="15"/>
      <c r="JD324" s="15"/>
      <c r="JE324" s="15"/>
      <c r="JF324" s="15"/>
      <c r="JG324" s="15"/>
      <c r="JH324" s="15"/>
      <c r="JI324" s="15"/>
      <c r="JJ324" s="15"/>
      <c r="JK324" s="15"/>
      <c r="JL324" s="15"/>
      <c r="JM324" s="15"/>
      <c r="JN324" s="15"/>
      <c r="JO324" s="15"/>
      <c r="JP324" s="15"/>
      <c r="JQ324" s="15"/>
      <c r="JR324" s="15"/>
      <c r="JS324" s="15"/>
      <c r="JT324" s="15"/>
      <c r="JU324" s="15"/>
      <c r="JV324" s="15"/>
      <c r="JW324" s="15"/>
      <c r="JX324" s="15"/>
      <c r="JY324" s="15"/>
      <c r="JZ324" s="15"/>
      <c r="KA324" s="15"/>
      <c r="KB324" s="15"/>
      <c r="KC324" s="15"/>
      <c r="KD324" s="15"/>
      <c r="KE324" s="15"/>
      <c r="KF324" s="15"/>
      <c r="KG324" s="15"/>
      <c r="KH324" s="15"/>
      <c r="KI324" s="15"/>
      <c r="KJ324" s="15"/>
      <c r="KK324" s="15"/>
      <c r="KL324" s="15"/>
      <c r="KM324" s="15"/>
      <c r="KN324" s="15"/>
      <c r="KO324" s="15"/>
      <c r="KP324" s="15"/>
      <c r="KQ324" s="15"/>
      <c r="KR324" s="15"/>
      <c r="KS324" s="15"/>
      <c r="KT324" s="15"/>
      <c r="KU324" s="15"/>
      <c r="KV324" s="15"/>
      <c r="KW324" s="15"/>
      <c r="KX324" s="15"/>
      <c r="KY324" s="15"/>
      <c r="KZ324" s="15"/>
      <c r="LA324" s="15"/>
      <c r="LB324" s="15"/>
      <c r="LC324" s="15"/>
      <c r="LD324" s="15"/>
      <c r="LE324" s="15"/>
      <c r="LF324" s="15"/>
      <c r="LG324" s="15"/>
      <c r="LH324" s="15"/>
      <c r="LI324" s="15"/>
      <c r="LJ324" s="15"/>
      <c r="LK324" s="15"/>
      <c r="LL324" s="15"/>
      <c r="LM324" s="15"/>
      <c r="LN324" s="15"/>
      <c r="LO324" s="15"/>
      <c r="LP324" s="15"/>
      <c r="LQ324" s="15"/>
      <c r="LR324" s="15"/>
      <c r="LS324" s="15"/>
      <c r="LT324" s="15"/>
      <c r="LU324" s="15"/>
      <c r="LV324" s="15"/>
      <c r="LW324" s="15"/>
      <c r="LX324" s="15"/>
      <c r="LY324" s="15"/>
      <c r="LZ324" s="15"/>
      <c r="MA324" s="15"/>
      <c r="MB324" s="15"/>
      <c r="MC324" s="15"/>
      <c r="MD324" s="15"/>
      <c r="ME324" s="15"/>
      <c r="MF324" s="15"/>
      <c r="MG324" s="15"/>
      <c r="MH324" s="15"/>
      <c r="MI324" s="15"/>
      <c r="MJ324" s="15"/>
      <c r="MK324" s="15"/>
      <c r="ML324" s="15"/>
      <c r="MM324" s="15"/>
      <c r="MN324" s="15"/>
      <c r="MO324" s="15"/>
      <c r="MP324" s="15"/>
      <c r="MQ324" s="15"/>
      <c r="MR324" s="15"/>
      <c r="MS324" s="15"/>
      <c r="MT324" s="15"/>
      <c r="MU324" s="15"/>
      <c r="MV324" s="15"/>
      <c r="MW324" s="15"/>
    </row>
    <row r="325" ht="41.25" customHeight="1">
      <c r="A325" s="16" t="s">
        <v>318</v>
      </c>
      <c r="B325" s="14" t="s">
        <v>10355</v>
      </c>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c r="DE325" s="15"/>
      <c r="DF325" s="15"/>
      <c r="DG325" s="15"/>
      <c r="DH325" s="15"/>
      <c r="DI325" s="15"/>
      <c r="DJ325" s="15"/>
      <c r="DK325" s="15"/>
      <c r="DL325" s="15"/>
      <c r="DM325" s="15"/>
      <c r="DN325" s="15"/>
      <c r="DO325" s="15"/>
      <c r="DP325" s="15"/>
      <c r="DQ325" s="15"/>
      <c r="DR325" s="15"/>
      <c r="DS325" s="15"/>
      <c r="DT325" s="15"/>
      <c r="DU325" s="15"/>
      <c r="DV325" s="15"/>
      <c r="DW325" s="15"/>
      <c r="DX325" s="15"/>
      <c r="DY325" s="15"/>
      <c r="DZ325" s="15"/>
      <c r="EA325" s="15"/>
      <c r="EB325" s="15"/>
      <c r="EC325" s="15"/>
      <c r="ED325" s="15"/>
      <c r="EE325" s="15"/>
      <c r="EF325" s="15"/>
      <c r="EG325" s="15"/>
      <c r="EH325" s="15"/>
      <c r="EI325" s="15"/>
      <c r="EJ325" s="15"/>
      <c r="EK325" s="15"/>
      <c r="EL325" s="15"/>
      <c r="EM325" s="15"/>
      <c r="EN325" s="15"/>
      <c r="EO325" s="15"/>
      <c r="EP325" s="15"/>
      <c r="EQ325" s="15"/>
      <c r="ER325" s="15"/>
      <c r="ES325" s="15"/>
      <c r="ET325" s="15"/>
      <c r="EU325" s="15"/>
      <c r="EV325" s="15"/>
      <c r="EW325" s="15"/>
      <c r="EX325" s="15"/>
      <c r="EY325" s="15"/>
      <c r="EZ325" s="15"/>
      <c r="FA325" s="15"/>
      <c r="FB325" s="15"/>
      <c r="FC325" s="15"/>
      <c r="FD325" s="15"/>
      <c r="FE325" s="15"/>
      <c r="FF325" s="15"/>
      <c r="FG325" s="15"/>
      <c r="FH325" s="15"/>
      <c r="FI325" s="15"/>
      <c r="FJ325" s="15"/>
      <c r="FK325" s="15"/>
      <c r="FL325" s="15"/>
      <c r="FM325" s="15"/>
      <c r="FN325" s="15"/>
      <c r="FO325" s="15"/>
      <c r="FP325" s="15"/>
      <c r="FQ325" s="15"/>
      <c r="FR325" s="15"/>
      <c r="FS325" s="15"/>
      <c r="FT325" s="15"/>
      <c r="FU325" s="15"/>
      <c r="FV325" s="15"/>
      <c r="FW325" s="15"/>
      <c r="FX325" s="15"/>
      <c r="FY325" s="15"/>
      <c r="FZ325" s="15"/>
      <c r="GA325" s="15"/>
      <c r="GB325" s="15"/>
      <c r="GC325" s="15"/>
      <c r="GD325" s="15"/>
      <c r="GE325" s="15"/>
      <c r="GF325" s="15"/>
      <c r="GG325" s="15"/>
      <c r="GH325" s="15"/>
      <c r="GI325" s="15"/>
      <c r="GJ325" s="15"/>
      <c r="GK325" s="15"/>
      <c r="GL325" s="15"/>
      <c r="GM325" s="15"/>
      <c r="GN325" s="15"/>
      <c r="GO325" s="15"/>
      <c r="GP325" s="15"/>
      <c r="GQ325" s="15"/>
      <c r="GR325" s="15"/>
      <c r="GS325" s="15"/>
      <c r="GT325" s="15"/>
      <c r="GU325" s="15"/>
      <c r="GV325" s="15"/>
      <c r="GW325" s="15"/>
      <c r="GX325" s="15"/>
      <c r="GY325" s="15"/>
      <c r="GZ325" s="15"/>
      <c r="HA325" s="15"/>
      <c r="HB325" s="15"/>
      <c r="HC325" s="15"/>
      <c r="HD325" s="15"/>
      <c r="HE325" s="15"/>
      <c r="HF325" s="15"/>
      <c r="HG325" s="15"/>
      <c r="HH325" s="15"/>
      <c r="HI325" s="15"/>
      <c r="HJ325" s="15"/>
      <c r="HK325" s="15"/>
      <c r="HL325" s="15"/>
      <c r="HM325" s="15"/>
      <c r="HN325" s="15"/>
      <c r="HO325" s="15"/>
      <c r="HP325" s="15"/>
      <c r="HQ325" s="15"/>
      <c r="HR325" s="15"/>
      <c r="HS325" s="15"/>
      <c r="HT325" s="15"/>
      <c r="HU325" s="15"/>
      <c r="HV325" s="15"/>
      <c r="HW325" s="15"/>
      <c r="HX325" s="15"/>
      <c r="HY325" s="15"/>
      <c r="HZ325" s="15"/>
      <c r="IA325" s="15"/>
      <c r="IB325" s="15"/>
      <c r="IC325" s="15"/>
      <c r="ID325" s="15"/>
      <c r="IE325" s="15"/>
      <c r="IF325" s="15"/>
      <c r="IG325" s="15"/>
      <c r="IH325" s="15"/>
      <c r="II325" s="15"/>
      <c r="IJ325" s="15"/>
      <c r="IK325" s="15"/>
      <c r="IL325" s="15"/>
      <c r="IM325" s="15"/>
      <c r="IN325" s="15"/>
      <c r="IO325" s="15"/>
      <c r="IP325" s="15"/>
      <c r="IQ325" s="15"/>
      <c r="IR325" s="15"/>
      <c r="IS325" s="15"/>
      <c r="IT325" s="15"/>
      <c r="IU325" s="15"/>
      <c r="IV325" s="15"/>
      <c r="IW325" s="15"/>
      <c r="IX325" s="15"/>
      <c r="IY325" s="15"/>
      <c r="IZ325" s="15"/>
      <c r="JA325" s="15"/>
      <c r="JB325" s="15"/>
      <c r="JC325" s="15"/>
      <c r="JD325" s="15"/>
      <c r="JE325" s="15"/>
      <c r="JF325" s="15"/>
      <c r="JG325" s="15"/>
      <c r="JH325" s="15"/>
      <c r="JI325" s="15"/>
      <c r="JJ325" s="15"/>
      <c r="JK325" s="15"/>
      <c r="JL325" s="15"/>
      <c r="JM325" s="15"/>
      <c r="JN325" s="15"/>
      <c r="JO325" s="15"/>
      <c r="JP325" s="15"/>
      <c r="JQ325" s="15"/>
      <c r="JR325" s="15"/>
      <c r="JS325" s="15"/>
      <c r="JT325" s="15"/>
      <c r="JU325" s="15"/>
      <c r="JV325" s="15"/>
      <c r="JW325" s="15"/>
      <c r="JX325" s="15"/>
      <c r="JY325" s="15"/>
      <c r="JZ325" s="15"/>
      <c r="KA325" s="15"/>
      <c r="KB325" s="15"/>
      <c r="KC325" s="15"/>
      <c r="KD325" s="15"/>
      <c r="KE325" s="15"/>
      <c r="KF325" s="15"/>
      <c r="KG325" s="15"/>
      <c r="KH325" s="15"/>
      <c r="KI325" s="15"/>
      <c r="KJ325" s="15"/>
      <c r="KK325" s="15"/>
      <c r="KL325" s="15"/>
      <c r="KM325" s="15"/>
      <c r="KN325" s="15"/>
      <c r="KO325" s="15"/>
      <c r="KP325" s="15"/>
      <c r="KQ325" s="15"/>
      <c r="KR325" s="15"/>
      <c r="KS325" s="15"/>
      <c r="KT325" s="15"/>
      <c r="KU325" s="15"/>
      <c r="KV325" s="15"/>
      <c r="KW325" s="15"/>
      <c r="KX325" s="15"/>
      <c r="KY325" s="15"/>
      <c r="KZ325" s="15"/>
      <c r="LA325" s="15"/>
      <c r="LB325" s="15"/>
      <c r="LC325" s="15"/>
      <c r="LD325" s="15"/>
      <c r="LE325" s="15"/>
      <c r="LF325" s="15"/>
      <c r="LG325" s="15"/>
      <c r="LH325" s="15"/>
      <c r="LI325" s="15"/>
      <c r="LJ325" s="15"/>
      <c r="LK325" s="15"/>
      <c r="LL325" s="15"/>
      <c r="LM325" s="15"/>
      <c r="LN325" s="15"/>
      <c r="LO325" s="15"/>
      <c r="LP325" s="15"/>
      <c r="LQ325" s="15"/>
      <c r="LR325" s="15"/>
      <c r="LS325" s="15"/>
      <c r="LT325" s="15"/>
      <c r="LU325" s="15"/>
      <c r="LV325" s="15"/>
      <c r="LW325" s="15"/>
      <c r="LX325" s="15"/>
      <c r="LY325" s="15"/>
      <c r="LZ325" s="15"/>
      <c r="MA325" s="15"/>
      <c r="MB325" s="15"/>
      <c r="MC325" s="15"/>
      <c r="MD325" s="15"/>
      <c r="ME325" s="15"/>
      <c r="MF325" s="15"/>
      <c r="MG325" s="15"/>
      <c r="MH325" s="15"/>
      <c r="MI325" s="15"/>
      <c r="MJ325" s="15"/>
      <c r="MK325" s="15"/>
      <c r="ML325" s="15"/>
      <c r="MM325" s="15"/>
      <c r="MN325" s="15"/>
      <c r="MO325" s="15"/>
      <c r="MP325" s="15"/>
      <c r="MQ325" s="15"/>
      <c r="MR325" s="15"/>
      <c r="MS325" s="15"/>
      <c r="MT325" s="15"/>
      <c r="MU325" s="15"/>
      <c r="MV325" s="15"/>
      <c r="MW325" s="15"/>
    </row>
    <row r="326" ht="119.25" customHeight="1">
      <c r="A326" s="16" t="s">
        <v>319</v>
      </c>
      <c r="B326" s="14" t="s">
        <v>10356</v>
      </c>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c r="DE326" s="15"/>
      <c r="DF326" s="15"/>
      <c r="DG326" s="15"/>
      <c r="DH326" s="15"/>
      <c r="DI326" s="15"/>
      <c r="DJ326" s="15"/>
      <c r="DK326" s="15"/>
      <c r="DL326" s="15"/>
      <c r="DM326" s="15"/>
      <c r="DN326" s="15"/>
      <c r="DO326" s="15"/>
      <c r="DP326" s="15"/>
      <c r="DQ326" s="15"/>
      <c r="DR326" s="15"/>
      <c r="DS326" s="15"/>
      <c r="DT326" s="15"/>
      <c r="DU326" s="15"/>
      <c r="DV326" s="15"/>
      <c r="DW326" s="15"/>
      <c r="DX326" s="15"/>
      <c r="DY326" s="15"/>
      <c r="DZ326" s="15"/>
      <c r="EA326" s="15"/>
      <c r="EB326" s="15"/>
      <c r="EC326" s="15"/>
      <c r="ED326" s="15"/>
      <c r="EE326" s="15"/>
      <c r="EF326" s="15"/>
      <c r="EG326" s="15"/>
      <c r="EH326" s="15"/>
      <c r="EI326" s="15"/>
      <c r="EJ326" s="15"/>
      <c r="EK326" s="15"/>
      <c r="EL326" s="15"/>
      <c r="EM326" s="15"/>
      <c r="EN326" s="15"/>
      <c r="EO326" s="15"/>
      <c r="EP326" s="15"/>
      <c r="EQ326" s="15"/>
      <c r="ER326" s="15"/>
      <c r="ES326" s="15"/>
      <c r="ET326" s="15"/>
      <c r="EU326" s="15"/>
      <c r="EV326" s="15"/>
      <c r="EW326" s="15"/>
      <c r="EX326" s="15"/>
      <c r="EY326" s="15"/>
      <c r="EZ326" s="15"/>
      <c r="FA326" s="15"/>
      <c r="FB326" s="15"/>
      <c r="FC326" s="15"/>
      <c r="FD326" s="15"/>
      <c r="FE326" s="15"/>
      <c r="FF326" s="15"/>
      <c r="FG326" s="15"/>
      <c r="FH326" s="15"/>
      <c r="FI326" s="15"/>
      <c r="FJ326" s="15"/>
      <c r="FK326" s="15"/>
      <c r="FL326" s="15"/>
      <c r="FM326" s="15"/>
      <c r="FN326" s="15"/>
      <c r="FO326" s="15"/>
      <c r="FP326" s="15"/>
      <c r="FQ326" s="15"/>
      <c r="FR326" s="15"/>
      <c r="FS326" s="15"/>
      <c r="FT326" s="15"/>
      <c r="FU326" s="15"/>
      <c r="FV326" s="15"/>
      <c r="FW326" s="15"/>
      <c r="FX326" s="15"/>
      <c r="FY326" s="15"/>
      <c r="FZ326" s="15"/>
      <c r="GA326" s="15"/>
      <c r="GB326" s="15"/>
      <c r="GC326" s="15"/>
      <c r="GD326" s="15"/>
      <c r="GE326" s="15"/>
      <c r="GF326" s="15"/>
      <c r="GG326" s="15"/>
      <c r="GH326" s="15"/>
      <c r="GI326" s="15"/>
      <c r="GJ326" s="15"/>
      <c r="GK326" s="15"/>
      <c r="GL326" s="15"/>
      <c r="GM326" s="15"/>
      <c r="GN326" s="15"/>
      <c r="GO326" s="15"/>
      <c r="GP326" s="15"/>
      <c r="GQ326" s="15"/>
      <c r="GR326" s="15"/>
      <c r="GS326" s="15"/>
      <c r="GT326" s="15"/>
      <c r="GU326" s="15"/>
      <c r="GV326" s="15"/>
      <c r="GW326" s="15"/>
      <c r="GX326" s="15"/>
      <c r="GY326" s="15"/>
      <c r="GZ326" s="15"/>
      <c r="HA326" s="15"/>
      <c r="HB326" s="15"/>
      <c r="HC326" s="15"/>
      <c r="HD326" s="15"/>
      <c r="HE326" s="15"/>
      <c r="HF326" s="15"/>
      <c r="HG326" s="15"/>
      <c r="HH326" s="15"/>
      <c r="HI326" s="15"/>
      <c r="HJ326" s="15"/>
      <c r="HK326" s="15"/>
      <c r="HL326" s="15"/>
      <c r="HM326" s="15"/>
      <c r="HN326" s="15"/>
      <c r="HO326" s="15"/>
      <c r="HP326" s="15"/>
      <c r="HQ326" s="15"/>
      <c r="HR326" s="15"/>
      <c r="HS326" s="15"/>
      <c r="HT326" s="15"/>
      <c r="HU326" s="15"/>
      <c r="HV326" s="15"/>
      <c r="HW326" s="15"/>
      <c r="HX326" s="15"/>
      <c r="HY326" s="15"/>
      <c r="HZ326" s="15"/>
      <c r="IA326" s="15"/>
      <c r="IB326" s="15"/>
      <c r="IC326" s="15"/>
      <c r="ID326" s="15"/>
      <c r="IE326" s="15"/>
      <c r="IF326" s="15"/>
      <c r="IG326" s="15"/>
      <c r="IH326" s="15"/>
      <c r="II326" s="15"/>
      <c r="IJ326" s="15"/>
      <c r="IK326" s="15"/>
      <c r="IL326" s="15"/>
      <c r="IM326" s="15"/>
      <c r="IN326" s="15"/>
      <c r="IO326" s="15"/>
      <c r="IP326" s="15"/>
      <c r="IQ326" s="15"/>
      <c r="IR326" s="15"/>
      <c r="IS326" s="15"/>
      <c r="IT326" s="15"/>
      <c r="IU326" s="15"/>
      <c r="IV326" s="15"/>
      <c r="IW326" s="15"/>
      <c r="IX326" s="15"/>
      <c r="IY326" s="15"/>
      <c r="IZ326" s="15"/>
      <c r="JA326" s="15"/>
      <c r="JB326" s="15"/>
      <c r="JC326" s="15"/>
      <c r="JD326" s="15"/>
      <c r="JE326" s="15"/>
      <c r="JF326" s="15"/>
      <c r="JG326" s="15"/>
      <c r="JH326" s="15"/>
      <c r="JI326" s="15"/>
      <c r="JJ326" s="15"/>
      <c r="JK326" s="15"/>
      <c r="JL326" s="15"/>
      <c r="JM326" s="15"/>
      <c r="JN326" s="15"/>
      <c r="JO326" s="15"/>
      <c r="JP326" s="15"/>
      <c r="JQ326" s="15"/>
      <c r="JR326" s="15"/>
      <c r="JS326" s="15"/>
      <c r="JT326" s="15"/>
      <c r="JU326" s="15"/>
      <c r="JV326" s="15"/>
      <c r="JW326" s="15"/>
      <c r="JX326" s="15"/>
      <c r="JY326" s="15"/>
      <c r="JZ326" s="15"/>
      <c r="KA326" s="15"/>
      <c r="KB326" s="15"/>
      <c r="KC326" s="15"/>
      <c r="KD326" s="15"/>
      <c r="KE326" s="15"/>
      <c r="KF326" s="15"/>
      <c r="KG326" s="15"/>
      <c r="KH326" s="15"/>
      <c r="KI326" s="15"/>
      <c r="KJ326" s="15"/>
      <c r="KK326" s="15"/>
      <c r="KL326" s="15"/>
      <c r="KM326" s="15"/>
      <c r="KN326" s="15"/>
      <c r="KO326" s="15"/>
      <c r="KP326" s="15"/>
      <c r="KQ326" s="15"/>
      <c r="KR326" s="15"/>
      <c r="KS326" s="15"/>
      <c r="KT326" s="15"/>
      <c r="KU326" s="15"/>
      <c r="KV326" s="15"/>
      <c r="KW326" s="15"/>
      <c r="KX326" s="15"/>
      <c r="KY326" s="15"/>
      <c r="KZ326" s="15"/>
      <c r="LA326" s="15"/>
      <c r="LB326" s="15"/>
      <c r="LC326" s="15"/>
      <c r="LD326" s="15"/>
      <c r="LE326" s="15"/>
      <c r="LF326" s="15"/>
      <c r="LG326" s="15"/>
      <c r="LH326" s="15"/>
      <c r="LI326" s="15"/>
      <c r="LJ326" s="15"/>
      <c r="LK326" s="15"/>
      <c r="LL326" s="15"/>
      <c r="LM326" s="15"/>
      <c r="LN326" s="15"/>
      <c r="LO326" s="15"/>
      <c r="LP326" s="15"/>
      <c r="LQ326" s="15"/>
      <c r="LR326" s="15"/>
      <c r="LS326" s="15"/>
      <c r="LT326" s="15"/>
      <c r="LU326" s="15"/>
      <c r="LV326" s="15"/>
      <c r="LW326" s="15"/>
      <c r="LX326" s="15"/>
      <c r="LY326" s="15"/>
      <c r="LZ326" s="15"/>
      <c r="MA326" s="15"/>
      <c r="MB326" s="15"/>
      <c r="MC326" s="15"/>
      <c r="MD326" s="15"/>
      <c r="ME326" s="15"/>
      <c r="MF326" s="15"/>
      <c r="MG326" s="15"/>
      <c r="MH326" s="15"/>
      <c r="MI326" s="15"/>
      <c r="MJ326" s="15"/>
      <c r="MK326" s="15"/>
      <c r="ML326" s="15"/>
      <c r="MM326" s="15"/>
      <c r="MN326" s="15"/>
      <c r="MO326" s="15"/>
      <c r="MP326" s="15"/>
      <c r="MQ326" s="15"/>
      <c r="MR326" s="15"/>
      <c r="MS326" s="15"/>
      <c r="MT326" s="15"/>
      <c r="MU326" s="15"/>
      <c r="MV326" s="15"/>
      <c r="MW326" s="15"/>
    </row>
    <row r="327" ht="41.25" customHeight="1">
      <c r="A327" s="16" t="s">
        <v>320</v>
      </c>
      <c r="B327" s="14" t="s">
        <v>10357</v>
      </c>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c r="DE327" s="15"/>
      <c r="DF327" s="15"/>
      <c r="DG327" s="15"/>
      <c r="DH327" s="15"/>
      <c r="DI327" s="15"/>
      <c r="DJ327" s="15"/>
      <c r="DK327" s="15"/>
      <c r="DL327" s="15"/>
      <c r="DM327" s="15"/>
      <c r="DN327" s="15"/>
      <c r="DO327" s="15"/>
      <c r="DP327" s="15"/>
      <c r="DQ327" s="15"/>
      <c r="DR327" s="15"/>
      <c r="DS327" s="15"/>
      <c r="DT327" s="15"/>
      <c r="DU327" s="15"/>
      <c r="DV327" s="15"/>
      <c r="DW327" s="15"/>
      <c r="DX327" s="15"/>
      <c r="DY327" s="15"/>
      <c r="DZ327" s="15"/>
      <c r="EA327" s="15"/>
      <c r="EB327" s="15"/>
      <c r="EC327" s="15"/>
      <c r="ED327" s="15"/>
      <c r="EE327" s="15"/>
      <c r="EF327" s="15"/>
      <c r="EG327" s="15"/>
      <c r="EH327" s="15"/>
      <c r="EI327" s="15"/>
      <c r="EJ327" s="15"/>
      <c r="EK327" s="15"/>
      <c r="EL327" s="15"/>
      <c r="EM327" s="15"/>
      <c r="EN327" s="15"/>
      <c r="EO327" s="15"/>
      <c r="EP327" s="15"/>
      <c r="EQ327" s="15"/>
      <c r="ER327" s="15"/>
      <c r="ES327" s="15"/>
      <c r="ET327" s="15"/>
      <c r="EU327" s="15"/>
      <c r="EV327" s="15"/>
      <c r="EW327" s="15"/>
      <c r="EX327" s="15"/>
      <c r="EY327" s="15"/>
      <c r="EZ327" s="15"/>
      <c r="FA327" s="15"/>
      <c r="FB327" s="15"/>
      <c r="FC327" s="15"/>
      <c r="FD327" s="15"/>
      <c r="FE327" s="15"/>
      <c r="FF327" s="15"/>
      <c r="FG327" s="15"/>
      <c r="FH327" s="15"/>
      <c r="FI327" s="15"/>
      <c r="FJ327" s="15"/>
      <c r="FK327" s="15"/>
      <c r="FL327" s="15"/>
      <c r="FM327" s="15"/>
      <c r="FN327" s="15"/>
      <c r="FO327" s="15"/>
      <c r="FP327" s="15"/>
      <c r="FQ327" s="15"/>
      <c r="FR327" s="15"/>
      <c r="FS327" s="15"/>
      <c r="FT327" s="15"/>
      <c r="FU327" s="15"/>
      <c r="FV327" s="15"/>
      <c r="FW327" s="15"/>
      <c r="FX327" s="15"/>
      <c r="FY327" s="15"/>
      <c r="FZ327" s="15"/>
      <c r="GA327" s="15"/>
      <c r="GB327" s="15"/>
      <c r="GC327" s="15"/>
      <c r="GD327" s="15"/>
      <c r="GE327" s="15"/>
      <c r="GF327" s="15"/>
      <c r="GG327" s="15"/>
      <c r="GH327" s="15"/>
      <c r="GI327" s="15"/>
      <c r="GJ327" s="15"/>
      <c r="GK327" s="15"/>
      <c r="GL327" s="15"/>
      <c r="GM327" s="15"/>
      <c r="GN327" s="15"/>
      <c r="GO327" s="15"/>
      <c r="GP327" s="15"/>
      <c r="GQ327" s="15"/>
      <c r="GR327" s="15"/>
      <c r="GS327" s="15"/>
      <c r="GT327" s="15"/>
      <c r="GU327" s="15"/>
      <c r="GV327" s="15"/>
      <c r="GW327" s="15"/>
      <c r="GX327" s="15"/>
      <c r="GY327" s="15"/>
      <c r="GZ327" s="15"/>
      <c r="HA327" s="15"/>
      <c r="HB327" s="15"/>
      <c r="HC327" s="15"/>
      <c r="HD327" s="15"/>
      <c r="HE327" s="15"/>
      <c r="HF327" s="15"/>
      <c r="HG327" s="15"/>
      <c r="HH327" s="15"/>
      <c r="HI327" s="15"/>
      <c r="HJ327" s="15"/>
      <c r="HK327" s="15"/>
      <c r="HL327" s="15"/>
      <c r="HM327" s="15"/>
      <c r="HN327" s="15"/>
      <c r="HO327" s="15"/>
      <c r="HP327" s="15"/>
      <c r="HQ327" s="15"/>
      <c r="HR327" s="15"/>
      <c r="HS327" s="15"/>
      <c r="HT327" s="15"/>
      <c r="HU327" s="15"/>
      <c r="HV327" s="15"/>
      <c r="HW327" s="15"/>
      <c r="HX327" s="15"/>
      <c r="HY327" s="15"/>
      <c r="HZ327" s="15"/>
      <c r="IA327" s="15"/>
      <c r="IB327" s="15"/>
      <c r="IC327" s="15"/>
      <c r="ID327" s="15"/>
      <c r="IE327" s="15"/>
      <c r="IF327" s="15"/>
      <c r="IG327" s="15"/>
      <c r="IH327" s="15"/>
      <c r="II327" s="15"/>
      <c r="IJ327" s="15"/>
      <c r="IK327" s="15"/>
      <c r="IL327" s="15"/>
      <c r="IM327" s="15"/>
      <c r="IN327" s="15"/>
      <c r="IO327" s="15"/>
      <c r="IP327" s="15"/>
      <c r="IQ327" s="15"/>
      <c r="IR327" s="15"/>
      <c r="IS327" s="15"/>
      <c r="IT327" s="15"/>
      <c r="IU327" s="15"/>
      <c r="IV327" s="15"/>
      <c r="IW327" s="15"/>
      <c r="IX327" s="15"/>
      <c r="IY327" s="15"/>
      <c r="IZ327" s="15"/>
      <c r="JA327" s="15"/>
      <c r="JB327" s="15"/>
      <c r="JC327" s="15"/>
      <c r="JD327" s="15"/>
      <c r="JE327" s="15"/>
      <c r="JF327" s="15"/>
      <c r="JG327" s="15"/>
      <c r="JH327" s="15"/>
      <c r="JI327" s="15"/>
      <c r="JJ327" s="15"/>
      <c r="JK327" s="15"/>
      <c r="JL327" s="15"/>
      <c r="JM327" s="15"/>
      <c r="JN327" s="15"/>
      <c r="JO327" s="15"/>
      <c r="JP327" s="15"/>
      <c r="JQ327" s="15"/>
      <c r="JR327" s="15"/>
      <c r="JS327" s="15"/>
      <c r="JT327" s="15"/>
      <c r="JU327" s="15"/>
      <c r="JV327" s="15"/>
      <c r="JW327" s="15"/>
      <c r="JX327" s="15"/>
      <c r="JY327" s="15"/>
      <c r="JZ327" s="15"/>
      <c r="KA327" s="15"/>
      <c r="KB327" s="15"/>
      <c r="KC327" s="15"/>
      <c r="KD327" s="15"/>
      <c r="KE327" s="15"/>
      <c r="KF327" s="15"/>
      <c r="KG327" s="15"/>
      <c r="KH327" s="15"/>
      <c r="KI327" s="15"/>
      <c r="KJ327" s="15"/>
      <c r="KK327" s="15"/>
      <c r="KL327" s="15"/>
      <c r="KM327" s="15"/>
      <c r="KN327" s="15"/>
      <c r="KO327" s="15"/>
      <c r="KP327" s="15"/>
      <c r="KQ327" s="15"/>
      <c r="KR327" s="15"/>
      <c r="KS327" s="15"/>
      <c r="KT327" s="15"/>
      <c r="KU327" s="15"/>
      <c r="KV327" s="15"/>
      <c r="KW327" s="15"/>
      <c r="KX327" s="15"/>
      <c r="KY327" s="15"/>
      <c r="KZ327" s="15"/>
      <c r="LA327" s="15"/>
      <c r="LB327" s="15"/>
      <c r="LC327" s="15"/>
      <c r="LD327" s="15"/>
      <c r="LE327" s="15"/>
      <c r="LF327" s="15"/>
      <c r="LG327" s="15"/>
      <c r="LH327" s="15"/>
      <c r="LI327" s="15"/>
      <c r="LJ327" s="15"/>
      <c r="LK327" s="15"/>
      <c r="LL327" s="15"/>
      <c r="LM327" s="15"/>
      <c r="LN327" s="15"/>
      <c r="LO327" s="15"/>
      <c r="LP327" s="15"/>
      <c r="LQ327" s="15"/>
      <c r="LR327" s="15"/>
      <c r="LS327" s="15"/>
      <c r="LT327" s="15"/>
      <c r="LU327" s="15"/>
      <c r="LV327" s="15"/>
      <c r="LW327" s="15"/>
      <c r="LX327" s="15"/>
      <c r="LY327" s="15"/>
      <c r="LZ327" s="15"/>
      <c r="MA327" s="15"/>
      <c r="MB327" s="15"/>
      <c r="MC327" s="15"/>
      <c r="MD327" s="15"/>
      <c r="ME327" s="15"/>
      <c r="MF327" s="15"/>
      <c r="MG327" s="15"/>
      <c r="MH327" s="15"/>
      <c r="MI327" s="15"/>
      <c r="MJ327" s="15"/>
      <c r="MK327" s="15"/>
      <c r="ML327" s="15"/>
      <c r="MM327" s="15"/>
      <c r="MN327" s="15"/>
      <c r="MO327" s="15"/>
      <c r="MP327" s="15"/>
      <c r="MQ327" s="15"/>
      <c r="MR327" s="15"/>
      <c r="MS327" s="15"/>
      <c r="MT327" s="15"/>
      <c r="MU327" s="15"/>
      <c r="MV327" s="15"/>
      <c r="MW327" s="15"/>
    </row>
    <row r="328" ht="119.25" customHeight="1">
      <c r="A328" s="16" t="s">
        <v>321</v>
      </c>
      <c r="B328" s="14" t="s">
        <v>10358</v>
      </c>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c r="DF328" s="15"/>
      <c r="DG328" s="15"/>
      <c r="DH328" s="15"/>
      <c r="DI328" s="15"/>
      <c r="DJ328" s="15"/>
      <c r="DK328" s="15"/>
      <c r="DL328" s="15"/>
      <c r="DM328" s="15"/>
      <c r="DN328" s="15"/>
      <c r="DO328" s="15"/>
      <c r="DP328" s="15"/>
      <c r="DQ328" s="15"/>
      <c r="DR328" s="15"/>
      <c r="DS328" s="15"/>
      <c r="DT328" s="15"/>
      <c r="DU328" s="15"/>
      <c r="DV328" s="15"/>
      <c r="DW328" s="15"/>
      <c r="DX328" s="15"/>
      <c r="DY328" s="15"/>
      <c r="DZ328" s="15"/>
      <c r="EA328" s="15"/>
      <c r="EB328" s="15"/>
      <c r="EC328" s="15"/>
      <c r="ED328" s="15"/>
      <c r="EE328" s="15"/>
      <c r="EF328" s="15"/>
      <c r="EG328" s="15"/>
      <c r="EH328" s="15"/>
      <c r="EI328" s="15"/>
      <c r="EJ328" s="15"/>
      <c r="EK328" s="15"/>
      <c r="EL328" s="15"/>
      <c r="EM328" s="15"/>
      <c r="EN328" s="15"/>
      <c r="EO328" s="15"/>
      <c r="EP328" s="15"/>
      <c r="EQ328" s="15"/>
      <c r="ER328" s="15"/>
      <c r="ES328" s="15"/>
      <c r="ET328" s="15"/>
      <c r="EU328" s="15"/>
      <c r="EV328" s="15"/>
      <c r="EW328" s="15"/>
      <c r="EX328" s="15"/>
      <c r="EY328" s="15"/>
      <c r="EZ328" s="15"/>
      <c r="FA328" s="15"/>
      <c r="FB328" s="15"/>
      <c r="FC328" s="15"/>
      <c r="FD328" s="15"/>
      <c r="FE328" s="15"/>
      <c r="FF328" s="15"/>
      <c r="FG328" s="15"/>
      <c r="FH328" s="15"/>
      <c r="FI328" s="15"/>
      <c r="FJ328" s="15"/>
      <c r="FK328" s="15"/>
      <c r="FL328" s="15"/>
      <c r="FM328" s="15"/>
      <c r="FN328" s="15"/>
      <c r="FO328" s="15"/>
      <c r="FP328" s="15"/>
      <c r="FQ328" s="15"/>
      <c r="FR328" s="15"/>
      <c r="FS328" s="15"/>
      <c r="FT328" s="15"/>
      <c r="FU328" s="15"/>
      <c r="FV328" s="15"/>
      <c r="FW328" s="15"/>
      <c r="FX328" s="15"/>
      <c r="FY328" s="15"/>
      <c r="FZ328" s="15"/>
      <c r="GA328" s="15"/>
      <c r="GB328" s="15"/>
      <c r="GC328" s="15"/>
      <c r="GD328" s="15"/>
      <c r="GE328" s="15"/>
      <c r="GF328" s="15"/>
      <c r="GG328" s="15"/>
      <c r="GH328" s="15"/>
      <c r="GI328" s="15"/>
      <c r="GJ328" s="15"/>
      <c r="GK328" s="15"/>
      <c r="GL328" s="15"/>
      <c r="GM328" s="15"/>
      <c r="GN328" s="15"/>
      <c r="GO328" s="15"/>
      <c r="GP328" s="15"/>
      <c r="GQ328" s="15"/>
      <c r="GR328" s="15"/>
      <c r="GS328" s="15"/>
      <c r="GT328" s="15"/>
      <c r="GU328" s="15"/>
      <c r="GV328" s="15"/>
      <c r="GW328" s="15"/>
      <c r="GX328" s="15"/>
      <c r="GY328" s="15"/>
      <c r="GZ328" s="15"/>
      <c r="HA328" s="15"/>
      <c r="HB328" s="15"/>
      <c r="HC328" s="15"/>
      <c r="HD328" s="15"/>
      <c r="HE328" s="15"/>
      <c r="HF328" s="15"/>
      <c r="HG328" s="15"/>
      <c r="HH328" s="15"/>
      <c r="HI328" s="15"/>
      <c r="HJ328" s="15"/>
      <c r="HK328" s="15"/>
      <c r="HL328" s="15"/>
      <c r="HM328" s="15"/>
      <c r="HN328" s="15"/>
      <c r="HO328" s="15"/>
      <c r="HP328" s="15"/>
      <c r="HQ328" s="15"/>
      <c r="HR328" s="15"/>
      <c r="HS328" s="15"/>
      <c r="HT328" s="15"/>
      <c r="HU328" s="15"/>
      <c r="HV328" s="15"/>
      <c r="HW328" s="15"/>
      <c r="HX328" s="15"/>
      <c r="HY328" s="15"/>
      <c r="HZ328" s="15"/>
      <c r="IA328" s="15"/>
      <c r="IB328" s="15"/>
      <c r="IC328" s="15"/>
      <c r="ID328" s="15"/>
      <c r="IE328" s="15"/>
      <c r="IF328" s="15"/>
      <c r="IG328" s="15"/>
      <c r="IH328" s="15"/>
      <c r="II328" s="15"/>
      <c r="IJ328" s="15"/>
      <c r="IK328" s="15"/>
      <c r="IL328" s="15"/>
      <c r="IM328" s="15"/>
      <c r="IN328" s="15"/>
      <c r="IO328" s="15"/>
      <c r="IP328" s="15"/>
      <c r="IQ328" s="15"/>
      <c r="IR328" s="15"/>
      <c r="IS328" s="15"/>
      <c r="IT328" s="15"/>
      <c r="IU328" s="15"/>
      <c r="IV328" s="15"/>
      <c r="IW328" s="15"/>
      <c r="IX328" s="15"/>
      <c r="IY328" s="15"/>
      <c r="IZ328" s="15"/>
      <c r="JA328" s="15"/>
      <c r="JB328" s="15"/>
      <c r="JC328" s="15"/>
      <c r="JD328" s="15"/>
      <c r="JE328" s="15"/>
      <c r="JF328" s="15"/>
      <c r="JG328" s="15"/>
      <c r="JH328" s="15"/>
      <c r="JI328" s="15"/>
      <c r="JJ328" s="15"/>
      <c r="JK328" s="15"/>
      <c r="JL328" s="15"/>
      <c r="JM328" s="15"/>
      <c r="JN328" s="15"/>
      <c r="JO328" s="15"/>
      <c r="JP328" s="15"/>
      <c r="JQ328" s="15"/>
      <c r="JR328" s="15"/>
      <c r="JS328" s="15"/>
      <c r="JT328" s="15"/>
      <c r="JU328" s="15"/>
      <c r="JV328" s="15"/>
      <c r="JW328" s="15"/>
      <c r="JX328" s="15"/>
      <c r="JY328" s="15"/>
      <c r="JZ328" s="15"/>
      <c r="KA328" s="15"/>
      <c r="KB328" s="15"/>
      <c r="KC328" s="15"/>
      <c r="KD328" s="15"/>
      <c r="KE328" s="15"/>
      <c r="KF328" s="15"/>
      <c r="KG328" s="15"/>
      <c r="KH328" s="15"/>
      <c r="KI328" s="15"/>
      <c r="KJ328" s="15"/>
      <c r="KK328" s="15"/>
      <c r="KL328" s="15"/>
      <c r="KM328" s="15"/>
      <c r="KN328" s="15"/>
      <c r="KO328" s="15"/>
      <c r="KP328" s="15"/>
      <c r="KQ328" s="15"/>
      <c r="KR328" s="15"/>
      <c r="KS328" s="15"/>
      <c r="KT328" s="15"/>
      <c r="KU328" s="15"/>
      <c r="KV328" s="15"/>
      <c r="KW328" s="15"/>
      <c r="KX328" s="15"/>
      <c r="KY328" s="15"/>
      <c r="KZ328" s="15"/>
      <c r="LA328" s="15"/>
      <c r="LB328" s="15"/>
      <c r="LC328" s="15"/>
      <c r="LD328" s="15"/>
      <c r="LE328" s="15"/>
      <c r="LF328" s="15"/>
      <c r="LG328" s="15"/>
      <c r="LH328" s="15"/>
      <c r="LI328" s="15"/>
      <c r="LJ328" s="15"/>
      <c r="LK328" s="15"/>
      <c r="LL328" s="15"/>
      <c r="LM328" s="15"/>
      <c r="LN328" s="15"/>
      <c r="LO328" s="15"/>
      <c r="LP328" s="15"/>
      <c r="LQ328" s="15"/>
      <c r="LR328" s="15"/>
      <c r="LS328" s="15"/>
      <c r="LT328" s="15"/>
      <c r="LU328" s="15"/>
      <c r="LV328" s="15"/>
      <c r="LW328" s="15"/>
      <c r="LX328" s="15"/>
      <c r="LY328" s="15"/>
      <c r="LZ328" s="15"/>
      <c r="MA328" s="15"/>
      <c r="MB328" s="15"/>
      <c r="MC328" s="15"/>
      <c r="MD328" s="15"/>
      <c r="ME328" s="15"/>
      <c r="MF328" s="15"/>
      <c r="MG328" s="15"/>
      <c r="MH328" s="15"/>
      <c r="MI328" s="15"/>
      <c r="MJ328" s="15"/>
      <c r="MK328" s="15"/>
      <c r="ML328" s="15"/>
      <c r="MM328" s="15"/>
      <c r="MN328" s="15"/>
      <c r="MO328" s="15"/>
      <c r="MP328" s="15"/>
      <c r="MQ328" s="15"/>
      <c r="MR328" s="15"/>
      <c r="MS328" s="15"/>
      <c r="MT328" s="15"/>
      <c r="MU328" s="15"/>
      <c r="MV328" s="15"/>
      <c r="MW328" s="15"/>
    </row>
    <row r="329" ht="41.25" customHeight="1">
      <c r="A329" s="16" t="s">
        <v>322</v>
      </c>
      <c r="B329" s="14" t="s">
        <v>10359</v>
      </c>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c r="DE329" s="15"/>
      <c r="DF329" s="15"/>
      <c r="DG329" s="15"/>
      <c r="DH329" s="15"/>
      <c r="DI329" s="15"/>
      <c r="DJ329" s="15"/>
      <c r="DK329" s="15"/>
      <c r="DL329" s="15"/>
      <c r="DM329" s="15"/>
      <c r="DN329" s="15"/>
      <c r="DO329" s="15"/>
      <c r="DP329" s="15"/>
      <c r="DQ329" s="15"/>
      <c r="DR329" s="15"/>
      <c r="DS329" s="15"/>
      <c r="DT329" s="15"/>
      <c r="DU329" s="15"/>
      <c r="DV329" s="15"/>
      <c r="DW329" s="15"/>
      <c r="DX329" s="15"/>
      <c r="DY329" s="15"/>
      <c r="DZ329" s="15"/>
      <c r="EA329" s="15"/>
      <c r="EB329" s="15"/>
      <c r="EC329" s="15"/>
      <c r="ED329" s="15"/>
      <c r="EE329" s="15"/>
      <c r="EF329" s="15"/>
      <c r="EG329" s="15"/>
      <c r="EH329" s="15"/>
      <c r="EI329" s="15"/>
      <c r="EJ329" s="15"/>
      <c r="EK329" s="15"/>
      <c r="EL329" s="15"/>
      <c r="EM329" s="15"/>
      <c r="EN329" s="15"/>
      <c r="EO329" s="15"/>
      <c r="EP329" s="15"/>
      <c r="EQ329" s="15"/>
      <c r="ER329" s="15"/>
      <c r="ES329" s="15"/>
      <c r="ET329" s="15"/>
      <c r="EU329" s="15"/>
      <c r="EV329" s="15"/>
      <c r="EW329" s="15"/>
      <c r="EX329" s="15"/>
      <c r="EY329" s="15"/>
      <c r="EZ329" s="15"/>
      <c r="FA329" s="15"/>
      <c r="FB329" s="15"/>
      <c r="FC329" s="15"/>
      <c r="FD329" s="15"/>
      <c r="FE329" s="15"/>
      <c r="FF329" s="15"/>
      <c r="FG329" s="15"/>
      <c r="FH329" s="15"/>
      <c r="FI329" s="15"/>
      <c r="FJ329" s="15"/>
      <c r="FK329" s="15"/>
      <c r="FL329" s="15"/>
      <c r="FM329" s="15"/>
      <c r="FN329" s="15"/>
      <c r="FO329" s="15"/>
      <c r="FP329" s="15"/>
      <c r="FQ329" s="15"/>
      <c r="FR329" s="15"/>
      <c r="FS329" s="15"/>
      <c r="FT329" s="15"/>
      <c r="FU329" s="15"/>
      <c r="FV329" s="15"/>
      <c r="FW329" s="15"/>
      <c r="FX329" s="15"/>
      <c r="FY329" s="15"/>
      <c r="FZ329" s="15"/>
      <c r="GA329" s="15"/>
      <c r="GB329" s="15"/>
      <c r="GC329" s="15"/>
      <c r="GD329" s="15"/>
      <c r="GE329" s="15"/>
      <c r="GF329" s="15"/>
      <c r="GG329" s="15"/>
      <c r="GH329" s="15"/>
      <c r="GI329" s="15"/>
      <c r="GJ329" s="15"/>
      <c r="GK329" s="15"/>
      <c r="GL329" s="15"/>
      <c r="GM329" s="15"/>
      <c r="GN329" s="15"/>
      <c r="GO329" s="15"/>
      <c r="GP329" s="15"/>
      <c r="GQ329" s="15"/>
      <c r="GR329" s="15"/>
      <c r="GS329" s="15"/>
      <c r="GT329" s="15"/>
      <c r="GU329" s="15"/>
      <c r="GV329" s="15"/>
      <c r="GW329" s="15"/>
      <c r="GX329" s="15"/>
      <c r="GY329" s="15"/>
      <c r="GZ329" s="15"/>
      <c r="HA329" s="15"/>
      <c r="HB329" s="15"/>
      <c r="HC329" s="15"/>
      <c r="HD329" s="15"/>
      <c r="HE329" s="15"/>
      <c r="HF329" s="15"/>
      <c r="HG329" s="15"/>
      <c r="HH329" s="15"/>
      <c r="HI329" s="15"/>
      <c r="HJ329" s="15"/>
      <c r="HK329" s="15"/>
      <c r="HL329" s="15"/>
      <c r="HM329" s="15"/>
      <c r="HN329" s="15"/>
      <c r="HO329" s="15"/>
      <c r="HP329" s="15"/>
      <c r="HQ329" s="15"/>
      <c r="HR329" s="15"/>
      <c r="HS329" s="15"/>
      <c r="HT329" s="15"/>
      <c r="HU329" s="15"/>
      <c r="HV329" s="15"/>
      <c r="HW329" s="15"/>
      <c r="HX329" s="15"/>
      <c r="HY329" s="15"/>
      <c r="HZ329" s="15"/>
      <c r="IA329" s="15"/>
      <c r="IB329" s="15"/>
      <c r="IC329" s="15"/>
      <c r="ID329" s="15"/>
      <c r="IE329" s="15"/>
      <c r="IF329" s="15"/>
      <c r="IG329" s="15"/>
      <c r="IH329" s="15"/>
      <c r="II329" s="15"/>
      <c r="IJ329" s="15"/>
      <c r="IK329" s="15"/>
      <c r="IL329" s="15"/>
      <c r="IM329" s="15"/>
      <c r="IN329" s="15"/>
      <c r="IO329" s="15"/>
      <c r="IP329" s="15"/>
      <c r="IQ329" s="15"/>
      <c r="IR329" s="15"/>
      <c r="IS329" s="15"/>
      <c r="IT329" s="15"/>
      <c r="IU329" s="15"/>
      <c r="IV329" s="15"/>
      <c r="IW329" s="15"/>
      <c r="IX329" s="15"/>
      <c r="IY329" s="15"/>
      <c r="IZ329" s="15"/>
      <c r="JA329" s="15"/>
      <c r="JB329" s="15"/>
      <c r="JC329" s="15"/>
      <c r="JD329" s="15"/>
      <c r="JE329" s="15"/>
      <c r="JF329" s="15"/>
      <c r="JG329" s="15"/>
      <c r="JH329" s="15"/>
      <c r="JI329" s="15"/>
      <c r="JJ329" s="15"/>
      <c r="JK329" s="15"/>
      <c r="JL329" s="15"/>
      <c r="JM329" s="15"/>
      <c r="JN329" s="15"/>
      <c r="JO329" s="15"/>
      <c r="JP329" s="15"/>
      <c r="JQ329" s="15"/>
      <c r="JR329" s="15"/>
      <c r="JS329" s="15"/>
      <c r="JT329" s="15"/>
      <c r="JU329" s="15"/>
      <c r="JV329" s="15"/>
      <c r="JW329" s="15"/>
      <c r="JX329" s="15"/>
      <c r="JY329" s="15"/>
      <c r="JZ329" s="15"/>
      <c r="KA329" s="15"/>
      <c r="KB329" s="15"/>
      <c r="KC329" s="15"/>
      <c r="KD329" s="15"/>
      <c r="KE329" s="15"/>
      <c r="KF329" s="15"/>
      <c r="KG329" s="15"/>
      <c r="KH329" s="15"/>
      <c r="KI329" s="15"/>
      <c r="KJ329" s="15"/>
      <c r="KK329" s="15"/>
      <c r="KL329" s="15"/>
      <c r="KM329" s="15"/>
      <c r="KN329" s="15"/>
      <c r="KO329" s="15"/>
      <c r="KP329" s="15"/>
      <c r="KQ329" s="15"/>
      <c r="KR329" s="15"/>
      <c r="KS329" s="15"/>
      <c r="KT329" s="15"/>
      <c r="KU329" s="15"/>
      <c r="KV329" s="15"/>
      <c r="KW329" s="15"/>
      <c r="KX329" s="15"/>
      <c r="KY329" s="15"/>
      <c r="KZ329" s="15"/>
      <c r="LA329" s="15"/>
      <c r="LB329" s="15"/>
      <c r="LC329" s="15"/>
      <c r="LD329" s="15"/>
      <c r="LE329" s="15"/>
      <c r="LF329" s="15"/>
      <c r="LG329" s="15"/>
      <c r="LH329" s="15"/>
      <c r="LI329" s="15"/>
      <c r="LJ329" s="15"/>
      <c r="LK329" s="15"/>
      <c r="LL329" s="15"/>
      <c r="LM329" s="15"/>
      <c r="LN329" s="15"/>
      <c r="LO329" s="15"/>
      <c r="LP329" s="15"/>
      <c r="LQ329" s="15"/>
      <c r="LR329" s="15"/>
      <c r="LS329" s="15"/>
      <c r="LT329" s="15"/>
      <c r="LU329" s="15"/>
      <c r="LV329" s="15"/>
      <c r="LW329" s="15"/>
      <c r="LX329" s="15"/>
      <c r="LY329" s="15"/>
      <c r="LZ329" s="15"/>
      <c r="MA329" s="15"/>
      <c r="MB329" s="15"/>
      <c r="MC329" s="15"/>
      <c r="MD329" s="15"/>
      <c r="ME329" s="15"/>
      <c r="MF329" s="15"/>
      <c r="MG329" s="15"/>
      <c r="MH329" s="15"/>
      <c r="MI329" s="15"/>
      <c r="MJ329" s="15"/>
      <c r="MK329" s="15"/>
      <c r="ML329" s="15"/>
      <c r="MM329" s="15"/>
      <c r="MN329" s="15"/>
      <c r="MO329" s="15"/>
      <c r="MP329" s="15"/>
      <c r="MQ329" s="15"/>
      <c r="MR329" s="15"/>
      <c r="MS329" s="15"/>
      <c r="MT329" s="15"/>
      <c r="MU329" s="15"/>
      <c r="MV329" s="15"/>
      <c r="MW329" s="15"/>
    </row>
    <row r="330" ht="119.25" customHeight="1">
      <c r="A330" s="16" t="s">
        <v>323</v>
      </c>
      <c r="B330" s="14" t="s">
        <v>10360</v>
      </c>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c r="DE330" s="15"/>
      <c r="DF330" s="15"/>
      <c r="DG330" s="15"/>
      <c r="DH330" s="15"/>
      <c r="DI330" s="15"/>
      <c r="DJ330" s="15"/>
      <c r="DK330" s="15"/>
      <c r="DL330" s="15"/>
      <c r="DM330" s="15"/>
      <c r="DN330" s="15"/>
      <c r="DO330" s="15"/>
      <c r="DP330" s="15"/>
      <c r="DQ330" s="15"/>
      <c r="DR330" s="15"/>
      <c r="DS330" s="15"/>
      <c r="DT330" s="15"/>
      <c r="DU330" s="15"/>
      <c r="DV330" s="15"/>
      <c r="DW330" s="15"/>
      <c r="DX330" s="15"/>
      <c r="DY330" s="15"/>
      <c r="DZ330" s="15"/>
      <c r="EA330" s="15"/>
      <c r="EB330" s="15"/>
      <c r="EC330" s="15"/>
      <c r="ED330" s="15"/>
      <c r="EE330" s="15"/>
      <c r="EF330" s="15"/>
      <c r="EG330" s="15"/>
      <c r="EH330" s="15"/>
      <c r="EI330" s="15"/>
      <c r="EJ330" s="15"/>
      <c r="EK330" s="15"/>
      <c r="EL330" s="15"/>
      <c r="EM330" s="15"/>
      <c r="EN330" s="15"/>
      <c r="EO330" s="15"/>
      <c r="EP330" s="15"/>
      <c r="EQ330" s="15"/>
      <c r="ER330" s="15"/>
      <c r="ES330" s="15"/>
      <c r="ET330" s="15"/>
      <c r="EU330" s="15"/>
      <c r="EV330" s="15"/>
      <c r="EW330" s="15"/>
      <c r="EX330" s="15"/>
      <c r="EY330" s="15"/>
      <c r="EZ330" s="15"/>
      <c r="FA330" s="15"/>
      <c r="FB330" s="15"/>
      <c r="FC330" s="15"/>
      <c r="FD330" s="15"/>
      <c r="FE330" s="15"/>
      <c r="FF330" s="15"/>
      <c r="FG330" s="15"/>
      <c r="FH330" s="15"/>
      <c r="FI330" s="15"/>
      <c r="FJ330" s="15"/>
      <c r="FK330" s="15"/>
      <c r="FL330" s="15"/>
      <c r="FM330" s="15"/>
      <c r="FN330" s="15"/>
      <c r="FO330" s="15"/>
      <c r="FP330" s="15"/>
      <c r="FQ330" s="15"/>
      <c r="FR330" s="15"/>
      <c r="FS330" s="15"/>
      <c r="FT330" s="15"/>
      <c r="FU330" s="15"/>
      <c r="FV330" s="15"/>
      <c r="FW330" s="15"/>
      <c r="FX330" s="15"/>
      <c r="FY330" s="15"/>
      <c r="FZ330" s="15"/>
      <c r="GA330" s="15"/>
      <c r="GB330" s="15"/>
      <c r="GC330" s="15"/>
      <c r="GD330" s="15"/>
      <c r="GE330" s="15"/>
      <c r="GF330" s="15"/>
      <c r="GG330" s="15"/>
      <c r="GH330" s="15"/>
      <c r="GI330" s="15"/>
      <c r="GJ330" s="15"/>
      <c r="GK330" s="15"/>
      <c r="GL330" s="15"/>
      <c r="GM330" s="15"/>
      <c r="GN330" s="15"/>
      <c r="GO330" s="15"/>
      <c r="GP330" s="15"/>
      <c r="GQ330" s="15"/>
      <c r="GR330" s="15"/>
      <c r="GS330" s="15"/>
      <c r="GT330" s="15"/>
      <c r="GU330" s="15"/>
      <c r="GV330" s="15"/>
      <c r="GW330" s="15"/>
      <c r="GX330" s="15"/>
      <c r="GY330" s="15"/>
      <c r="GZ330" s="15"/>
      <c r="HA330" s="15"/>
      <c r="HB330" s="15"/>
      <c r="HC330" s="15"/>
      <c r="HD330" s="15"/>
      <c r="HE330" s="15"/>
      <c r="HF330" s="15"/>
      <c r="HG330" s="15"/>
      <c r="HH330" s="15"/>
      <c r="HI330" s="15"/>
      <c r="HJ330" s="15"/>
      <c r="HK330" s="15"/>
      <c r="HL330" s="15"/>
      <c r="HM330" s="15"/>
      <c r="HN330" s="15"/>
      <c r="HO330" s="15"/>
      <c r="HP330" s="15"/>
      <c r="HQ330" s="15"/>
      <c r="HR330" s="15"/>
      <c r="HS330" s="15"/>
      <c r="HT330" s="15"/>
      <c r="HU330" s="15"/>
      <c r="HV330" s="15"/>
      <c r="HW330" s="15"/>
      <c r="HX330" s="15"/>
      <c r="HY330" s="15"/>
      <c r="HZ330" s="15"/>
      <c r="IA330" s="15"/>
      <c r="IB330" s="15"/>
      <c r="IC330" s="15"/>
      <c r="ID330" s="15"/>
      <c r="IE330" s="15"/>
      <c r="IF330" s="15"/>
      <c r="IG330" s="15"/>
      <c r="IH330" s="15"/>
      <c r="II330" s="15"/>
      <c r="IJ330" s="15"/>
      <c r="IK330" s="15"/>
      <c r="IL330" s="15"/>
      <c r="IM330" s="15"/>
      <c r="IN330" s="15"/>
      <c r="IO330" s="15"/>
      <c r="IP330" s="15"/>
      <c r="IQ330" s="15"/>
      <c r="IR330" s="15"/>
      <c r="IS330" s="15"/>
      <c r="IT330" s="15"/>
      <c r="IU330" s="15"/>
      <c r="IV330" s="15"/>
      <c r="IW330" s="15"/>
      <c r="IX330" s="15"/>
      <c r="IY330" s="15"/>
      <c r="IZ330" s="15"/>
      <c r="JA330" s="15"/>
      <c r="JB330" s="15"/>
      <c r="JC330" s="15"/>
      <c r="JD330" s="15"/>
      <c r="JE330" s="15"/>
      <c r="JF330" s="15"/>
      <c r="JG330" s="15"/>
      <c r="JH330" s="15"/>
      <c r="JI330" s="15"/>
      <c r="JJ330" s="15"/>
      <c r="JK330" s="15"/>
      <c r="JL330" s="15"/>
      <c r="JM330" s="15"/>
      <c r="JN330" s="15"/>
      <c r="JO330" s="15"/>
      <c r="JP330" s="15"/>
      <c r="JQ330" s="15"/>
      <c r="JR330" s="15"/>
      <c r="JS330" s="15"/>
      <c r="JT330" s="15"/>
      <c r="JU330" s="15"/>
      <c r="JV330" s="15"/>
      <c r="JW330" s="15"/>
      <c r="JX330" s="15"/>
      <c r="JY330" s="15"/>
      <c r="JZ330" s="15"/>
      <c r="KA330" s="15"/>
      <c r="KB330" s="15"/>
      <c r="KC330" s="15"/>
      <c r="KD330" s="15"/>
      <c r="KE330" s="15"/>
      <c r="KF330" s="15"/>
      <c r="KG330" s="15"/>
      <c r="KH330" s="15"/>
      <c r="KI330" s="15"/>
      <c r="KJ330" s="15"/>
      <c r="KK330" s="15"/>
      <c r="KL330" s="15"/>
      <c r="KM330" s="15"/>
      <c r="KN330" s="15"/>
      <c r="KO330" s="15"/>
      <c r="KP330" s="15"/>
      <c r="KQ330" s="15"/>
      <c r="KR330" s="15"/>
      <c r="KS330" s="15"/>
      <c r="KT330" s="15"/>
      <c r="KU330" s="15"/>
      <c r="KV330" s="15"/>
      <c r="KW330" s="15"/>
      <c r="KX330" s="15"/>
      <c r="KY330" s="15"/>
      <c r="KZ330" s="15"/>
      <c r="LA330" s="15"/>
      <c r="LB330" s="15"/>
      <c r="LC330" s="15"/>
      <c r="LD330" s="15"/>
      <c r="LE330" s="15"/>
      <c r="LF330" s="15"/>
      <c r="LG330" s="15"/>
      <c r="LH330" s="15"/>
      <c r="LI330" s="15"/>
      <c r="LJ330" s="15"/>
      <c r="LK330" s="15"/>
      <c r="LL330" s="15"/>
      <c r="LM330" s="15"/>
      <c r="LN330" s="15"/>
      <c r="LO330" s="15"/>
      <c r="LP330" s="15"/>
      <c r="LQ330" s="15"/>
      <c r="LR330" s="15"/>
      <c r="LS330" s="15"/>
      <c r="LT330" s="15"/>
      <c r="LU330" s="15"/>
      <c r="LV330" s="15"/>
      <c r="LW330" s="15"/>
      <c r="LX330" s="15"/>
      <c r="LY330" s="15"/>
      <c r="LZ330" s="15"/>
      <c r="MA330" s="15"/>
      <c r="MB330" s="15"/>
      <c r="MC330" s="15"/>
      <c r="MD330" s="15"/>
      <c r="ME330" s="15"/>
      <c r="MF330" s="15"/>
      <c r="MG330" s="15"/>
      <c r="MH330" s="15"/>
      <c r="MI330" s="15"/>
      <c r="MJ330" s="15"/>
      <c r="MK330" s="15"/>
      <c r="ML330" s="15"/>
      <c r="MM330" s="15"/>
      <c r="MN330" s="15"/>
      <c r="MO330" s="15"/>
      <c r="MP330" s="15"/>
      <c r="MQ330" s="15"/>
      <c r="MR330" s="15"/>
      <c r="MS330" s="15"/>
      <c r="MT330" s="15"/>
      <c r="MU330" s="15"/>
      <c r="MV330" s="15"/>
      <c r="MW330" s="15"/>
    </row>
    <row r="331" ht="41.25" customHeight="1">
      <c r="A331" s="16" t="s">
        <v>324</v>
      </c>
      <c r="B331" s="14" t="s">
        <v>10361</v>
      </c>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c r="DE331" s="15"/>
      <c r="DF331" s="15"/>
      <c r="DG331" s="15"/>
      <c r="DH331" s="15"/>
      <c r="DI331" s="15"/>
      <c r="DJ331" s="15"/>
      <c r="DK331" s="15"/>
      <c r="DL331" s="15"/>
      <c r="DM331" s="15"/>
      <c r="DN331" s="15"/>
      <c r="DO331" s="15"/>
      <c r="DP331" s="15"/>
      <c r="DQ331" s="15"/>
      <c r="DR331" s="15"/>
      <c r="DS331" s="15"/>
      <c r="DT331" s="15"/>
      <c r="DU331" s="15"/>
      <c r="DV331" s="15"/>
      <c r="DW331" s="15"/>
      <c r="DX331" s="15"/>
      <c r="DY331" s="15"/>
      <c r="DZ331" s="15"/>
      <c r="EA331" s="15"/>
      <c r="EB331" s="15"/>
      <c r="EC331" s="15"/>
      <c r="ED331" s="15"/>
      <c r="EE331" s="15"/>
      <c r="EF331" s="15"/>
      <c r="EG331" s="15"/>
      <c r="EH331" s="15"/>
      <c r="EI331" s="15"/>
      <c r="EJ331" s="15"/>
      <c r="EK331" s="15"/>
      <c r="EL331" s="15"/>
      <c r="EM331" s="15"/>
      <c r="EN331" s="15"/>
      <c r="EO331" s="15"/>
      <c r="EP331" s="15"/>
      <c r="EQ331" s="15"/>
      <c r="ER331" s="15"/>
      <c r="ES331" s="15"/>
      <c r="ET331" s="15"/>
      <c r="EU331" s="15"/>
      <c r="EV331" s="15"/>
      <c r="EW331" s="15"/>
      <c r="EX331" s="15"/>
      <c r="EY331" s="15"/>
      <c r="EZ331" s="15"/>
      <c r="FA331" s="15"/>
      <c r="FB331" s="15"/>
      <c r="FC331" s="15"/>
      <c r="FD331" s="15"/>
      <c r="FE331" s="15"/>
      <c r="FF331" s="15"/>
      <c r="FG331" s="15"/>
      <c r="FH331" s="15"/>
      <c r="FI331" s="15"/>
      <c r="FJ331" s="15"/>
      <c r="FK331" s="15"/>
      <c r="FL331" s="15"/>
      <c r="FM331" s="15"/>
      <c r="FN331" s="15"/>
      <c r="FO331" s="15"/>
      <c r="FP331" s="15"/>
      <c r="FQ331" s="15"/>
      <c r="FR331" s="15"/>
      <c r="FS331" s="15"/>
      <c r="FT331" s="15"/>
      <c r="FU331" s="15"/>
      <c r="FV331" s="15"/>
      <c r="FW331" s="15"/>
      <c r="FX331" s="15"/>
      <c r="FY331" s="15"/>
      <c r="FZ331" s="15"/>
      <c r="GA331" s="15"/>
      <c r="GB331" s="15"/>
      <c r="GC331" s="15"/>
      <c r="GD331" s="15"/>
      <c r="GE331" s="15"/>
      <c r="GF331" s="15"/>
      <c r="GG331" s="15"/>
      <c r="GH331" s="15"/>
      <c r="GI331" s="15"/>
      <c r="GJ331" s="15"/>
      <c r="GK331" s="15"/>
      <c r="GL331" s="15"/>
      <c r="GM331" s="15"/>
      <c r="GN331" s="15"/>
      <c r="GO331" s="15"/>
      <c r="GP331" s="15"/>
      <c r="GQ331" s="15"/>
      <c r="GR331" s="15"/>
      <c r="GS331" s="15"/>
      <c r="GT331" s="15"/>
      <c r="GU331" s="15"/>
      <c r="GV331" s="15"/>
      <c r="GW331" s="15"/>
      <c r="GX331" s="15"/>
      <c r="GY331" s="15"/>
      <c r="GZ331" s="15"/>
      <c r="HA331" s="15"/>
      <c r="HB331" s="15"/>
      <c r="HC331" s="15"/>
      <c r="HD331" s="15"/>
      <c r="HE331" s="15"/>
      <c r="HF331" s="15"/>
      <c r="HG331" s="15"/>
      <c r="HH331" s="15"/>
      <c r="HI331" s="15"/>
      <c r="HJ331" s="15"/>
      <c r="HK331" s="15"/>
      <c r="HL331" s="15"/>
      <c r="HM331" s="15"/>
      <c r="HN331" s="15"/>
      <c r="HO331" s="15"/>
      <c r="HP331" s="15"/>
      <c r="HQ331" s="15"/>
      <c r="HR331" s="15"/>
      <c r="HS331" s="15"/>
      <c r="HT331" s="15"/>
      <c r="HU331" s="15"/>
      <c r="HV331" s="15"/>
      <c r="HW331" s="15"/>
      <c r="HX331" s="15"/>
      <c r="HY331" s="15"/>
      <c r="HZ331" s="15"/>
      <c r="IA331" s="15"/>
      <c r="IB331" s="15"/>
      <c r="IC331" s="15"/>
      <c r="ID331" s="15"/>
      <c r="IE331" s="15"/>
      <c r="IF331" s="15"/>
      <c r="IG331" s="15"/>
      <c r="IH331" s="15"/>
      <c r="II331" s="15"/>
      <c r="IJ331" s="15"/>
      <c r="IK331" s="15"/>
      <c r="IL331" s="15"/>
      <c r="IM331" s="15"/>
      <c r="IN331" s="15"/>
      <c r="IO331" s="15"/>
      <c r="IP331" s="15"/>
      <c r="IQ331" s="15"/>
      <c r="IR331" s="15"/>
      <c r="IS331" s="15"/>
      <c r="IT331" s="15"/>
      <c r="IU331" s="15"/>
      <c r="IV331" s="15"/>
      <c r="IW331" s="15"/>
      <c r="IX331" s="15"/>
      <c r="IY331" s="15"/>
      <c r="IZ331" s="15"/>
      <c r="JA331" s="15"/>
      <c r="JB331" s="15"/>
      <c r="JC331" s="15"/>
      <c r="JD331" s="15"/>
      <c r="JE331" s="15"/>
      <c r="JF331" s="15"/>
      <c r="JG331" s="15"/>
      <c r="JH331" s="15"/>
      <c r="JI331" s="15"/>
      <c r="JJ331" s="15"/>
      <c r="JK331" s="15"/>
      <c r="JL331" s="15"/>
      <c r="JM331" s="15"/>
      <c r="JN331" s="15"/>
      <c r="JO331" s="15"/>
      <c r="JP331" s="15"/>
      <c r="JQ331" s="15"/>
      <c r="JR331" s="15"/>
      <c r="JS331" s="15"/>
      <c r="JT331" s="15"/>
      <c r="JU331" s="15"/>
      <c r="JV331" s="15"/>
      <c r="JW331" s="15"/>
      <c r="JX331" s="15"/>
      <c r="JY331" s="15"/>
      <c r="JZ331" s="15"/>
      <c r="KA331" s="15"/>
      <c r="KB331" s="15"/>
      <c r="KC331" s="15"/>
      <c r="KD331" s="15"/>
      <c r="KE331" s="15"/>
      <c r="KF331" s="15"/>
      <c r="KG331" s="15"/>
      <c r="KH331" s="15"/>
      <c r="KI331" s="15"/>
      <c r="KJ331" s="15"/>
      <c r="KK331" s="15"/>
      <c r="KL331" s="15"/>
      <c r="KM331" s="15"/>
      <c r="KN331" s="15"/>
      <c r="KO331" s="15"/>
      <c r="KP331" s="15"/>
      <c r="KQ331" s="15"/>
      <c r="KR331" s="15"/>
      <c r="KS331" s="15"/>
      <c r="KT331" s="15"/>
      <c r="KU331" s="15"/>
      <c r="KV331" s="15"/>
      <c r="KW331" s="15"/>
      <c r="KX331" s="15"/>
      <c r="KY331" s="15"/>
      <c r="KZ331" s="15"/>
      <c r="LA331" s="15"/>
      <c r="LB331" s="15"/>
      <c r="LC331" s="15"/>
      <c r="LD331" s="15"/>
      <c r="LE331" s="15"/>
      <c r="LF331" s="15"/>
      <c r="LG331" s="15"/>
      <c r="LH331" s="15"/>
      <c r="LI331" s="15"/>
      <c r="LJ331" s="15"/>
      <c r="LK331" s="15"/>
      <c r="LL331" s="15"/>
      <c r="LM331" s="15"/>
      <c r="LN331" s="15"/>
      <c r="LO331" s="15"/>
      <c r="LP331" s="15"/>
      <c r="LQ331" s="15"/>
      <c r="LR331" s="15"/>
      <c r="LS331" s="15"/>
      <c r="LT331" s="15"/>
      <c r="LU331" s="15"/>
      <c r="LV331" s="15"/>
      <c r="LW331" s="15"/>
      <c r="LX331" s="15"/>
      <c r="LY331" s="15"/>
      <c r="LZ331" s="15"/>
      <c r="MA331" s="15"/>
      <c r="MB331" s="15"/>
      <c r="MC331" s="15"/>
      <c r="MD331" s="15"/>
      <c r="ME331" s="15"/>
      <c r="MF331" s="15"/>
      <c r="MG331" s="15"/>
      <c r="MH331" s="15"/>
      <c r="MI331" s="15"/>
      <c r="MJ331" s="15"/>
      <c r="MK331" s="15"/>
      <c r="ML331" s="15"/>
      <c r="MM331" s="15"/>
      <c r="MN331" s="15"/>
      <c r="MO331" s="15"/>
      <c r="MP331" s="15"/>
      <c r="MQ331" s="15"/>
      <c r="MR331" s="15"/>
      <c r="MS331" s="15"/>
      <c r="MT331" s="15"/>
      <c r="MU331" s="15"/>
      <c r="MV331" s="15"/>
      <c r="MW331" s="15"/>
    </row>
    <row r="332" ht="119.25" customHeight="1">
      <c r="A332" s="16" t="s">
        <v>325</v>
      </c>
      <c r="B332" s="14" t="s">
        <v>10362</v>
      </c>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c r="DE332" s="15"/>
      <c r="DF332" s="15"/>
      <c r="DG332" s="15"/>
      <c r="DH332" s="15"/>
      <c r="DI332" s="15"/>
      <c r="DJ332" s="15"/>
      <c r="DK332" s="15"/>
      <c r="DL332" s="15"/>
      <c r="DM332" s="15"/>
      <c r="DN332" s="15"/>
      <c r="DO332" s="15"/>
      <c r="DP332" s="15"/>
      <c r="DQ332" s="15"/>
      <c r="DR332" s="15"/>
      <c r="DS332" s="15"/>
      <c r="DT332" s="15"/>
      <c r="DU332" s="15"/>
      <c r="DV332" s="15"/>
      <c r="DW332" s="15"/>
      <c r="DX332" s="15"/>
      <c r="DY332" s="15"/>
      <c r="DZ332" s="15"/>
      <c r="EA332" s="15"/>
      <c r="EB332" s="15"/>
      <c r="EC332" s="15"/>
      <c r="ED332" s="15"/>
      <c r="EE332" s="15"/>
      <c r="EF332" s="15"/>
      <c r="EG332" s="15"/>
      <c r="EH332" s="15"/>
      <c r="EI332" s="15"/>
      <c r="EJ332" s="15"/>
      <c r="EK332" s="15"/>
      <c r="EL332" s="15"/>
      <c r="EM332" s="15"/>
      <c r="EN332" s="15"/>
      <c r="EO332" s="15"/>
      <c r="EP332" s="15"/>
      <c r="EQ332" s="15"/>
      <c r="ER332" s="15"/>
      <c r="ES332" s="15"/>
      <c r="ET332" s="15"/>
      <c r="EU332" s="15"/>
      <c r="EV332" s="15"/>
      <c r="EW332" s="15"/>
      <c r="EX332" s="15"/>
      <c r="EY332" s="15"/>
      <c r="EZ332" s="15"/>
      <c r="FA332" s="15"/>
      <c r="FB332" s="15"/>
      <c r="FC332" s="15"/>
      <c r="FD332" s="15"/>
      <c r="FE332" s="15"/>
      <c r="FF332" s="15"/>
      <c r="FG332" s="15"/>
      <c r="FH332" s="15"/>
      <c r="FI332" s="15"/>
      <c r="FJ332" s="15"/>
      <c r="FK332" s="15"/>
      <c r="FL332" s="15"/>
      <c r="FM332" s="15"/>
      <c r="FN332" s="15"/>
      <c r="FO332" s="15"/>
      <c r="FP332" s="15"/>
      <c r="FQ332" s="15"/>
      <c r="FR332" s="15"/>
      <c r="FS332" s="15"/>
      <c r="FT332" s="15"/>
      <c r="FU332" s="15"/>
      <c r="FV332" s="15"/>
      <c r="FW332" s="15"/>
      <c r="FX332" s="15"/>
      <c r="FY332" s="15"/>
      <c r="FZ332" s="15"/>
      <c r="GA332" s="15"/>
      <c r="GB332" s="15"/>
      <c r="GC332" s="15"/>
      <c r="GD332" s="15"/>
      <c r="GE332" s="15"/>
      <c r="GF332" s="15"/>
      <c r="GG332" s="15"/>
      <c r="GH332" s="15"/>
      <c r="GI332" s="15"/>
      <c r="GJ332" s="15"/>
      <c r="GK332" s="15"/>
      <c r="GL332" s="15"/>
      <c r="GM332" s="15"/>
      <c r="GN332" s="15"/>
      <c r="GO332" s="15"/>
      <c r="GP332" s="15"/>
      <c r="GQ332" s="15"/>
      <c r="GR332" s="15"/>
      <c r="GS332" s="15"/>
      <c r="GT332" s="15"/>
      <c r="GU332" s="15"/>
      <c r="GV332" s="15"/>
      <c r="GW332" s="15"/>
      <c r="GX332" s="15"/>
      <c r="GY332" s="15"/>
      <c r="GZ332" s="15"/>
      <c r="HA332" s="15"/>
      <c r="HB332" s="15"/>
      <c r="HC332" s="15"/>
      <c r="HD332" s="15"/>
      <c r="HE332" s="15"/>
      <c r="HF332" s="15"/>
      <c r="HG332" s="15"/>
      <c r="HH332" s="15"/>
      <c r="HI332" s="15"/>
      <c r="HJ332" s="15"/>
      <c r="HK332" s="15"/>
      <c r="HL332" s="15"/>
      <c r="HM332" s="15"/>
      <c r="HN332" s="15"/>
      <c r="HO332" s="15"/>
      <c r="HP332" s="15"/>
      <c r="HQ332" s="15"/>
      <c r="HR332" s="15"/>
      <c r="HS332" s="15"/>
      <c r="HT332" s="15"/>
      <c r="HU332" s="15"/>
      <c r="HV332" s="15"/>
      <c r="HW332" s="15"/>
      <c r="HX332" s="15"/>
      <c r="HY332" s="15"/>
      <c r="HZ332" s="15"/>
      <c r="IA332" s="15"/>
      <c r="IB332" s="15"/>
      <c r="IC332" s="15"/>
      <c r="ID332" s="15"/>
      <c r="IE332" s="15"/>
      <c r="IF332" s="15"/>
      <c r="IG332" s="15"/>
      <c r="IH332" s="15"/>
      <c r="II332" s="15"/>
      <c r="IJ332" s="15"/>
      <c r="IK332" s="15"/>
      <c r="IL332" s="15"/>
      <c r="IM332" s="15"/>
      <c r="IN332" s="15"/>
      <c r="IO332" s="15"/>
      <c r="IP332" s="15"/>
      <c r="IQ332" s="15"/>
      <c r="IR332" s="15"/>
      <c r="IS332" s="15"/>
      <c r="IT332" s="15"/>
      <c r="IU332" s="15"/>
      <c r="IV332" s="15"/>
      <c r="IW332" s="15"/>
      <c r="IX332" s="15"/>
      <c r="IY332" s="15"/>
      <c r="IZ332" s="15"/>
      <c r="JA332" s="15"/>
      <c r="JB332" s="15"/>
      <c r="JC332" s="15"/>
      <c r="JD332" s="15"/>
      <c r="JE332" s="15"/>
      <c r="JF332" s="15"/>
      <c r="JG332" s="15"/>
      <c r="JH332" s="15"/>
      <c r="JI332" s="15"/>
      <c r="JJ332" s="15"/>
      <c r="JK332" s="15"/>
      <c r="JL332" s="15"/>
      <c r="JM332" s="15"/>
      <c r="JN332" s="15"/>
      <c r="JO332" s="15"/>
      <c r="JP332" s="15"/>
      <c r="JQ332" s="15"/>
      <c r="JR332" s="15"/>
      <c r="JS332" s="15"/>
      <c r="JT332" s="15"/>
      <c r="JU332" s="15"/>
      <c r="JV332" s="15"/>
      <c r="JW332" s="15"/>
      <c r="JX332" s="15"/>
      <c r="JY332" s="15"/>
      <c r="JZ332" s="15"/>
      <c r="KA332" s="15"/>
      <c r="KB332" s="15"/>
      <c r="KC332" s="15"/>
      <c r="KD332" s="15"/>
      <c r="KE332" s="15"/>
      <c r="KF332" s="15"/>
      <c r="KG332" s="15"/>
      <c r="KH332" s="15"/>
      <c r="KI332" s="15"/>
      <c r="KJ332" s="15"/>
      <c r="KK332" s="15"/>
      <c r="KL332" s="15"/>
      <c r="KM332" s="15"/>
      <c r="KN332" s="15"/>
      <c r="KO332" s="15"/>
      <c r="KP332" s="15"/>
      <c r="KQ332" s="15"/>
      <c r="KR332" s="15"/>
      <c r="KS332" s="15"/>
      <c r="KT332" s="15"/>
      <c r="KU332" s="15"/>
      <c r="KV332" s="15"/>
      <c r="KW332" s="15"/>
      <c r="KX332" s="15"/>
      <c r="KY332" s="15"/>
      <c r="KZ332" s="15"/>
      <c r="LA332" s="15"/>
      <c r="LB332" s="15"/>
      <c r="LC332" s="15"/>
      <c r="LD332" s="15"/>
      <c r="LE332" s="15"/>
      <c r="LF332" s="15"/>
      <c r="LG332" s="15"/>
      <c r="LH332" s="15"/>
      <c r="LI332" s="15"/>
      <c r="LJ332" s="15"/>
      <c r="LK332" s="15"/>
      <c r="LL332" s="15"/>
      <c r="LM332" s="15"/>
      <c r="LN332" s="15"/>
      <c r="LO332" s="15"/>
      <c r="LP332" s="15"/>
      <c r="LQ332" s="15"/>
      <c r="LR332" s="15"/>
      <c r="LS332" s="15"/>
      <c r="LT332" s="15"/>
      <c r="LU332" s="15"/>
      <c r="LV332" s="15"/>
      <c r="LW332" s="15"/>
      <c r="LX332" s="15"/>
      <c r="LY332" s="15"/>
      <c r="LZ332" s="15"/>
      <c r="MA332" s="15"/>
      <c r="MB332" s="15"/>
      <c r="MC332" s="15"/>
      <c r="MD332" s="15"/>
      <c r="ME332" s="15"/>
      <c r="MF332" s="15"/>
      <c r="MG332" s="15"/>
      <c r="MH332" s="15"/>
      <c r="MI332" s="15"/>
      <c r="MJ332" s="15"/>
      <c r="MK332" s="15"/>
      <c r="ML332" s="15"/>
      <c r="MM332" s="15"/>
      <c r="MN332" s="15"/>
      <c r="MO332" s="15"/>
      <c r="MP332" s="15"/>
      <c r="MQ332" s="15"/>
      <c r="MR332" s="15"/>
      <c r="MS332" s="15"/>
      <c r="MT332" s="15"/>
      <c r="MU332" s="15"/>
      <c r="MV332" s="15"/>
      <c r="MW332" s="15"/>
    </row>
    <row r="333" ht="41.25" customHeight="1">
      <c r="A333" s="16" t="s">
        <v>326</v>
      </c>
      <c r="B333" s="14" t="s">
        <v>10363</v>
      </c>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c r="DE333" s="15"/>
      <c r="DF333" s="15"/>
      <c r="DG333" s="15"/>
      <c r="DH333" s="15"/>
      <c r="DI333" s="15"/>
      <c r="DJ333" s="15"/>
      <c r="DK333" s="15"/>
      <c r="DL333" s="15"/>
      <c r="DM333" s="15"/>
      <c r="DN333" s="15"/>
      <c r="DO333" s="15"/>
      <c r="DP333" s="15"/>
      <c r="DQ333" s="15"/>
      <c r="DR333" s="15"/>
      <c r="DS333" s="15"/>
      <c r="DT333" s="15"/>
      <c r="DU333" s="15"/>
      <c r="DV333" s="15"/>
      <c r="DW333" s="15"/>
      <c r="DX333" s="15"/>
      <c r="DY333" s="15"/>
      <c r="DZ333" s="15"/>
      <c r="EA333" s="15"/>
      <c r="EB333" s="15"/>
      <c r="EC333" s="15"/>
      <c r="ED333" s="15"/>
      <c r="EE333" s="15"/>
      <c r="EF333" s="15"/>
      <c r="EG333" s="15"/>
      <c r="EH333" s="15"/>
      <c r="EI333" s="15"/>
      <c r="EJ333" s="15"/>
      <c r="EK333" s="15"/>
      <c r="EL333" s="15"/>
      <c r="EM333" s="15"/>
      <c r="EN333" s="15"/>
      <c r="EO333" s="15"/>
      <c r="EP333" s="15"/>
      <c r="EQ333" s="15"/>
      <c r="ER333" s="15"/>
      <c r="ES333" s="15"/>
      <c r="ET333" s="15"/>
      <c r="EU333" s="15"/>
      <c r="EV333" s="15"/>
      <c r="EW333" s="15"/>
      <c r="EX333" s="15"/>
      <c r="EY333" s="15"/>
      <c r="EZ333" s="15"/>
      <c r="FA333" s="15"/>
      <c r="FB333" s="15"/>
      <c r="FC333" s="15"/>
      <c r="FD333" s="15"/>
      <c r="FE333" s="15"/>
      <c r="FF333" s="15"/>
      <c r="FG333" s="15"/>
      <c r="FH333" s="15"/>
      <c r="FI333" s="15"/>
      <c r="FJ333" s="15"/>
      <c r="FK333" s="15"/>
      <c r="FL333" s="15"/>
      <c r="FM333" s="15"/>
      <c r="FN333" s="15"/>
      <c r="FO333" s="15"/>
      <c r="FP333" s="15"/>
      <c r="FQ333" s="15"/>
      <c r="FR333" s="15"/>
      <c r="FS333" s="15"/>
      <c r="FT333" s="15"/>
      <c r="FU333" s="15"/>
      <c r="FV333" s="15"/>
      <c r="FW333" s="15"/>
      <c r="FX333" s="15"/>
      <c r="FY333" s="15"/>
      <c r="FZ333" s="15"/>
      <c r="GA333" s="15"/>
      <c r="GB333" s="15"/>
      <c r="GC333" s="15"/>
      <c r="GD333" s="15"/>
      <c r="GE333" s="15"/>
      <c r="GF333" s="15"/>
      <c r="GG333" s="15"/>
      <c r="GH333" s="15"/>
      <c r="GI333" s="15"/>
      <c r="GJ333" s="15"/>
      <c r="GK333" s="15"/>
      <c r="GL333" s="15"/>
      <c r="GM333" s="15"/>
      <c r="GN333" s="15"/>
      <c r="GO333" s="15"/>
      <c r="GP333" s="15"/>
      <c r="GQ333" s="15"/>
      <c r="GR333" s="15"/>
      <c r="GS333" s="15"/>
      <c r="GT333" s="15"/>
      <c r="GU333" s="15"/>
      <c r="GV333" s="15"/>
      <c r="GW333" s="15"/>
      <c r="GX333" s="15"/>
      <c r="GY333" s="15"/>
      <c r="GZ333" s="15"/>
      <c r="HA333" s="15"/>
      <c r="HB333" s="15"/>
      <c r="HC333" s="15"/>
      <c r="HD333" s="15"/>
      <c r="HE333" s="15"/>
      <c r="HF333" s="15"/>
      <c r="HG333" s="15"/>
      <c r="HH333" s="15"/>
      <c r="HI333" s="15"/>
      <c r="HJ333" s="15"/>
      <c r="HK333" s="15"/>
      <c r="HL333" s="15"/>
      <c r="HM333" s="15"/>
      <c r="HN333" s="15"/>
      <c r="HO333" s="15"/>
      <c r="HP333" s="15"/>
      <c r="HQ333" s="15"/>
      <c r="HR333" s="15"/>
      <c r="HS333" s="15"/>
      <c r="HT333" s="15"/>
      <c r="HU333" s="15"/>
      <c r="HV333" s="15"/>
      <c r="HW333" s="15"/>
      <c r="HX333" s="15"/>
      <c r="HY333" s="15"/>
      <c r="HZ333" s="15"/>
      <c r="IA333" s="15"/>
      <c r="IB333" s="15"/>
      <c r="IC333" s="15"/>
      <c r="ID333" s="15"/>
      <c r="IE333" s="15"/>
      <c r="IF333" s="15"/>
      <c r="IG333" s="15"/>
      <c r="IH333" s="15"/>
      <c r="II333" s="15"/>
      <c r="IJ333" s="15"/>
      <c r="IK333" s="15"/>
      <c r="IL333" s="15"/>
      <c r="IM333" s="15"/>
      <c r="IN333" s="15"/>
      <c r="IO333" s="15"/>
      <c r="IP333" s="15"/>
      <c r="IQ333" s="15"/>
      <c r="IR333" s="15"/>
      <c r="IS333" s="15"/>
      <c r="IT333" s="15"/>
      <c r="IU333" s="15"/>
      <c r="IV333" s="15"/>
      <c r="IW333" s="15"/>
      <c r="IX333" s="15"/>
      <c r="IY333" s="15"/>
      <c r="IZ333" s="15"/>
      <c r="JA333" s="15"/>
      <c r="JB333" s="15"/>
      <c r="JC333" s="15"/>
      <c r="JD333" s="15"/>
      <c r="JE333" s="15"/>
      <c r="JF333" s="15"/>
      <c r="JG333" s="15"/>
      <c r="JH333" s="15"/>
      <c r="JI333" s="15"/>
      <c r="JJ333" s="15"/>
      <c r="JK333" s="15"/>
      <c r="JL333" s="15"/>
      <c r="JM333" s="15"/>
      <c r="JN333" s="15"/>
      <c r="JO333" s="15"/>
      <c r="JP333" s="15"/>
      <c r="JQ333" s="15"/>
      <c r="JR333" s="15"/>
      <c r="JS333" s="15"/>
      <c r="JT333" s="15"/>
      <c r="JU333" s="15"/>
      <c r="JV333" s="15"/>
      <c r="JW333" s="15"/>
      <c r="JX333" s="15"/>
      <c r="JY333" s="15"/>
      <c r="JZ333" s="15"/>
      <c r="KA333" s="15"/>
      <c r="KB333" s="15"/>
      <c r="KC333" s="15"/>
      <c r="KD333" s="15"/>
      <c r="KE333" s="15"/>
      <c r="KF333" s="15"/>
      <c r="KG333" s="15"/>
      <c r="KH333" s="15"/>
      <c r="KI333" s="15"/>
      <c r="KJ333" s="15"/>
      <c r="KK333" s="15"/>
      <c r="KL333" s="15"/>
      <c r="KM333" s="15"/>
      <c r="KN333" s="15"/>
      <c r="KO333" s="15"/>
      <c r="KP333" s="15"/>
      <c r="KQ333" s="15"/>
      <c r="KR333" s="15"/>
      <c r="KS333" s="15"/>
      <c r="KT333" s="15"/>
      <c r="KU333" s="15"/>
      <c r="KV333" s="15"/>
      <c r="KW333" s="15"/>
      <c r="KX333" s="15"/>
      <c r="KY333" s="15"/>
      <c r="KZ333" s="15"/>
      <c r="LA333" s="15"/>
      <c r="LB333" s="15"/>
      <c r="LC333" s="15"/>
      <c r="LD333" s="15"/>
      <c r="LE333" s="15"/>
      <c r="LF333" s="15"/>
      <c r="LG333" s="15"/>
      <c r="LH333" s="15"/>
      <c r="LI333" s="15"/>
      <c r="LJ333" s="15"/>
      <c r="LK333" s="15"/>
      <c r="LL333" s="15"/>
      <c r="LM333" s="15"/>
      <c r="LN333" s="15"/>
      <c r="LO333" s="15"/>
      <c r="LP333" s="15"/>
      <c r="LQ333" s="15"/>
      <c r="LR333" s="15"/>
      <c r="LS333" s="15"/>
      <c r="LT333" s="15"/>
      <c r="LU333" s="15"/>
      <c r="LV333" s="15"/>
      <c r="LW333" s="15"/>
      <c r="LX333" s="15"/>
      <c r="LY333" s="15"/>
      <c r="LZ333" s="15"/>
      <c r="MA333" s="15"/>
      <c r="MB333" s="15"/>
      <c r="MC333" s="15"/>
      <c r="MD333" s="15"/>
      <c r="ME333" s="15"/>
      <c r="MF333" s="15"/>
      <c r="MG333" s="15"/>
      <c r="MH333" s="15"/>
      <c r="MI333" s="15"/>
      <c r="MJ333" s="15"/>
      <c r="MK333" s="15"/>
      <c r="ML333" s="15"/>
      <c r="MM333" s="15"/>
      <c r="MN333" s="15"/>
      <c r="MO333" s="15"/>
      <c r="MP333" s="15"/>
      <c r="MQ333" s="15"/>
      <c r="MR333" s="15"/>
      <c r="MS333" s="15"/>
      <c r="MT333" s="15"/>
      <c r="MU333" s="15"/>
      <c r="MV333" s="15"/>
      <c r="MW333" s="15"/>
    </row>
    <row r="334" ht="119.25" customHeight="1">
      <c r="A334" s="16" t="s">
        <v>327</v>
      </c>
      <c r="B334" s="14" t="s">
        <v>10364</v>
      </c>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c r="DE334" s="15"/>
      <c r="DF334" s="15"/>
      <c r="DG334" s="15"/>
      <c r="DH334" s="15"/>
      <c r="DI334" s="15"/>
      <c r="DJ334" s="15"/>
      <c r="DK334" s="15"/>
      <c r="DL334" s="15"/>
      <c r="DM334" s="15"/>
      <c r="DN334" s="15"/>
      <c r="DO334" s="15"/>
      <c r="DP334" s="15"/>
      <c r="DQ334" s="15"/>
      <c r="DR334" s="15"/>
      <c r="DS334" s="15"/>
      <c r="DT334" s="15"/>
      <c r="DU334" s="15"/>
      <c r="DV334" s="15"/>
      <c r="DW334" s="15"/>
      <c r="DX334" s="15"/>
      <c r="DY334" s="15"/>
      <c r="DZ334" s="15"/>
      <c r="EA334" s="15"/>
      <c r="EB334" s="15"/>
      <c r="EC334" s="15"/>
      <c r="ED334" s="15"/>
      <c r="EE334" s="15"/>
      <c r="EF334" s="15"/>
      <c r="EG334" s="15"/>
      <c r="EH334" s="15"/>
      <c r="EI334" s="15"/>
      <c r="EJ334" s="15"/>
      <c r="EK334" s="15"/>
      <c r="EL334" s="15"/>
      <c r="EM334" s="15"/>
      <c r="EN334" s="15"/>
      <c r="EO334" s="15"/>
      <c r="EP334" s="15"/>
      <c r="EQ334" s="15"/>
      <c r="ER334" s="15"/>
      <c r="ES334" s="15"/>
      <c r="ET334" s="15"/>
      <c r="EU334" s="15"/>
      <c r="EV334" s="15"/>
      <c r="EW334" s="15"/>
      <c r="EX334" s="15"/>
      <c r="EY334" s="15"/>
      <c r="EZ334" s="15"/>
      <c r="FA334" s="15"/>
      <c r="FB334" s="15"/>
      <c r="FC334" s="15"/>
      <c r="FD334" s="15"/>
      <c r="FE334" s="15"/>
      <c r="FF334" s="15"/>
      <c r="FG334" s="15"/>
      <c r="FH334" s="15"/>
      <c r="FI334" s="15"/>
      <c r="FJ334" s="15"/>
      <c r="FK334" s="15"/>
      <c r="FL334" s="15"/>
      <c r="FM334" s="15"/>
      <c r="FN334" s="15"/>
      <c r="FO334" s="15"/>
      <c r="FP334" s="15"/>
      <c r="FQ334" s="15"/>
      <c r="FR334" s="15"/>
      <c r="FS334" s="15"/>
      <c r="FT334" s="15"/>
      <c r="FU334" s="15"/>
      <c r="FV334" s="15"/>
      <c r="FW334" s="15"/>
      <c r="FX334" s="15"/>
      <c r="FY334" s="15"/>
      <c r="FZ334" s="15"/>
      <c r="GA334" s="15"/>
      <c r="GB334" s="15"/>
      <c r="GC334" s="15"/>
      <c r="GD334" s="15"/>
      <c r="GE334" s="15"/>
      <c r="GF334" s="15"/>
      <c r="GG334" s="15"/>
      <c r="GH334" s="15"/>
      <c r="GI334" s="15"/>
      <c r="GJ334" s="15"/>
      <c r="GK334" s="15"/>
      <c r="GL334" s="15"/>
      <c r="GM334" s="15"/>
      <c r="GN334" s="15"/>
      <c r="GO334" s="15"/>
      <c r="GP334" s="15"/>
      <c r="GQ334" s="15"/>
      <c r="GR334" s="15"/>
      <c r="GS334" s="15"/>
      <c r="GT334" s="15"/>
      <c r="GU334" s="15"/>
      <c r="GV334" s="15"/>
      <c r="GW334" s="15"/>
      <c r="GX334" s="15"/>
      <c r="GY334" s="15"/>
      <c r="GZ334" s="15"/>
      <c r="HA334" s="15"/>
      <c r="HB334" s="15"/>
      <c r="HC334" s="15"/>
      <c r="HD334" s="15"/>
      <c r="HE334" s="15"/>
      <c r="HF334" s="15"/>
      <c r="HG334" s="15"/>
      <c r="HH334" s="15"/>
      <c r="HI334" s="15"/>
      <c r="HJ334" s="15"/>
      <c r="HK334" s="15"/>
      <c r="HL334" s="15"/>
      <c r="HM334" s="15"/>
      <c r="HN334" s="15"/>
      <c r="HO334" s="15"/>
      <c r="HP334" s="15"/>
      <c r="HQ334" s="15"/>
      <c r="HR334" s="15"/>
      <c r="HS334" s="15"/>
      <c r="HT334" s="15"/>
      <c r="HU334" s="15"/>
      <c r="HV334" s="15"/>
      <c r="HW334" s="15"/>
      <c r="HX334" s="15"/>
      <c r="HY334" s="15"/>
      <c r="HZ334" s="15"/>
      <c r="IA334" s="15"/>
      <c r="IB334" s="15"/>
      <c r="IC334" s="15"/>
      <c r="ID334" s="15"/>
      <c r="IE334" s="15"/>
      <c r="IF334" s="15"/>
      <c r="IG334" s="15"/>
      <c r="IH334" s="15"/>
      <c r="II334" s="15"/>
      <c r="IJ334" s="15"/>
      <c r="IK334" s="15"/>
      <c r="IL334" s="15"/>
      <c r="IM334" s="15"/>
      <c r="IN334" s="15"/>
      <c r="IO334" s="15"/>
      <c r="IP334" s="15"/>
      <c r="IQ334" s="15"/>
      <c r="IR334" s="15"/>
      <c r="IS334" s="15"/>
      <c r="IT334" s="15"/>
      <c r="IU334" s="15"/>
      <c r="IV334" s="15"/>
      <c r="IW334" s="15"/>
      <c r="IX334" s="15"/>
      <c r="IY334" s="15"/>
      <c r="IZ334" s="15"/>
      <c r="JA334" s="15"/>
      <c r="JB334" s="15"/>
      <c r="JC334" s="15"/>
      <c r="JD334" s="15"/>
      <c r="JE334" s="15"/>
      <c r="JF334" s="15"/>
      <c r="JG334" s="15"/>
      <c r="JH334" s="15"/>
      <c r="JI334" s="15"/>
      <c r="JJ334" s="15"/>
      <c r="JK334" s="15"/>
      <c r="JL334" s="15"/>
      <c r="JM334" s="15"/>
      <c r="JN334" s="15"/>
      <c r="JO334" s="15"/>
      <c r="JP334" s="15"/>
      <c r="JQ334" s="15"/>
      <c r="JR334" s="15"/>
      <c r="JS334" s="15"/>
      <c r="JT334" s="15"/>
      <c r="JU334" s="15"/>
      <c r="JV334" s="15"/>
      <c r="JW334" s="15"/>
      <c r="JX334" s="15"/>
      <c r="JY334" s="15"/>
      <c r="JZ334" s="15"/>
      <c r="KA334" s="15"/>
      <c r="KB334" s="15"/>
      <c r="KC334" s="15"/>
      <c r="KD334" s="15"/>
      <c r="KE334" s="15"/>
      <c r="KF334" s="15"/>
      <c r="KG334" s="15"/>
      <c r="KH334" s="15"/>
      <c r="KI334" s="15"/>
      <c r="KJ334" s="15"/>
      <c r="KK334" s="15"/>
      <c r="KL334" s="15"/>
      <c r="KM334" s="15"/>
      <c r="KN334" s="15"/>
      <c r="KO334" s="15"/>
      <c r="KP334" s="15"/>
      <c r="KQ334" s="15"/>
      <c r="KR334" s="15"/>
      <c r="KS334" s="15"/>
      <c r="KT334" s="15"/>
      <c r="KU334" s="15"/>
      <c r="KV334" s="15"/>
      <c r="KW334" s="15"/>
      <c r="KX334" s="15"/>
      <c r="KY334" s="15"/>
      <c r="KZ334" s="15"/>
      <c r="LA334" s="15"/>
      <c r="LB334" s="15"/>
      <c r="LC334" s="15"/>
      <c r="LD334" s="15"/>
      <c r="LE334" s="15"/>
      <c r="LF334" s="15"/>
      <c r="LG334" s="15"/>
      <c r="LH334" s="15"/>
      <c r="LI334" s="15"/>
      <c r="LJ334" s="15"/>
      <c r="LK334" s="15"/>
      <c r="LL334" s="15"/>
      <c r="LM334" s="15"/>
      <c r="LN334" s="15"/>
      <c r="LO334" s="15"/>
      <c r="LP334" s="15"/>
      <c r="LQ334" s="15"/>
      <c r="LR334" s="15"/>
      <c r="LS334" s="15"/>
      <c r="LT334" s="15"/>
      <c r="LU334" s="15"/>
      <c r="LV334" s="15"/>
      <c r="LW334" s="15"/>
      <c r="LX334" s="15"/>
      <c r="LY334" s="15"/>
      <c r="LZ334" s="15"/>
      <c r="MA334" s="15"/>
      <c r="MB334" s="15"/>
      <c r="MC334" s="15"/>
      <c r="MD334" s="15"/>
      <c r="ME334" s="15"/>
      <c r="MF334" s="15"/>
      <c r="MG334" s="15"/>
      <c r="MH334" s="15"/>
      <c r="MI334" s="15"/>
      <c r="MJ334" s="15"/>
      <c r="MK334" s="15"/>
      <c r="ML334" s="15"/>
      <c r="MM334" s="15"/>
      <c r="MN334" s="15"/>
      <c r="MO334" s="15"/>
      <c r="MP334" s="15"/>
      <c r="MQ334" s="15"/>
      <c r="MR334" s="15"/>
      <c r="MS334" s="15"/>
      <c r="MT334" s="15"/>
      <c r="MU334" s="15"/>
      <c r="MV334" s="15"/>
      <c r="MW334" s="15"/>
    </row>
    <row r="335" ht="41.25" customHeight="1">
      <c r="A335" s="16" t="s">
        <v>328</v>
      </c>
      <c r="B335" s="14" t="s">
        <v>10365</v>
      </c>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c r="DE335" s="15"/>
      <c r="DF335" s="15"/>
      <c r="DG335" s="15"/>
      <c r="DH335" s="15"/>
      <c r="DI335" s="15"/>
      <c r="DJ335" s="15"/>
      <c r="DK335" s="15"/>
      <c r="DL335" s="15"/>
      <c r="DM335" s="15"/>
      <c r="DN335" s="15"/>
      <c r="DO335" s="15"/>
      <c r="DP335" s="15"/>
      <c r="DQ335" s="15"/>
      <c r="DR335" s="15"/>
      <c r="DS335" s="15"/>
      <c r="DT335" s="15"/>
      <c r="DU335" s="15"/>
      <c r="DV335" s="15"/>
      <c r="DW335" s="15"/>
      <c r="DX335" s="15"/>
      <c r="DY335" s="15"/>
      <c r="DZ335" s="15"/>
      <c r="EA335" s="15"/>
      <c r="EB335" s="15"/>
      <c r="EC335" s="15"/>
      <c r="ED335" s="15"/>
      <c r="EE335" s="15"/>
      <c r="EF335" s="15"/>
      <c r="EG335" s="15"/>
      <c r="EH335" s="15"/>
      <c r="EI335" s="15"/>
      <c r="EJ335" s="15"/>
      <c r="EK335" s="15"/>
      <c r="EL335" s="15"/>
      <c r="EM335" s="15"/>
      <c r="EN335" s="15"/>
      <c r="EO335" s="15"/>
      <c r="EP335" s="15"/>
      <c r="EQ335" s="15"/>
      <c r="ER335" s="15"/>
      <c r="ES335" s="15"/>
      <c r="ET335" s="15"/>
      <c r="EU335" s="15"/>
      <c r="EV335" s="15"/>
      <c r="EW335" s="15"/>
      <c r="EX335" s="15"/>
      <c r="EY335" s="15"/>
      <c r="EZ335" s="15"/>
      <c r="FA335" s="15"/>
      <c r="FB335" s="15"/>
      <c r="FC335" s="15"/>
      <c r="FD335" s="15"/>
      <c r="FE335" s="15"/>
      <c r="FF335" s="15"/>
      <c r="FG335" s="15"/>
      <c r="FH335" s="15"/>
      <c r="FI335" s="15"/>
      <c r="FJ335" s="15"/>
      <c r="FK335" s="15"/>
      <c r="FL335" s="15"/>
      <c r="FM335" s="15"/>
      <c r="FN335" s="15"/>
      <c r="FO335" s="15"/>
      <c r="FP335" s="15"/>
      <c r="FQ335" s="15"/>
      <c r="FR335" s="15"/>
      <c r="FS335" s="15"/>
      <c r="FT335" s="15"/>
      <c r="FU335" s="15"/>
      <c r="FV335" s="15"/>
      <c r="FW335" s="15"/>
      <c r="FX335" s="15"/>
      <c r="FY335" s="15"/>
      <c r="FZ335" s="15"/>
      <c r="GA335" s="15"/>
      <c r="GB335" s="15"/>
      <c r="GC335" s="15"/>
      <c r="GD335" s="15"/>
      <c r="GE335" s="15"/>
      <c r="GF335" s="15"/>
      <c r="GG335" s="15"/>
      <c r="GH335" s="15"/>
      <c r="GI335" s="15"/>
      <c r="GJ335" s="15"/>
      <c r="GK335" s="15"/>
      <c r="GL335" s="15"/>
      <c r="GM335" s="15"/>
      <c r="GN335" s="15"/>
      <c r="GO335" s="15"/>
      <c r="GP335" s="15"/>
      <c r="GQ335" s="15"/>
      <c r="GR335" s="15"/>
      <c r="GS335" s="15"/>
      <c r="GT335" s="15"/>
      <c r="GU335" s="15"/>
      <c r="GV335" s="15"/>
      <c r="GW335" s="15"/>
      <c r="GX335" s="15"/>
      <c r="GY335" s="15"/>
      <c r="GZ335" s="15"/>
      <c r="HA335" s="15"/>
      <c r="HB335" s="15"/>
      <c r="HC335" s="15"/>
      <c r="HD335" s="15"/>
      <c r="HE335" s="15"/>
      <c r="HF335" s="15"/>
      <c r="HG335" s="15"/>
      <c r="HH335" s="15"/>
      <c r="HI335" s="15"/>
      <c r="HJ335" s="15"/>
      <c r="HK335" s="15"/>
      <c r="HL335" s="15"/>
      <c r="HM335" s="15"/>
      <c r="HN335" s="15"/>
      <c r="HO335" s="15"/>
      <c r="HP335" s="15"/>
      <c r="HQ335" s="15"/>
      <c r="HR335" s="15"/>
      <c r="HS335" s="15"/>
      <c r="HT335" s="15"/>
      <c r="HU335" s="15"/>
      <c r="HV335" s="15"/>
      <c r="HW335" s="15"/>
      <c r="HX335" s="15"/>
      <c r="HY335" s="15"/>
      <c r="HZ335" s="15"/>
      <c r="IA335" s="15"/>
      <c r="IB335" s="15"/>
      <c r="IC335" s="15"/>
      <c r="ID335" s="15"/>
      <c r="IE335" s="15"/>
      <c r="IF335" s="15"/>
      <c r="IG335" s="15"/>
      <c r="IH335" s="15"/>
      <c r="II335" s="15"/>
      <c r="IJ335" s="15"/>
      <c r="IK335" s="15"/>
      <c r="IL335" s="15"/>
      <c r="IM335" s="15"/>
      <c r="IN335" s="15"/>
      <c r="IO335" s="15"/>
      <c r="IP335" s="15"/>
      <c r="IQ335" s="15"/>
      <c r="IR335" s="15"/>
      <c r="IS335" s="15"/>
      <c r="IT335" s="15"/>
      <c r="IU335" s="15"/>
      <c r="IV335" s="15"/>
      <c r="IW335" s="15"/>
      <c r="IX335" s="15"/>
      <c r="IY335" s="15"/>
      <c r="IZ335" s="15"/>
      <c r="JA335" s="15"/>
      <c r="JB335" s="15"/>
      <c r="JC335" s="15"/>
      <c r="JD335" s="15"/>
      <c r="JE335" s="15"/>
      <c r="JF335" s="15"/>
      <c r="JG335" s="15"/>
      <c r="JH335" s="15"/>
      <c r="JI335" s="15"/>
      <c r="JJ335" s="15"/>
      <c r="JK335" s="15"/>
      <c r="JL335" s="15"/>
      <c r="JM335" s="15"/>
      <c r="JN335" s="15"/>
      <c r="JO335" s="15"/>
      <c r="JP335" s="15"/>
      <c r="JQ335" s="15"/>
      <c r="JR335" s="15"/>
      <c r="JS335" s="15"/>
      <c r="JT335" s="15"/>
      <c r="JU335" s="15"/>
      <c r="JV335" s="15"/>
      <c r="JW335" s="15"/>
      <c r="JX335" s="15"/>
      <c r="JY335" s="15"/>
      <c r="JZ335" s="15"/>
      <c r="KA335" s="15"/>
      <c r="KB335" s="15"/>
      <c r="KC335" s="15"/>
      <c r="KD335" s="15"/>
      <c r="KE335" s="15"/>
      <c r="KF335" s="15"/>
      <c r="KG335" s="15"/>
      <c r="KH335" s="15"/>
      <c r="KI335" s="15"/>
      <c r="KJ335" s="15"/>
      <c r="KK335" s="15"/>
      <c r="KL335" s="15"/>
      <c r="KM335" s="15"/>
      <c r="KN335" s="15"/>
      <c r="KO335" s="15"/>
      <c r="KP335" s="15"/>
      <c r="KQ335" s="15"/>
      <c r="KR335" s="15"/>
      <c r="KS335" s="15"/>
      <c r="KT335" s="15"/>
      <c r="KU335" s="15"/>
      <c r="KV335" s="15"/>
      <c r="KW335" s="15"/>
      <c r="KX335" s="15"/>
      <c r="KY335" s="15"/>
      <c r="KZ335" s="15"/>
      <c r="LA335" s="15"/>
      <c r="LB335" s="15"/>
      <c r="LC335" s="15"/>
      <c r="LD335" s="15"/>
      <c r="LE335" s="15"/>
      <c r="LF335" s="15"/>
      <c r="LG335" s="15"/>
      <c r="LH335" s="15"/>
      <c r="LI335" s="15"/>
      <c r="LJ335" s="15"/>
      <c r="LK335" s="15"/>
      <c r="LL335" s="15"/>
      <c r="LM335" s="15"/>
      <c r="LN335" s="15"/>
      <c r="LO335" s="15"/>
      <c r="LP335" s="15"/>
      <c r="LQ335" s="15"/>
      <c r="LR335" s="15"/>
      <c r="LS335" s="15"/>
      <c r="LT335" s="15"/>
      <c r="LU335" s="15"/>
      <c r="LV335" s="15"/>
      <c r="LW335" s="15"/>
      <c r="LX335" s="15"/>
      <c r="LY335" s="15"/>
      <c r="LZ335" s="15"/>
      <c r="MA335" s="15"/>
      <c r="MB335" s="15"/>
      <c r="MC335" s="15"/>
      <c r="MD335" s="15"/>
      <c r="ME335" s="15"/>
      <c r="MF335" s="15"/>
      <c r="MG335" s="15"/>
      <c r="MH335" s="15"/>
      <c r="MI335" s="15"/>
      <c r="MJ335" s="15"/>
      <c r="MK335" s="15"/>
      <c r="ML335" s="15"/>
      <c r="MM335" s="15"/>
      <c r="MN335" s="15"/>
      <c r="MO335" s="15"/>
      <c r="MP335" s="15"/>
      <c r="MQ335" s="15"/>
      <c r="MR335" s="15"/>
      <c r="MS335" s="15"/>
      <c r="MT335" s="15"/>
      <c r="MU335" s="15"/>
      <c r="MV335" s="15"/>
      <c r="MW335" s="15"/>
    </row>
    <row r="336" ht="119.25" customHeight="1">
      <c r="A336" s="16" t="s">
        <v>329</v>
      </c>
      <c r="B336" s="14" t="s">
        <v>10366</v>
      </c>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c r="DC336" s="15"/>
      <c r="DD336" s="15"/>
      <c r="DE336" s="15"/>
      <c r="DF336" s="15"/>
      <c r="DG336" s="15"/>
      <c r="DH336" s="15"/>
      <c r="DI336" s="15"/>
      <c r="DJ336" s="15"/>
      <c r="DK336" s="15"/>
      <c r="DL336" s="15"/>
      <c r="DM336" s="15"/>
      <c r="DN336" s="15"/>
      <c r="DO336" s="15"/>
      <c r="DP336" s="15"/>
      <c r="DQ336" s="15"/>
      <c r="DR336" s="15"/>
      <c r="DS336" s="15"/>
      <c r="DT336" s="15"/>
      <c r="DU336" s="15"/>
      <c r="DV336" s="15"/>
      <c r="DW336" s="15"/>
      <c r="DX336" s="15"/>
      <c r="DY336" s="15"/>
      <c r="DZ336" s="15"/>
      <c r="EA336" s="15"/>
      <c r="EB336" s="15"/>
      <c r="EC336" s="15"/>
      <c r="ED336" s="15"/>
      <c r="EE336" s="15"/>
      <c r="EF336" s="15"/>
      <c r="EG336" s="15"/>
      <c r="EH336" s="15"/>
      <c r="EI336" s="15"/>
      <c r="EJ336" s="15"/>
      <c r="EK336" s="15"/>
      <c r="EL336" s="15"/>
      <c r="EM336" s="15"/>
      <c r="EN336" s="15"/>
      <c r="EO336" s="15"/>
      <c r="EP336" s="15"/>
      <c r="EQ336" s="15"/>
      <c r="ER336" s="15"/>
      <c r="ES336" s="15"/>
      <c r="ET336" s="15"/>
      <c r="EU336" s="15"/>
      <c r="EV336" s="15"/>
      <c r="EW336" s="15"/>
      <c r="EX336" s="15"/>
      <c r="EY336" s="15"/>
      <c r="EZ336" s="15"/>
      <c r="FA336" s="15"/>
      <c r="FB336" s="15"/>
      <c r="FC336" s="15"/>
      <c r="FD336" s="15"/>
      <c r="FE336" s="15"/>
      <c r="FF336" s="15"/>
      <c r="FG336" s="15"/>
      <c r="FH336" s="15"/>
      <c r="FI336" s="15"/>
      <c r="FJ336" s="15"/>
      <c r="FK336" s="15"/>
      <c r="FL336" s="15"/>
      <c r="FM336" s="15"/>
      <c r="FN336" s="15"/>
      <c r="FO336" s="15"/>
      <c r="FP336" s="15"/>
      <c r="FQ336" s="15"/>
      <c r="FR336" s="15"/>
      <c r="FS336" s="15"/>
      <c r="FT336" s="15"/>
      <c r="FU336" s="15"/>
      <c r="FV336" s="15"/>
      <c r="FW336" s="15"/>
      <c r="FX336" s="15"/>
      <c r="FY336" s="15"/>
      <c r="FZ336" s="15"/>
      <c r="GA336" s="15"/>
      <c r="GB336" s="15"/>
      <c r="GC336" s="15"/>
      <c r="GD336" s="15"/>
      <c r="GE336" s="15"/>
      <c r="GF336" s="15"/>
      <c r="GG336" s="15"/>
      <c r="GH336" s="15"/>
      <c r="GI336" s="15"/>
      <c r="GJ336" s="15"/>
      <c r="GK336" s="15"/>
      <c r="GL336" s="15"/>
      <c r="GM336" s="15"/>
      <c r="GN336" s="15"/>
      <c r="GO336" s="15"/>
      <c r="GP336" s="15"/>
      <c r="GQ336" s="15"/>
      <c r="GR336" s="15"/>
      <c r="GS336" s="15"/>
      <c r="GT336" s="15"/>
      <c r="GU336" s="15"/>
      <c r="GV336" s="15"/>
      <c r="GW336" s="15"/>
      <c r="GX336" s="15"/>
      <c r="GY336" s="15"/>
      <c r="GZ336" s="15"/>
      <c r="HA336" s="15"/>
      <c r="HB336" s="15"/>
      <c r="HC336" s="15"/>
      <c r="HD336" s="15"/>
      <c r="HE336" s="15"/>
      <c r="HF336" s="15"/>
      <c r="HG336" s="15"/>
      <c r="HH336" s="15"/>
      <c r="HI336" s="15"/>
      <c r="HJ336" s="15"/>
      <c r="HK336" s="15"/>
      <c r="HL336" s="15"/>
      <c r="HM336" s="15"/>
      <c r="HN336" s="15"/>
      <c r="HO336" s="15"/>
      <c r="HP336" s="15"/>
      <c r="HQ336" s="15"/>
      <c r="HR336" s="15"/>
      <c r="HS336" s="15"/>
      <c r="HT336" s="15"/>
      <c r="HU336" s="15"/>
      <c r="HV336" s="15"/>
      <c r="HW336" s="15"/>
      <c r="HX336" s="15"/>
      <c r="HY336" s="15"/>
      <c r="HZ336" s="15"/>
      <c r="IA336" s="15"/>
      <c r="IB336" s="15"/>
      <c r="IC336" s="15"/>
      <c r="ID336" s="15"/>
      <c r="IE336" s="15"/>
      <c r="IF336" s="15"/>
      <c r="IG336" s="15"/>
      <c r="IH336" s="15"/>
      <c r="II336" s="15"/>
      <c r="IJ336" s="15"/>
      <c r="IK336" s="15"/>
      <c r="IL336" s="15"/>
      <c r="IM336" s="15"/>
      <c r="IN336" s="15"/>
      <c r="IO336" s="15"/>
      <c r="IP336" s="15"/>
      <c r="IQ336" s="15"/>
      <c r="IR336" s="15"/>
      <c r="IS336" s="15"/>
      <c r="IT336" s="15"/>
      <c r="IU336" s="15"/>
      <c r="IV336" s="15"/>
      <c r="IW336" s="15"/>
      <c r="IX336" s="15"/>
      <c r="IY336" s="15"/>
      <c r="IZ336" s="15"/>
      <c r="JA336" s="15"/>
      <c r="JB336" s="15"/>
      <c r="JC336" s="15"/>
      <c r="JD336" s="15"/>
      <c r="JE336" s="15"/>
      <c r="JF336" s="15"/>
      <c r="JG336" s="15"/>
      <c r="JH336" s="15"/>
      <c r="JI336" s="15"/>
      <c r="JJ336" s="15"/>
      <c r="JK336" s="15"/>
      <c r="JL336" s="15"/>
      <c r="JM336" s="15"/>
      <c r="JN336" s="15"/>
      <c r="JO336" s="15"/>
      <c r="JP336" s="15"/>
      <c r="JQ336" s="15"/>
      <c r="JR336" s="15"/>
      <c r="JS336" s="15"/>
      <c r="JT336" s="15"/>
      <c r="JU336" s="15"/>
      <c r="JV336" s="15"/>
      <c r="JW336" s="15"/>
      <c r="JX336" s="15"/>
      <c r="JY336" s="15"/>
      <c r="JZ336" s="15"/>
      <c r="KA336" s="15"/>
      <c r="KB336" s="15"/>
      <c r="KC336" s="15"/>
      <c r="KD336" s="15"/>
      <c r="KE336" s="15"/>
      <c r="KF336" s="15"/>
      <c r="KG336" s="15"/>
      <c r="KH336" s="15"/>
      <c r="KI336" s="15"/>
      <c r="KJ336" s="15"/>
      <c r="KK336" s="15"/>
      <c r="KL336" s="15"/>
      <c r="KM336" s="15"/>
      <c r="KN336" s="15"/>
      <c r="KO336" s="15"/>
      <c r="KP336" s="15"/>
      <c r="KQ336" s="15"/>
      <c r="KR336" s="15"/>
      <c r="KS336" s="15"/>
      <c r="KT336" s="15"/>
      <c r="KU336" s="15"/>
      <c r="KV336" s="15"/>
      <c r="KW336" s="15"/>
      <c r="KX336" s="15"/>
      <c r="KY336" s="15"/>
      <c r="KZ336" s="15"/>
      <c r="LA336" s="15"/>
      <c r="LB336" s="15"/>
      <c r="LC336" s="15"/>
      <c r="LD336" s="15"/>
      <c r="LE336" s="15"/>
      <c r="LF336" s="15"/>
      <c r="LG336" s="15"/>
      <c r="LH336" s="15"/>
      <c r="LI336" s="15"/>
      <c r="LJ336" s="15"/>
      <c r="LK336" s="15"/>
      <c r="LL336" s="15"/>
      <c r="LM336" s="15"/>
      <c r="LN336" s="15"/>
      <c r="LO336" s="15"/>
      <c r="LP336" s="15"/>
      <c r="LQ336" s="15"/>
      <c r="LR336" s="15"/>
      <c r="LS336" s="15"/>
      <c r="LT336" s="15"/>
      <c r="LU336" s="15"/>
      <c r="LV336" s="15"/>
      <c r="LW336" s="15"/>
      <c r="LX336" s="15"/>
      <c r="LY336" s="15"/>
      <c r="LZ336" s="15"/>
      <c r="MA336" s="15"/>
      <c r="MB336" s="15"/>
      <c r="MC336" s="15"/>
      <c r="MD336" s="15"/>
      <c r="ME336" s="15"/>
      <c r="MF336" s="15"/>
      <c r="MG336" s="15"/>
      <c r="MH336" s="15"/>
      <c r="MI336" s="15"/>
      <c r="MJ336" s="15"/>
      <c r="MK336" s="15"/>
      <c r="ML336" s="15"/>
      <c r="MM336" s="15"/>
      <c r="MN336" s="15"/>
      <c r="MO336" s="15"/>
      <c r="MP336" s="15"/>
      <c r="MQ336" s="15"/>
      <c r="MR336" s="15"/>
      <c r="MS336" s="15"/>
      <c r="MT336" s="15"/>
      <c r="MU336" s="15"/>
      <c r="MV336" s="15"/>
      <c r="MW336" s="15"/>
    </row>
    <row r="337" ht="41.25" customHeight="1">
      <c r="A337" s="16" t="s">
        <v>330</v>
      </c>
      <c r="B337" s="14" t="s">
        <v>10367</v>
      </c>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c r="DC337" s="15"/>
      <c r="DD337" s="15"/>
      <c r="DE337" s="15"/>
      <c r="DF337" s="15"/>
      <c r="DG337" s="15"/>
      <c r="DH337" s="15"/>
      <c r="DI337" s="15"/>
      <c r="DJ337" s="15"/>
      <c r="DK337" s="15"/>
      <c r="DL337" s="15"/>
      <c r="DM337" s="15"/>
      <c r="DN337" s="15"/>
      <c r="DO337" s="15"/>
      <c r="DP337" s="15"/>
      <c r="DQ337" s="15"/>
      <c r="DR337" s="15"/>
      <c r="DS337" s="15"/>
      <c r="DT337" s="15"/>
      <c r="DU337" s="15"/>
      <c r="DV337" s="15"/>
      <c r="DW337" s="15"/>
      <c r="DX337" s="15"/>
      <c r="DY337" s="15"/>
      <c r="DZ337" s="15"/>
      <c r="EA337" s="15"/>
      <c r="EB337" s="15"/>
      <c r="EC337" s="15"/>
      <c r="ED337" s="15"/>
      <c r="EE337" s="15"/>
      <c r="EF337" s="15"/>
      <c r="EG337" s="15"/>
      <c r="EH337" s="15"/>
      <c r="EI337" s="15"/>
      <c r="EJ337" s="15"/>
      <c r="EK337" s="15"/>
      <c r="EL337" s="15"/>
      <c r="EM337" s="15"/>
      <c r="EN337" s="15"/>
      <c r="EO337" s="15"/>
      <c r="EP337" s="15"/>
      <c r="EQ337" s="15"/>
      <c r="ER337" s="15"/>
      <c r="ES337" s="15"/>
      <c r="ET337" s="15"/>
      <c r="EU337" s="15"/>
      <c r="EV337" s="15"/>
      <c r="EW337" s="15"/>
      <c r="EX337" s="15"/>
      <c r="EY337" s="15"/>
      <c r="EZ337" s="15"/>
      <c r="FA337" s="15"/>
      <c r="FB337" s="15"/>
      <c r="FC337" s="15"/>
      <c r="FD337" s="15"/>
      <c r="FE337" s="15"/>
      <c r="FF337" s="15"/>
      <c r="FG337" s="15"/>
      <c r="FH337" s="15"/>
      <c r="FI337" s="15"/>
      <c r="FJ337" s="15"/>
      <c r="FK337" s="15"/>
      <c r="FL337" s="15"/>
      <c r="FM337" s="15"/>
      <c r="FN337" s="15"/>
      <c r="FO337" s="15"/>
      <c r="FP337" s="15"/>
      <c r="FQ337" s="15"/>
      <c r="FR337" s="15"/>
      <c r="FS337" s="15"/>
      <c r="FT337" s="15"/>
      <c r="FU337" s="15"/>
      <c r="FV337" s="15"/>
      <c r="FW337" s="15"/>
      <c r="FX337" s="15"/>
      <c r="FY337" s="15"/>
      <c r="FZ337" s="15"/>
      <c r="GA337" s="15"/>
      <c r="GB337" s="15"/>
      <c r="GC337" s="15"/>
      <c r="GD337" s="15"/>
      <c r="GE337" s="15"/>
      <c r="GF337" s="15"/>
      <c r="GG337" s="15"/>
      <c r="GH337" s="15"/>
      <c r="GI337" s="15"/>
      <c r="GJ337" s="15"/>
      <c r="GK337" s="15"/>
      <c r="GL337" s="15"/>
      <c r="GM337" s="15"/>
      <c r="GN337" s="15"/>
      <c r="GO337" s="15"/>
      <c r="GP337" s="15"/>
      <c r="GQ337" s="15"/>
      <c r="GR337" s="15"/>
      <c r="GS337" s="15"/>
      <c r="GT337" s="15"/>
      <c r="GU337" s="15"/>
      <c r="GV337" s="15"/>
      <c r="GW337" s="15"/>
      <c r="GX337" s="15"/>
      <c r="GY337" s="15"/>
      <c r="GZ337" s="15"/>
      <c r="HA337" s="15"/>
      <c r="HB337" s="15"/>
      <c r="HC337" s="15"/>
      <c r="HD337" s="15"/>
      <c r="HE337" s="15"/>
      <c r="HF337" s="15"/>
      <c r="HG337" s="15"/>
      <c r="HH337" s="15"/>
      <c r="HI337" s="15"/>
      <c r="HJ337" s="15"/>
      <c r="HK337" s="15"/>
      <c r="HL337" s="15"/>
      <c r="HM337" s="15"/>
      <c r="HN337" s="15"/>
      <c r="HO337" s="15"/>
      <c r="HP337" s="15"/>
      <c r="HQ337" s="15"/>
      <c r="HR337" s="15"/>
      <c r="HS337" s="15"/>
      <c r="HT337" s="15"/>
      <c r="HU337" s="15"/>
      <c r="HV337" s="15"/>
      <c r="HW337" s="15"/>
      <c r="HX337" s="15"/>
      <c r="HY337" s="15"/>
      <c r="HZ337" s="15"/>
      <c r="IA337" s="15"/>
      <c r="IB337" s="15"/>
      <c r="IC337" s="15"/>
      <c r="ID337" s="15"/>
      <c r="IE337" s="15"/>
      <c r="IF337" s="15"/>
      <c r="IG337" s="15"/>
      <c r="IH337" s="15"/>
      <c r="II337" s="15"/>
      <c r="IJ337" s="15"/>
      <c r="IK337" s="15"/>
      <c r="IL337" s="15"/>
      <c r="IM337" s="15"/>
      <c r="IN337" s="15"/>
      <c r="IO337" s="15"/>
      <c r="IP337" s="15"/>
      <c r="IQ337" s="15"/>
      <c r="IR337" s="15"/>
      <c r="IS337" s="15"/>
      <c r="IT337" s="15"/>
      <c r="IU337" s="15"/>
      <c r="IV337" s="15"/>
      <c r="IW337" s="15"/>
      <c r="IX337" s="15"/>
      <c r="IY337" s="15"/>
      <c r="IZ337" s="15"/>
      <c r="JA337" s="15"/>
      <c r="JB337" s="15"/>
      <c r="JC337" s="15"/>
      <c r="JD337" s="15"/>
      <c r="JE337" s="15"/>
      <c r="JF337" s="15"/>
      <c r="JG337" s="15"/>
      <c r="JH337" s="15"/>
      <c r="JI337" s="15"/>
      <c r="JJ337" s="15"/>
      <c r="JK337" s="15"/>
      <c r="JL337" s="15"/>
      <c r="JM337" s="15"/>
      <c r="JN337" s="15"/>
      <c r="JO337" s="15"/>
      <c r="JP337" s="15"/>
      <c r="JQ337" s="15"/>
      <c r="JR337" s="15"/>
      <c r="JS337" s="15"/>
      <c r="JT337" s="15"/>
      <c r="JU337" s="15"/>
      <c r="JV337" s="15"/>
      <c r="JW337" s="15"/>
      <c r="JX337" s="15"/>
      <c r="JY337" s="15"/>
      <c r="JZ337" s="15"/>
      <c r="KA337" s="15"/>
      <c r="KB337" s="15"/>
      <c r="KC337" s="15"/>
      <c r="KD337" s="15"/>
      <c r="KE337" s="15"/>
      <c r="KF337" s="15"/>
      <c r="KG337" s="15"/>
      <c r="KH337" s="15"/>
      <c r="KI337" s="15"/>
      <c r="KJ337" s="15"/>
      <c r="KK337" s="15"/>
      <c r="KL337" s="15"/>
      <c r="KM337" s="15"/>
      <c r="KN337" s="15"/>
      <c r="KO337" s="15"/>
      <c r="KP337" s="15"/>
      <c r="KQ337" s="15"/>
      <c r="KR337" s="15"/>
      <c r="KS337" s="15"/>
      <c r="KT337" s="15"/>
      <c r="KU337" s="15"/>
      <c r="KV337" s="15"/>
      <c r="KW337" s="15"/>
      <c r="KX337" s="15"/>
      <c r="KY337" s="15"/>
      <c r="KZ337" s="15"/>
      <c r="LA337" s="15"/>
      <c r="LB337" s="15"/>
      <c r="LC337" s="15"/>
      <c r="LD337" s="15"/>
      <c r="LE337" s="15"/>
      <c r="LF337" s="15"/>
      <c r="LG337" s="15"/>
      <c r="LH337" s="15"/>
      <c r="LI337" s="15"/>
      <c r="LJ337" s="15"/>
      <c r="LK337" s="15"/>
      <c r="LL337" s="15"/>
      <c r="LM337" s="15"/>
      <c r="LN337" s="15"/>
      <c r="LO337" s="15"/>
      <c r="LP337" s="15"/>
      <c r="LQ337" s="15"/>
      <c r="LR337" s="15"/>
      <c r="LS337" s="15"/>
      <c r="LT337" s="15"/>
      <c r="LU337" s="15"/>
      <c r="LV337" s="15"/>
      <c r="LW337" s="15"/>
      <c r="LX337" s="15"/>
      <c r="LY337" s="15"/>
      <c r="LZ337" s="15"/>
      <c r="MA337" s="15"/>
      <c r="MB337" s="15"/>
      <c r="MC337" s="15"/>
      <c r="MD337" s="15"/>
      <c r="ME337" s="15"/>
      <c r="MF337" s="15"/>
      <c r="MG337" s="15"/>
      <c r="MH337" s="15"/>
      <c r="MI337" s="15"/>
      <c r="MJ337" s="15"/>
      <c r="MK337" s="15"/>
      <c r="ML337" s="15"/>
      <c r="MM337" s="15"/>
      <c r="MN337" s="15"/>
      <c r="MO337" s="15"/>
      <c r="MP337" s="15"/>
      <c r="MQ337" s="15"/>
      <c r="MR337" s="15"/>
      <c r="MS337" s="15"/>
      <c r="MT337" s="15"/>
      <c r="MU337" s="15"/>
      <c r="MV337" s="15"/>
      <c r="MW337" s="15"/>
    </row>
    <row r="338" ht="119.25" customHeight="1">
      <c r="A338" s="16" t="s">
        <v>331</v>
      </c>
      <c r="B338" s="14" t="s">
        <v>10368</v>
      </c>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c r="DC338" s="15"/>
      <c r="DD338" s="15"/>
      <c r="DE338" s="15"/>
      <c r="DF338" s="15"/>
      <c r="DG338" s="15"/>
      <c r="DH338" s="15"/>
      <c r="DI338" s="15"/>
      <c r="DJ338" s="15"/>
      <c r="DK338" s="15"/>
      <c r="DL338" s="15"/>
      <c r="DM338" s="15"/>
      <c r="DN338" s="15"/>
      <c r="DO338" s="15"/>
      <c r="DP338" s="15"/>
      <c r="DQ338" s="15"/>
      <c r="DR338" s="15"/>
      <c r="DS338" s="15"/>
      <c r="DT338" s="15"/>
      <c r="DU338" s="15"/>
      <c r="DV338" s="15"/>
      <c r="DW338" s="15"/>
      <c r="DX338" s="15"/>
      <c r="DY338" s="15"/>
      <c r="DZ338" s="15"/>
      <c r="EA338" s="15"/>
      <c r="EB338" s="15"/>
      <c r="EC338" s="15"/>
      <c r="ED338" s="15"/>
      <c r="EE338" s="15"/>
      <c r="EF338" s="15"/>
      <c r="EG338" s="15"/>
      <c r="EH338" s="15"/>
      <c r="EI338" s="15"/>
      <c r="EJ338" s="15"/>
      <c r="EK338" s="15"/>
      <c r="EL338" s="15"/>
      <c r="EM338" s="15"/>
      <c r="EN338" s="15"/>
      <c r="EO338" s="15"/>
      <c r="EP338" s="15"/>
      <c r="EQ338" s="15"/>
      <c r="ER338" s="15"/>
      <c r="ES338" s="15"/>
      <c r="ET338" s="15"/>
      <c r="EU338" s="15"/>
      <c r="EV338" s="15"/>
      <c r="EW338" s="15"/>
      <c r="EX338" s="15"/>
      <c r="EY338" s="15"/>
      <c r="EZ338" s="15"/>
      <c r="FA338" s="15"/>
      <c r="FB338" s="15"/>
      <c r="FC338" s="15"/>
      <c r="FD338" s="15"/>
      <c r="FE338" s="15"/>
      <c r="FF338" s="15"/>
      <c r="FG338" s="15"/>
      <c r="FH338" s="15"/>
      <c r="FI338" s="15"/>
      <c r="FJ338" s="15"/>
      <c r="FK338" s="15"/>
      <c r="FL338" s="15"/>
      <c r="FM338" s="15"/>
      <c r="FN338" s="15"/>
      <c r="FO338" s="15"/>
      <c r="FP338" s="15"/>
      <c r="FQ338" s="15"/>
      <c r="FR338" s="15"/>
      <c r="FS338" s="15"/>
      <c r="FT338" s="15"/>
      <c r="FU338" s="15"/>
      <c r="FV338" s="15"/>
      <c r="FW338" s="15"/>
      <c r="FX338" s="15"/>
      <c r="FY338" s="15"/>
      <c r="FZ338" s="15"/>
      <c r="GA338" s="15"/>
      <c r="GB338" s="15"/>
      <c r="GC338" s="15"/>
      <c r="GD338" s="15"/>
      <c r="GE338" s="15"/>
      <c r="GF338" s="15"/>
      <c r="GG338" s="15"/>
      <c r="GH338" s="15"/>
      <c r="GI338" s="15"/>
      <c r="GJ338" s="15"/>
      <c r="GK338" s="15"/>
      <c r="GL338" s="15"/>
      <c r="GM338" s="15"/>
      <c r="GN338" s="15"/>
      <c r="GO338" s="15"/>
      <c r="GP338" s="15"/>
      <c r="GQ338" s="15"/>
      <c r="GR338" s="15"/>
      <c r="GS338" s="15"/>
      <c r="GT338" s="15"/>
      <c r="GU338" s="15"/>
      <c r="GV338" s="15"/>
      <c r="GW338" s="15"/>
      <c r="GX338" s="15"/>
      <c r="GY338" s="15"/>
      <c r="GZ338" s="15"/>
      <c r="HA338" s="15"/>
      <c r="HB338" s="15"/>
      <c r="HC338" s="15"/>
      <c r="HD338" s="15"/>
      <c r="HE338" s="15"/>
      <c r="HF338" s="15"/>
      <c r="HG338" s="15"/>
      <c r="HH338" s="15"/>
      <c r="HI338" s="15"/>
      <c r="HJ338" s="15"/>
      <c r="HK338" s="15"/>
      <c r="HL338" s="15"/>
      <c r="HM338" s="15"/>
      <c r="HN338" s="15"/>
      <c r="HO338" s="15"/>
      <c r="HP338" s="15"/>
      <c r="HQ338" s="15"/>
      <c r="HR338" s="15"/>
      <c r="HS338" s="15"/>
      <c r="HT338" s="15"/>
      <c r="HU338" s="15"/>
      <c r="HV338" s="15"/>
      <c r="HW338" s="15"/>
      <c r="HX338" s="15"/>
      <c r="HY338" s="15"/>
      <c r="HZ338" s="15"/>
      <c r="IA338" s="15"/>
      <c r="IB338" s="15"/>
      <c r="IC338" s="15"/>
      <c r="ID338" s="15"/>
      <c r="IE338" s="15"/>
      <c r="IF338" s="15"/>
      <c r="IG338" s="15"/>
      <c r="IH338" s="15"/>
      <c r="II338" s="15"/>
      <c r="IJ338" s="15"/>
      <c r="IK338" s="15"/>
      <c r="IL338" s="15"/>
      <c r="IM338" s="15"/>
      <c r="IN338" s="15"/>
      <c r="IO338" s="15"/>
      <c r="IP338" s="15"/>
      <c r="IQ338" s="15"/>
      <c r="IR338" s="15"/>
      <c r="IS338" s="15"/>
      <c r="IT338" s="15"/>
      <c r="IU338" s="15"/>
      <c r="IV338" s="15"/>
      <c r="IW338" s="15"/>
      <c r="IX338" s="15"/>
      <c r="IY338" s="15"/>
      <c r="IZ338" s="15"/>
      <c r="JA338" s="15"/>
      <c r="JB338" s="15"/>
      <c r="JC338" s="15"/>
      <c r="JD338" s="15"/>
      <c r="JE338" s="15"/>
      <c r="JF338" s="15"/>
      <c r="JG338" s="15"/>
      <c r="JH338" s="15"/>
      <c r="JI338" s="15"/>
      <c r="JJ338" s="15"/>
      <c r="JK338" s="15"/>
      <c r="JL338" s="15"/>
      <c r="JM338" s="15"/>
      <c r="JN338" s="15"/>
      <c r="JO338" s="15"/>
      <c r="JP338" s="15"/>
      <c r="JQ338" s="15"/>
      <c r="JR338" s="15"/>
      <c r="JS338" s="15"/>
      <c r="JT338" s="15"/>
      <c r="JU338" s="15"/>
      <c r="JV338" s="15"/>
      <c r="JW338" s="15"/>
      <c r="JX338" s="15"/>
      <c r="JY338" s="15"/>
      <c r="JZ338" s="15"/>
      <c r="KA338" s="15"/>
      <c r="KB338" s="15"/>
      <c r="KC338" s="15"/>
      <c r="KD338" s="15"/>
      <c r="KE338" s="15"/>
      <c r="KF338" s="15"/>
      <c r="KG338" s="15"/>
      <c r="KH338" s="15"/>
      <c r="KI338" s="15"/>
      <c r="KJ338" s="15"/>
      <c r="KK338" s="15"/>
      <c r="KL338" s="15"/>
      <c r="KM338" s="15"/>
      <c r="KN338" s="15"/>
      <c r="KO338" s="15"/>
      <c r="KP338" s="15"/>
      <c r="KQ338" s="15"/>
      <c r="KR338" s="15"/>
      <c r="KS338" s="15"/>
      <c r="KT338" s="15"/>
      <c r="KU338" s="15"/>
      <c r="KV338" s="15"/>
      <c r="KW338" s="15"/>
      <c r="KX338" s="15"/>
      <c r="KY338" s="15"/>
      <c r="KZ338" s="15"/>
      <c r="LA338" s="15"/>
      <c r="LB338" s="15"/>
      <c r="LC338" s="15"/>
      <c r="LD338" s="15"/>
      <c r="LE338" s="15"/>
      <c r="LF338" s="15"/>
      <c r="LG338" s="15"/>
      <c r="LH338" s="15"/>
      <c r="LI338" s="15"/>
      <c r="LJ338" s="15"/>
      <c r="LK338" s="15"/>
      <c r="LL338" s="15"/>
      <c r="LM338" s="15"/>
      <c r="LN338" s="15"/>
      <c r="LO338" s="15"/>
      <c r="LP338" s="15"/>
      <c r="LQ338" s="15"/>
      <c r="LR338" s="15"/>
      <c r="LS338" s="15"/>
      <c r="LT338" s="15"/>
      <c r="LU338" s="15"/>
      <c r="LV338" s="15"/>
      <c r="LW338" s="15"/>
      <c r="LX338" s="15"/>
      <c r="LY338" s="15"/>
      <c r="LZ338" s="15"/>
      <c r="MA338" s="15"/>
      <c r="MB338" s="15"/>
      <c r="MC338" s="15"/>
      <c r="MD338" s="15"/>
      <c r="ME338" s="15"/>
      <c r="MF338" s="15"/>
      <c r="MG338" s="15"/>
      <c r="MH338" s="15"/>
      <c r="MI338" s="15"/>
      <c r="MJ338" s="15"/>
      <c r="MK338" s="15"/>
      <c r="ML338" s="15"/>
      <c r="MM338" s="15"/>
      <c r="MN338" s="15"/>
      <c r="MO338" s="15"/>
      <c r="MP338" s="15"/>
      <c r="MQ338" s="15"/>
      <c r="MR338" s="15"/>
      <c r="MS338" s="15"/>
      <c r="MT338" s="15"/>
      <c r="MU338" s="15"/>
      <c r="MV338" s="15"/>
      <c r="MW338" s="15"/>
    </row>
    <row r="339" ht="41.25" customHeight="1">
      <c r="A339" s="16" t="s">
        <v>332</v>
      </c>
      <c r="B339" s="14" t="s">
        <v>10369</v>
      </c>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c r="DC339" s="15"/>
      <c r="DD339" s="15"/>
      <c r="DE339" s="15"/>
      <c r="DF339" s="15"/>
      <c r="DG339" s="15"/>
      <c r="DH339" s="15"/>
      <c r="DI339" s="15"/>
      <c r="DJ339" s="15"/>
      <c r="DK339" s="15"/>
      <c r="DL339" s="15"/>
      <c r="DM339" s="15"/>
      <c r="DN339" s="15"/>
      <c r="DO339" s="15"/>
      <c r="DP339" s="15"/>
      <c r="DQ339" s="15"/>
      <c r="DR339" s="15"/>
      <c r="DS339" s="15"/>
      <c r="DT339" s="15"/>
      <c r="DU339" s="15"/>
      <c r="DV339" s="15"/>
      <c r="DW339" s="15"/>
      <c r="DX339" s="15"/>
      <c r="DY339" s="15"/>
      <c r="DZ339" s="15"/>
      <c r="EA339" s="15"/>
      <c r="EB339" s="15"/>
      <c r="EC339" s="15"/>
      <c r="ED339" s="15"/>
      <c r="EE339" s="15"/>
      <c r="EF339" s="15"/>
      <c r="EG339" s="15"/>
      <c r="EH339" s="15"/>
      <c r="EI339" s="15"/>
      <c r="EJ339" s="15"/>
      <c r="EK339" s="15"/>
      <c r="EL339" s="15"/>
      <c r="EM339" s="15"/>
      <c r="EN339" s="15"/>
      <c r="EO339" s="15"/>
      <c r="EP339" s="15"/>
      <c r="EQ339" s="15"/>
      <c r="ER339" s="15"/>
      <c r="ES339" s="15"/>
      <c r="ET339" s="15"/>
      <c r="EU339" s="15"/>
      <c r="EV339" s="15"/>
      <c r="EW339" s="15"/>
      <c r="EX339" s="15"/>
      <c r="EY339" s="15"/>
      <c r="EZ339" s="15"/>
      <c r="FA339" s="15"/>
      <c r="FB339" s="15"/>
      <c r="FC339" s="15"/>
      <c r="FD339" s="15"/>
      <c r="FE339" s="15"/>
      <c r="FF339" s="15"/>
      <c r="FG339" s="15"/>
      <c r="FH339" s="15"/>
      <c r="FI339" s="15"/>
      <c r="FJ339" s="15"/>
      <c r="FK339" s="15"/>
      <c r="FL339" s="15"/>
      <c r="FM339" s="15"/>
      <c r="FN339" s="15"/>
      <c r="FO339" s="15"/>
      <c r="FP339" s="15"/>
      <c r="FQ339" s="15"/>
      <c r="FR339" s="15"/>
      <c r="FS339" s="15"/>
      <c r="FT339" s="15"/>
      <c r="FU339" s="15"/>
      <c r="FV339" s="15"/>
      <c r="FW339" s="15"/>
      <c r="FX339" s="15"/>
      <c r="FY339" s="15"/>
      <c r="FZ339" s="15"/>
      <c r="GA339" s="15"/>
      <c r="GB339" s="15"/>
      <c r="GC339" s="15"/>
      <c r="GD339" s="15"/>
      <c r="GE339" s="15"/>
      <c r="GF339" s="15"/>
      <c r="GG339" s="15"/>
      <c r="GH339" s="15"/>
      <c r="GI339" s="15"/>
      <c r="GJ339" s="15"/>
      <c r="GK339" s="15"/>
      <c r="GL339" s="15"/>
      <c r="GM339" s="15"/>
      <c r="GN339" s="15"/>
      <c r="GO339" s="15"/>
      <c r="GP339" s="15"/>
      <c r="GQ339" s="15"/>
      <c r="GR339" s="15"/>
      <c r="GS339" s="15"/>
      <c r="GT339" s="15"/>
      <c r="GU339" s="15"/>
      <c r="GV339" s="15"/>
      <c r="GW339" s="15"/>
      <c r="GX339" s="15"/>
      <c r="GY339" s="15"/>
      <c r="GZ339" s="15"/>
      <c r="HA339" s="15"/>
      <c r="HB339" s="15"/>
      <c r="HC339" s="15"/>
      <c r="HD339" s="15"/>
      <c r="HE339" s="15"/>
      <c r="HF339" s="15"/>
      <c r="HG339" s="15"/>
      <c r="HH339" s="15"/>
      <c r="HI339" s="15"/>
      <c r="HJ339" s="15"/>
      <c r="HK339" s="15"/>
      <c r="HL339" s="15"/>
      <c r="HM339" s="15"/>
      <c r="HN339" s="15"/>
      <c r="HO339" s="15"/>
      <c r="HP339" s="15"/>
      <c r="HQ339" s="15"/>
      <c r="HR339" s="15"/>
      <c r="HS339" s="15"/>
      <c r="HT339" s="15"/>
      <c r="HU339" s="15"/>
      <c r="HV339" s="15"/>
      <c r="HW339" s="15"/>
      <c r="HX339" s="15"/>
      <c r="HY339" s="15"/>
      <c r="HZ339" s="15"/>
      <c r="IA339" s="15"/>
      <c r="IB339" s="15"/>
      <c r="IC339" s="15"/>
      <c r="ID339" s="15"/>
      <c r="IE339" s="15"/>
      <c r="IF339" s="15"/>
      <c r="IG339" s="15"/>
      <c r="IH339" s="15"/>
      <c r="II339" s="15"/>
      <c r="IJ339" s="15"/>
      <c r="IK339" s="15"/>
      <c r="IL339" s="15"/>
      <c r="IM339" s="15"/>
      <c r="IN339" s="15"/>
      <c r="IO339" s="15"/>
      <c r="IP339" s="15"/>
      <c r="IQ339" s="15"/>
      <c r="IR339" s="15"/>
      <c r="IS339" s="15"/>
      <c r="IT339" s="15"/>
      <c r="IU339" s="15"/>
      <c r="IV339" s="15"/>
      <c r="IW339" s="15"/>
      <c r="IX339" s="15"/>
      <c r="IY339" s="15"/>
      <c r="IZ339" s="15"/>
      <c r="JA339" s="15"/>
      <c r="JB339" s="15"/>
      <c r="JC339" s="15"/>
      <c r="JD339" s="15"/>
      <c r="JE339" s="15"/>
      <c r="JF339" s="15"/>
      <c r="JG339" s="15"/>
      <c r="JH339" s="15"/>
      <c r="JI339" s="15"/>
      <c r="JJ339" s="15"/>
      <c r="JK339" s="15"/>
      <c r="JL339" s="15"/>
      <c r="JM339" s="15"/>
      <c r="JN339" s="15"/>
      <c r="JO339" s="15"/>
      <c r="JP339" s="15"/>
      <c r="JQ339" s="15"/>
      <c r="JR339" s="15"/>
      <c r="JS339" s="15"/>
      <c r="JT339" s="15"/>
      <c r="JU339" s="15"/>
      <c r="JV339" s="15"/>
      <c r="JW339" s="15"/>
      <c r="JX339" s="15"/>
      <c r="JY339" s="15"/>
      <c r="JZ339" s="15"/>
      <c r="KA339" s="15"/>
      <c r="KB339" s="15"/>
      <c r="KC339" s="15"/>
      <c r="KD339" s="15"/>
      <c r="KE339" s="15"/>
      <c r="KF339" s="15"/>
      <c r="KG339" s="15"/>
      <c r="KH339" s="15"/>
      <c r="KI339" s="15"/>
      <c r="KJ339" s="15"/>
      <c r="KK339" s="15"/>
      <c r="KL339" s="15"/>
      <c r="KM339" s="15"/>
      <c r="KN339" s="15"/>
      <c r="KO339" s="15"/>
      <c r="KP339" s="15"/>
      <c r="KQ339" s="15"/>
      <c r="KR339" s="15"/>
      <c r="KS339" s="15"/>
      <c r="KT339" s="15"/>
      <c r="KU339" s="15"/>
      <c r="KV339" s="15"/>
      <c r="KW339" s="15"/>
      <c r="KX339" s="15"/>
      <c r="KY339" s="15"/>
      <c r="KZ339" s="15"/>
      <c r="LA339" s="15"/>
      <c r="LB339" s="15"/>
      <c r="LC339" s="15"/>
      <c r="LD339" s="15"/>
      <c r="LE339" s="15"/>
      <c r="LF339" s="15"/>
      <c r="LG339" s="15"/>
      <c r="LH339" s="15"/>
      <c r="LI339" s="15"/>
      <c r="LJ339" s="15"/>
      <c r="LK339" s="15"/>
      <c r="LL339" s="15"/>
      <c r="LM339" s="15"/>
      <c r="LN339" s="15"/>
      <c r="LO339" s="15"/>
      <c r="LP339" s="15"/>
      <c r="LQ339" s="15"/>
      <c r="LR339" s="15"/>
      <c r="LS339" s="15"/>
      <c r="LT339" s="15"/>
      <c r="LU339" s="15"/>
      <c r="LV339" s="15"/>
      <c r="LW339" s="15"/>
      <c r="LX339" s="15"/>
      <c r="LY339" s="15"/>
      <c r="LZ339" s="15"/>
      <c r="MA339" s="15"/>
      <c r="MB339" s="15"/>
      <c r="MC339" s="15"/>
      <c r="MD339" s="15"/>
      <c r="ME339" s="15"/>
      <c r="MF339" s="15"/>
      <c r="MG339" s="15"/>
      <c r="MH339" s="15"/>
      <c r="MI339" s="15"/>
      <c r="MJ339" s="15"/>
      <c r="MK339" s="15"/>
      <c r="ML339" s="15"/>
      <c r="MM339" s="15"/>
      <c r="MN339" s="15"/>
      <c r="MO339" s="15"/>
      <c r="MP339" s="15"/>
      <c r="MQ339" s="15"/>
      <c r="MR339" s="15"/>
      <c r="MS339" s="15"/>
      <c r="MT339" s="15"/>
      <c r="MU339" s="15"/>
      <c r="MV339" s="15"/>
      <c r="MW339" s="15"/>
    </row>
    <row r="340" ht="119.25" customHeight="1">
      <c r="A340" s="16" t="s">
        <v>333</v>
      </c>
      <c r="B340" s="14" t="s">
        <v>10370</v>
      </c>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c r="DC340" s="15"/>
      <c r="DD340" s="15"/>
      <c r="DE340" s="15"/>
      <c r="DF340" s="15"/>
      <c r="DG340" s="15"/>
      <c r="DH340" s="15"/>
      <c r="DI340" s="15"/>
      <c r="DJ340" s="15"/>
      <c r="DK340" s="15"/>
      <c r="DL340" s="15"/>
      <c r="DM340" s="15"/>
      <c r="DN340" s="15"/>
      <c r="DO340" s="15"/>
      <c r="DP340" s="15"/>
      <c r="DQ340" s="15"/>
      <c r="DR340" s="15"/>
      <c r="DS340" s="15"/>
      <c r="DT340" s="15"/>
      <c r="DU340" s="15"/>
      <c r="DV340" s="15"/>
      <c r="DW340" s="15"/>
      <c r="DX340" s="15"/>
      <c r="DY340" s="15"/>
      <c r="DZ340" s="15"/>
      <c r="EA340" s="15"/>
      <c r="EB340" s="15"/>
      <c r="EC340" s="15"/>
      <c r="ED340" s="15"/>
      <c r="EE340" s="15"/>
      <c r="EF340" s="15"/>
      <c r="EG340" s="15"/>
      <c r="EH340" s="15"/>
      <c r="EI340" s="15"/>
      <c r="EJ340" s="15"/>
      <c r="EK340" s="15"/>
      <c r="EL340" s="15"/>
      <c r="EM340" s="15"/>
      <c r="EN340" s="15"/>
      <c r="EO340" s="15"/>
      <c r="EP340" s="15"/>
      <c r="EQ340" s="15"/>
      <c r="ER340" s="15"/>
      <c r="ES340" s="15"/>
      <c r="ET340" s="15"/>
      <c r="EU340" s="15"/>
      <c r="EV340" s="15"/>
      <c r="EW340" s="15"/>
      <c r="EX340" s="15"/>
      <c r="EY340" s="15"/>
      <c r="EZ340" s="15"/>
      <c r="FA340" s="15"/>
      <c r="FB340" s="15"/>
      <c r="FC340" s="15"/>
      <c r="FD340" s="15"/>
      <c r="FE340" s="15"/>
      <c r="FF340" s="15"/>
      <c r="FG340" s="15"/>
      <c r="FH340" s="15"/>
      <c r="FI340" s="15"/>
      <c r="FJ340" s="15"/>
      <c r="FK340" s="15"/>
      <c r="FL340" s="15"/>
      <c r="FM340" s="15"/>
      <c r="FN340" s="15"/>
      <c r="FO340" s="15"/>
      <c r="FP340" s="15"/>
      <c r="FQ340" s="15"/>
      <c r="FR340" s="15"/>
      <c r="FS340" s="15"/>
      <c r="FT340" s="15"/>
      <c r="FU340" s="15"/>
      <c r="FV340" s="15"/>
      <c r="FW340" s="15"/>
      <c r="FX340" s="15"/>
      <c r="FY340" s="15"/>
      <c r="FZ340" s="15"/>
      <c r="GA340" s="15"/>
      <c r="GB340" s="15"/>
      <c r="GC340" s="15"/>
      <c r="GD340" s="15"/>
      <c r="GE340" s="15"/>
      <c r="GF340" s="15"/>
      <c r="GG340" s="15"/>
      <c r="GH340" s="15"/>
      <c r="GI340" s="15"/>
      <c r="GJ340" s="15"/>
      <c r="GK340" s="15"/>
      <c r="GL340" s="15"/>
      <c r="GM340" s="15"/>
      <c r="GN340" s="15"/>
      <c r="GO340" s="15"/>
      <c r="GP340" s="15"/>
      <c r="GQ340" s="15"/>
      <c r="GR340" s="15"/>
      <c r="GS340" s="15"/>
      <c r="GT340" s="15"/>
      <c r="GU340" s="15"/>
      <c r="GV340" s="15"/>
      <c r="GW340" s="15"/>
      <c r="GX340" s="15"/>
      <c r="GY340" s="15"/>
      <c r="GZ340" s="15"/>
      <c r="HA340" s="15"/>
      <c r="HB340" s="15"/>
      <c r="HC340" s="15"/>
      <c r="HD340" s="15"/>
      <c r="HE340" s="15"/>
      <c r="HF340" s="15"/>
      <c r="HG340" s="15"/>
      <c r="HH340" s="15"/>
      <c r="HI340" s="15"/>
      <c r="HJ340" s="15"/>
      <c r="HK340" s="15"/>
      <c r="HL340" s="15"/>
      <c r="HM340" s="15"/>
      <c r="HN340" s="15"/>
      <c r="HO340" s="15"/>
      <c r="HP340" s="15"/>
      <c r="HQ340" s="15"/>
      <c r="HR340" s="15"/>
      <c r="HS340" s="15"/>
      <c r="HT340" s="15"/>
      <c r="HU340" s="15"/>
      <c r="HV340" s="15"/>
      <c r="HW340" s="15"/>
      <c r="HX340" s="15"/>
      <c r="HY340" s="15"/>
      <c r="HZ340" s="15"/>
      <c r="IA340" s="15"/>
      <c r="IB340" s="15"/>
      <c r="IC340" s="15"/>
      <c r="ID340" s="15"/>
      <c r="IE340" s="15"/>
      <c r="IF340" s="15"/>
      <c r="IG340" s="15"/>
      <c r="IH340" s="15"/>
      <c r="II340" s="15"/>
      <c r="IJ340" s="15"/>
      <c r="IK340" s="15"/>
      <c r="IL340" s="15"/>
      <c r="IM340" s="15"/>
      <c r="IN340" s="15"/>
      <c r="IO340" s="15"/>
      <c r="IP340" s="15"/>
      <c r="IQ340" s="15"/>
      <c r="IR340" s="15"/>
      <c r="IS340" s="15"/>
      <c r="IT340" s="15"/>
      <c r="IU340" s="15"/>
      <c r="IV340" s="15"/>
      <c r="IW340" s="15"/>
      <c r="IX340" s="15"/>
      <c r="IY340" s="15"/>
      <c r="IZ340" s="15"/>
      <c r="JA340" s="15"/>
      <c r="JB340" s="15"/>
      <c r="JC340" s="15"/>
      <c r="JD340" s="15"/>
      <c r="JE340" s="15"/>
      <c r="JF340" s="15"/>
      <c r="JG340" s="15"/>
      <c r="JH340" s="15"/>
      <c r="JI340" s="15"/>
      <c r="JJ340" s="15"/>
      <c r="JK340" s="15"/>
      <c r="JL340" s="15"/>
      <c r="JM340" s="15"/>
      <c r="JN340" s="15"/>
      <c r="JO340" s="15"/>
      <c r="JP340" s="15"/>
      <c r="JQ340" s="15"/>
      <c r="JR340" s="15"/>
      <c r="JS340" s="15"/>
      <c r="JT340" s="15"/>
      <c r="JU340" s="15"/>
      <c r="JV340" s="15"/>
      <c r="JW340" s="15"/>
      <c r="JX340" s="15"/>
      <c r="JY340" s="15"/>
      <c r="JZ340" s="15"/>
      <c r="KA340" s="15"/>
      <c r="KB340" s="15"/>
      <c r="KC340" s="15"/>
      <c r="KD340" s="15"/>
      <c r="KE340" s="15"/>
      <c r="KF340" s="15"/>
      <c r="KG340" s="15"/>
      <c r="KH340" s="15"/>
      <c r="KI340" s="15"/>
      <c r="KJ340" s="15"/>
      <c r="KK340" s="15"/>
      <c r="KL340" s="15"/>
      <c r="KM340" s="15"/>
      <c r="KN340" s="15"/>
      <c r="KO340" s="15"/>
      <c r="KP340" s="15"/>
      <c r="KQ340" s="15"/>
      <c r="KR340" s="15"/>
      <c r="KS340" s="15"/>
      <c r="KT340" s="15"/>
      <c r="KU340" s="15"/>
      <c r="KV340" s="15"/>
      <c r="KW340" s="15"/>
      <c r="KX340" s="15"/>
      <c r="KY340" s="15"/>
      <c r="KZ340" s="15"/>
      <c r="LA340" s="15"/>
      <c r="LB340" s="15"/>
      <c r="LC340" s="15"/>
      <c r="LD340" s="15"/>
      <c r="LE340" s="15"/>
      <c r="LF340" s="15"/>
      <c r="LG340" s="15"/>
      <c r="LH340" s="15"/>
      <c r="LI340" s="15"/>
      <c r="LJ340" s="15"/>
      <c r="LK340" s="15"/>
      <c r="LL340" s="15"/>
      <c r="LM340" s="15"/>
      <c r="LN340" s="15"/>
      <c r="LO340" s="15"/>
      <c r="LP340" s="15"/>
      <c r="LQ340" s="15"/>
      <c r="LR340" s="15"/>
      <c r="LS340" s="15"/>
      <c r="LT340" s="15"/>
      <c r="LU340" s="15"/>
      <c r="LV340" s="15"/>
      <c r="LW340" s="15"/>
      <c r="LX340" s="15"/>
      <c r="LY340" s="15"/>
      <c r="LZ340" s="15"/>
      <c r="MA340" s="15"/>
      <c r="MB340" s="15"/>
      <c r="MC340" s="15"/>
      <c r="MD340" s="15"/>
      <c r="ME340" s="15"/>
      <c r="MF340" s="15"/>
      <c r="MG340" s="15"/>
      <c r="MH340" s="15"/>
      <c r="MI340" s="15"/>
      <c r="MJ340" s="15"/>
      <c r="MK340" s="15"/>
      <c r="ML340" s="15"/>
      <c r="MM340" s="15"/>
      <c r="MN340" s="15"/>
      <c r="MO340" s="15"/>
      <c r="MP340" s="15"/>
      <c r="MQ340" s="15"/>
      <c r="MR340" s="15"/>
      <c r="MS340" s="15"/>
      <c r="MT340" s="15"/>
      <c r="MU340" s="15"/>
      <c r="MV340" s="15"/>
      <c r="MW340" s="15"/>
    </row>
    <row r="341" ht="41.25" customHeight="1">
      <c r="A341" s="16" t="s">
        <v>334</v>
      </c>
      <c r="B341" s="14" t="s">
        <v>10371</v>
      </c>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c r="DE341" s="15"/>
      <c r="DF341" s="15"/>
      <c r="DG341" s="15"/>
      <c r="DH341" s="15"/>
      <c r="DI341" s="15"/>
      <c r="DJ341" s="15"/>
      <c r="DK341" s="15"/>
      <c r="DL341" s="15"/>
      <c r="DM341" s="15"/>
      <c r="DN341" s="15"/>
      <c r="DO341" s="15"/>
      <c r="DP341" s="15"/>
      <c r="DQ341" s="15"/>
      <c r="DR341" s="15"/>
      <c r="DS341" s="15"/>
      <c r="DT341" s="15"/>
      <c r="DU341" s="15"/>
      <c r="DV341" s="15"/>
      <c r="DW341" s="15"/>
      <c r="DX341" s="15"/>
      <c r="DY341" s="15"/>
      <c r="DZ341" s="15"/>
      <c r="EA341" s="15"/>
      <c r="EB341" s="15"/>
      <c r="EC341" s="15"/>
      <c r="ED341" s="15"/>
      <c r="EE341" s="15"/>
      <c r="EF341" s="15"/>
      <c r="EG341" s="15"/>
      <c r="EH341" s="15"/>
      <c r="EI341" s="15"/>
      <c r="EJ341" s="15"/>
      <c r="EK341" s="15"/>
      <c r="EL341" s="15"/>
      <c r="EM341" s="15"/>
      <c r="EN341" s="15"/>
      <c r="EO341" s="15"/>
      <c r="EP341" s="15"/>
      <c r="EQ341" s="15"/>
      <c r="ER341" s="15"/>
      <c r="ES341" s="15"/>
      <c r="ET341" s="15"/>
      <c r="EU341" s="15"/>
      <c r="EV341" s="15"/>
      <c r="EW341" s="15"/>
      <c r="EX341" s="15"/>
      <c r="EY341" s="15"/>
      <c r="EZ341" s="15"/>
      <c r="FA341" s="15"/>
      <c r="FB341" s="15"/>
      <c r="FC341" s="15"/>
      <c r="FD341" s="15"/>
      <c r="FE341" s="15"/>
      <c r="FF341" s="15"/>
      <c r="FG341" s="15"/>
      <c r="FH341" s="15"/>
      <c r="FI341" s="15"/>
      <c r="FJ341" s="15"/>
      <c r="FK341" s="15"/>
      <c r="FL341" s="15"/>
      <c r="FM341" s="15"/>
      <c r="FN341" s="15"/>
      <c r="FO341" s="15"/>
      <c r="FP341" s="15"/>
      <c r="FQ341" s="15"/>
      <c r="FR341" s="15"/>
      <c r="FS341" s="15"/>
      <c r="FT341" s="15"/>
      <c r="FU341" s="15"/>
      <c r="FV341" s="15"/>
      <c r="FW341" s="15"/>
      <c r="FX341" s="15"/>
      <c r="FY341" s="15"/>
      <c r="FZ341" s="15"/>
      <c r="GA341" s="15"/>
      <c r="GB341" s="15"/>
      <c r="GC341" s="15"/>
      <c r="GD341" s="15"/>
      <c r="GE341" s="15"/>
      <c r="GF341" s="15"/>
      <c r="GG341" s="15"/>
      <c r="GH341" s="15"/>
      <c r="GI341" s="15"/>
      <c r="GJ341" s="15"/>
      <c r="GK341" s="15"/>
      <c r="GL341" s="15"/>
      <c r="GM341" s="15"/>
      <c r="GN341" s="15"/>
      <c r="GO341" s="15"/>
      <c r="GP341" s="15"/>
      <c r="GQ341" s="15"/>
      <c r="GR341" s="15"/>
      <c r="GS341" s="15"/>
      <c r="GT341" s="15"/>
      <c r="GU341" s="15"/>
      <c r="GV341" s="15"/>
      <c r="GW341" s="15"/>
      <c r="GX341" s="15"/>
      <c r="GY341" s="15"/>
      <c r="GZ341" s="15"/>
      <c r="HA341" s="15"/>
      <c r="HB341" s="15"/>
      <c r="HC341" s="15"/>
      <c r="HD341" s="15"/>
      <c r="HE341" s="15"/>
      <c r="HF341" s="15"/>
      <c r="HG341" s="15"/>
      <c r="HH341" s="15"/>
      <c r="HI341" s="15"/>
      <c r="HJ341" s="15"/>
      <c r="HK341" s="15"/>
      <c r="HL341" s="15"/>
      <c r="HM341" s="15"/>
      <c r="HN341" s="15"/>
      <c r="HO341" s="15"/>
      <c r="HP341" s="15"/>
      <c r="HQ341" s="15"/>
      <c r="HR341" s="15"/>
      <c r="HS341" s="15"/>
      <c r="HT341" s="15"/>
      <c r="HU341" s="15"/>
      <c r="HV341" s="15"/>
      <c r="HW341" s="15"/>
      <c r="HX341" s="15"/>
      <c r="HY341" s="15"/>
      <c r="HZ341" s="15"/>
      <c r="IA341" s="15"/>
      <c r="IB341" s="15"/>
      <c r="IC341" s="15"/>
      <c r="ID341" s="15"/>
      <c r="IE341" s="15"/>
      <c r="IF341" s="15"/>
      <c r="IG341" s="15"/>
      <c r="IH341" s="15"/>
      <c r="II341" s="15"/>
      <c r="IJ341" s="15"/>
      <c r="IK341" s="15"/>
      <c r="IL341" s="15"/>
      <c r="IM341" s="15"/>
      <c r="IN341" s="15"/>
      <c r="IO341" s="15"/>
      <c r="IP341" s="15"/>
      <c r="IQ341" s="15"/>
      <c r="IR341" s="15"/>
      <c r="IS341" s="15"/>
      <c r="IT341" s="15"/>
      <c r="IU341" s="15"/>
      <c r="IV341" s="15"/>
      <c r="IW341" s="15"/>
      <c r="IX341" s="15"/>
      <c r="IY341" s="15"/>
      <c r="IZ341" s="15"/>
      <c r="JA341" s="15"/>
      <c r="JB341" s="15"/>
      <c r="JC341" s="15"/>
      <c r="JD341" s="15"/>
      <c r="JE341" s="15"/>
      <c r="JF341" s="15"/>
      <c r="JG341" s="15"/>
      <c r="JH341" s="15"/>
      <c r="JI341" s="15"/>
      <c r="JJ341" s="15"/>
      <c r="JK341" s="15"/>
      <c r="JL341" s="15"/>
      <c r="JM341" s="15"/>
      <c r="JN341" s="15"/>
      <c r="JO341" s="15"/>
      <c r="JP341" s="15"/>
      <c r="JQ341" s="15"/>
      <c r="JR341" s="15"/>
      <c r="JS341" s="15"/>
      <c r="JT341" s="15"/>
      <c r="JU341" s="15"/>
      <c r="JV341" s="15"/>
      <c r="JW341" s="15"/>
      <c r="JX341" s="15"/>
      <c r="JY341" s="15"/>
      <c r="JZ341" s="15"/>
      <c r="KA341" s="15"/>
      <c r="KB341" s="15"/>
      <c r="KC341" s="15"/>
      <c r="KD341" s="15"/>
      <c r="KE341" s="15"/>
      <c r="KF341" s="15"/>
      <c r="KG341" s="15"/>
      <c r="KH341" s="15"/>
      <c r="KI341" s="15"/>
      <c r="KJ341" s="15"/>
      <c r="KK341" s="15"/>
      <c r="KL341" s="15"/>
      <c r="KM341" s="15"/>
      <c r="KN341" s="15"/>
      <c r="KO341" s="15"/>
      <c r="KP341" s="15"/>
      <c r="KQ341" s="15"/>
      <c r="KR341" s="15"/>
      <c r="KS341" s="15"/>
      <c r="KT341" s="15"/>
      <c r="KU341" s="15"/>
      <c r="KV341" s="15"/>
      <c r="KW341" s="15"/>
      <c r="KX341" s="15"/>
      <c r="KY341" s="15"/>
      <c r="KZ341" s="15"/>
      <c r="LA341" s="15"/>
      <c r="LB341" s="15"/>
      <c r="LC341" s="15"/>
      <c r="LD341" s="15"/>
      <c r="LE341" s="15"/>
      <c r="LF341" s="15"/>
      <c r="LG341" s="15"/>
      <c r="LH341" s="15"/>
      <c r="LI341" s="15"/>
      <c r="LJ341" s="15"/>
      <c r="LK341" s="15"/>
      <c r="LL341" s="15"/>
      <c r="LM341" s="15"/>
      <c r="LN341" s="15"/>
      <c r="LO341" s="15"/>
      <c r="LP341" s="15"/>
      <c r="LQ341" s="15"/>
      <c r="LR341" s="15"/>
      <c r="LS341" s="15"/>
      <c r="LT341" s="15"/>
      <c r="LU341" s="15"/>
      <c r="LV341" s="15"/>
      <c r="LW341" s="15"/>
      <c r="LX341" s="15"/>
      <c r="LY341" s="15"/>
      <c r="LZ341" s="15"/>
      <c r="MA341" s="15"/>
      <c r="MB341" s="15"/>
      <c r="MC341" s="15"/>
      <c r="MD341" s="15"/>
      <c r="ME341" s="15"/>
      <c r="MF341" s="15"/>
      <c r="MG341" s="15"/>
      <c r="MH341" s="15"/>
      <c r="MI341" s="15"/>
      <c r="MJ341" s="15"/>
      <c r="MK341" s="15"/>
      <c r="ML341" s="15"/>
      <c r="MM341" s="15"/>
      <c r="MN341" s="15"/>
      <c r="MO341" s="15"/>
      <c r="MP341" s="15"/>
      <c r="MQ341" s="15"/>
      <c r="MR341" s="15"/>
      <c r="MS341" s="15"/>
      <c r="MT341" s="15"/>
      <c r="MU341" s="15"/>
      <c r="MV341" s="15"/>
      <c r="MW341" s="15"/>
    </row>
    <row r="342" ht="119.25" customHeight="1">
      <c r="A342" s="16" t="s">
        <v>335</v>
      </c>
      <c r="B342" s="14" t="s">
        <v>10372</v>
      </c>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c r="DE342" s="15"/>
      <c r="DF342" s="15"/>
      <c r="DG342" s="15"/>
      <c r="DH342" s="15"/>
      <c r="DI342" s="15"/>
      <c r="DJ342" s="15"/>
      <c r="DK342" s="15"/>
      <c r="DL342" s="15"/>
      <c r="DM342" s="15"/>
      <c r="DN342" s="15"/>
      <c r="DO342" s="15"/>
      <c r="DP342" s="15"/>
      <c r="DQ342" s="15"/>
      <c r="DR342" s="15"/>
      <c r="DS342" s="15"/>
      <c r="DT342" s="15"/>
      <c r="DU342" s="15"/>
      <c r="DV342" s="15"/>
      <c r="DW342" s="15"/>
      <c r="DX342" s="15"/>
      <c r="DY342" s="15"/>
      <c r="DZ342" s="15"/>
      <c r="EA342" s="15"/>
      <c r="EB342" s="15"/>
      <c r="EC342" s="15"/>
      <c r="ED342" s="15"/>
      <c r="EE342" s="15"/>
      <c r="EF342" s="15"/>
      <c r="EG342" s="15"/>
      <c r="EH342" s="15"/>
      <c r="EI342" s="15"/>
      <c r="EJ342" s="15"/>
      <c r="EK342" s="15"/>
      <c r="EL342" s="15"/>
      <c r="EM342" s="15"/>
      <c r="EN342" s="15"/>
      <c r="EO342" s="15"/>
      <c r="EP342" s="15"/>
      <c r="EQ342" s="15"/>
      <c r="ER342" s="15"/>
      <c r="ES342" s="15"/>
      <c r="ET342" s="15"/>
      <c r="EU342" s="15"/>
      <c r="EV342" s="15"/>
      <c r="EW342" s="15"/>
      <c r="EX342" s="15"/>
      <c r="EY342" s="15"/>
      <c r="EZ342" s="15"/>
      <c r="FA342" s="15"/>
      <c r="FB342" s="15"/>
      <c r="FC342" s="15"/>
      <c r="FD342" s="15"/>
      <c r="FE342" s="15"/>
      <c r="FF342" s="15"/>
      <c r="FG342" s="15"/>
      <c r="FH342" s="15"/>
      <c r="FI342" s="15"/>
      <c r="FJ342" s="15"/>
      <c r="FK342" s="15"/>
      <c r="FL342" s="15"/>
      <c r="FM342" s="15"/>
      <c r="FN342" s="15"/>
      <c r="FO342" s="15"/>
      <c r="FP342" s="15"/>
      <c r="FQ342" s="15"/>
      <c r="FR342" s="15"/>
      <c r="FS342" s="15"/>
      <c r="FT342" s="15"/>
      <c r="FU342" s="15"/>
      <c r="FV342" s="15"/>
      <c r="FW342" s="15"/>
      <c r="FX342" s="15"/>
      <c r="FY342" s="15"/>
      <c r="FZ342" s="15"/>
      <c r="GA342" s="15"/>
      <c r="GB342" s="15"/>
      <c r="GC342" s="15"/>
      <c r="GD342" s="15"/>
      <c r="GE342" s="15"/>
      <c r="GF342" s="15"/>
      <c r="GG342" s="15"/>
      <c r="GH342" s="15"/>
      <c r="GI342" s="15"/>
      <c r="GJ342" s="15"/>
      <c r="GK342" s="15"/>
      <c r="GL342" s="15"/>
      <c r="GM342" s="15"/>
      <c r="GN342" s="15"/>
      <c r="GO342" s="15"/>
      <c r="GP342" s="15"/>
      <c r="GQ342" s="15"/>
      <c r="GR342" s="15"/>
      <c r="GS342" s="15"/>
      <c r="GT342" s="15"/>
      <c r="GU342" s="15"/>
      <c r="GV342" s="15"/>
      <c r="GW342" s="15"/>
      <c r="GX342" s="15"/>
      <c r="GY342" s="15"/>
      <c r="GZ342" s="15"/>
      <c r="HA342" s="15"/>
      <c r="HB342" s="15"/>
      <c r="HC342" s="15"/>
      <c r="HD342" s="15"/>
      <c r="HE342" s="15"/>
      <c r="HF342" s="15"/>
      <c r="HG342" s="15"/>
      <c r="HH342" s="15"/>
      <c r="HI342" s="15"/>
      <c r="HJ342" s="15"/>
      <c r="HK342" s="15"/>
      <c r="HL342" s="15"/>
      <c r="HM342" s="15"/>
      <c r="HN342" s="15"/>
      <c r="HO342" s="15"/>
      <c r="HP342" s="15"/>
      <c r="HQ342" s="15"/>
      <c r="HR342" s="15"/>
      <c r="HS342" s="15"/>
      <c r="HT342" s="15"/>
      <c r="HU342" s="15"/>
      <c r="HV342" s="15"/>
      <c r="HW342" s="15"/>
      <c r="HX342" s="15"/>
      <c r="HY342" s="15"/>
      <c r="HZ342" s="15"/>
      <c r="IA342" s="15"/>
      <c r="IB342" s="15"/>
      <c r="IC342" s="15"/>
      <c r="ID342" s="15"/>
      <c r="IE342" s="15"/>
      <c r="IF342" s="15"/>
      <c r="IG342" s="15"/>
      <c r="IH342" s="15"/>
      <c r="II342" s="15"/>
      <c r="IJ342" s="15"/>
      <c r="IK342" s="15"/>
      <c r="IL342" s="15"/>
      <c r="IM342" s="15"/>
      <c r="IN342" s="15"/>
      <c r="IO342" s="15"/>
      <c r="IP342" s="15"/>
      <c r="IQ342" s="15"/>
      <c r="IR342" s="15"/>
      <c r="IS342" s="15"/>
      <c r="IT342" s="15"/>
      <c r="IU342" s="15"/>
      <c r="IV342" s="15"/>
      <c r="IW342" s="15"/>
      <c r="IX342" s="15"/>
      <c r="IY342" s="15"/>
      <c r="IZ342" s="15"/>
      <c r="JA342" s="15"/>
      <c r="JB342" s="15"/>
      <c r="JC342" s="15"/>
      <c r="JD342" s="15"/>
      <c r="JE342" s="15"/>
      <c r="JF342" s="15"/>
      <c r="JG342" s="15"/>
      <c r="JH342" s="15"/>
      <c r="JI342" s="15"/>
      <c r="JJ342" s="15"/>
      <c r="JK342" s="15"/>
      <c r="JL342" s="15"/>
      <c r="JM342" s="15"/>
      <c r="JN342" s="15"/>
      <c r="JO342" s="15"/>
      <c r="JP342" s="15"/>
      <c r="JQ342" s="15"/>
      <c r="JR342" s="15"/>
      <c r="JS342" s="15"/>
      <c r="JT342" s="15"/>
      <c r="JU342" s="15"/>
      <c r="JV342" s="15"/>
      <c r="JW342" s="15"/>
      <c r="JX342" s="15"/>
      <c r="JY342" s="15"/>
      <c r="JZ342" s="15"/>
      <c r="KA342" s="15"/>
      <c r="KB342" s="15"/>
      <c r="KC342" s="15"/>
      <c r="KD342" s="15"/>
      <c r="KE342" s="15"/>
      <c r="KF342" s="15"/>
      <c r="KG342" s="15"/>
      <c r="KH342" s="15"/>
      <c r="KI342" s="15"/>
      <c r="KJ342" s="15"/>
      <c r="KK342" s="15"/>
      <c r="KL342" s="15"/>
      <c r="KM342" s="15"/>
      <c r="KN342" s="15"/>
      <c r="KO342" s="15"/>
      <c r="KP342" s="15"/>
      <c r="KQ342" s="15"/>
      <c r="KR342" s="15"/>
      <c r="KS342" s="15"/>
      <c r="KT342" s="15"/>
      <c r="KU342" s="15"/>
      <c r="KV342" s="15"/>
      <c r="KW342" s="15"/>
      <c r="KX342" s="15"/>
      <c r="KY342" s="15"/>
      <c r="KZ342" s="15"/>
      <c r="LA342" s="15"/>
      <c r="LB342" s="15"/>
      <c r="LC342" s="15"/>
      <c r="LD342" s="15"/>
      <c r="LE342" s="15"/>
      <c r="LF342" s="15"/>
      <c r="LG342" s="15"/>
      <c r="LH342" s="15"/>
      <c r="LI342" s="15"/>
      <c r="LJ342" s="15"/>
      <c r="LK342" s="15"/>
      <c r="LL342" s="15"/>
      <c r="LM342" s="15"/>
      <c r="LN342" s="15"/>
      <c r="LO342" s="15"/>
      <c r="LP342" s="15"/>
      <c r="LQ342" s="15"/>
      <c r="LR342" s="15"/>
      <c r="LS342" s="15"/>
      <c r="LT342" s="15"/>
      <c r="LU342" s="15"/>
      <c r="LV342" s="15"/>
      <c r="LW342" s="15"/>
      <c r="LX342" s="15"/>
      <c r="LY342" s="15"/>
      <c r="LZ342" s="15"/>
      <c r="MA342" s="15"/>
      <c r="MB342" s="15"/>
      <c r="MC342" s="15"/>
      <c r="MD342" s="15"/>
      <c r="ME342" s="15"/>
      <c r="MF342" s="15"/>
      <c r="MG342" s="15"/>
      <c r="MH342" s="15"/>
      <c r="MI342" s="15"/>
      <c r="MJ342" s="15"/>
      <c r="MK342" s="15"/>
      <c r="ML342" s="15"/>
      <c r="MM342" s="15"/>
      <c r="MN342" s="15"/>
      <c r="MO342" s="15"/>
      <c r="MP342" s="15"/>
      <c r="MQ342" s="15"/>
      <c r="MR342" s="15"/>
      <c r="MS342" s="15"/>
      <c r="MT342" s="15"/>
      <c r="MU342" s="15"/>
      <c r="MV342" s="15"/>
      <c r="MW342" s="15"/>
    </row>
    <row r="343" ht="41.25" customHeight="1">
      <c r="A343" s="16" t="s">
        <v>336</v>
      </c>
      <c r="B343" s="14" t="s">
        <v>10373</v>
      </c>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c r="DF343" s="15"/>
      <c r="DG343" s="15"/>
      <c r="DH343" s="15"/>
      <c r="DI343" s="15"/>
      <c r="DJ343" s="15"/>
      <c r="DK343" s="15"/>
      <c r="DL343" s="15"/>
      <c r="DM343" s="15"/>
      <c r="DN343" s="15"/>
      <c r="DO343" s="15"/>
      <c r="DP343" s="15"/>
      <c r="DQ343" s="15"/>
      <c r="DR343" s="15"/>
      <c r="DS343" s="15"/>
      <c r="DT343" s="15"/>
      <c r="DU343" s="15"/>
      <c r="DV343" s="15"/>
      <c r="DW343" s="15"/>
      <c r="DX343" s="15"/>
      <c r="DY343" s="15"/>
      <c r="DZ343" s="15"/>
      <c r="EA343" s="15"/>
      <c r="EB343" s="15"/>
      <c r="EC343" s="15"/>
      <c r="ED343" s="15"/>
      <c r="EE343" s="15"/>
      <c r="EF343" s="15"/>
      <c r="EG343" s="15"/>
      <c r="EH343" s="15"/>
      <c r="EI343" s="15"/>
      <c r="EJ343" s="15"/>
      <c r="EK343" s="15"/>
      <c r="EL343" s="15"/>
      <c r="EM343" s="15"/>
      <c r="EN343" s="15"/>
      <c r="EO343" s="15"/>
      <c r="EP343" s="15"/>
      <c r="EQ343" s="15"/>
      <c r="ER343" s="15"/>
      <c r="ES343" s="15"/>
      <c r="ET343" s="15"/>
      <c r="EU343" s="15"/>
      <c r="EV343" s="15"/>
      <c r="EW343" s="15"/>
      <c r="EX343" s="15"/>
      <c r="EY343" s="15"/>
      <c r="EZ343" s="15"/>
      <c r="FA343" s="15"/>
      <c r="FB343" s="15"/>
      <c r="FC343" s="15"/>
      <c r="FD343" s="15"/>
      <c r="FE343" s="15"/>
      <c r="FF343" s="15"/>
      <c r="FG343" s="15"/>
      <c r="FH343" s="15"/>
      <c r="FI343" s="15"/>
      <c r="FJ343" s="15"/>
      <c r="FK343" s="15"/>
      <c r="FL343" s="15"/>
      <c r="FM343" s="15"/>
      <c r="FN343" s="15"/>
      <c r="FO343" s="15"/>
      <c r="FP343" s="15"/>
      <c r="FQ343" s="15"/>
      <c r="FR343" s="15"/>
      <c r="FS343" s="15"/>
      <c r="FT343" s="15"/>
      <c r="FU343" s="15"/>
      <c r="FV343" s="15"/>
      <c r="FW343" s="15"/>
      <c r="FX343" s="15"/>
      <c r="FY343" s="15"/>
      <c r="FZ343" s="15"/>
      <c r="GA343" s="15"/>
      <c r="GB343" s="15"/>
      <c r="GC343" s="15"/>
      <c r="GD343" s="15"/>
      <c r="GE343" s="15"/>
      <c r="GF343" s="15"/>
      <c r="GG343" s="15"/>
      <c r="GH343" s="15"/>
      <c r="GI343" s="15"/>
      <c r="GJ343" s="15"/>
      <c r="GK343" s="15"/>
      <c r="GL343" s="15"/>
      <c r="GM343" s="15"/>
      <c r="GN343" s="15"/>
      <c r="GO343" s="15"/>
      <c r="GP343" s="15"/>
      <c r="GQ343" s="15"/>
      <c r="GR343" s="15"/>
      <c r="GS343" s="15"/>
      <c r="GT343" s="15"/>
      <c r="GU343" s="15"/>
      <c r="GV343" s="15"/>
      <c r="GW343" s="15"/>
      <c r="GX343" s="15"/>
      <c r="GY343" s="15"/>
      <c r="GZ343" s="15"/>
      <c r="HA343" s="15"/>
      <c r="HB343" s="15"/>
      <c r="HC343" s="15"/>
      <c r="HD343" s="15"/>
      <c r="HE343" s="15"/>
      <c r="HF343" s="15"/>
      <c r="HG343" s="15"/>
      <c r="HH343" s="15"/>
      <c r="HI343" s="15"/>
      <c r="HJ343" s="15"/>
      <c r="HK343" s="15"/>
      <c r="HL343" s="15"/>
      <c r="HM343" s="15"/>
      <c r="HN343" s="15"/>
      <c r="HO343" s="15"/>
      <c r="HP343" s="15"/>
      <c r="HQ343" s="15"/>
      <c r="HR343" s="15"/>
      <c r="HS343" s="15"/>
      <c r="HT343" s="15"/>
      <c r="HU343" s="15"/>
      <c r="HV343" s="15"/>
      <c r="HW343" s="15"/>
      <c r="HX343" s="15"/>
      <c r="HY343" s="15"/>
      <c r="HZ343" s="15"/>
      <c r="IA343" s="15"/>
      <c r="IB343" s="15"/>
      <c r="IC343" s="15"/>
      <c r="ID343" s="15"/>
      <c r="IE343" s="15"/>
      <c r="IF343" s="15"/>
      <c r="IG343" s="15"/>
      <c r="IH343" s="15"/>
      <c r="II343" s="15"/>
      <c r="IJ343" s="15"/>
      <c r="IK343" s="15"/>
      <c r="IL343" s="15"/>
      <c r="IM343" s="15"/>
      <c r="IN343" s="15"/>
      <c r="IO343" s="15"/>
      <c r="IP343" s="15"/>
      <c r="IQ343" s="15"/>
      <c r="IR343" s="15"/>
      <c r="IS343" s="15"/>
      <c r="IT343" s="15"/>
      <c r="IU343" s="15"/>
      <c r="IV343" s="15"/>
      <c r="IW343" s="15"/>
      <c r="IX343" s="15"/>
      <c r="IY343" s="15"/>
      <c r="IZ343" s="15"/>
      <c r="JA343" s="15"/>
      <c r="JB343" s="15"/>
      <c r="JC343" s="15"/>
      <c r="JD343" s="15"/>
      <c r="JE343" s="15"/>
      <c r="JF343" s="15"/>
      <c r="JG343" s="15"/>
      <c r="JH343" s="15"/>
      <c r="JI343" s="15"/>
      <c r="JJ343" s="15"/>
      <c r="JK343" s="15"/>
      <c r="JL343" s="15"/>
      <c r="JM343" s="15"/>
      <c r="JN343" s="15"/>
      <c r="JO343" s="15"/>
      <c r="JP343" s="15"/>
      <c r="JQ343" s="15"/>
      <c r="JR343" s="15"/>
      <c r="JS343" s="15"/>
      <c r="JT343" s="15"/>
      <c r="JU343" s="15"/>
      <c r="JV343" s="15"/>
      <c r="JW343" s="15"/>
      <c r="JX343" s="15"/>
      <c r="JY343" s="15"/>
      <c r="JZ343" s="15"/>
      <c r="KA343" s="15"/>
      <c r="KB343" s="15"/>
      <c r="KC343" s="15"/>
      <c r="KD343" s="15"/>
      <c r="KE343" s="15"/>
      <c r="KF343" s="15"/>
      <c r="KG343" s="15"/>
      <c r="KH343" s="15"/>
      <c r="KI343" s="15"/>
      <c r="KJ343" s="15"/>
      <c r="KK343" s="15"/>
      <c r="KL343" s="15"/>
      <c r="KM343" s="15"/>
      <c r="KN343" s="15"/>
      <c r="KO343" s="15"/>
      <c r="KP343" s="15"/>
      <c r="KQ343" s="15"/>
      <c r="KR343" s="15"/>
      <c r="KS343" s="15"/>
      <c r="KT343" s="15"/>
      <c r="KU343" s="15"/>
      <c r="KV343" s="15"/>
      <c r="KW343" s="15"/>
      <c r="KX343" s="15"/>
      <c r="KY343" s="15"/>
      <c r="KZ343" s="15"/>
      <c r="LA343" s="15"/>
      <c r="LB343" s="15"/>
      <c r="LC343" s="15"/>
      <c r="LD343" s="15"/>
      <c r="LE343" s="15"/>
      <c r="LF343" s="15"/>
      <c r="LG343" s="15"/>
      <c r="LH343" s="15"/>
      <c r="LI343" s="15"/>
      <c r="LJ343" s="15"/>
      <c r="LK343" s="15"/>
      <c r="LL343" s="15"/>
      <c r="LM343" s="15"/>
      <c r="LN343" s="15"/>
      <c r="LO343" s="15"/>
      <c r="LP343" s="15"/>
      <c r="LQ343" s="15"/>
      <c r="LR343" s="15"/>
      <c r="LS343" s="15"/>
      <c r="LT343" s="15"/>
      <c r="LU343" s="15"/>
      <c r="LV343" s="15"/>
      <c r="LW343" s="15"/>
      <c r="LX343" s="15"/>
      <c r="LY343" s="15"/>
      <c r="LZ343" s="15"/>
      <c r="MA343" s="15"/>
      <c r="MB343" s="15"/>
      <c r="MC343" s="15"/>
      <c r="MD343" s="15"/>
      <c r="ME343" s="15"/>
      <c r="MF343" s="15"/>
      <c r="MG343" s="15"/>
      <c r="MH343" s="15"/>
      <c r="MI343" s="15"/>
      <c r="MJ343" s="15"/>
      <c r="MK343" s="15"/>
      <c r="ML343" s="15"/>
      <c r="MM343" s="15"/>
      <c r="MN343" s="15"/>
      <c r="MO343" s="15"/>
      <c r="MP343" s="15"/>
      <c r="MQ343" s="15"/>
      <c r="MR343" s="15"/>
      <c r="MS343" s="15"/>
      <c r="MT343" s="15"/>
      <c r="MU343" s="15"/>
      <c r="MV343" s="15"/>
      <c r="MW343" s="15"/>
    </row>
    <row r="344" ht="119.25" customHeight="1">
      <c r="A344" s="16" t="s">
        <v>337</v>
      </c>
      <c r="B344" s="14" t="s">
        <v>10374</v>
      </c>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c r="DF344" s="15"/>
      <c r="DG344" s="15"/>
      <c r="DH344" s="15"/>
      <c r="DI344" s="15"/>
      <c r="DJ344" s="15"/>
      <c r="DK344" s="15"/>
      <c r="DL344" s="15"/>
      <c r="DM344" s="15"/>
      <c r="DN344" s="15"/>
      <c r="DO344" s="15"/>
      <c r="DP344" s="15"/>
      <c r="DQ344" s="15"/>
      <c r="DR344" s="15"/>
      <c r="DS344" s="15"/>
      <c r="DT344" s="15"/>
      <c r="DU344" s="15"/>
      <c r="DV344" s="15"/>
      <c r="DW344" s="15"/>
      <c r="DX344" s="15"/>
      <c r="DY344" s="15"/>
      <c r="DZ344" s="15"/>
      <c r="EA344" s="15"/>
      <c r="EB344" s="15"/>
      <c r="EC344" s="15"/>
      <c r="ED344" s="15"/>
      <c r="EE344" s="15"/>
      <c r="EF344" s="15"/>
      <c r="EG344" s="15"/>
      <c r="EH344" s="15"/>
      <c r="EI344" s="15"/>
      <c r="EJ344" s="15"/>
      <c r="EK344" s="15"/>
      <c r="EL344" s="15"/>
      <c r="EM344" s="15"/>
      <c r="EN344" s="15"/>
      <c r="EO344" s="15"/>
      <c r="EP344" s="15"/>
      <c r="EQ344" s="15"/>
      <c r="ER344" s="15"/>
      <c r="ES344" s="15"/>
      <c r="ET344" s="15"/>
      <c r="EU344" s="15"/>
      <c r="EV344" s="15"/>
      <c r="EW344" s="15"/>
      <c r="EX344" s="15"/>
      <c r="EY344" s="15"/>
      <c r="EZ344" s="15"/>
      <c r="FA344" s="15"/>
      <c r="FB344" s="15"/>
      <c r="FC344" s="15"/>
      <c r="FD344" s="15"/>
      <c r="FE344" s="15"/>
      <c r="FF344" s="15"/>
      <c r="FG344" s="15"/>
      <c r="FH344" s="15"/>
      <c r="FI344" s="15"/>
      <c r="FJ344" s="15"/>
      <c r="FK344" s="15"/>
      <c r="FL344" s="15"/>
      <c r="FM344" s="15"/>
      <c r="FN344" s="15"/>
      <c r="FO344" s="15"/>
      <c r="FP344" s="15"/>
      <c r="FQ344" s="15"/>
      <c r="FR344" s="15"/>
      <c r="FS344" s="15"/>
      <c r="FT344" s="15"/>
      <c r="FU344" s="15"/>
      <c r="FV344" s="15"/>
      <c r="FW344" s="15"/>
      <c r="FX344" s="15"/>
      <c r="FY344" s="15"/>
      <c r="FZ344" s="15"/>
      <c r="GA344" s="15"/>
      <c r="GB344" s="15"/>
      <c r="GC344" s="15"/>
      <c r="GD344" s="15"/>
      <c r="GE344" s="15"/>
      <c r="GF344" s="15"/>
      <c r="GG344" s="15"/>
      <c r="GH344" s="15"/>
      <c r="GI344" s="15"/>
      <c r="GJ344" s="15"/>
      <c r="GK344" s="15"/>
      <c r="GL344" s="15"/>
      <c r="GM344" s="15"/>
      <c r="GN344" s="15"/>
      <c r="GO344" s="15"/>
      <c r="GP344" s="15"/>
      <c r="GQ344" s="15"/>
      <c r="GR344" s="15"/>
      <c r="GS344" s="15"/>
      <c r="GT344" s="15"/>
      <c r="GU344" s="15"/>
      <c r="GV344" s="15"/>
      <c r="GW344" s="15"/>
      <c r="GX344" s="15"/>
      <c r="GY344" s="15"/>
      <c r="GZ344" s="15"/>
      <c r="HA344" s="15"/>
      <c r="HB344" s="15"/>
      <c r="HC344" s="15"/>
      <c r="HD344" s="15"/>
      <c r="HE344" s="15"/>
      <c r="HF344" s="15"/>
      <c r="HG344" s="15"/>
      <c r="HH344" s="15"/>
      <c r="HI344" s="15"/>
      <c r="HJ344" s="15"/>
      <c r="HK344" s="15"/>
      <c r="HL344" s="15"/>
      <c r="HM344" s="15"/>
      <c r="HN344" s="15"/>
      <c r="HO344" s="15"/>
      <c r="HP344" s="15"/>
      <c r="HQ344" s="15"/>
      <c r="HR344" s="15"/>
      <c r="HS344" s="15"/>
      <c r="HT344" s="15"/>
      <c r="HU344" s="15"/>
      <c r="HV344" s="15"/>
      <c r="HW344" s="15"/>
      <c r="HX344" s="15"/>
      <c r="HY344" s="15"/>
      <c r="HZ344" s="15"/>
      <c r="IA344" s="15"/>
      <c r="IB344" s="15"/>
      <c r="IC344" s="15"/>
      <c r="ID344" s="15"/>
      <c r="IE344" s="15"/>
      <c r="IF344" s="15"/>
      <c r="IG344" s="15"/>
      <c r="IH344" s="15"/>
      <c r="II344" s="15"/>
      <c r="IJ344" s="15"/>
      <c r="IK344" s="15"/>
      <c r="IL344" s="15"/>
      <c r="IM344" s="15"/>
      <c r="IN344" s="15"/>
      <c r="IO344" s="15"/>
      <c r="IP344" s="15"/>
      <c r="IQ344" s="15"/>
      <c r="IR344" s="15"/>
      <c r="IS344" s="15"/>
      <c r="IT344" s="15"/>
      <c r="IU344" s="15"/>
      <c r="IV344" s="15"/>
      <c r="IW344" s="15"/>
      <c r="IX344" s="15"/>
      <c r="IY344" s="15"/>
      <c r="IZ344" s="15"/>
      <c r="JA344" s="15"/>
      <c r="JB344" s="15"/>
      <c r="JC344" s="15"/>
      <c r="JD344" s="15"/>
      <c r="JE344" s="15"/>
      <c r="JF344" s="15"/>
      <c r="JG344" s="15"/>
      <c r="JH344" s="15"/>
      <c r="JI344" s="15"/>
      <c r="JJ344" s="15"/>
      <c r="JK344" s="15"/>
      <c r="JL344" s="15"/>
      <c r="JM344" s="15"/>
      <c r="JN344" s="15"/>
      <c r="JO344" s="15"/>
      <c r="JP344" s="15"/>
      <c r="JQ344" s="15"/>
      <c r="JR344" s="15"/>
      <c r="JS344" s="15"/>
      <c r="JT344" s="15"/>
      <c r="JU344" s="15"/>
      <c r="JV344" s="15"/>
      <c r="JW344" s="15"/>
      <c r="JX344" s="15"/>
      <c r="JY344" s="15"/>
      <c r="JZ344" s="15"/>
      <c r="KA344" s="15"/>
      <c r="KB344" s="15"/>
      <c r="KC344" s="15"/>
      <c r="KD344" s="15"/>
      <c r="KE344" s="15"/>
      <c r="KF344" s="15"/>
      <c r="KG344" s="15"/>
      <c r="KH344" s="15"/>
      <c r="KI344" s="15"/>
      <c r="KJ344" s="15"/>
      <c r="KK344" s="15"/>
      <c r="KL344" s="15"/>
      <c r="KM344" s="15"/>
      <c r="KN344" s="15"/>
      <c r="KO344" s="15"/>
      <c r="KP344" s="15"/>
      <c r="KQ344" s="15"/>
      <c r="KR344" s="15"/>
      <c r="KS344" s="15"/>
      <c r="KT344" s="15"/>
      <c r="KU344" s="15"/>
      <c r="KV344" s="15"/>
      <c r="KW344" s="15"/>
      <c r="KX344" s="15"/>
      <c r="KY344" s="15"/>
      <c r="KZ344" s="15"/>
      <c r="LA344" s="15"/>
      <c r="LB344" s="15"/>
      <c r="LC344" s="15"/>
      <c r="LD344" s="15"/>
      <c r="LE344" s="15"/>
      <c r="LF344" s="15"/>
      <c r="LG344" s="15"/>
      <c r="LH344" s="15"/>
      <c r="LI344" s="15"/>
      <c r="LJ344" s="15"/>
      <c r="LK344" s="15"/>
      <c r="LL344" s="15"/>
      <c r="LM344" s="15"/>
      <c r="LN344" s="15"/>
      <c r="LO344" s="15"/>
      <c r="LP344" s="15"/>
      <c r="LQ344" s="15"/>
      <c r="LR344" s="15"/>
      <c r="LS344" s="15"/>
      <c r="LT344" s="15"/>
      <c r="LU344" s="15"/>
      <c r="LV344" s="15"/>
      <c r="LW344" s="15"/>
      <c r="LX344" s="15"/>
      <c r="LY344" s="15"/>
      <c r="LZ344" s="15"/>
      <c r="MA344" s="15"/>
      <c r="MB344" s="15"/>
      <c r="MC344" s="15"/>
      <c r="MD344" s="15"/>
      <c r="ME344" s="15"/>
      <c r="MF344" s="15"/>
      <c r="MG344" s="15"/>
      <c r="MH344" s="15"/>
      <c r="MI344" s="15"/>
      <c r="MJ344" s="15"/>
      <c r="MK344" s="15"/>
      <c r="ML344" s="15"/>
      <c r="MM344" s="15"/>
      <c r="MN344" s="15"/>
      <c r="MO344" s="15"/>
      <c r="MP344" s="15"/>
      <c r="MQ344" s="15"/>
      <c r="MR344" s="15"/>
      <c r="MS344" s="15"/>
      <c r="MT344" s="15"/>
      <c r="MU344" s="15"/>
      <c r="MV344" s="15"/>
      <c r="MW344" s="15"/>
    </row>
    <row r="345" ht="41.25" customHeight="1">
      <c r="A345" s="16" t="s">
        <v>338</v>
      </c>
      <c r="B345" s="14" t="s">
        <v>10375</v>
      </c>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c r="DF345" s="15"/>
      <c r="DG345" s="15"/>
      <c r="DH345" s="15"/>
      <c r="DI345" s="15"/>
      <c r="DJ345" s="15"/>
      <c r="DK345" s="15"/>
      <c r="DL345" s="15"/>
      <c r="DM345" s="15"/>
      <c r="DN345" s="15"/>
      <c r="DO345" s="15"/>
      <c r="DP345" s="15"/>
      <c r="DQ345" s="15"/>
      <c r="DR345" s="15"/>
      <c r="DS345" s="15"/>
      <c r="DT345" s="15"/>
      <c r="DU345" s="15"/>
      <c r="DV345" s="15"/>
      <c r="DW345" s="15"/>
      <c r="DX345" s="15"/>
      <c r="DY345" s="15"/>
      <c r="DZ345" s="15"/>
      <c r="EA345" s="15"/>
      <c r="EB345" s="15"/>
      <c r="EC345" s="15"/>
      <c r="ED345" s="15"/>
      <c r="EE345" s="15"/>
      <c r="EF345" s="15"/>
      <c r="EG345" s="15"/>
      <c r="EH345" s="15"/>
      <c r="EI345" s="15"/>
      <c r="EJ345" s="15"/>
      <c r="EK345" s="15"/>
      <c r="EL345" s="15"/>
      <c r="EM345" s="15"/>
      <c r="EN345" s="15"/>
      <c r="EO345" s="15"/>
      <c r="EP345" s="15"/>
      <c r="EQ345" s="15"/>
      <c r="ER345" s="15"/>
      <c r="ES345" s="15"/>
      <c r="ET345" s="15"/>
      <c r="EU345" s="15"/>
      <c r="EV345" s="15"/>
      <c r="EW345" s="15"/>
      <c r="EX345" s="15"/>
      <c r="EY345" s="15"/>
      <c r="EZ345" s="15"/>
      <c r="FA345" s="15"/>
      <c r="FB345" s="15"/>
      <c r="FC345" s="15"/>
      <c r="FD345" s="15"/>
      <c r="FE345" s="15"/>
      <c r="FF345" s="15"/>
      <c r="FG345" s="15"/>
      <c r="FH345" s="15"/>
      <c r="FI345" s="15"/>
      <c r="FJ345" s="15"/>
      <c r="FK345" s="15"/>
      <c r="FL345" s="15"/>
      <c r="FM345" s="15"/>
      <c r="FN345" s="15"/>
      <c r="FO345" s="15"/>
      <c r="FP345" s="15"/>
      <c r="FQ345" s="15"/>
      <c r="FR345" s="15"/>
      <c r="FS345" s="15"/>
      <c r="FT345" s="15"/>
      <c r="FU345" s="15"/>
      <c r="FV345" s="15"/>
      <c r="FW345" s="15"/>
      <c r="FX345" s="15"/>
      <c r="FY345" s="15"/>
      <c r="FZ345" s="15"/>
      <c r="GA345" s="15"/>
      <c r="GB345" s="15"/>
      <c r="GC345" s="15"/>
      <c r="GD345" s="15"/>
      <c r="GE345" s="15"/>
      <c r="GF345" s="15"/>
      <c r="GG345" s="15"/>
      <c r="GH345" s="15"/>
      <c r="GI345" s="15"/>
      <c r="GJ345" s="15"/>
      <c r="GK345" s="15"/>
      <c r="GL345" s="15"/>
      <c r="GM345" s="15"/>
      <c r="GN345" s="15"/>
      <c r="GO345" s="15"/>
      <c r="GP345" s="15"/>
      <c r="GQ345" s="15"/>
      <c r="GR345" s="15"/>
      <c r="GS345" s="15"/>
      <c r="GT345" s="15"/>
      <c r="GU345" s="15"/>
      <c r="GV345" s="15"/>
      <c r="GW345" s="15"/>
      <c r="GX345" s="15"/>
      <c r="GY345" s="15"/>
      <c r="GZ345" s="15"/>
      <c r="HA345" s="15"/>
      <c r="HB345" s="15"/>
      <c r="HC345" s="15"/>
      <c r="HD345" s="15"/>
      <c r="HE345" s="15"/>
      <c r="HF345" s="15"/>
      <c r="HG345" s="15"/>
      <c r="HH345" s="15"/>
      <c r="HI345" s="15"/>
      <c r="HJ345" s="15"/>
      <c r="HK345" s="15"/>
      <c r="HL345" s="15"/>
      <c r="HM345" s="15"/>
      <c r="HN345" s="15"/>
      <c r="HO345" s="15"/>
      <c r="HP345" s="15"/>
      <c r="HQ345" s="15"/>
      <c r="HR345" s="15"/>
      <c r="HS345" s="15"/>
      <c r="HT345" s="15"/>
      <c r="HU345" s="15"/>
      <c r="HV345" s="15"/>
      <c r="HW345" s="15"/>
      <c r="HX345" s="15"/>
      <c r="HY345" s="15"/>
      <c r="HZ345" s="15"/>
      <c r="IA345" s="15"/>
      <c r="IB345" s="15"/>
      <c r="IC345" s="15"/>
      <c r="ID345" s="15"/>
      <c r="IE345" s="15"/>
      <c r="IF345" s="15"/>
      <c r="IG345" s="15"/>
      <c r="IH345" s="15"/>
      <c r="II345" s="15"/>
      <c r="IJ345" s="15"/>
      <c r="IK345" s="15"/>
      <c r="IL345" s="15"/>
      <c r="IM345" s="15"/>
      <c r="IN345" s="15"/>
      <c r="IO345" s="15"/>
      <c r="IP345" s="15"/>
      <c r="IQ345" s="15"/>
      <c r="IR345" s="15"/>
      <c r="IS345" s="15"/>
      <c r="IT345" s="15"/>
      <c r="IU345" s="15"/>
      <c r="IV345" s="15"/>
      <c r="IW345" s="15"/>
      <c r="IX345" s="15"/>
      <c r="IY345" s="15"/>
      <c r="IZ345" s="15"/>
      <c r="JA345" s="15"/>
      <c r="JB345" s="15"/>
      <c r="JC345" s="15"/>
      <c r="JD345" s="15"/>
      <c r="JE345" s="15"/>
      <c r="JF345" s="15"/>
      <c r="JG345" s="15"/>
      <c r="JH345" s="15"/>
      <c r="JI345" s="15"/>
      <c r="JJ345" s="15"/>
      <c r="JK345" s="15"/>
      <c r="JL345" s="15"/>
      <c r="JM345" s="15"/>
      <c r="JN345" s="15"/>
      <c r="JO345" s="15"/>
      <c r="JP345" s="15"/>
      <c r="JQ345" s="15"/>
      <c r="JR345" s="15"/>
      <c r="JS345" s="15"/>
      <c r="JT345" s="15"/>
      <c r="JU345" s="15"/>
      <c r="JV345" s="15"/>
      <c r="JW345" s="15"/>
      <c r="JX345" s="15"/>
      <c r="JY345" s="15"/>
      <c r="JZ345" s="15"/>
      <c r="KA345" s="15"/>
      <c r="KB345" s="15"/>
      <c r="KC345" s="15"/>
      <c r="KD345" s="15"/>
      <c r="KE345" s="15"/>
      <c r="KF345" s="15"/>
      <c r="KG345" s="15"/>
      <c r="KH345" s="15"/>
      <c r="KI345" s="15"/>
      <c r="KJ345" s="15"/>
      <c r="KK345" s="15"/>
      <c r="KL345" s="15"/>
      <c r="KM345" s="15"/>
      <c r="KN345" s="15"/>
      <c r="KO345" s="15"/>
      <c r="KP345" s="15"/>
      <c r="KQ345" s="15"/>
      <c r="KR345" s="15"/>
      <c r="KS345" s="15"/>
      <c r="KT345" s="15"/>
      <c r="KU345" s="15"/>
      <c r="KV345" s="15"/>
      <c r="KW345" s="15"/>
      <c r="KX345" s="15"/>
      <c r="KY345" s="15"/>
      <c r="KZ345" s="15"/>
      <c r="LA345" s="15"/>
      <c r="LB345" s="15"/>
      <c r="LC345" s="15"/>
      <c r="LD345" s="15"/>
      <c r="LE345" s="15"/>
      <c r="LF345" s="15"/>
      <c r="LG345" s="15"/>
      <c r="LH345" s="15"/>
      <c r="LI345" s="15"/>
      <c r="LJ345" s="15"/>
      <c r="LK345" s="15"/>
      <c r="LL345" s="15"/>
      <c r="LM345" s="15"/>
      <c r="LN345" s="15"/>
      <c r="LO345" s="15"/>
      <c r="LP345" s="15"/>
      <c r="LQ345" s="15"/>
      <c r="LR345" s="15"/>
      <c r="LS345" s="15"/>
      <c r="LT345" s="15"/>
      <c r="LU345" s="15"/>
      <c r="LV345" s="15"/>
      <c r="LW345" s="15"/>
      <c r="LX345" s="15"/>
      <c r="LY345" s="15"/>
      <c r="LZ345" s="15"/>
      <c r="MA345" s="15"/>
      <c r="MB345" s="15"/>
      <c r="MC345" s="15"/>
      <c r="MD345" s="15"/>
      <c r="ME345" s="15"/>
      <c r="MF345" s="15"/>
      <c r="MG345" s="15"/>
      <c r="MH345" s="15"/>
      <c r="MI345" s="15"/>
      <c r="MJ345" s="15"/>
      <c r="MK345" s="15"/>
      <c r="ML345" s="15"/>
      <c r="MM345" s="15"/>
      <c r="MN345" s="15"/>
      <c r="MO345" s="15"/>
      <c r="MP345" s="15"/>
      <c r="MQ345" s="15"/>
      <c r="MR345" s="15"/>
      <c r="MS345" s="15"/>
      <c r="MT345" s="15"/>
      <c r="MU345" s="15"/>
      <c r="MV345" s="15"/>
      <c r="MW345" s="15"/>
    </row>
    <row r="346" ht="119.25" customHeight="1">
      <c r="A346" s="16" t="s">
        <v>339</v>
      </c>
      <c r="B346" s="14" t="s">
        <v>10376</v>
      </c>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c r="DF346" s="15"/>
      <c r="DG346" s="15"/>
      <c r="DH346" s="15"/>
      <c r="DI346" s="15"/>
      <c r="DJ346" s="15"/>
      <c r="DK346" s="15"/>
      <c r="DL346" s="15"/>
      <c r="DM346" s="15"/>
      <c r="DN346" s="15"/>
      <c r="DO346" s="15"/>
      <c r="DP346" s="15"/>
      <c r="DQ346" s="15"/>
      <c r="DR346" s="15"/>
      <c r="DS346" s="15"/>
      <c r="DT346" s="15"/>
      <c r="DU346" s="15"/>
      <c r="DV346" s="15"/>
      <c r="DW346" s="15"/>
      <c r="DX346" s="15"/>
      <c r="DY346" s="15"/>
      <c r="DZ346" s="15"/>
      <c r="EA346" s="15"/>
      <c r="EB346" s="15"/>
      <c r="EC346" s="15"/>
      <c r="ED346" s="15"/>
      <c r="EE346" s="15"/>
      <c r="EF346" s="15"/>
      <c r="EG346" s="15"/>
      <c r="EH346" s="15"/>
      <c r="EI346" s="15"/>
      <c r="EJ346" s="15"/>
      <c r="EK346" s="15"/>
      <c r="EL346" s="15"/>
      <c r="EM346" s="15"/>
      <c r="EN346" s="15"/>
      <c r="EO346" s="15"/>
      <c r="EP346" s="15"/>
      <c r="EQ346" s="15"/>
      <c r="ER346" s="15"/>
      <c r="ES346" s="15"/>
      <c r="ET346" s="15"/>
      <c r="EU346" s="15"/>
      <c r="EV346" s="15"/>
      <c r="EW346" s="15"/>
      <c r="EX346" s="15"/>
      <c r="EY346" s="15"/>
      <c r="EZ346" s="15"/>
      <c r="FA346" s="15"/>
      <c r="FB346" s="15"/>
      <c r="FC346" s="15"/>
      <c r="FD346" s="15"/>
      <c r="FE346" s="15"/>
      <c r="FF346" s="15"/>
      <c r="FG346" s="15"/>
      <c r="FH346" s="15"/>
      <c r="FI346" s="15"/>
      <c r="FJ346" s="15"/>
      <c r="FK346" s="15"/>
      <c r="FL346" s="15"/>
      <c r="FM346" s="15"/>
      <c r="FN346" s="15"/>
      <c r="FO346" s="15"/>
      <c r="FP346" s="15"/>
      <c r="FQ346" s="15"/>
      <c r="FR346" s="15"/>
      <c r="FS346" s="15"/>
      <c r="FT346" s="15"/>
      <c r="FU346" s="15"/>
      <c r="FV346" s="15"/>
      <c r="FW346" s="15"/>
      <c r="FX346" s="15"/>
      <c r="FY346" s="15"/>
      <c r="FZ346" s="15"/>
      <c r="GA346" s="15"/>
      <c r="GB346" s="15"/>
      <c r="GC346" s="15"/>
      <c r="GD346" s="15"/>
      <c r="GE346" s="15"/>
      <c r="GF346" s="15"/>
      <c r="GG346" s="15"/>
      <c r="GH346" s="15"/>
      <c r="GI346" s="15"/>
      <c r="GJ346" s="15"/>
      <c r="GK346" s="15"/>
      <c r="GL346" s="15"/>
      <c r="GM346" s="15"/>
      <c r="GN346" s="15"/>
      <c r="GO346" s="15"/>
      <c r="GP346" s="15"/>
      <c r="GQ346" s="15"/>
      <c r="GR346" s="15"/>
      <c r="GS346" s="15"/>
      <c r="GT346" s="15"/>
      <c r="GU346" s="15"/>
      <c r="GV346" s="15"/>
      <c r="GW346" s="15"/>
      <c r="GX346" s="15"/>
      <c r="GY346" s="15"/>
      <c r="GZ346" s="15"/>
      <c r="HA346" s="15"/>
      <c r="HB346" s="15"/>
      <c r="HC346" s="15"/>
      <c r="HD346" s="15"/>
      <c r="HE346" s="15"/>
      <c r="HF346" s="15"/>
      <c r="HG346" s="15"/>
      <c r="HH346" s="15"/>
      <c r="HI346" s="15"/>
      <c r="HJ346" s="15"/>
      <c r="HK346" s="15"/>
      <c r="HL346" s="15"/>
      <c r="HM346" s="15"/>
      <c r="HN346" s="15"/>
      <c r="HO346" s="15"/>
      <c r="HP346" s="15"/>
      <c r="HQ346" s="15"/>
      <c r="HR346" s="15"/>
      <c r="HS346" s="15"/>
      <c r="HT346" s="15"/>
      <c r="HU346" s="15"/>
      <c r="HV346" s="15"/>
      <c r="HW346" s="15"/>
      <c r="HX346" s="15"/>
      <c r="HY346" s="15"/>
      <c r="HZ346" s="15"/>
      <c r="IA346" s="15"/>
      <c r="IB346" s="15"/>
      <c r="IC346" s="15"/>
      <c r="ID346" s="15"/>
      <c r="IE346" s="15"/>
      <c r="IF346" s="15"/>
      <c r="IG346" s="15"/>
      <c r="IH346" s="15"/>
      <c r="II346" s="15"/>
      <c r="IJ346" s="15"/>
      <c r="IK346" s="15"/>
      <c r="IL346" s="15"/>
      <c r="IM346" s="15"/>
      <c r="IN346" s="15"/>
      <c r="IO346" s="15"/>
      <c r="IP346" s="15"/>
      <c r="IQ346" s="15"/>
      <c r="IR346" s="15"/>
      <c r="IS346" s="15"/>
      <c r="IT346" s="15"/>
      <c r="IU346" s="15"/>
      <c r="IV346" s="15"/>
      <c r="IW346" s="15"/>
      <c r="IX346" s="15"/>
      <c r="IY346" s="15"/>
      <c r="IZ346" s="15"/>
      <c r="JA346" s="15"/>
      <c r="JB346" s="15"/>
      <c r="JC346" s="15"/>
      <c r="JD346" s="15"/>
      <c r="JE346" s="15"/>
      <c r="JF346" s="15"/>
      <c r="JG346" s="15"/>
      <c r="JH346" s="15"/>
      <c r="JI346" s="15"/>
      <c r="JJ346" s="15"/>
      <c r="JK346" s="15"/>
      <c r="JL346" s="15"/>
      <c r="JM346" s="15"/>
      <c r="JN346" s="15"/>
      <c r="JO346" s="15"/>
      <c r="JP346" s="15"/>
      <c r="JQ346" s="15"/>
      <c r="JR346" s="15"/>
      <c r="JS346" s="15"/>
      <c r="JT346" s="15"/>
      <c r="JU346" s="15"/>
      <c r="JV346" s="15"/>
      <c r="JW346" s="15"/>
      <c r="JX346" s="15"/>
      <c r="JY346" s="15"/>
      <c r="JZ346" s="15"/>
      <c r="KA346" s="15"/>
      <c r="KB346" s="15"/>
      <c r="KC346" s="15"/>
      <c r="KD346" s="15"/>
      <c r="KE346" s="15"/>
      <c r="KF346" s="15"/>
      <c r="KG346" s="15"/>
      <c r="KH346" s="15"/>
      <c r="KI346" s="15"/>
      <c r="KJ346" s="15"/>
      <c r="KK346" s="15"/>
      <c r="KL346" s="15"/>
      <c r="KM346" s="15"/>
      <c r="KN346" s="15"/>
      <c r="KO346" s="15"/>
      <c r="KP346" s="15"/>
      <c r="KQ346" s="15"/>
      <c r="KR346" s="15"/>
      <c r="KS346" s="15"/>
      <c r="KT346" s="15"/>
      <c r="KU346" s="15"/>
      <c r="KV346" s="15"/>
      <c r="KW346" s="15"/>
      <c r="KX346" s="15"/>
      <c r="KY346" s="15"/>
      <c r="KZ346" s="15"/>
      <c r="LA346" s="15"/>
      <c r="LB346" s="15"/>
      <c r="LC346" s="15"/>
      <c r="LD346" s="15"/>
      <c r="LE346" s="15"/>
      <c r="LF346" s="15"/>
      <c r="LG346" s="15"/>
      <c r="LH346" s="15"/>
      <c r="LI346" s="15"/>
      <c r="LJ346" s="15"/>
      <c r="LK346" s="15"/>
      <c r="LL346" s="15"/>
      <c r="LM346" s="15"/>
      <c r="LN346" s="15"/>
      <c r="LO346" s="15"/>
      <c r="LP346" s="15"/>
      <c r="LQ346" s="15"/>
      <c r="LR346" s="15"/>
      <c r="LS346" s="15"/>
      <c r="LT346" s="15"/>
      <c r="LU346" s="15"/>
      <c r="LV346" s="15"/>
      <c r="LW346" s="15"/>
      <c r="LX346" s="15"/>
      <c r="LY346" s="15"/>
      <c r="LZ346" s="15"/>
      <c r="MA346" s="15"/>
      <c r="MB346" s="15"/>
      <c r="MC346" s="15"/>
      <c r="MD346" s="15"/>
      <c r="ME346" s="15"/>
      <c r="MF346" s="15"/>
      <c r="MG346" s="15"/>
      <c r="MH346" s="15"/>
      <c r="MI346" s="15"/>
      <c r="MJ346" s="15"/>
      <c r="MK346" s="15"/>
      <c r="ML346" s="15"/>
      <c r="MM346" s="15"/>
      <c r="MN346" s="15"/>
      <c r="MO346" s="15"/>
      <c r="MP346" s="15"/>
      <c r="MQ346" s="15"/>
      <c r="MR346" s="15"/>
      <c r="MS346" s="15"/>
      <c r="MT346" s="15"/>
      <c r="MU346" s="15"/>
      <c r="MV346" s="15"/>
      <c r="MW346" s="15"/>
    </row>
    <row r="347" ht="41.25" customHeight="1">
      <c r="A347" s="16" t="s">
        <v>340</v>
      </c>
      <c r="B347" s="14" t="s">
        <v>10377</v>
      </c>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c r="DF347" s="15"/>
      <c r="DG347" s="15"/>
      <c r="DH347" s="15"/>
      <c r="DI347" s="15"/>
      <c r="DJ347" s="15"/>
      <c r="DK347" s="15"/>
      <c r="DL347" s="15"/>
      <c r="DM347" s="15"/>
      <c r="DN347" s="15"/>
      <c r="DO347" s="15"/>
      <c r="DP347" s="15"/>
      <c r="DQ347" s="15"/>
      <c r="DR347" s="15"/>
      <c r="DS347" s="15"/>
      <c r="DT347" s="15"/>
      <c r="DU347" s="15"/>
      <c r="DV347" s="15"/>
      <c r="DW347" s="15"/>
      <c r="DX347" s="15"/>
      <c r="DY347" s="15"/>
      <c r="DZ347" s="15"/>
      <c r="EA347" s="15"/>
      <c r="EB347" s="15"/>
      <c r="EC347" s="15"/>
      <c r="ED347" s="15"/>
      <c r="EE347" s="15"/>
      <c r="EF347" s="15"/>
      <c r="EG347" s="15"/>
      <c r="EH347" s="15"/>
      <c r="EI347" s="15"/>
      <c r="EJ347" s="15"/>
      <c r="EK347" s="15"/>
      <c r="EL347" s="15"/>
      <c r="EM347" s="15"/>
      <c r="EN347" s="15"/>
      <c r="EO347" s="15"/>
      <c r="EP347" s="15"/>
      <c r="EQ347" s="15"/>
      <c r="ER347" s="15"/>
      <c r="ES347" s="15"/>
      <c r="ET347" s="15"/>
      <c r="EU347" s="15"/>
      <c r="EV347" s="15"/>
      <c r="EW347" s="15"/>
      <c r="EX347" s="15"/>
      <c r="EY347" s="15"/>
      <c r="EZ347" s="15"/>
      <c r="FA347" s="15"/>
      <c r="FB347" s="15"/>
      <c r="FC347" s="15"/>
      <c r="FD347" s="15"/>
      <c r="FE347" s="15"/>
      <c r="FF347" s="15"/>
      <c r="FG347" s="15"/>
      <c r="FH347" s="15"/>
      <c r="FI347" s="15"/>
      <c r="FJ347" s="15"/>
      <c r="FK347" s="15"/>
      <c r="FL347" s="15"/>
      <c r="FM347" s="15"/>
      <c r="FN347" s="15"/>
      <c r="FO347" s="15"/>
      <c r="FP347" s="15"/>
      <c r="FQ347" s="15"/>
      <c r="FR347" s="15"/>
      <c r="FS347" s="15"/>
      <c r="FT347" s="15"/>
      <c r="FU347" s="15"/>
      <c r="FV347" s="15"/>
      <c r="FW347" s="15"/>
      <c r="FX347" s="15"/>
      <c r="FY347" s="15"/>
      <c r="FZ347" s="15"/>
      <c r="GA347" s="15"/>
      <c r="GB347" s="15"/>
      <c r="GC347" s="15"/>
      <c r="GD347" s="15"/>
      <c r="GE347" s="15"/>
      <c r="GF347" s="15"/>
      <c r="GG347" s="15"/>
      <c r="GH347" s="15"/>
      <c r="GI347" s="15"/>
      <c r="GJ347" s="15"/>
      <c r="GK347" s="15"/>
      <c r="GL347" s="15"/>
      <c r="GM347" s="15"/>
      <c r="GN347" s="15"/>
      <c r="GO347" s="15"/>
      <c r="GP347" s="15"/>
      <c r="GQ347" s="15"/>
      <c r="GR347" s="15"/>
      <c r="GS347" s="15"/>
      <c r="GT347" s="15"/>
      <c r="GU347" s="15"/>
      <c r="GV347" s="15"/>
      <c r="GW347" s="15"/>
      <c r="GX347" s="15"/>
      <c r="GY347" s="15"/>
      <c r="GZ347" s="15"/>
      <c r="HA347" s="15"/>
      <c r="HB347" s="15"/>
      <c r="HC347" s="15"/>
      <c r="HD347" s="15"/>
      <c r="HE347" s="15"/>
      <c r="HF347" s="15"/>
      <c r="HG347" s="15"/>
      <c r="HH347" s="15"/>
      <c r="HI347" s="15"/>
      <c r="HJ347" s="15"/>
      <c r="HK347" s="15"/>
      <c r="HL347" s="15"/>
      <c r="HM347" s="15"/>
      <c r="HN347" s="15"/>
      <c r="HO347" s="15"/>
      <c r="HP347" s="15"/>
      <c r="HQ347" s="15"/>
      <c r="HR347" s="15"/>
      <c r="HS347" s="15"/>
      <c r="HT347" s="15"/>
      <c r="HU347" s="15"/>
      <c r="HV347" s="15"/>
      <c r="HW347" s="15"/>
      <c r="HX347" s="15"/>
      <c r="HY347" s="15"/>
      <c r="HZ347" s="15"/>
      <c r="IA347" s="15"/>
      <c r="IB347" s="15"/>
      <c r="IC347" s="15"/>
      <c r="ID347" s="15"/>
      <c r="IE347" s="15"/>
      <c r="IF347" s="15"/>
      <c r="IG347" s="15"/>
      <c r="IH347" s="15"/>
      <c r="II347" s="15"/>
      <c r="IJ347" s="15"/>
      <c r="IK347" s="15"/>
      <c r="IL347" s="15"/>
      <c r="IM347" s="15"/>
      <c r="IN347" s="15"/>
      <c r="IO347" s="15"/>
      <c r="IP347" s="15"/>
      <c r="IQ347" s="15"/>
      <c r="IR347" s="15"/>
      <c r="IS347" s="15"/>
      <c r="IT347" s="15"/>
      <c r="IU347" s="15"/>
      <c r="IV347" s="15"/>
      <c r="IW347" s="15"/>
      <c r="IX347" s="15"/>
      <c r="IY347" s="15"/>
      <c r="IZ347" s="15"/>
      <c r="JA347" s="15"/>
      <c r="JB347" s="15"/>
      <c r="JC347" s="15"/>
      <c r="JD347" s="15"/>
      <c r="JE347" s="15"/>
      <c r="JF347" s="15"/>
      <c r="JG347" s="15"/>
      <c r="JH347" s="15"/>
      <c r="JI347" s="15"/>
      <c r="JJ347" s="15"/>
      <c r="JK347" s="15"/>
      <c r="JL347" s="15"/>
      <c r="JM347" s="15"/>
      <c r="JN347" s="15"/>
      <c r="JO347" s="15"/>
      <c r="JP347" s="15"/>
      <c r="JQ347" s="15"/>
      <c r="JR347" s="15"/>
      <c r="JS347" s="15"/>
      <c r="JT347" s="15"/>
      <c r="JU347" s="15"/>
      <c r="JV347" s="15"/>
      <c r="JW347" s="15"/>
      <c r="JX347" s="15"/>
      <c r="JY347" s="15"/>
      <c r="JZ347" s="15"/>
      <c r="KA347" s="15"/>
      <c r="KB347" s="15"/>
      <c r="KC347" s="15"/>
      <c r="KD347" s="15"/>
      <c r="KE347" s="15"/>
      <c r="KF347" s="15"/>
      <c r="KG347" s="15"/>
      <c r="KH347" s="15"/>
      <c r="KI347" s="15"/>
      <c r="KJ347" s="15"/>
      <c r="KK347" s="15"/>
      <c r="KL347" s="15"/>
      <c r="KM347" s="15"/>
      <c r="KN347" s="15"/>
      <c r="KO347" s="15"/>
      <c r="KP347" s="15"/>
      <c r="KQ347" s="15"/>
      <c r="KR347" s="15"/>
      <c r="KS347" s="15"/>
      <c r="KT347" s="15"/>
      <c r="KU347" s="15"/>
      <c r="KV347" s="15"/>
      <c r="KW347" s="15"/>
      <c r="KX347" s="15"/>
      <c r="KY347" s="15"/>
      <c r="KZ347" s="15"/>
      <c r="LA347" s="15"/>
      <c r="LB347" s="15"/>
      <c r="LC347" s="15"/>
      <c r="LD347" s="15"/>
      <c r="LE347" s="15"/>
      <c r="LF347" s="15"/>
      <c r="LG347" s="15"/>
      <c r="LH347" s="15"/>
      <c r="LI347" s="15"/>
      <c r="LJ347" s="15"/>
      <c r="LK347" s="15"/>
      <c r="LL347" s="15"/>
      <c r="LM347" s="15"/>
      <c r="LN347" s="15"/>
      <c r="LO347" s="15"/>
      <c r="LP347" s="15"/>
      <c r="LQ347" s="15"/>
      <c r="LR347" s="15"/>
      <c r="LS347" s="15"/>
      <c r="LT347" s="15"/>
      <c r="LU347" s="15"/>
      <c r="LV347" s="15"/>
      <c r="LW347" s="15"/>
      <c r="LX347" s="15"/>
      <c r="LY347" s="15"/>
      <c r="LZ347" s="15"/>
      <c r="MA347" s="15"/>
      <c r="MB347" s="15"/>
      <c r="MC347" s="15"/>
      <c r="MD347" s="15"/>
      <c r="ME347" s="15"/>
      <c r="MF347" s="15"/>
      <c r="MG347" s="15"/>
      <c r="MH347" s="15"/>
      <c r="MI347" s="15"/>
      <c r="MJ347" s="15"/>
      <c r="MK347" s="15"/>
      <c r="ML347" s="15"/>
      <c r="MM347" s="15"/>
      <c r="MN347" s="15"/>
      <c r="MO347" s="15"/>
      <c r="MP347" s="15"/>
      <c r="MQ347" s="15"/>
      <c r="MR347" s="15"/>
      <c r="MS347" s="15"/>
      <c r="MT347" s="15"/>
      <c r="MU347" s="15"/>
      <c r="MV347" s="15"/>
      <c r="MW347" s="15"/>
    </row>
    <row r="348" ht="119.25" customHeight="1">
      <c r="A348" s="16" t="s">
        <v>341</v>
      </c>
      <c r="B348" s="14" t="s">
        <v>10378</v>
      </c>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c r="DF348" s="15"/>
      <c r="DG348" s="15"/>
      <c r="DH348" s="15"/>
      <c r="DI348" s="15"/>
      <c r="DJ348" s="15"/>
      <c r="DK348" s="15"/>
      <c r="DL348" s="15"/>
      <c r="DM348" s="15"/>
      <c r="DN348" s="15"/>
      <c r="DO348" s="15"/>
      <c r="DP348" s="15"/>
      <c r="DQ348" s="15"/>
      <c r="DR348" s="15"/>
      <c r="DS348" s="15"/>
      <c r="DT348" s="15"/>
      <c r="DU348" s="15"/>
      <c r="DV348" s="15"/>
      <c r="DW348" s="15"/>
      <c r="DX348" s="15"/>
      <c r="DY348" s="15"/>
      <c r="DZ348" s="15"/>
      <c r="EA348" s="15"/>
      <c r="EB348" s="15"/>
      <c r="EC348" s="15"/>
      <c r="ED348" s="15"/>
      <c r="EE348" s="15"/>
      <c r="EF348" s="15"/>
      <c r="EG348" s="15"/>
      <c r="EH348" s="15"/>
      <c r="EI348" s="15"/>
      <c r="EJ348" s="15"/>
      <c r="EK348" s="15"/>
      <c r="EL348" s="15"/>
      <c r="EM348" s="15"/>
      <c r="EN348" s="15"/>
      <c r="EO348" s="15"/>
      <c r="EP348" s="15"/>
      <c r="EQ348" s="15"/>
      <c r="ER348" s="15"/>
      <c r="ES348" s="15"/>
      <c r="ET348" s="15"/>
      <c r="EU348" s="15"/>
      <c r="EV348" s="15"/>
      <c r="EW348" s="15"/>
      <c r="EX348" s="15"/>
      <c r="EY348" s="15"/>
      <c r="EZ348" s="15"/>
      <c r="FA348" s="15"/>
      <c r="FB348" s="15"/>
      <c r="FC348" s="15"/>
      <c r="FD348" s="15"/>
      <c r="FE348" s="15"/>
      <c r="FF348" s="15"/>
      <c r="FG348" s="15"/>
      <c r="FH348" s="15"/>
      <c r="FI348" s="15"/>
      <c r="FJ348" s="15"/>
      <c r="FK348" s="15"/>
      <c r="FL348" s="15"/>
      <c r="FM348" s="15"/>
      <c r="FN348" s="15"/>
      <c r="FO348" s="15"/>
      <c r="FP348" s="15"/>
      <c r="FQ348" s="15"/>
      <c r="FR348" s="15"/>
      <c r="FS348" s="15"/>
      <c r="FT348" s="15"/>
      <c r="FU348" s="15"/>
      <c r="FV348" s="15"/>
      <c r="FW348" s="15"/>
      <c r="FX348" s="15"/>
      <c r="FY348" s="15"/>
      <c r="FZ348" s="15"/>
      <c r="GA348" s="15"/>
      <c r="GB348" s="15"/>
      <c r="GC348" s="15"/>
      <c r="GD348" s="15"/>
      <c r="GE348" s="15"/>
      <c r="GF348" s="15"/>
      <c r="GG348" s="15"/>
      <c r="GH348" s="15"/>
      <c r="GI348" s="15"/>
      <c r="GJ348" s="15"/>
      <c r="GK348" s="15"/>
      <c r="GL348" s="15"/>
      <c r="GM348" s="15"/>
      <c r="GN348" s="15"/>
      <c r="GO348" s="15"/>
      <c r="GP348" s="15"/>
      <c r="GQ348" s="15"/>
      <c r="GR348" s="15"/>
      <c r="GS348" s="15"/>
      <c r="GT348" s="15"/>
      <c r="GU348" s="15"/>
      <c r="GV348" s="15"/>
      <c r="GW348" s="15"/>
      <c r="GX348" s="15"/>
      <c r="GY348" s="15"/>
      <c r="GZ348" s="15"/>
      <c r="HA348" s="15"/>
      <c r="HB348" s="15"/>
      <c r="HC348" s="15"/>
      <c r="HD348" s="15"/>
      <c r="HE348" s="15"/>
      <c r="HF348" s="15"/>
      <c r="HG348" s="15"/>
      <c r="HH348" s="15"/>
      <c r="HI348" s="15"/>
      <c r="HJ348" s="15"/>
      <c r="HK348" s="15"/>
      <c r="HL348" s="15"/>
      <c r="HM348" s="15"/>
      <c r="HN348" s="15"/>
      <c r="HO348" s="15"/>
      <c r="HP348" s="15"/>
      <c r="HQ348" s="15"/>
      <c r="HR348" s="15"/>
      <c r="HS348" s="15"/>
      <c r="HT348" s="15"/>
      <c r="HU348" s="15"/>
      <c r="HV348" s="15"/>
      <c r="HW348" s="15"/>
      <c r="HX348" s="15"/>
      <c r="HY348" s="15"/>
      <c r="HZ348" s="15"/>
      <c r="IA348" s="15"/>
      <c r="IB348" s="15"/>
      <c r="IC348" s="15"/>
      <c r="ID348" s="15"/>
      <c r="IE348" s="15"/>
      <c r="IF348" s="15"/>
      <c r="IG348" s="15"/>
      <c r="IH348" s="15"/>
      <c r="II348" s="15"/>
      <c r="IJ348" s="15"/>
      <c r="IK348" s="15"/>
      <c r="IL348" s="15"/>
      <c r="IM348" s="15"/>
      <c r="IN348" s="15"/>
      <c r="IO348" s="15"/>
      <c r="IP348" s="15"/>
      <c r="IQ348" s="15"/>
      <c r="IR348" s="15"/>
      <c r="IS348" s="15"/>
      <c r="IT348" s="15"/>
      <c r="IU348" s="15"/>
      <c r="IV348" s="15"/>
      <c r="IW348" s="15"/>
      <c r="IX348" s="15"/>
      <c r="IY348" s="15"/>
      <c r="IZ348" s="15"/>
      <c r="JA348" s="15"/>
      <c r="JB348" s="15"/>
      <c r="JC348" s="15"/>
      <c r="JD348" s="15"/>
      <c r="JE348" s="15"/>
      <c r="JF348" s="15"/>
      <c r="JG348" s="15"/>
      <c r="JH348" s="15"/>
      <c r="JI348" s="15"/>
      <c r="JJ348" s="15"/>
      <c r="JK348" s="15"/>
      <c r="JL348" s="15"/>
      <c r="JM348" s="15"/>
      <c r="JN348" s="15"/>
      <c r="JO348" s="15"/>
      <c r="JP348" s="15"/>
      <c r="JQ348" s="15"/>
      <c r="JR348" s="15"/>
      <c r="JS348" s="15"/>
      <c r="JT348" s="15"/>
      <c r="JU348" s="15"/>
      <c r="JV348" s="15"/>
      <c r="JW348" s="15"/>
      <c r="JX348" s="15"/>
      <c r="JY348" s="15"/>
      <c r="JZ348" s="15"/>
      <c r="KA348" s="15"/>
      <c r="KB348" s="15"/>
      <c r="KC348" s="15"/>
      <c r="KD348" s="15"/>
      <c r="KE348" s="15"/>
      <c r="KF348" s="15"/>
      <c r="KG348" s="15"/>
      <c r="KH348" s="15"/>
      <c r="KI348" s="15"/>
      <c r="KJ348" s="15"/>
      <c r="KK348" s="15"/>
      <c r="KL348" s="15"/>
      <c r="KM348" s="15"/>
      <c r="KN348" s="15"/>
      <c r="KO348" s="15"/>
      <c r="KP348" s="15"/>
      <c r="KQ348" s="15"/>
      <c r="KR348" s="15"/>
      <c r="KS348" s="15"/>
      <c r="KT348" s="15"/>
      <c r="KU348" s="15"/>
      <c r="KV348" s="15"/>
      <c r="KW348" s="15"/>
      <c r="KX348" s="15"/>
      <c r="KY348" s="15"/>
      <c r="KZ348" s="15"/>
      <c r="LA348" s="15"/>
      <c r="LB348" s="15"/>
      <c r="LC348" s="15"/>
      <c r="LD348" s="15"/>
      <c r="LE348" s="15"/>
      <c r="LF348" s="15"/>
      <c r="LG348" s="15"/>
      <c r="LH348" s="15"/>
      <c r="LI348" s="15"/>
      <c r="LJ348" s="15"/>
      <c r="LK348" s="15"/>
      <c r="LL348" s="15"/>
      <c r="LM348" s="15"/>
      <c r="LN348" s="15"/>
      <c r="LO348" s="15"/>
      <c r="LP348" s="15"/>
      <c r="LQ348" s="15"/>
      <c r="LR348" s="15"/>
      <c r="LS348" s="15"/>
      <c r="LT348" s="15"/>
      <c r="LU348" s="15"/>
      <c r="LV348" s="15"/>
      <c r="LW348" s="15"/>
      <c r="LX348" s="15"/>
      <c r="LY348" s="15"/>
      <c r="LZ348" s="15"/>
      <c r="MA348" s="15"/>
      <c r="MB348" s="15"/>
      <c r="MC348" s="15"/>
      <c r="MD348" s="15"/>
      <c r="ME348" s="15"/>
      <c r="MF348" s="15"/>
      <c r="MG348" s="15"/>
      <c r="MH348" s="15"/>
      <c r="MI348" s="15"/>
      <c r="MJ348" s="15"/>
      <c r="MK348" s="15"/>
      <c r="ML348" s="15"/>
      <c r="MM348" s="15"/>
      <c r="MN348" s="15"/>
      <c r="MO348" s="15"/>
      <c r="MP348" s="15"/>
      <c r="MQ348" s="15"/>
      <c r="MR348" s="15"/>
      <c r="MS348" s="15"/>
      <c r="MT348" s="15"/>
      <c r="MU348" s="15"/>
      <c r="MV348" s="15"/>
      <c r="MW348" s="15"/>
    </row>
    <row r="349" ht="41.25" customHeight="1">
      <c r="A349" s="16" t="s">
        <v>342</v>
      </c>
      <c r="B349" s="14" t="s">
        <v>10379</v>
      </c>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c r="DF349" s="15"/>
      <c r="DG349" s="15"/>
      <c r="DH349" s="15"/>
      <c r="DI349" s="15"/>
      <c r="DJ349" s="15"/>
      <c r="DK349" s="15"/>
      <c r="DL349" s="15"/>
      <c r="DM349" s="15"/>
      <c r="DN349" s="15"/>
      <c r="DO349" s="15"/>
      <c r="DP349" s="15"/>
      <c r="DQ349" s="15"/>
      <c r="DR349" s="15"/>
      <c r="DS349" s="15"/>
      <c r="DT349" s="15"/>
      <c r="DU349" s="15"/>
      <c r="DV349" s="15"/>
      <c r="DW349" s="15"/>
      <c r="DX349" s="15"/>
      <c r="DY349" s="15"/>
      <c r="DZ349" s="15"/>
      <c r="EA349" s="15"/>
      <c r="EB349" s="15"/>
      <c r="EC349" s="15"/>
      <c r="ED349" s="15"/>
      <c r="EE349" s="15"/>
      <c r="EF349" s="15"/>
      <c r="EG349" s="15"/>
      <c r="EH349" s="15"/>
      <c r="EI349" s="15"/>
      <c r="EJ349" s="15"/>
      <c r="EK349" s="15"/>
      <c r="EL349" s="15"/>
      <c r="EM349" s="15"/>
      <c r="EN349" s="15"/>
      <c r="EO349" s="15"/>
      <c r="EP349" s="15"/>
      <c r="EQ349" s="15"/>
      <c r="ER349" s="15"/>
      <c r="ES349" s="15"/>
      <c r="ET349" s="15"/>
      <c r="EU349" s="15"/>
      <c r="EV349" s="15"/>
      <c r="EW349" s="15"/>
      <c r="EX349" s="15"/>
      <c r="EY349" s="15"/>
      <c r="EZ349" s="15"/>
      <c r="FA349" s="15"/>
      <c r="FB349" s="15"/>
      <c r="FC349" s="15"/>
      <c r="FD349" s="15"/>
      <c r="FE349" s="15"/>
      <c r="FF349" s="15"/>
      <c r="FG349" s="15"/>
      <c r="FH349" s="15"/>
      <c r="FI349" s="15"/>
      <c r="FJ349" s="15"/>
      <c r="FK349" s="15"/>
      <c r="FL349" s="15"/>
      <c r="FM349" s="15"/>
      <c r="FN349" s="15"/>
      <c r="FO349" s="15"/>
      <c r="FP349" s="15"/>
      <c r="FQ349" s="15"/>
      <c r="FR349" s="15"/>
      <c r="FS349" s="15"/>
      <c r="FT349" s="15"/>
      <c r="FU349" s="15"/>
      <c r="FV349" s="15"/>
      <c r="FW349" s="15"/>
      <c r="FX349" s="15"/>
      <c r="FY349" s="15"/>
      <c r="FZ349" s="15"/>
      <c r="GA349" s="15"/>
      <c r="GB349" s="15"/>
      <c r="GC349" s="15"/>
      <c r="GD349" s="15"/>
      <c r="GE349" s="15"/>
      <c r="GF349" s="15"/>
      <c r="GG349" s="15"/>
      <c r="GH349" s="15"/>
      <c r="GI349" s="15"/>
      <c r="GJ349" s="15"/>
      <c r="GK349" s="15"/>
      <c r="GL349" s="15"/>
      <c r="GM349" s="15"/>
      <c r="GN349" s="15"/>
      <c r="GO349" s="15"/>
      <c r="GP349" s="15"/>
      <c r="GQ349" s="15"/>
      <c r="GR349" s="15"/>
      <c r="GS349" s="15"/>
      <c r="GT349" s="15"/>
      <c r="GU349" s="15"/>
      <c r="GV349" s="15"/>
      <c r="GW349" s="15"/>
      <c r="GX349" s="15"/>
      <c r="GY349" s="15"/>
      <c r="GZ349" s="15"/>
      <c r="HA349" s="15"/>
      <c r="HB349" s="15"/>
      <c r="HC349" s="15"/>
      <c r="HD349" s="15"/>
      <c r="HE349" s="15"/>
      <c r="HF349" s="15"/>
      <c r="HG349" s="15"/>
      <c r="HH349" s="15"/>
      <c r="HI349" s="15"/>
      <c r="HJ349" s="15"/>
      <c r="HK349" s="15"/>
      <c r="HL349" s="15"/>
      <c r="HM349" s="15"/>
      <c r="HN349" s="15"/>
      <c r="HO349" s="15"/>
      <c r="HP349" s="15"/>
      <c r="HQ349" s="15"/>
      <c r="HR349" s="15"/>
      <c r="HS349" s="15"/>
      <c r="HT349" s="15"/>
      <c r="HU349" s="15"/>
      <c r="HV349" s="15"/>
      <c r="HW349" s="15"/>
      <c r="HX349" s="15"/>
      <c r="HY349" s="15"/>
      <c r="HZ349" s="15"/>
      <c r="IA349" s="15"/>
      <c r="IB349" s="15"/>
      <c r="IC349" s="15"/>
      <c r="ID349" s="15"/>
      <c r="IE349" s="15"/>
      <c r="IF349" s="15"/>
      <c r="IG349" s="15"/>
      <c r="IH349" s="15"/>
      <c r="II349" s="15"/>
      <c r="IJ349" s="15"/>
      <c r="IK349" s="15"/>
      <c r="IL349" s="15"/>
      <c r="IM349" s="15"/>
      <c r="IN349" s="15"/>
      <c r="IO349" s="15"/>
      <c r="IP349" s="15"/>
      <c r="IQ349" s="15"/>
      <c r="IR349" s="15"/>
      <c r="IS349" s="15"/>
      <c r="IT349" s="15"/>
      <c r="IU349" s="15"/>
      <c r="IV349" s="15"/>
      <c r="IW349" s="15"/>
      <c r="IX349" s="15"/>
      <c r="IY349" s="15"/>
      <c r="IZ349" s="15"/>
      <c r="JA349" s="15"/>
      <c r="JB349" s="15"/>
      <c r="JC349" s="15"/>
      <c r="JD349" s="15"/>
      <c r="JE349" s="15"/>
      <c r="JF349" s="15"/>
      <c r="JG349" s="15"/>
      <c r="JH349" s="15"/>
      <c r="JI349" s="15"/>
      <c r="JJ349" s="15"/>
      <c r="JK349" s="15"/>
      <c r="JL349" s="15"/>
      <c r="JM349" s="15"/>
      <c r="JN349" s="15"/>
      <c r="JO349" s="15"/>
      <c r="JP349" s="15"/>
      <c r="JQ349" s="15"/>
      <c r="JR349" s="15"/>
      <c r="JS349" s="15"/>
      <c r="JT349" s="15"/>
      <c r="JU349" s="15"/>
      <c r="JV349" s="15"/>
      <c r="JW349" s="15"/>
      <c r="JX349" s="15"/>
      <c r="JY349" s="15"/>
      <c r="JZ349" s="15"/>
      <c r="KA349" s="15"/>
      <c r="KB349" s="15"/>
      <c r="KC349" s="15"/>
      <c r="KD349" s="15"/>
      <c r="KE349" s="15"/>
      <c r="KF349" s="15"/>
      <c r="KG349" s="15"/>
      <c r="KH349" s="15"/>
      <c r="KI349" s="15"/>
      <c r="KJ349" s="15"/>
      <c r="KK349" s="15"/>
      <c r="KL349" s="15"/>
      <c r="KM349" s="15"/>
      <c r="KN349" s="15"/>
      <c r="KO349" s="15"/>
      <c r="KP349" s="15"/>
      <c r="KQ349" s="15"/>
      <c r="KR349" s="15"/>
      <c r="KS349" s="15"/>
      <c r="KT349" s="15"/>
      <c r="KU349" s="15"/>
      <c r="KV349" s="15"/>
      <c r="KW349" s="15"/>
      <c r="KX349" s="15"/>
      <c r="KY349" s="15"/>
      <c r="KZ349" s="15"/>
      <c r="LA349" s="15"/>
      <c r="LB349" s="15"/>
      <c r="LC349" s="15"/>
      <c r="LD349" s="15"/>
      <c r="LE349" s="15"/>
      <c r="LF349" s="15"/>
      <c r="LG349" s="15"/>
      <c r="LH349" s="15"/>
      <c r="LI349" s="15"/>
      <c r="LJ349" s="15"/>
      <c r="LK349" s="15"/>
      <c r="LL349" s="15"/>
      <c r="LM349" s="15"/>
      <c r="LN349" s="15"/>
      <c r="LO349" s="15"/>
      <c r="LP349" s="15"/>
      <c r="LQ349" s="15"/>
      <c r="LR349" s="15"/>
      <c r="LS349" s="15"/>
      <c r="LT349" s="15"/>
      <c r="LU349" s="15"/>
      <c r="LV349" s="15"/>
      <c r="LW349" s="15"/>
      <c r="LX349" s="15"/>
      <c r="LY349" s="15"/>
      <c r="LZ349" s="15"/>
      <c r="MA349" s="15"/>
      <c r="MB349" s="15"/>
      <c r="MC349" s="15"/>
      <c r="MD349" s="15"/>
      <c r="ME349" s="15"/>
      <c r="MF349" s="15"/>
      <c r="MG349" s="15"/>
      <c r="MH349" s="15"/>
      <c r="MI349" s="15"/>
      <c r="MJ349" s="15"/>
      <c r="MK349" s="15"/>
      <c r="ML349" s="15"/>
      <c r="MM349" s="15"/>
      <c r="MN349" s="15"/>
      <c r="MO349" s="15"/>
      <c r="MP349" s="15"/>
      <c r="MQ349" s="15"/>
      <c r="MR349" s="15"/>
      <c r="MS349" s="15"/>
      <c r="MT349" s="15"/>
      <c r="MU349" s="15"/>
      <c r="MV349" s="15"/>
      <c r="MW349" s="15"/>
    </row>
    <row r="350" ht="119.25" customHeight="1">
      <c r="A350" s="16" t="s">
        <v>343</v>
      </c>
      <c r="B350" s="14" t="s">
        <v>10380</v>
      </c>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c r="DE350" s="15"/>
      <c r="DF350" s="15"/>
      <c r="DG350" s="15"/>
      <c r="DH350" s="15"/>
      <c r="DI350" s="15"/>
      <c r="DJ350" s="15"/>
      <c r="DK350" s="15"/>
      <c r="DL350" s="15"/>
      <c r="DM350" s="15"/>
      <c r="DN350" s="15"/>
      <c r="DO350" s="15"/>
      <c r="DP350" s="15"/>
      <c r="DQ350" s="15"/>
      <c r="DR350" s="15"/>
      <c r="DS350" s="15"/>
      <c r="DT350" s="15"/>
      <c r="DU350" s="15"/>
      <c r="DV350" s="15"/>
      <c r="DW350" s="15"/>
      <c r="DX350" s="15"/>
      <c r="DY350" s="15"/>
      <c r="DZ350" s="15"/>
      <c r="EA350" s="15"/>
      <c r="EB350" s="15"/>
      <c r="EC350" s="15"/>
      <c r="ED350" s="15"/>
      <c r="EE350" s="15"/>
      <c r="EF350" s="15"/>
      <c r="EG350" s="15"/>
      <c r="EH350" s="15"/>
      <c r="EI350" s="15"/>
      <c r="EJ350" s="15"/>
      <c r="EK350" s="15"/>
      <c r="EL350" s="15"/>
      <c r="EM350" s="15"/>
      <c r="EN350" s="15"/>
      <c r="EO350" s="15"/>
      <c r="EP350" s="15"/>
      <c r="EQ350" s="15"/>
      <c r="ER350" s="15"/>
      <c r="ES350" s="15"/>
      <c r="ET350" s="15"/>
      <c r="EU350" s="15"/>
      <c r="EV350" s="15"/>
      <c r="EW350" s="15"/>
      <c r="EX350" s="15"/>
      <c r="EY350" s="15"/>
      <c r="EZ350" s="15"/>
      <c r="FA350" s="15"/>
      <c r="FB350" s="15"/>
      <c r="FC350" s="15"/>
      <c r="FD350" s="15"/>
      <c r="FE350" s="15"/>
      <c r="FF350" s="15"/>
      <c r="FG350" s="15"/>
      <c r="FH350" s="15"/>
      <c r="FI350" s="15"/>
      <c r="FJ350" s="15"/>
      <c r="FK350" s="15"/>
      <c r="FL350" s="15"/>
      <c r="FM350" s="15"/>
      <c r="FN350" s="15"/>
      <c r="FO350" s="15"/>
      <c r="FP350" s="15"/>
      <c r="FQ350" s="15"/>
      <c r="FR350" s="15"/>
      <c r="FS350" s="15"/>
      <c r="FT350" s="15"/>
      <c r="FU350" s="15"/>
      <c r="FV350" s="15"/>
      <c r="FW350" s="15"/>
      <c r="FX350" s="15"/>
      <c r="FY350" s="15"/>
      <c r="FZ350" s="15"/>
      <c r="GA350" s="15"/>
      <c r="GB350" s="15"/>
      <c r="GC350" s="15"/>
      <c r="GD350" s="15"/>
      <c r="GE350" s="15"/>
      <c r="GF350" s="15"/>
      <c r="GG350" s="15"/>
      <c r="GH350" s="15"/>
      <c r="GI350" s="15"/>
      <c r="GJ350" s="15"/>
      <c r="GK350" s="15"/>
      <c r="GL350" s="15"/>
      <c r="GM350" s="15"/>
      <c r="GN350" s="15"/>
      <c r="GO350" s="15"/>
      <c r="GP350" s="15"/>
      <c r="GQ350" s="15"/>
      <c r="GR350" s="15"/>
      <c r="GS350" s="15"/>
      <c r="GT350" s="15"/>
      <c r="GU350" s="15"/>
      <c r="GV350" s="15"/>
      <c r="GW350" s="15"/>
      <c r="GX350" s="15"/>
      <c r="GY350" s="15"/>
      <c r="GZ350" s="15"/>
      <c r="HA350" s="15"/>
      <c r="HB350" s="15"/>
      <c r="HC350" s="15"/>
      <c r="HD350" s="15"/>
      <c r="HE350" s="15"/>
      <c r="HF350" s="15"/>
      <c r="HG350" s="15"/>
      <c r="HH350" s="15"/>
      <c r="HI350" s="15"/>
      <c r="HJ350" s="15"/>
      <c r="HK350" s="15"/>
      <c r="HL350" s="15"/>
      <c r="HM350" s="15"/>
      <c r="HN350" s="15"/>
      <c r="HO350" s="15"/>
      <c r="HP350" s="15"/>
      <c r="HQ350" s="15"/>
      <c r="HR350" s="15"/>
      <c r="HS350" s="15"/>
      <c r="HT350" s="15"/>
      <c r="HU350" s="15"/>
      <c r="HV350" s="15"/>
      <c r="HW350" s="15"/>
      <c r="HX350" s="15"/>
      <c r="HY350" s="15"/>
      <c r="HZ350" s="15"/>
      <c r="IA350" s="15"/>
      <c r="IB350" s="15"/>
      <c r="IC350" s="15"/>
      <c r="ID350" s="15"/>
      <c r="IE350" s="15"/>
      <c r="IF350" s="15"/>
      <c r="IG350" s="15"/>
      <c r="IH350" s="15"/>
      <c r="II350" s="15"/>
      <c r="IJ350" s="15"/>
      <c r="IK350" s="15"/>
      <c r="IL350" s="15"/>
      <c r="IM350" s="15"/>
      <c r="IN350" s="15"/>
      <c r="IO350" s="15"/>
      <c r="IP350" s="15"/>
      <c r="IQ350" s="15"/>
      <c r="IR350" s="15"/>
      <c r="IS350" s="15"/>
      <c r="IT350" s="15"/>
      <c r="IU350" s="15"/>
      <c r="IV350" s="15"/>
      <c r="IW350" s="15"/>
      <c r="IX350" s="15"/>
      <c r="IY350" s="15"/>
      <c r="IZ350" s="15"/>
      <c r="JA350" s="15"/>
      <c r="JB350" s="15"/>
      <c r="JC350" s="15"/>
      <c r="JD350" s="15"/>
      <c r="JE350" s="15"/>
      <c r="JF350" s="15"/>
      <c r="JG350" s="15"/>
      <c r="JH350" s="15"/>
      <c r="JI350" s="15"/>
      <c r="JJ350" s="15"/>
      <c r="JK350" s="15"/>
      <c r="JL350" s="15"/>
      <c r="JM350" s="15"/>
      <c r="JN350" s="15"/>
      <c r="JO350" s="15"/>
      <c r="JP350" s="15"/>
      <c r="JQ350" s="15"/>
      <c r="JR350" s="15"/>
      <c r="JS350" s="15"/>
      <c r="JT350" s="15"/>
      <c r="JU350" s="15"/>
      <c r="JV350" s="15"/>
      <c r="JW350" s="15"/>
      <c r="JX350" s="15"/>
      <c r="JY350" s="15"/>
      <c r="JZ350" s="15"/>
      <c r="KA350" s="15"/>
      <c r="KB350" s="15"/>
      <c r="KC350" s="15"/>
      <c r="KD350" s="15"/>
      <c r="KE350" s="15"/>
      <c r="KF350" s="15"/>
      <c r="KG350" s="15"/>
      <c r="KH350" s="15"/>
      <c r="KI350" s="15"/>
      <c r="KJ350" s="15"/>
      <c r="KK350" s="15"/>
      <c r="KL350" s="15"/>
      <c r="KM350" s="15"/>
      <c r="KN350" s="15"/>
      <c r="KO350" s="15"/>
      <c r="KP350" s="15"/>
      <c r="KQ350" s="15"/>
      <c r="KR350" s="15"/>
      <c r="KS350" s="15"/>
      <c r="KT350" s="15"/>
      <c r="KU350" s="15"/>
      <c r="KV350" s="15"/>
      <c r="KW350" s="15"/>
      <c r="KX350" s="15"/>
      <c r="KY350" s="15"/>
      <c r="KZ350" s="15"/>
      <c r="LA350" s="15"/>
      <c r="LB350" s="15"/>
      <c r="LC350" s="15"/>
      <c r="LD350" s="15"/>
      <c r="LE350" s="15"/>
      <c r="LF350" s="15"/>
      <c r="LG350" s="15"/>
      <c r="LH350" s="15"/>
      <c r="LI350" s="15"/>
      <c r="LJ350" s="15"/>
      <c r="LK350" s="15"/>
      <c r="LL350" s="15"/>
      <c r="LM350" s="15"/>
      <c r="LN350" s="15"/>
      <c r="LO350" s="15"/>
      <c r="LP350" s="15"/>
      <c r="LQ350" s="15"/>
      <c r="LR350" s="15"/>
      <c r="LS350" s="15"/>
      <c r="LT350" s="15"/>
      <c r="LU350" s="15"/>
      <c r="LV350" s="15"/>
      <c r="LW350" s="15"/>
      <c r="LX350" s="15"/>
      <c r="LY350" s="15"/>
      <c r="LZ350" s="15"/>
      <c r="MA350" s="15"/>
      <c r="MB350" s="15"/>
      <c r="MC350" s="15"/>
      <c r="MD350" s="15"/>
      <c r="ME350" s="15"/>
      <c r="MF350" s="15"/>
      <c r="MG350" s="15"/>
      <c r="MH350" s="15"/>
      <c r="MI350" s="15"/>
      <c r="MJ350" s="15"/>
      <c r="MK350" s="15"/>
      <c r="ML350" s="15"/>
      <c r="MM350" s="15"/>
      <c r="MN350" s="15"/>
      <c r="MO350" s="15"/>
      <c r="MP350" s="15"/>
      <c r="MQ350" s="15"/>
      <c r="MR350" s="15"/>
      <c r="MS350" s="15"/>
      <c r="MT350" s="15"/>
      <c r="MU350" s="15"/>
      <c r="MV350" s="15"/>
      <c r="MW350" s="15"/>
    </row>
    <row r="351" ht="41.25" customHeight="1">
      <c r="A351" s="16" t="s">
        <v>344</v>
      </c>
      <c r="B351" s="14" t="s">
        <v>10381</v>
      </c>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c r="DE351" s="15"/>
      <c r="DF351" s="15"/>
      <c r="DG351" s="15"/>
      <c r="DH351" s="15"/>
      <c r="DI351" s="15"/>
      <c r="DJ351" s="15"/>
      <c r="DK351" s="15"/>
      <c r="DL351" s="15"/>
      <c r="DM351" s="15"/>
      <c r="DN351" s="15"/>
      <c r="DO351" s="15"/>
      <c r="DP351" s="15"/>
      <c r="DQ351" s="15"/>
      <c r="DR351" s="15"/>
      <c r="DS351" s="15"/>
      <c r="DT351" s="15"/>
      <c r="DU351" s="15"/>
      <c r="DV351" s="15"/>
      <c r="DW351" s="15"/>
      <c r="DX351" s="15"/>
      <c r="DY351" s="15"/>
      <c r="DZ351" s="15"/>
      <c r="EA351" s="15"/>
      <c r="EB351" s="15"/>
      <c r="EC351" s="15"/>
      <c r="ED351" s="15"/>
      <c r="EE351" s="15"/>
      <c r="EF351" s="15"/>
      <c r="EG351" s="15"/>
      <c r="EH351" s="15"/>
      <c r="EI351" s="15"/>
      <c r="EJ351" s="15"/>
      <c r="EK351" s="15"/>
      <c r="EL351" s="15"/>
      <c r="EM351" s="15"/>
      <c r="EN351" s="15"/>
      <c r="EO351" s="15"/>
      <c r="EP351" s="15"/>
      <c r="EQ351" s="15"/>
      <c r="ER351" s="15"/>
      <c r="ES351" s="15"/>
      <c r="ET351" s="15"/>
      <c r="EU351" s="15"/>
      <c r="EV351" s="15"/>
      <c r="EW351" s="15"/>
      <c r="EX351" s="15"/>
      <c r="EY351" s="15"/>
      <c r="EZ351" s="15"/>
      <c r="FA351" s="15"/>
      <c r="FB351" s="15"/>
      <c r="FC351" s="15"/>
      <c r="FD351" s="15"/>
      <c r="FE351" s="15"/>
      <c r="FF351" s="15"/>
      <c r="FG351" s="15"/>
      <c r="FH351" s="15"/>
      <c r="FI351" s="15"/>
      <c r="FJ351" s="15"/>
      <c r="FK351" s="15"/>
      <c r="FL351" s="15"/>
      <c r="FM351" s="15"/>
      <c r="FN351" s="15"/>
      <c r="FO351" s="15"/>
      <c r="FP351" s="15"/>
      <c r="FQ351" s="15"/>
      <c r="FR351" s="15"/>
      <c r="FS351" s="15"/>
      <c r="FT351" s="15"/>
      <c r="FU351" s="15"/>
      <c r="FV351" s="15"/>
      <c r="FW351" s="15"/>
      <c r="FX351" s="15"/>
      <c r="FY351" s="15"/>
      <c r="FZ351" s="15"/>
      <c r="GA351" s="15"/>
      <c r="GB351" s="15"/>
      <c r="GC351" s="15"/>
      <c r="GD351" s="15"/>
      <c r="GE351" s="15"/>
      <c r="GF351" s="15"/>
      <c r="GG351" s="15"/>
      <c r="GH351" s="15"/>
      <c r="GI351" s="15"/>
      <c r="GJ351" s="15"/>
      <c r="GK351" s="15"/>
      <c r="GL351" s="15"/>
      <c r="GM351" s="15"/>
      <c r="GN351" s="15"/>
      <c r="GO351" s="15"/>
      <c r="GP351" s="15"/>
      <c r="GQ351" s="15"/>
      <c r="GR351" s="15"/>
      <c r="GS351" s="15"/>
      <c r="GT351" s="15"/>
      <c r="GU351" s="15"/>
      <c r="GV351" s="15"/>
      <c r="GW351" s="15"/>
      <c r="GX351" s="15"/>
      <c r="GY351" s="15"/>
      <c r="GZ351" s="15"/>
      <c r="HA351" s="15"/>
      <c r="HB351" s="15"/>
      <c r="HC351" s="15"/>
      <c r="HD351" s="15"/>
      <c r="HE351" s="15"/>
      <c r="HF351" s="15"/>
      <c r="HG351" s="15"/>
      <c r="HH351" s="15"/>
      <c r="HI351" s="15"/>
      <c r="HJ351" s="15"/>
      <c r="HK351" s="15"/>
      <c r="HL351" s="15"/>
      <c r="HM351" s="15"/>
      <c r="HN351" s="15"/>
      <c r="HO351" s="15"/>
      <c r="HP351" s="15"/>
      <c r="HQ351" s="15"/>
      <c r="HR351" s="15"/>
      <c r="HS351" s="15"/>
      <c r="HT351" s="15"/>
      <c r="HU351" s="15"/>
      <c r="HV351" s="15"/>
      <c r="HW351" s="15"/>
      <c r="HX351" s="15"/>
      <c r="HY351" s="15"/>
      <c r="HZ351" s="15"/>
      <c r="IA351" s="15"/>
      <c r="IB351" s="15"/>
      <c r="IC351" s="15"/>
      <c r="ID351" s="15"/>
      <c r="IE351" s="15"/>
      <c r="IF351" s="15"/>
      <c r="IG351" s="15"/>
      <c r="IH351" s="15"/>
      <c r="II351" s="15"/>
      <c r="IJ351" s="15"/>
      <c r="IK351" s="15"/>
      <c r="IL351" s="15"/>
      <c r="IM351" s="15"/>
      <c r="IN351" s="15"/>
      <c r="IO351" s="15"/>
      <c r="IP351" s="15"/>
      <c r="IQ351" s="15"/>
      <c r="IR351" s="15"/>
      <c r="IS351" s="15"/>
      <c r="IT351" s="15"/>
      <c r="IU351" s="15"/>
      <c r="IV351" s="15"/>
      <c r="IW351" s="15"/>
      <c r="IX351" s="15"/>
      <c r="IY351" s="15"/>
      <c r="IZ351" s="15"/>
      <c r="JA351" s="15"/>
      <c r="JB351" s="15"/>
      <c r="JC351" s="15"/>
      <c r="JD351" s="15"/>
      <c r="JE351" s="15"/>
      <c r="JF351" s="15"/>
      <c r="JG351" s="15"/>
      <c r="JH351" s="15"/>
      <c r="JI351" s="15"/>
      <c r="JJ351" s="15"/>
      <c r="JK351" s="15"/>
      <c r="JL351" s="15"/>
      <c r="JM351" s="15"/>
      <c r="JN351" s="15"/>
      <c r="JO351" s="15"/>
      <c r="JP351" s="15"/>
      <c r="JQ351" s="15"/>
      <c r="JR351" s="15"/>
      <c r="JS351" s="15"/>
      <c r="JT351" s="15"/>
      <c r="JU351" s="15"/>
      <c r="JV351" s="15"/>
      <c r="JW351" s="15"/>
      <c r="JX351" s="15"/>
      <c r="JY351" s="15"/>
      <c r="JZ351" s="15"/>
      <c r="KA351" s="15"/>
      <c r="KB351" s="15"/>
      <c r="KC351" s="15"/>
      <c r="KD351" s="15"/>
      <c r="KE351" s="15"/>
      <c r="KF351" s="15"/>
      <c r="KG351" s="15"/>
      <c r="KH351" s="15"/>
      <c r="KI351" s="15"/>
      <c r="KJ351" s="15"/>
      <c r="KK351" s="15"/>
      <c r="KL351" s="15"/>
      <c r="KM351" s="15"/>
      <c r="KN351" s="15"/>
      <c r="KO351" s="15"/>
      <c r="KP351" s="15"/>
      <c r="KQ351" s="15"/>
      <c r="KR351" s="15"/>
      <c r="KS351" s="15"/>
      <c r="KT351" s="15"/>
      <c r="KU351" s="15"/>
      <c r="KV351" s="15"/>
      <c r="KW351" s="15"/>
      <c r="KX351" s="15"/>
      <c r="KY351" s="15"/>
      <c r="KZ351" s="15"/>
      <c r="LA351" s="15"/>
      <c r="LB351" s="15"/>
      <c r="LC351" s="15"/>
      <c r="LD351" s="15"/>
      <c r="LE351" s="15"/>
      <c r="LF351" s="15"/>
      <c r="LG351" s="15"/>
      <c r="LH351" s="15"/>
      <c r="LI351" s="15"/>
      <c r="LJ351" s="15"/>
      <c r="LK351" s="15"/>
      <c r="LL351" s="15"/>
      <c r="LM351" s="15"/>
      <c r="LN351" s="15"/>
      <c r="LO351" s="15"/>
      <c r="LP351" s="15"/>
      <c r="LQ351" s="15"/>
      <c r="LR351" s="15"/>
      <c r="LS351" s="15"/>
      <c r="LT351" s="15"/>
      <c r="LU351" s="15"/>
      <c r="LV351" s="15"/>
      <c r="LW351" s="15"/>
      <c r="LX351" s="15"/>
      <c r="LY351" s="15"/>
      <c r="LZ351" s="15"/>
      <c r="MA351" s="15"/>
      <c r="MB351" s="15"/>
      <c r="MC351" s="15"/>
      <c r="MD351" s="15"/>
      <c r="ME351" s="15"/>
      <c r="MF351" s="15"/>
      <c r="MG351" s="15"/>
      <c r="MH351" s="15"/>
      <c r="MI351" s="15"/>
      <c r="MJ351" s="15"/>
      <c r="MK351" s="15"/>
      <c r="ML351" s="15"/>
      <c r="MM351" s="15"/>
      <c r="MN351" s="15"/>
      <c r="MO351" s="15"/>
      <c r="MP351" s="15"/>
      <c r="MQ351" s="15"/>
      <c r="MR351" s="15"/>
      <c r="MS351" s="15"/>
      <c r="MT351" s="15"/>
      <c r="MU351" s="15"/>
      <c r="MV351" s="15"/>
      <c r="MW351" s="15"/>
    </row>
    <row r="352" ht="119.25" customHeight="1">
      <c r="A352" s="16" t="s">
        <v>345</v>
      </c>
      <c r="B352" s="14" t="s">
        <v>10382</v>
      </c>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c r="DC352" s="15"/>
      <c r="DD352" s="15"/>
      <c r="DE352" s="15"/>
      <c r="DF352" s="15"/>
      <c r="DG352" s="15"/>
      <c r="DH352" s="15"/>
      <c r="DI352" s="15"/>
      <c r="DJ352" s="15"/>
      <c r="DK352" s="15"/>
      <c r="DL352" s="15"/>
      <c r="DM352" s="15"/>
      <c r="DN352" s="15"/>
      <c r="DO352" s="15"/>
      <c r="DP352" s="15"/>
      <c r="DQ352" s="15"/>
      <c r="DR352" s="15"/>
      <c r="DS352" s="15"/>
      <c r="DT352" s="15"/>
      <c r="DU352" s="15"/>
      <c r="DV352" s="15"/>
      <c r="DW352" s="15"/>
      <c r="DX352" s="15"/>
      <c r="DY352" s="15"/>
      <c r="DZ352" s="15"/>
      <c r="EA352" s="15"/>
      <c r="EB352" s="15"/>
      <c r="EC352" s="15"/>
      <c r="ED352" s="15"/>
      <c r="EE352" s="15"/>
      <c r="EF352" s="15"/>
      <c r="EG352" s="15"/>
      <c r="EH352" s="15"/>
      <c r="EI352" s="15"/>
      <c r="EJ352" s="15"/>
      <c r="EK352" s="15"/>
      <c r="EL352" s="15"/>
      <c r="EM352" s="15"/>
      <c r="EN352" s="15"/>
      <c r="EO352" s="15"/>
      <c r="EP352" s="15"/>
      <c r="EQ352" s="15"/>
      <c r="ER352" s="15"/>
      <c r="ES352" s="15"/>
      <c r="ET352" s="15"/>
      <c r="EU352" s="15"/>
      <c r="EV352" s="15"/>
      <c r="EW352" s="15"/>
      <c r="EX352" s="15"/>
      <c r="EY352" s="15"/>
      <c r="EZ352" s="15"/>
      <c r="FA352" s="15"/>
      <c r="FB352" s="15"/>
      <c r="FC352" s="15"/>
      <c r="FD352" s="15"/>
      <c r="FE352" s="15"/>
      <c r="FF352" s="15"/>
      <c r="FG352" s="15"/>
      <c r="FH352" s="15"/>
      <c r="FI352" s="15"/>
      <c r="FJ352" s="15"/>
      <c r="FK352" s="15"/>
      <c r="FL352" s="15"/>
      <c r="FM352" s="15"/>
      <c r="FN352" s="15"/>
      <c r="FO352" s="15"/>
      <c r="FP352" s="15"/>
      <c r="FQ352" s="15"/>
      <c r="FR352" s="15"/>
      <c r="FS352" s="15"/>
      <c r="FT352" s="15"/>
      <c r="FU352" s="15"/>
      <c r="FV352" s="15"/>
      <c r="FW352" s="15"/>
      <c r="FX352" s="15"/>
      <c r="FY352" s="15"/>
      <c r="FZ352" s="15"/>
      <c r="GA352" s="15"/>
      <c r="GB352" s="15"/>
      <c r="GC352" s="15"/>
      <c r="GD352" s="15"/>
      <c r="GE352" s="15"/>
      <c r="GF352" s="15"/>
      <c r="GG352" s="15"/>
      <c r="GH352" s="15"/>
      <c r="GI352" s="15"/>
      <c r="GJ352" s="15"/>
      <c r="GK352" s="15"/>
      <c r="GL352" s="15"/>
      <c r="GM352" s="15"/>
      <c r="GN352" s="15"/>
      <c r="GO352" s="15"/>
      <c r="GP352" s="15"/>
      <c r="GQ352" s="15"/>
      <c r="GR352" s="15"/>
      <c r="GS352" s="15"/>
      <c r="GT352" s="15"/>
      <c r="GU352" s="15"/>
      <c r="GV352" s="15"/>
      <c r="GW352" s="15"/>
      <c r="GX352" s="15"/>
      <c r="GY352" s="15"/>
      <c r="GZ352" s="15"/>
      <c r="HA352" s="15"/>
      <c r="HB352" s="15"/>
      <c r="HC352" s="15"/>
      <c r="HD352" s="15"/>
      <c r="HE352" s="15"/>
      <c r="HF352" s="15"/>
      <c r="HG352" s="15"/>
      <c r="HH352" s="15"/>
      <c r="HI352" s="15"/>
      <c r="HJ352" s="15"/>
      <c r="HK352" s="15"/>
      <c r="HL352" s="15"/>
      <c r="HM352" s="15"/>
      <c r="HN352" s="15"/>
      <c r="HO352" s="15"/>
      <c r="HP352" s="15"/>
      <c r="HQ352" s="15"/>
      <c r="HR352" s="15"/>
      <c r="HS352" s="15"/>
      <c r="HT352" s="15"/>
      <c r="HU352" s="15"/>
      <c r="HV352" s="15"/>
      <c r="HW352" s="15"/>
      <c r="HX352" s="15"/>
      <c r="HY352" s="15"/>
      <c r="HZ352" s="15"/>
      <c r="IA352" s="15"/>
      <c r="IB352" s="15"/>
      <c r="IC352" s="15"/>
      <c r="ID352" s="15"/>
      <c r="IE352" s="15"/>
      <c r="IF352" s="15"/>
      <c r="IG352" s="15"/>
      <c r="IH352" s="15"/>
      <c r="II352" s="15"/>
      <c r="IJ352" s="15"/>
      <c r="IK352" s="15"/>
      <c r="IL352" s="15"/>
      <c r="IM352" s="15"/>
      <c r="IN352" s="15"/>
      <c r="IO352" s="15"/>
      <c r="IP352" s="15"/>
      <c r="IQ352" s="15"/>
      <c r="IR352" s="15"/>
      <c r="IS352" s="15"/>
      <c r="IT352" s="15"/>
      <c r="IU352" s="15"/>
      <c r="IV352" s="15"/>
      <c r="IW352" s="15"/>
      <c r="IX352" s="15"/>
      <c r="IY352" s="15"/>
      <c r="IZ352" s="15"/>
      <c r="JA352" s="15"/>
      <c r="JB352" s="15"/>
      <c r="JC352" s="15"/>
      <c r="JD352" s="15"/>
      <c r="JE352" s="15"/>
      <c r="JF352" s="15"/>
      <c r="JG352" s="15"/>
      <c r="JH352" s="15"/>
      <c r="JI352" s="15"/>
      <c r="JJ352" s="15"/>
      <c r="JK352" s="15"/>
      <c r="JL352" s="15"/>
      <c r="JM352" s="15"/>
      <c r="JN352" s="15"/>
      <c r="JO352" s="15"/>
      <c r="JP352" s="15"/>
      <c r="JQ352" s="15"/>
      <c r="JR352" s="15"/>
      <c r="JS352" s="15"/>
      <c r="JT352" s="15"/>
      <c r="JU352" s="15"/>
      <c r="JV352" s="15"/>
      <c r="JW352" s="15"/>
      <c r="JX352" s="15"/>
      <c r="JY352" s="15"/>
      <c r="JZ352" s="15"/>
      <c r="KA352" s="15"/>
      <c r="KB352" s="15"/>
      <c r="KC352" s="15"/>
      <c r="KD352" s="15"/>
      <c r="KE352" s="15"/>
      <c r="KF352" s="15"/>
      <c r="KG352" s="15"/>
      <c r="KH352" s="15"/>
      <c r="KI352" s="15"/>
      <c r="KJ352" s="15"/>
      <c r="KK352" s="15"/>
      <c r="KL352" s="15"/>
      <c r="KM352" s="15"/>
      <c r="KN352" s="15"/>
      <c r="KO352" s="15"/>
      <c r="KP352" s="15"/>
      <c r="KQ352" s="15"/>
      <c r="KR352" s="15"/>
      <c r="KS352" s="15"/>
      <c r="KT352" s="15"/>
      <c r="KU352" s="15"/>
      <c r="KV352" s="15"/>
      <c r="KW352" s="15"/>
      <c r="KX352" s="15"/>
      <c r="KY352" s="15"/>
      <c r="KZ352" s="15"/>
      <c r="LA352" s="15"/>
      <c r="LB352" s="15"/>
      <c r="LC352" s="15"/>
      <c r="LD352" s="15"/>
      <c r="LE352" s="15"/>
      <c r="LF352" s="15"/>
      <c r="LG352" s="15"/>
      <c r="LH352" s="15"/>
      <c r="LI352" s="15"/>
      <c r="LJ352" s="15"/>
      <c r="LK352" s="15"/>
      <c r="LL352" s="15"/>
      <c r="LM352" s="15"/>
      <c r="LN352" s="15"/>
      <c r="LO352" s="15"/>
      <c r="LP352" s="15"/>
      <c r="LQ352" s="15"/>
      <c r="LR352" s="15"/>
      <c r="LS352" s="15"/>
      <c r="LT352" s="15"/>
      <c r="LU352" s="15"/>
      <c r="LV352" s="15"/>
      <c r="LW352" s="15"/>
      <c r="LX352" s="15"/>
      <c r="LY352" s="15"/>
      <c r="LZ352" s="15"/>
      <c r="MA352" s="15"/>
      <c r="MB352" s="15"/>
      <c r="MC352" s="15"/>
      <c r="MD352" s="15"/>
      <c r="ME352" s="15"/>
      <c r="MF352" s="15"/>
      <c r="MG352" s="15"/>
      <c r="MH352" s="15"/>
      <c r="MI352" s="15"/>
      <c r="MJ352" s="15"/>
      <c r="MK352" s="15"/>
      <c r="ML352" s="15"/>
      <c r="MM352" s="15"/>
      <c r="MN352" s="15"/>
      <c r="MO352" s="15"/>
      <c r="MP352" s="15"/>
      <c r="MQ352" s="15"/>
      <c r="MR352" s="15"/>
      <c r="MS352" s="15"/>
      <c r="MT352" s="15"/>
      <c r="MU352" s="15"/>
      <c r="MV352" s="15"/>
      <c r="MW352" s="15"/>
    </row>
    <row r="353" ht="41.25" customHeight="1">
      <c r="A353" s="16" t="s">
        <v>10383</v>
      </c>
      <c r="B353" s="14" t="s">
        <v>10384</v>
      </c>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c r="DC353" s="15"/>
      <c r="DD353" s="15"/>
      <c r="DE353" s="15"/>
      <c r="DF353" s="15"/>
      <c r="DG353" s="15"/>
      <c r="DH353" s="15"/>
      <c r="DI353" s="15"/>
      <c r="DJ353" s="15"/>
      <c r="DK353" s="15"/>
      <c r="DL353" s="15"/>
      <c r="DM353" s="15"/>
      <c r="DN353" s="15"/>
      <c r="DO353" s="15"/>
      <c r="DP353" s="15"/>
      <c r="DQ353" s="15"/>
      <c r="DR353" s="15"/>
      <c r="DS353" s="15"/>
      <c r="DT353" s="15"/>
      <c r="DU353" s="15"/>
      <c r="DV353" s="15"/>
      <c r="DW353" s="15"/>
      <c r="DX353" s="15"/>
      <c r="DY353" s="15"/>
      <c r="DZ353" s="15"/>
      <c r="EA353" s="15"/>
      <c r="EB353" s="15"/>
      <c r="EC353" s="15"/>
      <c r="ED353" s="15"/>
      <c r="EE353" s="15"/>
      <c r="EF353" s="15"/>
      <c r="EG353" s="15"/>
      <c r="EH353" s="15"/>
      <c r="EI353" s="15"/>
      <c r="EJ353" s="15"/>
      <c r="EK353" s="15"/>
      <c r="EL353" s="15"/>
      <c r="EM353" s="15"/>
      <c r="EN353" s="15"/>
      <c r="EO353" s="15"/>
      <c r="EP353" s="15"/>
      <c r="EQ353" s="15"/>
      <c r="ER353" s="15"/>
      <c r="ES353" s="15"/>
      <c r="ET353" s="15"/>
      <c r="EU353" s="15"/>
      <c r="EV353" s="15"/>
      <c r="EW353" s="15"/>
      <c r="EX353" s="15"/>
      <c r="EY353" s="15"/>
      <c r="EZ353" s="15"/>
      <c r="FA353" s="15"/>
      <c r="FB353" s="15"/>
      <c r="FC353" s="15"/>
      <c r="FD353" s="15"/>
      <c r="FE353" s="15"/>
      <c r="FF353" s="15"/>
      <c r="FG353" s="15"/>
      <c r="FH353" s="15"/>
      <c r="FI353" s="15"/>
      <c r="FJ353" s="15"/>
      <c r="FK353" s="15"/>
      <c r="FL353" s="15"/>
      <c r="FM353" s="15"/>
      <c r="FN353" s="15"/>
      <c r="FO353" s="15"/>
      <c r="FP353" s="15"/>
      <c r="FQ353" s="15"/>
      <c r="FR353" s="15"/>
      <c r="FS353" s="15"/>
      <c r="FT353" s="15"/>
      <c r="FU353" s="15"/>
      <c r="FV353" s="15"/>
      <c r="FW353" s="15"/>
      <c r="FX353" s="15"/>
      <c r="FY353" s="15"/>
      <c r="FZ353" s="15"/>
      <c r="GA353" s="15"/>
      <c r="GB353" s="15"/>
      <c r="GC353" s="15"/>
      <c r="GD353" s="15"/>
      <c r="GE353" s="15"/>
      <c r="GF353" s="15"/>
      <c r="GG353" s="15"/>
      <c r="GH353" s="15"/>
      <c r="GI353" s="15"/>
      <c r="GJ353" s="15"/>
      <c r="GK353" s="15"/>
      <c r="GL353" s="15"/>
      <c r="GM353" s="15"/>
      <c r="GN353" s="15"/>
      <c r="GO353" s="15"/>
      <c r="GP353" s="15"/>
      <c r="GQ353" s="15"/>
      <c r="GR353" s="15"/>
      <c r="GS353" s="15"/>
      <c r="GT353" s="15"/>
      <c r="GU353" s="15"/>
      <c r="GV353" s="15"/>
      <c r="GW353" s="15"/>
      <c r="GX353" s="15"/>
      <c r="GY353" s="15"/>
      <c r="GZ353" s="15"/>
      <c r="HA353" s="15"/>
      <c r="HB353" s="15"/>
      <c r="HC353" s="15"/>
      <c r="HD353" s="15"/>
      <c r="HE353" s="15"/>
      <c r="HF353" s="15"/>
      <c r="HG353" s="15"/>
      <c r="HH353" s="15"/>
      <c r="HI353" s="15"/>
      <c r="HJ353" s="15"/>
      <c r="HK353" s="15"/>
      <c r="HL353" s="15"/>
      <c r="HM353" s="15"/>
      <c r="HN353" s="15"/>
      <c r="HO353" s="15"/>
      <c r="HP353" s="15"/>
      <c r="HQ353" s="15"/>
      <c r="HR353" s="15"/>
      <c r="HS353" s="15"/>
      <c r="HT353" s="15"/>
      <c r="HU353" s="15"/>
      <c r="HV353" s="15"/>
      <c r="HW353" s="15"/>
      <c r="HX353" s="15"/>
      <c r="HY353" s="15"/>
      <c r="HZ353" s="15"/>
      <c r="IA353" s="15"/>
      <c r="IB353" s="15"/>
      <c r="IC353" s="15"/>
      <c r="ID353" s="15"/>
      <c r="IE353" s="15"/>
      <c r="IF353" s="15"/>
      <c r="IG353" s="15"/>
      <c r="IH353" s="15"/>
      <c r="II353" s="15"/>
      <c r="IJ353" s="15"/>
      <c r="IK353" s="15"/>
      <c r="IL353" s="15"/>
      <c r="IM353" s="15"/>
      <c r="IN353" s="15"/>
      <c r="IO353" s="15"/>
      <c r="IP353" s="15"/>
      <c r="IQ353" s="15"/>
      <c r="IR353" s="15"/>
      <c r="IS353" s="15"/>
      <c r="IT353" s="15"/>
      <c r="IU353" s="15"/>
      <c r="IV353" s="15"/>
      <c r="IW353" s="15"/>
      <c r="IX353" s="15"/>
      <c r="IY353" s="15"/>
      <c r="IZ353" s="15"/>
      <c r="JA353" s="15"/>
      <c r="JB353" s="15"/>
      <c r="JC353" s="15"/>
      <c r="JD353" s="15"/>
      <c r="JE353" s="15"/>
      <c r="JF353" s="15"/>
      <c r="JG353" s="15"/>
      <c r="JH353" s="15"/>
      <c r="JI353" s="15"/>
      <c r="JJ353" s="15"/>
      <c r="JK353" s="15"/>
      <c r="JL353" s="15"/>
      <c r="JM353" s="15"/>
      <c r="JN353" s="15"/>
      <c r="JO353" s="15"/>
      <c r="JP353" s="15"/>
      <c r="JQ353" s="15"/>
      <c r="JR353" s="15"/>
      <c r="JS353" s="15"/>
      <c r="JT353" s="15"/>
      <c r="JU353" s="15"/>
      <c r="JV353" s="15"/>
      <c r="JW353" s="15"/>
      <c r="JX353" s="15"/>
      <c r="JY353" s="15"/>
      <c r="JZ353" s="15"/>
      <c r="KA353" s="15"/>
      <c r="KB353" s="15"/>
      <c r="KC353" s="15"/>
      <c r="KD353" s="15"/>
      <c r="KE353" s="15"/>
      <c r="KF353" s="15"/>
      <c r="KG353" s="15"/>
      <c r="KH353" s="15"/>
      <c r="KI353" s="15"/>
      <c r="KJ353" s="15"/>
      <c r="KK353" s="15"/>
      <c r="KL353" s="15"/>
      <c r="KM353" s="15"/>
      <c r="KN353" s="15"/>
      <c r="KO353" s="15"/>
      <c r="KP353" s="15"/>
      <c r="KQ353" s="15"/>
      <c r="KR353" s="15"/>
      <c r="KS353" s="15"/>
      <c r="KT353" s="15"/>
      <c r="KU353" s="15"/>
      <c r="KV353" s="15"/>
      <c r="KW353" s="15"/>
      <c r="KX353" s="15"/>
      <c r="KY353" s="15"/>
      <c r="KZ353" s="15"/>
      <c r="LA353" s="15"/>
      <c r="LB353" s="15"/>
      <c r="LC353" s="15"/>
      <c r="LD353" s="15"/>
      <c r="LE353" s="15"/>
      <c r="LF353" s="15"/>
      <c r="LG353" s="15"/>
      <c r="LH353" s="15"/>
      <c r="LI353" s="15"/>
      <c r="LJ353" s="15"/>
      <c r="LK353" s="15"/>
      <c r="LL353" s="15"/>
      <c r="LM353" s="15"/>
      <c r="LN353" s="15"/>
      <c r="LO353" s="15"/>
      <c r="LP353" s="15"/>
      <c r="LQ353" s="15"/>
      <c r="LR353" s="15"/>
      <c r="LS353" s="15"/>
      <c r="LT353" s="15"/>
      <c r="LU353" s="15"/>
      <c r="LV353" s="15"/>
      <c r="LW353" s="15"/>
      <c r="LX353" s="15"/>
      <c r="LY353" s="15"/>
      <c r="LZ353" s="15"/>
      <c r="MA353" s="15"/>
      <c r="MB353" s="15"/>
      <c r="MC353" s="15"/>
      <c r="MD353" s="15"/>
      <c r="ME353" s="15"/>
      <c r="MF353" s="15"/>
      <c r="MG353" s="15"/>
      <c r="MH353" s="15"/>
      <c r="MI353" s="15"/>
      <c r="MJ353" s="15"/>
      <c r="MK353" s="15"/>
      <c r="ML353" s="15"/>
      <c r="MM353" s="15"/>
      <c r="MN353" s="15"/>
      <c r="MO353" s="15"/>
      <c r="MP353" s="15"/>
      <c r="MQ353" s="15"/>
      <c r="MR353" s="15"/>
      <c r="MS353" s="15"/>
      <c r="MT353" s="15"/>
      <c r="MU353" s="15"/>
      <c r="MV353" s="15"/>
      <c r="MW353" s="15"/>
    </row>
    <row r="354" ht="119.25" customHeight="1">
      <c r="A354" s="16" t="s">
        <v>10385</v>
      </c>
      <c r="B354" s="14" t="s">
        <v>10386</v>
      </c>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c r="DC354" s="15"/>
      <c r="DD354" s="15"/>
      <c r="DE354" s="15"/>
      <c r="DF354" s="15"/>
      <c r="DG354" s="15"/>
      <c r="DH354" s="15"/>
      <c r="DI354" s="15"/>
      <c r="DJ354" s="15"/>
      <c r="DK354" s="15"/>
      <c r="DL354" s="15"/>
      <c r="DM354" s="15"/>
      <c r="DN354" s="15"/>
      <c r="DO354" s="15"/>
      <c r="DP354" s="15"/>
      <c r="DQ354" s="15"/>
      <c r="DR354" s="15"/>
      <c r="DS354" s="15"/>
      <c r="DT354" s="15"/>
      <c r="DU354" s="15"/>
      <c r="DV354" s="15"/>
      <c r="DW354" s="15"/>
      <c r="DX354" s="15"/>
      <c r="DY354" s="15"/>
      <c r="DZ354" s="15"/>
      <c r="EA354" s="15"/>
      <c r="EB354" s="15"/>
      <c r="EC354" s="15"/>
      <c r="ED354" s="15"/>
      <c r="EE354" s="15"/>
      <c r="EF354" s="15"/>
      <c r="EG354" s="15"/>
      <c r="EH354" s="15"/>
      <c r="EI354" s="15"/>
      <c r="EJ354" s="15"/>
      <c r="EK354" s="15"/>
      <c r="EL354" s="15"/>
      <c r="EM354" s="15"/>
      <c r="EN354" s="15"/>
      <c r="EO354" s="15"/>
      <c r="EP354" s="15"/>
      <c r="EQ354" s="15"/>
      <c r="ER354" s="15"/>
      <c r="ES354" s="15"/>
      <c r="ET354" s="15"/>
      <c r="EU354" s="15"/>
      <c r="EV354" s="15"/>
      <c r="EW354" s="15"/>
      <c r="EX354" s="15"/>
      <c r="EY354" s="15"/>
      <c r="EZ354" s="15"/>
      <c r="FA354" s="15"/>
      <c r="FB354" s="15"/>
      <c r="FC354" s="15"/>
      <c r="FD354" s="15"/>
      <c r="FE354" s="15"/>
      <c r="FF354" s="15"/>
      <c r="FG354" s="15"/>
      <c r="FH354" s="15"/>
      <c r="FI354" s="15"/>
      <c r="FJ354" s="15"/>
      <c r="FK354" s="15"/>
      <c r="FL354" s="15"/>
      <c r="FM354" s="15"/>
      <c r="FN354" s="15"/>
      <c r="FO354" s="15"/>
      <c r="FP354" s="15"/>
      <c r="FQ354" s="15"/>
      <c r="FR354" s="15"/>
      <c r="FS354" s="15"/>
      <c r="FT354" s="15"/>
      <c r="FU354" s="15"/>
      <c r="FV354" s="15"/>
      <c r="FW354" s="15"/>
      <c r="FX354" s="15"/>
      <c r="FY354" s="15"/>
      <c r="FZ354" s="15"/>
      <c r="GA354" s="15"/>
      <c r="GB354" s="15"/>
      <c r="GC354" s="15"/>
      <c r="GD354" s="15"/>
      <c r="GE354" s="15"/>
      <c r="GF354" s="15"/>
      <c r="GG354" s="15"/>
      <c r="GH354" s="15"/>
      <c r="GI354" s="15"/>
      <c r="GJ354" s="15"/>
      <c r="GK354" s="15"/>
      <c r="GL354" s="15"/>
      <c r="GM354" s="15"/>
      <c r="GN354" s="15"/>
      <c r="GO354" s="15"/>
      <c r="GP354" s="15"/>
      <c r="GQ354" s="15"/>
      <c r="GR354" s="15"/>
      <c r="GS354" s="15"/>
      <c r="GT354" s="15"/>
      <c r="GU354" s="15"/>
      <c r="GV354" s="15"/>
      <c r="GW354" s="15"/>
      <c r="GX354" s="15"/>
      <c r="GY354" s="15"/>
      <c r="GZ354" s="15"/>
      <c r="HA354" s="15"/>
      <c r="HB354" s="15"/>
      <c r="HC354" s="15"/>
      <c r="HD354" s="15"/>
      <c r="HE354" s="15"/>
      <c r="HF354" s="15"/>
      <c r="HG354" s="15"/>
      <c r="HH354" s="15"/>
      <c r="HI354" s="15"/>
      <c r="HJ354" s="15"/>
      <c r="HK354" s="15"/>
      <c r="HL354" s="15"/>
      <c r="HM354" s="15"/>
      <c r="HN354" s="15"/>
      <c r="HO354" s="15"/>
      <c r="HP354" s="15"/>
      <c r="HQ354" s="15"/>
      <c r="HR354" s="15"/>
      <c r="HS354" s="15"/>
      <c r="HT354" s="15"/>
      <c r="HU354" s="15"/>
      <c r="HV354" s="15"/>
      <c r="HW354" s="15"/>
      <c r="HX354" s="15"/>
      <c r="HY354" s="15"/>
      <c r="HZ354" s="15"/>
      <c r="IA354" s="15"/>
      <c r="IB354" s="15"/>
      <c r="IC354" s="15"/>
      <c r="ID354" s="15"/>
      <c r="IE354" s="15"/>
      <c r="IF354" s="15"/>
      <c r="IG354" s="15"/>
      <c r="IH354" s="15"/>
      <c r="II354" s="15"/>
      <c r="IJ354" s="15"/>
      <c r="IK354" s="15"/>
      <c r="IL354" s="15"/>
      <c r="IM354" s="15"/>
      <c r="IN354" s="15"/>
      <c r="IO354" s="15"/>
      <c r="IP354" s="15"/>
      <c r="IQ354" s="15"/>
      <c r="IR354" s="15"/>
      <c r="IS354" s="15"/>
      <c r="IT354" s="15"/>
      <c r="IU354" s="15"/>
      <c r="IV354" s="15"/>
      <c r="IW354" s="15"/>
      <c r="IX354" s="15"/>
      <c r="IY354" s="15"/>
      <c r="IZ354" s="15"/>
      <c r="JA354" s="15"/>
      <c r="JB354" s="15"/>
      <c r="JC354" s="15"/>
      <c r="JD354" s="15"/>
      <c r="JE354" s="15"/>
      <c r="JF354" s="15"/>
      <c r="JG354" s="15"/>
      <c r="JH354" s="15"/>
      <c r="JI354" s="15"/>
      <c r="JJ354" s="15"/>
      <c r="JK354" s="15"/>
      <c r="JL354" s="15"/>
      <c r="JM354" s="15"/>
      <c r="JN354" s="15"/>
      <c r="JO354" s="15"/>
      <c r="JP354" s="15"/>
      <c r="JQ354" s="15"/>
      <c r="JR354" s="15"/>
      <c r="JS354" s="15"/>
      <c r="JT354" s="15"/>
      <c r="JU354" s="15"/>
      <c r="JV354" s="15"/>
      <c r="JW354" s="15"/>
      <c r="JX354" s="15"/>
      <c r="JY354" s="15"/>
      <c r="JZ354" s="15"/>
      <c r="KA354" s="15"/>
      <c r="KB354" s="15"/>
      <c r="KC354" s="15"/>
      <c r="KD354" s="15"/>
      <c r="KE354" s="15"/>
      <c r="KF354" s="15"/>
      <c r="KG354" s="15"/>
      <c r="KH354" s="15"/>
      <c r="KI354" s="15"/>
      <c r="KJ354" s="15"/>
      <c r="KK354" s="15"/>
      <c r="KL354" s="15"/>
      <c r="KM354" s="15"/>
      <c r="KN354" s="15"/>
      <c r="KO354" s="15"/>
      <c r="KP354" s="15"/>
      <c r="KQ354" s="15"/>
      <c r="KR354" s="15"/>
      <c r="KS354" s="15"/>
      <c r="KT354" s="15"/>
      <c r="KU354" s="15"/>
      <c r="KV354" s="15"/>
      <c r="KW354" s="15"/>
      <c r="KX354" s="15"/>
      <c r="KY354" s="15"/>
      <c r="KZ354" s="15"/>
      <c r="LA354" s="15"/>
      <c r="LB354" s="15"/>
      <c r="LC354" s="15"/>
      <c r="LD354" s="15"/>
      <c r="LE354" s="15"/>
      <c r="LF354" s="15"/>
      <c r="LG354" s="15"/>
      <c r="LH354" s="15"/>
      <c r="LI354" s="15"/>
      <c r="LJ354" s="15"/>
      <c r="LK354" s="15"/>
      <c r="LL354" s="15"/>
      <c r="LM354" s="15"/>
      <c r="LN354" s="15"/>
      <c r="LO354" s="15"/>
      <c r="LP354" s="15"/>
      <c r="LQ354" s="15"/>
      <c r="LR354" s="15"/>
      <c r="LS354" s="15"/>
      <c r="LT354" s="15"/>
      <c r="LU354" s="15"/>
      <c r="LV354" s="15"/>
      <c r="LW354" s="15"/>
      <c r="LX354" s="15"/>
      <c r="LY354" s="15"/>
      <c r="LZ354" s="15"/>
      <c r="MA354" s="15"/>
      <c r="MB354" s="15"/>
      <c r="MC354" s="15"/>
      <c r="MD354" s="15"/>
      <c r="ME354" s="15"/>
      <c r="MF354" s="15"/>
      <c r="MG354" s="15"/>
      <c r="MH354" s="15"/>
      <c r="MI354" s="15"/>
      <c r="MJ354" s="15"/>
      <c r="MK354" s="15"/>
      <c r="ML354" s="15"/>
      <c r="MM354" s="15"/>
      <c r="MN354" s="15"/>
      <c r="MO354" s="15"/>
      <c r="MP354" s="15"/>
      <c r="MQ354" s="15"/>
      <c r="MR354" s="15"/>
      <c r="MS354" s="15"/>
      <c r="MT354" s="15"/>
      <c r="MU354" s="15"/>
      <c r="MV354" s="15"/>
      <c r="MW354" s="15"/>
    </row>
    <row r="355" ht="41.25" customHeight="1">
      <c r="A355" s="16" t="s">
        <v>10387</v>
      </c>
      <c r="B355" s="14" t="s">
        <v>10388</v>
      </c>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c r="DE355" s="15"/>
      <c r="DF355" s="15"/>
      <c r="DG355" s="15"/>
      <c r="DH355" s="15"/>
      <c r="DI355" s="15"/>
      <c r="DJ355" s="15"/>
      <c r="DK355" s="15"/>
      <c r="DL355" s="15"/>
      <c r="DM355" s="15"/>
      <c r="DN355" s="15"/>
      <c r="DO355" s="15"/>
      <c r="DP355" s="15"/>
      <c r="DQ355" s="15"/>
      <c r="DR355" s="15"/>
      <c r="DS355" s="15"/>
      <c r="DT355" s="15"/>
      <c r="DU355" s="15"/>
      <c r="DV355" s="15"/>
      <c r="DW355" s="15"/>
      <c r="DX355" s="15"/>
      <c r="DY355" s="15"/>
      <c r="DZ355" s="15"/>
      <c r="EA355" s="15"/>
      <c r="EB355" s="15"/>
      <c r="EC355" s="15"/>
      <c r="ED355" s="15"/>
      <c r="EE355" s="15"/>
      <c r="EF355" s="15"/>
      <c r="EG355" s="15"/>
      <c r="EH355" s="15"/>
      <c r="EI355" s="15"/>
      <c r="EJ355" s="15"/>
      <c r="EK355" s="15"/>
      <c r="EL355" s="15"/>
      <c r="EM355" s="15"/>
      <c r="EN355" s="15"/>
      <c r="EO355" s="15"/>
      <c r="EP355" s="15"/>
      <c r="EQ355" s="15"/>
      <c r="ER355" s="15"/>
      <c r="ES355" s="15"/>
      <c r="ET355" s="15"/>
      <c r="EU355" s="15"/>
      <c r="EV355" s="15"/>
      <c r="EW355" s="15"/>
      <c r="EX355" s="15"/>
      <c r="EY355" s="15"/>
      <c r="EZ355" s="15"/>
      <c r="FA355" s="15"/>
      <c r="FB355" s="15"/>
      <c r="FC355" s="15"/>
      <c r="FD355" s="15"/>
      <c r="FE355" s="15"/>
      <c r="FF355" s="15"/>
      <c r="FG355" s="15"/>
      <c r="FH355" s="15"/>
      <c r="FI355" s="15"/>
      <c r="FJ355" s="15"/>
      <c r="FK355" s="15"/>
      <c r="FL355" s="15"/>
      <c r="FM355" s="15"/>
      <c r="FN355" s="15"/>
      <c r="FO355" s="15"/>
      <c r="FP355" s="15"/>
      <c r="FQ355" s="15"/>
      <c r="FR355" s="15"/>
      <c r="FS355" s="15"/>
      <c r="FT355" s="15"/>
      <c r="FU355" s="15"/>
      <c r="FV355" s="15"/>
      <c r="FW355" s="15"/>
      <c r="FX355" s="15"/>
      <c r="FY355" s="15"/>
      <c r="FZ355" s="15"/>
      <c r="GA355" s="15"/>
      <c r="GB355" s="15"/>
      <c r="GC355" s="15"/>
      <c r="GD355" s="15"/>
      <c r="GE355" s="15"/>
      <c r="GF355" s="15"/>
      <c r="GG355" s="15"/>
      <c r="GH355" s="15"/>
      <c r="GI355" s="15"/>
      <c r="GJ355" s="15"/>
      <c r="GK355" s="15"/>
      <c r="GL355" s="15"/>
      <c r="GM355" s="15"/>
      <c r="GN355" s="15"/>
      <c r="GO355" s="15"/>
      <c r="GP355" s="15"/>
      <c r="GQ355" s="15"/>
      <c r="GR355" s="15"/>
      <c r="GS355" s="15"/>
      <c r="GT355" s="15"/>
      <c r="GU355" s="15"/>
      <c r="GV355" s="15"/>
      <c r="GW355" s="15"/>
      <c r="GX355" s="15"/>
      <c r="GY355" s="15"/>
      <c r="GZ355" s="15"/>
      <c r="HA355" s="15"/>
      <c r="HB355" s="15"/>
      <c r="HC355" s="15"/>
      <c r="HD355" s="15"/>
      <c r="HE355" s="15"/>
      <c r="HF355" s="15"/>
      <c r="HG355" s="15"/>
      <c r="HH355" s="15"/>
      <c r="HI355" s="15"/>
      <c r="HJ355" s="15"/>
      <c r="HK355" s="15"/>
      <c r="HL355" s="15"/>
      <c r="HM355" s="15"/>
      <c r="HN355" s="15"/>
      <c r="HO355" s="15"/>
      <c r="HP355" s="15"/>
      <c r="HQ355" s="15"/>
      <c r="HR355" s="15"/>
      <c r="HS355" s="15"/>
      <c r="HT355" s="15"/>
      <c r="HU355" s="15"/>
      <c r="HV355" s="15"/>
      <c r="HW355" s="15"/>
      <c r="HX355" s="15"/>
      <c r="HY355" s="15"/>
      <c r="HZ355" s="15"/>
      <c r="IA355" s="15"/>
      <c r="IB355" s="15"/>
      <c r="IC355" s="15"/>
      <c r="ID355" s="15"/>
      <c r="IE355" s="15"/>
      <c r="IF355" s="15"/>
      <c r="IG355" s="15"/>
      <c r="IH355" s="15"/>
      <c r="II355" s="15"/>
      <c r="IJ355" s="15"/>
      <c r="IK355" s="15"/>
      <c r="IL355" s="15"/>
      <c r="IM355" s="15"/>
      <c r="IN355" s="15"/>
      <c r="IO355" s="15"/>
      <c r="IP355" s="15"/>
      <c r="IQ355" s="15"/>
      <c r="IR355" s="15"/>
      <c r="IS355" s="15"/>
      <c r="IT355" s="15"/>
      <c r="IU355" s="15"/>
      <c r="IV355" s="15"/>
      <c r="IW355" s="15"/>
      <c r="IX355" s="15"/>
      <c r="IY355" s="15"/>
      <c r="IZ355" s="15"/>
      <c r="JA355" s="15"/>
      <c r="JB355" s="15"/>
      <c r="JC355" s="15"/>
      <c r="JD355" s="15"/>
      <c r="JE355" s="15"/>
      <c r="JF355" s="15"/>
      <c r="JG355" s="15"/>
      <c r="JH355" s="15"/>
      <c r="JI355" s="15"/>
      <c r="JJ355" s="15"/>
      <c r="JK355" s="15"/>
      <c r="JL355" s="15"/>
      <c r="JM355" s="15"/>
      <c r="JN355" s="15"/>
      <c r="JO355" s="15"/>
      <c r="JP355" s="15"/>
      <c r="JQ355" s="15"/>
      <c r="JR355" s="15"/>
      <c r="JS355" s="15"/>
      <c r="JT355" s="15"/>
      <c r="JU355" s="15"/>
      <c r="JV355" s="15"/>
      <c r="JW355" s="15"/>
      <c r="JX355" s="15"/>
      <c r="JY355" s="15"/>
      <c r="JZ355" s="15"/>
      <c r="KA355" s="15"/>
      <c r="KB355" s="15"/>
      <c r="KC355" s="15"/>
      <c r="KD355" s="15"/>
      <c r="KE355" s="15"/>
      <c r="KF355" s="15"/>
      <c r="KG355" s="15"/>
      <c r="KH355" s="15"/>
      <c r="KI355" s="15"/>
      <c r="KJ355" s="15"/>
      <c r="KK355" s="15"/>
      <c r="KL355" s="15"/>
      <c r="KM355" s="15"/>
      <c r="KN355" s="15"/>
      <c r="KO355" s="15"/>
      <c r="KP355" s="15"/>
      <c r="KQ355" s="15"/>
      <c r="KR355" s="15"/>
      <c r="KS355" s="15"/>
      <c r="KT355" s="15"/>
      <c r="KU355" s="15"/>
      <c r="KV355" s="15"/>
      <c r="KW355" s="15"/>
      <c r="KX355" s="15"/>
      <c r="KY355" s="15"/>
      <c r="KZ355" s="15"/>
      <c r="LA355" s="15"/>
      <c r="LB355" s="15"/>
      <c r="LC355" s="15"/>
      <c r="LD355" s="15"/>
      <c r="LE355" s="15"/>
      <c r="LF355" s="15"/>
      <c r="LG355" s="15"/>
      <c r="LH355" s="15"/>
      <c r="LI355" s="15"/>
      <c r="LJ355" s="15"/>
      <c r="LK355" s="15"/>
      <c r="LL355" s="15"/>
      <c r="LM355" s="15"/>
      <c r="LN355" s="15"/>
      <c r="LO355" s="15"/>
      <c r="LP355" s="15"/>
      <c r="LQ355" s="15"/>
      <c r="LR355" s="15"/>
      <c r="LS355" s="15"/>
      <c r="LT355" s="15"/>
      <c r="LU355" s="15"/>
      <c r="LV355" s="15"/>
      <c r="LW355" s="15"/>
      <c r="LX355" s="15"/>
      <c r="LY355" s="15"/>
      <c r="LZ355" s="15"/>
      <c r="MA355" s="15"/>
      <c r="MB355" s="15"/>
      <c r="MC355" s="15"/>
      <c r="MD355" s="15"/>
      <c r="ME355" s="15"/>
      <c r="MF355" s="15"/>
      <c r="MG355" s="15"/>
      <c r="MH355" s="15"/>
      <c r="MI355" s="15"/>
      <c r="MJ355" s="15"/>
      <c r="MK355" s="15"/>
      <c r="ML355" s="15"/>
      <c r="MM355" s="15"/>
      <c r="MN355" s="15"/>
      <c r="MO355" s="15"/>
      <c r="MP355" s="15"/>
      <c r="MQ355" s="15"/>
      <c r="MR355" s="15"/>
      <c r="MS355" s="15"/>
      <c r="MT355" s="15"/>
      <c r="MU355" s="15"/>
      <c r="MV355" s="15"/>
      <c r="MW355" s="15"/>
    </row>
    <row r="356" ht="119.25" customHeight="1">
      <c r="A356" s="16" t="s">
        <v>10389</v>
      </c>
      <c r="B356" s="14" t="s">
        <v>10390</v>
      </c>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c r="DC356" s="15"/>
      <c r="DD356" s="15"/>
      <c r="DE356" s="15"/>
      <c r="DF356" s="15"/>
      <c r="DG356" s="15"/>
      <c r="DH356" s="15"/>
      <c r="DI356" s="15"/>
      <c r="DJ356" s="15"/>
      <c r="DK356" s="15"/>
      <c r="DL356" s="15"/>
      <c r="DM356" s="15"/>
      <c r="DN356" s="15"/>
      <c r="DO356" s="15"/>
      <c r="DP356" s="15"/>
      <c r="DQ356" s="15"/>
      <c r="DR356" s="15"/>
      <c r="DS356" s="15"/>
      <c r="DT356" s="15"/>
      <c r="DU356" s="15"/>
      <c r="DV356" s="15"/>
      <c r="DW356" s="15"/>
      <c r="DX356" s="15"/>
      <c r="DY356" s="15"/>
      <c r="DZ356" s="15"/>
      <c r="EA356" s="15"/>
      <c r="EB356" s="15"/>
      <c r="EC356" s="15"/>
      <c r="ED356" s="15"/>
      <c r="EE356" s="15"/>
      <c r="EF356" s="15"/>
      <c r="EG356" s="15"/>
      <c r="EH356" s="15"/>
      <c r="EI356" s="15"/>
      <c r="EJ356" s="15"/>
      <c r="EK356" s="15"/>
      <c r="EL356" s="15"/>
      <c r="EM356" s="15"/>
      <c r="EN356" s="15"/>
      <c r="EO356" s="15"/>
      <c r="EP356" s="15"/>
      <c r="EQ356" s="15"/>
      <c r="ER356" s="15"/>
      <c r="ES356" s="15"/>
      <c r="ET356" s="15"/>
      <c r="EU356" s="15"/>
      <c r="EV356" s="15"/>
      <c r="EW356" s="15"/>
      <c r="EX356" s="15"/>
      <c r="EY356" s="15"/>
      <c r="EZ356" s="15"/>
      <c r="FA356" s="15"/>
      <c r="FB356" s="15"/>
      <c r="FC356" s="15"/>
      <c r="FD356" s="15"/>
      <c r="FE356" s="15"/>
      <c r="FF356" s="15"/>
      <c r="FG356" s="15"/>
      <c r="FH356" s="15"/>
      <c r="FI356" s="15"/>
      <c r="FJ356" s="15"/>
      <c r="FK356" s="15"/>
      <c r="FL356" s="15"/>
      <c r="FM356" s="15"/>
      <c r="FN356" s="15"/>
      <c r="FO356" s="15"/>
      <c r="FP356" s="15"/>
      <c r="FQ356" s="15"/>
      <c r="FR356" s="15"/>
      <c r="FS356" s="15"/>
      <c r="FT356" s="15"/>
      <c r="FU356" s="15"/>
      <c r="FV356" s="15"/>
      <c r="FW356" s="15"/>
      <c r="FX356" s="15"/>
      <c r="FY356" s="15"/>
      <c r="FZ356" s="15"/>
      <c r="GA356" s="15"/>
      <c r="GB356" s="15"/>
      <c r="GC356" s="15"/>
      <c r="GD356" s="15"/>
      <c r="GE356" s="15"/>
      <c r="GF356" s="15"/>
      <c r="GG356" s="15"/>
      <c r="GH356" s="15"/>
      <c r="GI356" s="15"/>
      <c r="GJ356" s="15"/>
      <c r="GK356" s="15"/>
      <c r="GL356" s="15"/>
      <c r="GM356" s="15"/>
      <c r="GN356" s="15"/>
      <c r="GO356" s="15"/>
      <c r="GP356" s="15"/>
      <c r="GQ356" s="15"/>
      <c r="GR356" s="15"/>
      <c r="GS356" s="15"/>
      <c r="GT356" s="15"/>
      <c r="GU356" s="15"/>
      <c r="GV356" s="15"/>
      <c r="GW356" s="15"/>
      <c r="GX356" s="15"/>
      <c r="GY356" s="15"/>
      <c r="GZ356" s="15"/>
      <c r="HA356" s="15"/>
      <c r="HB356" s="15"/>
      <c r="HC356" s="15"/>
      <c r="HD356" s="15"/>
      <c r="HE356" s="15"/>
      <c r="HF356" s="15"/>
      <c r="HG356" s="15"/>
      <c r="HH356" s="15"/>
      <c r="HI356" s="15"/>
      <c r="HJ356" s="15"/>
      <c r="HK356" s="15"/>
      <c r="HL356" s="15"/>
      <c r="HM356" s="15"/>
      <c r="HN356" s="15"/>
      <c r="HO356" s="15"/>
      <c r="HP356" s="15"/>
      <c r="HQ356" s="15"/>
      <c r="HR356" s="15"/>
      <c r="HS356" s="15"/>
      <c r="HT356" s="15"/>
      <c r="HU356" s="15"/>
      <c r="HV356" s="15"/>
      <c r="HW356" s="15"/>
      <c r="HX356" s="15"/>
      <c r="HY356" s="15"/>
      <c r="HZ356" s="15"/>
      <c r="IA356" s="15"/>
      <c r="IB356" s="15"/>
      <c r="IC356" s="15"/>
      <c r="ID356" s="15"/>
      <c r="IE356" s="15"/>
      <c r="IF356" s="15"/>
      <c r="IG356" s="15"/>
      <c r="IH356" s="15"/>
      <c r="II356" s="15"/>
      <c r="IJ356" s="15"/>
      <c r="IK356" s="15"/>
      <c r="IL356" s="15"/>
      <c r="IM356" s="15"/>
      <c r="IN356" s="15"/>
      <c r="IO356" s="15"/>
      <c r="IP356" s="15"/>
      <c r="IQ356" s="15"/>
      <c r="IR356" s="15"/>
      <c r="IS356" s="15"/>
      <c r="IT356" s="15"/>
      <c r="IU356" s="15"/>
      <c r="IV356" s="15"/>
      <c r="IW356" s="15"/>
      <c r="IX356" s="15"/>
      <c r="IY356" s="15"/>
      <c r="IZ356" s="15"/>
      <c r="JA356" s="15"/>
      <c r="JB356" s="15"/>
      <c r="JC356" s="15"/>
      <c r="JD356" s="15"/>
      <c r="JE356" s="15"/>
      <c r="JF356" s="15"/>
      <c r="JG356" s="15"/>
      <c r="JH356" s="15"/>
      <c r="JI356" s="15"/>
      <c r="JJ356" s="15"/>
      <c r="JK356" s="15"/>
      <c r="JL356" s="15"/>
      <c r="JM356" s="15"/>
      <c r="JN356" s="15"/>
      <c r="JO356" s="15"/>
      <c r="JP356" s="15"/>
      <c r="JQ356" s="15"/>
      <c r="JR356" s="15"/>
      <c r="JS356" s="15"/>
      <c r="JT356" s="15"/>
      <c r="JU356" s="15"/>
      <c r="JV356" s="15"/>
      <c r="JW356" s="15"/>
      <c r="JX356" s="15"/>
      <c r="JY356" s="15"/>
      <c r="JZ356" s="15"/>
      <c r="KA356" s="15"/>
      <c r="KB356" s="15"/>
      <c r="KC356" s="15"/>
      <c r="KD356" s="15"/>
      <c r="KE356" s="15"/>
      <c r="KF356" s="15"/>
      <c r="KG356" s="15"/>
      <c r="KH356" s="15"/>
      <c r="KI356" s="15"/>
      <c r="KJ356" s="15"/>
      <c r="KK356" s="15"/>
      <c r="KL356" s="15"/>
      <c r="KM356" s="15"/>
      <c r="KN356" s="15"/>
      <c r="KO356" s="15"/>
      <c r="KP356" s="15"/>
      <c r="KQ356" s="15"/>
      <c r="KR356" s="15"/>
      <c r="KS356" s="15"/>
      <c r="KT356" s="15"/>
      <c r="KU356" s="15"/>
      <c r="KV356" s="15"/>
      <c r="KW356" s="15"/>
      <c r="KX356" s="15"/>
      <c r="KY356" s="15"/>
      <c r="KZ356" s="15"/>
      <c r="LA356" s="15"/>
      <c r="LB356" s="15"/>
      <c r="LC356" s="15"/>
      <c r="LD356" s="15"/>
      <c r="LE356" s="15"/>
      <c r="LF356" s="15"/>
      <c r="LG356" s="15"/>
      <c r="LH356" s="15"/>
      <c r="LI356" s="15"/>
      <c r="LJ356" s="15"/>
      <c r="LK356" s="15"/>
      <c r="LL356" s="15"/>
      <c r="LM356" s="15"/>
      <c r="LN356" s="15"/>
      <c r="LO356" s="15"/>
      <c r="LP356" s="15"/>
      <c r="LQ356" s="15"/>
      <c r="LR356" s="15"/>
      <c r="LS356" s="15"/>
      <c r="LT356" s="15"/>
      <c r="LU356" s="15"/>
      <c r="LV356" s="15"/>
      <c r="LW356" s="15"/>
      <c r="LX356" s="15"/>
      <c r="LY356" s="15"/>
      <c r="LZ356" s="15"/>
      <c r="MA356" s="15"/>
      <c r="MB356" s="15"/>
      <c r="MC356" s="15"/>
      <c r="MD356" s="15"/>
      <c r="ME356" s="15"/>
      <c r="MF356" s="15"/>
      <c r="MG356" s="15"/>
      <c r="MH356" s="15"/>
      <c r="MI356" s="15"/>
      <c r="MJ356" s="15"/>
      <c r="MK356" s="15"/>
      <c r="ML356" s="15"/>
      <c r="MM356" s="15"/>
      <c r="MN356" s="15"/>
      <c r="MO356" s="15"/>
      <c r="MP356" s="15"/>
      <c r="MQ356" s="15"/>
      <c r="MR356" s="15"/>
      <c r="MS356" s="15"/>
      <c r="MT356" s="15"/>
      <c r="MU356" s="15"/>
      <c r="MV356" s="15"/>
      <c r="MW356" s="15"/>
    </row>
    <row r="357" ht="41.25" customHeight="1">
      <c r="A357" s="16" t="s">
        <v>10391</v>
      </c>
      <c r="B357" s="14" t="s">
        <v>10392</v>
      </c>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5"/>
      <c r="DL357" s="15"/>
      <c r="DM357" s="15"/>
      <c r="DN357" s="15"/>
      <c r="DO357" s="15"/>
      <c r="DP357" s="15"/>
      <c r="DQ357" s="15"/>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5"/>
      <c r="EY357" s="15"/>
      <c r="EZ357" s="15"/>
      <c r="FA357" s="15"/>
      <c r="FB357" s="15"/>
      <c r="FC357" s="15"/>
      <c r="FD357" s="15"/>
      <c r="FE357" s="15"/>
      <c r="FF357" s="15"/>
      <c r="FG357" s="15"/>
      <c r="FH357" s="15"/>
      <c r="FI357" s="15"/>
      <c r="FJ357" s="15"/>
      <c r="FK357" s="15"/>
      <c r="FL357" s="15"/>
      <c r="FM357" s="15"/>
      <c r="FN357" s="15"/>
      <c r="FO357" s="15"/>
      <c r="FP357" s="15"/>
      <c r="FQ357" s="15"/>
      <c r="FR357" s="15"/>
      <c r="FS357" s="15"/>
      <c r="FT357" s="15"/>
      <c r="FU357" s="15"/>
      <c r="FV357" s="15"/>
      <c r="FW357" s="15"/>
      <c r="FX357" s="15"/>
      <c r="FY357" s="15"/>
      <c r="FZ357" s="15"/>
      <c r="GA357" s="15"/>
      <c r="GB357" s="15"/>
      <c r="GC357" s="15"/>
      <c r="GD357" s="15"/>
      <c r="GE357" s="15"/>
      <c r="GF357" s="15"/>
      <c r="GG357" s="15"/>
      <c r="GH357" s="15"/>
      <c r="GI357" s="15"/>
      <c r="GJ357" s="15"/>
      <c r="GK357" s="15"/>
      <c r="GL357" s="15"/>
      <c r="GM357" s="15"/>
      <c r="GN357" s="15"/>
      <c r="GO357" s="15"/>
      <c r="GP357" s="15"/>
      <c r="GQ357" s="15"/>
      <c r="GR357" s="15"/>
      <c r="GS357" s="15"/>
      <c r="GT357" s="15"/>
      <c r="GU357" s="15"/>
      <c r="GV357" s="15"/>
      <c r="GW357" s="15"/>
      <c r="GX357" s="15"/>
      <c r="GY357" s="15"/>
      <c r="GZ357" s="15"/>
      <c r="HA357" s="15"/>
      <c r="HB357" s="15"/>
      <c r="HC357" s="15"/>
      <c r="HD357" s="15"/>
      <c r="HE357" s="15"/>
      <c r="HF357" s="15"/>
      <c r="HG357" s="15"/>
      <c r="HH357" s="15"/>
      <c r="HI357" s="15"/>
      <c r="HJ357" s="15"/>
      <c r="HK357" s="15"/>
      <c r="HL357" s="15"/>
      <c r="HM357" s="15"/>
      <c r="HN357" s="15"/>
      <c r="HO357" s="15"/>
      <c r="HP357" s="15"/>
      <c r="HQ357" s="15"/>
      <c r="HR357" s="15"/>
      <c r="HS357" s="15"/>
      <c r="HT357" s="15"/>
      <c r="HU357" s="15"/>
      <c r="HV357" s="15"/>
      <c r="HW357" s="15"/>
      <c r="HX357" s="15"/>
      <c r="HY357" s="15"/>
      <c r="HZ357" s="15"/>
      <c r="IA357" s="15"/>
      <c r="IB357" s="15"/>
      <c r="IC357" s="15"/>
      <c r="ID357" s="15"/>
      <c r="IE357" s="15"/>
      <c r="IF357" s="15"/>
      <c r="IG357" s="15"/>
      <c r="IH357" s="15"/>
      <c r="II357" s="15"/>
      <c r="IJ357" s="15"/>
      <c r="IK357" s="15"/>
      <c r="IL357" s="15"/>
      <c r="IM357" s="15"/>
      <c r="IN357" s="15"/>
      <c r="IO357" s="15"/>
      <c r="IP357" s="15"/>
      <c r="IQ357" s="15"/>
      <c r="IR357" s="15"/>
      <c r="IS357" s="15"/>
      <c r="IT357" s="15"/>
      <c r="IU357" s="15"/>
      <c r="IV357" s="15"/>
      <c r="IW357" s="15"/>
      <c r="IX357" s="15"/>
      <c r="IY357" s="15"/>
      <c r="IZ357" s="15"/>
      <c r="JA357" s="15"/>
      <c r="JB357" s="15"/>
      <c r="JC357" s="15"/>
      <c r="JD357" s="15"/>
      <c r="JE357" s="15"/>
      <c r="JF357" s="15"/>
      <c r="JG357" s="15"/>
      <c r="JH357" s="15"/>
      <c r="JI357" s="15"/>
      <c r="JJ357" s="15"/>
      <c r="JK357" s="15"/>
      <c r="JL357" s="15"/>
      <c r="JM357" s="15"/>
      <c r="JN357" s="15"/>
      <c r="JO357" s="15"/>
      <c r="JP357" s="15"/>
      <c r="JQ357" s="15"/>
      <c r="JR357" s="15"/>
      <c r="JS357" s="15"/>
      <c r="JT357" s="15"/>
      <c r="JU357" s="15"/>
      <c r="JV357" s="15"/>
      <c r="JW357" s="15"/>
      <c r="JX357" s="15"/>
      <c r="JY357" s="15"/>
      <c r="JZ357" s="15"/>
      <c r="KA357" s="15"/>
      <c r="KB357" s="15"/>
      <c r="KC357" s="15"/>
      <c r="KD357" s="15"/>
      <c r="KE357" s="15"/>
      <c r="KF357" s="15"/>
      <c r="KG357" s="15"/>
      <c r="KH357" s="15"/>
      <c r="KI357" s="15"/>
      <c r="KJ357" s="15"/>
      <c r="KK357" s="15"/>
      <c r="KL357" s="15"/>
      <c r="KM357" s="15"/>
      <c r="KN357" s="15"/>
      <c r="KO357" s="15"/>
      <c r="KP357" s="15"/>
      <c r="KQ357" s="15"/>
      <c r="KR357" s="15"/>
      <c r="KS357" s="15"/>
      <c r="KT357" s="15"/>
      <c r="KU357" s="15"/>
      <c r="KV357" s="15"/>
      <c r="KW357" s="15"/>
      <c r="KX357" s="15"/>
      <c r="KY357" s="15"/>
      <c r="KZ357" s="15"/>
      <c r="LA357" s="15"/>
      <c r="LB357" s="15"/>
      <c r="LC357" s="15"/>
      <c r="LD357" s="15"/>
      <c r="LE357" s="15"/>
      <c r="LF357" s="15"/>
      <c r="LG357" s="15"/>
      <c r="LH357" s="15"/>
      <c r="LI357" s="15"/>
      <c r="LJ357" s="15"/>
      <c r="LK357" s="15"/>
      <c r="LL357" s="15"/>
      <c r="LM357" s="15"/>
      <c r="LN357" s="15"/>
      <c r="LO357" s="15"/>
      <c r="LP357" s="15"/>
      <c r="LQ357" s="15"/>
      <c r="LR357" s="15"/>
      <c r="LS357" s="15"/>
      <c r="LT357" s="15"/>
      <c r="LU357" s="15"/>
      <c r="LV357" s="15"/>
      <c r="LW357" s="15"/>
      <c r="LX357" s="15"/>
      <c r="LY357" s="15"/>
      <c r="LZ357" s="15"/>
      <c r="MA357" s="15"/>
      <c r="MB357" s="15"/>
      <c r="MC357" s="15"/>
      <c r="MD357" s="15"/>
      <c r="ME357" s="15"/>
      <c r="MF357" s="15"/>
      <c r="MG357" s="15"/>
      <c r="MH357" s="15"/>
      <c r="MI357" s="15"/>
      <c r="MJ357" s="15"/>
      <c r="MK357" s="15"/>
      <c r="ML357" s="15"/>
      <c r="MM357" s="15"/>
      <c r="MN357" s="15"/>
      <c r="MO357" s="15"/>
      <c r="MP357" s="15"/>
      <c r="MQ357" s="15"/>
      <c r="MR357" s="15"/>
      <c r="MS357" s="15"/>
      <c r="MT357" s="15"/>
      <c r="MU357" s="15"/>
      <c r="MV357" s="15"/>
      <c r="MW357" s="15"/>
    </row>
    <row r="358" ht="119.25" customHeight="1">
      <c r="A358" s="16" t="s">
        <v>10393</v>
      </c>
      <c r="B358" s="14" t="s">
        <v>10394</v>
      </c>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5"/>
      <c r="DL358" s="15"/>
      <c r="DM358" s="15"/>
      <c r="DN358" s="15"/>
      <c r="DO358" s="15"/>
      <c r="DP358" s="15"/>
      <c r="DQ358" s="15"/>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5"/>
      <c r="EY358" s="15"/>
      <c r="EZ358" s="15"/>
      <c r="FA358" s="15"/>
      <c r="FB358" s="15"/>
      <c r="FC358" s="15"/>
      <c r="FD358" s="15"/>
      <c r="FE358" s="15"/>
      <c r="FF358" s="15"/>
      <c r="FG358" s="15"/>
      <c r="FH358" s="15"/>
      <c r="FI358" s="15"/>
      <c r="FJ358" s="15"/>
      <c r="FK358" s="15"/>
      <c r="FL358" s="15"/>
      <c r="FM358" s="15"/>
      <c r="FN358" s="15"/>
      <c r="FO358" s="15"/>
      <c r="FP358" s="15"/>
      <c r="FQ358" s="15"/>
      <c r="FR358" s="15"/>
      <c r="FS358" s="15"/>
      <c r="FT358" s="15"/>
      <c r="FU358" s="15"/>
      <c r="FV358" s="15"/>
      <c r="FW358" s="15"/>
      <c r="FX358" s="15"/>
      <c r="FY358" s="15"/>
      <c r="FZ358" s="15"/>
      <c r="GA358" s="15"/>
      <c r="GB358" s="15"/>
      <c r="GC358" s="15"/>
      <c r="GD358" s="15"/>
      <c r="GE358" s="15"/>
      <c r="GF358" s="15"/>
      <c r="GG358" s="15"/>
      <c r="GH358" s="15"/>
      <c r="GI358" s="15"/>
      <c r="GJ358" s="15"/>
      <c r="GK358" s="15"/>
      <c r="GL358" s="15"/>
      <c r="GM358" s="15"/>
      <c r="GN358" s="15"/>
      <c r="GO358" s="15"/>
      <c r="GP358" s="15"/>
      <c r="GQ358" s="15"/>
      <c r="GR358" s="15"/>
      <c r="GS358" s="15"/>
      <c r="GT358" s="15"/>
      <c r="GU358" s="15"/>
      <c r="GV358" s="15"/>
      <c r="GW358" s="15"/>
      <c r="GX358" s="15"/>
      <c r="GY358" s="15"/>
      <c r="GZ358" s="15"/>
      <c r="HA358" s="15"/>
      <c r="HB358" s="15"/>
      <c r="HC358" s="15"/>
      <c r="HD358" s="15"/>
      <c r="HE358" s="15"/>
      <c r="HF358" s="15"/>
      <c r="HG358" s="15"/>
      <c r="HH358" s="15"/>
      <c r="HI358" s="15"/>
      <c r="HJ358" s="15"/>
      <c r="HK358" s="15"/>
      <c r="HL358" s="15"/>
      <c r="HM358" s="15"/>
      <c r="HN358" s="15"/>
      <c r="HO358" s="15"/>
      <c r="HP358" s="15"/>
      <c r="HQ358" s="15"/>
      <c r="HR358" s="15"/>
      <c r="HS358" s="15"/>
      <c r="HT358" s="15"/>
      <c r="HU358" s="15"/>
      <c r="HV358" s="15"/>
      <c r="HW358" s="15"/>
      <c r="HX358" s="15"/>
      <c r="HY358" s="15"/>
      <c r="HZ358" s="15"/>
      <c r="IA358" s="15"/>
      <c r="IB358" s="15"/>
      <c r="IC358" s="15"/>
      <c r="ID358" s="15"/>
      <c r="IE358" s="15"/>
      <c r="IF358" s="15"/>
      <c r="IG358" s="15"/>
      <c r="IH358" s="15"/>
      <c r="II358" s="15"/>
      <c r="IJ358" s="15"/>
      <c r="IK358" s="15"/>
      <c r="IL358" s="15"/>
      <c r="IM358" s="15"/>
      <c r="IN358" s="15"/>
      <c r="IO358" s="15"/>
      <c r="IP358" s="15"/>
      <c r="IQ358" s="15"/>
      <c r="IR358" s="15"/>
      <c r="IS358" s="15"/>
      <c r="IT358" s="15"/>
      <c r="IU358" s="15"/>
      <c r="IV358" s="15"/>
      <c r="IW358" s="15"/>
      <c r="IX358" s="15"/>
      <c r="IY358" s="15"/>
      <c r="IZ358" s="15"/>
      <c r="JA358" s="15"/>
      <c r="JB358" s="15"/>
      <c r="JC358" s="15"/>
      <c r="JD358" s="15"/>
      <c r="JE358" s="15"/>
      <c r="JF358" s="15"/>
      <c r="JG358" s="15"/>
      <c r="JH358" s="15"/>
      <c r="JI358" s="15"/>
      <c r="JJ358" s="15"/>
      <c r="JK358" s="15"/>
      <c r="JL358" s="15"/>
      <c r="JM358" s="15"/>
      <c r="JN358" s="15"/>
      <c r="JO358" s="15"/>
      <c r="JP358" s="15"/>
      <c r="JQ358" s="15"/>
      <c r="JR358" s="15"/>
      <c r="JS358" s="15"/>
      <c r="JT358" s="15"/>
      <c r="JU358" s="15"/>
      <c r="JV358" s="15"/>
      <c r="JW358" s="15"/>
      <c r="JX358" s="15"/>
      <c r="JY358" s="15"/>
      <c r="JZ358" s="15"/>
      <c r="KA358" s="15"/>
      <c r="KB358" s="15"/>
      <c r="KC358" s="15"/>
      <c r="KD358" s="15"/>
      <c r="KE358" s="15"/>
      <c r="KF358" s="15"/>
      <c r="KG358" s="15"/>
      <c r="KH358" s="15"/>
      <c r="KI358" s="15"/>
      <c r="KJ358" s="15"/>
      <c r="KK358" s="15"/>
      <c r="KL358" s="15"/>
      <c r="KM358" s="15"/>
      <c r="KN358" s="15"/>
      <c r="KO358" s="15"/>
      <c r="KP358" s="15"/>
      <c r="KQ358" s="15"/>
      <c r="KR358" s="15"/>
      <c r="KS358" s="15"/>
      <c r="KT358" s="15"/>
      <c r="KU358" s="15"/>
      <c r="KV358" s="15"/>
      <c r="KW358" s="15"/>
      <c r="KX358" s="15"/>
      <c r="KY358" s="15"/>
      <c r="KZ358" s="15"/>
      <c r="LA358" s="15"/>
      <c r="LB358" s="15"/>
      <c r="LC358" s="15"/>
      <c r="LD358" s="15"/>
      <c r="LE358" s="15"/>
      <c r="LF358" s="15"/>
      <c r="LG358" s="15"/>
      <c r="LH358" s="15"/>
      <c r="LI358" s="15"/>
      <c r="LJ358" s="15"/>
      <c r="LK358" s="15"/>
      <c r="LL358" s="15"/>
      <c r="LM358" s="15"/>
      <c r="LN358" s="15"/>
      <c r="LO358" s="15"/>
      <c r="LP358" s="15"/>
      <c r="LQ358" s="15"/>
      <c r="LR358" s="15"/>
      <c r="LS358" s="15"/>
      <c r="LT358" s="15"/>
      <c r="LU358" s="15"/>
      <c r="LV358" s="15"/>
      <c r="LW358" s="15"/>
      <c r="LX358" s="15"/>
      <c r="LY358" s="15"/>
      <c r="LZ358" s="15"/>
      <c r="MA358" s="15"/>
      <c r="MB358" s="15"/>
      <c r="MC358" s="15"/>
      <c r="MD358" s="15"/>
      <c r="ME358" s="15"/>
      <c r="MF358" s="15"/>
      <c r="MG358" s="15"/>
      <c r="MH358" s="15"/>
      <c r="MI358" s="15"/>
      <c r="MJ358" s="15"/>
      <c r="MK358" s="15"/>
      <c r="ML358" s="15"/>
      <c r="MM358" s="15"/>
      <c r="MN358" s="15"/>
      <c r="MO358" s="15"/>
      <c r="MP358" s="15"/>
      <c r="MQ358" s="15"/>
      <c r="MR358" s="15"/>
      <c r="MS358" s="15"/>
      <c r="MT358" s="15"/>
      <c r="MU358" s="15"/>
      <c r="MV358" s="15"/>
      <c r="MW358" s="15"/>
    </row>
    <row r="359" ht="41.25" customHeight="1">
      <c r="A359" s="16" t="s">
        <v>366</v>
      </c>
      <c r="B359" s="14" t="s">
        <v>10395</v>
      </c>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5"/>
      <c r="DL359" s="15"/>
      <c r="DM359" s="15"/>
      <c r="DN359" s="15"/>
      <c r="DO359" s="15"/>
      <c r="DP359" s="15"/>
      <c r="DQ359" s="15"/>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5"/>
      <c r="EY359" s="15"/>
      <c r="EZ359" s="15"/>
      <c r="FA359" s="15"/>
      <c r="FB359" s="15"/>
      <c r="FC359" s="15"/>
      <c r="FD359" s="15"/>
      <c r="FE359" s="15"/>
      <c r="FF359" s="15"/>
      <c r="FG359" s="15"/>
      <c r="FH359" s="15"/>
      <c r="FI359" s="15"/>
      <c r="FJ359" s="15"/>
      <c r="FK359" s="15"/>
      <c r="FL359" s="15"/>
      <c r="FM359" s="15"/>
      <c r="FN359" s="15"/>
      <c r="FO359" s="15"/>
      <c r="FP359" s="15"/>
      <c r="FQ359" s="15"/>
      <c r="FR359" s="15"/>
      <c r="FS359" s="15"/>
      <c r="FT359" s="15"/>
      <c r="FU359" s="15"/>
      <c r="FV359" s="15"/>
      <c r="FW359" s="15"/>
      <c r="FX359" s="15"/>
      <c r="FY359" s="15"/>
      <c r="FZ359" s="15"/>
      <c r="GA359" s="15"/>
      <c r="GB359" s="15"/>
      <c r="GC359" s="15"/>
      <c r="GD359" s="15"/>
      <c r="GE359" s="15"/>
      <c r="GF359" s="15"/>
      <c r="GG359" s="15"/>
      <c r="GH359" s="15"/>
      <c r="GI359" s="15"/>
      <c r="GJ359" s="15"/>
      <c r="GK359" s="15"/>
      <c r="GL359" s="15"/>
      <c r="GM359" s="15"/>
      <c r="GN359" s="15"/>
      <c r="GO359" s="15"/>
      <c r="GP359" s="15"/>
      <c r="GQ359" s="15"/>
      <c r="GR359" s="15"/>
      <c r="GS359" s="15"/>
      <c r="GT359" s="15"/>
      <c r="GU359" s="15"/>
      <c r="GV359" s="15"/>
      <c r="GW359" s="15"/>
      <c r="GX359" s="15"/>
      <c r="GY359" s="15"/>
      <c r="GZ359" s="15"/>
      <c r="HA359" s="15"/>
      <c r="HB359" s="15"/>
      <c r="HC359" s="15"/>
      <c r="HD359" s="15"/>
      <c r="HE359" s="15"/>
      <c r="HF359" s="15"/>
      <c r="HG359" s="15"/>
      <c r="HH359" s="15"/>
      <c r="HI359" s="15"/>
      <c r="HJ359" s="15"/>
      <c r="HK359" s="15"/>
      <c r="HL359" s="15"/>
      <c r="HM359" s="15"/>
      <c r="HN359" s="15"/>
      <c r="HO359" s="15"/>
      <c r="HP359" s="15"/>
      <c r="HQ359" s="15"/>
      <c r="HR359" s="15"/>
      <c r="HS359" s="15"/>
      <c r="HT359" s="15"/>
      <c r="HU359" s="15"/>
      <c r="HV359" s="15"/>
      <c r="HW359" s="15"/>
      <c r="HX359" s="15"/>
      <c r="HY359" s="15"/>
      <c r="HZ359" s="15"/>
      <c r="IA359" s="15"/>
      <c r="IB359" s="15"/>
      <c r="IC359" s="15"/>
      <c r="ID359" s="15"/>
      <c r="IE359" s="15"/>
      <c r="IF359" s="15"/>
      <c r="IG359" s="15"/>
      <c r="IH359" s="15"/>
      <c r="II359" s="15"/>
      <c r="IJ359" s="15"/>
      <c r="IK359" s="15"/>
      <c r="IL359" s="15"/>
      <c r="IM359" s="15"/>
      <c r="IN359" s="15"/>
      <c r="IO359" s="15"/>
      <c r="IP359" s="15"/>
      <c r="IQ359" s="15"/>
      <c r="IR359" s="15"/>
      <c r="IS359" s="15"/>
      <c r="IT359" s="15"/>
      <c r="IU359" s="15"/>
      <c r="IV359" s="15"/>
      <c r="IW359" s="15"/>
      <c r="IX359" s="15"/>
      <c r="IY359" s="15"/>
      <c r="IZ359" s="15"/>
      <c r="JA359" s="15"/>
      <c r="JB359" s="15"/>
      <c r="JC359" s="15"/>
      <c r="JD359" s="15"/>
      <c r="JE359" s="15"/>
      <c r="JF359" s="15"/>
      <c r="JG359" s="15"/>
      <c r="JH359" s="15"/>
      <c r="JI359" s="15"/>
      <c r="JJ359" s="15"/>
      <c r="JK359" s="15"/>
      <c r="JL359" s="15"/>
      <c r="JM359" s="15"/>
      <c r="JN359" s="15"/>
      <c r="JO359" s="15"/>
      <c r="JP359" s="15"/>
      <c r="JQ359" s="15"/>
      <c r="JR359" s="15"/>
      <c r="JS359" s="15"/>
      <c r="JT359" s="15"/>
      <c r="JU359" s="15"/>
      <c r="JV359" s="15"/>
      <c r="JW359" s="15"/>
      <c r="JX359" s="15"/>
      <c r="JY359" s="15"/>
      <c r="JZ359" s="15"/>
      <c r="KA359" s="15"/>
      <c r="KB359" s="15"/>
      <c r="KC359" s="15"/>
      <c r="KD359" s="15"/>
      <c r="KE359" s="15"/>
      <c r="KF359" s="15"/>
      <c r="KG359" s="15"/>
      <c r="KH359" s="15"/>
      <c r="KI359" s="15"/>
      <c r="KJ359" s="15"/>
      <c r="KK359" s="15"/>
      <c r="KL359" s="15"/>
      <c r="KM359" s="15"/>
      <c r="KN359" s="15"/>
      <c r="KO359" s="15"/>
      <c r="KP359" s="15"/>
      <c r="KQ359" s="15"/>
      <c r="KR359" s="15"/>
      <c r="KS359" s="15"/>
      <c r="KT359" s="15"/>
      <c r="KU359" s="15"/>
      <c r="KV359" s="15"/>
      <c r="KW359" s="15"/>
      <c r="KX359" s="15"/>
      <c r="KY359" s="15"/>
      <c r="KZ359" s="15"/>
      <c r="LA359" s="15"/>
      <c r="LB359" s="15"/>
      <c r="LC359" s="15"/>
      <c r="LD359" s="15"/>
      <c r="LE359" s="15"/>
      <c r="LF359" s="15"/>
      <c r="LG359" s="15"/>
      <c r="LH359" s="15"/>
      <c r="LI359" s="15"/>
      <c r="LJ359" s="15"/>
      <c r="LK359" s="15"/>
      <c r="LL359" s="15"/>
      <c r="LM359" s="15"/>
      <c r="LN359" s="15"/>
      <c r="LO359" s="15"/>
      <c r="LP359" s="15"/>
      <c r="LQ359" s="15"/>
      <c r="LR359" s="15"/>
      <c r="LS359" s="15"/>
      <c r="LT359" s="15"/>
      <c r="LU359" s="15"/>
      <c r="LV359" s="15"/>
      <c r="LW359" s="15"/>
      <c r="LX359" s="15"/>
      <c r="LY359" s="15"/>
      <c r="LZ359" s="15"/>
      <c r="MA359" s="15"/>
      <c r="MB359" s="15"/>
      <c r="MC359" s="15"/>
      <c r="MD359" s="15"/>
      <c r="ME359" s="15"/>
      <c r="MF359" s="15"/>
      <c r="MG359" s="15"/>
      <c r="MH359" s="15"/>
      <c r="MI359" s="15"/>
      <c r="MJ359" s="15"/>
      <c r="MK359" s="15"/>
      <c r="ML359" s="15"/>
      <c r="MM359" s="15"/>
      <c r="MN359" s="15"/>
      <c r="MO359" s="15"/>
      <c r="MP359" s="15"/>
      <c r="MQ359" s="15"/>
      <c r="MR359" s="15"/>
      <c r="MS359" s="15"/>
      <c r="MT359" s="15"/>
      <c r="MU359" s="15"/>
      <c r="MV359" s="15"/>
      <c r="MW359" s="15"/>
    </row>
    <row r="360" ht="119.25" customHeight="1">
      <c r="A360" s="16" t="s">
        <v>367</v>
      </c>
      <c r="B360" s="14" t="s">
        <v>10396</v>
      </c>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5"/>
      <c r="DL360" s="15"/>
      <c r="DM360" s="15"/>
      <c r="DN360" s="15"/>
      <c r="DO360" s="15"/>
      <c r="DP360" s="15"/>
      <c r="DQ360" s="15"/>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5"/>
      <c r="EY360" s="15"/>
      <c r="EZ360" s="15"/>
      <c r="FA360" s="15"/>
      <c r="FB360" s="15"/>
      <c r="FC360" s="15"/>
      <c r="FD360" s="15"/>
      <c r="FE360" s="15"/>
      <c r="FF360" s="15"/>
      <c r="FG360" s="15"/>
      <c r="FH360" s="15"/>
      <c r="FI360" s="15"/>
      <c r="FJ360" s="15"/>
      <c r="FK360" s="15"/>
      <c r="FL360" s="15"/>
      <c r="FM360" s="15"/>
      <c r="FN360" s="15"/>
      <c r="FO360" s="15"/>
      <c r="FP360" s="15"/>
      <c r="FQ360" s="15"/>
      <c r="FR360" s="15"/>
      <c r="FS360" s="15"/>
      <c r="FT360" s="15"/>
      <c r="FU360" s="15"/>
      <c r="FV360" s="15"/>
      <c r="FW360" s="15"/>
      <c r="FX360" s="15"/>
      <c r="FY360" s="15"/>
      <c r="FZ360" s="15"/>
      <c r="GA360" s="15"/>
      <c r="GB360" s="15"/>
      <c r="GC360" s="15"/>
      <c r="GD360" s="15"/>
      <c r="GE360" s="15"/>
      <c r="GF360" s="15"/>
      <c r="GG360" s="15"/>
      <c r="GH360" s="15"/>
      <c r="GI360" s="15"/>
      <c r="GJ360" s="15"/>
      <c r="GK360" s="15"/>
      <c r="GL360" s="15"/>
      <c r="GM360" s="15"/>
      <c r="GN360" s="15"/>
      <c r="GO360" s="15"/>
      <c r="GP360" s="15"/>
      <c r="GQ360" s="15"/>
      <c r="GR360" s="15"/>
      <c r="GS360" s="15"/>
      <c r="GT360" s="15"/>
      <c r="GU360" s="15"/>
      <c r="GV360" s="15"/>
      <c r="GW360" s="15"/>
      <c r="GX360" s="15"/>
      <c r="GY360" s="15"/>
      <c r="GZ360" s="15"/>
      <c r="HA360" s="15"/>
      <c r="HB360" s="15"/>
      <c r="HC360" s="15"/>
      <c r="HD360" s="15"/>
      <c r="HE360" s="15"/>
      <c r="HF360" s="15"/>
      <c r="HG360" s="15"/>
      <c r="HH360" s="15"/>
      <c r="HI360" s="15"/>
      <c r="HJ360" s="15"/>
      <c r="HK360" s="15"/>
      <c r="HL360" s="15"/>
      <c r="HM360" s="15"/>
      <c r="HN360" s="15"/>
      <c r="HO360" s="15"/>
      <c r="HP360" s="15"/>
      <c r="HQ360" s="15"/>
      <c r="HR360" s="15"/>
      <c r="HS360" s="15"/>
      <c r="HT360" s="15"/>
      <c r="HU360" s="15"/>
      <c r="HV360" s="15"/>
      <c r="HW360" s="15"/>
      <c r="HX360" s="15"/>
      <c r="HY360" s="15"/>
      <c r="HZ360" s="15"/>
      <c r="IA360" s="15"/>
      <c r="IB360" s="15"/>
      <c r="IC360" s="15"/>
      <c r="ID360" s="15"/>
      <c r="IE360" s="15"/>
      <c r="IF360" s="15"/>
      <c r="IG360" s="15"/>
      <c r="IH360" s="15"/>
      <c r="II360" s="15"/>
      <c r="IJ360" s="15"/>
      <c r="IK360" s="15"/>
      <c r="IL360" s="15"/>
      <c r="IM360" s="15"/>
      <c r="IN360" s="15"/>
      <c r="IO360" s="15"/>
      <c r="IP360" s="15"/>
      <c r="IQ360" s="15"/>
      <c r="IR360" s="15"/>
      <c r="IS360" s="15"/>
      <c r="IT360" s="15"/>
      <c r="IU360" s="15"/>
      <c r="IV360" s="15"/>
      <c r="IW360" s="15"/>
      <c r="IX360" s="15"/>
      <c r="IY360" s="15"/>
      <c r="IZ360" s="15"/>
      <c r="JA360" s="15"/>
      <c r="JB360" s="15"/>
      <c r="JC360" s="15"/>
      <c r="JD360" s="15"/>
      <c r="JE360" s="15"/>
      <c r="JF360" s="15"/>
      <c r="JG360" s="15"/>
      <c r="JH360" s="15"/>
      <c r="JI360" s="15"/>
      <c r="JJ360" s="15"/>
      <c r="JK360" s="15"/>
      <c r="JL360" s="15"/>
      <c r="JM360" s="15"/>
      <c r="JN360" s="15"/>
      <c r="JO360" s="15"/>
      <c r="JP360" s="15"/>
      <c r="JQ360" s="15"/>
      <c r="JR360" s="15"/>
      <c r="JS360" s="15"/>
      <c r="JT360" s="15"/>
      <c r="JU360" s="15"/>
      <c r="JV360" s="15"/>
      <c r="JW360" s="15"/>
      <c r="JX360" s="15"/>
      <c r="JY360" s="15"/>
      <c r="JZ360" s="15"/>
      <c r="KA360" s="15"/>
      <c r="KB360" s="15"/>
      <c r="KC360" s="15"/>
      <c r="KD360" s="15"/>
      <c r="KE360" s="15"/>
      <c r="KF360" s="15"/>
      <c r="KG360" s="15"/>
      <c r="KH360" s="15"/>
      <c r="KI360" s="15"/>
      <c r="KJ360" s="15"/>
      <c r="KK360" s="15"/>
      <c r="KL360" s="15"/>
      <c r="KM360" s="15"/>
      <c r="KN360" s="15"/>
      <c r="KO360" s="15"/>
      <c r="KP360" s="15"/>
      <c r="KQ360" s="15"/>
      <c r="KR360" s="15"/>
      <c r="KS360" s="15"/>
      <c r="KT360" s="15"/>
      <c r="KU360" s="15"/>
      <c r="KV360" s="15"/>
      <c r="KW360" s="15"/>
      <c r="KX360" s="15"/>
      <c r="KY360" s="15"/>
      <c r="KZ360" s="15"/>
      <c r="LA360" s="15"/>
      <c r="LB360" s="15"/>
      <c r="LC360" s="15"/>
      <c r="LD360" s="15"/>
      <c r="LE360" s="15"/>
      <c r="LF360" s="15"/>
      <c r="LG360" s="15"/>
      <c r="LH360" s="15"/>
      <c r="LI360" s="15"/>
      <c r="LJ360" s="15"/>
      <c r="LK360" s="15"/>
      <c r="LL360" s="15"/>
      <c r="LM360" s="15"/>
      <c r="LN360" s="15"/>
      <c r="LO360" s="15"/>
      <c r="LP360" s="15"/>
      <c r="LQ360" s="15"/>
      <c r="LR360" s="15"/>
      <c r="LS360" s="15"/>
      <c r="LT360" s="15"/>
      <c r="LU360" s="15"/>
      <c r="LV360" s="15"/>
      <c r="LW360" s="15"/>
      <c r="LX360" s="15"/>
      <c r="LY360" s="15"/>
      <c r="LZ360" s="15"/>
      <c r="MA360" s="15"/>
      <c r="MB360" s="15"/>
      <c r="MC360" s="15"/>
      <c r="MD360" s="15"/>
      <c r="ME360" s="15"/>
      <c r="MF360" s="15"/>
      <c r="MG360" s="15"/>
      <c r="MH360" s="15"/>
      <c r="MI360" s="15"/>
      <c r="MJ360" s="15"/>
      <c r="MK360" s="15"/>
      <c r="ML360" s="15"/>
      <c r="MM360" s="15"/>
      <c r="MN360" s="15"/>
      <c r="MO360" s="15"/>
      <c r="MP360" s="15"/>
      <c r="MQ360" s="15"/>
      <c r="MR360" s="15"/>
      <c r="MS360" s="15"/>
      <c r="MT360" s="15"/>
      <c r="MU360" s="15"/>
      <c r="MV360" s="15"/>
      <c r="MW360" s="15"/>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6.88"/>
    <col customWidth="1" min="3" max="3" width="28.13"/>
    <col customWidth="1" min="4" max="4" width="28.0"/>
    <col customWidth="1" min="5" max="5" width="18.25"/>
    <col customWidth="1" min="6" max="6" width="20.25"/>
    <col customWidth="1" min="7" max="7" width="13.38"/>
    <col customWidth="1" min="8" max="8" width="9.63"/>
    <col customWidth="1" min="9" max="9" width="15.25"/>
    <col customWidth="1" min="10" max="10" width="18.38"/>
    <col customWidth="1" min="11" max="11" width="21.25"/>
    <col customWidth="1" min="12" max="12" width="21.5"/>
    <col customWidth="1" min="13" max="13" width="22.0"/>
    <col customWidth="1" min="14" max="14" width="20.5"/>
    <col customWidth="1" min="15" max="15" width="21.0"/>
    <col customWidth="1" min="16" max="16" width="9.63"/>
    <col customWidth="1" min="17" max="17" width="12.38"/>
    <col customWidth="1" min="18" max="18" width="13.75"/>
    <col customWidth="1" min="19" max="19" width="19.13"/>
    <col customWidth="1" min="20" max="20" width="25.0"/>
    <col customWidth="1" min="21" max="21" width="22.25"/>
    <col customWidth="1" min="22" max="22" width="24.25"/>
    <col customWidth="1" min="23" max="23" width="18.38"/>
    <col customWidth="1" min="24" max="24" width="21.63"/>
    <col customWidth="1" min="25" max="25" width="26.75"/>
    <col customWidth="1" min="26" max="26" width="23.25"/>
    <col customWidth="1" min="27" max="27" width="28.0"/>
    <col customWidth="1" min="28" max="28" width="24.25"/>
    <col customWidth="1" min="29" max="29" width="25.0"/>
    <col customWidth="1" min="30" max="30" width="26.63"/>
    <col customWidth="1" min="31" max="31" width="30.88"/>
    <col customWidth="1" min="32" max="32" width="28.5"/>
    <col customWidth="1" min="33" max="33" width="29.88"/>
    <col customWidth="1" min="34" max="34" width="33.25"/>
    <col customWidth="1" min="35" max="35" width="31.5"/>
    <col customWidth="1" min="36" max="36" width="25.5"/>
    <col customWidth="1" min="37" max="37" width="33.38"/>
    <col customWidth="1" min="38" max="38" width="19.88"/>
    <col customWidth="1" min="39" max="39" width="24.13"/>
    <col customWidth="1" min="40" max="40" width="31.38"/>
    <col customWidth="1" min="41" max="41" width="29.0"/>
    <col customWidth="1" min="42" max="42" width="27.63"/>
    <col customWidth="1" min="43" max="43" width="30.38"/>
    <col customWidth="1" min="44" max="44" width="33.75"/>
    <col customWidth="1" min="45" max="45" width="32.0"/>
    <col customWidth="1" min="46" max="46" width="26.0"/>
    <col customWidth="1" min="47" max="47" width="30.63"/>
    <col customWidth="1" min="48" max="48" width="21.13"/>
    <col customWidth="1" min="49" max="49" width="33.0"/>
    <col customWidth="1" min="50" max="50" width="32.88"/>
    <col customWidth="1" min="51" max="51" width="28.13"/>
    <col customWidth="1" min="52" max="52" width="32.25"/>
    <col customWidth="1" min="53" max="53" width="32.13"/>
    <col customWidth="1" min="54" max="54" width="31.25"/>
    <col customWidth="1" min="55" max="55" width="17.75"/>
    <col customWidth="1" min="56" max="56" width="16.0"/>
    <col customWidth="1" min="57" max="57" width="23.63"/>
    <col customWidth="1" min="58" max="58" width="26.63"/>
    <col customWidth="1" min="59" max="59" width="18.38"/>
    <col customWidth="1" min="60" max="60" width="22.75"/>
    <col customWidth="1" min="61" max="61" width="25.63"/>
    <col customWidth="1" min="62" max="62" width="28.13"/>
    <col customWidth="1" min="63" max="63" width="25.88"/>
    <col customWidth="1" min="64" max="64" width="21.63"/>
    <col customWidth="1" min="65" max="65" width="24.88"/>
    <col customWidth="1" min="66" max="66" width="19.88"/>
    <col customWidth="1" min="67" max="67" width="20.75"/>
    <col customWidth="1" min="68" max="68" width="20.0"/>
    <col customWidth="1" min="69" max="69" width="23.25"/>
    <col customWidth="1" min="70" max="70" width="19.13"/>
    <col customWidth="1" min="71" max="71" width="18.13"/>
    <col customWidth="1" min="72" max="72" width="27.88"/>
    <col customWidth="1" min="73" max="73" width="17.63"/>
    <col customWidth="1" min="74" max="75" width="18.38"/>
    <col customWidth="1" min="76" max="76" width="26.25"/>
    <col customWidth="1" min="77" max="77" width="23.25"/>
    <col customWidth="1" min="78" max="78" width="28.13"/>
    <col customWidth="1" min="79" max="79" width="25.88"/>
    <col customWidth="1" min="80" max="80" width="20.75"/>
    <col customWidth="1" min="81" max="81" width="21.5"/>
    <col customWidth="1" min="82" max="82" width="22.63"/>
    <col customWidth="1" min="83" max="83" width="29.88"/>
    <col customWidth="1" min="84" max="84" width="33.25"/>
    <col customWidth="1" min="85" max="85" width="27.63"/>
    <col customWidth="1" min="86" max="86" width="20.0"/>
    <col customWidth="1" min="87" max="87" width="22.0"/>
    <col customWidth="1" min="88" max="88" width="24.38"/>
    <col customWidth="1" min="89" max="89" width="22.5"/>
    <col customWidth="1" min="90" max="90" width="7.88"/>
    <col customWidth="1" min="91" max="91" width="17.75"/>
    <col customWidth="1" min="92" max="92" width="19.25"/>
    <col customWidth="1" min="93" max="93" width="18.5"/>
    <col customWidth="1" min="94" max="94" width="16.63"/>
    <col customWidth="1" min="95" max="95" width="17.63"/>
    <col customWidth="1" min="96" max="96" width="25.25"/>
    <col customWidth="1" min="97" max="97" width="20.25"/>
    <col customWidth="1" min="98" max="98" width="29.13"/>
    <col customWidth="1" min="99" max="99" width="17.88"/>
    <col customWidth="1" min="100" max="100" width="22.63"/>
    <col customWidth="1" min="101" max="101" width="29.88"/>
    <col customWidth="1" min="102" max="102" width="21.63"/>
    <col customWidth="1" min="103" max="103" width="26.63"/>
    <col customWidth="1" min="104" max="104" width="16.13"/>
    <col customWidth="1" min="105" max="105" width="16.75"/>
    <col customWidth="1" min="106" max="106" width="20.88"/>
    <col customWidth="1" min="107" max="107" width="25.75"/>
    <col customWidth="1" min="108" max="108" width="16.88"/>
    <col customWidth="1" min="109" max="109" width="24.75"/>
    <col customWidth="1" min="110" max="110" width="22.0"/>
    <col customWidth="1" min="111" max="111" width="23.38"/>
    <col customWidth="1" min="112" max="112" width="20.5"/>
    <col customWidth="1" min="113" max="113" width="17.38"/>
    <col customWidth="1" min="114" max="114" width="17.5"/>
    <col customWidth="1" min="115" max="115" width="17.88"/>
    <col customWidth="1" min="116" max="116" width="30.38"/>
    <col customWidth="1" min="117" max="117" width="20.25"/>
    <col customWidth="1" min="118" max="118" width="17.0"/>
    <col customWidth="1" min="119" max="119" width="17.38"/>
    <col customWidth="1" min="120" max="120" width="14.75"/>
    <col customWidth="1" min="121" max="121" width="14.38"/>
    <col customWidth="1" min="122" max="122" width="15.63"/>
    <col customWidth="1" min="123" max="123" width="14.25"/>
    <col customWidth="1" min="124" max="124" width="16.38"/>
    <col customWidth="1" min="125" max="125" width="27.63"/>
    <col customWidth="1" min="126" max="126" width="25.75"/>
    <col customWidth="1" min="127" max="127" width="23.13"/>
    <col customWidth="1" min="128" max="128" width="21.88"/>
    <col customWidth="1" min="129" max="129" width="22.25"/>
    <col customWidth="1" min="130" max="130" width="21.63"/>
    <col customWidth="1" min="131" max="131" width="26.75"/>
    <col customWidth="1" min="132" max="132" width="24.25"/>
    <col customWidth="1" min="133" max="133" width="26.38"/>
    <col customWidth="1" min="134" max="134" width="16.88"/>
    <col customWidth="1" min="135" max="135" width="24.38"/>
    <col customWidth="1" min="136" max="136" width="24.75"/>
    <col customWidth="1" min="137" max="137" width="28.0"/>
    <col customWidth="1" min="138" max="138" width="24.0"/>
    <col customWidth="1" min="139" max="139" width="27.75"/>
    <col customWidth="1" min="140" max="140" width="19.5"/>
    <col customWidth="1" min="141" max="141" width="34.63"/>
    <col customWidth="1" min="142" max="142" width="33.0"/>
    <col customWidth="1" min="143" max="143" width="33.5"/>
    <col customWidth="1" min="144" max="144" width="33.38"/>
    <col customWidth="1" min="145" max="145" width="26.38"/>
    <col customWidth="1" min="146" max="146" width="22.88"/>
    <col customWidth="1" min="147" max="147" width="23.63"/>
    <col customWidth="1" min="148" max="148" width="23.13"/>
    <col customWidth="1" min="149" max="149" width="21.38"/>
    <col customWidth="1" min="150" max="150" width="26.63"/>
    <col customWidth="1" min="151" max="151" width="26.75"/>
    <col customWidth="1" min="152" max="152" width="24.75"/>
    <col customWidth="1" min="153" max="153" width="24.88"/>
    <col customWidth="1" min="154" max="154" width="21.5"/>
    <col customWidth="1" min="155" max="155" width="20.0"/>
    <col customWidth="1" min="156" max="156" width="29.0"/>
    <col customWidth="1" min="157" max="157" width="25.25"/>
    <col customWidth="1" min="158" max="158" width="24.13"/>
    <col customWidth="1" min="159" max="159" width="25.88"/>
    <col customWidth="1" min="160" max="160" width="25.63"/>
    <col customWidth="1" min="161" max="161" width="22.88"/>
    <col customWidth="1" min="162" max="162" width="26.75"/>
    <col customWidth="1" min="163" max="163" width="24.75"/>
    <col customWidth="1" min="164" max="164" width="26.5"/>
    <col customWidth="1" min="165" max="165" width="34.38"/>
    <col customWidth="1" min="166" max="166" width="28.88"/>
    <col customWidth="1" min="167" max="167" width="27.38"/>
    <col customWidth="1" min="168" max="168" width="22.25"/>
    <col customWidth="1" min="169" max="169" width="24.5"/>
    <col customWidth="1" min="170" max="170" width="29.88"/>
    <col customWidth="1" min="171" max="171" width="25.5"/>
    <col customWidth="1" min="172" max="172" width="25.75"/>
    <col customWidth="1" min="173" max="173" width="26.38"/>
    <col customWidth="1" min="174" max="174" width="27.63"/>
    <col customWidth="1" min="175" max="175" width="22.5"/>
    <col customWidth="1" min="176" max="176" width="21.75"/>
    <col customWidth="1" min="177" max="177" width="24.88"/>
    <col customWidth="1" min="178" max="178" width="23.5"/>
    <col customWidth="1" min="179" max="179" width="23.13"/>
    <col customWidth="1" min="180" max="180" width="22.5"/>
    <col customWidth="1" min="181" max="181" width="31.88"/>
    <col customWidth="1" min="182" max="182" width="28.88"/>
    <col customWidth="1" min="183" max="183" width="16.75"/>
    <col customWidth="1" min="184" max="184" width="22.13"/>
    <col customWidth="1" min="185" max="185" width="12.25"/>
    <col customWidth="1" min="186" max="186" width="19.25"/>
    <col customWidth="1" min="187" max="187" width="20.5"/>
    <col customWidth="1" min="188" max="188" width="19.63"/>
    <col customWidth="1" min="189" max="189" width="21.13"/>
    <col customWidth="1" min="190" max="190" width="19.13"/>
    <col customWidth="1" min="191" max="191" width="20.38"/>
    <col customWidth="1" min="192" max="192" width="22.75"/>
    <col customWidth="1" min="193" max="193" width="20.63"/>
    <col customWidth="1" min="194" max="194" width="21.88"/>
    <col customWidth="1" min="195" max="195" width="16.13"/>
    <col customWidth="1" min="196" max="196" width="24.0"/>
    <col customWidth="1" min="197" max="197" width="26.0"/>
    <col customWidth="1" min="198" max="198" width="23.25"/>
    <col customWidth="1" min="199" max="199" width="18.0"/>
    <col customWidth="1" min="200" max="200" width="19.38"/>
    <col customWidth="1" min="201" max="201" width="15.88"/>
    <col customWidth="1" min="202" max="202" width="17.75"/>
    <col customWidth="1" min="203" max="223" width="14.38"/>
    <col customWidth="1" min="224" max="224" width="19.25"/>
    <col customWidth="1" min="225" max="225" width="22.38"/>
  </cols>
  <sheetData>
    <row r="1" ht="16.5" customHeight="1">
      <c r="A1" s="18" t="s">
        <v>10397</v>
      </c>
      <c r="B1" s="19" t="s">
        <v>9977</v>
      </c>
      <c r="C1" s="19" t="s">
        <v>9978</v>
      </c>
      <c r="D1" s="19" t="s">
        <v>9980</v>
      </c>
      <c r="E1" s="19" t="s">
        <v>9981</v>
      </c>
      <c r="F1" s="19" t="s">
        <v>9982</v>
      </c>
      <c r="G1" s="19" t="s">
        <v>9983</v>
      </c>
      <c r="H1" s="19" t="s">
        <v>9984</v>
      </c>
      <c r="I1" s="19" t="s">
        <v>9985</v>
      </c>
      <c r="J1" s="19" t="s">
        <v>9986</v>
      </c>
      <c r="K1" s="19" t="s">
        <v>9987</v>
      </c>
      <c r="L1" s="19" t="s">
        <v>9988</v>
      </c>
      <c r="M1" s="19" t="s">
        <v>9989</v>
      </c>
      <c r="N1" s="19" t="s">
        <v>9990</v>
      </c>
      <c r="O1" s="19" t="s">
        <v>9991</v>
      </c>
      <c r="P1" s="19" t="s">
        <v>9992</v>
      </c>
      <c r="Q1" s="19" t="s">
        <v>9993</v>
      </c>
      <c r="R1" s="19" t="s">
        <v>9994</v>
      </c>
      <c r="S1" s="19" t="s">
        <v>9995</v>
      </c>
      <c r="T1" s="19" t="s">
        <v>9996</v>
      </c>
      <c r="U1" s="19" t="s">
        <v>9997</v>
      </c>
      <c r="V1" s="19" t="s">
        <v>9998</v>
      </c>
      <c r="W1" s="19" t="s">
        <v>9999</v>
      </c>
      <c r="X1" s="19" t="s">
        <v>10000</v>
      </c>
      <c r="Y1" s="19" t="s">
        <v>10002</v>
      </c>
      <c r="Z1" s="19" t="s">
        <v>10004</v>
      </c>
      <c r="AA1" s="19" t="s">
        <v>10006</v>
      </c>
      <c r="AB1" s="19" t="s">
        <v>10008</v>
      </c>
      <c r="AC1" s="19" t="s">
        <v>10010</v>
      </c>
      <c r="AD1" s="19" t="s">
        <v>10012</v>
      </c>
      <c r="AE1" s="19" t="s">
        <v>10014</v>
      </c>
      <c r="AF1" s="19" t="s">
        <v>10016</v>
      </c>
      <c r="AG1" s="19" t="s">
        <v>10018</v>
      </c>
      <c r="AH1" s="19" t="s">
        <v>10020</v>
      </c>
      <c r="AI1" s="19" t="s">
        <v>10022</v>
      </c>
      <c r="AJ1" s="19" t="s">
        <v>10024</v>
      </c>
      <c r="AK1" s="19" t="s">
        <v>10026</v>
      </c>
      <c r="AL1" s="19" t="s">
        <v>10028</v>
      </c>
      <c r="AM1" s="19" t="s">
        <v>10030</v>
      </c>
      <c r="AN1" s="19" t="s">
        <v>10032</v>
      </c>
      <c r="AO1" s="19" t="s">
        <v>10034</v>
      </c>
      <c r="AP1" s="19" t="s">
        <v>10036</v>
      </c>
      <c r="AQ1" s="19" t="s">
        <v>10038</v>
      </c>
      <c r="AR1" s="19" t="s">
        <v>10040</v>
      </c>
      <c r="AS1" s="19" t="s">
        <v>10042</v>
      </c>
      <c r="AT1" s="19" t="s">
        <v>10044</v>
      </c>
      <c r="AU1" s="19" t="s">
        <v>10046</v>
      </c>
      <c r="AV1" s="19" t="s">
        <v>10047</v>
      </c>
      <c r="AW1" s="19" t="s">
        <v>10048</v>
      </c>
      <c r="AX1" s="19" t="s">
        <v>10049</v>
      </c>
      <c r="AY1" s="19" t="s">
        <v>10050</v>
      </c>
      <c r="AZ1" s="19" t="s">
        <v>10051</v>
      </c>
      <c r="BA1" s="19" t="s">
        <v>10052</v>
      </c>
      <c r="BB1" s="19" t="s">
        <v>10053</v>
      </c>
      <c r="BC1" s="19" t="s">
        <v>10054</v>
      </c>
      <c r="BD1" s="19" t="s">
        <v>10055</v>
      </c>
      <c r="BE1" s="19" t="s">
        <v>10056</v>
      </c>
      <c r="BF1" s="19" t="s">
        <v>10057</v>
      </c>
      <c r="BG1" s="19" t="s">
        <v>10058</v>
      </c>
      <c r="BH1" s="19" t="s">
        <v>10059</v>
      </c>
      <c r="BI1" s="19" t="s">
        <v>10060</v>
      </c>
      <c r="BJ1" s="19" t="s">
        <v>10061</v>
      </c>
      <c r="BK1" s="19" t="s">
        <v>10062</v>
      </c>
      <c r="BL1" s="19" t="s">
        <v>10063</v>
      </c>
      <c r="BM1" s="19" t="s">
        <v>10064</v>
      </c>
      <c r="BN1" s="19" t="s">
        <v>10066</v>
      </c>
      <c r="BO1" s="19" t="s">
        <v>10067</v>
      </c>
      <c r="BP1" s="19" t="s">
        <v>10068</v>
      </c>
      <c r="BQ1" s="19" t="s">
        <v>10069</v>
      </c>
      <c r="BR1" s="19" t="s">
        <v>10070</v>
      </c>
      <c r="BS1" s="19" t="s">
        <v>10071</v>
      </c>
      <c r="BT1" s="19" t="s">
        <v>10072</v>
      </c>
      <c r="BU1" s="19" t="s">
        <v>10073</v>
      </c>
      <c r="BV1" s="19" t="s">
        <v>10074</v>
      </c>
      <c r="BW1" s="19" t="s">
        <v>10075</v>
      </c>
      <c r="BX1" s="19" t="s">
        <v>10077</v>
      </c>
      <c r="BY1" s="19" t="s">
        <v>10078</v>
      </c>
      <c r="BZ1" s="19" t="s">
        <v>10080</v>
      </c>
      <c r="CA1" s="19" t="s">
        <v>10082</v>
      </c>
      <c r="CB1" s="19" t="s">
        <v>10083</v>
      </c>
      <c r="CC1" s="19" t="s">
        <v>10084</v>
      </c>
      <c r="CD1" s="19" t="s">
        <v>10085</v>
      </c>
      <c r="CE1" s="19" t="s">
        <v>10086</v>
      </c>
      <c r="CF1" s="19" t="s">
        <v>10087</v>
      </c>
      <c r="CG1" s="19" t="s">
        <v>10089</v>
      </c>
      <c r="CH1" s="19" t="s">
        <v>10090</v>
      </c>
      <c r="CI1" s="19" t="s">
        <v>10091</v>
      </c>
      <c r="CJ1" s="19" t="s">
        <v>10092</v>
      </c>
      <c r="CK1" s="19" t="s">
        <v>10094</v>
      </c>
      <c r="CL1" s="19" t="s">
        <v>10095</v>
      </c>
      <c r="CM1" s="19" t="s">
        <v>10096</v>
      </c>
      <c r="CN1" s="19" t="s">
        <v>10097</v>
      </c>
      <c r="CO1" s="19" t="s">
        <v>10098</v>
      </c>
      <c r="CP1" s="19" t="s">
        <v>10099</v>
      </c>
      <c r="CQ1" s="19" t="s">
        <v>10100</v>
      </c>
      <c r="CR1" s="19" t="s">
        <v>10101</v>
      </c>
      <c r="CS1" s="19" t="s">
        <v>10102</v>
      </c>
      <c r="CT1" s="19" t="s">
        <v>10103</v>
      </c>
      <c r="CU1" s="19" t="s">
        <v>10105</v>
      </c>
      <c r="CV1" s="19" t="s">
        <v>10106</v>
      </c>
      <c r="CW1" s="19" t="s">
        <v>10107</v>
      </c>
      <c r="CX1" s="19" t="s">
        <v>10108</v>
      </c>
      <c r="CY1" s="19" t="s">
        <v>10110</v>
      </c>
      <c r="CZ1" s="19" t="s">
        <v>10111</v>
      </c>
      <c r="DA1" s="19" t="s">
        <v>10112</v>
      </c>
      <c r="DB1" s="19" t="s">
        <v>10114</v>
      </c>
      <c r="DC1" s="19" t="s">
        <v>10115</v>
      </c>
      <c r="DD1" s="19" t="s">
        <v>10116</v>
      </c>
      <c r="DE1" s="19" t="s">
        <v>10118</v>
      </c>
      <c r="DF1" s="19" t="s">
        <v>10119</v>
      </c>
      <c r="DG1" s="19" t="s">
        <v>10120</v>
      </c>
      <c r="DH1" s="19" t="s">
        <v>10121</v>
      </c>
      <c r="DI1" s="19" t="s">
        <v>10123</v>
      </c>
      <c r="DJ1" s="19" t="s">
        <v>10124</v>
      </c>
      <c r="DK1" s="19" t="s">
        <v>10126</v>
      </c>
      <c r="DL1" s="19" t="s">
        <v>10128</v>
      </c>
      <c r="DM1" s="19" t="s">
        <v>10129</v>
      </c>
      <c r="DN1" s="19" t="s">
        <v>10130</v>
      </c>
      <c r="DO1" s="19" t="s">
        <v>10131</v>
      </c>
      <c r="DP1" s="19" t="s">
        <v>10132</v>
      </c>
      <c r="DQ1" s="19" t="s">
        <v>10133</v>
      </c>
      <c r="DR1" s="19" t="s">
        <v>10135</v>
      </c>
      <c r="DS1" s="19" t="s">
        <v>10136</v>
      </c>
      <c r="DT1" s="19" t="s">
        <v>10137</v>
      </c>
      <c r="DU1" s="19" t="s">
        <v>10138</v>
      </c>
      <c r="DV1" s="19" t="s">
        <v>10139</v>
      </c>
      <c r="DW1" s="19" t="s">
        <v>10140</v>
      </c>
      <c r="DX1" s="19" t="s">
        <v>10141</v>
      </c>
      <c r="DY1" s="19" t="s">
        <v>10142</v>
      </c>
      <c r="DZ1" s="19" t="s">
        <v>10143</v>
      </c>
      <c r="EA1" s="19" t="s">
        <v>10144</v>
      </c>
      <c r="EB1" s="19" t="s">
        <v>10146</v>
      </c>
      <c r="EC1" s="19" t="s">
        <v>10147</v>
      </c>
      <c r="ED1" s="19" t="s">
        <v>10148</v>
      </c>
      <c r="EE1" s="19" t="s">
        <v>10149</v>
      </c>
      <c r="EF1" s="19" t="s">
        <v>10150</v>
      </c>
      <c r="EG1" s="19" t="s">
        <v>10151</v>
      </c>
      <c r="EH1" s="19" t="s">
        <v>10152</v>
      </c>
      <c r="EI1" s="19" t="s">
        <v>10153</v>
      </c>
      <c r="EJ1" s="19" t="s">
        <v>10154</v>
      </c>
      <c r="EK1" s="19" t="s">
        <v>10155</v>
      </c>
      <c r="EL1" s="19" t="s">
        <v>10156</v>
      </c>
      <c r="EM1" s="19" t="s">
        <v>10157</v>
      </c>
      <c r="EN1" s="19" t="s">
        <v>10158</v>
      </c>
      <c r="EO1" s="19" t="s">
        <v>10159</v>
      </c>
      <c r="EP1" s="19" t="s">
        <v>10160</v>
      </c>
      <c r="EQ1" s="19" t="s">
        <v>10161</v>
      </c>
      <c r="ER1" s="19" t="s">
        <v>10162</v>
      </c>
      <c r="ES1" s="19" t="s">
        <v>10163</v>
      </c>
      <c r="ET1" s="19" t="s">
        <v>10164</v>
      </c>
      <c r="EU1" s="19" t="s">
        <v>10165</v>
      </c>
      <c r="EV1" s="19" t="s">
        <v>10167</v>
      </c>
      <c r="EW1" s="19" t="s">
        <v>10168</v>
      </c>
      <c r="EX1" s="19" t="s">
        <v>10169</v>
      </c>
      <c r="EY1" s="19" t="s">
        <v>10170</v>
      </c>
      <c r="EZ1" s="19" t="s">
        <v>10171</v>
      </c>
      <c r="FA1" s="19" t="s">
        <v>10172</v>
      </c>
      <c r="FB1" s="19" t="s">
        <v>10173</v>
      </c>
      <c r="FC1" s="19" t="s">
        <v>10174</v>
      </c>
      <c r="FD1" s="19" t="s">
        <v>10175</v>
      </c>
      <c r="FE1" s="19" t="s">
        <v>10176</v>
      </c>
      <c r="FF1" s="19" t="s">
        <v>10177</v>
      </c>
      <c r="FG1" s="19" t="s">
        <v>10178</v>
      </c>
      <c r="FH1" s="19" t="s">
        <v>10179</v>
      </c>
      <c r="FI1" s="19" t="s">
        <v>10180</v>
      </c>
      <c r="FJ1" s="19" t="s">
        <v>10181</v>
      </c>
      <c r="FK1" s="19" t="s">
        <v>10182</v>
      </c>
      <c r="FL1" s="19" t="s">
        <v>10183</v>
      </c>
      <c r="FM1" s="19" t="s">
        <v>10184</v>
      </c>
      <c r="FN1" s="19" t="s">
        <v>10185</v>
      </c>
      <c r="FO1" s="19" t="s">
        <v>10186</v>
      </c>
      <c r="FP1" s="19" t="s">
        <v>10187</v>
      </c>
      <c r="FQ1" s="19" t="s">
        <v>10189</v>
      </c>
      <c r="FR1" s="19" t="s">
        <v>10190</v>
      </c>
      <c r="FS1" s="19" t="s">
        <v>10191</v>
      </c>
      <c r="FT1" s="19" t="s">
        <v>10192</v>
      </c>
      <c r="FU1" s="19" t="s">
        <v>10193</v>
      </c>
      <c r="FV1" s="19" t="s">
        <v>10194</v>
      </c>
      <c r="FW1" s="19" t="s">
        <v>10195</v>
      </c>
      <c r="FX1" s="19" t="s">
        <v>10196</v>
      </c>
      <c r="FY1" s="19" t="s">
        <v>10197</v>
      </c>
      <c r="FZ1" s="19" t="s">
        <v>10198</v>
      </c>
      <c r="GA1" s="19" t="s">
        <v>10199</v>
      </c>
      <c r="GB1" s="19" t="s">
        <v>10200</v>
      </c>
      <c r="GC1" s="19" t="s">
        <v>10201</v>
      </c>
      <c r="GD1" s="19" t="s">
        <v>10202</v>
      </c>
      <c r="GE1" s="19" t="s">
        <v>10203</v>
      </c>
      <c r="GF1" s="19" t="s">
        <v>10204</v>
      </c>
      <c r="GG1" s="19" t="s">
        <v>10206</v>
      </c>
      <c r="GH1" s="19" t="s">
        <v>10208</v>
      </c>
      <c r="GI1" s="19" t="s">
        <v>10210</v>
      </c>
      <c r="GJ1" s="19" t="s">
        <v>10211</v>
      </c>
      <c r="GK1" s="19" t="s">
        <v>10213</v>
      </c>
      <c r="GL1" s="19" t="s">
        <v>10215</v>
      </c>
      <c r="GM1" s="19" t="s">
        <v>10216</v>
      </c>
      <c r="GN1" s="19" t="s">
        <v>10217</v>
      </c>
      <c r="GO1" s="19" t="s">
        <v>10218</v>
      </c>
      <c r="GP1" s="19" t="s">
        <v>10219</v>
      </c>
      <c r="GQ1" s="19" t="s">
        <v>10220</v>
      </c>
      <c r="GR1" s="19" t="s">
        <v>10221</v>
      </c>
      <c r="GS1" s="19" t="s">
        <v>10222</v>
      </c>
      <c r="GT1" s="19" t="s">
        <v>10223</v>
      </c>
      <c r="GU1" s="19" t="s">
        <v>10224</v>
      </c>
      <c r="GV1" s="19" t="s">
        <v>10225</v>
      </c>
      <c r="GW1" s="19" t="s">
        <v>10226</v>
      </c>
      <c r="GX1" s="19" t="s">
        <v>10227</v>
      </c>
      <c r="GY1" s="19" t="s">
        <v>10228</v>
      </c>
      <c r="GZ1" s="19" t="s">
        <v>10229</v>
      </c>
      <c r="HA1" s="19" t="s">
        <v>10230</v>
      </c>
      <c r="HB1" s="19" t="s">
        <v>10231</v>
      </c>
      <c r="HC1" s="19" t="s">
        <v>10232</v>
      </c>
      <c r="HD1" s="19" t="s">
        <v>10233</v>
      </c>
      <c r="HE1" s="19" t="s">
        <v>10234</v>
      </c>
      <c r="HF1" s="19" t="s">
        <v>10235</v>
      </c>
      <c r="HG1" s="19" t="s">
        <v>10236</v>
      </c>
      <c r="HH1" s="19" t="s">
        <v>10237</v>
      </c>
      <c r="HI1" s="19" t="s">
        <v>10238</v>
      </c>
      <c r="HJ1" s="19" t="s">
        <v>10239</v>
      </c>
      <c r="HK1" s="19" t="s">
        <v>10240</v>
      </c>
      <c r="HL1" s="19" t="s">
        <v>10241</v>
      </c>
      <c r="HM1" s="19" t="s">
        <v>10242</v>
      </c>
      <c r="HN1" s="19" t="s">
        <v>10243</v>
      </c>
      <c r="HO1" s="19" t="s">
        <v>10244</v>
      </c>
      <c r="HP1" s="19" t="s">
        <v>10245</v>
      </c>
      <c r="HQ1" s="19" t="s">
        <v>10246</v>
      </c>
      <c r="HR1" s="19" t="s">
        <v>10247</v>
      </c>
      <c r="HS1" s="19" t="s">
        <v>10248</v>
      </c>
      <c r="HT1" s="19" t="s">
        <v>10249</v>
      </c>
      <c r="HU1" s="19" t="s">
        <v>10250</v>
      </c>
      <c r="HV1" s="19" t="s">
        <v>10251</v>
      </c>
      <c r="HW1" s="19" t="s">
        <v>10252</v>
      </c>
      <c r="HX1" s="19" t="s">
        <v>10253</v>
      </c>
      <c r="HY1" s="19" t="s">
        <v>10254</v>
      </c>
      <c r="HZ1" s="19" t="s">
        <v>10255</v>
      </c>
      <c r="IA1" s="19" t="s">
        <v>10256</v>
      </c>
      <c r="IB1" s="19" t="s">
        <v>10257</v>
      </c>
      <c r="IC1" s="19" t="s">
        <v>10258</v>
      </c>
      <c r="ID1" s="19" t="s">
        <v>10259</v>
      </c>
      <c r="IE1" s="19" t="s">
        <v>10260</v>
      </c>
      <c r="IF1" s="19" t="s">
        <v>10261</v>
      </c>
      <c r="IG1" s="19" t="s">
        <v>10262</v>
      </c>
      <c r="IH1" s="19" t="s">
        <v>10263</v>
      </c>
      <c r="II1" s="19" t="s">
        <v>10264</v>
      </c>
      <c r="IJ1" s="19" t="s">
        <v>10265</v>
      </c>
      <c r="IK1" s="19" t="s">
        <v>10266</v>
      </c>
      <c r="IL1" s="19" t="s">
        <v>10267</v>
      </c>
      <c r="IM1" s="19" t="s">
        <v>10268</v>
      </c>
      <c r="IN1" s="19" t="s">
        <v>10269</v>
      </c>
      <c r="IO1" s="19" t="s">
        <v>10270</v>
      </c>
      <c r="IP1" s="19" t="s">
        <v>10271</v>
      </c>
      <c r="IQ1" s="19" t="s">
        <v>10272</v>
      </c>
      <c r="IR1" s="19" t="s">
        <v>10273</v>
      </c>
      <c r="IS1" s="19" t="s">
        <v>10274</v>
      </c>
      <c r="IT1" s="19" t="s">
        <v>10275</v>
      </c>
      <c r="IU1" s="19" t="s">
        <v>10398</v>
      </c>
      <c r="IV1" s="19" t="s">
        <v>10276</v>
      </c>
      <c r="IW1" s="19" t="s">
        <v>10399</v>
      </c>
      <c r="IX1" s="19" t="s">
        <v>10278</v>
      </c>
      <c r="IY1" s="19" t="s">
        <v>10279</v>
      </c>
      <c r="IZ1" s="19" t="s">
        <v>10280</v>
      </c>
      <c r="JA1" s="19" t="s">
        <v>10281</v>
      </c>
      <c r="JB1" s="19" t="s">
        <v>10282</v>
      </c>
      <c r="JC1" s="19" t="s">
        <v>10283</v>
      </c>
      <c r="JD1" s="19" t="s">
        <v>10284</v>
      </c>
      <c r="JE1" s="19" t="s">
        <v>10285</v>
      </c>
      <c r="JF1" s="19" t="s">
        <v>10286</v>
      </c>
      <c r="JG1" s="19" t="s">
        <v>10287</v>
      </c>
      <c r="JH1" s="19" t="s">
        <v>10288</v>
      </c>
      <c r="JI1" s="19" t="s">
        <v>10289</v>
      </c>
      <c r="JJ1" s="19" t="s">
        <v>10290</v>
      </c>
      <c r="JK1" s="19" t="s">
        <v>10291</v>
      </c>
      <c r="JL1" s="19" t="s">
        <v>10292</v>
      </c>
      <c r="JM1" s="19" t="s">
        <v>10293</v>
      </c>
      <c r="JN1" s="19" t="s">
        <v>10294</v>
      </c>
      <c r="JO1" s="19" t="s">
        <v>10295</v>
      </c>
      <c r="JP1" s="19" t="s">
        <v>10297</v>
      </c>
      <c r="JQ1" s="19" t="s">
        <v>10299</v>
      </c>
      <c r="JR1" s="19" t="s">
        <v>10300</v>
      </c>
      <c r="JS1" s="19" t="s">
        <v>10301</v>
      </c>
      <c r="JT1" s="19" t="s">
        <v>10303</v>
      </c>
      <c r="JU1" s="19" t="s">
        <v>10304</v>
      </c>
      <c r="JV1" s="19" t="s">
        <v>10305</v>
      </c>
      <c r="JW1" s="19" t="s">
        <v>10306</v>
      </c>
      <c r="JX1" s="19" t="s">
        <v>10307</v>
      </c>
      <c r="JY1" s="19" t="s">
        <v>10308</v>
      </c>
      <c r="JZ1" s="19" t="s">
        <v>10310</v>
      </c>
      <c r="KA1" s="19" t="s">
        <v>10311</v>
      </c>
      <c r="KB1" s="19" t="s">
        <v>10312</v>
      </c>
      <c r="KC1" s="19" t="s">
        <v>10313</v>
      </c>
      <c r="KD1" s="19" t="s">
        <v>10314</v>
      </c>
      <c r="KE1" s="19" t="s">
        <v>10315</v>
      </c>
      <c r="KF1" s="19" t="s">
        <v>10316</v>
      </c>
      <c r="KG1" s="19" t="s">
        <v>10317</v>
      </c>
      <c r="KH1" s="19" t="s">
        <v>10318</v>
      </c>
      <c r="KI1" s="19" t="s">
        <v>10319</v>
      </c>
      <c r="KJ1" s="19" t="s">
        <v>10320</v>
      </c>
      <c r="KK1" s="19" t="s">
        <v>10321</v>
      </c>
      <c r="KL1" s="19" t="s">
        <v>10322</v>
      </c>
      <c r="KM1" s="19" t="s">
        <v>10323</v>
      </c>
      <c r="KN1" s="19" t="s">
        <v>10324</v>
      </c>
      <c r="KO1" s="19" t="s">
        <v>10325</v>
      </c>
      <c r="KP1" s="19" t="s">
        <v>10326</v>
      </c>
      <c r="KQ1" s="19" t="s">
        <v>10327</v>
      </c>
      <c r="KR1" s="19" t="s">
        <v>10328</v>
      </c>
      <c r="KS1" s="19" t="s">
        <v>10329</v>
      </c>
      <c r="KT1" s="19" t="s">
        <v>10330</v>
      </c>
      <c r="KU1" s="19" t="s">
        <v>10331</v>
      </c>
      <c r="KV1" s="19" t="s">
        <v>10332</v>
      </c>
      <c r="KW1" s="19" t="s">
        <v>10333</v>
      </c>
      <c r="KX1" s="19" t="s">
        <v>10335</v>
      </c>
      <c r="KY1" s="19" t="s">
        <v>10337</v>
      </c>
      <c r="KZ1" s="19" t="s">
        <v>10339</v>
      </c>
      <c r="LA1" s="19" t="s">
        <v>10341</v>
      </c>
      <c r="LB1" s="19" t="s">
        <v>10342</v>
      </c>
      <c r="LC1" s="19" t="s">
        <v>10343</v>
      </c>
      <c r="LD1" s="19" t="s">
        <v>10344</v>
      </c>
      <c r="LE1" s="19" t="s">
        <v>10345</v>
      </c>
      <c r="LF1" s="19" t="s">
        <v>10346</v>
      </c>
      <c r="LG1" s="19" t="s">
        <v>10347</v>
      </c>
      <c r="LH1" s="19" t="s">
        <v>10348</v>
      </c>
      <c r="LI1" s="19" t="s">
        <v>10349</v>
      </c>
      <c r="LJ1" s="19" t="s">
        <v>10350</v>
      </c>
      <c r="LK1" s="19" t="s">
        <v>10351</v>
      </c>
      <c r="LL1" s="19" t="s">
        <v>10353</v>
      </c>
      <c r="LM1" s="19" t="s">
        <v>10354</v>
      </c>
      <c r="LN1" s="19" t="s">
        <v>10355</v>
      </c>
      <c r="LO1" s="19" t="s">
        <v>10356</v>
      </c>
      <c r="LP1" s="19" t="s">
        <v>10357</v>
      </c>
      <c r="LQ1" s="19" t="s">
        <v>10358</v>
      </c>
      <c r="LR1" s="19" t="s">
        <v>10359</v>
      </c>
      <c r="LS1" s="19" t="s">
        <v>10360</v>
      </c>
      <c r="LT1" s="19" t="s">
        <v>10361</v>
      </c>
      <c r="LU1" s="19" t="s">
        <v>10362</v>
      </c>
      <c r="LV1" s="19" t="s">
        <v>10363</v>
      </c>
      <c r="LW1" s="19" t="s">
        <v>10364</v>
      </c>
      <c r="LX1" s="19" t="s">
        <v>10365</v>
      </c>
      <c r="LY1" s="19" t="s">
        <v>10366</v>
      </c>
      <c r="LZ1" s="19" t="s">
        <v>10367</v>
      </c>
      <c r="MA1" s="19" t="s">
        <v>10368</v>
      </c>
      <c r="MB1" s="19" t="s">
        <v>10369</v>
      </c>
      <c r="MC1" s="19" t="s">
        <v>10370</v>
      </c>
      <c r="MD1" s="19" t="s">
        <v>10371</v>
      </c>
      <c r="ME1" s="19" t="s">
        <v>10372</v>
      </c>
      <c r="MF1" s="19" t="s">
        <v>10373</v>
      </c>
      <c r="MG1" s="19" t="s">
        <v>10374</v>
      </c>
      <c r="MH1" s="19" t="s">
        <v>10375</v>
      </c>
      <c r="MI1" s="19" t="s">
        <v>10376</v>
      </c>
      <c r="MJ1" s="19" t="s">
        <v>10377</v>
      </c>
      <c r="MK1" s="19" t="s">
        <v>10378</v>
      </c>
      <c r="ML1" s="19" t="s">
        <v>10379</v>
      </c>
      <c r="MM1" s="19" t="s">
        <v>10380</v>
      </c>
      <c r="MN1" s="19" t="s">
        <v>10381</v>
      </c>
      <c r="MO1" s="19" t="s">
        <v>10382</v>
      </c>
      <c r="MP1" s="19" t="s">
        <v>10384</v>
      </c>
      <c r="MQ1" s="19" t="s">
        <v>10386</v>
      </c>
      <c r="MR1" s="19" t="s">
        <v>10388</v>
      </c>
      <c r="MS1" s="19" t="s">
        <v>10390</v>
      </c>
      <c r="MT1" s="19" t="s">
        <v>10392</v>
      </c>
      <c r="MU1" s="19" t="s">
        <v>10394</v>
      </c>
      <c r="MV1" s="19" t="s">
        <v>10395</v>
      </c>
      <c r="MW1" s="20" t="s">
        <v>10396</v>
      </c>
      <c r="MX1" s="21" t="s">
        <v>10400</v>
      </c>
      <c r="MY1" s="21" t="s">
        <v>10401</v>
      </c>
    </row>
    <row r="2" ht="16.5" customHeight="1">
      <c r="A2" s="22">
        <f t="array" ref="A2:GU817">'Form Responses 1'!A2:GU1001</f>
        <v>45824.92294</v>
      </c>
      <c r="B2" s="23" t="s">
        <v>368</v>
      </c>
      <c r="C2" s="23" t="s">
        <v>369</v>
      </c>
      <c r="D2" s="23" t="s">
        <v>370</v>
      </c>
      <c r="E2" s="23"/>
      <c r="F2" s="23" t="s">
        <v>371</v>
      </c>
      <c r="G2" s="23" t="s">
        <v>372</v>
      </c>
      <c r="H2" s="23" t="s">
        <v>373</v>
      </c>
      <c r="I2" s="23" t="s">
        <v>374</v>
      </c>
      <c r="J2" s="23" t="s">
        <v>375</v>
      </c>
      <c r="K2" s="23" t="s">
        <v>376</v>
      </c>
      <c r="L2" s="23" t="s">
        <v>377</v>
      </c>
      <c r="M2" s="23" t="s">
        <v>378</v>
      </c>
      <c r="N2" s="23" t="s">
        <v>379</v>
      </c>
      <c r="O2" s="23" t="s">
        <v>380</v>
      </c>
      <c r="P2" s="23" t="s">
        <v>381</v>
      </c>
      <c r="Q2" s="23" t="s">
        <v>382</v>
      </c>
      <c r="R2" s="23" t="s">
        <v>383</v>
      </c>
      <c r="S2" s="23" t="s">
        <v>384</v>
      </c>
      <c r="T2" s="23" t="s">
        <v>385</v>
      </c>
      <c r="U2" s="23"/>
      <c r="V2" s="23"/>
      <c r="W2" s="23" t="s">
        <v>386</v>
      </c>
      <c r="X2" s="23" t="s">
        <v>387</v>
      </c>
      <c r="Y2" s="23" t="s">
        <v>388</v>
      </c>
      <c r="Z2" s="23" t="s">
        <v>389</v>
      </c>
      <c r="AA2" s="23"/>
      <c r="AB2" s="23"/>
      <c r="AC2" s="23"/>
      <c r="AD2" s="23"/>
      <c r="AE2" s="23"/>
      <c r="AF2" s="23"/>
      <c r="AG2" s="23"/>
      <c r="AH2" s="23"/>
      <c r="AI2" s="23"/>
      <c r="AJ2" s="23"/>
      <c r="AK2" s="23"/>
      <c r="AL2" s="23"/>
      <c r="AM2" s="23"/>
      <c r="AN2" s="23"/>
      <c r="AO2" s="23"/>
      <c r="AP2" s="23"/>
      <c r="AQ2" s="23"/>
      <c r="AR2" s="23"/>
      <c r="AS2" s="23"/>
      <c r="AT2" s="23"/>
      <c r="AU2" s="23"/>
      <c r="AV2" s="23" t="s">
        <v>390</v>
      </c>
      <c r="AW2" s="23" t="s">
        <v>391</v>
      </c>
      <c r="AX2" s="23" t="s">
        <v>391</v>
      </c>
      <c r="AY2" s="23" t="s">
        <v>391</v>
      </c>
      <c r="AZ2" s="23" t="s">
        <v>391</v>
      </c>
      <c r="BA2" s="23" t="s">
        <v>391</v>
      </c>
      <c r="BB2" s="23" t="s">
        <v>391</v>
      </c>
      <c r="BC2" s="23"/>
      <c r="BD2" s="23"/>
      <c r="BE2" s="23" t="s">
        <v>392</v>
      </c>
      <c r="BF2" s="23" t="s">
        <v>393</v>
      </c>
      <c r="BG2" s="23" t="s">
        <v>394</v>
      </c>
      <c r="BH2" s="23"/>
      <c r="BI2" s="23"/>
      <c r="BJ2" s="23"/>
      <c r="BK2" s="23" t="s">
        <v>395</v>
      </c>
      <c r="BL2" s="23" t="s">
        <v>396</v>
      </c>
      <c r="BM2" s="23" t="s">
        <v>397</v>
      </c>
      <c r="BN2" s="23" t="s">
        <v>398</v>
      </c>
      <c r="BO2" s="23" t="s">
        <v>399</v>
      </c>
      <c r="BP2" s="23" t="s">
        <v>400</v>
      </c>
      <c r="BQ2" s="23" t="s">
        <v>401</v>
      </c>
      <c r="BR2" s="23" t="s">
        <v>402</v>
      </c>
      <c r="BS2" s="23" t="s">
        <v>403</v>
      </c>
      <c r="BT2" s="23" t="s">
        <v>404</v>
      </c>
      <c r="BU2" s="23" t="s">
        <v>405</v>
      </c>
      <c r="BV2" s="23"/>
      <c r="BW2" s="23" t="s">
        <v>406</v>
      </c>
      <c r="BX2" s="23" t="s">
        <v>407</v>
      </c>
      <c r="BY2" s="23" t="s">
        <v>408</v>
      </c>
      <c r="BZ2" s="23"/>
      <c r="CA2" s="23"/>
      <c r="CB2" s="23"/>
      <c r="CC2" s="23"/>
      <c r="CD2" s="23" t="s">
        <v>409</v>
      </c>
      <c r="CE2" s="23"/>
      <c r="CF2" s="23"/>
      <c r="CG2" s="23"/>
      <c r="CH2" s="23"/>
      <c r="CI2" s="23" t="s">
        <v>410</v>
      </c>
      <c r="CJ2" s="23" t="s">
        <v>411</v>
      </c>
      <c r="CK2" s="23" t="s">
        <v>412</v>
      </c>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t="s">
        <v>413</v>
      </c>
      <c r="FA2" s="23" t="s">
        <v>414</v>
      </c>
      <c r="FB2" s="23" t="s">
        <v>413</v>
      </c>
      <c r="FC2" s="23" t="s">
        <v>413</v>
      </c>
      <c r="FD2" s="23" t="s">
        <v>413</v>
      </c>
      <c r="FE2" s="23" t="s">
        <v>415</v>
      </c>
      <c r="FF2" s="23" t="s">
        <v>413</v>
      </c>
      <c r="FG2" s="23" t="s">
        <v>413</v>
      </c>
      <c r="FH2" s="23" t="s">
        <v>416</v>
      </c>
      <c r="FI2" s="23" t="s">
        <v>414</v>
      </c>
      <c r="FJ2" s="23" t="s">
        <v>415</v>
      </c>
      <c r="FK2" s="23" t="s">
        <v>415</v>
      </c>
      <c r="FL2" s="23" t="s">
        <v>415</v>
      </c>
      <c r="FM2" s="23" t="s">
        <v>413</v>
      </c>
      <c r="FN2" s="23" t="s">
        <v>415</v>
      </c>
      <c r="FO2" s="23" t="s">
        <v>417</v>
      </c>
      <c r="FP2" s="23" t="s">
        <v>418</v>
      </c>
      <c r="FQ2" s="23" t="s">
        <v>419</v>
      </c>
      <c r="FR2" s="23"/>
      <c r="FS2" s="23" t="s">
        <v>420</v>
      </c>
      <c r="FT2" s="23" t="s">
        <v>421</v>
      </c>
      <c r="FU2" s="23"/>
      <c r="FV2" s="23"/>
      <c r="FW2" s="23"/>
      <c r="FX2" s="23"/>
      <c r="FY2" s="23"/>
      <c r="FZ2" s="23"/>
      <c r="GA2" s="23"/>
      <c r="GB2" s="23" t="s">
        <v>408</v>
      </c>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MX2" s="24" t="str">
        <f t="array" ref="MX2:MX1000">LET(
    country_val, C3:C1001,
    us_state_val, E3:E1001,
    can_province_val, U3:U1001,
    country_specify_val, GN3:GN1001,
    IF(us_state_val &lt;&gt; "", "United States",
      IF(can_province_val &lt;&gt; "", "Canada",
        IF(country_val = "Other (please specify)", country_specify_val,
          country_val
        )
      )
    )
  )</f>
        <v>United States</v>
      </c>
      <c r="MY2" s="25" t="str">
        <f>IFERROR(__xludf.DUMMYFUNCTION("ARRAYFORMULA(
  IFERROR(
    LET(
      country_val, C3:C1001,
      us_state_val, E3:E1001,
      can_province_val, U3:U1001,
      country_specify_val, GN3:GN1001,
      us_state_clean, IF(us_state_val&lt;&gt;"""", REGEXEXTRACT(us_state_val, "" - (.*)""), """&amp;"""),
      can_province_clean, IF(can_province_val&lt;&gt;"""", REGEXEXTRACT(can_province_val, "" - (.*)""), """"),
      country_clean, IF(country_val=""Other (please specify)"", country_specify_val, country_val),
      IF(us_state_val = ""Other US Territory "&amp;"not listed"", ""US Territory (Unspecified)"",
        IF(us_state_clean &lt;&gt; """", us_state_clean,
          IF(can_province_clean &lt;&gt; """", can_province_clean,
            country_clean
          )
        )
      )
    ), 
  """")
)"),"California")</f>
        <v>California</v>
      </c>
    </row>
    <row r="3" ht="16.5" customHeight="1">
      <c r="A3" s="26">
        <v>45825.04676695602</v>
      </c>
      <c r="B3" s="27" t="s">
        <v>368</v>
      </c>
      <c r="C3" s="27" t="s">
        <v>370</v>
      </c>
      <c r="D3" s="27"/>
      <c r="E3" s="27" t="s">
        <v>371</v>
      </c>
      <c r="F3" s="27"/>
      <c r="G3" s="27" t="s">
        <v>422</v>
      </c>
      <c r="H3" s="27" t="s">
        <v>423</v>
      </c>
      <c r="I3" s="27" t="s">
        <v>424</v>
      </c>
      <c r="J3" s="27" t="s">
        <v>425</v>
      </c>
      <c r="K3" s="27" t="s">
        <v>376</v>
      </c>
      <c r="L3" s="27" t="s">
        <v>426</v>
      </c>
      <c r="M3" s="27" t="s">
        <v>378</v>
      </c>
      <c r="N3" s="27" t="s">
        <v>377</v>
      </c>
      <c r="O3" s="27" t="s">
        <v>380</v>
      </c>
      <c r="P3" s="27" t="s">
        <v>381</v>
      </c>
      <c r="Q3" s="27" t="s">
        <v>382</v>
      </c>
      <c r="R3" s="27" t="s">
        <v>427</v>
      </c>
      <c r="S3" s="27" t="s">
        <v>384</v>
      </c>
      <c r="T3" s="27" t="s">
        <v>385</v>
      </c>
      <c r="U3" s="27"/>
      <c r="V3" s="27"/>
      <c r="W3" s="27" t="s">
        <v>428</v>
      </c>
      <c r="X3" s="27"/>
      <c r="Y3" s="27"/>
      <c r="Z3" s="27"/>
      <c r="AA3" s="27"/>
      <c r="AB3" s="27"/>
      <c r="AC3" s="27"/>
      <c r="AD3" s="27"/>
      <c r="AE3" s="27"/>
      <c r="AF3" s="27"/>
      <c r="AG3" s="27"/>
      <c r="AH3" s="27"/>
      <c r="AI3" s="27"/>
      <c r="AJ3" s="27"/>
      <c r="AK3" s="27"/>
      <c r="AL3" s="27"/>
      <c r="AM3" s="27"/>
      <c r="AN3" s="27"/>
      <c r="AO3" s="27"/>
      <c r="AP3" s="27"/>
      <c r="AQ3" s="27"/>
      <c r="AR3" s="27"/>
      <c r="AS3" s="27"/>
      <c r="AT3" s="27"/>
      <c r="AU3" s="27"/>
      <c r="AV3" s="27" t="s">
        <v>390</v>
      </c>
      <c r="AW3" s="27">
        <v>2.0</v>
      </c>
      <c r="AX3" s="27">
        <v>2.0</v>
      </c>
      <c r="AY3" s="27" t="s">
        <v>429</v>
      </c>
      <c r="AZ3" s="27">
        <v>2.0</v>
      </c>
      <c r="BA3" s="27">
        <v>2.0</v>
      </c>
      <c r="BB3" s="27">
        <v>2.0</v>
      </c>
      <c r="BC3" s="27" t="s">
        <v>430</v>
      </c>
      <c r="BD3" s="27" t="s">
        <v>431</v>
      </c>
      <c r="BE3" s="27" t="s">
        <v>432</v>
      </c>
      <c r="BF3" s="27" t="s">
        <v>433</v>
      </c>
      <c r="BG3" s="27" t="s">
        <v>434</v>
      </c>
      <c r="BH3" s="27"/>
      <c r="BI3" s="27" t="s">
        <v>435</v>
      </c>
      <c r="BJ3" s="27" t="s">
        <v>436</v>
      </c>
      <c r="BK3" s="27" t="s">
        <v>437</v>
      </c>
      <c r="BL3" s="27" t="s">
        <v>438</v>
      </c>
      <c r="BM3" s="27" t="s">
        <v>439</v>
      </c>
      <c r="BN3" s="27" t="s">
        <v>440</v>
      </c>
      <c r="BO3" s="27"/>
      <c r="BP3" s="27"/>
      <c r="BQ3" s="27"/>
      <c r="BR3" s="27"/>
      <c r="BS3" s="27"/>
      <c r="BT3" s="27"/>
      <c r="BU3" s="27"/>
      <c r="BV3" s="27"/>
      <c r="BW3" s="27"/>
      <c r="BX3" s="27"/>
      <c r="BY3" s="27"/>
      <c r="BZ3" s="27"/>
      <c r="CA3" s="27"/>
      <c r="CB3" s="27"/>
      <c r="CC3" s="27"/>
      <c r="CD3" s="27"/>
      <c r="CE3" s="27"/>
      <c r="CF3" s="27"/>
      <c r="CG3" s="27"/>
      <c r="CH3" s="27"/>
      <c r="CI3" s="27"/>
      <c r="CJ3" s="27"/>
      <c r="CK3" s="27"/>
      <c r="CL3" s="27" t="s">
        <v>441</v>
      </c>
      <c r="CM3" s="27" t="s">
        <v>442</v>
      </c>
      <c r="CN3" s="27" t="s">
        <v>443</v>
      </c>
      <c r="CO3" s="27" t="s">
        <v>444</v>
      </c>
      <c r="CP3" s="27" t="s">
        <v>445</v>
      </c>
      <c r="CQ3" s="27" t="s">
        <v>446</v>
      </c>
      <c r="CR3" s="27" t="s">
        <v>447</v>
      </c>
      <c r="CS3" s="27" t="s">
        <v>448</v>
      </c>
      <c r="CT3" s="27" t="s">
        <v>449</v>
      </c>
      <c r="CU3" s="27" t="s">
        <v>450</v>
      </c>
      <c r="CV3" s="27" t="s">
        <v>451</v>
      </c>
      <c r="CW3" s="27" t="s">
        <v>452</v>
      </c>
      <c r="CX3" s="27" t="s">
        <v>408</v>
      </c>
      <c r="CY3" s="27"/>
      <c r="CZ3" s="27" t="s">
        <v>453</v>
      </c>
      <c r="DA3" s="27" t="s">
        <v>454</v>
      </c>
      <c r="DB3" s="27" t="s">
        <v>455</v>
      </c>
      <c r="DC3" s="27" t="s">
        <v>456</v>
      </c>
      <c r="DD3" s="27" t="s">
        <v>457</v>
      </c>
      <c r="DE3" s="27"/>
      <c r="DF3" s="27" t="s">
        <v>458</v>
      </c>
      <c r="DG3" s="27"/>
      <c r="DH3" s="27" t="s">
        <v>410</v>
      </c>
      <c r="DI3" s="27" t="s">
        <v>459</v>
      </c>
      <c r="DJ3" s="27" t="s">
        <v>460</v>
      </c>
      <c r="DK3" s="27" t="s">
        <v>461</v>
      </c>
      <c r="DL3" s="27"/>
      <c r="DM3" s="27" t="s">
        <v>462</v>
      </c>
      <c r="DN3" s="27" t="s">
        <v>463</v>
      </c>
      <c r="DO3" s="27" t="s">
        <v>464</v>
      </c>
      <c r="DP3" s="27" t="s">
        <v>465</v>
      </c>
      <c r="DQ3" s="27" t="s">
        <v>466</v>
      </c>
      <c r="DR3" s="27" t="s">
        <v>467</v>
      </c>
      <c r="DS3" s="27" t="s">
        <v>468</v>
      </c>
      <c r="DT3" s="27" t="s">
        <v>469</v>
      </c>
      <c r="DU3" s="27" t="s">
        <v>470</v>
      </c>
      <c r="DV3" s="27" t="s">
        <v>471</v>
      </c>
      <c r="DW3" s="27" t="s">
        <v>396</v>
      </c>
      <c r="DX3" s="27" t="s">
        <v>472</v>
      </c>
      <c r="DY3" s="27" t="s">
        <v>473</v>
      </c>
      <c r="DZ3" s="27" t="s">
        <v>474</v>
      </c>
      <c r="EA3" s="27" t="s">
        <v>475</v>
      </c>
      <c r="EB3" s="27" t="s">
        <v>476</v>
      </c>
      <c r="EC3" s="27" t="s">
        <v>477</v>
      </c>
      <c r="ED3" s="27"/>
      <c r="EE3" s="27"/>
      <c r="EF3" s="27"/>
      <c r="EG3" s="27"/>
      <c r="EH3" s="27"/>
      <c r="EI3" s="27"/>
      <c r="EJ3" s="27"/>
      <c r="EK3" s="27"/>
      <c r="EL3" s="27"/>
      <c r="EM3" s="27"/>
      <c r="EN3" s="27"/>
      <c r="EO3" s="27"/>
      <c r="EP3" s="27"/>
      <c r="EQ3" s="27"/>
      <c r="ER3" s="27"/>
      <c r="ES3" s="27"/>
      <c r="ET3" s="27" t="s">
        <v>478</v>
      </c>
      <c r="EU3" s="27" t="s">
        <v>479</v>
      </c>
      <c r="EV3" s="27" t="s">
        <v>480</v>
      </c>
      <c r="EW3" s="27" t="s">
        <v>481</v>
      </c>
      <c r="EX3" s="27" t="s">
        <v>482</v>
      </c>
      <c r="EY3" s="27" t="s">
        <v>483</v>
      </c>
      <c r="EZ3" s="27" t="s">
        <v>414</v>
      </c>
      <c r="FA3" s="27" t="s">
        <v>414</v>
      </c>
      <c r="FB3" s="27" t="s">
        <v>414</v>
      </c>
      <c r="FC3" s="27" t="s">
        <v>414</v>
      </c>
      <c r="FD3" s="27" t="s">
        <v>414</v>
      </c>
      <c r="FE3" s="27" t="s">
        <v>414</v>
      </c>
      <c r="FF3" s="27" t="s">
        <v>414</v>
      </c>
      <c r="FG3" s="27" t="s">
        <v>414</v>
      </c>
      <c r="FH3" s="27" t="s">
        <v>484</v>
      </c>
      <c r="FI3" s="27" t="s">
        <v>414</v>
      </c>
      <c r="FJ3" s="27" t="s">
        <v>414</v>
      </c>
      <c r="FK3" s="27" t="s">
        <v>484</v>
      </c>
      <c r="FL3" s="27" t="s">
        <v>414</v>
      </c>
      <c r="FM3" s="27" t="s">
        <v>484</v>
      </c>
      <c r="FN3" s="27" t="s">
        <v>484</v>
      </c>
      <c r="FO3" s="27" t="s">
        <v>485</v>
      </c>
      <c r="FP3" s="27" t="s">
        <v>486</v>
      </c>
      <c r="FQ3" s="27" t="s">
        <v>419</v>
      </c>
      <c r="FR3" s="27" t="s">
        <v>487</v>
      </c>
      <c r="FS3" s="27" t="s">
        <v>420</v>
      </c>
      <c r="FT3" s="27" t="s">
        <v>488</v>
      </c>
      <c r="FU3" s="27" t="s">
        <v>489</v>
      </c>
      <c r="FV3" s="27" t="s">
        <v>490</v>
      </c>
      <c r="FW3" s="27" t="s">
        <v>491</v>
      </c>
      <c r="FX3" s="27" t="s">
        <v>492</v>
      </c>
      <c r="FY3" s="27" t="s">
        <v>493</v>
      </c>
      <c r="FZ3" s="27" t="s">
        <v>494</v>
      </c>
      <c r="GA3" s="27"/>
      <c r="GB3" s="27" t="s">
        <v>408</v>
      </c>
      <c r="GC3" s="27"/>
      <c r="GD3" s="27"/>
      <c r="GE3" s="27"/>
      <c r="GF3" s="27"/>
      <c r="GG3" s="27"/>
      <c r="GH3" s="27"/>
      <c r="GI3" s="27"/>
      <c r="GJ3" s="27"/>
      <c r="GK3" s="27"/>
      <c r="GL3" s="27"/>
      <c r="GM3" s="27"/>
      <c r="GN3" s="27"/>
      <c r="GO3" s="27"/>
      <c r="GP3" s="27"/>
      <c r="GQ3" s="27"/>
      <c r="GR3" s="27"/>
      <c r="GS3" s="27"/>
      <c r="GT3" s="27"/>
      <c r="GU3" s="27"/>
      <c r="GV3" s="27"/>
      <c r="GW3" s="27"/>
      <c r="GX3" s="27"/>
      <c r="GY3" s="27"/>
      <c r="GZ3" s="27"/>
      <c r="HA3" s="27"/>
      <c r="HB3" s="27"/>
      <c r="HC3" s="27"/>
      <c r="HD3" s="27"/>
      <c r="HE3" s="27"/>
      <c r="HF3" s="27"/>
      <c r="HG3" s="27"/>
      <c r="HH3" s="27"/>
      <c r="HI3" s="27"/>
      <c r="HJ3" s="27"/>
      <c r="HK3" s="27"/>
      <c r="HL3" s="27"/>
      <c r="HM3" s="27"/>
      <c r="HN3" s="27"/>
      <c r="HO3" s="27"/>
      <c r="HP3" s="28"/>
      <c r="HQ3" s="27"/>
      <c r="MX3" s="29" t="s">
        <v>10402</v>
      </c>
      <c r="MY3" s="29" t="str">
        <f>IFERROR(__xludf.DUMMYFUNCTION("""COMPUTED_VALUE"""),"Ohio")</f>
        <v>Ohio</v>
      </c>
    </row>
    <row r="4" ht="16.5" customHeight="1">
      <c r="A4" s="30">
        <v>45825.05825144676</v>
      </c>
      <c r="B4" s="15" t="s">
        <v>368</v>
      </c>
      <c r="C4" s="15" t="s">
        <v>370</v>
      </c>
      <c r="D4" s="15"/>
      <c r="E4" s="15" t="s">
        <v>495</v>
      </c>
      <c r="F4" s="15"/>
      <c r="G4" s="15" t="s">
        <v>422</v>
      </c>
      <c r="H4" s="15" t="s">
        <v>496</v>
      </c>
      <c r="I4" s="15" t="s">
        <v>374</v>
      </c>
      <c r="J4" s="15" t="s">
        <v>425</v>
      </c>
      <c r="K4" s="15" t="s">
        <v>376</v>
      </c>
      <c r="L4" s="15" t="s">
        <v>379</v>
      </c>
      <c r="M4" s="15" t="s">
        <v>378</v>
      </c>
      <c r="N4" s="15" t="s">
        <v>379</v>
      </c>
      <c r="O4" s="15" t="s">
        <v>497</v>
      </c>
      <c r="P4" s="15" t="s">
        <v>498</v>
      </c>
      <c r="Q4" s="15" t="s">
        <v>499</v>
      </c>
      <c r="R4" s="15" t="s">
        <v>500</v>
      </c>
      <c r="S4" s="15" t="s">
        <v>501</v>
      </c>
      <c r="T4" s="15" t="s">
        <v>385</v>
      </c>
      <c r="U4" s="15"/>
      <c r="V4" s="15"/>
      <c r="W4" s="15" t="s">
        <v>386</v>
      </c>
      <c r="X4" s="15" t="s">
        <v>387</v>
      </c>
      <c r="Y4" s="15" t="s">
        <v>388</v>
      </c>
      <c r="Z4" s="15" t="s">
        <v>502</v>
      </c>
      <c r="AA4" s="15" t="s">
        <v>408</v>
      </c>
      <c r="AB4" s="15" t="s">
        <v>503</v>
      </c>
      <c r="AC4" s="15"/>
      <c r="AD4" s="15"/>
      <c r="AE4" s="15"/>
      <c r="AF4" s="15"/>
      <c r="AG4" s="15"/>
      <c r="AH4" s="15"/>
      <c r="AI4" s="15"/>
      <c r="AJ4" s="15"/>
      <c r="AK4" s="15"/>
      <c r="AL4" s="15"/>
      <c r="AM4" s="15"/>
      <c r="AN4" s="15"/>
      <c r="AO4" s="15"/>
      <c r="AP4" s="15"/>
      <c r="AQ4" s="15"/>
      <c r="AR4" s="15"/>
      <c r="AS4" s="15"/>
      <c r="AT4" s="15"/>
      <c r="AU4" s="15"/>
      <c r="AV4" s="15" t="s">
        <v>504</v>
      </c>
      <c r="AW4" s="15" t="s">
        <v>429</v>
      </c>
      <c r="AX4" s="15" t="s">
        <v>429</v>
      </c>
      <c r="AY4" s="15" t="s">
        <v>429</v>
      </c>
      <c r="AZ4" s="15" t="s">
        <v>429</v>
      </c>
      <c r="BA4" s="15" t="s">
        <v>429</v>
      </c>
      <c r="BB4" s="15" t="s">
        <v>429</v>
      </c>
      <c r="BC4" s="15" t="s">
        <v>505</v>
      </c>
      <c r="BD4" s="15" t="s">
        <v>506</v>
      </c>
      <c r="BE4" s="15" t="s">
        <v>392</v>
      </c>
      <c r="BF4" s="15" t="s">
        <v>433</v>
      </c>
      <c r="BG4" s="15" t="s">
        <v>507</v>
      </c>
      <c r="BH4" s="15" t="s">
        <v>508</v>
      </c>
      <c r="BI4" s="15" t="s">
        <v>509</v>
      </c>
      <c r="BJ4" s="15" t="s">
        <v>510</v>
      </c>
      <c r="BK4" s="15" t="s">
        <v>511</v>
      </c>
      <c r="BL4" s="15" t="s">
        <v>512</v>
      </c>
      <c r="BM4" s="15" t="s">
        <v>439</v>
      </c>
      <c r="BN4" s="15" t="s">
        <v>513</v>
      </c>
      <c r="BO4" s="15"/>
      <c r="BP4" s="15"/>
      <c r="BQ4" s="15"/>
      <c r="BR4" s="15"/>
      <c r="BS4" s="15"/>
      <c r="BT4" s="15"/>
      <c r="BU4" s="15"/>
      <c r="BV4" s="15"/>
      <c r="BW4" s="15"/>
      <c r="BX4" s="15"/>
      <c r="BY4" s="15"/>
      <c r="BZ4" s="15"/>
      <c r="CA4" s="15"/>
      <c r="CB4" s="15"/>
      <c r="CC4" s="15"/>
      <c r="CD4" s="15"/>
      <c r="CE4" s="15"/>
      <c r="CF4" s="15"/>
      <c r="CG4" s="15"/>
      <c r="CH4" s="15"/>
      <c r="CI4" s="15"/>
      <c r="CJ4" s="15"/>
      <c r="CK4" s="15"/>
      <c r="CL4" s="15" t="s">
        <v>441</v>
      </c>
      <c r="CM4" s="15" t="s">
        <v>442</v>
      </c>
      <c r="CN4" s="15" t="s">
        <v>514</v>
      </c>
      <c r="CO4" s="15" t="s">
        <v>515</v>
      </c>
      <c r="CP4" s="15" t="s">
        <v>445</v>
      </c>
      <c r="CQ4" s="15" t="s">
        <v>516</v>
      </c>
      <c r="CR4" s="15" t="s">
        <v>447</v>
      </c>
      <c r="CS4" s="15" t="s">
        <v>517</v>
      </c>
      <c r="CT4" s="15" t="s">
        <v>518</v>
      </c>
      <c r="CU4" s="15" t="s">
        <v>519</v>
      </c>
      <c r="CV4" s="15" t="s">
        <v>451</v>
      </c>
      <c r="CW4" s="15" t="s">
        <v>520</v>
      </c>
      <c r="CX4" s="15" t="s">
        <v>408</v>
      </c>
      <c r="CY4" s="15"/>
      <c r="CZ4" s="15" t="s">
        <v>453</v>
      </c>
      <c r="DA4" s="15" t="s">
        <v>521</v>
      </c>
      <c r="DB4" s="15" t="s">
        <v>455</v>
      </c>
      <c r="DC4" s="15" t="s">
        <v>522</v>
      </c>
      <c r="DD4" s="15" t="s">
        <v>457</v>
      </c>
      <c r="DE4" s="15"/>
      <c r="DF4" s="15" t="s">
        <v>523</v>
      </c>
      <c r="DG4" s="15" t="s">
        <v>524</v>
      </c>
      <c r="DH4" s="15" t="s">
        <v>410</v>
      </c>
      <c r="DI4" s="15" t="s">
        <v>459</v>
      </c>
      <c r="DJ4" s="15" t="s">
        <v>460</v>
      </c>
      <c r="DK4" s="15" t="s">
        <v>525</v>
      </c>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t="s">
        <v>526</v>
      </c>
      <c r="EU4" s="15" t="s">
        <v>479</v>
      </c>
      <c r="EV4" s="15" t="s">
        <v>527</v>
      </c>
      <c r="EW4" s="15" t="s">
        <v>528</v>
      </c>
      <c r="EX4" s="15" t="s">
        <v>529</v>
      </c>
      <c r="EY4" s="15" t="s">
        <v>530</v>
      </c>
      <c r="EZ4" s="15" t="s">
        <v>413</v>
      </c>
      <c r="FA4" s="15" t="s">
        <v>413</v>
      </c>
      <c r="FB4" s="15" t="s">
        <v>413</v>
      </c>
      <c r="FC4" s="15" t="s">
        <v>413</v>
      </c>
      <c r="FD4" s="15" t="s">
        <v>413</v>
      </c>
      <c r="FE4" s="15" t="s">
        <v>413</v>
      </c>
      <c r="FF4" s="15" t="s">
        <v>413</v>
      </c>
      <c r="FG4" s="15" t="s">
        <v>413</v>
      </c>
      <c r="FH4" s="15" t="s">
        <v>413</v>
      </c>
      <c r="FI4" s="15" t="s">
        <v>413</v>
      </c>
      <c r="FJ4" s="15" t="s">
        <v>413</v>
      </c>
      <c r="FK4" s="15" t="s">
        <v>413</v>
      </c>
      <c r="FL4" s="15" t="s">
        <v>413</v>
      </c>
      <c r="FM4" s="15" t="s">
        <v>413</v>
      </c>
      <c r="FN4" s="15" t="s">
        <v>413</v>
      </c>
      <c r="FO4" s="15" t="s">
        <v>417</v>
      </c>
      <c r="FP4" s="15" t="s">
        <v>418</v>
      </c>
      <c r="FQ4" s="15" t="s">
        <v>531</v>
      </c>
      <c r="FR4" s="15" t="s">
        <v>532</v>
      </c>
      <c r="FS4" s="15" t="s">
        <v>420</v>
      </c>
      <c r="FT4" s="15" t="s">
        <v>488</v>
      </c>
      <c r="FU4" s="15" t="s">
        <v>533</v>
      </c>
      <c r="FV4" s="15" t="s">
        <v>490</v>
      </c>
      <c r="FW4" s="15" t="s">
        <v>491</v>
      </c>
      <c r="FX4" s="15" t="s">
        <v>534</v>
      </c>
      <c r="FY4" s="15" t="s">
        <v>535</v>
      </c>
      <c r="FZ4" s="15" t="s">
        <v>536</v>
      </c>
      <c r="GA4" s="15" t="s">
        <v>537</v>
      </c>
      <c r="GB4" s="15" t="s">
        <v>455</v>
      </c>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31"/>
      <c r="MX4" s="29" t="s">
        <v>538</v>
      </c>
      <c r="MY4" s="29" t="str">
        <f>IFERROR(__xludf.DUMMYFUNCTION("""COMPUTED_VALUE"""),"United Kingdom")</f>
        <v>United Kingdom</v>
      </c>
    </row>
    <row r="5" ht="16.5" customHeight="1">
      <c r="A5" s="30">
        <v>45825.103313796295</v>
      </c>
      <c r="B5" s="15" t="s">
        <v>368</v>
      </c>
      <c r="C5" s="15" t="s">
        <v>538</v>
      </c>
      <c r="D5" s="15" t="s">
        <v>538</v>
      </c>
      <c r="E5" s="15"/>
      <c r="F5" s="15"/>
      <c r="G5" s="15" t="s">
        <v>422</v>
      </c>
      <c r="H5" s="15" t="s">
        <v>539</v>
      </c>
      <c r="I5" s="15" t="s">
        <v>424</v>
      </c>
      <c r="J5" s="15" t="s">
        <v>540</v>
      </c>
      <c r="K5" s="15" t="s">
        <v>376</v>
      </c>
      <c r="L5" s="15" t="s">
        <v>379</v>
      </c>
      <c r="M5" s="15" t="s">
        <v>541</v>
      </c>
      <c r="N5" s="15" t="s">
        <v>377</v>
      </c>
      <c r="O5" s="15" t="s">
        <v>497</v>
      </c>
      <c r="P5" s="15" t="s">
        <v>381</v>
      </c>
      <c r="Q5" s="15" t="s">
        <v>499</v>
      </c>
      <c r="R5" s="15" t="s">
        <v>427</v>
      </c>
      <c r="S5" s="15" t="s">
        <v>384</v>
      </c>
      <c r="T5" s="15" t="s">
        <v>385</v>
      </c>
      <c r="U5" s="15"/>
      <c r="V5" s="15"/>
      <c r="W5" s="15" t="s">
        <v>386</v>
      </c>
      <c r="X5" s="15" t="s">
        <v>387</v>
      </c>
      <c r="Y5" s="15" t="s">
        <v>542</v>
      </c>
      <c r="Z5" s="15" t="s">
        <v>543</v>
      </c>
      <c r="AA5" s="15" t="s">
        <v>408</v>
      </c>
      <c r="AB5" s="15" t="s">
        <v>544</v>
      </c>
      <c r="AC5" s="15"/>
      <c r="AD5" s="15"/>
      <c r="AE5" s="15"/>
      <c r="AF5" s="15"/>
      <c r="AG5" s="15"/>
      <c r="AH5" s="15"/>
      <c r="AI5" s="15"/>
      <c r="AJ5" s="15"/>
      <c r="AK5" s="15"/>
      <c r="AL5" s="15"/>
      <c r="AM5" s="15"/>
      <c r="AN5" s="15"/>
      <c r="AO5" s="15"/>
      <c r="AP5" s="15"/>
      <c r="AQ5" s="15"/>
      <c r="AR5" s="15"/>
      <c r="AS5" s="15"/>
      <c r="AT5" s="15"/>
      <c r="AU5" s="15"/>
      <c r="AV5" s="15" t="s">
        <v>390</v>
      </c>
      <c r="AW5" s="15" t="s">
        <v>391</v>
      </c>
      <c r="AX5" s="15">
        <v>2.0</v>
      </c>
      <c r="AY5" s="15" t="s">
        <v>391</v>
      </c>
      <c r="AZ5" s="15" t="s">
        <v>429</v>
      </c>
      <c r="BA5" s="15" t="s">
        <v>391</v>
      </c>
      <c r="BB5" s="15" t="s">
        <v>429</v>
      </c>
      <c r="BC5" s="15" t="s">
        <v>545</v>
      </c>
      <c r="BD5" s="15" t="s">
        <v>546</v>
      </c>
      <c r="BE5" s="15" t="s">
        <v>392</v>
      </c>
      <c r="BF5" s="15" t="s">
        <v>433</v>
      </c>
      <c r="BG5" s="15" t="s">
        <v>434</v>
      </c>
      <c r="BH5" s="15" t="s">
        <v>547</v>
      </c>
      <c r="BI5" s="15" t="s">
        <v>509</v>
      </c>
      <c r="BJ5" s="15" t="s">
        <v>548</v>
      </c>
      <c r="BK5" s="15" t="s">
        <v>437</v>
      </c>
      <c r="BL5" s="15" t="s">
        <v>438</v>
      </c>
      <c r="BM5" s="15" t="s">
        <v>549</v>
      </c>
      <c r="BN5" s="15" t="s">
        <v>440</v>
      </c>
      <c r="BO5" s="15"/>
      <c r="BP5" s="15"/>
      <c r="BQ5" s="15"/>
      <c r="BR5" s="15"/>
      <c r="BS5" s="15"/>
      <c r="BT5" s="15"/>
      <c r="BU5" s="15"/>
      <c r="BV5" s="15"/>
      <c r="BW5" s="15"/>
      <c r="BX5" s="15"/>
      <c r="BY5" s="15"/>
      <c r="BZ5" s="15"/>
      <c r="CA5" s="15"/>
      <c r="CB5" s="15"/>
      <c r="CC5" s="15"/>
      <c r="CD5" s="15"/>
      <c r="CE5" s="15"/>
      <c r="CF5" s="15"/>
      <c r="CG5" s="15"/>
      <c r="CH5" s="15"/>
      <c r="CI5" s="15"/>
      <c r="CJ5" s="15"/>
      <c r="CK5" s="15"/>
      <c r="CL5" s="15" t="s">
        <v>550</v>
      </c>
      <c r="CM5" s="15" t="s">
        <v>551</v>
      </c>
      <c r="CN5" s="15" t="s">
        <v>552</v>
      </c>
      <c r="CO5" s="15" t="s">
        <v>553</v>
      </c>
      <c r="CP5" s="15"/>
      <c r="CQ5" s="15" t="s">
        <v>554</v>
      </c>
      <c r="CR5" s="15" t="s">
        <v>555</v>
      </c>
      <c r="CS5" s="15" t="s">
        <v>556</v>
      </c>
      <c r="CT5" s="15" t="s">
        <v>557</v>
      </c>
      <c r="CU5" s="15" t="s">
        <v>450</v>
      </c>
      <c r="CV5" s="15" t="s">
        <v>451</v>
      </c>
      <c r="CW5" s="15" t="s">
        <v>558</v>
      </c>
      <c r="CX5" s="15" t="s">
        <v>408</v>
      </c>
      <c r="CY5" s="15"/>
      <c r="CZ5" s="15" t="s">
        <v>453</v>
      </c>
      <c r="DA5" s="15" t="s">
        <v>559</v>
      </c>
      <c r="DB5" s="15" t="s">
        <v>455</v>
      </c>
      <c r="DC5" s="15"/>
      <c r="DD5" s="15" t="s">
        <v>457</v>
      </c>
      <c r="DE5" s="15"/>
      <c r="DF5" s="15" t="s">
        <v>560</v>
      </c>
      <c r="DG5" s="15" t="s">
        <v>561</v>
      </c>
      <c r="DH5" s="15" t="s">
        <v>410</v>
      </c>
      <c r="DI5" s="15" t="s">
        <v>459</v>
      </c>
      <c r="DJ5" s="15" t="s">
        <v>562</v>
      </c>
      <c r="DK5" s="15" t="s">
        <v>563</v>
      </c>
      <c r="DL5" s="15" t="s">
        <v>564</v>
      </c>
      <c r="DM5" s="15" t="s">
        <v>565</v>
      </c>
      <c r="DN5" s="15" t="s">
        <v>566</v>
      </c>
      <c r="DO5" s="15" t="s">
        <v>567</v>
      </c>
      <c r="DP5" s="15" t="s">
        <v>568</v>
      </c>
      <c r="DQ5" s="15" t="s">
        <v>466</v>
      </c>
      <c r="DR5" s="15" t="s">
        <v>569</v>
      </c>
      <c r="DS5" s="15" t="s">
        <v>468</v>
      </c>
      <c r="DT5" s="15" t="s">
        <v>570</v>
      </c>
      <c r="DU5" s="15" t="s">
        <v>571</v>
      </c>
      <c r="DV5" s="15" t="s">
        <v>572</v>
      </c>
      <c r="DW5" s="15" t="s">
        <v>573</v>
      </c>
      <c r="DX5" s="15" t="s">
        <v>574</v>
      </c>
      <c r="DY5" s="15" t="s">
        <v>575</v>
      </c>
      <c r="DZ5" s="15" t="s">
        <v>576</v>
      </c>
      <c r="EA5" s="15" t="s">
        <v>475</v>
      </c>
      <c r="EB5" s="15" t="s">
        <v>476</v>
      </c>
      <c r="EC5" s="15" t="s">
        <v>577</v>
      </c>
      <c r="ED5" s="15"/>
      <c r="EE5" s="15"/>
      <c r="EF5" s="15"/>
      <c r="EG5" s="15"/>
      <c r="EH5" s="15"/>
      <c r="EI5" s="15"/>
      <c r="EJ5" s="15"/>
      <c r="EK5" s="15"/>
      <c r="EL5" s="15"/>
      <c r="EM5" s="15"/>
      <c r="EN5" s="15"/>
      <c r="EO5" s="15"/>
      <c r="EP5" s="15"/>
      <c r="EQ5" s="15"/>
      <c r="ER5" s="15"/>
      <c r="ES5" s="15"/>
      <c r="ET5" s="15" t="s">
        <v>578</v>
      </c>
      <c r="EU5" s="15" t="s">
        <v>579</v>
      </c>
      <c r="EV5" s="15" t="s">
        <v>580</v>
      </c>
      <c r="EW5" s="15"/>
      <c r="EX5" s="15" t="s">
        <v>581</v>
      </c>
      <c r="EY5" s="15" t="s">
        <v>582</v>
      </c>
      <c r="EZ5" s="15" t="s">
        <v>415</v>
      </c>
      <c r="FA5" s="15" t="s">
        <v>583</v>
      </c>
      <c r="FB5" s="15" t="s">
        <v>413</v>
      </c>
      <c r="FC5" s="15" t="s">
        <v>415</v>
      </c>
      <c r="FD5" s="15" t="s">
        <v>416</v>
      </c>
      <c r="FE5" s="15" t="s">
        <v>583</v>
      </c>
      <c r="FF5" s="15" t="s">
        <v>415</v>
      </c>
      <c r="FG5" s="15" t="s">
        <v>413</v>
      </c>
      <c r="FH5" s="15" t="s">
        <v>414</v>
      </c>
      <c r="FI5" s="15" t="s">
        <v>413</v>
      </c>
      <c r="FJ5" s="15" t="s">
        <v>416</v>
      </c>
      <c r="FK5" s="15" t="s">
        <v>413</v>
      </c>
      <c r="FL5" s="15" t="s">
        <v>415</v>
      </c>
      <c r="FM5" s="15" t="s">
        <v>413</v>
      </c>
      <c r="FN5" s="15" t="s">
        <v>414</v>
      </c>
      <c r="FO5" s="15" t="s">
        <v>485</v>
      </c>
      <c r="FP5" s="15" t="s">
        <v>418</v>
      </c>
      <c r="FQ5" s="15" t="s">
        <v>419</v>
      </c>
      <c r="FR5" s="15" t="s">
        <v>584</v>
      </c>
      <c r="FS5" s="15" t="s">
        <v>420</v>
      </c>
      <c r="FT5" s="15"/>
      <c r="FU5" s="15" t="s">
        <v>585</v>
      </c>
      <c r="FV5" s="15" t="s">
        <v>490</v>
      </c>
      <c r="FW5" s="15" t="s">
        <v>491</v>
      </c>
      <c r="FX5" s="15" t="s">
        <v>586</v>
      </c>
      <c r="FY5" s="15" t="s">
        <v>535</v>
      </c>
      <c r="FZ5" s="15"/>
      <c r="GA5" s="15" t="s">
        <v>587</v>
      </c>
      <c r="GB5" s="15" t="s">
        <v>455</v>
      </c>
      <c r="GC5" s="15"/>
      <c r="GD5" s="15" t="s">
        <v>588</v>
      </c>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31"/>
      <c r="MX5" s="29" t="s">
        <v>10402</v>
      </c>
      <c r="MY5" s="29" t="str">
        <f>IFERROR(__xludf.DUMMYFUNCTION("""COMPUTED_VALUE"""),"Georgia")</f>
        <v>Georgia</v>
      </c>
    </row>
    <row r="6" ht="16.5" customHeight="1">
      <c r="A6" s="30">
        <v>45825.22351165509</v>
      </c>
      <c r="B6" s="15" t="s">
        <v>368</v>
      </c>
      <c r="C6" s="15" t="s">
        <v>370</v>
      </c>
      <c r="D6" s="15"/>
      <c r="E6" s="15" t="s">
        <v>589</v>
      </c>
      <c r="F6" s="15"/>
      <c r="G6" s="15" t="s">
        <v>422</v>
      </c>
      <c r="H6" s="15" t="s">
        <v>373</v>
      </c>
      <c r="I6" s="15" t="s">
        <v>374</v>
      </c>
      <c r="J6" s="15" t="s">
        <v>590</v>
      </c>
      <c r="K6" s="15" t="s">
        <v>376</v>
      </c>
      <c r="L6" s="15" t="s">
        <v>426</v>
      </c>
      <c r="M6" s="15" t="s">
        <v>378</v>
      </c>
      <c r="N6" s="15" t="s">
        <v>591</v>
      </c>
      <c r="O6" s="15" t="s">
        <v>497</v>
      </c>
      <c r="P6" s="15" t="s">
        <v>592</v>
      </c>
      <c r="Q6" s="15" t="s">
        <v>499</v>
      </c>
      <c r="R6" s="15" t="s">
        <v>427</v>
      </c>
      <c r="S6" s="15" t="s">
        <v>384</v>
      </c>
      <c r="T6" s="15" t="s">
        <v>385</v>
      </c>
      <c r="U6" s="15"/>
      <c r="V6" s="15"/>
      <c r="W6" s="15" t="s">
        <v>593</v>
      </c>
      <c r="X6" s="15" t="s">
        <v>387</v>
      </c>
      <c r="Y6" s="15" t="s">
        <v>594</v>
      </c>
      <c r="Z6" s="15" t="s">
        <v>502</v>
      </c>
      <c r="AA6" s="15" t="s">
        <v>595</v>
      </c>
      <c r="AB6" s="15" t="s">
        <v>596</v>
      </c>
      <c r="AC6" s="15"/>
      <c r="AD6" s="15"/>
      <c r="AE6" s="15"/>
      <c r="AF6" s="15"/>
      <c r="AG6" s="15"/>
      <c r="AH6" s="15"/>
      <c r="AI6" s="15"/>
      <c r="AJ6" s="15"/>
      <c r="AK6" s="15"/>
      <c r="AL6" s="15"/>
      <c r="AM6" s="15"/>
      <c r="AN6" s="15"/>
      <c r="AO6" s="15"/>
      <c r="AP6" s="15"/>
      <c r="AQ6" s="15"/>
      <c r="AR6" s="15"/>
      <c r="AS6" s="15"/>
      <c r="AT6" s="15"/>
      <c r="AU6" s="15"/>
      <c r="AV6" s="15" t="s">
        <v>597</v>
      </c>
      <c r="AW6" s="15">
        <v>4.0</v>
      </c>
      <c r="AX6" s="15" t="s">
        <v>391</v>
      </c>
      <c r="AY6" s="15">
        <v>2.0</v>
      </c>
      <c r="AZ6" s="15" t="s">
        <v>391</v>
      </c>
      <c r="BA6" s="15">
        <v>4.0</v>
      </c>
      <c r="BB6" s="15" t="s">
        <v>391</v>
      </c>
      <c r="BC6" s="15" t="s">
        <v>598</v>
      </c>
      <c r="BD6" s="15" t="s">
        <v>599</v>
      </c>
      <c r="BE6" s="15" t="s">
        <v>392</v>
      </c>
      <c r="BF6" s="15" t="s">
        <v>393</v>
      </c>
      <c r="BG6" s="15" t="s">
        <v>394</v>
      </c>
      <c r="BH6" s="15" t="s">
        <v>600</v>
      </c>
      <c r="BI6" s="15" t="s">
        <v>435</v>
      </c>
      <c r="BJ6" s="15" t="s">
        <v>601</v>
      </c>
      <c r="BK6" s="15" t="s">
        <v>602</v>
      </c>
      <c r="BL6" s="15" t="s">
        <v>603</v>
      </c>
      <c r="BM6" s="15" t="s">
        <v>549</v>
      </c>
      <c r="BN6" s="15" t="s">
        <v>440</v>
      </c>
      <c r="BO6" s="15"/>
      <c r="BP6" s="15"/>
      <c r="BQ6" s="15"/>
      <c r="BR6" s="15"/>
      <c r="BS6" s="15"/>
      <c r="BT6" s="15"/>
      <c r="BU6" s="15"/>
      <c r="BV6" s="15"/>
      <c r="BW6" s="15"/>
      <c r="BX6" s="15"/>
      <c r="BY6" s="15"/>
      <c r="BZ6" s="15"/>
      <c r="CA6" s="15"/>
      <c r="CB6" s="15"/>
      <c r="CC6" s="15"/>
      <c r="CD6" s="15"/>
      <c r="CE6" s="15"/>
      <c r="CF6" s="15"/>
      <c r="CG6" s="15"/>
      <c r="CH6" s="15"/>
      <c r="CI6" s="15"/>
      <c r="CJ6" s="15"/>
      <c r="CK6" s="15"/>
      <c r="CL6" s="15" t="s">
        <v>441</v>
      </c>
      <c r="CM6" s="15" t="s">
        <v>604</v>
      </c>
      <c r="CN6" s="15" t="s">
        <v>605</v>
      </c>
      <c r="CO6" s="15" t="s">
        <v>606</v>
      </c>
      <c r="CP6" s="15" t="s">
        <v>445</v>
      </c>
      <c r="CQ6" s="15" t="s">
        <v>607</v>
      </c>
      <c r="CR6" s="15" t="s">
        <v>447</v>
      </c>
      <c r="CS6" s="15" t="s">
        <v>608</v>
      </c>
      <c r="CT6" s="15" t="s">
        <v>609</v>
      </c>
      <c r="CU6" s="15" t="s">
        <v>519</v>
      </c>
      <c r="CV6" s="15" t="s">
        <v>451</v>
      </c>
      <c r="CW6" s="15" t="s">
        <v>610</v>
      </c>
      <c r="CX6" s="15" t="s">
        <v>408</v>
      </c>
      <c r="CY6" s="15"/>
      <c r="CZ6" s="15" t="s">
        <v>453</v>
      </c>
      <c r="DA6" s="15" t="s">
        <v>611</v>
      </c>
      <c r="DB6" s="15" t="s">
        <v>408</v>
      </c>
      <c r="DC6" s="15"/>
      <c r="DD6" s="15" t="s">
        <v>457</v>
      </c>
      <c r="DE6" s="15"/>
      <c r="DF6" s="15" t="s">
        <v>612</v>
      </c>
      <c r="DG6" s="15" t="s">
        <v>524</v>
      </c>
      <c r="DH6" s="15" t="s">
        <v>410</v>
      </c>
      <c r="DI6" s="15" t="s">
        <v>459</v>
      </c>
      <c r="DJ6" s="15" t="s">
        <v>613</v>
      </c>
      <c r="DK6" s="15"/>
      <c r="DL6" s="15"/>
      <c r="DM6" s="15" t="s">
        <v>614</v>
      </c>
      <c r="DN6" s="15" t="s">
        <v>615</v>
      </c>
      <c r="DO6" s="15" t="s">
        <v>464</v>
      </c>
      <c r="DP6" s="15" t="s">
        <v>616</v>
      </c>
      <c r="DQ6" s="15" t="s">
        <v>466</v>
      </c>
      <c r="DR6" s="15" t="s">
        <v>617</v>
      </c>
      <c r="DS6" s="15" t="s">
        <v>618</v>
      </c>
      <c r="DT6" s="15" t="s">
        <v>619</v>
      </c>
      <c r="DU6" s="15" t="s">
        <v>620</v>
      </c>
      <c r="DV6" s="15" t="s">
        <v>621</v>
      </c>
      <c r="DW6" s="15" t="s">
        <v>622</v>
      </c>
      <c r="DX6" s="15" t="s">
        <v>623</v>
      </c>
      <c r="DY6" s="15" t="s">
        <v>624</v>
      </c>
      <c r="DZ6" s="15" t="s">
        <v>625</v>
      </c>
      <c r="EA6" s="15" t="s">
        <v>475</v>
      </c>
      <c r="EB6" s="15" t="s">
        <v>626</v>
      </c>
      <c r="EC6" s="15"/>
      <c r="ED6" s="15"/>
      <c r="EE6" s="15"/>
      <c r="EF6" s="15"/>
      <c r="EG6" s="15"/>
      <c r="EH6" s="15"/>
      <c r="EI6" s="15"/>
      <c r="EJ6" s="15"/>
      <c r="EK6" s="15"/>
      <c r="EL6" s="15"/>
      <c r="EM6" s="15"/>
      <c r="EN6" s="15"/>
      <c r="EO6" s="15"/>
      <c r="EP6" s="15"/>
      <c r="EQ6" s="15"/>
      <c r="ER6" s="15"/>
      <c r="ES6" s="15"/>
      <c r="ET6" s="15" t="s">
        <v>526</v>
      </c>
      <c r="EU6" s="15" t="s">
        <v>479</v>
      </c>
      <c r="EV6" s="15" t="s">
        <v>527</v>
      </c>
      <c r="EW6" s="15" t="s">
        <v>627</v>
      </c>
      <c r="EX6" s="15" t="s">
        <v>628</v>
      </c>
      <c r="EY6" s="15" t="s">
        <v>629</v>
      </c>
      <c r="EZ6" s="15" t="s">
        <v>414</v>
      </c>
      <c r="FA6" s="15" t="s">
        <v>414</v>
      </c>
      <c r="FB6" s="15" t="s">
        <v>416</v>
      </c>
      <c r="FC6" s="15" t="s">
        <v>414</v>
      </c>
      <c r="FD6" s="15" t="s">
        <v>414</v>
      </c>
      <c r="FE6" s="15" t="s">
        <v>414</v>
      </c>
      <c r="FF6" s="15" t="s">
        <v>414</v>
      </c>
      <c r="FG6" s="15" t="s">
        <v>416</v>
      </c>
      <c r="FH6" s="15" t="s">
        <v>414</v>
      </c>
      <c r="FI6" s="15" t="s">
        <v>583</v>
      </c>
      <c r="FJ6" s="15" t="s">
        <v>583</v>
      </c>
      <c r="FK6" s="15" t="s">
        <v>583</v>
      </c>
      <c r="FL6" s="15" t="s">
        <v>583</v>
      </c>
      <c r="FM6" s="15" t="s">
        <v>416</v>
      </c>
      <c r="FN6" s="15" t="s">
        <v>583</v>
      </c>
      <c r="FO6" s="15" t="s">
        <v>485</v>
      </c>
      <c r="FP6" s="15" t="s">
        <v>418</v>
      </c>
      <c r="FQ6" s="15" t="s">
        <v>630</v>
      </c>
      <c r="FR6" s="15" t="s">
        <v>631</v>
      </c>
      <c r="FS6" s="15" t="s">
        <v>420</v>
      </c>
      <c r="FT6" s="15" t="s">
        <v>488</v>
      </c>
      <c r="FU6" s="15" t="s">
        <v>533</v>
      </c>
      <c r="FV6" s="15" t="s">
        <v>490</v>
      </c>
      <c r="FW6" s="15" t="s">
        <v>491</v>
      </c>
      <c r="FX6" s="15" t="s">
        <v>632</v>
      </c>
      <c r="FY6" s="15" t="s">
        <v>535</v>
      </c>
      <c r="FZ6" s="15" t="s">
        <v>633</v>
      </c>
      <c r="GA6" s="15"/>
      <c r="GB6" s="15" t="s">
        <v>455</v>
      </c>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31"/>
      <c r="MX6" s="29" t="s">
        <v>634</v>
      </c>
      <c r="MY6" s="29" t="str">
        <f>IFERROR(__xludf.DUMMYFUNCTION("""COMPUTED_VALUE"""),"Turkey")</f>
        <v>Turkey</v>
      </c>
    </row>
    <row r="7" ht="16.5" customHeight="1">
      <c r="A7" s="30">
        <v>45825.25907047454</v>
      </c>
      <c r="B7" s="15" t="s">
        <v>368</v>
      </c>
      <c r="C7" s="15" t="s">
        <v>634</v>
      </c>
      <c r="D7" s="15" t="s">
        <v>635</v>
      </c>
      <c r="E7" s="15"/>
      <c r="F7" s="15"/>
      <c r="G7" s="15" t="s">
        <v>636</v>
      </c>
      <c r="H7" s="15" t="s">
        <v>637</v>
      </c>
      <c r="I7" s="15" t="s">
        <v>638</v>
      </c>
      <c r="J7" s="15" t="s">
        <v>590</v>
      </c>
      <c r="K7" s="15" t="s">
        <v>376</v>
      </c>
      <c r="L7" s="15" t="s">
        <v>591</v>
      </c>
      <c r="M7" s="15" t="s">
        <v>639</v>
      </c>
      <c r="N7" s="15" t="s">
        <v>591</v>
      </c>
      <c r="O7" s="15" t="s">
        <v>640</v>
      </c>
      <c r="P7" s="15" t="s">
        <v>498</v>
      </c>
      <c r="Q7" s="15" t="s">
        <v>382</v>
      </c>
      <c r="R7" s="15" t="s">
        <v>641</v>
      </c>
      <c r="S7" s="15" t="s">
        <v>384</v>
      </c>
      <c r="T7" s="15" t="s">
        <v>385</v>
      </c>
      <c r="U7" s="15"/>
      <c r="V7" s="15"/>
      <c r="W7" s="15" t="s">
        <v>593</v>
      </c>
      <c r="X7" s="15" t="s">
        <v>642</v>
      </c>
      <c r="Y7" s="15"/>
      <c r="Z7" s="15"/>
      <c r="AA7" s="15"/>
      <c r="AB7" s="15"/>
      <c r="AC7" s="15"/>
      <c r="AD7" s="15"/>
      <c r="AE7" s="15"/>
      <c r="AF7" s="15"/>
      <c r="AG7" s="15"/>
      <c r="AH7" s="15"/>
      <c r="AI7" s="15"/>
      <c r="AJ7" s="15"/>
      <c r="AK7" s="15"/>
      <c r="AL7" s="15" t="s">
        <v>643</v>
      </c>
      <c r="AM7" s="15" t="s">
        <v>644</v>
      </c>
      <c r="AN7" s="15" t="s">
        <v>455</v>
      </c>
      <c r="AO7" s="15" t="s">
        <v>645</v>
      </c>
      <c r="AP7" s="15" t="s">
        <v>646</v>
      </c>
      <c r="AQ7" s="15">
        <v>5.0</v>
      </c>
      <c r="AR7" s="15" t="s">
        <v>647</v>
      </c>
      <c r="AS7" s="15"/>
      <c r="AT7" s="15"/>
      <c r="AU7" s="15" t="s">
        <v>648</v>
      </c>
      <c r="AV7" s="15" t="s">
        <v>504</v>
      </c>
      <c r="AW7" s="15">
        <v>2.0</v>
      </c>
      <c r="AX7" s="15">
        <v>2.0</v>
      </c>
      <c r="AY7" s="15" t="s">
        <v>429</v>
      </c>
      <c r="AZ7" s="15" t="s">
        <v>429</v>
      </c>
      <c r="BA7" s="15">
        <v>2.0</v>
      </c>
      <c r="BB7" s="15">
        <v>2.0</v>
      </c>
      <c r="BC7" s="15" t="s">
        <v>649</v>
      </c>
      <c r="BD7" s="15" t="s">
        <v>650</v>
      </c>
      <c r="BE7" s="15" t="s">
        <v>432</v>
      </c>
      <c r="BF7" s="15" t="s">
        <v>433</v>
      </c>
      <c r="BG7" s="15" t="s">
        <v>434</v>
      </c>
      <c r="BH7" s="15" t="s">
        <v>651</v>
      </c>
      <c r="BI7" s="15" t="s">
        <v>509</v>
      </c>
      <c r="BJ7" s="15" t="s">
        <v>652</v>
      </c>
      <c r="BK7" s="15" t="s">
        <v>395</v>
      </c>
      <c r="BL7" s="15" t="s">
        <v>438</v>
      </c>
      <c r="BM7" s="15" t="s">
        <v>439</v>
      </c>
      <c r="BN7" s="15" t="s">
        <v>513</v>
      </c>
      <c r="BO7" s="15"/>
      <c r="BP7" s="15"/>
      <c r="BQ7" s="15"/>
      <c r="BR7" s="15"/>
      <c r="BS7" s="15"/>
      <c r="BT7" s="15"/>
      <c r="BU7" s="15"/>
      <c r="BV7" s="15"/>
      <c r="BW7" s="15"/>
      <c r="BX7" s="15"/>
      <c r="BY7" s="15"/>
      <c r="BZ7" s="15"/>
      <c r="CA7" s="15"/>
      <c r="CB7" s="15"/>
      <c r="CC7" s="15"/>
      <c r="CD7" s="15"/>
      <c r="CE7" s="15"/>
      <c r="CF7" s="15"/>
      <c r="CG7" s="15"/>
      <c r="CH7" s="15"/>
      <c r="CI7" s="15"/>
      <c r="CJ7" s="15"/>
      <c r="CK7" s="15"/>
      <c r="CL7" s="15" t="s">
        <v>550</v>
      </c>
      <c r="CM7" s="15" t="s">
        <v>442</v>
      </c>
      <c r="CN7" s="15" t="s">
        <v>653</v>
      </c>
      <c r="CO7" s="15" t="s">
        <v>654</v>
      </c>
      <c r="CP7" s="15" t="s">
        <v>445</v>
      </c>
      <c r="CQ7" s="15" t="s">
        <v>655</v>
      </c>
      <c r="CR7" s="15" t="s">
        <v>447</v>
      </c>
      <c r="CS7" s="15" t="s">
        <v>656</v>
      </c>
      <c r="CT7" s="15" t="s">
        <v>657</v>
      </c>
      <c r="CU7" s="15" t="s">
        <v>450</v>
      </c>
      <c r="CV7" s="15" t="s">
        <v>451</v>
      </c>
      <c r="CW7" s="15" t="s">
        <v>658</v>
      </c>
      <c r="CX7" s="15" t="s">
        <v>408</v>
      </c>
      <c r="CY7" s="15" t="s">
        <v>659</v>
      </c>
      <c r="CZ7" s="15" t="s">
        <v>453</v>
      </c>
      <c r="DA7" s="15" t="s">
        <v>660</v>
      </c>
      <c r="DB7" s="15" t="s">
        <v>455</v>
      </c>
      <c r="DC7" s="15" t="s">
        <v>661</v>
      </c>
      <c r="DD7" s="15" t="s">
        <v>662</v>
      </c>
      <c r="DE7" s="15" t="s">
        <v>407</v>
      </c>
      <c r="DF7" s="15"/>
      <c r="DG7" s="15" t="s">
        <v>524</v>
      </c>
      <c r="DH7" s="15" t="s">
        <v>410</v>
      </c>
      <c r="DI7" s="15" t="s">
        <v>459</v>
      </c>
      <c r="DJ7" s="15" t="s">
        <v>613</v>
      </c>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t="s">
        <v>526</v>
      </c>
      <c r="EU7" s="15" t="s">
        <v>479</v>
      </c>
      <c r="EV7" s="15" t="s">
        <v>663</v>
      </c>
      <c r="EW7" s="15"/>
      <c r="EX7" s="15" t="s">
        <v>664</v>
      </c>
      <c r="EY7" s="15" t="s">
        <v>665</v>
      </c>
      <c r="EZ7" s="15" t="s">
        <v>414</v>
      </c>
      <c r="FA7" s="15" t="s">
        <v>583</v>
      </c>
      <c r="FB7" s="15" t="s">
        <v>413</v>
      </c>
      <c r="FC7" s="15" t="s">
        <v>414</v>
      </c>
      <c r="FD7" s="15" t="s">
        <v>413</v>
      </c>
      <c r="FE7" s="15" t="s">
        <v>414</v>
      </c>
      <c r="FF7" s="15" t="s">
        <v>414</v>
      </c>
      <c r="FG7" s="15" t="s">
        <v>413</v>
      </c>
      <c r="FH7" s="15" t="s">
        <v>583</v>
      </c>
      <c r="FI7" s="15" t="s">
        <v>583</v>
      </c>
      <c r="FJ7" s="15" t="s">
        <v>414</v>
      </c>
      <c r="FK7" s="15" t="s">
        <v>413</v>
      </c>
      <c r="FL7" s="15" t="s">
        <v>413</v>
      </c>
      <c r="FM7" s="15" t="s">
        <v>413</v>
      </c>
      <c r="FN7" s="15" t="s">
        <v>583</v>
      </c>
      <c r="FO7" s="15" t="s">
        <v>417</v>
      </c>
      <c r="FP7" s="15" t="s">
        <v>418</v>
      </c>
      <c r="FQ7" s="15" t="s">
        <v>419</v>
      </c>
      <c r="FR7" s="15"/>
      <c r="FS7" s="15" t="s">
        <v>420</v>
      </c>
      <c r="FT7" s="15" t="s">
        <v>488</v>
      </c>
      <c r="FU7" s="15" t="s">
        <v>533</v>
      </c>
      <c r="FV7" s="15" t="s">
        <v>490</v>
      </c>
      <c r="FW7" s="15" t="s">
        <v>491</v>
      </c>
      <c r="FX7" s="15" t="s">
        <v>666</v>
      </c>
      <c r="FY7" s="15" t="s">
        <v>493</v>
      </c>
      <c r="FZ7" s="15"/>
      <c r="GA7" s="15"/>
      <c r="GB7" s="15" t="s">
        <v>455</v>
      </c>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31"/>
      <c r="MX7" s="29" t="s">
        <v>10402</v>
      </c>
      <c r="MY7" s="29" t="str">
        <f>IFERROR(__xludf.DUMMYFUNCTION("""COMPUTED_VALUE"""),"New York")</f>
        <v>New York</v>
      </c>
    </row>
    <row r="8" ht="16.5" customHeight="1">
      <c r="A8" s="30">
        <v>45825.4346852662</v>
      </c>
      <c r="B8" s="15" t="s">
        <v>368</v>
      </c>
      <c r="C8" s="15" t="s">
        <v>370</v>
      </c>
      <c r="D8" s="15"/>
      <c r="E8" s="15" t="s">
        <v>667</v>
      </c>
      <c r="F8" s="15"/>
      <c r="G8" s="15" t="s">
        <v>422</v>
      </c>
      <c r="H8" s="15" t="s">
        <v>423</v>
      </c>
      <c r="I8" s="15" t="s">
        <v>668</v>
      </c>
      <c r="J8" s="15" t="s">
        <v>669</v>
      </c>
      <c r="K8" s="15" t="s">
        <v>376</v>
      </c>
      <c r="L8" s="15" t="s">
        <v>426</v>
      </c>
      <c r="M8" s="15" t="s">
        <v>378</v>
      </c>
      <c r="N8" s="15" t="s">
        <v>670</v>
      </c>
      <c r="O8" s="15" t="s">
        <v>671</v>
      </c>
      <c r="P8" s="15" t="s">
        <v>498</v>
      </c>
      <c r="Q8" s="15" t="s">
        <v>499</v>
      </c>
      <c r="R8" s="15" t="s">
        <v>427</v>
      </c>
      <c r="S8" s="15" t="s">
        <v>384</v>
      </c>
      <c r="T8" s="15" t="s">
        <v>385</v>
      </c>
      <c r="U8" s="15"/>
      <c r="V8" s="15"/>
      <c r="W8" s="15" t="s">
        <v>386</v>
      </c>
      <c r="X8" s="15" t="s">
        <v>387</v>
      </c>
      <c r="Y8" s="15" t="s">
        <v>388</v>
      </c>
      <c r="Z8" s="15" t="s">
        <v>672</v>
      </c>
      <c r="AA8" s="15" t="s">
        <v>673</v>
      </c>
      <c r="AB8" s="15" t="s">
        <v>674</v>
      </c>
      <c r="AC8" s="15"/>
      <c r="AD8" s="15"/>
      <c r="AE8" s="15"/>
      <c r="AF8" s="15"/>
      <c r="AG8" s="15"/>
      <c r="AH8" s="15"/>
      <c r="AI8" s="15"/>
      <c r="AJ8" s="15"/>
      <c r="AK8" s="15"/>
      <c r="AL8" s="15"/>
      <c r="AM8" s="15"/>
      <c r="AN8" s="15"/>
      <c r="AO8" s="15"/>
      <c r="AP8" s="15"/>
      <c r="AQ8" s="15"/>
      <c r="AR8" s="15"/>
      <c r="AS8" s="15"/>
      <c r="AT8" s="15"/>
      <c r="AU8" s="15"/>
      <c r="AV8" s="15" t="s">
        <v>390</v>
      </c>
      <c r="AW8" s="15" t="s">
        <v>391</v>
      </c>
      <c r="AX8" s="15" t="s">
        <v>391</v>
      </c>
      <c r="AY8" s="15" t="s">
        <v>675</v>
      </c>
      <c r="AZ8" s="15">
        <v>4.0</v>
      </c>
      <c r="BA8" s="15" t="s">
        <v>429</v>
      </c>
      <c r="BB8" s="15">
        <v>4.0</v>
      </c>
      <c r="BC8" s="15" t="s">
        <v>676</v>
      </c>
      <c r="BD8" s="15" t="s">
        <v>677</v>
      </c>
      <c r="BE8" s="15" t="s">
        <v>432</v>
      </c>
      <c r="BF8" s="15" t="s">
        <v>393</v>
      </c>
      <c r="BG8" s="15" t="s">
        <v>678</v>
      </c>
      <c r="BH8" s="15" t="s">
        <v>679</v>
      </c>
      <c r="BI8" s="15" t="s">
        <v>509</v>
      </c>
      <c r="BJ8" s="15" t="s">
        <v>680</v>
      </c>
      <c r="BK8" s="15" t="s">
        <v>681</v>
      </c>
      <c r="BL8" s="15" t="s">
        <v>512</v>
      </c>
      <c r="BM8" s="15" t="s">
        <v>549</v>
      </c>
      <c r="BN8" s="15" t="s">
        <v>440</v>
      </c>
      <c r="BO8" s="15"/>
      <c r="BP8" s="15"/>
      <c r="BQ8" s="15"/>
      <c r="BR8" s="15"/>
      <c r="BS8" s="15"/>
      <c r="BT8" s="15"/>
      <c r="BU8" s="15"/>
      <c r="BV8" s="15"/>
      <c r="BW8" s="15"/>
      <c r="BX8" s="15"/>
      <c r="BY8" s="15"/>
      <c r="BZ8" s="15"/>
      <c r="CA8" s="15"/>
      <c r="CB8" s="15"/>
      <c r="CC8" s="15"/>
      <c r="CD8" s="15"/>
      <c r="CE8" s="15"/>
      <c r="CF8" s="15"/>
      <c r="CG8" s="15"/>
      <c r="CH8" s="15"/>
      <c r="CI8" s="15"/>
      <c r="CJ8" s="15"/>
      <c r="CK8" s="15"/>
      <c r="CL8" s="15" t="s">
        <v>441</v>
      </c>
      <c r="CM8" s="15" t="s">
        <v>682</v>
      </c>
      <c r="CN8" s="15" t="s">
        <v>683</v>
      </c>
      <c r="CO8" s="15" t="s">
        <v>684</v>
      </c>
      <c r="CP8" s="15" t="s">
        <v>685</v>
      </c>
      <c r="CQ8" s="15" t="s">
        <v>686</v>
      </c>
      <c r="CR8" s="15" t="s">
        <v>447</v>
      </c>
      <c r="CS8" s="15" t="s">
        <v>687</v>
      </c>
      <c r="CT8" s="15" t="s">
        <v>688</v>
      </c>
      <c r="CU8" s="15" t="s">
        <v>519</v>
      </c>
      <c r="CV8" s="15" t="s">
        <v>451</v>
      </c>
      <c r="CW8" s="15" t="s">
        <v>689</v>
      </c>
      <c r="CX8" s="15" t="s">
        <v>408</v>
      </c>
      <c r="CY8" s="15"/>
      <c r="CZ8" s="15" t="s">
        <v>453</v>
      </c>
      <c r="DA8" s="15" t="s">
        <v>690</v>
      </c>
      <c r="DB8" s="15" t="s">
        <v>408</v>
      </c>
      <c r="DC8" s="15"/>
      <c r="DD8" s="15" t="s">
        <v>406</v>
      </c>
      <c r="DE8" s="15" t="s">
        <v>691</v>
      </c>
      <c r="DF8" s="15" t="s">
        <v>692</v>
      </c>
      <c r="DG8" s="15" t="s">
        <v>693</v>
      </c>
      <c r="DH8" s="15" t="s">
        <v>694</v>
      </c>
      <c r="DI8" s="15" t="s">
        <v>459</v>
      </c>
      <c r="DJ8" s="15" t="s">
        <v>695</v>
      </c>
      <c r="DK8" s="15" t="s">
        <v>461</v>
      </c>
      <c r="DL8" s="15"/>
      <c r="DM8" s="15" t="s">
        <v>696</v>
      </c>
      <c r="DN8" s="15" t="s">
        <v>697</v>
      </c>
      <c r="DO8" s="15" t="s">
        <v>698</v>
      </c>
      <c r="DP8" s="15" t="s">
        <v>699</v>
      </c>
      <c r="DQ8" s="15" t="s">
        <v>700</v>
      </c>
      <c r="DR8" s="15" t="s">
        <v>701</v>
      </c>
      <c r="DS8" s="15" t="s">
        <v>702</v>
      </c>
      <c r="DT8" s="15" t="s">
        <v>703</v>
      </c>
      <c r="DU8" s="15" t="s">
        <v>704</v>
      </c>
      <c r="DV8" s="15" t="s">
        <v>704</v>
      </c>
      <c r="DW8" s="15" t="s">
        <v>396</v>
      </c>
      <c r="DX8" s="15" t="s">
        <v>705</v>
      </c>
      <c r="DY8" s="15" t="s">
        <v>706</v>
      </c>
      <c r="DZ8" s="15" t="s">
        <v>707</v>
      </c>
      <c r="EA8" s="15" t="s">
        <v>475</v>
      </c>
      <c r="EB8" s="15" t="s">
        <v>476</v>
      </c>
      <c r="EC8" s="15" t="s">
        <v>708</v>
      </c>
      <c r="ED8" s="15"/>
      <c r="EE8" s="15"/>
      <c r="EF8" s="15"/>
      <c r="EG8" s="15"/>
      <c r="EH8" s="15"/>
      <c r="EI8" s="15"/>
      <c r="EJ8" s="15"/>
      <c r="EK8" s="15"/>
      <c r="EL8" s="15"/>
      <c r="EM8" s="15"/>
      <c r="EN8" s="15"/>
      <c r="EO8" s="15"/>
      <c r="EP8" s="15"/>
      <c r="EQ8" s="15"/>
      <c r="ER8" s="15"/>
      <c r="ES8" s="15"/>
      <c r="ET8" s="15" t="s">
        <v>526</v>
      </c>
      <c r="EU8" s="15" t="s">
        <v>479</v>
      </c>
      <c r="EV8" s="15" t="s">
        <v>480</v>
      </c>
      <c r="EW8" s="15" t="s">
        <v>709</v>
      </c>
      <c r="EX8" s="15" t="s">
        <v>710</v>
      </c>
      <c r="EY8" s="15" t="s">
        <v>711</v>
      </c>
      <c r="EZ8" s="15" t="s">
        <v>583</v>
      </c>
      <c r="FA8" s="15" t="s">
        <v>583</v>
      </c>
      <c r="FB8" s="15" t="s">
        <v>583</v>
      </c>
      <c r="FC8" s="15" t="s">
        <v>583</v>
      </c>
      <c r="FD8" s="15" t="s">
        <v>415</v>
      </c>
      <c r="FE8" s="15" t="s">
        <v>583</v>
      </c>
      <c r="FF8" s="15" t="s">
        <v>583</v>
      </c>
      <c r="FG8" s="15" t="s">
        <v>583</v>
      </c>
      <c r="FH8" s="15" t="s">
        <v>413</v>
      </c>
      <c r="FI8" s="15" t="s">
        <v>583</v>
      </c>
      <c r="FJ8" s="15" t="s">
        <v>583</v>
      </c>
      <c r="FK8" s="15" t="s">
        <v>583</v>
      </c>
      <c r="FL8" s="15" t="s">
        <v>583</v>
      </c>
      <c r="FM8" s="15" t="s">
        <v>583</v>
      </c>
      <c r="FN8" s="15" t="s">
        <v>413</v>
      </c>
      <c r="FO8" s="15" t="s">
        <v>417</v>
      </c>
      <c r="FP8" s="15" t="s">
        <v>418</v>
      </c>
      <c r="FQ8" s="15" t="s">
        <v>712</v>
      </c>
      <c r="FR8" s="15" t="s">
        <v>713</v>
      </c>
      <c r="FS8" s="15" t="s">
        <v>420</v>
      </c>
      <c r="FT8" s="15" t="s">
        <v>488</v>
      </c>
      <c r="FU8" s="15" t="s">
        <v>533</v>
      </c>
      <c r="FV8" s="15" t="s">
        <v>490</v>
      </c>
      <c r="FW8" s="15" t="s">
        <v>491</v>
      </c>
      <c r="FX8" s="15" t="s">
        <v>714</v>
      </c>
      <c r="FY8" s="15" t="s">
        <v>535</v>
      </c>
      <c r="FZ8" s="15" t="s">
        <v>715</v>
      </c>
      <c r="GA8" s="15" t="s">
        <v>716</v>
      </c>
      <c r="GB8" s="15" t="s">
        <v>455</v>
      </c>
      <c r="GC8" s="15"/>
      <c r="GD8" s="15" t="s">
        <v>717</v>
      </c>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31"/>
      <c r="MX8" s="29" t="s">
        <v>10402</v>
      </c>
      <c r="MY8" s="29" t="str">
        <f>IFERROR(__xludf.DUMMYFUNCTION("""COMPUTED_VALUE"""),"Georgia")</f>
        <v>Georgia</v>
      </c>
    </row>
    <row r="9" ht="16.5" customHeight="1">
      <c r="A9" s="30">
        <v>45826.77728232639</v>
      </c>
      <c r="B9" s="15" t="s">
        <v>368</v>
      </c>
      <c r="C9" s="15" t="s">
        <v>370</v>
      </c>
      <c r="D9" s="15"/>
      <c r="E9" s="15" t="s">
        <v>589</v>
      </c>
      <c r="F9" s="15"/>
      <c r="G9" s="15" t="s">
        <v>422</v>
      </c>
      <c r="H9" s="15" t="s">
        <v>496</v>
      </c>
      <c r="I9" s="15" t="s">
        <v>424</v>
      </c>
      <c r="J9" s="15" t="s">
        <v>718</v>
      </c>
      <c r="K9" s="15" t="s">
        <v>376</v>
      </c>
      <c r="L9" s="15" t="s">
        <v>591</v>
      </c>
      <c r="M9" s="15" t="s">
        <v>719</v>
      </c>
      <c r="N9" s="15" t="s">
        <v>670</v>
      </c>
      <c r="O9" s="15" t="s">
        <v>720</v>
      </c>
      <c r="P9" s="15" t="s">
        <v>592</v>
      </c>
      <c r="Q9" s="15" t="s">
        <v>499</v>
      </c>
      <c r="R9" s="15" t="s">
        <v>427</v>
      </c>
      <c r="S9" s="15" t="s">
        <v>384</v>
      </c>
      <c r="T9" s="15" t="s">
        <v>385</v>
      </c>
      <c r="U9" s="15"/>
      <c r="V9" s="15"/>
      <c r="W9" s="15" t="s">
        <v>593</v>
      </c>
      <c r="X9" s="15" t="s">
        <v>387</v>
      </c>
      <c r="Y9" s="15" t="s">
        <v>388</v>
      </c>
      <c r="Z9" s="15" t="s">
        <v>502</v>
      </c>
      <c r="AA9" s="15" t="s">
        <v>721</v>
      </c>
      <c r="AB9" s="15" t="s">
        <v>722</v>
      </c>
      <c r="AC9" s="15"/>
      <c r="AD9" s="15"/>
      <c r="AE9" s="15"/>
      <c r="AF9" s="15"/>
      <c r="AG9" s="15"/>
      <c r="AH9" s="15"/>
      <c r="AI9" s="15"/>
      <c r="AJ9" s="15"/>
      <c r="AK9" s="15"/>
      <c r="AL9" s="15"/>
      <c r="AM9" s="15"/>
      <c r="AN9" s="15"/>
      <c r="AO9" s="15"/>
      <c r="AP9" s="15"/>
      <c r="AQ9" s="15"/>
      <c r="AR9" s="15"/>
      <c r="AS9" s="15"/>
      <c r="AT9" s="15"/>
      <c r="AU9" s="15"/>
      <c r="AV9" s="15" t="s">
        <v>597</v>
      </c>
      <c r="AW9" s="15">
        <v>2.0</v>
      </c>
      <c r="AX9" s="15">
        <v>2.0</v>
      </c>
      <c r="AY9" s="15">
        <v>4.0</v>
      </c>
      <c r="AZ9" s="15">
        <v>2.0</v>
      </c>
      <c r="BA9" s="15" t="s">
        <v>391</v>
      </c>
      <c r="BB9" s="15">
        <v>2.0</v>
      </c>
      <c r="BC9" s="15" t="s">
        <v>723</v>
      </c>
      <c r="BD9" s="15" t="s">
        <v>724</v>
      </c>
      <c r="BE9" s="15" t="s">
        <v>392</v>
      </c>
      <c r="BF9" s="15" t="s">
        <v>433</v>
      </c>
      <c r="BG9" s="15" t="s">
        <v>725</v>
      </c>
      <c r="BH9" s="15" t="s">
        <v>726</v>
      </c>
      <c r="BI9" s="15" t="s">
        <v>727</v>
      </c>
      <c r="BJ9" s="15"/>
      <c r="BK9" s="15" t="s">
        <v>395</v>
      </c>
      <c r="BL9" s="15" t="s">
        <v>512</v>
      </c>
      <c r="BM9" s="15" t="s">
        <v>397</v>
      </c>
      <c r="BN9" s="15" t="s">
        <v>440</v>
      </c>
      <c r="BO9" s="15"/>
      <c r="BP9" s="15"/>
      <c r="BQ9" s="15"/>
      <c r="BR9" s="15"/>
      <c r="BS9" s="15"/>
      <c r="BT9" s="15"/>
      <c r="BU9" s="15"/>
      <c r="BV9" s="15"/>
      <c r="BW9" s="15"/>
      <c r="BX9" s="15"/>
      <c r="BY9" s="15"/>
      <c r="BZ9" s="15"/>
      <c r="CA9" s="15"/>
      <c r="CB9" s="15"/>
      <c r="CC9" s="15"/>
      <c r="CD9" s="15"/>
      <c r="CE9" s="15"/>
      <c r="CF9" s="15"/>
      <c r="CG9" s="15"/>
      <c r="CH9" s="15"/>
      <c r="CI9" s="15"/>
      <c r="CJ9" s="15"/>
      <c r="CK9" s="15"/>
      <c r="CL9" s="15" t="s">
        <v>441</v>
      </c>
      <c r="CM9" s="15" t="s">
        <v>442</v>
      </c>
      <c r="CN9" s="15" t="s">
        <v>728</v>
      </c>
      <c r="CO9" s="15" t="s">
        <v>729</v>
      </c>
      <c r="CP9" s="15" t="s">
        <v>445</v>
      </c>
      <c r="CQ9" s="15" t="s">
        <v>730</v>
      </c>
      <c r="CR9" s="15" t="s">
        <v>447</v>
      </c>
      <c r="CS9" s="15" t="s">
        <v>448</v>
      </c>
      <c r="CT9" s="15" t="s">
        <v>731</v>
      </c>
      <c r="CU9" s="15" t="s">
        <v>519</v>
      </c>
      <c r="CV9" s="15" t="s">
        <v>451</v>
      </c>
      <c r="CW9" s="15" t="s">
        <v>732</v>
      </c>
      <c r="CX9" s="15" t="s">
        <v>733</v>
      </c>
      <c r="CY9" s="15"/>
      <c r="CZ9" s="15" t="s">
        <v>453</v>
      </c>
      <c r="DA9" s="15" t="s">
        <v>734</v>
      </c>
      <c r="DB9" s="15" t="s">
        <v>408</v>
      </c>
      <c r="DC9" s="15"/>
      <c r="DD9" s="15" t="s">
        <v>406</v>
      </c>
      <c r="DE9" s="15" t="s">
        <v>691</v>
      </c>
      <c r="DF9" s="15" t="s">
        <v>735</v>
      </c>
      <c r="DG9" s="15" t="s">
        <v>524</v>
      </c>
      <c r="DH9" s="15" t="s">
        <v>410</v>
      </c>
      <c r="DI9" s="15" t="s">
        <v>459</v>
      </c>
      <c r="DJ9" s="15" t="s">
        <v>613</v>
      </c>
      <c r="DK9" s="15"/>
      <c r="DL9" s="15"/>
      <c r="DM9" s="15" t="s">
        <v>736</v>
      </c>
      <c r="DN9" s="15" t="s">
        <v>737</v>
      </c>
      <c r="DO9" s="15" t="s">
        <v>567</v>
      </c>
      <c r="DP9" s="15" t="s">
        <v>738</v>
      </c>
      <c r="DQ9" s="15" t="s">
        <v>466</v>
      </c>
      <c r="DR9" s="15" t="s">
        <v>739</v>
      </c>
      <c r="DS9" s="15" t="s">
        <v>468</v>
      </c>
      <c r="DT9" s="15" t="s">
        <v>740</v>
      </c>
      <c r="DU9" s="15" t="s">
        <v>741</v>
      </c>
      <c r="DV9" s="15" t="s">
        <v>742</v>
      </c>
      <c r="DW9" s="15" t="s">
        <v>396</v>
      </c>
      <c r="DX9" s="15" t="s">
        <v>743</v>
      </c>
      <c r="DY9" s="15" t="s">
        <v>744</v>
      </c>
      <c r="DZ9" s="15" t="s">
        <v>745</v>
      </c>
      <c r="EA9" s="15" t="s">
        <v>475</v>
      </c>
      <c r="EB9" s="15" t="s">
        <v>626</v>
      </c>
      <c r="EC9" s="15" t="s">
        <v>746</v>
      </c>
      <c r="ED9" s="15"/>
      <c r="EE9" s="15"/>
      <c r="EF9" s="15"/>
      <c r="EG9" s="15"/>
      <c r="EH9" s="15"/>
      <c r="EI9" s="15"/>
      <c r="EJ9" s="15"/>
      <c r="EK9" s="15"/>
      <c r="EL9" s="15"/>
      <c r="EM9" s="15"/>
      <c r="EN9" s="15"/>
      <c r="EO9" s="15"/>
      <c r="EP9" s="15"/>
      <c r="EQ9" s="15"/>
      <c r="ER9" s="15"/>
      <c r="ES9" s="15"/>
      <c r="ET9" s="15" t="s">
        <v>526</v>
      </c>
      <c r="EU9" s="15" t="s">
        <v>479</v>
      </c>
      <c r="EV9" s="15" t="s">
        <v>480</v>
      </c>
      <c r="EW9" s="15"/>
      <c r="EX9" s="15" t="s">
        <v>747</v>
      </c>
      <c r="EY9" s="15" t="s">
        <v>748</v>
      </c>
      <c r="EZ9" s="15" t="s">
        <v>414</v>
      </c>
      <c r="FA9" s="15" t="s">
        <v>583</v>
      </c>
      <c r="FB9" s="15" t="s">
        <v>583</v>
      </c>
      <c r="FC9" s="15" t="s">
        <v>583</v>
      </c>
      <c r="FD9" s="15" t="s">
        <v>415</v>
      </c>
      <c r="FE9" s="15" t="s">
        <v>583</v>
      </c>
      <c r="FF9" s="15" t="s">
        <v>414</v>
      </c>
      <c r="FG9" s="15" t="s">
        <v>484</v>
      </c>
      <c r="FH9" s="15" t="s">
        <v>484</v>
      </c>
      <c r="FI9" s="15" t="s">
        <v>583</v>
      </c>
      <c r="FJ9" s="15" t="s">
        <v>583</v>
      </c>
      <c r="FK9" s="15" t="s">
        <v>484</v>
      </c>
      <c r="FL9" s="15" t="s">
        <v>484</v>
      </c>
      <c r="FM9" s="15" t="s">
        <v>484</v>
      </c>
      <c r="FN9" s="15" t="s">
        <v>484</v>
      </c>
      <c r="FO9" s="15" t="s">
        <v>417</v>
      </c>
      <c r="FP9" s="15" t="s">
        <v>418</v>
      </c>
      <c r="FQ9" s="15" t="s">
        <v>749</v>
      </c>
      <c r="FR9" s="15" t="s">
        <v>750</v>
      </c>
      <c r="FS9" s="15" t="s">
        <v>420</v>
      </c>
      <c r="FT9" s="15" t="s">
        <v>488</v>
      </c>
      <c r="FU9" s="15" t="s">
        <v>489</v>
      </c>
      <c r="FV9" s="15" t="s">
        <v>490</v>
      </c>
      <c r="FW9" s="15" t="s">
        <v>491</v>
      </c>
      <c r="FX9" s="15" t="s">
        <v>751</v>
      </c>
      <c r="FY9" s="15" t="s">
        <v>535</v>
      </c>
      <c r="FZ9" s="15"/>
      <c r="GA9" s="15" t="s">
        <v>752</v>
      </c>
      <c r="GB9" s="15" t="s">
        <v>455</v>
      </c>
      <c r="GC9" s="15"/>
      <c r="GD9" s="15"/>
      <c r="GE9" s="15" t="s">
        <v>753</v>
      </c>
      <c r="GF9" s="15" t="s">
        <v>754</v>
      </c>
      <c r="GG9" s="15" t="s">
        <v>755</v>
      </c>
      <c r="GH9" s="15" t="s">
        <v>755</v>
      </c>
      <c r="GI9" s="15" t="s">
        <v>756</v>
      </c>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31"/>
      <c r="MX9" s="29" t="s">
        <v>10402</v>
      </c>
      <c r="MY9" s="29" t="str">
        <f>IFERROR(__xludf.DUMMYFUNCTION("""COMPUTED_VALUE"""),"Indiana")</f>
        <v>Indiana</v>
      </c>
    </row>
    <row r="10" ht="16.5" customHeight="1">
      <c r="A10" s="30">
        <v>45826.85345576389</v>
      </c>
      <c r="B10" s="15" t="s">
        <v>368</v>
      </c>
      <c r="C10" s="15" t="s">
        <v>370</v>
      </c>
      <c r="D10" s="15"/>
      <c r="E10" s="15" t="s">
        <v>757</v>
      </c>
      <c r="F10" s="15"/>
      <c r="G10" s="15" t="s">
        <v>422</v>
      </c>
      <c r="H10" s="15" t="s">
        <v>637</v>
      </c>
      <c r="I10" s="15" t="s">
        <v>638</v>
      </c>
      <c r="J10" s="15" t="s">
        <v>758</v>
      </c>
      <c r="K10" s="15" t="s">
        <v>376</v>
      </c>
      <c r="L10" s="15" t="s">
        <v>591</v>
      </c>
      <c r="M10" s="15" t="s">
        <v>720</v>
      </c>
      <c r="N10" s="15" t="s">
        <v>379</v>
      </c>
      <c r="O10" s="15" t="s">
        <v>497</v>
      </c>
      <c r="P10" s="15" t="s">
        <v>498</v>
      </c>
      <c r="Q10" s="15" t="s">
        <v>759</v>
      </c>
      <c r="R10" s="15" t="s">
        <v>427</v>
      </c>
      <c r="S10" s="15" t="s">
        <v>384</v>
      </c>
      <c r="T10" s="15" t="s">
        <v>385</v>
      </c>
      <c r="U10" s="15"/>
      <c r="V10" s="15"/>
      <c r="W10" s="15" t="s">
        <v>760</v>
      </c>
      <c r="X10" s="15" t="s">
        <v>387</v>
      </c>
      <c r="Y10" s="15" t="s">
        <v>761</v>
      </c>
      <c r="Z10" s="15" t="s">
        <v>502</v>
      </c>
      <c r="AA10" s="15"/>
      <c r="AB10" s="15" t="s">
        <v>762</v>
      </c>
      <c r="AC10" s="15"/>
      <c r="AD10" s="15"/>
      <c r="AE10" s="15"/>
      <c r="AF10" s="15"/>
      <c r="AG10" s="15"/>
      <c r="AH10" s="15"/>
      <c r="AI10" s="15"/>
      <c r="AJ10" s="15"/>
      <c r="AK10" s="15"/>
      <c r="AL10" s="15"/>
      <c r="AM10" s="15"/>
      <c r="AN10" s="15"/>
      <c r="AO10" s="15"/>
      <c r="AP10" s="15"/>
      <c r="AQ10" s="15"/>
      <c r="AR10" s="15"/>
      <c r="AS10" s="15"/>
      <c r="AT10" s="15"/>
      <c r="AU10" s="15"/>
      <c r="AV10" s="15" t="s">
        <v>504</v>
      </c>
      <c r="AW10" s="15" t="s">
        <v>429</v>
      </c>
      <c r="AX10" s="15" t="s">
        <v>429</v>
      </c>
      <c r="AY10" s="15" t="s">
        <v>429</v>
      </c>
      <c r="AZ10" s="15" t="s">
        <v>429</v>
      </c>
      <c r="BA10" s="15" t="s">
        <v>429</v>
      </c>
      <c r="BB10" s="15" t="s">
        <v>429</v>
      </c>
      <c r="BC10" s="15" t="s">
        <v>763</v>
      </c>
      <c r="BD10" s="15" t="s">
        <v>764</v>
      </c>
      <c r="BE10" s="15" t="s">
        <v>392</v>
      </c>
      <c r="BF10" s="15" t="s">
        <v>433</v>
      </c>
      <c r="BG10" s="15" t="s">
        <v>765</v>
      </c>
      <c r="BH10" s="15"/>
      <c r="BI10" s="15" t="s">
        <v>509</v>
      </c>
      <c r="BJ10" s="15" t="s">
        <v>766</v>
      </c>
      <c r="BK10" s="15" t="s">
        <v>395</v>
      </c>
      <c r="BL10" s="15" t="s">
        <v>512</v>
      </c>
      <c r="BM10" s="15" t="s">
        <v>439</v>
      </c>
      <c r="BN10" s="15" t="s">
        <v>513</v>
      </c>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t="s">
        <v>441</v>
      </c>
      <c r="CM10" s="15" t="s">
        <v>442</v>
      </c>
      <c r="CN10" s="15" t="s">
        <v>767</v>
      </c>
      <c r="CO10" s="15" t="s">
        <v>768</v>
      </c>
      <c r="CP10" s="15" t="s">
        <v>403</v>
      </c>
      <c r="CQ10" s="15" t="s">
        <v>769</v>
      </c>
      <c r="CR10" s="15" t="s">
        <v>447</v>
      </c>
      <c r="CS10" s="15" t="s">
        <v>770</v>
      </c>
      <c r="CT10" s="15" t="s">
        <v>771</v>
      </c>
      <c r="CU10" s="15" t="s">
        <v>519</v>
      </c>
      <c r="CV10" s="15" t="s">
        <v>451</v>
      </c>
      <c r="CW10" s="15" t="s">
        <v>772</v>
      </c>
      <c r="CX10" s="15" t="s">
        <v>408</v>
      </c>
      <c r="CY10" s="15"/>
      <c r="CZ10" s="15" t="s">
        <v>453</v>
      </c>
      <c r="DA10" s="15" t="s">
        <v>773</v>
      </c>
      <c r="DB10" s="15" t="s">
        <v>455</v>
      </c>
      <c r="DC10" s="15" t="s">
        <v>774</v>
      </c>
      <c r="DD10" s="15" t="s">
        <v>457</v>
      </c>
      <c r="DE10" s="15"/>
      <c r="DF10" s="15" t="s">
        <v>775</v>
      </c>
      <c r="DG10" s="15" t="s">
        <v>776</v>
      </c>
      <c r="DH10" s="15" t="s">
        <v>410</v>
      </c>
      <c r="DI10" s="15" t="s">
        <v>777</v>
      </c>
      <c r="DJ10" s="15" t="s">
        <v>460</v>
      </c>
      <c r="DK10" s="15" t="s">
        <v>461</v>
      </c>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t="s">
        <v>526</v>
      </c>
      <c r="EU10" s="15" t="s">
        <v>479</v>
      </c>
      <c r="EV10" s="15" t="s">
        <v>778</v>
      </c>
      <c r="EW10" s="15" t="s">
        <v>779</v>
      </c>
      <c r="EX10" s="15" t="s">
        <v>780</v>
      </c>
      <c r="EY10" s="15" t="s">
        <v>781</v>
      </c>
      <c r="EZ10" s="15" t="s">
        <v>413</v>
      </c>
      <c r="FA10" s="15" t="s">
        <v>413</v>
      </c>
      <c r="FB10" s="15" t="s">
        <v>413</v>
      </c>
      <c r="FC10" s="15" t="s">
        <v>413</v>
      </c>
      <c r="FD10" s="15" t="s">
        <v>413</v>
      </c>
      <c r="FE10" s="15" t="s">
        <v>413</v>
      </c>
      <c r="FF10" s="15" t="s">
        <v>413</v>
      </c>
      <c r="FG10" s="15" t="s">
        <v>413</v>
      </c>
      <c r="FH10" s="15" t="s">
        <v>413</v>
      </c>
      <c r="FI10" s="15" t="s">
        <v>413</v>
      </c>
      <c r="FJ10" s="15" t="s">
        <v>413</v>
      </c>
      <c r="FK10" s="15" t="s">
        <v>413</v>
      </c>
      <c r="FL10" s="15" t="s">
        <v>413</v>
      </c>
      <c r="FM10" s="15" t="s">
        <v>484</v>
      </c>
      <c r="FN10" s="15" t="s">
        <v>484</v>
      </c>
      <c r="FO10" s="15" t="s">
        <v>417</v>
      </c>
      <c r="FP10" s="15" t="s">
        <v>418</v>
      </c>
      <c r="FQ10" s="15" t="s">
        <v>749</v>
      </c>
      <c r="FR10" s="15" t="s">
        <v>782</v>
      </c>
      <c r="FS10" s="15" t="s">
        <v>420</v>
      </c>
      <c r="FT10" s="15" t="s">
        <v>488</v>
      </c>
      <c r="FU10" s="15" t="s">
        <v>533</v>
      </c>
      <c r="FV10" s="15" t="s">
        <v>490</v>
      </c>
      <c r="FW10" s="15" t="s">
        <v>491</v>
      </c>
      <c r="FX10" s="15" t="s">
        <v>783</v>
      </c>
      <c r="FY10" s="15" t="s">
        <v>535</v>
      </c>
      <c r="FZ10" s="15" t="s">
        <v>784</v>
      </c>
      <c r="GA10" s="15" t="s">
        <v>785</v>
      </c>
      <c r="GB10" s="15" t="s">
        <v>455</v>
      </c>
      <c r="GC10" s="15"/>
      <c r="GD10" s="15"/>
      <c r="GE10" s="15" t="s">
        <v>786</v>
      </c>
      <c r="GF10" s="15" t="s">
        <v>787</v>
      </c>
      <c r="GG10" s="15" t="s">
        <v>788</v>
      </c>
      <c r="GH10" s="15" t="s">
        <v>789</v>
      </c>
      <c r="GI10" s="15" t="s">
        <v>790</v>
      </c>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31"/>
      <c r="MX10" s="29" t="s">
        <v>10402</v>
      </c>
      <c r="MY10" s="29" t="str">
        <f>IFERROR(__xludf.DUMMYFUNCTION("""COMPUTED_VALUE"""),"Pennsylvania")</f>
        <v>Pennsylvania</v>
      </c>
    </row>
    <row r="11" ht="16.5" customHeight="1">
      <c r="A11" s="30">
        <v>45826.85406060185</v>
      </c>
      <c r="B11" s="15" t="s">
        <v>368</v>
      </c>
      <c r="C11" s="15" t="s">
        <v>370</v>
      </c>
      <c r="D11" s="15"/>
      <c r="E11" s="15" t="s">
        <v>791</v>
      </c>
      <c r="F11" s="15"/>
      <c r="G11" s="15" t="s">
        <v>792</v>
      </c>
      <c r="H11" s="15" t="s">
        <v>637</v>
      </c>
      <c r="I11" s="15" t="s">
        <v>638</v>
      </c>
      <c r="J11" s="15" t="s">
        <v>375</v>
      </c>
      <c r="K11" s="15" t="s">
        <v>376</v>
      </c>
      <c r="L11" s="15" t="s">
        <v>793</v>
      </c>
      <c r="M11" s="15" t="s">
        <v>639</v>
      </c>
      <c r="N11" s="15" t="s">
        <v>591</v>
      </c>
      <c r="O11" s="15" t="s">
        <v>794</v>
      </c>
      <c r="P11" s="15" t="s">
        <v>381</v>
      </c>
      <c r="Q11" s="15" t="s">
        <v>382</v>
      </c>
      <c r="R11" s="15" t="s">
        <v>795</v>
      </c>
      <c r="S11" s="15" t="s">
        <v>384</v>
      </c>
      <c r="T11" s="15" t="s">
        <v>385</v>
      </c>
      <c r="U11" s="15"/>
      <c r="V11" s="15"/>
      <c r="W11" s="15" t="s">
        <v>593</v>
      </c>
      <c r="X11" s="15" t="s">
        <v>387</v>
      </c>
      <c r="Y11" s="15" t="s">
        <v>388</v>
      </c>
      <c r="Z11" s="15" t="s">
        <v>543</v>
      </c>
      <c r="AA11" s="15" t="s">
        <v>796</v>
      </c>
      <c r="AB11" s="15" t="s">
        <v>796</v>
      </c>
      <c r="AC11" s="15"/>
      <c r="AD11" s="15"/>
      <c r="AE11" s="15"/>
      <c r="AF11" s="15"/>
      <c r="AG11" s="15"/>
      <c r="AH11" s="15"/>
      <c r="AI11" s="15"/>
      <c r="AJ11" s="15"/>
      <c r="AK11" s="15"/>
      <c r="AL11" s="15"/>
      <c r="AM11" s="15"/>
      <c r="AN11" s="15"/>
      <c r="AO11" s="15"/>
      <c r="AP11" s="15"/>
      <c r="AQ11" s="15"/>
      <c r="AR11" s="15"/>
      <c r="AS11" s="15"/>
      <c r="AT11" s="15"/>
      <c r="AU11" s="15"/>
      <c r="AV11" s="15" t="s">
        <v>390</v>
      </c>
      <c r="AW11" s="15">
        <v>2.0</v>
      </c>
      <c r="AX11" s="15" t="s">
        <v>429</v>
      </c>
      <c r="AY11" s="15">
        <v>2.0</v>
      </c>
      <c r="AZ11" s="15" t="s">
        <v>429</v>
      </c>
      <c r="BA11" s="15" t="s">
        <v>429</v>
      </c>
      <c r="BB11" s="15">
        <v>2.0</v>
      </c>
      <c r="BC11" s="15" t="s">
        <v>797</v>
      </c>
      <c r="BD11" s="15" t="s">
        <v>798</v>
      </c>
      <c r="BE11" s="15" t="s">
        <v>392</v>
      </c>
      <c r="BF11" s="15" t="s">
        <v>433</v>
      </c>
      <c r="BG11" s="15" t="s">
        <v>678</v>
      </c>
      <c r="BH11" s="15" t="s">
        <v>799</v>
      </c>
      <c r="BI11" s="15" t="s">
        <v>509</v>
      </c>
      <c r="BJ11" s="15" t="s">
        <v>800</v>
      </c>
      <c r="BK11" s="15" t="s">
        <v>437</v>
      </c>
      <c r="BL11" s="15" t="s">
        <v>603</v>
      </c>
      <c r="BM11" s="15" t="s">
        <v>549</v>
      </c>
      <c r="BN11" s="15" t="s">
        <v>513</v>
      </c>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t="s">
        <v>442</v>
      </c>
      <c r="CN11" s="15" t="s">
        <v>801</v>
      </c>
      <c r="CO11" s="15" t="s">
        <v>802</v>
      </c>
      <c r="CP11" s="15" t="s">
        <v>685</v>
      </c>
      <c r="CQ11" s="15" t="s">
        <v>803</v>
      </c>
      <c r="CR11" s="15" t="s">
        <v>804</v>
      </c>
      <c r="CS11" s="15" t="s">
        <v>805</v>
      </c>
      <c r="CT11" s="15" t="s">
        <v>806</v>
      </c>
      <c r="CU11" s="15" t="s">
        <v>450</v>
      </c>
      <c r="CV11" s="15" t="s">
        <v>451</v>
      </c>
      <c r="CW11" s="15" t="s">
        <v>807</v>
      </c>
      <c r="CX11" s="15" t="s">
        <v>408</v>
      </c>
      <c r="CY11" s="15"/>
      <c r="CZ11" s="15" t="s">
        <v>453</v>
      </c>
      <c r="DA11" s="15" t="s">
        <v>808</v>
      </c>
      <c r="DB11" s="15" t="s">
        <v>455</v>
      </c>
      <c r="DC11" s="15" t="s">
        <v>809</v>
      </c>
      <c r="DD11" s="15" t="s">
        <v>457</v>
      </c>
      <c r="DE11" s="15"/>
      <c r="DF11" s="15" t="s">
        <v>810</v>
      </c>
      <c r="DG11" s="15" t="s">
        <v>524</v>
      </c>
      <c r="DH11" s="15" t="s">
        <v>410</v>
      </c>
      <c r="DI11" s="15" t="s">
        <v>459</v>
      </c>
      <c r="DJ11" s="15" t="s">
        <v>613</v>
      </c>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t="s">
        <v>478</v>
      </c>
      <c r="EU11" s="15" t="s">
        <v>479</v>
      </c>
      <c r="EV11" s="15" t="s">
        <v>480</v>
      </c>
      <c r="EW11" s="15" t="s">
        <v>811</v>
      </c>
      <c r="EX11" s="15" t="s">
        <v>812</v>
      </c>
      <c r="EY11" s="15" t="s">
        <v>813</v>
      </c>
      <c r="EZ11" s="15" t="s">
        <v>583</v>
      </c>
      <c r="FA11" s="15" t="s">
        <v>583</v>
      </c>
      <c r="FB11" s="15" t="s">
        <v>484</v>
      </c>
      <c r="FC11" s="15" t="s">
        <v>583</v>
      </c>
      <c r="FD11" s="15" t="s">
        <v>413</v>
      </c>
      <c r="FE11" s="15" t="s">
        <v>583</v>
      </c>
      <c r="FF11" s="15" t="s">
        <v>484</v>
      </c>
      <c r="FG11" s="15" t="s">
        <v>413</v>
      </c>
      <c r="FH11" s="15" t="s">
        <v>583</v>
      </c>
      <c r="FI11" s="15" t="s">
        <v>583</v>
      </c>
      <c r="FJ11" s="15" t="s">
        <v>583</v>
      </c>
      <c r="FK11" s="15" t="s">
        <v>413</v>
      </c>
      <c r="FL11" s="15" t="s">
        <v>583</v>
      </c>
      <c r="FM11" s="15" t="s">
        <v>413</v>
      </c>
      <c r="FN11" s="15" t="s">
        <v>583</v>
      </c>
      <c r="FO11" s="15" t="s">
        <v>417</v>
      </c>
      <c r="FP11" s="15" t="s">
        <v>486</v>
      </c>
      <c r="FQ11" s="15" t="s">
        <v>531</v>
      </c>
      <c r="FR11" s="15"/>
      <c r="FS11" s="15" t="s">
        <v>420</v>
      </c>
      <c r="FT11" s="15" t="s">
        <v>488</v>
      </c>
      <c r="FU11" s="15" t="s">
        <v>533</v>
      </c>
      <c r="FV11" s="15" t="s">
        <v>490</v>
      </c>
      <c r="FW11" s="15" t="s">
        <v>491</v>
      </c>
      <c r="FX11" s="15" t="s">
        <v>814</v>
      </c>
      <c r="FY11" s="15" t="s">
        <v>535</v>
      </c>
      <c r="FZ11" s="15"/>
      <c r="GA11" s="15" t="s">
        <v>815</v>
      </c>
      <c r="GB11" s="15" t="s">
        <v>455</v>
      </c>
      <c r="GC11" s="15"/>
      <c r="GD11" s="15"/>
      <c r="GE11" s="15" t="s">
        <v>753</v>
      </c>
      <c r="GF11" s="15" t="s">
        <v>816</v>
      </c>
      <c r="GG11" s="15" t="s">
        <v>755</v>
      </c>
      <c r="GH11" s="15" t="s">
        <v>755</v>
      </c>
      <c r="GI11" s="15" t="s">
        <v>817</v>
      </c>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31"/>
      <c r="MX11" s="29" t="s">
        <v>10402</v>
      </c>
      <c r="MY11" s="29" t="str">
        <f>IFERROR(__xludf.DUMMYFUNCTION("""COMPUTED_VALUE"""),"Pennsylvania")</f>
        <v>Pennsylvania</v>
      </c>
    </row>
    <row r="12" ht="16.5" customHeight="1">
      <c r="A12" s="30">
        <v>45826.879537835644</v>
      </c>
      <c r="B12" s="15" t="s">
        <v>368</v>
      </c>
      <c r="C12" s="15" t="s">
        <v>370</v>
      </c>
      <c r="D12" s="15"/>
      <c r="E12" s="15" t="s">
        <v>791</v>
      </c>
      <c r="F12" s="15"/>
      <c r="G12" s="15" t="s">
        <v>422</v>
      </c>
      <c r="H12" s="15" t="s">
        <v>637</v>
      </c>
      <c r="I12" s="15" t="s">
        <v>638</v>
      </c>
      <c r="J12" s="15" t="s">
        <v>375</v>
      </c>
      <c r="K12" s="15" t="s">
        <v>376</v>
      </c>
      <c r="L12" s="15" t="s">
        <v>426</v>
      </c>
      <c r="M12" s="15" t="s">
        <v>720</v>
      </c>
      <c r="N12" s="15" t="s">
        <v>426</v>
      </c>
      <c r="O12" s="15" t="s">
        <v>719</v>
      </c>
      <c r="P12" s="15" t="s">
        <v>498</v>
      </c>
      <c r="Q12" s="15" t="s">
        <v>818</v>
      </c>
      <c r="R12" s="15" t="s">
        <v>427</v>
      </c>
      <c r="S12" s="15" t="s">
        <v>384</v>
      </c>
      <c r="T12" s="15" t="s">
        <v>385</v>
      </c>
      <c r="U12" s="15"/>
      <c r="V12" s="15"/>
      <c r="W12" s="15" t="s">
        <v>386</v>
      </c>
      <c r="X12" s="15" t="s">
        <v>387</v>
      </c>
      <c r="Y12" s="15" t="s">
        <v>388</v>
      </c>
      <c r="Z12" s="15" t="s">
        <v>543</v>
      </c>
      <c r="AA12" s="15" t="s">
        <v>819</v>
      </c>
      <c r="AB12" s="15" t="s">
        <v>820</v>
      </c>
      <c r="AC12" s="15"/>
      <c r="AD12" s="15"/>
      <c r="AE12" s="15"/>
      <c r="AF12" s="15"/>
      <c r="AG12" s="15"/>
      <c r="AH12" s="15"/>
      <c r="AI12" s="15"/>
      <c r="AJ12" s="15"/>
      <c r="AK12" s="15"/>
      <c r="AL12" s="15"/>
      <c r="AM12" s="15"/>
      <c r="AN12" s="15"/>
      <c r="AO12" s="15"/>
      <c r="AP12" s="15"/>
      <c r="AQ12" s="15"/>
      <c r="AR12" s="15"/>
      <c r="AS12" s="15"/>
      <c r="AT12" s="15"/>
      <c r="AU12" s="15"/>
      <c r="AV12" s="15" t="s">
        <v>390</v>
      </c>
      <c r="AW12" s="15" t="s">
        <v>391</v>
      </c>
      <c r="AX12" s="15">
        <v>2.0</v>
      </c>
      <c r="AY12" s="15">
        <v>4.0</v>
      </c>
      <c r="AZ12" s="15">
        <v>2.0</v>
      </c>
      <c r="BA12" s="15" t="s">
        <v>429</v>
      </c>
      <c r="BB12" s="15">
        <v>2.0</v>
      </c>
      <c r="BC12" s="15" t="s">
        <v>821</v>
      </c>
      <c r="BD12" s="15" t="s">
        <v>822</v>
      </c>
      <c r="BE12" s="15" t="s">
        <v>392</v>
      </c>
      <c r="BF12" s="15" t="s">
        <v>433</v>
      </c>
      <c r="BG12" s="15" t="s">
        <v>678</v>
      </c>
      <c r="BH12" s="15" t="s">
        <v>823</v>
      </c>
      <c r="BI12" s="15" t="s">
        <v>824</v>
      </c>
      <c r="BJ12" s="15"/>
      <c r="BK12" s="15" t="s">
        <v>437</v>
      </c>
      <c r="BL12" s="15" t="s">
        <v>396</v>
      </c>
      <c r="BM12" s="15" t="s">
        <v>549</v>
      </c>
      <c r="BN12" s="15" t="s">
        <v>440</v>
      </c>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t="s">
        <v>441</v>
      </c>
      <c r="CM12" s="15" t="s">
        <v>682</v>
      </c>
      <c r="CN12" s="15" t="s">
        <v>825</v>
      </c>
      <c r="CO12" s="15" t="s">
        <v>826</v>
      </c>
      <c r="CP12" s="15" t="s">
        <v>445</v>
      </c>
      <c r="CQ12" s="15" t="s">
        <v>827</v>
      </c>
      <c r="CR12" s="15" t="s">
        <v>828</v>
      </c>
      <c r="CS12" s="15" t="s">
        <v>805</v>
      </c>
      <c r="CT12" s="15" t="s">
        <v>829</v>
      </c>
      <c r="CU12" s="15" t="s">
        <v>519</v>
      </c>
      <c r="CV12" s="15" t="s">
        <v>451</v>
      </c>
      <c r="CW12" s="15" t="s">
        <v>830</v>
      </c>
      <c r="CX12" s="15" t="s">
        <v>408</v>
      </c>
      <c r="CY12" s="15"/>
      <c r="CZ12" s="15" t="s">
        <v>453</v>
      </c>
      <c r="DA12" s="15" t="s">
        <v>831</v>
      </c>
      <c r="DB12" s="15" t="s">
        <v>408</v>
      </c>
      <c r="DC12" s="15"/>
      <c r="DD12" s="15" t="s">
        <v>457</v>
      </c>
      <c r="DE12" s="15"/>
      <c r="DF12" s="15" t="s">
        <v>832</v>
      </c>
      <c r="DG12" s="15" t="s">
        <v>524</v>
      </c>
      <c r="DH12" s="15" t="s">
        <v>833</v>
      </c>
      <c r="DI12" s="15" t="s">
        <v>459</v>
      </c>
      <c r="DJ12" s="15" t="s">
        <v>613</v>
      </c>
      <c r="DK12" s="15"/>
      <c r="DL12" s="15"/>
      <c r="DM12" s="15" t="s">
        <v>834</v>
      </c>
      <c r="DN12" s="15" t="s">
        <v>835</v>
      </c>
      <c r="DO12" s="15" t="s">
        <v>567</v>
      </c>
      <c r="DP12" s="15" t="s">
        <v>836</v>
      </c>
      <c r="DQ12" s="15" t="s">
        <v>837</v>
      </c>
      <c r="DR12" s="15" t="s">
        <v>838</v>
      </c>
      <c r="DS12" s="15" t="s">
        <v>839</v>
      </c>
      <c r="DT12" s="15" t="s">
        <v>570</v>
      </c>
      <c r="DU12" s="15" t="s">
        <v>840</v>
      </c>
      <c r="DV12" s="15" t="s">
        <v>841</v>
      </c>
      <c r="DW12" s="15" t="s">
        <v>573</v>
      </c>
      <c r="DX12" s="15" t="s">
        <v>842</v>
      </c>
      <c r="DY12" s="15" t="s">
        <v>843</v>
      </c>
      <c r="DZ12" s="15" t="s">
        <v>844</v>
      </c>
      <c r="EA12" s="15" t="s">
        <v>475</v>
      </c>
      <c r="EB12" s="15" t="s">
        <v>845</v>
      </c>
      <c r="EC12" s="15" t="s">
        <v>846</v>
      </c>
      <c r="ED12" s="15"/>
      <c r="EE12" s="15"/>
      <c r="EF12" s="15"/>
      <c r="EG12" s="15"/>
      <c r="EH12" s="15"/>
      <c r="EI12" s="15"/>
      <c r="EJ12" s="15"/>
      <c r="EK12" s="15"/>
      <c r="EL12" s="15"/>
      <c r="EM12" s="15"/>
      <c r="EN12" s="15"/>
      <c r="EO12" s="15"/>
      <c r="EP12" s="15"/>
      <c r="EQ12" s="15"/>
      <c r="ER12" s="15"/>
      <c r="ES12" s="15"/>
      <c r="ET12" s="15" t="s">
        <v>578</v>
      </c>
      <c r="EU12" s="15" t="s">
        <v>479</v>
      </c>
      <c r="EV12" s="15" t="s">
        <v>480</v>
      </c>
      <c r="EW12" s="15" t="s">
        <v>847</v>
      </c>
      <c r="EX12" s="15" t="s">
        <v>848</v>
      </c>
      <c r="EY12" s="15" t="s">
        <v>849</v>
      </c>
      <c r="EZ12" s="15" t="s">
        <v>583</v>
      </c>
      <c r="FA12" s="15" t="s">
        <v>583</v>
      </c>
      <c r="FB12" s="15" t="s">
        <v>484</v>
      </c>
      <c r="FC12" s="15" t="s">
        <v>414</v>
      </c>
      <c r="FD12" s="15" t="s">
        <v>415</v>
      </c>
      <c r="FE12" s="15" t="s">
        <v>583</v>
      </c>
      <c r="FF12" s="15" t="s">
        <v>414</v>
      </c>
      <c r="FG12" s="15" t="s">
        <v>583</v>
      </c>
      <c r="FH12" s="15" t="s">
        <v>416</v>
      </c>
      <c r="FI12" s="15" t="s">
        <v>414</v>
      </c>
      <c r="FJ12" s="15" t="s">
        <v>583</v>
      </c>
      <c r="FK12" s="15" t="s">
        <v>414</v>
      </c>
      <c r="FL12" s="15" t="s">
        <v>583</v>
      </c>
      <c r="FM12" s="15" t="s">
        <v>484</v>
      </c>
      <c r="FN12" s="15" t="s">
        <v>484</v>
      </c>
      <c r="FO12" s="15" t="s">
        <v>850</v>
      </c>
      <c r="FP12" s="15" t="s">
        <v>486</v>
      </c>
      <c r="FQ12" s="15" t="s">
        <v>749</v>
      </c>
      <c r="FR12" s="15" t="s">
        <v>851</v>
      </c>
      <c r="FS12" s="15" t="s">
        <v>420</v>
      </c>
      <c r="FT12" s="15" t="s">
        <v>488</v>
      </c>
      <c r="FU12" s="15" t="s">
        <v>489</v>
      </c>
      <c r="FV12" s="15" t="s">
        <v>490</v>
      </c>
      <c r="FW12" s="15" t="s">
        <v>491</v>
      </c>
      <c r="FX12" s="15" t="s">
        <v>852</v>
      </c>
      <c r="FY12" s="15" t="s">
        <v>535</v>
      </c>
      <c r="FZ12" s="15" t="s">
        <v>853</v>
      </c>
      <c r="GA12" s="15"/>
      <c r="GB12" s="15" t="s">
        <v>455</v>
      </c>
      <c r="GC12" s="15"/>
      <c r="GD12" s="15" t="s">
        <v>854</v>
      </c>
      <c r="GE12" s="15" t="s">
        <v>855</v>
      </c>
      <c r="GF12" s="15" t="s">
        <v>856</v>
      </c>
      <c r="GG12" s="15" t="s">
        <v>857</v>
      </c>
      <c r="GH12" s="15" t="s">
        <v>857</v>
      </c>
      <c r="GI12" s="15" t="s">
        <v>858</v>
      </c>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31"/>
      <c r="MX12" s="29" t="s">
        <v>10402</v>
      </c>
      <c r="MY12" s="29" t="str">
        <f>IFERROR(__xludf.DUMMYFUNCTION("""COMPUTED_VALUE"""),"Maryland")</f>
        <v>Maryland</v>
      </c>
    </row>
    <row r="13" ht="16.5" customHeight="1">
      <c r="A13" s="30">
        <v>45826.879848993056</v>
      </c>
      <c r="B13" s="15" t="s">
        <v>368</v>
      </c>
      <c r="C13" s="15" t="s">
        <v>370</v>
      </c>
      <c r="D13" s="15"/>
      <c r="E13" s="15" t="s">
        <v>859</v>
      </c>
      <c r="F13" s="15"/>
      <c r="G13" s="15" t="s">
        <v>422</v>
      </c>
      <c r="H13" s="15" t="s">
        <v>637</v>
      </c>
      <c r="I13" s="15" t="s">
        <v>638</v>
      </c>
      <c r="J13" s="15" t="s">
        <v>425</v>
      </c>
      <c r="K13" s="15" t="s">
        <v>376</v>
      </c>
      <c r="L13" s="15" t="s">
        <v>793</v>
      </c>
      <c r="M13" s="15" t="s">
        <v>860</v>
      </c>
      <c r="N13" s="15" t="s">
        <v>426</v>
      </c>
      <c r="O13" s="15" t="s">
        <v>861</v>
      </c>
      <c r="P13" s="15" t="s">
        <v>592</v>
      </c>
      <c r="Q13" s="15" t="s">
        <v>862</v>
      </c>
      <c r="R13" s="15" t="s">
        <v>863</v>
      </c>
      <c r="S13" s="15" t="s">
        <v>384</v>
      </c>
      <c r="T13" s="15" t="s">
        <v>385</v>
      </c>
      <c r="U13" s="15"/>
      <c r="V13" s="15"/>
      <c r="W13" s="15" t="s">
        <v>428</v>
      </c>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t="s">
        <v>390</v>
      </c>
      <c r="AW13" s="15" t="s">
        <v>429</v>
      </c>
      <c r="AX13" s="15">
        <v>2.0</v>
      </c>
      <c r="AY13" s="15">
        <v>2.0</v>
      </c>
      <c r="AZ13" s="15" t="s">
        <v>391</v>
      </c>
      <c r="BA13" s="15">
        <v>2.0</v>
      </c>
      <c r="BB13" s="15" t="s">
        <v>429</v>
      </c>
      <c r="BC13" s="15" t="s">
        <v>864</v>
      </c>
      <c r="BD13" s="15" t="s">
        <v>865</v>
      </c>
      <c r="BE13" s="15" t="s">
        <v>392</v>
      </c>
      <c r="BF13" s="15" t="s">
        <v>433</v>
      </c>
      <c r="BG13" s="15" t="s">
        <v>394</v>
      </c>
      <c r="BH13" s="15" t="s">
        <v>866</v>
      </c>
      <c r="BI13" s="15" t="s">
        <v>509</v>
      </c>
      <c r="BJ13" s="15" t="s">
        <v>867</v>
      </c>
      <c r="BK13" s="15" t="s">
        <v>602</v>
      </c>
      <c r="BL13" s="15" t="s">
        <v>603</v>
      </c>
      <c r="BM13" s="15" t="s">
        <v>549</v>
      </c>
      <c r="BN13" s="15" t="s">
        <v>440</v>
      </c>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t="s">
        <v>441</v>
      </c>
      <c r="CM13" s="15" t="s">
        <v>401</v>
      </c>
      <c r="CN13" s="15" t="s">
        <v>868</v>
      </c>
      <c r="CO13" s="15" t="s">
        <v>869</v>
      </c>
      <c r="CP13" s="15" t="s">
        <v>445</v>
      </c>
      <c r="CQ13" s="15" t="s">
        <v>870</v>
      </c>
      <c r="CR13" s="15" t="s">
        <v>828</v>
      </c>
      <c r="CS13" s="15" t="s">
        <v>871</v>
      </c>
      <c r="CT13" s="15" t="s">
        <v>872</v>
      </c>
      <c r="CU13" s="15" t="s">
        <v>519</v>
      </c>
      <c r="CV13" s="15" t="s">
        <v>451</v>
      </c>
      <c r="CW13" s="15" t="s">
        <v>873</v>
      </c>
      <c r="CX13" s="15" t="s">
        <v>408</v>
      </c>
      <c r="CY13" s="15"/>
      <c r="CZ13" s="15" t="s">
        <v>453</v>
      </c>
      <c r="DA13" s="15" t="s">
        <v>874</v>
      </c>
      <c r="DB13" s="15" t="s">
        <v>455</v>
      </c>
      <c r="DC13" s="15" t="s">
        <v>875</v>
      </c>
      <c r="DD13" s="15" t="s">
        <v>457</v>
      </c>
      <c r="DE13" s="15"/>
      <c r="DF13" s="15" t="s">
        <v>876</v>
      </c>
      <c r="DG13" s="15" t="s">
        <v>524</v>
      </c>
      <c r="DH13" s="15" t="s">
        <v>410</v>
      </c>
      <c r="DI13" s="15" t="s">
        <v>459</v>
      </c>
      <c r="DJ13" s="15" t="s">
        <v>460</v>
      </c>
      <c r="DK13" s="15" t="s">
        <v>461</v>
      </c>
      <c r="DL13" s="15"/>
      <c r="DM13" s="15" t="s">
        <v>877</v>
      </c>
      <c r="DN13" s="15" t="s">
        <v>878</v>
      </c>
      <c r="DO13" s="15" t="s">
        <v>464</v>
      </c>
      <c r="DP13" s="15" t="s">
        <v>879</v>
      </c>
      <c r="DQ13" s="15" t="s">
        <v>837</v>
      </c>
      <c r="DR13" s="15" t="s">
        <v>880</v>
      </c>
      <c r="DS13" s="15" t="s">
        <v>839</v>
      </c>
      <c r="DT13" s="15" t="s">
        <v>703</v>
      </c>
      <c r="DU13" s="15" t="s">
        <v>881</v>
      </c>
      <c r="DV13" s="15" t="s">
        <v>882</v>
      </c>
      <c r="DW13" s="15" t="s">
        <v>396</v>
      </c>
      <c r="DX13" s="15" t="s">
        <v>883</v>
      </c>
      <c r="DY13" s="15" t="s">
        <v>884</v>
      </c>
      <c r="DZ13" s="15" t="s">
        <v>885</v>
      </c>
      <c r="EA13" s="15" t="s">
        <v>475</v>
      </c>
      <c r="EB13" s="15" t="s">
        <v>845</v>
      </c>
      <c r="EC13" s="15" t="s">
        <v>886</v>
      </c>
      <c r="ED13" s="15"/>
      <c r="EE13" s="15"/>
      <c r="EF13" s="15"/>
      <c r="EG13" s="15"/>
      <c r="EH13" s="15"/>
      <c r="EI13" s="15"/>
      <c r="EJ13" s="15"/>
      <c r="EK13" s="15"/>
      <c r="EL13" s="15"/>
      <c r="EM13" s="15"/>
      <c r="EN13" s="15"/>
      <c r="EO13" s="15"/>
      <c r="EP13" s="15"/>
      <c r="EQ13" s="15"/>
      <c r="ER13" s="15"/>
      <c r="ES13" s="15"/>
      <c r="ET13" s="15" t="s">
        <v>526</v>
      </c>
      <c r="EU13" s="15" t="s">
        <v>887</v>
      </c>
      <c r="EV13" s="15" t="s">
        <v>480</v>
      </c>
      <c r="EW13" s="15" t="s">
        <v>888</v>
      </c>
      <c r="EX13" s="15" t="s">
        <v>889</v>
      </c>
      <c r="EY13" s="15" t="s">
        <v>890</v>
      </c>
      <c r="EZ13" s="15" t="s">
        <v>583</v>
      </c>
      <c r="FA13" s="15" t="s">
        <v>583</v>
      </c>
      <c r="FB13" s="15" t="s">
        <v>583</v>
      </c>
      <c r="FC13" s="15" t="s">
        <v>583</v>
      </c>
      <c r="FD13" s="15" t="s">
        <v>415</v>
      </c>
      <c r="FE13" s="15" t="s">
        <v>583</v>
      </c>
      <c r="FF13" s="15" t="s">
        <v>415</v>
      </c>
      <c r="FG13" s="15" t="s">
        <v>583</v>
      </c>
      <c r="FH13" s="15" t="s">
        <v>415</v>
      </c>
      <c r="FI13" s="15" t="s">
        <v>583</v>
      </c>
      <c r="FJ13" s="15" t="s">
        <v>583</v>
      </c>
      <c r="FK13" s="15" t="s">
        <v>415</v>
      </c>
      <c r="FL13" s="15" t="s">
        <v>415</v>
      </c>
      <c r="FM13" s="15" t="s">
        <v>415</v>
      </c>
      <c r="FN13" s="15" t="s">
        <v>415</v>
      </c>
      <c r="FO13" s="15" t="s">
        <v>417</v>
      </c>
      <c r="FP13" s="15" t="s">
        <v>418</v>
      </c>
      <c r="FQ13" s="15" t="s">
        <v>712</v>
      </c>
      <c r="FR13" s="15" t="s">
        <v>891</v>
      </c>
      <c r="FS13" s="15" t="s">
        <v>420</v>
      </c>
      <c r="FT13" s="15" t="s">
        <v>488</v>
      </c>
      <c r="FU13" s="15" t="s">
        <v>533</v>
      </c>
      <c r="FV13" s="15" t="s">
        <v>490</v>
      </c>
      <c r="FW13" s="15" t="s">
        <v>491</v>
      </c>
      <c r="FX13" s="15" t="s">
        <v>892</v>
      </c>
      <c r="FY13" s="15" t="s">
        <v>535</v>
      </c>
      <c r="FZ13" s="15" t="s">
        <v>893</v>
      </c>
      <c r="GA13" s="15"/>
      <c r="GB13" s="15" t="s">
        <v>455</v>
      </c>
      <c r="GC13" s="15"/>
      <c r="GD13" s="15"/>
      <c r="GE13" s="15" t="s">
        <v>753</v>
      </c>
      <c r="GF13" s="15" t="s">
        <v>754</v>
      </c>
      <c r="GG13" s="15" t="s">
        <v>857</v>
      </c>
      <c r="GH13" s="15" t="s">
        <v>857</v>
      </c>
      <c r="GI13" s="15" t="s">
        <v>790</v>
      </c>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31"/>
      <c r="MX13" s="29" t="s">
        <v>894</v>
      </c>
      <c r="MY13" s="29" t="str">
        <f>IFERROR(__xludf.DUMMYFUNCTION("""COMPUTED_VALUE"""),"Ontario")</f>
        <v>Ontario</v>
      </c>
    </row>
    <row r="14" ht="16.5" customHeight="1">
      <c r="A14" s="30">
        <v>45826.90960921296</v>
      </c>
      <c r="B14" s="15" t="s">
        <v>368</v>
      </c>
      <c r="C14" s="15" t="s">
        <v>894</v>
      </c>
      <c r="D14" s="15" t="s">
        <v>894</v>
      </c>
      <c r="E14" s="15"/>
      <c r="F14" s="15"/>
      <c r="G14" s="15" t="s">
        <v>422</v>
      </c>
      <c r="H14" s="15" t="s">
        <v>373</v>
      </c>
      <c r="I14" s="15" t="s">
        <v>374</v>
      </c>
      <c r="J14" s="15" t="s">
        <v>375</v>
      </c>
      <c r="K14" s="15" t="s">
        <v>376</v>
      </c>
      <c r="L14" s="15" t="s">
        <v>379</v>
      </c>
      <c r="M14" s="15" t="s">
        <v>378</v>
      </c>
      <c r="N14" s="15" t="s">
        <v>591</v>
      </c>
      <c r="O14" s="15" t="s">
        <v>895</v>
      </c>
      <c r="P14" s="15" t="s">
        <v>498</v>
      </c>
      <c r="Q14" s="15" t="s">
        <v>862</v>
      </c>
      <c r="R14" s="15" t="s">
        <v>427</v>
      </c>
      <c r="S14" s="15" t="s">
        <v>384</v>
      </c>
      <c r="T14" s="15" t="s">
        <v>385</v>
      </c>
      <c r="U14" s="15" t="s">
        <v>896</v>
      </c>
      <c r="V14" s="15" t="s">
        <v>896</v>
      </c>
      <c r="W14" s="15" t="s">
        <v>386</v>
      </c>
      <c r="X14" s="15" t="s">
        <v>387</v>
      </c>
      <c r="Y14" s="15" t="s">
        <v>897</v>
      </c>
      <c r="Z14" s="15" t="s">
        <v>389</v>
      </c>
      <c r="AA14" s="15" t="s">
        <v>898</v>
      </c>
      <c r="AB14" s="15" t="s">
        <v>899</v>
      </c>
      <c r="AC14" s="15"/>
      <c r="AD14" s="15"/>
      <c r="AE14" s="15"/>
      <c r="AF14" s="15"/>
      <c r="AG14" s="15"/>
      <c r="AH14" s="15"/>
      <c r="AI14" s="15"/>
      <c r="AJ14" s="15"/>
      <c r="AK14" s="15"/>
      <c r="AL14" s="15"/>
      <c r="AM14" s="15"/>
      <c r="AN14" s="15"/>
      <c r="AO14" s="15"/>
      <c r="AP14" s="15"/>
      <c r="AQ14" s="15"/>
      <c r="AR14" s="15"/>
      <c r="AS14" s="15"/>
      <c r="AT14" s="15"/>
      <c r="AU14" s="15"/>
      <c r="AV14" s="15" t="s">
        <v>390</v>
      </c>
      <c r="AW14" s="15" t="s">
        <v>391</v>
      </c>
      <c r="AX14" s="15" t="s">
        <v>391</v>
      </c>
      <c r="AY14" s="15" t="s">
        <v>675</v>
      </c>
      <c r="AZ14" s="15" t="s">
        <v>675</v>
      </c>
      <c r="BA14" s="15" t="s">
        <v>675</v>
      </c>
      <c r="BB14" s="15" t="s">
        <v>675</v>
      </c>
      <c r="BC14" s="15" t="s">
        <v>900</v>
      </c>
      <c r="BD14" s="15" t="s">
        <v>901</v>
      </c>
      <c r="BE14" s="15" t="s">
        <v>902</v>
      </c>
      <c r="BF14" s="15" t="s">
        <v>433</v>
      </c>
      <c r="BG14" s="15" t="s">
        <v>725</v>
      </c>
      <c r="BH14" s="15" t="s">
        <v>903</v>
      </c>
      <c r="BI14" s="15" t="s">
        <v>435</v>
      </c>
      <c r="BJ14" s="15"/>
      <c r="BK14" s="15" t="s">
        <v>602</v>
      </c>
      <c r="BL14" s="15" t="s">
        <v>904</v>
      </c>
      <c r="BM14" s="15" t="s">
        <v>549</v>
      </c>
      <c r="BN14" s="15" t="s">
        <v>513</v>
      </c>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t="s">
        <v>441</v>
      </c>
      <c r="CM14" s="15" t="s">
        <v>905</v>
      </c>
      <c r="CN14" s="15" t="s">
        <v>906</v>
      </c>
      <c r="CO14" s="15" t="s">
        <v>907</v>
      </c>
      <c r="CP14" s="15" t="s">
        <v>685</v>
      </c>
      <c r="CQ14" s="15" t="s">
        <v>908</v>
      </c>
      <c r="CR14" s="15" t="s">
        <v>555</v>
      </c>
      <c r="CS14" s="15" t="s">
        <v>909</v>
      </c>
      <c r="CT14" s="15" t="s">
        <v>910</v>
      </c>
      <c r="CU14" s="15" t="s">
        <v>450</v>
      </c>
      <c r="CV14" s="15" t="s">
        <v>451</v>
      </c>
      <c r="CW14" s="15" t="s">
        <v>911</v>
      </c>
      <c r="CX14" s="15" t="s">
        <v>733</v>
      </c>
      <c r="CY14" s="15"/>
      <c r="CZ14" s="15" t="s">
        <v>453</v>
      </c>
      <c r="DA14" s="15" t="s">
        <v>912</v>
      </c>
      <c r="DB14" s="15" t="s">
        <v>913</v>
      </c>
      <c r="DC14" s="15"/>
      <c r="DD14" s="15" t="s">
        <v>457</v>
      </c>
      <c r="DE14" s="15"/>
      <c r="DF14" s="15" t="s">
        <v>914</v>
      </c>
      <c r="DG14" s="15" t="s">
        <v>524</v>
      </c>
      <c r="DH14" s="15" t="s">
        <v>410</v>
      </c>
      <c r="DI14" s="15" t="s">
        <v>459</v>
      </c>
      <c r="DJ14" s="15" t="s">
        <v>460</v>
      </c>
      <c r="DK14" s="15" t="s">
        <v>461</v>
      </c>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t="s">
        <v>526</v>
      </c>
      <c r="EU14" s="15" t="s">
        <v>579</v>
      </c>
      <c r="EV14" s="15" t="s">
        <v>527</v>
      </c>
      <c r="EW14" s="15" t="s">
        <v>915</v>
      </c>
      <c r="EX14" s="15" t="s">
        <v>916</v>
      </c>
      <c r="EY14" s="15" t="s">
        <v>917</v>
      </c>
      <c r="EZ14" s="15" t="s">
        <v>415</v>
      </c>
      <c r="FA14" s="15" t="s">
        <v>415</v>
      </c>
      <c r="FB14" s="15" t="s">
        <v>413</v>
      </c>
      <c r="FC14" s="15" t="s">
        <v>416</v>
      </c>
      <c r="FD14" s="15" t="s">
        <v>413</v>
      </c>
      <c r="FE14" s="15" t="s">
        <v>414</v>
      </c>
      <c r="FF14" s="15" t="s">
        <v>413</v>
      </c>
      <c r="FG14" s="15" t="s">
        <v>413</v>
      </c>
      <c r="FH14" s="15" t="s">
        <v>414</v>
      </c>
      <c r="FI14" s="15" t="s">
        <v>413</v>
      </c>
      <c r="FJ14" s="15" t="s">
        <v>415</v>
      </c>
      <c r="FK14" s="15" t="s">
        <v>415</v>
      </c>
      <c r="FL14" s="15" t="s">
        <v>413</v>
      </c>
      <c r="FM14" s="15" t="s">
        <v>413</v>
      </c>
      <c r="FN14" s="15" t="s">
        <v>583</v>
      </c>
      <c r="FO14" s="15" t="s">
        <v>417</v>
      </c>
      <c r="FP14" s="15" t="s">
        <v>418</v>
      </c>
      <c r="FQ14" s="15" t="s">
        <v>712</v>
      </c>
      <c r="FR14" s="15"/>
      <c r="FS14" s="15" t="s">
        <v>420</v>
      </c>
      <c r="FT14" s="15" t="s">
        <v>488</v>
      </c>
      <c r="FU14" s="15" t="s">
        <v>918</v>
      </c>
      <c r="FV14" s="15" t="s">
        <v>490</v>
      </c>
      <c r="FW14" s="15" t="s">
        <v>491</v>
      </c>
      <c r="FX14" s="15" t="s">
        <v>919</v>
      </c>
      <c r="FY14" s="15" t="s">
        <v>535</v>
      </c>
      <c r="FZ14" s="15"/>
      <c r="GA14" s="15"/>
      <c r="GB14" s="15" t="s">
        <v>455</v>
      </c>
      <c r="GC14" s="15"/>
      <c r="GD14" s="15"/>
      <c r="GE14" s="15" t="s">
        <v>855</v>
      </c>
      <c r="GF14" s="15"/>
      <c r="GG14" s="15" t="s">
        <v>920</v>
      </c>
      <c r="GH14" s="15" t="s">
        <v>920</v>
      </c>
      <c r="GI14" s="15" t="s">
        <v>921</v>
      </c>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31"/>
      <c r="MX14" s="29" t="s">
        <v>10402</v>
      </c>
      <c r="MY14" s="29" t="str">
        <f>IFERROR(__xludf.DUMMYFUNCTION("""COMPUTED_VALUE"""),"Missouri")</f>
        <v>Missouri</v>
      </c>
    </row>
    <row r="15" ht="16.5" customHeight="1">
      <c r="A15" s="30">
        <v>45826.92376010417</v>
      </c>
      <c r="B15" s="15" t="s">
        <v>368</v>
      </c>
      <c r="C15" s="15" t="s">
        <v>370</v>
      </c>
      <c r="D15" s="15"/>
      <c r="E15" s="15" t="s">
        <v>922</v>
      </c>
      <c r="F15" s="15"/>
      <c r="G15" s="15" t="s">
        <v>422</v>
      </c>
      <c r="H15" s="15" t="s">
        <v>496</v>
      </c>
      <c r="I15" s="15" t="s">
        <v>374</v>
      </c>
      <c r="J15" s="15" t="s">
        <v>375</v>
      </c>
      <c r="K15" s="15" t="s">
        <v>376</v>
      </c>
      <c r="L15" s="15" t="s">
        <v>379</v>
      </c>
      <c r="M15" s="15" t="s">
        <v>378</v>
      </c>
      <c r="N15" s="15" t="s">
        <v>379</v>
      </c>
      <c r="O15" s="15" t="s">
        <v>497</v>
      </c>
      <c r="P15" s="15" t="s">
        <v>498</v>
      </c>
      <c r="Q15" s="15" t="s">
        <v>499</v>
      </c>
      <c r="R15" s="15" t="s">
        <v>427</v>
      </c>
      <c r="S15" s="15" t="s">
        <v>384</v>
      </c>
      <c r="T15" s="15" t="s">
        <v>385</v>
      </c>
      <c r="U15" s="15"/>
      <c r="V15" s="15"/>
      <c r="W15" s="15" t="s">
        <v>760</v>
      </c>
      <c r="X15" s="15" t="s">
        <v>387</v>
      </c>
      <c r="Y15" s="15" t="s">
        <v>594</v>
      </c>
      <c r="Z15" s="15" t="s">
        <v>502</v>
      </c>
      <c r="AA15" s="15" t="s">
        <v>923</v>
      </c>
      <c r="AB15" s="15" t="s">
        <v>924</v>
      </c>
      <c r="AC15" s="15"/>
      <c r="AD15" s="15"/>
      <c r="AE15" s="15"/>
      <c r="AF15" s="15"/>
      <c r="AG15" s="15"/>
      <c r="AH15" s="15"/>
      <c r="AI15" s="15"/>
      <c r="AJ15" s="15"/>
      <c r="AK15" s="15"/>
      <c r="AL15" s="15"/>
      <c r="AM15" s="15"/>
      <c r="AN15" s="15"/>
      <c r="AO15" s="15"/>
      <c r="AP15" s="15"/>
      <c r="AQ15" s="15"/>
      <c r="AR15" s="15"/>
      <c r="AS15" s="15"/>
      <c r="AT15" s="15"/>
      <c r="AU15" s="15"/>
      <c r="AV15" s="15" t="s">
        <v>504</v>
      </c>
      <c r="AW15" s="15" t="s">
        <v>429</v>
      </c>
      <c r="AX15" s="15" t="s">
        <v>429</v>
      </c>
      <c r="AY15" s="15" t="s">
        <v>429</v>
      </c>
      <c r="AZ15" s="15" t="s">
        <v>429</v>
      </c>
      <c r="BA15" s="15" t="s">
        <v>429</v>
      </c>
      <c r="BB15" s="15" t="s">
        <v>429</v>
      </c>
      <c r="BC15" s="15" t="s">
        <v>925</v>
      </c>
      <c r="BD15" s="15" t="s">
        <v>926</v>
      </c>
      <c r="BE15" s="15" t="s">
        <v>392</v>
      </c>
      <c r="BF15" s="15" t="s">
        <v>433</v>
      </c>
      <c r="BG15" s="15" t="s">
        <v>434</v>
      </c>
      <c r="BH15" s="15" t="s">
        <v>927</v>
      </c>
      <c r="BI15" s="15" t="s">
        <v>509</v>
      </c>
      <c r="BJ15" s="15" t="s">
        <v>928</v>
      </c>
      <c r="BK15" s="15" t="s">
        <v>437</v>
      </c>
      <c r="BL15" s="15" t="s">
        <v>904</v>
      </c>
      <c r="BM15" s="15" t="s">
        <v>439</v>
      </c>
      <c r="BN15" s="15" t="s">
        <v>513</v>
      </c>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t="s">
        <v>441</v>
      </c>
      <c r="CM15" s="15" t="s">
        <v>401</v>
      </c>
      <c r="CN15" s="15" t="s">
        <v>929</v>
      </c>
      <c r="CO15" s="15" t="s">
        <v>930</v>
      </c>
      <c r="CP15" s="15" t="s">
        <v>445</v>
      </c>
      <c r="CQ15" s="15" t="s">
        <v>931</v>
      </c>
      <c r="CR15" s="15" t="s">
        <v>447</v>
      </c>
      <c r="CS15" s="15" t="s">
        <v>448</v>
      </c>
      <c r="CT15" s="15" t="s">
        <v>932</v>
      </c>
      <c r="CU15" s="15" t="s">
        <v>450</v>
      </c>
      <c r="CV15" s="15" t="s">
        <v>451</v>
      </c>
      <c r="CW15" s="15" t="s">
        <v>933</v>
      </c>
      <c r="CX15" s="15" t="s">
        <v>408</v>
      </c>
      <c r="CY15" s="15"/>
      <c r="CZ15" s="15" t="s">
        <v>453</v>
      </c>
      <c r="DA15" s="15" t="s">
        <v>934</v>
      </c>
      <c r="DB15" s="15" t="s">
        <v>455</v>
      </c>
      <c r="DC15" s="15" t="s">
        <v>935</v>
      </c>
      <c r="DD15" s="15" t="s">
        <v>406</v>
      </c>
      <c r="DE15" s="15" t="s">
        <v>407</v>
      </c>
      <c r="DF15" s="15" t="s">
        <v>936</v>
      </c>
      <c r="DG15" s="15" t="s">
        <v>524</v>
      </c>
      <c r="DH15" s="15" t="s">
        <v>410</v>
      </c>
      <c r="DI15" s="15" t="s">
        <v>459</v>
      </c>
      <c r="DJ15" s="15" t="s">
        <v>613</v>
      </c>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t="s">
        <v>478</v>
      </c>
      <c r="EU15" s="15" t="s">
        <v>479</v>
      </c>
      <c r="EV15" s="15" t="s">
        <v>527</v>
      </c>
      <c r="EW15" s="15" t="s">
        <v>937</v>
      </c>
      <c r="EX15" s="15" t="s">
        <v>938</v>
      </c>
      <c r="EY15" s="15" t="s">
        <v>939</v>
      </c>
      <c r="EZ15" s="15" t="s">
        <v>413</v>
      </c>
      <c r="FA15" s="15" t="s">
        <v>413</v>
      </c>
      <c r="FB15" s="15" t="s">
        <v>413</v>
      </c>
      <c r="FC15" s="15" t="s">
        <v>413</v>
      </c>
      <c r="FD15" s="15" t="s">
        <v>413</v>
      </c>
      <c r="FE15" s="15" t="s">
        <v>413</v>
      </c>
      <c r="FF15" s="15" t="s">
        <v>413</v>
      </c>
      <c r="FG15" s="15" t="s">
        <v>413</v>
      </c>
      <c r="FH15" s="15" t="s">
        <v>413</v>
      </c>
      <c r="FI15" s="15" t="s">
        <v>484</v>
      </c>
      <c r="FJ15" s="15" t="s">
        <v>413</v>
      </c>
      <c r="FK15" s="15" t="s">
        <v>413</v>
      </c>
      <c r="FL15" s="15" t="s">
        <v>413</v>
      </c>
      <c r="FM15" s="15" t="s">
        <v>413</v>
      </c>
      <c r="FN15" s="15" t="s">
        <v>484</v>
      </c>
      <c r="FO15" s="15" t="s">
        <v>485</v>
      </c>
      <c r="FP15" s="15" t="s">
        <v>418</v>
      </c>
      <c r="FQ15" s="15" t="s">
        <v>419</v>
      </c>
      <c r="FR15" s="15" t="s">
        <v>940</v>
      </c>
      <c r="FS15" s="15" t="s">
        <v>420</v>
      </c>
      <c r="FT15" s="15" t="s">
        <v>488</v>
      </c>
      <c r="FU15" s="15" t="s">
        <v>489</v>
      </c>
      <c r="FV15" s="15" t="s">
        <v>490</v>
      </c>
      <c r="FW15" s="15" t="s">
        <v>491</v>
      </c>
      <c r="FX15" s="15" t="s">
        <v>941</v>
      </c>
      <c r="FY15" s="15" t="s">
        <v>535</v>
      </c>
      <c r="FZ15" s="15" t="s">
        <v>942</v>
      </c>
      <c r="GA15" s="15" t="s">
        <v>943</v>
      </c>
      <c r="GB15" s="15" t="s">
        <v>455</v>
      </c>
      <c r="GC15" s="15"/>
      <c r="GD15" s="15"/>
      <c r="GE15" s="15" t="s">
        <v>944</v>
      </c>
      <c r="GF15" s="15" t="s">
        <v>945</v>
      </c>
      <c r="GG15" s="15" t="s">
        <v>857</v>
      </c>
      <c r="GH15" s="15" t="s">
        <v>857</v>
      </c>
      <c r="GI15" s="15" t="s">
        <v>946</v>
      </c>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31"/>
      <c r="MX15" s="29" t="s">
        <v>947</v>
      </c>
      <c r="MY15" s="29" t="str">
        <f>IFERROR(__xludf.DUMMYFUNCTION("""COMPUTED_VALUE"""),"France")</f>
        <v>France</v>
      </c>
    </row>
    <row r="16" ht="16.5" customHeight="1">
      <c r="A16" s="30">
        <v>45826.92420601852</v>
      </c>
      <c r="B16" s="15" t="s">
        <v>368</v>
      </c>
      <c r="C16" s="15" t="s">
        <v>947</v>
      </c>
      <c r="D16" s="15" t="s">
        <v>947</v>
      </c>
      <c r="E16" s="15"/>
      <c r="F16" s="15"/>
      <c r="G16" s="15" t="s">
        <v>422</v>
      </c>
      <c r="H16" s="15" t="s">
        <v>373</v>
      </c>
      <c r="I16" s="15" t="s">
        <v>374</v>
      </c>
      <c r="J16" s="15" t="s">
        <v>718</v>
      </c>
      <c r="K16" s="15" t="s">
        <v>376</v>
      </c>
      <c r="L16" s="15" t="s">
        <v>426</v>
      </c>
      <c r="M16" s="15" t="s">
        <v>948</v>
      </c>
      <c r="N16" s="15" t="s">
        <v>379</v>
      </c>
      <c r="O16" s="15" t="s">
        <v>719</v>
      </c>
      <c r="P16" s="15" t="s">
        <v>498</v>
      </c>
      <c r="Q16" s="15" t="s">
        <v>499</v>
      </c>
      <c r="R16" s="15" t="s">
        <v>949</v>
      </c>
      <c r="S16" s="15" t="s">
        <v>384</v>
      </c>
      <c r="T16" s="15" t="s">
        <v>385</v>
      </c>
      <c r="U16" s="15"/>
      <c r="V16" s="15"/>
      <c r="W16" s="15" t="s">
        <v>428</v>
      </c>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t="s">
        <v>504</v>
      </c>
      <c r="AW16" s="15">
        <v>2.0</v>
      </c>
      <c r="AX16" s="15">
        <v>2.0</v>
      </c>
      <c r="AY16" s="15">
        <v>2.0</v>
      </c>
      <c r="AZ16" s="15">
        <v>2.0</v>
      </c>
      <c r="BA16" s="15">
        <v>2.0</v>
      </c>
      <c r="BB16" s="15">
        <v>2.0</v>
      </c>
      <c r="BC16" s="15" t="s">
        <v>950</v>
      </c>
      <c r="BD16" s="15" t="s">
        <v>951</v>
      </c>
      <c r="BE16" s="15" t="s">
        <v>432</v>
      </c>
      <c r="BF16" s="15" t="s">
        <v>433</v>
      </c>
      <c r="BG16" s="15" t="s">
        <v>678</v>
      </c>
      <c r="BH16" s="15" t="s">
        <v>952</v>
      </c>
      <c r="BI16" s="15" t="s">
        <v>435</v>
      </c>
      <c r="BJ16" s="15"/>
      <c r="BK16" s="15"/>
      <c r="BL16" s="15" t="s">
        <v>512</v>
      </c>
      <c r="BM16" s="15" t="s">
        <v>439</v>
      </c>
      <c r="BN16" s="15" t="s">
        <v>513</v>
      </c>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t="s">
        <v>953</v>
      </c>
      <c r="CM16" s="15" t="s">
        <v>401</v>
      </c>
      <c r="CN16" s="15" t="s">
        <v>954</v>
      </c>
      <c r="CO16" s="15" t="s">
        <v>955</v>
      </c>
      <c r="CP16" s="15" t="s">
        <v>685</v>
      </c>
      <c r="CQ16" s="15" t="s">
        <v>956</v>
      </c>
      <c r="CR16" s="15" t="s">
        <v>447</v>
      </c>
      <c r="CS16" s="15" t="s">
        <v>957</v>
      </c>
      <c r="CT16" s="15" t="s">
        <v>958</v>
      </c>
      <c r="CU16" s="15" t="s">
        <v>450</v>
      </c>
      <c r="CV16" s="15" t="s">
        <v>959</v>
      </c>
      <c r="CW16" s="15"/>
      <c r="CX16" s="15" t="s">
        <v>408</v>
      </c>
      <c r="CY16" s="15"/>
      <c r="CZ16" s="15" t="s">
        <v>453</v>
      </c>
      <c r="DA16" s="15" t="s">
        <v>960</v>
      </c>
      <c r="DB16" s="15" t="s">
        <v>455</v>
      </c>
      <c r="DC16" s="15" t="s">
        <v>961</v>
      </c>
      <c r="DD16" s="15" t="s">
        <v>457</v>
      </c>
      <c r="DE16" s="15"/>
      <c r="DF16" s="15" t="s">
        <v>962</v>
      </c>
      <c r="DG16" s="15" t="s">
        <v>776</v>
      </c>
      <c r="DH16" s="15" t="s">
        <v>410</v>
      </c>
      <c r="DI16" s="15" t="s">
        <v>963</v>
      </c>
      <c r="DJ16" s="15" t="s">
        <v>460</v>
      </c>
      <c r="DK16" s="15" t="s">
        <v>563</v>
      </c>
      <c r="DL16" s="15" t="s">
        <v>964</v>
      </c>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t="s">
        <v>526</v>
      </c>
      <c r="EU16" s="15" t="s">
        <v>579</v>
      </c>
      <c r="EV16" s="15" t="s">
        <v>580</v>
      </c>
      <c r="EW16" s="15"/>
      <c r="EX16" s="15" t="s">
        <v>965</v>
      </c>
      <c r="EY16" s="15" t="s">
        <v>966</v>
      </c>
      <c r="EZ16" s="15" t="s">
        <v>414</v>
      </c>
      <c r="FA16" s="15" t="s">
        <v>414</v>
      </c>
      <c r="FB16" s="15" t="s">
        <v>413</v>
      </c>
      <c r="FC16" s="15" t="s">
        <v>413</v>
      </c>
      <c r="FD16" s="15" t="s">
        <v>413</v>
      </c>
      <c r="FE16" s="15" t="s">
        <v>413</v>
      </c>
      <c r="FF16" s="15" t="s">
        <v>413</v>
      </c>
      <c r="FG16" s="15" t="s">
        <v>413</v>
      </c>
      <c r="FH16" s="15" t="s">
        <v>413</v>
      </c>
      <c r="FI16" s="15" t="s">
        <v>413</v>
      </c>
      <c r="FJ16" s="15" t="s">
        <v>413</v>
      </c>
      <c r="FK16" s="15" t="s">
        <v>413</v>
      </c>
      <c r="FL16" s="15" t="s">
        <v>413</v>
      </c>
      <c r="FM16" s="15" t="s">
        <v>413</v>
      </c>
      <c r="FN16" s="15" t="s">
        <v>413</v>
      </c>
      <c r="FO16" s="15" t="s">
        <v>485</v>
      </c>
      <c r="FP16" s="15" t="s">
        <v>486</v>
      </c>
      <c r="FQ16" s="15" t="s">
        <v>531</v>
      </c>
      <c r="FR16" s="15" t="s">
        <v>967</v>
      </c>
      <c r="FS16" s="15" t="s">
        <v>420</v>
      </c>
      <c r="FT16" s="15" t="s">
        <v>488</v>
      </c>
      <c r="FU16" s="15" t="s">
        <v>585</v>
      </c>
      <c r="FV16" s="15" t="s">
        <v>490</v>
      </c>
      <c r="FW16" s="15" t="s">
        <v>491</v>
      </c>
      <c r="FX16" s="15" t="s">
        <v>968</v>
      </c>
      <c r="FY16" s="15" t="s">
        <v>535</v>
      </c>
      <c r="FZ16" s="15" t="s">
        <v>969</v>
      </c>
      <c r="GA16" s="15" t="s">
        <v>970</v>
      </c>
      <c r="GB16" s="15" t="s">
        <v>408</v>
      </c>
      <c r="GC16" s="15"/>
      <c r="GD16" s="15"/>
      <c r="GE16" s="15"/>
      <c r="GF16" s="15"/>
      <c r="GG16" s="15" t="s">
        <v>920</v>
      </c>
      <c r="GH16" s="15" t="s">
        <v>755</v>
      </c>
      <c r="GI16" s="15" t="s">
        <v>756</v>
      </c>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31"/>
      <c r="MX16" s="29" t="s">
        <v>10402</v>
      </c>
      <c r="MY16" s="29" t="str">
        <f>IFERROR(__xludf.DUMMYFUNCTION("""COMPUTED_VALUE"""),"New York")</f>
        <v>New York</v>
      </c>
    </row>
    <row r="17" ht="16.5" customHeight="1">
      <c r="A17" s="30">
        <v>45826.946519756944</v>
      </c>
      <c r="B17" s="15" t="s">
        <v>368</v>
      </c>
      <c r="C17" s="15" t="s">
        <v>370</v>
      </c>
      <c r="D17" s="15"/>
      <c r="E17" s="15" t="s">
        <v>667</v>
      </c>
      <c r="F17" s="15"/>
      <c r="G17" s="15" t="s">
        <v>422</v>
      </c>
      <c r="H17" s="15" t="s">
        <v>496</v>
      </c>
      <c r="I17" s="15" t="s">
        <v>374</v>
      </c>
      <c r="J17" s="15" t="s">
        <v>718</v>
      </c>
      <c r="K17" s="15" t="s">
        <v>376</v>
      </c>
      <c r="L17" s="15" t="s">
        <v>379</v>
      </c>
      <c r="M17" s="15" t="s">
        <v>378</v>
      </c>
      <c r="N17" s="15" t="s">
        <v>379</v>
      </c>
      <c r="O17" s="15" t="s">
        <v>497</v>
      </c>
      <c r="P17" s="15" t="s">
        <v>381</v>
      </c>
      <c r="Q17" s="15" t="s">
        <v>382</v>
      </c>
      <c r="R17" s="15" t="s">
        <v>427</v>
      </c>
      <c r="S17" s="15" t="s">
        <v>384</v>
      </c>
      <c r="T17" s="15" t="s">
        <v>385</v>
      </c>
      <c r="U17" s="15"/>
      <c r="V17" s="15"/>
      <c r="W17" s="15" t="s">
        <v>593</v>
      </c>
      <c r="X17" s="15" t="s">
        <v>387</v>
      </c>
      <c r="Y17" s="15" t="s">
        <v>388</v>
      </c>
      <c r="Z17" s="15" t="s">
        <v>543</v>
      </c>
      <c r="AA17" s="15" t="s">
        <v>971</v>
      </c>
      <c r="AB17" s="15" t="s">
        <v>972</v>
      </c>
      <c r="AC17" s="15"/>
      <c r="AD17" s="15"/>
      <c r="AE17" s="15"/>
      <c r="AF17" s="15"/>
      <c r="AG17" s="15"/>
      <c r="AH17" s="15"/>
      <c r="AI17" s="15"/>
      <c r="AJ17" s="15"/>
      <c r="AK17" s="15"/>
      <c r="AL17" s="15"/>
      <c r="AM17" s="15"/>
      <c r="AN17" s="15"/>
      <c r="AO17" s="15"/>
      <c r="AP17" s="15"/>
      <c r="AQ17" s="15"/>
      <c r="AR17" s="15"/>
      <c r="AS17" s="15"/>
      <c r="AT17" s="15"/>
      <c r="AU17" s="15"/>
      <c r="AV17" s="15" t="s">
        <v>597</v>
      </c>
      <c r="AW17" s="15">
        <v>4.0</v>
      </c>
      <c r="AX17" s="15" t="s">
        <v>391</v>
      </c>
      <c r="AY17" s="15" t="s">
        <v>675</v>
      </c>
      <c r="AZ17" s="15">
        <v>4.0</v>
      </c>
      <c r="BA17" s="15">
        <v>2.0</v>
      </c>
      <c r="BB17" s="15">
        <v>2.0</v>
      </c>
      <c r="BC17" s="15" t="s">
        <v>973</v>
      </c>
      <c r="BD17" s="15" t="s">
        <v>974</v>
      </c>
      <c r="BE17" s="15" t="s">
        <v>432</v>
      </c>
      <c r="BF17" s="15" t="s">
        <v>393</v>
      </c>
      <c r="BG17" s="15" t="s">
        <v>434</v>
      </c>
      <c r="BH17" s="15" t="s">
        <v>975</v>
      </c>
      <c r="BI17" s="15" t="s">
        <v>976</v>
      </c>
      <c r="BJ17" s="15"/>
      <c r="BK17" s="15" t="s">
        <v>681</v>
      </c>
      <c r="BL17" s="15" t="s">
        <v>904</v>
      </c>
      <c r="BM17" s="15" t="s">
        <v>397</v>
      </c>
      <c r="BN17" s="15" t="s">
        <v>513</v>
      </c>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t="s">
        <v>441</v>
      </c>
      <c r="CM17" s="15" t="s">
        <v>604</v>
      </c>
      <c r="CN17" s="15" t="s">
        <v>977</v>
      </c>
      <c r="CO17" s="15" t="s">
        <v>978</v>
      </c>
      <c r="CP17" s="15" t="s">
        <v>979</v>
      </c>
      <c r="CQ17" s="15" t="s">
        <v>516</v>
      </c>
      <c r="CR17" s="15" t="s">
        <v>447</v>
      </c>
      <c r="CS17" s="15" t="s">
        <v>980</v>
      </c>
      <c r="CT17" s="15" t="s">
        <v>981</v>
      </c>
      <c r="CU17" s="15" t="s">
        <v>982</v>
      </c>
      <c r="CV17" s="15" t="s">
        <v>451</v>
      </c>
      <c r="CW17" s="15" t="s">
        <v>983</v>
      </c>
      <c r="CX17" s="15" t="s">
        <v>455</v>
      </c>
      <c r="CY17" s="15" t="s">
        <v>984</v>
      </c>
      <c r="CZ17" s="15" t="s">
        <v>985</v>
      </c>
      <c r="DA17" s="15" t="s">
        <v>986</v>
      </c>
      <c r="DB17" s="15" t="s">
        <v>455</v>
      </c>
      <c r="DC17" s="15" t="s">
        <v>987</v>
      </c>
      <c r="DD17" s="15" t="s">
        <v>988</v>
      </c>
      <c r="DE17" s="15"/>
      <c r="DF17" s="15" t="s">
        <v>989</v>
      </c>
      <c r="DG17" s="15" t="s">
        <v>990</v>
      </c>
      <c r="DH17" s="15" t="s">
        <v>410</v>
      </c>
      <c r="DI17" s="15" t="s">
        <v>459</v>
      </c>
      <c r="DJ17" s="15" t="s">
        <v>460</v>
      </c>
      <c r="DK17" s="15" t="s">
        <v>461</v>
      </c>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t="s">
        <v>478</v>
      </c>
      <c r="EU17" s="15" t="s">
        <v>887</v>
      </c>
      <c r="EV17" s="15" t="s">
        <v>527</v>
      </c>
      <c r="EW17" s="15" t="s">
        <v>991</v>
      </c>
      <c r="EX17" s="15" t="s">
        <v>992</v>
      </c>
      <c r="EY17" s="15" t="s">
        <v>993</v>
      </c>
      <c r="EZ17" s="15" t="s">
        <v>415</v>
      </c>
      <c r="FA17" s="15" t="s">
        <v>414</v>
      </c>
      <c r="FB17" s="15" t="s">
        <v>415</v>
      </c>
      <c r="FC17" s="15" t="s">
        <v>484</v>
      </c>
      <c r="FD17" s="15" t="s">
        <v>415</v>
      </c>
      <c r="FE17" s="15" t="s">
        <v>583</v>
      </c>
      <c r="FF17" s="15" t="s">
        <v>484</v>
      </c>
      <c r="FG17" s="15" t="s">
        <v>413</v>
      </c>
      <c r="FH17" s="15" t="s">
        <v>583</v>
      </c>
      <c r="FI17" s="15" t="s">
        <v>415</v>
      </c>
      <c r="FJ17" s="15" t="s">
        <v>414</v>
      </c>
      <c r="FK17" s="15" t="s">
        <v>416</v>
      </c>
      <c r="FL17" s="15" t="s">
        <v>415</v>
      </c>
      <c r="FM17" s="15" t="s">
        <v>413</v>
      </c>
      <c r="FN17" s="15" t="s">
        <v>583</v>
      </c>
      <c r="FO17" s="15" t="s">
        <v>485</v>
      </c>
      <c r="FP17" s="15" t="s">
        <v>486</v>
      </c>
      <c r="FQ17" s="15" t="s">
        <v>419</v>
      </c>
      <c r="FR17" s="15" t="s">
        <v>994</v>
      </c>
      <c r="FS17" s="15" t="s">
        <v>995</v>
      </c>
      <c r="FT17" s="15" t="s">
        <v>488</v>
      </c>
      <c r="FU17" s="15" t="s">
        <v>489</v>
      </c>
      <c r="FV17" s="15" t="s">
        <v>490</v>
      </c>
      <c r="FW17" s="15" t="s">
        <v>491</v>
      </c>
      <c r="FX17" s="15" t="s">
        <v>996</v>
      </c>
      <c r="FY17" s="15" t="s">
        <v>535</v>
      </c>
      <c r="FZ17" s="15" t="s">
        <v>997</v>
      </c>
      <c r="GA17" s="15" t="s">
        <v>998</v>
      </c>
      <c r="GB17" s="15" t="s">
        <v>455</v>
      </c>
      <c r="GC17" s="15"/>
      <c r="GD17" s="15"/>
      <c r="GE17" s="15" t="s">
        <v>753</v>
      </c>
      <c r="GF17" s="15" t="s">
        <v>999</v>
      </c>
      <c r="GG17" s="15" t="s">
        <v>1000</v>
      </c>
      <c r="GH17" s="15" t="s">
        <v>755</v>
      </c>
      <c r="GI17" s="15" t="s">
        <v>817</v>
      </c>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31"/>
      <c r="MX17" s="29" t="s">
        <v>10402</v>
      </c>
      <c r="MY17" s="29" t="str">
        <f>IFERROR(__xludf.DUMMYFUNCTION("""COMPUTED_VALUE"""),"Massachusetts")</f>
        <v>Massachusetts</v>
      </c>
    </row>
    <row r="18" ht="16.5" customHeight="1">
      <c r="A18" s="30">
        <v>45826.96069337963</v>
      </c>
      <c r="B18" s="15" t="s">
        <v>368</v>
      </c>
      <c r="C18" s="15" t="s">
        <v>370</v>
      </c>
      <c r="D18" s="15"/>
      <c r="E18" s="15" t="s">
        <v>1001</v>
      </c>
      <c r="F18" s="15"/>
      <c r="G18" s="15" t="s">
        <v>1002</v>
      </c>
      <c r="H18" s="15" t="s">
        <v>637</v>
      </c>
      <c r="I18" s="15" t="s">
        <v>638</v>
      </c>
      <c r="J18" s="15" t="s">
        <v>425</v>
      </c>
      <c r="K18" s="15" t="s">
        <v>376</v>
      </c>
      <c r="L18" s="15" t="s">
        <v>591</v>
      </c>
      <c r="M18" s="15" t="s">
        <v>720</v>
      </c>
      <c r="N18" s="15" t="s">
        <v>591</v>
      </c>
      <c r="O18" s="15" t="s">
        <v>1003</v>
      </c>
      <c r="P18" s="15" t="s">
        <v>498</v>
      </c>
      <c r="Q18" s="15" t="s">
        <v>1004</v>
      </c>
      <c r="R18" s="15" t="s">
        <v>427</v>
      </c>
      <c r="S18" s="15" t="s">
        <v>384</v>
      </c>
      <c r="T18" s="15" t="s">
        <v>385</v>
      </c>
      <c r="U18" s="15"/>
      <c r="V18" s="15"/>
      <c r="W18" s="15" t="s">
        <v>428</v>
      </c>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t="s">
        <v>390</v>
      </c>
      <c r="AW18" s="15" t="s">
        <v>391</v>
      </c>
      <c r="AX18" s="15" t="s">
        <v>391</v>
      </c>
      <c r="AY18" s="15" t="s">
        <v>391</v>
      </c>
      <c r="AZ18" s="15" t="s">
        <v>429</v>
      </c>
      <c r="BA18" s="15" t="s">
        <v>429</v>
      </c>
      <c r="BB18" s="15" t="s">
        <v>429</v>
      </c>
      <c r="BC18" s="15" t="s">
        <v>1005</v>
      </c>
      <c r="BD18" s="15" t="s">
        <v>1006</v>
      </c>
      <c r="BE18" s="15" t="s">
        <v>392</v>
      </c>
      <c r="BF18" s="15" t="s">
        <v>433</v>
      </c>
      <c r="BG18" s="15" t="s">
        <v>507</v>
      </c>
      <c r="BH18" s="15"/>
      <c r="BI18" s="15" t="s">
        <v>824</v>
      </c>
      <c r="BJ18" s="15"/>
      <c r="BK18" s="15" t="s">
        <v>602</v>
      </c>
      <c r="BL18" s="15" t="s">
        <v>396</v>
      </c>
      <c r="BM18" s="15" t="s">
        <v>549</v>
      </c>
      <c r="BN18" s="15" t="s">
        <v>513</v>
      </c>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t="s">
        <v>441</v>
      </c>
      <c r="CM18" s="15" t="s">
        <v>442</v>
      </c>
      <c r="CN18" s="15" t="s">
        <v>552</v>
      </c>
      <c r="CO18" s="15" t="s">
        <v>1007</v>
      </c>
      <c r="CP18" s="15" t="s">
        <v>1008</v>
      </c>
      <c r="CQ18" s="15" t="s">
        <v>1009</v>
      </c>
      <c r="CR18" s="15" t="s">
        <v>447</v>
      </c>
      <c r="CS18" s="15" t="s">
        <v>1010</v>
      </c>
      <c r="CT18" s="15" t="s">
        <v>1011</v>
      </c>
      <c r="CU18" s="15" t="s">
        <v>450</v>
      </c>
      <c r="CV18" s="15" t="s">
        <v>451</v>
      </c>
      <c r="CW18" s="15" t="s">
        <v>1012</v>
      </c>
      <c r="CX18" s="15" t="s">
        <v>408</v>
      </c>
      <c r="CY18" s="15"/>
      <c r="CZ18" s="15" t="s">
        <v>453</v>
      </c>
      <c r="DA18" s="15" t="s">
        <v>1013</v>
      </c>
      <c r="DB18" s="15" t="s">
        <v>408</v>
      </c>
      <c r="DC18" s="15"/>
      <c r="DD18" s="15" t="s">
        <v>988</v>
      </c>
      <c r="DE18" s="15"/>
      <c r="DF18" s="15" t="s">
        <v>1014</v>
      </c>
      <c r="DG18" s="15" t="s">
        <v>524</v>
      </c>
      <c r="DH18" s="15" t="s">
        <v>410</v>
      </c>
      <c r="DI18" s="15" t="s">
        <v>459</v>
      </c>
      <c r="DJ18" s="15" t="s">
        <v>460</v>
      </c>
      <c r="DK18" s="15" t="s">
        <v>461</v>
      </c>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t="s">
        <v>478</v>
      </c>
      <c r="EU18" s="15" t="s">
        <v>479</v>
      </c>
      <c r="EV18" s="15" t="s">
        <v>480</v>
      </c>
      <c r="EW18" s="15" t="s">
        <v>1015</v>
      </c>
      <c r="EX18" s="15" t="s">
        <v>1016</v>
      </c>
      <c r="EY18" s="15" t="s">
        <v>1017</v>
      </c>
      <c r="EZ18" s="15" t="s">
        <v>413</v>
      </c>
      <c r="FA18" s="15" t="s">
        <v>413</v>
      </c>
      <c r="FB18" s="15" t="s">
        <v>413</v>
      </c>
      <c r="FC18" s="15" t="s">
        <v>413</v>
      </c>
      <c r="FD18" s="15" t="s">
        <v>415</v>
      </c>
      <c r="FE18" s="15" t="s">
        <v>413</v>
      </c>
      <c r="FF18" s="15" t="s">
        <v>413</v>
      </c>
      <c r="FG18" s="15" t="s">
        <v>413</v>
      </c>
      <c r="FH18" s="15" t="s">
        <v>413</v>
      </c>
      <c r="FI18" s="15" t="s">
        <v>413</v>
      </c>
      <c r="FJ18" s="15" t="s">
        <v>413</v>
      </c>
      <c r="FK18" s="15" t="s">
        <v>413</v>
      </c>
      <c r="FL18" s="15" t="s">
        <v>413</v>
      </c>
      <c r="FM18" s="15" t="s">
        <v>413</v>
      </c>
      <c r="FN18" s="15" t="s">
        <v>413</v>
      </c>
      <c r="FO18" s="15" t="s">
        <v>417</v>
      </c>
      <c r="FP18" s="15" t="s">
        <v>486</v>
      </c>
      <c r="FQ18" s="15" t="s">
        <v>712</v>
      </c>
      <c r="FR18" s="15" t="s">
        <v>1018</v>
      </c>
      <c r="FS18" s="15" t="s">
        <v>420</v>
      </c>
      <c r="FT18" s="15" t="s">
        <v>488</v>
      </c>
      <c r="FU18" s="15" t="s">
        <v>489</v>
      </c>
      <c r="FV18" s="15" t="s">
        <v>490</v>
      </c>
      <c r="FW18" s="15" t="s">
        <v>491</v>
      </c>
      <c r="FX18" s="15" t="s">
        <v>1019</v>
      </c>
      <c r="FY18" s="15" t="s">
        <v>1020</v>
      </c>
      <c r="FZ18" s="15" t="s">
        <v>1021</v>
      </c>
      <c r="GA18" s="15"/>
      <c r="GB18" s="15" t="s">
        <v>408</v>
      </c>
      <c r="GC18" s="15"/>
      <c r="GD18" s="15"/>
      <c r="GE18" s="15"/>
      <c r="GF18" s="15"/>
      <c r="GG18" s="15" t="s">
        <v>789</v>
      </c>
      <c r="GH18" s="15" t="s">
        <v>1000</v>
      </c>
      <c r="GI18" s="15" t="s">
        <v>817</v>
      </c>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31"/>
      <c r="MX18" s="29" t="s">
        <v>894</v>
      </c>
      <c r="MY18" s="29" t="str">
        <f>IFERROR(__xludf.DUMMYFUNCTION("""COMPUTED_VALUE"""),"British Columbia")</f>
        <v>British Columbia</v>
      </c>
    </row>
    <row r="19" ht="16.5" customHeight="1">
      <c r="A19" s="30">
        <v>45826.9650065625</v>
      </c>
      <c r="B19" s="15" t="s">
        <v>368</v>
      </c>
      <c r="C19" s="15" t="s">
        <v>894</v>
      </c>
      <c r="D19" s="15" t="s">
        <v>894</v>
      </c>
      <c r="E19" s="15"/>
      <c r="F19" s="15"/>
      <c r="G19" s="15" t="s">
        <v>422</v>
      </c>
      <c r="H19" s="15" t="s">
        <v>373</v>
      </c>
      <c r="I19" s="15" t="s">
        <v>1022</v>
      </c>
      <c r="J19" s="15" t="s">
        <v>1023</v>
      </c>
      <c r="K19" s="15" t="s">
        <v>376</v>
      </c>
      <c r="L19" s="15" t="s">
        <v>379</v>
      </c>
      <c r="M19" s="15" t="s">
        <v>860</v>
      </c>
      <c r="N19" s="15" t="s">
        <v>426</v>
      </c>
      <c r="O19" s="15" t="s">
        <v>1024</v>
      </c>
      <c r="P19" s="15" t="s">
        <v>498</v>
      </c>
      <c r="Q19" s="15" t="s">
        <v>759</v>
      </c>
      <c r="R19" s="15" t="s">
        <v>427</v>
      </c>
      <c r="S19" s="15" t="s">
        <v>384</v>
      </c>
      <c r="T19" s="15" t="s">
        <v>385</v>
      </c>
      <c r="U19" s="15" t="s">
        <v>1025</v>
      </c>
      <c r="V19" s="15" t="s">
        <v>1025</v>
      </c>
      <c r="W19" s="15" t="s">
        <v>428</v>
      </c>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t="s">
        <v>504</v>
      </c>
      <c r="AW19" s="15" t="s">
        <v>391</v>
      </c>
      <c r="AX19" s="15" t="s">
        <v>391</v>
      </c>
      <c r="AY19" s="15" t="s">
        <v>391</v>
      </c>
      <c r="AZ19" s="15">
        <v>2.0</v>
      </c>
      <c r="BA19" s="15" t="s">
        <v>429</v>
      </c>
      <c r="BB19" s="15">
        <v>2.0</v>
      </c>
      <c r="BC19" s="15" t="s">
        <v>1026</v>
      </c>
      <c r="BD19" s="15" t="s">
        <v>1027</v>
      </c>
      <c r="BE19" s="15" t="s">
        <v>432</v>
      </c>
      <c r="BF19" s="15" t="s">
        <v>433</v>
      </c>
      <c r="BG19" s="15" t="s">
        <v>678</v>
      </c>
      <c r="BH19" s="15" t="s">
        <v>1028</v>
      </c>
      <c r="BI19" s="15" t="s">
        <v>509</v>
      </c>
      <c r="BJ19" s="15" t="s">
        <v>1029</v>
      </c>
      <c r="BK19" s="15" t="s">
        <v>602</v>
      </c>
      <c r="BL19" s="15" t="s">
        <v>512</v>
      </c>
      <c r="BM19" s="15" t="s">
        <v>439</v>
      </c>
      <c r="BN19" s="15" t="s">
        <v>513</v>
      </c>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t="s">
        <v>441</v>
      </c>
      <c r="CM19" s="15" t="s">
        <v>604</v>
      </c>
      <c r="CN19" s="15" t="s">
        <v>1030</v>
      </c>
      <c r="CO19" s="15" t="s">
        <v>1031</v>
      </c>
      <c r="CP19" s="15" t="s">
        <v>979</v>
      </c>
      <c r="CQ19" s="15" t="s">
        <v>516</v>
      </c>
      <c r="CR19" s="15" t="s">
        <v>404</v>
      </c>
      <c r="CS19" s="15" t="s">
        <v>1032</v>
      </c>
      <c r="CT19" s="15" t="s">
        <v>1033</v>
      </c>
      <c r="CU19" s="15" t="s">
        <v>450</v>
      </c>
      <c r="CV19" s="15" t="s">
        <v>451</v>
      </c>
      <c r="CW19" s="15" t="s">
        <v>1034</v>
      </c>
      <c r="CX19" s="15" t="s">
        <v>408</v>
      </c>
      <c r="CY19" s="15"/>
      <c r="CZ19" s="15" t="s">
        <v>453</v>
      </c>
      <c r="DA19" s="15" t="s">
        <v>1035</v>
      </c>
      <c r="DB19" s="15" t="s">
        <v>913</v>
      </c>
      <c r="DC19" s="15"/>
      <c r="DD19" s="15" t="s">
        <v>457</v>
      </c>
      <c r="DE19" s="15"/>
      <c r="DF19" s="15" t="s">
        <v>1036</v>
      </c>
      <c r="DG19" s="15" t="s">
        <v>524</v>
      </c>
      <c r="DH19" s="15" t="s">
        <v>410</v>
      </c>
      <c r="DI19" s="15" t="s">
        <v>459</v>
      </c>
      <c r="DJ19" s="15" t="s">
        <v>613</v>
      </c>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t="s">
        <v>578</v>
      </c>
      <c r="EU19" s="15" t="s">
        <v>1037</v>
      </c>
      <c r="EV19" s="15" t="s">
        <v>580</v>
      </c>
      <c r="EW19" s="15"/>
      <c r="EX19" s="15" t="s">
        <v>1038</v>
      </c>
      <c r="EY19" s="15"/>
      <c r="EZ19" s="15" t="s">
        <v>415</v>
      </c>
      <c r="FA19" s="15" t="s">
        <v>415</v>
      </c>
      <c r="FB19" s="15" t="s">
        <v>413</v>
      </c>
      <c r="FC19" s="15" t="s">
        <v>413</v>
      </c>
      <c r="FD19" s="15" t="s">
        <v>413</v>
      </c>
      <c r="FE19" s="15" t="s">
        <v>415</v>
      </c>
      <c r="FF19" s="15" t="s">
        <v>413</v>
      </c>
      <c r="FG19" s="15" t="s">
        <v>415</v>
      </c>
      <c r="FH19" s="15" t="s">
        <v>413</v>
      </c>
      <c r="FI19" s="15" t="s">
        <v>416</v>
      </c>
      <c r="FJ19" s="15" t="s">
        <v>416</v>
      </c>
      <c r="FK19" s="15" t="s">
        <v>416</v>
      </c>
      <c r="FL19" s="15" t="s">
        <v>416</v>
      </c>
      <c r="FM19" s="15" t="s">
        <v>413</v>
      </c>
      <c r="FN19" s="15" t="s">
        <v>415</v>
      </c>
      <c r="FO19" s="15" t="s">
        <v>417</v>
      </c>
      <c r="FP19" s="15" t="s">
        <v>418</v>
      </c>
      <c r="FQ19" s="15" t="s">
        <v>1039</v>
      </c>
      <c r="FR19" s="15" t="s">
        <v>1040</v>
      </c>
      <c r="FS19" s="15" t="s">
        <v>420</v>
      </c>
      <c r="FT19" s="15" t="s">
        <v>488</v>
      </c>
      <c r="FU19" s="15" t="s">
        <v>585</v>
      </c>
      <c r="FV19" s="15" t="s">
        <v>490</v>
      </c>
      <c r="FW19" s="15" t="s">
        <v>491</v>
      </c>
      <c r="FX19" s="15" t="s">
        <v>1041</v>
      </c>
      <c r="FY19" s="15" t="s">
        <v>1020</v>
      </c>
      <c r="FZ19" s="15" t="s">
        <v>1042</v>
      </c>
      <c r="GA19" s="15" t="s">
        <v>1043</v>
      </c>
      <c r="GB19" s="15" t="s">
        <v>455</v>
      </c>
      <c r="GC19" s="15"/>
      <c r="GD19" s="15"/>
      <c r="GE19" s="15" t="s">
        <v>855</v>
      </c>
      <c r="GF19" s="15" t="s">
        <v>1044</v>
      </c>
      <c r="GG19" s="15" t="s">
        <v>755</v>
      </c>
      <c r="GH19" s="15" t="s">
        <v>755</v>
      </c>
      <c r="GI19" s="15" t="s">
        <v>817</v>
      </c>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31"/>
      <c r="MX19" s="29" t="s">
        <v>369</v>
      </c>
      <c r="MY19" s="29" t="str">
        <f>IFERROR(__xludf.DUMMYFUNCTION("""COMPUTED_VALUE"""),"Mexico")</f>
        <v>Mexico</v>
      </c>
    </row>
    <row r="20" ht="16.5" customHeight="1">
      <c r="A20" s="30">
        <v>45826.981307662034</v>
      </c>
      <c r="B20" s="15"/>
      <c r="C20" s="15" t="s">
        <v>369</v>
      </c>
      <c r="D20" s="15" t="s">
        <v>894</v>
      </c>
      <c r="E20" s="15"/>
      <c r="F20" s="15"/>
      <c r="G20" s="15" t="s">
        <v>422</v>
      </c>
      <c r="H20" s="15" t="s">
        <v>496</v>
      </c>
      <c r="I20" s="15" t="s">
        <v>374</v>
      </c>
      <c r="J20" s="15" t="s">
        <v>375</v>
      </c>
      <c r="K20" s="15" t="s">
        <v>376</v>
      </c>
      <c r="L20" s="15" t="s">
        <v>591</v>
      </c>
      <c r="M20" s="15" t="s">
        <v>639</v>
      </c>
      <c r="N20" s="15" t="s">
        <v>591</v>
      </c>
      <c r="O20" s="15" t="s">
        <v>719</v>
      </c>
      <c r="P20" s="15" t="s">
        <v>592</v>
      </c>
      <c r="Q20" s="15" t="s">
        <v>499</v>
      </c>
      <c r="R20" s="15" t="s">
        <v>427</v>
      </c>
      <c r="S20" s="15" t="s">
        <v>384</v>
      </c>
      <c r="T20" s="15" t="s">
        <v>385</v>
      </c>
      <c r="U20" s="15"/>
      <c r="V20" s="15" t="s">
        <v>1045</v>
      </c>
      <c r="W20" s="15" t="s">
        <v>428</v>
      </c>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t="s">
        <v>597</v>
      </c>
      <c r="AW20" s="15">
        <v>4.0</v>
      </c>
      <c r="AX20" s="15" t="s">
        <v>391</v>
      </c>
      <c r="AY20" s="15" t="s">
        <v>391</v>
      </c>
      <c r="AZ20" s="15" t="s">
        <v>391</v>
      </c>
      <c r="BA20" s="15" t="s">
        <v>391</v>
      </c>
      <c r="BB20" s="15" t="s">
        <v>391</v>
      </c>
      <c r="BC20" s="15" t="s">
        <v>1046</v>
      </c>
      <c r="BD20" s="15"/>
      <c r="BE20" s="15" t="s">
        <v>432</v>
      </c>
      <c r="BF20" s="15" t="s">
        <v>1047</v>
      </c>
      <c r="BG20" s="15" t="s">
        <v>434</v>
      </c>
      <c r="BH20" s="15" t="s">
        <v>1048</v>
      </c>
      <c r="BI20" s="15" t="s">
        <v>435</v>
      </c>
      <c r="BJ20" s="15"/>
      <c r="BK20" s="15" t="s">
        <v>437</v>
      </c>
      <c r="BL20" s="15" t="s">
        <v>904</v>
      </c>
      <c r="BM20" s="15" t="s">
        <v>549</v>
      </c>
      <c r="BN20" s="15" t="s">
        <v>440</v>
      </c>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t="s">
        <v>441</v>
      </c>
      <c r="CM20" s="15" t="s">
        <v>442</v>
      </c>
      <c r="CN20" s="15" t="s">
        <v>1049</v>
      </c>
      <c r="CO20" s="15" t="s">
        <v>1050</v>
      </c>
      <c r="CP20" s="15" t="s">
        <v>1008</v>
      </c>
      <c r="CQ20" s="15" t="s">
        <v>1051</v>
      </c>
      <c r="CR20" s="15" t="s">
        <v>804</v>
      </c>
      <c r="CS20" s="15" t="s">
        <v>1052</v>
      </c>
      <c r="CT20" s="15" t="s">
        <v>1053</v>
      </c>
      <c r="CU20" s="15" t="s">
        <v>450</v>
      </c>
      <c r="CV20" s="15" t="s">
        <v>451</v>
      </c>
      <c r="CW20" s="15" t="s">
        <v>1054</v>
      </c>
      <c r="CX20" s="15" t="s">
        <v>455</v>
      </c>
      <c r="CY20" s="15" t="s">
        <v>1055</v>
      </c>
      <c r="CZ20" s="15" t="s">
        <v>985</v>
      </c>
      <c r="DA20" s="15" t="s">
        <v>1056</v>
      </c>
      <c r="DB20" s="15" t="s">
        <v>455</v>
      </c>
      <c r="DC20" s="15" t="s">
        <v>1057</v>
      </c>
      <c r="DD20" s="15" t="s">
        <v>406</v>
      </c>
      <c r="DE20" s="15" t="s">
        <v>1058</v>
      </c>
      <c r="DF20" s="15" t="s">
        <v>1059</v>
      </c>
      <c r="DG20" s="15" t="s">
        <v>524</v>
      </c>
      <c r="DH20" s="15" t="s">
        <v>410</v>
      </c>
      <c r="DI20" s="15" t="s">
        <v>459</v>
      </c>
      <c r="DJ20" s="15" t="s">
        <v>460</v>
      </c>
      <c r="DK20" s="15" t="s">
        <v>563</v>
      </c>
      <c r="DL20" s="15" t="s">
        <v>1060</v>
      </c>
      <c r="DM20" s="15" t="s">
        <v>1061</v>
      </c>
      <c r="DN20" s="15" t="s">
        <v>1062</v>
      </c>
      <c r="DO20" s="15" t="s">
        <v>1063</v>
      </c>
      <c r="DP20" s="15" t="s">
        <v>1064</v>
      </c>
      <c r="DQ20" s="15" t="s">
        <v>700</v>
      </c>
      <c r="DR20" s="15" t="s">
        <v>1065</v>
      </c>
      <c r="DS20" s="15" t="s">
        <v>702</v>
      </c>
      <c r="DT20" s="15" t="s">
        <v>570</v>
      </c>
      <c r="DU20" s="15" t="s">
        <v>1066</v>
      </c>
      <c r="DV20" s="15" t="s">
        <v>1067</v>
      </c>
      <c r="DW20" s="15" t="s">
        <v>622</v>
      </c>
      <c r="DX20" s="15" t="s">
        <v>1068</v>
      </c>
      <c r="DY20" s="15" t="s">
        <v>1069</v>
      </c>
      <c r="DZ20" s="15" t="s">
        <v>1070</v>
      </c>
      <c r="EA20" s="15" t="s">
        <v>475</v>
      </c>
      <c r="EB20" s="15" t="s">
        <v>626</v>
      </c>
      <c r="EC20" s="15"/>
      <c r="ED20" s="15"/>
      <c r="EE20" s="15"/>
      <c r="EF20" s="15"/>
      <c r="EG20" s="15"/>
      <c r="EH20" s="15"/>
      <c r="EI20" s="15"/>
      <c r="EJ20" s="15"/>
      <c r="EK20" s="15"/>
      <c r="EL20" s="15"/>
      <c r="EM20" s="15"/>
      <c r="EN20" s="15"/>
      <c r="EO20" s="15"/>
      <c r="EP20" s="15"/>
      <c r="EQ20" s="15"/>
      <c r="ER20" s="15"/>
      <c r="ES20" s="15"/>
      <c r="ET20" s="15" t="s">
        <v>578</v>
      </c>
      <c r="EU20" s="15" t="s">
        <v>887</v>
      </c>
      <c r="EV20" s="15" t="s">
        <v>480</v>
      </c>
      <c r="EW20" s="15" t="s">
        <v>1071</v>
      </c>
      <c r="EX20" s="15" t="s">
        <v>1072</v>
      </c>
      <c r="EY20" s="15" t="s">
        <v>1073</v>
      </c>
      <c r="EZ20" s="15" t="s">
        <v>583</v>
      </c>
      <c r="FA20" s="15" t="s">
        <v>583</v>
      </c>
      <c r="FB20" s="15" t="s">
        <v>416</v>
      </c>
      <c r="FC20" s="15" t="s">
        <v>583</v>
      </c>
      <c r="FD20" s="15" t="s">
        <v>413</v>
      </c>
      <c r="FE20" s="15" t="s">
        <v>583</v>
      </c>
      <c r="FF20" s="15" t="s">
        <v>583</v>
      </c>
      <c r="FG20" s="15" t="s">
        <v>583</v>
      </c>
      <c r="FH20" s="15" t="s">
        <v>415</v>
      </c>
      <c r="FI20" s="15" t="s">
        <v>414</v>
      </c>
      <c r="FJ20" s="15" t="s">
        <v>583</v>
      </c>
      <c r="FK20" s="15" t="s">
        <v>414</v>
      </c>
      <c r="FL20" s="15" t="s">
        <v>583</v>
      </c>
      <c r="FM20" s="15" t="s">
        <v>416</v>
      </c>
      <c r="FN20" s="15" t="s">
        <v>583</v>
      </c>
      <c r="FO20" s="15" t="s">
        <v>1074</v>
      </c>
      <c r="FP20" s="15" t="s">
        <v>418</v>
      </c>
      <c r="FQ20" s="15" t="s">
        <v>419</v>
      </c>
      <c r="FR20" s="15" t="s">
        <v>1075</v>
      </c>
      <c r="FS20" s="15" t="s">
        <v>1076</v>
      </c>
      <c r="FT20" s="15" t="s">
        <v>488</v>
      </c>
      <c r="FU20" s="15" t="s">
        <v>918</v>
      </c>
      <c r="FV20" s="15" t="s">
        <v>490</v>
      </c>
      <c r="FW20" s="15" t="s">
        <v>491</v>
      </c>
      <c r="FX20" s="15" t="s">
        <v>1077</v>
      </c>
      <c r="FY20" s="15" t="s">
        <v>493</v>
      </c>
      <c r="FZ20" s="15"/>
      <c r="GA20" s="15" t="s">
        <v>1078</v>
      </c>
      <c r="GB20" s="15" t="s">
        <v>408</v>
      </c>
      <c r="GC20" s="15"/>
      <c r="GD20" s="15"/>
      <c r="GE20" s="15"/>
      <c r="GF20" s="15"/>
      <c r="GG20" s="15" t="s">
        <v>755</v>
      </c>
      <c r="GH20" s="15" t="s">
        <v>755</v>
      </c>
      <c r="GI20" s="15" t="s">
        <v>946</v>
      </c>
      <c r="GJ20" s="15"/>
      <c r="GK20" s="15"/>
      <c r="GL20" s="15"/>
      <c r="GM20" s="15" t="s">
        <v>1079</v>
      </c>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31"/>
      <c r="MX20" s="29" t="s">
        <v>10402</v>
      </c>
      <c r="MY20" s="29" t="str">
        <f>IFERROR(__xludf.DUMMYFUNCTION("""COMPUTED_VALUE"""),"")</f>
        <v/>
      </c>
    </row>
    <row r="21" ht="16.5" customHeight="1">
      <c r="A21" s="30">
        <v>45826.999987523144</v>
      </c>
      <c r="B21" s="15" t="s">
        <v>368</v>
      </c>
      <c r="C21" s="15" t="s">
        <v>538</v>
      </c>
      <c r="D21" s="15" t="s">
        <v>538</v>
      </c>
      <c r="E21" s="15" t="s">
        <v>1023</v>
      </c>
      <c r="F21" s="15"/>
      <c r="G21" s="15" t="s">
        <v>422</v>
      </c>
      <c r="H21" s="15" t="s">
        <v>539</v>
      </c>
      <c r="I21" s="15" t="s">
        <v>374</v>
      </c>
      <c r="J21" s="15" t="s">
        <v>375</v>
      </c>
      <c r="K21" s="15" t="s">
        <v>376</v>
      </c>
      <c r="L21" s="15" t="s">
        <v>379</v>
      </c>
      <c r="M21" s="15" t="s">
        <v>378</v>
      </c>
      <c r="N21" s="15" t="s">
        <v>379</v>
      </c>
      <c r="O21" s="15" t="s">
        <v>380</v>
      </c>
      <c r="P21" s="15" t="s">
        <v>498</v>
      </c>
      <c r="Q21" s="15" t="s">
        <v>499</v>
      </c>
      <c r="R21" s="15" t="s">
        <v>500</v>
      </c>
      <c r="S21" s="15" t="s">
        <v>384</v>
      </c>
      <c r="T21" s="15" t="s">
        <v>385</v>
      </c>
      <c r="U21" s="15"/>
      <c r="V21" s="15"/>
      <c r="W21" s="15" t="s">
        <v>386</v>
      </c>
      <c r="X21" s="15" t="s">
        <v>387</v>
      </c>
      <c r="Y21" s="15" t="s">
        <v>594</v>
      </c>
      <c r="Z21" s="15"/>
      <c r="AA21" s="15"/>
      <c r="AB21" s="15"/>
      <c r="AC21" s="15"/>
      <c r="AD21" s="15"/>
      <c r="AE21" s="15"/>
      <c r="AF21" s="15"/>
      <c r="AG21" s="15"/>
      <c r="AH21" s="15"/>
      <c r="AI21" s="15"/>
      <c r="AJ21" s="15"/>
      <c r="AK21" s="15"/>
      <c r="AL21" s="15"/>
      <c r="AM21" s="15"/>
      <c r="AN21" s="15"/>
      <c r="AO21" s="15"/>
      <c r="AP21" s="15"/>
      <c r="AQ21" s="15"/>
      <c r="AR21" s="15"/>
      <c r="AS21" s="15"/>
      <c r="AT21" s="15"/>
      <c r="AU21" s="15"/>
      <c r="AV21" s="15" t="s">
        <v>504</v>
      </c>
      <c r="AW21" s="15" t="s">
        <v>429</v>
      </c>
      <c r="AX21" s="15" t="s">
        <v>429</v>
      </c>
      <c r="AY21" s="15" t="s">
        <v>429</v>
      </c>
      <c r="AZ21" s="15">
        <v>2.0</v>
      </c>
      <c r="BA21" s="15">
        <v>2.0</v>
      </c>
      <c r="BB21" s="15">
        <v>2.0</v>
      </c>
      <c r="BC21" s="15" t="s">
        <v>1080</v>
      </c>
      <c r="BD21" s="15" t="s">
        <v>1081</v>
      </c>
      <c r="BE21" s="15" t="s">
        <v>392</v>
      </c>
      <c r="BF21" s="15" t="s">
        <v>433</v>
      </c>
      <c r="BG21" s="15" t="s">
        <v>765</v>
      </c>
      <c r="BH21" s="15"/>
      <c r="BI21" s="15" t="s">
        <v>509</v>
      </c>
      <c r="BJ21" s="15" t="s">
        <v>1082</v>
      </c>
      <c r="BK21" s="15" t="s">
        <v>681</v>
      </c>
      <c r="BL21" s="15"/>
      <c r="BM21" s="15" t="s">
        <v>439</v>
      </c>
      <c r="BN21" s="15" t="s">
        <v>513</v>
      </c>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t="s">
        <v>682</v>
      </c>
      <c r="CM21" s="15" t="s">
        <v>401</v>
      </c>
      <c r="CN21" s="15" t="s">
        <v>1083</v>
      </c>
      <c r="CO21" s="15" t="s">
        <v>1084</v>
      </c>
      <c r="CP21" s="15" t="s">
        <v>685</v>
      </c>
      <c r="CQ21" s="15" t="s">
        <v>1085</v>
      </c>
      <c r="CR21" s="15" t="s">
        <v>404</v>
      </c>
      <c r="CS21" s="15"/>
      <c r="CT21" s="15" t="s">
        <v>1086</v>
      </c>
      <c r="CU21" s="15" t="s">
        <v>450</v>
      </c>
      <c r="CV21" s="15" t="s">
        <v>959</v>
      </c>
      <c r="CW21" s="15"/>
      <c r="CX21" s="15" t="s">
        <v>408</v>
      </c>
      <c r="CY21" s="15"/>
      <c r="CZ21" s="15" t="s">
        <v>453</v>
      </c>
      <c r="DA21" s="15" t="s">
        <v>1087</v>
      </c>
      <c r="DB21" s="15" t="s">
        <v>408</v>
      </c>
      <c r="DC21" s="15"/>
      <c r="DD21" s="15" t="s">
        <v>406</v>
      </c>
      <c r="DE21" s="15" t="s">
        <v>1058</v>
      </c>
      <c r="DF21" s="15" t="s">
        <v>1088</v>
      </c>
      <c r="DG21" s="15" t="s">
        <v>776</v>
      </c>
      <c r="DH21" s="15" t="s">
        <v>410</v>
      </c>
      <c r="DI21" s="15" t="s">
        <v>963</v>
      </c>
      <c r="DJ21" s="15" t="s">
        <v>460</v>
      </c>
      <c r="DK21" s="15" t="s">
        <v>461</v>
      </c>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t="s">
        <v>526</v>
      </c>
      <c r="EU21" s="15" t="s">
        <v>1037</v>
      </c>
      <c r="EV21" s="15" t="s">
        <v>580</v>
      </c>
      <c r="EW21" s="15"/>
      <c r="EX21" s="15"/>
      <c r="EY21" s="15"/>
      <c r="EZ21" s="15"/>
      <c r="FA21" s="15"/>
      <c r="FB21" s="15"/>
      <c r="FC21" s="15"/>
      <c r="FD21" s="15"/>
      <c r="FE21" s="15"/>
      <c r="FF21" s="15"/>
      <c r="FG21" s="15"/>
      <c r="FH21" s="15"/>
      <c r="FI21" s="15"/>
      <c r="FJ21" s="15"/>
      <c r="FK21" s="15"/>
      <c r="FL21" s="15"/>
      <c r="FM21" s="15"/>
      <c r="FN21" s="15"/>
      <c r="FO21" s="15" t="s">
        <v>417</v>
      </c>
      <c r="FP21" s="15" t="s">
        <v>418</v>
      </c>
      <c r="FQ21" s="15" t="s">
        <v>712</v>
      </c>
      <c r="FR21" s="15" t="s">
        <v>1089</v>
      </c>
      <c r="FS21" s="15" t="s">
        <v>420</v>
      </c>
      <c r="FT21" s="15" t="s">
        <v>488</v>
      </c>
      <c r="FU21" s="15" t="s">
        <v>585</v>
      </c>
      <c r="FV21" s="15" t="s">
        <v>490</v>
      </c>
      <c r="FW21" s="15" t="s">
        <v>491</v>
      </c>
      <c r="FX21" s="15" t="s">
        <v>1090</v>
      </c>
      <c r="FY21" s="15" t="s">
        <v>535</v>
      </c>
      <c r="FZ21" s="15"/>
      <c r="GA21" s="15"/>
      <c r="GB21" s="15" t="s">
        <v>455</v>
      </c>
      <c r="GC21" s="15"/>
      <c r="GD21" s="15"/>
      <c r="GE21" s="15" t="s">
        <v>753</v>
      </c>
      <c r="GF21" s="15" t="s">
        <v>1091</v>
      </c>
      <c r="GG21" s="15" t="s">
        <v>755</v>
      </c>
      <c r="GH21" s="15" t="s">
        <v>755</v>
      </c>
      <c r="GI21" s="15" t="s">
        <v>946</v>
      </c>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31"/>
      <c r="MX21" s="29" t="s">
        <v>1092</v>
      </c>
      <c r="MY21" s="29" t="str">
        <f>IFERROR(__xludf.DUMMYFUNCTION("""COMPUTED_VALUE"""),"Korea, South (Republic of Korea)")</f>
        <v>Korea, South (Republic of Korea)</v>
      </c>
    </row>
    <row r="22" ht="16.5" customHeight="1">
      <c r="A22" s="30">
        <v>45827.03329590277</v>
      </c>
      <c r="B22" s="15" t="s">
        <v>368</v>
      </c>
      <c r="C22" s="15" t="s">
        <v>1092</v>
      </c>
      <c r="D22" s="15" t="s">
        <v>1092</v>
      </c>
      <c r="E22" s="15"/>
      <c r="F22" s="15"/>
      <c r="G22" s="15" t="s">
        <v>1093</v>
      </c>
      <c r="H22" s="15" t="s">
        <v>373</v>
      </c>
      <c r="I22" s="15" t="s">
        <v>374</v>
      </c>
      <c r="J22" s="15" t="s">
        <v>718</v>
      </c>
      <c r="K22" s="15" t="s">
        <v>376</v>
      </c>
      <c r="L22" s="15" t="s">
        <v>591</v>
      </c>
      <c r="M22" s="15" t="s">
        <v>378</v>
      </c>
      <c r="N22" s="15" t="s">
        <v>591</v>
      </c>
      <c r="O22" s="15" t="s">
        <v>639</v>
      </c>
      <c r="P22" s="15" t="s">
        <v>498</v>
      </c>
      <c r="Q22" s="15" t="s">
        <v>382</v>
      </c>
      <c r="R22" s="15" t="s">
        <v>500</v>
      </c>
      <c r="S22" s="15" t="s">
        <v>384</v>
      </c>
      <c r="T22" s="15" t="s">
        <v>385</v>
      </c>
      <c r="U22" s="15"/>
      <c r="V22" s="15"/>
      <c r="W22" s="15" t="s">
        <v>428</v>
      </c>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t="s">
        <v>390</v>
      </c>
      <c r="AW22" s="15" t="s">
        <v>391</v>
      </c>
      <c r="AX22" s="15" t="s">
        <v>391</v>
      </c>
      <c r="AY22" s="15">
        <v>2.0</v>
      </c>
      <c r="AZ22" s="15">
        <v>2.0</v>
      </c>
      <c r="BA22" s="15">
        <v>2.0</v>
      </c>
      <c r="BB22" s="15">
        <v>2.0</v>
      </c>
      <c r="BC22" s="15"/>
      <c r="BD22" s="15"/>
      <c r="BE22" s="15" t="s">
        <v>1094</v>
      </c>
      <c r="BF22" s="15" t="s">
        <v>1095</v>
      </c>
      <c r="BG22" s="15" t="s">
        <v>725</v>
      </c>
      <c r="BH22" s="15"/>
      <c r="BI22" s="15"/>
      <c r="BJ22" s="15"/>
      <c r="BK22" s="15" t="s">
        <v>437</v>
      </c>
      <c r="BL22" s="15"/>
      <c r="BM22" s="15" t="s">
        <v>549</v>
      </c>
      <c r="BN22" s="15" t="s">
        <v>440</v>
      </c>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t="s">
        <v>550</v>
      </c>
      <c r="CM22" s="15" t="s">
        <v>551</v>
      </c>
      <c r="CN22" s="15"/>
      <c r="CO22" s="15"/>
      <c r="CP22" s="15" t="s">
        <v>445</v>
      </c>
      <c r="CQ22" s="15" t="s">
        <v>1096</v>
      </c>
      <c r="CR22" s="15" t="s">
        <v>555</v>
      </c>
      <c r="CS22" s="15" t="s">
        <v>1097</v>
      </c>
      <c r="CT22" s="15"/>
      <c r="CU22" s="15" t="s">
        <v>450</v>
      </c>
      <c r="CV22" s="15" t="s">
        <v>959</v>
      </c>
      <c r="CW22" s="15"/>
      <c r="CX22" s="15" t="s">
        <v>408</v>
      </c>
      <c r="CY22" s="15"/>
      <c r="CZ22" s="15" t="s">
        <v>453</v>
      </c>
      <c r="DA22" s="15"/>
      <c r="DB22" s="15" t="s">
        <v>455</v>
      </c>
      <c r="DC22" s="15"/>
      <c r="DD22" s="15" t="s">
        <v>406</v>
      </c>
      <c r="DE22" s="15" t="s">
        <v>407</v>
      </c>
      <c r="DF22" s="15"/>
      <c r="DG22" s="15" t="s">
        <v>524</v>
      </c>
      <c r="DH22" s="15" t="s">
        <v>410</v>
      </c>
      <c r="DI22" s="15" t="s">
        <v>459</v>
      </c>
      <c r="DJ22" s="15" t="s">
        <v>613</v>
      </c>
      <c r="DK22" s="15"/>
      <c r="DL22" s="15"/>
      <c r="DM22" s="15" t="s">
        <v>1098</v>
      </c>
      <c r="DN22" s="15" t="s">
        <v>1099</v>
      </c>
      <c r="DO22" s="15" t="s">
        <v>567</v>
      </c>
      <c r="DP22" s="15" t="s">
        <v>1100</v>
      </c>
      <c r="DQ22" s="15" t="s">
        <v>837</v>
      </c>
      <c r="DR22" s="15"/>
      <c r="DS22" s="15" t="s">
        <v>618</v>
      </c>
      <c r="DT22" s="15" t="s">
        <v>740</v>
      </c>
      <c r="DU22" s="15"/>
      <c r="DV22" s="15"/>
      <c r="DW22" s="15" t="s">
        <v>573</v>
      </c>
      <c r="DX22" s="15"/>
      <c r="DY22" s="15"/>
      <c r="DZ22" s="15"/>
      <c r="EA22" s="15" t="s">
        <v>475</v>
      </c>
      <c r="EB22" s="15" t="s">
        <v>626</v>
      </c>
      <c r="EC22" s="15"/>
      <c r="ED22" s="15"/>
      <c r="EE22" s="15"/>
      <c r="EF22" s="15"/>
      <c r="EG22" s="15"/>
      <c r="EH22" s="15"/>
      <c r="EI22" s="15"/>
      <c r="EJ22" s="15"/>
      <c r="EK22" s="15"/>
      <c r="EL22" s="15"/>
      <c r="EM22" s="15"/>
      <c r="EN22" s="15"/>
      <c r="EO22" s="15"/>
      <c r="EP22" s="15"/>
      <c r="EQ22" s="15"/>
      <c r="ER22" s="15"/>
      <c r="ES22" s="15"/>
      <c r="ET22" s="15" t="s">
        <v>526</v>
      </c>
      <c r="EU22" s="15" t="s">
        <v>579</v>
      </c>
      <c r="EV22" s="15" t="s">
        <v>527</v>
      </c>
      <c r="EW22" s="15"/>
      <c r="EX22" s="15"/>
      <c r="EY22" s="15"/>
      <c r="EZ22" s="15" t="s">
        <v>413</v>
      </c>
      <c r="FA22" s="15" t="s">
        <v>414</v>
      </c>
      <c r="FB22" s="15" t="s">
        <v>413</v>
      </c>
      <c r="FC22" s="15" t="s">
        <v>413</v>
      </c>
      <c r="FD22" s="15" t="s">
        <v>413</v>
      </c>
      <c r="FE22" s="15" t="s">
        <v>415</v>
      </c>
      <c r="FF22" s="15" t="s">
        <v>583</v>
      </c>
      <c r="FG22" s="15" t="s">
        <v>413</v>
      </c>
      <c r="FH22" s="15" t="s">
        <v>583</v>
      </c>
      <c r="FI22" s="15" t="s">
        <v>416</v>
      </c>
      <c r="FJ22" s="15" t="s">
        <v>415</v>
      </c>
      <c r="FK22" s="15" t="s">
        <v>413</v>
      </c>
      <c r="FL22" s="15" t="s">
        <v>413</v>
      </c>
      <c r="FM22" s="15" t="s">
        <v>413</v>
      </c>
      <c r="FN22" s="15" t="s">
        <v>583</v>
      </c>
      <c r="FO22" s="15" t="s">
        <v>485</v>
      </c>
      <c r="FP22" s="15" t="s">
        <v>486</v>
      </c>
      <c r="FQ22" s="15" t="s">
        <v>712</v>
      </c>
      <c r="FR22" s="15"/>
      <c r="FS22" s="15" t="s">
        <v>420</v>
      </c>
      <c r="FT22" s="15" t="s">
        <v>488</v>
      </c>
      <c r="FU22" s="15" t="s">
        <v>918</v>
      </c>
      <c r="FV22" s="15" t="s">
        <v>1101</v>
      </c>
      <c r="FW22" s="15" t="s">
        <v>491</v>
      </c>
      <c r="FX22" s="15"/>
      <c r="FY22" s="15" t="s">
        <v>493</v>
      </c>
      <c r="FZ22" s="15"/>
      <c r="GA22" s="15"/>
      <c r="GB22" s="15" t="s">
        <v>408</v>
      </c>
      <c r="GC22" s="15"/>
      <c r="GD22" s="15"/>
      <c r="GE22" s="15"/>
      <c r="GF22" s="15"/>
      <c r="GG22" s="15" t="s">
        <v>755</v>
      </c>
      <c r="GH22" s="15" t="s">
        <v>755</v>
      </c>
      <c r="GI22" s="15" t="s">
        <v>946</v>
      </c>
      <c r="GJ22" s="15"/>
      <c r="GK22" s="15"/>
      <c r="GL22" s="15"/>
      <c r="GM22" s="15" t="s">
        <v>1079</v>
      </c>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31"/>
      <c r="MX22" s="29" t="s">
        <v>10402</v>
      </c>
      <c r="MY22" s="29" t="str">
        <f>IFERROR(__xludf.DUMMYFUNCTION("""COMPUTED_VALUE"""),"California")</f>
        <v>California</v>
      </c>
    </row>
    <row r="23" ht="16.5" customHeight="1">
      <c r="A23" s="30">
        <v>45827.04287230324</v>
      </c>
      <c r="B23" s="15" t="s">
        <v>368</v>
      </c>
      <c r="C23" s="15" t="s">
        <v>370</v>
      </c>
      <c r="D23" s="15"/>
      <c r="E23" s="15" t="s">
        <v>371</v>
      </c>
      <c r="F23" s="15"/>
      <c r="G23" s="15" t="s">
        <v>1102</v>
      </c>
      <c r="H23" s="15" t="s">
        <v>373</v>
      </c>
      <c r="I23" s="15" t="s">
        <v>638</v>
      </c>
      <c r="J23" s="15" t="s">
        <v>425</v>
      </c>
      <c r="K23" s="15" t="s">
        <v>376</v>
      </c>
      <c r="L23" s="15" t="s">
        <v>426</v>
      </c>
      <c r="M23" s="15" t="s">
        <v>1103</v>
      </c>
      <c r="N23" s="15" t="s">
        <v>426</v>
      </c>
      <c r="O23" s="15" t="s">
        <v>1104</v>
      </c>
      <c r="P23" s="15" t="s">
        <v>498</v>
      </c>
      <c r="Q23" s="15" t="s">
        <v>862</v>
      </c>
      <c r="R23" s="15" t="s">
        <v>949</v>
      </c>
      <c r="S23" s="15" t="s">
        <v>384</v>
      </c>
      <c r="T23" s="15" t="s">
        <v>385</v>
      </c>
      <c r="U23" s="15"/>
      <c r="V23" s="15"/>
      <c r="W23" s="15" t="s">
        <v>760</v>
      </c>
      <c r="X23" s="15" t="s">
        <v>387</v>
      </c>
      <c r="Y23" s="15" t="s">
        <v>388</v>
      </c>
      <c r="Z23" s="15" t="s">
        <v>543</v>
      </c>
      <c r="AA23" s="15" t="s">
        <v>408</v>
      </c>
      <c r="AB23" s="15" t="s">
        <v>1105</v>
      </c>
      <c r="AC23" s="15"/>
      <c r="AD23" s="15"/>
      <c r="AE23" s="15"/>
      <c r="AF23" s="15"/>
      <c r="AG23" s="15"/>
      <c r="AH23" s="15"/>
      <c r="AI23" s="15"/>
      <c r="AJ23" s="15"/>
      <c r="AK23" s="15"/>
      <c r="AL23" s="15"/>
      <c r="AM23" s="15"/>
      <c r="AN23" s="15"/>
      <c r="AO23" s="15"/>
      <c r="AP23" s="15"/>
      <c r="AQ23" s="15"/>
      <c r="AR23" s="15"/>
      <c r="AS23" s="15"/>
      <c r="AT23" s="15"/>
      <c r="AU23" s="15"/>
      <c r="AV23" s="15" t="s">
        <v>597</v>
      </c>
      <c r="AW23" s="15" t="s">
        <v>391</v>
      </c>
      <c r="AX23" s="15" t="s">
        <v>391</v>
      </c>
      <c r="AY23" s="15">
        <v>2.0</v>
      </c>
      <c r="AZ23" s="15" t="s">
        <v>429</v>
      </c>
      <c r="BA23" s="15">
        <v>4.0</v>
      </c>
      <c r="BB23" s="15">
        <v>2.0</v>
      </c>
      <c r="BC23" s="15" t="s">
        <v>1106</v>
      </c>
      <c r="BD23" s="15" t="s">
        <v>1107</v>
      </c>
      <c r="BE23" s="15" t="s">
        <v>902</v>
      </c>
      <c r="BF23" s="15" t="s">
        <v>393</v>
      </c>
      <c r="BG23" s="15" t="s">
        <v>725</v>
      </c>
      <c r="BH23" s="15" t="s">
        <v>1108</v>
      </c>
      <c r="BI23" s="15" t="s">
        <v>509</v>
      </c>
      <c r="BJ23" s="15" t="s">
        <v>1109</v>
      </c>
      <c r="BK23" s="15" t="s">
        <v>602</v>
      </c>
      <c r="BL23" s="15" t="s">
        <v>438</v>
      </c>
      <c r="BM23" s="15" t="s">
        <v>549</v>
      </c>
      <c r="BN23" s="15" t="s">
        <v>440</v>
      </c>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t="s">
        <v>441</v>
      </c>
      <c r="CM23" s="15" t="s">
        <v>604</v>
      </c>
      <c r="CN23" s="15" t="s">
        <v>1110</v>
      </c>
      <c r="CO23" s="15" t="s">
        <v>1111</v>
      </c>
      <c r="CP23" s="15" t="s">
        <v>979</v>
      </c>
      <c r="CQ23" s="15" t="s">
        <v>1112</v>
      </c>
      <c r="CR23" s="15" t="s">
        <v>804</v>
      </c>
      <c r="CS23" s="15" t="s">
        <v>1113</v>
      </c>
      <c r="CT23" s="15" t="s">
        <v>1114</v>
      </c>
      <c r="CU23" s="15" t="s">
        <v>519</v>
      </c>
      <c r="CV23" s="15" t="s">
        <v>451</v>
      </c>
      <c r="CW23" s="15" t="s">
        <v>1115</v>
      </c>
      <c r="CX23" s="15" t="s">
        <v>408</v>
      </c>
      <c r="CY23" s="15"/>
      <c r="CZ23" s="15" t="s">
        <v>453</v>
      </c>
      <c r="DA23" s="15" t="s">
        <v>1116</v>
      </c>
      <c r="DB23" s="15" t="s">
        <v>455</v>
      </c>
      <c r="DC23" s="15" t="s">
        <v>1117</v>
      </c>
      <c r="DD23" s="15" t="s">
        <v>662</v>
      </c>
      <c r="DE23" s="15"/>
      <c r="DF23" s="15" t="s">
        <v>1118</v>
      </c>
      <c r="DG23" s="15" t="s">
        <v>561</v>
      </c>
      <c r="DH23" s="15" t="s">
        <v>410</v>
      </c>
      <c r="DI23" s="15" t="s">
        <v>459</v>
      </c>
      <c r="DJ23" s="15" t="s">
        <v>460</v>
      </c>
      <c r="DK23" s="15" t="s">
        <v>461</v>
      </c>
      <c r="DL23" s="15"/>
      <c r="DM23" s="15" t="s">
        <v>1119</v>
      </c>
      <c r="DN23" s="15" t="s">
        <v>1120</v>
      </c>
      <c r="DO23" s="15" t="s">
        <v>567</v>
      </c>
      <c r="DP23" s="15"/>
      <c r="DQ23" s="15" t="s">
        <v>700</v>
      </c>
      <c r="DR23" s="15" t="s">
        <v>1121</v>
      </c>
      <c r="DS23" s="15" t="s">
        <v>618</v>
      </c>
      <c r="DT23" s="15"/>
      <c r="DU23" s="15" t="s">
        <v>742</v>
      </c>
      <c r="DV23" s="15" t="s">
        <v>1122</v>
      </c>
      <c r="DW23" s="15" t="s">
        <v>573</v>
      </c>
      <c r="DX23" s="15" t="s">
        <v>1123</v>
      </c>
      <c r="DY23" s="15" t="s">
        <v>1124</v>
      </c>
      <c r="DZ23" s="15" t="s">
        <v>1125</v>
      </c>
      <c r="EA23" s="15" t="s">
        <v>475</v>
      </c>
      <c r="EB23" s="15" t="s">
        <v>845</v>
      </c>
      <c r="EC23" s="15" t="s">
        <v>1126</v>
      </c>
      <c r="ED23" s="15"/>
      <c r="EE23" s="15"/>
      <c r="EF23" s="15"/>
      <c r="EG23" s="15"/>
      <c r="EH23" s="15"/>
      <c r="EI23" s="15"/>
      <c r="EJ23" s="15"/>
      <c r="EK23" s="15"/>
      <c r="EL23" s="15"/>
      <c r="EM23" s="15"/>
      <c r="EN23" s="15"/>
      <c r="EO23" s="15"/>
      <c r="EP23" s="15"/>
      <c r="EQ23" s="15"/>
      <c r="ER23" s="15"/>
      <c r="ES23" s="15"/>
      <c r="ET23" s="15" t="s">
        <v>526</v>
      </c>
      <c r="EU23" s="15" t="s">
        <v>1127</v>
      </c>
      <c r="EV23" s="15" t="s">
        <v>527</v>
      </c>
      <c r="EW23" s="15" t="s">
        <v>1128</v>
      </c>
      <c r="EX23" s="15" t="s">
        <v>1129</v>
      </c>
      <c r="EY23" s="15" t="s">
        <v>1130</v>
      </c>
      <c r="EZ23" s="15" t="s">
        <v>413</v>
      </c>
      <c r="FA23" s="15" t="s">
        <v>416</v>
      </c>
      <c r="FB23" s="15" t="s">
        <v>413</v>
      </c>
      <c r="FC23" s="15" t="s">
        <v>413</v>
      </c>
      <c r="FD23" s="15" t="s">
        <v>413</v>
      </c>
      <c r="FE23" s="15" t="s">
        <v>415</v>
      </c>
      <c r="FF23" s="15" t="s">
        <v>413</v>
      </c>
      <c r="FG23" s="15" t="s">
        <v>416</v>
      </c>
      <c r="FH23" s="15" t="s">
        <v>583</v>
      </c>
      <c r="FI23" s="15" t="s">
        <v>416</v>
      </c>
      <c r="FJ23" s="15" t="s">
        <v>416</v>
      </c>
      <c r="FK23" s="15" t="s">
        <v>416</v>
      </c>
      <c r="FL23" s="15" t="s">
        <v>415</v>
      </c>
      <c r="FM23" s="15" t="s">
        <v>415</v>
      </c>
      <c r="FN23" s="15" t="s">
        <v>583</v>
      </c>
      <c r="FO23" s="15" t="s">
        <v>485</v>
      </c>
      <c r="FP23" s="15" t="s">
        <v>418</v>
      </c>
      <c r="FQ23" s="15" t="s">
        <v>531</v>
      </c>
      <c r="FR23" s="15" t="s">
        <v>1131</v>
      </c>
      <c r="FS23" s="15" t="s">
        <v>420</v>
      </c>
      <c r="FT23" s="15" t="s">
        <v>488</v>
      </c>
      <c r="FU23" s="15" t="s">
        <v>489</v>
      </c>
      <c r="FV23" s="15" t="s">
        <v>490</v>
      </c>
      <c r="FW23" s="15" t="s">
        <v>491</v>
      </c>
      <c r="FX23" s="15" t="s">
        <v>1132</v>
      </c>
      <c r="FY23" s="15" t="s">
        <v>493</v>
      </c>
      <c r="FZ23" s="15" t="s">
        <v>1133</v>
      </c>
      <c r="GA23" s="15"/>
      <c r="GB23" s="15" t="s">
        <v>455</v>
      </c>
      <c r="GC23" s="15"/>
      <c r="GD23" s="15"/>
      <c r="GE23" s="15" t="s">
        <v>753</v>
      </c>
      <c r="GF23" s="15" t="s">
        <v>1134</v>
      </c>
      <c r="GG23" s="15" t="s">
        <v>755</v>
      </c>
      <c r="GH23" s="15" t="s">
        <v>755</v>
      </c>
      <c r="GI23" s="15" t="s">
        <v>817</v>
      </c>
      <c r="GJ23" s="15"/>
      <c r="GK23" s="15"/>
      <c r="GL23" s="15"/>
      <c r="GM23" s="15" t="s">
        <v>1079</v>
      </c>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31"/>
      <c r="MX23" s="29" t="s">
        <v>10402</v>
      </c>
      <c r="MY23" s="29" t="str">
        <f>IFERROR(__xludf.DUMMYFUNCTION("""COMPUTED_VALUE"""),"Georgia")</f>
        <v>Georgia</v>
      </c>
    </row>
    <row r="24" ht="16.5" customHeight="1">
      <c r="A24" s="30">
        <v>45827.10090055555</v>
      </c>
      <c r="B24" s="15" t="s">
        <v>368</v>
      </c>
      <c r="C24" s="15" t="s">
        <v>370</v>
      </c>
      <c r="D24" s="15"/>
      <c r="E24" s="15" t="s">
        <v>589</v>
      </c>
      <c r="F24" s="15"/>
      <c r="G24" s="15" t="s">
        <v>422</v>
      </c>
      <c r="H24" s="15" t="s">
        <v>373</v>
      </c>
      <c r="I24" s="15" t="s">
        <v>374</v>
      </c>
      <c r="J24" s="15" t="s">
        <v>425</v>
      </c>
      <c r="K24" s="15" t="s">
        <v>376</v>
      </c>
      <c r="L24" s="15" t="s">
        <v>379</v>
      </c>
      <c r="M24" s="15" t="s">
        <v>378</v>
      </c>
      <c r="N24" s="15" t="s">
        <v>379</v>
      </c>
      <c r="O24" s="15" t="s">
        <v>497</v>
      </c>
      <c r="P24" s="15" t="s">
        <v>498</v>
      </c>
      <c r="Q24" s="15" t="s">
        <v>759</v>
      </c>
      <c r="R24" s="15" t="s">
        <v>1135</v>
      </c>
      <c r="S24" s="15" t="s">
        <v>384</v>
      </c>
      <c r="T24" s="15" t="s">
        <v>385</v>
      </c>
      <c r="U24" s="15"/>
      <c r="V24" s="15"/>
      <c r="W24" s="15" t="s">
        <v>760</v>
      </c>
      <c r="X24" s="15" t="s">
        <v>387</v>
      </c>
      <c r="Y24" s="15" t="s">
        <v>897</v>
      </c>
      <c r="Z24" s="15" t="s">
        <v>502</v>
      </c>
      <c r="AA24" s="15"/>
      <c r="AB24" s="15"/>
      <c r="AC24" s="15"/>
      <c r="AD24" s="15"/>
      <c r="AE24" s="15"/>
      <c r="AF24" s="15"/>
      <c r="AG24" s="15"/>
      <c r="AH24" s="15"/>
      <c r="AI24" s="15"/>
      <c r="AJ24" s="15"/>
      <c r="AK24" s="15"/>
      <c r="AL24" s="15"/>
      <c r="AM24" s="15"/>
      <c r="AN24" s="15"/>
      <c r="AO24" s="15"/>
      <c r="AP24" s="15"/>
      <c r="AQ24" s="15"/>
      <c r="AR24" s="15"/>
      <c r="AS24" s="15"/>
      <c r="AT24" s="15"/>
      <c r="AU24" s="15"/>
      <c r="AV24" s="15" t="s">
        <v>390</v>
      </c>
      <c r="AW24" s="15" t="s">
        <v>391</v>
      </c>
      <c r="AX24" s="15">
        <v>2.0</v>
      </c>
      <c r="AY24" s="15" t="s">
        <v>429</v>
      </c>
      <c r="AZ24" s="15" t="s">
        <v>391</v>
      </c>
      <c r="BA24" s="15">
        <v>4.0</v>
      </c>
      <c r="BB24" s="15">
        <v>2.0</v>
      </c>
      <c r="BC24" s="15"/>
      <c r="BD24" s="15"/>
      <c r="BE24" s="15" t="s">
        <v>432</v>
      </c>
      <c r="BF24" s="15" t="s">
        <v>433</v>
      </c>
      <c r="BG24" s="15" t="s">
        <v>434</v>
      </c>
      <c r="BH24" s="15"/>
      <c r="BI24" s="15" t="s">
        <v>727</v>
      </c>
      <c r="BJ24" s="15"/>
      <c r="BK24" s="15" t="s">
        <v>511</v>
      </c>
      <c r="BL24" s="15" t="s">
        <v>438</v>
      </c>
      <c r="BM24" s="15" t="s">
        <v>549</v>
      </c>
      <c r="BN24" s="15" t="s">
        <v>513</v>
      </c>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t="s">
        <v>441</v>
      </c>
      <c r="CM24" s="15" t="s">
        <v>401</v>
      </c>
      <c r="CN24" s="15"/>
      <c r="CO24" s="15"/>
      <c r="CP24" s="15" t="s">
        <v>403</v>
      </c>
      <c r="CQ24" s="15" t="s">
        <v>1136</v>
      </c>
      <c r="CR24" s="15" t="s">
        <v>404</v>
      </c>
      <c r="CS24" s="15" t="s">
        <v>1137</v>
      </c>
      <c r="CT24" s="15"/>
      <c r="CU24" s="15" t="s">
        <v>450</v>
      </c>
      <c r="CV24" s="15" t="s">
        <v>451</v>
      </c>
      <c r="CW24" s="15"/>
      <c r="CX24" s="15" t="s">
        <v>733</v>
      </c>
      <c r="CY24" s="15"/>
      <c r="CZ24" s="15" t="s">
        <v>453</v>
      </c>
      <c r="DA24" s="15"/>
      <c r="DB24" s="15" t="s">
        <v>455</v>
      </c>
      <c r="DC24" s="15" t="s">
        <v>1138</v>
      </c>
      <c r="DD24" s="15" t="s">
        <v>406</v>
      </c>
      <c r="DE24" s="15" t="s">
        <v>407</v>
      </c>
      <c r="DF24" s="15"/>
      <c r="DG24" s="15" t="s">
        <v>524</v>
      </c>
      <c r="DH24" s="15" t="s">
        <v>833</v>
      </c>
      <c r="DI24" s="15" t="s">
        <v>459</v>
      </c>
      <c r="DJ24" s="15" t="s">
        <v>613</v>
      </c>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t="s">
        <v>526</v>
      </c>
      <c r="EU24" s="15" t="s">
        <v>1037</v>
      </c>
      <c r="EV24" s="15" t="s">
        <v>580</v>
      </c>
      <c r="EW24" s="15"/>
      <c r="EX24" s="15"/>
      <c r="EY24" s="15"/>
      <c r="EZ24" s="15" t="s">
        <v>415</v>
      </c>
      <c r="FA24" s="15" t="s">
        <v>415</v>
      </c>
      <c r="FB24" s="15" t="s">
        <v>413</v>
      </c>
      <c r="FC24" s="15" t="s">
        <v>415</v>
      </c>
      <c r="FD24" s="15" t="s">
        <v>413</v>
      </c>
      <c r="FE24" s="15" t="s">
        <v>415</v>
      </c>
      <c r="FF24" s="15" t="s">
        <v>415</v>
      </c>
      <c r="FG24" s="15" t="s">
        <v>415</v>
      </c>
      <c r="FH24" s="15" t="s">
        <v>415</v>
      </c>
      <c r="FI24" s="15" t="s">
        <v>415</v>
      </c>
      <c r="FJ24" s="15" t="s">
        <v>415</v>
      </c>
      <c r="FK24" s="15" t="s">
        <v>415</v>
      </c>
      <c r="FL24" s="15" t="s">
        <v>415</v>
      </c>
      <c r="FM24" s="15" t="s">
        <v>415</v>
      </c>
      <c r="FN24" s="15" t="s">
        <v>415</v>
      </c>
      <c r="FO24" s="15" t="s">
        <v>417</v>
      </c>
      <c r="FP24" s="15" t="s">
        <v>418</v>
      </c>
      <c r="FQ24" s="15" t="s">
        <v>712</v>
      </c>
      <c r="FR24" s="15"/>
      <c r="FS24" s="15" t="s">
        <v>420</v>
      </c>
      <c r="FT24" s="15" t="s">
        <v>488</v>
      </c>
      <c r="FU24" s="15" t="s">
        <v>489</v>
      </c>
      <c r="FV24" s="15" t="s">
        <v>490</v>
      </c>
      <c r="FW24" s="15" t="s">
        <v>491</v>
      </c>
      <c r="FX24" s="15"/>
      <c r="FY24" s="15" t="s">
        <v>493</v>
      </c>
      <c r="FZ24" s="15"/>
      <c r="GA24" s="15"/>
      <c r="GB24" s="15" t="s">
        <v>408</v>
      </c>
      <c r="GC24" s="15"/>
      <c r="GD24" s="15"/>
      <c r="GE24" s="15"/>
      <c r="GF24" s="15"/>
      <c r="GG24" s="15" t="s">
        <v>1000</v>
      </c>
      <c r="GH24" s="15" t="s">
        <v>1000</v>
      </c>
      <c r="GI24" s="15" t="s">
        <v>756</v>
      </c>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31"/>
      <c r="MX24" s="29" t="s">
        <v>1139</v>
      </c>
      <c r="MY24" s="29" t="str">
        <f>IFERROR(__xludf.DUMMYFUNCTION("""COMPUTED_VALUE"""),"United Arab Emirates")</f>
        <v>United Arab Emirates</v>
      </c>
    </row>
    <row r="25" ht="16.5" customHeight="1">
      <c r="A25" s="30">
        <v>45827.10245875</v>
      </c>
      <c r="B25" s="15" t="s">
        <v>368</v>
      </c>
      <c r="C25" s="15" t="s">
        <v>1139</v>
      </c>
      <c r="D25" s="15" t="s">
        <v>1139</v>
      </c>
      <c r="E25" s="15"/>
      <c r="F25" s="15"/>
      <c r="G25" s="15" t="s">
        <v>1140</v>
      </c>
      <c r="H25" s="15" t="s">
        <v>637</v>
      </c>
      <c r="I25" s="15" t="s">
        <v>638</v>
      </c>
      <c r="J25" s="15" t="s">
        <v>590</v>
      </c>
      <c r="K25" s="15" t="s">
        <v>376</v>
      </c>
      <c r="L25" s="15" t="s">
        <v>591</v>
      </c>
      <c r="M25" s="15" t="s">
        <v>639</v>
      </c>
      <c r="N25" s="15" t="s">
        <v>591</v>
      </c>
      <c r="O25" s="15" t="s">
        <v>671</v>
      </c>
      <c r="P25" s="15" t="s">
        <v>592</v>
      </c>
      <c r="Q25" s="15" t="s">
        <v>862</v>
      </c>
      <c r="R25" s="15" t="s">
        <v>500</v>
      </c>
      <c r="S25" s="15" t="s">
        <v>384</v>
      </c>
      <c r="T25" s="15" t="s">
        <v>385</v>
      </c>
      <c r="U25" s="15"/>
      <c r="V25" s="15"/>
      <c r="W25" s="15" t="s">
        <v>593</v>
      </c>
      <c r="X25" s="15" t="s">
        <v>642</v>
      </c>
      <c r="Y25" s="15"/>
      <c r="Z25" s="15"/>
      <c r="AA25" s="15"/>
      <c r="AB25" s="15"/>
      <c r="AC25" s="15"/>
      <c r="AD25" s="15"/>
      <c r="AE25" s="15"/>
      <c r="AF25" s="15"/>
      <c r="AG25" s="15"/>
      <c r="AH25" s="15"/>
      <c r="AI25" s="15"/>
      <c r="AJ25" s="15"/>
      <c r="AK25" s="15"/>
      <c r="AL25" s="15" t="s">
        <v>1141</v>
      </c>
      <c r="AM25" s="15" t="s">
        <v>1142</v>
      </c>
      <c r="AN25" s="15" t="s">
        <v>1143</v>
      </c>
      <c r="AO25" s="15"/>
      <c r="AP25" s="15" t="s">
        <v>1144</v>
      </c>
      <c r="AQ25" s="15">
        <v>5.0</v>
      </c>
      <c r="AR25" s="15" t="s">
        <v>1145</v>
      </c>
      <c r="AS25" s="15"/>
      <c r="AT25" s="15"/>
      <c r="AU25" s="15"/>
      <c r="AV25" s="15" t="s">
        <v>390</v>
      </c>
      <c r="AW25" s="15" t="s">
        <v>391</v>
      </c>
      <c r="AX25" s="15" t="s">
        <v>391</v>
      </c>
      <c r="AY25" s="15">
        <v>2.0</v>
      </c>
      <c r="AZ25" s="15" t="s">
        <v>391</v>
      </c>
      <c r="BA25" s="15">
        <v>4.0</v>
      </c>
      <c r="BB25" s="15" t="s">
        <v>391</v>
      </c>
      <c r="BC25" s="15"/>
      <c r="BD25" s="15"/>
      <c r="BE25" s="15" t="s">
        <v>432</v>
      </c>
      <c r="BF25" s="15" t="s">
        <v>433</v>
      </c>
      <c r="BG25" s="15" t="s">
        <v>765</v>
      </c>
      <c r="BH25" s="15"/>
      <c r="BI25" s="15" t="s">
        <v>824</v>
      </c>
      <c r="BJ25" s="15"/>
      <c r="BK25" s="15" t="s">
        <v>437</v>
      </c>
      <c r="BL25" s="15" t="s">
        <v>396</v>
      </c>
      <c r="BM25" s="15" t="s">
        <v>549</v>
      </c>
      <c r="BN25" s="15" t="s">
        <v>440</v>
      </c>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t="s">
        <v>441</v>
      </c>
      <c r="CM25" s="15" t="s">
        <v>401</v>
      </c>
      <c r="CN25" s="15"/>
      <c r="CO25" s="15"/>
      <c r="CP25" s="15" t="s">
        <v>403</v>
      </c>
      <c r="CQ25" s="15" t="s">
        <v>1146</v>
      </c>
      <c r="CR25" s="15" t="s">
        <v>447</v>
      </c>
      <c r="CS25" s="15" t="s">
        <v>1147</v>
      </c>
      <c r="CT25" s="15"/>
      <c r="CU25" s="15" t="s">
        <v>519</v>
      </c>
      <c r="CV25" s="15" t="s">
        <v>451</v>
      </c>
      <c r="CW25" s="15"/>
      <c r="CX25" s="15" t="s">
        <v>408</v>
      </c>
      <c r="CY25" s="15"/>
      <c r="CZ25" s="15" t="s">
        <v>453</v>
      </c>
      <c r="DA25" s="15"/>
      <c r="DB25" s="15" t="s">
        <v>408</v>
      </c>
      <c r="DC25" s="15"/>
      <c r="DD25" s="15" t="s">
        <v>406</v>
      </c>
      <c r="DE25" s="15" t="s">
        <v>407</v>
      </c>
      <c r="DF25" s="15"/>
      <c r="DG25" s="15" t="s">
        <v>524</v>
      </c>
      <c r="DH25" s="15" t="s">
        <v>410</v>
      </c>
      <c r="DI25" s="15" t="s">
        <v>459</v>
      </c>
      <c r="DJ25" s="15" t="s">
        <v>1148</v>
      </c>
      <c r="DK25" s="15" t="s">
        <v>461</v>
      </c>
      <c r="DL25" s="15"/>
      <c r="DM25" s="15" t="s">
        <v>1149</v>
      </c>
      <c r="DN25" s="15" t="s">
        <v>1150</v>
      </c>
      <c r="DO25" s="15" t="s">
        <v>464</v>
      </c>
      <c r="DP25" s="15" t="s">
        <v>1151</v>
      </c>
      <c r="DQ25" s="15" t="s">
        <v>1152</v>
      </c>
      <c r="DR25" s="15"/>
      <c r="DS25" s="15" t="s">
        <v>839</v>
      </c>
      <c r="DT25" s="15" t="s">
        <v>570</v>
      </c>
      <c r="DU25" s="15"/>
      <c r="DV25" s="15"/>
      <c r="DW25" s="15" t="s">
        <v>622</v>
      </c>
      <c r="DX25" s="15"/>
      <c r="DY25" s="15"/>
      <c r="DZ25" s="15"/>
      <c r="EA25" s="15" t="s">
        <v>475</v>
      </c>
      <c r="EB25" s="15" t="s">
        <v>845</v>
      </c>
      <c r="EC25" s="15"/>
      <c r="ED25" s="15"/>
      <c r="EE25" s="15"/>
      <c r="EF25" s="15"/>
      <c r="EG25" s="15"/>
      <c r="EH25" s="15"/>
      <c r="EI25" s="15"/>
      <c r="EJ25" s="15"/>
      <c r="EK25" s="15"/>
      <c r="EL25" s="15"/>
      <c r="EM25" s="15"/>
      <c r="EN25" s="15"/>
      <c r="EO25" s="15"/>
      <c r="EP25" s="15"/>
      <c r="EQ25" s="15"/>
      <c r="ER25" s="15"/>
      <c r="ES25" s="15"/>
      <c r="ET25" s="15" t="s">
        <v>526</v>
      </c>
      <c r="EU25" s="15" t="s">
        <v>479</v>
      </c>
      <c r="EV25" s="15" t="s">
        <v>663</v>
      </c>
      <c r="EW25" s="15"/>
      <c r="EX25" s="15"/>
      <c r="EY25" s="15"/>
      <c r="EZ25" s="15" t="s">
        <v>414</v>
      </c>
      <c r="FA25" s="15" t="s">
        <v>414</v>
      </c>
      <c r="FB25" s="15" t="s">
        <v>413</v>
      </c>
      <c r="FC25" s="15" t="s">
        <v>413</v>
      </c>
      <c r="FD25" s="15" t="s">
        <v>413</v>
      </c>
      <c r="FE25" s="15" t="s">
        <v>414</v>
      </c>
      <c r="FF25" s="15" t="s">
        <v>415</v>
      </c>
      <c r="FG25" s="15" t="s">
        <v>416</v>
      </c>
      <c r="FH25" s="15" t="s">
        <v>414</v>
      </c>
      <c r="FI25" s="15" t="s">
        <v>583</v>
      </c>
      <c r="FJ25" s="15" t="s">
        <v>413</v>
      </c>
      <c r="FK25" s="15" t="s">
        <v>415</v>
      </c>
      <c r="FL25" s="15" t="s">
        <v>415</v>
      </c>
      <c r="FM25" s="15" t="s">
        <v>416</v>
      </c>
      <c r="FN25" s="15" t="s">
        <v>415</v>
      </c>
      <c r="FO25" s="15" t="s">
        <v>1074</v>
      </c>
      <c r="FP25" s="15" t="s">
        <v>418</v>
      </c>
      <c r="FQ25" s="15" t="s">
        <v>419</v>
      </c>
      <c r="FR25" s="15"/>
      <c r="FS25" s="15" t="s">
        <v>420</v>
      </c>
      <c r="FT25" s="15" t="s">
        <v>488</v>
      </c>
      <c r="FU25" s="15" t="s">
        <v>489</v>
      </c>
      <c r="FV25" s="15" t="s">
        <v>490</v>
      </c>
      <c r="FW25" s="15" t="s">
        <v>491</v>
      </c>
      <c r="FX25" s="15"/>
      <c r="FY25" s="15" t="s">
        <v>535</v>
      </c>
      <c r="FZ25" s="15"/>
      <c r="GA25" s="15"/>
      <c r="GB25" s="15" t="s">
        <v>408</v>
      </c>
      <c r="GC25" s="15"/>
      <c r="GD25" s="15"/>
      <c r="GE25" s="15"/>
      <c r="GF25" s="15"/>
      <c r="GG25" s="15" t="s">
        <v>755</v>
      </c>
      <c r="GH25" s="15" t="s">
        <v>755</v>
      </c>
      <c r="GI25" s="15" t="s">
        <v>946</v>
      </c>
      <c r="GJ25" s="15"/>
      <c r="GK25" s="15"/>
      <c r="GL25" s="15"/>
      <c r="GM25" s="15" t="s">
        <v>1079</v>
      </c>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31"/>
      <c r="MX25" s="29" t="s">
        <v>10402</v>
      </c>
      <c r="MY25" s="29" t="str">
        <f>IFERROR(__xludf.DUMMYFUNCTION("""COMPUTED_VALUE"""),"Missouri")</f>
        <v>Missouri</v>
      </c>
    </row>
    <row r="26" ht="16.5" customHeight="1">
      <c r="A26" s="30">
        <v>45827.1310891551</v>
      </c>
      <c r="B26" s="15" t="s">
        <v>368</v>
      </c>
      <c r="C26" s="15" t="s">
        <v>370</v>
      </c>
      <c r="D26" s="15"/>
      <c r="E26" s="15" t="s">
        <v>922</v>
      </c>
      <c r="F26" s="15"/>
      <c r="G26" s="15" t="s">
        <v>1153</v>
      </c>
      <c r="H26" s="15" t="s">
        <v>637</v>
      </c>
      <c r="I26" s="15" t="s">
        <v>638</v>
      </c>
      <c r="J26" s="15" t="s">
        <v>425</v>
      </c>
      <c r="K26" s="15" t="s">
        <v>376</v>
      </c>
      <c r="L26" s="15" t="s">
        <v>591</v>
      </c>
      <c r="M26" s="15" t="s">
        <v>1154</v>
      </c>
      <c r="N26" s="15" t="s">
        <v>379</v>
      </c>
      <c r="O26" s="15" t="s">
        <v>1155</v>
      </c>
      <c r="P26" s="15" t="s">
        <v>381</v>
      </c>
      <c r="Q26" s="15" t="s">
        <v>1156</v>
      </c>
      <c r="R26" s="15" t="s">
        <v>500</v>
      </c>
      <c r="S26" s="15" t="s">
        <v>384</v>
      </c>
      <c r="T26" s="15" t="s">
        <v>385</v>
      </c>
      <c r="U26" s="15"/>
      <c r="V26" s="15"/>
      <c r="W26" s="15" t="s">
        <v>593</v>
      </c>
      <c r="X26" s="15" t="s">
        <v>387</v>
      </c>
      <c r="Y26" s="15" t="s">
        <v>1157</v>
      </c>
      <c r="Z26" s="15" t="s">
        <v>502</v>
      </c>
      <c r="AA26" s="15" t="s">
        <v>1158</v>
      </c>
      <c r="AB26" s="15" t="s">
        <v>1159</v>
      </c>
      <c r="AC26" s="15"/>
      <c r="AD26" s="15"/>
      <c r="AE26" s="15"/>
      <c r="AF26" s="15"/>
      <c r="AG26" s="15"/>
      <c r="AH26" s="15"/>
      <c r="AI26" s="15"/>
      <c r="AJ26" s="15"/>
      <c r="AK26" s="15"/>
      <c r="AL26" s="15"/>
      <c r="AM26" s="15"/>
      <c r="AN26" s="15"/>
      <c r="AO26" s="15"/>
      <c r="AP26" s="15"/>
      <c r="AQ26" s="15"/>
      <c r="AR26" s="15"/>
      <c r="AS26" s="15"/>
      <c r="AT26" s="15"/>
      <c r="AU26" s="15"/>
      <c r="AV26" s="15" t="s">
        <v>504</v>
      </c>
      <c r="AW26" s="15" t="s">
        <v>429</v>
      </c>
      <c r="AX26" s="15" t="s">
        <v>429</v>
      </c>
      <c r="AY26" s="15" t="s">
        <v>429</v>
      </c>
      <c r="AZ26" s="15" t="s">
        <v>429</v>
      </c>
      <c r="BA26" s="15">
        <v>2.0</v>
      </c>
      <c r="BB26" s="15" t="s">
        <v>429</v>
      </c>
      <c r="BC26" s="15" t="s">
        <v>1160</v>
      </c>
      <c r="BD26" s="15" t="s">
        <v>1161</v>
      </c>
      <c r="BE26" s="15" t="s">
        <v>392</v>
      </c>
      <c r="BF26" s="15" t="s">
        <v>433</v>
      </c>
      <c r="BG26" s="15" t="s">
        <v>765</v>
      </c>
      <c r="BH26" s="15" t="s">
        <v>1162</v>
      </c>
      <c r="BI26" s="15" t="s">
        <v>824</v>
      </c>
      <c r="BJ26" s="15"/>
      <c r="BK26" s="15" t="s">
        <v>511</v>
      </c>
      <c r="BL26" s="15" t="s">
        <v>512</v>
      </c>
      <c r="BM26" s="15" t="s">
        <v>439</v>
      </c>
      <c r="BN26" s="15" t="s">
        <v>440</v>
      </c>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t="s">
        <v>441</v>
      </c>
      <c r="CM26" s="15" t="s">
        <v>401</v>
      </c>
      <c r="CN26" s="15" t="s">
        <v>1163</v>
      </c>
      <c r="CO26" s="15" t="s">
        <v>1164</v>
      </c>
      <c r="CP26" s="15" t="s">
        <v>685</v>
      </c>
      <c r="CQ26" s="15" t="s">
        <v>1165</v>
      </c>
      <c r="CR26" s="15" t="s">
        <v>447</v>
      </c>
      <c r="CS26" s="15" t="s">
        <v>1166</v>
      </c>
      <c r="CT26" s="15" t="s">
        <v>1167</v>
      </c>
      <c r="CU26" s="15" t="s">
        <v>450</v>
      </c>
      <c r="CV26" s="15" t="s">
        <v>451</v>
      </c>
      <c r="CW26" s="15" t="s">
        <v>1168</v>
      </c>
      <c r="CX26" s="15" t="s">
        <v>733</v>
      </c>
      <c r="CY26" s="15" t="s">
        <v>1169</v>
      </c>
      <c r="CZ26" s="15" t="s">
        <v>453</v>
      </c>
      <c r="DA26" s="15" t="s">
        <v>1170</v>
      </c>
      <c r="DB26" s="15" t="s">
        <v>455</v>
      </c>
      <c r="DC26" s="15" t="s">
        <v>1171</v>
      </c>
      <c r="DD26" s="15" t="s">
        <v>662</v>
      </c>
      <c r="DE26" s="15"/>
      <c r="DF26" s="15" t="s">
        <v>1172</v>
      </c>
      <c r="DG26" s="15" t="s">
        <v>524</v>
      </c>
      <c r="DH26" s="15" t="s">
        <v>410</v>
      </c>
      <c r="DI26" s="15" t="s">
        <v>459</v>
      </c>
      <c r="DJ26" s="15" t="s">
        <v>460</v>
      </c>
      <c r="DK26" s="15" t="s">
        <v>461</v>
      </c>
      <c r="DL26" s="15"/>
      <c r="DM26" s="15" t="s">
        <v>1173</v>
      </c>
      <c r="DN26" s="15" t="s">
        <v>1174</v>
      </c>
      <c r="DO26" s="15" t="s">
        <v>464</v>
      </c>
      <c r="DP26" s="15" t="s">
        <v>1175</v>
      </c>
      <c r="DQ26" s="15" t="s">
        <v>1176</v>
      </c>
      <c r="DR26" s="15" t="s">
        <v>1177</v>
      </c>
      <c r="DS26" s="15" t="s">
        <v>839</v>
      </c>
      <c r="DT26" s="15" t="s">
        <v>703</v>
      </c>
      <c r="DU26" s="15" t="s">
        <v>1178</v>
      </c>
      <c r="DV26" s="15" t="s">
        <v>1179</v>
      </c>
      <c r="DW26" s="15" t="s">
        <v>622</v>
      </c>
      <c r="DX26" s="15" t="s">
        <v>1180</v>
      </c>
      <c r="DY26" s="15" t="s">
        <v>1181</v>
      </c>
      <c r="DZ26" s="15" t="s">
        <v>1182</v>
      </c>
      <c r="EA26" s="15" t="s">
        <v>475</v>
      </c>
      <c r="EB26" s="15" t="s">
        <v>1183</v>
      </c>
      <c r="EC26" s="15" t="s">
        <v>1184</v>
      </c>
      <c r="ED26" s="15"/>
      <c r="EE26" s="15"/>
      <c r="EF26" s="15"/>
      <c r="EG26" s="15"/>
      <c r="EH26" s="15"/>
      <c r="EI26" s="15"/>
      <c r="EJ26" s="15"/>
      <c r="EK26" s="15"/>
      <c r="EL26" s="15"/>
      <c r="EM26" s="15"/>
      <c r="EN26" s="15"/>
      <c r="EO26" s="15"/>
      <c r="EP26" s="15"/>
      <c r="EQ26" s="15"/>
      <c r="ER26" s="15"/>
      <c r="ES26" s="15"/>
      <c r="ET26" s="15" t="s">
        <v>526</v>
      </c>
      <c r="EU26" s="15" t="s">
        <v>887</v>
      </c>
      <c r="EV26" s="15" t="s">
        <v>527</v>
      </c>
      <c r="EW26" s="15" t="s">
        <v>1185</v>
      </c>
      <c r="EX26" s="15" t="s">
        <v>1186</v>
      </c>
      <c r="EY26" s="15" t="s">
        <v>1187</v>
      </c>
      <c r="EZ26" s="15" t="s">
        <v>414</v>
      </c>
      <c r="FA26" s="15" t="s">
        <v>414</v>
      </c>
      <c r="FB26" s="15" t="s">
        <v>413</v>
      </c>
      <c r="FC26" s="15" t="s">
        <v>414</v>
      </c>
      <c r="FD26" s="15" t="s">
        <v>413</v>
      </c>
      <c r="FE26" s="15" t="s">
        <v>583</v>
      </c>
      <c r="FF26" s="15" t="s">
        <v>414</v>
      </c>
      <c r="FG26" s="15" t="s">
        <v>413</v>
      </c>
      <c r="FH26" s="15" t="s">
        <v>583</v>
      </c>
      <c r="FI26" s="15" t="s">
        <v>414</v>
      </c>
      <c r="FJ26" s="15" t="s">
        <v>416</v>
      </c>
      <c r="FK26" s="15" t="s">
        <v>583</v>
      </c>
      <c r="FL26" s="15" t="s">
        <v>583</v>
      </c>
      <c r="FM26" s="15" t="s">
        <v>413</v>
      </c>
      <c r="FN26" s="15" t="s">
        <v>583</v>
      </c>
      <c r="FO26" s="15" t="s">
        <v>485</v>
      </c>
      <c r="FP26" s="15" t="s">
        <v>418</v>
      </c>
      <c r="FQ26" s="15" t="s">
        <v>419</v>
      </c>
      <c r="FR26" s="15" t="s">
        <v>1188</v>
      </c>
      <c r="FS26" s="15" t="s">
        <v>1189</v>
      </c>
      <c r="FT26" s="15" t="s">
        <v>488</v>
      </c>
      <c r="FU26" s="15" t="s">
        <v>489</v>
      </c>
      <c r="FV26" s="15" t="s">
        <v>1101</v>
      </c>
      <c r="FW26" s="15" t="s">
        <v>491</v>
      </c>
      <c r="FX26" s="15" t="s">
        <v>1190</v>
      </c>
      <c r="FY26" s="15" t="s">
        <v>535</v>
      </c>
      <c r="FZ26" s="15" t="s">
        <v>1191</v>
      </c>
      <c r="GA26" s="15" t="s">
        <v>1192</v>
      </c>
      <c r="GB26" s="15" t="s">
        <v>455</v>
      </c>
      <c r="GC26" s="15"/>
      <c r="GD26" s="15"/>
      <c r="GE26" s="15" t="s">
        <v>753</v>
      </c>
      <c r="GF26" s="15" t="s">
        <v>1193</v>
      </c>
      <c r="GG26" s="15" t="s">
        <v>755</v>
      </c>
      <c r="GH26" s="15" t="s">
        <v>755</v>
      </c>
      <c r="GI26" s="15" t="s">
        <v>946</v>
      </c>
      <c r="GJ26" s="15"/>
      <c r="GK26" s="15"/>
      <c r="GL26" s="15"/>
      <c r="GM26" s="15" t="s">
        <v>1079</v>
      </c>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31"/>
      <c r="MX26" s="29" t="s">
        <v>1194</v>
      </c>
      <c r="MY26" s="29" t="str">
        <f>IFERROR(__xludf.DUMMYFUNCTION("""COMPUTED_VALUE"""),"Azerbaijan")</f>
        <v>Azerbaijan</v>
      </c>
    </row>
    <row r="27" ht="16.5" customHeight="1">
      <c r="A27" s="30">
        <v>45827.143764328706</v>
      </c>
      <c r="B27" s="15" t="s">
        <v>368</v>
      </c>
      <c r="C27" s="15" t="s">
        <v>1194</v>
      </c>
      <c r="D27" s="15" t="s">
        <v>1194</v>
      </c>
      <c r="E27" s="15"/>
      <c r="F27" s="15"/>
      <c r="G27" s="15" t="s">
        <v>1195</v>
      </c>
      <c r="H27" s="15" t="s">
        <v>637</v>
      </c>
      <c r="I27" s="15" t="s">
        <v>638</v>
      </c>
      <c r="J27" s="15" t="s">
        <v>718</v>
      </c>
      <c r="K27" s="15" t="s">
        <v>376</v>
      </c>
      <c r="L27" s="15" t="s">
        <v>793</v>
      </c>
      <c r="M27" s="15" t="s">
        <v>720</v>
      </c>
      <c r="N27" s="15" t="s">
        <v>591</v>
      </c>
      <c r="O27" s="15" t="s">
        <v>1196</v>
      </c>
      <c r="P27" s="15" t="s">
        <v>498</v>
      </c>
      <c r="Q27" s="15" t="s">
        <v>382</v>
      </c>
      <c r="R27" s="15" t="s">
        <v>1197</v>
      </c>
      <c r="S27" s="15" t="s">
        <v>384</v>
      </c>
      <c r="T27" s="15" t="s">
        <v>385</v>
      </c>
      <c r="U27" s="15"/>
      <c r="V27" s="15"/>
      <c r="W27" s="15" t="s">
        <v>428</v>
      </c>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t="s">
        <v>504</v>
      </c>
      <c r="AW27" s="15" t="s">
        <v>391</v>
      </c>
      <c r="AX27" s="15" t="s">
        <v>391</v>
      </c>
      <c r="AY27" s="15">
        <v>2.0</v>
      </c>
      <c r="AZ27" s="15">
        <v>2.0</v>
      </c>
      <c r="BA27" s="15">
        <v>2.0</v>
      </c>
      <c r="BB27" s="15">
        <v>2.0</v>
      </c>
      <c r="BC27" s="15"/>
      <c r="BD27" s="15"/>
      <c r="BE27" s="15" t="s">
        <v>392</v>
      </c>
      <c r="BF27" s="15" t="s">
        <v>393</v>
      </c>
      <c r="BG27" s="15" t="s">
        <v>725</v>
      </c>
      <c r="BH27" s="15"/>
      <c r="BI27" s="15" t="s">
        <v>824</v>
      </c>
      <c r="BJ27" s="15"/>
      <c r="BK27" s="15" t="s">
        <v>681</v>
      </c>
      <c r="BL27" s="15" t="s">
        <v>904</v>
      </c>
      <c r="BM27" s="15" t="s">
        <v>549</v>
      </c>
      <c r="BN27" s="15" t="s">
        <v>513</v>
      </c>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t="s">
        <v>550</v>
      </c>
      <c r="CM27" s="15" t="s">
        <v>401</v>
      </c>
      <c r="CN27" s="15"/>
      <c r="CO27" s="15"/>
      <c r="CP27" s="15" t="s">
        <v>1008</v>
      </c>
      <c r="CQ27" s="15" t="s">
        <v>1198</v>
      </c>
      <c r="CR27" s="15" t="s">
        <v>404</v>
      </c>
      <c r="CS27" s="15" t="s">
        <v>1032</v>
      </c>
      <c r="CT27" s="15" t="s">
        <v>1199</v>
      </c>
      <c r="CU27" s="15" t="s">
        <v>450</v>
      </c>
      <c r="CV27" s="15" t="s">
        <v>959</v>
      </c>
      <c r="CW27" s="15"/>
      <c r="CX27" s="15" t="s">
        <v>408</v>
      </c>
      <c r="CY27" s="15"/>
      <c r="CZ27" s="15" t="s">
        <v>453</v>
      </c>
      <c r="DA27" s="15"/>
      <c r="DB27" s="15" t="s">
        <v>408</v>
      </c>
      <c r="DC27" s="15"/>
      <c r="DD27" s="15" t="s">
        <v>406</v>
      </c>
      <c r="DE27" s="15" t="s">
        <v>407</v>
      </c>
      <c r="DF27" s="15"/>
      <c r="DG27" s="15" t="s">
        <v>561</v>
      </c>
      <c r="DH27" s="15" t="s">
        <v>410</v>
      </c>
      <c r="DI27" s="15" t="s">
        <v>459</v>
      </c>
      <c r="DJ27" s="15" t="s">
        <v>613</v>
      </c>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t="s">
        <v>526</v>
      </c>
      <c r="EU27" s="15" t="s">
        <v>479</v>
      </c>
      <c r="EV27" s="15" t="s">
        <v>663</v>
      </c>
      <c r="EW27" s="15"/>
      <c r="EX27" s="15"/>
      <c r="EY27" s="15"/>
      <c r="EZ27" s="15" t="s">
        <v>414</v>
      </c>
      <c r="FA27" s="15" t="s">
        <v>583</v>
      </c>
      <c r="FB27" s="15" t="s">
        <v>415</v>
      </c>
      <c r="FC27" s="15" t="s">
        <v>583</v>
      </c>
      <c r="FD27" s="15" t="s">
        <v>415</v>
      </c>
      <c r="FE27" s="15" t="s">
        <v>415</v>
      </c>
      <c r="FF27" s="15" t="s">
        <v>583</v>
      </c>
      <c r="FG27" s="15" t="s">
        <v>413</v>
      </c>
      <c r="FH27" s="15" t="s">
        <v>583</v>
      </c>
      <c r="FI27" s="15" t="s">
        <v>583</v>
      </c>
      <c r="FJ27" s="15" t="s">
        <v>414</v>
      </c>
      <c r="FK27" s="15" t="s">
        <v>415</v>
      </c>
      <c r="FL27" s="15" t="s">
        <v>415</v>
      </c>
      <c r="FM27" s="15" t="s">
        <v>416</v>
      </c>
      <c r="FN27" s="15" t="s">
        <v>414</v>
      </c>
      <c r="FO27" s="15" t="s">
        <v>417</v>
      </c>
      <c r="FP27" s="15" t="s">
        <v>1200</v>
      </c>
      <c r="FQ27" s="15" t="s">
        <v>630</v>
      </c>
      <c r="FR27" s="15"/>
      <c r="FS27" s="15" t="s">
        <v>995</v>
      </c>
      <c r="FT27" s="15" t="s">
        <v>488</v>
      </c>
      <c r="FU27" s="15" t="s">
        <v>533</v>
      </c>
      <c r="FV27" s="15" t="s">
        <v>490</v>
      </c>
      <c r="FW27" s="15" t="s">
        <v>491</v>
      </c>
      <c r="FX27" s="15"/>
      <c r="FY27" s="15" t="s">
        <v>535</v>
      </c>
      <c r="FZ27" s="15"/>
      <c r="GA27" s="15"/>
      <c r="GB27" s="15" t="s">
        <v>408</v>
      </c>
      <c r="GC27" s="15"/>
      <c r="GD27" s="15"/>
      <c r="GE27" s="15"/>
      <c r="GF27" s="15"/>
      <c r="GG27" s="15" t="s">
        <v>788</v>
      </c>
      <c r="GH27" s="15" t="s">
        <v>789</v>
      </c>
      <c r="GI27" s="15" t="s">
        <v>946</v>
      </c>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31"/>
      <c r="MX27" s="29" t="s">
        <v>10402</v>
      </c>
      <c r="MY27" s="29" t="str">
        <f>IFERROR(__xludf.DUMMYFUNCTION("""COMPUTED_VALUE"""),"US Territory (Unspecified)")</f>
        <v>US Territory (Unspecified)</v>
      </c>
    </row>
    <row r="28" ht="16.5" customHeight="1">
      <c r="A28" s="30">
        <v>45827.154774386574</v>
      </c>
      <c r="B28" s="15" t="s">
        <v>368</v>
      </c>
      <c r="C28" s="15" t="s">
        <v>1201</v>
      </c>
      <c r="D28" s="15" t="s">
        <v>1201</v>
      </c>
      <c r="E28" s="15" t="s">
        <v>1202</v>
      </c>
      <c r="F28" s="15"/>
      <c r="G28" s="15" t="s">
        <v>422</v>
      </c>
      <c r="H28" s="15" t="s">
        <v>1203</v>
      </c>
      <c r="I28" s="15" t="s">
        <v>638</v>
      </c>
      <c r="J28" s="15" t="s">
        <v>1204</v>
      </c>
      <c r="K28" s="15" t="s">
        <v>376</v>
      </c>
      <c r="L28" s="15" t="s">
        <v>379</v>
      </c>
      <c r="M28" s="15" t="s">
        <v>1205</v>
      </c>
      <c r="N28" s="15" t="s">
        <v>379</v>
      </c>
      <c r="O28" s="15" t="s">
        <v>497</v>
      </c>
      <c r="P28" s="15" t="s">
        <v>592</v>
      </c>
      <c r="Q28" s="15" t="s">
        <v>382</v>
      </c>
      <c r="R28" s="15" t="s">
        <v>949</v>
      </c>
      <c r="S28" s="15" t="s">
        <v>384</v>
      </c>
      <c r="T28" s="15" t="s">
        <v>385</v>
      </c>
      <c r="U28" s="15"/>
      <c r="V28" s="15"/>
      <c r="W28" s="15" t="s">
        <v>386</v>
      </c>
      <c r="X28" s="15" t="s">
        <v>387</v>
      </c>
      <c r="Y28" s="15" t="s">
        <v>542</v>
      </c>
      <c r="Z28" s="15" t="s">
        <v>543</v>
      </c>
      <c r="AA28" s="15" t="s">
        <v>1206</v>
      </c>
      <c r="AB28" s="15" t="s">
        <v>1207</v>
      </c>
      <c r="AC28" s="15"/>
      <c r="AD28" s="15"/>
      <c r="AE28" s="15"/>
      <c r="AF28" s="15"/>
      <c r="AG28" s="15"/>
      <c r="AH28" s="15"/>
      <c r="AI28" s="15"/>
      <c r="AJ28" s="15"/>
      <c r="AK28" s="15"/>
      <c r="AL28" s="15"/>
      <c r="AM28" s="15"/>
      <c r="AN28" s="15"/>
      <c r="AO28" s="15"/>
      <c r="AP28" s="15"/>
      <c r="AQ28" s="15"/>
      <c r="AR28" s="15"/>
      <c r="AS28" s="15"/>
      <c r="AT28" s="15"/>
      <c r="AU28" s="15"/>
      <c r="AV28" s="15" t="s">
        <v>390</v>
      </c>
      <c r="AW28" s="15" t="s">
        <v>391</v>
      </c>
      <c r="AX28" s="15" t="s">
        <v>391</v>
      </c>
      <c r="AY28" s="15" t="s">
        <v>391</v>
      </c>
      <c r="AZ28" s="15" t="s">
        <v>391</v>
      </c>
      <c r="BA28" s="15" t="s">
        <v>391</v>
      </c>
      <c r="BB28" s="15" t="s">
        <v>391</v>
      </c>
      <c r="BC28" s="15" t="s">
        <v>1208</v>
      </c>
      <c r="BD28" s="15" t="s">
        <v>1209</v>
      </c>
      <c r="BE28" s="15" t="s">
        <v>392</v>
      </c>
      <c r="BF28" s="15" t="s">
        <v>1047</v>
      </c>
      <c r="BG28" s="15" t="s">
        <v>725</v>
      </c>
      <c r="BH28" s="15" t="s">
        <v>1210</v>
      </c>
      <c r="BI28" s="15" t="s">
        <v>824</v>
      </c>
      <c r="BJ28" s="15" t="s">
        <v>1211</v>
      </c>
      <c r="BK28" s="15" t="s">
        <v>437</v>
      </c>
      <c r="BL28" s="15" t="s">
        <v>396</v>
      </c>
      <c r="BM28" s="15" t="s">
        <v>549</v>
      </c>
      <c r="BN28" s="15" t="s">
        <v>440</v>
      </c>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t="s">
        <v>441</v>
      </c>
      <c r="CM28" s="15" t="s">
        <v>604</v>
      </c>
      <c r="CN28" s="15" t="s">
        <v>1212</v>
      </c>
      <c r="CO28" s="15" t="s">
        <v>1213</v>
      </c>
      <c r="CP28" s="15" t="s">
        <v>445</v>
      </c>
      <c r="CQ28" s="15" t="s">
        <v>1214</v>
      </c>
      <c r="CR28" s="15" t="s">
        <v>404</v>
      </c>
      <c r="CS28" s="15" t="s">
        <v>1215</v>
      </c>
      <c r="CT28" s="15" t="s">
        <v>1216</v>
      </c>
      <c r="CU28" s="15" t="s">
        <v>450</v>
      </c>
      <c r="CV28" s="15" t="s">
        <v>451</v>
      </c>
      <c r="CW28" s="15" t="s">
        <v>1217</v>
      </c>
      <c r="CX28" s="15" t="s">
        <v>408</v>
      </c>
      <c r="CY28" s="15" t="s">
        <v>1211</v>
      </c>
      <c r="CZ28" s="15" t="s">
        <v>453</v>
      </c>
      <c r="DA28" s="15" t="s">
        <v>1218</v>
      </c>
      <c r="DB28" s="15" t="s">
        <v>408</v>
      </c>
      <c r="DC28" s="15" t="s">
        <v>1211</v>
      </c>
      <c r="DD28" s="15" t="s">
        <v>988</v>
      </c>
      <c r="DE28" s="15" t="s">
        <v>407</v>
      </c>
      <c r="DF28" s="15" t="s">
        <v>1219</v>
      </c>
      <c r="DG28" s="15" t="s">
        <v>524</v>
      </c>
      <c r="DH28" s="15" t="s">
        <v>1220</v>
      </c>
      <c r="DI28" s="15" t="s">
        <v>459</v>
      </c>
      <c r="DJ28" s="15" t="s">
        <v>460</v>
      </c>
      <c r="DK28" s="15" t="s">
        <v>461</v>
      </c>
      <c r="DL28" s="15"/>
      <c r="DM28" s="15" t="s">
        <v>1221</v>
      </c>
      <c r="DN28" s="15" t="s">
        <v>1222</v>
      </c>
      <c r="DO28" s="15" t="s">
        <v>464</v>
      </c>
      <c r="DP28" s="15" t="s">
        <v>1223</v>
      </c>
      <c r="DQ28" s="15" t="s">
        <v>1176</v>
      </c>
      <c r="DR28" s="15" t="s">
        <v>1224</v>
      </c>
      <c r="DS28" s="15" t="s">
        <v>618</v>
      </c>
      <c r="DT28" s="15" t="s">
        <v>703</v>
      </c>
      <c r="DU28" s="15" t="s">
        <v>1225</v>
      </c>
      <c r="DV28" s="15" t="s">
        <v>1226</v>
      </c>
      <c r="DW28" s="15" t="s">
        <v>573</v>
      </c>
      <c r="DX28" s="15" t="s">
        <v>1227</v>
      </c>
      <c r="DY28" s="15" t="s">
        <v>1228</v>
      </c>
      <c r="DZ28" s="15" t="s">
        <v>1229</v>
      </c>
      <c r="EA28" s="15" t="s">
        <v>475</v>
      </c>
      <c r="EB28" s="15" t="s">
        <v>845</v>
      </c>
      <c r="EC28" s="15" t="s">
        <v>1230</v>
      </c>
      <c r="ED28" s="15"/>
      <c r="EE28" s="15"/>
      <c r="EF28" s="15"/>
      <c r="EG28" s="15"/>
      <c r="EH28" s="15"/>
      <c r="EI28" s="15"/>
      <c r="EJ28" s="15"/>
      <c r="EK28" s="15"/>
      <c r="EL28" s="15"/>
      <c r="EM28" s="15"/>
      <c r="EN28" s="15"/>
      <c r="EO28" s="15"/>
      <c r="EP28" s="15"/>
      <c r="EQ28" s="15"/>
      <c r="ER28" s="15"/>
      <c r="ES28" s="15"/>
      <c r="ET28" s="15" t="s">
        <v>578</v>
      </c>
      <c r="EU28" s="15" t="s">
        <v>1037</v>
      </c>
      <c r="EV28" s="15" t="s">
        <v>480</v>
      </c>
      <c r="EW28" s="15" t="s">
        <v>1231</v>
      </c>
      <c r="EX28" s="15" t="s">
        <v>1232</v>
      </c>
      <c r="EY28" s="15" t="s">
        <v>1233</v>
      </c>
      <c r="EZ28" s="15" t="s">
        <v>414</v>
      </c>
      <c r="FA28" s="15" t="s">
        <v>414</v>
      </c>
      <c r="FB28" s="15" t="s">
        <v>413</v>
      </c>
      <c r="FC28" s="15" t="s">
        <v>413</v>
      </c>
      <c r="FD28" s="15" t="s">
        <v>413</v>
      </c>
      <c r="FE28" s="15" t="s">
        <v>414</v>
      </c>
      <c r="FF28" s="15" t="s">
        <v>416</v>
      </c>
      <c r="FG28" s="15" t="s">
        <v>413</v>
      </c>
      <c r="FH28" s="15" t="s">
        <v>413</v>
      </c>
      <c r="FI28" s="15" t="s">
        <v>416</v>
      </c>
      <c r="FJ28" s="15" t="s">
        <v>416</v>
      </c>
      <c r="FK28" s="15" t="s">
        <v>415</v>
      </c>
      <c r="FL28" s="15" t="s">
        <v>415</v>
      </c>
      <c r="FM28" s="15" t="s">
        <v>416</v>
      </c>
      <c r="FN28" s="15" t="s">
        <v>414</v>
      </c>
      <c r="FO28" s="15" t="s">
        <v>1074</v>
      </c>
      <c r="FP28" s="15" t="s">
        <v>418</v>
      </c>
      <c r="FQ28" s="15" t="s">
        <v>712</v>
      </c>
      <c r="FR28" s="15" t="s">
        <v>1234</v>
      </c>
      <c r="FS28" s="15" t="s">
        <v>420</v>
      </c>
      <c r="FT28" s="15" t="s">
        <v>488</v>
      </c>
      <c r="FU28" s="15" t="s">
        <v>1235</v>
      </c>
      <c r="FV28" s="15" t="s">
        <v>490</v>
      </c>
      <c r="FW28" s="15" t="s">
        <v>491</v>
      </c>
      <c r="FX28" s="15" t="s">
        <v>1236</v>
      </c>
      <c r="FY28" s="15" t="s">
        <v>535</v>
      </c>
      <c r="FZ28" s="15" t="s">
        <v>1237</v>
      </c>
      <c r="GA28" s="15" t="s">
        <v>1238</v>
      </c>
      <c r="GB28" s="15" t="s">
        <v>455</v>
      </c>
      <c r="GC28" s="15"/>
      <c r="GD28" s="15"/>
      <c r="GE28" s="15" t="s">
        <v>753</v>
      </c>
      <c r="GF28" s="15" t="s">
        <v>1239</v>
      </c>
      <c r="GG28" s="15" t="s">
        <v>857</v>
      </c>
      <c r="GH28" s="15" t="s">
        <v>857</v>
      </c>
      <c r="GI28" s="15" t="s">
        <v>946</v>
      </c>
      <c r="GJ28" s="15"/>
      <c r="GK28" s="15"/>
      <c r="GL28" s="15"/>
      <c r="GM28" s="15" t="s">
        <v>1079</v>
      </c>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31"/>
      <c r="MX28" s="29" t="s">
        <v>894</v>
      </c>
      <c r="MY28" s="29" t="str">
        <f>IFERROR(__xludf.DUMMYFUNCTION("""COMPUTED_VALUE"""),"Alberta")</f>
        <v>Alberta</v>
      </c>
    </row>
    <row r="29" ht="16.5" customHeight="1">
      <c r="A29" s="30">
        <v>45827.16678185185</v>
      </c>
      <c r="B29" s="15" t="s">
        <v>368</v>
      </c>
      <c r="C29" s="15" t="s">
        <v>894</v>
      </c>
      <c r="D29" s="15" t="s">
        <v>894</v>
      </c>
      <c r="E29" s="15"/>
      <c r="F29" s="15"/>
      <c r="G29" s="15" t="s">
        <v>422</v>
      </c>
      <c r="H29" s="15" t="s">
        <v>496</v>
      </c>
      <c r="I29" s="15" t="s">
        <v>374</v>
      </c>
      <c r="J29" s="15" t="s">
        <v>1240</v>
      </c>
      <c r="K29" s="15" t="s">
        <v>376</v>
      </c>
      <c r="L29" s="15" t="s">
        <v>426</v>
      </c>
      <c r="M29" s="15" t="s">
        <v>860</v>
      </c>
      <c r="N29" s="15" t="s">
        <v>379</v>
      </c>
      <c r="O29" s="15" t="s">
        <v>719</v>
      </c>
      <c r="P29" s="15" t="s">
        <v>498</v>
      </c>
      <c r="Q29" s="15" t="s">
        <v>499</v>
      </c>
      <c r="R29" s="15" t="s">
        <v>427</v>
      </c>
      <c r="S29" s="15" t="s">
        <v>384</v>
      </c>
      <c r="T29" s="15" t="s">
        <v>385</v>
      </c>
      <c r="U29" s="15" t="s">
        <v>1241</v>
      </c>
      <c r="V29" s="15" t="s">
        <v>1241</v>
      </c>
      <c r="W29" s="15" t="s">
        <v>428</v>
      </c>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t="s">
        <v>1242</v>
      </c>
      <c r="AW29" s="15" t="s">
        <v>675</v>
      </c>
      <c r="AX29" s="15" t="s">
        <v>675</v>
      </c>
      <c r="AY29" s="15" t="s">
        <v>675</v>
      </c>
      <c r="AZ29" s="15" t="s">
        <v>675</v>
      </c>
      <c r="BA29" s="15" t="s">
        <v>675</v>
      </c>
      <c r="BB29" s="15" t="s">
        <v>675</v>
      </c>
      <c r="BC29" s="15" t="s">
        <v>1243</v>
      </c>
      <c r="BD29" s="15" t="s">
        <v>1244</v>
      </c>
      <c r="BE29" s="15" t="s">
        <v>432</v>
      </c>
      <c r="BF29" s="15" t="s">
        <v>1245</v>
      </c>
      <c r="BG29" s="15" t="s">
        <v>394</v>
      </c>
      <c r="BH29" s="15" t="s">
        <v>1246</v>
      </c>
      <c r="BI29" s="15" t="s">
        <v>976</v>
      </c>
      <c r="BJ29" s="15" t="s">
        <v>1211</v>
      </c>
      <c r="BK29" s="15" t="s">
        <v>681</v>
      </c>
      <c r="BL29" s="15" t="s">
        <v>603</v>
      </c>
      <c r="BM29" s="15" t="s">
        <v>1247</v>
      </c>
      <c r="BN29" s="15" t="s">
        <v>398</v>
      </c>
      <c r="BO29" s="15" t="s">
        <v>1248</v>
      </c>
      <c r="BP29" s="15" t="s">
        <v>1249</v>
      </c>
      <c r="BQ29" s="15" t="s">
        <v>442</v>
      </c>
      <c r="BR29" s="15" t="s">
        <v>1250</v>
      </c>
      <c r="BS29" s="15" t="s">
        <v>1251</v>
      </c>
      <c r="BT29" s="15" t="s">
        <v>404</v>
      </c>
      <c r="BU29" s="15" t="s">
        <v>405</v>
      </c>
      <c r="BV29" s="15" t="s">
        <v>1252</v>
      </c>
      <c r="BW29" s="15" t="s">
        <v>988</v>
      </c>
      <c r="BX29" s="15"/>
      <c r="BY29" s="15" t="s">
        <v>455</v>
      </c>
      <c r="BZ29" s="15" t="s">
        <v>1253</v>
      </c>
      <c r="CA29" s="15" t="s">
        <v>1254</v>
      </c>
      <c r="CB29" s="15" t="s">
        <v>1255</v>
      </c>
      <c r="CC29" s="15" t="s">
        <v>1256</v>
      </c>
      <c r="CD29" s="15" t="s">
        <v>1257</v>
      </c>
      <c r="CE29" s="15" t="s">
        <v>1252</v>
      </c>
      <c r="CF29" s="15" t="s">
        <v>1258</v>
      </c>
      <c r="CG29" s="15"/>
      <c r="CH29" s="15" t="s">
        <v>1259</v>
      </c>
      <c r="CI29" s="15" t="s">
        <v>410</v>
      </c>
      <c r="CJ29" s="15" t="s">
        <v>1260</v>
      </c>
      <c r="CK29" s="15" t="s">
        <v>1261</v>
      </c>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t="s">
        <v>526</v>
      </c>
      <c r="EU29" s="15" t="s">
        <v>1127</v>
      </c>
      <c r="EV29" s="15" t="s">
        <v>1262</v>
      </c>
      <c r="EW29" s="15"/>
      <c r="EX29" s="15" t="s">
        <v>1263</v>
      </c>
      <c r="EY29" s="15" t="s">
        <v>1264</v>
      </c>
      <c r="EZ29" s="15" t="s">
        <v>415</v>
      </c>
      <c r="FA29" s="15" t="s">
        <v>414</v>
      </c>
      <c r="FB29" s="15" t="s">
        <v>413</v>
      </c>
      <c r="FC29" s="15" t="s">
        <v>414</v>
      </c>
      <c r="FD29" s="15" t="s">
        <v>413</v>
      </c>
      <c r="FE29" s="15" t="s">
        <v>414</v>
      </c>
      <c r="FF29" s="15" t="s">
        <v>414</v>
      </c>
      <c r="FG29" s="15" t="s">
        <v>413</v>
      </c>
      <c r="FH29" s="15" t="s">
        <v>583</v>
      </c>
      <c r="FI29" s="15" t="s">
        <v>415</v>
      </c>
      <c r="FJ29" s="15" t="s">
        <v>415</v>
      </c>
      <c r="FK29" s="15" t="s">
        <v>415</v>
      </c>
      <c r="FL29" s="15" t="s">
        <v>414</v>
      </c>
      <c r="FM29" s="15" t="s">
        <v>413</v>
      </c>
      <c r="FN29" s="15" t="s">
        <v>414</v>
      </c>
      <c r="FO29" s="15" t="s">
        <v>417</v>
      </c>
      <c r="FP29" s="15" t="s">
        <v>486</v>
      </c>
      <c r="FQ29" s="15" t="s">
        <v>749</v>
      </c>
      <c r="FR29" s="15"/>
      <c r="FS29" s="15" t="s">
        <v>420</v>
      </c>
      <c r="FT29" s="15" t="s">
        <v>488</v>
      </c>
      <c r="FU29" s="15" t="s">
        <v>918</v>
      </c>
      <c r="FV29" s="15" t="s">
        <v>490</v>
      </c>
      <c r="FW29" s="15" t="s">
        <v>491</v>
      </c>
      <c r="FX29" s="15" t="s">
        <v>1265</v>
      </c>
      <c r="FY29" s="15" t="s">
        <v>535</v>
      </c>
      <c r="FZ29" s="15" t="s">
        <v>1266</v>
      </c>
      <c r="GA29" s="15"/>
      <c r="GB29" s="15" t="s">
        <v>455</v>
      </c>
      <c r="GC29" s="15"/>
      <c r="GD29" s="15"/>
      <c r="GE29" s="15" t="s">
        <v>753</v>
      </c>
      <c r="GF29" s="15"/>
      <c r="GG29" s="15"/>
      <c r="GH29" s="15"/>
      <c r="GI29" s="15"/>
      <c r="GJ29" s="15" t="s">
        <v>1000</v>
      </c>
      <c r="GK29" s="15" t="s">
        <v>1000</v>
      </c>
      <c r="GL29" s="15" t="s">
        <v>858</v>
      </c>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31"/>
      <c r="MX29" s="29" t="s">
        <v>1267</v>
      </c>
      <c r="MY29" s="29" t="str">
        <f>IFERROR(__xludf.DUMMYFUNCTION("""COMPUTED_VALUE"""),"Spain")</f>
        <v>Spain</v>
      </c>
    </row>
    <row r="30" ht="16.5" customHeight="1">
      <c r="A30" s="30">
        <v>45827.22959027778</v>
      </c>
      <c r="B30" s="15" t="s">
        <v>368</v>
      </c>
      <c r="C30" s="15" t="s">
        <v>1267</v>
      </c>
      <c r="D30" s="15" t="s">
        <v>1268</v>
      </c>
      <c r="E30" s="15"/>
      <c r="F30" s="15"/>
      <c r="G30" s="15" t="s">
        <v>1269</v>
      </c>
      <c r="H30" s="15" t="s">
        <v>373</v>
      </c>
      <c r="I30" s="15" t="s">
        <v>374</v>
      </c>
      <c r="J30" s="15" t="s">
        <v>669</v>
      </c>
      <c r="K30" s="15" t="s">
        <v>376</v>
      </c>
      <c r="L30" s="15" t="s">
        <v>670</v>
      </c>
      <c r="M30" s="15" t="s">
        <v>1270</v>
      </c>
      <c r="N30" s="15" t="s">
        <v>591</v>
      </c>
      <c r="O30" s="15" t="s">
        <v>1271</v>
      </c>
      <c r="P30" s="15" t="s">
        <v>498</v>
      </c>
      <c r="Q30" s="15" t="s">
        <v>862</v>
      </c>
      <c r="R30" s="15" t="s">
        <v>500</v>
      </c>
      <c r="S30" s="15" t="s">
        <v>384</v>
      </c>
      <c r="T30" s="15" t="s">
        <v>385</v>
      </c>
      <c r="U30" s="15"/>
      <c r="V30" s="15"/>
      <c r="W30" s="15" t="s">
        <v>428</v>
      </c>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t="s">
        <v>504</v>
      </c>
      <c r="AW30" s="15" t="s">
        <v>429</v>
      </c>
      <c r="AX30" s="15" t="s">
        <v>429</v>
      </c>
      <c r="AY30" s="15" t="s">
        <v>429</v>
      </c>
      <c r="AZ30" s="15" t="s">
        <v>429</v>
      </c>
      <c r="BA30" s="15" t="s">
        <v>429</v>
      </c>
      <c r="BB30" s="15" t="s">
        <v>429</v>
      </c>
      <c r="BC30" s="15" t="s">
        <v>1272</v>
      </c>
      <c r="BD30" s="15" t="s">
        <v>1273</v>
      </c>
      <c r="BE30" s="15" t="s">
        <v>392</v>
      </c>
      <c r="BF30" s="15" t="s">
        <v>433</v>
      </c>
      <c r="BG30" s="15" t="s">
        <v>678</v>
      </c>
      <c r="BH30" s="15" t="s">
        <v>1274</v>
      </c>
      <c r="BI30" s="15" t="s">
        <v>509</v>
      </c>
      <c r="BJ30" s="15" t="s">
        <v>1275</v>
      </c>
      <c r="BK30" s="15" t="s">
        <v>511</v>
      </c>
      <c r="BL30" s="15" t="s">
        <v>904</v>
      </c>
      <c r="BM30" s="15" t="s">
        <v>1276</v>
      </c>
      <c r="BN30" s="15" t="s">
        <v>440</v>
      </c>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t="s">
        <v>550</v>
      </c>
      <c r="CM30" s="15" t="s">
        <v>442</v>
      </c>
      <c r="CN30" s="15" t="s">
        <v>1277</v>
      </c>
      <c r="CO30" s="15" t="s">
        <v>1278</v>
      </c>
      <c r="CP30" s="15" t="s">
        <v>445</v>
      </c>
      <c r="CQ30" s="15" t="s">
        <v>1279</v>
      </c>
      <c r="CR30" s="15" t="s">
        <v>804</v>
      </c>
      <c r="CS30" s="15" t="s">
        <v>1280</v>
      </c>
      <c r="CT30" s="15" t="s">
        <v>1281</v>
      </c>
      <c r="CU30" s="15" t="s">
        <v>450</v>
      </c>
      <c r="CV30" s="15" t="s">
        <v>451</v>
      </c>
      <c r="CW30" s="15" t="s">
        <v>1282</v>
      </c>
      <c r="CX30" s="15" t="s">
        <v>455</v>
      </c>
      <c r="CY30" s="15" t="s">
        <v>1283</v>
      </c>
      <c r="CZ30" s="15" t="s">
        <v>453</v>
      </c>
      <c r="DA30" s="15" t="s">
        <v>1284</v>
      </c>
      <c r="DB30" s="15" t="s">
        <v>455</v>
      </c>
      <c r="DC30" s="15" t="s">
        <v>1285</v>
      </c>
      <c r="DD30" s="15" t="s">
        <v>457</v>
      </c>
      <c r="DE30" s="15"/>
      <c r="DF30" s="15" t="s">
        <v>1286</v>
      </c>
      <c r="DG30" s="15" t="s">
        <v>561</v>
      </c>
      <c r="DH30" s="15" t="s">
        <v>410</v>
      </c>
      <c r="DI30" s="15" t="s">
        <v>963</v>
      </c>
      <c r="DJ30" s="15" t="s">
        <v>460</v>
      </c>
      <c r="DK30" s="15" t="s">
        <v>563</v>
      </c>
      <c r="DL30" s="15" t="s">
        <v>1287</v>
      </c>
      <c r="DM30" s="15" t="s">
        <v>1288</v>
      </c>
      <c r="DN30" s="15" t="s">
        <v>1289</v>
      </c>
      <c r="DO30" s="15" t="s">
        <v>567</v>
      </c>
      <c r="DP30" s="15" t="s">
        <v>1290</v>
      </c>
      <c r="DQ30" s="15" t="s">
        <v>1291</v>
      </c>
      <c r="DR30" s="15" t="s">
        <v>1292</v>
      </c>
      <c r="DS30" s="15" t="s">
        <v>468</v>
      </c>
      <c r="DT30" s="15" t="s">
        <v>703</v>
      </c>
      <c r="DU30" s="15" t="s">
        <v>1293</v>
      </c>
      <c r="DV30" s="15" t="s">
        <v>408</v>
      </c>
      <c r="DW30" s="15" t="s">
        <v>573</v>
      </c>
      <c r="DX30" s="15" t="s">
        <v>1294</v>
      </c>
      <c r="DY30" s="15" t="s">
        <v>1295</v>
      </c>
      <c r="DZ30" s="15" t="s">
        <v>1296</v>
      </c>
      <c r="EA30" s="15" t="s">
        <v>475</v>
      </c>
      <c r="EB30" s="15" t="s">
        <v>845</v>
      </c>
      <c r="EC30" s="15" t="s">
        <v>1297</v>
      </c>
      <c r="ED30" s="15"/>
      <c r="EE30" s="15"/>
      <c r="EF30" s="15"/>
      <c r="EG30" s="15"/>
      <c r="EH30" s="15"/>
      <c r="EI30" s="15"/>
      <c r="EJ30" s="15"/>
      <c r="EK30" s="15"/>
      <c r="EL30" s="15"/>
      <c r="EM30" s="15"/>
      <c r="EN30" s="15"/>
      <c r="EO30" s="15"/>
      <c r="EP30" s="15"/>
      <c r="EQ30" s="15"/>
      <c r="ER30" s="15"/>
      <c r="ES30" s="15"/>
      <c r="ET30" s="15" t="s">
        <v>526</v>
      </c>
      <c r="EU30" s="15" t="s">
        <v>579</v>
      </c>
      <c r="EV30" s="15" t="s">
        <v>527</v>
      </c>
      <c r="EW30" s="15" t="s">
        <v>1298</v>
      </c>
      <c r="EX30" s="15" t="s">
        <v>1299</v>
      </c>
      <c r="EY30" s="15" t="s">
        <v>1300</v>
      </c>
      <c r="EZ30" s="15" t="s">
        <v>415</v>
      </c>
      <c r="FA30" s="15" t="s">
        <v>415</v>
      </c>
      <c r="FB30" s="15" t="s">
        <v>415</v>
      </c>
      <c r="FC30" s="15" t="s">
        <v>415</v>
      </c>
      <c r="FD30" s="15" t="s">
        <v>415</v>
      </c>
      <c r="FE30" s="15" t="s">
        <v>415</v>
      </c>
      <c r="FF30" s="15" t="s">
        <v>415</v>
      </c>
      <c r="FG30" s="15" t="s">
        <v>415</v>
      </c>
      <c r="FH30" s="15" t="s">
        <v>415</v>
      </c>
      <c r="FI30" s="15" t="s">
        <v>415</v>
      </c>
      <c r="FJ30" s="15" t="s">
        <v>415</v>
      </c>
      <c r="FK30" s="15" t="s">
        <v>415</v>
      </c>
      <c r="FL30" s="15" t="s">
        <v>415</v>
      </c>
      <c r="FM30" s="15" t="s">
        <v>415</v>
      </c>
      <c r="FN30" s="15" t="s">
        <v>415</v>
      </c>
      <c r="FO30" s="15" t="s">
        <v>417</v>
      </c>
      <c r="FP30" s="15" t="s">
        <v>418</v>
      </c>
      <c r="FQ30" s="15" t="s">
        <v>749</v>
      </c>
      <c r="FR30" s="15" t="s">
        <v>1301</v>
      </c>
      <c r="FS30" s="15" t="s">
        <v>420</v>
      </c>
      <c r="FT30" s="15" t="s">
        <v>488</v>
      </c>
      <c r="FU30" s="15" t="s">
        <v>585</v>
      </c>
      <c r="FV30" s="15" t="s">
        <v>490</v>
      </c>
      <c r="FW30" s="15" t="s">
        <v>491</v>
      </c>
      <c r="FX30" s="15" t="s">
        <v>1302</v>
      </c>
      <c r="FY30" s="15" t="s">
        <v>535</v>
      </c>
      <c r="FZ30" s="15" t="s">
        <v>1303</v>
      </c>
      <c r="GA30" s="15" t="s">
        <v>1304</v>
      </c>
      <c r="GB30" s="15" t="s">
        <v>455</v>
      </c>
      <c r="GC30" s="15"/>
      <c r="GD30" s="15" t="s">
        <v>1305</v>
      </c>
      <c r="GE30" s="15" t="s">
        <v>944</v>
      </c>
      <c r="GF30" s="15" t="s">
        <v>1306</v>
      </c>
      <c r="GG30" s="15" t="s">
        <v>755</v>
      </c>
      <c r="GH30" s="15" t="s">
        <v>755</v>
      </c>
      <c r="GI30" s="15" t="s">
        <v>946</v>
      </c>
      <c r="GJ30" s="15"/>
      <c r="GK30" s="15"/>
      <c r="GL30" s="15"/>
      <c r="GM30" s="15" t="s">
        <v>1079</v>
      </c>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31"/>
      <c r="MX30" s="29" t="s">
        <v>10402</v>
      </c>
      <c r="MY30" s="29" t="str">
        <f>IFERROR(__xludf.DUMMYFUNCTION("""COMPUTED_VALUE"""),"Indiana")</f>
        <v>Indiana</v>
      </c>
    </row>
    <row r="31" ht="16.5" customHeight="1">
      <c r="A31" s="30">
        <v>45827.23603613426</v>
      </c>
      <c r="B31" s="15" t="s">
        <v>368</v>
      </c>
      <c r="C31" s="15" t="s">
        <v>370</v>
      </c>
      <c r="D31" s="15"/>
      <c r="E31" s="15" t="s">
        <v>757</v>
      </c>
      <c r="F31" s="15"/>
      <c r="G31" s="15" t="s">
        <v>422</v>
      </c>
      <c r="H31" s="15" t="s">
        <v>1307</v>
      </c>
      <c r="I31" s="15" t="s">
        <v>668</v>
      </c>
      <c r="J31" s="15" t="s">
        <v>540</v>
      </c>
      <c r="K31" s="15" t="s">
        <v>376</v>
      </c>
      <c r="L31" s="15" t="s">
        <v>379</v>
      </c>
      <c r="M31" s="15" t="s">
        <v>720</v>
      </c>
      <c r="N31" s="15" t="s">
        <v>377</v>
      </c>
      <c r="O31" s="15" t="s">
        <v>497</v>
      </c>
      <c r="P31" s="15" t="s">
        <v>498</v>
      </c>
      <c r="Q31" s="15" t="s">
        <v>382</v>
      </c>
      <c r="R31" s="15" t="s">
        <v>427</v>
      </c>
      <c r="S31" s="15" t="s">
        <v>384</v>
      </c>
      <c r="T31" s="15" t="s">
        <v>385</v>
      </c>
      <c r="U31" s="15"/>
      <c r="V31" s="15"/>
      <c r="W31" s="15" t="s">
        <v>593</v>
      </c>
      <c r="X31" s="15" t="s">
        <v>387</v>
      </c>
      <c r="Y31" s="15" t="s">
        <v>761</v>
      </c>
      <c r="Z31" s="15" t="s">
        <v>543</v>
      </c>
      <c r="AA31" s="15" t="s">
        <v>1308</v>
      </c>
      <c r="AB31" s="15" t="s">
        <v>1309</v>
      </c>
      <c r="AC31" s="15"/>
      <c r="AD31" s="15"/>
      <c r="AE31" s="15"/>
      <c r="AF31" s="15"/>
      <c r="AG31" s="15"/>
      <c r="AH31" s="15"/>
      <c r="AI31" s="15"/>
      <c r="AJ31" s="15"/>
      <c r="AK31" s="15"/>
      <c r="AL31" s="15"/>
      <c r="AM31" s="15"/>
      <c r="AN31" s="15"/>
      <c r="AO31" s="15"/>
      <c r="AP31" s="15"/>
      <c r="AQ31" s="15"/>
      <c r="AR31" s="15"/>
      <c r="AS31" s="15"/>
      <c r="AT31" s="15"/>
      <c r="AU31" s="15"/>
      <c r="AV31" s="15" t="s">
        <v>1310</v>
      </c>
      <c r="AW31" s="15" t="s">
        <v>675</v>
      </c>
      <c r="AX31" s="15">
        <v>4.0</v>
      </c>
      <c r="AY31" s="15">
        <v>4.0</v>
      </c>
      <c r="AZ31" s="15">
        <v>4.0</v>
      </c>
      <c r="BA31" s="15" t="s">
        <v>675</v>
      </c>
      <c r="BB31" s="15" t="s">
        <v>675</v>
      </c>
      <c r="BC31" s="15" t="s">
        <v>1311</v>
      </c>
      <c r="BD31" s="15" t="s">
        <v>1312</v>
      </c>
      <c r="BE31" s="15" t="s">
        <v>902</v>
      </c>
      <c r="BF31" s="15" t="s">
        <v>1245</v>
      </c>
      <c r="BG31" s="15" t="s">
        <v>394</v>
      </c>
      <c r="BH31" s="15" t="s">
        <v>1313</v>
      </c>
      <c r="BI31" s="15" t="s">
        <v>976</v>
      </c>
      <c r="BJ31" s="15"/>
      <c r="BK31" s="15" t="s">
        <v>511</v>
      </c>
      <c r="BL31" s="15" t="s">
        <v>603</v>
      </c>
      <c r="BM31" s="15" t="s">
        <v>1314</v>
      </c>
      <c r="BN31" s="15" t="s">
        <v>440</v>
      </c>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t="s">
        <v>550</v>
      </c>
      <c r="CM31" s="15" t="s">
        <v>682</v>
      </c>
      <c r="CN31" s="15" t="s">
        <v>1315</v>
      </c>
      <c r="CO31" s="15" t="s">
        <v>1316</v>
      </c>
      <c r="CP31" s="15" t="s">
        <v>685</v>
      </c>
      <c r="CQ31" s="15" t="s">
        <v>516</v>
      </c>
      <c r="CR31" s="15" t="s">
        <v>404</v>
      </c>
      <c r="CS31" s="15" t="s">
        <v>871</v>
      </c>
      <c r="CT31" s="15" t="s">
        <v>1317</v>
      </c>
      <c r="CU31" s="15" t="s">
        <v>450</v>
      </c>
      <c r="CV31" s="15" t="s">
        <v>451</v>
      </c>
      <c r="CW31" s="15" t="s">
        <v>1318</v>
      </c>
      <c r="CX31" s="15" t="s">
        <v>455</v>
      </c>
      <c r="CY31" s="15" t="s">
        <v>1319</v>
      </c>
      <c r="CZ31" s="15" t="s">
        <v>453</v>
      </c>
      <c r="DA31" s="15" t="s">
        <v>1320</v>
      </c>
      <c r="DB31" s="15" t="s">
        <v>408</v>
      </c>
      <c r="DC31" s="15"/>
      <c r="DD31" s="15" t="s">
        <v>662</v>
      </c>
      <c r="DE31" s="15"/>
      <c r="DF31" s="15" t="s">
        <v>1321</v>
      </c>
      <c r="DG31" s="15" t="s">
        <v>990</v>
      </c>
      <c r="DH31" s="15" t="s">
        <v>410</v>
      </c>
      <c r="DI31" s="15" t="s">
        <v>963</v>
      </c>
      <c r="DJ31" s="15" t="s">
        <v>613</v>
      </c>
      <c r="DK31" s="15"/>
      <c r="DL31" s="15"/>
      <c r="DM31" s="15" t="s">
        <v>462</v>
      </c>
      <c r="DN31" s="15" t="s">
        <v>1322</v>
      </c>
      <c r="DO31" s="15" t="s">
        <v>1063</v>
      </c>
      <c r="DP31" s="15" t="s">
        <v>1323</v>
      </c>
      <c r="DQ31" s="15" t="s">
        <v>1324</v>
      </c>
      <c r="DR31" s="15" t="s">
        <v>1325</v>
      </c>
      <c r="DS31" s="15" t="s">
        <v>839</v>
      </c>
      <c r="DT31" s="15" t="s">
        <v>619</v>
      </c>
      <c r="DU31" s="15" t="s">
        <v>1326</v>
      </c>
      <c r="DV31" s="15" t="s">
        <v>1327</v>
      </c>
      <c r="DW31" s="15" t="s">
        <v>1328</v>
      </c>
      <c r="DX31" s="15" t="s">
        <v>1329</v>
      </c>
      <c r="DY31" s="15" t="s">
        <v>1330</v>
      </c>
      <c r="DZ31" s="15" t="s">
        <v>1331</v>
      </c>
      <c r="EA31" s="15" t="s">
        <v>475</v>
      </c>
      <c r="EB31" s="15" t="s">
        <v>845</v>
      </c>
      <c r="EC31" s="15" t="s">
        <v>408</v>
      </c>
      <c r="ED31" s="15"/>
      <c r="EE31" s="15"/>
      <c r="EF31" s="15"/>
      <c r="EG31" s="15"/>
      <c r="EH31" s="15"/>
      <c r="EI31" s="15"/>
      <c r="EJ31" s="15"/>
      <c r="EK31" s="15"/>
      <c r="EL31" s="15"/>
      <c r="EM31" s="15"/>
      <c r="EN31" s="15"/>
      <c r="EO31" s="15"/>
      <c r="EP31" s="15"/>
      <c r="EQ31" s="15"/>
      <c r="ER31" s="15"/>
      <c r="ES31" s="15"/>
      <c r="ET31" s="15" t="s">
        <v>526</v>
      </c>
      <c r="EU31" s="15" t="s">
        <v>479</v>
      </c>
      <c r="EV31" s="15" t="s">
        <v>480</v>
      </c>
      <c r="EW31" s="15" t="s">
        <v>1332</v>
      </c>
      <c r="EX31" s="15" t="s">
        <v>1333</v>
      </c>
      <c r="EY31" s="15" t="s">
        <v>1334</v>
      </c>
      <c r="EZ31" s="15" t="s">
        <v>583</v>
      </c>
      <c r="FA31" s="15" t="s">
        <v>583</v>
      </c>
      <c r="FB31" s="15" t="s">
        <v>484</v>
      </c>
      <c r="FC31" s="15" t="s">
        <v>414</v>
      </c>
      <c r="FD31" s="15" t="s">
        <v>413</v>
      </c>
      <c r="FE31" s="15" t="s">
        <v>583</v>
      </c>
      <c r="FF31" s="15" t="s">
        <v>484</v>
      </c>
      <c r="FG31" s="15" t="s">
        <v>583</v>
      </c>
      <c r="FH31" s="15" t="s">
        <v>413</v>
      </c>
      <c r="FI31" s="15" t="s">
        <v>583</v>
      </c>
      <c r="FJ31" s="15" t="s">
        <v>415</v>
      </c>
      <c r="FK31" s="15" t="s">
        <v>583</v>
      </c>
      <c r="FL31" s="15" t="s">
        <v>583</v>
      </c>
      <c r="FM31" s="15" t="s">
        <v>583</v>
      </c>
      <c r="FN31" s="15" t="s">
        <v>484</v>
      </c>
      <c r="FO31" s="15" t="s">
        <v>850</v>
      </c>
      <c r="FP31" s="15" t="s">
        <v>418</v>
      </c>
      <c r="FQ31" s="15" t="s">
        <v>712</v>
      </c>
      <c r="FR31" s="15" t="s">
        <v>1335</v>
      </c>
      <c r="FS31" s="15" t="s">
        <v>420</v>
      </c>
      <c r="FT31" s="15" t="s">
        <v>488</v>
      </c>
      <c r="FU31" s="15" t="s">
        <v>489</v>
      </c>
      <c r="FV31" s="15" t="s">
        <v>490</v>
      </c>
      <c r="FW31" s="15" t="s">
        <v>491</v>
      </c>
      <c r="FX31" s="15" t="s">
        <v>1336</v>
      </c>
      <c r="FY31" s="15" t="s">
        <v>1337</v>
      </c>
      <c r="FZ31" s="15"/>
      <c r="GA31" s="15" t="s">
        <v>1338</v>
      </c>
      <c r="GB31" s="15" t="s">
        <v>455</v>
      </c>
      <c r="GC31" s="15"/>
      <c r="GD31" s="15"/>
      <c r="GE31" s="15" t="s">
        <v>1339</v>
      </c>
      <c r="GF31" s="15" t="s">
        <v>1340</v>
      </c>
      <c r="GG31" s="15" t="s">
        <v>1000</v>
      </c>
      <c r="GH31" s="15" t="s">
        <v>1000</v>
      </c>
      <c r="GI31" s="15" t="s">
        <v>756</v>
      </c>
      <c r="GJ31" s="15"/>
      <c r="GK31" s="15"/>
      <c r="GL31" s="15"/>
      <c r="GM31" s="15" t="s">
        <v>1079</v>
      </c>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31"/>
      <c r="MX31" s="29" t="s">
        <v>1341</v>
      </c>
      <c r="MY31" s="29" t="str">
        <f>IFERROR(__xludf.DUMMYFUNCTION("""COMPUTED_VALUE"""),"Germany")</f>
        <v>Germany</v>
      </c>
    </row>
    <row r="32" ht="16.5" customHeight="1">
      <c r="A32" s="30">
        <v>45827.238532777774</v>
      </c>
      <c r="B32" s="15" t="s">
        <v>368</v>
      </c>
      <c r="C32" s="15" t="s">
        <v>1341</v>
      </c>
      <c r="D32" s="15" t="s">
        <v>1341</v>
      </c>
      <c r="E32" s="15"/>
      <c r="F32" s="15"/>
      <c r="G32" s="15" t="s">
        <v>422</v>
      </c>
      <c r="H32" s="15" t="s">
        <v>637</v>
      </c>
      <c r="I32" s="15" t="s">
        <v>638</v>
      </c>
      <c r="J32" s="15" t="s">
        <v>590</v>
      </c>
      <c r="K32" s="15" t="s">
        <v>376</v>
      </c>
      <c r="L32" s="15" t="s">
        <v>396</v>
      </c>
      <c r="M32" s="15"/>
      <c r="N32" s="15" t="s">
        <v>396</v>
      </c>
      <c r="O32" s="15"/>
      <c r="P32" s="15" t="s">
        <v>592</v>
      </c>
      <c r="Q32" s="15" t="s">
        <v>1342</v>
      </c>
      <c r="R32" s="15" t="s">
        <v>427</v>
      </c>
      <c r="S32" s="15" t="s">
        <v>384</v>
      </c>
      <c r="T32" s="15" t="s">
        <v>385</v>
      </c>
      <c r="U32" s="15"/>
      <c r="V32" s="15"/>
      <c r="W32" s="15" t="s">
        <v>428</v>
      </c>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t="s">
        <v>390</v>
      </c>
      <c r="AW32" s="15">
        <v>4.0</v>
      </c>
      <c r="AX32" s="15">
        <v>2.0</v>
      </c>
      <c r="AY32" s="15" t="s">
        <v>675</v>
      </c>
      <c r="AZ32" s="15"/>
      <c r="BA32" s="15" t="s">
        <v>675</v>
      </c>
      <c r="BB32" s="15" t="s">
        <v>391</v>
      </c>
      <c r="BC32" s="15"/>
      <c r="BD32" s="15"/>
      <c r="BE32" s="15" t="s">
        <v>432</v>
      </c>
      <c r="BF32" s="15" t="s">
        <v>433</v>
      </c>
      <c r="BG32" s="15" t="s">
        <v>394</v>
      </c>
      <c r="BH32" s="15" t="s">
        <v>1343</v>
      </c>
      <c r="BI32" s="15" t="s">
        <v>824</v>
      </c>
      <c r="BJ32" s="15"/>
      <c r="BK32" s="15" t="s">
        <v>395</v>
      </c>
      <c r="BL32" s="15" t="s">
        <v>396</v>
      </c>
      <c r="BM32" s="15" t="s">
        <v>397</v>
      </c>
      <c r="BN32" s="15" t="s">
        <v>440</v>
      </c>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t="s">
        <v>441</v>
      </c>
      <c r="CM32" s="15" t="s">
        <v>442</v>
      </c>
      <c r="CN32" s="15" t="s">
        <v>1344</v>
      </c>
      <c r="CO32" s="15" t="s">
        <v>1345</v>
      </c>
      <c r="CP32" s="15" t="s">
        <v>445</v>
      </c>
      <c r="CQ32" s="15" t="s">
        <v>956</v>
      </c>
      <c r="CR32" s="15" t="s">
        <v>828</v>
      </c>
      <c r="CS32" s="15" t="s">
        <v>1346</v>
      </c>
      <c r="CT32" s="15" t="s">
        <v>1347</v>
      </c>
      <c r="CU32" s="15" t="s">
        <v>450</v>
      </c>
      <c r="CV32" s="15" t="s">
        <v>451</v>
      </c>
      <c r="CW32" s="15" t="s">
        <v>1348</v>
      </c>
      <c r="CX32" s="15" t="s">
        <v>455</v>
      </c>
      <c r="CY32" s="15" t="s">
        <v>1349</v>
      </c>
      <c r="CZ32" s="15" t="s">
        <v>453</v>
      </c>
      <c r="DA32" s="15"/>
      <c r="DB32" s="15" t="s">
        <v>408</v>
      </c>
      <c r="DC32" s="15"/>
      <c r="DD32" s="15" t="s">
        <v>457</v>
      </c>
      <c r="DE32" s="15"/>
      <c r="DF32" s="15"/>
      <c r="DG32" s="15"/>
      <c r="DH32" s="15" t="s">
        <v>833</v>
      </c>
      <c r="DI32" s="15" t="s">
        <v>963</v>
      </c>
      <c r="DJ32" s="15" t="s">
        <v>613</v>
      </c>
      <c r="DK32" s="15"/>
      <c r="DL32" s="15"/>
      <c r="DM32" s="15" t="s">
        <v>1350</v>
      </c>
      <c r="DN32" s="15" t="s">
        <v>1351</v>
      </c>
      <c r="DO32" s="15" t="s">
        <v>464</v>
      </c>
      <c r="DP32" s="15" t="s">
        <v>1352</v>
      </c>
      <c r="DQ32" s="15" t="s">
        <v>700</v>
      </c>
      <c r="DR32" s="15" t="s">
        <v>1353</v>
      </c>
      <c r="DS32" s="15" t="s">
        <v>839</v>
      </c>
      <c r="DT32" s="15" t="s">
        <v>570</v>
      </c>
      <c r="DU32" s="15"/>
      <c r="DV32" s="15" t="s">
        <v>1354</v>
      </c>
      <c r="DW32" s="15" t="s">
        <v>1328</v>
      </c>
      <c r="DX32" s="15" t="s">
        <v>1355</v>
      </c>
      <c r="DY32" s="15"/>
      <c r="DZ32" s="15" t="s">
        <v>1356</v>
      </c>
      <c r="EA32" s="15" t="s">
        <v>475</v>
      </c>
      <c r="EB32" s="15" t="s">
        <v>626</v>
      </c>
      <c r="EC32" s="15" t="s">
        <v>1357</v>
      </c>
      <c r="ED32" s="15"/>
      <c r="EE32" s="15"/>
      <c r="EF32" s="15"/>
      <c r="EG32" s="15"/>
      <c r="EH32" s="15"/>
      <c r="EI32" s="15"/>
      <c r="EJ32" s="15"/>
      <c r="EK32" s="15"/>
      <c r="EL32" s="15"/>
      <c r="EM32" s="15"/>
      <c r="EN32" s="15"/>
      <c r="EO32" s="15"/>
      <c r="EP32" s="15"/>
      <c r="EQ32" s="15"/>
      <c r="ER32" s="15"/>
      <c r="ES32" s="15"/>
      <c r="ET32" s="15" t="s">
        <v>526</v>
      </c>
      <c r="EU32" s="15" t="s">
        <v>579</v>
      </c>
      <c r="EV32" s="15" t="s">
        <v>778</v>
      </c>
      <c r="EW32" s="15"/>
      <c r="EX32" s="15"/>
      <c r="EY32" s="15"/>
      <c r="EZ32" s="15" t="s">
        <v>415</v>
      </c>
      <c r="FA32" s="15" t="s">
        <v>414</v>
      </c>
      <c r="FB32" s="15" t="s">
        <v>413</v>
      </c>
      <c r="FC32" s="15" t="s">
        <v>416</v>
      </c>
      <c r="FD32" s="15" t="s">
        <v>413</v>
      </c>
      <c r="FE32" s="15" t="s">
        <v>583</v>
      </c>
      <c r="FF32" s="15" t="s">
        <v>415</v>
      </c>
      <c r="FG32" s="15" t="s">
        <v>413</v>
      </c>
      <c r="FH32" s="15" t="s">
        <v>415</v>
      </c>
      <c r="FI32" s="15" t="s">
        <v>413</v>
      </c>
      <c r="FJ32" s="15" t="s">
        <v>415</v>
      </c>
      <c r="FK32" s="15" t="s">
        <v>415</v>
      </c>
      <c r="FL32" s="15" t="s">
        <v>415</v>
      </c>
      <c r="FM32" s="15" t="s">
        <v>413</v>
      </c>
      <c r="FN32" s="15" t="s">
        <v>414</v>
      </c>
      <c r="FO32" s="15" t="s">
        <v>850</v>
      </c>
      <c r="FP32" s="15" t="s">
        <v>418</v>
      </c>
      <c r="FQ32" s="15" t="s">
        <v>1039</v>
      </c>
      <c r="FR32" s="15"/>
      <c r="FS32" s="15" t="s">
        <v>420</v>
      </c>
      <c r="FT32" s="15" t="s">
        <v>488</v>
      </c>
      <c r="FU32" s="15" t="s">
        <v>1235</v>
      </c>
      <c r="FV32" s="15" t="s">
        <v>490</v>
      </c>
      <c r="FW32" s="15" t="s">
        <v>491</v>
      </c>
      <c r="FX32" s="15" t="s">
        <v>1358</v>
      </c>
      <c r="FY32" s="15" t="s">
        <v>535</v>
      </c>
      <c r="FZ32" s="15" t="s">
        <v>1359</v>
      </c>
      <c r="GA32" s="15"/>
      <c r="GB32" s="15" t="s">
        <v>455</v>
      </c>
      <c r="GC32" s="15"/>
      <c r="GD32" s="15"/>
      <c r="GE32" s="15" t="s">
        <v>1339</v>
      </c>
      <c r="GF32" s="15" t="s">
        <v>467</v>
      </c>
      <c r="GG32" s="15" t="s">
        <v>857</v>
      </c>
      <c r="GH32" s="15" t="s">
        <v>857</v>
      </c>
      <c r="GI32" s="15" t="s">
        <v>817</v>
      </c>
      <c r="GJ32" s="15"/>
      <c r="GK32" s="15"/>
      <c r="GL32" s="15"/>
      <c r="GM32" s="15" t="s">
        <v>1079</v>
      </c>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31"/>
      <c r="MX32" s="29" t="s">
        <v>10402</v>
      </c>
      <c r="MY32" s="29" t="str">
        <f>IFERROR(__xludf.DUMMYFUNCTION("""COMPUTED_VALUE"""),"California")</f>
        <v>California</v>
      </c>
    </row>
    <row r="33" ht="16.5" customHeight="1">
      <c r="A33" s="30">
        <v>45827.245649062505</v>
      </c>
      <c r="B33" s="15" t="s">
        <v>368</v>
      </c>
      <c r="C33" s="15" t="s">
        <v>370</v>
      </c>
      <c r="D33" s="15"/>
      <c r="E33" s="15" t="s">
        <v>371</v>
      </c>
      <c r="F33" s="15"/>
      <c r="G33" s="15" t="s">
        <v>422</v>
      </c>
      <c r="H33" s="15" t="s">
        <v>373</v>
      </c>
      <c r="I33" s="15" t="s">
        <v>374</v>
      </c>
      <c r="J33" s="15" t="s">
        <v>718</v>
      </c>
      <c r="K33" s="15" t="s">
        <v>376</v>
      </c>
      <c r="L33" s="15" t="s">
        <v>793</v>
      </c>
      <c r="M33" s="15" t="s">
        <v>1360</v>
      </c>
      <c r="N33" s="15" t="s">
        <v>426</v>
      </c>
      <c r="O33" s="15" t="s">
        <v>720</v>
      </c>
      <c r="P33" s="15" t="s">
        <v>498</v>
      </c>
      <c r="Q33" s="15" t="s">
        <v>499</v>
      </c>
      <c r="R33" s="15" t="s">
        <v>427</v>
      </c>
      <c r="S33" s="15" t="s">
        <v>384</v>
      </c>
      <c r="T33" s="15" t="s">
        <v>385</v>
      </c>
      <c r="U33" s="15"/>
      <c r="V33" s="15"/>
      <c r="W33" s="15" t="s">
        <v>593</v>
      </c>
      <c r="X33" s="15" t="s">
        <v>387</v>
      </c>
      <c r="Y33" s="15" t="s">
        <v>388</v>
      </c>
      <c r="Z33" s="15" t="s">
        <v>389</v>
      </c>
      <c r="AA33" s="15" t="s">
        <v>1361</v>
      </c>
      <c r="AB33" s="15"/>
      <c r="AC33" s="15"/>
      <c r="AD33" s="15"/>
      <c r="AE33" s="15"/>
      <c r="AF33" s="15"/>
      <c r="AG33" s="15"/>
      <c r="AH33" s="15"/>
      <c r="AI33" s="15"/>
      <c r="AJ33" s="15"/>
      <c r="AK33" s="15"/>
      <c r="AL33" s="15"/>
      <c r="AM33" s="15"/>
      <c r="AN33" s="15"/>
      <c r="AO33" s="15"/>
      <c r="AP33" s="15"/>
      <c r="AQ33" s="15"/>
      <c r="AR33" s="15"/>
      <c r="AS33" s="15"/>
      <c r="AT33" s="15"/>
      <c r="AU33" s="15"/>
      <c r="AV33" s="15" t="s">
        <v>504</v>
      </c>
      <c r="AW33" s="15">
        <v>2.0</v>
      </c>
      <c r="AX33" s="15">
        <v>2.0</v>
      </c>
      <c r="AY33" s="15">
        <v>2.0</v>
      </c>
      <c r="AZ33" s="15">
        <v>2.0</v>
      </c>
      <c r="BA33" s="15">
        <v>2.0</v>
      </c>
      <c r="BB33" s="15">
        <v>2.0</v>
      </c>
      <c r="BC33" s="15"/>
      <c r="BD33" s="15"/>
      <c r="BE33" s="15" t="s">
        <v>392</v>
      </c>
      <c r="BF33" s="15" t="s">
        <v>433</v>
      </c>
      <c r="BG33" s="15" t="s">
        <v>434</v>
      </c>
      <c r="BH33" s="15" t="s">
        <v>1362</v>
      </c>
      <c r="BI33" s="15" t="s">
        <v>509</v>
      </c>
      <c r="BJ33" s="15"/>
      <c r="BK33" s="15" t="s">
        <v>511</v>
      </c>
      <c r="BL33" s="15" t="s">
        <v>512</v>
      </c>
      <c r="BM33" s="15" t="s">
        <v>439</v>
      </c>
      <c r="BN33" s="15" t="s">
        <v>440</v>
      </c>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t="s">
        <v>441</v>
      </c>
      <c r="CM33" s="15" t="s">
        <v>604</v>
      </c>
      <c r="CN33" s="15" t="s">
        <v>552</v>
      </c>
      <c r="CO33" s="15" t="s">
        <v>1363</v>
      </c>
      <c r="CP33" s="15" t="s">
        <v>445</v>
      </c>
      <c r="CQ33" s="15" t="s">
        <v>1364</v>
      </c>
      <c r="CR33" s="15" t="s">
        <v>447</v>
      </c>
      <c r="CS33" s="15" t="s">
        <v>1137</v>
      </c>
      <c r="CT33" s="15" t="s">
        <v>1365</v>
      </c>
      <c r="CU33" s="15" t="s">
        <v>519</v>
      </c>
      <c r="CV33" s="15" t="s">
        <v>451</v>
      </c>
      <c r="CW33" s="15" t="s">
        <v>1366</v>
      </c>
      <c r="CX33" s="15" t="s">
        <v>408</v>
      </c>
      <c r="CY33" s="15"/>
      <c r="CZ33" s="15" t="s">
        <v>453</v>
      </c>
      <c r="DA33" s="15" t="s">
        <v>1367</v>
      </c>
      <c r="DB33" s="15" t="s">
        <v>455</v>
      </c>
      <c r="DC33" s="15"/>
      <c r="DD33" s="15" t="s">
        <v>406</v>
      </c>
      <c r="DE33" s="15" t="s">
        <v>1368</v>
      </c>
      <c r="DF33" s="15" t="s">
        <v>1369</v>
      </c>
      <c r="DG33" s="15" t="s">
        <v>561</v>
      </c>
      <c r="DH33" s="15" t="s">
        <v>410</v>
      </c>
      <c r="DI33" s="15" t="s">
        <v>459</v>
      </c>
      <c r="DJ33" s="15" t="s">
        <v>613</v>
      </c>
      <c r="DK33" s="15"/>
      <c r="DL33" s="15"/>
      <c r="DM33" s="15" t="s">
        <v>1370</v>
      </c>
      <c r="DN33" s="15" t="s">
        <v>1371</v>
      </c>
      <c r="DO33" s="15" t="s">
        <v>1063</v>
      </c>
      <c r="DP33" s="15" t="s">
        <v>1372</v>
      </c>
      <c r="DQ33" s="15" t="s">
        <v>700</v>
      </c>
      <c r="DR33" s="15" t="s">
        <v>1373</v>
      </c>
      <c r="DS33" s="15" t="s">
        <v>702</v>
      </c>
      <c r="DT33" s="15" t="s">
        <v>703</v>
      </c>
      <c r="DU33" s="15" t="s">
        <v>1374</v>
      </c>
      <c r="DV33" s="15" t="s">
        <v>1375</v>
      </c>
      <c r="DW33" s="15" t="s">
        <v>1328</v>
      </c>
      <c r="DX33" s="15" t="s">
        <v>1376</v>
      </c>
      <c r="DY33" s="15" t="s">
        <v>1377</v>
      </c>
      <c r="DZ33" s="15" t="s">
        <v>1378</v>
      </c>
      <c r="EA33" s="15" t="s">
        <v>475</v>
      </c>
      <c r="EB33" s="15" t="s">
        <v>845</v>
      </c>
      <c r="EC33" s="15"/>
      <c r="ED33" s="15"/>
      <c r="EE33" s="15"/>
      <c r="EF33" s="15"/>
      <c r="EG33" s="15"/>
      <c r="EH33" s="15"/>
      <c r="EI33" s="15"/>
      <c r="EJ33" s="15"/>
      <c r="EK33" s="15"/>
      <c r="EL33" s="15"/>
      <c r="EM33" s="15"/>
      <c r="EN33" s="15"/>
      <c r="EO33" s="15"/>
      <c r="EP33" s="15"/>
      <c r="EQ33" s="15"/>
      <c r="ER33" s="15"/>
      <c r="ES33" s="15"/>
      <c r="ET33" s="15" t="s">
        <v>526</v>
      </c>
      <c r="EU33" s="15" t="s">
        <v>579</v>
      </c>
      <c r="EV33" s="15" t="s">
        <v>1262</v>
      </c>
      <c r="EW33" s="15"/>
      <c r="EX33" s="15" t="s">
        <v>1379</v>
      </c>
      <c r="EY33" s="15" t="s">
        <v>1380</v>
      </c>
      <c r="EZ33" s="15" t="s">
        <v>416</v>
      </c>
      <c r="FA33" s="15" t="s">
        <v>416</v>
      </c>
      <c r="FB33" s="15" t="s">
        <v>583</v>
      </c>
      <c r="FC33" s="15" t="s">
        <v>416</v>
      </c>
      <c r="FD33" s="15" t="s">
        <v>415</v>
      </c>
      <c r="FE33" s="15" t="s">
        <v>416</v>
      </c>
      <c r="FF33" s="15" t="s">
        <v>415</v>
      </c>
      <c r="FG33" s="15" t="s">
        <v>414</v>
      </c>
      <c r="FH33" s="15" t="s">
        <v>416</v>
      </c>
      <c r="FI33" s="15" t="s">
        <v>415</v>
      </c>
      <c r="FJ33" s="15" t="s">
        <v>415</v>
      </c>
      <c r="FK33" s="15" t="s">
        <v>415</v>
      </c>
      <c r="FL33" s="15" t="s">
        <v>415</v>
      </c>
      <c r="FM33" s="15" t="s">
        <v>414</v>
      </c>
      <c r="FN33" s="15" t="s">
        <v>416</v>
      </c>
      <c r="FO33" s="15" t="s">
        <v>417</v>
      </c>
      <c r="FP33" s="15" t="s">
        <v>418</v>
      </c>
      <c r="FQ33" s="15" t="s">
        <v>419</v>
      </c>
      <c r="FR33" s="15"/>
      <c r="FS33" s="15" t="s">
        <v>420</v>
      </c>
      <c r="FT33" s="15" t="s">
        <v>488</v>
      </c>
      <c r="FU33" s="15" t="s">
        <v>918</v>
      </c>
      <c r="FV33" s="15" t="s">
        <v>490</v>
      </c>
      <c r="FW33" s="15" t="s">
        <v>491</v>
      </c>
      <c r="FX33" s="15" t="s">
        <v>1381</v>
      </c>
      <c r="FY33" s="15" t="s">
        <v>535</v>
      </c>
      <c r="FZ33" s="15"/>
      <c r="GA33" s="15"/>
      <c r="GB33" s="15" t="s">
        <v>455</v>
      </c>
      <c r="GC33" s="15"/>
      <c r="GD33" s="15"/>
      <c r="GE33" s="15" t="s">
        <v>753</v>
      </c>
      <c r="GF33" s="15"/>
      <c r="GG33" s="15" t="s">
        <v>755</v>
      </c>
      <c r="GH33" s="15" t="s">
        <v>755</v>
      </c>
      <c r="GI33" s="15" t="s">
        <v>817</v>
      </c>
      <c r="GJ33" s="15"/>
      <c r="GK33" s="15"/>
      <c r="GL33" s="15"/>
      <c r="GM33" s="15" t="s">
        <v>1079</v>
      </c>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31"/>
      <c r="MX33" s="29" t="s">
        <v>10402</v>
      </c>
      <c r="MY33" s="29" t="str">
        <f>IFERROR(__xludf.DUMMYFUNCTION("""COMPUTED_VALUE"""),"Idaho")</f>
        <v>Idaho</v>
      </c>
    </row>
    <row r="34" ht="16.5" customHeight="1">
      <c r="A34" s="30">
        <v>45827.372200185186</v>
      </c>
      <c r="B34" s="15" t="s">
        <v>368</v>
      </c>
      <c r="C34" s="15" t="s">
        <v>370</v>
      </c>
      <c r="D34" s="15"/>
      <c r="E34" s="15" t="s">
        <v>1382</v>
      </c>
      <c r="F34" s="15"/>
      <c r="G34" s="15" t="s">
        <v>422</v>
      </c>
      <c r="H34" s="15" t="s">
        <v>373</v>
      </c>
      <c r="I34" s="15" t="s">
        <v>374</v>
      </c>
      <c r="J34" s="15" t="s">
        <v>425</v>
      </c>
      <c r="K34" s="15" t="s">
        <v>1383</v>
      </c>
      <c r="L34" s="15" t="s">
        <v>379</v>
      </c>
      <c r="M34" s="15" t="s">
        <v>1384</v>
      </c>
      <c r="N34" s="15" t="s">
        <v>426</v>
      </c>
      <c r="O34" s="15" t="s">
        <v>1385</v>
      </c>
      <c r="P34" s="15" t="s">
        <v>381</v>
      </c>
      <c r="Q34" s="15" t="s">
        <v>1156</v>
      </c>
      <c r="R34" s="15" t="s">
        <v>795</v>
      </c>
      <c r="S34" s="15" t="s">
        <v>384</v>
      </c>
      <c r="T34" s="15" t="s">
        <v>385</v>
      </c>
      <c r="U34" s="15"/>
      <c r="V34" s="15"/>
      <c r="W34" s="15" t="s">
        <v>593</v>
      </c>
      <c r="X34" s="15" t="s">
        <v>387</v>
      </c>
      <c r="Y34" s="15" t="s">
        <v>594</v>
      </c>
      <c r="Z34" s="15" t="s">
        <v>502</v>
      </c>
      <c r="AA34" s="15" t="s">
        <v>1386</v>
      </c>
      <c r="AB34" s="15" t="s">
        <v>1387</v>
      </c>
      <c r="AC34" s="15"/>
      <c r="AD34" s="15"/>
      <c r="AE34" s="15"/>
      <c r="AF34" s="15"/>
      <c r="AG34" s="15"/>
      <c r="AH34" s="15"/>
      <c r="AI34" s="15"/>
      <c r="AJ34" s="15"/>
      <c r="AK34" s="15"/>
      <c r="AL34" s="15"/>
      <c r="AM34" s="15"/>
      <c r="AN34" s="15"/>
      <c r="AO34" s="15"/>
      <c r="AP34" s="15"/>
      <c r="AQ34" s="15"/>
      <c r="AR34" s="15"/>
      <c r="AS34" s="15"/>
      <c r="AT34" s="15"/>
      <c r="AU34" s="15"/>
      <c r="AV34" s="15" t="s">
        <v>1310</v>
      </c>
      <c r="AW34" s="15">
        <v>4.0</v>
      </c>
      <c r="AX34" s="15" t="s">
        <v>391</v>
      </c>
      <c r="AY34" s="15" t="s">
        <v>675</v>
      </c>
      <c r="AZ34" s="15">
        <v>4.0</v>
      </c>
      <c r="BA34" s="15" t="s">
        <v>391</v>
      </c>
      <c r="BB34" s="15">
        <v>4.0</v>
      </c>
      <c r="BC34" s="15" t="s">
        <v>1388</v>
      </c>
      <c r="BD34" s="15" t="s">
        <v>1389</v>
      </c>
      <c r="BE34" s="15" t="s">
        <v>392</v>
      </c>
      <c r="BF34" s="15" t="s">
        <v>393</v>
      </c>
      <c r="BG34" s="15" t="s">
        <v>725</v>
      </c>
      <c r="BH34" s="15" t="s">
        <v>1390</v>
      </c>
      <c r="BI34" s="15" t="s">
        <v>509</v>
      </c>
      <c r="BJ34" s="15" t="s">
        <v>1391</v>
      </c>
      <c r="BK34" s="15" t="s">
        <v>437</v>
      </c>
      <c r="BL34" s="15" t="s">
        <v>904</v>
      </c>
      <c r="BM34" s="15" t="s">
        <v>397</v>
      </c>
      <c r="BN34" s="15" t="s">
        <v>440</v>
      </c>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t="s">
        <v>441</v>
      </c>
      <c r="CM34" s="15" t="s">
        <v>442</v>
      </c>
      <c r="CN34" s="15" t="s">
        <v>1392</v>
      </c>
      <c r="CO34" s="15" t="s">
        <v>1393</v>
      </c>
      <c r="CP34" s="15" t="s">
        <v>403</v>
      </c>
      <c r="CQ34" s="15" t="s">
        <v>1394</v>
      </c>
      <c r="CR34" s="15" t="s">
        <v>404</v>
      </c>
      <c r="CS34" s="15" t="s">
        <v>1395</v>
      </c>
      <c r="CT34" s="15" t="s">
        <v>1396</v>
      </c>
      <c r="CU34" s="15" t="s">
        <v>519</v>
      </c>
      <c r="CV34" s="15" t="s">
        <v>451</v>
      </c>
      <c r="CW34" s="15" t="s">
        <v>1397</v>
      </c>
      <c r="CX34" s="15" t="s">
        <v>408</v>
      </c>
      <c r="CY34" s="15"/>
      <c r="CZ34" s="15" t="s">
        <v>1398</v>
      </c>
      <c r="DA34" s="15" t="s">
        <v>1399</v>
      </c>
      <c r="DB34" s="15" t="s">
        <v>913</v>
      </c>
      <c r="DC34" s="15"/>
      <c r="DD34" s="15" t="s">
        <v>1400</v>
      </c>
      <c r="DE34" s="15"/>
      <c r="DF34" s="15" t="s">
        <v>1401</v>
      </c>
      <c r="DG34" s="15" t="s">
        <v>524</v>
      </c>
      <c r="DH34" s="15" t="s">
        <v>410</v>
      </c>
      <c r="DI34" s="15" t="s">
        <v>1402</v>
      </c>
      <c r="DJ34" s="15" t="s">
        <v>1403</v>
      </c>
      <c r="DK34" s="15" t="s">
        <v>461</v>
      </c>
      <c r="DL34" s="15"/>
      <c r="DM34" s="15" t="s">
        <v>1404</v>
      </c>
      <c r="DN34" s="15" t="s">
        <v>1405</v>
      </c>
      <c r="DO34" s="15" t="s">
        <v>567</v>
      </c>
      <c r="DP34" s="15" t="s">
        <v>1406</v>
      </c>
      <c r="DQ34" s="15" t="s">
        <v>700</v>
      </c>
      <c r="DR34" s="15" t="s">
        <v>1407</v>
      </c>
      <c r="DS34" s="15" t="s">
        <v>839</v>
      </c>
      <c r="DT34" s="15" t="s">
        <v>703</v>
      </c>
      <c r="DU34" s="15" t="s">
        <v>1408</v>
      </c>
      <c r="DV34" s="15" t="s">
        <v>1409</v>
      </c>
      <c r="DW34" s="15" t="s">
        <v>622</v>
      </c>
      <c r="DX34" s="15" t="s">
        <v>1410</v>
      </c>
      <c r="DY34" s="15" t="s">
        <v>1411</v>
      </c>
      <c r="DZ34" s="15" t="s">
        <v>1412</v>
      </c>
      <c r="EA34" s="15" t="s">
        <v>1413</v>
      </c>
      <c r="EB34" s="15" t="s">
        <v>845</v>
      </c>
      <c r="EC34" s="15"/>
      <c r="ED34" s="15"/>
      <c r="EE34" s="15"/>
      <c r="EF34" s="15"/>
      <c r="EG34" s="15"/>
      <c r="EH34" s="15"/>
      <c r="EI34" s="15"/>
      <c r="EJ34" s="15"/>
      <c r="EK34" s="15"/>
      <c r="EL34" s="15"/>
      <c r="EM34" s="15"/>
      <c r="EN34" s="15"/>
      <c r="EO34" s="15"/>
      <c r="EP34" s="15"/>
      <c r="EQ34" s="15"/>
      <c r="ER34" s="15"/>
      <c r="ES34" s="15"/>
      <c r="ET34" s="15" t="s">
        <v>578</v>
      </c>
      <c r="EU34" s="15" t="s">
        <v>887</v>
      </c>
      <c r="EV34" s="15" t="s">
        <v>527</v>
      </c>
      <c r="EW34" s="15" t="s">
        <v>1414</v>
      </c>
      <c r="EX34" s="15" t="s">
        <v>1415</v>
      </c>
      <c r="EY34" s="15" t="s">
        <v>1416</v>
      </c>
      <c r="EZ34" s="15" t="s">
        <v>415</v>
      </c>
      <c r="FA34" s="15" t="s">
        <v>415</v>
      </c>
      <c r="FB34" s="15" t="s">
        <v>414</v>
      </c>
      <c r="FC34" s="15" t="s">
        <v>583</v>
      </c>
      <c r="FD34" s="15" t="s">
        <v>414</v>
      </c>
      <c r="FE34" s="15" t="s">
        <v>583</v>
      </c>
      <c r="FF34" s="15" t="s">
        <v>583</v>
      </c>
      <c r="FG34" s="15" t="s">
        <v>413</v>
      </c>
      <c r="FH34" s="15" t="s">
        <v>583</v>
      </c>
      <c r="FI34" s="15" t="s">
        <v>583</v>
      </c>
      <c r="FJ34" s="15" t="s">
        <v>583</v>
      </c>
      <c r="FK34" s="15" t="s">
        <v>415</v>
      </c>
      <c r="FL34" s="15" t="s">
        <v>415</v>
      </c>
      <c r="FM34" s="15" t="s">
        <v>415</v>
      </c>
      <c r="FN34" s="15" t="s">
        <v>415</v>
      </c>
      <c r="FO34" s="15" t="s">
        <v>850</v>
      </c>
      <c r="FP34" s="15" t="s">
        <v>486</v>
      </c>
      <c r="FQ34" s="15" t="s">
        <v>419</v>
      </c>
      <c r="FR34" s="15" t="s">
        <v>1417</v>
      </c>
      <c r="FS34" s="15" t="s">
        <v>420</v>
      </c>
      <c r="FT34" s="15" t="s">
        <v>488</v>
      </c>
      <c r="FU34" s="15" t="s">
        <v>533</v>
      </c>
      <c r="FV34" s="15" t="s">
        <v>490</v>
      </c>
      <c r="FW34" s="15" t="s">
        <v>491</v>
      </c>
      <c r="FX34" s="15" t="s">
        <v>1418</v>
      </c>
      <c r="FY34" s="15" t="s">
        <v>493</v>
      </c>
      <c r="FZ34" s="15" t="s">
        <v>1419</v>
      </c>
      <c r="GA34" s="15"/>
      <c r="GB34" s="15" t="s">
        <v>455</v>
      </c>
      <c r="GC34" s="15"/>
      <c r="GD34" s="15"/>
      <c r="GE34" s="15" t="s">
        <v>1420</v>
      </c>
      <c r="GF34" s="15"/>
      <c r="GG34" s="15" t="s">
        <v>1000</v>
      </c>
      <c r="GH34" s="15" t="s">
        <v>1000</v>
      </c>
      <c r="GI34" s="15" t="s">
        <v>817</v>
      </c>
      <c r="GJ34" s="15"/>
      <c r="GK34" s="15"/>
      <c r="GL34" s="15"/>
      <c r="GM34" s="15" t="s">
        <v>1079</v>
      </c>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31"/>
      <c r="MX34" s="29" t="s">
        <v>10402</v>
      </c>
      <c r="MY34" s="29" t="str">
        <f>IFERROR(__xludf.DUMMYFUNCTION("""COMPUTED_VALUE"""),"Washington")</f>
        <v>Washington</v>
      </c>
    </row>
    <row r="35" ht="16.5" customHeight="1">
      <c r="A35" s="30">
        <v>45827.37673142361</v>
      </c>
      <c r="B35" s="15" t="s">
        <v>368</v>
      </c>
      <c r="C35" s="15" t="s">
        <v>370</v>
      </c>
      <c r="D35" s="15"/>
      <c r="E35" s="15" t="s">
        <v>1421</v>
      </c>
      <c r="F35" s="15"/>
      <c r="G35" s="15" t="s">
        <v>422</v>
      </c>
      <c r="H35" s="15" t="s">
        <v>1203</v>
      </c>
      <c r="I35" s="15" t="s">
        <v>638</v>
      </c>
      <c r="J35" s="15" t="s">
        <v>1204</v>
      </c>
      <c r="K35" s="15" t="s">
        <v>376</v>
      </c>
      <c r="L35" s="15" t="s">
        <v>793</v>
      </c>
      <c r="M35" s="15" t="s">
        <v>720</v>
      </c>
      <c r="N35" s="15" t="s">
        <v>793</v>
      </c>
      <c r="O35" s="15" t="s">
        <v>720</v>
      </c>
      <c r="P35" s="15" t="s">
        <v>592</v>
      </c>
      <c r="Q35" s="15" t="s">
        <v>1156</v>
      </c>
      <c r="R35" s="15" t="s">
        <v>427</v>
      </c>
      <c r="S35" s="15" t="s">
        <v>384</v>
      </c>
      <c r="T35" s="15" t="s">
        <v>385</v>
      </c>
      <c r="U35" s="15"/>
      <c r="V35" s="15"/>
      <c r="W35" s="15" t="s">
        <v>428</v>
      </c>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t="s">
        <v>597</v>
      </c>
      <c r="AW35" s="15">
        <v>2.0</v>
      </c>
      <c r="AX35" s="15">
        <v>2.0</v>
      </c>
      <c r="AY35" s="15">
        <v>2.0</v>
      </c>
      <c r="AZ35" s="15" t="s">
        <v>429</v>
      </c>
      <c r="BA35" s="15" t="s">
        <v>429</v>
      </c>
      <c r="BB35" s="15" t="s">
        <v>429</v>
      </c>
      <c r="BC35" s="15" t="s">
        <v>1422</v>
      </c>
      <c r="BD35" s="15" t="s">
        <v>1423</v>
      </c>
      <c r="BE35" s="15" t="s">
        <v>392</v>
      </c>
      <c r="BF35" s="15" t="s">
        <v>433</v>
      </c>
      <c r="BG35" s="15" t="s">
        <v>678</v>
      </c>
      <c r="BH35" s="15" t="s">
        <v>1424</v>
      </c>
      <c r="BI35" s="15" t="s">
        <v>824</v>
      </c>
      <c r="BJ35" s="15"/>
      <c r="BK35" s="15" t="s">
        <v>511</v>
      </c>
      <c r="BL35" s="15" t="s">
        <v>396</v>
      </c>
      <c r="BM35" s="15" t="s">
        <v>549</v>
      </c>
      <c r="BN35" s="15" t="s">
        <v>513</v>
      </c>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t="s">
        <v>441</v>
      </c>
      <c r="CM35" s="15" t="s">
        <v>604</v>
      </c>
      <c r="CN35" s="15" t="s">
        <v>1425</v>
      </c>
      <c r="CO35" s="15" t="s">
        <v>1426</v>
      </c>
      <c r="CP35" s="15" t="s">
        <v>979</v>
      </c>
      <c r="CQ35" s="15" t="s">
        <v>1427</v>
      </c>
      <c r="CR35" s="15" t="s">
        <v>404</v>
      </c>
      <c r="CS35" s="15" t="s">
        <v>1428</v>
      </c>
      <c r="CT35" s="15" t="s">
        <v>1429</v>
      </c>
      <c r="CU35" s="15" t="s">
        <v>450</v>
      </c>
      <c r="CV35" s="15" t="s">
        <v>451</v>
      </c>
      <c r="CW35" s="15" t="s">
        <v>1430</v>
      </c>
      <c r="CX35" s="15" t="s">
        <v>408</v>
      </c>
      <c r="CY35" s="15"/>
      <c r="CZ35" s="15" t="s">
        <v>453</v>
      </c>
      <c r="DA35" s="15" t="s">
        <v>1431</v>
      </c>
      <c r="DB35" s="15" t="s">
        <v>455</v>
      </c>
      <c r="DC35" s="15" t="s">
        <v>1432</v>
      </c>
      <c r="DD35" s="15" t="s">
        <v>406</v>
      </c>
      <c r="DE35" s="15" t="s">
        <v>1058</v>
      </c>
      <c r="DF35" s="15" t="s">
        <v>1433</v>
      </c>
      <c r="DG35" s="15" t="s">
        <v>524</v>
      </c>
      <c r="DH35" s="15" t="s">
        <v>410</v>
      </c>
      <c r="DI35" s="15" t="s">
        <v>459</v>
      </c>
      <c r="DJ35" s="15" t="s">
        <v>460</v>
      </c>
      <c r="DK35" s="15" t="s">
        <v>1434</v>
      </c>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t="s">
        <v>526</v>
      </c>
      <c r="EU35" s="15" t="s">
        <v>579</v>
      </c>
      <c r="EV35" s="15" t="s">
        <v>778</v>
      </c>
      <c r="EW35" s="15" t="s">
        <v>1435</v>
      </c>
      <c r="EX35" s="15" t="s">
        <v>1436</v>
      </c>
      <c r="EY35" s="15" t="s">
        <v>1437</v>
      </c>
      <c r="EZ35" s="15" t="s">
        <v>415</v>
      </c>
      <c r="FA35" s="15" t="s">
        <v>415</v>
      </c>
      <c r="FB35" s="15" t="s">
        <v>413</v>
      </c>
      <c r="FC35" s="15" t="s">
        <v>413</v>
      </c>
      <c r="FD35" s="15" t="s">
        <v>413</v>
      </c>
      <c r="FE35" s="15" t="s">
        <v>413</v>
      </c>
      <c r="FF35" s="15" t="s">
        <v>413</v>
      </c>
      <c r="FG35" s="15" t="s">
        <v>413</v>
      </c>
      <c r="FH35" s="15" t="s">
        <v>415</v>
      </c>
      <c r="FI35" s="15" t="s">
        <v>413</v>
      </c>
      <c r="FJ35" s="15" t="s">
        <v>413</v>
      </c>
      <c r="FK35" s="15" t="s">
        <v>413</v>
      </c>
      <c r="FL35" s="15" t="s">
        <v>413</v>
      </c>
      <c r="FM35" s="15" t="s">
        <v>413</v>
      </c>
      <c r="FN35" s="15" t="s">
        <v>413</v>
      </c>
      <c r="FO35" s="15" t="s">
        <v>485</v>
      </c>
      <c r="FP35" s="15" t="s">
        <v>418</v>
      </c>
      <c r="FQ35" s="15" t="s">
        <v>531</v>
      </c>
      <c r="FR35" s="15" t="s">
        <v>1438</v>
      </c>
      <c r="FS35" s="15" t="s">
        <v>420</v>
      </c>
      <c r="FT35" s="15" t="s">
        <v>488</v>
      </c>
      <c r="FU35" s="15" t="s">
        <v>1235</v>
      </c>
      <c r="FV35" s="15" t="s">
        <v>490</v>
      </c>
      <c r="FW35" s="15" t="s">
        <v>491</v>
      </c>
      <c r="FX35" s="15" t="s">
        <v>1439</v>
      </c>
      <c r="FY35" s="15" t="s">
        <v>535</v>
      </c>
      <c r="FZ35" s="15" t="s">
        <v>1440</v>
      </c>
      <c r="GA35" s="15"/>
      <c r="GB35" s="15" t="s">
        <v>408</v>
      </c>
      <c r="GC35" s="15"/>
      <c r="GD35" s="15"/>
      <c r="GE35" s="15"/>
      <c r="GF35" s="15"/>
      <c r="GG35" s="15" t="s">
        <v>920</v>
      </c>
      <c r="GH35" s="15" t="s">
        <v>1000</v>
      </c>
      <c r="GI35" s="15" t="s">
        <v>946</v>
      </c>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31"/>
      <c r="MX35" s="29" t="s">
        <v>10402</v>
      </c>
      <c r="MY35" s="29" t="str">
        <f>IFERROR(__xludf.DUMMYFUNCTION("""COMPUTED_VALUE"""),"Wisconsin")</f>
        <v>Wisconsin</v>
      </c>
    </row>
    <row r="36" ht="16.5" customHeight="1">
      <c r="A36" s="30">
        <v>45827.39404474537</v>
      </c>
      <c r="B36" s="15" t="s">
        <v>368</v>
      </c>
      <c r="C36" s="15" t="s">
        <v>370</v>
      </c>
      <c r="D36" s="15"/>
      <c r="E36" s="15" t="s">
        <v>1441</v>
      </c>
      <c r="F36" s="15"/>
      <c r="G36" s="15" t="s">
        <v>422</v>
      </c>
      <c r="H36" s="15" t="s">
        <v>637</v>
      </c>
      <c r="I36" s="15" t="s">
        <v>638</v>
      </c>
      <c r="J36" s="15" t="s">
        <v>425</v>
      </c>
      <c r="K36" s="15" t="s">
        <v>376</v>
      </c>
      <c r="L36" s="15" t="s">
        <v>591</v>
      </c>
      <c r="M36" s="15" t="s">
        <v>541</v>
      </c>
      <c r="N36" s="15" t="s">
        <v>591</v>
      </c>
      <c r="O36" s="15" t="s">
        <v>1442</v>
      </c>
      <c r="P36" s="15" t="s">
        <v>498</v>
      </c>
      <c r="Q36" s="15" t="s">
        <v>1156</v>
      </c>
      <c r="R36" s="15" t="s">
        <v>795</v>
      </c>
      <c r="S36" s="15" t="s">
        <v>1443</v>
      </c>
      <c r="T36" s="15" t="s">
        <v>385</v>
      </c>
      <c r="U36" s="15"/>
      <c r="V36" s="15"/>
      <c r="W36" s="15" t="s">
        <v>593</v>
      </c>
      <c r="X36" s="15" t="s">
        <v>387</v>
      </c>
      <c r="Y36" s="15" t="s">
        <v>1444</v>
      </c>
      <c r="Z36" s="15" t="s">
        <v>672</v>
      </c>
      <c r="AA36" s="15" t="s">
        <v>1445</v>
      </c>
      <c r="AB36" s="15" t="s">
        <v>1446</v>
      </c>
      <c r="AC36" s="15"/>
      <c r="AD36" s="15"/>
      <c r="AE36" s="15"/>
      <c r="AF36" s="15"/>
      <c r="AG36" s="15"/>
      <c r="AH36" s="15"/>
      <c r="AI36" s="15"/>
      <c r="AJ36" s="15"/>
      <c r="AK36" s="15"/>
      <c r="AL36" s="15"/>
      <c r="AM36" s="15"/>
      <c r="AN36" s="15"/>
      <c r="AO36" s="15"/>
      <c r="AP36" s="15"/>
      <c r="AQ36" s="15"/>
      <c r="AR36" s="15"/>
      <c r="AS36" s="15"/>
      <c r="AT36" s="15"/>
      <c r="AU36" s="15"/>
      <c r="AV36" s="15" t="s">
        <v>390</v>
      </c>
      <c r="AW36" s="15" t="s">
        <v>429</v>
      </c>
      <c r="AX36" s="15" t="s">
        <v>429</v>
      </c>
      <c r="AY36" s="15" t="s">
        <v>429</v>
      </c>
      <c r="AZ36" s="15" t="s">
        <v>429</v>
      </c>
      <c r="BA36" s="15" t="s">
        <v>429</v>
      </c>
      <c r="BB36" s="15" t="s">
        <v>429</v>
      </c>
      <c r="BC36" s="15" t="s">
        <v>1447</v>
      </c>
      <c r="BD36" s="15" t="s">
        <v>1448</v>
      </c>
      <c r="BE36" s="15" t="s">
        <v>392</v>
      </c>
      <c r="BF36" s="15" t="s">
        <v>433</v>
      </c>
      <c r="BG36" s="15" t="s">
        <v>678</v>
      </c>
      <c r="BH36" s="15" t="s">
        <v>1449</v>
      </c>
      <c r="BI36" s="15" t="s">
        <v>509</v>
      </c>
      <c r="BJ36" s="15" t="s">
        <v>1450</v>
      </c>
      <c r="BK36" s="15" t="s">
        <v>681</v>
      </c>
      <c r="BL36" s="15" t="s">
        <v>603</v>
      </c>
      <c r="BM36" s="15" t="s">
        <v>549</v>
      </c>
      <c r="BN36" s="15" t="s">
        <v>513</v>
      </c>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t="s">
        <v>441</v>
      </c>
      <c r="CM36" s="15" t="s">
        <v>604</v>
      </c>
      <c r="CN36" s="15" t="s">
        <v>1451</v>
      </c>
      <c r="CO36" s="15" t="s">
        <v>1452</v>
      </c>
      <c r="CP36" s="15" t="s">
        <v>445</v>
      </c>
      <c r="CQ36" s="15" t="s">
        <v>1453</v>
      </c>
      <c r="CR36" s="15" t="s">
        <v>447</v>
      </c>
      <c r="CS36" s="15" t="s">
        <v>1454</v>
      </c>
      <c r="CT36" s="15" t="s">
        <v>1455</v>
      </c>
      <c r="CU36" s="15" t="s">
        <v>519</v>
      </c>
      <c r="CV36" s="15" t="s">
        <v>451</v>
      </c>
      <c r="CW36" s="15" t="s">
        <v>1456</v>
      </c>
      <c r="CX36" s="15" t="s">
        <v>733</v>
      </c>
      <c r="CY36" s="15" t="s">
        <v>1457</v>
      </c>
      <c r="CZ36" s="15" t="s">
        <v>453</v>
      </c>
      <c r="DA36" s="15" t="s">
        <v>1458</v>
      </c>
      <c r="DB36" s="15" t="s">
        <v>455</v>
      </c>
      <c r="DC36" s="15" t="s">
        <v>1459</v>
      </c>
      <c r="DD36" s="15" t="s">
        <v>457</v>
      </c>
      <c r="DE36" s="15" t="s">
        <v>691</v>
      </c>
      <c r="DF36" s="15" t="s">
        <v>1460</v>
      </c>
      <c r="DG36" s="15" t="s">
        <v>561</v>
      </c>
      <c r="DH36" s="15" t="s">
        <v>833</v>
      </c>
      <c r="DI36" s="15" t="s">
        <v>459</v>
      </c>
      <c r="DJ36" s="15" t="s">
        <v>613</v>
      </c>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t="s">
        <v>526</v>
      </c>
      <c r="EU36" s="15" t="s">
        <v>479</v>
      </c>
      <c r="EV36" s="15" t="s">
        <v>480</v>
      </c>
      <c r="EW36" s="15"/>
      <c r="EX36" s="15" t="s">
        <v>1461</v>
      </c>
      <c r="EY36" s="15"/>
      <c r="EZ36" s="15" t="s">
        <v>413</v>
      </c>
      <c r="FA36" s="15" t="s">
        <v>415</v>
      </c>
      <c r="FB36" s="15" t="s">
        <v>413</v>
      </c>
      <c r="FC36" s="15" t="s">
        <v>413</v>
      </c>
      <c r="FD36" s="15" t="s">
        <v>413</v>
      </c>
      <c r="FE36" s="15" t="s">
        <v>413</v>
      </c>
      <c r="FF36" s="15" t="s">
        <v>415</v>
      </c>
      <c r="FG36" s="15" t="s">
        <v>415</v>
      </c>
      <c r="FH36" s="15" t="s">
        <v>415</v>
      </c>
      <c r="FI36" s="15" t="s">
        <v>414</v>
      </c>
      <c r="FJ36" s="15" t="s">
        <v>414</v>
      </c>
      <c r="FK36" s="15" t="s">
        <v>415</v>
      </c>
      <c r="FL36" s="15" t="s">
        <v>415</v>
      </c>
      <c r="FM36" s="15" t="s">
        <v>415</v>
      </c>
      <c r="FN36" s="15" t="s">
        <v>414</v>
      </c>
      <c r="FO36" s="15" t="s">
        <v>485</v>
      </c>
      <c r="FP36" s="15" t="s">
        <v>486</v>
      </c>
      <c r="FQ36" s="15" t="s">
        <v>712</v>
      </c>
      <c r="FR36" s="15"/>
      <c r="FS36" s="15" t="s">
        <v>1189</v>
      </c>
      <c r="FT36" s="15" t="s">
        <v>1462</v>
      </c>
      <c r="FU36" s="15" t="s">
        <v>533</v>
      </c>
      <c r="FV36" s="15" t="s">
        <v>490</v>
      </c>
      <c r="FW36" s="15" t="s">
        <v>491</v>
      </c>
      <c r="FX36" s="15" t="s">
        <v>1463</v>
      </c>
      <c r="FY36" s="15" t="s">
        <v>1020</v>
      </c>
      <c r="FZ36" s="15"/>
      <c r="GA36" s="15"/>
      <c r="GB36" s="15" t="s">
        <v>455</v>
      </c>
      <c r="GC36" s="15"/>
      <c r="GD36" s="15"/>
      <c r="GE36" s="15" t="s">
        <v>786</v>
      </c>
      <c r="GF36" s="15"/>
      <c r="GG36" s="15" t="s">
        <v>857</v>
      </c>
      <c r="GH36" s="15" t="s">
        <v>857</v>
      </c>
      <c r="GI36" s="15" t="s">
        <v>790</v>
      </c>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31"/>
      <c r="MX36" s="29" t="s">
        <v>10402</v>
      </c>
      <c r="MY36" s="29" t="str">
        <f>IFERROR(__xludf.DUMMYFUNCTION("""COMPUTED_VALUE"""),"Louisiana")</f>
        <v>Louisiana</v>
      </c>
    </row>
    <row r="37" ht="16.5" customHeight="1">
      <c r="A37" s="30">
        <v>45827.396721377314</v>
      </c>
      <c r="B37" s="15" t="s">
        <v>368</v>
      </c>
      <c r="C37" s="15" t="s">
        <v>370</v>
      </c>
      <c r="D37" s="15"/>
      <c r="E37" s="15" t="s">
        <v>1464</v>
      </c>
      <c r="F37" s="15"/>
      <c r="G37" s="15" t="s">
        <v>422</v>
      </c>
      <c r="H37" s="15" t="s">
        <v>539</v>
      </c>
      <c r="I37" s="15" t="s">
        <v>424</v>
      </c>
      <c r="J37" s="15" t="s">
        <v>718</v>
      </c>
      <c r="K37" s="15" t="s">
        <v>376</v>
      </c>
      <c r="L37" s="15" t="s">
        <v>426</v>
      </c>
      <c r="M37" s="15" t="s">
        <v>378</v>
      </c>
      <c r="N37" s="15" t="s">
        <v>591</v>
      </c>
      <c r="O37" s="15" t="s">
        <v>1465</v>
      </c>
      <c r="P37" s="15" t="s">
        <v>498</v>
      </c>
      <c r="Q37" s="15" t="s">
        <v>1342</v>
      </c>
      <c r="R37" s="15" t="s">
        <v>427</v>
      </c>
      <c r="S37" s="15" t="s">
        <v>384</v>
      </c>
      <c r="T37" s="15" t="s">
        <v>385</v>
      </c>
      <c r="U37" s="15"/>
      <c r="V37" s="15"/>
      <c r="W37" s="15" t="s">
        <v>428</v>
      </c>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t="s">
        <v>1310</v>
      </c>
      <c r="AW37" s="15">
        <v>4.0</v>
      </c>
      <c r="AX37" s="15" t="s">
        <v>391</v>
      </c>
      <c r="AY37" s="15">
        <v>4.0</v>
      </c>
      <c r="AZ37" s="15" t="s">
        <v>429</v>
      </c>
      <c r="BA37" s="15">
        <v>2.0</v>
      </c>
      <c r="BB37" s="15" t="s">
        <v>391</v>
      </c>
      <c r="BC37" s="15"/>
      <c r="BD37" s="15"/>
      <c r="BE37" s="15" t="s">
        <v>432</v>
      </c>
      <c r="BF37" s="15" t="s">
        <v>393</v>
      </c>
      <c r="BG37" s="15" t="s">
        <v>678</v>
      </c>
      <c r="BH37" s="15"/>
      <c r="BI37" s="15" t="s">
        <v>727</v>
      </c>
      <c r="BJ37" s="15"/>
      <c r="BK37" s="15" t="s">
        <v>681</v>
      </c>
      <c r="BL37" s="15" t="s">
        <v>904</v>
      </c>
      <c r="BM37" s="15" t="s">
        <v>1247</v>
      </c>
      <c r="BN37" s="15" t="s">
        <v>513</v>
      </c>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t="s">
        <v>441</v>
      </c>
      <c r="CM37" s="15" t="s">
        <v>401</v>
      </c>
      <c r="CN37" s="15" t="s">
        <v>552</v>
      </c>
      <c r="CO37" s="15" t="s">
        <v>1466</v>
      </c>
      <c r="CP37" s="15" t="s">
        <v>685</v>
      </c>
      <c r="CQ37" s="15" t="s">
        <v>1467</v>
      </c>
      <c r="CR37" s="15" t="s">
        <v>555</v>
      </c>
      <c r="CS37" s="15" t="s">
        <v>1346</v>
      </c>
      <c r="CT37" s="15" t="s">
        <v>1468</v>
      </c>
      <c r="CU37" s="15" t="s">
        <v>982</v>
      </c>
      <c r="CV37" s="15" t="s">
        <v>451</v>
      </c>
      <c r="CW37" s="15" t="s">
        <v>1469</v>
      </c>
      <c r="CX37" s="15" t="s">
        <v>408</v>
      </c>
      <c r="CY37" s="15"/>
      <c r="CZ37" s="15" t="s">
        <v>985</v>
      </c>
      <c r="DA37" s="15" t="s">
        <v>1470</v>
      </c>
      <c r="DB37" s="15" t="s">
        <v>408</v>
      </c>
      <c r="DC37" s="15"/>
      <c r="DD37" s="15" t="s">
        <v>988</v>
      </c>
      <c r="DE37" s="15"/>
      <c r="DF37" s="15" t="s">
        <v>1471</v>
      </c>
      <c r="DG37" s="15" t="s">
        <v>561</v>
      </c>
      <c r="DH37" s="15" t="s">
        <v>1220</v>
      </c>
      <c r="DI37" s="15" t="s">
        <v>963</v>
      </c>
      <c r="DJ37" s="15" t="s">
        <v>460</v>
      </c>
      <c r="DK37" s="15" t="s">
        <v>525</v>
      </c>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t="s">
        <v>526</v>
      </c>
      <c r="EU37" s="15" t="s">
        <v>479</v>
      </c>
      <c r="EV37" s="15" t="s">
        <v>480</v>
      </c>
      <c r="EW37" s="15" t="s">
        <v>1472</v>
      </c>
      <c r="EX37" s="15" t="s">
        <v>1473</v>
      </c>
      <c r="EY37" s="15" t="s">
        <v>1474</v>
      </c>
      <c r="EZ37" s="15" t="s">
        <v>415</v>
      </c>
      <c r="FA37" s="15" t="s">
        <v>415</v>
      </c>
      <c r="FB37" s="15" t="s">
        <v>413</v>
      </c>
      <c r="FC37" s="15" t="s">
        <v>413</v>
      </c>
      <c r="FD37" s="15" t="s">
        <v>413</v>
      </c>
      <c r="FE37" s="15" t="s">
        <v>415</v>
      </c>
      <c r="FF37" s="15" t="s">
        <v>413</v>
      </c>
      <c r="FG37" s="15" t="s">
        <v>415</v>
      </c>
      <c r="FH37" s="15" t="s">
        <v>415</v>
      </c>
      <c r="FI37" s="15" t="s">
        <v>415</v>
      </c>
      <c r="FJ37" s="15" t="s">
        <v>415</v>
      </c>
      <c r="FK37" s="15" t="s">
        <v>415</v>
      </c>
      <c r="FL37" s="15" t="s">
        <v>415</v>
      </c>
      <c r="FM37" s="15" t="s">
        <v>415</v>
      </c>
      <c r="FN37" s="15" t="s">
        <v>415</v>
      </c>
      <c r="FO37" s="15" t="s">
        <v>850</v>
      </c>
      <c r="FP37" s="15" t="s">
        <v>418</v>
      </c>
      <c r="FQ37" s="15" t="s">
        <v>712</v>
      </c>
      <c r="FR37" s="15" t="s">
        <v>1475</v>
      </c>
      <c r="FS37" s="15" t="s">
        <v>420</v>
      </c>
      <c r="FT37" s="15" t="s">
        <v>1476</v>
      </c>
      <c r="FU37" s="15" t="s">
        <v>918</v>
      </c>
      <c r="FV37" s="15" t="s">
        <v>490</v>
      </c>
      <c r="FW37" s="15" t="s">
        <v>491</v>
      </c>
      <c r="FX37" s="15" t="s">
        <v>1477</v>
      </c>
      <c r="FY37" s="15" t="s">
        <v>535</v>
      </c>
      <c r="FZ37" s="15"/>
      <c r="GA37" s="15" t="s">
        <v>1478</v>
      </c>
      <c r="GB37" s="15" t="s">
        <v>455</v>
      </c>
      <c r="GC37" s="15"/>
      <c r="GD37" s="15"/>
      <c r="GE37" s="15" t="s">
        <v>753</v>
      </c>
      <c r="GF37" s="15" t="s">
        <v>1479</v>
      </c>
      <c r="GG37" s="15" t="s">
        <v>788</v>
      </c>
      <c r="GH37" s="15" t="s">
        <v>788</v>
      </c>
      <c r="GI37" s="15" t="s">
        <v>756</v>
      </c>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31"/>
      <c r="MX37" s="29" t="s">
        <v>10402</v>
      </c>
      <c r="MY37" s="29" t="str">
        <f>IFERROR(__xludf.DUMMYFUNCTION("""COMPUTED_VALUE"""),"Michigan")</f>
        <v>Michigan</v>
      </c>
    </row>
    <row r="38" ht="16.5" customHeight="1">
      <c r="A38" s="30">
        <v>45827.40643686343</v>
      </c>
      <c r="B38" s="15" t="s">
        <v>368</v>
      </c>
      <c r="C38" s="15" t="s">
        <v>370</v>
      </c>
      <c r="D38" s="15"/>
      <c r="E38" s="15" t="s">
        <v>1480</v>
      </c>
      <c r="F38" s="15"/>
      <c r="G38" s="15" t="s">
        <v>422</v>
      </c>
      <c r="H38" s="15" t="s">
        <v>373</v>
      </c>
      <c r="I38" s="15" t="s">
        <v>374</v>
      </c>
      <c r="J38" s="15" t="s">
        <v>718</v>
      </c>
      <c r="K38" s="15" t="s">
        <v>376</v>
      </c>
      <c r="L38" s="15" t="s">
        <v>793</v>
      </c>
      <c r="M38" s="15" t="s">
        <v>639</v>
      </c>
      <c r="N38" s="15" t="s">
        <v>426</v>
      </c>
      <c r="O38" s="15" t="s">
        <v>719</v>
      </c>
      <c r="P38" s="15" t="s">
        <v>592</v>
      </c>
      <c r="Q38" s="15" t="s">
        <v>499</v>
      </c>
      <c r="R38" s="15" t="s">
        <v>500</v>
      </c>
      <c r="S38" s="15" t="s">
        <v>384</v>
      </c>
      <c r="T38" s="15" t="s">
        <v>385</v>
      </c>
      <c r="U38" s="15"/>
      <c r="V38" s="15"/>
      <c r="W38" s="15" t="s">
        <v>593</v>
      </c>
      <c r="X38" s="15" t="s">
        <v>387</v>
      </c>
      <c r="Y38" s="15" t="s">
        <v>388</v>
      </c>
      <c r="Z38" s="15" t="s">
        <v>502</v>
      </c>
      <c r="AA38" s="15" t="s">
        <v>1481</v>
      </c>
      <c r="AB38" s="15"/>
      <c r="AC38" s="15"/>
      <c r="AD38" s="15"/>
      <c r="AE38" s="15"/>
      <c r="AF38" s="15"/>
      <c r="AG38" s="15"/>
      <c r="AH38" s="15"/>
      <c r="AI38" s="15"/>
      <c r="AJ38" s="15"/>
      <c r="AK38" s="15"/>
      <c r="AL38" s="15"/>
      <c r="AM38" s="15"/>
      <c r="AN38" s="15"/>
      <c r="AO38" s="15"/>
      <c r="AP38" s="15"/>
      <c r="AQ38" s="15"/>
      <c r="AR38" s="15"/>
      <c r="AS38" s="15"/>
      <c r="AT38" s="15"/>
      <c r="AU38" s="15"/>
      <c r="AV38" s="15" t="s">
        <v>597</v>
      </c>
      <c r="AW38" s="15" t="s">
        <v>391</v>
      </c>
      <c r="AX38" s="15" t="s">
        <v>391</v>
      </c>
      <c r="AY38" s="15">
        <v>2.0</v>
      </c>
      <c r="AZ38" s="15">
        <v>2.0</v>
      </c>
      <c r="BA38" s="15" t="s">
        <v>391</v>
      </c>
      <c r="BB38" s="15" t="s">
        <v>391</v>
      </c>
      <c r="BC38" s="15" t="s">
        <v>1482</v>
      </c>
      <c r="BD38" s="15" t="s">
        <v>1483</v>
      </c>
      <c r="BE38" s="15" t="s">
        <v>432</v>
      </c>
      <c r="BF38" s="15" t="s">
        <v>433</v>
      </c>
      <c r="BG38" s="15" t="s">
        <v>765</v>
      </c>
      <c r="BH38" s="15" t="s">
        <v>1484</v>
      </c>
      <c r="BI38" s="15" t="s">
        <v>435</v>
      </c>
      <c r="BJ38" s="15"/>
      <c r="BK38" s="15" t="s">
        <v>437</v>
      </c>
      <c r="BL38" s="15" t="s">
        <v>438</v>
      </c>
      <c r="BM38" s="15" t="s">
        <v>549</v>
      </c>
      <c r="BN38" s="15" t="s">
        <v>440</v>
      </c>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t="s">
        <v>441</v>
      </c>
      <c r="CM38" s="15" t="s">
        <v>604</v>
      </c>
      <c r="CN38" s="15" t="s">
        <v>1485</v>
      </c>
      <c r="CO38" s="15" t="s">
        <v>1486</v>
      </c>
      <c r="CP38" s="15" t="s">
        <v>445</v>
      </c>
      <c r="CQ38" s="15" t="s">
        <v>1487</v>
      </c>
      <c r="CR38" s="15" t="s">
        <v>447</v>
      </c>
      <c r="CS38" s="15" t="s">
        <v>909</v>
      </c>
      <c r="CT38" s="15" t="s">
        <v>1488</v>
      </c>
      <c r="CU38" s="15" t="s">
        <v>450</v>
      </c>
      <c r="CV38" s="15" t="s">
        <v>451</v>
      </c>
      <c r="CW38" s="15" t="s">
        <v>1489</v>
      </c>
      <c r="CX38" s="15" t="s">
        <v>408</v>
      </c>
      <c r="CY38" s="15"/>
      <c r="CZ38" s="15" t="s">
        <v>453</v>
      </c>
      <c r="DA38" s="15" t="s">
        <v>1490</v>
      </c>
      <c r="DB38" s="15" t="s">
        <v>455</v>
      </c>
      <c r="DC38" s="15" t="s">
        <v>1491</v>
      </c>
      <c r="DD38" s="15" t="s">
        <v>406</v>
      </c>
      <c r="DE38" s="15" t="s">
        <v>691</v>
      </c>
      <c r="DF38" s="15"/>
      <c r="DG38" s="15" t="s">
        <v>524</v>
      </c>
      <c r="DH38" s="15" t="s">
        <v>410</v>
      </c>
      <c r="DI38" s="15" t="s">
        <v>459</v>
      </c>
      <c r="DJ38" s="15" t="s">
        <v>460</v>
      </c>
      <c r="DK38" s="15" t="s">
        <v>461</v>
      </c>
      <c r="DL38" s="15"/>
      <c r="DM38" s="15" t="s">
        <v>1492</v>
      </c>
      <c r="DN38" s="15" t="s">
        <v>1493</v>
      </c>
      <c r="DO38" s="15" t="s">
        <v>567</v>
      </c>
      <c r="DP38" s="15" t="s">
        <v>1494</v>
      </c>
      <c r="DQ38" s="15" t="s">
        <v>1152</v>
      </c>
      <c r="DR38" s="15" t="s">
        <v>1495</v>
      </c>
      <c r="DS38" s="15" t="s">
        <v>468</v>
      </c>
      <c r="DT38" s="15" t="s">
        <v>703</v>
      </c>
      <c r="DU38" s="15" t="s">
        <v>1496</v>
      </c>
      <c r="DV38" s="15" t="s">
        <v>742</v>
      </c>
      <c r="DW38" s="15" t="s">
        <v>1328</v>
      </c>
      <c r="DX38" s="15" t="s">
        <v>1497</v>
      </c>
      <c r="DY38" s="15" t="s">
        <v>1498</v>
      </c>
      <c r="DZ38" s="15" t="s">
        <v>1499</v>
      </c>
      <c r="EA38" s="15" t="s">
        <v>475</v>
      </c>
      <c r="EB38" s="15" t="s">
        <v>626</v>
      </c>
      <c r="EC38" s="15"/>
      <c r="ED38" s="15"/>
      <c r="EE38" s="15"/>
      <c r="EF38" s="15"/>
      <c r="EG38" s="15"/>
      <c r="EH38" s="15"/>
      <c r="EI38" s="15"/>
      <c r="EJ38" s="15"/>
      <c r="EK38" s="15"/>
      <c r="EL38" s="15"/>
      <c r="EM38" s="15"/>
      <c r="EN38" s="15"/>
      <c r="EO38" s="15"/>
      <c r="EP38" s="15"/>
      <c r="EQ38" s="15"/>
      <c r="ER38" s="15"/>
      <c r="ES38" s="15"/>
      <c r="ET38" s="15" t="s">
        <v>526</v>
      </c>
      <c r="EU38" s="15" t="s">
        <v>479</v>
      </c>
      <c r="EV38" s="15" t="s">
        <v>480</v>
      </c>
      <c r="EW38" s="15"/>
      <c r="EX38" s="15" t="s">
        <v>1500</v>
      </c>
      <c r="EY38" s="15" t="s">
        <v>1501</v>
      </c>
      <c r="EZ38" s="15" t="s">
        <v>583</v>
      </c>
      <c r="FA38" s="15" t="s">
        <v>583</v>
      </c>
      <c r="FB38" s="15" t="s">
        <v>414</v>
      </c>
      <c r="FC38" s="15" t="s">
        <v>583</v>
      </c>
      <c r="FD38" s="15" t="s">
        <v>416</v>
      </c>
      <c r="FE38" s="15" t="s">
        <v>583</v>
      </c>
      <c r="FF38" s="15" t="s">
        <v>583</v>
      </c>
      <c r="FG38" s="15" t="s">
        <v>413</v>
      </c>
      <c r="FH38" s="15" t="s">
        <v>484</v>
      </c>
      <c r="FI38" s="15" t="s">
        <v>484</v>
      </c>
      <c r="FJ38" s="15" t="s">
        <v>484</v>
      </c>
      <c r="FK38" s="15" t="s">
        <v>415</v>
      </c>
      <c r="FL38" s="15" t="s">
        <v>415</v>
      </c>
      <c r="FM38" s="15" t="s">
        <v>413</v>
      </c>
      <c r="FN38" s="15" t="s">
        <v>484</v>
      </c>
      <c r="FO38" s="15" t="s">
        <v>1074</v>
      </c>
      <c r="FP38" s="15" t="s">
        <v>418</v>
      </c>
      <c r="FQ38" s="15" t="s">
        <v>419</v>
      </c>
      <c r="FR38" s="15"/>
      <c r="FS38" s="15" t="s">
        <v>420</v>
      </c>
      <c r="FT38" s="15" t="s">
        <v>488</v>
      </c>
      <c r="FU38" s="15" t="s">
        <v>533</v>
      </c>
      <c r="FV38" s="15" t="s">
        <v>490</v>
      </c>
      <c r="FW38" s="15" t="s">
        <v>491</v>
      </c>
      <c r="FX38" s="15" t="s">
        <v>1502</v>
      </c>
      <c r="FY38" s="15" t="s">
        <v>535</v>
      </c>
      <c r="FZ38" s="15"/>
      <c r="GA38" s="15"/>
      <c r="GB38" s="15" t="s">
        <v>408</v>
      </c>
      <c r="GC38" s="15"/>
      <c r="GD38" s="15"/>
      <c r="GE38" s="15"/>
      <c r="GF38" s="15"/>
      <c r="GG38" s="15" t="s">
        <v>755</v>
      </c>
      <c r="GH38" s="15" t="s">
        <v>755</v>
      </c>
      <c r="GI38" s="15" t="s">
        <v>946</v>
      </c>
      <c r="GJ38" s="15"/>
      <c r="GK38" s="15"/>
      <c r="GL38" s="15"/>
      <c r="GM38" s="15" t="s">
        <v>1079</v>
      </c>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31"/>
      <c r="MX38" s="29" t="s">
        <v>634</v>
      </c>
      <c r="MY38" s="29" t="str">
        <f>IFERROR(__xludf.DUMMYFUNCTION("""COMPUTED_VALUE"""),"Turkey")</f>
        <v>Turkey</v>
      </c>
    </row>
    <row r="39" ht="16.5" customHeight="1">
      <c r="A39" s="30">
        <v>45827.41032530092</v>
      </c>
      <c r="B39" s="15" t="s">
        <v>368</v>
      </c>
      <c r="C39" s="15" t="s">
        <v>634</v>
      </c>
      <c r="D39" s="15" t="s">
        <v>634</v>
      </c>
      <c r="E39" s="15"/>
      <c r="F39" s="15"/>
      <c r="G39" s="15" t="s">
        <v>1503</v>
      </c>
      <c r="H39" s="15" t="s">
        <v>1203</v>
      </c>
      <c r="I39" s="15" t="s">
        <v>638</v>
      </c>
      <c r="J39" s="15" t="s">
        <v>1204</v>
      </c>
      <c r="K39" s="15" t="s">
        <v>376</v>
      </c>
      <c r="L39" s="15" t="s">
        <v>379</v>
      </c>
      <c r="M39" s="15" t="s">
        <v>378</v>
      </c>
      <c r="N39" s="15" t="s">
        <v>379</v>
      </c>
      <c r="O39" s="15" t="s">
        <v>380</v>
      </c>
      <c r="P39" s="15" t="s">
        <v>1504</v>
      </c>
      <c r="Q39" s="15" t="s">
        <v>1156</v>
      </c>
      <c r="R39" s="15" t="s">
        <v>427</v>
      </c>
      <c r="S39" s="15" t="s">
        <v>384</v>
      </c>
      <c r="T39" s="15" t="s">
        <v>385</v>
      </c>
      <c r="U39" s="15"/>
      <c r="V39" s="15"/>
      <c r="W39" s="15" t="s">
        <v>593</v>
      </c>
      <c r="X39" s="15" t="s">
        <v>642</v>
      </c>
      <c r="Y39" s="15"/>
      <c r="Z39" s="15"/>
      <c r="AA39" s="15"/>
      <c r="AB39" s="15"/>
      <c r="AC39" s="15"/>
      <c r="AD39" s="15"/>
      <c r="AE39" s="15"/>
      <c r="AF39" s="15"/>
      <c r="AG39" s="15"/>
      <c r="AH39" s="15"/>
      <c r="AI39" s="15"/>
      <c r="AJ39" s="15"/>
      <c r="AK39" s="15"/>
      <c r="AL39" s="15" t="s">
        <v>1505</v>
      </c>
      <c r="AM39" s="15" t="s">
        <v>644</v>
      </c>
      <c r="AN39" s="15" t="s">
        <v>408</v>
      </c>
      <c r="AO39" s="15"/>
      <c r="AP39" s="15" t="s">
        <v>1506</v>
      </c>
      <c r="AQ39" s="15">
        <v>5.0</v>
      </c>
      <c r="AR39" s="15" t="s">
        <v>1507</v>
      </c>
      <c r="AS39" s="15"/>
      <c r="AT39" s="15"/>
      <c r="AU39" s="15"/>
      <c r="AV39" s="15" t="s">
        <v>1310</v>
      </c>
      <c r="AW39" s="15">
        <v>4.0</v>
      </c>
      <c r="AX39" s="15">
        <v>4.0</v>
      </c>
      <c r="AY39" s="15">
        <v>4.0</v>
      </c>
      <c r="AZ39" s="15">
        <v>4.0</v>
      </c>
      <c r="BA39" s="15">
        <v>4.0</v>
      </c>
      <c r="BB39" s="15">
        <v>4.0</v>
      </c>
      <c r="BC39" s="15"/>
      <c r="BD39" s="15"/>
      <c r="BE39" s="15" t="s">
        <v>902</v>
      </c>
      <c r="BF39" s="15" t="s">
        <v>1095</v>
      </c>
      <c r="BG39" s="15" t="s">
        <v>678</v>
      </c>
      <c r="BH39" s="15"/>
      <c r="BI39" s="15" t="s">
        <v>727</v>
      </c>
      <c r="BJ39" s="15"/>
      <c r="BK39" s="15" t="s">
        <v>437</v>
      </c>
      <c r="BL39" s="15" t="s">
        <v>904</v>
      </c>
      <c r="BM39" s="15" t="s">
        <v>1247</v>
      </c>
      <c r="BN39" s="15" t="s">
        <v>513</v>
      </c>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t="s">
        <v>550</v>
      </c>
      <c r="CM39" s="15" t="s">
        <v>401</v>
      </c>
      <c r="CN39" s="15"/>
      <c r="CO39" s="15"/>
      <c r="CP39" s="15" t="s">
        <v>979</v>
      </c>
      <c r="CQ39" s="15" t="s">
        <v>1508</v>
      </c>
      <c r="CR39" s="15" t="s">
        <v>804</v>
      </c>
      <c r="CS39" s="15" t="s">
        <v>1509</v>
      </c>
      <c r="CT39" s="15"/>
      <c r="CU39" s="15" t="s">
        <v>450</v>
      </c>
      <c r="CV39" s="15" t="s">
        <v>451</v>
      </c>
      <c r="CW39" s="15"/>
      <c r="CX39" s="15" t="s">
        <v>408</v>
      </c>
      <c r="CY39" s="15"/>
      <c r="CZ39" s="15" t="s">
        <v>453</v>
      </c>
      <c r="DA39" s="15"/>
      <c r="DB39" s="15"/>
      <c r="DC39" s="15"/>
      <c r="DD39" s="15" t="s">
        <v>988</v>
      </c>
      <c r="DE39" s="15"/>
      <c r="DF39" s="15"/>
      <c r="DG39" s="15" t="s">
        <v>524</v>
      </c>
      <c r="DH39" s="15" t="s">
        <v>410</v>
      </c>
      <c r="DI39" s="15" t="s">
        <v>459</v>
      </c>
      <c r="DJ39" s="15" t="s">
        <v>460</v>
      </c>
      <c r="DK39" s="15" t="s">
        <v>461</v>
      </c>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t="s">
        <v>526</v>
      </c>
      <c r="EU39" s="15" t="s">
        <v>479</v>
      </c>
      <c r="EV39" s="15" t="s">
        <v>527</v>
      </c>
      <c r="EW39" s="15"/>
      <c r="EX39" s="15"/>
      <c r="EY39" s="15"/>
      <c r="EZ39" s="15" t="s">
        <v>413</v>
      </c>
      <c r="FA39" s="15" t="s">
        <v>414</v>
      </c>
      <c r="FB39" s="15" t="s">
        <v>413</v>
      </c>
      <c r="FC39" s="15" t="s">
        <v>413</v>
      </c>
      <c r="FD39" s="15" t="s">
        <v>413</v>
      </c>
      <c r="FE39" s="15" t="s">
        <v>414</v>
      </c>
      <c r="FF39" s="15" t="s">
        <v>415</v>
      </c>
      <c r="FG39" s="15" t="s">
        <v>413</v>
      </c>
      <c r="FH39" s="15" t="s">
        <v>583</v>
      </c>
      <c r="FI39" s="15" t="s">
        <v>413</v>
      </c>
      <c r="FJ39" s="15" t="s">
        <v>415</v>
      </c>
      <c r="FK39" s="15" t="s">
        <v>413</v>
      </c>
      <c r="FL39" s="15" t="s">
        <v>413</v>
      </c>
      <c r="FM39" s="15" t="s">
        <v>413</v>
      </c>
      <c r="FN39" s="15" t="s">
        <v>583</v>
      </c>
      <c r="FO39" s="15" t="s">
        <v>485</v>
      </c>
      <c r="FP39" s="15" t="s">
        <v>486</v>
      </c>
      <c r="FQ39" s="15" t="s">
        <v>419</v>
      </c>
      <c r="FR39" s="15"/>
      <c r="FS39" s="15" t="s">
        <v>420</v>
      </c>
      <c r="FT39" s="15" t="s">
        <v>1462</v>
      </c>
      <c r="FU39" s="15" t="s">
        <v>533</v>
      </c>
      <c r="FV39" s="15" t="s">
        <v>490</v>
      </c>
      <c r="FW39" s="15" t="s">
        <v>491</v>
      </c>
      <c r="FX39" s="15"/>
      <c r="FY39" s="15" t="s">
        <v>535</v>
      </c>
      <c r="FZ39" s="15"/>
      <c r="GA39" s="15"/>
      <c r="GB39" s="15" t="s">
        <v>408</v>
      </c>
      <c r="GC39" s="15"/>
      <c r="GD39" s="15"/>
      <c r="GE39" s="15"/>
      <c r="GF39" s="15"/>
      <c r="GG39" s="15" t="s">
        <v>1000</v>
      </c>
      <c r="GH39" s="15" t="s">
        <v>755</v>
      </c>
      <c r="GI39" s="15" t="s">
        <v>858</v>
      </c>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31"/>
      <c r="MX39" s="29" t="s">
        <v>10402</v>
      </c>
      <c r="MY39" s="29" t="str">
        <f>IFERROR(__xludf.DUMMYFUNCTION("""COMPUTED_VALUE"""),"Texas")</f>
        <v>Texas</v>
      </c>
    </row>
    <row r="40" ht="16.5" customHeight="1">
      <c r="A40" s="30">
        <v>45827.43042048611</v>
      </c>
      <c r="B40" s="15" t="s">
        <v>368</v>
      </c>
      <c r="C40" s="15" t="s">
        <v>370</v>
      </c>
      <c r="D40" s="15"/>
      <c r="E40" s="15" t="s">
        <v>1510</v>
      </c>
      <c r="F40" s="15"/>
      <c r="G40" s="15" t="s">
        <v>422</v>
      </c>
      <c r="H40" s="15" t="s">
        <v>637</v>
      </c>
      <c r="I40" s="15" t="s">
        <v>638</v>
      </c>
      <c r="J40" s="15" t="s">
        <v>590</v>
      </c>
      <c r="K40" s="15" t="s">
        <v>376</v>
      </c>
      <c r="L40" s="15" t="s">
        <v>591</v>
      </c>
      <c r="M40" s="15" t="s">
        <v>1024</v>
      </c>
      <c r="N40" s="15" t="s">
        <v>379</v>
      </c>
      <c r="O40" s="15" t="s">
        <v>1511</v>
      </c>
      <c r="P40" s="15" t="s">
        <v>381</v>
      </c>
      <c r="Q40" s="15" t="s">
        <v>759</v>
      </c>
      <c r="R40" s="15" t="s">
        <v>949</v>
      </c>
      <c r="S40" s="15" t="s">
        <v>1512</v>
      </c>
      <c r="T40" s="15" t="s">
        <v>385</v>
      </c>
      <c r="U40" s="15"/>
      <c r="V40" s="15"/>
      <c r="W40" s="15" t="s">
        <v>386</v>
      </c>
      <c r="X40" s="15" t="s">
        <v>387</v>
      </c>
      <c r="Y40" s="15" t="s">
        <v>388</v>
      </c>
      <c r="Z40" s="15" t="s">
        <v>502</v>
      </c>
      <c r="AA40" s="15" t="s">
        <v>1513</v>
      </c>
      <c r="AB40" s="15"/>
      <c r="AC40" s="15"/>
      <c r="AD40" s="15"/>
      <c r="AE40" s="15"/>
      <c r="AF40" s="15"/>
      <c r="AG40" s="15"/>
      <c r="AH40" s="15"/>
      <c r="AI40" s="15"/>
      <c r="AJ40" s="15"/>
      <c r="AK40" s="15"/>
      <c r="AL40" s="15"/>
      <c r="AM40" s="15"/>
      <c r="AN40" s="15"/>
      <c r="AO40" s="15"/>
      <c r="AP40" s="15"/>
      <c r="AQ40" s="15"/>
      <c r="AR40" s="15"/>
      <c r="AS40" s="15"/>
      <c r="AT40" s="15"/>
      <c r="AU40" s="15"/>
      <c r="AV40" s="15" t="s">
        <v>504</v>
      </c>
      <c r="AW40" s="15" t="s">
        <v>429</v>
      </c>
      <c r="AX40" s="15" t="s">
        <v>429</v>
      </c>
      <c r="AY40" s="15" t="s">
        <v>429</v>
      </c>
      <c r="AZ40" s="15" t="s">
        <v>429</v>
      </c>
      <c r="BA40" s="15" t="s">
        <v>429</v>
      </c>
      <c r="BB40" s="15">
        <v>2.0</v>
      </c>
      <c r="BC40" s="15" t="s">
        <v>1514</v>
      </c>
      <c r="BD40" s="15" t="s">
        <v>1515</v>
      </c>
      <c r="BE40" s="15" t="s">
        <v>392</v>
      </c>
      <c r="BF40" s="15" t="s">
        <v>433</v>
      </c>
      <c r="BG40" s="15" t="s">
        <v>678</v>
      </c>
      <c r="BH40" s="15"/>
      <c r="BI40" s="15" t="s">
        <v>824</v>
      </c>
      <c r="BJ40" s="15"/>
      <c r="BK40" s="15" t="s">
        <v>511</v>
      </c>
      <c r="BL40" s="15" t="s">
        <v>512</v>
      </c>
      <c r="BM40" s="15" t="s">
        <v>439</v>
      </c>
      <c r="BN40" s="15" t="s">
        <v>513</v>
      </c>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t="s">
        <v>441</v>
      </c>
      <c r="CM40" s="15" t="s">
        <v>604</v>
      </c>
      <c r="CN40" s="15"/>
      <c r="CO40" s="15" t="s">
        <v>1516</v>
      </c>
      <c r="CP40" s="15" t="s">
        <v>403</v>
      </c>
      <c r="CQ40" s="15" t="s">
        <v>1517</v>
      </c>
      <c r="CR40" s="15" t="s">
        <v>404</v>
      </c>
      <c r="CS40" s="15" t="s">
        <v>1518</v>
      </c>
      <c r="CT40" s="15"/>
      <c r="CU40" s="15" t="s">
        <v>519</v>
      </c>
      <c r="CV40" s="15" t="s">
        <v>451</v>
      </c>
      <c r="CW40" s="15" t="s">
        <v>1519</v>
      </c>
      <c r="CX40" s="15" t="s">
        <v>455</v>
      </c>
      <c r="CY40" s="15"/>
      <c r="CZ40" s="15" t="s">
        <v>453</v>
      </c>
      <c r="DA40" s="15" t="s">
        <v>1520</v>
      </c>
      <c r="DB40" s="15" t="s">
        <v>455</v>
      </c>
      <c r="DC40" s="15" t="s">
        <v>1521</v>
      </c>
      <c r="DD40" s="15" t="s">
        <v>457</v>
      </c>
      <c r="DE40" s="15"/>
      <c r="DF40" s="15"/>
      <c r="DG40" s="15" t="s">
        <v>776</v>
      </c>
      <c r="DH40" s="15" t="s">
        <v>410</v>
      </c>
      <c r="DI40" s="15" t="s">
        <v>777</v>
      </c>
      <c r="DJ40" s="15" t="s">
        <v>562</v>
      </c>
      <c r="DK40" s="15" t="s">
        <v>1434</v>
      </c>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t="s">
        <v>478</v>
      </c>
      <c r="EU40" s="15" t="s">
        <v>479</v>
      </c>
      <c r="EV40" s="15" t="s">
        <v>1262</v>
      </c>
      <c r="EW40" s="15"/>
      <c r="EX40" s="15" t="s">
        <v>1522</v>
      </c>
      <c r="EY40" s="15" t="s">
        <v>1523</v>
      </c>
      <c r="EZ40" s="15" t="s">
        <v>414</v>
      </c>
      <c r="FA40" s="15" t="s">
        <v>414</v>
      </c>
      <c r="FB40" s="15" t="s">
        <v>415</v>
      </c>
      <c r="FC40" s="15" t="s">
        <v>414</v>
      </c>
      <c r="FD40" s="15" t="s">
        <v>416</v>
      </c>
      <c r="FE40" s="15" t="s">
        <v>414</v>
      </c>
      <c r="FF40" s="15" t="s">
        <v>415</v>
      </c>
      <c r="FG40" s="15" t="s">
        <v>416</v>
      </c>
      <c r="FH40" s="15" t="s">
        <v>583</v>
      </c>
      <c r="FI40" s="15" t="s">
        <v>583</v>
      </c>
      <c r="FJ40" s="15" t="s">
        <v>414</v>
      </c>
      <c r="FK40" s="15" t="s">
        <v>415</v>
      </c>
      <c r="FL40" s="15" t="s">
        <v>415</v>
      </c>
      <c r="FM40" s="15" t="s">
        <v>414</v>
      </c>
      <c r="FN40" s="15" t="s">
        <v>583</v>
      </c>
      <c r="FO40" s="15" t="s">
        <v>417</v>
      </c>
      <c r="FP40" s="15" t="s">
        <v>486</v>
      </c>
      <c r="FQ40" s="15" t="s">
        <v>630</v>
      </c>
      <c r="FR40" s="15" t="s">
        <v>1524</v>
      </c>
      <c r="FS40" s="15" t="s">
        <v>420</v>
      </c>
      <c r="FT40" s="15" t="s">
        <v>1462</v>
      </c>
      <c r="FU40" s="15" t="s">
        <v>1235</v>
      </c>
      <c r="FV40" s="15" t="s">
        <v>490</v>
      </c>
      <c r="FW40" s="15" t="s">
        <v>491</v>
      </c>
      <c r="FX40" s="15" t="s">
        <v>1525</v>
      </c>
      <c r="FY40" s="15" t="s">
        <v>493</v>
      </c>
      <c r="FZ40" s="15"/>
      <c r="GA40" s="15"/>
      <c r="GB40" s="15" t="s">
        <v>455</v>
      </c>
      <c r="GC40" s="15"/>
      <c r="GD40" s="15"/>
      <c r="GE40" s="15" t="s">
        <v>855</v>
      </c>
      <c r="GF40" s="15"/>
      <c r="GG40" s="15" t="s">
        <v>755</v>
      </c>
      <c r="GH40" s="15" t="s">
        <v>755</v>
      </c>
      <c r="GI40" s="15" t="s">
        <v>946</v>
      </c>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31"/>
      <c r="MX40" s="29" t="s">
        <v>538</v>
      </c>
      <c r="MY40" s="29" t="str">
        <f>IFERROR(__xludf.DUMMYFUNCTION("""COMPUTED_VALUE"""),"United Kingdom")</f>
        <v>United Kingdom</v>
      </c>
    </row>
    <row r="41" ht="16.5" customHeight="1">
      <c r="A41" s="30">
        <v>45827.43160585648</v>
      </c>
      <c r="B41" s="15" t="s">
        <v>368</v>
      </c>
      <c r="C41" s="15" t="s">
        <v>538</v>
      </c>
      <c r="D41" s="15" t="s">
        <v>538</v>
      </c>
      <c r="E41" s="15"/>
      <c r="F41" s="15"/>
      <c r="G41" s="15" t="s">
        <v>422</v>
      </c>
      <c r="H41" s="15" t="s">
        <v>539</v>
      </c>
      <c r="I41" s="15" t="s">
        <v>424</v>
      </c>
      <c r="J41" s="15" t="s">
        <v>375</v>
      </c>
      <c r="K41" s="15" t="s">
        <v>376</v>
      </c>
      <c r="L41" s="15" t="s">
        <v>1526</v>
      </c>
      <c r="M41" s="15" t="s">
        <v>378</v>
      </c>
      <c r="N41" s="15" t="s">
        <v>1526</v>
      </c>
      <c r="O41" s="15" t="s">
        <v>497</v>
      </c>
      <c r="P41" s="15" t="s">
        <v>381</v>
      </c>
      <c r="Q41" s="15" t="s">
        <v>759</v>
      </c>
      <c r="R41" s="15" t="s">
        <v>500</v>
      </c>
      <c r="S41" s="15" t="s">
        <v>384</v>
      </c>
      <c r="T41" s="15" t="s">
        <v>385</v>
      </c>
      <c r="U41" s="15"/>
      <c r="V41" s="15"/>
      <c r="W41" s="15" t="s">
        <v>760</v>
      </c>
      <c r="X41" s="15" t="s">
        <v>387</v>
      </c>
      <c r="Y41" s="15"/>
      <c r="Z41" s="15" t="s">
        <v>389</v>
      </c>
      <c r="AA41" s="15"/>
      <c r="AB41" s="15"/>
      <c r="AC41" s="15"/>
      <c r="AD41" s="15"/>
      <c r="AE41" s="15"/>
      <c r="AF41" s="15"/>
      <c r="AG41" s="15"/>
      <c r="AH41" s="15"/>
      <c r="AI41" s="15"/>
      <c r="AJ41" s="15"/>
      <c r="AK41" s="15"/>
      <c r="AL41" s="15"/>
      <c r="AM41" s="15"/>
      <c r="AN41" s="15"/>
      <c r="AO41" s="15"/>
      <c r="AP41" s="15"/>
      <c r="AQ41" s="15"/>
      <c r="AR41" s="15"/>
      <c r="AS41" s="15"/>
      <c r="AT41" s="15"/>
      <c r="AU41" s="15"/>
      <c r="AV41" s="15" t="s">
        <v>504</v>
      </c>
      <c r="AW41" s="15">
        <v>2.0</v>
      </c>
      <c r="AX41" s="15">
        <v>2.0</v>
      </c>
      <c r="AY41" s="15">
        <v>2.0</v>
      </c>
      <c r="AZ41" s="15" t="s">
        <v>429</v>
      </c>
      <c r="BA41" s="15">
        <v>2.0</v>
      </c>
      <c r="BB41" s="15" t="s">
        <v>391</v>
      </c>
      <c r="BC41" s="15"/>
      <c r="BD41" s="15"/>
      <c r="BE41" s="15" t="s">
        <v>902</v>
      </c>
      <c r="BF41" s="15" t="s">
        <v>433</v>
      </c>
      <c r="BG41" s="15" t="s">
        <v>765</v>
      </c>
      <c r="BH41" s="15" t="s">
        <v>1527</v>
      </c>
      <c r="BI41" s="15" t="s">
        <v>509</v>
      </c>
      <c r="BJ41" s="15"/>
      <c r="BK41" s="15" t="s">
        <v>681</v>
      </c>
      <c r="BL41" s="15" t="s">
        <v>512</v>
      </c>
      <c r="BM41" s="15" t="s">
        <v>439</v>
      </c>
      <c r="BN41" s="15" t="s">
        <v>513</v>
      </c>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t="s">
        <v>550</v>
      </c>
      <c r="CM41" s="15" t="s">
        <v>401</v>
      </c>
      <c r="CN41" s="15" t="s">
        <v>552</v>
      </c>
      <c r="CO41" s="15"/>
      <c r="CP41" s="15" t="s">
        <v>403</v>
      </c>
      <c r="CQ41" s="15" t="s">
        <v>931</v>
      </c>
      <c r="CR41" s="15" t="s">
        <v>804</v>
      </c>
      <c r="CS41" s="15" t="s">
        <v>1528</v>
      </c>
      <c r="CT41" s="15" t="s">
        <v>1529</v>
      </c>
      <c r="CU41" s="15" t="s">
        <v>450</v>
      </c>
      <c r="CV41" s="15" t="s">
        <v>451</v>
      </c>
      <c r="CW41" s="15" t="s">
        <v>1530</v>
      </c>
      <c r="CX41" s="15" t="s">
        <v>408</v>
      </c>
      <c r="CY41" s="15"/>
      <c r="CZ41" s="15" t="s">
        <v>453</v>
      </c>
      <c r="DA41" s="15" t="s">
        <v>1531</v>
      </c>
      <c r="DB41" s="15" t="s">
        <v>455</v>
      </c>
      <c r="DC41" s="15" t="s">
        <v>1532</v>
      </c>
      <c r="DD41" s="15" t="s">
        <v>406</v>
      </c>
      <c r="DE41" s="15" t="s">
        <v>691</v>
      </c>
      <c r="DF41" s="15"/>
      <c r="DG41" s="15" t="s">
        <v>561</v>
      </c>
      <c r="DH41" s="15" t="s">
        <v>410</v>
      </c>
      <c r="DI41" s="15" t="s">
        <v>963</v>
      </c>
      <c r="DJ41" s="15" t="s">
        <v>562</v>
      </c>
      <c r="DK41" s="15" t="s">
        <v>563</v>
      </c>
      <c r="DL41" s="15" t="s">
        <v>1533</v>
      </c>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t="s">
        <v>526</v>
      </c>
      <c r="EU41" s="15" t="s">
        <v>579</v>
      </c>
      <c r="EV41" s="15" t="s">
        <v>1534</v>
      </c>
      <c r="EW41" s="15"/>
      <c r="EX41" s="15" t="s">
        <v>1535</v>
      </c>
      <c r="EY41" s="15" t="s">
        <v>1536</v>
      </c>
      <c r="EZ41" s="15" t="s">
        <v>414</v>
      </c>
      <c r="FA41" s="15" t="s">
        <v>583</v>
      </c>
      <c r="FB41" s="15" t="s">
        <v>413</v>
      </c>
      <c r="FC41" s="15" t="s">
        <v>415</v>
      </c>
      <c r="FD41" s="15" t="s">
        <v>416</v>
      </c>
      <c r="FE41" s="15" t="s">
        <v>583</v>
      </c>
      <c r="FF41" s="15" t="s">
        <v>415</v>
      </c>
      <c r="FG41" s="15" t="s">
        <v>415</v>
      </c>
      <c r="FH41" s="15" t="s">
        <v>415</v>
      </c>
      <c r="FI41" s="15" t="s">
        <v>416</v>
      </c>
      <c r="FJ41" s="15" t="s">
        <v>416</v>
      </c>
      <c r="FK41" s="15" t="s">
        <v>415</v>
      </c>
      <c r="FL41" s="15" t="s">
        <v>414</v>
      </c>
      <c r="FM41" s="15" t="s">
        <v>415</v>
      </c>
      <c r="FN41" s="15" t="s">
        <v>415</v>
      </c>
      <c r="FO41" s="15" t="s">
        <v>1537</v>
      </c>
      <c r="FP41" s="15" t="s">
        <v>486</v>
      </c>
      <c r="FQ41" s="15" t="s">
        <v>1039</v>
      </c>
      <c r="FR41" s="15"/>
      <c r="FS41" s="15" t="s">
        <v>420</v>
      </c>
      <c r="FT41" s="15" t="s">
        <v>1462</v>
      </c>
      <c r="FU41" s="15" t="s">
        <v>1235</v>
      </c>
      <c r="FV41" s="15" t="s">
        <v>490</v>
      </c>
      <c r="FW41" s="15" t="s">
        <v>491</v>
      </c>
      <c r="FX41" s="15" t="s">
        <v>1538</v>
      </c>
      <c r="FY41" s="15" t="s">
        <v>535</v>
      </c>
      <c r="FZ41" s="15"/>
      <c r="GA41" s="15"/>
      <c r="GB41" s="15" t="s">
        <v>408</v>
      </c>
      <c r="GC41" s="15"/>
      <c r="GD41" s="15"/>
      <c r="GE41" s="15"/>
      <c r="GF41" s="15"/>
      <c r="GG41" s="15" t="s">
        <v>920</v>
      </c>
      <c r="GH41" s="15" t="s">
        <v>1000</v>
      </c>
      <c r="GI41" s="15" t="s">
        <v>858</v>
      </c>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31"/>
      <c r="MX41" s="29" t="s">
        <v>10402</v>
      </c>
      <c r="MY41" s="29" t="str">
        <f>IFERROR(__xludf.DUMMYFUNCTION("""COMPUTED_VALUE"""),"Washington")</f>
        <v>Washington</v>
      </c>
    </row>
    <row r="42" ht="16.5" customHeight="1">
      <c r="A42" s="30">
        <v>45827.434389699076</v>
      </c>
      <c r="B42" s="15" t="s">
        <v>368</v>
      </c>
      <c r="C42" s="15" t="s">
        <v>370</v>
      </c>
      <c r="D42" s="15"/>
      <c r="E42" s="15" t="s">
        <v>1421</v>
      </c>
      <c r="F42" s="15"/>
      <c r="G42" s="15" t="s">
        <v>422</v>
      </c>
      <c r="H42" s="15" t="s">
        <v>637</v>
      </c>
      <c r="I42" s="15" t="s">
        <v>638</v>
      </c>
      <c r="J42" s="15" t="s">
        <v>375</v>
      </c>
      <c r="K42" s="15" t="s">
        <v>376</v>
      </c>
      <c r="L42" s="15" t="s">
        <v>793</v>
      </c>
      <c r="M42" s="15" t="s">
        <v>639</v>
      </c>
      <c r="N42" s="15" t="s">
        <v>426</v>
      </c>
      <c r="O42" s="15" t="s">
        <v>719</v>
      </c>
      <c r="P42" s="15" t="s">
        <v>592</v>
      </c>
      <c r="Q42" s="15" t="s">
        <v>862</v>
      </c>
      <c r="R42" s="15" t="s">
        <v>1197</v>
      </c>
      <c r="S42" s="15" t="s">
        <v>384</v>
      </c>
      <c r="T42" s="15" t="s">
        <v>385</v>
      </c>
      <c r="U42" s="15"/>
      <c r="V42" s="15"/>
      <c r="W42" s="15" t="s">
        <v>760</v>
      </c>
      <c r="X42" s="15" t="s">
        <v>387</v>
      </c>
      <c r="Y42" s="15" t="s">
        <v>388</v>
      </c>
      <c r="Z42" s="15" t="s">
        <v>502</v>
      </c>
      <c r="AA42" s="15"/>
      <c r="AB42" s="15"/>
      <c r="AC42" s="15"/>
      <c r="AD42" s="15"/>
      <c r="AE42" s="15"/>
      <c r="AF42" s="15"/>
      <c r="AG42" s="15"/>
      <c r="AH42" s="15"/>
      <c r="AI42" s="15"/>
      <c r="AJ42" s="15"/>
      <c r="AK42" s="15"/>
      <c r="AL42" s="15"/>
      <c r="AM42" s="15"/>
      <c r="AN42" s="15"/>
      <c r="AO42" s="15"/>
      <c r="AP42" s="15"/>
      <c r="AQ42" s="15"/>
      <c r="AR42" s="15"/>
      <c r="AS42" s="15"/>
      <c r="AT42" s="15"/>
      <c r="AU42" s="15"/>
      <c r="AV42" s="15" t="s">
        <v>390</v>
      </c>
      <c r="AW42" s="15" t="s">
        <v>675</v>
      </c>
      <c r="AX42" s="15">
        <v>4.0</v>
      </c>
      <c r="AY42" s="15">
        <v>4.0</v>
      </c>
      <c r="AZ42" s="15" t="s">
        <v>675</v>
      </c>
      <c r="BA42" s="15" t="s">
        <v>675</v>
      </c>
      <c r="BB42" s="15">
        <v>4.0</v>
      </c>
      <c r="BC42" s="15" t="s">
        <v>1539</v>
      </c>
      <c r="BD42" s="15" t="s">
        <v>1540</v>
      </c>
      <c r="BE42" s="15" t="s">
        <v>432</v>
      </c>
      <c r="BF42" s="15" t="s">
        <v>1095</v>
      </c>
      <c r="BG42" s="15" t="s">
        <v>434</v>
      </c>
      <c r="BH42" s="15" t="s">
        <v>1541</v>
      </c>
      <c r="BI42" s="15" t="s">
        <v>976</v>
      </c>
      <c r="BJ42" s="15"/>
      <c r="BK42" s="15" t="s">
        <v>602</v>
      </c>
      <c r="BL42" s="15" t="s">
        <v>438</v>
      </c>
      <c r="BM42" s="15" t="s">
        <v>397</v>
      </c>
      <c r="BN42" s="15" t="s">
        <v>440</v>
      </c>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t="s">
        <v>441</v>
      </c>
      <c r="CM42" s="15" t="s">
        <v>604</v>
      </c>
      <c r="CN42" s="15" t="s">
        <v>1542</v>
      </c>
      <c r="CO42" s="15" t="s">
        <v>1543</v>
      </c>
      <c r="CP42" s="15" t="s">
        <v>403</v>
      </c>
      <c r="CQ42" s="15" t="s">
        <v>1544</v>
      </c>
      <c r="CR42" s="15" t="s">
        <v>804</v>
      </c>
      <c r="CS42" s="15" t="s">
        <v>1545</v>
      </c>
      <c r="CT42" s="15" t="s">
        <v>1546</v>
      </c>
      <c r="CU42" s="15" t="s">
        <v>519</v>
      </c>
      <c r="CV42" s="15" t="s">
        <v>451</v>
      </c>
      <c r="CW42" s="15" t="s">
        <v>1547</v>
      </c>
      <c r="CX42" s="15" t="s">
        <v>408</v>
      </c>
      <c r="CY42" s="15"/>
      <c r="CZ42" s="15" t="s">
        <v>453</v>
      </c>
      <c r="DA42" s="15">
        <v>12.0</v>
      </c>
      <c r="DB42" s="15" t="s">
        <v>455</v>
      </c>
      <c r="DC42" s="15" t="s">
        <v>1548</v>
      </c>
      <c r="DD42" s="15" t="s">
        <v>406</v>
      </c>
      <c r="DE42" s="15" t="s">
        <v>407</v>
      </c>
      <c r="DF42" s="15" t="s">
        <v>1549</v>
      </c>
      <c r="DG42" s="15" t="s">
        <v>524</v>
      </c>
      <c r="DH42" s="15" t="s">
        <v>410</v>
      </c>
      <c r="DI42" s="15" t="s">
        <v>459</v>
      </c>
      <c r="DJ42" s="15" t="s">
        <v>613</v>
      </c>
      <c r="DK42" s="15"/>
      <c r="DL42" s="15"/>
      <c r="DM42" s="15" t="s">
        <v>1550</v>
      </c>
      <c r="DN42" s="15" t="s">
        <v>1551</v>
      </c>
      <c r="DO42" s="15" t="s">
        <v>464</v>
      </c>
      <c r="DP42" s="15" t="s">
        <v>1552</v>
      </c>
      <c r="DQ42" s="15" t="s">
        <v>1553</v>
      </c>
      <c r="DR42" s="15" t="s">
        <v>1554</v>
      </c>
      <c r="DS42" s="15" t="s">
        <v>702</v>
      </c>
      <c r="DT42" s="15" t="s">
        <v>619</v>
      </c>
      <c r="DU42" s="15" t="s">
        <v>1555</v>
      </c>
      <c r="DV42" s="15" t="s">
        <v>1556</v>
      </c>
      <c r="DW42" s="15" t="s">
        <v>1328</v>
      </c>
      <c r="DX42" s="15" t="s">
        <v>1557</v>
      </c>
      <c r="DY42" s="15" t="s">
        <v>1558</v>
      </c>
      <c r="DZ42" s="15" t="s">
        <v>1559</v>
      </c>
      <c r="EA42" s="15" t="s">
        <v>475</v>
      </c>
      <c r="EB42" s="15" t="s">
        <v>626</v>
      </c>
      <c r="EC42" s="15" t="s">
        <v>1560</v>
      </c>
      <c r="ED42" s="15"/>
      <c r="EE42" s="15"/>
      <c r="EF42" s="15"/>
      <c r="EG42" s="15"/>
      <c r="EH42" s="15"/>
      <c r="EI42" s="15"/>
      <c r="EJ42" s="15"/>
      <c r="EK42" s="15"/>
      <c r="EL42" s="15"/>
      <c r="EM42" s="15"/>
      <c r="EN42" s="15"/>
      <c r="EO42" s="15"/>
      <c r="EP42" s="15"/>
      <c r="EQ42" s="15"/>
      <c r="ER42" s="15"/>
      <c r="ES42" s="15"/>
      <c r="ET42" s="15" t="s">
        <v>526</v>
      </c>
      <c r="EU42" s="15" t="s">
        <v>479</v>
      </c>
      <c r="EV42" s="15" t="s">
        <v>527</v>
      </c>
      <c r="EW42" s="15"/>
      <c r="EX42" s="15"/>
      <c r="EY42" s="15"/>
      <c r="EZ42" s="15" t="s">
        <v>415</v>
      </c>
      <c r="FA42" s="15" t="s">
        <v>415</v>
      </c>
      <c r="FB42" s="15" t="s">
        <v>413</v>
      </c>
      <c r="FC42" s="15" t="s">
        <v>413</v>
      </c>
      <c r="FD42" s="15" t="s">
        <v>413</v>
      </c>
      <c r="FE42" s="15" t="s">
        <v>415</v>
      </c>
      <c r="FF42" s="15" t="s">
        <v>415</v>
      </c>
      <c r="FG42" s="15" t="s">
        <v>413</v>
      </c>
      <c r="FH42" s="15" t="s">
        <v>583</v>
      </c>
      <c r="FI42" s="15" t="s">
        <v>414</v>
      </c>
      <c r="FJ42" s="15" t="s">
        <v>416</v>
      </c>
      <c r="FK42" s="15" t="s">
        <v>413</v>
      </c>
      <c r="FL42" s="15" t="s">
        <v>413</v>
      </c>
      <c r="FM42" s="15" t="s">
        <v>413</v>
      </c>
      <c r="FN42" s="15" t="s">
        <v>416</v>
      </c>
      <c r="FO42" s="15" t="s">
        <v>417</v>
      </c>
      <c r="FP42" s="15" t="s">
        <v>418</v>
      </c>
      <c r="FQ42" s="15" t="s">
        <v>1039</v>
      </c>
      <c r="FR42" s="15"/>
      <c r="FS42" s="15" t="s">
        <v>420</v>
      </c>
      <c r="FT42" s="15" t="s">
        <v>488</v>
      </c>
      <c r="FU42" s="15" t="s">
        <v>918</v>
      </c>
      <c r="FV42" s="15" t="s">
        <v>490</v>
      </c>
      <c r="FW42" s="15" t="s">
        <v>491</v>
      </c>
      <c r="FX42" s="15" t="s">
        <v>1561</v>
      </c>
      <c r="FY42" s="15" t="s">
        <v>493</v>
      </c>
      <c r="FZ42" s="15"/>
      <c r="GA42" s="15"/>
      <c r="GB42" s="15" t="s">
        <v>455</v>
      </c>
      <c r="GC42" s="15"/>
      <c r="GD42" s="15"/>
      <c r="GE42" s="15" t="s">
        <v>753</v>
      </c>
      <c r="GF42" s="15"/>
      <c r="GG42" s="15" t="s">
        <v>755</v>
      </c>
      <c r="GH42" s="15" t="s">
        <v>755</v>
      </c>
      <c r="GI42" s="15" t="s">
        <v>946</v>
      </c>
      <c r="GJ42" s="15"/>
      <c r="GK42" s="15"/>
      <c r="GL42" s="15"/>
      <c r="GM42" s="15" t="s">
        <v>1079</v>
      </c>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31"/>
      <c r="MX42" s="29" t="s">
        <v>10402</v>
      </c>
      <c r="MY42" s="29" t="str">
        <f>IFERROR(__xludf.DUMMYFUNCTION("""COMPUTED_VALUE"""),"Tennessee")</f>
        <v>Tennessee</v>
      </c>
    </row>
    <row r="43" ht="16.5" customHeight="1">
      <c r="A43" s="30">
        <v>45827.45617319444</v>
      </c>
      <c r="B43" s="15" t="s">
        <v>368</v>
      </c>
      <c r="C43" s="15" t="s">
        <v>370</v>
      </c>
      <c r="D43" s="15"/>
      <c r="E43" s="15" t="s">
        <v>1562</v>
      </c>
      <c r="F43" s="15"/>
      <c r="G43" s="15" t="s">
        <v>422</v>
      </c>
      <c r="H43" s="15" t="s">
        <v>496</v>
      </c>
      <c r="I43" s="15" t="s">
        <v>374</v>
      </c>
      <c r="J43" s="15" t="s">
        <v>718</v>
      </c>
      <c r="K43" s="15" t="s">
        <v>376</v>
      </c>
      <c r="L43" s="15" t="s">
        <v>591</v>
      </c>
      <c r="M43" s="15" t="s">
        <v>719</v>
      </c>
      <c r="N43" s="15" t="s">
        <v>793</v>
      </c>
      <c r="O43" s="15" t="s">
        <v>719</v>
      </c>
      <c r="P43" s="15" t="s">
        <v>592</v>
      </c>
      <c r="Q43" s="15" t="s">
        <v>759</v>
      </c>
      <c r="R43" s="15" t="s">
        <v>427</v>
      </c>
      <c r="S43" s="15" t="s">
        <v>384</v>
      </c>
      <c r="T43" s="15" t="s">
        <v>385</v>
      </c>
      <c r="U43" s="15"/>
      <c r="V43" s="15"/>
      <c r="W43" s="15" t="s">
        <v>428</v>
      </c>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t="s">
        <v>1310</v>
      </c>
      <c r="AW43" s="15">
        <v>4.0</v>
      </c>
      <c r="AX43" s="15" t="s">
        <v>391</v>
      </c>
      <c r="AY43" s="15" t="s">
        <v>391</v>
      </c>
      <c r="AZ43" s="15">
        <v>4.0</v>
      </c>
      <c r="BA43" s="15" t="s">
        <v>675</v>
      </c>
      <c r="BB43" s="15">
        <v>4.0</v>
      </c>
      <c r="BC43" s="15" t="s">
        <v>1563</v>
      </c>
      <c r="BD43" s="15" t="s">
        <v>1564</v>
      </c>
      <c r="BE43" s="15" t="s">
        <v>432</v>
      </c>
      <c r="BF43" s="15" t="s">
        <v>1095</v>
      </c>
      <c r="BG43" s="15" t="s">
        <v>394</v>
      </c>
      <c r="BH43" s="15" t="s">
        <v>1565</v>
      </c>
      <c r="BI43" s="15" t="s">
        <v>727</v>
      </c>
      <c r="BJ43" s="15"/>
      <c r="BK43" s="15" t="s">
        <v>681</v>
      </c>
      <c r="BL43" s="15" t="s">
        <v>438</v>
      </c>
      <c r="BM43" s="15" t="s">
        <v>1247</v>
      </c>
      <c r="BN43" s="15" t="s">
        <v>440</v>
      </c>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t="s">
        <v>441</v>
      </c>
      <c r="CM43" s="15" t="s">
        <v>442</v>
      </c>
      <c r="CN43" s="15" t="s">
        <v>1566</v>
      </c>
      <c r="CO43" s="15" t="s">
        <v>1567</v>
      </c>
      <c r="CP43" s="15" t="s">
        <v>445</v>
      </c>
      <c r="CQ43" s="15" t="s">
        <v>1568</v>
      </c>
      <c r="CR43" s="15" t="s">
        <v>447</v>
      </c>
      <c r="CS43" s="15" t="s">
        <v>1569</v>
      </c>
      <c r="CT43" s="15" t="s">
        <v>1570</v>
      </c>
      <c r="CU43" s="15" t="s">
        <v>450</v>
      </c>
      <c r="CV43" s="15" t="s">
        <v>451</v>
      </c>
      <c r="CW43" s="15" t="s">
        <v>1571</v>
      </c>
      <c r="CX43" s="15" t="s">
        <v>408</v>
      </c>
      <c r="CY43" s="15"/>
      <c r="CZ43" s="15" t="s">
        <v>453</v>
      </c>
      <c r="DA43" s="15" t="s">
        <v>1572</v>
      </c>
      <c r="DB43" s="15" t="s">
        <v>455</v>
      </c>
      <c r="DC43" s="15" t="s">
        <v>1573</v>
      </c>
      <c r="DD43" s="15" t="s">
        <v>662</v>
      </c>
      <c r="DE43" s="15"/>
      <c r="DF43" s="15" t="s">
        <v>1574</v>
      </c>
      <c r="DG43" s="15" t="s">
        <v>561</v>
      </c>
      <c r="DH43" s="15" t="s">
        <v>410</v>
      </c>
      <c r="DI43" s="15" t="s">
        <v>459</v>
      </c>
      <c r="DJ43" s="15" t="s">
        <v>460</v>
      </c>
      <c r="DK43" s="15" t="s">
        <v>461</v>
      </c>
      <c r="DL43" s="15"/>
      <c r="DM43" s="15" t="s">
        <v>1575</v>
      </c>
      <c r="DN43" s="15" t="s">
        <v>1576</v>
      </c>
      <c r="DO43" s="15" t="s">
        <v>567</v>
      </c>
      <c r="DP43" s="15" t="s">
        <v>1577</v>
      </c>
      <c r="DQ43" s="15" t="s">
        <v>1578</v>
      </c>
      <c r="DR43" s="15" t="s">
        <v>1579</v>
      </c>
      <c r="DS43" s="15" t="s">
        <v>618</v>
      </c>
      <c r="DT43" s="15" t="s">
        <v>1580</v>
      </c>
      <c r="DU43" s="15" t="s">
        <v>1581</v>
      </c>
      <c r="DV43" s="15" t="s">
        <v>1582</v>
      </c>
      <c r="DW43" s="15" t="s">
        <v>1328</v>
      </c>
      <c r="DX43" s="15" t="s">
        <v>1583</v>
      </c>
      <c r="DY43" s="15" t="s">
        <v>1584</v>
      </c>
      <c r="DZ43" s="15" t="s">
        <v>1585</v>
      </c>
      <c r="EA43" s="15" t="s">
        <v>475</v>
      </c>
      <c r="EB43" s="15" t="s">
        <v>845</v>
      </c>
      <c r="EC43" s="15"/>
      <c r="ED43" s="15"/>
      <c r="EE43" s="15"/>
      <c r="EF43" s="15"/>
      <c r="EG43" s="15"/>
      <c r="EH43" s="15"/>
      <c r="EI43" s="15"/>
      <c r="EJ43" s="15"/>
      <c r="EK43" s="15"/>
      <c r="EL43" s="15"/>
      <c r="EM43" s="15"/>
      <c r="EN43" s="15"/>
      <c r="EO43" s="15"/>
      <c r="EP43" s="15"/>
      <c r="EQ43" s="15"/>
      <c r="ER43" s="15"/>
      <c r="ES43" s="15"/>
      <c r="ET43" s="15" t="s">
        <v>526</v>
      </c>
      <c r="EU43" s="15" t="s">
        <v>887</v>
      </c>
      <c r="EV43" s="15" t="s">
        <v>480</v>
      </c>
      <c r="EW43" s="15" t="s">
        <v>1586</v>
      </c>
      <c r="EX43" s="15" t="s">
        <v>1587</v>
      </c>
      <c r="EY43" s="15" t="s">
        <v>1588</v>
      </c>
      <c r="EZ43" s="15" t="s">
        <v>484</v>
      </c>
      <c r="FA43" s="15" t="s">
        <v>414</v>
      </c>
      <c r="FB43" s="15" t="s">
        <v>484</v>
      </c>
      <c r="FC43" s="15" t="s">
        <v>484</v>
      </c>
      <c r="FD43" s="15" t="s">
        <v>484</v>
      </c>
      <c r="FE43" s="15" t="s">
        <v>414</v>
      </c>
      <c r="FF43" s="15" t="s">
        <v>484</v>
      </c>
      <c r="FG43" s="15" t="s">
        <v>484</v>
      </c>
      <c r="FH43" s="15" t="s">
        <v>484</v>
      </c>
      <c r="FI43" s="15" t="s">
        <v>484</v>
      </c>
      <c r="FJ43" s="15" t="s">
        <v>484</v>
      </c>
      <c r="FK43" s="15" t="s">
        <v>484</v>
      </c>
      <c r="FL43" s="15" t="s">
        <v>484</v>
      </c>
      <c r="FM43" s="15" t="s">
        <v>416</v>
      </c>
      <c r="FN43" s="15" t="s">
        <v>583</v>
      </c>
      <c r="FO43" s="15" t="s">
        <v>417</v>
      </c>
      <c r="FP43" s="15" t="s">
        <v>418</v>
      </c>
      <c r="FQ43" s="15" t="s">
        <v>712</v>
      </c>
      <c r="FR43" s="15" t="s">
        <v>1589</v>
      </c>
      <c r="FS43" s="15" t="s">
        <v>420</v>
      </c>
      <c r="FT43" s="15" t="s">
        <v>488</v>
      </c>
      <c r="FU43" s="15" t="s">
        <v>489</v>
      </c>
      <c r="FV43" s="15" t="s">
        <v>490</v>
      </c>
      <c r="FW43" s="15" t="s">
        <v>491</v>
      </c>
      <c r="FX43" s="15" t="s">
        <v>1590</v>
      </c>
      <c r="FY43" s="15" t="s">
        <v>493</v>
      </c>
      <c r="FZ43" s="15"/>
      <c r="GA43" s="15" t="s">
        <v>1591</v>
      </c>
      <c r="GB43" s="15" t="s">
        <v>455</v>
      </c>
      <c r="GC43" s="15"/>
      <c r="GD43" s="15"/>
      <c r="GE43" s="15" t="s">
        <v>855</v>
      </c>
      <c r="GF43" s="15"/>
      <c r="GG43" s="15" t="s">
        <v>857</v>
      </c>
      <c r="GH43" s="15" t="s">
        <v>1000</v>
      </c>
      <c r="GI43" s="15" t="s">
        <v>817</v>
      </c>
      <c r="GJ43" s="15"/>
      <c r="GK43" s="15"/>
      <c r="GL43" s="15"/>
      <c r="GM43" s="15" t="s">
        <v>1079</v>
      </c>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31"/>
      <c r="MX43" s="29" t="s">
        <v>10402</v>
      </c>
      <c r="MY43" s="29" t="str">
        <f>IFERROR(__xludf.DUMMYFUNCTION("""COMPUTED_VALUE"""),"New Hampshire")</f>
        <v>New Hampshire</v>
      </c>
    </row>
    <row r="44" ht="16.5" customHeight="1">
      <c r="A44" s="30">
        <v>45827.47113355324</v>
      </c>
      <c r="B44" s="15" t="s">
        <v>368</v>
      </c>
      <c r="C44" s="15" t="s">
        <v>370</v>
      </c>
      <c r="D44" s="15"/>
      <c r="E44" s="15" t="s">
        <v>1592</v>
      </c>
      <c r="F44" s="15"/>
      <c r="G44" s="15" t="s">
        <v>422</v>
      </c>
      <c r="H44" s="15" t="s">
        <v>373</v>
      </c>
      <c r="I44" s="15" t="s">
        <v>374</v>
      </c>
      <c r="J44" s="15" t="s">
        <v>375</v>
      </c>
      <c r="K44" s="15" t="s">
        <v>376</v>
      </c>
      <c r="L44" s="15" t="s">
        <v>426</v>
      </c>
      <c r="M44" s="15" t="s">
        <v>1593</v>
      </c>
      <c r="N44" s="15" t="s">
        <v>426</v>
      </c>
      <c r="O44" s="15" t="s">
        <v>719</v>
      </c>
      <c r="P44" s="15" t="s">
        <v>498</v>
      </c>
      <c r="Q44" s="15" t="s">
        <v>862</v>
      </c>
      <c r="R44" s="15" t="s">
        <v>1594</v>
      </c>
      <c r="S44" s="15" t="s">
        <v>384</v>
      </c>
      <c r="T44" s="15" t="s">
        <v>385</v>
      </c>
      <c r="U44" s="15"/>
      <c r="V44" s="15"/>
      <c r="W44" s="15" t="s">
        <v>386</v>
      </c>
      <c r="X44" s="15" t="s">
        <v>387</v>
      </c>
      <c r="Y44" s="15" t="s">
        <v>1595</v>
      </c>
      <c r="Z44" s="15" t="s">
        <v>543</v>
      </c>
      <c r="AA44" s="15" t="s">
        <v>408</v>
      </c>
      <c r="AB44" s="15"/>
      <c r="AC44" s="15"/>
      <c r="AD44" s="15"/>
      <c r="AE44" s="15"/>
      <c r="AF44" s="15"/>
      <c r="AG44" s="15"/>
      <c r="AH44" s="15"/>
      <c r="AI44" s="15"/>
      <c r="AJ44" s="15"/>
      <c r="AK44" s="15"/>
      <c r="AL44" s="15"/>
      <c r="AM44" s="15"/>
      <c r="AN44" s="15"/>
      <c r="AO44" s="15"/>
      <c r="AP44" s="15"/>
      <c r="AQ44" s="15"/>
      <c r="AR44" s="15"/>
      <c r="AS44" s="15"/>
      <c r="AT44" s="15"/>
      <c r="AU44" s="15"/>
      <c r="AV44" s="15" t="s">
        <v>504</v>
      </c>
      <c r="AW44" s="15">
        <v>2.0</v>
      </c>
      <c r="AX44" s="15" t="s">
        <v>429</v>
      </c>
      <c r="AY44" s="15" t="s">
        <v>391</v>
      </c>
      <c r="AZ44" s="15">
        <v>2.0</v>
      </c>
      <c r="BA44" s="15" t="s">
        <v>429</v>
      </c>
      <c r="BB44" s="15" t="s">
        <v>429</v>
      </c>
      <c r="BC44" s="15" t="s">
        <v>1596</v>
      </c>
      <c r="BD44" s="15" t="s">
        <v>1597</v>
      </c>
      <c r="BE44" s="15" t="s">
        <v>392</v>
      </c>
      <c r="BF44" s="15" t="s">
        <v>433</v>
      </c>
      <c r="BG44" s="15" t="s">
        <v>678</v>
      </c>
      <c r="BH44" s="15" t="s">
        <v>1598</v>
      </c>
      <c r="BI44" s="15" t="s">
        <v>509</v>
      </c>
      <c r="BJ44" s="15" t="s">
        <v>1599</v>
      </c>
      <c r="BK44" s="15" t="s">
        <v>437</v>
      </c>
      <c r="BL44" s="15" t="s">
        <v>512</v>
      </c>
      <c r="BM44" s="15" t="s">
        <v>439</v>
      </c>
      <c r="BN44" s="15" t="s">
        <v>440</v>
      </c>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t="s">
        <v>441</v>
      </c>
      <c r="CM44" s="15" t="s">
        <v>442</v>
      </c>
      <c r="CN44" s="15" t="s">
        <v>1600</v>
      </c>
      <c r="CO44" s="15" t="s">
        <v>1601</v>
      </c>
      <c r="CP44" s="15" t="s">
        <v>685</v>
      </c>
      <c r="CQ44" s="15" t="s">
        <v>1602</v>
      </c>
      <c r="CR44" s="15" t="s">
        <v>447</v>
      </c>
      <c r="CS44" s="15" t="s">
        <v>448</v>
      </c>
      <c r="CT44" s="15" t="s">
        <v>1603</v>
      </c>
      <c r="CU44" s="15" t="s">
        <v>450</v>
      </c>
      <c r="CV44" s="15" t="s">
        <v>451</v>
      </c>
      <c r="CW44" s="15" t="s">
        <v>1604</v>
      </c>
      <c r="CX44" s="15" t="s">
        <v>455</v>
      </c>
      <c r="CY44" s="15" t="s">
        <v>1605</v>
      </c>
      <c r="CZ44" s="15" t="s">
        <v>453</v>
      </c>
      <c r="DA44" s="15" t="s">
        <v>1606</v>
      </c>
      <c r="DB44" s="15" t="s">
        <v>455</v>
      </c>
      <c r="DC44" s="15" t="s">
        <v>1607</v>
      </c>
      <c r="DD44" s="15" t="s">
        <v>406</v>
      </c>
      <c r="DE44" s="15" t="s">
        <v>407</v>
      </c>
      <c r="DF44" s="15" t="s">
        <v>1608</v>
      </c>
      <c r="DG44" s="15" t="s">
        <v>524</v>
      </c>
      <c r="DH44" s="15" t="s">
        <v>410</v>
      </c>
      <c r="DI44" s="15" t="s">
        <v>459</v>
      </c>
      <c r="DJ44" s="15" t="s">
        <v>613</v>
      </c>
      <c r="DK44" s="15"/>
      <c r="DL44" s="15"/>
      <c r="DM44" s="15" t="s">
        <v>1609</v>
      </c>
      <c r="DN44" s="15" t="s">
        <v>1610</v>
      </c>
      <c r="DO44" s="15" t="s">
        <v>1063</v>
      </c>
      <c r="DP44" s="15" t="s">
        <v>1611</v>
      </c>
      <c r="DQ44" s="15" t="s">
        <v>1578</v>
      </c>
      <c r="DR44" s="15" t="s">
        <v>1612</v>
      </c>
      <c r="DS44" s="15" t="s">
        <v>468</v>
      </c>
      <c r="DT44" s="15" t="s">
        <v>703</v>
      </c>
      <c r="DU44" s="15" t="s">
        <v>1613</v>
      </c>
      <c r="DV44" s="15" t="s">
        <v>1614</v>
      </c>
      <c r="DW44" s="15" t="s">
        <v>573</v>
      </c>
      <c r="DX44" s="15" t="s">
        <v>1615</v>
      </c>
      <c r="DY44" s="15" t="s">
        <v>1616</v>
      </c>
      <c r="DZ44" s="15" t="s">
        <v>1617</v>
      </c>
      <c r="EA44" s="15" t="s">
        <v>475</v>
      </c>
      <c r="EB44" s="15" t="s">
        <v>845</v>
      </c>
      <c r="EC44" s="15" t="s">
        <v>1618</v>
      </c>
      <c r="ED44" s="15"/>
      <c r="EE44" s="15"/>
      <c r="EF44" s="15"/>
      <c r="EG44" s="15"/>
      <c r="EH44" s="15"/>
      <c r="EI44" s="15"/>
      <c r="EJ44" s="15"/>
      <c r="EK44" s="15"/>
      <c r="EL44" s="15"/>
      <c r="EM44" s="15"/>
      <c r="EN44" s="15"/>
      <c r="EO44" s="15"/>
      <c r="EP44" s="15"/>
      <c r="EQ44" s="15"/>
      <c r="ER44" s="15"/>
      <c r="ES44" s="15"/>
      <c r="ET44" s="15" t="s">
        <v>526</v>
      </c>
      <c r="EU44" s="15" t="s">
        <v>479</v>
      </c>
      <c r="EV44" s="15" t="s">
        <v>480</v>
      </c>
      <c r="EW44" s="15"/>
      <c r="EX44" s="15" t="s">
        <v>1619</v>
      </c>
      <c r="EY44" s="15" t="s">
        <v>1620</v>
      </c>
      <c r="EZ44" s="15" t="s">
        <v>414</v>
      </c>
      <c r="FA44" s="15" t="s">
        <v>414</v>
      </c>
      <c r="FB44" s="15" t="s">
        <v>414</v>
      </c>
      <c r="FC44" s="15" t="s">
        <v>414</v>
      </c>
      <c r="FD44" s="15" t="s">
        <v>414</v>
      </c>
      <c r="FE44" s="15" t="s">
        <v>414</v>
      </c>
      <c r="FF44" s="15" t="s">
        <v>414</v>
      </c>
      <c r="FG44" s="15" t="s">
        <v>416</v>
      </c>
      <c r="FH44" s="15" t="s">
        <v>414</v>
      </c>
      <c r="FI44" s="15" t="s">
        <v>414</v>
      </c>
      <c r="FJ44" s="15" t="s">
        <v>415</v>
      </c>
      <c r="FK44" s="15" t="s">
        <v>415</v>
      </c>
      <c r="FL44" s="15" t="s">
        <v>415</v>
      </c>
      <c r="FM44" s="15" t="s">
        <v>415</v>
      </c>
      <c r="FN44" s="15" t="s">
        <v>415</v>
      </c>
      <c r="FO44" s="15" t="s">
        <v>417</v>
      </c>
      <c r="FP44" s="15" t="s">
        <v>418</v>
      </c>
      <c r="FQ44" s="15" t="s">
        <v>712</v>
      </c>
      <c r="FR44" s="15" t="s">
        <v>1621</v>
      </c>
      <c r="FS44" s="15" t="s">
        <v>420</v>
      </c>
      <c r="FT44" s="15" t="s">
        <v>1462</v>
      </c>
      <c r="FU44" s="15" t="s">
        <v>489</v>
      </c>
      <c r="FV44" s="15" t="s">
        <v>490</v>
      </c>
      <c r="FW44" s="15" t="s">
        <v>491</v>
      </c>
      <c r="FX44" s="15" t="s">
        <v>1622</v>
      </c>
      <c r="FY44" s="15" t="s">
        <v>493</v>
      </c>
      <c r="FZ44" s="15"/>
      <c r="GA44" s="15"/>
      <c r="GB44" s="15" t="s">
        <v>455</v>
      </c>
      <c r="GC44" s="15"/>
      <c r="GD44" s="15"/>
      <c r="GE44" s="15" t="s">
        <v>753</v>
      </c>
      <c r="GF44" s="15"/>
      <c r="GG44" s="15" t="s">
        <v>857</v>
      </c>
      <c r="GH44" s="15" t="s">
        <v>857</v>
      </c>
      <c r="GI44" s="15" t="s">
        <v>790</v>
      </c>
      <c r="GJ44" s="15"/>
      <c r="GK44" s="15"/>
      <c r="GL44" s="15"/>
      <c r="GM44" s="15" t="s">
        <v>1079</v>
      </c>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31"/>
      <c r="MX44" s="29" t="s">
        <v>894</v>
      </c>
      <c r="MY44" s="29" t="str">
        <f>IFERROR(__xludf.DUMMYFUNCTION("""COMPUTED_VALUE"""),"British Columbia")</f>
        <v>British Columbia</v>
      </c>
    </row>
    <row r="45" ht="16.5" customHeight="1">
      <c r="A45" s="30">
        <v>45827.504890868055</v>
      </c>
      <c r="B45" s="15" t="s">
        <v>368</v>
      </c>
      <c r="C45" s="15" t="s">
        <v>894</v>
      </c>
      <c r="D45" s="15" t="s">
        <v>894</v>
      </c>
      <c r="E45" s="15"/>
      <c r="F45" s="15"/>
      <c r="G45" s="15" t="s">
        <v>422</v>
      </c>
      <c r="H45" s="15" t="s">
        <v>637</v>
      </c>
      <c r="I45" s="15" t="s">
        <v>638</v>
      </c>
      <c r="J45" s="15" t="s">
        <v>1623</v>
      </c>
      <c r="K45" s="15" t="s">
        <v>376</v>
      </c>
      <c r="L45" s="15" t="s">
        <v>670</v>
      </c>
      <c r="M45" s="15" t="s">
        <v>720</v>
      </c>
      <c r="N45" s="15" t="s">
        <v>379</v>
      </c>
      <c r="O45" s="15" t="s">
        <v>1624</v>
      </c>
      <c r="P45" s="15" t="s">
        <v>592</v>
      </c>
      <c r="Q45" s="15" t="s">
        <v>382</v>
      </c>
      <c r="R45" s="15" t="s">
        <v>427</v>
      </c>
      <c r="S45" s="15" t="s">
        <v>384</v>
      </c>
      <c r="T45" s="15" t="s">
        <v>385</v>
      </c>
      <c r="U45" s="15" t="s">
        <v>1025</v>
      </c>
      <c r="V45" s="15" t="s">
        <v>1025</v>
      </c>
      <c r="W45" s="15" t="s">
        <v>428</v>
      </c>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t="s">
        <v>1310</v>
      </c>
      <c r="AW45" s="15" t="s">
        <v>391</v>
      </c>
      <c r="AX45" s="15" t="s">
        <v>391</v>
      </c>
      <c r="AY45" s="15" t="s">
        <v>391</v>
      </c>
      <c r="AZ45" s="15">
        <v>2.0</v>
      </c>
      <c r="BA45" s="15">
        <v>4.0</v>
      </c>
      <c r="BB45" s="15">
        <v>4.0</v>
      </c>
      <c r="BC45" s="15"/>
      <c r="BD45" s="15"/>
      <c r="BE45" s="15" t="s">
        <v>392</v>
      </c>
      <c r="BF45" s="15" t="s">
        <v>393</v>
      </c>
      <c r="BG45" s="15" t="s">
        <v>434</v>
      </c>
      <c r="BH45" s="15"/>
      <c r="BI45" s="15" t="s">
        <v>435</v>
      </c>
      <c r="BJ45" s="15"/>
      <c r="BK45" s="15" t="s">
        <v>681</v>
      </c>
      <c r="BL45" s="15" t="s">
        <v>603</v>
      </c>
      <c r="BM45" s="15" t="s">
        <v>1247</v>
      </c>
      <c r="BN45" s="15" t="s">
        <v>440</v>
      </c>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t="s">
        <v>441</v>
      </c>
      <c r="CM45" s="15" t="s">
        <v>401</v>
      </c>
      <c r="CN45" s="15" t="s">
        <v>552</v>
      </c>
      <c r="CO45" s="15" t="s">
        <v>1625</v>
      </c>
      <c r="CP45" s="15" t="s">
        <v>685</v>
      </c>
      <c r="CQ45" s="15" t="s">
        <v>956</v>
      </c>
      <c r="CR45" s="15" t="s">
        <v>404</v>
      </c>
      <c r="CS45" s="15" t="s">
        <v>1626</v>
      </c>
      <c r="CT45" s="15" t="s">
        <v>1627</v>
      </c>
      <c r="CU45" s="15" t="s">
        <v>519</v>
      </c>
      <c r="CV45" s="15" t="s">
        <v>451</v>
      </c>
      <c r="CW45" s="15" t="s">
        <v>1628</v>
      </c>
      <c r="CX45" s="15" t="s">
        <v>408</v>
      </c>
      <c r="CY45" s="15"/>
      <c r="CZ45" s="15" t="s">
        <v>985</v>
      </c>
      <c r="DA45" s="15"/>
      <c r="DB45" s="15" t="s">
        <v>455</v>
      </c>
      <c r="DC45" s="15" t="s">
        <v>1629</v>
      </c>
      <c r="DD45" s="15" t="s">
        <v>406</v>
      </c>
      <c r="DE45" s="15" t="s">
        <v>407</v>
      </c>
      <c r="DF45" s="15"/>
      <c r="DG45" s="15" t="s">
        <v>524</v>
      </c>
      <c r="DH45" s="15"/>
      <c r="DI45" s="15" t="s">
        <v>459</v>
      </c>
      <c r="DJ45" s="15" t="s">
        <v>613</v>
      </c>
      <c r="DK45" s="15"/>
      <c r="DL45" s="15"/>
      <c r="DM45" s="15" t="s">
        <v>1630</v>
      </c>
      <c r="DN45" s="15" t="s">
        <v>1631</v>
      </c>
      <c r="DO45" s="15" t="s">
        <v>567</v>
      </c>
      <c r="DP45" s="15" t="s">
        <v>1632</v>
      </c>
      <c r="DQ45" s="15" t="s">
        <v>700</v>
      </c>
      <c r="DR45" s="15" t="s">
        <v>1633</v>
      </c>
      <c r="DS45" s="15" t="s">
        <v>618</v>
      </c>
      <c r="DT45" s="15" t="s">
        <v>570</v>
      </c>
      <c r="DU45" s="15" t="s">
        <v>1634</v>
      </c>
      <c r="DV45" s="15" t="s">
        <v>1635</v>
      </c>
      <c r="DW45" s="15" t="s">
        <v>622</v>
      </c>
      <c r="DX45" s="15" t="s">
        <v>1636</v>
      </c>
      <c r="DY45" s="15" t="s">
        <v>1637</v>
      </c>
      <c r="DZ45" s="15"/>
      <c r="EA45" s="15" t="s">
        <v>475</v>
      </c>
      <c r="EB45" s="15" t="s">
        <v>845</v>
      </c>
      <c r="EC45" s="15"/>
      <c r="ED45" s="15"/>
      <c r="EE45" s="15"/>
      <c r="EF45" s="15"/>
      <c r="EG45" s="15"/>
      <c r="EH45" s="15"/>
      <c r="EI45" s="15"/>
      <c r="EJ45" s="15"/>
      <c r="EK45" s="15"/>
      <c r="EL45" s="15"/>
      <c r="EM45" s="15"/>
      <c r="EN45" s="15"/>
      <c r="EO45" s="15"/>
      <c r="EP45" s="15"/>
      <c r="EQ45" s="15"/>
      <c r="ER45" s="15"/>
      <c r="ES45" s="15"/>
      <c r="ET45" s="15" t="s">
        <v>578</v>
      </c>
      <c r="EU45" s="15" t="s">
        <v>1037</v>
      </c>
      <c r="EV45" s="15" t="s">
        <v>480</v>
      </c>
      <c r="EW45" s="15"/>
      <c r="EX45" s="15"/>
      <c r="EY45" s="15"/>
      <c r="EZ45" s="15" t="s">
        <v>413</v>
      </c>
      <c r="FA45" s="15" t="s">
        <v>415</v>
      </c>
      <c r="FB45" s="15" t="s">
        <v>413</v>
      </c>
      <c r="FC45" s="15" t="s">
        <v>413</v>
      </c>
      <c r="FD45" s="15" t="s">
        <v>413</v>
      </c>
      <c r="FE45" s="15" t="s">
        <v>415</v>
      </c>
      <c r="FF45" s="15" t="s">
        <v>413</v>
      </c>
      <c r="FG45" s="15" t="s">
        <v>413</v>
      </c>
      <c r="FH45" s="15" t="s">
        <v>583</v>
      </c>
      <c r="FI45" s="15" t="s">
        <v>415</v>
      </c>
      <c r="FJ45" s="15" t="s">
        <v>415</v>
      </c>
      <c r="FK45" s="15" t="s">
        <v>416</v>
      </c>
      <c r="FL45" s="15" t="s">
        <v>415</v>
      </c>
      <c r="FM45" s="15" t="s">
        <v>416</v>
      </c>
      <c r="FN45" s="15" t="s">
        <v>415</v>
      </c>
      <c r="FO45" s="15" t="s">
        <v>485</v>
      </c>
      <c r="FP45" s="15" t="s">
        <v>418</v>
      </c>
      <c r="FQ45" s="15" t="s">
        <v>749</v>
      </c>
      <c r="FR45" s="15"/>
      <c r="FS45" s="15" t="s">
        <v>420</v>
      </c>
      <c r="FT45" s="15" t="s">
        <v>488</v>
      </c>
      <c r="FU45" s="15" t="s">
        <v>918</v>
      </c>
      <c r="FV45" s="15" t="s">
        <v>490</v>
      </c>
      <c r="FW45" s="15" t="s">
        <v>491</v>
      </c>
      <c r="FX45" s="15"/>
      <c r="FY45" s="15" t="s">
        <v>493</v>
      </c>
      <c r="FZ45" s="15"/>
      <c r="GA45" s="15"/>
      <c r="GB45" s="15" t="s">
        <v>455</v>
      </c>
      <c r="GC45" s="15"/>
      <c r="GD45" s="15"/>
      <c r="GE45" s="15" t="s">
        <v>753</v>
      </c>
      <c r="GF45" s="15"/>
      <c r="GG45" s="15" t="s">
        <v>1000</v>
      </c>
      <c r="GH45" s="15" t="s">
        <v>1000</v>
      </c>
      <c r="GI45" s="15" t="s">
        <v>756</v>
      </c>
      <c r="GJ45" s="15"/>
      <c r="GK45" s="15"/>
      <c r="GL45" s="15"/>
      <c r="GM45" s="15" t="s">
        <v>1079</v>
      </c>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31"/>
      <c r="MX45" s="29" t="s">
        <v>10402</v>
      </c>
      <c r="MY45" s="29" t="str">
        <f>IFERROR(__xludf.DUMMYFUNCTION("""COMPUTED_VALUE"""),"")</f>
        <v/>
      </c>
    </row>
    <row r="46" ht="16.5" customHeight="1">
      <c r="A46" s="30">
        <v>45827.56687807871</v>
      </c>
      <c r="B46" s="15" t="s">
        <v>368</v>
      </c>
      <c r="C46" s="15" t="s">
        <v>1341</v>
      </c>
      <c r="D46" s="15" t="s">
        <v>1341</v>
      </c>
      <c r="E46" s="15" t="s">
        <v>1023</v>
      </c>
      <c r="F46" s="15"/>
      <c r="G46" s="15" t="s">
        <v>1140</v>
      </c>
      <c r="H46" s="15" t="s">
        <v>637</v>
      </c>
      <c r="I46" s="15" t="s">
        <v>638</v>
      </c>
      <c r="J46" s="15" t="s">
        <v>590</v>
      </c>
      <c r="K46" s="15" t="s">
        <v>376</v>
      </c>
      <c r="L46" s="15" t="s">
        <v>377</v>
      </c>
      <c r="M46" s="15" t="s">
        <v>378</v>
      </c>
      <c r="N46" s="15" t="s">
        <v>379</v>
      </c>
      <c r="O46" s="15" t="s">
        <v>497</v>
      </c>
      <c r="P46" s="15" t="s">
        <v>381</v>
      </c>
      <c r="Q46" s="15" t="s">
        <v>818</v>
      </c>
      <c r="R46" s="15" t="s">
        <v>427</v>
      </c>
      <c r="S46" s="15" t="s">
        <v>384</v>
      </c>
      <c r="T46" s="15" t="s">
        <v>385</v>
      </c>
      <c r="U46" s="15"/>
      <c r="V46" s="15"/>
      <c r="W46" s="15" t="s">
        <v>386</v>
      </c>
      <c r="X46" s="15" t="s">
        <v>642</v>
      </c>
      <c r="Y46" s="15"/>
      <c r="Z46" s="15"/>
      <c r="AA46" s="15"/>
      <c r="AB46" s="15"/>
      <c r="AC46" s="15"/>
      <c r="AD46" s="15"/>
      <c r="AE46" s="15"/>
      <c r="AF46" s="15"/>
      <c r="AG46" s="15"/>
      <c r="AH46" s="15"/>
      <c r="AI46" s="15"/>
      <c r="AJ46" s="15"/>
      <c r="AK46" s="15"/>
      <c r="AL46" s="15" t="s">
        <v>1141</v>
      </c>
      <c r="AM46" s="15" t="s">
        <v>644</v>
      </c>
      <c r="AN46" s="15" t="s">
        <v>455</v>
      </c>
      <c r="AO46" s="15" t="s">
        <v>1638</v>
      </c>
      <c r="AP46" s="15" t="s">
        <v>1144</v>
      </c>
      <c r="AQ46" s="15">
        <v>4.0</v>
      </c>
      <c r="AR46" s="15" t="s">
        <v>1639</v>
      </c>
      <c r="AS46" s="15" t="s">
        <v>1640</v>
      </c>
      <c r="AT46" s="15" t="s">
        <v>1641</v>
      </c>
      <c r="AU46" s="15" t="s">
        <v>1642</v>
      </c>
      <c r="AV46" s="15" t="s">
        <v>390</v>
      </c>
      <c r="AW46" s="15" t="s">
        <v>429</v>
      </c>
      <c r="AX46" s="15" t="s">
        <v>429</v>
      </c>
      <c r="AY46" s="15">
        <v>2.0</v>
      </c>
      <c r="AZ46" s="15">
        <v>2.0</v>
      </c>
      <c r="BA46" s="15" t="s">
        <v>429</v>
      </c>
      <c r="BB46" s="15" t="s">
        <v>429</v>
      </c>
      <c r="BC46" s="15" t="s">
        <v>1643</v>
      </c>
      <c r="BD46" s="15" t="s">
        <v>1644</v>
      </c>
      <c r="BE46" s="15" t="s">
        <v>392</v>
      </c>
      <c r="BF46" s="15" t="s">
        <v>433</v>
      </c>
      <c r="BG46" s="15" t="s">
        <v>725</v>
      </c>
      <c r="BH46" s="15" t="s">
        <v>1645</v>
      </c>
      <c r="BI46" s="15" t="s">
        <v>509</v>
      </c>
      <c r="BJ46" s="15" t="s">
        <v>1646</v>
      </c>
      <c r="BK46" s="15" t="s">
        <v>681</v>
      </c>
      <c r="BL46" s="15" t="s">
        <v>438</v>
      </c>
      <c r="BM46" s="15" t="s">
        <v>439</v>
      </c>
      <c r="BN46" s="15" t="s">
        <v>513</v>
      </c>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t="s">
        <v>550</v>
      </c>
      <c r="CM46" s="15" t="s">
        <v>401</v>
      </c>
      <c r="CN46" s="15" t="s">
        <v>1647</v>
      </c>
      <c r="CO46" s="15" t="s">
        <v>1648</v>
      </c>
      <c r="CP46" s="15" t="s">
        <v>445</v>
      </c>
      <c r="CQ46" s="15" t="s">
        <v>1649</v>
      </c>
      <c r="CR46" s="15" t="s">
        <v>447</v>
      </c>
      <c r="CS46" s="15" t="s">
        <v>1650</v>
      </c>
      <c r="CT46" s="15" t="s">
        <v>1651</v>
      </c>
      <c r="CU46" s="15" t="s">
        <v>519</v>
      </c>
      <c r="CV46" s="15" t="s">
        <v>451</v>
      </c>
      <c r="CW46" s="15" t="s">
        <v>1652</v>
      </c>
      <c r="CX46" s="15" t="s">
        <v>408</v>
      </c>
      <c r="CY46" s="15"/>
      <c r="CZ46" s="15" t="s">
        <v>985</v>
      </c>
      <c r="DA46" s="15" t="s">
        <v>1653</v>
      </c>
      <c r="DB46" s="15" t="s">
        <v>408</v>
      </c>
      <c r="DC46" s="15"/>
      <c r="DD46" s="15" t="s">
        <v>406</v>
      </c>
      <c r="DE46" s="15" t="s">
        <v>407</v>
      </c>
      <c r="DF46" s="15" t="s">
        <v>1654</v>
      </c>
      <c r="DG46" s="15" t="s">
        <v>524</v>
      </c>
      <c r="DH46" s="15" t="s">
        <v>410</v>
      </c>
      <c r="DI46" s="15" t="s">
        <v>459</v>
      </c>
      <c r="DJ46" s="15" t="s">
        <v>613</v>
      </c>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t="s">
        <v>578</v>
      </c>
      <c r="EU46" s="15" t="s">
        <v>887</v>
      </c>
      <c r="EV46" s="15" t="s">
        <v>1534</v>
      </c>
      <c r="EW46" s="15" t="s">
        <v>1655</v>
      </c>
      <c r="EX46" s="15" t="s">
        <v>1656</v>
      </c>
      <c r="EY46" s="15" t="s">
        <v>1657</v>
      </c>
      <c r="EZ46" s="15" t="s">
        <v>414</v>
      </c>
      <c r="FA46" s="15" t="s">
        <v>414</v>
      </c>
      <c r="FB46" s="15" t="s">
        <v>413</v>
      </c>
      <c r="FC46" s="15" t="s">
        <v>415</v>
      </c>
      <c r="FD46" s="15" t="s">
        <v>413</v>
      </c>
      <c r="FE46" s="15" t="s">
        <v>583</v>
      </c>
      <c r="FF46" s="15" t="s">
        <v>415</v>
      </c>
      <c r="FG46" s="15" t="s">
        <v>416</v>
      </c>
      <c r="FH46" s="15" t="s">
        <v>414</v>
      </c>
      <c r="FI46" s="15" t="s">
        <v>583</v>
      </c>
      <c r="FJ46" s="15" t="s">
        <v>415</v>
      </c>
      <c r="FK46" s="15" t="s">
        <v>416</v>
      </c>
      <c r="FL46" s="15" t="s">
        <v>416</v>
      </c>
      <c r="FM46" s="15" t="s">
        <v>413</v>
      </c>
      <c r="FN46" s="15" t="s">
        <v>583</v>
      </c>
      <c r="FO46" s="15" t="s">
        <v>850</v>
      </c>
      <c r="FP46" s="15" t="s">
        <v>418</v>
      </c>
      <c r="FQ46" s="15" t="s">
        <v>749</v>
      </c>
      <c r="FR46" s="15" t="s">
        <v>1658</v>
      </c>
      <c r="FS46" s="15" t="s">
        <v>420</v>
      </c>
      <c r="FT46" s="15" t="s">
        <v>488</v>
      </c>
      <c r="FU46" s="15" t="s">
        <v>918</v>
      </c>
      <c r="FV46" s="15" t="s">
        <v>490</v>
      </c>
      <c r="FW46" s="15" t="s">
        <v>491</v>
      </c>
      <c r="FX46" s="15" t="s">
        <v>1659</v>
      </c>
      <c r="FY46" s="15" t="s">
        <v>493</v>
      </c>
      <c r="FZ46" s="15" t="s">
        <v>1660</v>
      </c>
      <c r="GA46" s="15" t="s">
        <v>1661</v>
      </c>
      <c r="GB46" s="15" t="s">
        <v>455</v>
      </c>
      <c r="GC46" s="15"/>
      <c r="GD46" s="15"/>
      <c r="GE46" s="15" t="s">
        <v>753</v>
      </c>
      <c r="GF46" s="15" t="s">
        <v>1662</v>
      </c>
      <c r="GG46" s="15" t="s">
        <v>788</v>
      </c>
      <c r="GH46" s="15"/>
      <c r="GI46" s="15" t="s">
        <v>921</v>
      </c>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31"/>
      <c r="MX46" s="29" t="s">
        <v>894</v>
      </c>
      <c r="MY46" s="29" t="str">
        <f>IFERROR(__xludf.DUMMYFUNCTION("""COMPUTED_VALUE"""),"Ontario")</f>
        <v>Ontario</v>
      </c>
    </row>
    <row r="47" ht="16.5" customHeight="1">
      <c r="A47" s="30">
        <v>45827.582390254625</v>
      </c>
      <c r="B47" s="15" t="s">
        <v>368</v>
      </c>
      <c r="C47" s="15" t="s">
        <v>894</v>
      </c>
      <c r="D47" s="15" t="s">
        <v>894</v>
      </c>
      <c r="E47" s="15"/>
      <c r="F47" s="15"/>
      <c r="G47" s="15" t="s">
        <v>422</v>
      </c>
      <c r="H47" s="15" t="s">
        <v>373</v>
      </c>
      <c r="I47" s="15" t="s">
        <v>638</v>
      </c>
      <c r="J47" s="15" t="s">
        <v>425</v>
      </c>
      <c r="K47" s="15" t="s">
        <v>376</v>
      </c>
      <c r="L47" s="15" t="s">
        <v>379</v>
      </c>
      <c r="M47" s="15" t="s">
        <v>1663</v>
      </c>
      <c r="N47" s="15" t="s">
        <v>379</v>
      </c>
      <c r="O47" s="15" t="s">
        <v>671</v>
      </c>
      <c r="P47" s="15" t="s">
        <v>498</v>
      </c>
      <c r="Q47" s="15" t="s">
        <v>862</v>
      </c>
      <c r="R47" s="15" t="s">
        <v>500</v>
      </c>
      <c r="S47" s="15" t="s">
        <v>1664</v>
      </c>
      <c r="T47" s="15" t="s">
        <v>385</v>
      </c>
      <c r="U47" s="15" t="s">
        <v>896</v>
      </c>
      <c r="V47" s="15" t="s">
        <v>896</v>
      </c>
      <c r="W47" s="15" t="s">
        <v>428</v>
      </c>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t="s">
        <v>597</v>
      </c>
      <c r="AW47" s="15">
        <v>4.0</v>
      </c>
      <c r="AX47" s="15" t="s">
        <v>391</v>
      </c>
      <c r="AY47" s="15" t="s">
        <v>675</v>
      </c>
      <c r="AZ47" s="15" t="s">
        <v>675</v>
      </c>
      <c r="BA47" s="15" t="s">
        <v>675</v>
      </c>
      <c r="BB47" s="15" t="s">
        <v>391</v>
      </c>
      <c r="BC47" s="15" t="s">
        <v>1665</v>
      </c>
      <c r="BD47" s="15" t="s">
        <v>1666</v>
      </c>
      <c r="BE47" s="15" t="s">
        <v>392</v>
      </c>
      <c r="BF47" s="15" t="s">
        <v>393</v>
      </c>
      <c r="BG47" s="15" t="s">
        <v>394</v>
      </c>
      <c r="BH47" s="15" t="s">
        <v>1667</v>
      </c>
      <c r="BI47" s="15" t="s">
        <v>824</v>
      </c>
      <c r="BJ47" s="15"/>
      <c r="BK47" s="15" t="s">
        <v>681</v>
      </c>
      <c r="BL47" s="15" t="s">
        <v>396</v>
      </c>
      <c r="BM47" s="15" t="s">
        <v>549</v>
      </c>
      <c r="BN47" s="15" t="s">
        <v>398</v>
      </c>
      <c r="BO47" s="15" t="s">
        <v>1668</v>
      </c>
      <c r="BP47" s="15" t="s">
        <v>1669</v>
      </c>
      <c r="BQ47" s="15" t="s">
        <v>442</v>
      </c>
      <c r="BR47" s="15" t="s">
        <v>1670</v>
      </c>
      <c r="BS47" s="15" t="s">
        <v>1671</v>
      </c>
      <c r="BT47" s="15" t="s">
        <v>1672</v>
      </c>
      <c r="BU47" s="15" t="s">
        <v>405</v>
      </c>
      <c r="BV47" s="15" t="s">
        <v>1673</v>
      </c>
      <c r="BW47" s="15" t="s">
        <v>988</v>
      </c>
      <c r="BX47" s="15"/>
      <c r="BY47" s="15" t="s">
        <v>455</v>
      </c>
      <c r="BZ47" s="15" t="s">
        <v>1674</v>
      </c>
      <c r="CA47" s="15" t="s">
        <v>1675</v>
      </c>
      <c r="CB47" s="15" t="s">
        <v>1676</v>
      </c>
      <c r="CC47" s="15" t="s">
        <v>1677</v>
      </c>
      <c r="CD47" s="15" t="s">
        <v>451</v>
      </c>
      <c r="CE47" s="15" t="s">
        <v>1678</v>
      </c>
      <c r="CF47" s="15" t="s">
        <v>1258</v>
      </c>
      <c r="CG47" s="15"/>
      <c r="CH47" s="15" t="s">
        <v>1679</v>
      </c>
      <c r="CI47" s="15" t="s">
        <v>410</v>
      </c>
      <c r="CJ47" s="15" t="s">
        <v>1680</v>
      </c>
      <c r="CK47" s="15" t="s">
        <v>1681</v>
      </c>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t="s">
        <v>526</v>
      </c>
      <c r="EU47" s="15" t="s">
        <v>887</v>
      </c>
      <c r="EV47" s="15" t="s">
        <v>480</v>
      </c>
      <c r="EW47" s="15" t="s">
        <v>1682</v>
      </c>
      <c r="EX47" s="15" t="s">
        <v>1683</v>
      </c>
      <c r="EY47" s="15" t="s">
        <v>1684</v>
      </c>
      <c r="EZ47" s="15" t="s">
        <v>583</v>
      </c>
      <c r="FA47" s="15" t="s">
        <v>583</v>
      </c>
      <c r="FB47" s="15" t="s">
        <v>415</v>
      </c>
      <c r="FC47" s="15" t="s">
        <v>583</v>
      </c>
      <c r="FD47" s="15" t="s">
        <v>416</v>
      </c>
      <c r="FE47" s="15" t="s">
        <v>583</v>
      </c>
      <c r="FF47" s="15" t="s">
        <v>583</v>
      </c>
      <c r="FG47" s="15" t="s">
        <v>414</v>
      </c>
      <c r="FH47" s="15" t="s">
        <v>414</v>
      </c>
      <c r="FI47" s="15" t="s">
        <v>414</v>
      </c>
      <c r="FJ47" s="15" t="s">
        <v>414</v>
      </c>
      <c r="FK47" s="15" t="s">
        <v>583</v>
      </c>
      <c r="FL47" s="15" t="s">
        <v>583</v>
      </c>
      <c r="FM47" s="15" t="s">
        <v>414</v>
      </c>
      <c r="FN47" s="15" t="s">
        <v>583</v>
      </c>
      <c r="FO47" s="15" t="s">
        <v>485</v>
      </c>
      <c r="FP47" s="15" t="s">
        <v>418</v>
      </c>
      <c r="FQ47" s="15" t="s">
        <v>419</v>
      </c>
      <c r="FR47" s="15" t="s">
        <v>1685</v>
      </c>
      <c r="FS47" s="15" t="s">
        <v>420</v>
      </c>
      <c r="FT47" s="15" t="s">
        <v>488</v>
      </c>
      <c r="FU47" s="15" t="s">
        <v>489</v>
      </c>
      <c r="FV47" s="15" t="s">
        <v>490</v>
      </c>
      <c r="FW47" s="15" t="s">
        <v>491</v>
      </c>
      <c r="FX47" s="15" t="s">
        <v>1686</v>
      </c>
      <c r="FY47" s="15" t="s">
        <v>535</v>
      </c>
      <c r="FZ47" s="15" t="s">
        <v>1687</v>
      </c>
      <c r="GA47" s="15" t="s">
        <v>1688</v>
      </c>
      <c r="GB47" s="15" t="s">
        <v>455</v>
      </c>
      <c r="GC47" s="15"/>
      <c r="GD47" s="15"/>
      <c r="GE47" s="15" t="s">
        <v>753</v>
      </c>
      <c r="GF47" s="15" t="s">
        <v>1689</v>
      </c>
      <c r="GG47" s="15"/>
      <c r="GH47" s="15"/>
      <c r="GI47" s="15"/>
      <c r="GJ47" s="15" t="s">
        <v>755</v>
      </c>
      <c r="GK47" s="15" t="s">
        <v>755</v>
      </c>
      <c r="GL47" s="15" t="s">
        <v>817</v>
      </c>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31"/>
      <c r="MX47" s="29" t="s">
        <v>10402</v>
      </c>
      <c r="MY47" s="29" t="str">
        <f>IFERROR(__xludf.DUMMYFUNCTION("""COMPUTED_VALUE"""),"California")</f>
        <v>California</v>
      </c>
    </row>
    <row r="48" ht="16.5" customHeight="1">
      <c r="A48" s="30">
        <v>45827.59833847222</v>
      </c>
      <c r="B48" s="15" t="s">
        <v>368</v>
      </c>
      <c r="C48" s="15" t="s">
        <v>370</v>
      </c>
      <c r="D48" s="15"/>
      <c r="E48" s="15" t="s">
        <v>371</v>
      </c>
      <c r="F48" s="15"/>
      <c r="G48" s="15" t="s">
        <v>422</v>
      </c>
      <c r="H48" s="15" t="s">
        <v>373</v>
      </c>
      <c r="I48" s="15" t="s">
        <v>374</v>
      </c>
      <c r="J48" s="15" t="s">
        <v>718</v>
      </c>
      <c r="K48" s="15" t="s">
        <v>376</v>
      </c>
      <c r="L48" s="15" t="s">
        <v>591</v>
      </c>
      <c r="M48" s="15" t="s">
        <v>1690</v>
      </c>
      <c r="N48" s="15" t="s">
        <v>591</v>
      </c>
      <c r="O48" s="15"/>
      <c r="P48" s="15" t="s">
        <v>381</v>
      </c>
      <c r="Q48" s="15" t="s">
        <v>1156</v>
      </c>
      <c r="R48" s="15" t="s">
        <v>500</v>
      </c>
      <c r="S48" s="15" t="s">
        <v>384</v>
      </c>
      <c r="T48" s="15" t="s">
        <v>385</v>
      </c>
      <c r="U48" s="15"/>
      <c r="V48" s="15"/>
      <c r="W48" s="15" t="s">
        <v>428</v>
      </c>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t="s">
        <v>1242</v>
      </c>
      <c r="AW48" s="15" t="s">
        <v>675</v>
      </c>
      <c r="AX48" s="15" t="s">
        <v>675</v>
      </c>
      <c r="AY48" s="15" t="s">
        <v>675</v>
      </c>
      <c r="AZ48" s="15">
        <v>4.0</v>
      </c>
      <c r="BA48" s="15" t="s">
        <v>675</v>
      </c>
      <c r="BB48" s="15" t="s">
        <v>675</v>
      </c>
      <c r="BC48" s="15"/>
      <c r="BD48" s="15"/>
      <c r="BE48" s="15" t="s">
        <v>902</v>
      </c>
      <c r="BF48" s="15" t="s">
        <v>1245</v>
      </c>
      <c r="BG48" s="15" t="s">
        <v>394</v>
      </c>
      <c r="BH48" s="15"/>
      <c r="BI48" s="15" t="s">
        <v>976</v>
      </c>
      <c r="BJ48" s="15"/>
      <c r="BK48" s="15" t="s">
        <v>602</v>
      </c>
      <c r="BL48" s="15" t="s">
        <v>603</v>
      </c>
      <c r="BM48" s="15" t="s">
        <v>1314</v>
      </c>
      <c r="BN48" s="15" t="s">
        <v>398</v>
      </c>
      <c r="BO48" s="15"/>
      <c r="BP48" s="15"/>
      <c r="BQ48" s="15" t="s">
        <v>442</v>
      </c>
      <c r="BR48" s="15" t="s">
        <v>1691</v>
      </c>
      <c r="BS48" s="15" t="s">
        <v>1692</v>
      </c>
      <c r="BT48" s="15" t="s">
        <v>1672</v>
      </c>
      <c r="BU48" s="15" t="s">
        <v>1693</v>
      </c>
      <c r="BV48" s="15" t="s">
        <v>1694</v>
      </c>
      <c r="BW48" s="15" t="s">
        <v>988</v>
      </c>
      <c r="BX48" s="15"/>
      <c r="BY48" s="15" t="s">
        <v>408</v>
      </c>
      <c r="BZ48" s="15"/>
      <c r="CA48" s="15"/>
      <c r="CB48" s="15"/>
      <c r="CC48" s="15" t="s">
        <v>1695</v>
      </c>
      <c r="CD48" s="15" t="s">
        <v>451</v>
      </c>
      <c r="CE48" s="15" t="s">
        <v>1696</v>
      </c>
      <c r="CF48" s="15" t="s">
        <v>1697</v>
      </c>
      <c r="CG48" s="15"/>
      <c r="CH48" s="15" t="s">
        <v>1698</v>
      </c>
      <c r="CI48" s="15" t="s">
        <v>410</v>
      </c>
      <c r="CJ48" s="15" t="s">
        <v>1699</v>
      </c>
      <c r="CK48" s="15" t="s">
        <v>1700</v>
      </c>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t="s">
        <v>526</v>
      </c>
      <c r="EU48" s="15" t="s">
        <v>479</v>
      </c>
      <c r="EV48" s="15" t="s">
        <v>1262</v>
      </c>
      <c r="EW48" s="15"/>
      <c r="EX48" s="15"/>
      <c r="EY48" s="15" t="s">
        <v>1701</v>
      </c>
      <c r="EZ48" s="15" t="s">
        <v>414</v>
      </c>
      <c r="FA48" s="15" t="s">
        <v>414</v>
      </c>
      <c r="FB48" s="15" t="s">
        <v>415</v>
      </c>
      <c r="FC48" s="15" t="s">
        <v>583</v>
      </c>
      <c r="FD48" s="15" t="s">
        <v>413</v>
      </c>
      <c r="FE48" s="15" t="s">
        <v>583</v>
      </c>
      <c r="FF48" s="15" t="s">
        <v>583</v>
      </c>
      <c r="FG48" s="15" t="s">
        <v>583</v>
      </c>
      <c r="FH48" s="15" t="s">
        <v>583</v>
      </c>
      <c r="FI48" s="15" t="s">
        <v>583</v>
      </c>
      <c r="FJ48" s="15" t="s">
        <v>414</v>
      </c>
      <c r="FK48" s="15" t="s">
        <v>583</v>
      </c>
      <c r="FL48" s="15" t="s">
        <v>583</v>
      </c>
      <c r="FM48" s="15" t="s">
        <v>413</v>
      </c>
      <c r="FN48" s="15" t="s">
        <v>583</v>
      </c>
      <c r="FO48" s="15" t="s">
        <v>850</v>
      </c>
      <c r="FP48" s="15" t="s">
        <v>418</v>
      </c>
      <c r="FQ48" s="15" t="s">
        <v>419</v>
      </c>
      <c r="FR48" s="15" t="s">
        <v>1702</v>
      </c>
      <c r="FS48" s="15" t="s">
        <v>1076</v>
      </c>
      <c r="FT48" s="15" t="s">
        <v>488</v>
      </c>
      <c r="FU48" s="15" t="s">
        <v>533</v>
      </c>
      <c r="FV48" s="15" t="s">
        <v>490</v>
      </c>
      <c r="FW48" s="15" t="s">
        <v>491</v>
      </c>
      <c r="FX48" s="15"/>
      <c r="FY48" s="15" t="s">
        <v>493</v>
      </c>
      <c r="FZ48" s="15"/>
      <c r="GA48" s="15"/>
      <c r="GB48" s="15" t="s">
        <v>408</v>
      </c>
      <c r="GC48" s="15"/>
      <c r="GD48" s="15"/>
      <c r="GE48" s="15"/>
      <c r="GF48" s="15"/>
      <c r="GG48" s="15"/>
      <c r="GH48" s="15"/>
      <c r="GI48" s="15"/>
      <c r="GJ48" s="15" t="s">
        <v>755</v>
      </c>
      <c r="GK48" s="15" t="s">
        <v>755</v>
      </c>
      <c r="GL48" s="15" t="s">
        <v>946</v>
      </c>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31"/>
      <c r="MX48" s="29" t="s">
        <v>10402</v>
      </c>
      <c r="MY48" s="29" t="str">
        <f>IFERROR(__xludf.DUMMYFUNCTION("""COMPUTED_VALUE"""),"US Territory (Unspecified)")</f>
        <v>US Territory (Unspecified)</v>
      </c>
    </row>
    <row r="49" ht="16.5" customHeight="1">
      <c r="A49" s="30">
        <v>45827.666499756946</v>
      </c>
      <c r="B49" s="15" t="s">
        <v>368</v>
      </c>
      <c r="C49" s="15" t="s">
        <v>1703</v>
      </c>
      <c r="D49" s="15" t="s">
        <v>1703</v>
      </c>
      <c r="E49" s="15" t="s">
        <v>1202</v>
      </c>
      <c r="F49" s="15"/>
      <c r="G49" s="15" t="s">
        <v>422</v>
      </c>
      <c r="H49" s="15" t="s">
        <v>637</v>
      </c>
      <c r="I49" s="15" t="s">
        <v>638</v>
      </c>
      <c r="J49" s="15" t="s">
        <v>590</v>
      </c>
      <c r="K49" s="15" t="s">
        <v>376</v>
      </c>
      <c r="L49" s="15" t="s">
        <v>670</v>
      </c>
      <c r="M49" s="15" t="s">
        <v>720</v>
      </c>
      <c r="N49" s="15" t="s">
        <v>793</v>
      </c>
      <c r="O49" s="15" t="s">
        <v>719</v>
      </c>
      <c r="P49" s="15" t="s">
        <v>592</v>
      </c>
      <c r="Q49" s="15" t="s">
        <v>382</v>
      </c>
      <c r="R49" s="15" t="s">
        <v>1704</v>
      </c>
      <c r="S49" s="15" t="s">
        <v>1705</v>
      </c>
      <c r="T49" s="15" t="s">
        <v>385</v>
      </c>
      <c r="U49" s="15"/>
      <c r="V49" s="15"/>
      <c r="W49" s="15" t="s">
        <v>760</v>
      </c>
      <c r="X49" s="15" t="s">
        <v>1706</v>
      </c>
      <c r="Y49" s="15"/>
      <c r="Z49" s="15"/>
      <c r="AA49" s="15"/>
      <c r="AB49" s="15"/>
      <c r="AC49" s="15" t="s">
        <v>1707</v>
      </c>
      <c r="AD49" s="15" t="s">
        <v>1708</v>
      </c>
      <c r="AE49" s="15" t="s">
        <v>455</v>
      </c>
      <c r="AF49" s="15" t="s">
        <v>1709</v>
      </c>
      <c r="AG49" s="15">
        <v>5.0</v>
      </c>
      <c r="AH49" s="15" t="s">
        <v>1639</v>
      </c>
      <c r="AI49" s="15" t="s">
        <v>1710</v>
      </c>
      <c r="AJ49" s="15" t="s">
        <v>1711</v>
      </c>
      <c r="AK49" s="15" t="s">
        <v>1712</v>
      </c>
      <c r="AL49" s="15"/>
      <c r="AM49" s="15"/>
      <c r="AN49" s="15"/>
      <c r="AO49" s="15"/>
      <c r="AP49" s="15"/>
      <c r="AQ49" s="15"/>
      <c r="AR49" s="15"/>
      <c r="AS49" s="15"/>
      <c r="AT49" s="15"/>
      <c r="AU49" s="15"/>
      <c r="AV49" s="15" t="s">
        <v>1242</v>
      </c>
      <c r="AW49" s="15" t="s">
        <v>675</v>
      </c>
      <c r="AX49" s="15" t="s">
        <v>675</v>
      </c>
      <c r="AY49" s="15" t="s">
        <v>675</v>
      </c>
      <c r="AZ49" s="15" t="s">
        <v>675</v>
      </c>
      <c r="BA49" s="15" t="s">
        <v>675</v>
      </c>
      <c r="BB49" s="15" t="s">
        <v>675</v>
      </c>
      <c r="BC49" s="15" t="s">
        <v>1713</v>
      </c>
      <c r="BD49" s="15" t="s">
        <v>1714</v>
      </c>
      <c r="BE49" s="15" t="s">
        <v>902</v>
      </c>
      <c r="BF49" s="15" t="s">
        <v>1245</v>
      </c>
      <c r="BG49" s="15" t="s">
        <v>394</v>
      </c>
      <c r="BH49" s="15" t="s">
        <v>1715</v>
      </c>
      <c r="BI49" s="15" t="s">
        <v>976</v>
      </c>
      <c r="BJ49" s="15"/>
      <c r="BK49" s="15" t="s">
        <v>681</v>
      </c>
      <c r="BL49" s="15" t="s">
        <v>904</v>
      </c>
      <c r="BM49" s="15" t="s">
        <v>1314</v>
      </c>
      <c r="BN49" s="15" t="s">
        <v>398</v>
      </c>
      <c r="BO49" s="15" t="s">
        <v>1716</v>
      </c>
      <c r="BP49" s="15" t="s">
        <v>1717</v>
      </c>
      <c r="BQ49" s="15" t="s">
        <v>442</v>
      </c>
      <c r="BR49" s="15" t="s">
        <v>1718</v>
      </c>
      <c r="BS49" s="15" t="s">
        <v>1671</v>
      </c>
      <c r="BT49" s="15"/>
      <c r="BU49" s="15" t="s">
        <v>405</v>
      </c>
      <c r="BV49" s="15"/>
      <c r="BW49" s="15" t="s">
        <v>457</v>
      </c>
      <c r="BX49" s="15"/>
      <c r="BY49" s="15" t="s">
        <v>408</v>
      </c>
      <c r="BZ49" s="15"/>
      <c r="CA49" s="15" t="s">
        <v>1719</v>
      </c>
      <c r="CB49" s="15" t="s">
        <v>1720</v>
      </c>
      <c r="CC49" s="15" t="s">
        <v>1721</v>
      </c>
      <c r="CD49" s="15" t="s">
        <v>1257</v>
      </c>
      <c r="CE49" s="15"/>
      <c r="CF49" s="15" t="s">
        <v>1722</v>
      </c>
      <c r="CG49" s="15" t="s">
        <v>1723</v>
      </c>
      <c r="CH49" s="15" t="s">
        <v>1259</v>
      </c>
      <c r="CI49" s="15" t="s">
        <v>833</v>
      </c>
      <c r="CJ49" s="15" t="s">
        <v>1724</v>
      </c>
      <c r="CK49" s="15" t="s">
        <v>1725</v>
      </c>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t="s">
        <v>578</v>
      </c>
      <c r="EU49" s="15" t="s">
        <v>479</v>
      </c>
      <c r="EV49" s="15" t="s">
        <v>663</v>
      </c>
      <c r="EW49" s="15" t="s">
        <v>1726</v>
      </c>
      <c r="EX49" s="15" t="s">
        <v>1727</v>
      </c>
      <c r="EY49" s="15" t="s">
        <v>1728</v>
      </c>
      <c r="EZ49" s="15" t="s">
        <v>414</v>
      </c>
      <c r="FA49" s="15" t="s">
        <v>414</v>
      </c>
      <c r="FB49" s="15" t="s">
        <v>416</v>
      </c>
      <c r="FC49" s="15" t="s">
        <v>414</v>
      </c>
      <c r="FD49" s="15" t="s">
        <v>415</v>
      </c>
      <c r="FE49" s="15" t="s">
        <v>414</v>
      </c>
      <c r="FF49" s="15" t="s">
        <v>415</v>
      </c>
      <c r="FG49" s="15" t="s">
        <v>415</v>
      </c>
      <c r="FH49" s="15" t="s">
        <v>415</v>
      </c>
      <c r="FI49" s="15" t="s">
        <v>414</v>
      </c>
      <c r="FJ49" s="15" t="s">
        <v>414</v>
      </c>
      <c r="FK49" s="15" t="s">
        <v>416</v>
      </c>
      <c r="FL49" s="15" t="s">
        <v>416</v>
      </c>
      <c r="FM49" s="15" t="s">
        <v>416</v>
      </c>
      <c r="FN49" s="15" t="s">
        <v>414</v>
      </c>
      <c r="FO49" s="15" t="s">
        <v>417</v>
      </c>
      <c r="FP49" s="15" t="s">
        <v>418</v>
      </c>
      <c r="FQ49" s="15" t="s">
        <v>712</v>
      </c>
      <c r="FR49" s="15" t="s">
        <v>1729</v>
      </c>
      <c r="FS49" s="15" t="s">
        <v>420</v>
      </c>
      <c r="FT49" s="15" t="s">
        <v>488</v>
      </c>
      <c r="FU49" s="15" t="s">
        <v>489</v>
      </c>
      <c r="FV49" s="15" t="s">
        <v>490</v>
      </c>
      <c r="FW49" s="15" t="s">
        <v>491</v>
      </c>
      <c r="FX49" s="15" t="s">
        <v>1730</v>
      </c>
      <c r="FY49" s="15" t="s">
        <v>535</v>
      </c>
      <c r="FZ49" s="15" t="s">
        <v>1731</v>
      </c>
      <c r="GA49" s="15" t="s">
        <v>1732</v>
      </c>
      <c r="GB49" s="15" t="s">
        <v>455</v>
      </c>
      <c r="GC49" s="15"/>
      <c r="GD49" s="15"/>
      <c r="GE49" s="15" t="s">
        <v>1339</v>
      </c>
      <c r="GF49" s="15" t="s">
        <v>1733</v>
      </c>
      <c r="GG49" s="15"/>
      <c r="GH49" s="15"/>
      <c r="GI49" s="15"/>
      <c r="GJ49" s="15" t="s">
        <v>920</v>
      </c>
      <c r="GK49" s="15" t="s">
        <v>788</v>
      </c>
      <c r="GL49" s="15" t="s">
        <v>858</v>
      </c>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31"/>
      <c r="MX49" s="29" t="s">
        <v>10402</v>
      </c>
      <c r="MY49" s="29" t="str">
        <f>IFERROR(__xludf.DUMMYFUNCTION("""COMPUTED_VALUE"""),"California")</f>
        <v>California</v>
      </c>
    </row>
    <row r="50" ht="16.5" customHeight="1">
      <c r="A50" s="30">
        <v>45827.70323135417</v>
      </c>
      <c r="B50" s="15" t="s">
        <v>368</v>
      </c>
      <c r="C50" s="15" t="s">
        <v>370</v>
      </c>
      <c r="D50" s="15"/>
      <c r="E50" s="15" t="s">
        <v>371</v>
      </c>
      <c r="F50" s="15"/>
      <c r="G50" s="15" t="s">
        <v>1269</v>
      </c>
      <c r="H50" s="15" t="s">
        <v>423</v>
      </c>
      <c r="I50" s="15" t="s">
        <v>424</v>
      </c>
      <c r="J50" s="15" t="s">
        <v>375</v>
      </c>
      <c r="K50" s="15" t="s">
        <v>376</v>
      </c>
      <c r="L50" s="15" t="s">
        <v>379</v>
      </c>
      <c r="M50" s="15" t="s">
        <v>380</v>
      </c>
      <c r="N50" s="15" t="s">
        <v>379</v>
      </c>
      <c r="O50" s="15" t="s">
        <v>497</v>
      </c>
      <c r="P50" s="15" t="s">
        <v>498</v>
      </c>
      <c r="Q50" s="15" t="s">
        <v>382</v>
      </c>
      <c r="R50" s="15" t="s">
        <v>949</v>
      </c>
      <c r="S50" s="15" t="s">
        <v>384</v>
      </c>
      <c r="T50" s="15" t="s">
        <v>385</v>
      </c>
      <c r="U50" s="15"/>
      <c r="V50" s="15"/>
      <c r="W50" s="15" t="s">
        <v>386</v>
      </c>
      <c r="X50" s="15" t="s">
        <v>387</v>
      </c>
      <c r="Y50" s="15" t="s">
        <v>388</v>
      </c>
      <c r="Z50" s="15" t="s">
        <v>389</v>
      </c>
      <c r="AA50" s="15" t="s">
        <v>408</v>
      </c>
      <c r="AB50" s="15" t="s">
        <v>408</v>
      </c>
      <c r="AC50" s="15"/>
      <c r="AD50" s="15"/>
      <c r="AE50" s="15"/>
      <c r="AF50" s="15"/>
      <c r="AG50" s="15"/>
      <c r="AH50" s="15"/>
      <c r="AI50" s="15"/>
      <c r="AJ50" s="15"/>
      <c r="AK50" s="15"/>
      <c r="AL50" s="15"/>
      <c r="AM50" s="15"/>
      <c r="AN50" s="15"/>
      <c r="AO50" s="15"/>
      <c r="AP50" s="15"/>
      <c r="AQ50" s="15"/>
      <c r="AR50" s="15"/>
      <c r="AS50" s="15"/>
      <c r="AT50" s="15"/>
      <c r="AU50" s="15"/>
      <c r="AV50" s="15" t="s">
        <v>1242</v>
      </c>
      <c r="AW50" s="15" t="s">
        <v>675</v>
      </c>
      <c r="AX50" s="15" t="s">
        <v>675</v>
      </c>
      <c r="AY50" s="15" t="s">
        <v>675</v>
      </c>
      <c r="AZ50" s="15" t="s">
        <v>675</v>
      </c>
      <c r="BA50" s="15" t="s">
        <v>675</v>
      </c>
      <c r="BB50" s="15" t="s">
        <v>675</v>
      </c>
      <c r="BC50" s="15" t="s">
        <v>1734</v>
      </c>
      <c r="BD50" s="15" t="s">
        <v>1735</v>
      </c>
      <c r="BE50" s="15" t="s">
        <v>902</v>
      </c>
      <c r="BF50" s="15" t="s">
        <v>1095</v>
      </c>
      <c r="BG50" s="15" t="s">
        <v>394</v>
      </c>
      <c r="BH50" s="15" t="s">
        <v>1736</v>
      </c>
      <c r="BI50" s="15" t="s">
        <v>435</v>
      </c>
      <c r="BJ50" s="15" t="s">
        <v>1737</v>
      </c>
      <c r="BK50" s="15" t="s">
        <v>602</v>
      </c>
      <c r="BL50" s="15" t="s">
        <v>603</v>
      </c>
      <c r="BM50" s="15" t="s">
        <v>1247</v>
      </c>
      <c r="BN50" s="15" t="s">
        <v>398</v>
      </c>
      <c r="BO50" s="15" t="s">
        <v>1738</v>
      </c>
      <c r="BP50" s="15" t="s">
        <v>1739</v>
      </c>
      <c r="BQ50" s="15" t="s">
        <v>401</v>
      </c>
      <c r="BR50" s="15" t="s">
        <v>1740</v>
      </c>
      <c r="BS50" s="15" t="s">
        <v>1741</v>
      </c>
      <c r="BT50" s="15" t="s">
        <v>1742</v>
      </c>
      <c r="BU50" s="15" t="s">
        <v>1693</v>
      </c>
      <c r="BV50" s="15" t="s">
        <v>1743</v>
      </c>
      <c r="BW50" s="15" t="s">
        <v>988</v>
      </c>
      <c r="BX50" s="15"/>
      <c r="BY50" s="15" t="s">
        <v>455</v>
      </c>
      <c r="BZ50" s="15" t="s">
        <v>1744</v>
      </c>
      <c r="CA50" s="15" t="s">
        <v>1745</v>
      </c>
      <c r="CB50" s="15" t="s">
        <v>1746</v>
      </c>
      <c r="CC50" s="15" t="s">
        <v>1747</v>
      </c>
      <c r="CD50" s="15" t="s">
        <v>409</v>
      </c>
      <c r="CE50" s="15" t="s">
        <v>1748</v>
      </c>
      <c r="CF50" s="15" t="s">
        <v>1749</v>
      </c>
      <c r="CG50" s="15" t="s">
        <v>1750</v>
      </c>
      <c r="CH50" s="15" t="s">
        <v>1751</v>
      </c>
      <c r="CI50" s="15" t="s">
        <v>410</v>
      </c>
      <c r="CJ50" s="15" t="s">
        <v>1752</v>
      </c>
      <c r="CK50" s="15" t="s">
        <v>1753</v>
      </c>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t="s">
        <v>526</v>
      </c>
      <c r="EU50" s="15" t="s">
        <v>579</v>
      </c>
      <c r="EV50" s="15" t="s">
        <v>1262</v>
      </c>
      <c r="EW50" s="15" t="s">
        <v>1754</v>
      </c>
      <c r="EX50" s="15" t="s">
        <v>1755</v>
      </c>
      <c r="EY50" s="15" t="s">
        <v>1756</v>
      </c>
      <c r="EZ50" s="15" t="s">
        <v>413</v>
      </c>
      <c r="FA50" s="15" t="s">
        <v>415</v>
      </c>
      <c r="FB50" s="15" t="s">
        <v>413</v>
      </c>
      <c r="FC50" s="15" t="s">
        <v>413</v>
      </c>
      <c r="FD50" s="15" t="s">
        <v>413</v>
      </c>
      <c r="FE50" s="15" t="s">
        <v>415</v>
      </c>
      <c r="FF50" s="15" t="s">
        <v>413</v>
      </c>
      <c r="FG50" s="15" t="s">
        <v>413</v>
      </c>
      <c r="FH50" s="15" t="s">
        <v>414</v>
      </c>
      <c r="FI50" s="15" t="s">
        <v>414</v>
      </c>
      <c r="FJ50" s="15" t="s">
        <v>415</v>
      </c>
      <c r="FK50" s="15" t="s">
        <v>413</v>
      </c>
      <c r="FL50" s="15" t="s">
        <v>413</v>
      </c>
      <c r="FM50" s="15" t="s">
        <v>413</v>
      </c>
      <c r="FN50" s="15" t="s">
        <v>583</v>
      </c>
      <c r="FO50" s="15" t="s">
        <v>417</v>
      </c>
      <c r="FP50" s="15" t="s">
        <v>486</v>
      </c>
      <c r="FQ50" s="15" t="s">
        <v>749</v>
      </c>
      <c r="FR50" s="15" t="s">
        <v>1757</v>
      </c>
      <c r="FS50" s="15" t="s">
        <v>420</v>
      </c>
      <c r="FT50" s="15" t="s">
        <v>1462</v>
      </c>
      <c r="FU50" s="15" t="s">
        <v>489</v>
      </c>
      <c r="FV50" s="15" t="s">
        <v>490</v>
      </c>
      <c r="FW50" s="15" t="s">
        <v>491</v>
      </c>
      <c r="FX50" s="15" t="s">
        <v>1758</v>
      </c>
      <c r="FY50" s="15" t="s">
        <v>493</v>
      </c>
      <c r="FZ50" s="15"/>
      <c r="GA50" s="15" t="s">
        <v>1759</v>
      </c>
      <c r="GB50" s="15" t="s">
        <v>455</v>
      </c>
      <c r="GC50" s="15"/>
      <c r="GD50" s="15"/>
      <c r="GE50" s="15" t="s">
        <v>753</v>
      </c>
      <c r="GF50" s="15" t="s">
        <v>408</v>
      </c>
      <c r="GG50" s="15"/>
      <c r="GH50" s="15"/>
      <c r="GI50" s="15"/>
      <c r="GJ50" s="15" t="s">
        <v>920</v>
      </c>
      <c r="GK50" s="15" t="s">
        <v>920</v>
      </c>
      <c r="GL50" s="15" t="s">
        <v>817</v>
      </c>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31"/>
      <c r="MX50" s="29" t="s">
        <v>10402</v>
      </c>
      <c r="MY50" s="29" t="str">
        <f>IFERROR(__xludf.DUMMYFUNCTION("""COMPUTED_VALUE"""),"Massachusetts")</f>
        <v>Massachusetts</v>
      </c>
    </row>
    <row r="51" ht="16.5" customHeight="1">
      <c r="A51" s="30">
        <v>45827.705325347226</v>
      </c>
      <c r="B51" s="15" t="s">
        <v>368</v>
      </c>
      <c r="C51" s="15" t="s">
        <v>370</v>
      </c>
      <c r="D51" s="15"/>
      <c r="E51" s="15" t="s">
        <v>1001</v>
      </c>
      <c r="F51" s="15"/>
      <c r="G51" s="15" t="s">
        <v>422</v>
      </c>
      <c r="H51" s="15" t="s">
        <v>637</v>
      </c>
      <c r="I51" s="15" t="s">
        <v>638</v>
      </c>
      <c r="J51" s="15" t="s">
        <v>1240</v>
      </c>
      <c r="K51" s="15" t="s">
        <v>376</v>
      </c>
      <c r="L51" s="15" t="s">
        <v>591</v>
      </c>
      <c r="M51" s="15" t="s">
        <v>639</v>
      </c>
      <c r="N51" s="15" t="s">
        <v>379</v>
      </c>
      <c r="O51" s="15" t="s">
        <v>497</v>
      </c>
      <c r="P51" s="15" t="s">
        <v>1760</v>
      </c>
      <c r="Q51" s="15" t="s">
        <v>818</v>
      </c>
      <c r="R51" s="15" t="s">
        <v>427</v>
      </c>
      <c r="S51" s="15" t="s">
        <v>384</v>
      </c>
      <c r="T51" s="15" t="s">
        <v>385</v>
      </c>
      <c r="U51" s="15"/>
      <c r="V51" s="15"/>
      <c r="W51" s="15" t="s">
        <v>428</v>
      </c>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t="s">
        <v>1242</v>
      </c>
      <c r="AW51" s="15" t="s">
        <v>675</v>
      </c>
      <c r="AX51" s="15" t="s">
        <v>675</v>
      </c>
      <c r="AY51" s="15" t="s">
        <v>675</v>
      </c>
      <c r="AZ51" s="15" t="s">
        <v>675</v>
      </c>
      <c r="BA51" s="15" t="s">
        <v>675</v>
      </c>
      <c r="BB51" s="15" t="s">
        <v>675</v>
      </c>
      <c r="BC51" s="15"/>
      <c r="BD51" s="15"/>
      <c r="BE51" s="15" t="s">
        <v>902</v>
      </c>
      <c r="BF51" s="15" t="s">
        <v>1047</v>
      </c>
      <c r="BG51" s="15" t="s">
        <v>394</v>
      </c>
      <c r="BH51" s="15"/>
      <c r="BI51" s="15" t="s">
        <v>976</v>
      </c>
      <c r="BJ51" s="15"/>
      <c r="BK51" s="15" t="s">
        <v>602</v>
      </c>
      <c r="BL51" s="15" t="s">
        <v>603</v>
      </c>
      <c r="BM51" s="15" t="s">
        <v>1314</v>
      </c>
      <c r="BN51" s="15" t="s">
        <v>398</v>
      </c>
      <c r="BO51" s="15"/>
      <c r="BP51" s="15"/>
      <c r="BQ51" s="15" t="s">
        <v>604</v>
      </c>
      <c r="BR51" s="15" t="s">
        <v>1761</v>
      </c>
      <c r="BS51" s="15" t="s">
        <v>1741</v>
      </c>
      <c r="BT51" s="15" t="s">
        <v>1672</v>
      </c>
      <c r="BU51" s="15" t="s">
        <v>405</v>
      </c>
      <c r="BV51" s="15"/>
      <c r="BW51" s="15" t="s">
        <v>457</v>
      </c>
      <c r="BX51" s="15"/>
      <c r="BY51" s="15" t="s">
        <v>733</v>
      </c>
      <c r="BZ51" s="15"/>
      <c r="CA51" s="15"/>
      <c r="CB51" s="15"/>
      <c r="CC51" s="15"/>
      <c r="CD51" s="15" t="s">
        <v>409</v>
      </c>
      <c r="CE51" s="15"/>
      <c r="CF51" s="15" t="s">
        <v>1258</v>
      </c>
      <c r="CG51" s="15"/>
      <c r="CH51" s="15" t="s">
        <v>1698</v>
      </c>
      <c r="CI51" s="15" t="s">
        <v>833</v>
      </c>
      <c r="CJ51" s="15" t="s">
        <v>1762</v>
      </c>
      <c r="CK51" s="15" t="s">
        <v>1763</v>
      </c>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t="s">
        <v>526</v>
      </c>
      <c r="EU51" s="15" t="s">
        <v>887</v>
      </c>
      <c r="EV51" s="15" t="s">
        <v>1262</v>
      </c>
      <c r="EW51" s="15"/>
      <c r="EX51" s="15" t="s">
        <v>1764</v>
      </c>
      <c r="EY51" s="15" t="s">
        <v>1765</v>
      </c>
      <c r="EZ51" s="15"/>
      <c r="FA51" s="15"/>
      <c r="FB51" s="15"/>
      <c r="FC51" s="15"/>
      <c r="FD51" s="15"/>
      <c r="FE51" s="15"/>
      <c r="FF51" s="15"/>
      <c r="FG51" s="15"/>
      <c r="FH51" s="15"/>
      <c r="FI51" s="15"/>
      <c r="FJ51" s="15"/>
      <c r="FK51" s="15"/>
      <c r="FL51" s="15"/>
      <c r="FM51" s="15"/>
      <c r="FN51" s="15"/>
      <c r="FO51" s="15" t="s">
        <v>485</v>
      </c>
      <c r="FP51" s="15" t="s">
        <v>486</v>
      </c>
      <c r="FQ51" s="15" t="s">
        <v>419</v>
      </c>
      <c r="FR51" s="15"/>
      <c r="FS51" s="15" t="s">
        <v>420</v>
      </c>
      <c r="FT51" s="15" t="s">
        <v>488</v>
      </c>
      <c r="FU51" s="15"/>
      <c r="FV51" s="15" t="s">
        <v>490</v>
      </c>
      <c r="FW51" s="15" t="s">
        <v>491</v>
      </c>
      <c r="FX51" s="15"/>
      <c r="FY51" s="15" t="s">
        <v>535</v>
      </c>
      <c r="FZ51" s="15"/>
      <c r="GA51" s="15"/>
      <c r="GB51" s="15" t="s">
        <v>408</v>
      </c>
      <c r="GC51" s="15"/>
      <c r="GD51" s="15"/>
      <c r="GE51" s="15"/>
      <c r="GF51" s="15"/>
      <c r="GG51" s="15"/>
      <c r="GH51" s="15"/>
      <c r="GI51" s="15"/>
      <c r="GJ51" s="15" t="s">
        <v>920</v>
      </c>
      <c r="GK51" s="15" t="s">
        <v>920</v>
      </c>
      <c r="GL51" s="15" t="s">
        <v>756</v>
      </c>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31"/>
      <c r="MX51" s="29" t="s">
        <v>10402</v>
      </c>
      <c r="MY51" s="29" t="str">
        <f>IFERROR(__xludf.DUMMYFUNCTION("""COMPUTED_VALUE"""),"California")</f>
        <v>California</v>
      </c>
    </row>
    <row r="52" ht="16.5" customHeight="1">
      <c r="A52" s="30">
        <v>45827.709368090276</v>
      </c>
      <c r="B52" s="15" t="s">
        <v>368</v>
      </c>
      <c r="C52" s="15" t="s">
        <v>370</v>
      </c>
      <c r="D52" s="15"/>
      <c r="E52" s="15" t="s">
        <v>371</v>
      </c>
      <c r="F52" s="15"/>
      <c r="G52" s="15" t="s">
        <v>422</v>
      </c>
      <c r="H52" s="15" t="s">
        <v>496</v>
      </c>
      <c r="I52" s="15" t="s">
        <v>374</v>
      </c>
      <c r="J52" s="15" t="s">
        <v>425</v>
      </c>
      <c r="K52" s="15" t="s">
        <v>376</v>
      </c>
      <c r="L52" s="15" t="s">
        <v>379</v>
      </c>
      <c r="M52" s="15" t="s">
        <v>1442</v>
      </c>
      <c r="N52" s="15" t="s">
        <v>379</v>
      </c>
      <c r="O52" s="15" t="s">
        <v>671</v>
      </c>
      <c r="P52" s="15" t="s">
        <v>498</v>
      </c>
      <c r="Q52" s="15" t="s">
        <v>382</v>
      </c>
      <c r="R52" s="15" t="s">
        <v>427</v>
      </c>
      <c r="S52" s="15" t="s">
        <v>384</v>
      </c>
      <c r="T52" s="15" t="s">
        <v>385</v>
      </c>
      <c r="U52" s="15"/>
      <c r="V52" s="15"/>
      <c r="W52" s="15" t="s">
        <v>428</v>
      </c>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t="s">
        <v>1242</v>
      </c>
      <c r="AW52" s="15" t="s">
        <v>675</v>
      </c>
      <c r="AX52" s="15" t="s">
        <v>675</v>
      </c>
      <c r="AY52" s="15" t="s">
        <v>675</v>
      </c>
      <c r="AZ52" s="15" t="s">
        <v>675</v>
      </c>
      <c r="BA52" s="15" t="s">
        <v>675</v>
      </c>
      <c r="BB52" s="15" t="s">
        <v>675</v>
      </c>
      <c r="BC52" s="15" t="s">
        <v>1766</v>
      </c>
      <c r="BD52" s="15" t="s">
        <v>1767</v>
      </c>
      <c r="BE52" s="15" t="s">
        <v>432</v>
      </c>
      <c r="BF52" s="15" t="s">
        <v>1245</v>
      </c>
      <c r="BG52" s="15" t="s">
        <v>434</v>
      </c>
      <c r="BH52" s="15" t="s">
        <v>1768</v>
      </c>
      <c r="BI52" s="15" t="s">
        <v>976</v>
      </c>
      <c r="BJ52" s="15"/>
      <c r="BK52" s="15" t="s">
        <v>437</v>
      </c>
      <c r="BL52" s="15" t="s">
        <v>603</v>
      </c>
      <c r="BM52" s="15" t="s">
        <v>1314</v>
      </c>
      <c r="BN52" s="15" t="s">
        <v>398</v>
      </c>
      <c r="BO52" s="15" t="s">
        <v>1769</v>
      </c>
      <c r="BP52" s="15" t="s">
        <v>1379</v>
      </c>
      <c r="BQ52" s="15" t="s">
        <v>401</v>
      </c>
      <c r="BR52" s="15" t="s">
        <v>1770</v>
      </c>
      <c r="BS52" s="15" t="s">
        <v>1671</v>
      </c>
      <c r="BT52" s="15" t="s">
        <v>1771</v>
      </c>
      <c r="BU52" s="15" t="s">
        <v>1772</v>
      </c>
      <c r="BV52" s="15" t="s">
        <v>1773</v>
      </c>
      <c r="BW52" s="15" t="s">
        <v>988</v>
      </c>
      <c r="BX52" s="15"/>
      <c r="BY52" s="15" t="s">
        <v>408</v>
      </c>
      <c r="BZ52" s="15"/>
      <c r="CA52" s="15" t="s">
        <v>1774</v>
      </c>
      <c r="CB52" s="15" t="s">
        <v>1775</v>
      </c>
      <c r="CC52" s="15" t="s">
        <v>1776</v>
      </c>
      <c r="CD52" s="15" t="s">
        <v>409</v>
      </c>
      <c r="CE52" s="15"/>
      <c r="CF52" s="15" t="s">
        <v>1258</v>
      </c>
      <c r="CG52" s="15"/>
      <c r="CH52" s="15" t="s">
        <v>1259</v>
      </c>
      <c r="CI52" s="15" t="s">
        <v>410</v>
      </c>
      <c r="CJ52" s="15" t="s">
        <v>1777</v>
      </c>
      <c r="CK52" s="15" t="s">
        <v>1778</v>
      </c>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t="s">
        <v>478</v>
      </c>
      <c r="EU52" s="15" t="s">
        <v>887</v>
      </c>
      <c r="EV52" s="15" t="s">
        <v>480</v>
      </c>
      <c r="EW52" s="15"/>
      <c r="EX52" s="15" t="s">
        <v>1779</v>
      </c>
      <c r="EY52" s="15" t="s">
        <v>1780</v>
      </c>
      <c r="EZ52" s="15" t="s">
        <v>583</v>
      </c>
      <c r="FA52" s="15" t="s">
        <v>583</v>
      </c>
      <c r="FB52" s="15" t="s">
        <v>583</v>
      </c>
      <c r="FC52" s="15" t="s">
        <v>583</v>
      </c>
      <c r="FD52" s="15" t="s">
        <v>415</v>
      </c>
      <c r="FE52" s="15" t="s">
        <v>583</v>
      </c>
      <c r="FF52" s="15" t="s">
        <v>583</v>
      </c>
      <c r="FG52" s="15" t="s">
        <v>583</v>
      </c>
      <c r="FH52" s="15" t="s">
        <v>583</v>
      </c>
      <c r="FI52" s="15" t="s">
        <v>583</v>
      </c>
      <c r="FJ52" s="15" t="s">
        <v>583</v>
      </c>
      <c r="FK52" s="15" t="s">
        <v>583</v>
      </c>
      <c r="FL52" s="15" t="s">
        <v>583</v>
      </c>
      <c r="FM52" s="15" t="s">
        <v>583</v>
      </c>
      <c r="FN52" s="15" t="s">
        <v>484</v>
      </c>
      <c r="FO52" s="15" t="s">
        <v>485</v>
      </c>
      <c r="FP52" s="15" t="s">
        <v>418</v>
      </c>
      <c r="FQ52" s="15" t="s">
        <v>419</v>
      </c>
      <c r="FR52" s="15" t="s">
        <v>1781</v>
      </c>
      <c r="FS52" s="15" t="s">
        <v>420</v>
      </c>
      <c r="FT52" s="15" t="s">
        <v>1462</v>
      </c>
      <c r="FU52" s="15" t="s">
        <v>918</v>
      </c>
      <c r="FV52" s="15" t="s">
        <v>490</v>
      </c>
      <c r="FW52" s="15" t="s">
        <v>491</v>
      </c>
      <c r="FX52" s="15" t="s">
        <v>1782</v>
      </c>
      <c r="FY52" s="15" t="s">
        <v>535</v>
      </c>
      <c r="FZ52" s="15"/>
      <c r="GA52" s="15"/>
      <c r="GB52" s="15" t="s">
        <v>455</v>
      </c>
      <c r="GC52" s="15"/>
      <c r="GD52" s="15"/>
      <c r="GE52" s="15" t="s">
        <v>753</v>
      </c>
      <c r="GF52" s="15"/>
      <c r="GG52" s="15"/>
      <c r="GH52" s="15"/>
      <c r="GI52" s="15"/>
      <c r="GJ52" s="15" t="s">
        <v>755</v>
      </c>
      <c r="GK52" s="15" t="s">
        <v>920</v>
      </c>
      <c r="GL52" s="15" t="s">
        <v>921</v>
      </c>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31"/>
      <c r="MX52" s="29" t="s">
        <v>10402</v>
      </c>
      <c r="MY52" s="29" t="str">
        <f>IFERROR(__xludf.DUMMYFUNCTION("""COMPUTED_VALUE"""),"Georgia")</f>
        <v>Georgia</v>
      </c>
    </row>
    <row r="53" ht="16.5" customHeight="1">
      <c r="A53" s="30">
        <v>45827.73279351852</v>
      </c>
      <c r="B53" s="15" t="s">
        <v>368</v>
      </c>
      <c r="C53" s="15" t="s">
        <v>370</v>
      </c>
      <c r="D53" s="15"/>
      <c r="E53" s="15" t="s">
        <v>589</v>
      </c>
      <c r="F53" s="15"/>
      <c r="G53" s="15" t="s">
        <v>1783</v>
      </c>
      <c r="H53" s="15" t="s">
        <v>496</v>
      </c>
      <c r="I53" s="15" t="s">
        <v>374</v>
      </c>
      <c r="J53" s="15" t="s">
        <v>425</v>
      </c>
      <c r="K53" s="15" t="s">
        <v>1784</v>
      </c>
      <c r="L53" s="15" t="s">
        <v>426</v>
      </c>
      <c r="M53" s="15" t="s">
        <v>541</v>
      </c>
      <c r="N53" s="15" t="s">
        <v>426</v>
      </c>
      <c r="O53" s="15" t="s">
        <v>1024</v>
      </c>
      <c r="P53" s="15" t="s">
        <v>498</v>
      </c>
      <c r="Q53" s="15" t="s">
        <v>499</v>
      </c>
      <c r="R53" s="15" t="s">
        <v>949</v>
      </c>
      <c r="S53" s="15" t="s">
        <v>1785</v>
      </c>
      <c r="T53" s="15" t="s">
        <v>1786</v>
      </c>
      <c r="U53" s="15"/>
      <c r="V53" s="15"/>
      <c r="W53" s="15" t="s">
        <v>760</v>
      </c>
      <c r="X53" s="15" t="s">
        <v>387</v>
      </c>
      <c r="Y53" s="15" t="s">
        <v>1444</v>
      </c>
      <c r="Z53" s="15" t="s">
        <v>502</v>
      </c>
      <c r="AA53" s="15" t="s">
        <v>1787</v>
      </c>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t="s">
        <v>1788</v>
      </c>
      <c r="EE53" s="15" t="s">
        <v>1789</v>
      </c>
      <c r="EF53" s="15" t="s">
        <v>1790</v>
      </c>
      <c r="EG53" s="15"/>
      <c r="EH53" s="15"/>
      <c r="EI53" s="15"/>
      <c r="EJ53" s="15"/>
      <c r="EK53" s="15"/>
      <c r="EL53" s="15"/>
      <c r="EM53" s="15"/>
      <c r="EN53" s="15"/>
      <c r="EO53" s="15"/>
      <c r="EP53" s="15"/>
      <c r="EQ53" s="15"/>
      <c r="ER53" s="15" t="s">
        <v>1791</v>
      </c>
      <c r="ES53" s="15" t="s">
        <v>1792</v>
      </c>
      <c r="ET53" s="15" t="s">
        <v>478</v>
      </c>
      <c r="EU53" s="15" t="s">
        <v>479</v>
      </c>
      <c r="EV53" s="15" t="s">
        <v>480</v>
      </c>
      <c r="EW53" s="15"/>
      <c r="EX53" s="15" t="s">
        <v>1793</v>
      </c>
      <c r="EY53" s="15" t="s">
        <v>1794</v>
      </c>
      <c r="EZ53" s="15" t="s">
        <v>415</v>
      </c>
      <c r="FA53" s="15" t="s">
        <v>415</v>
      </c>
      <c r="FB53" s="15" t="s">
        <v>416</v>
      </c>
      <c r="FC53" s="15" t="s">
        <v>583</v>
      </c>
      <c r="FD53" s="15" t="s">
        <v>414</v>
      </c>
      <c r="FE53" s="15" t="s">
        <v>583</v>
      </c>
      <c r="FF53" s="15" t="s">
        <v>484</v>
      </c>
      <c r="FG53" s="15" t="s">
        <v>484</v>
      </c>
      <c r="FH53" s="15" t="s">
        <v>583</v>
      </c>
      <c r="FI53" s="15" t="s">
        <v>583</v>
      </c>
      <c r="FJ53" s="15" t="s">
        <v>414</v>
      </c>
      <c r="FK53" s="15" t="s">
        <v>484</v>
      </c>
      <c r="FL53" s="15" t="s">
        <v>484</v>
      </c>
      <c r="FM53" s="15" t="s">
        <v>416</v>
      </c>
      <c r="FN53" s="15" t="s">
        <v>583</v>
      </c>
      <c r="FO53" s="15" t="s">
        <v>417</v>
      </c>
      <c r="FP53" s="15" t="s">
        <v>486</v>
      </c>
      <c r="FQ53" s="15" t="s">
        <v>630</v>
      </c>
      <c r="FR53" s="15" t="s">
        <v>1795</v>
      </c>
      <c r="FS53" s="15" t="s">
        <v>420</v>
      </c>
      <c r="FT53" s="15" t="s">
        <v>488</v>
      </c>
      <c r="FU53" s="15" t="s">
        <v>533</v>
      </c>
      <c r="FV53" s="15" t="s">
        <v>490</v>
      </c>
      <c r="FW53" s="15" t="s">
        <v>491</v>
      </c>
      <c r="FX53" s="15" t="s">
        <v>1796</v>
      </c>
      <c r="FY53" s="15" t="s">
        <v>535</v>
      </c>
      <c r="FZ53" s="15"/>
      <c r="GA53" s="15" t="s">
        <v>1797</v>
      </c>
      <c r="GB53" s="15" t="s">
        <v>408</v>
      </c>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31"/>
      <c r="MX53" s="29" t="s">
        <v>10402</v>
      </c>
      <c r="MY53" s="29" t="str">
        <f>IFERROR(__xludf.DUMMYFUNCTION("""COMPUTED_VALUE"""),"Nebraska")</f>
        <v>Nebraska</v>
      </c>
    </row>
    <row r="54" ht="16.5" customHeight="1">
      <c r="A54" s="30">
        <v>45827.75078829861</v>
      </c>
      <c r="B54" s="15" t="s">
        <v>368</v>
      </c>
      <c r="C54" s="15" t="s">
        <v>370</v>
      </c>
      <c r="D54" s="15"/>
      <c r="E54" s="15" t="s">
        <v>1798</v>
      </c>
      <c r="F54" s="15"/>
      <c r="G54" s="15" t="s">
        <v>422</v>
      </c>
      <c r="H54" s="15" t="s">
        <v>637</v>
      </c>
      <c r="I54" s="15" t="s">
        <v>638</v>
      </c>
      <c r="J54" s="15" t="s">
        <v>375</v>
      </c>
      <c r="K54" s="15" t="s">
        <v>376</v>
      </c>
      <c r="L54" s="15" t="s">
        <v>377</v>
      </c>
      <c r="M54" s="15" t="s">
        <v>1690</v>
      </c>
      <c r="N54" s="15" t="s">
        <v>426</v>
      </c>
      <c r="O54" s="15" t="s">
        <v>1799</v>
      </c>
      <c r="P54" s="15" t="s">
        <v>381</v>
      </c>
      <c r="Q54" s="15" t="s">
        <v>1156</v>
      </c>
      <c r="R54" s="15" t="s">
        <v>1800</v>
      </c>
      <c r="S54" s="15" t="s">
        <v>384</v>
      </c>
      <c r="T54" s="15" t="s">
        <v>385</v>
      </c>
      <c r="U54" s="15"/>
      <c r="V54" s="15"/>
      <c r="W54" s="15" t="s">
        <v>593</v>
      </c>
      <c r="X54" s="15" t="s">
        <v>387</v>
      </c>
      <c r="Y54" s="15" t="s">
        <v>388</v>
      </c>
      <c r="Z54" s="15" t="s">
        <v>543</v>
      </c>
      <c r="AA54" s="15"/>
      <c r="AB54" s="15"/>
      <c r="AC54" s="15"/>
      <c r="AD54" s="15"/>
      <c r="AE54" s="15"/>
      <c r="AF54" s="15"/>
      <c r="AG54" s="15"/>
      <c r="AH54" s="15"/>
      <c r="AI54" s="15"/>
      <c r="AJ54" s="15"/>
      <c r="AK54" s="15"/>
      <c r="AL54" s="15"/>
      <c r="AM54" s="15"/>
      <c r="AN54" s="15"/>
      <c r="AO54" s="15"/>
      <c r="AP54" s="15"/>
      <c r="AQ54" s="15"/>
      <c r="AR54" s="15"/>
      <c r="AS54" s="15"/>
      <c r="AT54" s="15"/>
      <c r="AU54" s="15"/>
      <c r="AV54" s="15" t="s">
        <v>390</v>
      </c>
      <c r="AW54" s="15" t="s">
        <v>429</v>
      </c>
      <c r="AX54" s="15" t="s">
        <v>429</v>
      </c>
      <c r="AY54" s="15" t="s">
        <v>429</v>
      </c>
      <c r="AZ54" s="15">
        <v>2.0</v>
      </c>
      <c r="BA54" s="15" t="s">
        <v>429</v>
      </c>
      <c r="BB54" s="15" t="s">
        <v>429</v>
      </c>
      <c r="BC54" s="15" t="s">
        <v>1801</v>
      </c>
      <c r="BD54" s="15" t="s">
        <v>1802</v>
      </c>
      <c r="BE54" s="15" t="s">
        <v>432</v>
      </c>
      <c r="BF54" s="15" t="s">
        <v>433</v>
      </c>
      <c r="BG54" s="15" t="s">
        <v>678</v>
      </c>
      <c r="BH54" s="15" t="s">
        <v>1803</v>
      </c>
      <c r="BI54" s="15" t="s">
        <v>824</v>
      </c>
      <c r="BJ54" s="15"/>
      <c r="BK54" s="15" t="s">
        <v>437</v>
      </c>
      <c r="BL54" s="15" t="s">
        <v>396</v>
      </c>
      <c r="BM54" s="15" t="s">
        <v>549</v>
      </c>
      <c r="BN54" s="15" t="s">
        <v>440</v>
      </c>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t="s">
        <v>441</v>
      </c>
      <c r="CM54" s="15" t="s">
        <v>604</v>
      </c>
      <c r="CN54" s="15" t="s">
        <v>1804</v>
      </c>
      <c r="CO54" s="15" t="s">
        <v>1805</v>
      </c>
      <c r="CP54" s="15" t="s">
        <v>979</v>
      </c>
      <c r="CQ54" s="15" t="s">
        <v>1806</v>
      </c>
      <c r="CR54" s="15" t="s">
        <v>447</v>
      </c>
      <c r="CS54" s="15" t="s">
        <v>1807</v>
      </c>
      <c r="CT54" s="15" t="s">
        <v>1808</v>
      </c>
      <c r="CU54" s="15" t="s">
        <v>450</v>
      </c>
      <c r="CV54" s="15" t="s">
        <v>451</v>
      </c>
      <c r="CW54" s="15" t="s">
        <v>1809</v>
      </c>
      <c r="CX54" s="15" t="s">
        <v>408</v>
      </c>
      <c r="CY54" s="15"/>
      <c r="CZ54" s="15" t="s">
        <v>453</v>
      </c>
      <c r="DA54" s="15"/>
      <c r="DB54" s="15" t="s">
        <v>913</v>
      </c>
      <c r="DC54" s="15"/>
      <c r="DD54" s="15" t="s">
        <v>406</v>
      </c>
      <c r="DE54" s="15" t="s">
        <v>407</v>
      </c>
      <c r="DF54" s="15" t="s">
        <v>1810</v>
      </c>
      <c r="DG54" s="15" t="s">
        <v>561</v>
      </c>
      <c r="DH54" s="15" t="s">
        <v>410</v>
      </c>
      <c r="DI54" s="15" t="s">
        <v>459</v>
      </c>
      <c r="DJ54" s="15" t="s">
        <v>460</v>
      </c>
      <c r="DK54" s="15" t="s">
        <v>461</v>
      </c>
      <c r="DL54" s="15"/>
      <c r="DM54" s="15" t="s">
        <v>1811</v>
      </c>
      <c r="DN54" s="15" t="s">
        <v>1812</v>
      </c>
      <c r="DO54" s="15" t="s">
        <v>464</v>
      </c>
      <c r="DP54" s="15" t="s">
        <v>1813</v>
      </c>
      <c r="DQ54" s="15" t="s">
        <v>700</v>
      </c>
      <c r="DR54" s="15" t="s">
        <v>1814</v>
      </c>
      <c r="DS54" s="15" t="s">
        <v>618</v>
      </c>
      <c r="DT54" s="15" t="s">
        <v>570</v>
      </c>
      <c r="DU54" s="15" t="s">
        <v>1815</v>
      </c>
      <c r="DV54" s="15" t="s">
        <v>1816</v>
      </c>
      <c r="DW54" s="15" t="s">
        <v>622</v>
      </c>
      <c r="DX54" s="15" t="s">
        <v>1817</v>
      </c>
      <c r="DY54" s="15" t="s">
        <v>1818</v>
      </c>
      <c r="DZ54" s="15"/>
      <c r="EA54" s="15" t="s">
        <v>475</v>
      </c>
      <c r="EB54" s="15" t="s">
        <v>626</v>
      </c>
      <c r="EC54" s="15"/>
      <c r="ED54" s="15"/>
      <c r="EE54" s="15"/>
      <c r="EF54" s="15"/>
      <c r="EG54" s="15"/>
      <c r="EH54" s="15"/>
      <c r="EI54" s="15"/>
      <c r="EJ54" s="15"/>
      <c r="EK54" s="15"/>
      <c r="EL54" s="15"/>
      <c r="EM54" s="15"/>
      <c r="EN54" s="15"/>
      <c r="EO54" s="15"/>
      <c r="EP54" s="15"/>
      <c r="EQ54" s="15"/>
      <c r="ER54" s="15"/>
      <c r="ES54" s="15"/>
      <c r="ET54" s="15" t="s">
        <v>526</v>
      </c>
      <c r="EU54" s="15" t="s">
        <v>579</v>
      </c>
      <c r="EV54" s="15"/>
      <c r="EW54" s="15"/>
      <c r="EX54" s="15"/>
      <c r="EY54" s="15"/>
      <c r="EZ54" s="15" t="s">
        <v>413</v>
      </c>
      <c r="FA54" s="15" t="s">
        <v>415</v>
      </c>
      <c r="FB54" s="15" t="s">
        <v>413</v>
      </c>
      <c r="FC54" s="15" t="s">
        <v>413</v>
      </c>
      <c r="FD54" s="15" t="s">
        <v>413</v>
      </c>
      <c r="FE54" s="15" t="s">
        <v>415</v>
      </c>
      <c r="FF54" s="15" t="s">
        <v>413</v>
      </c>
      <c r="FG54" s="15" t="s">
        <v>413</v>
      </c>
      <c r="FH54" s="15" t="s">
        <v>413</v>
      </c>
      <c r="FI54" s="15" t="s">
        <v>413</v>
      </c>
      <c r="FJ54" s="15" t="s">
        <v>413</v>
      </c>
      <c r="FK54" s="15" t="s">
        <v>413</v>
      </c>
      <c r="FL54" s="15" t="s">
        <v>583</v>
      </c>
      <c r="FM54" s="15" t="s">
        <v>413</v>
      </c>
      <c r="FN54" s="15" t="s">
        <v>583</v>
      </c>
      <c r="FO54" s="15" t="s">
        <v>417</v>
      </c>
      <c r="FP54" s="15" t="s">
        <v>418</v>
      </c>
      <c r="FQ54" s="15" t="s">
        <v>531</v>
      </c>
      <c r="FR54" s="15" t="s">
        <v>1819</v>
      </c>
      <c r="FS54" s="15" t="s">
        <v>420</v>
      </c>
      <c r="FT54" s="15" t="s">
        <v>488</v>
      </c>
      <c r="FU54" s="15" t="s">
        <v>918</v>
      </c>
      <c r="FV54" s="15" t="s">
        <v>490</v>
      </c>
      <c r="FW54" s="15" t="s">
        <v>491</v>
      </c>
      <c r="FX54" s="15" t="s">
        <v>1820</v>
      </c>
      <c r="FY54" s="15" t="s">
        <v>535</v>
      </c>
      <c r="FZ54" s="15" t="s">
        <v>1821</v>
      </c>
      <c r="GA54" s="15"/>
      <c r="GB54" s="15" t="s">
        <v>455</v>
      </c>
      <c r="GC54" s="15"/>
      <c r="GD54" s="15"/>
      <c r="GE54" s="15" t="s">
        <v>753</v>
      </c>
      <c r="GF54" s="15"/>
      <c r="GG54" s="15" t="s">
        <v>788</v>
      </c>
      <c r="GH54" s="15" t="s">
        <v>755</v>
      </c>
      <c r="GI54" s="15" t="s">
        <v>817</v>
      </c>
      <c r="GJ54" s="15"/>
      <c r="GK54" s="15"/>
      <c r="GL54" s="15"/>
      <c r="GM54" s="15" t="s">
        <v>1079</v>
      </c>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31"/>
      <c r="MX54" s="29" t="s">
        <v>894</v>
      </c>
      <c r="MY54" s="29" t="str">
        <f>IFERROR(__xludf.DUMMYFUNCTION("""COMPUTED_VALUE"""),"Nova Scotia")</f>
        <v>Nova Scotia</v>
      </c>
    </row>
    <row r="55" ht="16.5" customHeight="1">
      <c r="A55" s="30">
        <v>45827.75108425926</v>
      </c>
      <c r="B55" s="15" t="s">
        <v>368</v>
      </c>
      <c r="C55" s="15" t="s">
        <v>894</v>
      </c>
      <c r="D55" s="15" t="s">
        <v>894</v>
      </c>
      <c r="E55" s="15"/>
      <c r="F55" s="15"/>
      <c r="G55" s="15" t="s">
        <v>422</v>
      </c>
      <c r="H55" s="15" t="s">
        <v>423</v>
      </c>
      <c r="I55" s="15" t="s">
        <v>668</v>
      </c>
      <c r="J55" s="15" t="s">
        <v>540</v>
      </c>
      <c r="K55" s="15" t="s">
        <v>376</v>
      </c>
      <c r="L55" s="15" t="s">
        <v>426</v>
      </c>
      <c r="M55" s="15" t="s">
        <v>541</v>
      </c>
      <c r="N55" s="15" t="s">
        <v>379</v>
      </c>
      <c r="O55" s="15" t="s">
        <v>497</v>
      </c>
      <c r="P55" s="15" t="s">
        <v>498</v>
      </c>
      <c r="Q55" s="15" t="s">
        <v>862</v>
      </c>
      <c r="R55" s="15" t="s">
        <v>949</v>
      </c>
      <c r="S55" s="15" t="s">
        <v>384</v>
      </c>
      <c r="T55" s="15" t="s">
        <v>385</v>
      </c>
      <c r="U55" s="15" t="s">
        <v>1822</v>
      </c>
      <c r="V55" s="15" t="s">
        <v>1823</v>
      </c>
      <c r="W55" s="15" t="s">
        <v>386</v>
      </c>
      <c r="X55" s="15" t="s">
        <v>387</v>
      </c>
      <c r="Y55" s="15" t="s">
        <v>1824</v>
      </c>
      <c r="Z55" s="15" t="s">
        <v>543</v>
      </c>
      <c r="AA55" s="15" t="s">
        <v>552</v>
      </c>
      <c r="AB55" s="15" t="s">
        <v>408</v>
      </c>
      <c r="AC55" s="15"/>
      <c r="AD55" s="15"/>
      <c r="AE55" s="15"/>
      <c r="AF55" s="15"/>
      <c r="AG55" s="15"/>
      <c r="AH55" s="15"/>
      <c r="AI55" s="15"/>
      <c r="AJ55" s="15"/>
      <c r="AK55" s="15"/>
      <c r="AL55" s="15"/>
      <c r="AM55" s="15"/>
      <c r="AN55" s="15"/>
      <c r="AO55" s="15"/>
      <c r="AP55" s="15"/>
      <c r="AQ55" s="15"/>
      <c r="AR55" s="15"/>
      <c r="AS55" s="15"/>
      <c r="AT55" s="15"/>
      <c r="AU55" s="15"/>
      <c r="AV55" s="15" t="s">
        <v>1310</v>
      </c>
      <c r="AW55" s="15" t="s">
        <v>675</v>
      </c>
      <c r="AX55" s="15" t="s">
        <v>675</v>
      </c>
      <c r="AY55" s="15" t="s">
        <v>675</v>
      </c>
      <c r="AZ55" s="15" t="s">
        <v>675</v>
      </c>
      <c r="BA55" s="15" t="s">
        <v>675</v>
      </c>
      <c r="BB55" s="15" t="s">
        <v>675</v>
      </c>
      <c r="BC55" s="15" t="s">
        <v>1825</v>
      </c>
      <c r="BD55" s="15" t="s">
        <v>1826</v>
      </c>
      <c r="BE55" s="15" t="s">
        <v>432</v>
      </c>
      <c r="BF55" s="15" t="s">
        <v>1095</v>
      </c>
      <c r="BG55" s="15" t="s">
        <v>394</v>
      </c>
      <c r="BH55" s="15" t="s">
        <v>1827</v>
      </c>
      <c r="BI55" s="15" t="s">
        <v>976</v>
      </c>
      <c r="BJ55" s="15"/>
      <c r="BK55" s="15" t="s">
        <v>602</v>
      </c>
      <c r="BL55" s="15" t="s">
        <v>904</v>
      </c>
      <c r="BM55" s="15" t="s">
        <v>1314</v>
      </c>
      <c r="BN55" s="15" t="s">
        <v>398</v>
      </c>
      <c r="BO55" s="15" t="s">
        <v>1828</v>
      </c>
      <c r="BP55" s="15" t="s">
        <v>1829</v>
      </c>
      <c r="BQ55" s="15" t="s">
        <v>604</v>
      </c>
      <c r="BR55" s="15" t="s">
        <v>1830</v>
      </c>
      <c r="BS55" s="15" t="s">
        <v>1671</v>
      </c>
      <c r="BT55" s="15" t="s">
        <v>1672</v>
      </c>
      <c r="BU55" s="15" t="s">
        <v>1831</v>
      </c>
      <c r="BV55" s="15" t="s">
        <v>1832</v>
      </c>
      <c r="BW55" s="15" t="s">
        <v>988</v>
      </c>
      <c r="BX55" s="15"/>
      <c r="BY55" s="15" t="s">
        <v>455</v>
      </c>
      <c r="BZ55" s="15" t="s">
        <v>1833</v>
      </c>
      <c r="CA55" s="15" t="s">
        <v>1834</v>
      </c>
      <c r="CB55" s="15" t="s">
        <v>1835</v>
      </c>
      <c r="CC55" s="15" t="s">
        <v>1836</v>
      </c>
      <c r="CD55" s="15" t="s">
        <v>451</v>
      </c>
      <c r="CE55" s="15" t="s">
        <v>1837</v>
      </c>
      <c r="CF55" s="15" t="s">
        <v>1722</v>
      </c>
      <c r="CG55" s="15" t="s">
        <v>1838</v>
      </c>
      <c r="CH55" s="15" t="s">
        <v>1679</v>
      </c>
      <c r="CI55" s="15" t="s">
        <v>410</v>
      </c>
      <c r="CJ55" s="15" t="s">
        <v>1839</v>
      </c>
      <c r="CK55" s="15" t="s">
        <v>1840</v>
      </c>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t="s">
        <v>526</v>
      </c>
      <c r="EU55" s="15" t="s">
        <v>479</v>
      </c>
      <c r="EV55" s="15" t="s">
        <v>527</v>
      </c>
      <c r="EW55" s="15" t="s">
        <v>1841</v>
      </c>
      <c r="EX55" s="15" t="s">
        <v>1842</v>
      </c>
      <c r="EY55" s="15" t="s">
        <v>1843</v>
      </c>
      <c r="EZ55" s="15" t="s">
        <v>583</v>
      </c>
      <c r="FA55" s="15" t="s">
        <v>583</v>
      </c>
      <c r="FB55" s="15" t="s">
        <v>583</v>
      </c>
      <c r="FC55" s="15" t="s">
        <v>583</v>
      </c>
      <c r="FD55" s="15" t="s">
        <v>415</v>
      </c>
      <c r="FE55" s="15" t="s">
        <v>583</v>
      </c>
      <c r="FF55" s="15" t="s">
        <v>583</v>
      </c>
      <c r="FG55" s="15" t="s">
        <v>583</v>
      </c>
      <c r="FH55" s="15" t="s">
        <v>415</v>
      </c>
      <c r="FI55" s="15" t="s">
        <v>583</v>
      </c>
      <c r="FJ55" s="15" t="s">
        <v>583</v>
      </c>
      <c r="FK55" s="15" t="s">
        <v>583</v>
      </c>
      <c r="FL55" s="15" t="s">
        <v>583</v>
      </c>
      <c r="FM55" s="15" t="s">
        <v>415</v>
      </c>
      <c r="FN55" s="15" t="s">
        <v>583</v>
      </c>
      <c r="FO55" s="15" t="s">
        <v>485</v>
      </c>
      <c r="FP55" s="15" t="s">
        <v>418</v>
      </c>
      <c r="FQ55" s="15" t="s">
        <v>419</v>
      </c>
      <c r="FR55" s="15" t="s">
        <v>1844</v>
      </c>
      <c r="FS55" s="15" t="s">
        <v>420</v>
      </c>
      <c r="FT55" s="15" t="s">
        <v>488</v>
      </c>
      <c r="FU55" s="15" t="s">
        <v>585</v>
      </c>
      <c r="FV55" s="15" t="s">
        <v>490</v>
      </c>
      <c r="FW55" s="15" t="s">
        <v>491</v>
      </c>
      <c r="FX55" s="15" t="s">
        <v>1845</v>
      </c>
      <c r="FY55" s="15" t="s">
        <v>535</v>
      </c>
      <c r="FZ55" s="15" t="s">
        <v>1846</v>
      </c>
      <c r="GA55" s="15" t="s">
        <v>1847</v>
      </c>
      <c r="GB55" s="15" t="s">
        <v>455</v>
      </c>
      <c r="GC55" s="15"/>
      <c r="GD55" s="15"/>
      <c r="GE55" s="15" t="s">
        <v>786</v>
      </c>
      <c r="GF55" s="15" t="s">
        <v>1848</v>
      </c>
      <c r="GG55" s="15"/>
      <c r="GH55" s="15"/>
      <c r="GI55" s="15"/>
      <c r="GJ55" s="15" t="s">
        <v>755</v>
      </c>
      <c r="GK55" s="15" t="s">
        <v>755</v>
      </c>
      <c r="GL55" s="15" t="s">
        <v>946</v>
      </c>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31"/>
      <c r="MX55" s="29" t="s">
        <v>10402</v>
      </c>
      <c r="MY55" s="29" t="str">
        <f>IFERROR(__xludf.DUMMYFUNCTION("""COMPUTED_VALUE"""),"Alaska")</f>
        <v>Alaska</v>
      </c>
    </row>
    <row r="56" ht="16.5" customHeight="1">
      <c r="A56" s="30">
        <v>45827.75616498843</v>
      </c>
      <c r="B56" s="15" t="s">
        <v>368</v>
      </c>
      <c r="C56" s="15" t="s">
        <v>370</v>
      </c>
      <c r="D56" s="15"/>
      <c r="E56" s="15" t="s">
        <v>1849</v>
      </c>
      <c r="F56" s="15"/>
      <c r="G56" s="15" t="s">
        <v>422</v>
      </c>
      <c r="H56" s="15" t="s">
        <v>637</v>
      </c>
      <c r="I56" s="15" t="s">
        <v>638</v>
      </c>
      <c r="J56" s="15" t="s">
        <v>375</v>
      </c>
      <c r="K56" s="15" t="s">
        <v>376</v>
      </c>
      <c r="L56" s="15" t="s">
        <v>379</v>
      </c>
      <c r="M56" s="15" t="s">
        <v>378</v>
      </c>
      <c r="N56" s="15" t="s">
        <v>377</v>
      </c>
      <c r="O56" s="15" t="s">
        <v>497</v>
      </c>
      <c r="P56" s="15" t="s">
        <v>1760</v>
      </c>
      <c r="Q56" s="15" t="s">
        <v>499</v>
      </c>
      <c r="R56" s="15" t="s">
        <v>500</v>
      </c>
      <c r="S56" s="15" t="s">
        <v>384</v>
      </c>
      <c r="T56" s="15" t="s">
        <v>385</v>
      </c>
      <c r="U56" s="15"/>
      <c r="V56" s="15"/>
      <c r="W56" s="15" t="s">
        <v>428</v>
      </c>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t="s">
        <v>1310</v>
      </c>
      <c r="AW56" s="15">
        <v>4.0</v>
      </c>
      <c r="AX56" s="15" t="s">
        <v>391</v>
      </c>
      <c r="AY56" s="15">
        <v>4.0</v>
      </c>
      <c r="AZ56" s="15">
        <v>2.0</v>
      </c>
      <c r="BA56" s="15">
        <v>4.0</v>
      </c>
      <c r="BB56" s="15">
        <v>4.0</v>
      </c>
      <c r="BC56" s="15"/>
      <c r="BD56" s="15"/>
      <c r="BE56" s="15" t="s">
        <v>902</v>
      </c>
      <c r="BF56" s="15" t="s">
        <v>1095</v>
      </c>
      <c r="BG56" s="15" t="s">
        <v>765</v>
      </c>
      <c r="BH56" s="15"/>
      <c r="BI56" s="15" t="s">
        <v>824</v>
      </c>
      <c r="BJ56" s="15"/>
      <c r="BK56" s="15" t="s">
        <v>681</v>
      </c>
      <c r="BL56" s="15" t="s">
        <v>396</v>
      </c>
      <c r="BM56" s="15" t="s">
        <v>397</v>
      </c>
      <c r="BN56" s="15" t="s">
        <v>513</v>
      </c>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t="s">
        <v>441</v>
      </c>
      <c r="CM56" s="15" t="s">
        <v>604</v>
      </c>
      <c r="CN56" s="15"/>
      <c r="CO56" s="15"/>
      <c r="CP56" s="15" t="s">
        <v>1008</v>
      </c>
      <c r="CQ56" s="15" t="s">
        <v>1850</v>
      </c>
      <c r="CR56" s="15" t="s">
        <v>447</v>
      </c>
      <c r="CS56" s="15" t="s">
        <v>1851</v>
      </c>
      <c r="CT56" s="15"/>
      <c r="CU56" s="15" t="s">
        <v>1852</v>
      </c>
      <c r="CV56" s="15" t="s">
        <v>451</v>
      </c>
      <c r="CW56" s="15"/>
      <c r="CX56" s="15" t="s">
        <v>408</v>
      </c>
      <c r="CY56" s="15"/>
      <c r="CZ56" s="15" t="s">
        <v>1398</v>
      </c>
      <c r="DA56" s="15"/>
      <c r="DB56" s="15" t="s">
        <v>408</v>
      </c>
      <c r="DC56" s="15"/>
      <c r="DD56" s="15" t="s">
        <v>988</v>
      </c>
      <c r="DE56" s="15" t="s">
        <v>1058</v>
      </c>
      <c r="DF56" s="15"/>
      <c r="DG56" s="15" t="s">
        <v>561</v>
      </c>
      <c r="DH56" s="15" t="s">
        <v>410</v>
      </c>
      <c r="DI56" s="15" t="s">
        <v>963</v>
      </c>
      <c r="DJ56" s="15" t="s">
        <v>562</v>
      </c>
      <c r="DK56" s="15" t="s">
        <v>461</v>
      </c>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t="s">
        <v>578</v>
      </c>
      <c r="EU56" s="15" t="s">
        <v>479</v>
      </c>
      <c r="EV56" s="15" t="s">
        <v>663</v>
      </c>
      <c r="EW56" s="15"/>
      <c r="EX56" s="15"/>
      <c r="EY56" s="15"/>
      <c r="EZ56" s="15" t="s">
        <v>414</v>
      </c>
      <c r="FA56" s="15" t="s">
        <v>414</v>
      </c>
      <c r="FB56" s="15" t="s">
        <v>415</v>
      </c>
      <c r="FC56" s="15" t="s">
        <v>414</v>
      </c>
      <c r="FD56" s="15" t="s">
        <v>416</v>
      </c>
      <c r="FE56" s="15" t="s">
        <v>583</v>
      </c>
      <c r="FF56" s="15" t="s">
        <v>484</v>
      </c>
      <c r="FG56" s="15" t="s">
        <v>413</v>
      </c>
      <c r="FH56" s="15" t="s">
        <v>583</v>
      </c>
      <c r="FI56" s="15" t="s">
        <v>583</v>
      </c>
      <c r="FJ56" s="15" t="s">
        <v>415</v>
      </c>
      <c r="FK56" s="15" t="s">
        <v>414</v>
      </c>
      <c r="FL56" s="15" t="s">
        <v>414</v>
      </c>
      <c r="FM56" s="15" t="s">
        <v>415</v>
      </c>
      <c r="FN56" s="15" t="s">
        <v>414</v>
      </c>
      <c r="FO56" s="15" t="s">
        <v>850</v>
      </c>
      <c r="FP56" s="15" t="s">
        <v>486</v>
      </c>
      <c r="FQ56" s="15" t="s">
        <v>419</v>
      </c>
      <c r="FR56" s="15"/>
      <c r="FS56" s="15" t="s">
        <v>420</v>
      </c>
      <c r="FT56" s="15" t="s">
        <v>421</v>
      </c>
      <c r="FU56" s="15" t="s">
        <v>489</v>
      </c>
      <c r="FV56" s="15" t="s">
        <v>490</v>
      </c>
      <c r="FW56" s="15" t="s">
        <v>1853</v>
      </c>
      <c r="FX56" s="15"/>
      <c r="FY56" s="15" t="s">
        <v>1854</v>
      </c>
      <c r="FZ56" s="15"/>
      <c r="GA56" s="15"/>
      <c r="GB56" s="15" t="s">
        <v>408</v>
      </c>
      <c r="GC56" s="15"/>
      <c r="GD56" s="15"/>
      <c r="GE56" s="15"/>
      <c r="GF56" s="15"/>
      <c r="GG56" s="15" t="s">
        <v>788</v>
      </c>
      <c r="GH56" s="15" t="s">
        <v>789</v>
      </c>
      <c r="GI56" s="15" t="s">
        <v>790</v>
      </c>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31"/>
      <c r="MX56" s="29" t="s">
        <v>369</v>
      </c>
      <c r="MY56" s="29" t="str">
        <f>IFERROR(__xludf.DUMMYFUNCTION("""COMPUTED_VALUE"""),"Mexico")</f>
        <v>Mexico</v>
      </c>
    </row>
    <row r="57" ht="16.5" customHeight="1">
      <c r="A57" s="30">
        <v>45827.761791192126</v>
      </c>
      <c r="B57" s="15" t="s">
        <v>368</v>
      </c>
      <c r="C57" s="15" t="s">
        <v>369</v>
      </c>
      <c r="D57" s="15" t="s">
        <v>369</v>
      </c>
      <c r="E57" s="15"/>
      <c r="F57" s="15"/>
      <c r="G57" s="15" t="s">
        <v>372</v>
      </c>
      <c r="H57" s="15" t="s">
        <v>539</v>
      </c>
      <c r="I57" s="15" t="s">
        <v>424</v>
      </c>
      <c r="J57" s="15" t="s">
        <v>540</v>
      </c>
      <c r="K57" s="15" t="s">
        <v>376</v>
      </c>
      <c r="L57" s="15" t="s">
        <v>591</v>
      </c>
      <c r="M57" s="15" t="s">
        <v>378</v>
      </c>
      <c r="N57" s="15" t="s">
        <v>591</v>
      </c>
      <c r="O57" s="15" t="s">
        <v>719</v>
      </c>
      <c r="P57" s="15" t="s">
        <v>498</v>
      </c>
      <c r="Q57" s="15" t="s">
        <v>818</v>
      </c>
      <c r="R57" s="15" t="s">
        <v>427</v>
      </c>
      <c r="S57" s="15" t="s">
        <v>384</v>
      </c>
      <c r="T57" s="15" t="s">
        <v>385</v>
      </c>
      <c r="U57" s="15"/>
      <c r="V57" s="15"/>
      <c r="W57" s="15" t="s">
        <v>428</v>
      </c>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t="s">
        <v>597</v>
      </c>
      <c r="AW57" s="15" t="s">
        <v>675</v>
      </c>
      <c r="AX57" s="15" t="s">
        <v>675</v>
      </c>
      <c r="AY57" s="15" t="s">
        <v>675</v>
      </c>
      <c r="AZ57" s="15" t="s">
        <v>675</v>
      </c>
      <c r="BA57" s="15" t="s">
        <v>675</v>
      </c>
      <c r="BB57" s="15" t="s">
        <v>675</v>
      </c>
      <c r="BC57" s="15" t="s">
        <v>1855</v>
      </c>
      <c r="BD57" s="15" t="s">
        <v>1856</v>
      </c>
      <c r="BE57" s="15" t="s">
        <v>392</v>
      </c>
      <c r="BF57" s="15" t="s">
        <v>1095</v>
      </c>
      <c r="BG57" s="15" t="s">
        <v>678</v>
      </c>
      <c r="BH57" s="15" t="s">
        <v>1857</v>
      </c>
      <c r="BI57" s="15" t="s">
        <v>976</v>
      </c>
      <c r="BJ57" s="15"/>
      <c r="BK57" s="15" t="s">
        <v>511</v>
      </c>
      <c r="BL57" s="15" t="s">
        <v>904</v>
      </c>
      <c r="BM57" s="15" t="s">
        <v>549</v>
      </c>
      <c r="BN57" s="15" t="s">
        <v>513</v>
      </c>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t="s">
        <v>682</v>
      </c>
      <c r="CM57" s="15" t="s">
        <v>682</v>
      </c>
      <c r="CN57" s="15" t="s">
        <v>1858</v>
      </c>
      <c r="CO57" s="15" t="s">
        <v>1859</v>
      </c>
      <c r="CP57" s="15" t="s">
        <v>685</v>
      </c>
      <c r="CQ57" s="15" t="s">
        <v>1860</v>
      </c>
      <c r="CR57" s="15" t="s">
        <v>804</v>
      </c>
      <c r="CS57" s="15" t="s">
        <v>1861</v>
      </c>
      <c r="CT57" s="15" t="s">
        <v>1862</v>
      </c>
      <c r="CU57" s="15" t="s">
        <v>1863</v>
      </c>
      <c r="CV57" s="15" t="s">
        <v>959</v>
      </c>
      <c r="CW57" s="15" t="s">
        <v>1864</v>
      </c>
      <c r="CX57" s="15" t="s">
        <v>408</v>
      </c>
      <c r="CY57" s="15"/>
      <c r="CZ57" s="15" t="s">
        <v>453</v>
      </c>
      <c r="DA57" s="15" t="s">
        <v>1865</v>
      </c>
      <c r="DB57" s="15" t="s">
        <v>455</v>
      </c>
      <c r="DC57" s="15" t="s">
        <v>1866</v>
      </c>
      <c r="DD57" s="15" t="s">
        <v>406</v>
      </c>
      <c r="DE57" s="15" t="s">
        <v>1867</v>
      </c>
      <c r="DF57" s="15" t="s">
        <v>1868</v>
      </c>
      <c r="DG57" s="15" t="s">
        <v>524</v>
      </c>
      <c r="DH57" s="15" t="s">
        <v>410</v>
      </c>
      <c r="DI57" s="15" t="s">
        <v>963</v>
      </c>
      <c r="DJ57" s="15" t="s">
        <v>613</v>
      </c>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t="s">
        <v>526</v>
      </c>
      <c r="EU57" s="15" t="s">
        <v>579</v>
      </c>
      <c r="EV57" s="15" t="s">
        <v>480</v>
      </c>
      <c r="EW57" s="15"/>
      <c r="EX57" s="15" t="s">
        <v>1869</v>
      </c>
      <c r="EY57" s="15" t="s">
        <v>1870</v>
      </c>
      <c r="EZ57" s="15" t="s">
        <v>415</v>
      </c>
      <c r="FA57" s="15" t="s">
        <v>415</v>
      </c>
      <c r="FB57" s="15" t="s">
        <v>413</v>
      </c>
      <c r="FC57" s="15" t="s">
        <v>414</v>
      </c>
      <c r="FD57" s="15" t="s">
        <v>413</v>
      </c>
      <c r="FE57" s="15" t="s">
        <v>415</v>
      </c>
      <c r="FF57" s="15" t="s">
        <v>414</v>
      </c>
      <c r="FG57" s="15" t="s">
        <v>414</v>
      </c>
      <c r="FH57" s="15" t="s">
        <v>413</v>
      </c>
      <c r="FI57" s="15" t="s">
        <v>415</v>
      </c>
      <c r="FJ57" s="15" t="s">
        <v>415</v>
      </c>
      <c r="FK57" s="15" t="s">
        <v>413</v>
      </c>
      <c r="FL57" s="15" t="s">
        <v>415</v>
      </c>
      <c r="FM57" s="15" t="s">
        <v>415</v>
      </c>
      <c r="FN57" s="15" t="s">
        <v>413</v>
      </c>
      <c r="FO57" s="15" t="s">
        <v>850</v>
      </c>
      <c r="FP57" s="15" t="s">
        <v>418</v>
      </c>
      <c r="FQ57" s="15" t="s">
        <v>749</v>
      </c>
      <c r="FR57" s="15"/>
      <c r="FS57" s="15" t="s">
        <v>1871</v>
      </c>
      <c r="FT57" s="15" t="s">
        <v>488</v>
      </c>
      <c r="FU57" s="15" t="s">
        <v>918</v>
      </c>
      <c r="FV57" s="15" t="s">
        <v>490</v>
      </c>
      <c r="FW57" s="15" t="s">
        <v>491</v>
      </c>
      <c r="FX57" s="15" t="s">
        <v>1872</v>
      </c>
      <c r="FY57" s="15" t="s">
        <v>535</v>
      </c>
      <c r="FZ57" s="15" t="s">
        <v>1873</v>
      </c>
      <c r="GA57" s="15" t="s">
        <v>1874</v>
      </c>
      <c r="GB57" s="15" t="s">
        <v>455</v>
      </c>
      <c r="GC57" s="15"/>
      <c r="GD57" s="15"/>
      <c r="GE57" s="15" t="s">
        <v>855</v>
      </c>
      <c r="GF57" s="15"/>
      <c r="GG57" s="15" t="s">
        <v>920</v>
      </c>
      <c r="GH57" s="15" t="s">
        <v>920</v>
      </c>
      <c r="GI57" s="15" t="s">
        <v>858</v>
      </c>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31"/>
      <c r="MX57" s="29" t="s">
        <v>10402</v>
      </c>
      <c r="MY57" s="29" t="str">
        <f>IFERROR(__xludf.DUMMYFUNCTION("""COMPUTED_VALUE"""),"Virginia")</f>
        <v>Virginia</v>
      </c>
    </row>
    <row r="58" ht="16.5" customHeight="1">
      <c r="A58" s="30">
        <v>45827.77508074074</v>
      </c>
      <c r="B58" s="15" t="s">
        <v>368</v>
      </c>
      <c r="C58" s="15" t="s">
        <v>370</v>
      </c>
      <c r="D58" s="15"/>
      <c r="E58" s="15" t="s">
        <v>1875</v>
      </c>
      <c r="F58" s="15"/>
      <c r="G58" s="15" t="s">
        <v>422</v>
      </c>
      <c r="H58" s="15" t="s">
        <v>1203</v>
      </c>
      <c r="I58" s="15" t="s">
        <v>638</v>
      </c>
      <c r="J58" s="15" t="s">
        <v>1204</v>
      </c>
      <c r="K58" s="15" t="s">
        <v>376</v>
      </c>
      <c r="L58" s="15" t="s">
        <v>426</v>
      </c>
      <c r="M58" s="15" t="s">
        <v>378</v>
      </c>
      <c r="N58" s="15" t="s">
        <v>379</v>
      </c>
      <c r="O58" s="15" t="s">
        <v>719</v>
      </c>
      <c r="P58" s="15" t="s">
        <v>381</v>
      </c>
      <c r="Q58" s="15" t="s">
        <v>1156</v>
      </c>
      <c r="R58" s="15" t="s">
        <v>949</v>
      </c>
      <c r="S58" s="15" t="s">
        <v>1512</v>
      </c>
      <c r="T58" s="15" t="s">
        <v>385</v>
      </c>
      <c r="U58" s="15"/>
      <c r="V58" s="15"/>
      <c r="W58" s="15" t="s">
        <v>428</v>
      </c>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t="s">
        <v>390</v>
      </c>
      <c r="AW58" s="15" t="s">
        <v>391</v>
      </c>
      <c r="AX58" s="15">
        <v>2.0</v>
      </c>
      <c r="AY58" s="15" t="s">
        <v>391</v>
      </c>
      <c r="AZ58" s="15" t="s">
        <v>429</v>
      </c>
      <c r="BA58" s="15" t="s">
        <v>391</v>
      </c>
      <c r="BB58" s="15" t="s">
        <v>391</v>
      </c>
      <c r="BC58" s="15" t="s">
        <v>1876</v>
      </c>
      <c r="BD58" s="15" t="s">
        <v>1877</v>
      </c>
      <c r="BE58" s="15" t="s">
        <v>432</v>
      </c>
      <c r="BF58" s="15" t="s">
        <v>433</v>
      </c>
      <c r="BG58" s="15" t="s">
        <v>394</v>
      </c>
      <c r="BH58" s="15" t="s">
        <v>1878</v>
      </c>
      <c r="BI58" s="15" t="s">
        <v>824</v>
      </c>
      <c r="BJ58" s="15"/>
      <c r="BK58" s="15" t="s">
        <v>681</v>
      </c>
      <c r="BL58" s="15" t="s">
        <v>396</v>
      </c>
      <c r="BM58" s="15" t="s">
        <v>549</v>
      </c>
      <c r="BN58" s="15" t="s">
        <v>440</v>
      </c>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t="s">
        <v>441</v>
      </c>
      <c r="CM58" s="15" t="s">
        <v>604</v>
      </c>
      <c r="CN58" s="15" t="s">
        <v>1879</v>
      </c>
      <c r="CO58" s="15" t="s">
        <v>1880</v>
      </c>
      <c r="CP58" s="15" t="s">
        <v>1008</v>
      </c>
      <c r="CQ58" s="15" t="s">
        <v>956</v>
      </c>
      <c r="CR58" s="15" t="s">
        <v>804</v>
      </c>
      <c r="CS58" s="15" t="s">
        <v>1881</v>
      </c>
      <c r="CT58" s="15" t="s">
        <v>1882</v>
      </c>
      <c r="CU58" s="15" t="s">
        <v>450</v>
      </c>
      <c r="CV58" s="15" t="s">
        <v>451</v>
      </c>
      <c r="CW58" s="15" t="s">
        <v>1883</v>
      </c>
      <c r="CX58" s="15" t="s">
        <v>408</v>
      </c>
      <c r="CY58" s="15"/>
      <c r="CZ58" s="15" t="s">
        <v>453</v>
      </c>
      <c r="DA58" s="15" t="s">
        <v>1884</v>
      </c>
      <c r="DB58" s="15" t="s">
        <v>408</v>
      </c>
      <c r="DC58" s="15"/>
      <c r="DD58" s="15" t="s">
        <v>457</v>
      </c>
      <c r="DE58" s="15"/>
      <c r="DF58" s="15" t="s">
        <v>1885</v>
      </c>
      <c r="DG58" s="15" t="s">
        <v>524</v>
      </c>
      <c r="DH58" s="15" t="s">
        <v>410</v>
      </c>
      <c r="DI58" s="15" t="s">
        <v>459</v>
      </c>
      <c r="DJ58" s="15" t="s">
        <v>613</v>
      </c>
      <c r="DK58" s="15"/>
      <c r="DL58" s="15"/>
      <c r="DM58" s="15" t="s">
        <v>1492</v>
      </c>
      <c r="DN58" s="15" t="s">
        <v>1886</v>
      </c>
      <c r="DO58" s="15" t="s">
        <v>464</v>
      </c>
      <c r="DP58" s="15" t="s">
        <v>1887</v>
      </c>
      <c r="DQ58" s="15" t="s">
        <v>700</v>
      </c>
      <c r="DR58" s="15" t="s">
        <v>1888</v>
      </c>
      <c r="DS58" s="15" t="s">
        <v>839</v>
      </c>
      <c r="DT58" s="15" t="s">
        <v>703</v>
      </c>
      <c r="DU58" s="15" t="s">
        <v>1889</v>
      </c>
      <c r="DV58" s="15" t="s">
        <v>1890</v>
      </c>
      <c r="DW58" s="15" t="s">
        <v>573</v>
      </c>
      <c r="DX58" s="15" t="s">
        <v>1891</v>
      </c>
      <c r="DY58" s="15" t="s">
        <v>1892</v>
      </c>
      <c r="DZ58" s="15" t="s">
        <v>1893</v>
      </c>
      <c r="EA58" s="15" t="s">
        <v>1413</v>
      </c>
      <c r="EB58" s="15" t="s">
        <v>626</v>
      </c>
      <c r="EC58" s="15"/>
      <c r="ED58" s="15"/>
      <c r="EE58" s="15"/>
      <c r="EF58" s="15"/>
      <c r="EG58" s="15"/>
      <c r="EH58" s="15"/>
      <c r="EI58" s="15"/>
      <c r="EJ58" s="15"/>
      <c r="EK58" s="15"/>
      <c r="EL58" s="15"/>
      <c r="EM58" s="15"/>
      <c r="EN58" s="15"/>
      <c r="EO58" s="15"/>
      <c r="EP58" s="15"/>
      <c r="EQ58" s="15"/>
      <c r="ER58" s="15"/>
      <c r="ES58" s="15"/>
      <c r="ET58" s="15" t="s">
        <v>526</v>
      </c>
      <c r="EU58" s="15" t="s">
        <v>887</v>
      </c>
      <c r="EV58" s="15" t="s">
        <v>527</v>
      </c>
      <c r="EW58" s="15"/>
      <c r="EX58" s="15" t="s">
        <v>1894</v>
      </c>
      <c r="EY58" s="15" t="s">
        <v>1895</v>
      </c>
      <c r="EZ58" s="15" t="s">
        <v>583</v>
      </c>
      <c r="FA58" s="15" t="s">
        <v>583</v>
      </c>
      <c r="FB58" s="15" t="s">
        <v>415</v>
      </c>
      <c r="FC58" s="15" t="s">
        <v>583</v>
      </c>
      <c r="FD58" s="15" t="s">
        <v>583</v>
      </c>
      <c r="FE58" s="15" t="s">
        <v>583</v>
      </c>
      <c r="FF58" s="15" t="s">
        <v>414</v>
      </c>
      <c r="FG58" s="15" t="s">
        <v>415</v>
      </c>
      <c r="FH58" s="15" t="s">
        <v>415</v>
      </c>
      <c r="FI58" s="15" t="s">
        <v>414</v>
      </c>
      <c r="FJ58" s="15" t="s">
        <v>414</v>
      </c>
      <c r="FK58" s="15" t="s">
        <v>414</v>
      </c>
      <c r="FL58" s="15" t="s">
        <v>414</v>
      </c>
      <c r="FM58" s="15" t="s">
        <v>414</v>
      </c>
      <c r="FN58" s="15" t="s">
        <v>583</v>
      </c>
      <c r="FO58" s="15" t="s">
        <v>417</v>
      </c>
      <c r="FP58" s="15" t="s">
        <v>418</v>
      </c>
      <c r="FQ58" s="15" t="s">
        <v>419</v>
      </c>
      <c r="FR58" s="15" t="s">
        <v>1896</v>
      </c>
      <c r="FS58" s="15" t="s">
        <v>420</v>
      </c>
      <c r="FT58" s="15" t="s">
        <v>488</v>
      </c>
      <c r="FU58" s="15" t="s">
        <v>489</v>
      </c>
      <c r="FV58" s="15" t="s">
        <v>490</v>
      </c>
      <c r="FW58" s="15" t="s">
        <v>491</v>
      </c>
      <c r="FX58" s="15" t="s">
        <v>1897</v>
      </c>
      <c r="FY58" s="15" t="s">
        <v>1020</v>
      </c>
      <c r="FZ58" s="15" t="s">
        <v>1898</v>
      </c>
      <c r="GA58" s="15"/>
      <c r="GB58" s="15" t="s">
        <v>408</v>
      </c>
      <c r="GC58" s="15"/>
      <c r="GD58" s="15"/>
      <c r="GE58" s="15"/>
      <c r="GF58" s="15"/>
      <c r="GG58" s="15" t="s">
        <v>857</v>
      </c>
      <c r="GH58" s="15" t="s">
        <v>857</v>
      </c>
      <c r="GI58" s="15" t="s">
        <v>790</v>
      </c>
      <c r="GJ58" s="15"/>
      <c r="GK58" s="15"/>
      <c r="GL58" s="15"/>
      <c r="GM58" s="15" t="s">
        <v>1079</v>
      </c>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31"/>
      <c r="MX58" s="29" t="s">
        <v>10402</v>
      </c>
      <c r="MY58" s="29" t="str">
        <f>IFERROR(__xludf.DUMMYFUNCTION("""COMPUTED_VALUE"""),"Minnesota")</f>
        <v>Minnesota</v>
      </c>
    </row>
    <row r="59" ht="16.5" customHeight="1">
      <c r="A59" s="30">
        <v>45827.77905215278</v>
      </c>
      <c r="B59" s="15" t="s">
        <v>368</v>
      </c>
      <c r="C59" s="15" t="s">
        <v>370</v>
      </c>
      <c r="D59" s="15"/>
      <c r="E59" s="15" t="s">
        <v>1899</v>
      </c>
      <c r="F59" s="15"/>
      <c r="G59" s="15" t="s">
        <v>1900</v>
      </c>
      <c r="H59" s="15" t="s">
        <v>373</v>
      </c>
      <c r="I59" s="15" t="s">
        <v>638</v>
      </c>
      <c r="J59" s="15" t="s">
        <v>590</v>
      </c>
      <c r="K59" s="15" t="s">
        <v>376</v>
      </c>
      <c r="L59" s="15" t="s">
        <v>591</v>
      </c>
      <c r="M59" s="15" t="s">
        <v>378</v>
      </c>
      <c r="N59" s="15" t="s">
        <v>591</v>
      </c>
      <c r="O59" s="15" t="s">
        <v>541</v>
      </c>
      <c r="P59" s="15" t="s">
        <v>498</v>
      </c>
      <c r="Q59" s="15" t="s">
        <v>862</v>
      </c>
      <c r="R59" s="15" t="s">
        <v>1901</v>
      </c>
      <c r="S59" s="15" t="s">
        <v>1902</v>
      </c>
      <c r="T59" s="15" t="s">
        <v>385</v>
      </c>
      <c r="U59" s="15"/>
      <c r="V59" s="15"/>
      <c r="W59" s="15" t="s">
        <v>760</v>
      </c>
      <c r="X59" s="15" t="s">
        <v>387</v>
      </c>
      <c r="Y59" s="15" t="s">
        <v>1444</v>
      </c>
      <c r="Z59" s="15" t="s">
        <v>543</v>
      </c>
      <c r="AA59" s="15" t="s">
        <v>1903</v>
      </c>
      <c r="AB59" s="15" t="s">
        <v>1904</v>
      </c>
      <c r="AC59" s="15"/>
      <c r="AD59" s="15"/>
      <c r="AE59" s="15"/>
      <c r="AF59" s="15"/>
      <c r="AG59" s="15"/>
      <c r="AH59" s="15"/>
      <c r="AI59" s="15"/>
      <c r="AJ59" s="15"/>
      <c r="AK59" s="15"/>
      <c r="AL59" s="15"/>
      <c r="AM59" s="15"/>
      <c r="AN59" s="15"/>
      <c r="AO59" s="15"/>
      <c r="AP59" s="15"/>
      <c r="AQ59" s="15"/>
      <c r="AR59" s="15"/>
      <c r="AS59" s="15"/>
      <c r="AT59" s="15"/>
      <c r="AU59" s="15"/>
      <c r="AV59" s="15" t="s">
        <v>1905</v>
      </c>
      <c r="AW59" s="15"/>
      <c r="AX59" s="15">
        <v>4.0</v>
      </c>
      <c r="AY59" s="15" t="s">
        <v>429</v>
      </c>
      <c r="AZ59" s="15"/>
      <c r="BA59" s="15" t="s">
        <v>429</v>
      </c>
      <c r="BB59" s="15"/>
      <c r="BC59" s="15"/>
      <c r="BD59" s="15"/>
      <c r="BE59" s="15" t="s">
        <v>902</v>
      </c>
      <c r="BF59" s="15" t="s">
        <v>433</v>
      </c>
      <c r="BG59" s="15" t="s">
        <v>678</v>
      </c>
      <c r="BH59" s="15"/>
      <c r="BI59" s="15" t="s">
        <v>727</v>
      </c>
      <c r="BJ59" s="15"/>
      <c r="BK59" s="15" t="s">
        <v>511</v>
      </c>
      <c r="BL59" s="15" t="s">
        <v>904</v>
      </c>
      <c r="BM59" s="15" t="s">
        <v>439</v>
      </c>
      <c r="BN59" s="15" t="s">
        <v>513</v>
      </c>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t="s">
        <v>441</v>
      </c>
      <c r="CM59" s="15" t="s">
        <v>401</v>
      </c>
      <c r="CN59" s="15" t="s">
        <v>1906</v>
      </c>
      <c r="CO59" s="15" t="s">
        <v>1907</v>
      </c>
      <c r="CP59" s="15" t="s">
        <v>445</v>
      </c>
      <c r="CQ59" s="15" t="s">
        <v>1908</v>
      </c>
      <c r="CR59" s="15" t="s">
        <v>804</v>
      </c>
      <c r="CS59" s="15" t="s">
        <v>1909</v>
      </c>
      <c r="CT59" s="15" t="s">
        <v>1910</v>
      </c>
      <c r="CU59" s="15" t="s">
        <v>450</v>
      </c>
      <c r="CV59" s="15" t="s">
        <v>451</v>
      </c>
      <c r="CW59" s="15" t="s">
        <v>1911</v>
      </c>
      <c r="CX59" s="15" t="s">
        <v>408</v>
      </c>
      <c r="CY59" s="15"/>
      <c r="CZ59" s="15" t="s">
        <v>453</v>
      </c>
      <c r="DA59" s="15" t="s">
        <v>1912</v>
      </c>
      <c r="DB59" s="15" t="s">
        <v>455</v>
      </c>
      <c r="DC59" s="15" t="s">
        <v>1913</v>
      </c>
      <c r="DD59" s="15" t="s">
        <v>457</v>
      </c>
      <c r="DE59" s="15"/>
      <c r="DF59" s="15"/>
      <c r="DG59" s="15" t="s">
        <v>776</v>
      </c>
      <c r="DH59" s="15" t="s">
        <v>410</v>
      </c>
      <c r="DI59" s="15" t="s">
        <v>459</v>
      </c>
      <c r="DJ59" s="15" t="s">
        <v>613</v>
      </c>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t="s">
        <v>478</v>
      </c>
      <c r="EU59" s="15" t="s">
        <v>479</v>
      </c>
      <c r="EV59" s="15" t="s">
        <v>778</v>
      </c>
      <c r="EW59" s="15" t="s">
        <v>1914</v>
      </c>
      <c r="EX59" s="15" t="s">
        <v>1915</v>
      </c>
      <c r="EY59" s="15" t="s">
        <v>1916</v>
      </c>
      <c r="EZ59" s="15"/>
      <c r="FA59" s="15"/>
      <c r="FB59" s="15"/>
      <c r="FC59" s="15"/>
      <c r="FD59" s="15"/>
      <c r="FE59" s="15"/>
      <c r="FF59" s="15"/>
      <c r="FG59" s="15"/>
      <c r="FH59" s="15"/>
      <c r="FI59" s="15"/>
      <c r="FJ59" s="15"/>
      <c r="FK59" s="15"/>
      <c r="FL59" s="15"/>
      <c r="FM59" s="15"/>
      <c r="FN59" s="15"/>
      <c r="FO59" s="15" t="s">
        <v>485</v>
      </c>
      <c r="FP59" s="15" t="s">
        <v>418</v>
      </c>
      <c r="FQ59" s="15" t="s">
        <v>712</v>
      </c>
      <c r="FR59" s="15"/>
      <c r="FS59" s="15" t="s">
        <v>420</v>
      </c>
      <c r="FT59" s="15" t="s">
        <v>488</v>
      </c>
      <c r="FU59" s="15" t="s">
        <v>918</v>
      </c>
      <c r="FV59" s="15" t="s">
        <v>490</v>
      </c>
      <c r="FW59" s="15" t="s">
        <v>491</v>
      </c>
      <c r="FX59" s="15" t="s">
        <v>1917</v>
      </c>
      <c r="FY59" s="15" t="s">
        <v>535</v>
      </c>
      <c r="FZ59" s="15" t="s">
        <v>1918</v>
      </c>
      <c r="GA59" s="15" t="s">
        <v>1919</v>
      </c>
      <c r="GB59" s="15" t="s">
        <v>455</v>
      </c>
      <c r="GC59" s="15"/>
      <c r="GD59" s="15"/>
      <c r="GE59" s="15" t="s">
        <v>753</v>
      </c>
      <c r="GF59" s="15" t="s">
        <v>1920</v>
      </c>
      <c r="GG59" s="15" t="s">
        <v>755</v>
      </c>
      <c r="GH59" s="15" t="s">
        <v>755</v>
      </c>
      <c r="GI59" s="15" t="s">
        <v>946</v>
      </c>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31"/>
      <c r="MX59" s="29" t="s">
        <v>10402</v>
      </c>
      <c r="MY59" s="29" t="str">
        <f>IFERROR(__xludf.DUMMYFUNCTION("""COMPUTED_VALUE"""),"Ohio")</f>
        <v>Ohio</v>
      </c>
    </row>
    <row r="60" ht="16.5" customHeight="1">
      <c r="A60" s="30">
        <v>45827.80988215278</v>
      </c>
      <c r="B60" s="15" t="s">
        <v>368</v>
      </c>
      <c r="C60" s="15" t="s">
        <v>370</v>
      </c>
      <c r="D60" s="15"/>
      <c r="E60" s="15" t="s">
        <v>495</v>
      </c>
      <c r="F60" s="15"/>
      <c r="G60" s="15" t="s">
        <v>422</v>
      </c>
      <c r="H60" s="15" t="s">
        <v>1921</v>
      </c>
      <c r="I60" s="15" t="s">
        <v>668</v>
      </c>
      <c r="J60" s="15" t="s">
        <v>375</v>
      </c>
      <c r="K60" s="15" t="s">
        <v>376</v>
      </c>
      <c r="L60" s="15" t="s">
        <v>379</v>
      </c>
      <c r="M60" s="15" t="s">
        <v>860</v>
      </c>
      <c r="N60" s="15" t="s">
        <v>377</v>
      </c>
      <c r="O60" s="15" t="s">
        <v>380</v>
      </c>
      <c r="P60" s="15" t="s">
        <v>381</v>
      </c>
      <c r="Q60" s="15" t="s">
        <v>382</v>
      </c>
      <c r="R60" s="15" t="s">
        <v>427</v>
      </c>
      <c r="S60" s="15" t="s">
        <v>384</v>
      </c>
      <c r="T60" s="15" t="s">
        <v>385</v>
      </c>
      <c r="U60" s="15"/>
      <c r="V60" s="15"/>
      <c r="W60" s="15" t="s">
        <v>760</v>
      </c>
      <c r="X60" s="15" t="s">
        <v>387</v>
      </c>
      <c r="Y60" s="15" t="s">
        <v>1922</v>
      </c>
      <c r="Z60" s="15" t="s">
        <v>543</v>
      </c>
      <c r="AA60" s="15" t="s">
        <v>1923</v>
      </c>
      <c r="AB60" s="15"/>
      <c r="AC60" s="15"/>
      <c r="AD60" s="15"/>
      <c r="AE60" s="15"/>
      <c r="AF60" s="15"/>
      <c r="AG60" s="15"/>
      <c r="AH60" s="15"/>
      <c r="AI60" s="15"/>
      <c r="AJ60" s="15"/>
      <c r="AK60" s="15"/>
      <c r="AL60" s="15"/>
      <c r="AM60" s="15"/>
      <c r="AN60" s="15"/>
      <c r="AO60" s="15"/>
      <c r="AP60" s="15"/>
      <c r="AQ60" s="15"/>
      <c r="AR60" s="15"/>
      <c r="AS60" s="15"/>
      <c r="AT60" s="15"/>
      <c r="AU60" s="15"/>
      <c r="AV60" s="15" t="s">
        <v>1242</v>
      </c>
      <c r="AW60" s="15">
        <v>4.0</v>
      </c>
      <c r="AX60" s="15" t="s">
        <v>391</v>
      </c>
      <c r="AY60" s="15" t="s">
        <v>391</v>
      </c>
      <c r="AZ60" s="15">
        <v>4.0</v>
      </c>
      <c r="BA60" s="15" t="s">
        <v>675</v>
      </c>
      <c r="BB60" s="15" t="s">
        <v>675</v>
      </c>
      <c r="BC60" s="15" t="s">
        <v>1924</v>
      </c>
      <c r="BD60" s="15" t="s">
        <v>1925</v>
      </c>
      <c r="BE60" s="15" t="s">
        <v>432</v>
      </c>
      <c r="BF60" s="15" t="s">
        <v>393</v>
      </c>
      <c r="BG60" s="15" t="s">
        <v>434</v>
      </c>
      <c r="BH60" s="15"/>
      <c r="BI60" s="15" t="s">
        <v>976</v>
      </c>
      <c r="BJ60" s="15"/>
      <c r="BK60" s="15" t="s">
        <v>681</v>
      </c>
      <c r="BL60" s="15" t="s">
        <v>438</v>
      </c>
      <c r="BM60" s="15" t="s">
        <v>1314</v>
      </c>
      <c r="BN60" s="15" t="s">
        <v>398</v>
      </c>
      <c r="BO60" s="15" t="s">
        <v>1926</v>
      </c>
      <c r="BP60" s="15" t="s">
        <v>1927</v>
      </c>
      <c r="BQ60" s="15" t="s">
        <v>401</v>
      </c>
      <c r="BR60" s="15" t="s">
        <v>1928</v>
      </c>
      <c r="BS60" s="15" t="s">
        <v>403</v>
      </c>
      <c r="BT60" s="15" t="s">
        <v>404</v>
      </c>
      <c r="BU60" s="15" t="s">
        <v>405</v>
      </c>
      <c r="BV60" s="15"/>
      <c r="BW60" s="15" t="s">
        <v>406</v>
      </c>
      <c r="BX60" s="15" t="s">
        <v>407</v>
      </c>
      <c r="BY60" s="15" t="s">
        <v>408</v>
      </c>
      <c r="BZ60" s="15"/>
      <c r="CA60" s="15"/>
      <c r="CB60" s="15" t="s">
        <v>1929</v>
      </c>
      <c r="CC60" s="15" t="s">
        <v>1930</v>
      </c>
      <c r="CD60" s="15" t="s">
        <v>1931</v>
      </c>
      <c r="CE60" s="15"/>
      <c r="CF60" s="15" t="s">
        <v>1258</v>
      </c>
      <c r="CG60" s="15"/>
      <c r="CH60" s="15" t="s">
        <v>1259</v>
      </c>
      <c r="CI60" s="15" t="s">
        <v>1220</v>
      </c>
      <c r="CJ60" s="15" t="s">
        <v>1932</v>
      </c>
      <c r="CK60" s="15" t="s">
        <v>1933</v>
      </c>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t="s">
        <v>526</v>
      </c>
      <c r="EU60" s="15" t="s">
        <v>1037</v>
      </c>
      <c r="EV60" s="15" t="s">
        <v>527</v>
      </c>
      <c r="EW60" s="15" t="s">
        <v>1934</v>
      </c>
      <c r="EX60" s="15" t="s">
        <v>1935</v>
      </c>
      <c r="EY60" s="15" t="s">
        <v>1380</v>
      </c>
      <c r="EZ60" s="15" t="s">
        <v>413</v>
      </c>
      <c r="FA60" s="15" t="s">
        <v>414</v>
      </c>
      <c r="FB60" s="15" t="s">
        <v>414</v>
      </c>
      <c r="FC60" s="15" t="s">
        <v>414</v>
      </c>
      <c r="FD60" s="15" t="s">
        <v>413</v>
      </c>
      <c r="FE60" s="15" t="s">
        <v>414</v>
      </c>
      <c r="FF60" s="15" t="s">
        <v>415</v>
      </c>
      <c r="FG60" s="15" t="s">
        <v>413</v>
      </c>
      <c r="FH60" s="15" t="s">
        <v>414</v>
      </c>
      <c r="FI60" s="15" t="s">
        <v>415</v>
      </c>
      <c r="FJ60" s="15" t="s">
        <v>415</v>
      </c>
      <c r="FK60" s="15" t="s">
        <v>415</v>
      </c>
      <c r="FL60" s="15" t="s">
        <v>415</v>
      </c>
      <c r="FM60" s="15" t="s">
        <v>416</v>
      </c>
      <c r="FN60" s="15" t="s">
        <v>414</v>
      </c>
      <c r="FO60" s="15" t="s">
        <v>1074</v>
      </c>
      <c r="FP60" s="15" t="s">
        <v>418</v>
      </c>
      <c r="FQ60" s="15" t="s">
        <v>749</v>
      </c>
      <c r="FR60" s="15"/>
      <c r="FS60" s="15" t="s">
        <v>420</v>
      </c>
      <c r="FT60" s="15" t="s">
        <v>488</v>
      </c>
      <c r="FU60" s="15" t="s">
        <v>918</v>
      </c>
      <c r="FV60" s="15" t="s">
        <v>490</v>
      </c>
      <c r="FW60" s="15" t="s">
        <v>491</v>
      </c>
      <c r="FX60" s="15" t="s">
        <v>1936</v>
      </c>
      <c r="FY60" s="15" t="s">
        <v>535</v>
      </c>
      <c r="FZ60" s="15" t="s">
        <v>1937</v>
      </c>
      <c r="GA60" s="15"/>
      <c r="GB60" s="15" t="s">
        <v>455</v>
      </c>
      <c r="GC60" s="15"/>
      <c r="GD60" s="15"/>
      <c r="GE60" s="15" t="s">
        <v>855</v>
      </c>
      <c r="GF60" s="15"/>
      <c r="GG60" s="15"/>
      <c r="GH60" s="15"/>
      <c r="GI60" s="15"/>
      <c r="GJ60" s="15" t="s">
        <v>788</v>
      </c>
      <c r="GK60" s="15" t="s">
        <v>788</v>
      </c>
      <c r="GL60" s="15" t="s">
        <v>921</v>
      </c>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31"/>
      <c r="MX60" s="29" t="s">
        <v>894</v>
      </c>
      <c r="MY60" s="29" t="str">
        <f>IFERROR(__xludf.DUMMYFUNCTION("""COMPUTED_VALUE"""),"Quebec")</f>
        <v>Quebec</v>
      </c>
    </row>
    <row r="61" ht="16.5" customHeight="1">
      <c r="A61" s="30">
        <v>45827.82377087963</v>
      </c>
      <c r="B61" s="15" t="s">
        <v>368</v>
      </c>
      <c r="C61" s="15" t="s">
        <v>894</v>
      </c>
      <c r="D61" s="15"/>
      <c r="E61" s="15"/>
      <c r="F61" s="15"/>
      <c r="G61" s="15" t="s">
        <v>422</v>
      </c>
      <c r="H61" s="15" t="s">
        <v>373</v>
      </c>
      <c r="I61" s="15" t="s">
        <v>374</v>
      </c>
      <c r="J61" s="15" t="s">
        <v>718</v>
      </c>
      <c r="K61" s="15" t="s">
        <v>376</v>
      </c>
      <c r="L61" s="15" t="s">
        <v>591</v>
      </c>
      <c r="M61" s="15" t="s">
        <v>719</v>
      </c>
      <c r="N61" s="15" t="s">
        <v>591</v>
      </c>
      <c r="O61" s="15" t="s">
        <v>719</v>
      </c>
      <c r="P61" s="15" t="s">
        <v>498</v>
      </c>
      <c r="Q61" s="15" t="s">
        <v>382</v>
      </c>
      <c r="R61" s="15" t="s">
        <v>500</v>
      </c>
      <c r="S61" s="15" t="s">
        <v>384</v>
      </c>
      <c r="T61" s="15" t="s">
        <v>385</v>
      </c>
      <c r="U61" s="15" t="s">
        <v>1045</v>
      </c>
      <c r="V61" s="15" t="s">
        <v>1045</v>
      </c>
      <c r="W61" s="15" t="s">
        <v>386</v>
      </c>
      <c r="X61" s="15" t="s">
        <v>1706</v>
      </c>
      <c r="Y61" s="15"/>
      <c r="Z61" s="15"/>
      <c r="AA61" s="15"/>
      <c r="AB61" s="15"/>
      <c r="AC61" s="15" t="s">
        <v>1707</v>
      </c>
      <c r="AD61" s="15" t="s">
        <v>1938</v>
      </c>
      <c r="AE61" s="15" t="s">
        <v>455</v>
      </c>
      <c r="AF61" s="15" t="s">
        <v>1939</v>
      </c>
      <c r="AG61" s="15">
        <v>3.0</v>
      </c>
      <c r="AH61" s="15" t="s">
        <v>647</v>
      </c>
      <c r="AI61" s="15" t="s">
        <v>1940</v>
      </c>
      <c r="AJ61" s="15" t="s">
        <v>1941</v>
      </c>
      <c r="AK61" s="15" t="s">
        <v>1942</v>
      </c>
      <c r="AL61" s="15"/>
      <c r="AM61" s="15"/>
      <c r="AN61" s="15"/>
      <c r="AO61" s="15"/>
      <c r="AP61" s="15"/>
      <c r="AQ61" s="15"/>
      <c r="AR61" s="15"/>
      <c r="AS61" s="15"/>
      <c r="AT61" s="15"/>
      <c r="AU61" s="15"/>
      <c r="AV61" s="15" t="s">
        <v>390</v>
      </c>
      <c r="AW61" s="15" t="s">
        <v>429</v>
      </c>
      <c r="AX61" s="15">
        <v>2.0</v>
      </c>
      <c r="AY61" s="15" t="s">
        <v>429</v>
      </c>
      <c r="AZ61" s="15" t="s">
        <v>429</v>
      </c>
      <c r="BA61" s="15">
        <v>2.0</v>
      </c>
      <c r="BB61" s="15" t="s">
        <v>429</v>
      </c>
      <c r="BC61" s="15" t="s">
        <v>1943</v>
      </c>
      <c r="BD61" s="15" t="s">
        <v>1944</v>
      </c>
      <c r="BE61" s="15" t="s">
        <v>432</v>
      </c>
      <c r="BF61" s="15" t="s">
        <v>433</v>
      </c>
      <c r="BG61" s="15" t="s">
        <v>765</v>
      </c>
      <c r="BH61" s="15"/>
      <c r="BI61" s="15" t="s">
        <v>435</v>
      </c>
      <c r="BJ61" s="15" t="s">
        <v>1945</v>
      </c>
      <c r="BK61" s="15" t="s">
        <v>437</v>
      </c>
      <c r="BL61" s="15" t="s">
        <v>603</v>
      </c>
      <c r="BM61" s="15" t="s">
        <v>397</v>
      </c>
      <c r="BN61" s="15" t="s">
        <v>513</v>
      </c>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t="s">
        <v>441</v>
      </c>
      <c r="CM61" s="15" t="s">
        <v>442</v>
      </c>
      <c r="CN61" s="15" t="s">
        <v>1946</v>
      </c>
      <c r="CO61" s="15" t="s">
        <v>1947</v>
      </c>
      <c r="CP61" s="15" t="s">
        <v>1948</v>
      </c>
      <c r="CQ61" s="15" t="s">
        <v>1949</v>
      </c>
      <c r="CR61" s="15" t="s">
        <v>404</v>
      </c>
      <c r="CS61" s="15" t="s">
        <v>1950</v>
      </c>
      <c r="CT61" s="15" t="s">
        <v>1951</v>
      </c>
      <c r="CU61" s="15" t="s">
        <v>450</v>
      </c>
      <c r="CV61" s="15" t="s">
        <v>451</v>
      </c>
      <c r="CW61" s="15" t="s">
        <v>1952</v>
      </c>
      <c r="CX61" s="15" t="s">
        <v>408</v>
      </c>
      <c r="CY61" s="15"/>
      <c r="CZ61" s="15" t="s">
        <v>453</v>
      </c>
      <c r="DA61" s="15" t="s">
        <v>1953</v>
      </c>
      <c r="DB61" s="15" t="s">
        <v>408</v>
      </c>
      <c r="DC61" s="15"/>
      <c r="DD61" s="15" t="s">
        <v>457</v>
      </c>
      <c r="DE61" s="15"/>
      <c r="DF61" s="15" t="s">
        <v>1954</v>
      </c>
      <c r="DG61" s="15" t="s">
        <v>524</v>
      </c>
      <c r="DH61" s="15" t="s">
        <v>410</v>
      </c>
      <c r="DI61" s="15" t="s">
        <v>459</v>
      </c>
      <c r="DJ61" s="15" t="s">
        <v>460</v>
      </c>
      <c r="DK61" s="15" t="s">
        <v>461</v>
      </c>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t="s">
        <v>578</v>
      </c>
      <c r="EU61" s="15" t="s">
        <v>479</v>
      </c>
      <c r="EV61" s="15" t="s">
        <v>527</v>
      </c>
      <c r="EW61" s="15" t="s">
        <v>1955</v>
      </c>
      <c r="EX61" s="15" t="s">
        <v>1956</v>
      </c>
      <c r="EY61" s="15" t="s">
        <v>1380</v>
      </c>
      <c r="EZ61" s="15" t="s">
        <v>414</v>
      </c>
      <c r="FA61" s="15" t="s">
        <v>414</v>
      </c>
      <c r="FB61" s="15" t="s">
        <v>413</v>
      </c>
      <c r="FC61" s="15" t="s">
        <v>414</v>
      </c>
      <c r="FD61" s="15" t="s">
        <v>413</v>
      </c>
      <c r="FE61" s="15" t="s">
        <v>414</v>
      </c>
      <c r="FF61" s="15" t="s">
        <v>415</v>
      </c>
      <c r="FG61" s="15" t="s">
        <v>415</v>
      </c>
      <c r="FH61" s="15" t="s">
        <v>416</v>
      </c>
      <c r="FI61" s="15" t="s">
        <v>415</v>
      </c>
      <c r="FJ61" s="15" t="s">
        <v>415</v>
      </c>
      <c r="FK61" s="15" t="s">
        <v>415</v>
      </c>
      <c r="FL61" s="15" t="s">
        <v>484</v>
      </c>
      <c r="FM61" s="15" t="s">
        <v>413</v>
      </c>
      <c r="FN61" s="15" t="s">
        <v>484</v>
      </c>
      <c r="FO61" s="15" t="s">
        <v>850</v>
      </c>
      <c r="FP61" s="15" t="s">
        <v>418</v>
      </c>
      <c r="FQ61" s="15" t="s">
        <v>1039</v>
      </c>
      <c r="FR61" s="15" t="s">
        <v>1957</v>
      </c>
      <c r="FS61" s="15" t="s">
        <v>1189</v>
      </c>
      <c r="FT61" s="15" t="s">
        <v>488</v>
      </c>
      <c r="FU61" s="15" t="s">
        <v>585</v>
      </c>
      <c r="FV61" s="15" t="s">
        <v>490</v>
      </c>
      <c r="FW61" s="15" t="s">
        <v>491</v>
      </c>
      <c r="FX61" s="15" t="s">
        <v>1958</v>
      </c>
      <c r="FY61" s="15" t="s">
        <v>1020</v>
      </c>
      <c r="FZ61" s="15"/>
      <c r="GA61" s="15"/>
      <c r="GB61" s="15" t="s">
        <v>408</v>
      </c>
      <c r="GC61" s="15"/>
      <c r="GD61" s="15"/>
      <c r="GE61" s="15"/>
      <c r="GF61" s="15"/>
      <c r="GG61" s="15" t="s">
        <v>920</v>
      </c>
      <c r="GH61" s="15" t="s">
        <v>920</v>
      </c>
      <c r="GI61" s="15" t="s">
        <v>817</v>
      </c>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31"/>
      <c r="MX61" s="29"/>
      <c r="MY61" s="29"/>
    </row>
    <row r="62" ht="16.5" customHeight="1">
      <c r="A62" s="30">
        <v>45827.82513037037</v>
      </c>
      <c r="B62" s="15" t="s">
        <v>368</v>
      </c>
      <c r="C62" s="15"/>
      <c r="D62" s="15" t="s">
        <v>1201</v>
      </c>
      <c r="E62" s="15"/>
      <c r="F62" s="15"/>
      <c r="G62" s="15"/>
      <c r="H62" s="15"/>
      <c r="I62" s="15"/>
      <c r="J62" s="15"/>
      <c r="K62" s="15"/>
      <c r="L62" s="15"/>
      <c r="M62" s="15"/>
      <c r="N62" s="15"/>
      <c r="O62" s="15"/>
      <c r="P62" s="15"/>
      <c r="Q62" s="15"/>
      <c r="R62" s="15"/>
      <c r="S62" s="15"/>
      <c r="T62" s="15"/>
      <c r="U62" s="15"/>
      <c r="V62" s="15"/>
      <c r="W62" s="15" t="s">
        <v>760</v>
      </c>
      <c r="X62" s="15" t="s">
        <v>387</v>
      </c>
      <c r="Y62" s="15"/>
      <c r="Z62" s="15" t="s">
        <v>543</v>
      </c>
      <c r="AA62" s="15"/>
      <c r="AB62" s="15"/>
      <c r="AC62" s="15"/>
      <c r="AD62" s="15"/>
      <c r="AE62" s="15"/>
      <c r="AF62" s="15"/>
      <c r="AG62" s="15"/>
      <c r="AH62" s="15"/>
      <c r="AI62" s="15"/>
      <c r="AJ62" s="15"/>
      <c r="AK62" s="15"/>
      <c r="AL62" s="15"/>
      <c r="AM62" s="15"/>
      <c r="AN62" s="15"/>
      <c r="AO62" s="15"/>
      <c r="AP62" s="15"/>
      <c r="AQ62" s="15"/>
      <c r="AR62" s="15"/>
      <c r="AS62" s="15"/>
      <c r="AT62" s="15"/>
      <c r="AU62" s="15"/>
      <c r="AV62" s="15" t="s">
        <v>1310</v>
      </c>
      <c r="AW62" s="15"/>
      <c r="AX62" s="15"/>
      <c r="AY62" s="15"/>
      <c r="AZ62" s="15"/>
      <c r="BA62" s="15"/>
      <c r="BB62" s="15"/>
      <c r="BC62" s="15"/>
      <c r="BD62" s="15"/>
      <c r="BE62" s="15" t="s">
        <v>432</v>
      </c>
      <c r="BF62" s="15" t="s">
        <v>1095</v>
      </c>
      <c r="BG62" s="15" t="s">
        <v>434</v>
      </c>
      <c r="BH62" s="15"/>
      <c r="BI62" s="15" t="s">
        <v>824</v>
      </c>
      <c r="BJ62" s="15"/>
      <c r="BK62" s="15" t="s">
        <v>437</v>
      </c>
      <c r="BL62" s="15"/>
      <c r="BM62" s="15" t="s">
        <v>1247</v>
      </c>
      <c r="BN62" s="15" t="s">
        <v>513</v>
      </c>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t="s">
        <v>953</v>
      </c>
      <c r="CM62" s="15" t="s">
        <v>551</v>
      </c>
      <c r="CN62" s="15"/>
      <c r="CO62" s="15"/>
      <c r="CP62" s="15" t="s">
        <v>445</v>
      </c>
      <c r="CQ62" s="15" t="s">
        <v>1959</v>
      </c>
      <c r="CR62" s="15" t="s">
        <v>828</v>
      </c>
      <c r="CS62" s="15" t="s">
        <v>1960</v>
      </c>
      <c r="CT62" s="15"/>
      <c r="CU62" s="15" t="s">
        <v>1961</v>
      </c>
      <c r="CV62" s="15" t="s">
        <v>959</v>
      </c>
      <c r="CW62" s="15"/>
      <c r="CX62" s="15" t="s">
        <v>408</v>
      </c>
      <c r="CY62" s="15"/>
      <c r="CZ62" s="15" t="s">
        <v>1962</v>
      </c>
      <c r="DA62" s="15"/>
      <c r="DB62" s="15" t="s">
        <v>408</v>
      </c>
      <c r="DC62" s="15"/>
      <c r="DD62" s="15" t="s">
        <v>406</v>
      </c>
      <c r="DE62" s="15" t="s">
        <v>1058</v>
      </c>
      <c r="DF62" s="15" t="s">
        <v>1963</v>
      </c>
      <c r="DG62" s="15" t="s">
        <v>990</v>
      </c>
      <c r="DH62" s="15" t="s">
        <v>1964</v>
      </c>
      <c r="DI62" s="15" t="s">
        <v>963</v>
      </c>
      <c r="DJ62" s="15" t="s">
        <v>613</v>
      </c>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t="s">
        <v>478</v>
      </c>
      <c r="EU62" s="15" t="s">
        <v>579</v>
      </c>
      <c r="EV62" s="15" t="s">
        <v>580</v>
      </c>
      <c r="EW62" s="15"/>
      <c r="EX62" s="15"/>
      <c r="EY62" s="15"/>
      <c r="EZ62" s="15" t="s">
        <v>414</v>
      </c>
      <c r="FA62" s="15" t="s">
        <v>414</v>
      </c>
      <c r="FB62" s="15" t="s">
        <v>415</v>
      </c>
      <c r="FC62" s="15" t="s">
        <v>415</v>
      </c>
      <c r="FD62" s="15" t="s">
        <v>415</v>
      </c>
      <c r="FE62" s="15" t="s">
        <v>414</v>
      </c>
      <c r="FF62" s="15" t="s">
        <v>415</v>
      </c>
      <c r="FG62" s="15" t="s">
        <v>415</v>
      </c>
      <c r="FH62" s="15" t="s">
        <v>415</v>
      </c>
      <c r="FI62" s="15" t="s">
        <v>416</v>
      </c>
      <c r="FJ62" s="15" t="s">
        <v>415</v>
      </c>
      <c r="FK62" s="15" t="s">
        <v>414</v>
      </c>
      <c r="FL62" s="15" t="s">
        <v>414</v>
      </c>
      <c r="FM62" s="15" t="s">
        <v>484</v>
      </c>
      <c r="FN62" s="15" t="s">
        <v>484</v>
      </c>
      <c r="FO62" s="15" t="s">
        <v>1074</v>
      </c>
      <c r="FP62" s="15" t="s">
        <v>1200</v>
      </c>
      <c r="FQ62" s="15" t="s">
        <v>712</v>
      </c>
      <c r="FR62" s="15"/>
      <c r="FS62" s="15" t="s">
        <v>1076</v>
      </c>
      <c r="FT62" s="15" t="s">
        <v>1476</v>
      </c>
      <c r="FU62" s="15" t="s">
        <v>585</v>
      </c>
      <c r="FV62" s="15" t="s">
        <v>1101</v>
      </c>
      <c r="FW62" s="15" t="s">
        <v>1853</v>
      </c>
      <c r="FX62" s="15" t="s">
        <v>1965</v>
      </c>
      <c r="FY62" s="15" t="s">
        <v>1854</v>
      </c>
      <c r="FZ62" s="15"/>
      <c r="GA62" s="15"/>
      <c r="GB62" s="15" t="s">
        <v>408</v>
      </c>
      <c r="GC62" s="15"/>
      <c r="GD62" s="15"/>
      <c r="GE62" s="15"/>
      <c r="GF62" s="15"/>
      <c r="GG62" s="15" t="s">
        <v>788</v>
      </c>
      <c r="GH62" s="15" t="s">
        <v>788</v>
      </c>
      <c r="GI62" s="15" t="s">
        <v>858</v>
      </c>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31"/>
      <c r="MX62" s="29" t="s">
        <v>10402</v>
      </c>
      <c r="MY62" s="29" t="str">
        <f>IFERROR(__xludf.DUMMYFUNCTION("""COMPUTED_VALUE"""),"Michigan")</f>
        <v>Michigan</v>
      </c>
    </row>
    <row r="63" ht="16.5" customHeight="1">
      <c r="A63" s="30">
        <v>45827.834250127315</v>
      </c>
      <c r="B63" s="15" t="s">
        <v>368</v>
      </c>
      <c r="C63" s="15" t="s">
        <v>370</v>
      </c>
      <c r="D63" s="15"/>
      <c r="E63" s="15" t="s">
        <v>1480</v>
      </c>
      <c r="F63" s="15"/>
      <c r="G63" s="15"/>
      <c r="H63" s="15"/>
      <c r="I63" s="15"/>
      <c r="J63" s="15"/>
      <c r="K63" s="15"/>
      <c r="L63" s="15"/>
      <c r="M63" s="15"/>
      <c r="N63" s="15"/>
      <c r="O63" s="15"/>
      <c r="P63" s="15"/>
      <c r="Q63" s="15"/>
      <c r="R63" s="15"/>
      <c r="S63" s="15"/>
      <c r="T63" s="15"/>
      <c r="U63" s="15"/>
      <c r="V63" s="15"/>
      <c r="W63" s="15" t="s">
        <v>386</v>
      </c>
      <c r="X63" s="15" t="s">
        <v>387</v>
      </c>
      <c r="Y63" s="15" t="s">
        <v>1966</v>
      </c>
      <c r="Z63" s="15" t="s">
        <v>543</v>
      </c>
      <c r="AA63" s="15" t="s">
        <v>408</v>
      </c>
      <c r="AB63" s="15" t="s">
        <v>1967</v>
      </c>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t="s">
        <v>440</v>
      </c>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t="s">
        <v>441</v>
      </c>
      <c r="CM63" s="15" t="s">
        <v>401</v>
      </c>
      <c r="CN63" s="15" t="s">
        <v>1968</v>
      </c>
      <c r="CO63" s="15" t="s">
        <v>1969</v>
      </c>
      <c r="CP63" s="15" t="s">
        <v>685</v>
      </c>
      <c r="CQ63" s="15" t="s">
        <v>1970</v>
      </c>
      <c r="CR63" s="15" t="s">
        <v>447</v>
      </c>
      <c r="CS63" s="15" t="s">
        <v>1971</v>
      </c>
      <c r="CT63" s="15" t="s">
        <v>1972</v>
      </c>
      <c r="CU63" s="15" t="s">
        <v>450</v>
      </c>
      <c r="CV63" s="15" t="s">
        <v>451</v>
      </c>
      <c r="CW63" s="15" t="s">
        <v>1973</v>
      </c>
      <c r="CX63" s="15" t="s">
        <v>408</v>
      </c>
      <c r="CY63" s="15" t="s">
        <v>1211</v>
      </c>
      <c r="CZ63" s="15" t="s">
        <v>453</v>
      </c>
      <c r="DA63" s="15" t="s">
        <v>1974</v>
      </c>
      <c r="DB63" s="15" t="s">
        <v>455</v>
      </c>
      <c r="DC63" s="15" t="s">
        <v>1975</v>
      </c>
      <c r="DD63" s="15" t="s">
        <v>457</v>
      </c>
      <c r="DE63" s="15"/>
      <c r="DF63" s="15" t="s">
        <v>1976</v>
      </c>
      <c r="DG63" s="15" t="s">
        <v>561</v>
      </c>
      <c r="DH63" s="15" t="s">
        <v>410</v>
      </c>
      <c r="DI63" s="15" t="s">
        <v>1402</v>
      </c>
      <c r="DJ63" s="15" t="s">
        <v>562</v>
      </c>
      <c r="DK63" s="15" t="s">
        <v>563</v>
      </c>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t="s">
        <v>526</v>
      </c>
      <c r="EU63" s="15" t="s">
        <v>1037</v>
      </c>
      <c r="EV63" s="15" t="s">
        <v>480</v>
      </c>
      <c r="EW63" s="15"/>
      <c r="EX63" s="15" t="s">
        <v>1977</v>
      </c>
      <c r="EY63" s="15" t="s">
        <v>1978</v>
      </c>
      <c r="EZ63" s="15" t="s">
        <v>415</v>
      </c>
      <c r="FA63" s="15" t="s">
        <v>414</v>
      </c>
      <c r="FB63" s="15" t="s">
        <v>416</v>
      </c>
      <c r="FC63" s="15" t="s">
        <v>583</v>
      </c>
      <c r="FD63" s="15" t="s">
        <v>415</v>
      </c>
      <c r="FE63" s="15" t="s">
        <v>583</v>
      </c>
      <c r="FF63" s="15" t="s">
        <v>414</v>
      </c>
      <c r="FG63" s="15" t="s">
        <v>413</v>
      </c>
      <c r="FH63" s="15" t="s">
        <v>583</v>
      </c>
      <c r="FI63" s="15" t="s">
        <v>414</v>
      </c>
      <c r="FJ63" s="15" t="s">
        <v>414</v>
      </c>
      <c r="FK63" s="15" t="s">
        <v>413</v>
      </c>
      <c r="FL63" s="15" t="s">
        <v>414</v>
      </c>
      <c r="FM63" s="15" t="s">
        <v>413</v>
      </c>
      <c r="FN63" s="15" t="s">
        <v>484</v>
      </c>
      <c r="FO63" s="15" t="s">
        <v>417</v>
      </c>
      <c r="FP63" s="15" t="s">
        <v>418</v>
      </c>
      <c r="FQ63" s="15" t="s">
        <v>712</v>
      </c>
      <c r="FR63" s="15" t="s">
        <v>1979</v>
      </c>
      <c r="FS63" s="15" t="s">
        <v>420</v>
      </c>
      <c r="FT63" s="15" t="s">
        <v>488</v>
      </c>
      <c r="FU63" s="15" t="s">
        <v>489</v>
      </c>
      <c r="FV63" s="15" t="s">
        <v>490</v>
      </c>
      <c r="FW63" s="15" t="s">
        <v>491</v>
      </c>
      <c r="FX63" s="15" t="s">
        <v>1980</v>
      </c>
      <c r="FY63" s="15" t="s">
        <v>535</v>
      </c>
      <c r="FZ63" s="15" t="s">
        <v>1981</v>
      </c>
      <c r="GA63" s="15" t="s">
        <v>1982</v>
      </c>
      <c r="GB63" s="15" t="s">
        <v>455</v>
      </c>
      <c r="GC63" s="15"/>
      <c r="GD63" s="15"/>
      <c r="GE63" s="15" t="s">
        <v>944</v>
      </c>
      <c r="GF63" s="15" t="s">
        <v>1983</v>
      </c>
      <c r="GG63" s="15" t="s">
        <v>1000</v>
      </c>
      <c r="GH63" s="15" t="s">
        <v>755</v>
      </c>
      <c r="GI63" s="15" t="s">
        <v>946</v>
      </c>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31"/>
      <c r="MX63" s="29" t="s">
        <v>1984</v>
      </c>
      <c r="MY63" s="29" t="str">
        <f>IFERROR(__xludf.DUMMYFUNCTION("""COMPUTED_VALUE"""),"India")</f>
        <v>India</v>
      </c>
    </row>
    <row r="64" ht="16.5" customHeight="1">
      <c r="A64" s="30">
        <v>45827.84110394676</v>
      </c>
      <c r="B64" s="15" t="s">
        <v>368</v>
      </c>
      <c r="C64" s="15" t="s">
        <v>1984</v>
      </c>
      <c r="D64" s="15" t="s">
        <v>1984</v>
      </c>
      <c r="E64" s="15"/>
      <c r="F64" s="15"/>
      <c r="G64" s="15"/>
      <c r="H64" s="15"/>
      <c r="I64" s="15"/>
      <c r="J64" s="15"/>
      <c r="K64" s="15"/>
      <c r="L64" s="15"/>
      <c r="M64" s="15"/>
      <c r="N64" s="15"/>
      <c r="O64" s="15"/>
      <c r="P64" s="15"/>
      <c r="Q64" s="15"/>
      <c r="R64" s="15"/>
      <c r="S64" s="15"/>
      <c r="T64" s="15"/>
      <c r="U64" s="15"/>
      <c r="V64" s="15"/>
      <c r="W64" s="15" t="s">
        <v>386</v>
      </c>
      <c r="X64" s="15" t="s">
        <v>387</v>
      </c>
      <c r="Y64" s="15" t="s">
        <v>388</v>
      </c>
      <c r="Z64" s="15" t="s">
        <v>543</v>
      </c>
      <c r="AA64" s="15" t="s">
        <v>1985</v>
      </c>
      <c r="AB64" s="15" t="s">
        <v>1986</v>
      </c>
      <c r="AC64" s="15"/>
      <c r="AD64" s="15"/>
      <c r="AE64" s="15"/>
      <c r="AF64" s="15"/>
      <c r="AG64" s="15"/>
      <c r="AH64" s="15"/>
      <c r="AI64" s="15"/>
      <c r="AJ64" s="15"/>
      <c r="AK64" s="15"/>
      <c r="AL64" s="15"/>
      <c r="AM64" s="15"/>
      <c r="AN64" s="15"/>
      <c r="AO64" s="15"/>
      <c r="AP64" s="15"/>
      <c r="AQ64" s="15"/>
      <c r="AR64" s="15"/>
      <c r="AS64" s="15"/>
      <c r="AT64" s="15"/>
      <c r="AU64" s="15"/>
      <c r="AV64" s="15" t="s">
        <v>1242</v>
      </c>
      <c r="AW64" s="15" t="s">
        <v>675</v>
      </c>
      <c r="AX64" s="15" t="s">
        <v>391</v>
      </c>
      <c r="AY64" s="15">
        <v>4.0</v>
      </c>
      <c r="AZ64" s="15">
        <v>2.0</v>
      </c>
      <c r="BA64" s="15" t="s">
        <v>675</v>
      </c>
      <c r="BB64" s="15" t="s">
        <v>675</v>
      </c>
      <c r="BC64" s="15" t="s">
        <v>1987</v>
      </c>
      <c r="BD64" s="15" t="s">
        <v>1988</v>
      </c>
      <c r="BE64" s="15" t="s">
        <v>902</v>
      </c>
      <c r="BF64" s="15" t="s">
        <v>1095</v>
      </c>
      <c r="BG64" s="15" t="s">
        <v>434</v>
      </c>
      <c r="BH64" s="15" t="s">
        <v>1989</v>
      </c>
      <c r="BI64" s="15" t="s">
        <v>727</v>
      </c>
      <c r="BJ64" s="15" t="s">
        <v>1990</v>
      </c>
      <c r="BK64" s="15" t="s">
        <v>437</v>
      </c>
      <c r="BL64" s="15" t="s">
        <v>904</v>
      </c>
      <c r="BM64" s="15" t="s">
        <v>397</v>
      </c>
      <c r="BN64" s="15" t="s">
        <v>398</v>
      </c>
      <c r="BO64" s="15" t="s">
        <v>1991</v>
      </c>
      <c r="BP64" s="15" t="s">
        <v>1992</v>
      </c>
      <c r="BQ64" s="15" t="s">
        <v>604</v>
      </c>
      <c r="BR64" s="15" t="s">
        <v>1993</v>
      </c>
      <c r="BS64" s="15" t="s">
        <v>1741</v>
      </c>
      <c r="BT64" s="15" t="s">
        <v>1994</v>
      </c>
      <c r="BU64" s="15" t="s">
        <v>405</v>
      </c>
      <c r="BV64" s="15" t="s">
        <v>1995</v>
      </c>
      <c r="BW64" s="15" t="s">
        <v>457</v>
      </c>
      <c r="BX64" s="15"/>
      <c r="BY64" s="15" t="s">
        <v>455</v>
      </c>
      <c r="BZ64" s="15" t="s">
        <v>1996</v>
      </c>
      <c r="CA64" s="15" t="s">
        <v>1997</v>
      </c>
      <c r="CB64" s="15" t="s">
        <v>1998</v>
      </c>
      <c r="CC64" s="15" t="s">
        <v>1999</v>
      </c>
      <c r="CD64" s="15" t="s">
        <v>409</v>
      </c>
      <c r="CE64" s="15" t="s">
        <v>2000</v>
      </c>
      <c r="CF64" s="15" t="s">
        <v>1749</v>
      </c>
      <c r="CG64" s="15" t="s">
        <v>2001</v>
      </c>
      <c r="CH64" s="15" t="s">
        <v>1259</v>
      </c>
      <c r="CI64" s="15" t="s">
        <v>833</v>
      </c>
      <c r="CJ64" s="15" t="s">
        <v>2002</v>
      </c>
      <c r="CK64" s="15" t="s">
        <v>2003</v>
      </c>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t="s">
        <v>578</v>
      </c>
      <c r="EU64" s="15" t="s">
        <v>579</v>
      </c>
      <c r="EV64" s="15" t="s">
        <v>778</v>
      </c>
      <c r="EW64" s="15" t="s">
        <v>2004</v>
      </c>
      <c r="EX64" s="15" t="s">
        <v>2005</v>
      </c>
      <c r="EY64" s="15" t="s">
        <v>2006</v>
      </c>
      <c r="EZ64" s="15" t="s">
        <v>416</v>
      </c>
      <c r="FA64" s="15" t="s">
        <v>414</v>
      </c>
      <c r="FB64" s="15" t="s">
        <v>413</v>
      </c>
      <c r="FC64" s="15" t="s">
        <v>413</v>
      </c>
      <c r="FD64" s="15" t="s">
        <v>413</v>
      </c>
      <c r="FE64" s="15" t="s">
        <v>414</v>
      </c>
      <c r="FF64" s="15" t="s">
        <v>413</v>
      </c>
      <c r="FG64" s="15" t="s">
        <v>413</v>
      </c>
      <c r="FH64" s="15" t="s">
        <v>416</v>
      </c>
      <c r="FI64" s="15" t="s">
        <v>413</v>
      </c>
      <c r="FJ64" s="15" t="s">
        <v>413</v>
      </c>
      <c r="FK64" s="15" t="s">
        <v>413</v>
      </c>
      <c r="FL64" s="15" t="s">
        <v>413</v>
      </c>
      <c r="FM64" s="15" t="s">
        <v>413</v>
      </c>
      <c r="FN64" s="15" t="s">
        <v>413</v>
      </c>
      <c r="FO64" s="15" t="s">
        <v>417</v>
      </c>
      <c r="FP64" s="15" t="s">
        <v>486</v>
      </c>
      <c r="FQ64" s="15" t="s">
        <v>749</v>
      </c>
      <c r="FR64" s="15" t="s">
        <v>2007</v>
      </c>
      <c r="FS64" s="15" t="s">
        <v>420</v>
      </c>
      <c r="FT64" s="15" t="s">
        <v>1462</v>
      </c>
      <c r="FU64" s="15" t="s">
        <v>918</v>
      </c>
      <c r="FV64" s="15" t="s">
        <v>1101</v>
      </c>
      <c r="FW64" s="15" t="s">
        <v>491</v>
      </c>
      <c r="FX64" s="15" t="s">
        <v>2008</v>
      </c>
      <c r="FY64" s="15" t="s">
        <v>535</v>
      </c>
      <c r="FZ64" s="15" t="s">
        <v>2009</v>
      </c>
      <c r="GA64" s="15" t="s">
        <v>2010</v>
      </c>
      <c r="GB64" s="15" t="s">
        <v>455</v>
      </c>
      <c r="GC64" s="15"/>
      <c r="GD64" s="15"/>
      <c r="GE64" s="15" t="s">
        <v>753</v>
      </c>
      <c r="GF64" s="15" t="s">
        <v>2011</v>
      </c>
      <c r="GG64" s="15"/>
      <c r="GH64" s="15"/>
      <c r="GI64" s="15"/>
      <c r="GJ64" s="15" t="s">
        <v>857</v>
      </c>
      <c r="GK64" s="15" t="s">
        <v>857</v>
      </c>
      <c r="GL64" s="15" t="s">
        <v>817</v>
      </c>
      <c r="GM64" s="15"/>
      <c r="GN64" s="15" t="s">
        <v>1984</v>
      </c>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31"/>
      <c r="MX64" s="29" t="s">
        <v>10402</v>
      </c>
      <c r="MY64" s="29" t="str">
        <f>IFERROR(__xludf.DUMMYFUNCTION("""COMPUTED_VALUE"""),"North Dakota")</f>
        <v>North Dakota</v>
      </c>
    </row>
    <row r="65" ht="16.5" customHeight="1">
      <c r="A65" s="30">
        <v>45827.86569578704</v>
      </c>
      <c r="B65" s="15" t="s">
        <v>368</v>
      </c>
      <c r="C65" s="15" t="s">
        <v>370</v>
      </c>
      <c r="D65" s="15"/>
      <c r="E65" s="15" t="s">
        <v>2012</v>
      </c>
      <c r="F65" s="15"/>
      <c r="G65" s="15" t="s">
        <v>422</v>
      </c>
      <c r="H65" s="15" t="s">
        <v>539</v>
      </c>
      <c r="I65" s="15" t="s">
        <v>424</v>
      </c>
      <c r="J65" s="15" t="s">
        <v>425</v>
      </c>
      <c r="K65" s="15" t="s">
        <v>376</v>
      </c>
      <c r="L65" s="15" t="s">
        <v>379</v>
      </c>
      <c r="M65" s="15" t="s">
        <v>378</v>
      </c>
      <c r="N65" s="15" t="s">
        <v>379</v>
      </c>
      <c r="O65" s="15" t="s">
        <v>380</v>
      </c>
      <c r="P65" s="15" t="s">
        <v>498</v>
      </c>
      <c r="Q65" s="15" t="s">
        <v>499</v>
      </c>
      <c r="R65" s="15" t="s">
        <v>1197</v>
      </c>
      <c r="S65" s="15" t="s">
        <v>384</v>
      </c>
      <c r="T65" s="15" t="s">
        <v>385</v>
      </c>
      <c r="U65" s="15"/>
      <c r="V65" s="15"/>
      <c r="W65" s="15" t="s">
        <v>386</v>
      </c>
      <c r="X65" s="15" t="s">
        <v>387</v>
      </c>
      <c r="Y65" s="15" t="s">
        <v>1444</v>
      </c>
      <c r="Z65" s="15" t="s">
        <v>543</v>
      </c>
      <c r="AA65" s="15" t="s">
        <v>408</v>
      </c>
      <c r="AB65" s="15"/>
      <c r="AC65" s="15"/>
      <c r="AD65" s="15"/>
      <c r="AE65" s="15"/>
      <c r="AF65" s="15"/>
      <c r="AG65" s="15"/>
      <c r="AH65" s="15"/>
      <c r="AI65" s="15"/>
      <c r="AJ65" s="15"/>
      <c r="AK65" s="15"/>
      <c r="AL65" s="15"/>
      <c r="AM65" s="15"/>
      <c r="AN65" s="15"/>
      <c r="AO65" s="15"/>
      <c r="AP65" s="15"/>
      <c r="AQ65" s="15"/>
      <c r="AR65" s="15"/>
      <c r="AS65" s="15"/>
      <c r="AT65" s="15"/>
      <c r="AU65" s="15"/>
      <c r="AV65" s="15" t="s">
        <v>597</v>
      </c>
      <c r="AW65" s="15">
        <v>2.0</v>
      </c>
      <c r="AX65" s="15">
        <v>2.0</v>
      </c>
      <c r="AY65" s="15">
        <v>2.0</v>
      </c>
      <c r="AZ65" s="15">
        <v>2.0</v>
      </c>
      <c r="BA65" s="15">
        <v>2.0</v>
      </c>
      <c r="BB65" s="15">
        <v>2.0</v>
      </c>
      <c r="BC65" s="15" t="s">
        <v>2013</v>
      </c>
      <c r="BD65" s="15" t="s">
        <v>2014</v>
      </c>
      <c r="BE65" s="15" t="s">
        <v>902</v>
      </c>
      <c r="BF65" s="15" t="s">
        <v>393</v>
      </c>
      <c r="BG65" s="15" t="s">
        <v>434</v>
      </c>
      <c r="BH65" s="15" t="s">
        <v>2015</v>
      </c>
      <c r="BI65" s="15" t="s">
        <v>976</v>
      </c>
      <c r="BJ65" s="15"/>
      <c r="BK65" s="15" t="s">
        <v>681</v>
      </c>
      <c r="BL65" s="15" t="s">
        <v>603</v>
      </c>
      <c r="BM65" s="15" t="s">
        <v>549</v>
      </c>
      <c r="BN65" s="15" t="s">
        <v>513</v>
      </c>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t="s">
        <v>441</v>
      </c>
      <c r="CM65" s="15" t="s">
        <v>604</v>
      </c>
      <c r="CN65" s="15" t="s">
        <v>2016</v>
      </c>
      <c r="CO65" s="15" t="s">
        <v>552</v>
      </c>
      <c r="CP65" s="15" t="s">
        <v>685</v>
      </c>
      <c r="CQ65" s="15" t="s">
        <v>956</v>
      </c>
      <c r="CR65" s="15" t="s">
        <v>555</v>
      </c>
      <c r="CS65" s="15" t="s">
        <v>1346</v>
      </c>
      <c r="CT65" s="15" t="s">
        <v>2017</v>
      </c>
      <c r="CU65" s="15" t="s">
        <v>1852</v>
      </c>
      <c r="CV65" s="15" t="s">
        <v>451</v>
      </c>
      <c r="CW65" s="15" t="s">
        <v>2018</v>
      </c>
      <c r="CX65" s="15" t="s">
        <v>408</v>
      </c>
      <c r="CY65" s="15"/>
      <c r="CZ65" s="15" t="s">
        <v>985</v>
      </c>
      <c r="DA65" s="15" t="s">
        <v>2019</v>
      </c>
      <c r="DB65" s="15" t="s">
        <v>408</v>
      </c>
      <c r="DC65" s="15"/>
      <c r="DD65" s="15" t="s">
        <v>406</v>
      </c>
      <c r="DE65" s="15" t="s">
        <v>1058</v>
      </c>
      <c r="DF65" s="15" t="s">
        <v>2020</v>
      </c>
      <c r="DG65" s="15" t="s">
        <v>776</v>
      </c>
      <c r="DH65" s="15" t="s">
        <v>833</v>
      </c>
      <c r="DI65" s="15" t="s">
        <v>459</v>
      </c>
      <c r="DJ65" s="15" t="s">
        <v>613</v>
      </c>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t="s">
        <v>578</v>
      </c>
      <c r="EU65" s="15" t="s">
        <v>887</v>
      </c>
      <c r="EV65" s="15" t="s">
        <v>480</v>
      </c>
      <c r="EW65" s="15"/>
      <c r="EX65" s="15" t="s">
        <v>2021</v>
      </c>
      <c r="EY65" s="15" t="s">
        <v>1380</v>
      </c>
      <c r="EZ65" s="15" t="s">
        <v>413</v>
      </c>
      <c r="FA65" s="15" t="s">
        <v>416</v>
      </c>
      <c r="FB65" s="15" t="s">
        <v>413</v>
      </c>
      <c r="FC65" s="15" t="s">
        <v>416</v>
      </c>
      <c r="FD65" s="15" t="s">
        <v>413</v>
      </c>
      <c r="FE65" s="15" t="s">
        <v>416</v>
      </c>
      <c r="FF65" s="15" t="s">
        <v>416</v>
      </c>
      <c r="FG65" s="15" t="s">
        <v>416</v>
      </c>
      <c r="FH65" s="15" t="s">
        <v>413</v>
      </c>
      <c r="FI65" s="15" t="s">
        <v>416</v>
      </c>
      <c r="FJ65" s="15" t="s">
        <v>416</v>
      </c>
      <c r="FK65" s="15" t="s">
        <v>416</v>
      </c>
      <c r="FL65" s="15" t="s">
        <v>416</v>
      </c>
      <c r="FM65" s="15" t="s">
        <v>416</v>
      </c>
      <c r="FN65" s="15" t="s">
        <v>416</v>
      </c>
      <c r="FO65" s="15" t="s">
        <v>850</v>
      </c>
      <c r="FP65" s="15" t="s">
        <v>418</v>
      </c>
      <c r="FQ65" s="15" t="s">
        <v>630</v>
      </c>
      <c r="FR65" s="15" t="s">
        <v>2022</v>
      </c>
      <c r="FS65" s="15" t="s">
        <v>1189</v>
      </c>
      <c r="FT65" s="15" t="s">
        <v>488</v>
      </c>
      <c r="FU65" s="15" t="s">
        <v>489</v>
      </c>
      <c r="FV65" s="15" t="s">
        <v>490</v>
      </c>
      <c r="FW65" s="15" t="s">
        <v>491</v>
      </c>
      <c r="FX65" s="15" t="s">
        <v>2023</v>
      </c>
      <c r="FY65" s="15" t="s">
        <v>535</v>
      </c>
      <c r="FZ65" s="15"/>
      <c r="GA65" s="15"/>
      <c r="GB65" s="15" t="s">
        <v>455</v>
      </c>
      <c r="GC65" s="15"/>
      <c r="GD65" s="15"/>
      <c r="GE65" s="15" t="s">
        <v>786</v>
      </c>
      <c r="GF65" s="15" t="s">
        <v>2024</v>
      </c>
      <c r="GG65" s="15" t="s">
        <v>1000</v>
      </c>
      <c r="GH65" s="15" t="s">
        <v>1000</v>
      </c>
      <c r="GI65" s="15" t="s">
        <v>946</v>
      </c>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31"/>
      <c r="MX65" s="29" t="s">
        <v>2025</v>
      </c>
      <c r="MY65" s="29" t="str">
        <f>IFERROR(__xludf.DUMMYFUNCTION("""COMPUTED_VALUE"""),"South Africa")</f>
        <v>South Africa</v>
      </c>
    </row>
    <row r="66" ht="16.5" customHeight="1">
      <c r="A66" s="30">
        <v>45827.86713875</v>
      </c>
      <c r="B66" s="15" t="s">
        <v>368</v>
      </c>
      <c r="C66" s="15" t="s">
        <v>2025</v>
      </c>
      <c r="D66" s="15" t="s">
        <v>1201</v>
      </c>
      <c r="E66" s="15"/>
      <c r="F66" s="15"/>
      <c r="G66" s="15"/>
      <c r="H66" s="15"/>
      <c r="I66" s="15"/>
      <c r="J66" s="15"/>
      <c r="K66" s="15"/>
      <c r="L66" s="15"/>
      <c r="M66" s="15"/>
      <c r="N66" s="15"/>
      <c r="O66" s="15"/>
      <c r="P66" s="15"/>
      <c r="Q66" s="15"/>
      <c r="R66" s="15"/>
      <c r="S66" s="15"/>
      <c r="T66" s="15"/>
      <c r="U66" s="15"/>
      <c r="V66" s="15"/>
      <c r="W66" s="15" t="s">
        <v>593</v>
      </c>
      <c r="X66" s="15" t="s">
        <v>387</v>
      </c>
      <c r="Y66" s="15" t="s">
        <v>2026</v>
      </c>
      <c r="Z66" s="15" t="s">
        <v>543</v>
      </c>
      <c r="AA66" s="15" t="s">
        <v>2027</v>
      </c>
      <c r="AB66" s="15" t="s">
        <v>2028</v>
      </c>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t="s">
        <v>440</v>
      </c>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t="s">
        <v>441</v>
      </c>
      <c r="CM66" s="15" t="s">
        <v>442</v>
      </c>
      <c r="CN66" s="15" t="s">
        <v>2029</v>
      </c>
      <c r="CO66" s="15" t="s">
        <v>2030</v>
      </c>
      <c r="CP66" s="15" t="s">
        <v>979</v>
      </c>
      <c r="CQ66" s="15" t="s">
        <v>2031</v>
      </c>
      <c r="CR66" s="15" t="s">
        <v>404</v>
      </c>
      <c r="CS66" s="15" t="s">
        <v>1137</v>
      </c>
      <c r="CT66" s="15" t="s">
        <v>2032</v>
      </c>
      <c r="CU66" s="15" t="s">
        <v>450</v>
      </c>
      <c r="CV66" s="15" t="s">
        <v>451</v>
      </c>
      <c r="CW66" s="15" t="s">
        <v>2033</v>
      </c>
      <c r="CX66" s="15" t="s">
        <v>408</v>
      </c>
      <c r="CY66" s="15"/>
      <c r="CZ66" s="15" t="s">
        <v>985</v>
      </c>
      <c r="DA66" s="15" t="s">
        <v>2034</v>
      </c>
      <c r="DB66" s="15" t="s">
        <v>455</v>
      </c>
      <c r="DC66" s="15" t="s">
        <v>2035</v>
      </c>
      <c r="DD66" s="15" t="s">
        <v>988</v>
      </c>
      <c r="DE66" s="15"/>
      <c r="DF66" s="15"/>
      <c r="DG66" s="15" t="s">
        <v>524</v>
      </c>
      <c r="DH66" s="15" t="s">
        <v>410</v>
      </c>
      <c r="DI66" s="15" t="s">
        <v>963</v>
      </c>
      <c r="DJ66" s="15" t="s">
        <v>613</v>
      </c>
      <c r="DK66" s="15"/>
      <c r="DL66" s="15"/>
      <c r="DM66" s="15" t="s">
        <v>2036</v>
      </c>
      <c r="DN66" s="15" t="s">
        <v>2037</v>
      </c>
      <c r="DO66" s="15" t="s">
        <v>567</v>
      </c>
      <c r="DP66" s="15" t="s">
        <v>2038</v>
      </c>
      <c r="DQ66" s="15" t="s">
        <v>1291</v>
      </c>
      <c r="DR66" s="15" t="s">
        <v>2039</v>
      </c>
      <c r="DS66" s="15" t="s">
        <v>839</v>
      </c>
      <c r="DT66" s="15" t="s">
        <v>619</v>
      </c>
      <c r="DU66" s="15" t="s">
        <v>2040</v>
      </c>
      <c r="DV66" s="15" t="s">
        <v>2041</v>
      </c>
      <c r="DW66" s="15" t="s">
        <v>573</v>
      </c>
      <c r="DX66" s="15" t="s">
        <v>2042</v>
      </c>
      <c r="DY66" s="15" t="s">
        <v>2043</v>
      </c>
      <c r="DZ66" s="15" t="s">
        <v>2044</v>
      </c>
      <c r="EA66" s="15" t="s">
        <v>475</v>
      </c>
      <c r="EB66" s="15" t="s">
        <v>626</v>
      </c>
      <c r="EC66" s="15" t="s">
        <v>2045</v>
      </c>
      <c r="ED66" s="15"/>
      <c r="EE66" s="15"/>
      <c r="EF66" s="15"/>
      <c r="EG66" s="15"/>
      <c r="EH66" s="15"/>
      <c r="EI66" s="15"/>
      <c r="EJ66" s="15"/>
      <c r="EK66" s="15"/>
      <c r="EL66" s="15"/>
      <c r="EM66" s="15"/>
      <c r="EN66" s="15"/>
      <c r="EO66" s="15"/>
      <c r="EP66" s="15"/>
      <c r="EQ66" s="15"/>
      <c r="ER66" s="15"/>
      <c r="ES66" s="15"/>
      <c r="ET66" s="15" t="s">
        <v>578</v>
      </c>
      <c r="EU66" s="15" t="s">
        <v>579</v>
      </c>
      <c r="EV66" s="15" t="s">
        <v>778</v>
      </c>
      <c r="EW66" s="15" t="s">
        <v>2046</v>
      </c>
      <c r="EX66" s="15" t="s">
        <v>2047</v>
      </c>
      <c r="EY66" s="15" t="s">
        <v>2048</v>
      </c>
      <c r="EZ66" s="15" t="s">
        <v>415</v>
      </c>
      <c r="FA66" s="15" t="s">
        <v>414</v>
      </c>
      <c r="FB66" s="15" t="s">
        <v>413</v>
      </c>
      <c r="FC66" s="15" t="s">
        <v>416</v>
      </c>
      <c r="FD66" s="15" t="s">
        <v>413</v>
      </c>
      <c r="FE66" s="15" t="s">
        <v>414</v>
      </c>
      <c r="FF66" s="15" t="s">
        <v>415</v>
      </c>
      <c r="FG66" s="15" t="s">
        <v>413</v>
      </c>
      <c r="FH66" s="15" t="s">
        <v>415</v>
      </c>
      <c r="FI66" s="15" t="s">
        <v>416</v>
      </c>
      <c r="FJ66" s="15" t="s">
        <v>415</v>
      </c>
      <c r="FK66" s="15" t="s">
        <v>416</v>
      </c>
      <c r="FL66" s="15" t="s">
        <v>416</v>
      </c>
      <c r="FM66" s="15" t="s">
        <v>416</v>
      </c>
      <c r="FN66" s="15" t="s">
        <v>416</v>
      </c>
      <c r="FO66" s="15" t="s">
        <v>485</v>
      </c>
      <c r="FP66" s="15" t="s">
        <v>418</v>
      </c>
      <c r="FQ66" s="15" t="s">
        <v>1039</v>
      </c>
      <c r="FR66" s="15" t="s">
        <v>2049</v>
      </c>
      <c r="FS66" s="15" t="s">
        <v>420</v>
      </c>
      <c r="FT66" s="15" t="s">
        <v>488</v>
      </c>
      <c r="FU66" s="15" t="s">
        <v>585</v>
      </c>
      <c r="FV66" s="15" t="s">
        <v>490</v>
      </c>
      <c r="FW66" s="15" t="s">
        <v>491</v>
      </c>
      <c r="FX66" s="15" t="s">
        <v>2050</v>
      </c>
      <c r="FY66" s="15" t="s">
        <v>493</v>
      </c>
      <c r="FZ66" s="15" t="s">
        <v>2051</v>
      </c>
      <c r="GA66" s="15"/>
      <c r="GB66" s="15" t="s">
        <v>455</v>
      </c>
      <c r="GC66" s="15"/>
      <c r="GD66" s="15"/>
      <c r="GE66" s="15" t="s">
        <v>855</v>
      </c>
      <c r="GF66" s="15" t="s">
        <v>2052</v>
      </c>
      <c r="GG66" s="15" t="s">
        <v>755</v>
      </c>
      <c r="GH66" s="15" t="s">
        <v>755</v>
      </c>
      <c r="GI66" s="15" t="s">
        <v>946</v>
      </c>
      <c r="GJ66" s="15"/>
      <c r="GK66" s="15"/>
      <c r="GL66" s="15"/>
      <c r="GM66" s="15" t="s">
        <v>1079</v>
      </c>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31"/>
      <c r="MX66" s="29" t="s">
        <v>10402</v>
      </c>
      <c r="MY66" s="29" t="str">
        <f>IFERROR(__xludf.DUMMYFUNCTION("""COMPUTED_VALUE"""),"Massachusetts")</f>
        <v>Massachusetts</v>
      </c>
    </row>
    <row r="67" ht="16.5" customHeight="1">
      <c r="A67" s="30">
        <v>45827.86729285879</v>
      </c>
      <c r="B67" s="15" t="s">
        <v>368</v>
      </c>
      <c r="C67" s="15" t="s">
        <v>370</v>
      </c>
      <c r="D67" s="15"/>
      <c r="E67" s="15" t="s">
        <v>1001</v>
      </c>
      <c r="F67" s="15"/>
      <c r="G67" s="15" t="s">
        <v>422</v>
      </c>
      <c r="H67" s="15" t="s">
        <v>373</v>
      </c>
      <c r="I67" s="15" t="s">
        <v>374</v>
      </c>
      <c r="J67" s="15" t="s">
        <v>375</v>
      </c>
      <c r="K67" s="15" t="s">
        <v>376</v>
      </c>
      <c r="L67" s="15" t="s">
        <v>591</v>
      </c>
      <c r="M67" s="15" t="s">
        <v>860</v>
      </c>
      <c r="N67" s="15" t="s">
        <v>591</v>
      </c>
      <c r="O67" s="15" t="s">
        <v>2053</v>
      </c>
      <c r="P67" s="15" t="s">
        <v>498</v>
      </c>
      <c r="Q67" s="15" t="s">
        <v>1004</v>
      </c>
      <c r="R67" s="15" t="s">
        <v>2054</v>
      </c>
      <c r="S67" s="15" t="s">
        <v>384</v>
      </c>
      <c r="T67" s="15" t="s">
        <v>385</v>
      </c>
      <c r="U67" s="15"/>
      <c r="V67" s="15"/>
      <c r="W67" s="15" t="s">
        <v>386</v>
      </c>
      <c r="X67" s="15" t="s">
        <v>1706</v>
      </c>
      <c r="Y67" s="15"/>
      <c r="Z67" s="15"/>
      <c r="AA67" s="15"/>
      <c r="AB67" s="15"/>
      <c r="AC67" s="15" t="s">
        <v>2055</v>
      </c>
      <c r="AD67" s="15" t="s">
        <v>1938</v>
      </c>
      <c r="AE67" s="15" t="s">
        <v>455</v>
      </c>
      <c r="AF67" s="15" t="s">
        <v>2056</v>
      </c>
      <c r="AG67" s="15">
        <v>1.0</v>
      </c>
      <c r="AH67" s="15" t="s">
        <v>1639</v>
      </c>
      <c r="AI67" s="15" t="s">
        <v>2057</v>
      </c>
      <c r="AJ67" s="15" t="s">
        <v>2058</v>
      </c>
      <c r="AK67" s="15" t="s">
        <v>396</v>
      </c>
      <c r="AL67" s="15"/>
      <c r="AM67" s="15"/>
      <c r="AN67" s="15"/>
      <c r="AO67" s="15"/>
      <c r="AP67" s="15"/>
      <c r="AQ67" s="15"/>
      <c r="AR67" s="15"/>
      <c r="AS67" s="15"/>
      <c r="AT67" s="15"/>
      <c r="AU67" s="15"/>
      <c r="AV67" s="15" t="s">
        <v>1310</v>
      </c>
      <c r="AW67" s="15">
        <v>4.0</v>
      </c>
      <c r="AX67" s="15" t="s">
        <v>391</v>
      </c>
      <c r="AY67" s="15" t="s">
        <v>675</v>
      </c>
      <c r="AZ67" s="15">
        <v>4.0</v>
      </c>
      <c r="BA67" s="15" t="s">
        <v>675</v>
      </c>
      <c r="BB67" s="15">
        <v>4.0</v>
      </c>
      <c r="BC67" s="15" t="s">
        <v>2059</v>
      </c>
      <c r="BD67" s="15" t="s">
        <v>2060</v>
      </c>
      <c r="BE67" s="15" t="s">
        <v>432</v>
      </c>
      <c r="BF67" s="15" t="s">
        <v>393</v>
      </c>
      <c r="BG67" s="15" t="s">
        <v>394</v>
      </c>
      <c r="BH67" s="15" t="s">
        <v>2061</v>
      </c>
      <c r="BI67" s="15" t="s">
        <v>824</v>
      </c>
      <c r="BJ67" s="15" t="s">
        <v>1211</v>
      </c>
      <c r="BK67" s="15" t="s">
        <v>395</v>
      </c>
      <c r="BL67" s="15" t="s">
        <v>904</v>
      </c>
      <c r="BM67" s="15" t="s">
        <v>1247</v>
      </c>
      <c r="BN67" s="15" t="s">
        <v>440</v>
      </c>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t="s">
        <v>441</v>
      </c>
      <c r="CM67" s="15" t="s">
        <v>604</v>
      </c>
      <c r="CN67" s="15" t="s">
        <v>2062</v>
      </c>
      <c r="CO67" s="15" t="s">
        <v>2063</v>
      </c>
      <c r="CP67" s="15" t="s">
        <v>445</v>
      </c>
      <c r="CQ67" s="15" t="s">
        <v>2064</v>
      </c>
      <c r="CR67" s="15" t="s">
        <v>447</v>
      </c>
      <c r="CS67" s="15" t="s">
        <v>1147</v>
      </c>
      <c r="CT67" s="15" t="s">
        <v>2065</v>
      </c>
      <c r="CU67" s="15" t="s">
        <v>1863</v>
      </c>
      <c r="CV67" s="15" t="s">
        <v>451</v>
      </c>
      <c r="CW67" s="15" t="s">
        <v>2066</v>
      </c>
      <c r="CX67" s="15" t="s">
        <v>408</v>
      </c>
      <c r="CY67" s="15" t="s">
        <v>1211</v>
      </c>
      <c r="CZ67" s="15" t="s">
        <v>1398</v>
      </c>
      <c r="DA67" s="15" t="s">
        <v>2067</v>
      </c>
      <c r="DB67" s="15" t="s">
        <v>408</v>
      </c>
      <c r="DC67" s="15" t="s">
        <v>1211</v>
      </c>
      <c r="DD67" s="15" t="s">
        <v>988</v>
      </c>
      <c r="DE67" s="15" t="s">
        <v>407</v>
      </c>
      <c r="DF67" s="15" t="s">
        <v>2068</v>
      </c>
      <c r="DG67" s="15" t="s">
        <v>524</v>
      </c>
      <c r="DH67" s="15" t="s">
        <v>410</v>
      </c>
      <c r="DI67" s="15" t="s">
        <v>459</v>
      </c>
      <c r="DJ67" s="15" t="s">
        <v>613</v>
      </c>
      <c r="DK67" s="15"/>
      <c r="DL67" s="15"/>
      <c r="DM67" s="15" t="s">
        <v>2069</v>
      </c>
      <c r="DN67" s="15" t="s">
        <v>2070</v>
      </c>
      <c r="DO67" s="15" t="s">
        <v>464</v>
      </c>
      <c r="DP67" s="15" t="s">
        <v>2071</v>
      </c>
      <c r="DQ67" s="15" t="s">
        <v>1324</v>
      </c>
      <c r="DR67" s="15" t="s">
        <v>2072</v>
      </c>
      <c r="DS67" s="15"/>
      <c r="DT67" s="15" t="s">
        <v>1580</v>
      </c>
      <c r="DU67" s="15" t="s">
        <v>2073</v>
      </c>
      <c r="DV67" s="15" t="s">
        <v>2074</v>
      </c>
      <c r="DW67" s="15" t="s">
        <v>1328</v>
      </c>
      <c r="DX67" s="15" t="s">
        <v>2075</v>
      </c>
      <c r="DY67" s="15" t="s">
        <v>2076</v>
      </c>
      <c r="DZ67" s="15" t="s">
        <v>2077</v>
      </c>
      <c r="EA67" s="15" t="s">
        <v>1413</v>
      </c>
      <c r="EB67" s="15" t="s">
        <v>626</v>
      </c>
      <c r="EC67" s="15" t="s">
        <v>2078</v>
      </c>
      <c r="ED67" s="15"/>
      <c r="EE67" s="15"/>
      <c r="EF67" s="15"/>
      <c r="EG67" s="15"/>
      <c r="EH67" s="15"/>
      <c r="EI67" s="15"/>
      <c r="EJ67" s="15"/>
      <c r="EK67" s="15"/>
      <c r="EL67" s="15"/>
      <c r="EM67" s="15"/>
      <c r="EN67" s="15"/>
      <c r="EO67" s="15"/>
      <c r="EP67" s="15"/>
      <c r="EQ67" s="15"/>
      <c r="ER67" s="15"/>
      <c r="ES67" s="15"/>
      <c r="ET67" s="15" t="s">
        <v>478</v>
      </c>
      <c r="EU67" s="15" t="s">
        <v>479</v>
      </c>
      <c r="EV67" s="15" t="s">
        <v>1534</v>
      </c>
      <c r="EW67" s="15" t="s">
        <v>2079</v>
      </c>
      <c r="EX67" s="15" t="s">
        <v>2080</v>
      </c>
      <c r="EY67" s="15" t="s">
        <v>2081</v>
      </c>
      <c r="EZ67" s="15" t="s">
        <v>414</v>
      </c>
      <c r="FA67" s="15" t="s">
        <v>583</v>
      </c>
      <c r="FB67" s="15" t="s">
        <v>413</v>
      </c>
      <c r="FC67" s="15" t="s">
        <v>414</v>
      </c>
      <c r="FD67" s="15" t="s">
        <v>416</v>
      </c>
      <c r="FE67" s="15" t="s">
        <v>583</v>
      </c>
      <c r="FF67" s="15" t="s">
        <v>415</v>
      </c>
      <c r="FG67" s="15" t="s">
        <v>413</v>
      </c>
      <c r="FH67" s="15" t="s">
        <v>583</v>
      </c>
      <c r="FI67" s="15" t="s">
        <v>583</v>
      </c>
      <c r="FJ67" s="15" t="s">
        <v>414</v>
      </c>
      <c r="FK67" s="15" t="s">
        <v>415</v>
      </c>
      <c r="FL67" s="15" t="s">
        <v>415</v>
      </c>
      <c r="FM67" s="15" t="s">
        <v>416</v>
      </c>
      <c r="FN67" s="15" t="s">
        <v>414</v>
      </c>
      <c r="FO67" s="15" t="s">
        <v>485</v>
      </c>
      <c r="FP67" s="15" t="s">
        <v>418</v>
      </c>
      <c r="FQ67" s="15" t="s">
        <v>712</v>
      </c>
      <c r="FR67" s="15" t="s">
        <v>2082</v>
      </c>
      <c r="FS67" s="15" t="s">
        <v>420</v>
      </c>
      <c r="FT67" s="15" t="s">
        <v>1462</v>
      </c>
      <c r="FU67" s="15" t="s">
        <v>489</v>
      </c>
      <c r="FV67" s="15" t="s">
        <v>490</v>
      </c>
      <c r="FW67" s="15" t="s">
        <v>491</v>
      </c>
      <c r="FX67" s="15" t="s">
        <v>2083</v>
      </c>
      <c r="FY67" s="15" t="s">
        <v>535</v>
      </c>
      <c r="FZ67" s="15" t="s">
        <v>2084</v>
      </c>
      <c r="GA67" s="15" t="s">
        <v>2085</v>
      </c>
      <c r="GB67" s="15" t="s">
        <v>455</v>
      </c>
      <c r="GC67" s="15"/>
      <c r="GD67" s="15" t="s">
        <v>2086</v>
      </c>
      <c r="GE67" s="15" t="s">
        <v>1339</v>
      </c>
      <c r="GF67" s="15" t="s">
        <v>2087</v>
      </c>
      <c r="GG67" s="15" t="s">
        <v>1000</v>
      </c>
      <c r="GH67" s="15" t="s">
        <v>1000</v>
      </c>
      <c r="GI67" s="15" t="s">
        <v>946</v>
      </c>
      <c r="GJ67" s="15"/>
      <c r="GK67" s="15"/>
      <c r="GL67" s="15"/>
      <c r="GM67" s="15" t="s">
        <v>1079</v>
      </c>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31"/>
      <c r="MX67" s="29" t="s">
        <v>10402</v>
      </c>
      <c r="MY67" s="29" t="str">
        <f>IFERROR(__xludf.DUMMYFUNCTION("""COMPUTED_VALUE"""),"Pennsylvania")</f>
        <v>Pennsylvania</v>
      </c>
    </row>
    <row r="68" ht="16.5" customHeight="1">
      <c r="A68" s="30">
        <v>45827.868862233794</v>
      </c>
      <c r="B68" s="15" t="s">
        <v>368</v>
      </c>
      <c r="C68" s="15" t="s">
        <v>370</v>
      </c>
      <c r="D68" s="15"/>
      <c r="E68" s="15" t="s">
        <v>791</v>
      </c>
      <c r="F68" s="15"/>
      <c r="G68" s="15"/>
      <c r="H68" s="15"/>
      <c r="I68" s="15"/>
      <c r="J68" s="15"/>
      <c r="K68" s="15"/>
      <c r="L68" s="15"/>
      <c r="M68" s="15"/>
      <c r="N68" s="15"/>
      <c r="O68" s="15"/>
      <c r="P68" s="15"/>
      <c r="Q68" s="15"/>
      <c r="R68" s="15"/>
      <c r="S68" s="15"/>
      <c r="T68" s="15"/>
      <c r="U68" s="15"/>
      <c r="V68" s="15"/>
      <c r="W68" s="15" t="s">
        <v>428</v>
      </c>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t="s">
        <v>2088</v>
      </c>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t="s">
        <v>526</v>
      </c>
      <c r="EU68" s="15" t="s">
        <v>887</v>
      </c>
      <c r="EV68" s="15" t="s">
        <v>527</v>
      </c>
      <c r="EW68" s="15" t="s">
        <v>2089</v>
      </c>
      <c r="EX68" s="15" t="s">
        <v>2090</v>
      </c>
      <c r="EY68" s="15" t="s">
        <v>2091</v>
      </c>
      <c r="EZ68" s="15" t="s">
        <v>414</v>
      </c>
      <c r="FA68" s="15" t="s">
        <v>414</v>
      </c>
      <c r="FB68" s="15" t="s">
        <v>414</v>
      </c>
      <c r="FC68" s="15" t="s">
        <v>414</v>
      </c>
      <c r="FD68" s="15" t="s">
        <v>583</v>
      </c>
      <c r="FE68" s="15" t="s">
        <v>583</v>
      </c>
      <c r="FF68" s="15" t="s">
        <v>415</v>
      </c>
      <c r="FG68" s="15" t="s">
        <v>484</v>
      </c>
      <c r="FH68" s="15" t="s">
        <v>416</v>
      </c>
      <c r="FI68" s="15" t="s">
        <v>414</v>
      </c>
      <c r="FJ68" s="15" t="s">
        <v>583</v>
      </c>
      <c r="FK68" s="15" t="s">
        <v>414</v>
      </c>
      <c r="FL68" s="15" t="s">
        <v>414</v>
      </c>
      <c r="FM68" s="15" t="s">
        <v>416</v>
      </c>
      <c r="FN68" s="15" t="s">
        <v>414</v>
      </c>
      <c r="FO68" s="15" t="s">
        <v>1074</v>
      </c>
      <c r="FP68" s="15" t="s">
        <v>486</v>
      </c>
      <c r="FQ68" s="15" t="s">
        <v>630</v>
      </c>
      <c r="FR68" s="15" t="s">
        <v>2092</v>
      </c>
      <c r="FS68" s="15" t="s">
        <v>1076</v>
      </c>
      <c r="FT68" s="15" t="s">
        <v>488</v>
      </c>
      <c r="FU68" s="15" t="s">
        <v>918</v>
      </c>
      <c r="FV68" s="15" t="s">
        <v>490</v>
      </c>
      <c r="FW68" s="15" t="s">
        <v>491</v>
      </c>
      <c r="FX68" s="15" t="s">
        <v>2093</v>
      </c>
      <c r="FY68" s="15" t="s">
        <v>493</v>
      </c>
      <c r="FZ68" s="15" t="s">
        <v>2094</v>
      </c>
      <c r="GA68" s="15" t="s">
        <v>2095</v>
      </c>
      <c r="GB68" s="15" t="s">
        <v>455</v>
      </c>
      <c r="GC68" s="15"/>
      <c r="GD68" s="15"/>
      <c r="GE68" s="15" t="s">
        <v>786</v>
      </c>
      <c r="GF68" s="15" t="s">
        <v>2096</v>
      </c>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31"/>
      <c r="MX68" s="29" t="s">
        <v>10402</v>
      </c>
      <c r="MY68" s="29" t="str">
        <f>IFERROR(__xludf.DUMMYFUNCTION("""COMPUTED_VALUE"""),"Texas")</f>
        <v>Texas</v>
      </c>
    </row>
    <row r="69" ht="16.5" customHeight="1">
      <c r="A69" s="30">
        <v>45827.871949594904</v>
      </c>
      <c r="B69" s="15" t="s">
        <v>368</v>
      </c>
      <c r="C69" s="15" t="s">
        <v>370</v>
      </c>
      <c r="D69" s="15"/>
      <c r="E69" s="15" t="s">
        <v>1510</v>
      </c>
      <c r="F69" s="15"/>
      <c r="G69" s="15" t="s">
        <v>1269</v>
      </c>
      <c r="H69" s="15" t="s">
        <v>539</v>
      </c>
      <c r="I69" s="15" t="s">
        <v>424</v>
      </c>
      <c r="J69" s="15" t="s">
        <v>375</v>
      </c>
      <c r="K69" s="15" t="s">
        <v>376</v>
      </c>
      <c r="L69" s="15" t="s">
        <v>379</v>
      </c>
      <c r="M69" s="15" t="s">
        <v>378</v>
      </c>
      <c r="N69" s="15" t="s">
        <v>426</v>
      </c>
      <c r="O69" s="15" t="s">
        <v>2097</v>
      </c>
      <c r="P69" s="15" t="s">
        <v>498</v>
      </c>
      <c r="Q69" s="15" t="s">
        <v>382</v>
      </c>
      <c r="R69" s="15" t="s">
        <v>949</v>
      </c>
      <c r="S69" s="15" t="s">
        <v>384</v>
      </c>
      <c r="T69" s="15" t="s">
        <v>385</v>
      </c>
      <c r="U69" s="15"/>
      <c r="V69" s="15"/>
      <c r="W69" s="15" t="s">
        <v>428</v>
      </c>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t="s">
        <v>1310</v>
      </c>
      <c r="AW69" s="15" t="s">
        <v>675</v>
      </c>
      <c r="AX69" s="15">
        <v>4.0</v>
      </c>
      <c r="AY69" s="15" t="s">
        <v>675</v>
      </c>
      <c r="AZ69" s="15">
        <v>4.0</v>
      </c>
      <c r="BA69" s="15">
        <v>4.0</v>
      </c>
      <c r="BB69" s="15">
        <v>4.0</v>
      </c>
      <c r="BC69" s="15" t="s">
        <v>2098</v>
      </c>
      <c r="BD69" s="15" t="s">
        <v>2099</v>
      </c>
      <c r="BE69" s="15" t="s">
        <v>902</v>
      </c>
      <c r="BF69" s="15" t="s">
        <v>1245</v>
      </c>
      <c r="BG69" s="15"/>
      <c r="BH69" s="15" t="s">
        <v>2100</v>
      </c>
      <c r="BI69" s="15" t="s">
        <v>435</v>
      </c>
      <c r="BJ69" s="15"/>
      <c r="BK69" s="15" t="s">
        <v>395</v>
      </c>
      <c r="BL69" s="15" t="s">
        <v>438</v>
      </c>
      <c r="BM69" s="15" t="s">
        <v>1247</v>
      </c>
      <c r="BN69" s="15" t="s">
        <v>513</v>
      </c>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t="s">
        <v>682</v>
      </c>
      <c r="CM69" s="15" t="s">
        <v>442</v>
      </c>
      <c r="CN69" s="15" t="s">
        <v>2101</v>
      </c>
      <c r="CO69" s="15" t="s">
        <v>2102</v>
      </c>
      <c r="CP69" s="15" t="s">
        <v>685</v>
      </c>
      <c r="CQ69" s="15" t="s">
        <v>2103</v>
      </c>
      <c r="CR69" s="15" t="s">
        <v>404</v>
      </c>
      <c r="CS69" s="15" t="s">
        <v>2104</v>
      </c>
      <c r="CT69" s="15" t="s">
        <v>2105</v>
      </c>
      <c r="CU69" s="15" t="s">
        <v>450</v>
      </c>
      <c r="CV69" s="15" t="s">
        <v>959</v>
      </c>
      <c r="CW69" s="15" t="s">
        <v>2106</v>
      </c>
      <c r="CX69" s="15" t="s">
        <v>408</v>
      </c>
      <c r="CY69" s="15"/>
      <c r="CZ69" s="15" t="s">
        <v>985</v>
      </c>
      <c r="DA69" s="15" t="s">
        <v>2107</v>
      </c>
      <c r="DB69" s="15" t="s">
        <v>408</v>
      </c>
      <c r="DC69" s="15"/>
      <c r="DD69" s="15" t="s">
        <v>1400</v>
      </c>
      <c r="DE69" s="15" t="s">
        <v>407</v>
      </c>
      <c r="DF69" s="15"/>
      <c r="DG69" s="15" t="s">
        <v>776</v>
      </c>
      <c r="DH69" s="15" t="s">
        <v>1220</v>
      </c>
      <c r="DI69" s="15" t="s">
        <v>963</v>
      </c>
      <c r="DJ69" s="15" t="s">
        <v>613</v>
      </c>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t="s">
        <v>578</v>
      </c>
      <c r="EU69" s="15" t="s">
        <v>479</v>
      </c>
      <c r="EV69" s="15" t="s">
        <v>527</v>
      </c>
      <c r="EW69" s="15" t="s">
        <v>2108</v>
      </c>
      <c r="EX69" s="15" t="s">
        <v>2109</v>
      </c>
      <c r="EY69" s="15" t="s">
        <v>2110</v>
      </c>
      <c r="EZ69" s="15" t="s">
        <v>583</v>
      </c>
      <c r="FA69" s="15" t="s">
        <v>583</v>
      </c>
      <c r="FB69" s="15" t="s">
        <v>583</v>
      </c>
      <c r="FC69" s="15" t="s">
        <v>583</v>
      </c>
      <c r="FD69" s="15" t="s">
        <v>415</v>
      </c>
      <c r="FE69" s="15" t="s">
        <v>583</v>
      </c>
      <c r="FF69" s="15" t="s">
        <v>583</v>
      </c>
      <c r="FG69" s="15" t="s">
        <v>583</v>
      </c>
      <c r="FH69" s="15" t="s">
        <v>484</v>
      </c>
      <c r="FI69" s="15" t="s">
        <v>583</v>
      </c>
      <c r="FJ69" s="15" t="s">
        <v>583</v>
      </c>
      <c r="FK69" s="15" t="s">
        <v>583</v>
      </c>
      <c r="FL69" s="15" t="s">
        <v>583</v>
      </c>
      <c r="FM69" s="15" t="s">
        <v>484</v>
      </c>
      <c r="FN69" s="15" t="s">
        <v>583</v>
      </c>
      <c r="FO69" s="15" t="s">
        <v>417</v>
      </c>
      <c r="FP69" s="15" t="s">
        <v>486</v>
      </c>
      <c r="FQ69" s="15" t="s">
        <v>419</v>
      </c>
      <c r="FR69" s="15" t="s">
        <v>2111</v>
      </c>
      <c r="FS69" s="15" t="s">
        <v>995</v>
      </c>
      <c r="FT69" s="15" t="s">
        <v>1462</v>
      </c>
      <c r="FU69" s="15" t="s">
        <v>533</v>
      </c>
      <c r="FV69" s="15" t="s">
        <v>490</v>
      </c>
      <c r="FW69" s="15" t="s">
        <v>491</v>
      </c>
      <c r="FX69" s="15" t="s">
        <v>2112</v>
      </c>
      <c r="FY69" s="15" t="s">
        <v>493</v>
      </c>
      <c r="FZ69" s="15" t="s">
        <v>2113</v>
      </c>
      <c r="GA69" s="15"/>
      <c r="GB69" s="15" t="s">
        <v>455</v>
      </c>
      <c r="GC69" s="15"/>
      <c r="GD69" s="15"/>
      <c r="GE69" s="15" t="s">
        <v>855</v>
      </c>
      <c r="GF69" s="15"/>
      <c r="GG69" s="15" t="s">
        <v>1000</v>
      </c>
      <c r="GH69" s="15" t="s">
        <v>1000</v>
      </c>
      <c r="GI69" s="15" t="s">
        <v>946</v>
      </c>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31"/>
      <c r="MX69" s="29" t="s">
        <v>10402</v>
      </c>
      <c r="MY69" s="29" t="str">
        <f>IFERROR(__xludf.DUMMYFUNCTION("""COMPUTED_VALUE"""),"Florida")</f>
        <v>Florida</v>
      </c>
    </row>
    <row r="70" ht="16.5" customHeight="1">
      <c r="A70" s="30">
        <v>45827.892397233794</v>
      </c>
      <c r="B70" s="15" t="s">
        <v>368</v>
      </c>
      <c r="C70" s="15" t="s">
        <v>370</v>
      </c>
      <c r="D70" s="15"/>
      <c r="E70" s="15" t="s">
        <v>2114</v>
      </c>
      <c r="F70" s="15"/>
      <c r="G70" s="15" t="s">
        <v>422</v>
      </c>
      <c r="H70" s="15" t="s">
        <v>637</v>
      </c>
      <c r="I70" s="15" t="s">
        <v>638</v>
      </c>
      <c r="J70" s="15" t="s">
        <v>425</v>
      </c>
      <c r="K70" s="15" t="s">
        <v>376</v>
      </c>
      <c r="L70" s="15" t="s">
        <v>379</v>
      </c>
      <c r="M70" s="15" t="s">
        <v>541</v>
      </c>
      <c r="N70" s="15" t="s">
        <v>379</v>
      </c>
      <c r="O70" s="15" t="s">
        <v>497</v>
      </c>
      <c r="P70" s="15" t="s">
        <v>381</v>
      </c>
      <c r="Q70" s="15" t="s">
        <v>1156</v>
      </c>
      <c r="R70" s="15" t="s">
        <v>427</v>
      </c>
      <c r="S70" s="15" t="s">
        <v>384</v>
      </c>
      <c r="T70" s="15" t="s">
        <v>385</v>
      </c>
      <c r="U70" s="15"/>
      <c r="V70" s="15"/>
      <c r="W70" s="15" t="s">
        <v>386</v>
      </c>
      <c r="X70" s="15" t="s">
        <v>387</v>
      </c>
      <c r="Y70" s="15" t="s">
        <v>2115</v>
      </c>
      <c r="Z70" s="15" t="s">
        <v>502</v>
      </c>
      <c r="AA70" s="15" t="s">
        <v>2116</v>
      </c>
      <c r="AB70" s="15" t="s">
        <v>408</v>
      </c>
      <c r="AC70" s="15"/>
      <c r="AD70" s="15"/>
      <c r="AE70" s="15"/>
      <c r="AF70" s="15"/>
      <c r="AG70" s="15"/>
      <c r="AH70" s="15"/>
      <c r="AI70" s="15"/>
      <c r="AJ70" s="15"/>
      <c r="AK70" s="15"/>
      <c r="AL70" s="15"/>
      <c r="AM70" s="15"/>
      <c r="AN70" s="15"/>
      <c r="AO70" s="15"/>
      <c r="AP70" s="15"/>
      <c r="AQ70" s="15"/>
      <c r="AR70" s="15"/>
      <c r="AS70" s="15"/>
      <c r="AT70" s="15"/>
      <c r="AU70" s="15"/>
      <c r="AV70" s="15" t="s">
        <v>597</v>
      </c>
      <c r="AW70" s="15">
        <v>4.0</v>
      </c>
      <c r="AX70" s="15">
        <v>4.0</v>
      </c>
      <c r="AY70" s="15" t="s">
        <v>675</v>
      </c>
      <c r="AZ70" s="15">
        <v>4.0</v>
      </c>
      <c r="BA70" s="15" t="s">
        <v>675</v>
      </c>
      <c r="BB70" s="15" t="s">
        <v>675</v>
      </c>
      <c r="BC70" s="15" t="s">
        <v>2117</v>
      </c>
      <c r="BD70" s="15" t="s">
        <v>2118</v>
      </c>
      <c r="BE70" s="15" t="s">
        <v>902</v>
      </c>
      <c r="BF70" s="15" t="s">
        <v>1245</v>
      </c>
      <c r="BG70" s="15" t="s">
        <v>765</v>
      </c>
      <c r="BH70" s="15" t="s">
        <v>2119</v>
      </c>
      <c r="BI70" s="15" t="s">
        <v>435</v>
      </c>
      <c r="BJ70" s="15" t="s">
        <v>2120</v>
      </c>
      <c r="BK70" s="15" t="s">
        <v>602</v>
      </c>
      <c r="BL70" s="15" t="s">
        <v>438</v>
      </c>
      <c r="BM70" s="15" t="s">
        <v>397</v>
      </c>
      <c r="BN70" s="15" t="s">
        <v>398</v>
      </c>
      <c r="BO70" s="15" t="s">
        <v>2121</v>
      </c>
      <c r="BP70" s="15" t="s">
        <v>2122</v>
      </c>
      <c r="BQ70" s="15" t="s">
        <v>401</v>
      </c>
      <c r="BR70" s="15" t="s">
        <v>2123</v>
      </c>
      <c r="BS70" s="15" t="s">
        <v>1671</v>
      </c>
      <c r="BT70" s="15" t="s">
        <v>1771</v>
      </c>
      <c r="BU70" s="15" t="s">
        <v>1693</v>
      </c>
      <c r="BV70" s="15" t="s">
        <v>2124</v>
      </c>
      <c r="BW70" s="15" t="s">
        <v>988</v>
      </c>
      <c r="BX70" s="15"/>
      <c r="BY70" s="15" t="s">
        <v>408</v>
      </c>
      <c r="BZ70" s="15"/>
      <c r="CA70" s="15" t="s">
        <v>2125</v>
      </c>
      <c r="CB70" s="15" t="s">
        <v>2126</v>
      </c>
      <c r="CC70" s="15" t="s">
        <v>2127</v>
      </c>
      <c r="CD70" s="15" t="s">
        <v>451</v>
      </c>
      <c r="CE70" s="15" t="s">
        <v>2128</v>
      </c>
      <c r="CF70" s="15" t="s">
        <v>1258</v>
      </c>
      <c r="CG70" s="15" t="s">
        <v>2129</v>
      </c>
      <c r="CH70" s="15" t="s">
        <v>1679</v>
      </c>
      <c r="CI70" s="15" t="s">
        <v>833</v>
      </c>
      <c r="CJ70" s="15" t="s">
        <v>2130</v>
      </c>
      <c r="CK70" s="15" t="s">
        <v>2131</v>
      </c>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t="s">
        <v>578</v>
      </c>
      <c r="EU70" s="15" t="s">
        <v>887</v>
      </c>
      <c r="EV70" s="15" t="s">
        <v>1262</v>
      </c>
      <c r="EW70" s="15" t="s">
        <v>2132</v>
      </c>
      <c r="EX70" s="15" t="s">
        <v>2133</v>
      </c>
      <c r="EY70" s="15" t="s">
        <v>2134</v>
      </c>
      <c r="EZ70" s="15" t="s">
        <v>583</v>
      </c>
      <c r="FA70" s="15" t="s">
        <v>583</v>
      </c>
      <c r="FB70" s="15" t="s">
        <v>416</v>
      </c>
      <c r="FC70" s="15" t="s">
        <v>583</v>
      </c>
      <c r="FD70" s="15" t="s">
        <v>415</v>
      </c>
      <c r="FE70" s="15" t="s">
        <v>583</v>
      </c>
      <c r="FF70" s="15" t="s">
        <v>583</v>
      </c>
      <c r="FG70" s="15" t="s">
        <v>415</v>
      </c>
      <c r="FH70" s="15" t="s">
        <v>415</v>
      </c>
      <c r="FI70" s="15" t="s">
        <v>583</v>
      </c>
      <c r="FJ70" s="15" t="s">
        <v>583</v>
      </c>
      <c r="FK70" s="15" t="s">
        <v>415</v>
      </c>
      <c r="FL70" s="15" t="s">
        <v>583</v>
      </c>
      <c r="FM70" s="15" t="s">
        <v>416</v>
      </c>
      <c r="FN70" s="15" t="s">
        <v>415</v>
      </c>
      <c r="FO70" s="15" t="s">
        <v>1074</v>
      </c>
      <c r="FP70" s="15" t="s">
        <v>486</v>
      </c>
      <c r="FQ70" s="15" t="s">
        <v>419</v>
      </c>
      <c r="FR70" s="15" t="s">
        <v>2135</v>
      </c>
      <c r="FS70" s="15" t="s">
        <v>1076</v>
      </c>
      <c r="FT70" s="15" t="s">
        <v>1462</v>
      </c>
      <c r="FU70" s="15" t="s">
        <v>533</v>
      </c>
      <c r="FV70" s="15" t="s">
        <v>2136</v>
      </c>
      <c r="FW70" s="15" t="s">
        <v>1853</v>
      </c>
      <c r="FX70" s="15" t="s">
        <v>2137</v>
      </c>
      <c r="FY70" s="15" t="s">
        <v>1020</v>
      </c>
      <c r="FZ70" s="15" t="s">
        <v>2138</v>
      </c>
      <c r="GA70" s="15" t="s">
        <v>2139</v>
      </c>
      <c r="GB70" s="15" t="s">
        <v>408</v>
      </c>
      <c r="GC70" s="15"/>
      <c r="GD70" s="15"/>
      <c r="GE70" s="15"/>
      <c r="GF70" s="15"/>
      <c r="GG70" s="15"/>
      <c r="GH70" s="15"/>
      <c r="GI70" s="15"/>
      <c r="GJ70" s="15" t="s">
        <v>1000</v>
      </c>
      <c r="GK70" s="15" t="s">
        <v>1000</v>
      </c>
      <c r="GL70" s="15" t="s">
        <v>817</v>
      </c>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31"/>
      <c r="MX70" s="29" t="s">
        <v>894</v>
      </c>
      <c r="MY70" s="29" t="str">
        <f>IFERROR(__xludf.DUMMYFUNCTION("""COMPUTED_VALUE"""),"British Columbia")</f>
        <v>British Columbia</v>
      </c>
    </row>
    <row r="71" ht="16.5" customHeight="1">
      <c r="A71" s="30">
        <v>45827.910598622686</v>
      </c>
      <c r="B71" s="15" t="s">
        <v>368</v>
      </c>
      <c r="C71" s="15" t="s">
        <v>894</v>
      </c>
      <c r="D71" s="15" t="s">
        <v>894</v>
      </c>
      <c r="E71" s="15"/>
      <c r="F71" s="15"/>
      <c r="G71" s="15" t="s">
        <v>422</v>
      </c>
      <c r="H71" s="15" t="s">
        <v>637</v>
      </c>
      <c r="I71" s="15" t="s">
        <v>638</v>
      </c>
      <c r="J71" s="15" t="s">
        <v>1240</v>
      </c>
      <c r="K71" s="15" t="s">
        <v>376</v>
      </c>
      <c r="L71" s="15" t="s">
        <v>591</v>
      </c>
      <c r="M71" s="15" t="s">
        <v>720</v>
      </c>
      <c r="N71" s="15" t="s">
        <v>1526</v>
      </c>
      <c r="O71" s="15" t="s">
        <v>671</v>
      </c>
      <c r="P71" s="15" t="s">
        <v>498</v>
      </c>
      <c r="Q71" s="15" t="s">
        <v>382</v>
      </c>
      <c r="R71" s="15" t="s">
        <v>2140</v>
      </c>
      <c r="S71" s="15" t="s">
        <v>384</v>
      </c>
      <c r="T71" s="15" t="s">
        <v>385</v>
      </c>
      <c r="U71" s="15" t="s">
        <v>1025</v>
      </c>
      <c r="V71" s="15" t="s">
        <v>1025</v>
      </c>
      <c r="W71" s="15" t="s">
        <v>428</v>
      </c>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t="s">
        <v>390</v>
      </c>
      <c r="AW71" s="15" t="s">
        <v>429</v>
      </c>
      <c r="AX71" s="15" t="s">
        <v>429</v>
      </c>
      <c r="AY71" s="15">
        <v>4.0</v>
      </c>
      <c r="AZ71" s="15" t="s">
        <v>429</v>
      </c>
      <c r="BA71" s="15">
        <v>2.0</v>
      </c>
      <c r="BB71" s="15">
        <v>2.0</v>
      </c>
      <c r="BC71" s="15" t="s">
        <v>2141</v>
      </c>
      <c r="BD71" s="15" t="s">
        <v>2142</v>
      </c>
      <c r="BE71" s="15" t="s">
        <v>392</v>
      </c>
      <c r="BF71" s="15" t="s">
        <v>433</v>
      </c>
      <c r="BG71" s="15" t="s">
        <v>678</v>
      </c>
      <c r="BH71" s="15" t="s">
        <v>2143</v>
      </c>
      <c r="BI71" s="15" t="s">
        <v>509</v>
      </c>
      <c r="BJ71" s="15" t="s">
        <v>2144</v>
      </c>
      <c r="BK71" s="15" t="s">
        <v>602</v>
      </c>
      <c r="BL71" s="15" t="s">
        <v>512</v>
      </c>
      <c r="BM71" s="15" t="s">
        <v>549</v>
      </c>
      <c r="BN71" s="15" t="s">
        <v>513</v>
      </c>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t="s">
        <v>441</v>
      </c>
      <c r="CM71" s="15" t="s">
        <v>604</v>
      </c>
      <c r="CN71" s="15" t="s">
        <v>2145</v>
      </c>
      <c r="CO71" s="15" t="s">
        <v>2146</v>
      </c>
      <c r="CP71" s="15" t="s">
        <v>445</v>
      </c>
      <c r="CQ71" s="15" t="s">
        <v>2147</v>
      </c>
      <c r="CR71" s="15" t="s">
        <v>404</v>
      </c>
      <c r="CS71" s="15" t="s">
        <v>2148</v>
      </c>
      <c r="CT71" s="15" t="s">
        <v>2149</v>
      </c>
      <c r="CU71" s="15" t="s">
        <v>519</v>
      </c>
      <c r="CV71" s="15" t="s">
        <v>451</v>
      </c>
      <c r="CW71" s="15" t="s">
        <v>2150</v>
      </c>
      <c r="CX71" s="15" t="s">
        <v>733</v>
      </c>
      <c r="CY71" s="15" t="s">
        <v>2151</v>
      </c>
      <c r="CZ71" s="15" t="s">
        <v>453</v>
      </c>
      <c r="DA71" s="15" t="s">
        <v>2152</v>
      </c>
      <c r="DB71" s="15" t="s">
        <v>455</v>
      </c>
      <c r="DC71" s="15" t="s">
        <v>2153</v>
      </c>
      <c r="DD71" s="15" t="s">
        <v>988</v>
      </c>
      <c r="DE71" s="15"/>
      <c r="DF71" s="15" t="s">
        <v>2154</v>
      </c>
      <c r="DG71" s="15" t="s">
        <v>524</v>
      </c>
      <c r="DH71" s="15" t="s">
        <v>410</v>
      </c>
      <c r="DI71" s="15" t="s">
        <v>459</v>
      </c>
      <c r="DJ71" s="15" t="s">
        <v>562</v>
      </c>
      <c r="DK71" s="15" t="s">
        <v>461</v>
      </c>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t="s">
        <v>478</v>
      </c>
      <c r="EU71" s="15" t="s">
        <v>1037</v>
      </c>
      <c r="EV71" s="15" t="s">
        <v>580</v>
      </c>
      <c r="EW71" s="15" t="s">
        <v>2155</v>
      </c>
      <c r="EX71" s="15" t="s">
        <v>2156</v>
      </c>
      <c r="EY71" s="15" t="s">
        <v>733</v>
      </c>
      <c r="EZ71" s="15" t="s">
        <v>415</v>
      </c>
      <c r="FA71" s="15" t="s">
        <v>414</v>
      </c>
      <c r="FB71" s="15" t="s">
        <v>413</v>
      </c>
      <c r="FC71" s="15" t="s">
        <v>414</v>
      </c>
      <c r="FD71" s="15" t="s">
        <v>413</v>
      </c>
      <c r="FE71" s="15" t="s">
        <v>415</v>
      </c>
      <c r="FF71" s="15" t="s">
        <v>415</v>
      </c>
      <c r="FG71" s="15" t="s">
        <v>413</v>
      </c>
      <c r="FH71" s="15" t="s">
        <v>414</v>
      </c>
      <c r="FI71" s="15" t="s">
        <v>416</v>
      </c>
      <c r="FJ71" s="15" t="s">
        <v>416</v>
      </c>
      <c r="FK71" s="15" t="s">
        <v>484</v>
      </c>
      <c r="FL71" s="15" t="s">
        <v>484</v>
      </c>
      <c r="FM71" s="15" t="s">
        <v>413</v>
      </c>
      <c r="FN71" s="15" t="s">
        <v>583</v>
      </c>
      <c r="FO71" s="15" t="s">
        <v>1537</v>
      </c>
      <c r="FP71" s="15" t="s">
        <v>418</v>
      </c>
      <c r="FQ71" s="15" t="s">
        <v>749</v>
      </c>
      <c r="FR71" s="15" t="s">
        <v>2157</v>
      </c>
      <c r="FS71" s="15" t="s">
        <v>995</v>
      </c>
      <c r="FT71" s="15" t="s">
        <v>488</v>
      </c>
      <c r="FU71" s="15" t="s">
        <v>585</v>
      </c>
      <c r="FV71" s="15" t="s">
        <v>490</v>
      </c>
      <c r="FW71" s="15" t="s">
        <v>491</v>
      </c>
      <c r="FX71" s="15" t="s">
        <v>2158</v>
      </c>
      <c r="FY71" s="15" t="s">
        <v>535</v>
      </c>
      <c r="FZ71" s="15" t="s">
        <v>2159</v>
      </c>
      <c r="GA71" s="15"/>
      <c r="GB71" s="15" t="s">
        <v>455</v>
      </c>
      <c r="GC71" s="15"/>
      <c r="GD71" s="15"/>
      <c r="GE71" s="15" t="s">
        <v>786</v>
      </c>
      <c r="GF71" s="15" t="s">
        <v>2160</v>
      </c>
      <c r="GG71" s="15" t="s">
        <v>920</v>
      </c>
      <c r="GH71" s="15" t="s">
        <v>920</v>
      </c>
      <c r="GI71" s="15" t="s">
        <v>858</v>
      </c>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31"/>
      <c r="MX71" s="29" t="s">
        <v>635</v>
      </c>
      <c r="MY71" s="29" t="str">
        <f>IFERROR(__xludf.DUMMYFUNCTION("""COMPUTED_VALUE"""),"Italy")</f>
        <v>Italy</v>
      </c>
    </row>
    <row r="72" ht="16.5" customHeight="1">
      <c r="A72" s="30">
        <v>45827.91347165509</v>
      </c>
      <c r="B72" s="15" t="s">
        <v>368</v>
      </c>
      <c r="C72" s="15" t="s">
        <v>635</v>
      </c>
      <c r="D72" s="15" t="s">
        <v>894</v>
      </c>
      <c r="E72" s="15"/>
      <c r="F72" s="15"/>
      <c r="G72" s="15" t="s">
        <v>2161</v>
      </c>
      <c r="H72" s="15" t="s">
        <v>496</v>
      </c>
      <c r="I72" s="15" t="s">
        <v>374</v>
      </c>
      <c r="J72" s="15" t="s">
        <v>1204</v>
      </c>
      <c r="K72" s="15" t="s">
        <v>376</v>
      </c>
      <c r="L72" s="15" t="s">
        <v>426</v>
      </c>
      <c r="M72" s="15" t="s">
        <v>2162</v>
      </c>
      <c r="N72" s="15" t="s">
        <v>426</v>
      </c>
      <c r="O72" s="15" t="s">
        <v>497</v>
      </c>
      <c r="P72" s="15" t="s">
        <v>498</v>
      </c>
      <c r="Q72" s="15" t="s">
        <v>759</v>
      </c>
      <c r="R72" s="15" t="s">
        <v>427</v>
      </c>
      <c r="S72" s="15" t="s">
        <v>384</v>
      </c>
      <c r="T72" s="15" t="s">
        <v>385</v>
      </c>
      <c r="U72" s="15"/>
      <c r="V72" s="15" t="s">
        <v>896</v>
      </c>
      <c r="W72" s="15" t="s">
        <v>760</v>
      </c>
      <c r="X72" s="15" t="s">
        <v>387</v>
      </c>
      <c r="Y72" s="15" t="s">
        <v>388</v>
      </c>
      <c r="Z72" s="15" t="s">
        <v>389</v>
      </c>
      <c r="AA72" s="15" t="s">
        <v>796</v>
      </c>
      <c r="AB72" s="15" t="s">
        <v>2163</v>
      </c>
      <c r="AC72" s="15"/>
      <c r="AD72" s="15"/>
      <c r="AE72" s="15"/>
      <c r="AF72" s="15"/>
      <c r="AG72" s="15"/>
      <c r="AH72" s="15"/>
      <c r="AI72" s="15"/>
      <c r="AJ72" s="15"/>
      <c r="AK72" s="15"/>
      <c r="AL72" s="15"/>
      <c r="AM72" s="15"/>
      <c r="AN72" s="15"/>
      <c r="AO72" s="15"/>
      <c r="AP72" s="15"/>
      <c r="AQ72" s="15"/>
      <c r="AR72" s="15"/>
      <c r="AS72" s="15"/>
      <c r="AT72" s="15"/>
      <c r="AU72" s="15"/>
      <c r="AV72" s="15" t="s">
        <v>1242</v>
      </c>
      <c r="AW72" s="15" t="s">
        <v>675</v>
      </c>
      <c r="AX72" s="15" t="s">
        <v>675</v>
      </c>
      <c r="AY72" s="15" t="s">
        <v>675</v>
      </c>
      <c r="AZ72" s="15" t="s">
        <v>675</v>
      </c>
      <c r="BA72" s="15" t="s">
        <v>675</v>
      </c>
      <c r="BB72" s="15" t="s">
        <v>675</v>
      </c>
      <c r="BC72" s="15" t="s">
        <v>2164</v>
      </c>
      <c r="BD72" s="15" t="s">
        <v>2165</v>
      </c>
      <c r="BE72" s="15" t="s">
        <v>902</v>
      </c>
      <c r="BF72" s="15" t="s">
        <v>1245</v>
      </c>
      <c r="BG72" s="15" t="s">
        <v>394</v>
      </c>
      <c r="BH72" s="15"/>
      <c r="BI72" s="15" t="s">
        <v>727</v>
      </c>
      <c r="BJ72" s="15" t="s">
        <v>2166</v>
      </c>
      <c r="BK72" s="15" t="s">
        <v>395</v>
      </c>
      <c r="BL72" s="15" t="s">
        <v>396</v>
      </c>
      <c r="BM72" s="15" t="s">
        <v>1314</v>
      </c>
      <c r="BN72" s="15" t="s">
        <v>398</v>
      </c>
      <c r="BO72" s="15" t="s">
        <v>2167</v>
      </c>
      <c r="BP72" s="15" t="s">
        <v>2168</v>
      </c>
      <c r="BQ72" s="15" t="s">
        <v>682</v>
      </c>
      <c r="BR72" s="15" t="s">
        <v>2169</v>
      </c>
      <c r="BS72" s="15" t="s">
        <v>403</v>
      </c>
      <c r="BT72" s="15"/>
      <c r="BU72" s="15" t="s">
        <v>405</v>
      </c>
      <c r="BV72" s="15"/>
      <c r="BW72" s="15" t="s">
        <v>406</v>
      </c>
      <c r="BX72" s="15" t="s">
        <v>1867</v>
      </c>
      <c r="BY72" s="15" t="s">
        <v>455</v>
      </c>
      <c r="BZ72" s="15" t="s">
        <v>2170</v>
      </c>
      <c r="CA72" s="15"/>
      <c r="CB72" s="15" t="s">
        <v>2171</v>
      </c>
      <c r="CC72" s="15" t="s">
        <v>2172</v>
      </c>
      <c r="CD72" s="15" t="s">
        <v>1257</v>
      </c>
      <c r="CE72" s="15" t="s">
        <v>2173</v>
      </c>
      <c r="CF72" s="15" t="s">
        <v>1258</v>
      </c>
      <c r="CG72" s="15"/>
      <c r="CH72" s="15" t="s">
        <v>1259</v>
      </c>
      <c r="CI72" s="15" t="s">
        <v>1220</v>
      </c>
      <c r="CJ72" s="15" t="s">
        <v>2174</v>
      </c>
      <c r="CK72" s="15" t="s">
        <v>2175</v>
      </c>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t="s">
        <v>526</v>
      </c>
      <c r="EU72" s="15" t="s">
        <v>579</v>
      </c>
      <c r="EV72" s="15" t="s">
        <v>778</v>
      </c>
      <c r="EW72" s="15" t="s">
        <v>2176</v>
      </c>
      <c r="EX72" s="15" t="s">
        <v>1755</v>
      </c>
      <c r="EY72" s="15" t="s">
        <v>2177</v>
      </c>
      <c r="EZ72" s="15" t="s">
        <v>414</v>
      </c>
      <c r="FA72" s="15" t="s">
        <v>414</v>
      </c>
      <c r="FB72" s="15" t="s">
        <v>413</v>
      </c>
      <c r="FC72" s="15" t="s">
        <v>415</v>
      </c>
      <c r="FD72" s="15" t="s">
        <v>414</v>
      </c>
      <c r="FE72" s="15" t="s">
        <v>414</v>
      </c>
      <c r="FF72" s="15" t="s">
        <v>414</v>
      </c>
      <c r="FG72" s="15" t="s">
        <v>414</v>
      </c>
      <c r="FH72" s="15" t="s">
        <v>413</v>
      </c>
      <c r="FI72" s="15" t="s">
        <v>414</v>
      </c>
      <c r="FJ72" s="15" t="s">
        <v>415</v>
      </c>
      <c r="FK72" s="15" t="s">
        <v>415</v>
      </c>
      <c r="FL72" s="15" t="s">
        <v>415</v>
      </c>
      <c r="FM72" s="15" t="s">
        <v>415</v>
      </c>
      <c r="FN72" s="15" t="s">
        <v>415</v>
      </c>
      <c r="FO72" s="15" t="s">
        <v>417</v>
      </c>
      <c r="FP72" s="15" t="s">
        <v>486</v>
      </c>
      <c r="FQ72" s="15" t="s">
        <v>712</v>
      </c>
      <c r="FR72" s="15" t="s">
        <v>2178</v>
      </c>
      <c r="FS72" s="15" t="s">
        <v>420</v>
      </c>
      <c r="FT72" s="15" t="s">
        <v>488</v>
      </c>
      <c r="FU72" s="15" t="s">
        <v>1235</v>
      </c>
      <c r="FV72" s="15" t="s">
        <v>490</v>
      </c>
      <c r="FW72" s="15" t="s">
        <v>491</v>
      </c>
      <c r="FX72" s="15" t="s">
        <v>2179</v>
      </c>
      <c r="FY72" s="15" t="s">
        <v>1020</v>
      </c>
      <c r="FZ72" s="15" t="s">
        <v>2180</v>
      </c>
      <c r="GA72" s="15" t="s">
        <v>2181</v>
      </c>
      <c r="GB72" s="15" t="s">
        <v>455</v>
      </c>
      <c r="GC72" s="15"/>
      <c r="GD72" s="15"/>
      <c r="GE72" s="15" t="s">
        <v>753</v>
      </c>
      <c r="GF72" s="15" t="s">
        <v>455</v>
      </c>
      <c r="GG72" s="15"/>
      <c r="GH72" s="15"/>
      <c r="GI72" s="15"/>
      <c r="GJ72" s="15" t="s">
        <v>857</v>
      </c>
      <c r="GK72" s="15" t="s">
        <v>857</v>
      </c>
      <c r="GL72" s="15" t="s">
        <v>790</v>
      </c>
      <c r="GM72" s="15"/>
      <c r="GN72" s="15" t="s">
        <v>635</v>
      </c>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31"/>
      <c r="MX72" s="29" t="s">
        <v>1201</v>
      </c>
      <c r="MY72" s="29" t="str">
        <f>IFERROR(__xludf.DUMMYFUNCTION("""COMPUTED_VALUE"""),"Australia")</f>
        <v>Australia</v>
      </c>
    </row>
    <row r="73" ht="16.5" customHeight="1">
      <c r="A73" s="30">
        <v>45827.91495508102</v>
      </c>
      <c r="B73" s="15" t="s">
        <v>368</v>
      </c>
      <c r="C73" s="15" t="s">
        <v>1201</v>
      </c>
      <c r="D73" s="15" t="s">
        <v>1201</v>
      </c>
      <c r="E73" s="15"/>
      <c r="F73" s="15"/>
      <c r="G73" s="15" t="s">
        <v>422</v>
      </c>
      <c r="H73" s="15" t="s">
        <v>496</v>
      </c>
      <c r="I73" s="15" t="s">
        <v>424</v>
      </c>
      <c r="J73" s="15" t="s">
        <v>425</v>
      </c>
      <c r="K73" s="15" t="s">
        <v>376</v>
      </c>
      <c r="L73" s="15" t="s">
        <v>591</v>
      </c>
      <c r="M73" s="15" t="s">
        <v>639</v>
      </c>
      <c r="N73" s="15" t="s">
        <v>793</v>
      </c>
      <c r="O73" s="15" t="s">
        <v>639</v>
      </c>
      <c r="P73" s="15" t="s">
        <v>498</v>
      </c>
      <c r="Q73" s="15" t="s">
        <v>862</v>
      </c>
      <c r="R73" s="15" t="s">
        <v>500</v>
      </c>
      <c r="S73" s="15" t="s">
        <v>384</v>
      </c>
      <c r="T73" s="15" t="s">
        <v>385</v>
      </c>
      <c r="U73" s="15"/>
      <c r="V73" s="15"/>
      <c r="W73" s="15" t="s">
        <v>428</v>
      </c>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t="s">
        <v>1310</v>
      </c>
      <c r="AW73" s="15">
        <v>4.0</v>
      </c>
      <c r="AX73" s="15">
        <v>4.0</v>
      </c>
      <c r="AY73" s="15" t="s">
        <v>675</v>
      </c>
      <c r="AZ73" s="15" t="s">
        <v>675</v>
      </c>
      <c r="BA73" s="15" t="s">
        <v>675</v>
      </c>
      <c r="BB73" s="15" t="s">
        <v>675</v>
      </c>
      <c r="BC73" s="15" t="s">
        <v>2182</v>
      </c>
      <c r="BD73" s="15" t="s">
        <v>2182</v>
      </c>
      <c r="BE73" s="15" t="s">
        <v>902</v>
      </c>
      <c r="BF73" s="15" t="s">
        <v>1047</v>
      </c>
      <c r="BG73" s="15" t="s">
        <v>434</v>
      </c>
      <c r="BH73" s="15" t="s">
        <v>2183</v>
      </c>
      <c r="BI73" s="15" t="s">
        <v>976</v>
      </c>
      <c r="BJ73" s="15" t="s">
        <v>1211</v>
      </c>
      <c r="BK73" s="15" t="s">
        <v>681</v>
      </c>
      <c r="BL73" s="15" t="s">
        <v>603</v>
      </c>
      <c r="BM73" s="15" t="s">
        <v>1247</v>
      </c>
      <c r="BN73" s="15" t="s">
        <v>398</v>
      </c>
      <c r="BO73" s="15" t="s">
        <v>2184</v>
      </c>
      <c r="BP73" s="15" t="s">
        <v>2185</v>
      </c>
      <c r="BQ73" s="15" t="s">
        <v>604</v>
      </c>
      <c r="BR73" s="15" t="s">
        <v>2186</v>
      </c>
      <c r="BS73" s="15" t="s">
        <v>1671</v>
      </c>
      <c r="BT73" s="15" t="s">
        <v>1994</v>
      </c>
      <c r="BU73" s="15" t="s">
        <v>405</v>
      </c>
      <c r="BV73" s="15" t="s">
        <v>1211</v>
      </c>
      <c r="BW73" s="15" t="s">
        <v>988</v>
      </c>
      <c r="BX73" s="15" t="s">
        <v>407</v>
      </c>
      <c r="BY73" s="15" t="s">
        <v>408</v>
      </c>
      <c r="BZ73" s="15" t="s">
        <v>1211</v>
      </c>
      <c r="CA73" s="15" t="s">
        <v>1211</v>
      </c>
      <c r="CB73" s="15" t="s">
        <v>2187</v>
      </c>
      <c r="CC73" s="15" t="s">
        <v>2188</v>
      </c>
      <c r="CD73" s="15" t="s">
        <v>409</v>
      </c>
      <c r="CE73" s="15" t="s">
        <v>2189</v>
      </c>
      <c r="CF73" s="15" t="s">
        <v>1722</v>
      </c>
      <c r="CG73" s="15"/>
      <c r="CH73" s="15" t="s">
        <v>1751</v>
      </c>
      <c r="CI73" s="15" t="s">
        <v>833</v>
      </c>
      <c r="CJ73" s="15" t="s">
        <v>2190</v>
      </c>
      <c r="CK73" s="15" t="s">
        <v>2191</v>
      </c>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t="s">
        <v>526</v>
      </c>
      <c r="EU73" s="15" t="s">
        <v>579</v>
      </c>
      <c r="EV73" s="15" t="s">
        <v>1262</v>
      </c>
      <c r="EW73" s="15"/>
      <c r="EX73" s="15" t="s">
        <v>733</v>
      </c>
      <c r="EY73" s="15" t="s">
        <v>733</v>
      </c>
      <c r="EZ73" s="15" t="s">
        <v>415</v>
      </c>
      <c r="FA73" s="15" t="s">
        <v>415</v>
      </c>
      <c r="FB73" s="15" t="s">
        <v>416</v>
      </c>
      <c r="FC73" s="15" t="s">
        <v>415</v>
      </c>
      <c r="FD73" s="15" t="s">
        <v>416</v>
      </c>
      <c r="FE73" s="15" t="s">
        <v>416</v>
      </c>
      <c r="FF73" s="15" t="s">
        <v>416</v>
      </c>
      <c r="FG73" s="15" t="s">
        <v>416</v>
      </c>
      <c r="FH73" s="15" t="s">
        <v>484</v>
      </c>
      <c r="FI73" s="15" t="s">
        <v>416</v>
      </c>
      <c r="FJ73" s="15" t="s">
        <v>415</v>
      </c>
      <c r="FK73" s="15" t="s">
        <v>416</v>
      </c>
      <c r="FL73" s="15" t="s">
        <v>416</v>
      </c>
      <c r="FM73" s="15" t="s">
        <v>416</v>
      </c>
      <c r="FN73" s="15" t="s">
        <v>415</v>
      </c>
      <c r="FO73" s="15" t="s">
        <v>485</v>
      </c>
      <c r="FP73" s="15" t="s">
        <v>486</v>
      </c>
      <c r="FQ73" s="15" t="s">
        <v>749</v>
      </c>
      <c r="FR73" s="15" t="s">
        <v>2192</v>
      </c>
      <c r="FS73" s="15" t="s">
        <v>1189</v>
      </c>
      <c r="FT73" s="15" t="s">
        <v>1462</v>
      </c>
      <c r="FU73" s="15" t="s">
        <v>585</v>
      </c>
      <c r="FV73" s="15" t="s">
        <v>490</v>
      </c>
      <c r="FW73" s="15" t="s">
        <v>491</v>
      </c>
      <c r="FX73" s="15" t="s">
        <v>2193</v>
      </c>
      <c r="FY73" s="15" t="s">
        <v>535</v>
      </c>
      <c r="FZ73" s="15"/>
      <c r="GA73" s="15"/>
      <c r="GB73" s="15" t="s">
        <v>408</v>
      </c>
      <c r="GC73" s="15"/>
      <c r="GD73" s="15"/>
      <c r="GE73" s="15"/>
      <c r="GF73" s="15"/>
      <c r="GG73" s="15"/>
      <c r="GH73" s="15"/>
      <c r="GI73" s="15"/>
      <c r="GJ73" s="15" t="s">
        <v>755</v>
      </c>
      <c r="GK73" s="15" t="s">
        <v>755</v>
      </c>
      <c r="GL73" s="15" t="s">
        <v>946</v>
      </c>
      <c r="GM73" s="15"/>
      <c r="GN73" s="15" t="s">
        <v>2194</v>
      </c>
      <c r="GO73" s="15" t="s">
        <v>2194</v>
      </c>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31"/>
      <c r="MX73" s="29" t="s">
        <v>10402</v>
      </c>
      <c r="MY73" s="29" t="str">
        <f>IFERROR(__xludf.DUMMYFUNCTION("""COMPUTED_VALUE"""),"Oklahoma")</f>
        <v>Oklahoma</v>
      </c>
    </row>
    <row r="74" ht="16.5" customHeight="1">
      <c r="A74" s="30">
        <v>45827.94294872685</v>
      </c>
      <c r="B74" s="15" t="s">
        <v>368</v>
      </c>
      <c r="C74" s="15" t="s">
        <v>370</v>
      </c>
      <c r="D74" s="15"/>
      <c r="E74" s="15" t="s">
        <v>2195</v>
      </c>
      <c r="F74" s="15"/>
      <c r="G74" s="15" t="s">
        <v>1093</v>
      </c>
      <c r="H74" s="15" t="s">
        <v>496</v>
      </c>
      <c r="I74" s="15" t="s">
        <v>374</v>
      </c>
      <c r="J74" s="15" t="s">
        <v>375</v>
      </c>
      <c r="K74" s="15" t="s">
        <v>376</v>
      </c>
      <c r="L74" s="15" t="s">
        <v>793</v>
      </c>
      <c r="M74" s="15" t="s">
        <v>2196</v>
      </c>
      <c r="N74" s="15" t="s">
        <v>793</v>
      </c>
      <c r="O74" s="15" t="s">
        <v>2197</v>
      </c>
      <c r="P74" s="15" t="s">
        <v>498</v>
      </c>
      <c r="Q74" s="15" t="s">
        <v>382</v>
      </c>
      <c r="R74" s="15" t="s">
        <v>427</v>
      </c>
      <c r="S74" s="15" t="s">
        <v>384</v>
      </c>
      <c r="T74" s="15" t="s">
        <v>385</v>
      </c>
      <c r="U74" s="15"/>
      <c r="V74" s="15"/>
      <c r="W74" s="15" t="s">
        <v>428</v>
      </c>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t="s">
        <v>1310</v>
      </c>
      <c r="AW74" s="15">
        <v>4.0</v>
      </c>
      <c r="AX74" s="15">
        <v>4.0</v>
      </c>
      <c r="AY74" s="15">
        <v>4.0</v>
      </c>
      <c r="AZ74" s="15">
        <v>4.0</v>
      </c>
      <c r="BA74" s="15">
        <v>4.0</v>
      </c>
      <c r="BB74" s="15" t="s">
        <v>675</v>
      </c>
      <c r="BC74" s="15" t="s">
        <v>2198</v>
      </c>
      <c r="BD74" s="15" t="s">
        <v>2199</v>
      </c>
      <c r="BE74" s="15" t="s">
        <v>902</v>
      </c>
      <c r="BF74" s="15" t="s">
        <v>1095</v>
      </c>
      <c r="BG74" s="15" t="s">
        <v>725</v>
      </c>
      <c r="BH74" s="15" t="s">
        <v>2200</v>
      </c>
      <c r="BI74" s="15" t="s">
        <v>976</v>
      </c>
      <c r="BJ74" s="15"/>
      <c r="BK74" s="15" t="s">
        <v>437</v>
      </c>
      <c r="BL74" s="15" t="s">
        <v>603</v>
      </c>
      <c r="BM74" s="15" t="s">
        <v>1247</v>
      </c>
      <c r="BN74" s="15" t="s">
        <v>398</v>
      </c>
      <c r="BO74" s="15" t="s">
        <v>2201</v>
      </c>
      <c r="BP74" s="15" t="s">
        <v>2202</v>
      </c>
      <c r="BQ74" s="15" t="s">
        <v>442</v>
      </c>
      <c r="BR74" s="15" t="s">
        <v>2203</v>
      </c>
      <c r="BS74" s="15" t="s">
        <v>1741</v>
      </c>
      <c r="BT74" s="15" t="s">
        <v>1742</v>
      </c>
      <c r="BU74" s="15" t="s">
        <v>1772</v>
      </c>
      <c r="BV74" s="15" t="s">
        <v>2204</v>
      </c>
      <c r="BW74" s="15" t="s">
        <v>988</v>
      </c>
      <c r="BX74" s="15"/>
      <c r="BY74" s="15" t="s">
        <v>455</v>
      </c>
      <c r="BZ74" s="15" t="s">
        <v>2205</v>
      </c>
      <c r="CA74" s="15" t="s">
        <v>2206</v>
      </c>
      <c r="CB74" s="15" t="s">
        <v>2207</v>
      </c>
      <c r="CC74" s="15" t="s">
        <v>2208</v>
      </c>
      <c r="CD74" s="15" t="s">
        <v>409</v>
      </c>
      <c r="CE74" s="15" t="s">
        <v>2209</v>
      </c>
      <c r="CF74" s="15" t="s">
        <v>1697</v>
      </c>
      <c r="CG74" s="15" t="s">
        <v>2210</v>
      </c>
      <c r="CH74" s="15" t="s">
        <v>1751</v>
      </c>
      <c r="CI74" s="15" t="s">
        <v>833</v>
      </c>
      <c r="CJ74" s="15" t="s">
        <v>2211</v>
      </c>
      <c r="CK74" s="15" t="s">
        <v>2212</v>
      </c>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t="s">
        <v>578</v>
      </c>
      <c r="EU74" s="15" t="s">
        <v>887</v>
      </c>
      <c r="EV74" s="15" t="s">
        <v>480</v>
      </c>
      <c r="EW74" s="15" t="s">
        <v>2213</v>
      </c>
      <c r="EX74" s="15" t="s">
        <v>2214</v>
      </c>
      <c r="EY74" s="15" t="s">
        <v>2215</v>
      </c>
      <c r="EZ74" s="15" t="s">
        <v>414</v>
      </c>
      <c r="FA74" s="15" t="s">
        <v>583</v>
      </c>
      <c r="FB74" s="15" t="s">
        <v>414</v>
      </c>
      <c r="FC74" s="15" t="s">
        <v>414</v>
      </c>
      <c r="FD74" s="15" t="s">
        <v>413</v>
      </c>
      <c r="FE74" s="15" t="s">
        <v>583</v>
      </c>
      <c r="FF74" s="15" t="s">
        <v>415</v>
      </c>
      <c r="FG74" s="15" t="s">
        <v>416</v>
      </c>
      <c r="FH74" s="15" t="s">
        <v>414</v>
      </c>
      <c r="FI74" s="15" t="s">
        <v>583</v>
      </c>
      <c r="FJ74" s="15" t="s">
        <v>414</v>
      </c>
      <c r="FK74" s="15" t="s">
        <v>415</v>
      </c>
      <c r="FL74" s="15" t="s">
        <v>414</v>
      </c>
      <c r="FM74" s="15" t="s">
        <v>416</v>
      </c>
      <c r="FN74" s="15" t="s">
        <v>414</v>
      </c>
      <c r="FO74" s="15" t="s">
        <v>485</v>
      </c>
      <c r="FP74" s="15" t="s">
        <v>418</v>
      </c>
      <c r="FQ74" s="15" t="s">
        <v>749</v>
      </c>
      <c r="FR74" s="15" t="s">
        <v>2216</v>
      </c>
      <c r="FS74" s="15" t="s">
        <v>1189</v>
      </c>
      <c r="FT74" s="15" t="s">
        <v>1462</v>
      </c>
      <c r="FU74" s="15" t="s">
        <v>489</v>
      </c>
      <c r="FV74" s="15" t="s">
        <v>1101</v>
      </c>
      <c r="FW74" s="15" t="s">
        <v>491</v>
      </c>
      <c r="FX74" s="15" t="s">
        <v>2217</v>
      </c>
      <c r="FY74" s="15" t="s">
        <v>493</v>
      </c>
      <c r="FZ74" s="15" t="s">
        <v>2218</v>
      </c>
      <c r="GA74" s="15"/>
      <c r="GB74" s="15" t="s">
        <v>408</v>
      </c>
      <c r="GC74" s="15"/>
      <c r="GD74" s="15"/>
      <c r="GE74" s="15"/>
      <c r="GF74" s="15"/>
      <c r="GG74" s="15"/>
      <c r="GH74" s="15"/>
      <c r="GI74" s="15"/>
      <c r="GJ74" s="15" t="s">
        <v>755</v>
      </c>
      <c r="GK74" s="15" t="s">
        <v>755</v>
      </c>
      <c r="GL74" s="15" t="s">
        <v>817</v>
      </c>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31"/>
      <c r="MX74" s="29" t="s">
        <v>1201</v>
      </c>
      <c r="MY74" s="29" t="str">
        <f>IFERROR(__xludf.DUMMYFUNCTION("""COMPUTED_VALUE"""),"Australia")</f>
        <v>Australia</v>
      </c>
    </row>
    <row r="75" ht="16.5" customHeight="1">
      <c r="A75" s="30">
        <v>45827.94687665509</v>
      </c>
      <c r="B75" s="15" t="s">
        <v>368</v>
      </c>
      <c r="C75" s="15" t="s">
        <v>1201</v>
      </c>
      <c r="D75" s="15" t="s">
        <v>1201</v>
      </c>
      <c r="E75" s="15"/>
      <c r="F75" s="15"/>
      <c r="G75" s="15" t="s">
        <v>1783</v>
      </c>
      <c r="H75" s="15" t="s">
        <v>496</v>
      </c>
      <c r="I75" s="15" t="s">
        <v>374</v>
      </c>
      <c r="J75" s="15" t="s">
        <v>590</v>
      </c>
      <c r="K75" s="15" t="s">
        <v>376</v>
      </c>
      <c r="L75" s="15" t="s">
        <v>379</v>
      </c>
      <c r="M75" s="15" t="s">
        <v>2219</v>
      </c>
      <c r="N75" s="15" t="s">
        <v>591</v>
      </c>
      <c r="O75" s="15" t="s">
        <v>639</v>
      </c>
      <c r="P75" s="15" t="s">
        <v>1504</v>
      </c>
      <c r="Q75" s="15" t="s">
        <v>759</v>
      </c>
      <c r="R75" s="15" t="s">
        <v>427</v>
      </c>
      <c r="S75" s="15" t="s">
        <v>384</v>
      </c>
      <c r="T75" s="15" t="s">
        <v>385</v>
      </c>
      <c r="U75" s="15"/>
      <c r="V75" s="15"/>
      <c r="W75" s="15" t="s">
        <v>386</v>
      </c>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t="s">
        <v>1242</v>
      </c>
      <c r="AW75" s="15" t="s">
        <v>675</v>
      </c>
      <c r="AX75" s="15" t="s">
        <v>675</v>
      </c>
      <c r="AY75" s="15" t="s">
        <v>675</v>
      </c>
      <c r="AZ75" s="15" t="s">
        <v>675</v>
      </c>
      <c r="BA75" s="15" t="s">
        <v>675</v>
      </c>
      <c r="BB75" s="15" t="s">
        <v>675</v>
      </c>
      <c r="BC75" s="15" t="s">
        <v>2220</v>
      </c>
      <c r="BD75" s="15" t="s">
        <v>2221</v>
      </c>
      <c r="BE75" s="15" t="s">
        <v>902</v>
      </c>
      <c r="BF75" s="15" t="s">
        <v>1245</v>
      </c>
      <c r="BG75" s="15" t="s">
        <v>394</v>
      </c>
      <c r="BH75" s="15" t="s">
        <v>2222</v>
      </c>
      <c r="BI75" s="15" t="s">
        <v>435</v>
      </c>
      <c r="BJ75" s="15" t="s">
        <v>2223</v>
      </c>
      <c r="BK75" s="15" t="s">
        <v>395</v>
      </c>
      <c r="BL75" s="15" t="s">
        <v>904</v>
      </c>
      <c r="BM75" s="15" t="s">
        <v>1314</v>
      </c>
      <c r="BN75" s="15" t="s">
        <v>398</v>
      </c>
      <c r="BO75" s="15" t="s">
        <v>2224</v>
      </c>
      <c r="BP75" s="15" t="s">
        <v>2225</v>
      </c>
      <c r="BQ75" s="15" t="s">
        <v>2226</v>
      </c>
      <c r="BR75" s="15" t="s">
        <v>2227</v>
      </c>
      <c r="BS75" s="15" t="s">
        <v>1692</v>
      </c>
      <c r="BT75" s="15" t="s">
        <v>1742</v>
      </c>
      <c r="BU75" s="15" t="s">
        <v>405</v>
      </c>
      <c r="BV75" s="15" t="s">
        <v>1252</v>
      </c>
      <c r="BW75" s="15" t="s">
        <v>988</v>
      </c>
      <c r="BX75" s="15"/>
      <c r="BY75" s="15" t="s">
        <v>455</v>
      </c>
      <c r="BZ75" s="15" t="s">
        <v>2228</v>
      </c>
      <c r="CA75" s="15" t="s">
        <v>2229</v>
      </c>
      <c r="CB75" s="15" t="s">
        <v>2230</v>
      </c>
      <c r="CC75" s="15" t="s">
        <v>2231</v>
      </c>
      <c r="CD75" s="15" t="s">
        <v>451</v>
      </c>
      <c r="CE75" s="15" t="s">
        <v>2232</v>
      </c>
      <c r="CF75" s="15" t="s">
        <v>2233</v>
      </c>
      <c r="CG75" s="15" t="s">
        <v>2234</v>
      </c>
      <c r="CH75" s="15" t="s">
        <v>1259</v>
      </c>
      <c r="CI75" s="15" t="s">
        <v>1220</v>
      </c>
      <c r="CJ75" s="15" t="s">
        <v>2235</v>
      </c>
      <c r="CK75" s="15" t="s">
        <v>2236</v>
      </c>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t="s">
        <v>526</v>
      </c>
      <c r="EU75" s="15" t="s">
        <v>887</v>
      </c>
      <c r="EV75" s="15" t="s">
        <v>480</v>
      </c>
      <c r="EW75" s="15" t="s">
        <v>2237</v>
      </c>
      <c r="EX75" s="15" t="s">
        <v>2238</v>
      </c>
      <c r="EY75" s="15" t="s">
        <v>2239</v>
      </c>
      <c r="EZ75" s="15" t="s">
        <v>415</v>
      </c>
      <c r="FA75" s="15" t="s">
        <v>415</v>
      </c>
      <c r="FB75" s="15" t="s">
        <v>413</v>
      </c>
      <c r="FC75" s="15" t="s">
        <v>413</v>
      </c>
      <c r="FD75" s="15" t="s">
        <v>413</v>
      </c>
      <c r="FE75" s="15" t="s">
        <v>415</v>
      </c>
      <c r="FF75" s="15" t="s">
        <v>413</v>
      </c>
      <c r="FG75" s="15" t="s">
        <v>415</v>
      </c>
      <c r="FH75" s="15" t="s">
        <v>413</v>
      </c>
      <c r="FI75" s="15" t="s">
        <v>415</v>
      </c>
      <c r="FJ75" s="15" t="s">
        <v>413</v>
      </c>
      <c r="FK75" s="15" t="s">
        <v>415</v>
      </c>
      <c r="FL75" s="15" t="s">
        <v>415</v>
      </c>
      <c r="FM75" s="15" t="s">
        <v>415</v>
      </c>
      <c r="FN75" s="15" t="s">
        <v>415</v>
      </c>
      <c r="FO75" s="15" t="s">
        <v>850</v>
      </c>
      <c r="FP75" s="15" t="s">
        <v>418</v>
      </c>
      <c r="FQ75" s="15" t="s">
        <v>749</v>
      </c>
      <c r="FR75" s="15"/>
      <c r="FS75" s="15" t="s">
        <v>420</v>
      </c>
      <c r="FT75" s="15" t="s">
        <v>488</v>
      </c>
      <c r="FU75" s="15" t="s">
        <v>585</v>
      </c>
      <c r="FV75" s="15" t="s">
        <v>490</v>
      </c>
      <c r="FW75" s="15" t="s">
        <v>491</v>
      </c>
      <c r="FX75" s="15" t="s">
        <v>2240</v>
      </c>
      <c r="FY75" s="15" t="s">
        <v>535</v>
      </c>
      <c r="FZ75" s="15" t="s">
        <v>2241</v>
      </c>
      <c r="GA75" s="15" t="s">
        <v>2242</v>
      </c>
      <c r="GB75" s="15" t="s">
        <v>455</v>
      </c>
      <c r="GC75" s="15"/>
      <c r="GD75" s="15"/>
      <c r="GE75" s="15" t="s">
        <v>753</v>
      </c>
      <c r="GF75" s="15" t="s">
        <v>455</v>
      </c>
      <c r="GG75" s="15"/>
      <c r="GH75" s="15"/>
      <c r="GI75" s="15"/>
      <c r="GJ75" s="15" t="s">
        <v>755</v>
      </c>
      <c r="GK75" s="15" t="s">
        <v>1000</v>
      </c>
      <c r="GL75" s="15" t="s">
        <v>756</v>
      </c>
      <c r="GM75" s="15"/>
      <c r="GN75" s="15" t="s">
        <v>1201</v>
      </c>
      <c r="GO75" s="15" t="s">
        <v>1201</v>
      </c>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31"/>
      <c r="MX75" s="29" t="s">
        <v>538</v>
      </c>
      <c r="MY75" s="29" t="str">
        <f>IFERROR(__xludf.DUMMYFUNCTION("""COMPUTED_VALUE"""),"United Kingdom")</f>
        <v>United Kingdom</v>
      </c>
    </row>
    <row r="76" ht="16.5" customHeight="1">
      <c r="A76" s="30">
        <v>45827.950535625</v>
      </c>
      <c r="B76" s="15" t="s">
        <v>368</v>
      </c>
      <c r="C76" s="15" t="s">
        <v>538</v>
      </c>
      <c r="D76" s="15" t="s">
        <v>538</v>
      </c>
      <c r="E76" s="15"/>
      <c r="F76" s="15"/>
      <c r="G76" s="15" t="s">
        <v>422</v>
      </c>
      <c r="H76" s="15" t="s">
        <v>423</v>
      </c>
      <c r="I76" s="15" t="s">
        <v>424</v>
      </c>
      <c r="J76" s="15" t="s">
        <v>1204</v>
      </c>
      <c r="K76" s="15" t="s">
        <v>376</v>
      </c>
      <c r="L76" s="15" t="s">
        <v>377</v>
      </c>
      <c r="M76" s="15" t="s">
        <v>378</v>
      </c>
      <c r="N76" s="15" t="s">
        <v>377</v>
      </c>
      <c r="O76" s="15" t="s">
        <v>497</v>
      </c>
      <c r="P76" s="15" t="s">
        <v>381</v>
      </c>
      <c r="Q76" s="15" t="s">
        <v>818</v>
      </c>
      <c r="R76" s="15" t="s">
        <v>949</v>
      </c>
      <c r="S76" s="15" t="s">
        <v>384</v>
      </c>
      <c r="T76" s="15" t="s">
        <v>385</v>
      </c>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t="s">
        <v>1242</v>
      </c>
      <c r="AW76" s="15" t="s">
        <v>391</v>
      </c>
      <c r="AX76" s="15">
        <v>2.0</v>
      </c>
      <c r="AY76" s="15" t="s">
        <v>391</v>
      </c>
      <c r="AZ76" s="15">
        <v>4.0</v>
      </c>
      <c r="BA76" s="15" t="s">
        <v>675</v>
      </c>
      <c r="BB76" s="15" t="s">
        <v>675</v>
      </c>
      <c r="BC76" s="15" t="s">
        <v>2243</v>
      </c>
      <c r="BD76" s="15" t="s">
        <v>2244</v>
      </c>
      <c r="BE76" s="15" t="s">
        <v>432</v>
      </c>
      <c r="BF76" s="15" t="s">
        <v>1095</v>
      </c>
      <c r="BG76" s="15" t="s">
        <v>434</v>
      </c>
      <c r="BH76" s="15" t="s">
        <v>2245</v>
      </c>
      <c r="BI76" s="15" t="s">
        <v>976</v>
      </c>
      <c r="BJ76" s="15">
        <v>9.0</v>
      </c>
      <c r="BK76" s="15" t="s">
        <v>437</v>
      </c>
      <c r="BL76" s="15" t="s">
        <v>603</v>
      </c>
      <c r="BM76" s="15" t="s">
        <v>1247</v>
      </c>
      <c r="BN76" s="15" t="s">
        <v>398</v>
      </c>
      <c r="BO76" s="15" t="s">
        <v>2246</v>
      </c>
      <c r="BP76" s="15" t="s">
        <v>552</v>
      </c>
      <c r="BQ76" s="15" t="s">
        <v>401</v>
      </c>
      <c r="BR76" s="15">
        <v>7.0</v>
      </c>
      <c r="BS76" s="15" t="s">
        <v>403</v>
      </c>
      <c r="BT76" s="15" t="s">
        <v>404</v>
      </c>
      <c r="BU76" s="15" t="s">
        <v>405</v>
      </c>
      <c r="BV76" s="15"/>
      <c r="BW76" s="15"/>
      <c r="BX76" s="15"/>
      <c r="BY76" s="15"/>
      <c r="BZ76" s="15"/>
      <c r="CA76" s="15"/>
      <c r="CB76" s="15" t="s">
        <v>2247</v>
      </c>
      <c r="CC76" s="15" t="s">
        <v>455</v>
      </c>
      <c r="CD76" s="15" t="s">
        <v>2248</v>
      </c>
      <c r="CE76" s="15" t="s">
        <v>408</v>
      </c>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t="s">
        <v>2249</v>
      </c>
      <c r="GO76" s="15" t="s">
        <v>2250</v>
      </c>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31"/>
      <c r="MX76" s="29" t="s">
        <v>10402</v>
      </c>
      <c r="MY76" s="29" t="str">
        <f>IFERROR(__xludf.DUMMYFUNCTION("""COMPUTED_VALUE"""),"Minnesota")</f>
        <v>Minnesota</v>
      </c>
    </row>
    <row r="77" ht="16.5" customHeight="1">
      <c r="A77" s="30">
        <v>45827.95437741898</v>
      </c>
      <c r="B77" s="15" t="s">
        <v>368</v>
      </c>
      <c r="C77" s="15" t="s">
        <v>370</v>
      </c>
      <c r="D77" s="15"/>
      <c r="E77" s="15" t="s">
        <v>1899</v>
      </c>
      <c r="F77" s="15"/>
      <c r="G77" s="15" t="s">
        <v>636</v>
      </c>
      <c r="H77" s="15" t="s">
        <v>637</v>
      </c>
      <c r="I77" s="15" t="s">
        <v>638</v>
      </c>
      <c r="J77" s="15" t="s">
        <v>425</v>
      </c>
      <c r="K77" s="15" t="s">
        <v>376</v>
      </c>
      <c r="L77" s="15" t="s">
        <v>379</v>
      </c>
      <c r="M77" s="15" t="s">
        <v>2251</v>
      </c>
      <c r="N77" s="15" t="s">
        <v>670</v>
      </c>
      <c r="O77" s="15" t="s">
        <v>719</v>
      </c>
      <c r="P77" s="15" t="s">
        <v>381</v>
      </c>
      <c r="Q77" s="15" t="s">
        <v>818</v>
      </c>
      <c r="R77" s="15" t="s">
        <v>427</v>
      </c>
      <c r="S77" s="15" t="s">
        <v>384</v>
      </c>
      <c r="T77" s="15" t="s">
        <v>385</v>
      </c>
      <c r="U77" s="15"/>
      <c r="V77" s="15"/>
      <c r="W77" s="15" t="s">
        <v>760</v>
      </c>
      <c r="X77" s="15" t="s">
        <v>642</v>
      </c>
      <c r="Y77" s="15"/>
      <c r="Z77" s="15"/>
      <c r="AA77" s="15"/>
      <c r="AB77" s="15"/>
      <c r="AC77" s="15"/>
      <c r="AD77" s="15"/>
      <c r="AE77" s="15"/>
      <c r="AF77" s="15"/>
      <c r="AG77" s="15"/>
      <c r="AH77" s="15"/>
      <c r="AI77" s="15"/>
      <c r="AJ77" s="15"/>
      <c r="AK77" s="15"/>
      <c r="AL77" s="15" t="s">
        <v>2252</v>
      </c>
      <c r="AM77" s="15" t="s">
        <v>2253</v>
      </c>
      <c r="AN77" s="15" t="s">
        <v>408</v>
      </c>
      <c r="AO77" s="15"/>
      <c r="AP77" s="15" t="s">
        <v>913</v>
      </c>
      <c r="AQ77" s="15">
        <v>5.0</v>
      </c>
      <c r="AR77" s="15" t="s">
        <v>1507</v>
      </c>
      <c r="AS77" s="15" t="s">
        <v>2254</v>
      </c>
      <c r="AT77" s="15" t="s">
        <v>2255</v>
      </c>
      <c r="AU77" s="15" t="s">
        <v>2256</v>
      </c>
      <c r="AV77" s="15" t="s">
        <v>504</v>
      </c>
      <c r="AW77" s="15" t="s">
        <v>391</v>
      </c>
      <c r="AX77" s="15" t="s">
        <v>429</v>
      </c>
      <c r="AY77" s="15" t="s">
        <v>391</v>
      </c>
      <c r="AZ77" s="15" t="s">
        <v>429</v>
      </c>
      <c r="BA77" s="15">
        <v>2.0</v>
      </c>
      <c r="BB77" s="15" t="s">
        <v>429</v>
      </c>
      <c r="BC77" s="15" t="s">
        <v>2257</v>
      </c>
      <c r="BD77" s="15" t="s">
        <v>2258</v>
      </c>
      <c r="BE77" s="15" t="s">
        <v>2259</v>
      </c>
      <c r="BF77" s="15"/>
      <c r="BG77" s="15" t="s">
        <v>765</v>
      </c>
      <c r="BH77" s="15" t="s">
        <v>2260</v>
      </c>
      <c r="BI77" s="15" t="s">
        <v>824</v>
      </c>
      <c r="BJ77" s="15"/>
      <c r="BK77" s="15" t="s">
        <v>511</v>
      </c>
      <c r="BL77" s="15" t="s">
        <v>396</v>
      </c>
      <c r="BM77" s="15" t="s">
        <v>549</v>
      </c>
      <c r="BN77" s="15" t="s">
        <v>513</v>
      </c>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t="s">
        <v>441</v>
      </c>
      <c r="CM77" s="15" t="s">
        <v>604</v>
      </c>
      <c r="CN77" s="15" t="s">
        <v>2261</v>
      </c>
      <c r="CO77" s="15" t="s">
        <v>2262</v>
      </c>
      <c r="CP77" s="15" t="s">
        <v>979</v>
      </c>
      <c r="CQ77" s="15" t="s">
        <v>2263</v>
      </c>
      <c r="CR77" s="15" t="s">
        <v>404</v>
      </c>
      <c r="CS77" s="15" t="s">
        <v>2264</v>
      </c>
      <c r="CT77" s="15" t="s">
        <v>2265</v>
      </c>
      <c r="CU77" s="15" t="s">
        <v>450</v>
      </c>
      <c r="CV77" s="15" t="s">
        <v>451</v>
      </c>
      <c r="CW77" s="15" t="s">
        <v>2266</v>
      </c>
      <c r="CX77" s="15" t="s">
        <v>408</v>
      </c>
      <c r="CY77" s="15"/>
      <c r="CZ77" s="15" t="s">
        <v>453</v>
      </c>
      <c r="DA77" s="15" t="s">
        <v>2267</v>
      </c>
      <c r="DB77" s="15" t="s">
        <v>408</v>
      </c>
      <c r="DC77" s="15"/>
      <c r="DD77" s="15" t="s">
        <v>662</v>
      </c>
      <c r="DE77" s="15"/>
      <c r="DF77" s="15" t="s">
        <v>2268</v>
      </c>
      <c r="DG77" s="15" t="s">
        <v>561</v>
      </c>
      <c r="DH77" s="15" t="s">
        <v>410</v>
      </c>
      <c r="DI77" s="15" t="s">
        <v>459</v>
      </c>
      <c r="DJ77" s="15" t="s">
        <v>562</v>
      </c>
      <c r="DK77" s="15" t="s">
        <v>461</v>
      </c>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t="s">
        <v>526</v>
      </c>
      <c r="EU77" s="15" t="s">
        <v>1037</v>
      </c>
      <c r="EV77" s="15" t="s">
        <v>580</v>
      </c>
      <c r="EW77" s="15" t="s">
        <v>2269</v>
      </c>
      <c r="EX77" s="15" t="s">
        <v>2270</v>
      </c>
      <c r="EY77" s="15" t="s">
        <v>2271</v>
      </c>
      <c r="EZ77" s="15"/>
      <c r="FA77" s="15"/>
      <c r="FB77" s="15"/>
      <c r="FC77" s="15"/>
      <c r="FD77" s="15"/>
      <c r="FE77" s="15"/>
      <c r="FF77" s="15"/>
      <c r="FG77" s="15"/>
      <c r="FH77" s="15"/>
      <c r="FI77" s="15"/>
      <c r="FJ77" s="15"/>
      <c r="FK77" s="15"/>
      <c r="FL77" s="15"/>
      <c r="FM77" s="15"/>
      <c r="FN77" s="15"/>
      <c r="FO77" s="15" t="s">
        <v>485</v>
      </c>
      <c r="FP77" s="15" t="s">
        <v>418</v>
      </c>
      <c r="FQ77" s="15" t="s">
        <v>712</v>
      </c>
      <c r="FR77" s="15" t="s">
        <v>2272</v>
      </c>
      <c r="FS77" s="15" t="s">
        <v>1189</v>
      </c>
      <c r="FT77" s="15" t="s">
        <v>488</v>
      </c>
      <c r="FU77" s="15" t="s">
        <v>489</v>
      </c>
      <c r="FV77" s="15" t="s">
        <v>490</v>
      </c>
      <c r="FW77" s="15" t="s">
        <v>491</v>
      </c>
      <c r="FX77" s="15" t="s">
        <v>2273</v>
      </c>
      <c r="FY77" s="15" t="s">
        <v>535</v>
      </c>
      <c r="FZ77" s="15" t="s">
        <v>2274</v>
      </c>
      <c r="GA77" s="15" t="s">
        <v>2275</v>
      </c>
      <c r="GB77" s="15" t="s">
        <v>455</v>
      </c>
      <c r="GC77" s="15"/>
      <c r="GD77" s="15"/>
      <c r="GE77" s="15" t="s">
        <v>1339</v>
      </c>
      <c r="GF77" s="15" t="s">
        <v>2276</v>
      </c>
      <c r="GG77" s="15" t="s">
        <v>857</v>
      </c>
      <c r="GH77" s="15" t="s">
        <v>857</v>
      </c>
      <c r="GI77" s="15" t="s">
        <v>790</v>
      </c>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31"/>
      <c r="MX77" s="29" t="s">
        <v>538</v>
      </c>
      <c r="MY77" s="29" t="str">
        <f>IFERROR(__xludf.DUMMYFUNCTION("""COMPUTED_VALUE"""),"United Kingdom")</f>
        <v>United Kingdom</v>
      </c>
    </row>
    <row r="78" ht="16.5" customHeight="1">
      <c r="A78" s="30">
        <v>45828.00873828704</v>
      </c>
      <c r="B78" s="15" t="s">
        <v>368</v>
      </c>
      <c r="C78" s="15" t="s">
        <v>538</v>
      </c>
      <c r="D78" s="15" t="s">
        <v>538</v>
      </c>
      <c r="E78" s="15"/>
      <c r="F78" s="15"/>
      <c r="G78" s="15" t="s">
        <v>422</v>
      </c>
      <c r="H78" s="15" t="s">
        <v>496</v>
      </c>
      <c r="I78" s="15" t="s">
        <v>374</v>
      </c>
      <c r="J78" s="15" t="s">
        <v>669</v>
      </c>
      <c r="K78" s="15" t="s">
        <v>376</v>
      </c>
      <c r="L78" s="15" t="s">
        <v>591</v>
      </c>
      <c r="M78" s="15" t="s">
        <v>639</v>
      </c>
      <c r="N78" s="15" t="s">
        <v>793</v>
      </c>
      <c r="O78" s="15" t="s">
        <v>639</v>
      </c>
      <c r="P78" s="15" t="s">
        <v>498</v>
      </c>
      <c r="Q78" s="15" t="s">
        <v>1004</v>
      </c>
      <c r="R78" s="15" t="s">
        <v>2277</v>
      </c>
      <c r="S78" s="15" t="s">
        <v>384</v>
      </c>
      <c r="T78" s="15" t="s">
        <v>385</v>
      </c>
      <c r="U78" s="15"/>
      <c r="V78" s="15"/>
      <c r="W78" s="15" t="s">
        <v>428</v>
      </c>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t="s">
        <v>1310</v>
      </c>
      <c r="AW78" s="15" t="s">
        <v>675</v>
      </c>
      <c r="AX78" s="15" t="s">
        <v>675</v>
      </c>
      <c r="AY78" s="15">
        <v>2.0</v>
      </c>
      <c r="AZ78" s="15" t="s">
        <v>391</v>
      </c>
      <c r="BA78" s="15">
        <v>4.0</v>
      </c>
      <c r="BB78" s="15">
        <v>4.0</v>
      </c>
      <c r="BC78" s="15" t="s">
        <v>2278</v>
      </c>
      <c r="BD78" s="15" t="s">
        <v>2279</v>
      </c>
      <c r="BE78" s="15" t="s">
        <v>902</v>
      </c>
      <c r="BF78" s="15" t="s">
        <v>1095</v>
      </c>
      <c r="BG78" s="15" t="s">
        <v>394</v>
      </c>
      <c r="BH78" s="15" t="s">
        <v>2280</v>
      </c>
      <c r="BI78" s="15" t="s">
        <v>976</v>
      </c>
      <c r="BJ78" s="15"/>
      <c r="BK78" s="15" t="s">
        <v>602</v>
      </c>
      <c r="BL78" s="15" t="s">
        <v>603</v>
      </c>
      <c r="BM78" s="15" t="s">
        <v>1247</v>
      </c>
      <c r="BN78" s="15" t="s">
        <v>398</v>
      </c>
      <c r="BO78" s="15" t="s">
        <v>2281</v>
      </c>
      <c r="BP78" s="15" t="s">
        <v>2282</v>
      </c>
      <c r="BQ78" s="15" t="s">
        <v>401</v>
      </c>
      <c r="BR78" s="15" t="s">
        <v>2283</v>
      </c>
      <c r="BS78" s="15" t="s">
        <v>403</v>
      </c>
      <c r="BT78" s="15" t="s">
        <v>1994</v>
      </c>
      <c r="BU78" s="15" t="s">
        <v>405</v>
      </c>
      <c r="BV78" s="15"/>
      <c r="BW78" s="15" t="s">
        <v>406</v>
      </c>
      <c r="BX78" s="15" t="s">
        <v>1867</v>
      </c>
      <c r="BY78" s="15" t="s">
        <v>455</v>
      </c>
      <c r="BZ78" s="15" t="s">
        <v>2284</v>
      </c>
      <c r="CA78" s="15"/>
      <c r="CB78" s="15" t="s">
        <v>2285</v>
      </c>
      <c r="CC78" s="15" t="s">
        <v>2286</v>
      </c>
      <c r="CD78" s="15" t="s">
        <v>409</v>
      </c>
      <c r="CE78" s="15" t="s">
        <v>2287</v>
      </c>
      <c r="CF78" s="15" t="s">
        <v>1258</v>
      </c>
      <c r="CG78" s="15"/>
      <c r="CH78" s="15" t="s">
        <v>1259</v>
      </c>
      <c r="CI78" s="15" t="s">
        <v>1220</v>
      </c>
      <c r="CJ78" s="15" t="s">
        <v>2288</v>
      </c>
      <c r="CK78" s="15" t="s">
        <v>2289</v>
      </c>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t="s">
        <v>526</v>
      </c>
      <c r="EU78" s="15" t="s">
        <v>579</v>
      </c>
      <c r="EV78" s="15" t="s">
        <v>1534</v>
      </c>
      <c r="EW78" s="15"/>
      <c r="EX78" s="15" t="s">
        <v>2290</v>
      </c>
      <c r="EY78" s="15" t="s">
        <v>2291</v>
      </c>
      <c r="EZ78" s="15" t="s">
        <v>415</v>
      </c>
      <c r="FA78" s="15" t="s">
        <v>415</v>
      </c>
      <c r="FB78" s="15" t="s">
        <v>413</v>
      </c>
      <c r="FC78" s="15" t="s">
        <v>413</v>
      </c>
      <c r="FD78" s="15" t="s">
        <v>413</v>
      </c>
      <c r="FE78" s="15" t="s">
        <v>415</v>
      </c>
      <c r="FF78" s="15" t="s">
        <v>415</v>
      </c>
      <c r="FG78" s="15" t="s">
        <v>416</v>
      </c>
      <c r="FH78" s="15" t="s">
        <v>414</v>
      </c>
      <c r="FI78" s="15" t="s">
        <v>413</v>
      </c>
      <c r="FJ78" s="15" t="s">
        <v>416</v>
      </c>
      <c r="FK78" s="15" t="s">
        <v>415</v>
      </c>
      <c r="FL78" s="15" t="s">
        <v>414</v>
      </c>
      <c r="FM78" s="15" t="s">
        <v>416</v>
      </c>
      <c r="FN78" s="15" t="s">
        <v>414</v>
      </c>
      <c r="FO78" s="15" t="s">
        <v>417</v>
      </c>
      <c r="FP78" s="15" t="s">
        <v>418</v>
      </c>
      <c r="FQ78" s="15" t="s">
        <v>749</v>
      </c>
      <c r="FR78" s="15"/>
      <c r="FS78" s="15" t="s">
        <v>1189</v>
      </c>
      <c r="FT78" s="15" t="s">
        <v>1462</v>
      </c>
      <c r="FU78" s="15" t="s">
        <v>1235</v>
      </c>
      <c r="FV78" s="15" t="s">
        <v>490</v>
      </c>
      <c r="FW78" s="15" t="s">
        <v>491</v>
      </c>
      <c r="FX78" s="15"/>
      <c r="FY78" s="15" t="s">
        <v>1854</v>
      </c>
      <c r="FZ78" s="15" t="s">
        <v>2292</v>
      </c>
      <c r="GA78" s="15"/>
      <c r="GB78" s="15" t="s">
        <v>455</v>
      </c>
      <c r="GC78" s="15"/>
      <c r="GD78" s="15"/>
      <c r="GE78" s="15" t="s">
        <v>753</v>
      </c>
      <c r="GF78" s="15"/>
      <c r="GG78" s="15"/>
      <c r="GH78" s="15"/>
      <c r="GI78" s="15"/>
      <c r="GJ78" s="15" t="s">
        <v>920</v>
      </c>
      <c r="GK78" s="15" t="s">
        <v>1000</v>
      </c>
      <c r="GL78" s="15" t="s">
        <v>817</v>
      </c>
      <c r="GM78" s="15"/>
      <c r="GN78" s="15" t="s">
        <v>2293</v>
      </c>
      <c r="GO78" s="15" t="s">
        <v>2293</v>
      </c>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31"/>
      <c r="MX78" s="29" t="s">
        <v>10402</v>
      </c>
      <c r="MY78" s="29" t="str">
        <f>IFERROR(__xludf.DUMMYFUNCTION("""COMPUTED_VALUE"""),"Alabama")</f>
        <v>Alabama</v>
      </c>
    </row>
    <row r="79" ht="16.5" customHeight="1">
      <c r="A79" s="30">
        <v>45828.01005491898</v>
      </c>
      <c r="B79" s="15" t="s">
        <v>368</v>
      </c>
      <c r="C79" s="15" t="s">
        <v>370</v>
      </c>
      <c r="D79" s="15"/>
      <c r="E79" s="15" t="s">
        <v>2294</v>
      </c>
      <c r="F79" s="15"/>
      <c r="G79" s="15" t="s">
        <v>2295</v>
      </c>
      <c r="H79" s="15" t="s">
        <v>373</v>
      </c>
      <c r="I79" s="15" t="s">
        <v>638</v>
      </c>
      <c r="J79" s="15" t="s">
        <v>425</v>
      </c>
      <c r="K79" s="15" t="s">
        <v>376</v>
      </c>
      <c r="L79" s="15" t="s">
        <v>591</v>
      </c>
      <c r="M79" s="15" t="s">
        <v>860</v>
      </c>
      <c r="N79" s="15" t="s">
        <v>426</v>
      </c>
      <c r="O79" s="15" t="s">
        <v>497</v>
      </c>
      <c r="P79" s="15" t="s">
        <v>498</v>
      </c>
      <c r="Q79" s="15" t="s">
        <v>499</v>
      </c>
      <c r="R79" s="15" t="s">
        <v>427</v>
      </c>
      <c r="S79" s="15" t="s">
        <v>384</v>
      </c>
      <c r="T79" s="15" t="s">
        <v>385</v>
      </c>
      <c r="U79" s="15"/>
      <c r="V79" s="15"/>
      <c r="W79" s="15" t="s">
        <v>386</v>
      </c>
      <c r="X79" s="15" t="s">
        <v>387</v>
      </c>
      <c r="Y79" s="15" t="s">
        <v>897</v>
      </c>
      <c r="Z79" s="15" t="s">
        <v>502</v>
      </c>
      <c r="AA79" s="15" t="s">
        <v>408</v>
      </c>
      <c r="AB79" s="15" t="s">
        <v>2296</v>
      </c>
      <c r="AC79" s="15"/>
      <c r="AD79" s="15"/>
      <c r="AE79" s="15"/>
      <c r="AF79" s="15"/>
      <c r="AG79" s="15"/>
      <c r="AH79" s="15"/>
      <c r="AI79" s="15"/>
      <c r="AJ79" s="15"/>
      <c r="AK79" s="15"/>
      <c r="AL79" s="15"/>
      <c r="AM79" s="15"/>
      <c r="AN79" s="15"/>
      <c r="AO79" s="15"/>
      <c r="AP79" s="15"/>
      <c r="AQ79" s="15"/>
      <c r="AR79" s="15"/>
      <c r="AS79" s="15"/>
      <c r="AT79" s="15"/>
      <c r="AU79" s="15"/>
      <c r="AV79" s="15" t="s">
        <v>390</v>
      </c>
      <c r="AW79" s="15" t="s">
        <v>391</v>
      </c>
      <c r="AX79" s="15" t="s">
        <v>391</v>
      </c>
      <c r="AY79" s="15" t="s">
        <v>391</v>
      </c>
      <c r="AZ79" s="15" t="s">
        <v>429</v>
      </c>
      <c r="BA79" s="15" t="s">
        <v>391</v>
      </c>
      <c r="BB79" s="15">
        <v>2.0</v>
      </c>
      <c r="BC79" s="15" t="s">
        <v>2297</v>
      </c>
      <c r="BD79" s="15" t="s">
        <v>2298</v>
      </c>
      <c r="BE79" s="15" t="s">
        <v>432</v>
      </c>
      <c r="BF79" s="15" t="s">
        <v>433</v>
      </c>
      <c r="BG79" s="15" t="s">
        <v>678</v>
      </c>
      <c r="BH79" s="15"/>
      <c r="BI79" s="15" t="s">
        <v>976</v>
      </c>
      <c r="BJ79" s="15"/>
      <c r="BK79" s="15" t="s">
        <v>681</v>
      </c>
      <c r="BL79" s="15" t="s">
        <v>396</v>
      </c>
      <c r="BM79" s="15" t="s">
        <v>397</v>
      </c>
      <c r="BN79" s="15" t="s">
        <v>440</v>
      </c>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t="s">
        <v>777</v>
      </c>
      <c r="DJ79" s="15" t="s">
        <v>613</v>
      </c>
      <c r="DK79" s="15"/>
      <c r="DL79" s="15"/>
      <c r="DM79" s="15" t="s">
        <v>2299</v>
      </c>
      <c r="DN79" s="15" t="s">
        <v>2300</v>
      </c>
      <c r="DO79" s="15" t="s">
        <v>567</v>
      </c>
      <c r="DP79" s="15" t="s">
        <v>2301</v>
      </c>
      <c r="DQ79" s="15" t="s">
        <v>1152</v>
      </c>
      <c r="DR79" s="15"/>
      <c r="DS79" s="15" t="s">
        <v>702</v>
      </c>
      <c r="DT79" s="15"/>
      <c r="DU79" s="15" t="s">
        <v>2302</v>
      </c>
      <c r="DV79" s="15" t="s">
        <v>2303</v>
      </c>
      <c r="DW79" s="15" t="s">
        <v>573</v>
      </c>
      <c r="DX79" s="15" t="s">
        <v>2304</v>
      </c>
      <c r="DY79" s="15" t="s">
        <v>2305</v>
      </c>
      <c r="DZ79" s="15" t="s">
        <v>2306</v>
      </c>
      <c r="EA79" s="15" t="s">
        <v>1413</v>
      </c>
      <c r="EB79" s="15" t="s">
        <v>845</v>
      </c>
      <c r="EC79" s="15"/>
      <c r="ED79" s="15"/>
      <c r="EE79" s="15"/>
      <c r="EF79" s="15"/>
      <c r="EG79" s="15"/>
      <c r="EH79" s="15"/>
      <c r="EI79" s="15"/>
      <c r="EJ79" s="15"/>
      <c r="EK79" s="15"/>
      <c r="EL79" s="15"/>
      <c r="EM79" s="15"/>
      <c r="EN79" s="15"/>
      <c r="EO79" s="15"/>
      <c r="EP79" s="15"/>
      <c r="EQ79" s="15"/>
      <c r="ER79" s="15"/>
      <c r="ES79" s="15"/>
      <c r="ET79" s="15" t="s">
        <v>526</v>
      </c>
      <c r="EU79" s="15" t="s">
        <v>887</v>
      </c>
      <c r="EV79" s="15" t="s">
        <v>580</v>
      </c>
      <c r="EW79" s="15" t="s">
        <v>2307</v>
      </c>
      <c r="EX79" s="15"/>
      <c r="EY79" s="15"/>
      <c r="EZ79" s="15" t="s">
        <v>413</v>
      </c>
      <c r="FA79" s="15" t="s">
        <v>413</v>
      </c>
      <c r="FB79" s="15" t="s">
        <v>413</v>
      </c>
      <c r="FC79" s="15" t="s">
        <v>413</v>
      </c>
      <c r="FD79" s="15" t="s">
        <v>413</v>
      </c>
      <c r="FE79" s="15" t="s">
        <v>413</v>
      </c>
      <c r="FF79" s="15" t="s">
        <v>413</v>
      </c>
      <c r="FG79" s="15" t="s">
        <v>413</v>
      </c>
      <c r="FH79" s="15" t="s">
        <v>413</v>
      </c>
      <c r="FI79" s="15" t="s">
        <v>583</v>
      </c>
      <c r="FJ79" s="15" t="s">
        <v>415</v>
      </c>
      <c r="FK79" s="15" t="s">
        <v>413</v>
      </c>
      <c r="FL79" s="15" t="s">
        <v>413</v>
      </c>
      <c r="FM79" s="15" t="s">
        <v>415</v>
      </c>
      <c r="FN79" s="15" t="s">
        <v>415</v>
      </c>
      <c r="FO79" s="15" t="s">
        <v>485</v>
      </c>
      <c r="FP79" s="15" t="s">
        <v>486</v>
      </c>
      <c r="FQ79" s="15" t="s">
        <v>712</v>
      </c>
      <c r="FR79" s="15" t="s">
        <v>2308</v>
      </c>
      <c r="FS79" s="15" t="s">
        <v>420</v>
      </c>
      <c r="FT79" s="15" t="s">
        <v>488</v>
      </c>
      <c r="FU79" s="15" t="s">
        <v>489</v>
      </c>
      <c r="FV79" s="15" t="s">
        <v>490</v>
      </c>
      <c r="FW79" s="15" t="s">
        <v>491</v>
      </c>
      <c r="FX79" s="15" t="s">
        <v>2309</v>
      </c>
      <c r="FY79" s="15" t="s">
        <v>493</v>
      </c>
      <c r="FZ79" s="15" t="s">
        <v>2310</v>
      </c>
      <c r="GA79" s="15" t="s">
        <v>2311</v>
      </c>
      <c r="GB79" s="15" t="s">
        <v>455</v>
      </c>
      <c r="GC79" s="15"/>
      <c r="GD79" s="15"/>
      <c r="GE79" s="15" t="s">
        <v>786</v>
      </c>
      <c r="GF79" s="15" t="s">
        <v>455</v>
      </c>
      <c r="GG79" s="15"/>
      <c r="GH79" s="15"/>
      <c r="GI79" s="15"/>
      <c r="GJ79" s="15"/>
      <c r="GK79" s="15"/>
      <c r="GL79" s="15"/>
      <c r="GM79" s="15" t="s">
        <v>2312</v>
      </c>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31"/>
      <c r="MX79" s="29" t="s">
        <v>10402</v>
      </c>
      <c r="MY79" s="29" t="str">
        <f>IFERROR(__xludf.DUMMYFUNCTION("""COMPUTED_VALUE"""),"")</f>
        <v/>
      </c>
    </row>
    <row r="80" ht="16.5" customHeight="1">
      <c r="A80" s="30">
        <v>45828.025735347226</v>
      </c>
      <c r="B80" s="15" t="s">
        <v>368</v>
      </c>
      <c r="C80" s="15" t="s">
        <v>1201</v>
      </c>
      <c r="D80" s="15" t="s">
        <v>1201</v>
      </c>
      <c r="E80" s="15" t="s">
        <v>1023</v>
      </c>
      <c r="F80" s="15"/>
      <c r="G80" s="15"/>
      <c r="H80" s="15"/>
      <c r="I80" s="15"/>
      <c r="J80" s="15"/>
      <c r="K80" s="15"/>
      <c r="L80" s="15"/>
      <c r="M80" s="15"/>
      <c r="N80" s="15"/>
      <c r="O80" s="15"/>
      <c r="P80" s="15"/>
      <c r="Q80" s="15"/>
      <c r="R80" s="15"/>
      <c r="S80" s="15"/>
      <c r="T80" s="15"/>
      <c r="U80" s="15"/>
      <c r="V80" s="15"/>
      <c r="W80" s="15" t="s">
        <v>760</v>
      </c>
      <c r="X80" s="15" t="s">
        <v>387</v>
      </c>
      <c r="Y80" s="15" t="s">
        <v>1595</v>
      </c>
      <c r="Z80" s="15" t="s">
        <v>543</v>
      </c>
      <c r="AA80" s="15" t="s">
        <v>2313</v>
      </c>
      <c r="AB80" s="15" t="s">
        <v>2314</v>
      </c>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t="s">
        <v>513</v>
      </c>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t="s">
        <v>550</v>
      </c>
      <c r="CM80" s="15" t="s">
        <v>604</v>
      </c>
      <c r="CN80" s="15" t="s">
        <v>2315</v>
      </c>
      <c r="CO80" s="15" t="s">
        <v>2316</v>
      </c>
      <c r="CP80" s="15" t="s">
        <v>685</v>
      </c>
      <c r="CQ80" s="15" t="s">
        <v>2317</v>
      </c>
      <c r="CR80" s="15" t="s">
        <v>804</v>
      </c>
      <c r="CS80" s="15" t="s">
        <v>2318</v>
      </c>
      <c r="CT80" s="15" t="s">
        <v>2319</v>
      </c>
      <c r="CU80" s="15" t="s">
        <v>450</v>
      </c>
      <c r="CV80" s="15" t="s">
        <v>451</v>
      </c>
      <c r="CW80" s="15" t="s">
        <v>2320</v>
      </c>
      <c r="CX80" s="15" t="s">
        <v>455</v>
      </c>
      <c r="CY80" s="15" t="s">
        <v>2321</v>
      </c>
      <c r="CZ80" s="15" t="s">
        <v>453</v>
      </c>
      <c r="DA80" s="15" t="s">
        <v>2322</v>
      </c>
      <c r="DB80" s="15" t="s">
        <v>455</v>
      </c>
      <c r="DC80" s="15" t="s">
        <v>2323</v>
      </c>
      <c r="DD80" s="15" t="s">
        <v>662</v>
      </c>
      <c r="DE80" s="15" t="s">
        <v>407</v>
      </c>
      <c r="DF80" s="15" t="s">
        <v>2324</v>
      </c>
      <c r="DG80" s="15" t="s">
        <v>561</v>
      </c>
      <c r="DH80" s="15" t="s">
        <v>410</v>
      </c>
      <c r="DI80" s="15" t="s">
        <v>459</v>
      </c>
      <c r="DJ80" s="15" t="s">
        <v>562</v>
      </c>
      <c r="DK80" s="15" t="s">
        <v>563</v>
      </c>
      <c r="DL80" s="15" t="s">
        <v>2325</v>
      </c>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t="s">
        <v>478</v>
      </c>
      <c r="EU80" s="15" t="s">
        <v>579</v>
      </c>
      <c r="EV80" s="15" t="s">
        <v>527</v>
      </c>
      <c r="EW80" s="15" t="s">
        <v>2326</v>
      </c>
      <c r="EX80" s="15" t="s">
        <v>2327</v>
      </c>
      <c r="EY80" s="15" t="s">
        <v>2328</v>
      </c>
      <c r="EZ80" s="15" t="s">
        <v>415</v>
      </c>
      <c r="FA80" s="15" t="s">
        <v>414</v>
      </c>
      <c r="FB80" s="15" t="s">
        <v>414</v>
      </c>
      <c r="FC80" s="15" t="s">
        <v>414</v>
      </c>
      <c r="FD80" s="15" t="s">
        <v>413</v>
      </c>
      <c r="FE80" s="15" t="s">
        <v>414</v>
      </c>
      <c r="FF80" s="15" t="s">
        <v>414</v>
      </c>
      <c r="FG80" s="15" t="s">
        <v>413</v>
      </c>
      <c r="FH80" s="15" t="s">
        <v>583</v>
      </c>
      <c r="FI80" s="15" t="s">
        <v>416</v>
      </c>
      <c r="FJ80" s="15" t="s">
        <v>415</v>
      </c>
      <c r="FK80" s="15" t="s">
        <v>413</v>
      </c>
      <c r="FL80" s="15" t="s">
        <v>415</v>
      </c>
      <c r="FM80" s="15" t="s">
        <v>413</v>
      </c>
      <c r="FN80" s="15" t="s">
        <v>583</v>
      </c>
      <c r="FO80" s="15" t="s">
        <v>485</v>
      </c>
      <c r="FP80" s="15" t="s">
        <v>418</v>
      </c>
      <c r="FQ80" s="15" t="s">
        <v>749</v>
      </c>
      <c r="FR80" s="15" t="s">
        <v>2329</v>
      </c>
      <c r="FS80" s="15" t="s">
        <v>1076</v>
      </c>
      <c r="FT80" s="15" t="s">
        <v>488</v>
      </c>
      <c r="FU80" s="15" t="s">
        <v>585</v>
      </c>
      <c r="FV80" s="15" t="s">
        <v>490</v>
      </c>
      <c r="FW80" s="15" t="s">
        <v>491</v>
      </c>
      <c r="FX80" s="15" t="s">
        <v>2330</v>
      </c>
      <c r="FY80" s="15" t="s">
        <v>493</v>
      </c>
      <c r="FZ80" s="15" t="s">
        <v>2331</v>
      </c>
      <c r="GA80" s="15" t="s">
        <v>2332</v>
      </c>
      <c r="GB80" s="15" t="s">
        <v>455</v>
      </c>
      <c r="GC80" s="15"/>
      <c r="GD80" s="15" t="s">
        <v>2333</v>
      </c>
      <c r="GE80" s="15" t="s">
        <v>753</v>
      </c>
      <c r="GF80" s="15" t="s">
        <v>2334</v>
      </c>
      <c r="GG80" s="15" t="s">
        <v>1000</v>
      </c>
      <c r="GH80" s="15" t="s">
        <v>920</v>
      </c>
      <c r="GI80" s="15" t="s">
        <v>858</v>
      </c>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31"/>
      <c r="MX80" s="29" t="s">
        <v>10402</v>
      </c>
      <c r="MY80" s="29" t="str">
        <f>IFERROR(__xludf.DUMMYFUNCTION("""COMPUTED_VALUE"""),"Montana")</f>
        <v>Montana</v>
      </c>
    </row>
    <row r="81" ht="16.5" customHeight="1">
      <c r="A81" s="30">
        <v>45828.05815188657</v>
      </c>
      <c r="B81" s="15" t="s">
        <v>368</v>
      </c>
      <c r="C81" s="15" t="s">
        <v>370</v>
      </c>
      <c r="D81" s="15"/>
      <c r="E81" s="15" t="s">
        <v>2335</v>
      </c>
      <c r="F81" s="15"/>
      <c r="G81" s="15" t="s">
        <v>422</v>
      </c>
      <c r="H81" s="15" t="s">
        <v>373</v>
      </c>
      <c r="I81" s="15" t="s">
        <v>374</v>
      </c>
      <c r="J81" s="15" t="s">
        <v>540</v>
      </c>
      <c r="K81" s="15" t="s">
        <v>376</v>
      </c>
      <c r="L81" s="15" t="s">
        <v>793</v>
      </c>
      <c r="M81" s="15" t="s">
        <v>2336</v>
      </c>
      <c r="N81" s="15" t="s">
        <v>793</v>
      </c>
      <c r="O81" s="15" t="s">
        <v>719</v>
      </c>
      <c r="P81" s="15" t="s">
        <v>498</v>
      </c>
      <c r="Q81" s="15" t="s">
        <v>862</v>
      </c>
      <c r="R81" s="15" t="s">
        <v>427</v>
      </c>
      <c r="S81" s="15" t="s">
        <v>384</v>
      </c>
      <c r="T81" s="15" t="s">
        <v>385</v>
      </c>
      <c r="U81" s="15"/>
      <c r="V81" s="15"/>
      <c r="W81" s="15" t="s">
        <v>386</v>
      </c>
      <c r="X81" s="15" t="s">
        <v>387</v>
      </c>
      <c r="Y81" s="15" t="s">
        <v>1444</v>
      </c>
      <c r="Z81" s="15" t="s">
        <v>389</v>
      </c>
      <c r="AA81" s="15" t="s">
        <v>2337</v>
      </c>
      <c r="AB81" s="15" t="s">
        <v>2338</v>
      </c>
      <c r="AC81" s="15"/>
      <c r="AD81" s="15"/>
      <c r="AE81" s="15"/>
      <c r="AF81" s="15"/>
      <c r="AG81" s="15"/>
      <c r="AH81" s="15"/>
      <c r="AI81" s="15"/>
      <c r="AJ81" s="15"/>
      <c r="AK81" s="15"/>
      <c r="AL81" s="15"/>
      <c r="AM81" s="15"/>
      <c r="AN81" s="15"/>
      <c r="AO81" s="15"/>
      <c r="AP81" s="15"/>
      <c r="AQ81" s="15"/>
      <c r="AR81" s="15"/>
      <c r="AS81" s="15"/>
      <c r="AT81" s="15"/>
      <c r="AU81" s="15"/>
      <c r="AV81" s="15" t="s">
        <v>597</v>
      </c>
      <c r="AW81" s="15" t="s">
        <v>391</v>
      </c>
      <c r="AX81" s="15">
        <v>4.0</v>
      </c>
      <c r="AY81" s="15" t="s">
        <v>391</v>
      </c>
      <c r="AZ81" s="15" t="s">
        <v>675</v>
      </c>
      <c r="BA81" s="15" t="s">
        <v>675</v>
      </c>
      <c r="BB81" s="15">
        <v>4.0</v>
      </c>
      <c r="BC81" s="15" t="s">
        <v>2339</v>
      </c>
      <c r="BD81" s="15" t="s">
        <v>2340</v>
      </c>
      <c r="BE81" s="15" t="s">
        <v>392</v>
      </c>
      <c r="BF81" s="15" t="s">
        <v>393</v>
      </c>
      <c r="BG81" s="15" t="s">
        <v>394</v>
      </c>
      <c r="BH81" s="15" t="s">
        <v>2341</v>
      </c>
      <c r="BI81" s="15" t="s">
        <v>824</v>
      </c>
      <c r="BJ81" s="15"/>
      <c r="BK81" s="15" t="s">
        <v>395</v>
      </c>
      <c r="BL81" s="15" t="s">
        <v>396</v>
      </c>
      <c r="BM81" s="15" t="s">
        <v>397</v>
      </c>
      <c r="BN81" s="15" t="s">
        <v>398</v>
      </c>
      <c r="BO81" s="15" t="s">
        <v>2342</v>
      </c>
      <c r="BP81" s="15" t="s">
        <v>2343</v>
      </c>
      <c r="BQ81" s="15" t="s">
        <v>604</v>
      </c>
      <c r="BR81" s="15" t="s">
        <v>2344</v>
      </c>
      <c r="BS81" s="15" t="s">
        <v>1741</v>
      </c>
      <c r="BT81" s="15" t="s">
        <v>1672</v>
      </c>
      <c r="BU81" s="15" t="s">
        <v>405</v>
      </c>
      <c r="BV81" s="15"/>
      <c r="BW81" s="15" t="s">
        <v>988</v>
      </c>
      <c r="BX81" s="15"/>
      <c r="BY81" s="15" t="s">
        <v>408</v>
      </c>
      <c r="BZ81" s="15"/>
      <c r="CA81" s="15" t="s">
        <v>2345</v>
      </c>
      <c r="CB81" s="15" t="s">
        <v>2346</v>
      </c>
      <c r="CC81" s="15" t="s">
        <v>2347</v>
      </c>
      <c r="CD81" s="15" t="s">
        <v>409</v>
      </c>
      <c r="CE81" s="15" t="s">
        <v>2348</v>
      </c>
      <c r="CF81" s="15" t="s">
        <v>1258</v>
      </c>
      <c r="CG81" s="15"/>
      <c r="CH81" s="15" t="s">
        <v>1259</v>
      </c>
      <c r="CI81" s="15" t="s">
        <v>410</v>
      </c>
      <c r="CJ81" s="15" t="s">
        <v>2349</v>
      </c>
      <c r="CK81" s="15" t="s">
        <v>2350</v>
      </c>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t="s">
        <v>526</v>
      </c>
      <c r="EU81" s="15" t="s">
        <v>579</v>
      </c>
      <c r="EV81" s="15" t="s">
        <v>778</v>
      </c>
      <c r="EW81" s="15" t="s">
        <v>2351</v>
      </c>
      <c r="EX81" s="15" t="s">
        <v>2352</v>
      </c>
      <c r="EY81" s="15" t="s">
        <v>2353</v>
      </c>
      <c r="EZ81" s="15" t="s">
        <v>416</v>
      </c>
      <c r="FA81" s="15" t="s">
        <v>416</v>
      </c>
      <c r="FB81" s="15" t="s">
        <v>413</v>
      </c>
      <c r="FC81" s="15" t="s">
        <v>413</v>
      </c>
      <c r="FD81" s="15" t="s">
        <v>413</v>
      </c>
      <c r="FE81" s="15" t="s">
        <v>416</v>
      </c>
      <c r="FF81" s="15" t="s">
        <v>413</v>
      </c>
      <c r="FG81" s="15" t="s">
        <v>413</v>
      </c>
      <c r="FH81" s="15" t="s">
        <v>583</v>
      </c>
      <c r="FI81" s="15" t="s">
        <v>413</v>
      </c>
      <c r="FJ81" s="15" t="s">
        <v>413</v>
      </c>
      <c r="FK81" s="15" t="s">
        <v>413</v>
      </c>
      <c r="FL81" s="15" t="s">
        <v>413</v>
      </c>
      <c r="FM81" s="15" t="s">
        <v>413</v>
      </c>
      <c r="FN81" s="15" t="s">
        <v>583</v>
      </c>
      <c r="FO81" s="15" t="s">
        <v>417</v>
      </c>
      <c r="FP81" s="15" t="s">
        <v>418</v>
      </c>
      <c r="FQ81" s="15" t="s">
        <v>1039</v>
      </c>
      <c r="FR81" s="15" t="s">
        <v>2354</v>
      </c>
      <c r="FS81" s="15" t="s">
        <v>420</v>
      </c>
      <c r="FT81" s="15" t="s">
        <v>488</v>
      </c>
      <c r="FU81" s="15" t="s">
        <v>1235</v>
      </c>
      <c r="FV81" s="15" t="s">
        <v>490</v>
      </c>
      <c r="FW81" s="15" t="s">
        <v>491</v>
      </c>
      <c r="FX81" s="15" t="s">
        <v>2355</v>
      </c>
      <c r="FY81" s="15" t="s">
        <v>535</v>
      </c>
      <c r="FZ81" s="15" t="s">
        <v>2356</v>
      </c>
      <c r="GA81" s="15" t="s">
        <v>2357</v>
      </c>
      <c r="GB81" s="15" t="s">
        <v>455</v>
      </c>
      <c r="GC81" s="15"/>
      <c r="GD81" s="15"/>
      <c r="GE81" s="15" t="s">
        <v>1339</v>
      </c>
      <c r="GF81" s="15" t="s">
        <v>2358</v>
      </c>
      <c r="GG81" s="15"/>
      <c r="GH81" s="15"/>
      <c r="GI81" s="15"/>
      <c r="GJ81" s="15" t="s">
        <v>755</v>
      </c>
      <c r="GK81" s="15" t="s">
        <v>755</v>
      </c>
      <c r="GL81" s="15" t="s">
        <v>946</v>
      </c>
      <c r="GM81" s="15"/>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c r="HN81" s="15"/>
      <c r="HO81" s="15"/>
      <c r="HP81" s="31"/>
      <c r="MX81" s="29" t="s">
        <v>10402</v>
      </c>
      <c r="MY81" s="29" t="str">
        <f>IFERROR(__xludf.DUMMYFUNCTION("""COMPUTED_VALUE"""),"New Jersey")</f>
        <v>New Jersey</v>
      </c>
    </row>
    <row r="82" ht="16.5" customHeight="1">
      <c r="A82" s="30">
        <v>45828.06036765046</v>
      </c>
      <c r="B82" s="15" t="s">
        <v>368</v>
      </c>
      <c r="C82" s="15" t="s">
        <v>370</v>
      </c>
      <c r="D82" s="15"/>
      <c r="E82" s="15" t="s">
        <v>2359</v>
      </c>
      <c r="F82" s="15"/>
      <c r="G82" s="15" t="s">
        <v>422</v>
      </c>
      <c r="H82" s="15" t="s">
        <v>373</v>
      </c>
      <c r="I82" s="15" t="s">
        <v>638</v>
      </c>
      <c r="J82" s="15" t="s">
        <v>375</v>
      </c>
      <c r="K82" s="15" t="s">
        <v>376</v>
      </c>
      <c r="L82" s="15" t="s">
        <v>591</v>
      </c>
      <c r="M82" s="15" t="s">
        <v>378</v>
      </c>
      <c r="N82" s="15" t="s">
        <v>793</v>
      </c>
      <c r="O82" s="15" t="s">
        <v>719</v>
      </c>
      <c r="P82" s="15" t="s">
        <v>498</v>
      </c>
      <c r="Q82" s="15" t="s">
        <v>382</v>
      </c>
      <c r="R82" s="15" t="s">
        <v>2360</v>
      </c>
      <c r="S82" s="15" t="s">
        <v>2361</v>
      </c>
      <c r="T82" s="15" t="s">
        <v>385</v>
      </c>
      <c r="U82" s="15"/>
      <c r="V82" s="15"/>
      <c r="W82" s="15" t="s">
        <v>428</v>
      </c>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t="s">
        <v>504</v>
      </c>
      <c r="AW82" s="15" t="s">
        <v>429</v>
      </c>
      <c r="AX82" s="15" t="s">
        <v>429</v>
      </c>
      <c r="AY82" s="15" t="s">
        <v>429</v>
      </c>
      <c r="AZ82" s="15">
        <v>2.0</v>
      </c>
      <c r="BA82" s="15" t="s">
        <v>429</v>
      </c>
      <c r="BB82" s="15">
        <v>2.0</v>
      </c>
      <c r="BC82" s="15" t="s">
        <v>2362</v>
      </c>
      <c r="BD82" s="15" t="s">
        <v>2363</v>
      </c>
      <c r="BE82" s="15" t="s">
        <v>432</v>
      </c>
      <c r="BF82" s="15" t="s">
        <v>433</v>
      </c>
      <c r="BG82" s="15" t="s">
        <v>434</v>
      </c>
      <c r="BH82" s="15" t="s">
        <v>2364</v>
      </c>
      <c r="BI82" s="15" t="s">
        <v>509</v>
      </c>
      <c r="BJ82" s="15" t="s">
        <v>2365</v>
      </c>
      <c r="BK82" s="15" t="s">
        <v>602</v>
      </c>
      <c r="BL82" s="15" t="s">
        <v>438</v>
      </c>
      <c r="BM82" s="15" t="s">
        <v>439</v>
      </c>
      <c r="BN82" s="15" t="s">
        <v>513</v>
      </c>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t="s">
        <v>441</v>
      </c>
      <c r="CM82" s="15" t="s">
        <v>604</v>
      </c>
      <c r="CN82" s="15" t="s">
        <v>2366</v>
      </c>
      <c r="CO82" s="15" t="s">
        <v>2367</v>
      </c>
      <c r="CP82" s="15" t="s">
        <v>403</v>
      </c>
      <c r="CQ82" s="15" t="s">
        <v>956</v>
      </c>
      <c r="CR82" s="15" t="s">
        <v>804</v>
      </c>
      <c r="CS82" s="15" t="s">
        <v>2368</v>
      </c>
      <c r="CT82" s="15" t="s">
        <v>2369</v>
      </c>
      <c r="CU82" s="15" t="s">
        <v>450</v>
      </c>
      <c r="CV82" s="15" t="s">
        <v>451</v>
      </c>
      <c r="CW82" s="15" t="s">
        <v>2370</v>
      </c>
      <c r="CX82" s="15" t="s">
        <v>408</v>
      </c>
      <c r="CY82" s="15"/>
      <c r="CZ82" s="15" t="s">
        <v>453</v>
      </c>
      <c r="DA82" s="15" t="s">
        <v>2371</v>
      </c>
      <c r="DB82" s="15" t="s">
        <v>455</v>
      </c>
      <c r="DC82" s="15" t="s">
        <v>2372</v>
      </c>
      <c r="DD82" s="15" t="s">
        <v>988</v>
      </c>
      <c r="DE82" s="15"/>
      <c r="DF82" s="15" t="s">
        <v>2373</v>
      </c>
      <c r="DG82" s="15" t="s">
        <v>524</v>
      </c>
      <c r="DH82" s="15" t="s">
        <v>1220</v>
      </c>
      <c r="DI82" s="15" t="s">
        <v>459</v>
      </c>
      <c r="DJ82" s="15" t="s">
        <v>460</v>
      </c>
      <c r="DK82" s="15" t="s">
        <v>461</v>
      </c>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t="s">
        <v>478</v>
      </c>
      <c r="EU82" s="15" t="s">
        <v>479</v>
      </c>
      <c r="EV82" s="15" t="s">
        <v>480</v>
      </c>
      <c r="EW82" s="15"/>
      <c r="EX82" s="15"/>
      <c r="EY82" s="15"/>
      <c r="EZ82" s="15" t="s">
        <v>414</v>
      </c>
      <c r="FA82" s="15" t="s">
        <v>414</v>
      </c>
      <c r="FB82" s="15" t="s">
        <v>414</v>
      </c>
      <c r="FC82" s="15" t="s">
        <v>414</v>
      </c>
      <c r="FD82" s="15" t="s">
        <v>484</v>
      </c>
      <c r="FE82" s="15" t="s">
        <v>414</v>
      </c>
      <c r="FF82" s="15" t="s">
        <v>484</v>
      </c>
      <c r="FG82" s="15" t="s">
        <v>484</v>
      </c>
      <c r="FH82" s="15" t="s">
        <v>414</v>
      </c>
      <c r="FI82" s="15" t="s">
        <v>414</v>
      </c>
      <c r="FJ82" s="15" t="s">
        <v>484</v>
      </c>
      <c r="FK82" s="15" t="s">
        <v>484</v>
      </c>
      <c r="FL82" s="15" t="s">
        <v>484</v>
      </c>
      <c r="FM82" s="15" t="s">
        <v>416</v>
      </c>
      <c r="FN82" s="15" t="s">
        <v>583</v>
      </c>
      <c r="FO82" s="15" t="s">
        <v>417</v>
      </c>
      <c r="FP82" s="15" t="s">
        <v>418</v>
      </c>
      <c r="FQ82" s="15" t="s">
        <v>712</v>
      </c>
      <c r="FR82" s="15"/>
      <c r="FS82" s="15" t="s">
        <v>420</v>
      </c>
      <c r="FT82" s="15" t="s">
        <v>488</v>
      </c>
      <c r="FU82" s="15" t="s">
        <v>489</v>
      </c>
      <c r="FV82" s="15" t="s">
        <v>490</v>
      </c>
      <c r="FW82" s="15" t="s">
        <v>491</v>
      </c>
      <c r="FX82" s="15"/>
      <c r="FY82" s="15" t="s">
        <v>535</v>
      </c>
      <c r="FZ82" s="15"/>
      <c r="GA82" s="15"/>
      <c r="GB82" s="15" t="s">
        <v>455</v>
      </c>
      <c r="GC82" s="15"/>
      <c r="GD82" s="15" t="s">
        <v>2374</v>
      </c>
      <c r="GE82" s="15" t="s">
        <v>1339</v>
      </c>
      <c r="GF82" s="15" t="s">
        <v>2375</v>
      </c>
      <c r="GG82" s="15" t="s">
        <v>857</v>
      </c>
      <c r="GH82" s="15" t="s">
        <v>857</v>
      </c>
      <c r="GI82" s="15" t="s">
        <v>946</v>
      </c>
      <c r="GJ82" s="15"/>
      <c r="GK82" s="15"/>
      <c r="GL82" s="15"/>
      <c r="GM82" s="15"/>
      <c r="GN82" s="15"/>
      <c r="GO82" s="15"/>
      <c r="GP82" s="15"/>
      <c r="GQ82" s="15"/>
      <c r="GR82" s="15"/>
      <c r="GS82" s="15"/>
      <c r="GT82" s="15"/>
      <c r="GU82" s="15"/>
      <c r="GV82" s="15"/>
      <c r="GW82" s="15"/>
      <c r="GX82" s="15"/>
      <c r="GY82" s="15"/>
      <c r="GZ82" s="15"/>
      <c r="HA82" s="15"/>
      <c r="HB82" s="15"/>
      <c r="HC82" s="15"/>
      <c r="HD82" s="15"/>
      <c r="HE82" s="15"/>
      <c r="HF82" s="15"/>
      <c r="HG82" s="15"/>
      <c r="HH82" s="15"/>
      <c r="HI82" s="15"/>
      <c r="HJ82" s="15"/>
      <c r="HK82" s="15"/>
      <c r="HL82" s="15"/>
      <c r="HM82" s="15"/>
      <c r="HN82" s="15"/>
      <c r="HO82" s="15"/>
      <c r="HP82" s="31"/>
      <c r="MX82" s="29" t="s">
        <v>10402</v>
      </c>
      <c r="MY82" s="29" t="str">
        <f>IFERROR(__xludf.DUMMYFUNCTION("""COMPUTED_VALUE"""),"Connecticut")</f>
        <v>Connecticut</v>
      </c>
    </row>
    <row r="83" ht="16.5" customHeight="1">
      <c r="A83" s="30">
        <v>45828.06330849537</v>
      </c>
      <c r="B83" s="15" t="s">
        <v>368</v>
      </c>
      <c r="C83" s="15" t="s">
        <v>370</v>
      </c>
      <c r="D83" s="15"/>
      <c r="E83" s="15" t="s">
        <v>2376</v>
      </c>
      <c r="F83" s="15"/>
      <c r="G83" s="15" t="s">
        <v>422</v>
      </c>
      <c r="H83" s="15" t="s">
        <v>423</v>
      </c>
      <c r="I83" s="15" t="s">
        <v>424</v>
      </c>
      <c r="J83" s="15" t="s">
        <v>425</v>
      </c>
      <c r="K83" s="15" t="s">
        <v>376</v>
      </c>
      <c r="L83" s="15" t="s">
        <v>591</v>
      </c>
      <c r="M83" s="15" t="s">
        <v>719</v>
      </c>
      <c r="N83" s="15" t="s">
        <v>426</v>
      </c>
      <c r="O83" s="15" t="s">
        <v>497</v>
      </c>
      <c r="P83" s="15" t="s">
        <v>381</v>
      </c>
      <c r="Q83" s="15" t="s">
        <v>862</v>
      </c>
      <c r="R83" s="15" t="s">
        <v>949</v>
      </c>
      <c r="S83" s="15" t="s">
        <v>384</v>
      </c>
      <c r="T83" s="15" t="s">
        <v>385</v>
      </c>
      <c r="U83" s="15"/>
      <c r="V83" s="15"/>
      <c r="W83" s="15" t="s">
        <v>428</v>
      </c>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t="s">
        <v>597</v>
      </c>
      <c r="AW83" s="15" t="s">
        <v>675</v>
      </c>
      <c r="AX83" s="15">
        <v>4.0</v>
      </c>
      <c r="AY83" s="15">
        <v>4.0</v>
      </c>
      <c r="AZ83" s="15" t="s">
        <v>391</v>
      </c>
      <c r="BA83" s="15">
        <v>4.0</v>
      </c>
      <c r="BB83" s="15" t="s">
        <v>391</v>
      </c>
      <c r="BC83" s="15" t="s">
        <v>2377</v>
      </c>
      <c r="BD83" s="15" t="s">
        <v>2378</v>
      </c>
      <c r="BE83" s="15" t="s">
        <v>2379</v>
      </c>
      <c r="BF83" s="15" t="s">
        <v>1095</v>
      </c>
      <c r="BG83" s="15" t="s">
        <v>725</v>
      </c>
      <c r="BH83" s="15" t="s">
        <v>2380</v>
      </c>
      <c r="BI83" s="15" t="s">
        <v>976</v>
      </c>
      <c r="BJ83" s="15" t="s">
        <v>1211</v>
      </c>
      <c r="BK83" s="15" t="s">
        <v>437</v>
      </c>
      <c r="BL83" s="15" t="s">
        <v>904</v>
      </c>
      <c r="BM83" s="15" t="s">
        <v>397</v>
      </c>
      <c r="BN83" s="15" t="s">
        <v>513</v>
      </c>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t="s">
        <v>441</v>
      </c>
      <c r="CM83" s="15" t="s">
        <v>604</v>
      </c>
      <c r="CN83" s="15" t="s">
        <v>2381</v>
      </c>
      <c r="CO83" s="15" t="s">
        <v>2382</v>
      </c>
      <c r="CP83" s="15" t="s">
        <v>1008</v>
      </c>
      <c r="CQ83" s="15" t="s">
        <v>2383</v>
      </c>
      <c r="CR83" s="15" t="s">
        <v>404</v>
      </c>
      <c r="CS83" s="15" t="s">
        <v>1137</v>
      </c>
      <c r="CT83" s="15" t="s">
        <v>2384</v>
      </c>
      <c r="CU83" s="15" t="s">
        <v>982</v>
      </c>
      <c r="CV83" s="15" t="s">
        <v>409</v>
      </c>
      <c r="CW83" s="15" t="s">
        <v>2385</v>
      </c>
      <c r="CX83" s="15" t="s">
        <v>408</v>
      </c>
      <c r="CY83" s="15" t="s">
        <v>1211</v>
      </c>
      <c r="CZ83" s="15" t="s">
        <v>1962</v>
      </c>
      <c r="DA83" s="15" t="s">
        <v>1211</v>
      </c>
      <c r="DB83" s="15" t="s">
        <v>408</v>
      </c>
      <c r="DC83" s="15" t="s">
        <v>1211</v>
      </c>
      <c r="DD83" s="15" t="s">
        <v>988</v>
      </c>
      <c r="DE83" s="15" t="s">
        <v>1058</v>
      </c>
      <c r="DF83" s="15" t="s">
        <v>1211</v>
      </c>
      <c r="DG83" s="15" t="s">
        <v>524</v>
      </c>
      <c r="DH83" s="15" t="s">
        <v>833</v>
      </c>
      <c r="DI83" s="15" t="s">
        <v>459</v>
      </c>
      <c r="DJ83" s="15" t="s">
        <v>460</v>
      </c>
      <c r="DK83" s="15" t="s">
        <v>461</v>
      </c>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t="s">
        <v>578</v>
      </c>
      <c r="EU83" s="15" t="s">
        <v>479</v>
      </c>
      <c r="EV83" s="15" t="s">
        <v>480</v>
      </c>
      <c r="EW83" s="15"/>
      <c r="EX83" s="15"/>
      <c r="EY83" s="15"/>
      <c r="EZ83" s="15" t="s">
        <v>414</v>
      </c>
      <c r="FA83" s="15" t="s">
        <v>414</v>
      </c>
      <c r="FB83" s="15" t="s">
        <v>413</v>
      </c>
      <c r="FC83" s="15" t="s">
        <v>413</v>
      </c>
      <c r="FD83" s="15" t="s">
        <v>413</v>
      </c>
      <c r="FE83" s="15" t="s">
        <v>583</v>
      </c>
      <c r="FF83" s="15" t="s">
        <v>413</v>
      </c>
      <c r="FG83" s="15" t="s">
        <v>413</v>
      </c>
      <c r="FH83" s="15" t="s">
        <v>413</v>
      </c>
      <c r="FI83" s="15" t="s">
        <v>414</v>
      </c>
      <c r="FJ83" s="15" t="s">
        <v>414</v>
      </c>
      <c r="FK83" s="15" t="s">
        <v>415</v>
      </c>
      <c r="FL83" s="15" t="s">
        <v>415</v>
      </c>
      <c r="FM83" s="15" t="s">
        <v>415</v>
      </c>
      <c r="FN83" s="15" t="s">
        <v>415</v>
      </c>
      <c r="FO83" s="15" t="s">
        <v>1074</v>
      </c>
      <c r="FP83" s="15" t="s">
        <v>486</v>
      </c>
      <c r="FQ83" s="15" t="s">
        <v>419</v>
      </c>
      <c r="FR83" s="15" t="s">
        <v>2386</v>
      </c>
      <c r="FS83" s="15" t="s">
        <v>420</v>
      </c>
      <c r="FT83" s="15" t="s">
        <v>1462</v>
      </c>
      <c r="FU83" s="15" t="s">
        <v>533</v>
      </c>
      <c r="FV83" s="15" t="s">
        <v>2387</v>
      </c>
      <c r="FW83" s="15" t="s">
        <v>1853</v>
      </c>
      <c r="FX83" s="15"/>
      <c r="FY83" s="15" t="s">
        <v>1020</v>
      </c>
      <c r="FZ83" s="15"/>
      <c r="GA83" s="15"/>
      <c r="GB83" s="15" t="s">
        <v>408</v>
      </c>
      <c r="GC83" s="15"/>
      <c r="GD83" s="15"/>
      <c r="GE83" s="15"/>
      <c r="GF83" s="15"/>
      <c r="GG83" s="15" t="s">
        <v>755</v>
      </c>
      <c r="GH83" s="15" t="s">
        <v>755</v>
      </c>
      <c r="GI83" s="15" t="s">
        <v>817</v>
      </c>
      <c r="GJ83" s="15"/>
      <c r="GK83" s="15"/>
      <c r="GL83" s="15"/>
      <c r="GM83" s="15"/>
      <c r="GN83" s="15"/>
      <c r="GO83" s="15"/>
      <c r="GP83" s="15"/>
      <c r="GQ83" s="15"/>
      <c r="GR83" s="15"/>
      <c r="GS83" s="15"/>
      <c r="GT83" s="15"/>
      <c r="GU83" s="15"/>
      <c r="GV83" s="15"/>
      <c r="GW83" s="15"/>
      <c r="GX83" s="15"/>
      <c r="GY83" s="15"/>
      <c r="GZ83" s="15"/>
      <c r="HA83" s="15"/>
      <c r="HB83" s="15"/>
      <c r="HC83" s="15"/>
      <c r="HD83" s="15"/>
      <c r="HE83" s="15"/>
      <c r="HF83" s="15"/>
      <c r="HG83" s="15"/>
      <c r="HH83" s="15"/>
      <c r="HI83" s="15"/>
      <c r="HJ83" s="15"/>
      <c r="HK83" s="15"/>
      <c r="HL83" s="15"/>
      <c r="HM83" s="15"/>
      <c r="HN83" s="15"/>
      <c r="HO83" s="15"/>
      <c r="HP83" s="31"/>
      <c r="MX83" s="29" t="s">
        <v>10402</v>
      </c>
      <c r="MY83" s="29" t="str">
        <f>IFERROR(__xludf.DUMMYFUNCTION("""COMPUTED_VALUE"""),"Iowa")</f>
        <v>Iowa</v>
      </c>
    </row>
    <row r="84" ht="16.5" customHeight="1">
      <c r="A84" s="30">
        <v>45828.12018145833</v>
      </c>
      <c r="B84" s="15" t="s">
        <v>368</v>
      </c>
      <c r="C84" s="15" t="s">
        <v>370</v>
      </c>
      <c r="D84" s="15"/>
      <c r="E84" s="15" t="s">
        <v>2388</v>
      </c>
      <c r="F84" s="15"/>
      <c r="G84" s="15" t="s">
        <v>422</v>
      </c>
      <c r="H84" s="15" t="s">
        <v>637</v>
      </c>
      <c r="I84" s="15" t="s">
        <v>374</v>
      </c>
      <c r="J84" s="15" t="s">
        <v>718</v>
      </c>
      <c r="K84" s="15" t="s">
        <v>376</v>
      </c>
      <c r="L84" s="15" t="s">
        <v>591</v>
      </c>
      <c r="M84" s="15" t="s">
        <v>719</v>
      </c>
      <c r="N84" s="15" t="s">
        <v>793</v>
      </c>
      <c r="O84" s="15" t="s">
        <v>719</v>
      </c>
      <c r="P84" s="15" t="s">
        <v>592</v>
      </c>
      <c r="Q84" s="15" t="s">
        <v>1156</v>
      </c>
      <c r="R84" s="15" t="s">
        <v>427</v>
      </c>
      <c r="S84" s="15" t="s">
        <v>384</v>
      </c>
      <c r="T84" s="15" t="s">
        <v>385</v>
      </c>
      <c r="U84" s="15"/>
      <c r="V84" s="15"/>
      <c r="W84" s="15" t="s">
        <v>593</v>
      </c>
      <c r="X84" s="15" t="s">
        <v>387</v>
      </c>
      <c r="Y84" s="15" t="s">
        <v>897</v>
      </c>
      <c r="Z84" s="15" t="s">
        <v>672</v>
      </c>
      <c r="AA84" s="15"/>
      <c r="AB84" s="15" t="s">
        <v>2389</v>
      </c>
      <c r="AC84" s="15"/>
      <c r="AD84" s="15"/>
      <c r="AE84" s="15"/>
      <c r="AF84" s="15"/>
      <c r="AG84" s="15"/>
      <c r="AH84" s="15"/>
      <c r="AI84" s="15"/>
      <c r="AJ84" s="15"/>
      <c r="AK84" s="15"/>
      <c r="AL84" s="15"/>
      <c r="AM84" s="15"/>
      <c r="AN84" s="15"/>
      <c r="AO84" s="15"/>
      <c r="AP84" s="15"/>
      <c r="AQ84" s="15"/>
      <c r="AR84" s="15"/>
      <c r="AS84" s="15"/>
      <c r="AT84" s="15"/>
      <c r="AU84" s="15"/>
      <c r="AV84" s="15" t="s">
        <v>1310</v>
      </c>
      <c r="AW84" s="15">
        <v>4.0</v>
      </c>
      <c r="AX84" s="15">
        <v>4.0</v>
      </c>
      <c r="AY84" s="15" t="s">
        <v>675</v>
      </c>
      <c r="AZ84" s="15">
        <v>4.0</v>
      </c>
      <c r="BA84" s="15" t="s">
        <v>429</v>
      </c>
      <c r="BB84" s="15" t="s">
        <v>391</v>
      </c>
      <c r="BC84" s="15"/>
      <c r="BD84" s="15"/>
      <c r="BE84" s="15" t="s">
        <v>2379</v>
      </c>
      <c r="BF84" s="15" t="s">
        <v>393</v>
      </c>
      <c r="BG84" s="15" t="s">
        <v>434</v>
      </c>
      <c r="BH84" s="15"/>
      <c r="BI84" s="15"/>
      <c r="BJ84" s="15"/>
      <c r="BK84" s="15" t="s">
        <v>681</v>
      </c>
      <c r="BL84" s="15"/>
      <c r="BM84" s="15" t="s">
        <v>1247</v>
      </c>
      <c r="BN84" s="15" t="s">
        <v>513</v>
      </c>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t="s">
        <v>550</v>
      </c>
      <c r="CM84" s="15" t="s">
        <v>401</v>
      </c>
      <c r="CN84" s="15" t="s">
        <v>2390</v>
      </c>
      <c r="CO84" s="15" t="s">
        <v>408</v>
      </c>
      <c r="CP84" s="15" t="s">
        <v>685</v>
      </c>
      <c r="CQ84" s="15" t="s">
        <v>2391</v>
      </c>
      <c r="CR84" s="15" t="s">
        <v>804</v>
      </c>
      <c r="CS84" s="15" t="s">
        <v>2392</v>
      </c>
      <c r="CT84" s="15"/>
      <c r="CU84" s="15" t="s">
        <v>1961</v>
      </c>
      <c r="CV84" s="15" t="s">
        <v>2393</v>
      </c>
      <c r="CW84" s="15"/>
      <c r="CX84" s="15" t="s">
        <v>455</v>
      </c>
      <c r="CY84" s="15" t="s">
        <v>2394</v>
      </c>
      <c r="CZ84" s="15" t="s">
        <v>1962</v>
      </c>
      <c r="DA84" s="15"/>
      <c r="DB84" s="15" t="s">
        <v>455</v>
      </c>
      <c r="DC84" s="15" t="s">
        <v>2395</v>
      </c>
      <c r="DD84" s="15" t="s">
        <v>662</v>
      </c>
      <c r="DE84" s="15"/>
      <c r="DF84" s="15"/>
      <c r="DG84" s="15" t="s">
        <v>990</v>
      </c>
      <c r="DH84" s="15" t="s">
        <v>833</v>
      </c>
      <c r="DI84" s="15" t="s">
        <v>459</v>
      </c>
      <c r="DJ84" s="15" t="s">
        <v>613</v>
      </c>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t="s">
        <v>578</v>
      </c>
      <c r="EU84" s="15" t="s">
        <v>479</v>
      </c>
      <c r="EV84" s="15" t="s">
        <v>480</v>
      </c>
      <c r="EW84" s="15"/>
      <c r="EX84" s="15" t="s">
        <v>2396</v>
      </c>
      <c r="EY84" s="15" t="s">
        <v>2397</v>
      </c>
      <c r="EZ84" s="15" t="s">
        <v>583</v>
      </c>
      <c r="FA84" s="15" t="s">
        <v>583</v>
      </c>
      <c r="FB84" s="15" t="s">
        <v>583</v>
      </c>
      <c r="FC84" s="15" t="s">
        <v>583</v>
      </c>
      <c r="FD84" s="15" t="s">
        <v>414</v>
      </c>
      <c r="FE84" s="15" t="s">
        <v>583</v>
      </c>
      <c r="FF84" s="15" t="s">
        <v>583</v>
      </c>
      <c r="FG84" s="15" t="s">
        <v>415</v>
      </c>
      <c r="FH84" s="15" t="s">
        <v>583</v>
      </c>
      <c r="FI84" s="15" t="s">
        <v>583</v>
      </c>
      <c r="FJ84" s="15" t="s">
        <v>583</v>
      </c>
      <c r="FK84" s="15" t="s">
        <v>583</v>
      </c>
      <c r="FL84" s="15" t="s">
        <v>583</v>
      </c>
      <c r="FM84" s="15" t="s">
        <v>413</v>
      </c>
      <c r="FN84" s="15" t="s">
        <v>583</v>
      </c>
      <c r="FO84" s="15" t="s">
        <v>1537</v>
      </c>
      <c r="FP84" s="15" t="s">
        <v>1200</v>
      </c>
      <c r="FQ84" s="15" t="s">
        <v>630</v>
      </c>
      <c r="FR84" s="15"/>
      <c r="FS84" s="15" t="s">
        <v>1871</v>
      </c>
      <c r="FT84" s="15" t="s">
        <v>2398</v>
      </c>
      <c r="FU84" s="15" t="s">
        <v>533</v>
      </c>
      <c r="FV84" s="15" t="s">
        <v>2399</v>
      </c>
      <c r="FW84" s="15" t="s">
        <v>1853</v>
      </c>
      <c r="FX84" s="15"/>
      <c r="FY84" s="15" t="s">
        <v>1020</v>
      </c>
      <c r="FZ84" s="15"/>
      <c r="GA84" s="15"/>
      <c r="GB84" s="15" t="s">
        <v>408</v>
      </c>
      <c r="GC84" s="15"/>
      <c r="GD84" s="15"/>
      <c r="GE84" s="15"/>
      <c r="GF84" s="15"/>
      <c r="GG84" s="15" t="s">
        <v>755</v>
      </c>
      <c r="GH84" s="15" t="s">
        <v>755</v>
      </c>
      <c r="GI84" s="15" t="s">
        <v>756</v>
      </c>
      <c r="GJ84" s="15"/>
      <c r="GK84" s="15"/>
      <c r="GL84" s="15"/>
      <c r="GM84" s="15"/>
      <c r="GN84" s="15"/>
      <c r="GO84" s="15"/>
      <c r="GP84" s="15"/>
      <c r="GQ84" s="15"/>
      <c r="GR84" s="15"/>
      <c r="GS84" s="15"/>
      <c r="GT84" s="15"/>
      <c r="GU84" s="15"/>
      <c r="GV84" s="15"/>
      <c r="GW84" s="15"/>
      <c r="GX84" s="15"/>
      <c r="GY84" s="15"/>
      <c r="GZ84" s="15"/>
      <c r="HA84" s="15"/>
      <c r="HB84" s="15"/>
      <c r="HC84" s="15"/>
      <c r="HD84" s="15"/>
      <c r="HE84" s="15"/>
      <c r="HF84" s="15"/>
      <c r="HG84" s="15"/>
      <c r="HH84" s="15"/>
      <c r="HI84" s="15"/>
      <c r="HJ84" s="15"/>
      <c r="HK84" s="15"/>
      <c r="HL84" s="15"/>
      <c r="HM84" s="15"/>
      <c r="HN84" s="15"/>
      <c r="HO84" s="15"/>
      <c r="HP84" s="31"/>
      <c r="MX84" s="29" t="s">
        <v>10402</v>
      </c>
      <c r="MY84" s="29" t="str">
        <f>IFERROR(__xludf.DUMMYFUNCTION("""COMPUTED_VALUE"""),"Oregon")</f>
        <v>Oregon</v>
      </c>
    </row>
    <row r="85" ht="16.5" customHeight="1">
      <c r="A85" s="30">
        <v>45828.15012672453</v>
      </c>
      <c r="B85" s="15" t="s">
        <v>368</v>
      </c>
      <c r="C85" s="15" t="s">
        <v>370</v>
      </c>
      <c r="D85" s="15"/>
      <c r="E85" s="15" t="s">
        <v>2400</v>
      </c>
      <c r="F85" s="15"/>
      <c r="G85" s="15" t="s">
        <v>422</v>
      </c>
      <c r="H85" s="15" t="s">
        <v>496</v>
      </c>
      <c r="I85" s="15" t="s">
        <v>1022</v>
      </c>
      <c r="J85" s="15" t="s">
        <v>425</v>
      </c>
      <c r="K85" s="15" t="s">
        <v>376</v>
      </c>
      <c r="L85" s="15" t="s">
        <v>591</v>
      </c>
      <c r="M85" s="15" t="s">
        <v>720</v>
      </c>
      <c r="N85" s="15" t="s">
        <v>670</v>
      </c>
      <c r="O85" s="15" t="s">
        <v>720</v>
      </c>
      <c r="P85" s="15" t="s">
        <v>592</v>
      </c>
      <c r="Q85" s="15" t="s">
        <v>499</v>
      </c>
      <c r="R85" s="15" t="s">
        <v>427</v>
      </c>
      <c r="S85" s="15" t="s">
        <v>384</v>
      </c>
      <c r="T85" s="15" t="s">
        <v>385</v>
      </c>
      <c r="U85" s="15"/>
      <c r="V85" s="15"/>
      <c r="W85" s="15" t="s">
        <v>428</v>
      </c>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t="s">
        <v>1242</v>
      </c>
      <c r="AW85" s="15">
        <v>4.0</v>
      </c>
      <c r="AX85" s="15" t="s">
        <v>391</v>
      </c>
      <c r="AY85" s="15">
        <v>4.0</v>
      </c>
      <c r="AZ85" s="15" t="s">
        <v>675</v>
      </c>
      <c r="BA85" s="15" t="s">
        <v>675</v>
      </c>
      <c r="BB85" s="15">
        <v>4.0</v>
      </c>
      <c r="BC85" s="15" t="s">
        <v>2401</v>
      </c>
      <c r="BD85" s="15" t="s">
        <v>2402</v>
      </c>
      <c r="BE85" s="15" t="s">
        <v>902</v>
      </c>
      <c r="BF85" s="15" t="s">
        <v>1095</v>
      </c>
      <c r="BG85" s="15" t="s">
        <v>394</v>
      </c>
      <c r="BH85" s="15" t="s">
        <v>2403</v>
      </c>
      <c r="BI85" s="15" t="s">
        <v>435</v>
      </c>
      <c r="BJ85" s="15" t="s">
        <v>2404</v>
      </c>
      <c r="BK85" s="15" t="s">
        <v>437</v>
      </c>
      <c r="BL85" s="15" t="s">
        <v>603</v>
      </c>
      <c r="BM85" s="15" t="s">
        <v>1314</v>
      </c>
      <c r="BN85" s="15" t="s">
        <v>398</v>
      </c>
      <c r="BO85" s="15" t="s">
        <v>2405</v>
      </c>
      <c r="BP85" s="15" t="s">
        <v>2406</v>
      </c>
      <c r="BQ85" s="15"/>
      <c r="BR85" s="15" t="s">
        <v>2407</v>
      </c>
      <c r="BS85" s="15" t="s">
        <v>1692</v>
      </c>
      <c r="BT85" s="15" t="s">
        <v>1672</v>
      </c>
      <c r="BU85" s="15" t="s">
        <v>405</v>
      </c>
      <c r="BV85" s="15"/>
      <c r="BW85" s="15" t="s">
        <v>457</v>
      </c>
      <c r="BX85" s="15"/>
      <c r="BY85" s="15" t="s">
        <v>455</v>
      </c>
      <c r="BZ85" s="15" t="s">
        <v>2408</v>
      </c>
      <c r="CA85" s="15" t="s">
        <v>2409</v>
      </c>
      <c r="CB85" s="15" t="s">
        <v>2410</v>
      </c>
      <c r="CC85" s="15" t="s">
        <v>2411</v>
      </c>
      <c r="CD85" s="15" t="s">
        <v>409</v>
      </c>
      <c r="CE85" s="15" t="s">
        <v>2412</v>
      </c>
      <c r="CF85" s="15" t="s">
        <v>1258</v>
      </c>
      <c r="CG85" s="15"/>
      <c r="CH85" s="15" t="s">
        <v>1698</v>
      </c>
      <c r="CI85" s="15" t="s">
        <v>410</v>
      </c>
      <c r="CJ85" s="15" t="s">
        <v>2413</v>
      </c>
      <c r="CK85" s="15" t="s">
        <v>2414</v>
      </c>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t="s">
        <v>578</v>
      </c>
      <c r="EU85" s="15" t="s">
        <v>479</v>
      </c>
      <c r="EV85" s="15" t="s">
        <v>1262</v>
      </c>
      <c r="EW85" s="15" t="s">
        <v>2415</v>
      </c>
      <c r="EX85" s="15" t="s">
        <v>2416</v>
      </c>
      <c r="EY85" s="15" t="s">
        <v>2417</v>
      </c>
      <c r="EZ85" s="15" t="s">
        <v>583</v>
      </c>
      <c r="FA85" s="15" t="s">
        <v>583</v>
      </c>
      <c r="FB85" s="15" t="s">
        <v>414</v>
      </c>
      <c r="FC85" s="15" t="s">
        <v>583</v>
      </c>
      <c r="FD85" s="15" t="s">
        <v>484</v>
      </c>
      <c r="FE85" s="15" t="s">
        <v>583</v>
      </c>
      <c r="FF85" s="15" t="s">
        <v>583</v>
      </c>
      <c r="FG85" s="15" t="s">
        <v>416</v>
      </c>
      <c r="FH85" s="15" t="s">
        <v>583</v>
      </c>
      <c r="FI85" s="15" t="s">
        <v>415</v>
      </c>
      <c r="FJ85" s="15" t="s">
        <v>415</v>
      </c>
      <c r="FK85" s="15" t="s">
        <v>416</v>
      </c>
      <c r="FL85" s="15" t="s">
        <v>414</v>
      </c>
      <c r="FM85" s="15" t="s">
        <v>413</v>
      </c>
      <c r="FN85" s="15" t="s">
        <v>583</v>
      </c>
      <c r="FO85" s="15" t="s">
        <v>417</v>
      </c>
      <c r="FP85" s="15" t="s">
        <v>418</v>
      </c>
      <c r="FQ85" s="15" t="s">
        <v>749</v>
      </c>
      <c r="FR85" s="15" t="s">
        <v>2418</v>
      </c>
      <c r="FS85" s="15" t="s">
        <v>420</v>
      </c>
      <c r="FT85" s="15" t="s">
        <v>488</v>
      </c>
      <c r="FU85" s="15" t="s">
        <v>489</v>
      </c>
      <c r="FV85" s="15" t="s">
        <v>490</v>
      </c>
      <c r="FW85" s="15" t="s">
        <v>491</v>
      </c>
      <c r="FX85" s="15" t="s">
        <v>2419</v>
      </c>
      <c r="FY85" s="15" t="s">
        <v>535</v>
      </c>
      <c r="FZ85" s="15" t="s">
        <v>2420</v>
      </c>
      <c r="GA85" s="15" t="s">
        <v>2421</v>
      </c>
      <c r="GB85" s="15" t="s">
        <v>455</v>
      </c>
      <c r="GC85" s="15"/>
      <c r="GD85" s="15"/>
      <c r="GE85" s="15" t="s">
        <v>753</v>
      </c>
      <c r="GF85" s="15" t="s">
        <v>2422</v>
      </c>
      <c r="GG85" s="15"/>
      <c r="GH85" s="15"/>
      <c r="GI85" s="15"/>
      <c r="GJ85" s="15" t="s">
        <v>1000</v>
      </c>
      <c r="GK85" s="15" t="s">
        <v>1000</v>
      </c>
      <c r="GL85" s="15" t="s">
        <v>858</v>
      </c>
      <c r="GM85" s="15"/>
      <c r="GN85" s="15"/>
      <c r="GO85" s="15"/>
      <c r="GP85" s="15"/>
      <c r="GQ85" s="15"/>
      <c r="GR85" s="15"/>
      <c r="GS85" s="15"/>
      <c r="GT85" s="15"/>
      <c r="GU85" s="15"/>
      <c r="GV85" s="15"/>
      <c r="GW85" s="15"/>
      <c r="GX85" s="15"/>
      <c r="GY85" s="15"/>
      <c r="GZ85" s="15"/>
      <c r="HA85" s="15"/>
      <c r="HB85" s="15"/>
      <c r="HC85" s="15"/>
      <c r="HD85" s="15"/>
      <c r="HE85" s="15"/>
      <c r="HF85" s="15"/>
      <c r="HG85" s="15"/>
      <c r="HH85" s="15"/>
      <c r="HI85" s="15"/>
      <c r="HJ85" s="15"/>
      <c r="HK85" s="15"/>
      <c r="HL85" s="15"/>
      <c r="HM85" s="15"/>
      <c r="HN85" s="15"/>
      <c r="HO85" s="15"/>
      <c r="HP85" s="31"/>
      <c r="MX85" s="29" t="s">
        <v>1341</v>
      </c>
      <c r="MY85" s="29" t="str">
        <f>IFERROR(__xludf.DUMMYFUNCTION("""COMPUTED_VALUE"""),"Germany")</f>
        <v>Germany</v>
      </c>
    </row>
    <row r="86" ht="16.5" customHeight="1">
      <c r="A86" s="30">
        <v>45828.202019930555</v>
      </c>
      <c r="B86" s="15" t="s">
        <v>368</v>
      </c>
      <c r="C86" s="15" t="s">
        <v>1341</v>
      </c>
      <c r="D86" s="15" t="s">
        <v>1341</v>
      </c>
      <c r="E86" s="15"/>
      <c r="F86" s="15"/>
      <c r="G86" s="15" t="s">
        <v>422</v>
      </c>
      <c r="H86" s="15" t="s">
        <v>373</v>
      </c>
      <c r="I86" s="15" t="s">
        <v>638</v>
      </c>
      <c r="J86" s="15" t="s">
        <v>718</v>
      </c>
      <c r="K86" s="15" t="s">
        <v>376</v>
      </c>
      <c r="L86" s="15" t="s">
        <v>591</v>
      </c>
      <c r="M86" s="15" t="s">
        <v>639</v>
      </c>
      <c r="N86" s="15" t="s">
        <v>591</v>
      </c>
      <c r="O86" s="15" t="s">
        <v>380</v>
      </c>
      <c r="P86" s="15" t="s">
        <v>498</v>
      </c>
      <c r="Q86" s="15" t="s">
        <v>862</v>
      </c>
      <c r="R86" s="15" t="s">
        <v>500</v>
      </c>
      <c r="S86" s="15" t="s">
        <v>384</v>
      </c>
      <c r="T86" s="15" t="s">
        <v>385</v>
      </c>
      <c r="U86" s="15"/>
      <c r="V86" s="15"/>
      <c r="W86" s="15" t="s">
        <v>428</v>
      </c>
      <c r="X86" s="15" t="s">
        <v>2423</v>
      </c>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t="s">
        <v>1242</v>
      </c>
      <c r="AW86" s="15">
        <v>4.0</v>
      </c>
      <c r="AX86" s="15">
        <v>4.0</v>
      </c>
      <c r="AY86" s="15" t="s">
        <v>675</v>
      </c>
      <c r="AZ86" s="15" t="s">
        <v>675</v>
      </c>
      <c r="BA86" s="15" t="s">
        <v>675</v>
      </c>
      <c r="BB86" s="15" t="s">
        <v>675</v>
      </c>
      <c r="BC86" s="15" t="s">
        <v>2424</v>
      </c>
      <c r="BD86" s="15" t="s">
        <v>2425</v>
      </c>
      <c r="BE86" s="15" t="s">
        <v>432</v>
      </c>
      <c r="BF86" s="15" t="s">
        <v>1095</v>
      </c>
      <c r="BG86" s="15" t="s">
        <v>394</v>
      </c>
      <c r="BH86" s="15" t="s">
        <v>2426</v>
      </c>
      <c r="BI86" s="15" t="s">
        <v>435</v>
      </c>
      <c r="BJ86" s="15"/>
      <c r="BK86" s="15" t="s">
        <v>511</v>
      </c>
      <c r="BL86" s="15" t="s">
        <v>603</v>
      </c>
      <c r="BM86" s="15" t="s">
        <v>1314</v>
      </c>
      <c r="BN86" s="15" t="s">
        <v>398</v>
      </c>
      <c r="BO86" s="15" t="s">
        <v>2427</v>
      </c>
      <c r="BP86" s="15" t="s">
        <v>408</v>
      </c>
      <c r="BQ86" s="15" t="s">
        <v>401</v>
      </c>
      <c r="BR86" s="15" t="s">
        <v>2428</v>
      </c>
      <c r="BS86" s="15" t="s">
        <v>1741</v>
      </c>
      <c r="BT86" s="15" t="s">
        <v>1994</v>
      </c>
      <c r="BU86" s="15" t="s">
        <v>405</v>
      </c>
      <c r="BV86" s="15"/>
      <c r="BW86" s="15" t="s">
        <v>406</v>
      </c>
      <c r="BX86" s="15"/>
      <c r="BY86" s="15" t="s">
        <v>455</v>
      </c>
      <c r="BZ86" s="15" t="s">
        <v>2429</v>
      </c>
      <c r="CA86" s="15"/>
      <c r="CB86" s="15" t="s">
        <v>2430</v>
      </c>
      <c r="CC86" s="15" t="s">
        <v>2431</v>
      </c>
      <c r="CD86" s="15" t="s">
        <v>451</v>
      </c>
      <c r="CE86" s="15" t="s">
        <v>2432</v>
      </c>
      <c r="CF86" s="15" t="s">
        <v>1258</v>
      </c>
      <c r="CG86" s="15"/>
      <c r="CH86" s="15" t="s">
        <v>1259</v>
      </c>
      <c r="CI86" s="15" t="s">
        <v>410</v>
      </c>
      <c r="CJ86" s="15" t="s">
        <v>2433</v>
      </c>
      <c r="CK86" s="15" t="s">
        <v>2434</v>
      </c>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t="s">
        <v>578</v>
      </c>
      <c r="EU86" s="15" t="s">
        <v>579</v>
      </c>
      <c r="EV86" s="15" t="s">
        <v>527</v>
      </c>
      <c r="EW86" s="15" t="s">
        <v>2435</v>
      </c>
      <c r="EX86" s="15" t="s">
        <v>2436</v>
      </c>
      <c r="EY86" s="15" t="s">
        <v>2437</v>
      </c>
      <c r="EZ86" s="15" t="s">
        <v>415</v>
      </c>
      <c r="FA86" s="15" t="s">
        <v>414</v>
      </c>
      <c r="FB86" s="15" t="s">
        <v>413</v>
      </c>
      <c r="FC86" s="15" t="s">
        <v>414</v>
      </c>
      <c r="FD86" s="15" t="s">
        <v>413</v>
      </c>
      <c r="FE86" s="15" t="s">
        <v>415</v>
      </c>
      <c r="FF86" s="15" t="s">
        <v>413</v>
      </c>
      <c r="FG86" s="15" t="s">
        <v>484</v>
      </c>
      <c r="FH86" s="15" t="s">
        <v>413</v>
      </c>
      <c r="FI86" s="15" t="s">
        <v>416</v>
      </c>
      <c r="FJ86" s="15" t="s">
        <v>415</v>
      </c>
      <c r="FK86" s="15" t="s">
        <v>416</v>
      </c>
      <c r="FL86" s="15" t="s">
        <v>415</v>
      </c>
      <c r="FM86" s="15" t="s">
        <v>415</v>
      </c>
      <c r="FN86" s="15" t="s">
        <v>413</v>
      </c>
      <c r="FO86" s="15" t="s">
        <v>417</v>
      </c>
      <c r="FP86" s="15" t="s">
        <v>486</v>
      </c>
      <c r="FQ86" s="15" t="s">
        <v>712</v>
      </c>
      <c r="FR86" s="15" t="s">
        <v>2438</v>
      </c>
      <c r="FS86" s="15" t="s">
        <v>420</v>
      </c>
      <c r="FT86" s="15" t="s">
        <v>1462</v>
      </c>
      <c r="FU86" s="15" t="s">
        <v>585</v>
      </c>
      <c r="FV86" s="15" t="s">
        <v>490</v>
      </c>
      <c r="FW86" s="15" t="s">
        <v>491</v>
      </c>
      <c r="FX86" s="15"/>
      <c r="FY86" s="15" t="s">
        <v>535</v>
      </c>
      <c r="FZ86" s="15" t="s">
        <v>2439</v>
      </c>
      <c r="GA86" s="15"/>
      <c r="GB86" s="15" t="s">
        <v>455</v>
      </c>
      <c r="GC86" s="15"/>
      <c r="GD86" s="15"/>
      <c r="GE86" s="15" t="s">
        <v>786</v>
      </c>
      <c r="GF86" s="15" t="s">
        <v>2440</v>
      </c>
      <c r="GG86" s="15"/>
      <c r="GH86" s="15"/>
      <c r="GI86" s="15"/>
      <c r="GJ86" s="15" t="s">
        <v>755</v>
      </c>
      <c r="GK86" s="15" t="s">
        <v>755</v>
      </c>
      <c r="GL86" s="15" t="s">
        <v>817</v>
      </c>
      <c r="GM86" s="15"/>
      <c r="GN86" s="15"/>
      <c r="GO86" s="15"/>
      <c r="GP86" s="15"/>
      <c r="GQ86" s="15"/>
      <c r="GR86" s="15"/>
      <c r="GS86" s="15"/>
      <c r="GT86" s="15"/>
      <c r="GU86" s="15"/>
      <c r="GV86" s="15"/>
      <c r="GW86" s="15"/>
      <c r="GX86" s="15"/>
      <c r="GY86" s="15"/>
      <c r="GZ86" s="15"/>
      <c r="HA86" s="15"/>
      <c r="HB86" s="15"/>
      <c r="HC86" s="15"/>
      <c r="HD86" s="15"/>
      <c r="HE86" s="15"/>
      <c r="HF86" s="15"/>
      <c r="HG86" s="15"/>
      <c r="HH86" s="15"/>
      <c r="HI86" s="15"/>
      <c r="HJ86" s="15"/>
      <c r="HK86" s="15"/>
      <c r="HL86" s="15"/>
      <c r="HM86" s="15"/>
      <c r="HN86" s="15"/>
      <c r="HO86" s="15"/>
      <c r="HP86" s="31"/>
      <c r="MX86" s="29" t="s">
        <v>10402</v>
      </c>
      <c r="MY86" s="29" t="str">
        <f>IFERROR(__xludf.DUMMYFUNCTION("""COMPUTED_VALUE"""),"California")</f>
        <v>California</v>
      </c>
    </row>
    <row r="87" ht="16.5" customHeight="1">
      <c r="A87" s="30">
        <v>45828.21023520833</v>
      </c>
      <c r="B87" s="15" t="s">
        <v>368</v>
      </c>
      <c r="C87" s="15" t="s">
        <v>370</v>
      </c>
      <c r="D87" s="15"/>
      <c r="E87" s="15" t="s">
        <v>371</v>
      </c>
      <c r="F87" s="15"/>
      <c r="G87" s="15" t="s">
        <v>422</v>
      </c>
      <c r="H87" s="15" t="s">
        <v>637</v>
      </c>
      <c r="I87" s="15" t="s">
        <v>638</v>
      </c>
      <c r="J87" s="15" t="s">
        <v>590</v>
      </c>
      <c r="K87" s="15" t="s">
        <v>376</v>
      </c>
      <c r="L87" s="15" t="s">
        <v>670</v>
      </c>
      <c r="M87" s="15" t="s">
        <v>860</v>
      </c>
      <c r="N87" s="15" t="s">
        <v>793</v>
      </c>
      <c r="O87" s="15" t="s">
        <v>720</v>
      </c>
      <c r="P87" s="15" t="s">
        <v>592</v>
      </c>
      <c r="Q87" s="15" t="s">
        <v>862</v>
      </c>
      <c r="R87" s="15" t="s">
        <v>427</v>
      </c>
      <c r="S87" s="15" t="s">
        <v>384</v>
      </c>
      <c r="T87" s="15" t="s">
        <v>385</v>
      </c>
      <c r="U87" s="15"/>
      <c r="V87" s="15"/>
      <c r="W87" s="15" t="s">
        <v>760</v>
      </c>
      <c r="X87" s="15" t="s">
        <v>1706</v>
      </c>
      <c r="Y87" s="15"/>
      <c r="Z87" s="15"/>
      <c r="AA87" s="15"/>
      <c r="AB87" s="15"/>
      <c r="AC87" s="15" t="s">
        <v>1707</v>
      </c>
      <c r="AD87" s="15" t="s">
        <v>1708</v>
      </c>
      <c r="AE87" s="15" t="s">
        <v>455</v>
      </c>
      <c r="AF87" s="15" t="s">
        <v>2441</v>
      </c>
      <c r="AG87" s="15">
        <v>3.0</v>
      </c>
      <c r="AH87" s="15" t="s">
        <v>647</v>
      </c>
      <c r="AI87" s="15" t="s">
        <v>2442</v>
      </c>
      <c r="AJ87" s="15" t="s">
        <v>2443</v>
      </c>
      <c r="AK87" s="15" t="s">
        <v>1712</v>
      </c>
      <c r="AL87" s="15"/>
      <c r="AM87" s="15"/>
      <c r="AN87" s="15"/>
      <c r="AO87" s="15"/>
      <c r="AP87" s="15"/>
      <c r="AQ87" s="15"/>
      <c r="AR87" s="15"/>
      <c r="AS87" s="15"/>
      <c r="AT87" s="15"/>
      <c r="AU87" s="15"/>
      <c r="AV87" s="15" t="s">
        <v>1242</v>
      </c>
      <c r="AW87" s="15" t="s">
        <v>675</v>
      </c>
      <c r="AX87" s="15">
        <v>4.0</v>
      </c>
      <c r="AY87" s="15" t="s">
        <v>675</v>
      </c>
      <c r="AZ87" s="15" t="s">
        <v>675</v>
      </c>
      <c r="BA87" s="15" t="s">
        <v>675</v>
      </c>
      <c r="BB87" s="15" t="s">
        <v>675</v>
      </c>
      <c r="BC87" s="15" t="s">
        <v>2444</v>
      </c>
      <c r="BD87" s="15" t="s">
        <v>2445</v>
      </c>
      <c r="BE87" s="15" t="s">
        <v>902</v>
      </c>
      <c r="BF87" s="15" t="s">
        <v>1245</v>
      </c>
      <c r="BG87" s="15" t="s">
        <v>765</v>
      </c>
      <c r="BH87" s="15" t="s">
        <v>2446</v>
      </c>
      <c r="BI87" s="15" t="s">
        <v>509</v>
      </c>
      <c r="BJ87" s="15" t="s">
        <v>2447</v>
      </c>
      <c r="BK87" s="15" t="s">
        <v>437</v>
      </c>
      <c r="BL87" s="15" t="s">
        <v>438</v>
      </c>
      <c r="BM87" s="15" t="s">
        <v>1247</v>
      </c>
      <c r="BN87" s="15" t="s">
        <v>398</v>
      </c>
      <c r="BO87" s="15" t="s">
        <v>2448</v>
      </c>
      <c r="BP87" s="15" t="s">
        <v>2449</v>
      </c>
      <c r="BQ87" s="15" t="s">
        <v>604</v>
      </c>
      <c r="BR87" s="15" t="s">
        <v>2450</v>
      </c>
      <c r="BS87" s="15" t="s">
        <v>1741</v>
      </c>
      <c r="BT87" s="15" t="s">
        <v>404</v>
      </c>
      <c r="BU87" s="15" t="s">
        <v>1772</v>
      </c>
      <c r="BV87" s="15" t="s">
        <v>2451</v>
      </c>
      <c r="BW87" s="15" t="s">
        <v>457</v>
      </c>
      <c r="BX87" s="15"/>
      <c r="BY87" s="15" t="s">
        <v>455</v>
      </c>
      <c r="BZ87" s="15" t="s">
        <v>2452</v>
      </c>
      <c r="CA87" s="15" t="s">
        <v>2453</v>
      </c>
      <c r="CB87" s="15" t="s">
        <v>2454</v>
      </c>
      <c r="CC87" s="15" t="s">
        <v>2455</v>
      </c>
      <c r="CD87" s="15" t="s">
        <v>1931</v>
      </c>
      <c r="CE87" s="15"/>
      <c r="CF87" s="15" t="s">
        <v>1258</v>
      </c>
      <c r="CG87" s="15"/>
      <c r="CH87" s="15" t="s">
        <v>1698</v>
      </c>
      <c r="CI87" s="15" t="s">
        <v>833</v>
      </c>
      <c r="CJ87" s="15" t="s">
        <v>2456</v>
      </c>
      <c r="CK87" s="15" t="s">
        <v>2457</v>
      </c>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t="s">
        <v>578</v>
      </c>
      <c r="EU87" s="15" t="s">
        <v>1127</v>
      </c>
      <c r="EV87" s="15" t="s">
        <v>663</v>
      </c>
      <c r="EW87" s="15"/>
      <c r="EX87" s="15" t="s">
        <v>2458</v>
      </c>
      <c r="EY87" s="15" t="s">
        <v>2459</v>
      </c>
      <c r="EZ87" s="15" t="s">
        <v>583</v>
      </c>
      <c r="FA87" s="15" t="s">
        <v>583</v>
      </c>
      <c r="FB87" s="15" t="s">
        <v>415</v>
      </c>
      <c r="FC87" s="15" t="s">
        <v>414</v>
      </c>
      <c r="FD87" s="15" t="s">
        <v>413</v>
      </c>
      <c r="FE87" s="15" t="s">
        <v>414</v>
      </c>
      <c r="FF87" s="15" t="s">
        <v>414</v>
      </c>
      <c r="FG87" s="15" t="s">
        <v>415</v>
      </c>
      <c r="FH87" s="15" t="s">
        <v>583</v>
      </c>
      <c r="FI87" s="15" t="s">
        <v>414</v>
      </c>
      <c r="FJ87" s="15" t="s">
        <v>414</v>
      </c>
      <c r="FK87" s="15" t="s">
        <v>415</v>
      </c>
      <c r="FL87" s="15" t="s">
        <v>415</v>
      </c>
      <c r="FM87" s="15" t="s">
        <v>413</v>
      </c>
      <c r="FN87" s="15" t="s">
        <v>583</v>
      </c>
      <c r="FO87" s="15" t="s">
        <v>850</v>
      </c>
      <c r="FP87" s="15" t="s">
        <v>418</v>
      </c>
      <c r="FQ87" s="15" t="s">
        <v>419</v>
      </c>
      <c r="FR87" s="15" t="s">
        <v>2460</v>
      </c>
      <c r="FS87" s="15" t="s">
        <v>420</v>
      </c>
      <c r="FT87" s="15" t="s">
        <v>488</v>
      </c>
      <c r="FU87" s="15" t="s">
        <v>489</v>
      </c>
      <c r="FV87" s="15" t="s">
        <v>490</v>
      </c>
      <c r="FW87" s="15" t="s">
        <v>491</v>
      </c>
      <c r="FX87" s="15" t="s">
        <v>2461</v>
      </c>
      <c r="FY87" s="15" t="s">
        <v>493</v>
      </c>
      <c r="FZ87" s="15" t="s">
        <v>2462</v>
      </c>
      <c r="GA87" s="15" t="s">
        <v>2463</v>
      </c>
      <c r="GB87" s="15" t="s">
        <v>408</v>
      </c>
      <c r="GC87" s="15"/>
      <c r="GD87" s="15"/>
      <c r="GE87" s="15"/>
      <c r="GF87" s="15"/>
      <c r="GG87" s="15"/>
      <c r="GH87" s="15"/>
      <c r="GI87" s="15"/>
      <c r="GJ87" s="15" t="s">
        <v>1000</v>
      </c>
      <c r="GK87" s="15" t="s">
        <v>755</v>
      </c>
      <c r="GL87" s="15" t="s">
        <v>817</v>
      </c>
      <c r="GM87" s="15"/>
      <c r="GN87" s="15"/>
      <c r="GO87" s="15"/>
      <c r="GP87" s="15"/>
      <c r="GQ87" s="15"/>
      <c r="GR87" s="15"/>
      <c r="GS87" s="15"/>
      <c r="GT87" s="15"/>
      <c r="GU87" s="15"/>
      <c r="GV87" s="15"/>
      <c r="GW87" s="15"/>
      <c r="GX87" s="15"/>
      <c r="GY87" s="15"/>
      <c r="GZ87" s="15"/>
      <c r="HA87" s="15"/>
      <c r="HB87" s="15"/>
      <c r="HC87" s="15"/>
      <c r="HD87" s="15"/>
      <c r="HE87" s="15"/>
      <c r="HF87" s="15"/>
      <c r="HG87" s="15"/>
      <c r="HH87" s="15"/>
      <c r="HI87" s="15"/>
      <c r="HJ87" s="15"/>
      <c r="HK87" s="15"/>
      <c r="HL87" s="15"/>
      <c r="HM87" s="15"/>
      <c r="HN87" s="15"/>
      <c r="HO87" s="15"/>
      <c r="HP87" s="31"/>
      <c r="MX87" s="29" t="s">
        <v>538</v>
      </c>
      <c r="MY87" s="29" t="str">
        <f>IFERROR(__xludf.DUMMYFUNCTION("""COMPUTED_VALUE"""),"United Kingdom")</f>
        <v>United Kingdom</v>
      </c>
    </row>
    <row r="88" ht="16.5" customHeight="1">
      <c r="A88" s="30">
        <v>45828.22725708333</v>
      </c>
      <c r="B88" s="15" t="s">
        <v>368</v>
      </c>
      <c r="C88" s="15" t="s">
        <v>538</v>
      </c>
      <c r="D88" s="15" t="s">
        <v>538</v>
      </c>
      <c r="E88" s="15"/>
      <c r="F88" s="15"/>
      <c r="G88" s="15" t="s">
        <v>422</v>
      </c>
      <c r="H88" s="15" t="s">
        <v>539</v>
      </c>
      <c r="I88" s="15" t="s">
        <v>424</v>
      </c>
      <c r="J88" s="15" t="s">
        <v>540</v>
      </c>
      <c r="K88" s="15" t="s">
        <v>376</v>
      </c>
      <c r="L88" s="15" t="s">
        <v>426</v>
      </c>
      <c r="M88" s="15" t="s">
        <v>2464</v>
      </c>
      <c r="N88" s="15" t="s">
        <v>426</v>
      </c>
      <c r="O88" s="15" t="s">
        <v>2465</v>
      </c>
      <c r="P88" s="15" t="s">
        <v>592</v>
      </c>
      <c r="Q88" s="15" t="s">
        <v>1156</v>
      </c>
      <c r="R88" s="15" t="s">
        <v>427</v>
      </c>
      <c r="S88" s="15" t="s">
        <v>384</v>
      </c>
      <c r="T88" s="15" t="s">
        <v>385</v>
      </c>
      <c r="U88" s="15"/>
      <c r="V88" s="15"/>
      <c r="W88" s="15" t="s">
        <v>428</v>
      </c>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t="s">
        <v>1310</v>
      </c>
      <c r="AW88" s="15" t="s">
        <v>391</v>
      </c>
      <c r="AX88" s="15" t="s">
        <v>391</v>
      </c>
      <c r="AY88" s="15" t="s">
        <v>429</v>
      </c>
      <c r="AZ88" s="15">
        <v>2.0</v>
      </c>
      <c r="BA88" s="15">
        <v>4.0</v>
      </c>
      <c r="BB88" s="15">
        <v>4.0</v>
      </c>
      <c r="BC88" s="15" t="s">
        <v>2466</v>
      </c>
      <c r="BD88" s="15" t="s">
        <v>2467</v>
      </c>
      <c r="BE88" s="15" t="s">
        <v>432</v>
      </c>
      <c r="BF88" s="15" t="s">
        <v>393</v>
      </c>
      <c r="BG88" s="15" t="s">
        <v>725</v>
      </c>
      <c r="BH88" s="15"/>
      <c r="BI88" s="15" t="s">
        <v>435</v>
      </c>
      <c r="BJ88" s="15"/>
      <c r="BK88" s="15" t="s">
        <v>602</v>
      </c>
      <c r="BL88" s="15" t="s">
        <v>904</v>
      </c>
      <c r="BM88" s="15" t="s">
        <v>1247</v>
      </c>
      <c r="BN88" s="15" t="s">
        <v>513</v>
      </c>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t="s">
        <v>550</v>
      </c>
      <c r="CM88" s="15" t="s">
        <v>604</v>
      </c>
      <c r="CN88" s="15" t="s">
        <v>2468</v>
      </c>
      <c r="CO88" s="15" t="s">
        <v>2469</v>
      </c>
      <c r="CP88" s="15" t="s">
        <v>685</v>
      </c>
      <c r="CQ88" s="15" t="s">
        <v>2470</v>
      </c>
      <c r="CR88" s="15" t="s">
        <v>804</v>
      </c>
      <c r="CS88" s="15" t="s">
        <v>2471</v>
      </c>
      <c r="CT88" s="15" t="s">
        <v>2472</v>
      </c>
      <c r="CU88" s="15" t="s">
        <v>450</v>
      </c>
      <c r="CV88" s="15" t="s">
        <v>409</v>
      </c>
      <c r="CW88" s="15" t="s">
        <v>2473</v>
      </c>
      <c r="CX88" s="15" t="s">
        <v>455</v>
      </c>
      <c r="CY88" s="15" t="s">
        <v>2474</v>
      </c>
      <c r="CZ88" s="15" t="s">
        <v>1398</v>
      </c>
      <c r="DA88" s="15" t="s">
        <v>2475</v>
      </c>
      <c r="DB88" s="15" t="s">
        <v>455</v>
      </c>
      <c r="DC88" s="15" t="s">
        <v>2476</v>
      </c>
      <c r="DD88" s="15" t="s">
        <v>457</v>
      </c>
      <c r="DE88" s="15"/>
      <c r="DF88" s="15" t="s">
        <v>2477</v>
      </c>
      <c r="DG88" s="15" t="s">
        <v>776</v>
      </c>
      <c r="DH88" s="15" t="s">
        <v>410</v>
      </c>
      <c r="DI88" s="15" t="s">
        <v>459</v>
      </c>
      <c r="DJ88" s="15" t="s">
        <v>460</v>
      </c>
      <c r="DK88" s="15" t="s">
        <v>563</v>
      </c>
      <c r="DL88" s="15" t="s">
        <v>2478</v>
      </c>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t="s">
        <v>478</v>
      </c>
      <c r="EU88" s="15" t="s">
        <v>579</v>
      </c>
      <c r="EV88" s="15" t="s">
        <v>480</v>
      </c>
      <c r="EW88" s="15"/>
      <c r="EX88" s="15"/>
      <c r="EY88" s="15" t="s">
        <v>2479</v>
      </c>
      <c r="EZ88" s="15" t="s">
        <v>583</v>
      </c>
      <c r="FA88" s="15" t="s">
        <v>583</v>
      </c>
      <c r="FB88" s="15" t="s">
        <v>413</v>
      </c>
      <c r="FC88" s="15" t="s">
        <v>583</v>
      </c>
      <c r="FD88" s="15" t="s">
        <v>416</v>
      </c>
      <c r="FE88" s="15" t="s">
        <v>583</v>
      </c>
      <c r="FF88" s="15" t="s">
        <v>583</v>
      </c>
      <c r="FG88" s="15" t="s">
        <v>414</v>
      </c>
      <c r="FH88" s="15" t="s">
        <v>484</v>
      </c>
      <c r="FI88" s="15" t="s">
        <v>413</v>
      </c>
      <c r="FJ88" s="15" t="s">
        <v>583</v>
      </c>
      <c r="FK88" s="15" t="s">
        <v>416</v>
      </c>
      <c r="FL88" s="15" t="s">
        <v>416</v>
      </c>
      <c r="FM88" s="15" t="s">
        <v>413</v>
      </c>
      <c r="FN88" s="15" t="s">
        <v>583</v>
      </c>
      <c r="FO88" s="15" t="s">
        <v>1537</v>
      </c>
      <c r="FP88" s="15" t="s">
        <v>418</v>
      </c>
      <c r="FQ88" s="15" t="s">
        <v>630</v>
      </c>
      <c r="FR88" s="15" t="s">
        <v>2022</v>
      </c>
      <c r="FS88" s="15" t="s">
        <v>1871</v>
      </c>
      <c r="FT88" s="15" t="s">
        <v>1462</v>
      </c>
      <c r="FU88" s="15" t="s">
        <v>585</v>
      </c>
      <c r="FV88" s="15" t="s">
        <v>2136</v>
      </c>
      <c r="FW88" s="15" t="s">
        <v>1853</v>
      </c>
      <c r="FX88" s="15" t="s">
        <v>2480</v>
      </c>
      <c r="FY88" s="15" t="s">
        <v>1854</v>
      </c>
      <c r="FZ88" s="15" t="s">
        <v>2481</v>
      </c>
      <c r="GA88" s="15"/>
      <c r="GB88" s="15" t="s">
        <v>455</v>
      </c>
      <c r="GC88" s="15"/>
      <c r="GD88" s="15"/>
      <c r="GE88" s="15" t="s">
        <v>753</v>
      </c>
      <c r="GF88" s="15" t="s">
        <v>455</v>
      </c>
      <c r="GG88" s="15" t="s">
        <v>755</v>
      </c>
      <c r="GH88" s="15" t="s">
        <v>755</v>
      </c>
      <c r="GI88" s="15" t="s">
        <v>946</v>
      </c>
      <c r="GJ88" s="15"/>
      <c r="GK88" s="15"/>
      <c r="GL88" s="15"/>
      <c r="GM88" s="15"/>
      <c r="GN88" s="15" t="s">
        <v>2293</v>
      </c>
      <c r="GO88" s="15" t="s">
        <v>2293</v>
      </c>
      <c r="GP88" s="15"/>
      <c r="GQ88" s="15"/>
      <c r="GR88" s="15"/>
      <c r="GS88" s="15"/>
      <c r="GT88" s="15"/>
      <c r="GU88" s="15"/>
      <c r="GV88" s="15"/>
      <c r="GW88" s="15"/>
      <c r="GX88" s="15"/>
      <c r="GY88" s="15"/>
      <c r="GZ88" s="15"/>
      <c r="HA88" s="15"/>
      <c r="HB88" s="15"/>
      <c r="HC88" s="15"/>
      <c r="HD88" s="15"/>
      <c r="HE88" s="15"/>
      <c r="HF88" s="15"/>
      <c r="HG88" s="15"/>
      <c r="HH88" s="15"/>
      <c r="HI88" s="15"/>
      <c r="HJ88" s="15"/>
      <c r="HK88" s="15"/>
      <c r="HL88" s="15"/>
      <c r="HM88" s="15"/>
      <c r="HN88" s="15"/>
      <c r="HO88" s="15"/>
      <c r="HP88" s="31"/>
      <c r="MX88" s="29" t="s">
        <v>635</v>
      </c>
      <c r="MY88" s="29" t="str">
        <f>IFERROR(__xludf.DUMMYFUNCTION("""COMPUTED_VALUE"""),"Italy")</f>
        <v>Italy</v>
      </c>
    </row>
    <row r="89" ht="16.5" customHeight="1">
      <c r="A89" s="30">
        <v>45828.25383616898</v>
      </c>
      <c r="B89" s="15" t="s">
        <v>368</v>
      </c>
      <c r="C89" s="15" t="s">
        <v>635</v>
      </c>
      <c r="D89" s="15" t="s">
        <v>635</v>
      </c>
      <c r="E89" s="15"/>
      <c r="F89" s="15"/>
      <c r="G89" s="15" t="s">
        <v>422</v>
      </c>
      <c r="H89" s="15" t="s">
        <v>637</v>
      </c>
      <c r="I89" s="15" t="s">
        <v>638</v>
      </c>
      <c r="J89" s="15" t="s">
        <v>590</v>
      </c>
      <c r="K89" s="15" t="s">
        <v>376</v>
      </c>
      <c r="L89" s="15" t="s">
        <v>670</v>
      </c>
      <c r="M89" s="15" t="s">
        <v>2482</v>
      </c>
      <c r="N89" s="15" t="s">
        <v>793</v>
      </c>
      <c r="O89" s="15" t="s">
        <v>671</v>
      </c>
      <c r="P89" s="15" t="s">
        <v>498</v>
      </c>
      <c r="Q89" s="15" t="s">
        <v>862</v>
      </c>
      <c r="R89" s="15" t="s">
        <v>500</v>
      </c>
      <c r="S89" s="15" t="s">
        <v>384</v>
      </c>
      <c r="T89" s="15" t="s">
        <v>385</v>
      </c>
      <c r="U89" s="15"/>
      <c r="V89" s="15"/>
      <c r="W89" s="15" t="s">
        <v>428</v>
      </c>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t="s">
        <v>1310</v>
      </c>
      <c r="AW89" s="15">
        <v>4.0</v>
      </c>
      <c r="AX89" s="15" t="s">
        <v>391</v>
      </c>
      <c r="AY89" s="15">
        <v>4.0</v>
      </c>
      <c r="AZ89" s="15" t="s">
        <v>675</v>
      </c>
      <c r="BA89" s="15" t="s">
        <v>675</v>
      </c>
      <c r="BB89" s="15">
        <v>4.0</v>
      </c>
      <c r="BC89" s="15" t="s">
        <v>2483</v>
      </c>
      <c r="BD89" s="15" t="s">
        <v>2484</v>
      </c>
      <c r="BE89" s="15" t="s">
        <v>432</v>
      </c>
      <c r="BF89" s="15" t="s">
        <v>393</v>
      </c>
      <c r="BG89" s="15" t="s">
        <v>394</v>
      </c>
      <c r="BH89" s="15" t="s">
        <v>2485</v>
      </c>
      <c r="BI89" s="15" t="s">
        <v>976</v>
      </c>
      <c r="BJ89" s="15"/>
      <c r="BK89" s="15" t="s">
        <v>681</v>
      </c>
      <c r="BL89" s="15" t="s">
        <v>603</v>
      </c>
      <c r="BM89" s="15" t="s">
        <v>1247</v>
      </c>
      <c r="BN89" s="15" t="s">
        <v>398</v>
      </c>
      <c r="BO89" s="15" t="s">
        <v>2486</v>
      </c>
      <c r="BP89" s="15" t="s">
        <v>2487</v>
      </c>
      <c r="BQ89" s="15" t="s">
        <v>401</v>
      </c>
      <c r="BR89" s="15" t="s">
        <v>2488</v>
      </c>
      <c r="BS89" s="15"/>
      <c r="BT89" s="15" t="s">
        <v>1994</v>
      </c>
      <c r="BU89" s="15" t="s">
        <v>405</v>
      </c>
      <c r="BV89" s="15"/>
      <c r="BW89" s="15" t="s">
        <v>406</v>
      </c>
      <c r="BX89" s="15"/>
      <c r="BY89" s="15" t="s">
        <v>408</v>
      </c>
      <c r="BZ89" s="15"/>
      <c r="CA89" s="15" t="s">
        <v>2489</v>
      </c>
      <c r="CB89" s="15" t="s">
        <v>2490</v>
      </c>
      <c r="CC89" s="15" t="s">
        <v>2491</v>
      </c>
      <c r="CD89" s="15" t="s">
        <v>1257</v>
      </c>
      <c r="CE89" s="15"/>
      <c r="CF89" s="15"/>
      <c r="CG89" s="15"/>
      <c r="CH89" s="15" t="s">
        <v>1259</v>
      </c>
      <c r="CI89" s="15" t="s">
        <v>833</v>
      </c>
      <c r="CJ89" s="15" t="s">
        <v>2492</v>
      </c>
      <c r="CK89" s="15" t="s">
        <v>2493</v>
      </c>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t="s">
        <v>578</v>
      </c>
      <c r="EU89" s="15" t="s">
        <v>579</v>
      </c>
      <c r="EV89" s="15" t="s">
        <v>527</v>
      </c>
      <c r="EW89" s="15" t="s">
        <v>2494</v>
      </c>
      <c r="EX89" s="15" t="s">
        <v>2495</v>
      </c>
      <c r="EY89" s="15" t="s">
        <v>2496</v>
      </c>
      <c r="EZ89" s="15" t="s">
        <v>416</v>
      </c>
      <c r="FA89" s="15" t="s">
        <v>484</v>
      </c>
      <c r="FB89" s="15" t="s">
        <v>413</v>
      </c>
      <c r="FC89" s="15" t="s">
        <v>413</v>
      </c>
      <c r="FD89" s="15" t="s">
        <v>413</v>
      </c>
      <c r="FE89" s="15" t="s">
        <v>414</v>
      </c>
      <c r="FF89" s="15" t="s">
        <v>413</v>
      </c>
      <c r="FG89" s="15" t="s">
        <v>415</v>
      </c>
      <c r="FH89" s="15" t="s">
        <v>415</v>
      </c>
      <c r="FI89" s="15" t="s">
        <v>413</v>
      </c>
      <c r="FJ89" s="15" t="s">
        <v>416</v>
      </c>
      <c r="FK89" s="15" t="s">
        <v>484</v>
      </c>
      <c r="FL89" s="15" t="s">
        <v>484</v>
      </c>
      <c r="FM89" s="15" t="s">
        <v>484</v>
      </c>
      <c r="FN89" s="15" t="s">
        <v>484</v>
      </c>
      <c r="FO89" s="15" t="s">
        <v>850</v>
      </c>
      <c r="FP89" s="15" t="s">
        <v>418</v>
      </c>
      <c r="FQ89" s="15" t="s">
        <v>1039</v>
      </c>
      <c r="FR89" s="15" t="s">
        <v>631</v>
      </c>
      <c r="FS89" s="15" t="s">
        <v>420</v>
      </c>
      <c r="FT89" s="15" t="s">
        <v>488</v>
      </c>
      <c r="FU89" s="15" t="s">
        <v>1235</v>
      </c>
      <c r="FV89" s="15" t="s">
        <v>490</v>
      </c>
      <c r="FW89" s="15" t="s">
        <v>491</v>
      </c>
      <c r="FX89" s="15"/>
      <c r="FY89" s="15" t="s">
        <v>535</v>
      </c>
      <c r="FZ89" s="15"/>
      <c r="GA89" s="15"/>
      <c r="GB89" s="15" t="s">
        <v>455</v>
      </c>
      <c r="GC89" s="15"/>
      <c r="GD89" s="15" t="s">
        <v>2497</v>
      </c>
      <c r="GE89" s="15" t="s">
        <v>753</v>
      </c>
      <c r="GF89" s="15"/>
      <c r="GG89" s="15"/>
      <c r="GH89" s="15"/>
      <c r="GI89" s="15"/>
      <c r="GJ89" s="15" t="s">
        <v>1000</v>
      </c>
      <c r="GK89" s="15" t="s">
        <v>1000</v>
      </c>
      <c r="GL89" s="15" t="s">
        <v>858</v>
      </c>
      <c r="GM89" s="15"/>
      <c r="GN89" s="15"/>
      <c r="GO89" s="15"/>
      <c r="GP89" s="15"/>
      <c r="GQ89" s="15"/>
      <c r="GR89" s="15"/>
      <c r="GS89" s="15"/>
      <c r="GT89" s="15"/>
      <c r="GU89" s="15"/>
      <c r="GV89" s="15"/>
      <c r="GW89" s="15"/>
      <c r="GX89" s="15"/>
      <c r="GY89" s="15"/>
      <c r="GZ89" s="15"/>
      <c r="HA89" s="15"/>
      <c r="HB89" s="15"/>
      <c r="HC89" s="15"/>
      <c r="HD89" s="15"/>
      <c r="HE89" s="15"/>
      <c r="HF89" s="15"/>
      <c r="HG89" s="15"/>
      <c r="HH89" s="15"/>
      <c r="HI89" s="15"/>
      <c r="HJ89" s="15"/>
      <c r="HK89" s="15"/>
      <c r="HL89" s="15"/>
      <c r="HM89" s="15"/>
      <c r="HN89" s="15"/>
      <c r="HO89" s="15"/>
      <c r="HP89" s="31"/>
      <c r="MX89" s="29" t="s">
        <v>2498</v>
      </c>
      <c r="MY89" s="29" t="str">
        <f>IFERROR(__xludf.DUMMYFUNCTION("""COMPUTED_VALUE"""),"Czechia (Czech Republic)")</f>
        <v>Czechia (Czech Republic)</v>
      </c>
    </row>
    <row r="90" ht="16.5" customHeight="1">
      <c r="A90" s="30">
        <v>45828.2956471412</v>
      </c>
      <c r="B90" s="15" t="s">
        <v>368</v>
      </c>
      <c r="C90" s="15" t="s">
        <v>2498</v>
      </c>
      <c r="D90" s="15" t="s">
        <v>894</v>
      </c>
      <c r="E90" s="15"/>
      <c r="F90" s="15"/>
      <c r="G90" s="15" t="s">
        <v>422</v>
      </c>
      <c r="H90" s="15" t="s">
        <v>423</v>
      </c>
      <c r="I90" s="15" t="s">
        <v>424</v>
      </c>
      <c r="J90" s="15" t="s">
        <v>375</v>
      </c>
      <c r="K90" s="15" t="s">
        <v>376</v>
      </c>
      <c r="L90" s="15" t="s">
        <v>379</v>
      </c>
      <c r="M90" s="15" t="s">
        <v>378</v>
      </c>
      <c r="N90" s="15" t="s">
        <v>379</v>
      </c>
      <c r="O90" s="15" t="s">
        <v>497</v>
      </c>
      <c r="P90" s="15" t="s">
        <v>381</v>
      </c>
      <c r="Q90" s="15" t="s">
        <v>862</v>
      </c>
      <c r="R90" s="15" t="s">
        <v>949</v>
      </c>
      <c r="S90" s="15" t="s">
        <v>384</v>
      </c>
      <c r="T90" s="15" t="s">
        <v>385</v>
      </c>
      <c r="U90" s="15"/>
      <c r="V90" s="15" t="s">
        <v>1045</v>
      </c>
      <c r="W90" s="15" t="s">
        <v>428</v>
      </c>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t="s">
        <v>1310</v>
      </c>
      <c r="AW90" s="15">
        <v>4.0</v>
      </c>
      <c r="AX90" s="15">
        <v>4.0</v>
      </c>
      <c r="AY90" s="15">
        <v>4.0</v>
      </c>
      <c r="AZ90" s="15">
        <v>4.0</v>
      </c>
      <c r="BA90" s="15">
        <v>4.0</v>
      </c>
      <c r="BB90" s="15">
        <v>4.0</v>
      </c>
      <c r="BC90" s="15" t="s">
        <v>2499</v>
      </c>
      <c r="BD90" s="15" t="s">
        <v>2500</v>
      </c>
      <c r="BE90" s="15" t="s">
        <v>432</v>
      </c>
      <c r="BF90" s="15" t="s">
        <v>1095</v>
      </c>
      <c r="BG90" s="15" t="s">
        <v>394</v>
      </c>
      <c r="BH90" s="15" t="s">
        <v>2501</v>
      </c>
      <c r="BI90" s="15" t="s">
        <v>976</v>
      </c>
      <c r="BJ90" s="15"/>
      <c r="BK90" s="15" t="s">
        <v>395</v>
      </c>
      <c r="BL90" s="15" t="s">
        <v>904</v>
      </c>
      <c r="BM90" s="15" t="s">
        <v>1314</v>
      </c>
      <c r="BN90" s="15" t="s">
        <v>398</v>
      </c>
      <c r="BO90" s="15" t="s">
        <v>2502</v>
      </c>
      <c r="BP90" s="15" t="s">
        <v>408</v>
      </c>
      <c r="BQ90" s="15" t="s">
        <v>442</v>
      </c>
      <c r="BR90" s="15" t="s">
        <v>2488</v>
      </c>
      <c r="BS90" s="15" t="s">
        <v>1741</v>
      </c>
      <c r="BT90" s="15" t="s">
        <v>1994</v>
      </c>
      <c r="BU90" s="15" t="s">
        <v>405</v>
      </c>
      <c r="BV90" s="15"/>
      <c r="BW90" s="15" t="s">
        <v>406</v>
      </c>
      <c r="BX90" s="15" t="s">
        <v>2503</v>
      </c>
      <c r="BY90" s="15" t="s">
        <v>408</v>
      </c>
      <c r="BZ90" s="15"/>
      <c r="CA90" s="15"/>
      <c r="CB90" s="15" t="s">
        <v>2504</v>
      </c>
      <c r="CC90" s="15" t="s">
        <v>2505</v>
      </c>
      <c r="CD90" s="15" t="s">
        <v>1257</v>
      </c>
      <c r="CE90" s="15"/>
      <c r="CF90" s="15" t="s">
        <v>2233</v>
      </c>
      <c r="CG90" s="15"/>
      <c r="CH90" s="15" t="s">
        <v>1259</v>
      </c>
      <c r="CI90" s="15" t="s">
        <v>410</v>
      </c>
      <c r="CJ90" s="15" t="s">
        <v>2506</v>
      </c>
      <c r="CK90" s="15" t="s">
        <v>2507</v>
      </c>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t="s">
        <v>526</v>
      </c>
      <c r="EU90" s="15" t="s">
        <v>1127</v>
      </c>
      <c r="EV90" s="15" t="s">
        <v>663</v>
      </c>
      <c r="EW90" s="15" t="s">
        <v>2508</v>
      </c>
      <c r="EX90" s="15"/>
      <c r="EY90" s="15" t="s">
        <v>2509</v>
      </c>
      <c r="EZ90" s="15" t="s">
        <v>413</v>
      </c>
      <c r="FA90" s="15" t="s">
        <v>416</v>
      </c>
      <c r="FB90" s="15" t="s">
        <v>413</v>
      </c>
      <c r="FC90" s="15" t="s">
        <v>413</v>
      </c>
      <c r="FD90" s="15" t="s">
        <v>413</v>
      </c>
      <c r="FE90" s="15" t="s">
        <v>414</v>
      </c>
      <c r="FF90" s="15" t="s">
        <v>413</v>
      </c>
      <c r="FG90" s="15" t="s">
        <v>413</v>
      </c>
      <c r="FH90" s="15" t="s">
        <v>413</v>
      </c>
      <c r="FI90" s="15" t="s">
        <v>416</v>
      </c>
      <c r="FJ90" s="15" t="s">
        <v>413</v>
      </c>
      <c r="FK90" s="15" t="s">
        <v>413</v>
      </c>
      <c r="FL90" s="15" t="s">
        <v>416</v>
      </c>
      <c r="FM90" s="15" t="s">
        <v>413</v>
      </c>
      <c r="FN90" s="15" t="s">
        <v>484</v>
      </c>
      <c r="FO90" s="15" t="s">
        <v>417</v>
      </c>
      <c r="FP90" s="15" t="s">
        <v>418</v>
      </c>
      <c r="FQ90" s="15" t="s">
        <v>712</v>
      </c>
      <c r="FR90" s="15" t="s">
        <v>2510</v>
      </c>
      <c r="FS90" s="15" t="s">
        <v>420</v>
      </c>
      <c r="FT90" s="15" t="s">
        <v>488</v>
      </c>
      <c r="FU90" s="15" t="s">
        <v>918</v>
      </c>
      <c r="FV90" s="15" t="s">
        <v>490</v>
      </c>
      <c r="FW90" s="15" t="s">
        <v>491</v>
      </c>
      <c r="FX90" s="15" t="s">
        <v>2511</v>
      </c>
      <c r="FY90" s="15" t="s">
        <v>535</v>
      </c>
      <c r="FZ90" s="15" t="s">
        <v>2512</v>
      </c>
      <c r="GA90" s="15"/>
      <c r="GB90" s="15" t="s">
        <v>408</v>
      </c>
      <c r="GC90" s="15"/>
      <c r="GD90" s="15"/>
      <c r="GE90" s="15"/>
      <c r="GF90" s="15"/>
      <c r="GG90" s="15"/>
      <c r="GH90" s="15"/>
      <c r="GI90" s="15"/>
      <c r="GJ90" s="15" t="s">
        <v>755</v>
      </c>
      <c r="GK90" s="15" t="s">
        <v>755</v>
      </c>
      <c r="GL90" s="15" t="s">
        <v>946</v>
      </c>
      <c r="GM90" s="15"/>
      <c r="GN90" s="15" t="s">
        <v>2513</v>
      </c>
      <c r="GO90" s="15"/>
      <c r="GP90" s="15"/>
      <c r="GQ90" s="15"/>
      <c r="GR90" s="15"/>
      <c r="GS90" s="15"/>
      <c r="GT90" s="15"/>
      <c r="GU90" s="15"/>
      <c r="GV90" s="15"/>
      <c r="GW90" s="15"/>
      <c r="GX90" s="15"/>
      <c r="GY90" s="15"/>
      <c r="GZ90" s="15"/>
      <c r="HA90" s="15"/>
      <c r="HB90" s="15"/>
      <c r="HC90" s="15"/>
      <c r="HD90" s="15"/>
      <c r="HE90" s="15"/>
      <c r="HF90" s="15"/>
      <c r="HG90" s="15"/>
      <c r="HH90" s="15"/>
      <c r="HI90" s="15"/>
      <c r="HJ90" s="15"/>
      <c r="HK90" s="15"/>
      <c r="HL90" s="15"/>
      <c r="HM90" s="15"/>
      <c r="HN90" s="15"/>
      <c r="HO90" s="15"/>
      <c r="HP90" s="31"/>
      <c r="MX90" s="29" t="s">
        <v>10402</v>
      </c>
      <c r="MY90" s="29" t="str">
        <f>IFERROR(__xludf.DUMMYFUNCTION("""COMPUTED_VALUE"""),"Connecticut")</f>
        <v>Connecticut</v>
      </c>
    </row>
    <row r="91" ht="16.5" customHeight="1">
      <c r="A91" s="30">
        <v>45828.31245334491</v>
      </c>
      <c r="B91" s="15" t="s">
        <v>368</v>
      </c>
      <c r="C91" s="15" t="s">
        <v>370</v>
      </c>
      <c r="D91" s="15"/>
      <c r="E91" s="15" t="s">
        <v>2376</v>
      </c>
      <c r="F91" s="15"/>
      <c r="G91" s="15" t="s">
        <v>422</v>
      </c>
      <c r="H91" s="15" t="s">
        <v>637</v>
      </c>
      <c r="I91" s="15" t="s">
        <v>374</v>
      </c>
      <c r="J91" s="15" t="s">
        <v>718</v>
      </c>
      <c r="K91" s="15" t="s">
        <v>376</v>
      </c>
      <c r="L91" s="15" t="s">
        <v>793</v>
      </c>
      <c r="M91" s="15"/>
      <c r="N91" s="15" t="s">
        <v>379</v>
      </c>
      <c r="O91" s="15"/>
      <c r="P91" s="15" t="s">
        <v>381</v>
      </c>
      <c r="Q91" s="15" t="s">
        <v>1156</v>
      </c>
      <c r="R91" s="15" t="s">
        <v>1704</v>
      </c>
      <c r="S91" s="15" t="s">
        <v>1512</v>
      </c>
      <c r="T91" s="15" t="s">
        <v>385</v>
      </c>
      <c r="U91" s="15"/>
      <c r="V91" s="15"/>
      <c r="W91" s="15" t="s">
        <v>386</v>
      </c>
      <c r="X91" s="15" t="s">
        <v>387</v>
      </c>
      <c r="Y91" s="15"/>
      <c r="Z91" s="15" t="s">
        <v>672</v>
      </c>
      <c r="AA91" s="15"/>
      <c r="AB91" s="15"/>
      <c r="AC91" s="15"/>
      <c r="AD91" s="15"/>
      <c r="AE91" s="15"/>
      <c r="AF91" s="15"/>
      <c r="AG91" s="15"/>
      <c r="AH91" s="15"/>
      <c r="AI91" s="15"/>
      <c r="AJ91" s="15"/>
      <c r="AK91" s="15"/>
      <c r="AL91" s="15"/>
      <c r="AM91" s="15"/>
      <c r="AN91" s="15"/>
      <c r="AO91" s="15"/>
      <c r="AP91" s="15"/>
      <c r="AQ91" s="15"/>
      <c r="AR91" s="15"/>
      <c r="AS91" s="15"/>
      <c r="AT91" s="15"/>
      <c r="AU91" s="15"/>
      <c r="AV91" s="15" t="s">
        <v>504</v>
      </c>
      <c r="AW91" s="15" t="s">
        <v>429</v>
      </c>
      <c r="AX91" s="15" t="s">
        <v>429</v>
      </c>
      <c r="AY91" s="15" t="s">
        <v>429</v>
      </c>
      <c r="AZ91" s="15" t="s">
        <v>429</v>
      </c>
      <c r="BA91" s="15" t="s">
        <v>429</v>
      </c>
      <c r="BB91" s="15" t="s">
        <v>429</v>
      </c>
      <c r="BC91" s="15"/>
      <c r="BD91" s="15"/>
      <c r="BE91" s="15" t="s">
        <v>392</v>
      </c>
      <c r="BF91" s="15" t="s">
        <v>433</v>
      </c>
      <c r="BG91" s="15"/>
      <c r="BH91" s="15"/>
      <c r="BI91" s="15" t="s">
        <v>509</v>
      </c>
      <c r="BJ91" s="15"/>
      <c r="BK91" s="15" t="s">
        <v>681</v>
      </c>
      <c r="BL91" s="15" t="s">
        <v>438</v>
      </c>
      <c r="BM91" s="15" t="s">
        <v>439</v>
      </c>
      <c r="BN91" s="15" t="s">
        <v>513</v>
      </c>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t="s">
        <v>441</v>
      </c>
      <c r="CM91" s="15" t="s">
        <v>442</v>
      </c>
      <c r="CN91" s="15" t="s">
        <v>552</v>
      </c>
      <c r="CO91" s="15" t="s">
        <v>2514</v>
      </c>
      <c r="CP91" s="15" t="s">
        <v>1008</v>
      </c>
      <c r="CQ91" s="15" t="s">
        <v>2515</v>
      </c>
      <c r="CR91" s="15"/>
      <c r="CS91" s="15"/>
      <c r="CT91" s="15"/>
      <c r="CU91" s="15" t="s">
        <v>450</v>
      </c>
      <c r="CV91" s="15" t="s">
        <v>451</v>
      </c>
      <c r="CW91" s="15"/>
      <c r="CX91" s="15" t="s">
        <v>408</v>
      </c>
      <c r="CY91" s="15"/>
      <c r="CZ91" s="15" t="s">
        <v>453</v>
      </c>
      <c r="DA91" s="15"/>
      <c r="DB91" s="15" t="s">
        <v>455</v>
      </c>
      <c r="DC91" s="15"/>
      <c r="DD91" s="15" t="s">
        <v>662</v>
      </c>
      <c r="DE91" s="15"/>
      <c r="DF91" s="15"/>
      <c r="DG91" s="15" t="s">
        <v>524</v>
      </c>
      <c r="DH91" s="15" t="s">
        <v>410</v>
      </c>
      <c r="DI91" s="15" t="s">
        <v>459</v>
      </c>
      <c r="DJ91" s="15" t="s">
        <v>613</v>
      </c>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t="s">
        <v>526</v>
      </c>
      <c r="EU91" s="15" t="s">
        <v>479</v>
      </c>
      <c r="EV91" s="15"/>
      <c r="EW91" s="15"/>
      <c r="EX91" s="15"/>
      <c r="EY91" s="15"/>
      <c r="EZ91" s="15"/>
      <c r="FA91" s="15"/>
      <c r="FB91" s="15"/>
      <c r="FC91" s="15"/>
      <c r="FD91" s="15"/>
      <c r="FE91" s="15"/>
      <c r="FF91" s="15"/>
      <c r="FG91" s="15"/>
      <c r="FH91" s="15"/>
      <c r="FI91" s="15"/>
      <c r="FJ91" s="15"/>
      <c r="FK91" s="15"/>
      <c r="FL91" s="15"/>
      <c r="FM91" s="15"/>
      <c r="FN91" s="15"/>
      <c r="FO91" s="15" t="s">
        <v>485</v>
      </c>
      <c r="FP91" s="15" t="s">
        <v>418</v>
      </c>
      <c r="FQ91" s="15"/>
      <c r="FR91" s="15"/>
      <c r="FS91" s="15" t="s">
        <v>420</v>
      </c>
      <c r="FT91" s="15" t="s">
        <v>488</v>
      </c>
      <c r="FU91" s="15"/>
      <c r="FV91" s="15" t="s">
        <v>490</v>
      </c>
      <c r="FW91" s="15" t="s">
        <v>491</v>
      </c>
      <c r="FX91" s="15"/>
      <c r="FY91" s="15" t="s">
        <v>535</v>
      </c>
      <c r="FZ91" s="15"/>
      <c r="GA91" s="15"/>
      <c r="GB91" s="15" t="s">
        <v>408</v>
      </c>
      <c r="GC91" s="15"/>
      <c r="GD91" s="15"/>
      <c r="GE91" s="15"/>
      <c r="GF91" s="15"/>
      <c r="GG91" s="15" t="s">
        <v>755</v>
      </c>
      <c r="GH91" s="15" t="s">
        <v>755</v>
      </c>
      <c r="GI91" s="15" t="s">
        <v>946</v>
      </c>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c r="HN91" s="15"/>
      <c r="HO91" s="15"/>
      <c r="HP91" s="31"/>
      <c r="MX91" s="29" t="s">
        <v>10402</v>
      </c>
      <c r="MY91" s="29" t="str">
        <f>IFERROR(__xludf.DUMMYFUNCTION("""COMPUTED_VALUE"""),"California")</f>
        <v>California</v>
      </c>
    </row>
    <row r="92" ht="16.5" customHeight="1">
      <c r="A92" s="30">
        <v>45828.31539207176</v>
      </c>
      <c r="B92" s="15" t="s">
        <v>368</v>
      </c>
      <c r="C92" s="15" t="s">
        <v>370</v>
      </c>
      <c r="D92" s="15"/>
      <c r="E92" s="15" t="s">
        <v>371</v>
      </c>
      <c r="F92" s="15"/>
      <c r="G92" s="15" t="s">
        <v>422</v>
      </c>
      <c r="H92" s="15" t="s">
        <v>1921</v>
      </c>
      <c r="I92" s="15" t="s">
        <v>668</v>
      </c>
      <c r="J92" s="15" t="s">
        <v>718</v>
      </c>
      <c r="K92" s="15" t="s">
        <v>376</v>
      </c>
      <c r="L92" s="15" t="s">
        <v>379</v>
      </c>
      <c r="M92" s="15" t="s">
        <v>2464</v>
      </c>
      <c r="N92" s="15" t="s">
        <v>426</v>
      </c>
      <c r="O92" s="15" t="s">
        <v>380</v>
      </c>
      <c r="P92" s="15" t="s">
        <v>381</v>
      </c>
      <c r="Q92" s="15" t="s">
        <v>499</v>
      </c>
      <c r="R92" s="15" t="s">
        <v>1594</v>
      </c>
      <c r="S92" s="15" t="s">
        <v>384</v>
      </c>
      <c r="T92" s="15" t="s">
        <v>385</v>
      </c>
      <c r="U92" s="15"/>
      <c r="V92" s="15"/>
      <c r="W92" s="15" t="s">
        <v>428</v>
      </c>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t="s">
        <v>390</v>
      </c>
      <c r="AW92" s="15">
        <v>2.0</v>
      </c>
      <c r="AX92" s="15">
        <v>2.0</v>
      </c>
      <c r="AY92" s="15">
        <v>2.0</v>
      </c>
      <c r="AZ92" s="15" t="s">
        <v>429</v>
      </c>
      <c r="BA92" s="15" t="s">
        <v>429</v>
      </c>
      <c r="BB92" s="15">
        <v>2.0</v>
      </c>
      <c r="BC92" s="15" t="s">
        <v>2516</v>
      </c>
      <c r="BD92" s="15" t="s">
        <v>2517</v>
      </c>
      <c r="BE92" s="15" t="s">
        <v>392</v>
      </c>
      <c r="BF92" s="15" t="s">
        <v>433</v>
      </c>
      <c r="BG92" s="15" t="s">
        <v>678</v>
      </c>
      <c r="BH92" s="15"/>
      <c r="BI92" s="15" t="s">
        <v>509</v>
      </c>
      <c r="BJ92" s="15"/>
      <c r="BK92" s="15" t="s">
        <v>511</v>
      </c>
      <c r="BL92" s="15" t="s">
        <v>512</v>
      </c>
      <c r="BM92" s="15" t="s">
        <v>549</v>
      </c>
      <c r="BN92" s="15" t="s">
        <v>513</v>
      </c>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t="s">
        <v>441</v>
      </c>
      <c r="CM92" s="15" t="s">
        <v>401</v>
      </c>
      <c r="CN92" s="15" t="s">
        <v>552</v>
      </c>
      <c r="CO92" s="15" t="s">
        <v>2518</v>
      </c>
      <c r="CP92" s="15" t="s">
        <v>1008</v>
      </c>
      <c r="CQ92" s="15" t="s">
        <v>2519</v>
      </c>
      <c r="CR92" s="15" t="s">
        <v>404</v>
      </c>
      <c r="CS92" s="15" t="s">
        <v>2520</v>
      </c>
      <c r="CT92" s="15"/>
      <c r="CU92" s="15" t="s">
        <v>982</v>
      </c>
      <c r="CV92" s="15" t="s">
        <v>451</v>
      </c>
      <c r="CW92" s="15" t="s">
        <v>2521</v>
      </c>
      <c r="CX92" s="15" t="s">
        <v>408</v>
      </c>
      <c r="CY92" s="15"/>
      <c r="CZ92" s="15" t="s">
        <v>453</v>
      </c>
      <c r="DA92" s="15"/>
      <c r="DB92" s="15" t="s">
        <v>455</v>
      </c>
      <c r="DC92" s="15"/>
      <c r="DD92" s="15" t="s">
        <v>1400</v>
      </c>
      <c r="DE92" s="15" t="s">
        <v>1867</v>
      </c>
      <c r="DF92" s="15"/>
      <c r="DG92" s="15" t="s">
        <v>524</v>
      </c>
      <c r="DH92" s="15" t="s">
        <v>1220</v>
      </c>
      <c r="DI92" s="15" t="s">
        <v>963</v>
      </c>
      <c r="DJ92" s="15" t="s">
        <v>1403</v>
      </c>
      <c r="DK92" s="15" t="s">
        <v>525</v>
      </c>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t="s">
        <v>526</v>
      </c>
      <c r="EU92" s="15" t="s">
        <v>479</v>
      </c>
      <c r="EV92" s="15" t="s">
        <v>1262</v>
      </c>
      <c r="EW92" s="15"/>
      <c r="EX92" s="15" t="s">
        <v>2522</v>
      </c>
      <c r="EY92" s="15" t="s">
        <v>2523</v>
      </c>
      <c r="EZ92" s="15" t="s">
        <v>583</v>
      </c>
      <c r="FA92" s="15" t="s">
        <v>583</v>
      </c>
      <c r="FB92" s="15" t="s">
        <v>414</v>
      </c>
      <c r="FC92" s="15" t="s">
        <v>414</v>
      </c>
      <c r="FD92" s="15" t="s">
        <v>414</v>
      </c>
      <c r="FE92" s="15" t="s">
        <v>583</v>
      </c>
      <c r="FF92" s="15" t="s">
        <v>583</v>
      </c>
      <c r="FG92" s="15" t="s">
        <v>414</v>
      </c>
      <c r="FH92" s="15" t="s">
        <v>414</v>
      </c>
      <c r="FI92" s="15" t="s">
        <v>414</v>
      </c>
      <c r="FJ92" s="15" t="s">
        <v>583</v>
      </c>
      <c r="FK92" s="15"/>
      <c r="FL92" s="15"/>
      <c r="FM92" s="15"/>
      <c r="FN92" s="15"/>
      <c r="FO92" s="15" t="s">
        <v>850</v>
      </c>
      <c r="FP92" s="15" t="s">
        <v>2524</v>
      </c>
      <c r="FQ92" s="15" t="s">
        <v>712</v>
      </c>
      <c r="FR92" s="15"/>
      <c r="FS92" s="15" t="s">
        <v>420</v>
      </c>
      <c r="FT92" s="15" t="s">
        <v>421</v>
      </c>
      <c r="FU92" s="15" t="s">
        <v>533</v>
      </c>
      <c r="FV92" s="15" t="s">
        <v>490</v>
      </c>
      <c r="FW92" s="15" t="s">
        <v>491</v>
      </c>
      <c r="FX92" s="15"/>
      <c r="FY92" s="15" t="s">
        <v>1337</v>
      </c>
      <c r="FZ92" s="15"/>
      <c r="GA92" s="15"/>
      <c r="GB92" s="15" t="s">
        <v>455</v>
      </c>
      <c r="GC92" s="15"/>
      <c r="GD92" s="15"/>
      <c r="GE92" s="15" t="s">
        <v>753</v>
      </c>
      <c r="GF92" s="15"/>
      <c r="GG92" s="15" t="s">
        <v>755</v>
      </c>
      <c r="GH92" s="15" t="s">
        <v>755</v>
      </c>
      <c r="GI92" s="15" t="s">
        <v>946</v>
      </c>
      <c r="GJ92" s="15"/>
      <c r="GK92" s="15"/>
      <c r="GL92" s="15"/>
      <c r="GM92" s="15"/>
      <c r="GN92" s="15"/>
      <c r="GO92" s="15"/>
      <c r="GP92" s="15"/>
      <c r="GQ92" s="15"/>
      <c r="GR92" s="15"/>
      <c r="GS92" s="15"/>
      <c r="GT92" s="15"/>
      <c r="GU92" s="15"/>
      <c r="GV92" s="15"/>
      <c r="GW92" s="15"/>
      <c r="GX92" s="15"/>
      <c r="GY92" s="15"/>
      <c r="GZ92" s="15"/>
      <c r="HA92" s="15"/>
      <c r="HB92" s="15"/>
      <c r="HC92" s="15"/>
      <c r="HD92" s="15"/>
      <c r="HE92" s="15"/>
      <c r="HF92" s="15"/>
      <c r="HG92" s="15"/>
      <c r="HH92" s="15"/>
      <c r="HI92" s="15"/>
      <c r="HJ92" s="15"/>
      <c r="HK92" s="15"/>
      <c r="HL92" s="15"/>
      <c r="HM92" s="15"/>
      <c r="HN92" s="15"/>
      <c r="HO92" s="15"/>
      <c r="HP92" s="31"/>
      <c r="MX92" s="29" t="s">
        <v>10402</v>
      </c>
      <c r="MY92" s="29" t="str">
        <f>IFERROR(__xludf.DUMMYFUNCTION("""COMPUTED_VALUE"""),"New York")</f>
        <v>New York</v>
      </c>
    </row>
    <row r="93" ht="16.5" customHeight="1">
      <c r="A93" s="30">
        <v>45828.34100351852</v>
      </c>
      <c r="B93" s="15" t="s">
        <v>368</v>
      </c>
      <c r="C93" s="15" t="s">
        <v>370</v>
      </c>
      <c r="D93" s="15"/>
      <c r="E93" s="15" t="s">
        <v>667</v>
      </c>
      <c r="F93" s="15"/>
      <c r="G93" s="15" t="s">
        <v>372</v>
      </c>
      <c r="H93" s="15" t="s">
        <v>373</v>
      </c>
      <c r="I93" s="15" t="s">
        <v>374</v>
      </c>
      <c r="J93" s="15" t="s">
        <v>590</v>
      </c>
      <c r="K93" s="15" t="s">
        <v>376</v>
      </c>
      <c r="L93" s="15" t="s">
        <v>1526</v>
      </c>
      <c r="M93" s="15" t="s">
        <v>2464</v>
      </c>
      <c r="N93" s="15" t="s">
        <v>1526</v>
      </c>
      <c r="O93" s="15" t="s">
        <v>497</v>
      </c>
      <c r="P93" s="15" t="s">
        <v>381</v>
      </c>
      <c r="Q93" s="15" t="s">
        <v>382</v>
      </c>
      <c r="R93" s="15" t="s">
        <v>500</v>
      </c>
      <c r="S93" s="15" t="s">
        <v>384</v>
      </c>
      <c r="T93" s="15" t="s">
        <v>385</v>
      </c>
      <c r="U93" s="15"/>
      <c r="V93" s="15"/>
      <c r="W93" s="15" t="s">
        <v>760</v>
      </c>
      <c r="X93" s="15" t="s">
        <v>387</v>
      </c>
      <c r="Y93" s="15" t="s">
        <v>388</v>
      </c>
      <c r="Z93" s="15" t="s">
        <v>389</v>
      </c>
      <c r="AA93" s="15"/>
      <c r="AB93" s="15"/>
      <c r="AC93" s="15"/>
      <c r="AD93" s="15"/>
      <c r="AE93" s="15"/>
      <c r="AF93" s="15"/>
      <c r="AG93" s="15"/>
      <c r="AH93" s="15"/>
      <c r="AI93" s="15"/>
      <c r="AJ93" s="15"/>
      <c r="AK93" s="15"/>
      <c r="AL93" s="15"/>
      <c r="AM93" s="15"/>
      <c r="AN93" s="15"/>
      <c r="AO93" s="15"/>
      <c r="AP93" s="15"/>
      <c r="AQ93" s="15"/>
      <c r="AR93" s="15"/>
      <c r="AS93" s="15"/>
      <c r="AT93" s="15"/>
      <c r="AU93" s="15"/>
      <c r="AV93" s="15" t="s">
        <v>1242</v>
      </c>
      <c r="AW93" s="15" t="s">
        <v>675</v>
      </c>
      <c r="AX93" s="15">
        <v>4.0</v>
      </c>
      <c r="AY93" s="15" t="s">
        <v>675</v>
      </c>
      <c r="AZ93" s="15">
        <v>4.0</v>
      </c>
      <c r="BA93" s="15" t="s">
        <v>675</v>
      </c>
      <c r="BB93" s="15" t="s">
        <v>675</v>
      </c>
      <c r="BC93" s="15" t="s">
        <v>2525</v>
      </c>
      <c r="BD93" s="15" t="s">
        <v>2526</v>
      </c>
      <c r="BE93" s="15" t="s">
        <v>432</v>
      </c>
      <c r="BF93" s="15" t="s">
        <v>1245</v>
      </c>
      <c r="BG93" s="15" t="s">
        <v>394</v>
      </c>
      <c r="BH93" s="15" t="s">
        <v>2527</v>
      </c>
      <c r="BI93" s="15" t="s">
        <v>727</v>
      </c>
      <c r="BJ93" s="15"/>
      <c r="BK93" s="15" t="s">
        <v>437</v>
      </c>
      <c r="BL93" s="15" t="s">
        <v>512</v>
      </c>
      <c r="BM93" s="15" t="s">
        <v>1314</v>
      </c>
      <c r="BN93" s="15" t="s">
        <v>398</v>
      </c>
      <c r="BO93" s="15" t="s">
        <v>2528</v>
      </c>
      <c r="BP93" s="15"/>
      <c r="BQ93" s="15" t="s">
        <v>604</v>
      </c>
      <c r="BR93" s="15" t="s">
        <v>2529</v>
      </c>
      <c r="BS93" s="15" t="s">
        <v>1741</v>
      </c>
      <c r="BT93" s="15" t="s">
        <v>1672</v>
      </c>
      <c r="BU93" s="15" t="s">
        <v>405</v>
      </c>
      <c r="BV93" s="15"/>
      <c r="BW93" s="15" t="s">
        <v>406</v>
      </c>
      <c r="BX93" s="15" t="s">
        <v>2503</v>
      </c>
      <c r="BY93" s="15" t="s">
        <v>408</v>
      </c>
      <c r="BZ93" s="15"/>
      <c r="CA93" s="15"/>
      <c r="CB93" s="15" t="s">
        <v>2530</v>
      </c>
      <c r="CC93" s="15" t="s">
        <v>2531</v>
      </c>
      <c r="CD93" s="15" t="s">
        <v>2248</v>
      </c>
      <c r="CE93" s="15"/>
      <c r="CF93" s="15" t="s">
        <v>1722</v>
      </c>
      <c r="CG93" s="15" t="s">
        <v>2532</v>
      </c>
      <c r="CH93" s="15" t="s">
        <v>1259</v>
      </c>
      <c r="CI93" s="15" t="s">
        <v>410</v>
      </c>
      <c r="CJ93" s="15" t="s">
        <v>2533</v>
      </c>
      <c r="CK93" s="15" t="s">
        <v>2534</v>
      </c>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t="s">
        <v>526</v>
      </c>
      <c r="EU93" s="15" t="s">
        <v>1127</v>
      </c>
      <c r="EV93" s="15" t="s">
        <v>1262</v>
      </c>
      <c r="EW93" s="15"/>
      <c r="EX93" s="15" t="s">
        <v>2535</v>
      </c>
      <c r="EY93" s="15" t="s">
        <v>2536</v>
      </c>
      <c r="EZ93" s="15" t="s">
        <v>414</v>
      </c>
      <c r="FA93" s="15" t="s">
        <v>414</v>
      </c>
      <c r="FB93" s="15" t="s">
        <v>413</v>
      </c>
      <c r="FC93" s="15" t="s">
        <v>415</v>
      </c>
      <c r="FD93" s="15" t="s">
        <v>413</v>
      </c>
      <c r="FE93" s="15" t="s">
        <v>415</v>
      </c>
      <c r="FF93" s="15" t="s">
        <v>413</v>
      </c>
      <c r="FG93" s="15" t="s">
        <v>413</v>
      </c>
      <c r="FH93" s="15" t="s">
        <v>413</v>
      </c>
      <c r="FI93" s="15" t="s">
        <v>415</v>
      </c>
      <c r="FJ93" s="15" t="s">
        <v>415</v>
      </c>
      <c r="FK93" s="15" t="s">
        <v>415</v>
      </c>
      <c r="FL93" s="15" t="s">
        <v>415</v>
      </c>
      <c r="FM93" s="15" t="s">
        <v>413</v>
      </c>
      <c r="FN93" s="15" t="s">
        <v>583</v>
      </c>
      <c r="FO93" s="15" t="s">
        <v>485</v>
      </c>
      <c r="FP93" s="15" t="s">
        <v>1200</v>
      </c>
      <c r="FQ93" s="15" t="s">
        <v>749</v>
      </c>
      <c r="FR93" s="15"/>
      <c r="FS93" s="15" t="s">
        <v>420</v>
      </c>
      <c r="FT93" s="15" t="s">
        <v>488</v>
      </c>
      <c r="FU93" s="15" t="s">
        <v>489</v>
      </c>
      <c r="FV93" s="15" t="s">
        <v>490</v>
      </c>
      <c r="FW93" s="15" t="s">
        <v>491</v>
      </c>
      <c r="FX93" s="15" t="s">
        <v>2537</v>
      </c>
      <c r="FY93" s="15" t="s">
        <v>493</v>
      </c>
      <c r="FZ93" s="15"/>
      <c r="GA93" s="15"/>
      <c r="GB93" s="15" t="s">
        <v>455</v>
      </c>
      <c r="GC93" s="15"/>
      <c r="GD93" s="15"/>
      <c r="GE93" s="15" t="s">
        <v>753</v>
      </c>
      <c r="GF93" s="15"/>
      <c r="GG93" s="15"/>
      <c r="GH93" s="15"/>
      <c r="GI93" s="15"/>
      <c r="GJ93" s="15" t="s">
        <v>789</v>
      </c>
      <c r="GK93" s="15" t="s">
        <v>789</v>
      </c>
      <c r="GL93" s="15" t="s">
        <v>946</v>
      </c>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31"/>
      <c r="MX93" s="29" t="s">
        <v>2538</v>
      </c>
      <c r="MY93" s="29" t="str">
        <f>IFERROR(__xludf.DUMMYFUNCTION("""COMPUTED_VALUE"""),"Bulgaria")</f>
        <v>Bulgaria</v>
      </c>
    </row>
    <row r="94" ht="16.5" customHeight="1">
      <c r="A94" s="30">
        <v>45828.351169953705</v>
      </c>
      <c r="B94" s="15" t="s">
        <v>368</v>
      </c>
      <c r="C94" s="15" t="s">
        <v>2538</v>
      </c>
      <c r="D94" s="15" t="s">
        <v>894</v>
      </c>
      <c r="E94" s="15"/>
      <c r="F94" s="15"/>
      <c r="G94" s="15" t="s">
        <v>422</v>
      </c>
      <c r="H94" s="15" t="s">
        <v>496</v>
      </c>
      <c r="I94" s="15" t="s">
        <v>374</v>
      </c>
      <c r="J94" s="15" t="s">
        <v>540</v>
      </c>
      <c r="K94" s="15" t="s">
        <v>376</v>
      </c>
      <c r="L94" s="15" t="s">
        <v>793</v>
      </c>
      <c r="M94" s="15" t="s">
        <v>2539</v>
      </c>
      <c r="N94" s="15" t="s">
        <v>670</v>
      </c>
      <c r="O94" s="15" t="s">
        <v>1270</v>
      </c>
      <c r="P94" s="15" t="s">
        <v>498</v>
      </c>
      <c r="Q94" s="15" t="s">
        <v>382</v>
      </c>
      <c r="R94" s="15" t="s">
        <v>427</v>
      </c>
      <c r="S94" s="15" t="s">
        <v>384</v>
      </c>
      <c r="T94" s="15" t="s">
        <v>385</v>
      </c>
      <c r="U94" s="15"/>
      <c r="V94" s="15" t="s">
        <v>896</v>
      </c>
      <c r="W94" s="15" t="s">
        <v>428</v>
      </c>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t="s">
        <v>1242</v>
      </c>
      <c r="AW94" s="15" t="s">
        <v>675</v>
      </c>
      <c r="AX94" s="15" t="s">
        <v>391</v>
      </c>
      <c r="AY94" s="15" t="s">
        <v>675</v>
      </c>
      <c r="AZ94" s="15" t="s">
        <v>675</v>
      </c>
      <c r="BA94" s="15" t="s">
        <v>675</v>
      </c>
      <c r="BB94" s="15" t="s">
        <v>675</v>
      </c>
      <c r="BC94" s="15" t="s">
        <v>2540</v>
      </c>
      <c r="BD94" s="15" t="s">
        <v>2541</v>
      </c>
      <c r="BE94" s="15" t="s">
        <v>432</v>
      </c>
      <c r="BF94" s="15" t="s">
        <v>1095</v>
      </c>
      <c r="BG94" s="15" t="s">
        <v>765</v>
      </c>
      <c r="BH94" s="15" t="s">
        <v>2542</v>
      </c>
      <c r="BI94" s="15" t="s">
        <v>435</v>
      </c>
      <c r="BJ94" s="15" t="s">
        <v>2543</v>
      </c>
      <c r="BK94" s="15" t="s">
        <v>681</v>
      </c>
      <c r="BL94" s="15" t="s">
        <v>438</v>
      </c>
      <c r="BM94" s="15" t="s">
        <v>1314</v>
      </c>
      <c r="BN94" s="15" t="s">
        <v>398</v>
      </c>
      <c r="BO94" s="15" t="s">
        <v>2544</v>
      </c>
      <c r="BP94" s="15" t="s">
        <v>2545</v>
      </c>
      <c r="BQ94" s="15" t="s">
        <v>401</v>
      </c>
      <c r="BR94" s="15" t="s">
        <v>2488</v>
      </c>
      <c r="BS94" s="15" t="s">
        <v>403</v>
      </c>
      <c r="BT94" s="15" t="s">
        <v>1994</v>
      </c>
      <c r="BU94" s="15" t="s">
        <v>405</v>
      </c>
      <c r="BV94" s="15"/>
      <c r="BW94" s="15" t="s">
        <v>406</v>
      </c>
      <c r="BX94" s="15" t="s">
        <v>2503</v>
      </c>
      <c r="BY94" s="15" t="s">
        <v>455</v>
      </c>
      <c r="BZ94" s="15" t="s">
        <v>2546</v>
      </c>
      <c r="CA94" s="15" t="s">
        <v>2547</v>
      </c>
      <c r="CB94" s="15" t="s">
        <v>2548</v>
      </c>
      <c r="CC94" s="15" t="s">
        <v>2549</v>
      </c>
      <c r="CD94" s="15" t="s">
        <v>2248</v>
      </c>
      <c r="CE94" s="15"/>
      <c r="CF94" s="15" t="s">
        <v>1749</v>
      </c>
      <c r="CG94" s="15" t="s">
        <v>2550</v>
      </c>
      <c r="CH94" s="15" t="s">
        <v>1698</v>
      </c>
      <c r="CI94" s="15" t="s">
        <v>833</v>
      </c>
      <c r="CJ94" s="15" t="s">
        <v>2551</v>
      </c>
      <c r="CK94" s="15" t="s">
        <v>2552</v>
      </c>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15"/>
      <c r="ES94" s="15"/>
      <c r="ET94" s="15" t="s">
        <v>578</v>
      </c>
      <c r="EU94" s="15" t="s">
        <v>1127</v>
      </c>
      <c r="EV94" s="15" t="s">
        <v>480</v>
      </c>
      <c r="EW94" s="15" t="s">
        <v>2553</v>
      </c>
      <c r="EX94" s="15" t="s">
        <v>2554</v>
      </c>
      <c r="EY94" s="15"/>
      <c r="EZ94" s="15" t="s">
        <v>415</v>
      </c>
      <c r="FA94" s="15" t="s">
        <v>414</v>
      </c>
      <c r="FB94" s="15" t="s">
        <v>413</v>
      </c>
      <c r="FC94" s="15" t="s">
        <v>416</v>
      </c>
      <c r="FD94" s="15" t="s">
        <v>413</v>
      </c>
      <c r="FE94" s="15" t="s">
        <v>414</v>
      </c>
      <c r="FF94" s="15" t="s">
        <v>415</v>
      </c>
      <c r="FG94" s="15" t="s">
        <v>415</v>
      </c>
      <c r="FH94" s="15" t="s">
        <v>583</v>
      </c>
      <c r="FI94" s="15" t="s">
        <v>414</v>
      </c>
      <c r="FJ94" s="15" t="s">
        <v>414</v>
      </c>
      <c r="FK94" s="15" t="s">
        <v>415</v>
      </c>
      <c r="FL94" s="15" t="s">
        <v>416</v>
      </c>
      <c r="FM94" s="15" t="s">
        <v>416</v>
      </c>
      <c r="FN94" s="15" t="s">
        <v>583</v>
      </c>
      <c r="FO94" s="15" t="s">
        <v>1074</v>
      </c>
      <c r="FP94" s="15" t="s">
        <v>486</v>
      </c>
      <c r="FQ94" s="15" t="s">
        <v>419</v>
      </c>
      <c r="FR94" s="15" t="s">
        <v>2555</v>
      </c>
      <c r="FS94" s="15" t="s">
        <v>420</v>
      </c>
      <c r="FT94" s="15" t="s">
        <v>1462</v>
      </c>
      <c r="FU94" s="15" t="s">
        <v>489</v>
      </c>
      <c r="FV94" s="15" t="s">
        <v>490</v>
      </c>
      <c r="FW94" s="15" t="s">
        <v>1853</v>
      </c>
      <c r="FX94" s="15" t="s">
        <v>2556</v>
      </c>
      <c r="FY94" s="15" t="s">
        <v>535</v>
      </c>
      <c r="FZ94" s="15" t="s">
        <v>2557</v>
      </c>
      <c r="GA94" s="15"/>
      <c r="GB94" s="15" t="s">
        <v>455</v>
      </c>
      <c r="GC94" s="15"/>
      <c r="GD94" s="15"/>
      <c r="GE94" s="15" t="s">
        <v>786</v>
      </c>
      <c r="GF94" s="15" t="s">
        <v>2558</v>
      </c>
      <c r="GG94" s="15"/>
      <c r="GH94" s="15"/>
      <c r="GI94" s="15"/>
      <c r="GJ94" s="15" t="s">
        <v>755</v>
      </c>
      <c r="GK94" s="15" t="s">
        <v>755</v>
      </c>
      <c r="GL94" s="15" t="s">
        <v>817</v>
      </c>
      <c r="GM94" s="15"/>
      <c r="GN94" s="15"/>
      <c r="GO94" s="15"/>
      <c r="GP94" s="15"/>
      <c r="GQ94" s="15"/>
      <c r="GR94" s="15"/>
      <c r="GS94" s="15"/>
      <c r="GT94" s="15"/>
      <c r="GU94" s="15"/>
      <c r="GV94" s="15"/>
      <c r="GW94" s="15"/>
      <c r="GX94" s="15"/>
      <c r="GY94" s="15"/>
      <c r="GZ94" s="15"/>
      <c r="HA94" s="15"/>
      <c r="HB94" s="15"/>
      <c r="HC94" s="15"/>
      <c r="HD94" s="15"/>
      <c r="HE94" s="15"/>
      <c r="HF94" s="15"/>
      <c r="HG94" s="15"/>
      <c r="HH94" s="15"/>
      <c r="HI94" s="15"/>
      <c r="HJ94" s="15"/>
      <c r="HK94" s="15"/>
      <c r="HL94" s="15"/>
      <c r="HM94" s="15"/>
      <c r="HN94" s="15"/>
      <c r="HO94" s="15"/>
      <c r="HP94" s="31"/>
      <c r="MX94" s="29" t="s">
        <v>10402</v>
      </c>
      <c r="MY94" s="29" t="str">
        <f>IFERROR(__xludf.DUMMYFUNCTION("""COMPUTED_VALUE"""),"Arizona")</f>
        <v>Arizona</v>
      </c>
    </row>
    <row r="95" ht="16.5" customHeight="1">
      <c r="A95" s="30">
        <v>45828.35833436342</v>
      </c>
      <c r="B95" s="15" t="s">
        <v>368</v>
      </c>
      <c r="C95" s="15" t="s">
        <v>370</v>
      </c>
      <c r="D95" s="15"/>
      <c r="E95" s="15" t="s">
        <v>2559</v>
      </c>
      <c r="F95" s="15"/>
      <c r="G95" s="15" t="s">
        <v>422</v>
      </c>
      <c r="H95" s="15" t="s">
        <v>496</v>
      </c>
      <c r="I95" s="15" t="s">
        <v>374</v>
      </c>
      <c r="J95" s="15" t="s">
        <v>425</v>
      </c>
      <c r="K95" s="15" t="s">
        <v>2560</v>
      </c>
      <c r="L95" s="15" t="s">
        <v>793</v>
      </c>
      <c r="M95" s="15" t="s">
        <v>860</v>
      </c>
      <c r="N95" s="15" t="s">
        <v>591</v>
      </c>
      <c r="O95" s="15" t="s">
        <v>541</v>
      </c>
      <c r="P95" s="15" t="s">
        <v>498</v>
      </c>
      <c r="Q95" s="15" t="s">
        <v>499</v>
      </c>
      <c r="R95" s="15" t="s">
        <v>949</v>
      </c>
      <c r="S95" s="15" t="s">
        <v>384</v>
      </c>
      <c r="T95" s="15" t="s">
        <v>385</v>
      </c>
      <c r="U95" s="15"/>
      <c r="V95" s="15"/>
      <c r="W95" s="15" t="s">
        <v>593</v>
      </c>
      <c r="X95" s="15" t="s">
        <v>387</v>
      </c>
      <c r="Y95" s="15" t="s">
        <v>388</v>
      </c>
      <c r="Z95" s="15" t="s">
        <v>502</v>
      </c>
      <c r="AA95" s="15" t="s">
        <v>408</v>
      </c>
      <c r="AB95" s="15"/>
      <c r="AC95" s="15"/>
      <c r="AD95" s="15"/>
      <c r="AE95" s="15"/>
      <c r="AF95" s="15"/>
      <c r="AG95" s="15"/>
      <c r="AH95" s="15"/>
      <c r="AI95" s="15"/>
      <c r="AJ95" s="15"/>
      <c r="AK95" s="15"/>
      <c r="AL95" s="15"/>
      <c r="AM95" s="15"/>
      <c r="AN95" s="15"/>
      <c r="AO95" s="15"/>
      <c r="AP95" s="15"/>
      <c r="AQ95" s="15"/>
      <c r="AR95" s="15"/>
      <c r="AS95" s="15"/>
      <c r="AT95" s="15"/>
      <c r="AU95" s="15"/>
      <c r="AV95" s="15" t="s">
        <v>597</v>
      </c>
      <c r="AW95" s="15" t="s">
        <v>391</v>
      </c>
      <c r="AX95" s="15">
        <v>2.0</v>
      </c>
      <c r="AY95" s="15" t="s">
        <v>391</v>
      </c>
      <c r="AZ95" s="15">
        <v>2.0</v>
      </c>
      <c r="BA95" s="15" t="s">
        <v>391</v>
      </c>
      <c r="BB95" s="15">
        <v>2.0</v>
      </c>
      <c r="BC95" s="15" t="s">
        <v>2561</v>
      </c>
      <c r="BD95" s="15" t="s">
        <v>2562</v>
      </c>
      <c r="BE95" s="15" t="s">
        <v>2259</v>
      </c>
      <c r="BF95" s="15" t="s">
        <v>1047</v>
      </c>
      <c r="BG95" s="15" t="s">
        <v>725</v>
      </c>
      <c r="BH95" s="15"/>
      <c r="BI95" s="15" t="s">
        <v>435</v>
      </c>
      <c r="BJ95" s="15"/>
      <c r="BK95" s="15" t="s">
        <v>437</v>
      </c>
      <c r="BL95" s="15" t="s">
        <v>438</v>
      </c>
      <c r="BM95" s="15" t="s">
        <v>549</v>
      </c>
      <c r="BN95" s="15" t="s">
        <v>440</v>
      </c>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t="s">
        <v>550</v>
      </c>
      <c r="CM95" s="15" t="s">
        <v>604</v>
      </c>
      <c r="CN95" s="15" t="s">
        <v>552</v>
      </c>
      <c r="CO95" s="15"/>
      <c r="CP95" s="15" t="s">
        <v>403</v>
      </c>
      <c r="CQ95" s="15" t="s">
        <v>2563</v>
      </c>
      <c r="CR95" s="15" t="s">
        <v>447</v>
      </c>
      <c r="CS95" s="15" t="s">
        <v>2564</v>
      </c>
      <c r="CT95" s="15" t="s">
        <v>2565</v>
      </c>
      <c r="CU95" s="15" t="s">
        <v>450</v>
      </c>
      <c r="CV95" s="15" t="s">
        <v>451</v>
      </c>
      <c r="CW95" s="15" t="s">
        <v>2566</v>
      </c>
      <c r="CX95" s="15" t="s">
        <v>408</v>
      </c>
      <c r="CY95" s="15"/>
      <c r="CZ95" s="15" t="s">
        <v>985</v>
      </c>
      <c r="DA95" s="15" t="s">
        <v>2567</v>
      </c>
      <c r="DB95" s="15" t="s">
        <v>408</v>
      </c>
      <c r="DC95" s="15"/>
      <c r="DD95" s="15" t="s">
        <v>406</v>
      </c>
      <c r="DE95" s="15" t="s">
        <v>407</v>
      </c>
      <c r="DF95" s="15"/>
      <c r="DG95" s="15" t="s">
        <v>524</v>
      </c>
      <c r="DH95" s="15" t="s">
        <v>833</v>
      </c>
      <c r="DI95" s="15" t="s">
        <v>777</v>
      </c>
      <c r="DJ95" s="15" t="s">
        <v>613</v>
      </c>
      <c r="DK95" s="15"/>
      <c r="DL95" s="15"/>
      <c r="DM95" s="15" t="s">
        <v>2568</v>
      </c>
      <c r="DN95" s="15" t="s">
        <v>2569</v>
      </c>
      <c r="DO95" s="15" t="s">
        <v>464</v>
      </c>
      <c r="DP95" s="15" t="s">
        <v>2570</v>
      </c>
      <c r="DQ95" s="15" t="s">
        <v>1553</v>
      </c>
      <c r="DR95" s="15" t="s">
        <v>408</v>
      </c>
      <c r="DS95" s="15" t="s">
        <v>839</v>
      </c>
      <c r="DT95" s="15" t="s">
        <v>740</v>
      </c>
      <c r="DU95" s="15" t="s">
        <v>2571</v>
      </c>
      <c r="DV95" s="15" t="s">
        <v>2572</v>
      </c>
      <c r="DW95" s="15" t="s">
        <v>396</v>
      </c>
      <c r="DX95" s="15" t="s">
        <v>2573</v>
      </c>
      <c r="DY95" s="15" t="s">
        <v>2574</v>
      </c>
      <c r="DZ95" s="15"/>
      <c r="EA95" s="15" t="s">
        <v>1413</v>
      </c>
      <c r="EB95" s="15" t="s">
        <v>845</v>
      </c>
      <c r="EC95" s="15"/>
      <c r="ED95" s="15"/>
      <c r="EE95" s="15"/>
      <c r="EF95" s="15"/>
      <c r="EG95" s="15"/>
      <c r="EH95" s="15"/>
      <c r="EI95" s="15"/>
      <c r="EJ95" s="15"/>
      <c r="EK95" s="15"/>
      <c r="EL95" s="15"/>
      <c r="EM95" s="15"/>
      <c r="EN95" s="15"/>
      <c r="EO95" s="15"/>
      <c r="EP95" s="15"/>
      <c r="EQ95" s="15"/>
      <c r="ER95" s="15"/>
      <c r="ES95" s="15"/>
      <c r="ET95" s="15" t="s">
        <v>578</v>
      </c>
      <c r="EU95" s="15" t="s">
        <v>1127</v>
      </c>
      <c r="EV95" s="15" t="s">
        <v>1262</v>
      </c>
      <c r="EW95" s="15"/>
      <c r="EX95" s="15" t="s">
        <v>2575</v>
      </c>
      <c r="EY95" s="15" t="s">
        <v>2576</v>
      </c>
      <c r="EZ95" s="15" t="s">
        <v>416</v>
      </c>
      <c r="FA95" s="15" t="s">
        <v>415</v>
      </c>
      <c r="FB95" s="15" t="s">
        <v>413</v>
      </c>
      <c r="FC95" s="15" t="s">
        <v>414</v>
      </c>
      <c r="FD95" s="15" t="s">
        <v>415</v>
      </c>
      <c r="FE95" s="15" t="s">
        <v>583</v>
      </c>
      <c r="FF95" s="15" t="s">
        <v>583</v>
      </c>
      <c r="FG95" s="15" t="s">
        <v>413</v>
      </c>
      <c r="FH95" s="15" t="s">
        <v>415</v>
      </c>
      <c r="FI95" s="15" t="s">
        <v>583</v>
      </c>
      <c r="FJ95" s="15" t="s">
        <v>415</v>
      </c>
      <c r="FK95" s="15" t="s">
        <v>414</v>
      </c>
      <c r="FL95" s="15" t="s">
        <v>414</v>
      </c>
      <c r="FM95" s="15" t="s">
        <v>413</v>
      </c>
      <c r="FN95" s="15" t="s">
        <v>415</v>
      </c>
      <c r="FO95" s="15" t="s">
        <v>850</v>
      </c>
      <c r="FP95" s="15" t="s">
        <v>486</v>
      </c>
      <c r="FQ95" s="15" t="s">
        <v>419</v>
      </c>
      <c r="FR95" s="15" t="s">
        <v>2577</v>
      </c>
      <c r="FS95" s="15" t="s">
        <v>420</v>
      </c>
      <c r="FT95" s="15" t="s">
        <v>488</v>
      </c>
      <c r="FU95" s="15" t="s">
        <v>489</v>
      </c>
      <c r="FV95" s="15" t="s">
        <v>490</v>
      </c>
      <c r="FW95" s="15" t="s">
        <v>491</v>
      </c>
      <c r="FX95" s="15"/>
      <c r="FY95" s="15" t="s">
        <v>535</v>
      </c>
      <c r="FZ95" s="15"/>
      <c r="GA95" s="15"/>
      <c r="GB95" s="15" t="s">
        <v>455</v>
      </c>
      <c r="GC95" s="15"/>
      <c r="GD95" s="15"/>
      <c r="GE95" s="15" t="s">
        <v>944</v>
      </c>
      <c r="GF95" s="15"/>
      <c r="GG95" s="15" t="s">
        <v>1000</v>
      </c>
      <c r="GH95" s="15" t="s">
        <v>1000</v>
      </c>
      <c r="GI95" s="15" t="s">
        <v>756</v>
      </c>
      <c r="GJ95" s="15"/>
      <c r="GK95" s="15"/>
      <c r="GL95" s="15"/>
      <c r="GM95" s="15" t="s">
        <v>1079</v>
      </c>
      <c r="GN95" s="15"/>
      <c r="GO95" s="15"/>
      <c r="GP95" s="15"/>
      <c r="GQ95" s="15"/>
      <c r="GR95" s="15"/>
      <c r="GS95" s="15"/>
      <c r="GT95" s="15"/>
      <c r="GU95" s="15"/>
      <c r="GV95" s="15"/>
      <c r="GW95" s="15"/>
      <c r="GX95" s="15"/>
      <c r="GY95" s="15"/>
      <c r="GZ95" s="15"/>
      <c r="HA95" s="15"/>
      <c r="HB95" s="15"/>
      <c r="HC95" s="15"/>
      <c r="HD95" s="15"/>
      <c r="HE95" s="15"/>
      <c r="HF95" s="15"/>
      <c r="HG95" s="15"/>
      <c r="HH95" s="15"/>
      <c r="HI95" s="15"/>
      <c r="HJ95" s="15"/>
      <c r="HK95" s="15"/>
      <c r="HL95" s="15"/>
      <c r="HM95" s="15"/>
      <c r="HN95" s="15"/>
      <c r="HO95" s="15"/>
      <c r="HP95" s="31"/>
      <c r="MX95" s="29" t="s">
        <v>894</v>
      </c>
      <c r="MY95" s="29" t="str">
        <f>IFERROR(__xludf.DUMMYFUNCTION("""COMPUTED_VALUE"""),"Ontario")</f>
        <v>Ontario</v>
      </c>
    </row>
    <row r="96" ht="16.5" customHeight="1">
      <c r="A96" s="30">
        <v>45828.35893381944</v>
      </c>
      <c r="B96" s="15" t="s">
        <v>368</v>
      </c>
      <c r="C96" s="15" t="s">
        <v>894</v>
      </c>
      <c r="D96" s="15" t="s">
        <v>894</v>
      </c>
      <c r="E96" s="15"/>
      <c r="F96" s="15"/>
      <c r="G96" s="15" t="s">
        <v>422</v>
      </c>
      <c r="H96" s="15" t="s">
        <v>496</v>
      </c>
      <c r="I96" s="15" t="s">
        <v>2578</v>
      </c>
      <c r="J96" s="15" t="s">
        <v>758</v>
      </c>
      <c r="K96" s="15" t="s">
        <v>376</v>
      </c>
      <c r="L96" s="15" t="s">
        <v>793</v>
      </c>
      <c r="M96" s="15" t="s">
        <v>2539</v>
      </c>
      <c r="N96" s="15" t="s">
        <v>379</v>
      </c>
      <c r="O96" s="15" t="s">
        <v>2579</v>
      </c>
      <c r="P96" s="15" t="s">
        <v>381</v>
      </c>
      <c r="Q96" s="15" t="s">
        <v>1004</v>
      </c>
      <c r="R96" s="15" t="s">
        <v>427</v>
      </c>
      <c r="S96" s="15" t="s">
        <v>384</v>
      </c>
      <c r="T96" s="15" t="s">
        <v>385</v>
      </c>
      <c r="U96" s="15" t="s">
        <v>896</v>
      </c>
      <c r="V96" s="15" t="s">
        <v>896</v>
      </c>
      <c r="W96" s="15" t="s">
        <v>760</v>
      </c>
      <c r="X96" s="15" t="s">
        <v>387</v>
      </c>
      <c r="Y96" s="15" t="s">
        <v>388</v>
      </c>
      <c r="Z96" s="15" t="s">
        <v>389</v>
      </c>
      <c r="AA96" s="15" t="s">
        <v>2580</v>
      </c>
      <c r="AB96" s="15"/>
      <c r="AC96" s="15"/>
      <c r="AD96" s="15"/>
      <c r="AE96" s="15"/>
      <c r="AF96" s="15"/>
      <c r="AG96" s="15"/>
      <c r="AH96" s="15"/>
      <c r="AI96" s="15"/>
      <c r="AJ96" s="15"/>
      <c r="AK96" s="15"/>
      <c r="AL96" s="15"/>
      <c r="AM96" s="15"/>
      <c r="AN96" s="15"/>
      <c r="AO96" s="15"/>
      <c r="AP96" s="15"/>
      <c r="AQ96" s="15"/>
      <c r="AR96" s="15"/>
      <c r="AS96" s="15"/>
      <c r="AT96" s="15"/>
      <c r="AU96" s="15"/>
      <c r="AV96" s="15" t="s">
        <v>1310</v>
      </c>
      <c r="AW96" s="15" t="s">
        <v>675</v>
      </c>
      <c r="AX96" s="15">
        <v>4.0</v>
      </c>
      <c r="AY96" s="15">
        <v>4.0</v>
      </c>
      <c r="AZ96" s="15" t="s">
        <v>391</v>
      </c>
      <c r="BA96" s="15">
        <v>4.0</v>
      </c>
      <c r="BB96" s="15" t="s">
        <v>675</v>
      </c>
      <c r="BC96" s="15"/>
      <c r="BD96" s="15"/>
      <c r="BE96" s="15" t="s">
        <v>902</v>
      </c>
      <c r="BF96" s="15" t="s">
        <v>1095</v>
      </c>
      <c r="BG96" s="15" t="s">
        <v>394</v>
      </c>
      <c r="BH96" s="15"/>
      <c r="BI96" s="15" t="s">
        <v>435</v>
      </c>
      <c r="BJ96" s="15"/>
      <c r="BK96" s="15" t="s">
        <v>395</v>
      </c>
      <c r="BL96" s="15" t="s">
        <v>438</v>
      </c>
      <c r="BM96" s="15" t="s">
        <v>1247</v>
      </c>
      <c r="BN96" s="15" t="s">
        <v>398</v>
      </c>
      <c r="BO96" s="15" t="s">
        <v>2581</v>
      </c>
      <c r="BP96" s="15" t="s">
        <v>2582</v>
      </c>
      <c r="BQ96" s="15" t="s">
        <v>442</v>
      </c>
      <c r="BR96" s="15" t="s">
        <v>2583</v>
      </c>
      <c r="BS96" s="15" t="s">
        <v>403</v>
      </c>
      <c r="BT96" s="15" t="s">
        <v>404</v>
      </c>
      <c r="BU96" s="15" t="s">
        <v>405</v>
      </c>
      <c r="BV96" s="15"/>
      <c r="BW96" s="15" t="s">
        <v>406</v>
      </c>
      <c r="BX96" s="15" t="s">
        <v>407</v>
      </c>
      <c r="BY96" s="15" t="s">
        <v>408</v>
      </c>
      <c r="BZ96" s="15"/>
      <c r="CA96" s="15" t="s">
        <v>2584</v>
      </c>
      <c r="CB96" s="15" t="s">
        <v>2585</v>
      </c>
      <c r="CC96" s="15" t="s">
        <v>2586</v>
      </c>
      <c r="CD96" s="15" t="s">
        <v>409</v>
      </c>
      <c r="CE96" s="15" t="s">
        <v>2587</v>
      </c>
      <c r="CF96" s="15" t="s">
        <v>1258</v>
      </c>
      <c r="CG96" s="15"/>
      <c r="CH96" s="15" t="s">
        <v>1751</v>
      </c>
      <c r="CI96" s="15" t="s">
        <v>833</v>
      </c>
      <c r="CJ96" s="15" t="s">
        <v>2588</v>
      </c>
      <c r="CK96" s="15" t="s">
        <v>2589</v>
      </c>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t="s">
        <v>526</v>
      </c>
      <c r="EU96" s="15" t="s">
        <v>1127</v>
      </c>
      <c r="EV96" s="15" t="s">
        <v>1262</v>
      </c>
      <c r="EW96" s="15"/>
      <c r="EX96" s="15" t="s">
        <v>2590</v>
      </c>
      <c r="EY96" s="15" t="s">
        <v>2591</v>
      </c>
      <c r="EZ96" s="15" t="s">
        <v>414</v>
      </c>
      <c r="FA96" s="15" t="s">
        <v>414</v>
      </c>
      <c r="FB96" s="15" t="s">
        <v>413</v>
      </c>
      <c r="FC96" s="15" t="s">
        <v>415</v>
      </c>
      <c r="FD96" s="15" t="s">
        <v>413</v>
      </c>
      <c r="FE96" s="15" t="s">
        <v>414</v>
      </c>
      <c r="FF96" s="15" t="s">
        <v>415</v>
      </c>
      <c r="FG96" s="15" t="s">
        <v>413</v>
      </c>
      <c r="FH96" s="15" t="s">
        <v>583</v>
      </c>
      <c r="FI96" s="15" t="s">
        <v>415</v>
      </c>
      <c r="FJ96" s="15" t="s">
        <v>415</v>
      </c>
      <c r="FK96" s="15" t="s">
        <v>415</v>
      </c>
      <c r="FL96" s="15" t="s">
        <v>415</v>
      </c>
      <c r="FM96" s="15" t="s">
        <v>413</v>
      </c>
      <c r="FN96" s="15" t="s">
        <v>583</v>
      </c>
      <c r="FO96" s="15" t="s">
        <v>850</v>
      </c>
      <c r="FP96" s="15" t="s">
        <v>418</v>
      </c>
      <c r="FQ96" s="15" t="s">
        <v>749</v>
      </c>
      <c r="FR96" s="15" t="s">
        <v>2592</v>
      </c>
      <c r="FS96" s="15" t="s">
        <v>1189</v>
      </c>
      <c r="FT96" s="15" t="s">
        <v>488</v>
      </c>
      <c r="FU96" s="15" t="s">
        <v>918</v>
      </c>
      <c r="FV96" s="15" t="s">
        <v>490</v>
      </c>
      <c r="FW96" s="15" t="s">
        <v>491</v>
      </c>
      <c r="FX96" s="15" t="s">
        <v>2593</v>
      </c>
      <c r="FY96" s="15" t="s">
        <v>535</v>
      </c>
      <c r="FZ96" s="15"/>
      <c r="GA96" s="15"/>
      <c r="GB96" s="15" t="s">
        <v>455</v>
      </c>
      <c r="GC96" s="15"/>
      <c r="GD96" s="15"/>
      <c r="GE96" s="15" t="s">
        <v>1420</v>
      </c>
      <c r="GF96" s="15" t="s">
        <v>913</v>
      </c>
      <c r="GG96" s="15"/>
      <c r="GH96" s="15"/>
      <c r="GI96" s="15"/>
      <c r="GJ96" s="15" t="s">
        <v>857</v>
      </c>
      <c r="GK96" s="15" t="s">
        <v>857</v>
      </c>
      <c r="GL96" s="15" t="s">
        <v>790</v>
      </c>
      <c r="GM96" s="15"/>
      <c r="GN96" s="15"/>
      <c r="GO96" s="15"/>
      <c r="GP96" s="15"/>
      <c r="GQ96" s="15"/>
      <c r="GR96" s="15"/>
      <c r="GS96" s="15"/>
      <c r="GT96" s="15"/>
      <c r="GU96" s="15"/>
      <c r="GV96" s="15"/>
      <c r="GW96" s="15"/>
      <c r="GX96" s="15"/>
      <c r="GY96" s="15"/>
      <c r="GZ96" s="15"/>
      <c r="HA96" s="15"/>
      <c r="HB96" s="15"/>
      <c r="HC96" s="15"/>
      <c r="HD96" s="15"/>
      <c r="HE96" s="15"/>
      <c r="HF96" s="15"/>
      <c r="HG96" s="15"/>
      <c r="HH96" s="15"/>
      <c r="HI96" s="15"/>
      <c r="HJ96" s="15"/>
      <c r="HK96" s="15"/>
      <c r="HL96" s="15"/>
      <c r="HM96" s="15"/>
      <c r="HN96" s="15"/>
      <c r="HO96" s="15"/>
      <c r="HP96" s="31"/>
      <c r="MX96" s="29" t="s">
        <v>10402</v>
      </c>
      <c r="MY96" s="29" t="str">
        <f>IFERROR(__xludf.DUMMYFUNCTION("""COMPUTED_VALUE"""),"Idaho")</f>
        <v>Idaho</v>
      </c>
    </row>
    <row r="97" ht="16.5" customHeight="1">
      <c r="A97" s="30">
        <v>45828.35894726852</v>
      </c>
      <c r="B97" s="15" t="s">
        <v>368</v>
      </c>
      <c r="C97" s="15" t="s">
        <v>370</v>
      </c>
      <c r="D97" s="15"/>
      <c r="E97" s="15" t="s">
        <v>1382</v>
      </c>
      <c r="F97" s="15"/>
      <c r="G97" s="15" t="s">
        <v>422</v>
      </c>
      <c r="H97" s="15" t="s">
        <v>373</v>
      </c>
      <c r="I97" s="15" t="s">
        <v>638</v>
      </c>
      <c r="J97" s="15" t="s">
        <v>590</v>
      </c>
      <c r="K97" s="15" t="s">
        <v>376</v>
      </c>
      <c r="L97" s="15" t="s">
        <v>426</v>
      </c>
      <c r="M97" s="15" t="s">
        <v>378</v>
      </c>
      <c r="N97" s="15" t="s">
        <v>793</v>
      </c>
      <c r="O97" s="15" t="s">
        <v>2594</v>
      </c>
      <c r="P97" s="15" t="s">
        <v>381</v>
      </c>
      <c r="Q97" s="15" t="s">
        <v>382</v>
      </c>
      <c r="R97" s="15" t="s">
        <v>500</v>
      </c>
      <c r="S97" s="15" t="s">
        <v>384</v>
      </c>
      <c r="T97" s="15" t="s">
        <v>385</v>
      </c>
      <c r="U97" s="15"/>
      <c r="V97" s="15"/>
      <c r="W97" s="15" t="s">
        <v>593</v>
      </c>
      <c r="X97" s="15" t="s">
        <v>387</v>
      </c>
      <c r="Y97" s="15" t="s">
        <v>2115</v>
      </c>
      <c r="Z97" s="15" t="s">
        <v>502</v>
      </c>
      <c r="AA97" s="15" t="s">
        <v>2595</v>
      </c>
      <c r="AB97" s="15" t="s">
        <v>2596</v>
      </c>
      <c r="AC97" s="15"/>
      <c r="AD97" s="15"/>
      <c r="AE97" s="15"/>
      <c r="AF97" s="15"/>
      <c r="AG97" s="15"/>
      <c r="AH97" s="15"/>
      <c r="AI97" s="15"/>
      <c r="AJ97" s="15"/>
      <c r="AK97" s="15"/>
      <c r="AL97" s="15"/>
      <c r="AM97" s="15"/>
      <c r="AN97" s="15"/>
      <c r="AO97" s="15"/>
      <c r="AP97" s="15"/>
      <c r="AQ97" s="15"/>
      <c r="AR97" s="15"/>
      <c r="AS97" s="15"/>
      <c r="AT97" s="15"/>
      <c r="AU97" s="15"/>
      <c r="AV97" s="15" t="s">
        <v>1242</v>
      </c>
      <c r="AW97" s="15">
        <v>4.0</v>
      </c>
      <c r="AX97" s="15">
        <v>4.0</v>
      </c>
      <c r="AY97" s="15">
        <v>2.0</v>
      </c>
      <c r="AZ97" s="15" t="s">
        <v>675</v>
      </c>
      <c r="BA97" s="15" t="s">
        <v>675</v>
      </c>
      <c r="BB97" s="15" t="s">
        <v>675</v>
      </c>
      <c r="BC97" s="15" t="s">
        <v>2597</v>
      </c>
      <c r="BD97" s="15" t="s">
        <v>2598</v>
      </c>
      <c r="BE97" s="15" t="s">
        <v>902</v>
      </c>
      <c r="BF97" s="15" t="s">
        <v>1047</v>
      </c>
      <c r="BG97" s="15" t="s">
        <v>394</v>
      </c>
      <c r="BH97" s="15" t="s">
        <v>2599</v>
      </c>
      <c r="BI97" s="15" t="s">
        <v>435</v>
      </c>
      <c r="BJ97" s="15" t="s">
        <v>2600</v>
      </c>
      <c r="BK97" s="15" t="s">
        <v>602</v>
      </c>
      <c r="BL97" s="15" t="s">
        <v>603</v>
      </c>
      <c r="BM97" s="15" t="s">
        <v>1314</v>
      </c>
      <c r="BN97" s="15" t="s">
        <v>398</v>
      </c>
      <c r="BO97" s="15" t="s">
        <v>2601</v>
      </c>
      <c r="BP97" s="15" t="s">
        <v>2602</v>
      </c>
      <c r="BQ97" s="15" t="s">
        <v>604</v>
      </c>
      <c r="BR97" s="15" t="s">
        <v>2603</v>
      </c>
      <c r="BS97" s="15" t="s">
        <v>1671</v>
      </c>
      <c r="BT97" s="15" t="s">
        <v>1771</v>
      </c>
      <c r="BU97" s="15" t="s">
        <v>405</v>
      </c>
      <c r="BV97" s="15"/>
      <c r="BW97" s="15" t="s">
        <v>457</v>
      </c>
      <c r="BX97" s="15"/>
      <c r="BY97" s="15" t="s">
        <v>455</v>
      </c>
      <c r="BZ97" s="15" t="s">
        <v>2604</v>
      </c>
      <c r="CA97" s="15" t="s">
        <v>2605</v>
      </c>
      <c r="CB97" s="15" t="s">
        <v>2606</v>
      </c>
      <c r="CC97" s="15" t="s">
        <v>2607</v>
      </c>
      <c r="CD97" s="15" t="s">
        <v>409</v>
      </c>
      <c r="CE97" s="15" t="s">
        <v>2608</v>
      </c>
      <c r="CF97" s="15" t="s">
        <v>1722</v>
      </c>
      <c r="CG97" s="15" t="s">
        <v>2609</v>
      </c>
      <c r="CH97" s="15" t="s">
        <v>1698</v>
      </c>
      <c r="CI97" s="15" t="s">
        <v>410</v>
      </c>
      <c r="CJ97" s="15" t="s">
        <v>2610</v>
      </c>
      <c r="CK97" s="15" t="s">
        <v>2611</v>
      </c>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t="s">
        <v>526</v>
      </c>
      <c r="EU97" s="15" t="s">
        <v>479</v>
      </c>
      <c r="EV97" s="15" t="s">
        <v>527</v>
      </c>
      <c r="EW97" s="15" t="s">
        <v>2612</v>
      </c>
      <c r="EX97" s="15" t="s">
        <v>2613</v>
      </c>
      <c r="EY97" s="15" t="s">
        <v>2614</v>
      </c>
      <c r="EZ97" s="15" t="s">
        <v>583</v>
      </c>
      <c r="FA97" s="15" t="s">
        <v>583</v>
      </c>
      <c r="FB97" s="15" t="s">
        <v>414</v>
      </c>
      <c r="FC97" s="15" t="s">
        <v>583</v>
      </c>
      <c r="FD97" s="15" t="s">
        <v>413</v>
      </c>
      <c r="FE97" s="15" t="s">
        <v>583</v>
      </c>
      <c r="FF97" s="15" t="s">
        <v>414</v>
      </c>
      <c r="FG97" s="15" t="s">
        <v>416</v>
      </c>
      <c r="FH97" s="15" t="s">
        <v>583</v>
      </c>
      <c r="FI97" s="15" t="s">
        <v>583</v>
      </c>
      <c r="FJ97" s="15" t="s">
        <v>583</v>
      </c>
      <c r="FK97" s="15" t="s">
        <v>415</v>
      </c>
      <c r="FL97" s="15" t="s">
        <v>414</v>
      </c>
      <c r="FM97" s="15" t="s">
        <v>416</v>
      </c>
      <c r="FN97" s="15" t="s">
        <v>414</v>
      </c>
      <c r="FO97" s="15" t="s">
        <v>417</v>
      </c>
      <c r="FP97" s="15" t="s">
        <v>418</v>
      </c>
      <c r="FQ97" s="15" t="s">
        <v>749</v>
      </c>
      <c r="FR97" s="15" t="s">
        <v>2615</v>
      </c>
      <c r="FS97" s="15" t="s">
        <v>420</v>
      </c>
      <c r="FT97" s="15" t="s">
        <v>1462</v>
      </c>
      <c r="FU97" s="15" t="s">
        <v>489</v>
      </c>
      <c r="FV97" s="15" t="s">
        <v>490</v>
      </c>
      <c r="FW97" s="15" t="s">
        <v>491</v>
      </c>
      <c r="FX97" s="15" t="s">
        <v>2616</v>
      </c>
      <c r="FY97" s="15" t="s">
        <v>535</v>
      </c>
      <c r="FZ97" s="15" t="s">
        <v>2617</v>
      </c>
      <c r="GA97" s="15" t="s">
        <v>2618</v>
      </c>
      <c r="GB97" s="15" t="s">
        <v>455</v>
      </c>
      <c r="GC97" s="15"/>
      <c r="GD97" s="15"/>
      <c r="GE97" s="15" t="s">
        <v>753</v>
      </c>
      <c r="GF97" s="15" t="s">
        <v>2619</v>
      </c>
      <c r="GG97" s="15"/>
      <c r="GH97" s="15"/>
      <c r="GI97" s="15"/>
      <c r="GJ97" s="15" t="s">
        <v>755</v>
      </c>
      <c r="GK97" s="15" t="s">
        <v>755</v>
      </c>
      <c r="GL97" s="15" t="s">
        <v>817</v>
      </c>
      <c r="GM97" s="15"/>
      <c r="GN97" s="15"/>
      <c r="GO97" s="15"/>
      <c r="GP97" s="15"/>
      <c r="GQ97" s="15"/>
      <c r="GR97" s="15"/>
      <c r="GS97" s="15"/>
      <c r="GT97" s="15"/>
      <c r="GU97" s="15"/>
      <c r="GV97" s="15"/>
      <c r="GW97" s="15"/>
      <c r="GX97" s="15"/>
      <c r="GY97" s="15"/>
      <c r="GZ97" s="15"/>
      <c r="HA97" s="15"/>
      <c r="HB97" s="15"/>
      <c r="HC97" s="15"/>
      <c r="HD97" s="15"/>
      <c r="HE97" s="15"/>
      <c r="HF97" s="15"/>
      <c r="HG97" s="15"/>
      <c r="HH97" s="15"/>
      <c r="HI97" s="15"/>
      <c r="HJ97" s="15"/>
      <c r="HK97" s="15"/>
      <c r="HL97" s="15"/>
      <c r="HM97" s="15"/>
      <c r="HN97" s="15"/>
      <c r="HO97" s="15"/>
      <c r="HP97" s="31"/>
      <c r="MX97" s="29" t="s">
        <v>10402</v>
      </c>
      <c r="MY97" s="29" t="str">
        <f>IFERROR(__xludf.DUMMYFUNCTION("""COMPUTED_VALUE"""),"Hawaii")</f>
        <v>Hawaii</v>
      </c>
    </row>
    <row r="98" ht="16.5" customHeight="1">
      <c r="A98" s="30">
        <v>45828.36039090277</v>
      </c>
      <c r="B98" s="15" t="s">
        <v>368</v>
      </c>
      <c r="C98" s="15" t="s">
        <v>370</v>
      </c>
      <c r="D98" s="15"/>
      <c r="E98" s="15" t="s">
        <v>2620</v>
      </c>
      <c r="F98" s="15"/>
      <c r="G98" s="15" t="s">
        <v>1093</v>
      </c>
      <c r="H98" s="15" t="s">
        <v>539</v>
      </c>
      <c r="I98" s="15" t="s">
        <v>424</v>
      </c>
      <c r="J98" s="15" t="s">
        <v>669</v>
      </c>
      <c r="K98" s="15" t="s">
        <v>376</v>
      </c>
      <c r="L98" s="15" t="s">
        <v>591</v>
      </c>
      <c r="M98" s="15" t="s">
        <v>378</v>
      </c>
      <c r="N98" s="15" t="s">
        <v>670</v>
      </c>
      <c r="O98" s="15" t="s">
        <v>671</v>
      </c>
      <c r="P98" s="15" t="s">
        <v>592</v>
      </c>
      <c r="Q98" s="15" t="s">
        <v>382</v>
      </c>
      <c r="R98" s="15" t="s">
        <v>500</v>
      </c>
      <c r="S98" s="15" t="s">
        <v>384</v>
      </c>
      <c r="T98" s="15" t="s">
        <v>385</v>
      </c>
      <c r="U98" s="15"/>
      <c r="V98" s="15"/>
      <c r="W98" s="15" t="s">
        <v>428</v>
      </c>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t="s">
        <v>1310</v>
      </c>
      <c r="AW98" s="15" t="s">
        <v>391</v>
      </c>
      <c r="AX98" s="15" t="s">
        <v>391</v>
      </c>
      <c r="AY98" s="15" t="s">
        <v>429</v>
      </c>
      <c r="AZ98" s="15" t="s">
        <v>429</v>
      </c>
      <c r="BA98" s="15"/>
      <c r="BB98" s="15">
        <v>2.0</v>
      </c>
      <c r="BC98" s="15"/>
      <c r="BD98" s="15"/>
      <c r="BE98" s="15" t="s">
        <v>392</v>
      </c>
      <c r="BF98" s="15" t="s">
        <v>393</v>
      </c>
      <c r="BG98" s="15" t="s">
        <v>678</v>
      </c>
      <c r="BH98" s="15"/>
      <c r="BI98" s="15" t="s">
        <v>976</v>
      </c>
      <c r="BJ98" s="15"/>
      <c r="BK98" s="15" t="s">
        <v>511</v>
      </c>
      <c r="BL98" s="15" t="s">
        <v>603</v>
      </c>
      <c r="BM98" s="15" t="s">
        <v>1247</v>
      </c>
      <c r="BN98" s="15" t="s">
        <v>513</v>
      </c>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t="s">
        <v>441</v>
      </c>
      <c r="CM98" s="15" t="s">
        <v>401</v>
      </c>
      <c r="CN98" s="15"/>
      <c r="CO98" s="15"/>
      <c r="CP98" s="15" t="s">
        <v>403</v>
      </c>
      <c r="CQ98" s="15" t="s">
        <v>1427</v>
      </c>
      <c r="CR98" s="15" t="s">
        <v>404</v>
      </c>
      <c r="CS98" s="15" t="s">
        <v>1137</v>
      </c>
      <c r="CT98" s="15"/>
      <c r="CU98" s="15" t="s">
        <v>1852</v>
      </c>
      <c r="CV98" s="15" t="s">
        <v>1931</v>
      </c>
      <c r="CW98" s="15"/>
      <c r="CX98" s="15" t="s">
        <v>408</v>
      </c>
      <c r="CY98" s="15"/>
      <c r="CZ98" s="15" t="s">
        <v>1962</v>
      </c>
      <c r="DA98" s="15"/>
      <c r="DB98" s="15" t="s">
        <v>408</v>
      </c>
      <c r="DC98" s="15"/>
      <c r="DD98" s="15" t="s">
        <v>406</v>
      </c>
      <c r="DE98" s="15" t="s">
        <v>407</v>
      </c>
      <c r="DF98" s="15"/>
      <c r="DG98" s="15" t="s">
        <v>990</v>
      </c>
      <c r="DH98" s="15" t="s">
        <v>694</v>
      </c>
      <c r="DI98" s="15" t="s">
        <v>459</v>
      </c>
      <c r="DJ98" s="15" t="s">
        <v>613</v>
      </c>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t="s">
        <v>478</v>
      </c>
      <c r="EU98" s="15" t="s">
        <v>479</v>
      </c>
      <c r="EV98" s="15" t="s">
        <v>480</v>
      </c>
      <c r="EW98" s="15"/>
      <c r="EX98" s="15"/>
      <c r="EY98" s="15"/>
      <c r="EZ98" s="15" t="s">
        <v>414</v>
      </c>
      <c r="FA98" s="15" t="s">
        <v>583</v>
      </c>
      <c r="FB98" s="15" t="s">
        <v>413</v>
      </c>
      <c r="FC98" s="15" t="s">
        <v>414</v>
      </c>
      <c r="FD98" s="15" t="s">
        <v>413</v>
      </c>
      <c r="FE98" s="15" t="s">
        <v>583</v>
      </c>
      <c r="FF98" s="15" t="s">
        <v>414</v>
      </c>
      <c r="FG98" s="15" t="s">
        <v>415</v>
      </c>
      <c r="FH98" s="15" t="s">
        <v>415</v>
      </c>
      <c r="FI98" s="15" t="s">
        <v>583</v>
      </c>
      <c r="FJ98" s="15" t="s">
        <v>415</v>
      </c>
      <c r="FK98" s="15" t="s">
        <v>415</v>
      </c>
      <c r="FL98" s="15" t="s">
        <v>415</v>
      </c>
      <c r="FM98" s="15" t="s">
        <v>415</v>
      </c>
      <c r="FN98" s="15" t="s">
        <v>415</v>
      </c>
      <c r="FO98" s="15" t="s">
        <v>485</v>
      </c>
      <c r="FP98" s="15" t="s">
        <v>418</v>
      </c>
      <c r="FQ98" s="15" t="s">
        <v>712</v>
      </c>
      <c r="FR98" s="15"/>
      <c r="FS98" s="15" t="s">
        <v>1076</v>
      </c>
      <c r="FT98" s="15" t="s">
        <v>1476</v>
      </c>
      <c r="FU98" s="15" t="s">
        <v>489</v>
      </c>
      <c r="FV98" s="15" t="s">
        <v>1101</v>
      </c>
      <c r="FW98" s="15" t="s">
        <v>1853</v>
      </c>
      <c r="FX98" s="15"/>
      <c r="FY98" s="15" t="s">
        <v>1854</v>
      </c>
      <c r="FZ98" s="15"/>
      <c r="GA98" s="15"/>
      <c r="GB98" s="15" t="s">
        <v>408</v>
      </c>
      <c r="GC98" s="15"/>
      <c r="GD98" s="15"/>
      <c r="GE98" s="15"/>
      <c r="GF98" s="15"/>
      <c r="GG98" s="15" t="s">
        <v>789</v>
      </c>
      <c r="GH98" s="15" t="s">
        <v>789</v>
      </c>
      <c r="GI98" s="15" t="s">
        <v>756</v>
      </c>
      <c r="GJ98" s="15"/>
      <c r="GK98" s="15"/>
      <c r="GL98" s="15"/>
      <c r="GM98" s="15"/>
      <c r="GN98" s="15"/>
      <c r="GO98" s="15"/>
      <c r="GP98" s="15"/>
      <c r="GQ98" s="15"/>
      <c r="GR98" s="15"/>
      <c r="GS98" s="15"/>
      <c r="GT98" s="15"/>
      <c r="GU98" s="15"/>
      <c r="GV98" s="15"/>
      <c r="GW98" s="15"/>
      <c r="GX98" s="15"/>
      <c r="GY98" s="15"/>
      <c r="GZ98" s="15"/>
      <c r="HA98" s="15"/>
      <c r="HB98" s="15"/>
      <c r="HC98" s="15"/>
      <c r="HD98" s="15"/>
      <c r="HE98" s="15"/>
      <c r="HF98" s="15"/>
      <c r="HG98" s="15"/>
      <c r="HH98" s="15"/>
      <c r="HI98" s="15"/>
      <c r="HJ98" s="15"/>
      <c r="HK98" s="15"/>
      <c r="HL98" s="15"/>
      <c r="HM98" s="15"/>
      <c r="HN98" s="15"/>
      <c r="HO98" s="15"/>
      <c r="HP98" s="31"/>
      <c r="MX98" s="29" t="s">
        <v>10402</v>
      </c>
      <c r="MY98" s="29" t="str">
        <f>IFERROR(__xludf.DUMMYFUNCTION("""COMPUTED_VALUE"""),"Maryland")</f>
        <v>Maryland</v>
      </c>
    </row>
    <row r="99" ht="16.5" customHeight="1">
      <c r="A99" s="30">
        <v>45828.36711222222</v>
      </c>
      <c r="B99" s="15" t="s">
        <v>368</v>
      </c>
      <c r="C99" s="15" t="s">
        <v>370</v>
      </c>
      <c r="D99" s="15"/>
      <c r="E99" s="15" t="s">
        <v>859</v>
      </c>
      <c r="F99" s="15"/>
      <c r="G99" s="15"/>
      <c r="H99" s="15"/>
      <c r="I99" s="15"/>
      <c r="J99" s="15"/>
      <c r="K99" s="15"/>
      <c r="L99" s="15"/>
      <c r="M99" s="15"/>
      <c r="N99" s="15"/>
      <c r="O99" s="15"/>
      <c r="P99" s="15"/>
      <c r="Q99" s="15"/>
      <c r="R99" s="15"/>
      <c r="S99" s="15"/>
      <c r="T99" s="15"/>
      <c r="U99" s="15"/>
      <c r="V99" s="15"/>
      <c r="W99" s="15" t="s">
        <v>760</v>
      </c>
      <c r="X99" s="15" t="s">
        <v>1706</v>
      </c>
      <c r="Y99" s="15"/>
      <c r="Z99" s="15"/>
      <c r="AA99" s="15"/>
      <c r="AB99" s="15"/>
      <c r="AC99" s="15" t="s">
        <v>1707</v>
      </c>
      <c r="AD99" s="15" t="s">
        <v>2621</v>
      </c>
      <c r="AE99" s="15" t="s">
        <v>408</v>
      </c>
      <c r="AF99" s="15"/>
      <c r="AG99" s="15">
        <v>5.0</v>
      </c>
      <c r="AH99" s="15" t="s">
        <v>647</v>
      </c>
      <c r="AI99" s="15" t="s">
        <v>2622</v>
      </c>
      <c r="AJ99" s="15" t="s">
        <v>2623</v>
      </c>
      <c r="AK99" s="15" t="s">
        <v>396</v>
      </c>
      <c r="AL99" s="15"/>
      <c r="AM99" s="15"/>
      <c r="AN99" s="15"/>
      <c r="AO99" s="15"/>
      <c r="AP99" s="15"/>
      <c r="AQ99" s="15"/>
      <c r="AR99" s="15"/>
      <c r="AS99" s="15"/>
      <c r="AT99" s="15"/>
      <c r="AU99" s="15"/>
      <c r="AV99" s="15" t="s">
        <v>1242</v>
      </c>
      <c r="AW99" s="15" t="s">
        <v>675</v>
      </c>
      <c r="AX99" s="15" t="s">
        <v>675</v>
      </c>
      <c r="AY99" s="15" t="s">
        <v>675</v>
      </c>
      <c r="AZ99" s="15" t="s">
        <v>675</v>
      </c>
      <c r="BA99" s="15" t="s">
        <v>675</v>
      </c>
      <c r="BB99" s="15" t="s">
        <v>675</v>
      </c>
      <c r="BC99" s="15" t="s">
        <v>2624</v>
      </c>
      <c r="BD99" s="15" t="s">
        <v>2625</v>
      </c>
      <c r="BE99" s="15" t="s">
        <v>902</v>
      </c>
      <c r="BF99" s="15" t="s">
        <v>1245</v>
      </c>
      <c r="BG99" s="15" t="s">
        <v>394</v>
      </c>
      <c r="BH99" s="15"/>
      <c r="BI99" s="15" t="s">
        <v>435</v>
      </c>
      <c r="BJ99" s="15" t="s">
        <v>2626</v>
      </c>
      <c r="BK99" s="15" t="s">
        <v>602</v>
      </c>
      <c r="BL99" s="15" t="s">
        <v>904</v>
      </c>
      <c r="BM99" s="15" t="s">
        <v>1314</v>
      </c>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t="s">
        <v>478</v>
      </c>
      <c r="EU99" s="15" t="s">
        <v>579</v>
      </c>
      <c r="EV99" s="15" t="s">
        <v>527</v>
      </c>
      <c r="EW99" s="15" t="s">
        <v>2627</v>
      </c>
      <c r="EX99" s="15" t="s">
        <v>2628</v>
      </c>
      <c r="EY99" s="15" t="s">
        <v>2629</v>
      </c>
      <c r="EZ99" s="15" t="s">
        <v>414</v>
      </c>
      <c r="FA99" s="15" t="s">
        <v>414</v>
      </c>
      <c r="FB99" s="15" t="s">
        <v>413</v>
      </c>
      <c r="FC99" s="15" t="s">
        <v>414</v>
      </c>
      <c r="FD99" s="15" t="s">
        <v>413</v>
      </c>
      <c r="FE99" s="15" t="s">
        <v>414</v>
      </c>
      <c r="FF99" s="15" t="s">
        <v>415</v>
      </c>
      <c r="FG99" s="15" t="s">
        <v>414</v>
      </c>
      <c r="FH99" s="15" t="s">
        <v>416</v>
      </c>
      <c r="FI99" s="15" t="s">
        <v>414</v>
      </c>
      <c r="FJ99" s="15" t="s">
        <v>414</v>
      </c>
      <c r="FK99" s="15" t="s">
        <v>414</v>
      </c>
      <c r="FL99" s="15" t="s">
        <v>414</v>
      </c>
      <c r="FM99" s="15" t="s">
        <v>416</v>
      </c>
      <c r="FN99" s="15" t="s">
        <v>414</v>
      </c>
      <c r="FO99" s="15" t="s">
        <v>850</v>
      </c>
      <c r="FP99" s="15" t="s">
        <v>418</v>
      </c>
      <c r="FQ99" s="15" t="s">
        <v>712</v>
      </c>
      <c r="FR99" s="15" t="s">
        <v>2630</v>
      </c>
      <c r="FS99" s="15" t="s">
        <v>420</v>
      </c>
      <c r="FT99" s="15" t="s">
        <v>488</v>
      </c>
      <c r="FU99" s="15" t="s">
        <v>489</v>
      </c>
      <c r="FV99" s="15" t="s">
        <v>490</v>
      </c>
      <c r="FW99" s="15" t="s">
        <v>491</v>
      </c>
      <c r="FX99" s="15" t="s">
        <v>2631</v>
      </c>
      <c r="FY99" s="15" t="s">
        <v>493</v>
      </c>
      <c r="FZ99" s="15" t="s">
        <v>2632</v>
      </c>
      <c r="GA99" s="15"/>
      <c r="GB99" s="15" t="s">
        <v>455</v>
      </c>
      <c r="GC99" s="15"/>
      <c r="GD99" s="15"/>
      <c r="GE99" s="15" t="s">
        <v>753</v>
      </c>
      <c r="GF99" s="15"/>
      <c r="GG99" s="15"/>
      <c r="GH99" s="15"/>
      <c r="GI99" s="15"/>
      <c r="GJ99" s="15"/>
      <c r="GK99" s="15"/>
      <c r="GL99" s="15"/>
      <c r="GM99" s="15"/>
      <c r="GN99" s="15"/>
      <c r="GO99" s="15"/>
      <c r="GP99" s="15"/>
      <c r="GQ99" s="15"/>
      <c r="GR99" s="15"/>
      <c r="GS99" s="15"/>
      <c r="GT99" s="15"/>
      <c r="GU99" s="15"/>
      <c r="GV99" s="15"/>
      <c r="GW99" s="15"/>
      <c r="GX99" s="15"/>
      <c r="GY99" s="15"/>
      <c r="GZ99" s="15"/>
      <c r="HA99" s="15"/>
      <c r="HB99" s="15"/>
      <c r="HC99" s="15"/>
      <c r="HD99" s="15"/>
      <c r="HE99" s="15"/>
      <c r="HF99" s="15"/>
      <c r="HG99" s="15"/>
      <c r="HH99" s="15"/>
      <c r="HI99" s="15"/>
      <c r="HJ99" s="15"/>
      <c r="HK99" s="15"/>
      <c r="HL99" s="15"/>
      <c r="HM99" s="15"/>
      <c r="HN99" s="15"/>
      <c r="HO99" s="15"/>
      <c r="HP99" s="31"/>
      <c r="MX99" s="29" t="s">
        <v>10402</v>
      </c>
      <c r="MY99" s="29" t="str">
        <f>IFERROR(__xludf.DUMMYFUNCTION("""COMPUTED_VALUE"""),"Tennessee")</f>
        <v>Tennessee</v>
      </c>
    </row>
    <row r="100" ht="16.5" customHeight="1">
      <c r="A100" s="30">
        <v>45828.39941795139</v>
      </c>
      <c r="B100" s="15" t="s">
        <v>368</v>
      </c>
      <c r="C100" s="15" t="s">
        <v>370</v>
      </c>
      <c r="D100" s="15"/>
      <c r="E100" s="15" t="s">
        <v>1562</v>
      </c>
      <c r="F100" s="15"/>
      <c r="G100" s="15" t="s">
        <v>422</v>
      </c>
      <c r="H100" s="15" t="s">
        <v>637</v>
      </c>
      <c r="I100" s="15" t="s">
        <v>638</v>
      </c>
      <c r="J100" s="15" t="s">
        <v>590</v>
      </c>
      <c r="K100" s="15" t="s">
        <v>376</v>
      </c>
      <c r="L100" s="15" t="s">
        <v>591</v>
      </c>
      <c r="M100" s="15" t="s">
        <v>719</v>
      </c>
      <c r="N100" s="15" t="s">
        <v>591</v>
      </c>
      <c r="O100" s="15" t="s">
        <v>2633</v>
      </c>
      <c r="P100" s="15" t="s">
        <v>498</v>
      </c>
      <c r="Q100" s="15" t="s">
        <v>1156</v>
      </c>
      <c r="R100" s="15" t="s">
        <v>427</v>
      </c>
      <c r="S100" s="15" t="s">
        <v>384</v>
      </c>
      <c r="T100" s="15" t="s">
        <v>385</v>
      </c>
      <c r="U100" s="15"/>
      <c r="V100" s="15"/>
      <c r="W100" s="15" t="s">
        <v>760</v>
      </c>
      <c r="X100" s="15" t="s">
        <v>387</v>
      </c>
      <c r="Y100" s="15" t="s">
        <v>2115</v>
      </c>
      <c r="Z100" s="15"/>
      <c r="AA100" s="15" t="s">
        <v>2634</v>
      </c>
      <c r="AB100" s="15" t="s">
        <v>2635</v>
      </c>
      <c r="AC100" s="15"/>
      <c r="AD100" s="15"/>
      <c r="AE100" s="15"/>
      <c r="AF100" s="15"/>
      <c r="AG100" s="15"/>
      <c r="AH100" s="15"/>
      <c r="AI100" s="15"/>
      <c r="AJ100" s="15"/>
      <c r="AK100" s="15"/>
      <c r="AL100" s="15"/>
      <c r="AM100" s="15"/>
      <c r="AN100" s="15"/>
      <c r="AO100" s="15"/>
      <c r="AP100" s="15"/>
      <c r="AQ100" s="15"/>
      <c r="AR100" s="15"/>
      <c r="AS100" s="15"/>
      <c r="AT100" s="15"/>
      <c r="AU100" s="15"/>
      <c r="AV100" s="15" t="s">
        <v>1310</v>
      </c>
      <c r="AW100" s="15" t="s">
        <v>391</v>
      </c>
      <c r="AX100" s="15" t="s">
        <v>391</v>
      </c>
      <c r="AY100" s="15" t="s">
        <v>391</v>
      </c>
      <c r="AZ100" s="15">
        <v>2.0</v>
      </c>
      <c r="BA100" s="15" t="s">
        <v>429</v>
      </c>
      <c r="BB100" s="15">
        <v>2.0</v>
      </c>
      <c r="BC100" s="15" t="s">
        <v>2636</v>
      </c>
      <c r="BD100" s="15" t="s">
        <v>2637</v>
      </c>
      <c r="BE100" s="15" t="s">
        <v>432</v>
      </c>
      <c r="BF100" s="15" t="s">
        <v>393</v>
      </c>
      <c r="BG100" s="15" t="s">
        <v>434</v>
      </c>
      <c r="BH100" s="15" t="s">
        <v>2638</v>
      </c>
      <c r="BI100" s="15" t="s">
        <v>727</v>
      </c>
      <c r="BJ100" s="15" t="s">
        <v>2639</v>
      </c>
      <c r="BK100" s="15" t="s">
        <v>511</v>
      </c>
      <c r="BL100" s="15" t="s">
        <v>438</v>
      </c>
      <c r="BM100" s="15" t="s">
        <v>549</v>
      </c>
      <c r="BN100" s="15" t="s">
        <v>513</v>
      </c>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t="s">
        <v>441</v>
      </c>
      <c r="CM100" s="15" t="s">
        <v>401</v>
      </c>
      <c r="CN100" s="15" t="s">
        <v>2640</v>
      </c>
      <c r="CO100" s="15" t="s">
        <v>2641</v>
      </c>
      <c r="CP100" s="15" t="s">
        <v>403</v>
      </c>
      <c r="CQ100" s="15" t="s">
        <v>1427</v>
      </c>
      <c r="CR100" s="15" t="s">
        <v>404</v>
      </c>
      <c r="CS100" s="15" t="s">
        <v>2642</v>
      </c>
      <c r="CT100" s="15" t="s">
        <v>2643</v>
      </c>
      <c r="CU100" s="15" t="s">
        <v>450</v>
      </c>
      <c r="CV100" s="15" t="s">
        <v>451</v>
      </c>
      <c r="CW100" s="15" t="s">
        <v>2644</v>
      </c>
      <c r="CX100" s="15" t="s">
        <v>733</v>
      </c>
      <c r="CY100" s="15"/>
      <c r="CZ100" s="15" t="s">
        <v>453</v>
      </c>
      <c r="DA100" s="15" t="s">
        <v>2645</v>
      </c>
      <c r="DB100" s="15" t="s">
        <v>455</v>
      </c>
      <c r="DC100" s="15" t="s">
        <v>2646</v>
      </c>
      <c r="DD100" s="15" t="s">
        <v>406</v>
      </c>
      <c r="DE100" s="15" t="s">
        <v>407</v>
      </c>
      <c r="DF100" s="15" t="s">
        <v>2647</v>
      </c>
      <c r="DG100" s="15" t="s">
        <v>524</v>
      </c>
      <c r="DH100" s="15" t="s">
        <v>410</v>
      </c>
      <c r="DI100" s="15" t="s">
        <v>963</v>
      </c>
      <c r="DJ100" s="15" t="s">
        <v>613</v>
      </c>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t="s">
        <v>526</v>
      </c>
      <c r="EU100" s="15" t="s">
        <v>479</v>
      </c>
      <c r="EV100" s="15" t="s">
        <v>527</v>
      </c>
      <c r="EW100" s="15" t="s">
        <v>2648</v>
      </c>
      <c r="EX100" s="15" t="s">
        <v>2649</v>
      </c>
      <c r="EY100" s="15" t="s">
        <v>2650</v>
      </c>
      <c r="EZ100" s="15" t="s">
        <v>414</v>
      </c>
      <c r="FA100" s="15" t="s">
        <v>414</v>
      </c>
      <c r="FB100" s="15" t="s">
        <v>414</v>
      </c>
      <c r="FC100" s="15" t="s">
        <v>414</v>
      </c>
      <c r="FD100" s="15" t="s">
        <v>413</v>
      </c>
      <c r="FE100" s="15" t="s">
        <v>583</v>
      </c>
      <c r="FF100" s="15" t="s">
        <v>413</v>
      </c>
      <c r="FG100" s="15" t="s">
        <v>413</v>
      </c>
      <c r="FH100" s="15" t="s">
        <v>414</v>
      </c>
      <c r="FI100" s="15" t="s">
        <v>583</v>
      </c>
      <c r="FJ100" s="15" t="s">
        <v>414</v>
      </c>
      <c r="FK100" s="15" t="s">
        <v>484</v>
      </c>
      <c r="FL100" s="15" t="s">
        <v>484</v>
      </c>
      <c r="FM100" s="15" t="s">
        <v>484</v>
      </c>
      <c r="FN100" s="15" t="s">
        <v>583</v>
      </c>
      <c r="FO100" s="15" t="s">
        <v>417</v>
      </c>
      <c r="FP100" s="15" t="s">
        <v>2651</v>
      </c>
      <c r="FQ100" s="15" t="s">
        <v>630</v>
      </c>
      <c r="FR100" s="15" t="s">
        <v>2652</v>
      </c>
      <c r="FS100" s="15" t="s">
        <v>420</v>
      </c>
      <c r="FT100" s="15" t="s">
        <v>488</v>
      </c>
      <c r="FU100" s="15" t="s">
        <v>533</v>
      </c>
      <c r="FV100" s="15" t="s">
        <v>490</v>
      </c>
      <c r="FW100" s="15" t="s">
        <v>491</v>
      </c>
      <c r="FX100" s="15" t="s">
        <v>2653</v>
      </c>
      <c r="FY100" s="15" t="s">
        <v>535</v>
      </c>
      <c r="FZ100" s="15" t="s">
        <v>2654</v>
      </c>
      <c r="GA100" s="15" t="s">
        <v>2655</v>
      </c>
      <c r="GB100" s="15" t="s">
        <v>455</v>
      </c>
      <c r="GC100" s="15"/>
      <c r="GD100" s="15"/>
      <c r="GE100" s="15" t="s">
        <v>753</v>
      </c>
      <c r="GF100" s="15" t="s">
        <v>2656</v>
      </c>
      <c r="GG100" s="15" t="s">
        <v>857</v>
      </c>
      <c r="GH100" s="15" t="s">
        <v>857</v>
      </c>
      <c r="GI100" s="15" t="s">
        <v>817</v>
      </c>
      <c r="GJ100" s="15"/>
      <c r="GK100" s="15"/>
      <c r="GL100" s="15"/>
      <c r="GM100" s="15"/>
      <c r="GN100" s="15"/>
      <c r="GO100" s="15"/>
      <c r="GP100" s="15"/>
      <c r="GQ100" s="15"/>
      <c r="GR100" s="15"/>
      <c r="GS100" s="15"/>
      <c r="GT100" s="15"/>
      <c r="GU100" s="15"/>
      <c r="GV100" s="15"/>
      <c r="GW100" s="15"/>
      <c r="GX100" s="15"/>
      <c r="GY100" s="15"/>
      <c r="GZ100" s="15"/>
      <c r="HA100" s="15"/>
      <c r="HB100" s="15"/>
      <c r="HC100" s="15"/>
      <c r="HD100" s="15"/>
      <c r="HE100" s="15"/>
      <c r="HF100" s="15"/>
      <c r="HG100" s="15"/>
      <c r="HH100" s="15"/>
      <c r="HI100" s="15"/>
      <c r="HJ100" s="15"/>
      <c r="HK100" s="15"/>
      <c r="HL100" s="15"/>
      <c r="HM100" s="15"/>
      <c r="HN100" s="15"/>
      <c r="HO100" s="15"/>
      <c r="HP100" s="31"/>
      <c r="MX100" s="29" t="s">
        <v>10402</v>
      </c>
      <c r="MY100" s="29" t="str">
        <f>IFERROR(__xludf.DUMMYFUNCTION("""COMPUTED_VALUE"""),"California")</f>
        <v>California</v>
      </c>
    </row>
    <row r="101" ht="16.5" customHeight="1">
      <c r="A101" s="30">
        <v>45828.46985780093</v>
      </c>
      <c r="B101" s="15" t="s">
        <v>368</v>
      </c>
      <c r="C101" s="15" t="s">
        <v>370</v>
      </c>
      <c r="D101" s="15"/>
      <c r="E101" s="15" t="s">
        <v>371</v>
      </c>
      <c r="F101" s="15"/>
      <c r="G101" s="15" t="s">
        <v>2657</v>
      </c>
      <c r="H101" s="15" t="s">
        <v>373</v>
      </c>
      <c r="I101" s="15" t="s">
        <v>374</v>
      </c>
      <c r="J101" s="15" t="s">
        <v>669</v>
      </c>
      <c r="K101" s="15" t="s">
        <v>376</v>
      </c>
      <c r="L101" s="15" t="s">
        <v>591</v>
      </c>
      <c r="M101" s="15" t="s">
        <v>2658</v>
      </c>
      <c r="N101" s="15" t="s">
        <v>793</v>
      </c>
      <c r="O101" s="15" t="s">
        <v>2579</v>
      </c>
      <c r="P101" s="15" t="s">
        <v>592</v>
      </c>
      <c r="Q101" s="15" t="s">
        <v>382</v>
      </c>
      <c r="R101" s="15" t="s">
        <v>427</v>
      </c>
      <c r="S101" s="15" t="s">
        <v>384</v>
      </c>
      <c r="T101" s="15" t="s">
        <v>385</v>
      </c>
      <c r="U101" s="15"/>
      <c r="V101" s="15"/>
      <c r="W101" s="15" t="s">
        <v>428</v>
      </c>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t="s">
        <v>1242</v>
      </c>
      <c r="AW101" s="15" t="s">
        <v>675</v>
      </c>
      <c r="AX101" s="15">
        <v>4.0</v>
      </c>
      <c r="AY101" s="15">
        <v>4.0</v>
      </c>
      <c r="AZ101" s="15" t="s">
        <v>675</v>
      </c>
      <c r="BA101" s="15" t="s">
        <v>675</v>
      </c>
      <c r="BB101" s="15" t="s">
        <v>675</v>
      </c>
      <c r="BC101" s="15"/>
      <c r="BD101" s="15"/>
      <c r="BE101" s="15" t="s">
        <v>902</v>
      </c>
      <c r="BF101" s="15" t="s">
        <v>1245</v>
      </c>
      <c r="BG101" s="15" t="s">
        <v>725</v>
      </c>
      <c r="BH101" s="15"/>
      <c r="BI101" s="15" t="s">
        <v>435</v>
      </c>
      <c r="BJ101" s="15" t="s">
        <v>2659</v>
      </c>
      <c r="BK101" s="15" t="s">
        <v>681</v>
      </c>
      <c r="BL101" s="15" t="s">
        <v>603</v>
      </c>
      <c r="BM101" s="15" t="s">
        <v>1247</v>
      </c>
      <c r="BN101" s="15" t="s">
        <v>398</v>
      </c>
      <c r="BO101" s="15" t="s">
        <v>2660</v>
      </c>
      <c r="BP101" s="15" t="s">
        <v>2661</v>
      </c>
      <c r="BQ101" s="15" t="s">
        <v>604</v>
      </c>
      <c r="BR101" s="15" t="s">
        <v>2662</v>
      </c>
      <c r="BS101" s="15" t="s">
        <v>1741</v>
      </c>
      <c r="BT101" s="15" t="s">
        <v>1742</v>
      </c>
      <c r="BU101" s="15" t="s">
        <v>1772</v>
      </c>
      <c r="BV101" s="15" t="s">
        <v>2663</v>
      </c>
      <c r="BW101" s="15" t="s">
        <v>988</v>
      </c>
      <c r="BX101" s="15"/>
      <c r="BY101" s="15" t="s">
        <v>408</v>
      </c>
      <c r="BZ101" s="15"/>
      <c r="CA101" s="15" t="s">
        <v>2664</v>
      </c>
      <c r="CB101" s="15" t="s">
        <v>2665</v>
      </c>
      <c r="CC101" s="15" t="s">
        <v>2666</v>
      </c>
      <c r="CD101" s="15" t="s">
        <v>409</v>
      </c>
      <c r="CE101" s="15" t="s">
        <v>2667</v>
      </c>
      <c r="CF101" s="15" t="s">
        <v>1258</v>
      </c>
      <c r="CG101" s="15"/>
      <c r="CH101" s="15" t="s">
        <v>1698</v>
      </c>
      <c r="CI101" s="15" t="s">
        <v>833</v>
      </c>
      <c r="CJ101" s="15" t="s">
        <v>2668</v>
      </c>
      <c r="CK101" s="15" t="s">
        <v>2669</v>
      </c>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t="s">
        <v>526</v>
      </c>
      <c r="EU101" s="15" t="s">
        <v>479</v>
      </c>
      <c r="EV101" s="15" t="s">
        <v>480</v>
      </c>
      <c r="EW101" s="15"/>
      <c r="EX101" s="15" t="s">
        <v>2670</v>
      </c>
      <c r="EY101" s="15" t="s">
        <v>2671</v>
      </c>
      <c r="EZ101" s="15" t="s">
        <v>415</v>
      </c>
      <c r="FA101" s="15" t="s">
        <v>415</v>
      </c>
      <c r="FB101" s="15" t="s">
        <v>413</v>
      </c>
      <c r="FC101" s="15" t="s">
        <v>415</v>
      </c>
      <c r="FD101" s="15" t="s">
        <v>413</v>
      </c>
      <c r="FE101" s="15" t="s">
        <v>414</v>
      </c>
      <c r="FF101" s="15" t="s">
        <v>415</v>
      </c>
      <c r="FG101" s="15" t="s">
        <v>413</v>
      </c>
      <c r="FH101" s="15" t="s">
        <v>415</v>
      </c>
      <c r="FI101" s="15" t="s">
        <v>415</v>
      </c>
      <c r="FJ101" s="15" t="s">
        <v>415</v>
      </c>
      <c r="FK101" s="15" t="s">
        <v>415</v>
      </c>
      <c r="FL101" s="15" t="s">
        <v>415</v>
      </c>
      <c r="FM101" s="15" t="s">
        <v>416</v>
      </c>
      <c r="FN101" s="15" t="s">
        <v>414</v>
      </c>
      <c r="FO101" s="15" t="s">
        <v>485</v>
      </c>
      <c r="FP101" s="15" t="s">
        <v>418</v>
      </c>
      <c r="FQ101" s="15" t="s">
        <v>749</v>
      </c>
      <c r="FR101" s="15" t="s">
        <v>2672</v>
      </c>
      <c r="FS101" s="15" t="s">
        <v>420</v>
      </c>
      <c r="FT101" s="15" t="s">
        <v>1462</v>
      </c>
      <c r="FU101" s="15" t="s">
        <v>489</v>
      </c>
      <c r="FV101" s="15" t="s">
        <v>490</v>
      </c>
      <c r="FW101" s="15" t="s">
        <v>491</v>
      </c>
      <c r="FX101" s="15" t="s">
        <v>2673</v>
      </c>
      <c r="FY101" s="15" t="s">
        <v>493</v>
      </c>
      <c r="FZ101" s="15"/>
      <c r="GA101" s="15"/>
      <c r="GB101" s="15" t="s">
        <v>455</v>
      </c>
      <c r="GC101" s="15"/>
      <c r="GD101" s="15"/>
      <c r="GE101" s="15" t="s">
        <v>1420</v>
      </c>
      <c r="GF101" s="15"/>
      <c r="GG101" s="15"/>
      <c r="GH101" s="15"/>
      <c r="GI101" s="15"/>
      <c r="GJ101" s="15" t="s">
        <v>788</v>
      </c>
      <c r="GK101" s="15" t="s">
        <v>920</v>
      </c>
      <c r="GL101" s="15" t="s">
        <v>858</v>
      </c>
      <c r="GM101" s="15"/>
      <c r="GN101" s="15"/>
      <c r="GO101" s="15"/>
      <c r="GP101" s="15"/>
      <c r="GQ101" s="15"/>
      <c r="GR101" s="15"/>
      <c r="GS101" s="15"/>
      <c r="GT101" s="15"/>
      <c r="GU101" s="15"/>
      <c r="GV101" s="15"/>
      <c r="GW101" s="15"/>
      <c r="GX101" s="15"/>
      <c r="GY101" s="15"/>
      <c r="GZ101" s="15"/>
      <c r="HA101" s="15"/>
      <c r="HB101" s="15"/>
      <c r="HC101" s="15"/>
      <c r="HD101" s="15"/>
      <c r="HE101" s="15"/>
      <c r="HF101" s="15"/>
      <c r="HG101" s="15"/>
      <c r="HH101" s="15"/>
      <c r="HI101" s="15"/>
      <c r="HJ101" s="15"/>
      <c r="HK101" s="15"/>
      <c r="HL101" s="15"/>
      <c r="HM101" s="15"/>
      <c r="HN101" s="15"/>
      <c r="HO101" s="15"/>
      <c r="HP101" s="31"/>
      <c r="MX101" s="29" t="s">
        <v>10402</v>
      </c>
      <c r="MY101" s="29" t="str">
        <f>IFERROR(__xludf.DUMMYFUNCTION("""COMPUTED_VALUE"""),"California")</f>
        <v>California</v>
      </c>
    </row>
    <row r="102" ht="16.5" customHeight="1">
      <c r="A102" s="30">
        <v>45828.4853855324</v>
      </c>
      <c r="B102" s="15" t="s">
        <v>368</v>
      </c>
      <c r="C102" s="15" t="s">
        <v>370</v>
      </c>
      <c r="D102" s="15"/>
      <c r="E102" s="15" t="s">
        <v>371</v>
      </c>
      <c r="F102" s="15"/>
      <c r="G102" s="15" t="s">
        <v>372</v>
      </c>
      <c r="H102" s="15" t="s">
        <v>373</v>
      </c>
      <c r="I102" s="15" t="s">
        <v>374</v>
      </c>
      <c r="J102" s="15" t="s">
        <v>718</v>
      </c>
      <c r="K102" s="15" t="s">
        <v>376</v>
      </c>
      <c r="L102" s="15" t="s">
        <v>426</v>
      </c>
      <c r="M102" s="15" t="s">
        <v>639</v>
      </c>
      <c r="N102" s="15" t="s">
        <v>591</v>
      </c>
      <c r="O102" s="15" t="s">
        <v>639</v>
      </c>
      <c r="P102" s="15" t="s">
        <v>381</v>
      </c>
      <c r="Q102" s="15" t="s">
        <v>382</v>
      </c>
      <c r="R102" s="15" t="s">
        <v>2674</v>
      </c>
      <c r="S102" s="15" t="s">
        <v>1443</v>
      </c>
      <c r="T102" s="15" t="s">
        <v>385</v>
      </c>
      <c r="U102" s="15"/>
      <c r="V102" s="15"/>
      <c r="W102" s="15" t="s">
        <v>760</v>
      </c>
      <c r="X102" s="15" t="s">
        <v>387</v>
      </c>
      <c r="Y102" s="15" t="s">
        <v>594</v>
      </c>
      <c r="Z102" s="15" t="s">
        <v>543</v>
      </c>
      <c r="AA102" s="15" t="s">
        <v>2675</v>
      </c>
      <c r="AB102" s="15" t="s">
        <v>2676</v>
      </c>
      <c r="AC102" s="15"/>
      <c r="AD102" s="15"/>
      <c r="AE102" s="15"/>
      <c r="AF102" s="15"/>
      <c r="AG102" s="15"/>
      <c r="AH102" s="15"/>
      <c r="AI102" s="15"/>
      <c r="AJ102" s="15"/>
      <c r="AK102" s="15"/>
      <c r="AL102" s="15"/>
      <c r="AM102" s="15"/>
      <c r="AN102" s="15"/>
      <c r="AO102" s="15"/>
      <c r="AP102" s="15"/>
      <c r="AQ102" s="15"/>
      <c r="AR102" s="15"/>
      <c r="AS102" s="15"/>
      <c r="AT102" s="15"/>
      <c r="AU102" s="15"/>
      <c r="AV102" s="15" t="s">
        <v>597</v>
      </c>
      <c r="AW102" s="15" t="s">
        <v>391</v>
      </c>
      <c r="AX102" s="15" t="s">
        <v>391</v>
      </c>
      <c r="AY102" s="15" t="s">
        <v>391</v>
      </c>
      <c r="AZ102" s="15" t="s">
        <v>391</v>
      </c>
      <c r="BA102" s="15" t="s">
        <v>391</v>
      </c>
      <c r="BB102" s="15" t="s">
        <v>391</v>
      </c>
      <c r="BC102" s="15" t="s">
        <v>2677</v>
      </c>
      <c r="BD102" s="15" t="s">
        <v>2678</v>
      </c>
      <c r="BE102" s="15" t="s">
        <v>2259</v>
      </c>
      <c r="BF102" s="15" t="s">
        <v>433</v>
      </c>
      <c r="BG102" s="15" t="s">
        <v>394</v>
      </c>
      <c r="BH102" s="15" t="s">
        <v>2679</v>
      </c>
      <c r="BI102" s="15" t="s">
        <v>509</v>
      </c>
      <c r="BJ102" s="15" t="s">
        <v>2680</v>
      </c>
      <c r="BK102" s="15" t="s">
        <v>602</v>
      </c>
      <c r="BL102" s="15" t="s">
        <v>438</v>
      </c>
      <c r="BM102" s="15" t="s">
        <v>549</v>
      </c>
      <c r="BN102" s="15" t="s">
        <v>440</v>
      </c>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t="s">
        <v>441</v>
      </c>
      <c r="CM102" s="15" t="s">
        <v>401</v>
      </c>
      <c r="CN102" s="15" t="s">
        <v>2681</v>
      </c>
      <c r="CO102" s="15" t="s">
        <v>2682</v>
      </c>
      <c r="CP102" s="15" t="s">
        <v>685</v>
      </c>
      <c r="CQ102" s="15" t="s">
        <v>2683</v>
      </c>
      <c r="CR102" s="15" t="s">
        <v>447</v>
      </c>
      <c r="CS102" s="15" t="s">
        <v>2684</v>
      </c>
      <c r="CT102" s="15" t="s">
        <v>2685</v>
      </c>
      <c r="CU102" s="15" t="s">
        <v>450</v>
      </c>
      <c r="CV102" s="15" t="s">
        <v>451</v>
      </c>
      <c r="CW102" s="15" t="s">
        <v>2686</v>
      </c>
      <c r="CX102" s="15" t="s">
        <v>408</v>
      </c>
      <c r="CY102" s="15"/>
      <c r="CZ102" s="15" t="s">
        <v>453</v>
      </c>
      <c r="DA102" s="15" t="s">
        <v>2687</v>
      </c>
      <c r="DB102" s="15" t="s">
        <v>455</v>
      </c>
      <c r="DC102" s="15" t="s">
        <v>2688</v>
      </c>
      <c r="DD102" s="15" t="s">
        <v>406</v>
      </c>
      <c r="DE102" s="15" t="s">
        <v>407</v>
      </c>
      <c r="DF102" s="15" t="s">
        <v>2689</v>
      </c>
      <c r="DG102" s="15" t="s">
        <v>524</v>
      </c>
      <c r="DH102" s="15" t="s">
        <v>410</v>
      </c>
      <c r="DI102" s="15" t="s">
        <v>963</v>
      </c>
      <c r="DJ102" s="15" t="s">
        <v>613</v>
      </c>
      <c r="DK102" s="15"/>
      <c r="DL102" s="15"/>
      <c r="DM102" s="15" t="s">
        <v>2690</v>
      </c>
      <c r="DN102" s="15" t="s">
        <v>2691</v>
      </c>
      <c r="DO102" s="15" t="s">
        <v>567</v>
      </c>
      <c r="DP102" s="15" t="s">
        <v>2692</v>
      </c>
      <c r="DQ102" s="15" t="s">
        <v>1553</v>
      </c>
      <c r="DR102" s="15" t="s">
        <v>2693</v>
      </c>
      <c r="DS102" s="15" t="s">
        <v>839</v>
      </c>
      <c r="DT102" s="15" t="s">
        <v>703</v>
      </c>
      <c r="DU102" s="15" t="s">
        <v>2694</v>
      </c>
      <c r="DV102" s="15" t="s">
        <v>2695</v>
      </c>
      <c r="DW102" s="15" t="s">
        <v>1328</v>
      </c>
      <c r="DX102" s="15" t="s">
        <v>2696</v>
      </c>
      <c r="DY102" s="15" t="s">
        <v>2697</v>
      </c>
      <c r="DZ102" s="15" t="s">
        <v>2698</v>
      </c>
      <c r="EA102" s="15" t="s">
        <v>475</v>
      </c>
      <c r="EB102" s="15" t="s">
        <v>626</v>
      </c>
      <c r="EC102" s="15" t="s">
        <v>2699</v>
      </c>
      <c r="ED102" s="15"/>
      <c r="EE102" s="15"/>
      <c r="EF102" s="15"/>
      <c r="EG102" s="15"/>
      <c r="EH102" s="15"/>
      <c r="EI102" s="15"/>
      <c r="EJ102" s="15"/>
      <c r="EK102" s="15"/>
      <c r="EL102" s="15"/>
      <c r="EM102" s="15"/>
      <c r="EN102" s="15"/>
      <c r="EO102" s="15"/>
      <c r="EP102" s="15"/>
      <c r="EQ102" s="15"/>
      <c r="ER102" s="15"/>
      <c r="ES102" s="15"/>
      <c r="ET102" s="15" t="s">
        <v>526</v>
      </c>
      <c r="EU102" s="15" t="s">
        <v>579</v>
      </c>
      <c r="EV102" s="15" t="s">
        <v>778</v>
      </c>
      <c r="EW102" s="15" t="s">
        <v>2700</v>
      </c>
      <c r="EX102" s="15" t="s">
        <v>2701</v>
      </c>
      <c r="EY102" s="15" t="s">
        <v>2702</v>
      </c>
      <c r="EZ102" s="15" t="s">
        <v>415</v>
      </c>
      <c r="FA102" s="15" t="s">
        <v>415</v>
      </c>
      <c r="FB102" s="15" t="s">
        <v>415</v>
      </c>
      <c r="FC102" s="15" t="s">
        <v>415</v>
      </c>
      <c r="FD102" s="15" t="s">
        <v>413</v>
      </c>
      <c r="FE102" s="15" t="s">
        <v>415</v>
      </c>
      <c r="FF102" s="15" t="s">
        <v>415</v>
      </c>
      <c r="FG102" s="15" t="s">
        <v>415</v>
      </c>
      <c r="FH102" s="15" t="s">
        <v>415</v>
      </c>
      <c r="FI102" s="15" t="s">
        <v>415</v>
      </c>
      <c r="FJ102" s="15" t="s">
        <v>414</v>
      </c>
      <c r="FK102" s="15" t="s">
        <v>415</v>
      </c>
      <c r="FL102" s="15" t="s">
        <v>414</v>
      </c>
      <c r="FM102" s="15" t="s">
        <v>415</v>
      </c>
      <c r="FN102" s="15" t="s">
        <v>415</v>
      </c>
      <c r="FO102" s="15" t="s">
        <v>417</v>
      </c>
      <c r="FP102" s="15" t="s">
        <v>418</v>
      </c>
      <c r="FQ102" s="15" t="s">
        <v>749</v>
      </c>
      <c r="FR102" s="15" t="s">
        <v>2703</v>
      </c>
      <c r="FS102" s="15" t="s">
        <v>420</v>
      </c>
      <c r="FT102" s="15" t="s">
        <v>488</v>
      </c>
      <c r="FU102" s="15" t="s">
        <v>918</v>
      </c>
      <c r="FV102" s="15" t="s">
        <v>490</v>
      </c>
      <c r="FW102" s="15" t="s">
        <v>491</v>
      </c>
      <c r="FX102" s="15" t="s">
        <v>2704</v>
      </c>
      <c r="FY102" s="15" t="s">
        <v>535</v>
      </c>
      <c r="FZ102" s="15" t="s">
        <v>2705</v>
      </c>
      <c r="GA102" s="15" t="s">
        <v>2706</v>
      </c>
      <c r="GB102" s="15" t="s">
        <v>455</v>
      </c>
      <c r="GC102" s="15"/>
      <c r="GD102" s="15"/>
      <c r="GE102" s="15" t="s">
        <v>753</v>
      </c>
      <c r="GF102" s="15" t="s">
        <v>2707</v>
      </c>
      <c r="GG102" s="15" t="s">
        <v>857</v>
      </c>
      <c r="GH102" s="15" t="s">
        <v>857</v>
      </c>
      <c r="GI102" s="15" t="s">
        <v>817</v>
      </c>
      <c r="GJ102" s="15"/>
      <c r="GK102" s="15"/>
      <c r="GL102" s="15"/>
      <c r="GM102" s="15" t="s">
        <v>1079</v>
      </c>
      <c r="GN102" s="15"/>
      <c r="GO102" s="15"/>
      <c r="GP102" s="15"/>
      <c r="GQ102" s="15"/>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31"/>
      <c r="MX102" s="29" t="s">
        <v>10402</v>
      </c>
      <c r="MY102" s="29" t="str">
        <f>IFERROR(__xludf.DUMMYFUNCTION("""COMPUTED_VALUE"""),"Illinois")</f>
        <v>Illinois</v>
      </c>
    </row>
    <row r="103" ht="16.5" customHeight="1">
      <c r="A103" s="30">
        <v>45828.49643018519</v>
      </c>
      <c r="B103" s="15" t="s">
        <v>368</v>
      </c>
      <c r="C103" s="15" t="s">
        <v>370</v>
      </c>
      <c r="D103" s="15"/>
      <c r="E103" s="15" t="s">
        <v>2708</v>
      </c>
      <c r="F103" s="15"/>
      <c r="G103" s="15" t="s">
        <v>422</v>
      </c>
      <c r="H103" s="15" t="s">
        <v>1307</v>
      </c>
      <c r="I103" s="15" t="s">
        <v>668</v>
      </c>
      <c r="J103" s="15" t="s">
        <v>540</v>
      </c>
      <c r="K103" s="15" t="s">
        <v>376</v>
      </c>
      <c r="L103" s="15" t="s">
        <v>379</v>
      </c>
      <c r="M103" s="15" t="s">
        <v>378</v>
      </c>
      <c r="N103" s="15" t="s">
        <v>377</v>
      </c>
      <c r="O103" s="15" t="s">
        <v>497</v>
      </c>
      <c r="P103" s="15" t="s">
        <v>381</v>
      </c>
      <c r="Q103" s="15" t="s">
        <v>382</v>
      </c>
      <c r="R103" s="15" t="s">
        <v>949</v>
      </c>
      <c r="S103" s="15" t="s">
        <v>384</v>
      </c>
      <c r="T103" s="15" t="s">
        <v>385</v>
      </c>
      <c r="U103" s="15"/>
      <c r="V103" s="15"/>
      <c r="W103" s="15" t="s">
        <v>386</v>
      </c>
      <c r="X103" s="15" t="s">
        <v>387</v>
      </c>
      <c r="Y103" s="15" t="s">
        <v>388</v>
      </c>
      <c r="Z103" s="15" t="s">
        <v>543</v>
      </c>
      <c r="AA103" s="15" t="s">
        <v>408</v>
      </c>
      <c r="AB103" s="15" t="s">
        <v>408</v>
      </c>
      <c r="AC103" s="15"/>
      <c r="AD103" s="15"/>
      <c r="AE103" s="15"/>
      <c r="AF103" s="15"/>
      <c r="AG103" s="15"/>
      <c r="AH103" s="15"/>
      <c r="AI103" s="15"/>
      <c r="AJ103" s="15"/>
      <c r="AK103" s="15"/>
      <c r="AL103" s="15"/>
      <c r="AM103" s="15"/>
      <c r="AN103" s="15"/>
      <c r="AO103" s="15"/>
      <c r="AP103" s="15"/>
      <c r="AQ103" s="15"/>
      <c r="AR103" s="15"/>
      <c r="AS103" s="15"/>
      <c r="AT103" s="15"/>
      <c r="AU103" s="15"/>
      <c r="AV103" s="15" t="s">
        <v>597</v>
      </c>
      <c r="AW103" s="15" t="s">
        <v>675</v>
      </c>
      <c r="AX103" s="15">
        <v>4.0</v>
      </c>
      <c r="AY103" s="15" t="s">
        <v>675</v>
      </c>
      <c r="AZ103" s="15">
        <v>4.0</v>
      </c>
      <c r="BA103" s="15">
        <v>4.0</v>
      </c>
      <c r="BB103" s="15">
        <v>4.0</v>
      </c>
      <c r="BC103" s="15" t="s">
        <v>2709</v>
      </c>
      <c r="BD103" s="15" t="s">
        <v>2710</v>
      </c>
      <c r="BE103" s="15" t="s">
        <v>902</v>
      </c>
      <c r="BF103" s="15" t="s">
        <v>433</v>
      </c>
      <c r="BG103" s="15" t="s">
        <v>434</v>
      </c>
      <c r="BH103" s="15" t="s">
        <v>2711</v>
      </c>
      <c r="BI103" s="15" t="s">
        <v>435</v>
      </c>
      <c r="BJ103" s="15" t="s">
        <v>2712</v>
      </c>
      <c r="BK103" s="15" t="s">
        <v>437</v>
      </c>
      <c r="BL103" s="15" t="s">
        <v>603</v>
      </c>
      <c r="BM103" s="15" t="s">
        <v>397</v>
      </c>
      <c r="BN103" s="15" t="s">
        <v>513</v>
      </c>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t="s">
        <v>441</v>
      </c>
      <c r="CM103" s="15" t="s">
        <v>682</v>
      </c>
      <c r="CN103" s="15" t="s">
        <v>2713</v>
      </c>
      <c r="CO103" s="15" t="s">
        <v>2714</v>
      </c>
      <c r="CP103" s="15" t="s">
        <v>685</v>
      </c>
      <c r="CQ103" s="15" t="s">
        <v>2715</v>
      </c>
      <c r="CR103" s="15" t="s">
        <v>447</v>
      </c>
      <c r="CS103" s="15" t="s">
        <v>1528</v>
      </c>
      <c r="CT103" s="15" t="s">
        <v>2716</v>
      </c>
      <c r="CU103" s="15" t="s">
        <v>1852</v>
      </c>
      <c r="CV103" s="15" t="s">
        <v>451</v>
      </c>
      <c r="CW103" s="15" t="s">
        <v>2717</v>
      </c>
      <c r="CX103" s="15" t="s">
        <v>408</v>
      </c>
      <c r="CY103" s="15"/>
      <c r="CZ103" s="15" t="s">
        <v>985</v>
      </c>
      <c r="DA103" s="15" t="s">
        <v>2718</v>
      </c>
      <c r="DB103" s="15" t="s">
        <v>408</v>
      </c>
      <c r="DC103" s="15"/>
      <c r="DD103" s="15" t="s">
        <v>406</v>
      </c>
      <c r="DE103" s="15" t="s">
        <v>407</v>
      </c>
      <c r="DF103" s="15" t="s">
        <v>2719</v>
      </c>
      <c r="DG103" s="15" t="s">
        <v>776</v>
      </c>
      <c r="DH103" s="15" t="s">
        <v>410</v>
      </c>
      <c r="DI103" s="15" t="s">
        <v>963</v>
      </c>
      <c r="DJ103" s="15" t="s">
        <v>695</v>
      </c>
      <c r="DK103" s="15" t="s">
        <v>563</v>
      </c>
      <c r="DL103" s="15" t="s">
        <v>2720</v>
      </c>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t="s">
        <v>526</v>
      </c>
      <c r="EU103" s="15" t="s">
        <v>479</v>
      </c>
      <c r="EV103" s="15" t="s">
        <v>480</v>
      </c>
      <c r="EW103" s="15" t="s">
        <v>2721</v>
      </c>
      <c r="EX103" s="15" t="s">
        <v>2722</v>
      </c>
      <c r="EY103" s="15" t="s">
        <v>2723</v>
      </c>
      <c r="EZ103" s="15" t="s">
        <v>414</v>
      </c>
      <c r="FA103" s="15" t="s">
        <v>414</v>
      </c>
      <c r="FB103" s="15" t="s">
        <v>416</v>
      </c>
      <c r="FC103" s="15" t="s">
        <v>413</v>
      </c>
      <c r="FD103" s="15" t="s">
        <v>416</v>
      </c>
      <c r="FE103" s="15" t="s">
        <v>415</v>
      </c>
      <c r="FF103" s="15" t="s">
        <v>415</v>
      </c>
      <c r="FG103" s="15" t="s">
        <v>416</v>
      </c>
      <c r="FH103" s="15" t="s">
        <v>414</v>
      </c>
      <c r="FI103" s="15" t="s">
        <v>414</v>
      </c>
      <c r="FJ103" s="15" t="s">
        <v>416</v>
      </c>
      <c r="FK103" s="15" t="s">
        <v>415</v>
      </c>
      <c r="FL103" s="15" t="s">
        <v>414</v>
      </c>
      <c r="FM103" s="15" t="s">
        <v>413</v>
      </c>
      <c r="FN103" s="15" t="s">
        <v>583</v>
      </c>
      <c r="FO103" s="15" t="s">
        <v>850</v>
      </c>
      <c r="FP103" s="15" t="s">
        <v>418</v>
      </c>
      <c r="FQ103" s="15" t="s">
        <v>531</v>
      </c>
      <c r="FR103" s="15" t="s">
        <v>2724</v>
      </c>
      <c r="FS103" s="15" t="s">
        <v>1871</v>
      </c>
      <c r="FT103" s="15" t="s">
        <v>1462</v>
      </c>
      <c r="FU103" s="15" t="s">
        <v>585</v>
      </c>
      <c r="FV103" s="15" t="s">
        <v>490</v>
      </c>
      <c r="FW103" s="15" t="s">
        <v>491</v>
      </c>
      <c r="FX103" s="15" t="s">
        <v>2725</v>
      </c>
      <c r="FY103" s="15" t="s">
        <v>535</v>
      </c>
      <c r="FZ103" s="15" t="s">
        <v>2726</v>
      </c>
      <c r="GA103" s="15"/>
      <c r="GB103" s="15" t="s">
        <v>455</v>
      </c>
      <c r="GC103" s="15"/>
      <c r="GD103" s="15"/>
      <c r="GE103" s="15" t="s">
        <v>786</v>
      </c>
      <c r="GF103" s="15"/>
      <c r="GG103" s="15" t="s">
        <v>755</v>
      </c>
      <c r="GH103" s="15" t="s">
        <v>755</v>
      </c>
      <c r="GI103" s="15" t="s">
        <v>946</v>
      </c>
      <c r="GJ103" s="15"/>
      <c r="GK103" s="15"/>
      <c r="GL103" s="15"/>
      <c r="GM103" s="15"/>
      <c r="GN103" s="15"/>
      <c r="GO103" s="15"/>
      <c r="GP103" s="15"/>
      <c r="GQ103" s="15"/>
      <c r="GR103" s="15"/>
      <c r="GS103" s="15"/>
      <c r="GT103" s="15"/>
      <c r="GU103" s="15"/>
      <c r="GV103" s="15"/>
      <c r="GW103" s="15"/>
      <c r="GX103" s="15"/>
      <c r="GY103" s="15"/>
      <c r="GZ103" s="15"/>
      <c r="HA103" s="15"/>
      <c r="HB103" s="15"/>
      <c r="HC103" s="15"/>
      <c r="HD103" s="15"/>
      <c r="HE103" s="15"/>
      <c r="HF103" s="15"/>
      <c r="HG103" s="15"/>
      <c r="HH103" s="15"/>
      <c r="HI103" s="15"/>
      <c r="HJ103" s="15"/>
      <c r="HK103" s="15"/>
      <c r="HL103" s="15"/>
      <c r="HM103" s="15"/>
      <c r="HN103" s="15"/>
      <c r="HO103" s="15"/>
      <c r="HP103" s="31"/>
      <c r="MX103" s="29" t="s">
        <v>2727</v>
      </c>
      <c r="MY103" s="29" t="str">
        <f>IFERROR(__xludf.DUMMYFUNCTION("""COMPUTED_VALUE"""),"Thailand")</f>
        <v>Thailand</v>
      </c>
    </row>
    <row r="104" ht="16.5" customHeight="1">
      <c r="A104" s="30">
        <v>45828.52431340278</v>
      </c>
      <c r="B104" s="15" t="s">
        <v>368</v>
      </c>
      <c r="C104" s="15" t="s">
        <v>2727</v>
      </c>
      <c r="D104" s="15" t="s">
        <v>370</v>
      </c>
      <c r="E104" s="15"/>
      <c r="F104" s="15" t="s">
        <v>1421</v>
      </c>
      <c r="G104" s="15" t="s">
        <v>2657</v>
      </c>
      <c r="H104" s="15" t="s">
        <v>637</v>
      </c>
      <c r="I104" s="15" t="s">
        <v>638</v>
      </c>
      <c r="J104" s="15" t="s">
        <v>425</v>
      </c>
      <c r="K104" s="15" t="s">
        <v>376</v>
      </c>
      <c r="L104" s="15" t="s">
        <v>591</v>
      </c>
      <c r="M104" s="15" t="s">
        <v>719</v>
      </c>
      <c r="N104" s="15" t="s">
        <v>396</v>
      </c>
      <c r="O104" s="15" t="s">
        <v>2728</v>
      </c>
      <c r="P104" s="15" t="s">
        <v>381</v>
      </c>
      <c r="Q104" s="15" t="s">
        <v>382</v>
      </c>
      <c r="R104" s="15" t="s">
        <v>500</v>
      </c>
      <c r="S104" s="15" t="s">
        <v>384</v>
      </c>
      <c r="T104" s="15" t="s">
        <v>385</v>
      </c>
      <c r="U104" s="15"/>
      <c r="V104" s="15"/>
      <c r="W104" s="15" t="s">
        <v>428</v>
      </c>
      <c r="X104" s="15" t="s">
        <v>2729</v>
      </c>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t="s">
        <v>390</v>
      </c>
      <c r="AW104" s="15" t="s">
        <v>429</v>
      </c>
      <c r="AX104" s="15" t="s">
        <v>391</v>
      </c>
      <c r="AY104" s="15" t="s">
        <v>429</v>
      </c>
      <c r="AZ104" s="15" t="s">
        <v>391</v>
      </c>
      <c r="BA104" s="15" t="s">
        <v>391</v>
      </c>
      <c r="BB104" s="15">
        <v>2.0</v>
      </c>
      <c r="BC104" s="15" t="s">
        <v>2730</v>
      </c>
      <c r="BD104" s="15" t="s">
        <v>2731</v>
      </c>
      <c r="BE104" s="15" t="s">
        <v>432</v>
      </c>
      <c r="BF104" s="15" t="s">
        <v>393</v>
      </c>
      <c r="BG104" s="15" t="s">
        <v>725</v>
      </c>
      <c r="BH104" s="15" t="s">
        <v>2732</v>
      </c>
      <c r="BI104" s="15" t="s">
        <v>509</v>
      </c>
      <c r="BJ104" s="15" t="s">
        <v>2733</v>
      </c>
      <c r="BK104" s="15" t="s">
        <v>681</v>
      </c>
      <c r="BL104" s="15" t="s">
        <v>512</v>
      </c>
      <c r="BM104" s="15" t="s">
        <v>549</v>
      </c>
      <c r="BN104" s="15" t="s">
        <v>398</v>
      </c>
      <c r="BO104" s="15" t="s">
        <v>2734</v>
      </c>
      <c r="BP104" s="15" t="s">
        <v>2735</v>
      </c>
      <c r="BQ104" s="15" t="s">
        <v>604</v>
      </c>
      <c r="BR104" s="15" t="s">
        <v>2736</v>
      </c>
      <c r="BS104" s="15" t="s">
        <v>1671</v>
      </c>
      <c r="BT104" s="15"/>
      <c r="BU104" s="15" t="s">
        <v>1831</v>
      </c>
      <c r="BV104" s="15" t="s">
        <v>2737</v>
      </c>
      <c r="BW104" s="15" t="s">
        <v>988</v>
      </c>
      <c r="BX104" s="15"/>
      <c r="BY104" s="15" t="s">
        <v>455</v>
      </c>
      <c r="BZ104" s="15" t="s">
        <v>2738</v>
      </c>
      <c r="CA104" s="15" t="s">
        <v>2739</v>
      </c>
      <c r="CB104" s="15" t="s">
        <v>2740</v>
      </c>
      <c r="CC104" s="15" t="s">
        <v>2741</v>
      </c>
      <c r="CD104" s="15" t="s">
        <v>451</v>
      </c>
      <c r="CE104" s="15" t="s">
        <v>2742</v>
      </c>
      <c r="CF104" s="15" t="s">
        <v>1749</v>
      </c>
      <c r="CG104" s="15" t="s">
        <v>2743</v>
      </c>
      <c r="CH104" s="15" t="s">
        <v>2744</v>
      </c>
      <c r="CI104" s="15" t="s">
        <v>410</v>
      </c>
      <c r="CJ104" s="15" t="s">
        <v>2745</v>
      </c>
      <c r="CK104" s="15" t="s">
        <v>2746</v>
      </c>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c r="DZ104" s="15"/>
      <c r="EA104" s="15"/>
      <c r="EB104" s="15"/>
      <c r="EC104" s="15"/>
      <c r="ED104" s="15"/>
      <c r="EE104" s="15"/>
      <c r="EF104" s="15"/>
      <c r="EG104" s="15"/>
      <c r="EH104" s="15"/>
      <c r="EI104" s="15"/>
      <c r="EJ104" s="15"/>
      <c r="EK104" s="15"/>
      <c r="EL104" s="15"/>
      <c r="EM104" s="15"/>
      <c r="EN104" s="15"/>
      <c r="EO104" s="15"/>
      <c r="EP104" s="15"/>
      <c r="EQ104" s="15"/>
      <c r="ER104" s="15"/>
      <c r="ES104" s="15"/>
      <c r="ET104" s="15" t="s">
        <v>2747</v>
      </c>
      <c r="EU104" s="15" t="s">
        <v>579</v>
      </c>
      <c r="EV104" s="15" t="s">
        <v>1262</v>
      </c>
      <c r="EW104" s="15"/>
      <c r="EX104" s="15" t="s">
        <v>2748</v>
      </c>
      <c r="EY104" s="15" t="s">
        <v>2749</v>
      </c>
      <c r="EZ104" s="15" t="s">
        <v>415</v>
      </c>
      <c r="FA104" s="15" t="s">
        <v>583</v>
      </c>
      <c r="FB104" s="15" t="s">
        <v>413</v>
      </c>
      <c r="FC104" s="15" t="s">
        <v>583</v>
      </c>
      <c r="FD104" s="15" t="s">
        <v>583</v>
      </c>
      <c r="FE104" s="15" t="s">
        <v>583</v>
      </c>
      <c r="FF104" s="15" t="s">
        <v>414</v>
      </c>
      <c r="FG104" s="15" t="s">
        <v>415</v>
      </c>
      <c r="FH104" s="15" t="s">
        <v>415</v>
      </c>
      <c r="FI104" s="15" t="s">
        <v>415</v>
      </c>
      <c r="FJ104" s="15" t="s">
        <v>415</v>
      </c>
      <c r="FK104" s="15" t="s">
        <v>415</v>
      </c>
      <c r="FL104" s="15" t="s">
        <v>415</v>
      </c>
      <c r="FM104" s="15" t="s">
        <v>415</v>
      </c>
      <c r="FN104" s="15" t="s">
        <v>415</v>
      </c>
      <c r="FO104" s="15" t="s">
        <v>1537</v>
      </c>
      <c r="FP104" s="15" t="s">
        <v>418</v>
      </c>
      <c r="FQ104" s="15" t="s">
        <v>712</v>
      </c>
      <c r="FR104" s="15" t="s">
        <v>733</v>
      </c>
      <c r="FS104" s="15" t="s">
        <v>1871</v>
      </c>
      <c r="FT104" s="15" t="s">
        <v>2750</v>
      </c>
      <c r="FU104" s="15" t="s">
        <v>918</v>
      </c>
      <c r="FV104" s="15" t="s">
        <v>2387</v>
      </c>
      <c r="FW104" s="15" t="s">
        <v>1853</v>
      </c>
      <c r="FX104" s="15" t="s">
        <v>2751</v>
      </c>
      <c r="FY104" s="15" t="s">
        <v>1337</v>
      </c>
      <c r="FZ104" s="15" t="s">
        <v>2752</v>
      </c>
      <c r="GA104" s="15"/>
      <c r="GB104" s="15" t="s">
        <v>408</v>
      </c>
      <c r="GC104" s="15"/>
      <c r="GD104" s="15"/>
      <c r="GE104" s="15"/>
      <c r="GF104" s="15"/>
      <c r="GG104" s="15"/>
      <c r="GH104" s="15"/>
      <c r="GI104" s="15"/>
      <c r="GJ104" s="15" t="s">
        <v>755</v>
      </c>
      <c r="GK104" s="15" t="s">
        <v>755</v>
      </c>
      <c r="GL104" s="15" t="s">
        <v>858</v>
      </c>
      <c r="GM104" s="15"/>
      <c r="GN104" s="15" t="s">
        <v>2753</v>
      </c>
      <c r="GO104" s="15"/>
      <c r="GP104" s="15"/>
      <c r="GQ104" s="15"/>
      <c r="GR104" s="15"/>
      <c r="GS104" s="15"/>
      <c r="GT104" s="15"/>
      <c r="GU104" s="15"/>
      <c r="GV104" s="15"/>
      <c r="GW104" s="15"/>
      <c r="GX104" s="15"/>
      <c r="GY104" s="15"/>
      <c r="GZ104" s="15"/>
      <c r="HA104" s="15"/>
      <c r="HB104" s="15"/>
      <c r="HC104" s="15"/>
      <c r="HD104" s="15"/>
      <c r="HE104" s="15"/>
      <c r="HF104" s="15"/>
      <c r="HG104" s="15"/>
      <c r="HH104" s="15"/>
      <c r="HI104" s="15"/>
      <c r="HJ104" s="15"/>
      <c r="HK104" s="15"/>
      <c r="HL104" s="15"/>
      <c r="HM104" s="15"/>
      <c r="HN104" s="15"/>
      <c r="HO104" s="15"/>
      <c r="HP104" s="31"/>
      <c r="MX104" s="29" t="s">
        <v>10402</v>
      </c>
      <c r="MY104" s="29" t="str">
        <f>IFERROR(__xludf.DUMMYFUNCTION("""COMPUTED_VALUE"""),"California")</f>
        <v>California</v>
      </c>
    </row>
    <row r="105" ht="16.5" customHeight="1">
      <c r="A105" s="30">
        <v>45828.541225312496</v>
      </c>
      <c r="B105" s="15" t="s">
        <v>368</v>
      </c>
      <c r="C105" s="15" t="s">
        <v>370</v>
      </c>
      <c r="D105" s="15"/>
      <c r="E105" s="15" t="s">
        <v>371</v>
      </c>
      <c r="F105" s="15"/>
      <c r="G105" s="15" t="s">
        <v>2754</v>
      </c>
      <c r="H105" s="15" t="s">
        <v>539</v>
      </c>
      <c r="I105" s="15" t="s">
        <v>424</v>
      </c>
      <c r="J105" s="15" t="s">
        <v>425</v>
      </c>
      <c r="K105" s="15" t="s">
        <v>376</v>
      </c>
      <c r="L105" s="15" t="s">
        <v>377</v>
      </c>
      <c r="M105" s="15" t="s">
        <v>380</v>
      </c>
      <c r="N105" s="15" t="s">
        <v>377</v>
      </c>
      <c r="O105" s="15" t="s">
        <v>380</v>
      </c>
      <c r="P105" s="15" t="s">
        <v>498</v>
      </c>
      <c r="Q105" s="15" t="s">
        <v>382</v>
      </c>
      <c r="R105" s="15" t="s">
        <v>500</v>
      </c>
      <c r="S105" s="15" t="s">
        <v>384</v>
      </c>
      <c r="T105" s="15" t="s">
        <v>385</v>
      </c>
      <c r="U105" s="15"/>
      <c r="V105" s="15"/>
      <c r="W105" s="15" t="s">
        <v>386</v>
      </c>
      <c r="X105" s="15" t="s">
        <v>387</v>
      </c>
      <c r="Y105" s="15" t="s">
        <v>388</v>
      </c>
      <c r="Z105" s="15" t="s">
        <v>502</v>
      </c>
      <c r="AA105" s="15" t="s">
        <v>2755</v>
      </c>
      <c r="AB105" s="15" t="s">
        <v>2756</v>
      </c>
      <c r="AC105" s="15"/>
      <c r="AD105" s="15"/>
      <c r="AE105" s="15"/>
      <c r="AF105" s="15"/>
      <c r="AG105" s="15"/>
      <c r="AH105" s="15"/>
      <c r="AI105" s="15"/>
      <c r="AJ105" s="15"/>
      <c r="AK105" s="15"/>
      <c r="AL105" s="15"/>
      <c r="AM105" s="15"/>
      <c r="AN105" s="15"/>
      <c r="AO105" s="15"/>
      <c r="AP105" s="15"/>
      <c r="AQ105" s="15"/>
      <c r="AR105" s="15"/>
      <c r="AS105" s="15"/>
      <c r="AT105" s="15"/>
      <c r="AU105" s="15"/>
      <c r="AV105" s="15" t="s">
        <v>597</v>
      </c>
      <c r="AW105" s="15" t="s">
        <v>391</v>
      </c>
      <c r="AX105" s="15" t="s">
        <v>391</v>
      </c>
      <c r="AY105" s="15" t="s">
        <v>391</v>
      </c>
      <c r="AZ105" s="15">
        <v>2.0</v>
      </c>
      <c r="BA105" s="15" t="s">
        <v>429</v>
      </c>
      <c r="BB105" s="15" t="s">
        <v>429</v>
      </c>
      <c r="BC105" s="15" t="s">
        <v>2757</v>
      </c>
      <c r="BD105" s="15" t="s">
        <v>2758</v>
      </c>
      <c r="BE105" s="15" t="s">
        <v>432</v>
      </c>
      <c r="BF105" s="15" t="s">
        <v>393</v>
      </c>
      <c r="BG105" s="15" t="s">
        <v>678</v>
      </c>
      <c r="BH105" s="15" t="s">
        <v>2759</v>
      </c>
      <c r="BI105" s="15" t="s">
        <v>509</v>
      </c>
      <c r="BJ105" s="15" t="s">
        <v>2760</v>
      </c>
      <c r="BK105" s="15" t="s">
        <v>681</v>
      </c>
      <c r="BL105" s="15" t="s">
        <v>603</v>
      </c>
      <c r="BM105" s="15" t="s">
        <v>397</v>
      </c>
      <c r="BN105" s="15" t="s">
        <v>513</v>
      </c>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t="s">
        <v>441</v>
      </c>
      <c r="CM105" s="15" t="s">
        <v>401</v>
      </c>
      <c r="CN105" s="15" t="s">
        <v>2761</v>
      </c>
      <c r="CO105" s="15" t="s">
        <v>2762</v>
      </c>
      <c r="CP105" s="15" t="s">
        <v>445</v>
      </c>
      <c r="CQ105" s="15" t="s">
        <v>2763</v>
      </c>
      <c r="CR105" s="15" t="s">
        <v>447</v>
      </c>
      <c r="CS105" s="15" t="s">
        <v>2764</v>
      </c>
      <c r="CT105" s="15" t="s">
        <v>2765</v>
      </c>
      <c r="CU105" s="15" t="s">
        <v>1852</v>
      </c>
      <c r="CV105" s="15" t="s">
        <v>451</v>
      </c>
      <c r="CW105" s="15" t="s">
        <v>2766</v>
      </c>
      <c r="CX105" s="15" t="s">
        <v>408</v>
      </c>
      <c r="CY105" s="15"/>
      <c r="CZ105" s="15" t="s">
        <v>453</v>
      </c>
      <c r="DA105" s="15" t="s">
        <v>2767</v>
      </c>
      <c r="DB105" s="15" t="s">
        <v>455</v>
      </c>
      <c r="DC105" s="15" t="s">
        <v>2768</v>
      </c>
      <c r="DD105" s="15" t="s">
        <v>988</v>
      </c>
      <c r="DE105" s="15" t="s">
        <v>407</v>
      </c>
      <c r="DF105" s="15" t="s">
        <v>2769</v>
      </c>
      <c r="DG105" s="15" t="s">
        <v>524</v>
      </c>
      <c r="DH105" s="15" t="s">
        <v>694</v>
      </c>
      <c r="DI105" s="15" t="s">
        <v>459</v>
      </c>
      <c r="DJ105" s="15" t="s">
        <v>460</v>
      </c>
      <c r="DK105" s="15" t="s">
        <v>461</v>
      </c>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t="s">
        <v>526</v>
      </c>
      <c r="EU105" s="15" t="s">
        <v>479</v>
      </c>
      <c r="EV105" s="15" t="s">
        <v>527</v>
      </c>
      <c r="EW105" s="15" t="s">
        <v>2770</v>
      </c>
      <c r="EX105" s="15" t="s">
        <v>2771</v>
      </c>
      <c r="EY105" s="15" t="s">
        <v>2772</v>
      </c>
      <c r="EZ105" s="15" t="s">
        <v>415</v>
      </c>
      <c r="FA105" s="15" t="s">
        <v>415</v>
      </c>
      <c r="FB105" s="15" t="s">
        <v>413</v>
      </c>
      <c r="FC105" s="15" t="s">
        <v>413</v>
      </c>
      <c r="FD105" s="15" t="s">
        <v>413</v>
      </c>
      <c r="FE105" s="15" t="s">
        <v>415</v>
      </c>
      <c r="FF105" s="15" t="s">
        <v>415</v>
      </c>
      <c r="FG105" s="15" t="s">
        <v>416</v>
      </c>
      <c r="FH105" s="15" t="s">
        <v>414</v>
      </c>
      <c r="FI105" s="15" t="s">
        <v>583</v>
      </c>
      <c r="FJ105" s="15" t="s">
        <v>414</v>
      </c>
      <c r="FK105" s="15" t="s">
        <v>414</v>
      </c>
      <c r="FL105" s="15" t="s">
        <v>414</v>
      </c>
      <c r="FM105" s="15" t="s">
        <v>416</v>
      </c>
      <c r="FN105" s="15" t="s">
        <v>583</v>
      </c>
      <c r="FO105" s="15" t="s">
        <v>850</v>
      </c>
      <c r="FP105" s="15" t="s">
        <v>418</v>
      </c>
      <c r="FQ105" s="15" t="s">
        <v>712</v>
      </c>
      <c r="FR105" s="15" t="s">
        <v>2773</v>
      </c>
      <c r="FS105" s="15" t="s">
        <v>1189</v>
      </c>
      <c r="FT105" s="15" t="s">
        <v>488</v>
      </c>
      <c r="FU105" s="15" t="s">
        <v>489</v>
      </c>
      <c r="FV105" s="15" t="s">
        <v>490</v>
      </c>
      <c r="FW105" s="15" t="s">
        <v>491</v>
      </c>
      <c r="FX105" s="15" t="s">
        <v>2774</v>
      </c>
      <c r="FY105" s="15" t="s">
        <v>535</v>
      </c>
      <c r="FZ105" s="15" t="s">
        <v>2775</v>
      </c>
      <c r="GA105" s="15" t="s">
        <v>2776</v>
      </c>
      <c r="GB105" s="15" t="s">
        <v>455</v>
      </c>
      <c r="GC105" s="15"/>
      <c r="GD105" s="15"/>
      <c r="GE105" s="15" t="s">
        <v>753</v>
      </c>
      <c r="GF105" s="15" t="s">
        <v>2777</v>
      </c>
      <c r="GG105" s="15" t="s">
        <v>755</v>
      </c>
      <c r="GH105" s="15" t="s">
        <v>755</v>
      </c>
      <c r="GI105" s="15" t="s">
        <v>946</v>
      </c>
      <c r="GJ105" s="15"/>
      <c r="GK105" s="15"/>
      <c r="GL105" s="15"/>
      <c r="GM105" s="15"/>
      <c r="GN105" s="15"/>
      <c r="GO105" s="15"/>
      <c r="GP105" s="15"/>
      <c r="GQ105" s="15"/>
      <c r="GR105" s="15"/>
      <c r="GS105" s="15"/>
      <c r="GT105" s="15"/>
      <c r="GU105" s="15"/>
      <c r="GV105" s="15"/>
      <c r="GW105" s="15"/>
      <c r="GX105" s="15"/>
      <c r="GY105" s="15"/>
      <c r="GZ105" s="15"/>
      <c r="HA105" s="15"/>
      <c r="HB105" s="15"/>
      <c r="HC105" s="15"/>
      <c r="HD105" s="15"/>
      <c r="HE105" s="15"/>
      <c r="HF105" s="15"/>
      <c r="HG105" s="15"/>
      <c r="HH105" s="15"/>
      <c r="HI105" s="15"/>
      <c r="HJ105" s="15"/>
      <c r="HK105" s="15"/>
      <c r="HL105" s="15"/>
      <c r="HM105" s="15"/>
      <c r="HN105" s="15"/>
      <c r="HO105" s="15"/>
      <c r="HP105" s="31"/>
      <c r="MX105" s="29" t="s">
        <v>2498</v>
      </c>
      <c r="MY105" s="29" t="str">
        <f>IFERROR(__xludf.DUMMYFUNCTION("""COMPUTED_VALUE"""),"Czechia (Czech Republic)")</f>
        <v>Czechia (Czech Republic)</v>
      </c>
    </row>
    <row r="106" ht="16.5" customHeight="1">
      <c r="A106" s="30">
        <v>45828.55194200232</v>
      </c>
      <c r="B106" s="15" t="s">
        <v>368</v>
      </c>
      <c r="C106" s="15" t="s">
        <v>2498</v>
      </c>
      <c r="D106" s="15" t="s">
        <v>2498</v>
      </c>
      <c r="E106" s="15"/>
      <c r="F106" s="15"/>
      <c r="G106" s="15" t="s">
        <v>422</v>
      </c>
      <c r="H106" s="15" t="s">
        <v>637</v>
      </c>
      <c r="I106" s="15" t="s">
        <v>1022</v>
      </c>
      <c r="J106" s="15" t="s">
        <v>1023</v>
      </c>
      <c r="K106" s="15" t="s">
        <v>376</v>
      </c>
      <c r="L106" s="15" t="s">
        <v>1526</v>
      </c>
      <c r="M106" s="15" t="s">
        <v>1024</v>
      </c>
      <c r="N106" s="15" t="s">
        <v>1526</v>
      </c>
      <c r="O106" s="15" t="s">
        <v>497</v>
      </c>
      <c r="P106" s="15" t="s">
        <v>759</v>
      </c>
      <c r="Q106" s="15" t="s">
        <v>759</v>
      </c>
      <c r="R106" s="15" t="s">
        <v>427</v>
      </c>
      <c r="S106" s="15" t="s">
        <v>384</v>
      </c>
      <c r="T106" s="15" t="s">
        <v>385</v>
      </c>
      <c r="U106" s="15"/>
      <c r="V106" s="15"/>
      <c r="W106" s="15" t="s">
        <v>386</v>
      </c>
      <c r="X106" s="15" t="s">
        <v>387</v>
      </c>
      <c r="Y106" s="15"/>
      <c r="Z106" s="15" t="s">
        <v>389</v>
      </c>
      <c r="AA106" s="15"/>
      <c r="AB106" s="15" t="s">
        <v>2778</v>
      </c>
      <c r="AC106" s="15"/>
      <c r="AD106" s="15"/>
      <c r="AE106" s="15"/>
      <c r="AF106" s="15"/>
      <c r="AG106" s="15"/>
      <c r="AH106" s="15"/>
      <c r="AI106" s="15"/>
      <c r="AJ106" s="15"/>
      <c r="AK106" s="15"/>
      <c r="AL106" s="15"/>
      <c r="AM106" s="15"/>
      <c r="AN106" s="15"/>
      <c r="AO106" s="15"/>
      <c r="AP106" s="15"/>
      <c r="AQ106" s="15"/>
      <c r="AR106" s="15"/>
      <c r="AS106" s="15"/>
      <c r="AT106" s="15"/>
      <c r="AU106" s="15"/>
      <c r="AV106" s="15" t="s">
        <v>1242</v>
      </c>
      <c r="AW106" s="15">
        <v>4.0</v>
      </c>
      <c r="AX106" s="15">
        <v>4.0</v>
      </c>
      <c r="AY106" s="15" t="s">
        <v>675</v>
      </c>
      <c r="AZ106" s="15" t="s">
        <v>675</v>
      </c>
      <c r="BA106" s="15" t="s">
        <v>675</v>
      </c>
      <c r="BB106" s="15">
        <v>4.0</v>
      </c>
      <c r="BC106" s="15" t="s">
        <v>2779</v>
      </c>
      <c r="BD106" s="15" t="s">
        <v>2780</v>
      </c>
      <c r="BE106" s="15" t="s">
        <v>1094</v>
      </c>
      <c r="BF106" s="15" t="s">
        <v>1095</v>
      </c>
      <c r="BG106" s="15" t="s">
        <v>394</v>
      </c>
      <c r="BH106" s="15" t="s">
        <v>2781</v>
      </c>
      <c r="BI106" s="15" t="s">
        <v>824</v>
      </c>
      <c r="BJ106" s="15"/>
      <c r="BK106" s="15" t="s">
        <v>437</v>
      </c>
      <c r="BL106" s="15" t="s">
        <v>396</v>
      </c>
      <c r="BM106" s="15" t="s">
        <v>1314</v>
      </c>
      <c r="BN106" s="15" t="s">
        <v>398</v>
      </c>
      <c r="BO106" s="15" t="s">
        <v>2782</v>
      </c>
      <c r="BP106" s="15" t="s">
        <v>2783</v>
      </c>
      <c r="BQ106" s="15" t="s">
        <v>604</v>
      </c>
      <c r="BR106" s="15" t="s">
        <v>2784</v>
      </c>
      <c r="BS106" s="15" t="s">
        <v>1741</v>
      </c>
      <c r="BT106" s="15" t="s">
        <v>1994</v>
      </c>
      <c r="BU106" s="15" t="s">
        <v>405</v>
      </c>
      <c r="BV106" s="15"/>
      <c r="BW106" s="15" t="s">
        <v>406</v>
      </c>
      <c r="BX106" s="15" t="s">
        <v>2503</v>
      </c>
      <c r="BY106" s="15" t="s">
        <v>455</v>
      </c>
      <c r="BZ106" s="15" t="s">
        <v>2785</v>
      </c>
      <c r="CA106" s="15"/>
      <c r="CB106" s="15" t="s">
        <v>2786</v>
      </c>
      <c r="CC106" s="15" t="s">
        <v>2787</v>
      </c>
      <c r="CD106" s="15" t="s">
        <v>1257</v>
      </c>
      <c r="CE106" s="15" t="s">
        <v>2788</v>
      </c>
      <c r="CF106" s="15" t="s">
        <v>1258</v>
      </c>
      <c r="CG106" s="15"/>
      <c r="CH106" s="15" t="s">
        <v>1259</v>
      </c>
      <c r="CI106" s="15" t="s">
        <v>1964</v>
      </c>
      <c r="CJ106" s="15" t="s">
        <v>2789</v>
      </c>
      <c r="CK106" s="15" t="s">
        <v>2790</v>
      </c>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t="s">
        <v>526</v>
      </c>
      <c r="EU106" s="15" t="s">
        <v>579</v>
      </c>
      <c r="EV106" s="15" t="s">
        <v>1534</v>
      </c>
      <c r="EW106" s="15"/>
      <c r="EX106" s="15"/>
      <c r="EY106" s="15"/>
      <c r="EZ106" s="15" t="s">
        <v>413</v>
      </c>
      <c r="FA106" s="15" t="s">
        <v>414</v>
      </c>
      <c r="FB106" s="15" t="s">
        <v>413</v>
      </c>
      <c r="FC106" s="15" t="s">
        <v>415</v>
      </c>
      <c r="FD106" s="15" t="s">
        <v>413</v>
      </c>
      <c r="FE106" s="15" t="s">
        <v>415</v>
      </c>
      <c r="FF106" s="15" t="s">
        <v>413</v>
      </c>
      <c r="FG106" s="15" t="s">
        <v>413</v>
      </c>
      <c r="FH106" s="15"/>
      <c r="FI106" s="15" t="s">
        <v>413</v>
      </c>
      <c r="FJ106" s="15" t="s">
        <v>416</v>
      </c>
      <c r="FK106" s="15" t="s">
        <v>413</v>
      </c>
      <c r="FL106" s="15" t="s">
        <v>413</v>
      </c>
      <c r="FM106" s="15" t="s">
        <v>484</v>
      </c>
      <c r="FN106" s="15" t="s">
        <v>484</v>
      </c>
      <c r="FO106" s="15" t="s">
        <v>417</v>
      </c>
      <c r="FP106" s="15" t="s">
        <v>418</v>
      </c>
      <c r="FQ106" s="15" t="s">
        <v>1039</v>
      </c>
      <c r="FR106" s="15" t="s">
        <v>2791</v>
      </c>
      <c r="FS106" s="15" t="s">
        <v>420</v>
      </c>
      <c r="FT106" s="15" t="s">
        <v>488</v>
      </c>
      <c r="FU106" s="15" t="s">
        <v>1235</v>
      </c>
      <c r="FV106" s="15" t="s">
        <v>490</v>
      </c>
      <c r="FW106" s="15" t="s">
        <v>491</v>
      </c>
      <c r="FX106" s="15" t="s">
        <v>2792</v>
      </c>
      <c r="FY106" s="15" t="s">
        <v>535</v>
      </c>
      <c r="FZ106" s="15" t="s">
        <v>2793</v>
      </c>
      <c r="GA106" s="15"/>
      <c r="GB106" s="15" t="s">
        <v>455</v>
      </c>
      <c r="GC106" s="15"/>
      <c r="GD106" s="15"/>
      <c r="GE106" s="15" t="s">
        <v>1420</v>
      </c>
      <c r="GF106" s="15"/>
      <c r="GG106" s="15"/>
      <c r="GH106" s="15"/>
      <c r="GI106" s="15"/>
      <c r="GJ106" s="15" t="s">
        <v>755</v>
      </c>
      <c r="GK106" s="15" t="s">
        <v>755</v>
      </c>
      <c r="GL106" s="15" t="s">
        <v>756</v>
      </c>
      <c r="GM106" s="15"/>
      <c r="GN106" s="15" t="s">
        <v>2794</v>
      </c>
      <c r="GO106" s="15"/>
      <c r="GP106" s="15"/>
      <c r="GQ106" s="15"/>
      <c r="GR106" s="15"/>
      <c r="GS106" s="15"/>
      <c r="GT106" s="15"/>
      <c r="GU106" s="15"/>
      <c r="GV106" s="15"/>
      <c r="GW106" s="15"/>
      <c r="GX106" s="15"/>
      <c r="GY106" s="15"/>
      <c r="GZ106" s="15"/>
      <c r="HA106" s="15"/>
      <c r="HB106" s="15"/>
      <c r="HC106" s="15"/>
      <c r="HD106" s="15"/>
      <c r="HE106" s="15"/>
      <c r="HF106" s="15"/>
      <c r="HG106" s="15"/>
      <c r="HH106" s="15"/>
      <c r="HI106" s="15"/>
      <c r="HJ106" s="15"/>
      <c r="HK106" s="15"/>
      <c r="HL106" s="15"/>
      <c r="HM106" s="15"/>
      <c r="HN106" s="15"/>
      <c r="HO106" s="15"/>
      <c r="HP106" s="31"/>
      <c r="MX106" s="29" t="s">
        <v>2795</v>
      </c>
      <c r="MY106" s="29" t="str">
        <f>IFERROR(__xludf.DUMMYFUNCTION("""COMPUTED_VALUE"""),"Belarus")</f>
        <v>Belarus</v>
      </c>
    </row>
    <row r="107" ht="16.5" customHeight="1">
      <c r="A107" s="30">
        <v>45828.57699451389</v>
      </c>
      <c r="B107" s="15" t="s">
        <v>368</v>
      </c>
      <c r="C107" s="15" t="s">
        <v>2795</v>
      </c>
      <c r="D107" s="15" t="s">
        <v>2796</v>
      </c>
      <c r="E107" s="15"/>
      <c r="F107" s="15"/>
      <c r="G107" s="15" t="s">
        <v>422</v>
      </c>
      <c r="H107" s="15" t="s">
        <v>637</v>
      </c>
      <c r="I107" s="15" t="s">
        <v>638</v>
      </c>
      <c r="J107" s="15" t="s">
        <v>1204</v>
      </c>
      <c r="K107" s="15" t="s">
        <v>376</v>
      </c>
      <c r="L107" s="15" t="s">
        <v>591</v>
      </c>
      <c r="M107" s="15" t="s">
        <v>541</v>
      </c>
      <c r="N107" s="15" t="s">
        <v>426</v>
      </c>
      <c r="O107" s="15" t="s">
        <v>2797</v>
      </c>
      <c r="P107" s="15" t="s">
        <v>498</v>
      </c>
      <c r="Q107" s="15" t="s">
        <v>862</v>
      </c>
      <c r="R107" s="15" t="s">
        <v>1594</v>
      </c>
      <c r="S107" s="15" t="s">
        <v>384</v>
      </c>
      <c r="T107" s="15" t="s">
        <v>385</v>
      </c>
      <c r="U107" s="15"/>
      <c r="V107" s="15"/>
      <c r="W107" s="15" t="s">
        <v>428</v>
      </c>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t="s">
        <v>390</v>
      </c>
      <c r="AW107" s="15">
        <v>2.0</v>
      </c>
      <c r="AX107" s="15">
        <v>2.0</v>
      </c>
      <c r="AY107" s="15" t="s">
        <v>391</v>
      </c>
      <c r="AZ107" s="15">
        <v>2.0</v>
      </c>
      <c r="BA107" s="15" t="s">
        <v>429</v>
      </c>
      <c r="BB107" s="15" t="s">
        <v>429</v>
      </c>
      <c r="BC107" s="15" t="s">
        <v>2798</v>
      </c>
      <c r="BD107" s="15" t="s">
        <v>2799</v>
      </c>
      <c r="BE107" s="15" t="s">
        <v>432</v>
      </c>
      <c r="BF107" s="15" t="s">
        <v>433</v>
      </c>
      <c r="BG107" s="15" t="s">
        <v>678</v>
      </c>
      <c r="BH107" s="15"/>
      <c r="BI107" s="15" t="s">
        <v>824</v>
      </c>
      <c r="BJ107" s="15"/>
      <c r="BK107" s="15" t="s">
        <v>511</v>
      </c>
      <c r="BL107" s="15" t="s">
        <v>396</v>
      </c>
      <c r="BM107" s="15" t="s">
        <v>439</v>
      </c>
      <c r="BN107" s="15" t="s">
        <v>513</v>
      </c>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t="s">
        <v>550</v>
      </c>
      <c r="CM107" s="15" t="s">
        <v>401</v>
      </c>
      <c r="CN107" s="15" t="s">
        <v>1313</v>
      </c>
      <c r="CO107" s="15" t="s">
        <v>2800</v>
      </c>
      <c r="CP107" s="15" t="s">
        <v>685</v>
      </c>
      <c r="CQ107" s="15" t="s">
        <v>956</v>
      </c>
      <c r="CR107" s="15" t="s">
        <v>555</v>
      </c>
      <c r="CS107" s="15" t="s">
        <v>2801</v>
      </c>
      <c r="CT107" s="15" t="s">
        <v>2802</v>
      </c>
      <c r="CU107" s="15" t="s">
        <v>450</v>
      </c>
      <c r="CV107" s="15" t="s">
        <v>451</v>
      </c>
      <c r="CW107" s="15" t="s">
        <v>2803</v>
      </c>
      <c r="CX107" s="15" t="s">
        <v>455</v>
      </c>
      <c r="CY107" s="15" t="s">
        <v>2804</v>
      </c>
      <c r="CZ107" s="15" t="s">
        <v>453</v>
      </c>
      <c r="DA107" s="15" t="s">
        <v>2805</v>
      </c>
      <c r="DB107" s="15" t="s">
        <v>455</v>
      </c>
      <c r="DC107" s="15" t="s">
        <v>2806</v>
      </c>
      <c r="DD107" s="15" t="s">
        <v>988</v>
      </c>
      <c r="DE107" s="15"/>
      <c r="DF107" s="15" t="s">
        <v>2807</v>
      </c>
      <c r="DG107" s="15" t="s">
        <v>561</v>
      </c>
      <c r="DH107" s="15" t="s">
        <v>1220</v>
      </c>
      <c r="DI107" s="15" t="s">
        <v>963</v>
      </c>
      <c r="DJ107" s="15" t="s">
        <v>613</v>
      </c>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t="s">
        <v>526</v>
      </c>
      <c r="EU107" s="15" t="s">
        <v>579</v>
      </c>
      <c r="EV107" s="15" t="s">
        <v>1534</v>
      </c>
      <c r="EW107" s="15"/>
      <c r="EX107" s="15"/>
      <c r="EY107" s="15"/>
      <c r="EZ107" s="15" t="s">
        <v>414</v>
      </c>
      <c r="FA107" s="15" t="s">
        <v>414</v>
      </c>
      <c r="FB107" s="15" t="s">
        <v>416</v>
      </c>
      <c r="FC107" s="15" t="s">
        <v>414</v>
      </c>
      <c r="FD107" s="15" t="s">
        <v>414</v>
      </c>
      <c r="FE107" s="15" t="s">
        <v>583</v>
      </c>
      <c r="FF107" s="15" t="s">
        <v>415</v>
      </c>
      <c r="FG107" s="15" t="s">
        <v>415</v>
      </c>
      <c r="FH107" s="15" t="s">
        <v>414</v>
      </c>
      <c r="FI107" s="15" t="s">
        <v>413</v>
      </c>
      <c r="FJ107" s="15" t="s">
        <v>413</v>
      </c>
      <c r="FK107" s="15" t="s">
        <v>415</v>
      </c>
      <c r="FL107" s="15" t="s">
        <v>415</v>
      </c>
      <c r="FM107" s="15" t="s">
        <v>413</v>
      </c>
      <c r="FN107" s="15" t="s">
        <v>583</v>
      </c>
      <c r="FO107" s="15" t="s">
        <v>417</v>
      </c>
      <c r="FP107" s="15" t="s">
        <v>418</v>
      </c>
      <c r="FQ107" s="15" t="s">
        <v>1039</v>
      </c>
      <c r="FR107" s="15"/>
      <c r="FS107" s="15" t="s">
        <v>420</v>
      </c>
      <c r="FT107" s="15" t="s">
        <v>488</v>
      </c>
      <c r="FU107" s="15" t="s">
        <v>1235</v>
      </c>
      <c r="FV107" s="15" t="s">
        <v>490</v>
      </c>
      <c r="FW107" s="15" t="s">
        <v>491</v>
      </c>
      <c r="FX107" s="15" t="s">
        <v>2808</v>
      </c>
      <c r="FY107" s="15" t="s">
        <v>535</v>
      </c>
      <c r="FZ107" s="15"/>
      <c r="GA107" s="15"/>
      <c r="GB107" s="15" t="s">
        <v>408</v>
      </c>
      <c r="GC107" s="15"/>
      <c r="GD107" s="15"/>
      <c r="GE107" s="15"/>
      <c r="GF107" s="15"/>
      <c r="GG107" s="15" t="s">
        <v>857</v>
      </c>
      <c r="GH107" s="15" t="s">
        <v>857</v>
      </c>
      <c r="GI107" s="15" t="s">
        <v>790</v>
      </c>
      <c r="GJ107" s="15"/>
      <c r="GK107" s="15"/>
      <c r="GL107" s="15"/>
      <c r="GM107" s="15"/>
      <c r="GN107" s="15"/>
      <c r="GO107" s="15"/>
      <c r="GP107" s="15"/>
      <c r="GQ107" s="15"/>
      <c r="GR107" s="15"/>
      <c r="GS107" s="15"/>
      <c r="GT107" s="15"/>
      <c r="GU107" s="15"/>
      <c r="GV107" s="15"/>
      <c r="GW107" s="15"/>
      <c r="GX107" s="15"/>
      <c r="GY107" s="15"/>
      <c r="GZ107" s="15"/>
      <c r="HA107" s="15"/>
      <c r="HB107" s="15"/>
      <c r="HC107" s="15"/>
      <c r="HD107" s="15"/>
      <c r="HE107" s="15"/>
      <c r="HF107" s="15"/>
      <c r="HG107" s="15"/>
      <c r="HH107" s="15"/>
      <c r="HI107" s="15"/>
      <c r="HJ107" s="15"/>
      <c r="HK107" s="15"/>
      <c r="HL107" s="15"/>
      <c r="HM107" s="15"/>
      <c r="HN107" s="15"/>
      <c r="HO107" s="15"/>
      <c r="HP107" s="31"/>
      <c r="MX107" s="29" t="s">
        <v>10402</v>
      </c>
      <c r="MY107" s="29" t="str">
        <f>IFERROR(__xludf.DUMMYFUNCTION("""COMPUTED_VALUE"""),"New York")</f>
        <v>New York</v>
      </c>
    </row>
    <row r="108" ht="16.5" customHeight="1">
      <c r="A108" s="30">
        <v>45828.57987178241</v>
      </c>
      <c r="B108" s="15" t="s">
        <v>368</v>
      </c>
      <c r="C108" s="15" t="s">
        <v>370</v>
      </c>
      <c r="D108" s="15"/>
      <c r="E108" s="15" t="s">
        <v>667</v>
      </c>
      <c r="F108" s="15"/>
      <c r="G108" s="15" t="s">
        <v>1269</v>
      </c>
      <c r="H108" s="15" t="s">
        <v>496</v>
      </c>
      <c r="I108" s="15" t="s">
        <v>2578</v>
      </c>
      <c r="J108" s="15" t="s">
        <v>669</v>
      </c>
      <c r="K108" s="15" t="s">
        <v>376</v>
      </c>
      <c r="L108" s="15" t="s">
        <v>379</v>
      </c>
      <c r="M108" s="15" t="s">
        <v>2464</v>
      </c>
      <c r="N108" s="15" t="s">
        <v>379</v>
      </c>
      <c r="O108" s="15" t="s">
        <v>497</v>
      </c>
      <c r="P108" s="15" t="s">
        <v>381</v>
      </c>
      <c r="Q108" s="15" t="s">
        <v>862</v>
      </c>
      <c r="R108" s="15" t="s">
        <v>949</v>
      </c>
      <c r="S108" s="15" t="s">
        <v>384</v>
      </c>
      <c r="T108" s="15" t="s">
        <v>385</v>
      </c>
      <c r="U108" s="15"/>
      <c r="V108" s="15"/>
      <c r="W108" s="15" t="s">
        <v>428</v>
      </c>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t="s">
        <v>597</v>
      </c>
      <c r="AW108" s="15" t="s">
        <v>391</v>
      </c>
      <c r="AX108" s="15" t="s">
        <v>391</v>
      </c>
      <c r="AY108" s="15" t="s">
        <v>391</v>
      </c>
      <c r="AZ108" s="15">
        <v>4.0</v>
      </c>
      <c r="BA108" s="15">
        <v>4.0</v>
      </c>
      <c r="BB108" s="15" t="s">
        <v>391</v>
      </c>
      <c r="BC108" s="15" t="s">
        <v>2809</v>
      </c>
      <c r="BD108" s="15" t="s">
        <v>2810</v>
      </c>
      <c r="BE108" s="15" t="s">
        <v>392</v>
      </c>
      <c r="BF108" s="15" t="s">
        <v>393</v>
      </c>
      <c r="BG108" s="15" t="s">
        <v>725</v>
      </c>
      <c r="BH108" s="15" t="s">
        <v>2811</v>
      </c>
      <c r="BI108" s="15" t="s">
        <v>435</v>
      </c>
      <c r="BJ108" s="15" t="s">
        <v>2812</v>
      </c>
      <c r="BK108" s="15" t="s">
        <v>681</v>
      </c>
      <c r="BL108" s="15" t="s">
        <v>438</v>
      </c>
      <c r="BM108" s="15" t="s">
        <v>397</v>
      </c>
      <c r="BN108" s="15" t="s">
        <v>398</v>
      </c>
      <c r="BO108" s="15" t="s">
        <v>2813</v>
      </c>
      <c r="BP108" s="15" t="s">
        <v>2814</v>
      </c>
      <c r="BQ108" s="15" t="s">
        <v>604</v>
      </c>
      <c r="BR108" s="15" t="s">
        <v>2815</v>
      </c>
      <c r="BS108" s="15" t="s">
        <v>403</v>
      </c>
      <c r="BT108" s="15" t="s">
        <v>1742</v>
      </c>
      <c r="BU108" s="15" t="s">
        <v>1693</v>
      </c>
      <c r="BV108" s="15" t="s">
        <v>2816</v>
      </c>
      <c r="BW108" s="15" t="s">
        <v>406</v>
      </c>
      <c r="BX108" s="15" t="s">
        <v>2503</v>
      </c>
      <c r="BY108" s="15" t="s">
        <v>408</v>
      </c>
      <c r="BZ108" s="15"/>
      <c r="CA108" s="15" t="s">
        <v>2817</v>
      </c>
      <c r="CB108" s="15" t="s">
        <v>2818</v>
      </c>
      <c r="CC108" s="15" t="s">
        <v>2819</v>
      </c>
      <c r="CD108" s="15" t="s">
        <v>409</v>
      </c>
      <c r="CE108" s="15" t="s">
        <v>2820</v>
      </c>
      <c r="CF108" s="15" t="s">
        <v>1258</v>
      </c>
      <c r="CG108" s="15"/>
      <c r="CH108" s="15" t="s">
        <v>1698</v>
      </c>
      <c r="CI108" s="15" t="s">
        <v>833</v>
      </c>
      <c r="CJ108" s="15" t="s">
        <v>2821</v>
      </c>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t="s">
        <v>578</v>
      </c>
      <c r="EU108" s="15" t="s">
        <v>479</v>
      </c>
      <c r="EV108" s="15" t="s">
        <v>527</v>
      </c>
      <c r="EW108" s="15" t="s">
        <v>2822</v>
      </c>
      <c r="EX108" s="15" t="s">
        <v>2823</v>
      </c>
      <c r="EY108" s="15" t="s">
        <v>2824</v>
      </c>
      <c r="EZ108" s="15" t="s">
        <v>414</v>
      </c>
      <c r="FA108" s="15" t="s">
        <v>414</v>
      </c>
      <c r="FB108" s="15" t="s">
        <v>415</v>
      </c>
      <c r="FC108" s="15" t="s">
        <v>583</v>
      </c>
      <c r="FD108" s="15" t="s">
        <v>416</v>
      </c>
      <c r="FE108" s="15" t="s">
        <v>583</v>
      </c>
      <c r="FF108" s="15" t="s">
        <v>414</v>
      </c>
      <c r="FG108" s="15" t="s">
        <v>416</v>
      </c>
      <c r="FH108" s="15" t="s">
        <v>414</v>
      </c>
      <c r="FI108" s="15" t="s">
        <v>583</v>
      </c>
      <c r="FJ108" s="15" t="s">
        <v>583</v>
      </c>
      <c r="FK108" s="15" t="s">
        <v>415</v>
      </c>
      <c r="FL108" s="15" t="s">
        <v>415</v>
      </c>
      <c r="FM108" s="15" t="s">
        <v>415</v>
      </c>
      <c r="FN108" s="15" t="s">
        <v>583</v>
      </c>
      <c r="FO108" s="15" t="s">
        <v>850</v>
      </c>
      <c r="FP108" s="15" t="s">
        <v>486</v>
      </c>
      <c r="FQ108" s="15" t="s">
        <v>630</v>
      </c>
      <c r="FR108" s="15" t="s">
        <v>2825</v>
      </c>
      <c r="FS108" s="15" t="s">
        <v>1189</v>
      </c>
      <c r="FT108" s="15" t="s">
        <v>1462</v>
      </c>
      <c r="FU108" s="15" t="s">
        <v>533</v>
      </c>
      <c r="FV108" s="15" t="s">
        <v>490</v>
      </c>
      <c r="FW108" s="15" t="s">
        <v>491</v>
      </c>
      <c r="FX108" s="15"/>
      <c r="FY108" s="15" t="s">
        <v>1020</v>
      </c>
      <c r="FZ108" s="15"/>
      <c r="GA108" s="15" t="s">
        <v>2826</v>
      </c>
      <c r="GB108" s="15" t="s">
        <v>408</v>
      </c>
      <c r="GC108" s="15"/>
      <c r="GD108" s="15"/>
      <c r="GE108" s="15"/>
      <c r="GF108" s="15"/>
      <c r="GG108" s="15"/>
      <c r="GH108" s="15"/>
      <c r="GI108" s="15"/>
      <c r="GJ108" s="15" t="s">
        <v>920</v>
      </c>
      <c r="GK108" s="15" t="s">
        <v>920</v>
      </c>
      <c r="GL108" s="15" t="s">
        <v>817</v>
      </c>
      <c r="GM108" s="15"/>
      <c r="GN108" s="15"/>
      <c r="GO108" s="15"/>
      <c r="GP108" s="15"/>
      <c r="GQ108" s="15"/>
      <c r="GR108" s="15"/>
      <c r="GS108" s="15"/>
      <c r="GT108" s="15"/>
      <c r="GU108" s="15"/>
      <c r="GV108" s="15"/>
      <c r="GW108" s="15"/>
      <c r="GX108" s="15"/>
      <c r="GY108" s="15"/>
      <c r="GZ108" s="15"/>
      <c r="HA108" s="15"/>
      <c r="HB108" s="15"/>
      <c r="HC108" s="15"/>
      <c r="HD108" s="15"/>
      <c r="HE108" s="15"/>
      <c r="HF108" s="15"/>
      <c r="HG108" s="15"/>
      <c r="HH108" s="15"/>
      <c r="HI108" s="15"/>
      <c r="HJ108" s="15"/>
      <c r="HK108" s="15"/>
      <c r="HL108" s="15"/>
      <c r="HM108" s="15"/>
      <c r="HN108" s="15"/>
      <c r="HO108" s="15"/>
      <c r="HP108" s="31"/>
      <c r="MX108" s="29" t="s">
        <v>2827</v>
      </c>
      <c r="MY108" s="29" t="str">
        <f>IFERROR(__xludf.DUMMYFUNCTION("""COMPUTED_VALUE"""),"Jordan")</f>
        <v>Jordan</v>
      </c>
    </row>
    <row r="109" ht="16.5" customHeight="1">
      <c r="A109" s="30">
        <v>45828.60358170139</v>
      </c>
      <c r="B109" s="15" t="s">
        <v>368</v>
      </c>
      <c r="C109" s="15" t="s">
        <v>2827</v>
      </c>
      <c r="D109" s="15" t="s">
        <v>2827</v>
      </c>
      <c r="E109" s="15"/>
      <c r="F109" s="15"/>
      <c r="G109" s="15" t="s">
        <v>1140</v>
      </c>
      <c r="H109" s="15" t="s">
        <v>496</v>
      </c>
      <c r="I109" s="15" t="s">
        <v>374</v>
      </c>
      <c r="J109" s="15" t="s">
        <v>718</v>
      </c>
      <c r="K109" s="15" t="s">
        <v>376</v>
      </c>
      <c r="L109" s="15" t="s">
        <v>379</v>
      </c>
      <c r="M109" s="15" t="s">
        <v>378</v>
      </c>
      <c r="N109" s="15" t="s">
        <v>591</v>
      </c>
      <c r="O109" s="15" t="s">
        <v>380</v>
      </c>
      <c r="P109" s="15" t="s">
        <v>498</v>
      </c>
      <c r="Q109" s="15" t="s">
        <v>1156</v>
      </c>
      <c r="R109" s="15" t="s">
        <v>500</v>
      </c>
      <c r="S109" s="15" t="s">
        <v>384</v>
      </c>
      <c r="T109" s="15" t="s">
        <v>385</v>
      </c>
      <c r="U109" s="15"/>
      <c r="V109" s="15"/>
      <c r="W109" s="15" t="s">
        <v>593</v>
      </c>
      <c r="X109" s="15" t="s">
        <v>642</v>
      </c>
      <c r="Y109" s="15"/>
      <c r="Z109" s="15"/>
      <c r="AA109" s="15"/>
      <c r="AB109" s="15"/>
      <c r="AC109" s="15"/>
      <c r="AD109" s="15"/>
      <c r="AE109" s="15"/>
      <c r="AF109" s="15"/>
      <c r="AG109" s="15"/>
      <c r="AH109" s="15"/>
      <c r="AI109" s="15"/>
      <c r="AJ109" s="15"/>
      <c r="AK109" s="15"/>
      <c r="AL109" s="15" t="s">
        <v>1141</v>
      </c>
      <c r="AM109" s="15" t="s">
        <v>644</v>
      </c>
      <c r="AN109" s="15" t="s">
        <v>455</v>
      </c>
      <c r="AO109" s="15"/>
      <c r="AP109" s="15" t="s">
        <v>1144</v>
      </c>
      <c r="AQ109" s="15">
        <v>1.0</v>
      </c>
      <c r="AR109" s="15" t="s">
        <v>647</v>
      </c>
      <c r="AS109" s="15"/>
      <c r="AT109" s="15"/>
      <c r="AU109" s="15"/>
      <c r="AV109" s="15" t="s">
        <v>597</v>
      </c>
      <c r="AW109" s="15" t="s">
        <v>391</v>
      </c>
      <c r="AX109" s="15">
        <v>2.0</v>
      </c>
      <c r="AY109" s="15" t="s">
        <v>391</v>
      </c>
      <c r="AZ109" s="15">
        <v>4.0</v>
      </c>
      <c r="BA109" s="15">
        <v>2.0</v>
      </c>
      <c r="BB109" s="15">
        <v>2.0</v>
      </c>
      <c r="BC109" s="15" t="s">
        <v>2505</v>
      </c>
      <c r="BD109" s="15" t="s">
        <v>2828</v>
      </c>
      <c r="BE109" s="15" t="s">
        <v>392</v>
      </c>
      <c r="BF109" s="15" t="s">
        <v>393</v>
      </c>
      <c r="BG109" s="15" t="s">
        <v>765</v>
      </c>
      <c r="BH109" s="15"/>
      <c r="BI109" s="15" t="s">
        <v>435</v>
      </c>
      <c r="BJ109" s="15"/>
      <c r="BK109" s="15" t="s">
        <v>602</v>
      </c>
      <c r="BL109" s="15" t="s">
        <v>438</v>
      </c>
      <c r="BM109" s="15" t="s">
        <v>397</v>
      </c>
      <c r="BN109" s="15" t="s">
        <v>513</v>
      </c>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t="s">
        <v>441</v>
      </c>
      <c r="CM109" s="15" t="s">
        <v>401</v>
      </c>
      <c r="CN109" s="15" t="s">
        <v>2829</v>
      </c>
      <c r="CO109" s="15" t="s">
        <v>2830</v>
      </c>
      <c r="CP109" s="15" t="s">
        <v>979</v>
      </c>
      <c r="CQ109" s="15" t="s">
        <v>2831</v>
      </c>
      <c r="CR109" s="15" t="s">
        <v>447</v>
      </c>
      <c r="CS109" s="15" t="s">
        <v>2832</v>
      </c>
      <c r="CT109" s="15" t="s">
        <v>2833</v>
      </c>
      <c r="CU109" s="15" t="s">
        <v>519</v>
      </c>
      <c r="CV109" s="15" t="s">
        <v>451</v>
      </c>
      <c r="CW109" s="15" t="s">
        <v>2834</v>
      </c>
      <c r="CX109" s="15" t="s">
        <v>408</v>
      </c>
      <c r="CY109" s="15"/>
      <c r="CZ109" s="15" t="s">
        <v>453</v>
      </c>
      <c r="DA109" s="15"/>
      <c r="DB109" s="15" t="s">
        <v>455</v>
      </c>
      <c r="DC109" s="15" t="s">
        <v>2835</v>
      </c>
      <c r="DD109" s="15" t="s">
        <v>988</v>
      </c>
      <c r="DE109" s="15"/>
      <c r="DF109" s="15"/>
      <c r="DG109" s="15" t="s">
        <v>561</v>
      </c>
      <c r="DH109" s="15" t="s">
        <v>410</v>
      </c>
      <c r="DI109" s="15" t="s">
        <v>459</v>
      </c>
      <c r="DJ109" s="15" t="s">
        <v>460</v>
      </c>
      <c r="DK109" s="15" t="s">
        <v>461</v>
      </c>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t="s">
        <v>526</v>
      </c>
      <c r="EU109" s="15" t="s">
        <v>479</v>
      </c>
      <c r="EV109" s="15" t="s">
        <v>1534</v>
      </c>
      <c r="EW109" s="15"/>
      <c r="EX109" s="15"/>
      <c r="EY109" s="15"/>
      <c r="EZ109" s="15" t="s">
        <v>413</v>
      </c>
      <c r="FA109" s="15" t="s">
        <v>415</v>
      </c>
      <c r="FB109" s="15" t="s">
        <v>413</v>
      </c>
      <c r="FC109" s="15" t="s">
        <v>416</v>
      </c>
      <c r="FD109" s="15" t="s">
        <v>413</v>
      </c>
      <c r="FE109" s="15" t="s">
        <v>416</v>
      </c>
      <c r="FF109" s="15" t="s">
        <v>413</v>
      </c>
      <c r="FG109" s="15" t="s">
        <v>413</v>
      </c>
      <c r="FH109" s="15" t="s">
        <v>583</v>
      </c>
      <c r="FI109" s="15" t="s">
        <v>583</v>
      </c>
      <c r="FJ109" s="15" t="s">
        <v>413</v>
      </c>
      <c r="FK109" s="15" t="s">
        <v>416</v>
      </c>
      <c r="FL109" s="15" t="s">
        <v>413</v>
      </c>
      <c r="FM109" s="15" t="s">
        <v>413</v>
      </c>
      <c r="FN109" s="15" t="s">
        <v>583</v>
      </c>
      <c r="FO109" s="15" t="s">
        <v>485</v>
      </c>
      <c r="FP109" s="15" t="s">
        <v>486</v>
      </c>
      <c r="FQ109" s="15" t="s">
        <v>531</v>
      </c>
      <c r="FR109" s="15"/>
      <c r="FS109" s="15" t="s">
        <v>420</v>
      </c>
      <c r="FT109" s="15" t="s">
        <v>488</v>
      </c>
      <c r="FU109" s="15" t="s">
        <v>533</v>
      </c>
      <c r="FV109" s="15" t="s">
        <v>490</v>
      </c>
      <c r="FW109" s="15" t="s">
        <v>491</v>
      </c>
      <c r="FX109" s="15" t="s">
        <v>2836</v>
      </c>
      <c r="FY109" s="15" t="s">
        <v>493</v>
      </c>
      <c r="FZ109" s="15"/>
      <c r="GA109" s="15"/>
      <c r="GB109" s="15" t="s">
        <v>455</v>
      </c>
      <c r="GC109" s="15"/>
      <c r="GD109" s="15"/>
      <c r="GE109" s="15" t="s">
        <v>1339</v>
      </c>
      <c r="GF109" s="15"/>
      <c r="GG109" s="15" t="s">
        <v>755</v>
      </c>
      <c r="GH109" s="15" t="s">
        <v>755</v>
      </c>
      <c r="GI109" s="15" t="s">
        <v>946</v>
      </c>
      <c r="GJ109" s="15"/>
      <c r="GK109" s="15"/>
      <c r="GL109" s="15"/>
      <c r="GM109" s="15"/>
      <c r="GN109" s="15" t="s">
        <v>2827</v>
      </c>
      <c r="GO109" s="15" t="s">
        <v>2827</v>
      </c>
      <c r="GP109" s="15"/>
      <c r="GQ109" s="15"/>
      <c r="GR109" s="15"/>
      <c r="GS109" s="15"/>
      <c r="GT109" s="15"/>
      <c r="GU109" s="15"/>
      <c r="GV109" s="15"/>
      <c r="GW109" s="15"/>
      <c r="GX109" s="15"/>
      <c r="GY109" s="15"/>
      <c r="GZ109" s="15"/>
      <c r="HA109" s="15"/>
      <c r="HB109" s="15"/>
      <c r="HC109" s="15"/>
      <c r="HD109" s="15"/>
      <c r="HE109" s="15"/>
      <c r="HF109" s="15"/>
      <c r="HG109" s="15"/>
      <c r="HH109" s="15"/>
      <c r="HI109" s="15"/>
      <c r="HJ109" s="15"/>
      <c r="HK109" s="15"/>
      <c r="HL109" s="15"/>
      <c r="HM109" s="15"/>
      <c r="HN109" s="15"/>
      <c r="HO109" s="15"/>
      <c r="HP109" s="31"/>
      <c r="MX109" s="29" t="s">
        <v>10402</v>
      </c>
      <c r="MY109" s="29" t="str">
        <f>IFERROR(__xludf.DUMMYFUNCTION("""COMPUTED_VALUE"""),"Ohio")</f>
        <v>Ohio</v>
      </c>
    </row>
    <row r="110" ht="16.5" customHeight="1">
      <c r="A110" s="30">
        <v>45828.64029736111</v>
      </c>
      <c r="B110" s="15" t="s">
        <v>368</v>
      </c>
      <c r="C110" s="15" t="s">
        <v>370</v>
      </c>
      <c r="D110" s="15"/>
      <c r="E110" s="15" t="s">
        <v>495</v>
      </c>
      <c r="F110" s="15"/>
      <c r="G110" s="15" t="s">
        <v>422</v>
      </c>
      <c r="H110" s="15" t="s">
        <v>637</v>
      </c>
      <c r="I110" s="15" t="s">
        <v>638</v>
      </c>
      <c r="J110" s="15" t="s">
        <v>590</v>
      </c>
      <c r="K110" s="15" t="s">
        <v>376</v>
      </c>
      <c r="L110" s="15" t="s">
        <v>379</v>
      </c>
      <c r="M110" s="15" t="s">
        <v>2464</v>
      </c>
      <c r="N110" s="15" t="s">
        <v>377</v>
      </c>
      <c r="O110" s="15" t="s">
        <v>380</v>
      </c>
      <c r="P110" s="15" t="s">
        <v>1760</v>
      </c>
      <c r="Q110" s="15" t="s">
        <v>1156</v>
      </c>
      <c r="R110" s="15" t="s">
        <v>500</v>
      </c>
      <c r="S110" s="15" t="s">
        <v>2837</v>
      </c>
      <c r="T110" s="15" t="s">
        <v>385</v>
      </c>
      <c r="U110" s="15"/>
      <c r="V110" s="15"/>
      <c r="W110" s="15" t="s">
        <v>593</v>
      </c>
      <c r="X110" s="15" t="s">
        <v>387</v>
      </c>
      <c r="Y110" s="15" t="s">
        <v>1922</v>
      </c>
      <c r="Z110" s="15" t="s">
        <v>543</v>
      </c>
      <c r="AA110" s="15" t="s">
        <v>2838</v>
      </c>
      <c r="AB110" s="15" t="s">
        <v>2839</v>
      </c>
      <c r="AC110" s="15"/>
      <c r="AD110" s="15"/>
      <c r="AE110" s="15"/>
      <c r="AF110" s="15"/>
      <c r="AG110" s="15"/>
      <c r="AH110" s="15"/>
      <c r="AI110" s="15"/>
      <c r="AJ110" s="15"/>
      <c r="AK110" s="15"/>
      <c r="AL110" s="15"/>
      <c r="AM110" s="15"/>
      <c r="AN110" s="15"/>
      <c r="AO110" s="15"/>
      <c r="AP110" s="15"/>
      <c r="AQ110" s="15"/>
      <c r="AR110" s="15"/>
      <c r="AS110" s="15"/>
      <c r="AT110" s="15"/>
      <c r="AU110" s="15"/>
      <c r="AV110" s="15" t="s">
        <v>1310</v>
      </c>
      <c r="AW110" s="15" t="s">
        <v>675</v>
      </c>
      <c r="AX110" s="15" t="s">
        <v>675</v>
      </c>
      <c r="AY110" s="15" t="s">
        <v>675</v>
      </c>
      <c r="AZ110" s="15" t="s">
        <v>391</v>
      </c>
      <c r="BA110" s="15" t="s">
        <v>675</v>
      </c>
      <c r="BB110" s="15" t="s">
        <v>675</v>
      </c>
      <c r="BC110" s="15" t="s">
        <v>2840</v>
      </c>
      <c r="BD110" s="15" t="s">
        <v>2841</v>
      </c>
      <c r="BE110" s="15" t="s">
        <v>432</v>
      </c>
      <c r="BF110" s="15" t="s">
        <v>1245</v>
      </c>
      <c r="BG110" s="15" t="s">
        <v>434</v>
      </c>
      <c r="BH110" s="15" t="s">
        <v>2842</v>
      </c>
      <c r="BI110" s="15" t="s">
        <v>435</v>
      </c>
      <c r="BJ110" s="15" t="s">
        <v>2843</v>
      </c>
      <c r="BK110" s="15" t="s">
        <v>437</v>
      </c>
      <c r="BL110" s="15" t="s">
        <v>603</v>
      </c>
      <c r="BM110" s="15" t="s">
        <v>1314</v>
      </c>
      <c r="BN110" s="15" t="s">
        <v>398</v>
      </c>
      <c r="BO110" s="15" t="s">
        <v>2844</v>
      </c>
      <c r="BP110" s="15" t="s">
        <v>2845</v>
      </c>
      <c r="BQ110" s="15" t="s">
        <v>604</v>
      </c>
      <c r="BR110" s="15" t="s">
        <v>2488</v>
      </c>
      <c r="BS110" s="15" t="s">
        <v>1741</v>
      </c>
      <c r="BT110" s="15"/>
      <c r="BU110" s="15" t="s">
        <v>1831</v>
      </c>
      <c r="BV110" s="15" t="s">
        <v>2846</v>
      </c>
      <c r="BW110" s="15" t="s">
        <v>457</v>
      </c>
      <c r="BX110" s="15"/>
      <c r="BY110" s="15" t="s">
        <v>408</v>
      </c>
      <c r="BZ110" s="15"/>
      <c r="CA110" s="15" t="s">
        <v>2847</v>
      </c>
      <c r="CB110" s="15" t="s">
        <v>2848</v>
      </c>
      <c r="CC110" s="15" t="s">
        <v>2849</v>
      </c>
      <c r="CD110" s="15" t="s">
        <v>409</v>
      </c>
      <c r="CE110" s="15" t="s">
        <v>2850</v>
      </c>
      <c r="CF110" s="15" t="s">
        <v>1722</v>
      </c>
      <c r="CG110" s="15" t="s">
        <v>2851</v>
      </c>
      <c r="CH110" s="15" t="s">
        <v>2852</v>
      </c>
      <c r="CI110" s="15" t="s">
        <v>410</v>
      </c>
      <c r="CJ110" s="15" t="s">
        <v>2853</v>
      </c>
      <c r="CK110" s="15" t="s">
        <v>2854</v>
      </c>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t="s">
        <v>578</v>
      </c>
      <c r="EU110" s="15" t="s">
        <v>579</v>
      </c>
      <c r="EV110" s="15" t="s">
        <v>778</v>
      </c>
      <c r="EW110" s="15" t="s">
        <v>2855</v>
      </c>
      <c r="EX110" s="15" t="s">
        <v>2856</v>
      </c>
      <c r="EY110" s="15" t="s">
        <v>2857</v>
      </c>
      <c r="EZ110" s="15" t="s">
        <v>583</v>
      </c>
      <c r="FA110" s="15" t="s">
        <v>583</v>
      </c>
      <c r="FB110" s="15" t="s">
        <v>413</v>
      </c>
      <c r="FC110" s="15" t="s">
        <v>413</v>
      </c>
      <c r="FD110" s="15" t="s">
        <v>413</v>
      </c>
      <c r="FE110" s="15" t="s">
        <v>413</v>
      </c>
      <c r="FF110" s="15" t="s">
        <v>415</v>
      </c>
      <c r="FG110" s="15" t="s">
        <v>413</v>
      </c>
      <c r="FH110" s="15" t="s">
        <v>583</v>
      </c>
      <c r="FI110" s="15" t="s">
        <v>413</v>
      </c>
      <c r="FJ110" s="15" t="s">
        <v>583</v>
      </c>
      <c r="FK110" s="15" t="s">
        <v>583</v>
      </c>
      <c r="FL110" s="15" t="s">
        <v>583</v>
      </c>
      <c r="FM110" s="15" t="s">
        <v>413</v>
      </c>
      <c r="FN110" s="15" t="s">
        <v>583</v>
      </c>
      <c r="FO110" s="15" t="s">
        <v>485</v>
      </c>
      <c r="FP110" s="15" t="s">
        <v>418</v>
      </c>
      <c r="FQ110" s="15" t="s">
        <v>749</v>
      </c>
      <c r="FR110" s="15" t="s">
        <v>2858</v>
      </c>
      <c r="FS110" s="15" t="s">
        <v>420</v>
      </c>
      <c r="FT110" s="15" t="s">
        <v>488</v>
      </c>
      <c r="FU110" s="15" t="s">
        <v>489</v>
      </c>
      <c r="FV110" s="15" t="s">
        <v>490</v>
      </c>
      <c r="FW110" s="15" t="s">
        <v>491</v>
      </c>
      <c r="FX110" s="15" t="s">
        <v>2859</v>
      </c>
      <c r="FY110" s="15" t="s">
        <v>493</v>
      </c>
      <c r="FZ110" s="15" t="s">
        <v>2860</v>
      </c>
      <c r="GA110" s="15"/>
      <c r="GB110" s="15" t="s">
        <v>455</v>
      </c>
      <c r="GC110" s="15"/>
      <c r="GD110" s="15"/>
      <c r="GE110" s="15" t="s">
        <v>753</v>
      </c>
      <c r="GF110" s="15" t="s">
        <v>2861</v>
      </c>
      <c r="GG110" s="15"/>
      <c r="GH110" s="15"/>
      <c r="GI110" s="15"/>
      <c r="GJ110" s="15" t="s">
        <v>755</v>
      </c>
      <c r="GK110" s="15" t="s">
        <v>755</v>
      </c>
      <c r="GL110" s="15" t="s">
        <v>946</v>
      </c>
      <c r="GM110" s="15"/>
      <c r="GN110" s="15"/>
      <c r="GO110" s="15"/>
      <c r="GP110" s="15"/>
      <c r="GQ110" s="15"/>
      <c r="GR110" s="15"/>
      <c r="GS110" s="15"/>
      <c r="GT110" s="15"/>
      <c r="GU110" s="15"/>
      <c r="GV110" s="15"/>
      <c r="GW110" s="15"/>
      <c r="GX110" s="15"/>
      <c r="GY110" s="15"/>
      <c r="GZ110" s="15"/>
      <c r="HA110" s="15"/>
      <c r="HB110" s="15"/>
      <c r="HC110" s="15"/>
      <c r="HD110" s="15"/>
      <c r="HE110" s="15"/>
      <c r="HF110" s="15"/>
      <c r="HG110" s="15"/>
      <c r="HH110" s="15"/>
      <c r="HI110" s="15"/>
      <c r="HJ110" s="15"/>
      <c r="HK110" s="15"/>
      <c r="HL110" s="15"/>
      <c r="HM110" s="15"/>
      <c r="HN110" s="15"/>
      <c r="HO110" s="15"/>
      <c r="HP110" s="31"/>
      <c r="MX110" s="29" t="s">
        <v>10402</v>
      </c>
      <c r="MY110" s="29" t="str">
        <f>IFERROR(__xludf.DUMMYFUNCTION("""COMPUTED_VALUE"""),"Michigan")</f>
        <v>Michigan</v>
      </c>
    </row>
    <row r="111" ht="16.5" customHeight="1">
      <c r="A111" s="30">
        <v>45828.643401828704</v>
      </c>
      <c r="B111" s="15" t="s">
        <v>368</v>
      </c>
      <c r="C111" s="15" t="s">
        <v>370</v>
      </c>
      <c r="D111" s="15"/>
      <c r="E111" s="15" t="s">
        <v>1480</v>
      </c>
      <c r="F111" s="15"/>
      <c r="G111" s="15" t="s">
        <v>422</v>
      </c>
      <c r="H111" s="15" t="s">
        <v>1203</v>
      </c>
      <c r="I111" s="15" t="s">
        <v>638</v>
      </c>
      <c r="J111" s="15" t="s">
        <v>1204</v>
      </c>
      <c r="K111" s="15" t="s">
        <v>376</v>
      </c>
      <c r="L111" s="15" t="s">
        <v>591</v>
      </c>
      <c r="M111" s="15" t="s">
        <v>720</v>
      </c>
      <c r="N111" s="15" t="s">
        <v>591</v>
      </c>
      <c r="O111" s="15" t="s">
        <v>719</v>
      </c>
      <c r="P111" s="15" t="s">
        <v>498</v>
      </c>
      <c r="Q111" s="15" t="s">
        <v>382</v>
      </c>
      <c r="R111" s="15" t="s">
        <v>949</v>
      </c>
      <c r="S111" s="15" t="s">
        <v>384</v>
      </c>
      <c r="T111" s="15" t="s">
        <v>385</v>
      </c>
      <c r="U111" s="15"/>
      <c r="V111" s="15"/>
      <c r="W111" s="15" t="s">
        <v>428</v>
      </c>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t="s">
        <v>597</v>
      </c>
      <c r="AW111" s="15" t="s">
        <v>675</v>
      </c>
      <c r="AX111" s="15">
        <v>4.0</v>
      </c>
      <c r="AY111" s="15" t="s">
        <v>675</v>
      </c>
      <c r="AZ111" s="15" t="s">
        <v>675</v>
      </c>
      <c r="BA111" s="15" t="s">
        <v>675</v>
      </c>
      <c r="BB111" s="15" t="s">
        <v>675</v>
      </c>
      <c r="BC111" s="15" t="s">
        <v>2862</v>
      </c>
      <c r="BD111" s="15" t="s">
        <v>2863</v>
      </c>
      <c r="BE111" s="15" t="s">
        <v>432</v>
      </c>
      <c r="BF111" s="15" t="s">
        <v>1095</v>
      </c>
      <c r="BG111" s="15" t="s">
        <v>394</v>
      </c>
      <c r="BH111" s="15"/>
      <c r="BI111" s="15" t="s">
        <v>824</v>
      </c>
      <c r="BJ111" s="15"/>
      <c r="BK111" s="15" t="s">
        <v>395</v>
      </c>
      <c r="BL111" s="15" t="s">
        <v>603</v>
      </c>
      <c r="BM111" s="15" t="s">
        <v>397</v>
      </c>
      <c r="BN111" s="15" t="s">
        <v>398</v>
      </c>
      <c r="BO111" s="15"/>
      <c r="BP111" s="15" t="s">
        <v>2864</v>
      </c>
      <c r="BQ111" s="15" t="s">
        <v>604</v>
      </c>
      <c r="BR111" s="15" t="s">
        <v>2865</v>
      </c>
      <c r="BS111" s="15" t="s">
        <v>1741</v>
      </c>
      <c r="BT111" s="15" t="s">
        <v>1742</v>
      </c>
      <c r="BU111" s="15" t="s">
        <v>1693</v>
      </c>
      <c r="BV111" s="15" t="s">
        <v>2866</v>
      </c>
      <c r="BW111" s="15" t="s">
        <v>406</v>
      </c>
      <c r="BX111" s="15" t="s">
        <v>407</v>
      </c>
      <c r="BY111" s="15" t="s">
        <v>408</v>
      </c>
      <c r="BZ111" s="15"/>
      <c r="CA111" s="15"/>
      <c r="CB111" s="15"/>
      <c r="CC111" s="15" t="s">
        <v>2867</v>
      </c>
      <c r="CD111" s="15" t="s">
        <v>409</v>
      </c>
      <c r="CE111" s="15" t="s">
        <v>2868</v>
      </c>
      <c r="CF111" s="15" t="s">
        <v>1258</v>
      </c>
      <c r="CG111" s="15"/>
      <c r="CH111" s="15" t="s">
        <v>1698</v>
      </c>
      <c r="CI111" s="15" t="s">
        <v>833</v>
      </c>
      <c r="CJ111" s="15" t="s">
        <v>2869</v>
      </c>
      <c r="CK111" s="15" t="s">
        <v>2870</v>
      </c>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t="s">
        <v>578</v>
      </c>
      <c r="EU111" s="15" t="s">
        <v>479</v>
      </c>
      <c r="EV111" s="15" t="s">
        <v>527</v>
      </c>
      <c r="EW111" s="15" t="s">
        <v>2871</v>
      </c>
      <c r="EX111" s="15" t="s">
        <v>2872</v>
      </c>
      <c r="EY111" s="15" t="s">
        <v>2873</v>
      </c>
      <c r="EZ111" s="15" t="s">
        <v>583</v>
      </c>
      <c r="FA111" s="15" t="s">
        <v>583</v>
      </c>
      <c r="FB111" s="15" t="s">
        <v>415</v>
      </c>
      <c r="FC111" s="15" t="s">
        <v>583</v>
      </c>
      <c r="FD111" s="15" t="s">
        <v>416</v>
      </c>
      <c r="FE111" s="15" t="s">
        <v>583</v>
      </c>
      <c r="FF111" s="15" t="s">
        <v>414</v>
      </c>
      <c r="FG111" s="15" t="s">
        <v>415</v>
      </c>
      <c r="FH111" s="15" t="s">
        <v>415</v>
      </c>
      <c r="FI111" s="15" t="s">
        <v>583</v>
      </c>
      <c r="FJ111" s="15" t="s">
        <v>583</v>
      </c>
      <c r="FK111" s="15" t="s">
        <v>415</v>
      </c>
      <c r="FL111" s="15" t="s">
        <v>415</v>
      </c>
      <c r="FM111" s="15" t="s">
        <v>415</v>
      </c>
      <c r="FN111" s="15" t="s">
        <v>415</v>
      </c>
      <c r="FO111" s="15" t="s">
        <v>485</v>
      </c>
      <c r="FP111" s="15" t="s">
        <v>418</v>
      </c>
      <c r="FQ111" s="15" t="s">
        <v>419</v>
      </c>
      <c r="FR111" s="15" t="s">
        <v>2874</v>
      </c>
      <c r="FS111" s="15" t="s">
        <v>995</v>
      </c>
      <c r="FT111" s="15" t="s">
        <v>1462</v>
      </c>
      <c r="FU111" s="15" t="s">
        <v>533</v>
      </c>
      <c r="FV111" s="15" t="s">
        <v>490</v>
      </c>
      <c r="FW111" s="15" t="s">
        <v>491</v>
      </c>
      <c r="FX111" s="15" t="s">
        <v>2875</v>
      </c>
      <c r="FY111" s="15" t="s">
        <v>493</v>
      </c>
      <c r="FZ111" s="15" t="s">
        <v>2876</v>
      </c>
      <c r="GA111" s="15"/>
      <c r="GB111" s="15" t="s">
        <v>455</v>
      </c>
      <c r="GC111" s="15"/>
      <c r="GD111" s="15" t="s">
        <v>2877</v>
      </c>
      <c r="GE111" s="15" t="s">
        <v>855</v>
      </c>
      <c r="GF111" s="15"/>
      <c r="GG111" s="15"/>
      <c r="GH111" s="15"/>
      <c r="GI111" s="15"/>
      <c r="GJ111" s="15" t="s">
        <v>755</v>
      </c>
      <c r="GK111" s="15" t="s">
        <v>755</v>
      </c>
      <c r="GL111" s="15" t="s">
        <v>817</v>
      </c>
      <c r="GM111" s="15"/>
      <c r="GN111" s="15"/>
      <c r="GO111" s="15"/>
      <c r="GP111" s="15"/>
      <c r="GQ111" s="15"/>
      <c r="GR111" s="15"/>
      <c r="GS111" s="15"/>
      <c r="GT111" s="15"/>
      <c r="GU111" s="15"/>
      <c r="GV111" s="15"/>
      <c r="GW111" s="15"/>
      <c r="GX111" s="15"/>
      <c r="GY111" s="15"/>
      <c r="GZ111" s="15"/>
      <c r="HA111" s="15"/>
      <c r="HB111" s="15"/>
      <c r="HC111" s="15"/>
      <c r="HD111" s="15"/>
      <c r="HE111" s="15"/>
      <c r="HF111" s="15"/>
      <c r="HG111" s="15"/>
      <c r="HH111" s="15"/>
      <c r="HI111" s="15"/>
      <c r="HJ111" s="15"/>
      <c r="HK111" s="15"/>
      <c r="HL111" s="15"/>
      <c r="HM111" s="15"/>
      <c r="HN111" s="15"/>
      <c r="HO111" s="15"/>
      <c r="HP111" s="31"/>
      <c r="MX111" s="29" t="s">
        <v>10402</v>
      </c>
      <c r="MY111" s="29" t="str">
        <f>IFERROR(__xludf.DUMMYFUNCTION("""COMPUTED_VALUE"""),"Michigan")</f>
        <v>Michigan</v>
      </c>
    </row>
    <row r="112" ht="16.5" customHeight="1">
      <c r="A112" s="30">
        <v>45828.78532109954</v>
      </c>
      <c r="B112" s="15" t="s">
        <v>368</v>
      </c>
      <c r="C112" s="15" t="s">
        <v>370</v>
      </c>
      <c r="D112" s="15"/>
      <c r="E112" s="15" t="s">
        <v>1480</v>
      </c>
      <c r="F112" s="15"/>
      <c r="G112" s="15" t="s">
        <v>422</v>
      </c>
      <c r="H112" s="15" t="s">
        <v>423</v>
      </c>
      <c r="I112" s="15" t="s">
        <v>668</v>
      </c>
      <c r="J112" s="15" t="s">
        <v>375</v>
      </c>
      <c r="K112" s="15" t="s">
        <v>376</v>
      </c>
      <c r="L112" s="15" t="s">
        <v>426</v>
      </c>
      <c r="M112" s="15" t="s">
        <v>2464</v>
      </c>
      <c r="N112" s="15" t="s">
        <v>426</v>
      </c>
      <c r="O112" s="15" t="s">
        <v>2464</v>
      </c>
      <c r="P112" s="15" t="s">
        <v>381</v>
      </c>
      <c r="Q112" s="15" t="s">
        <v>1156</v>
      </c>
      <c r="R112" s="15" t="s">
        <v>500</v>
      </c>
      <c r="S112" s="15" t="s">
        <v>384</v>
      </c>
      <c r="T112" s="15" t="s">
        <v>385</v>
      </c>
      <c r="U112" s="15"/>
      <c r="V112" s="15"/>
      <c r="W112" s="15" t="s">
        <v>428</v>
      </c>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t="s">
        <v>1310</v>
      </c>
      <c r="AW112" s="15" t="s">
        <v>675</v>
      </c>
      <c r="AX112" s="15" t="s">
        <v>675</v>
      </c>
      <c r="AY112" s="15" t="s">
        <v>675</v>
      </c>
      <c r="AZ112" s="15" t="s">
        <v>675</v>
      </c>
      <c r="BA112" s="15" t="s">
        <v>675</v>
      </c>
      <c r="BB112" s="15" t="s">
        <v>675</v>
      </c>
      <c r="BC112" s="15" t="s">
        <v>2878</v>
      </c>
      <c r="BD112" s="15" t="s">
        <v>2879</v>
      </c>
      <c r="BE112" s="15" t="s">
        <v>432</v>
      </c>
      <c r="BF112" s="15" t="s">
        <v>1095</v>
      </c>
      <c r="BG112" s="15" t="s">
        <v>765</v>
      </c>
      <c r="BH112" s="15" t="s">
        <v>2880</v>
      </c>
      <c r="BI112" s="15" t="s">
        <v>976</v>
      </c>
      <c r="BJ112" s="15"/>
      <c r="BK112" s="15" t="s">
        <v>395</v>
      </c>
      <c r="BL112" s="15" t="s">
        <v>904</v>
      </c>
      <c r="BM112" s="15" t="s">
        <v>1247</v>
      </c>
      <c r="BN112" s="15" t="s">
        <v>440</v>
      </c>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t="s">
        <v>441</v>
      </c>
      <c r="CM112" s="15" t="s">
        <v>604</v>
      </c>
      <c r="CN112" s="15" t="s">
        <v>2881</v>
      </c>
      <c r="CO112" s="15" t="s">
        <v>2882</v>
      </c>
      <c r="CP112" s="15" t="s">
        <v>685</v>
      </c>
      <c r="CQ112" s="15" t="s">
        <v>2883</v>
      </c>
      <c r="CR112" s="15" t="s">
        <v>447</v>
      </c>
      <c r="CS112" s="15" t="s">
        <v>687</v>
      </c>
      <c r="CT112" s="15" t="s">
        <v>2884</v>
      </c>
      <c r="CU112" s="15" t="s">
        <v>450</v>
      </c>
      <c r="CV112" s="15" t="s">
        <v>451</v>
      </c>
      <c r="CW112" s="15" t="s">
        <v>2885</v>
      </c>
      <c r="CX112" s="15" t="s">
        <v>455</v>
      </c>
      <c r="CY112" s="15" t="s">
        <v>2886</v>
      </c>
      <c r="CZ112" s="15" t="s">
        <v>453</v>
      </c>
      <c r="DA112" s="15" t="s">
        <v>2887</v>
      </c>
      <c r="DB112" s="15" t="s">
        <v>455</v>
      </c>
      <c r="DC112" s="15" t="s">
        <v>2888</v>
      </c>
      <c r="DD112" s="15" t="s">
        <v>988</v>
      </c>
      <c r="DE112" s="15"/>
      <c r="DF112" s="15" t="s">
        <v>2889</v>
      </c>
      <c r="DG112" s="15" t="s">
        <v>524</v>
      </c>
      <c r="DH112" s="15" t="s">
        <v>410</v>
      </c>
      <c r="DI112" s="15" t="s">
        <v>459</v>
      </c>
      <c r="DJ112" s="15" t="s">
        <v>460</v>
      </c>
      <c r="DK112" s="15" t="s">
        <v>461</v>
      </c>
      <c r="DL112" s="15"/>
      <c r="DM112" s="15" t="s">
        <v>2890</v>
      </c>
      <c r="DN112" s="15" t="s">
        <v>2891</v>
      </c>
      <c r="DO112" s="15" t="s">
        <v>1063</v>
      </c>
      <c r="DP112" s="15" t="s">
        <v>2892</v>
      </c>
      <c r="DQ112" s="15" t="s">
        <v>1578</v>
      </c>
      <c r="DR112" s="15" t="s">
        <v>2893</v>
      </c>
      <c r="DS112" s="15" t="s">
        <v>468</v>
      </c>
      <c r="DT112" s="15" t="s">
        <v>619</v>
      </c>
      <c r="DU112" s="15" t="s">
        <v>2894</v>
      </c>
      <c r="DV112" s="15" t="s">
        <v>2895</v>
      </c>
      <c r="DW112" s="15" t="s">
        <v>1328</v>
      </c>
      <c r="DX112" s="15" t="s">
        <v>2896</v>
      </c>
      <c r="DY112" s="15" t="s">
        <v>2897</v>
      </c>
      <c r="DZ112" s="15" t="s">
        <v>2898</v>
      </c>
      <c r="EA112" s="15" t="s">
        <v>475</v>
      </c>
      <c r="EB112" s="15" t="s">
        <v>845</v>
      </c>
      <c r="EC112" s="15" t="s">
        <v>2899</v>
      </c>
      <c r="ED112" s="15"/>
      <c r="EE112" s="15"/>
      <c r="EF112" s="15"/>
      <c r="EG112" s="15"/>
      <c r="EH112" s="15"/>
      <c r="EI112" s="15"/>
      <c r="EJ112" s="15"/>
      <c r="EK112" s="15"/>
      <c r="EL112" s="15"/>
      <c r="EM112" s="15"/>
      <c r="EN112" s="15"/>
      <c r="EO112" s="15"/>
      <c r="EP112" s="15"/>
      <c r="EQ112" s="15"/>
      <c r="ER112" s="15"/>
      <c r="ES112" s="15"/>
      <c r="ET112" s="15" t="s">
        <v>526</v>
      </c>
      <c r="EU112" s="15" t="s">
        <v>479</v>
      </c>
      <c r="EV112" s="15" t="s">
        <v>480</v>
      </c>
      <c r="EW112" s="15" t="s">
        <v>2900</v>
      </c>
      <c r="EX112" s="15" t="s">
        <v>2901</v>
      </c>
      <c r="EY112" s="15" t="s">
        <v>2902</v>
      </c>
      <c r="EZ112" s="15" t="s">
        <v>583</v>
      </c>
      <c r="FA112" s="15" t="s">
        <v>583</v>
      </c>
      <c r="FB112" s="15" t="s">
        <v>415</v>
      </c>
      <c r="FC112" s="15" t="s">
        <v>414</v>
      </c>
      <c r="FD112" s="15" t="s">
        <v>413</v>
      </c>
      <c r="FE112" s="15" t="s">
        <v>583</v>
      </c>
      <c r="FF112" s="15" t="s">
        <v>415</v>
      </c>
      <c r="FG112" s="15" t="s">
        <v>416</v>
      </c>
      <c r="FH112" s="15" t="s">
        <v>583</v>
      </c>
      <c r="FI112" s="15" t="s">
        <v>583</v>
      </c>
      <c r="FJ112" s="15" t="s">
        <v>583</v>
      </c>
      <c r="FK112" s="15" t="s">
        <v>484</v>
      </c>
      <c r="FL112" s="15" t="s">
        <v>484</v>
      </c>
      <c r="FM112" s="15" t="s">
        <v>484</v>
      </c>
      <c r="FN112" s="15" t="s">
        <v>484</v>
      </c>
      <c r="FO112" s="15" t="s">
        <v>417</v>
      </c>
      <c r="FP112" s="15" t="s">
        <v>418</v>
      </c>
      <c r="FQ112" s="15" t="s">
        <v>419</v>
      </c>
      <c r="FR112" s="15" t="s">
        <v>2903</v>
      </c>
      <c r="FS112" s="15" t="s">
        <v>420</v>
      </c>
      <c r="FT112" s="15" t="s">
        <v>488</v>
      </c>
      <c r="FU112" s="15" t="s">
        <v>585</v>
      </c>
      <c r="FV112" s="15" t="s">
        <v>490</v>
      </c>
      <c r="FW112" s="15" t="s">
        <v>491</v>
      </c>
      <c r="FX112" s="15" t="s">
        <v>2904</v>
      </c>
      <c r="FY112" s="15" t="s">
        <v>535</v>
      </c>
      <c r="FZ112" s="15" t="s">
        <v>2905</v>
      </c>
      <c r="GA112" s="15" t="s">
        <v>2906</v>
      </c>
      <c r="GB112" s="15" t="s">
        <v>455</v>
      </c>
      <c r="GC112" s="15"/>
      <c r="GD112" s="15"/>
      <c r="GE112" s="15" t="s">
        <v>1339</v>
      </c>
      <c r="GF112" s="15" t="s">
        <v>2907</v>
      </c>
      <c r="GG112" s="15" t="s">
        <v>755</v>
      </c>
      <c r="GH112" s="15" t="s">
        <v>755</v>
      </c>
      <c r="GI112" s="15" t="s">
        <v>946</v>
      </c>
      <c r="GJ112" s="15"/>
      <c r="GK112" s="15"/>
      <c r="GL112" s="15"/>
      <c r="GM112" s="15" t="s">
        <v>1079</v>
      </c>
      <c r="GN112" s="15"/>
      <c r="GO112" s="15"/>
      <c r="GP112" s="15"/>
      <c r="GQ112" s="15"/>
      <c r="GR112" s="15"/>
      <c r="GS112" s="15"/>
      <c r="GT112" s="15"/>
      <c r="GU112" s="15"/>
      <c r="GV112" s="15"/>
      <c r="GW112" s="15"/>
      <c r="GX112" s="15"/>
      <c r="GY112" s="15"/>
      <c r="GZ112" s="15"/>
      <c r="HA112" s="15"/>
      <c r="HB112" s="15"/>
      <c r="HC112" s="15"/>
      <c r="HD112" s="15"/>
      <c r="HE112" s="15"/>
      <c r="HF112" s="15"/>
      <c r="HG112" s="15"/>
      <c r="HH112" s="15"/>
      <c r="HI112" s="15"/>
      <c r="HJ112" s="15"/>
      <c r="HK112" s="15"/>
      <c r="HL112" s="15"/>
      <c r="HM112" s="15"/>
      <c r="HN112" s="15"/>
      <c r="HO112" s="15"/>
      <c r="HP112" s="31"/>
      <c r="MX112" s="29" t="s">
        <v>10402</v>
      </c>
      <c r="MY112" s="29" t="str">
        <f>IFERROR(__xludf.DUMMYFUNCTION("""COMPUTED_VALUE"""),"Michigan")</f>
        <v>Michigan</v>
      </c>
    </row>
    <row r="113" ht="16.5" customHeight="1">
      <c r="A113" s="30">
        <v>45828.791163622685</v>
      </c>
      <c r="B113" s="15" t="s">
        <v>368</v>
      </c>
      <c r="C113" s="15" t="s">
        <v>370</v>
      </c>
      <c r="D113" s="15"/>
      <c r="E113" s="15" t="s">
        <v>1480</v>
      </c>
      <c r="F113" s="15"/>
      <c r="G113" s="15" t="s">
        <v>422</v>
      </c>
      <c r="H113" s="15" t="s">
        <v>373</v>
      </c>
      <c r="I113" s="15" t="s">
        <v>374</v>
      </c>
      <c r="J113" s="15" t="s">
        <v>590</v>
      </c>
      <c r="K113" s="15" t="s">
        <v>376</v>
      </c>
      <c r="L113" s="15" t="s">
        <v>379</v>
      </c>
      <c r="M113" s="15" t="s">
        <v>378</v>
      </c>
      <c r="N113" s="15" t="s">
        <v>379</v>
      </c>
      <c r="O113" s="15" t="s">
        <v>380</v>
      </c>
      <c r="P113" s="15" t="s">
        <v>381</v>
      </c>
      <c r="Q113" s="15" t="s">
        <v>1156</v>
      </c>
      <c r="R113" s="15" t="s">
        <v>427</v>
      </c>
      <c r="S113" s="15" t="s">
        <v>384</v>
      </c>
      <c r="T113" s="15" t="s">
        <v>385</v>
      </c>
      <c r="U113" s="15"/>
      <c r="V113" s="15"/>
      <c r="W113" s="15" t="s">
        <v>593</v>
      </c>
      <c r="X113" s="15" t="s">
        <v>387</v>
      </c>
      <c r="Y113" s="15" t="s">
        <v>388</v>
      </c>
      <c r="Z113" s="15" t="s">
        <v>502</v>
      </c>
      <c r="AA113" s="15" t="s">
        <v>1962</v>
      </c>
      <c r="AB113" s="15" t="s">
        <v>2908</v>
      </c>
      <c r="AC113" s="15"/>
      <c r="AD113" s="15"/>
      <c r="AE113" s="15"/>
      <c r="AF113" s="15"/>
      <c r="AG113" s="15"/>
      <c r="AH113" s="15"/>
      <c r="AI113" s="15"/>
      <c r="AJ113" s="15"/>
      <c r="AK113" s="15"/>
      <c r="AL113" s="15"/>
      <c r="AM113" s="15"/>
      <c r="AN113" s="15"/>
      <c r="AO113" s="15"/>
      <c r="AP113" s="15"/>
      <c r="AQ113" s="15"/>
      <c r="AR113" s="15"/>
      <c r="AS113" s="15"/>
      <c r="AT113" s="15"/>
      <c r="AU113" s="15"/>
      <c r="AV113" s="15" t="s">
        <v>390</v>
      </c>
      <c r="AW113" s="15" t="s">
        <v>391</v>
      </c>
      <c r="AX113" s="15" t="s">
        <v>391</v>
      </c>
      <c r="AY113" s="15">
        <v>2.0</v>
      </c>
      <c r="AZ113" s="15">
        <v>2.0</v>
      </c>
      <c r="BA113" s="15">
        <v>2.0</v>
      </c>
      <c r="BB113" s="15">
        <v>2.0</v>
      </c>
      <c r="BC113" s="15" t="s">
        <v>2909</v>
      </c>
      <c r="BD113" s="15" t="s">
        <v>2910</v>
      </c>
      <c r="BE113" s="15" t="s">
        <v>392</v>
      </c>
      <c r="BF113" s="15" t="s">
        <v>393</v>
      </c>
      <c r="BG113" s="15" t="s">
        <v>434</v>
      </c>
      <c r="BH113" s="15" t="s">
        <v>2911</v>
      </c>
      <c r="BI113" s="15" t="s">
        <v>976</v>
      </c>
      <c r="BJ113" s="15"/>
      <c r="BK113" s="15" t="s">
        <v>395</v>
      </c>
      <c r="BL113" s="15" t="s">
        <v>603</v>
      </c>
      <c r="BM113" s="15" t="s">
        <v>549</v>
      </c>
      <c r="BN113" s="15" t="s">
        <v>513</v>
      </c>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t="s">
        <v>441</v>
      </c>
      <c r="CM113" s="15" t="s">
        <v>401</v>
      </c>
      <c r="CN113" s="15" t="s">
        <v>2912</v>
      </c>
      <c r="CO113" s="15" t="s">
        <v>2913</v>
      </c>
      <c r="CP113" s="15" t="s">
        <v>685</v>
      </c>
      <c r="CQ113" s="15" t="s">
        <v>2914</v>
      </c>
      <c r="CR113" s="15" t="s">
        <v>447</v>
      </c>
      <c r="CS113" s="15" t="s">
        <v>2915</v>
      </c>
      <c r="CT113" s="15" t="s">
        <v>2916</v>
      </c>
      <c r="CU113" s="15" t="s">
        <v>450</v>
      </c>
      <c r="CV113" s="15" t="s">
        <v>451</v>
      </c>
      <c r="CW113" s="15" t="s">
        <v>2917</v>
      </c>
      <c r="CX113" s="15" t="s">
        <v>408</v>
      </c>
      <c r="CY113" s="15"/>
      <c r="CZ113" s="15" t="s">
        <v>453</v>
      </c>
      <c r="DA113" s="15" t="s">
        <v>2918</v>
      </c>
      <c r="DB113" s="15" t="s">
        <v>408</v>
      </c>
      <c r="DC113" s="15"/>
      <c r="DD113" s="15" t="s">
        <v>662</v>
      </c>
      <c r="DE113" s="15" t="s">
        <v>407</v>
      </c>
      <c r="DF113" s="15" t="s">
        <v>2919</v>
      </c>
      <c r="DG113" s="15" t="s">
        <v>561</v>
      </c>
      <c r="DH113" s="15" t="s">
        <v>410</v>
      </c>
      <c r="DI113" s="15" t="s">
        <v>459</v>
      </c>
      <c r="DJ113" s="15" t="s">
        <v>460</v>
      </c>
      <c r="DK113" s="15" t="s">
        <v>461</v>
      </c>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t="s">
        <v>526</v>
      </c>
      <c r="EU113" s="15" t="s">
        <v>479</v>
      </c>
      <c r="EV113" s="15" t="s">
        <v>480</v>
      </c>
      <c r="EW113" s="15"/>
      <c r="EX113" s="15" t="s">
        <v>2920</v>
      </c>
      <c r="EY113" s="15" t="s">
        <v>2921</v>
      </c>
      <c r="EZ113" s="15" t="s">
        <v>583</v>
      </c>
      <c r="FA113" s="15" t="s">
        <v>583</v>
      </c>
      <c r="FB113" s="15" t="s">
        <v>583</v>
      </c>
      <c r="FC113" s="15" t="s">
        <v>583</v>
      </c>
      <c r="FD113" s="15" t="s">
        <v>415</v>
      </c>
      <c r="FE113" s="15" t="s">
        <v>583</v>
      </c>
      <c r="FF113" s="15" t="s">
        <v>484</v>
      </c>
      <c r="FG113" s="15" t="s">
        <v>416</v>
      </c>
      <c r="FH113" s="15" t="s">
        <v>583</v>
      </c>
      <c r="FI113" s="15" t="s">
        <v>414</v>
      </c>
      <c r="FJ113" s="15" t="s">
        <v>415</v>
      </c>
      <c r="FK113" s="15" t="s">
        <v>415</v>
      </c>
      <c r="FL113" s="15" t="s">
        <v>415</v>
      </c>
      <c r="FM113" s="15" t="s">
        <v>416</v>
      </c>
      <c r="FN113" s="15" t="s">
        <v>583</v>
      </c>
      <c r="FO113" s="15" t="s">
        <v>417</v>
      </c>
      <c r="FP113" s="15" t="s">
        <v>418</v>
      </c>
      <c r="FQ113" s="15" t="s">
        <v>749</v>
      </c>
      <c r="FR113" s="15" t="s">
        <v>2922</v>
      </c>
      <c r="FS113" s="15" t="s">
        <v>420</v>
      </c>
      <c r="FT113" s="15" t="s">
        <v>488</v>
      </c>
      <c r="FU113" s="15" t="s">
        <v>489</v>
      </c>
      <c r="FV113" s="15" t="s">
        <v>490</v>
      </c>
      <c r="FW113" s="15" t="s">
        <v>491</v>
      </c>
      <c r="FX113" s="15" t="s">
        <v>2923</v>
      </c>
      <c r="FY113" s="15" t="s">
        <v>535</v>
      </c>
      <c r="FZ113" s="15" t="s">
        <v>2924</v>
      </c>
      <c r="GA113" s="15" t="s">
        <v>2925</v>
      </c>
      <c r="GB113" s="15" t="s">
        <v>455</v>
      </c>
      <c r="GC113" s="15"/>
      <c r="GD113" s="15"/>
      <c r="GE113" s="15" t="s">
        <v>1339</v>
      </c>
      <c r="GF113" s="15" t="s">
        <v>2926</v>
      </c>
      <c r="GG113" s="15" t="s">
        <v>755</v>
      </c>
      <c r="GH113" s="15" t="s">
        <v>755</v>
      </c>
      <c r="GI113" s="15" t="s">
        <v>946</v>
      </c>
      <c r="GJ113" s="15"/>
      <c r="GK113" s="15"/>
      <c r="GL113" s="15"/>
      <c r="GM113" s="15"/>
      <c r="GN113" s="15"/>
      <c r="GO113" s="15"/>
      <c r="GP113" s="15"/>
      <c r="GQ113" s="15"/>
      <c r="GR113" s="15"/>
      <c r="GS113" s="15"/>
      <c r="GT113" s="15"/>
      <c r="GU113" s="15"/>
      <c r="GV113" s="15"/>
      <c r="GW113" s="15"/>
      <c r="GX113" s="15"/>
      <c r="GY113" s="15"/>
      <c r="GZ113" s="15"/>
      <c r="HA113" s="15"/>
      <c r="HB113" s="15"/>
      <c r="HC113" s="15"/>
      <c r="HD113" s="15"/>
      <c r="HE113" s="15"/>
      <c r="HF113" s="15"/>
      <c r="HG113" s="15"/>
      <c r="HH113" s="15"/>
      <c r="HI113" s="15"/>
      <c r="HJ113" s="15"/>
      <c r="HK113" s="15"/>
      <c r="HL113" s="15"/>
      <c r="HM113" s="15"/>
      <c r="HN113" s="15"/>
      <c r="HO113" s="15"/>
      <c r="HP113" s="31"/>
      <c r="MX113" s="29" t="s">
        <v>10402</v>
      </c>
      <c r="MY113" s="29" t="str">
        <f>IFERROR(__xludf.DUMMYFUNCTION("""COMPUTED_VALUE"""),"New York")</f>
        <v>New York</v>
      </c>
    </row>
    <row r="114" ht="16.5" customHeight="1">
      <c r="A114" s="30">
        <v>45828.88566534722</v>
      </c>
      <c r="B114" s="15" t="s">
        <v>368</v>
      </c>
      <c r="C114" s="15" t="s">
        <v>370</v>
      </c>
      <c r="D114" s="15"/>
      <c r="E114" s="15" t="s">
        <v>667</v>
      </c>
      <c r="F114" s="15"/>
      <c r="G114" s="15" t="s">
        <v>422</v>
      </c>
      <c r="H114" s="15" t="s">
        <v>1921</v>
      </c>
      <c r="I114" s="15" t="s">
        <v>668</v>
      </c>
      <c r="J114" s="15" t="s">
        <v>375</v>
      </c>
      <c r="K114" s="15" t="s">
        <v>376</v>
      </c>
      <c r="L114" s="15" t="s">
        <v>379</v>
      </c>
      <c r="M114" s="15" t="s">
        <v>378</v>
      </c>
      <c r="N114" s="15" t="s">
        <v>426</v>
      </c>
      <c r="O114" s="15" t="s">
        <v>380</v>
      </c>
      <c r="P114" s="15" t="s">
        <v>498</v>
      </c>
      <c r="Q114" s="15" t="s">
        <v>862</v>
      </c>
      <c r="R114" s="15" t="s">
        <v>500</v>
      </c>
      <c r="S114" s="15" t="s">
        <v>384</v>
      </c>
      <c r="T114" s="15" t="s">
        <v>385</v>
      </c>
      <c r="U114" s="15"/>
      <c r="V114" s="15"/>
      <c r="W114" s="15" t="s">
        <v>386</v>
      </c>
      <c r="X114" s="15" t="s">
        <v>387</v>
      </c>
      <c r="Y114" s="15" t="s">
        <v>388</v>
      </c>
      <c r="Z114" s="15" t="s">
        <v>543</v>
      </c>
      <c r="AA114" s="15" t="s">
        <v>2927</v>
      </c>
      <c r="AB114" s="15"/>
      <c r="AC114" s="15"/>
      <c r="AD114" s="15"/>
      <c r="AE114" s="15"/>
      <c r="AF114" s="15"/>
      <c r="AG114" s="15"/>
      <c r="AH114" s="15"/>
      <c r="AI114" s="15"/>
      <c r="AJ114" s="15"/>
      <c r="AK114" s="15"/>
      <c r="AL114" s="15"/>
      <c r="AM114" s="15"/>
      <c r="AN114" s="15"/>
      <c r="AO114" s="15"/>
      <c r="AP114" s="15"/>
      <c r="AQ114" s="15"/>
      <c r="AR114" s="15"/>
      <c r="AS114" s="15"/>
      <c r="AT114" s="15"/>
      <c r="AU114" s="15"/>
      <c r="AV114" s="15" t="s">
        <v>1310</v>
      </c>
      <c r="AW114" s="15" t="s">
        <v>675</v>
      </c>
      <c r="AX114" s="15" t="s">
        <v>675</v>
      </c>
      <c r="AY114" s="15">
        <v>2.0</v>
      </c>
      <c r="AZ114" s="15">
        <v>4.0</v>
      </c>
      <c r="BA114" s="15">
        <v>4.0</v>
      </c>
      <c r="BB114" s="15">
        <v>4.0</v>
      </c>
      <c r="BC114" s="15" t="s">
        <v>2928</v>
      </c>
      <c r="BD114" s="15" t="s">
        <v>2929</v>
      </c>
      <c r="BE114" s="15" t="s">
        <v>902</v>
      </c>
      <c r="BF114" s="15" t="s">
        <v>1245</v>
      </c>
      <c r="BG114" s="15" t="s">
        <v>765</v>
      </c>
      <c r="BH114" s="15" t="s">
        <v>552</v>
      </c>
      <c r="BI114" s="15" t="s">
        <v>976</v>
      </c>
      <c r="BJ114" s="15"/>
      <c r="BK114" s="15" t="s">
        <v>437</v>
      </c>
      <c r="BL114" s="15" t="s">
        <v>904</v>
      </c>
      <c r="BM114" s="15" t="s">
        <v>1247</v>
      </c>
      <c r="BN114" s="15" t="s">
        <v>513</v>
      </c>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t="s">
        <v>441</v>
      </c>
      <c r="CM114" s="15" t="s">
        <v>401</v>
      </c>
      <c r="CN114" s="15" t="s">
        <v>2930</v>
      </c>
      <c r="CO114" s="15" t="s">
        <v>552</v>
      </c>
      <c r="CP114" s="15" t="s">
        <v>403</v>
      </c>
      <c r="CQ114" s="15" t="s">
        <v>931</v>
      </c>
      <c r="CR114" s="15" t="s">
        <v>447</v>
      </c>
      <c r="CS114" s="15" t="s">
        <v>1137</v>
      </c>
      <c r="CT114" s="15" t="s">
        <v>2931</v>
      </c>
      <c r="CU114" s="15" t="s">
        <v>1852</v>
      </c>
      <c r="CV114" s="15" t="s">
        <v>409</v>
      </c>
      <c r="CW114" s="15" t="s">
        <v>2932</v>
      </c>
      <c r="CX114" s="15" t="s">
        <v>408</v>
      </c>
      <c r="CY114" s="15"/>
      <c r="CZ114" s="15" t="s">
        <v>1962</v>
      </c>
      <c r="DA114" s="15"/>
      <c r="DB114" s="15" t="s">
        <v>408</v>
      </c>
      <c r="DC114" s="15"/>
      <c r="DD114" s="15" t="s">
        <v>406</v>
      </c>
      <c r="DE114" s="15" t="s">
        <v>1058</v>
      </c>
      <c r="DF114" s="15" t="s">
        <v>2933</v>
      </c>
      <c r="DG114" s="15" t="s">
        <v>990</v>
      </c>
      <c r="DH114" s="15" t="s">
        <v>694</v>
      </c>
      <c r="DI114" s="15" t="s">
        <v>459</v>
      </c>
      <c r="DJ114" s="15" t="s">
        <v>562</v>
      </c>
      <c r="DK114" s="15" t="s">
        <v>461</v>
      </c>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t="s">
        <v>478</v>
      </c>
      <c r="EU114" s="15" t="s">
        <v>1037</v>
      </c>
      <c r="EV114" s="15" t="s">
        <v>527</v>
      </c>
      <c r="EW114" s="15"/>
      <c r="EX114" s="15" t="s">
        <v>2934</v>
      </c>
      <c r="EY114" s="15" t="s">
        <v>2935</v>
      </c>
      <c r="EZ114" s="15" t="s">
        <v>414</v>
      </c>
      <c r="FA114" s="15" t="s">
        <v>583</v>
      </c>
      <c r="FB114" s="15" t="s">
        <v>416</v>
      </c>
      <c r="FC114" s="15" t="s">
        <v>583</v>
      </c>
      <c r="FD114" s="15" t="s">
        <v>413</v>
      </c>
      <c r="FE114" s="15" t="s">
        <v>583</v>
      </c>
      <c r="FF114" s="15" t="s">
        <v>484</v>
      </c>
      <c r="FG114" s="15" t="s">
        <v>413</v>
      </c>
      <c r="FH114" s="15" t="s">
        <v>583</v>
      </c>
      <c r="FI114" s="15" t="s">
        <v>583</v>
      </c>
      <c r="FJ114" s="15" t="s">
        <v>583</v>
      </c>
      <c r="FK114" s="15" t="s">
        <v>583</v>
      </c>
      <c r="FL114" s="15" t="s">
        <v>583</v>
      </c>
      <c r="FM114" s="15" t="s">
        <v>413</v>
      </c>
      <c r="FN114" s="15" t="s">
        <v>583</v>
      </c>
      <c r="FO114" s="15" t="s">
        <v>485</v>
      </c>
      <c r="FP114" s="15" t="s">
        <v>418</v>
      </c>
      <c r="FQ114" s="15" t="s">
        <v>630</v>
      </c>
      <c r="FR114" s="15" t="s">
        <v>2936</v>
      </c>
      <c r="FS114" s="15" t="s">
        <v>1871</v>
      </c>
      <c r="FT114" s="15" t="s">
        <v>1476</v>
      </c>
      <c r="FU114" s="15" t="s">
        <v>533</v>
      </c>
      <c r="FV114" s="15" t="s">
        <v>1101</v>
      </c>
      <c r="FW114" s="15" t="s">
        <v>1853</v>
      </c>
      <c r="FX114" s="15"/>
      <c r="FY114" s="15" t="s">
        <v>1854</v>
      </c>
      <c r="FZ114" s="15"/>
      <c r="GA114" s="15"/>
      <c r="GB114" s="15" t="s">
        <v>408</v>
      </c>
      <c r="GC114" s="15"/>
      <c r="GD114" s="15"/>
      <c r="GE114" s="15"/>
      <c r="GF114" s="15"/>
      <c r="GG114" s="15" t="s">
        <v>857</v>
      </c>
      <c r="GH114" s="15" t="s">
        <v>857</v>
      </c>
      <c r="GI114" s="15" t="s">
        <v>756</v>
      </c>
      <c r="GJ114" s="15"/>
      <c r="GK114" s="15"/>
      <c r="GL114" s="15"/>
      <c r="GM114" s="15"/>
      <c r="GN114" s="15"/>
      <c r="GO114" s="15"/>
      <c r="GP114" s="15"/>
      <c r="GQ114" s="15"/>
      <c r="GR114" s="15"/>
      <c r="GS114" s="15"/>
      <c r="GT114" s="15"/>
      <c r="GU114" s="15"/>
      <c r="GV114" s="15"/>
      <c r="GW114" s="15"/>
      <c r="GX114" s="15"/>
      <c r="GY114" s="15"/>
      <c r="GZ114" s="15"/>
      <c r="HA114" s="15"/>
      <c r="HB114" s="15"/>
      <c r="HC114" s="15"/>
      <c r="HD114" s="15"/>
      <c r="HE114" s="15"/>
      <c r="HF114" s="15"/>
      <c r="HG114" s="15"/>
      <c r="HH114" s="15"/>
      <c r="HI114" s="15"/>
      <c r="HJ114" s="15"/>
      <c r="HK114" s="15"/>
      <c r="HL114" s="15"/>
      <c r="HM114" s="15"/>
      <c r="HN114" s="15"/>
      <c r="HO114" s="15"/>
      <c r="HP114" s="31"/>
      <c r="MX114" s="29" t="s">
        <v>10402</v>
      </c>
      <c r="MY114" s="29" t="str">
        <f>IFERROR(__xludf.DUMMYFUNCTION("""COMPUTED_VALUE"""),"Texas")</f>
        <v>Texas</v>
      </c>
    </row>
    <row r="115" ht="16.5" customHeight="1">
      <c r="A115" s="30">
        <v>45828.891574270834</v>
      </c>
      <c r="B115" s="15" t="s">
        <v>368</v>
      </c>
      <c r="C115" s="15" t="s">
        <v>370</v>
      </c>
      <c r="D115" s="15"/>
      <c r="E115" s="15" t="s">
        <v>1510</v>
      </c>
      <c r="F115" s="15"/>
      <c r="G115" s="15" t="s">
        <v>422</v>
      </c>
      <c r="H115" s="15" t="s">
        <v>423</v>
      </c>
      <c r="I115" s="15" t="s">
        <v>668</v>
      </c>
      <c r="J115" s="15" t="s">
        <v>718</v>
      </c>
      <c r="K115" s="15" t="s">
        <v>376</v>
      </c>
      <c r="L115" s="15" t="s">
        <v>591</v>
      </c>
      <c r="M115" s="15" t="s">
        <v>2539</v>
      </c>
      <c r="N115" s="15" t="s">
        <v>591</v>
      </c>
      <c r="O115" s="15" t="s">
        <v>719</v>
      </c>
      <c r="P115" s="15" t="s">
        <v>498</v>
      </c>
      <c r="Q115" s="15" t="s">
        <v>499</v>
      </c>
      <c r="R115" s="15" t="s">
        <v>1197</v>
      </c>
      <c r="S115" s="15" t="s">
        <v>384</v>
      </c>
      <c r="T115" s="15" t="s">
        <v>385</v>
      </c>
      <c r="U115" s="15"/>
      <c r="V115" s="15"/>
      <c r="W115" s="15" t="s">
        <v>386</v>
      </c>
      <c r="X115" s="15" t="s">
        <v>387</v>
      </c>
      <c r="Y115" s="15" t="s">
        <v>1824</v>
      </c>
      <c r="Z115" s="15" t="s">
        <v>543</v>
      </c>
      <c r="AA115" s="15" t="s">
        <v>2937</v>
      </c>
      <c r="AB115" s="15"/>
      <c r="AC115" s="15"/>
      <c r="AD115" s="15"/>
      <c r="AE115" s="15"/>
      <c r="AF115" s="15"/>
      <c r="AG115" s="15"/>
      <c r="AH115" s="15"/>
      <c r="AI115" s="15"/>
      <c r="AJ115" s="15"/>
      <c r="AK115" s="15"/>
      <c r="AL115" s="15"/>
      <c r="AM115" s="15"/>
      <c r="AN115" s="15"/>
      <c r="AO115" s="15"/>
      <c r="AP115" s="15"/>
      <c r="AQ115" s="15"/>
      <c r="AR115" s="15"/>
      <c r="AS115" s="15"/>
      <c r="AT115" s="15"/>
      <c r="AU115" s="15"/>
      <c r="AV115" s="15" t="s">
        <v>597</v>
      </c>
      <c r="AW115" s="15">
        <v>2.0</v>
      </c>
      <c r="AX115" s="15">
        <v>2.0</v>
      </c>
      <c r="AY115" s="15" t="s">
        <v>391</v>
      </c>
      <c r="AZ115" s="15" t="s">
        <v>391</v>
      </c>
      <c r="BA115" s="15" t="s">
        <v>391</v>
      </c>
      <c r="BB115" s="15" t="s">
        <v>391</v>
      </c>
      <c r="BC115" s="15" t="s">
        <v>2938</v>
      </c>
      <c r="BD115" s="15" t="s">
        <v>2939</v>
      </c>
      <c r="BE115" s="15" t="s">
        <v>902</v>
      </c>
      <c r="BF115" s="15" t="s">
        <v>1095</v>
      </c>
      <c r="BG115" s="15" t="s">
        <v>434</v>
      </c>
      <c r="BH115" s="15"/>
      <c r="BI115" s="15" t="s">
        <v>435</v>
      </c>
      <c r="BJ115" s="15" t="s">
        <v>2940</v>
      </c>
      <c r="BK115" s="15" t="s">
        <v>602</v>
      </c>
      <c r="BL115" s="15" t="s">
        <v>438</v>
      </c>
      <c r="BM115" s="15" t="s">
        <v>1247</v>
      </c>
      <c r="BN115" s="15" t="s">
        <v>513</v>
      </c>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t="s">
        <v>441</v>
      </c>
      <c r="CM115" s="15" t="s">
        <v>604</v>
      </c>
      <c r="CN115" s="15" t="s">
        <v>552</v>
      </c>
      <c r="CO115" s="15" t="s">
        <v>2941</v>
      </c>
      <c r="CP115" s="15" t="s">
        <v>685</v>
      </c>
      <c r="CQ115" s="15" t="s">
        <v>931</v>
      </c>
      <c r="CR115" s="15" t="s">
        <v>447</v>
      </c>
      <c r="CS115" s="15" t="s">
        <v>2942</v>
      </c>
      <c r="CT115" s="15" t="s">
        <v>2943</v>
      </c>
      <c r="CU115" s="15" t="s">
        <v>450</v>
      </c>
      <c r="CV115" s="15" t="s">
        <v>451</v>
      </c>
      <c r="CW115" s="15" t="s">
        <v>2944</v>
      </c>
      <c r="CX115" s="15" t="s">
        <v>408</v>
      </c>
      <c r="CY115" s="15"/>
      <c r="CZ115" s="15" t="s">
        <v>1398</v>
      </c>
      <c r="DA115" s="15" t="s">
        <v>2945</v>
      </c>
      <c r="DB115" s="15" t="s">
        <v>455</v>
      </c>
      <c r="DC115" s="15" t="s">
        <v>2946</v>
      </c>
      <c r="DD115" s="15" t="s">
        <v>406</v>
      </c>
      <c r="DE115" s="15" t="s">
        <v>1368</v>
      </c>
      <c r="DF115" s="15" t="s">
        <v>2947</v>
      </c>
      <c r="DG115" s="15" t="s">
        <v>693</v>
      </c>
      <c r="DH115" s="15" t="s">
        <v>833</v>
      </c>
      <c r="DI115" s="15" t="s">
        <v>459</v>
      </c>
      <c r="DJ115" s="15" t="s">
        <v>1403</v>
      </c>
      <c r="DK115" s="15" t="s">
        <v>461</v>
      </c>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t="s">
        <v>578</v>
      </c>
      <c r="EU115" s="15" t="s">
        <v>479</v>
      </c>
      <c r="EV115" s="15" t="s">
        <v>480</v>
      </c>
      <c r="EW115" s="15"/>
      <c r="EX115" s="15" t="s">
        <v>2948</v>
      </c>
      <c r="EY115" s="15" t="s">
        <v>2949</v>
      </c>
      <c r="EZ115" s="15" t="s">
        <v>414</v>
      </c>
      <c r="FA115" s="15" t="s">
        <v>414</v>
      </c>
      <c r="FB115" s="15" t="s">
        <v>416</v>
      </c>
      <c r="FC115" s="15" t="s">
        <v>416</v>
      </c>
      <c r="FD115" s="15" t="s">
        <v>416</v>
      </c>
      <c r="FE115" s="15" t="s">
        <v>414</v>
      </c>
      <c r="FF115" s="15" t="s">
        <v>415</v>
      </c>
      <c r="FG115" s="15" t="s">
        <v>415</v>
      </c>
      <c r="FH115" s="15" t="s">
        <v>415</v>
      </c>
      <c r="FI115" s="15" t="s">
        <v>415</v>
      </c>
      <c r="FJ115" s="15" t="s">
        <v>416</v>
      </c>
      <c r="FK115" s="15" t="s">
        <v>414</v>
      </c>
      <c r="FL115" s="15" t="s">
        <v>414</v>
      </c>
      <c r="FM115" s="15" t="s">
        <v>415</v>
      </c>
      <c r="FN115" s="15" t="s">
        <v>583</v>
      </c>
      <c r="FO115" s="15" t="s">
        <v>850</v>
      </c>
      <c r="FP115" s="15" t="s">
        <v>418</v>
      </c>
      <c r="FQ115" s="15" t="s">
        <v>531</v>
      </c>
      <c r="FR115" s="15"/>
      <c r="FS115" s="15" t="s">
        <v>995</v>
      </c>
      <c r="FT115" s="15" t="s">
        <v>488</v>
      </c>
      <c r="FU115" s="15" t="s">
        <v>489</v>
      </c>
      <c r="FV115" s="15" t="s">
        <v>490</v>
      </c>
      <c r="FW115" s="15" t="s">
        <v>491</v>
      </c>
      <c r="FX115" s="15" t="s">
        <v>2950</v>
      </c>
      <c r="FY115" s="15" t="s">
        <v>493</v>
      </c>
      <c r="FZ115" s="15"/>
      <c r="GA115" s="15" t="s">
        <v>408</v>
      </c>
      <c r="GB115" s="15" t="s">
        <v>408</v>
      </c>
      <c r="GC115" s="15"/>
      <c r="GD115" s="15"/>
      <c r="GE115" s="15"/>
      <c r="GF115" s="15"/>
      <c r="GG115" s="15" t="s">
        <v>755</v>
      </c>
      <c r="GH115" s="15" t="s">
        <v>755</v>
      </c>
      <c r="GI115" s="15" t="s">
        <v>817</v>
      </c>
      <c r="GJ115" s="15"/>
      <c r="GK115" s="15"/>
      <c r="GL115" s="15"/>
      <c r="GM115" s="15"/>
      <c r="GN115" s="15"/>
      <c r="GO115" s="15"/>
      <c r="GP115" s="15"/>
      <c r="GQ115" s="15"/>
      <c r="GR115" s="15"/>
      <c r="GS115" s="15"/>
      <c r="GT115" s="15"/>
      <c r="GU115" s="15"/>
      <c r="GV115" s="15"/>
      <c r="GW115" s="15"/>
      <c r="GX115" s="15"/>
      <c r="GY115" s="15"/>
      <c r="GZ115" s="15"/>
      <c r="HA115" s="15"/>
      <c r="HB115" s="15"/>
      <c r="HC115" s="15"/>
      <c r="HD115" s="15"/>
      <c r="HE115" s="15"/>
      <c r="HF115" s="15"/>
      <c r="HG115" s="15"/>
      <c r="HH115" s="15"/>
      <c r="HI115" s="15"/>
      <c r="HJ115" s="15"/>
      <c r="HK115" s="15"/>
      <c r="HL115" s="15"/>
      <c r="HM115" s="15"/>
      <c r="HN115" s="15"/>
      <c r="HO115" s="15"/>
      <c r="HP115" s="31"/>
      <c r="MX115" s="29" t="s">
        <v>10402</v>
      </c>
      <c r="MY115" s="29" t="str">
        <f>IFERROR(__xludf.DUMMYFUNCTION("""COMPUTED_VALUE"""),"Tennessee")</f>
        <v>Tennessee</v>
      </c>
    </row>
    <row r="116" ht="16.5" customHeight="1">
      <c r="A116" s="30">
        <v>45828.92868631944</v>
      </c>
      <c r="B116" s="15" t="s">
        <v>368</v>
      </c>
      <c r="C116" s="15" t="s">
        <v>370</v>
      </c>
      <c r="D116" s="15"/>
      <c r="E116" s="15" t="s">
        <v>1562</v>
      </c>
      <c r="F116" s="15"/>
      <c r="G116" s="15" t="s">
        <v>422</v>
      </c>
      <c r="H116" s="15" t="s">
        <v>423</v>
      </c>
      <c r="I116" s="15" t="s">
        <v>424</v>
      </c>
      <c r="J116" s="15" t="s">
        <v>540</v>
      </c>
      <c r="K116" s="15" t="s">
        <v>376</v>
      </c>
      <c r="L116" s="15" t="s">
        <v>426</v>
      </c>
      <c r="M116" s="15" t="s">
        <v>541</v>
      </c>
      <c r="N116" s="15" t="s">
        <v>591</v>
      </c>
      <c r="O116" s="15" t="s">
        <v>671</v>
      </c>
      <c r="P116" s="15" t="s">
        <v>498</v>
      </c>
      <c r="Q116" s="15" t="s">
        <v>499</v>
      </c>
      <c r="R116" s="15" t="s">
        <v>427</v>
      </c>
      <c r="S116" s="15" t="s">
        <v>384</v>
      </c>
      <c r="T116" s="15" t="s">
        <v>385</v>
      </c>
      <c r="U116" s="15"/>
      <c r="V116" s="15"/>
      <c r="W116" s="15" t="s">
        <v>593</v>
      </c>
      <c r="X116" s="15" t="s">
        <v>387</v>
      </c>
      <c r="Y116" s="15" t="s">
        <v>388</v>
      </c>
      <c r="Z116" s="15" t="s">
        <v>502</v>
      </c>
      <c r="AA116" s="15" t="s">
        <v>408</v>
      </c>
      <c r="AB116" s="15"/>
      <c r="AC116" s="15"/>
      <c r="AD116" s="15"/>
      <c r="AE116" s="15"/>
      <c r="AF116" s="15"/>
      <c r="AG116" s="15"/>
      <c r="AH116" s="15"/>
      <c r="AI116" s="15"/>
      <c r="AJ116" s="15"/>
      <c r="AK116" s="15"/>
      <c r="AL116" s="15"/>
      <c r="AM116" s="15"/>
      <c r="AN116" s="15"/>
      <c r="AO116" s="15"/>
      <c r="AP116" s="15"/>
      <c r="AQ116" s="15"/>
      <c r="AR116" s="15"/>
      <c r="AS116" s="15"/>
      <c r="AT116" s="15"/>
      <c r="AU116" s="15"/>
      <c r="AV116" s="15" t="s">
        <v>390</v>
      </c>
      <c r="AW116" s="15" t="s">
        <v>675</v>
      </c>
      <c r="AX116" s="15" t="s">
        <v>391</v>
      </c>
      <c r="AY116" s="15" t="s">
        <v>391</v>
      </c>
      <c r="AZ116" s="15" t="s">
        <v>391</v>
      </c>
      <c r="BA116" s="15" t="s">
        <v>391</v>
      </c>
      <c r="BB116" s="15" t="s">
        <v>391</v>
      </c>
      <c r="BC116" s="15"/>
      <c r="BD116" s="15"/>
      <c r="BE116" s="15"/>
      <c r="BF116" s="15"/>
      <c r="BG116" s="15" t="s">
        <v>678</v>
      </c>
      <c r="BH116" s="15"/>
      <c r="BI116" s="15" t="s">
        <v>976</v>
      </c>
      <c r="BJ116" s="15"/>
      <c r="BK116" s="15" t="s">
        <v>681</v>
      </c>
      <c r="BL116" s="15" t="s">
        <v>512</v>
      </c>
      <c r="BM116" s="15" t="s">
        <v>549</v>
      </c>
      <c r="BN116" s="15" t="s">
        <v>440</v>
      </c>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t="s">
        <v>441</v>
      </c>
      <c r="CM116" s="15" t="s">
        <v>682</v>
      </c>
      <c r="CN116" s="15" t="s">
        <v>2951</v>
      </c>
      <c r="CO116" s="15" t="s">
        <v>2952</v>
      </c>
      <c r="CP116" s="15" t="s">
        <v>685</v>
      </c>
      <c r="CQ116" s="15" t="s">
        <v>1136</v>
      </c>
      <c r="CR116" s="15" t="s">
        <v>447</v>
      </c>
      <c r="CS116" s="15" t="s">
        <v>2520</v>
      </c>
      <c r="CT116" s="15"/>
      <c r="CU116" s="15" t="s">
        <v>450</v>
      </c>
      <c r="CV116" s="15"/>
      <c r="CW116" s="15"/>
      <c r="CX116" s="15" t="s">
        <v>408</v>
      </c>
      <c r="CY116" s="15"/>
      <c r="CZ116" s="15" t="s">
        <v>453</v>
      </c>
      <c r="DA116" s="15"/>
      <c r="DB116" s="15" t="s">
        <v>455</v>
      </c>
      <c r="DC116" s="15" t="s">
        <v>2953</v>
      </c>
      <c r="DD116" s="15" t="s">
        <v>406</v>
      </c>
      <c r="DE116" s="15" t="s">
        <v>1368</v>
      </c>
      <c r="DF116" s="15" t="s">
        <v>2954</v>
      </c>
      <c r="DG116" s="15" t="s">
        <v>524</v>
      </c>
      <c r="DH116" s="15" t="s">
        <v>410</v>
      </c>
      <c r="DI116" s="15" t="s">
        <v>459</v>
      </c>
      <c r="DJ116" s="15" t="s">
        <v>460</v>
      </c>
      <c r="DK116" s="15" t="s">
        <v>461</v>
      </c>
      <c r="DL116" s="15"/>
      <c r="DM116" s="15" t="s">
        <v>2890</v>
      </c>
      <c r="DN116" s="15" t="s">
        <v>2955</v>
      </c>
      <c r="DO116" s="15" t="s">
        <v>2956</v>
      </c>
      <c r="DP116" s="15"/>
      <c r="DQ116" s="15" t="s">
        <v>1578</v>
      </c>
      <c r="DR116" s="15"/>
      <c r="DS116" s="15" t="s">
        <v>468</v>
      </c>
      <c r="DT116" s="15" t="s">
        <v>740</v>
      </c>
      <c r="DU116" s="15"/>
      <c r="DV116" s="15"/>
      <c r="DW116" s="15" t="s">
        <v>622</v>
      </c>
      <c r="DX116" s="15" t="s">
        <v>2957</v>
      </c>
      <c r="DY116" s="15" t="s">
        <v>2958</v>
      </c>
      <c r="DZ116" s="15" t="s">
        <v>2959</v>
      </c>
      <c r="EA116" s="15" t="s">
        <v>2960</v>
      </c>
      <c r="EB116" s="15" t="s">
        <v>626</v>
      </c>
      <c r="EC116" s="15" t="s">
        <v>2961</v>
      </c>
      <c r="ED116" s="15"/>
      <c r="EE116" s="15"/>
      <c r="EF116" s="15"/>
      <c r="EG116" s="15"/>
      <c r="EH116" s="15"/>
      <c r="EI116" s="15"/>
      <c r="EJ116" s="15"/>
      <c r="EK116" s="15"/>
      <c r="EL116" s="15"/>
      <c r="EM116" s="15"/>
      <c r="EN116" s="15"/>
      <c r="EO116" s="15"/>
      <c r="EP116" s="15"/>
      <c r="EQ116" s="15"/>
      <c r="ER116" s="15"/>
      <c r="ES116" s="15"/>
      <c r="ET116" s="15" t="s">
        <v>526</v>
      </c>
      <c r="EU116" s="15" t="s">
        <v>479</v>
      </c>
      <c r="EV116" s="15" t="s">
        <v>663</v>
      </c>
      <c r="EW116" s="15"/>
      <c r="EX116" s="15" t="s">
        <v>2962</v>
      </c>
      <c r="EY116" s="15" t="s">
        <v>2963</v>
      </c>
      <c r="EZ116" s="15" t="s">
        <v>583</v>
      </c>
      <c r="FA116" s="15" t="s">
        <v>583</v>
      </c>
      <c r="FB116" s="15" t="s">
        <v>583</v>
      </c>
      <c r="FC116" s="15" t="s">
        <v>583</v>
      </c>
      <c r="FD116" s="15" t="s">
        <v>484</v>
      </c>
      <c r="FE116" s="15" t="s">
        <v>583</v>
      </c>
      <c r="FF116" s="15" t="s">
        <v>583</v>
      </c>
      <c r="FG116" s="15" t="s">
        <v>413</v>
      </c>
      <c r="FH116" s="15" t="s">
        <v>413</v>
      </c>
      <c r="FI116" s="15" t="s">
        <v>583</v>
      </c>
      <c r="FJ116" s="15" t="s">
        <v>583</v>
      </c>
      <c r="FK116" s="15"/>
      <c r="FL116" s="15" t="s">
        <v>583</v>
      </c>
      <c r="FM116" s="15" t="s">
        <v>413</v>
      </c>
      <c r="FN116" s="15" t="s">
        <v>583</v>
      </c>
      <c r="FO116" s="15" t="s">
        <v>417</v>
      </c>
      <c r="FP116" s="15" t="s">
        <v>418</v>
      </c>
      <c r="FQ116" s="15" t="s">
        <v>419</v>
      </c>
      <c r="FR116" s="15" t="s">
        <v>2964</v>
      </c>
      <c r="FS116" s="15" t="s">
        <v>420</v>
      </c>
      <c r="FT116" s="15" t="s">
        <v>488</v>
      </c>
      <c r="FU116" s="15" t="s">
        <v>533</v>
      </c>
      <c r="FV116" s="15" t="s">
        <v>490</v>
      </c>
      <c r="FW116" s="15" t="s">
        <v>491</v>
      </c>
      <c r="FX116" s="15" t="s">
        <v>2965</v>
      </c>
      <c r="FY116" s="15" t="s">
        <v>535</v>
      </c>
      <c r="FZ116" s="15"/>
      <c r="GA116" s="15"/>
      <c r="GB116" s="15" t="s">
        <v>408</v>
      </c>
      <c r="GC116" s="15"/>
      <c r="GD116" s="15"/>
      <c r="GE116" s="15"/>
      <c r="GF116" s="15"/>
      <c r="GG116" s="15" t="s">
        <v>755</v>
      </c>
      <c r="GH116" s="15" t="s">
        <v>755</v>
      </c>
      <c r="GI116" s="15" t="s">
        <v>946</v>
      </c>
      <c r="GJ116" s="15"/>
      <c r="GK116" s="15"/>
      <c r="GL116" s="15"/>
      <c r="GM116" s="15" t="s">
        <v>1079</v>
      </c>
      <c r="GN116" s="15"/>
      <c r="GO116" s="15"/>
      <c r="GP116" s="15"/>
      <c r="GQ116" s="15"/>
      <c r="GR116" s="15"/>
      <c r="GS116" s="15"/>
      <c r="GT116" s="15"/>
      <c r="GU116" s="15"/>
      <c r="GV116" s="15"/>
      <c r="GW116" s="15"/>
      <c r="GX116" s="15"/>
      <c r="GY116" s="15"/>
      <c r="GZ116" s="15"/>
      <c r="HA116" s="15"/>
      <c r="HB116" s="15"/>
      <c r="HC116" s="15"/>
      <c r="HD116" s="15"/>
      <c r="HE116" s="15"/>
      <c r="HF116" s="15"/>
      <c r="HG116" s="15"/>
      <c r="HH116" s="15"/>
      <c r="HI116" s="15"/>
      <c r="HJ116" s="15"/>
      <c r="HK116" s="15"/>
      <c r="HL116" s="15"/>
      <c r="HM116" s="15"/>
      <c r="HN116" s="15"/>
      <c r="HO116" s="15"/>
      <c r="HP116" s="31"/>
      <c r="MX116" s="29" t="s">
        <v>10402</v>
      </c>
      <c r="MY116" s="29" t="str">
        <f>IFERROR(__xludf.DUMMYFUNCTION("""COMPUTED_VALUE"""),"Michigan")</f>
        <v>Michigan</v>
      </c>
    </row>
    <row r="117" ht="16.5" customHeight="1">
      <c r="A117" s="30">
        <v>45829.0024090625</v>
      </c>
      <c r="B117" s="15" t="s">
        <v>368</v>
      </c>
      <c r="C117" s="15" t="s">
        <v>370</v>
      </c>
      <c r="D117" s="15"/>
      <c r="E117" s="15" t="s">
        <v>1480</v>
      </c>
      <c r="F117" s="15"/>
      <c r="G117" s="15" t="s">
        <v>422</v>
      </c>
      <c r="H117" s="15" t="s">
        <v>373</v>
      </c>
      <c r="I117" s="15" t="s">
        <v>638</v>
      </c>
      <c r="J117" s="15" t="s">
        <v>375</v>
      </c>
      <c r="K117" s="15" t="s">
        <v>376</v>
      </c>
      <c r="L117" s="15" t="s">
        <v>426</v>
      </c>
      <c r="M117" s="15" t="s">
        <v>2966</v>
      </c>
      <c r="N117" s="15" t="s">
        <v>426</v>
      </c>
      <c r="O117" s="15" t="s">
        <v>497</v>
      </c>
      <c r="P117" s="15" t="s">
        <v>1760</v>
      </c>
      <c r="Q117" s="15" t="s">
        <v>499</v>
      </c>
      <c r="R117" s="15" t="s">
        <v>500</v>
      </c>
      <c r="S117" s="15" t="s">
        <v>384</v>
      </c>
      <c r="T117" s="15" t="s">
        <v>385</v>
      </c>
      <c r="U117" s="15"/>
      <c r="V117" s="15"/>
      <c r="W117" s="15" t="s">
        <v>386</v>
      </c>
      <c r="X117" s="15" t="s">
        <v>1706</v>
      </c>
      <c r="Y117" s="15"/>
      <c r="Z117" s="15"/>
      <c r="AA117" s="15"/>
      <c r="AB117" s="15"/>
      <c r="AC117" s="15" t="s">
        <v>2967</v>
      </c>
      <c r="AD117" s="15" t="s">
        <v>2968</v>
      </c>
      <c r="AE117" s="15" t="s">
        <v>1143</v>
      </c>
      <c r="AF117" s="15" t="s">
        <v>2969</v>
      </c>
      <c r="AG117" s="15">
        <v>5.0</v>
      </c>
      <c r="AH117" s="15" t="s">
        <v>1639</v>
      </c>
      <c r="AI117" s="15" t="s">
        <v>2970</v>
      </c>
      <c r="AJ117" s="15" t="s">
        <v>2971</v>
      </c>
      <c r="AK117" s="15" t="s">
        <v>396</v>
      </c>
      <c r="AL117" s="15"/>
      <c r="AM117" s="15"/>
      <c r="AN117" s="15"/>
      <c r="AO117" s="15"/>
      <c r="AP117" s="15"/>
      <c r="AQ117" s="15"/>
      <c r="AR117" s="15"/>
      <c r="AS117" s="15"/>
      <c r="AT117" s="15"/>
      <c r="AU117" s="15"/>
      <c r="AV117" s="15" t="s">
        <v>390</v>
      </c>
      <c r="AW117" s="15" t="s">
        <v>391</v>
      </c>
      <c r="AX117" s="15" t="s">
        <v>391</v>
      </c>
      <c r="AY117" s="15" t="s">
        <v>429</v>
      </c>
      <c r="AZ117" s="15" t="s">
        <v>429</v>
      </c>
      <c r="BA117" s="15">
        <v>2.0</v>
      </c>
      <c r="BB117" s="15" t="s">
        <v>429</v>
      </c>
      <c r="BC117" s="15" t="s">
        <v>2972</v>
      </c>
      <c r="BD117" s="15" t="s">
        <v>2973</v>
      </c>
      <c r="BE117" s="15" t="s">
        <v>392</v>
      </c>
      <c r="BF117" s="15" t="s">
        <v>433</v>
      </c>
      <c r="BG117" s="15" t="s">
        <v>678</v>
      </c>
      <c r="BH117" s="15" t="s">
        <v>2974</v>
      </c>
      <c r="BI117" s="15" t="s">
        <v>509</v>
      </c>
      <c r="BJ117" s="15" t="s">
        <v>2975</v>
      </c>
      <c r="BK117" s="15" t="s">
        <v>511</v>
      </c>
      <c r="BL117" s="15" t="s">
        <v>512</v>
      </c>
      <c r="BM117" s="15" t="s">
        <v>439</v>
      </c>
      <c r="BN117" s="15" t="s">
        <v>513</v>
      </c>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t="s">
        <v>441</v>
      </c>
      <c r="CM117" s="15" t="s">
        <v>604</v>
      </c>
      <c r="CN117" s="15" t="s">
        <v>2976</v>
      </c>
      <c r="CO117" s="15" t="s">
        <v>2977</v>
      </c>
      <c r="CP117" s="15" t="s">
        <v>1008</v>
      </c>
      <c r="CQ117" s="15" t="s">
        <v>2978</v>
      </c>
      <c r="CR117" s="15" t="s">
        <v>804</v>
      </c>
      <c r="CS117" s="15" t="s">
        <v>2979</v>
      </c>
      <c r="CT117" s="15" t="s">
        <v>2980</v>
      </c>
      <c r="CU117" s="15" t="s">
        <v>519</v>
      </c>
      <c r="CV117" s="15" t="s">
        <v>451</v>
      </c>
      <c r="CW117" s="15" t="s">
        <v>2830</v>
      </c>
      <c r="CX117" s="15" t="s">
        <v>408</v>
      </c>
      <c r="CY117" s="15"/>
      <c r="CZ117" s="15" t="s">
        <v>453</v>
      </c>
      <c r="DA117" s="15" t="s">
        <v>2981</v>
      </c>
      <c r="DB117" s="15" t="s">
        <v>455</v>
      </c>
      <c r="DC117" s="15" t="s">
        <v>2982</v>
      </c>
      <c r="DD117" s="15" t="s">
        <v>662</v>
      </c>
      <c r="DE117" s="15"/>
      <c r="DF117" s="15" t="s">
        <v>2983</v>
      </c>
      <c r="DG117" s="15" t="s">
        <v>561</v>
      </c>
      <c r="DH117" s="15" t="s">
        <v>410</v>
      </c>
      <c r="DI117" s="15" t="s">
        <v>459</v>
      </c>
      <c r="DJ117" s="15" t="s">
        <v>613</v>
      </c>
      <c r="DK117" s="15"/>
      <c r="DL117" s="15"/>
      <c r="DM117" s="15"/>
      <c r="DN117" s="15"/>
      <c r="DO117" s="15"/>
      <c r="DP117" s="15"/>
      <c r="DQ117" s="15"/>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t="s">
        <v>526</v>
      </c>
      <c r="EU117" s="15" t="s">
        <v>479</v>
      </c>
      <c r="EV117" s="15" t="s">
        <v>480</v>
      </c>
      <c r="EW117" s="15" t="s">
        <v>2984</v>
      </c>
      <c r="EX117" s="15" t="s">
        <v>2985</v>
      </c>
      <c r="EY117" s="15" t="s">
        <v>2986</v>
      </c>
      <c r="EZ117" s="15" t="s">
        <v>583</v>
      </c>
      <c r="FA117" s="15" t="s">
        <v>583</v>
      </c>
      <c r="FB117" s="15" t="s">
        <v>583</v>
      </c>
      <c r="FC117" s="15" t="s">
        <v>583</v>
      </c>
      <c r="FD117" s="15" t="s">
        <v>414</v>
      </c>
      <c r="FE117" s="15" t="s">
        <v>583</v>
      </c>
      <c r="FF117" s="15" t="s">
        <v>583</v>
      </c>
      <c r="FG117" s="15" t="s">
        <v>414</v>
      </c>
      <c r="FH117" s="15" t="s">
        <v>583</v>
      </c>
      <c r="FI117" s="15" t="s">
        <v>583</v>
      </c>
      <c r="FJ117" s="15" t="s">
        <v>583</v>
      </c>
      <c r="FK117" s="15" t="s">
        <v>414</v>
      </c>
      <c r="FL117" s="15" t="s">
        <v>484</v>
      </c>
      <c r="FM117" s="15" t="s">
        <v>484</v>
      </c>
      <c r="FN117" s="15" t="s">
        <v>583</v>
      </c>
      <c r="FO117" s="15" t="s">
        <v>417</v>
      </c>
      <c r="FP117" s="15" t="s">
        <v>486</v>
      </c>
      <c r="FQ117" s="15" t="s">
        <v>712</v>
      </c>
      <c r="FR117" s="15" t="s">
        <v>2987</v>
      </c>
      <c r="FS117" s="15" t="s">
        <v>420</v>
      </c>
      <c r="FT117" s="15" t="s">
        <v>488</v>
      </c>
      <c r="FU117" s="15" t="s">
        <v>533</v>
      </c>
      <c r="FV117" s="15" t="s">
        <v>490</v>
      </c>
      <c r="FW117" s="15" t="s">
        <v>491</v>
      </c>
      <c r="FX117" s="15" t="s">
        <v>2988</v>
      </c>
      <c r="FY117" s="15" t="s">
        <v>535</v>
      </c>
      <c r="FZ117" s="15" t="s">
        <v>2989</v>
      </c>
      <c r="GA117" s="15"/>
      <c r="GB117" s="15" t="s">
        <v>455</v>
      </c>
      <c r="GC117" s="15"/>
      <c r="GD117" s="15"/>
      <c r="GE117" s="15" t="s">
        <v>944</v>
      </c>
      <c r="GF117" s="15" t="s">
        <v>733</v>
      </c>
      <c r="GG117" s="15" t="s">
        <v>1000</v>
      </c>
      <c r="GH117" s="15" t="s">
        <v>1000</v>
      </c>
      <c r="GI117" s="15" t="s">
        <v>817</v>
      </c>
      <c r="GJ117" s="15"/>
      <c r="GK117" s="15"/>
      <c r="GL117" s="15"/>
      <c r="GM117" s="15"/>
      <c r="GN117" s="15"/>
      <c r="GO117" s="15"/>
      <c r="GP117" s="15"/>
      <c r="GQ117" s="15"/>
      <c r="GR117" s="15"/>
      <c r="GS117" s="15"/>
      <c r="GT117" s="15"/>
      <c r="GU117" s="15"/>
      <c r="GV117" s="15"/>
      <c r="GW117" s="15"/>
      <c r="GX117" s="15"/>
      <c r="GY117" s="15"/>
      <c r="GZ117" s="15"/>
      <c r="HA117" s="15"/>
      <c r="HB117" s="15"/>
      <c r="HC117" s="15"/>
      <c r="HD117" s="15"/>
      <c r="HE117" s="15"/>
      <c r="HF117" s="15"/>
      <c r="HG117" s="15"/>
      <c r="HH117" s="15"/>
      <c r="HI117" s="15"/>
      <c r="HJ117" s="15"/>
      <c r="HK117" s="15"/>
      <c r="HL117" s="15"/>
      <c r="HM117" s="15"/>
      <c r="HN117" s="15"/>
      <c r="HO117" s="15"/>
      <c r="HP117" s="31"/>
      <c r="MX117" s="29" t="s">
        <v>10402</v>
      </c>
      <c r="MY117" s="29" t="str">
        <f>IFERROR(__xludf.DUMMYFUNCTION("""COMPUTED_VALUE"""),"Pennsylvania")</f>
        <v>Pennsylvania</v>
      </c>
    </row>
    <row r="118" ht="16.5" customHeight="1">
      <c r="A118" s="30">
        <v>45829.01592366898</v>
      </c>
      <c r="B118" s="15" t="s">
        <v>368</v>
      </c>
      <c r="C118" s="15" t="s">
        <v>370</v>
      </c>
      <c r="D118" s="15"/>
      <c r="E118" s="15" t="s">
        <v>791</v>
      </c>
      <c r="F118" s="15"/>
      <c r="G118" s="15" t="s">
        <v>1093</v>
      </c>
      <c r="H118" s="15" t="s">
        <v>1203</v>
      </c>
      <c r="I118" s="15" t="s">
        <v>638</v>
      </c>
      <c r="J118" s="15" t="s">
        <v>1023</v>
      </c>
      <c r="K118" s="15" t="s">
        <v>376</v>
      </c>
      <c r="L118" s="15" t="s">
        <v>1526</v>
      </c>
      <c r="M118" s="15" t="s">
        <v>1024</v>
      </c>
      <c r="N118" s="15" t="s">
        <v>396</v>
      </c>
      <c r="O118" s="15" t="s">
        <v>1024</v>
      </c>
      <c r="P118" s="15" t="s">
        <v>498</v>
      </c>
      <c r="Q118" s="15" t="s">
        <v>759</v>
      </c>
      <c r="R118" s="15" t="s">
        <v>427</v>
      </c>
      <c r="S118" s="15" t="s">
        <v>384</v>
      </c>
      <c r="T118" s="15" t="s">
        <v>385</v>
      </c>
      <c r="U118" s="15"/>
      <c r="V118" s="15"/>
      <c r="W118" s="15" t="s">
        <v>1023</v>
      </c>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t="s">
        <v>597</v>
      </c>
      <c r="AW118" s="15" t="s">
        <v>391</v>
      </c>
      <c r="AX118" s="15" t="s">
        <v>391</v>
      </c>
      <c r="AY118" s="15" t="s">
        <v>391</v>
      </c>
      <c r="AZ118" s="15"/>
      <c r="BA118" s="15">
        <v>2.0</v>
      </c>
      <c r="BB118" s="15">
        <v>2.0</v>
      </c>
      <c r="BC118" s="15" t="s">
        <v>2990</v>
      </c>
      <c r="BD118" s="15" t="s">
        <v>2991</v>
      </c>
      <c r="BE118" s="15" t="s">
        <v>1094</v>
      </c>
      <c r="BF118" s="15"/>
      <c r="BG118" s="15" t="s">
        <v>678</v>
      </c>
      <c r="BH118" s="15"/>
      <c r="BI118" s="15" t="s">
        <v>824</v>
      </c>
      <c r="BJ118" s="15"/>
      <c r="BK118" s="15" t="s">
        <v>511</v>
      </c>
      <c r="BL118" s="15" t="s">
        <v>396</v>
      </c>
      <c r="BM118" s="15" t="s">
        <v>549</v>
      </c>
      <c r="BN118" s="15" t="s">
        <v>513</v>
      </c>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t="s">
        <v>441</v>
      </c>
      <c r="CM118" s="15" t="s">
        <v>604</v>
      </c>
      <c r="CN118" s="15" t="s">
        <v>2992</v>
      </c>
      <c r="CO118" s="15" t="s">
        <v>2993</v>
      </c>
      <c r="CP118" s="15" t="s">
        <v>979</v>
      </c>
      <c r="CQ118" s="15" t="s">
        <v>2994</v>
      </c>
      <c r="CR118" s="15" t="s">
        <v>404</v>
      </c>
      <c r="CS118" s="15" t="s">
        <v>1032</v>
      </c>
      <c r="CT118" s="15" t="s">
        <v>2995</v>
      </c>
      <c r="CU118" s="15" t="s">
        <v>450</v>
      </c>
      <c r="CV118" s="15" t="s">
        <v>451</v>
      </c>
      <c r="CW118" s="15"/>
      <c r="CX118" s="15" t="s">
        <v>733</v>
      </c>
      <c r="CY118" s="15"/>
      <c r="CZ118" s="15" t="s">
        <v>453</v>
      </c>
      <c r="DA118" s="15" t="s">
        <v>2996</v>
      </c>
      <c r="DB118" s="15" t="s">
        <v>913</v>
      </c>
      <c r="DC118" s="15"/>
      <c r="DD118" s="15" t="s">
        <v>406</v>
      </c>
      <c r="DE118" s="15" t="s">
        <v>407</v>
      </c>
      <c r="DF118" s="15"/>
      <c r="DG118" s="15" t="s">
        <v>524</v>
      </c>
      <c r="DH118" s="15" t="s">
        <v>410</v>
      </c>
      <c r="DI118" s="15" t="s">
        <v>459</v>
      </c>
      <c r="DJ118" s="15" t="s">
        <v>613</v>
      </c>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t="s">
        <v>526</v>
      </c>
      <c r="EU118" s="15" t="s">
        <v>1037</v>
      </c>
      <c r="EV118" s="15" t="s">
        <v>580</v>
      </c>
      <c r="EW118" s="15"/>
      <c r="EX118" s="15"/>
      <c r="EY118" s="15"/>
      <c r="EZ118" s="15" t="s">
        <v>415</v>
      </c>
      <c r="FA118" s="15" t="s">
        <v>415</v>
      </c>
      <c r="FB118" s="15" t="s">
        <v>416</v>
      </c>
      <c r="FC118" s="15" t="s">
        <v>583</v>
      </c>
      <c r="FD118" s="15" t="s">
        <v>413</v>
      </c>
      <c r="FE118" s="15" t="s">
        <v>414</v>
      </c>
      <c r="FF118" s="15" t="s">
        <v>416</v>
      </c>
      <c r="FG118" s="15" t="s">
        <v>414</v>
      </c>
      <c r="FH118" s="15" t="s">
        <v>583</v>
      </c>
      <c r="FI118" s="15" t="s">
        <v>583</v>
      </c>
      <c r="FJ118" s="15" t="s">
        <v>415</v>
      </c>
      <c r="FK118" s="15" t="s">
        <v>413</v>
      </c>
      <c r="FL118" s="15" t="s">
        <v>415</v>
      </c>
      <c r="FM118" s="15" t="s">
        <v>416</v>
      </c>
      <c r="FN118" s="15" t="s">
        <v>415</v>
      </c>
      <c r="FO118" s="15" t="s">
        <v>417</v>
      </c>
      <c r="FP118" s="15" t="s">
        <v>418</v>
      </c>
      <c r="FQ118" s="15" t="s">
        <v>419</v>
      </c>
      <c r="FR118" s="15"/>
      <c r="FS118" s="15" t="s">
        <v>1871</v>
      </c>
      <c r="FT118" s="15" t="s">
        <v>488</v>
      </c>
      <c r="FU118" s="15" t="s">
        <v>533</v>
      </c>
      <c r="FV118" s="15" t="s">
        <v>490</v>
      </c>
      <c r="FW118" s="15"/>
      <c r="FX118" s="15"/>
      <c r="FY118" s="15"/>
      <c r="FZ118" s="15"/>
      <c r="GA118" s="15"/>
      <c r="GB118" s="15" t="s">
        <v>408</v>
      </c>
      <c r="GC118" s="15"/>
      <c r="GD118" s="15"/>
      <c r="GE118" s="15"/>
      <c r="GF118" s="15"/>
      <c r="GG118" s="15" t="s">
        <v>1000</v>
      </c>
      <c r="GH118" s="15" t="s">
        <v>1000</v>
      </c>
      <c r="GI118" s="15" t="s">
        <v>790</v>
      </c>
      <c r="GJ118" s="15"/>
      <c r="GK118" s="15"/>
      <c r="GL118" s="15"/>
      <c r="GM118" s="15"/>
      <c r="GN118" s="15"/>
      <c r="GO118" s="15"/>
      <c r="GP118" s="15"/>
      <c r="GQ118" s="15"/>
      <c r="GR118" s="15"/>
      <c r="GS118" s="15"/>
      <c r="GT118" s="15"/>
      <c r="GU118" s="15"/>
      <c r="GV118" s="15"/>
      <c r="GW118" s="15"/>
      <c r="GX118" s="15"/>
      <c r="GY118" s="15"/>
      <c r="GZ118" s="15"/>
      <c r="HA118" s="15"/>
      <c r="HB118" s="15"/>
      <c r="HC118" s="15"/>
      <c r="HD118" s="15"/>
      <c r="HE118" s="15"/>
      <c r="HF118" s="15"/>
      <c r="HG118" s="15"/>
      <c r="HH118" s="15"/>
      <c r="HI118" s="15"/>
      <c r="HJ118" s="15"/>
      <c r="HK118" s="15"/>
      <c r="HL118" s="15"/>
      <c r="HM118" s="15"/>
      <c r="HN118" s="15"/>
      <c r="HO118" s="15"/>
      <c r="HP118" s="31"/>
      <c r="MX118" s="29" t="s">
        <v>538</v>
      </c>
      <c r="MY118" s="29" t="str">
        <f>IFERROR(__xludf.DUMMYFUNCTION("""COMPUTED_VALUE"""),"United Kingdom")</f>
        <v>United Kingdom</v>
      </c>
    </row>
    <row r="119" ht="16.5" customHeight="1">
      <c r="A119" s="30">
        <v>45829.15104336805</v>
      </c>
      <c r="B119" s="15" t="s">
        <v>368</v>
      </c>
      <c r="C119" s="15" t="s">
        <v>538</v>
      </c>
      <c r="D119" s="15" t="s">
        <v>538</v>
      </c>
      <c r="E119" s="15"/>
      <c r="F119" s="15"/>
      <c r="G119" s="15" t="s">
        <v>2295</v>
      </c>
      <c r="H119" s="15" t="s">
        <v>373</v>
      </c>
      <c r="I119" s="15" t="s">
        <v>374</v>
      </c>
      <c r="J119" s="15" t="s">
        <v>718</v>
      </c>
      <c r="K119" s="15" t="s">
        <v>376</v>
      </c>
      <c r="L119" s="15" t="s">
        <v>379</v>
      </c>
      <c r="M119" s="15" t="s">
        <v>2997</v>
      </c>
      <c r="N119" s="15" t="s">
        <v>426</v>
      </c>
      <c r="O119" s="15" t="s">
        <v>2998</v>
      </c>
      <c r="P119" s="15" t="s">
        <v>1760</v>
      </c>
      <c r="Q119" s="15" t="s">
        <v>862</v>
      </c>
      <c r="R119" s="15" t="s">
        <v>500</v>
      </c>
      <c r="S119" s="15" t="s">
        <v>384</v>
      </c>
      <c r="T119" s="15" t="s">
        <v>385</v>
      </c>
      <c r="U119" s="15"/>
      <c r="V119" s="15"/>
      <c r="W119" s="15" t="s">
        <v>386</v>
      </c>
      <c r="X119" s="15" t="s">
        <v>387</v>
      </c>
      <c r="Y119" s="15" t="s">
        <v>542</v>
      </c>
      <c r="Z119" s="15" t="s">
        <v>389</v>
      </c>
      <c r="AA119" s="15" t="s">
        <v>1915</v>
      </c>
      <c r="AB119" s="15"/>
      <c r="AC119" s="15"/>
      <c r="AD119" s="15"/>
      <c r="AE119" s="15"/>
      <c r="AF119" s="15"/>
      <c r="AG119" s="15"/>
      <c r="AH119" s="15"/>
      <c r="AI119" s="15"/>
      <c r="AJ119" s="15"/>
      <c r="AK119" s="15"/>
      <c r="AL119" s="15"/>
      <c r="AM119" s="15"/>
      <c r="AN119" s="15"/>
      <c r="AO119" s="15"/>
      <c r="AP119" s="15"/>
      <c r="AQ119" s="15"/>
      <c r="AR119" s="15"/>
      <c r="AS119" s="15"/>
      <c r="AT119" s="15"/>
      <c r="AU119" s="15"/>
      <c r="AV119" s="15" t="s">
        <v>390</v>
      </c>
      <c r="AW119" s="15">
        <v>2.0</v>
      </c>
      <c r="AX119" s="15">
        <v>2.0</v>
      </c>
      <c r="AY119" s="15" t="s">
        <v>675</v>
      </c>
      <c r="AZ119" s="15" t="s">
        <v>429</v>
      </c>
      <c r="BA119" s="15">
        <v>2.0</v>
      </c>
      <c r="BB119" s="15" t="s">
        <v>391</v>
      </c>
      <c r="BC119" s="15" t="s">
        <v>1080</v>
      </c>
      <c r="BD119" s="15" t="s">
        <v>2999</v>
      </c>
      <c r="BE119" s="15" t="s">
        <v>432</v>
      </c>
      <c r="BF119" s="15" t="s">
        <v>433</v>
      </c>
      <c r="BG119" s="15" t="s">
        <v>678</v>
      </c>
      <c r="BH119" s="15" t="s">
        <v>3000</v>
      </c>
      <c r="BI119" s="15" t="s">
        <v>509</v>
      </c>
      <c r="BJ119" s="15" t="s">
        <v>3001</v>
      </c>
      <c r="BK119" s="15" t="s">
        <v>602</v>
      </c>
      <c r="BL119" s="15" t="s">
        <v>512</v>
      </c>
      <c r="BM119" s="15" t="s">
        <v>549</v>
      </c>
      <c r="BN119" s="15" t="s">
        <v>513</v>
      </c>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t="s">
        <v>441</v>
      </c>
      <c r="CM119" s="15" t="s">
        <v>401</v>
      </c>
      <c r="CN119" s="15" t="s">
        <v>552</v>
      </c>
      <c r="CO119" s="15" t="s">
        <v>3002</v>
      </c>
      <c r="CP119" s="15" t="s">
        <v>979</v>
      </c>
      <c r="CQ119" s="15" t="s">
        <v>1568</v>
      </c>
      <c r="CR119" s="15" t="s">
        <v>555</v>
      </c>
      <c r="CS119" s="15" t="s">
        <v>1032</v>
      </c>
      <c r="CT119" s="15" t="s">
        <v>3003</v>
      </c>
      <c r="CU119" s="15" t="s">
        <v>450</v>
      </c>
      <c r="CV119" s="15" t="s">
        <v>451</v>
      </c>
      <c r="CW119" s="15" t="s">
        <v>3004</v>
      </c>
      <c r="CX119" s="15" t="s">
        <v>408</v>
      </c>
      <c r="CY119" s="15" t="s">
        <v>3005</v>
      </c>
      <c r="CZ119" s="15" t="s">
        <v>453</v>
      </c>
      <c r="DA119" s="15" t="s">
        <v>3006</v>
      </c>
      <c r="DB119" s="15" t="s">
        <v>408</v>
      </c>
      <c r="DC119" s="15"/>
      <c r="DD119" s="15" t="s">
        <v>457</v>
      </c>
      <c r="DE119" s="15"/>
      <c r="DF119" s="15" t="s">
        <v>3007</v>
      </c>
      <c r="DG119" s="15" t="s">
        <v>776</v>
      </c>
      <c r="DH119" s="15" t="s">
        <v>410</v>
      </c>
      <c r="DI119" s="15" t="s">
        <v>459</v>
      </c>
      <c r="DJ119" s="15" t="s">
        <v>460</v>
      </c>
      <c r="DK119" s="15" t="s">
        <v>461</v>
      </c>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t="s">
        <v>2747</v>
      </c>
      <c r="EU119" s="15" t="s">
        <v>479</v>
      </c>
      <c r="EV119" s="15" t="s">
        <v>663</v>
      </c>
      <c r="EW119" s="15"/>
      <c r="EX119" s="15" t="s">
        <v>3008</v>
      </c>
      <c r="EY119" s="15" t="s">
        <v>3009</v>
      </c>
      <c r="EZ119" s="15" t="s">
        <v>583</v>
      </c>
      <c r="FA119" s="15" t="s">
        <v>583</v>
      </c>
      <c r="FB119" s="15" t="s">
        <v>413</v>
      </c>
      <c r="FC119" s="15" t="s">
        <v>583</v>
      </c>
      <c r="FD119" s="15" t="s">
        <v>415</v>
      </c>
      <c r="FE119" s="15" t="s">
        <v>583</v>
      </c>
      <c r="FF119" s="15" t="s">
        <v>415</v>
      </c>
      <c r="FG119" s="15" t="s">
        <v>415</v>
      </c>
      <c r="FH119" s="15" t="s">
        <v>583</v>
      </c>
      <c r="FI119" s="15" t="s">
        <v>583</v>
      </c>
      <c r="FJ119" s="15" t="s">
        <v>583</v>
      </c>
      <c r="FK119" s="15" t="s">
        <v>415</v>
      </c>
      <c r="FL119" s="15" t="s">
        <v>415</v>
      </c>
      <c r="FM119" s="15" t="s">
        <v>415</v>
      </c>
      <c r="FN119" s="15" t="s">
        <v>415</v>
      </c>
      <c r="FO119" s="15" t="s">
        <v>417</v>
      </c>
      <c r="FP119" s="15" t="s">
        <v>418</v>
      </c>
      <c r="FQ119" s="15" t="s">
        <v>1039</v>
      </c>
      <c r="FR119" s="15"/>
      <c r="FS119" s="15" t="s">
        <v>420</v>
      </c>
      <c r="FT119" s="15" t="s">
        <v>1462</v>
      </c>
      <c r="FU119" s="15" t="s">
        <v>1235</v>
      </c>
      <c r="FV119" s="15" t="s">
        <v>490</v>
      </c>
      <c r="FW119" s="15" t="s">
        <v>491</v>
      </c>
      <c r="FX119" s="15" t="s">
        <v>3010</v>
      </c>
      <c r="FY119" s="15" t="s">
        <v>535</v>
      </c>
      <c r="FZ119" s="15" t="s">
        <v>3011</v>
      </c>
      <c r="GA119" s="15"/>
      <c r="GB119" s="15" t="s">
        <v>408</v>
      </c>
      <c r="GC119" s="15"/>
      <c r="GD119" s="15"/>
      <c r="GE119" s="15"/>
      <c r="GF119" s="15"/>
      <c r="GG119" s="15" t="s">
        <v>788</v>
      </c>
      <c r="GH119" s="15" t="s">
        <v>755</v>
      </c>
      <c r="GI119" s="15" t="s">
        <v>817</v>
      </c>
      <c r="GJ119" s="15"/>
      <c r="GK119" s="15"/>
      <c r="GL119" s="15"/>
      <c r="GM119" s="15"/>
      <c r="GN119" s="15" t="s">
        <v>3012</v>
      </c>
      <c r="GO119" s="15" t="s">
        <v>3012</v>
      </c>
      <c r="GP119" s="15"/>
      <c r="GQ119" s="15"/>
      <c r="GR119" s="15"/>
      <c r="GS119" s="15"/>
      <c r="GT119" s="15"/>
      <c r="GU119" s="15"/>
      <c r="GV119" s="15"/>
      <c r="GW119" s="15"/>
      <c r="GX119" s="15"/>
      <c r="GY119" s="15"/>
      <c r="GZ119" s="15"/>
      <c r="HA119" s="15"/>
      <c r="HB119" s="15"/>
      <c r="HC119" s="15"/>
      <c r="HD119" s="15"/>
      <c r="HE119" s="15"/>
      <c r="HF119" s="15"/>
      <c r="HG119" s="15"/>
      <c r="HH119" s="15"/>
      <c r="HI119" s="15"/>
      <c r="HJ119" s="15"/>
      <c r="HK119" s="15"/>
      <c r="HL119" s="15"/>
      <c r="HM119" s="15"/>
      <c r="HN119" s="15"/>
      <c r="HO119" s="15"/>
      <c r="HP119" s="31"/>
      <c r="MX119" s="29" t="s">
        <v>3013</v>
      </c>
      <c r="MY119" s="29" t="str">
        <f>IFERROR(__xludf.DUMMYFUNCTION("""COMPUTED_VALUE"""),"Other / Not listed (please specify)")</f>
        <v>Other / Not listed (please specify)</v>
      </c>
    </row>
    <row r="120" ht="16.5" customHeight="1">
      <c r="A120" s="30">
        <v>45829.217301041666</v>
      </c>
      <c r="B120" s="15" t="s">
        <v>368</v>
      </c>
      <c r="C120" s="15" t="s">
        <v>3013</v>
      </c>
      <c r="D120" s="15" t="s">
        <v>894</v>
      </c>
      <c r="E120" s="15"/>
      <c r="F120" s="15"/>
      <c r="G120" s="15" t="s">
        <v>422</v>
      </c>
      <c r="H120" s="15" t="s">
        <v>373</v>
      </c>
      <c r="I120" s="15" t="s">
        <v>638</v>
      </c>
      <c r="J120" s="15" t="s">
        <v>375</v>
      </c>
      <c r="K120" s="15" t="s">
        <v>376</v>
      </c>
      <c r="L120" s="15" t="s">
        <v>591</v>
      </c>
      <c r="M120" s="15" t="s">
        <v>639</v>
      </c>
      <c r="N120" s="15" t="s">
        <v>379</v>
      </c>
      <c r="O120" s="15" t="s">
        <v>497</v>
      </c>
      <c r="P120" s="15" t="s">
        <v>498</v>
      </c>
      <c r="Q120" s="15" t="s">
        <v>382</v>
      </c>
      <c r="R120" s="15" t="s">
        <v>949</v>
      </c>
      <c r="S120" s="15" t="s">
        <v>384</v>
      </c>
      <c r="T120" s="15" t="s">
        <v>385</v>
      </c>
      <c r="U120" s="15"/>
      <c r="V120" s="15" t="s">
        <v>896</v>
      </c>
      <c r="W120" s="15" t="s">
        <v>3014</v>
      </c>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t="s">
        <v>390</v>
      </c>
      <c r="AW120" s="15">
        <v>4.0</v>
      </c>
      <c r="AX120" s="15" t="s">
        <v>391</v>
      </c>
      <c r="AY120" s="15">
        <v>4.0</v>
      </c>
      <c r="AZ120" s="15" t="s">
        <v>675</v>
      </c>
      <c r="BA120" s="15">
        <v>4.0</v>
      </c>
      <c r="BB120" s="15" t="s">
        <v>391</v>
      </c>
      <c r="BC120" s="15" t="s">
        <v>3015</v>
      </c>
      <c r="BD120" s="15" t="s">
        <v>3016</v>
      </c>
      <c r="BE120" s="15" t="s">
        <v>392</v>
      </c>
      <c r="BF120" s="15" t="s">
        <v>1095</v>
      </c>
      <c r="BG120" s="15" t="s">
        <v>394</v>
      </c>
      <c r="BH120" s="15"/>
      <c r="BI120" s="15" t="s">
        <v>435</v>
      </c>
      <c r="BJ120" s="15" t="s">
        <v>3017</v>
      </c>
      <c r="BK120" s="15" t="s">
        <v>602</v>
      </c>
      <c r="BL120" s="15" t="s">
        <v>438</v>
      </c>
      <c r="BM120" s="15" t="s">
        <v>549</v>
      </c>
      <c r="BN120" s="15" t="s">
        <v>398</v>
      </c>
      <c r="BO120" s="15" t="s">
        <v>3018</v>
      </c>
      <c r="BP120" s="15" t="s">
        <v>3019</v>
      </c>
      <c r="BQ120" s="15" t="s">
        <v>604</v>
      </c>
      <c r="BR120" s="15" t="s">
        <v>3020</v>
      </c>
      <c r="BS120" s="15" t="s">
        <v>1741</v>
      </c>
      <c r="BT120" s="15" t="s">
        <v>1672</v>
      </c>
      <c r="BU120" s="15" t="s">
        <v>1693</v>
      </c>
      <c r="BV120" s="15" t="s">
        <v>3021</v>
      </c>
      <c r="BW120" s="15" t="s">
        <v>988</v>
      </c>
      <c r="BX120" s="15"/>
      <c r="BY120" s="15" t="s">
        <v>408</v>
      </c>
      <c r="BZ120" s="15"/>
      <c r="CA120" s="15" t="s">
        <v>3022</v>
      </c>
      <c r="CB120" s="15" t="s">
        <v>3023</v>
      </c>
      <c r="CC120" s="15" t="s">
        <v>3015</v>
      </c>
      <c r="CD120" s="15" t="s">
        <v>451</v>
      </c>
      <c r="CE120" s="15" t="s">
        <v>3024</v>
      </c>
      <c r="CF120" s="15" t="s">
        <v>1697</v>
      </c>
      <c r="CG120" s="15"/>
      <c r="CH120" s="15" t="s">
        <v>1679</v>
      </c>
      <c r="CI120" s="15" t="s">
        <v>1220</v>
      </c>
      <c r="CJ120" s="15" t="s">
        <v>3025</v>
      </c>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15"/>
      <c r="ES120" s="15"/>
      <c r="ET120" s="15" t="s">
        <v>478</v>
      </c>
      <c r="EU120" s="15" t="s">
        <v>887</v>
      </c>
      <c r="EV120" s="15" t="s">
        <v>663</v>
      </c>
      <c r="EW120" s="15"/>
      <c r="EX120" s="15"/>
      <c r="EY120" s="15"/>
      <c r="EZ120" s="15" t="s">
        <v>413</v>
      </c>
      <c r="FA120" s="15" t="s">
        <v>415</v>
      </c>
      <c r="FB120" s="15" t="s">
        <v>413</v>
      </c>
      <c r="FC120" s="15" t="s">
        <v>415</v>
      </c>
      <c r="FD120" s="15" t="s">
        <v>413</v>
      </c>
      <c r="FE120" s="15" t="s">
        <v>415</v>
      </c>
      <c r="FF120" s="15" t="s">
        <v>415</v>
      </c>
      <c r="FG120" s="15" t="s">
        <v>415</v>
      </c>
      <c r="FH120" s="15" t="s">
        <v>583</v>
      </c>
      <c r="FI120" s="15" t="s">
        <v>414</v>
      </c>
      <c r="FJ120" s="15" t="s">
        <v>415</v>
      </c>
      <c r="FK120" s="15" t="s">
        <v>414</v>
      </c>
      <c r="FL120" s="15" t="s">
        <v>414</v>
      </c>
      <c r="FM120" s="15" t="s">
        <v>415</v>
      </c>
      <c r="FN120" s="15" t="s">
        <v>415</v>
      </c>
      <c r="FO120" s="15" t="s">
        <v>850</v>
      </c>
      <c r="FP120" s="15" t="s">
        <v>2651</v>
      </c>
      <c r="FQ120" s="15" t="s">
        <v>712</v>
      </c>
      <c r="FR120" s="15"/>
      <c r="FS120" s="15" t="s">
        <v>420</v>
      </c>
      <c r="FT120" s="15" t="s">
        <v>1476</v>
      </c>
      <c r="FU120" s="15" t="s">
        <v>918</v>
      </c>
      <c r="FV120" s="15" t="s">
        <v>490</v>
      </c>
      <c r="FW120" s="15" t="s">
        <v>491</v>
      </c>
      <c r="FX120" s="15"/>
      <c r="FY120" s="15" t="s">
        <v>1854</v>
      </c>
      <c r="FZ120" s="15" t="s">
        <v>3026</v>
      </c>
      <c r="GA120" s="15"/>
      <c r="GB120" s="15" t="s">
        <v>455</v>
      </c>
      <c r="GC120" s="15"/>
      <c r="GD120" s="15"/>
      <c r="GE120" s="15" t="s">
        <v>753</v>
      </c>
      <c r="GF120" s="15"/>
      <c r="GG120" s="15"/>
      <c r="GH120" s="15"/>
      <c r="GI120" s="15"/>
      <c r="GJ120" s="15"/>
      <c r="GK120" s="15" t="s">
        <v>1000</v>
      </c>
      <c r="GL120" s="15" t="s">
        <v>817</v>
      </c>
      <c r="GM120" s="15"/>
      <c r="GN120" s="15" t="s">
        <v>894</v>
      </c>
      <c r="GO120" s="15"/>
      <c r="GP120" s="15"/>
      <c r="GQ120" s="15"/>
      <c r="GR120" s="15"/>
      <c r="GS120" s="15"/>
      <c r="GT120" s="15"/>
      <c r="GU120" s="15"/>
      <c r="GV120" s="15"/>
      <c r="GW120" s="15"/>
      <c r="GX120" s="15"/>
      <c r="GY120" s="15"/>
      <c r="GZ120" s="15"/>
      <c r="HA120" s="15"/>
      <c r="HB120" s="15"/>
      <c r="HC120" s="15"/>
      <c r="HD120" s="15"/>
      <c r="HE120" s="15"/>
      <c r="HF120" s="15"/>
      <c r="HG120" s="15"/>
      <c r="HH120" s="15"/>
      <c r="HI120" s="15"/>
      <c r="HJ120" s="15"/>
      <c r="HK120" s="15"/>
      <c r="HL120" s="15"/>
      <c r="HM120" s="15"/>
      <c r="HN120" s="15"/>
      <c r="HO120" s="15"/>
      <c r="HP120" s="31"/>
      <c r="MX120" s="29" t="s">
        <v>10402</v>
      </c>
      <c r="MY120" s="29" t="str">
        <f>IFERROR(__xludf.DUMMYFUNCTION("""COMPUTED_VALUE"""),"California")</f>
        <v>California</v>
      </c>
    </row>
    <row r="121" ht="16.5" customHeight="1">
      <c r="A121" s="30">
        <v>45829.25204303241</v>
      </c>
      <c r="B121" s="15" t="s">
        <v>368</v>
      </c>
      <c r="C121" s="15" t="s">
        <v>370</v>
      </c>
      <c r="D121" s="15"/>
      <c r="E121" s="15" t="s">
        <v>371</v>
      </c>
      <c r="F121" s="15"/>
      <c r="G121" s="15" t="s">
        <v>372</v>
      </c>
      <c r="H121" s="15" t="s">
        <v>373</v>
      </c>
      <c r="I121" s="15" t="s">
        <v>374</v>
      </c>
      <c r="J121" s="15" t="s">
        <v>758</v>
      </c>
      <c r="K121" s="15" t="s">
        <v>376</v>
      </c>
      <c r="L121" s="15" t="s">
        <v>377</v>
      </c>
      <c r="M121" s="15" t="s">
        <v>3027</v>
      </c>
      <c r="N121" s="15" t="s">
        <v>377</v>
      </c>
      <c r="O121" s="15" t="s">
        <v>1196</v>
      </c>
      <c r="P121" s="15" t="s">
        <v>381</v>
      </c>
      <c r="Q121" s="15" t="s">
        <v>862</v>
      </c>
      <c r="R121" s="15" t="s">
        <v>949</v>
      </c>
      <c r="S121" s="15" t="s">
        <v>384</v>
      </c>
      <c r="T121" s="15" t="s">
        <v>385</v>
      </c>
      <c r="U121" s="15"/>
      <c r="V121" s="15"/>
      <c r="W121" s="15" t="s">
        <v>3014</v>
      </c>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t="s">
        <v>1310</v>
      </c>
      <c r="AW121" s="15" t="s">
        <v>391</v>
      </c>
      <c r="AX121" s="15" t="s">
        <v>391</v>
      </c>
      <c r="AY121" s="15" t="s">
        <v>391</v>
      </c>
      <c r="AZ121" s="15" t="s">
        <v>391</v>
      </c>
      <c r="BA121" s="15" t="s">
        <v>391</v>
      </c>
      <c r="BB121" s="15" t="s">
        <v>391</v>
      </c>
      <c r="BC121" s="15" t="s">
        <v>3028</v>
      </c>
      <c r="BD121" s="15" t="s">
        <v>3029</v>
      </c>
      <c r="BE121" s="15" t="s">
        <v>432</v>
      </c>
      <c r="BF121" s="15" t="s">
        <v>1095</v>
      </c>
      <c r="BG121" s="15" t="s">
        <v>394</v>
      </c>
      <c r="BH121" s="15" t="s">
        <v>3030</v>
      </c>
      <c r="BI121" s="15" t="s">
        <v>435</v>
      </c>
      <c r="BJ121" s="15" t="s">
        <v>3031</v>
      </c>
      <c r="BK121" s="15" t="s">
        <v>681</v>
      </c>
      <c r="BL121" s="15" t="s">
        <v>603</v>
      </c>
      <c r="BM121" s="15" t="s">
        <v>1247</v>
      </c>
      <c r="BN121" s="15" t="s">
        <v>398</v>
      </c>
      <c r="BO121" s="15" t="s">
        <v>3032</v>
      </c>
      <c r="BP121" s="15"/>
      <c r="BQ121" s="15" t="s">
        <v>442</v>
      </c>
      <c r="BR121" s="15" t="s">
        <v>1740</v>
      </c>
      <c r="BS121" s="15" t="s">
        <v>1741</v>
      </c>
      <c r="BT121" s="15" t="s">
        <v>1672</v>
      </c>
      <c r="BU121" s="15" t="s">
        <v>1772</v>
      </c>
      <c r="BV121" s="15" t="s">
        <v>3033</v>
      </c>
      <c r="BW121" s="15" t="s">
        <v>988</v>
      </c>
      <c r="BX121" s="15" t="s">
        <v>407</v>
      </c>
      <c r="BY121" s="15" t="s">
        <v>408</v>
      </c>
      <c r="BZ121" s="15"/>
      <c r="CA121" s="15"/>
      <c r="CB121" s="15" t="s">
        <v>3034</v>
      </c>
      <c r="CC121" s="15" t="s">
        <v>3035</v>
      </c>
      <c r="CD121" s="15" t="s">
        <v>451</v>
      </c>
      <c r="CE121" s="15" t="s">
        <v>3036</v>
      </c>
      <c r="CF121" s="15" t="s">
        <v>1749</v>
      </c>
      <c r="CG121" s="15" t="s">
        <v>3037</v>
      </c>
      <c r="CH121" s="15" t="s">
        <v>1751</v>
      </c>
      <c r="CI121" s="15" t="s">
        <v>410</v>
      </c>
      <c r="CJ121" s="15" t="s">
        <v>3038</v>
      </c>
      <c r="CK121" s="15" t="s">
        <v>3039</v>
      </c>
      <c r="CL121" s="15"/>
      <c r="CM121" s="15"/>
      <c r="CN121" s="15"/>
      <c r="CO121" s="15"/>
      <c r="CP121" s="15"/>
      <c r="CQ121" s="15"/>
      <c r="CR121" s="15"/>
      <c r="CS121" s="15"/>
      <c r="CT121" s="15"/>
      <c r="CU121" s="15"/>
      <c r="CV121" s="15"/>
      <c r="CW121" s="15"/>
      <c r="CX121" s="15"/>
      <c r="CY121" s="15"/>
      <c r="CZ121" s="15"/>
      <c r="DA121" s="15"/>
      <c r="DB121" s="15"/>
      <c r="DC121" s="15"/>
      <c r="DD121" s="15"/>
      <c r="DE121" s="15"/>
      <c r="DF121" s="15"/>
      <c r="DG121" s="15"/>
      <c r="DH121" s="15"/>
      <c r="DI121" s="15"/>
      <c r="DJ121" s="15"/>
      <c r="DK121" s="15"/>
      <c r="DL121" s="15"/>
      <c r="DM121" s="15"/>
      <c r="DN121" s="15"/>
      <c r="DO121" s="15"/>
      <c r="DP121" s="15"/>
      <c r="DQ121" s="15"/>
      <c r="DR121" s="15"/>
      <c r="DS121" s="15"/>
      <c r="DT121" s="15"/>
      <c r="DU121" s="15"/>
      <c r="DV121" s="15"/>
      <c r="DW121" s="15"/>
      <c r="DX121" s="15"/>
      <c r="DY121" s="15"/>
      <c r="DZ121" s="15"/>
      <c r="EA121" s="15"/>
      <c r="EB121" s="15"/>
      <c r="EC121" s="15"/>
      <c r="ED121" s="15"/>
      <c r="EE121" s="15"/>
      <c r="EF121" s="15"/>
      <c r="EG121" s="15"/>
      <c r="EH121" s="15"/>
      <c r="EI121" s="15"/>
      <c r="EJ121" s="15"/>
      <c r="EK121" s="15"/>
      <c r="EL121" s="15"/>
      <c r="EM121" s="15"/>
      <c r="EN121" s="15"/>
      <c r="EO121" s="15"/>
      <c r="EP121" s="15"/>
      <c r="EQ121" s="15"/>
      <c r="ER121" s="15"/>
      <c r="ES121" s="15"/>
      <c r="ET121" s="15" t="s">
        <v>578</v>
      </c>
      <c r="EU121" s="15" t="s">
        <v>579</v>
      </c>
      <c r="EV121" s="15" t="s">
        <v>527</v>
      </c>
      <c r="EW121" s="15" t="s">
        <v>3040</v>
      </c>
      <c r="EX121" s="15" t="s">
        <v>3041</v>
      </c>
      <c r="EY121" s="15" t="s">
        <v>3042</v>
      </c>
      <c r="EZ121" s="15" t="s">
        <v>414</v>
      </c>
      <c r="FA121" s="15" t="s">
        <v>414</v>
      </c>
      <c r="FB121" s="15" t="s">
        <v>413</v>
      </c>
      <c r="FC121" s="15" t="s">
        <v>414</v>
      </c>
      <c r="FD121" s="15" t="s">
        <v>413</v>
      </c>
      <c r="FE121" s="15" t="s">
        <v>414</v>
      </c>
      <c r="FF121" s="15" t="s">
        <v>415</v>
      </c>
      <c r="FG121" s="15" t="s">
        <v>416</v>
      </c>
      <c r="FH121" s="15" t="s">
        <v>414</v>
      </c>
      <c r="FI121" s="15" t="s">
        <v>415</v>
      </c>
      <c r="FJ121" s="15" t="s">
        <v>415</v>
      </c>
      <c r="FK121" s="15" t="s">
        <v>415</v>
      </c>
      <c r="FL121" s="15" t="s">
        <v>415</v>
      </c>
      <c r="FM121" s="15" t="s">
        <v>416</v>
      </c>
      <c r="FN121" s="15" t="s">
        <v>414</v>
      </c>
      <c r="FO121" s="15" t="s">
        <v>850</v>
      </c>
      <c r="FP121" s="15" t="s">
        <v>418</v>
      </c>
      <c r="FQ121" s="15" t="s">
        <v>1039</v>
      </c>
      <c r="FR121" s="15"/>
      <c r="FS121" s="15" t="s">
        <v>420</v>
      </c>
      <c r="FT121" s="15" t="s">
        <v>488</v>
      </c>
      <c r="FU121" s="15" t="s">
        <v>585</v>
      </c>
      <c r="FV121" s="15" t="s">
        <v>490</v>
      </c>
      <c r="FW121" s="15" t="s">
        <v>491</v>
      </c>
      <c r="FX121" s="15" t="s">
        <v>3043</v>
      </c>
      <c r="FY121" s="15" t="s">
        <v>535</v>
      </c>
      <c r="FZ121" s="15"/>
      <c r="GA121" s="15"/>
      <c r="GB121" s="15" t="s">
        <v>455</v>
      </c>
      <c r="GC121" s="15"/>
      <c r="GD121" s="15"/>
      <c r="GE121" s="15" t="s">
        <v>944</v>
      </c>
      <c r="GF121" s="15" t="s">
        <v>3044</v>
      </c>
      <c r="GG121" s="15"/>
      <c r="GH121" s="15"/>
      <c r="GI121" s="15"/>
      <c r="GJ121" s="15" t="s">
        <v>755</v>
      </c>
      <c r="GK121" s="15" t="s">
        <v>755</v>
      </c>
      <c r="GL121" s="15" t="s">
        <v>946</v>
      </c>
      <c r="GM121" s="15"/>
      <c r="GN121" s="15"/>
      <c r="GO121" s="15"/>
      <c r="GP121" s="15"/>
      <c r="GQ121" s="15"/>
      <c r="GR121" s="15"/>
      <c r="GS121" s="15"/>
      <c r="GT121" s="15"/>
      <c r="GU121" s="15"/>
      <c r="GV121" s="15"/>
      <c r="GW121" s="15"/>
      <c r="GX121" s="15"/>
      <c r="GY121" s="15"/>
      <c r="GZ121" s="15"/>
      <c r="HA121" s="15"/>
      <c r="HB121" s="15"/>
      <c r="HC121" s="15"/>
      <c r="HD121" s="15"/>
      <c r="HE121" s="15"/>
      <c r="HF121" s="15"/>
      <c r="HG121" s="15"/>
      <c r="HH121" s="15"/>
      <c r="HI121" s="15"/>
      <c r="HJ121" s="15"/>
      <c r="HK121" s="15"/>
      <c r="HL121" s="15"/>
      <c r="HM121" s="15"/>
      <c r="HN121" s="15"/>
      <c r="HO121" s="15"/>
      <c r="HP121" s="31"/>
      <c r="MX121" s="29" t="s">
        <v>10402</v>
      </c>
      <c r="MY121" s="29" t="str">
        <f>IFERROR(__xludf.DUMMYFUNCTION("""COMPUTED_VALUE"""),"Louisiana")</f>
        <v>Louisiana</v>
      </c>
    </row>
    <row r="122" ht="16.5" customHeight="1">
      <c r="A122" s="30">
        <v>45829.310797962964</v>
      </c>
      <c r="B122" s="15" t="s">
        <v>368</v>
      </c>
      <c r="C122" s="15" t="s">
        <v>370</v>
      </c>
      <c r="D122" s="15"/>
      <c r="E122" s="15" t="s">
        <v>1464</v>
      </c>
      <c r="F122" s="15"/>
      <c r="G122" s="15" t="s">
        <v>422</v>
      </c>
      <c r="H122" s="15" t="s">
        <v>3045</v>
      </c>
      <c r="I122" s="15" t="s">
        <v>668</v>
      </c>
      <c r="J122" s="15" t="s">
        <v>425</v>
      </c>
      <c r="K122" s="15" t="s">
        <v>376</v>
      </c>
      <c r="L122" s="15" t="s">
        <v>591</v>
      </c>
      <c r="M122" s="15" t="s">
        <v>378</v>
      </c>
      <c r="N122" s="15" t="s">
        <v>591</v>
      </c>
      <c r="O122" s="15" t="s">
        <v>719</v>
      </c>
      <c r="P122" s="15" t="s">
        <v>592</v>
      </c>
      <c r="Q122" s="15" t="s">
        <v>1156</v>
      </c>
      <c r="R122" s="15" t="s">
        <v>427</v>
      </c>
      <c r="S122" s="15" t="s">
        <v>384</v>
      </c>
      <c r="T122" s="15" t="s">
        <v>385</v>
      </c>
      <c r="U122" s="15"/>
      <c r="V122" s="15"/>
      <c r="W122" s="15" t="s">
        <v>386</v>
      </c>
      <c r="X122" s="15" t="s">
        <v>387</v>
      </c>
      <c r="Y122" s="15" t="s">
        <v>1824</v>
      </c>
      <c r="Z122" s="15" t="s">
        <v>543</v>
      </c>
      <c r="AA122" s="15" t="s">
        <v>3046</v>
      </c>
      <c r="AB122" s="15" t="s">
        <v>3047</v>
      </c>
      <c r="AC122" s="15"/>
      <c r="AD122" s="15"/>
      <c r="AE122" s="15"/>
      <c r="AF122" s="15"/>
      <c r="AG122" s="15"/>
      <c r="AH122" s="15"/>
      <c r="AI122" s="15"/>
      <c r="AJ122" s="15"/>
      <c r="AK122" s="15"/>
      <c r="AL122" s="15"/>
      <c r="AM122" s="15"/>
      <c r="AN122" s="15"/>
      <c r="AO122" s="15"/>
      <c r="AP122" s="15"/>
      <c r="AQ122" s="15"/>
      <c r="AR122" s="15"/>
      <c r="AS122" s="15"/>
      <c r="AT122" s="15"/>
      <c r="AU122" s="15"/>
      <c r="AV122" s="15" t="s">
        <v>1310</v>
      </c>
      <c r="AW122" s="15" t="s">
        <v>429</v>
      </c>
      <c r="AX122" s="15" t="s">
        <v>429</v>
      </c>
      <c r="AY122" s="15" t="s">
        <v>429</v>
      </c>
      <c r="AZ122" s="15" t="s">
        <v>675</v>
      </c>
      <c r="BA122" s="15">
        <v>4.0</v>
      </c>
      <c r="BB122" s="15">
        <v>4.0</v>
      </c>
      <c r="BC122" s="15" t="s">
        <v>3048</v>
      </c>
      <c r="BD122" s="15" t="s">
        <v>3049</v>
      </c>
      <c r="BE122" s="15" t="s">
        <v>1094</v>
      </c>
      <c r="BF122" s="15" t="s">
        <v>433</v>
      </c>
      <c r="BG122" s="15" t="s">
        <v>394</v>
      </c>
      <c r="BH122" s="15" t="s">
        <v>3050</v>
      </c>
      <c r="BI122" s="15" t="s">
        <v>976</v>
      </c>
      <c r="BJ122" s="15"/>
      <c r="BK122" s="15" t="s">
        <v>511</v>
      </c>
      <c r="BL122" s="15" t="s">
        <v>396</v>
      </c>
      <c r="BM122" s="15" t="s">
        <v>1247</v>
      </c>
      <c r="BN122" s="15" t="s">
        <v>440</v>
      </c>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t="s">
        <v>441</v>
      </c>
      <c r="CM122" s="15" t="s">
        <v>604</v>
      </c>
      <c r="CN122" s="15" t="s">
        <v>3051</v>
      </c>
      <c r="CO122" s="15" t="s">
        <v>3052</v>
      </c>
      <c r="CP122" s="15" t="s">
        <v>979</v>
      </c>
      <c r="CQ122" s="15" t="s">
        <v>3053</v>
      </c>
      <c r="CR122" s="15" t="s">
        <v>404</v>
      </c>
      <c r="CS122" s="15" t="s">
        <v>3054</v>
      </c>
      <c r="CT122" s="15" t="s">
        <v>3055</v>
      </c>
      <c r="CU122" s="15" t="s">
        <v>519</v>
      </c>
      <c r="CV122" s="15" t="s">
        <v>451</v>
      </c>
      <c r="CW122" s="15" t="s">
        <v>3056</v>
      </c>
      <c r="CX122" s="15" t="s">
        <v>408</v>
      </c>
      <c r="CY122" s="15"/>
      <c r="CZ122" s="15" t="s">
        <v>453</v>
      </c>
      <c r="DA122" s="15" t="s">
        <v>3057</v>
      </c>
      <c r="DB122" s="15" t="s">
        <v>408</v>
      </c>
      <c r="DC122" s="15"/>
      <c r="DD122" s="15" t="s">
        <v>988</v>
      </c>
      <c r="DE122" s="15"/>
      <c r="DF122" s="15" t="s">
        <v>3058</v>
      </c>
      <c r="DG122" s="15" t="s">
        <v>561</v>
      </c>
      <c r="DH122" s="15" t="s">
        <v>410</v>
      </c>
      <c r="DI122" s="15" t="s">
        <v>459</v>
      </c>
      <c r="DJ122" s="15" t="s">
        <v>460</v>
      </c>
      <c r="DK122" s="15" t="s">
        <v>461</v>
      </c>
      <c r="DL122" s="15"/>
      <c r="DM122" s="15" t="s">
        <v>2890</v>
      </c>
      <c r="DN122" s="15" t="s">
        <v>3059</v>
      </c>
      <c r="DO122" s="15" t="s">
        <v>2956</v>
      </c>
      <c r="DP122" s="15" t="s">
        <v>3060</v>
      </c>
      <c r="DQ122" s="15" t="s">
        <v>466</v>
      </c>
      <c r="DR122" s="15" t="s">
        <v>3061</v>
      </c>
      <c r="DS122" s="15" t="s">
        <v>702</v>
      </c>
      <c r="DT122" s="15" t="s">
        <v>1580</v>
      </c>
      <c r="DU122" s="15" t="s">
        <v>3062</v>
      </c>
      <c r="DV122" s="15" t="s">
        <v>3063</v>
      </c>
      <c r="DW122" s="15" t="s">
        <v>1328</v>
      </c>
      <c r="DX122" s="15" t="s">
        <v>3064</v>
      </c>
      <c r="DY122" s="15" t="s">
        <v>3065</v>
      </c>
      <c r="DZ122" s="15" t="s">
        <v>3066</v>
      </c>
      <c r="EA122" s="15" t="s">
        <v>475</v>
      </c>
      <c r="EB122" s="15" t="s">
        <v>476</v>
      </c>
      <c r="EC122" s="15" t="s">
        <v>3067</v>
      </c>
      <c r="ED122" s="15"/>
      <c r="EE122" s="15"/>
      <c r="EF122" s="15"/>
      <c r="EG122" s="15"/>
      <c r="EH122" s="15"/>
      <c r="EI122" s="15"/>
      <c r="EJ122" s="15"/>
      <c r="EK122" s="15"/>
      <c r="EL122" s="15"/>
      <c r="EM122" s="15"/>
      <c r="EN122" s="15"/>
      <c r="EO122" s="15"/>
      <c r="EP122" s="15"/>
      <c r="EQ122" s="15"/>
      <c r="ER122" s="15"/>
      <c r="ES122" s="15"/>
      <c r="ET122" s="15" t="s">
        <v>526</v>
      </c>
      <c r="EU122" s="15" t="s">
        <v>1037</v>
      </c>
      <c r="EV122" s="15" t="s">
        <v>480</v>
      </c>
      <c r="EW122" s="15"/>
      <c r="EX122" s="15"/>
      <c r="EY122" s="15"/>
      <c r="EZ122" s="15" t="s">
        <v>413</v>
      </c>
      <c r="FA122" s="15" t="s">
        <v>413</v>
      </c>
      <c r="FB122" s="15" t="s">
        <v>413</v>
      </c>
      <c r="FC122" s="15" t="s">
        <v>413</v>
      </c>
      <c r="FD122" s="15" t="s">
        <v>413</v>
      </c>
      <c r="FE122" s="15" t="s">
        <v>413</v>
      </c>
      <c r="FF122" s="15" t="s">
        <v>413</v>
      </c>
      <c r="FG122" s="15" t="s">
        <v>413</v>
      </c>
      <c r="FH122" s="15" t="s">
        <v>413</v>
      </c>
      <c r="FI122" s="15" t="s">
        <v>583</v>
      </c>
      <c r="FJ122" s="15" t="s">
        <v>416</v>
      </c>
      <c r="FK122" s="15" t="s">
        <v>413</v>
      </c>
      <c r="FL122" s="15" t="s">
        <v>484</v>
      </c>
      <c r="FM122" s="15" t="s">
        <v>413</v>
      </c>
      <c r="FN122" s="15" t="s">
        <v>414</v>
      </c>
      <c r="FO122" s="15" t="s">
        <v>417</v>
      </c>
      <c r="FP122" s="15"/>
      <c r="FQ122" s="15" t="s">
        <v>712</v>
      </c>
      <c r="FR122" s="15"/>
      <c r="FS122" s="15" t="s">
        <v>420</v>
      </c>
      <c r="FT122" s="15" t="s">
        <v>488</v>
      </c>
      <c r="FU122" s="15" t="s">
        <v>489</v>
      </c>
      <c r="FV122" s="15" t="s">
        <v>490</v>
      </c>
      <c r="FW122" s="15"/>
      <c r="FX122" s="15"/>
      <c r="FY122" s="15" t="s">
        <v>535</v>
      </c>
      <c r="FZ122" s="15"/>
      <c r="GA122" s="15" t="s">
        <v>3068</v>
      </c>
      <c r="GB122" s="15" t="s">
        <v>408</v>
      </c>
      <c r="GC122" s="15"/>
      <c r="GD122" s="15"/>
      <c r="GE122" s="15"/>
      <c r="GF122" s="15"/>
      <c r="GG122" s="15" t="s">
        <v>857</v>
      </c>
      <c r="GH122" s="15" t="s">
        <v>857</v>
      </c>
      <c r="GI122" s="15" t="s">
        <v>790</v>
      </c>
      <c r="GJ122" s="15"/>
      <c r="GK122" s="15"/>
      <c r="GL122" s="15"/>
      <c r="GM122" s="15" t="s">
        <v>1079</v>
      </c>
      <c r="GN122" s="15"/>
      <c r="GO122" s="15"/>
      <c r="GP122" s="15"/>
      <c r="GQ122" s="15"/>
      <c r="GR122" s="15"/>
      <c r="GS122" s="15"/>
      <c r="GT122" s="15"/>
      <c r="GU122" s="15"/>
      <c r="GV122" s="15"/>
      <c r="GW122" s="15"/>
      <c r="GX122" s="15"/>
      <c r="GY122" s="15"/>
      <c r="GZ122" s="15"/>
      <c r="HA122" s="15"/>
      <c r="HB122" s="15"/>
      <c r="HC122" s="15"/>
      <c r="HD122" s="15"/>
      <c r="HE122" s="15"/>
      <c r="HF122" s="15"/>
      <c r="HG122" s="15"/>
      <c r="HH122" s="15"/>
      <c r="HI122" s="15"/>
      <c r="HJ122" s="15"/>
      <c r="HK122" s="15"/>
      <c r="HL122" s="15"/>
      <c r="HM122" s="15"/>
      <c r="HN122" s="15"/>
      <c r="HO122" s="15"/>
      <c r="HP122" s="31"/>
      <c r="MX122" s="29" t="s">
        <v>538</v>
      </c>
      <c r="MY122" s="29" t="str">
        <f>IFERROR(__xludf.DUMMYFUNCTION("""COMPUTED_VALUE"""),"United Kingdom")</f>
        <v>United Kingdom</v>
      </c>
    </row>
    <row r="123" ht="16.5" customHeight="1">
      <c r="A123" s="30">
        <v>45829.33800960648</v>
      </c>
      <c r="B123" s="15" t="s">
        <v>368</v>
      </c>
      <c r="C123" s="15" t="s">
        <v>538</v>
      </c>
      <c r="D123" s="15" t="s">
        <v>947</v>
      </c>
      <c r="E123" s="15"/>
      <c r="F123" s="15"/>
      <c r="G123" s="15" t="s">
        <v>422</v>
      </c>
      <c r="H123" s="15" t="s">
        <v>539</v>
      </c>
      <c r="I123" s="15" t="s">
        <v>424</v>
      </c>
      <c r="J123" s="15" t="s">
        <v>375</v>
      </c>
      <c r="K123" s="15" t="s">
        <v>376</v>
      </c>
      <c r="L123" s="15" t="s">
        <v>591</v>
      </c>
      <c r="M123" s="15" t="s">
        <v>639</v>
      </c>
      <c r="N123" s="15" t="s">
        <v>377</v>
      </c>
      <c r="O123" s="15" t="s">
        <v>380</v>
      </c>
      <c r="P123" s="15" t="s">
        <v>381</v>
      </c>
      <c r="Q123" s="15"/>
      <c r="R123" s="15" t="s">
        <v>500</v>
      </c>
      <c r="S123" s="15" t="s">
        <v>384</v>
      </c>
      <c r="T123" s="15" t="s">
        <v>385</v>
      </c>
      <c r="U123" s="15"/>
      <c r="V123" s="15"/>
      <c r="W123" s="15" t="s">
        <v>3014</v>
      </c>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t="s">
        <v>1242</v>
      </c>
      <c r="AW123" s="15" t="s">
        <v>391</v>
      </c>
      <c r="AX123" s="15">
        <v>4.0</v>
      </c>
      <c r="AY123" s="15" t="s">
        <v>391</v>
      </c>
      <c r="AZ123" s="15">
        <v>4.0</v>
      </c>
      <c r="BA123" s="15">
        <v>4.0</v>
      </c>
      <c r="BB123" s="15">
        <v>4.0</v>
      </c>
      <c r="BC123" s="15" t="s">
        <v>3069</v>
      </c>
      <c r="BD123" s="15" t="s">
        <v>3070</v>
      </c>
      <c r="BE123" s="15" t="s">
        <v>432</v>
      </c>
      <c r="BF123" s="15" t="s">
        <v>393</v>
      </c>
      <c r="BG123" s="15" t="s">
        <v>394</v>
      </c>
      <c r="BH123" s="15"/>
      <c r="BI123" s="15" t="s">
        <v>435</v>
      </c>
      <c r="BJ123" s="15"/>
      <c r="BK123" s="15" t="s">
        <v>437</v>
      </c>
      <c r="BL123" s="15" t="s">
        <v>603</v>
      </c>
      <c r="BM123" s="15" t="s">
        <v>1314</v>
      </c>
      <c r="BN123" s="15" t="s">
        <v>398</v>
      </c>
      <c r="BO123" s="15" t="s">
        <v>3071</v>
      </c>
      <c r="BP123" s="15" t="s">
        <v>3072</v>
      </c>
      <c r="BQ123" s="15" t="s">
        <v>401</v>
      </c>
      <c r="BR123" s="15" t="s">
        <v>402</v>
      </c>
      <c r="BS123" s="15"/>
      <c r="BT123" s="15" t="s">
        <v>1994</v>
      </c>
      <c r="BU123" s="15" t="s">
        <v>405</v>
      </c>
      <c r="BV123" s="15"/>
      <c r="BW123" s="15" t="s">
        <v>406</v>
      </c>
      <c r="BX123" s="15" t="s">
        <v>1867</v>
      </c>
      <c r="BY123" s="15" t="s">
        <v>408</v>
      </c>
      <c r="BZ123" s="15"/>
      <c r="CA123" s="15"/>
      <c r="CB123" s="15"/>
      <c r="CC123" s="15" t="s">
        <v>3073</v>
      </c>
      <c r="CD123" s="15" t="s">
        <v>1257</v>
      </c>
      <c r="CE123" s="15"/>
      <c r="CF123" s="15" t="s">
        <v>1722</v>
      </c>
      <c r="CG123" s="15" t="s">
        <v>3074</v>
      </c>
      <c r="CH123" s="15" t="s">
        <v>1259</v>
      </c>
      <c r="CI123" s="15"/>
      <c r="CJ123" s="15" t="s">
        <v>3075</v>
      </c>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t="s">
        <v>526</v>
      </c>
      <c r="EU123" s="15" t="s">
        <v>579</v>
      </c>
      <c r="EV123" s="15" t="s">
        <v>527</v>
      </c>
      <c r="EW123" s="15" t="s">
        <v>3076</v>
      </c>
      <c r="EX123" s="15" t="s">
        <v>3077</v>
      </c>
      <c r="EY123" s="15"/>
      <c r="EZ123" s="15" t="s">
        <v>415</v>
      </c>
      <c r="FA123" s="15" t="s">
        <v>415</v>
      </c>
      <c r="FB123" s="15" t="s">
        <v>413</v>
      </c>
      <c r="FC123" s="15" t="s">
        <v>416</v>
      </c>
      <c r="FD123" s="15" t="s">
        <v>413</v>
      </c>
      <c r="FE123" s="15" t="s">
        <v>415</v>
      </c>
      <c r="FF123" s="15" t="s">
        <v>415</v>
      </c>
      <c r="FG123" s="15" t="s">
        <v>484</v>
      </c>
      <c r="FH123" s="15" t="s">
        <v>484</v>
      </c>
      <c r="FI123" s="15" t="s">
        <v>484</v>
      </c>
      <c r="FJ123" s="15" t="s">
        <v>416</v>
      </c>
      <c r="FK123" s="15" t="s">
        <v>484</v>
      </c>
      <c r="FL123" s="15" t="s">
        <v>484</v>
      </c>
      <c r="FM123" s="15" t="s">
        <v>484</v>
      </c>
      <c r="FN123" s="15" t="s">
        <v>484</v>
      </c>
      <c r="FO123" s="15" t="s">
        <v>850</v>
      </c>
      <c r="FP123" s="15" t="s">
        <v>418</v>
      </c>
      <c r="FQ123" s="15" t="s">
        <v>1039</v>
      </c>
      <c r="FR123" s="15"/>
      <c r="FS123" s="15" t="s">
        <v>420</v>
      </c>
      <c r="FT123" s="15" t="s">
        <v>488</v>
      </c>
      <c r="FU123" s="15" t="s">
        <v>918</v>
      </c>
      <c r="FV123" s="15" t="s">
        <v>490</v>
      </c>
      <c r="FW123" s="15" t="s">
        <v>491</v>
      </c>
      <c r="FX123" s="15" t="s">
        <v>3078</v>
      </c>
      <c r="FY123" s="15" t="s">
        <v>1337</v>
      </c>
      <c r="FZ123" s="15" t="s">
        <v>3079</v>
      </c>
      <c r="GA123" s="15"/>
      <c r="GB123" s="15" t="s">
        <v>455</v>
      </c>
      <c r="GC123" s="15"/>
      <c r="GD123" s="15"/>
      <c r="GE123" s="15" t="s">
        <v>1339</v>
      </c>
      <c r="GF123" s="15" t="s">
        <v>3080</v>
      </c>
      <c r="GG123" s="15"/>
      <c r="GH123" s="15"/>
      <c r="GI123" s="15"/>
      <c r="GJ123" s="15" t="s">
        <v>920</v>
      </c>
      <c r="GK123" s="15" t="s">
        <v>920</v>
      </c>
      <c r="GL123" s="15" t="s">
        <v>756</v>
      </c>
      <c r="GM123" s="15"/>
      <c r="GN123" s="15" t="s">
        <v>3012</v>
      </c>
      <c r="GO123" s="15" t="s">
        <v>947</v>
      </c>
      <c r="GP123" s="15"/>
      <c r="GQ123" s="15"/>
      <c r="GR123" s="15"/>
      <c r="GS123" s="15"/>
      <c r="GT123" s="15"/>
      <c r="GU123" s="15"/>
      <c r="GV123" s="15"/>
      <c r="GW123" s="15"/>
      <c r="GX123" s="15"/>
      <c r="GY123" s="15"/>
      <c r="GZ123" s="15"/>
      <c r="HA123" s="15"/>
      <c r="HB123" s="15"/>
      <c r="HC123" s="15"/>
      <c r="HD123" s="15"/>
      <c r="HE123" s="15"/>
      <c r="HF123" s="15"/>
      <c r="HG123" s="15"/>
      <c r="HH123" s="15"/>
      <c r="HI123" s="15"/>
      <c r="HJ123" s="15"/>
      <c r="HK123" s="15"/>
      <c r="HL123" s="15"/>
      <c r="HM123" s="15"/>
      <c r="HN123" s="15"/>
      <c r="HO123" s="15"/>
      <c r="HP123" s="31"/>
      <c r="MX123" s="29" t="s">
        <v>3081</v>
      </c>
      <c r="MY123" s="29" t="str">
        <f>IFERROR(__xludf.DUMMYFUNCTION("""COMPUTED_VALUE"""),"Paraguay")</f>
        <v>Paraguay</v>
      </c>
    </row>
    <row r="124" ht="16.5" customHeight="1">
      <c r="A124" s="30">
        <v>45829.41961525463</v>
      </c>
      <c r="B124" s="15" t="s">
        <v>368</v>
      </c>
      <c r="C124" s="15" t="s">
        <v>3081</v>
      </c>
      <c r="D124" s="15" t="s">
        <v>3081</v>
      </c>
      <c r="E124" s="15"/>
      <c r="F124" s="15"/>
      <c r="G124" s="15" t="s">
        <v>422</v>
      </c>
      <c r="H124" s="15" t="s">
        <v>373</v>
      </c>
      <c r="I124" s="15" t="s">
        <v>374</v>
      </c>
      <c r="J124" s="15" t="s">
        <v>375</v>
      </c>
      <c r="K124" s="15" t="s">
        <v>376</v>
      </c>
      <c r="L124" s="15" t="s">
        <v>426</v>
      </c>
      <c r="M124" s="15" t="s">
        <v>378</v>
      </c>
      <c r="N124" s="15" t="s">
        <v>591</v>
      </c>
      <c r="O124" s="15" t="s">
        <v>1799</v>
      </c>
      <c r="P124" s="15" t="s">
        <v>498</v>
      </c>
      <c r="Q124" s="15" t="s">
        <v>499</v>
      </c>
      <c r="R124" s="15" t="s">
        <v>500</v>
      </c>
      <c r="S124" s="15" t="s">
        <v>384</v>
      </c>
      <c r="T124" s="15" t="s">
        <v>385</v>
      </c>
      <c r="U124" s="15"/>
      <c r="V124" s="15"/>
      <c r="W124" s="15" t="s">
        <v>386</v>
      </c>
      <c r="X124" s="15" t="s">
        <v>387</v>
      </c>
      <c r="Y124" s="15" t="s">
        <v>388</v>
      </c>
      <c r="Z124" s="15" t="s">
        <v>389</v>
      </c>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t="s">
        <v>597</v>
      </c>
      <c r="AW124" s="15" t="s">
        <v>391</v>
      </c>
      <c r="AX124" s="15" t="s">
        <v>391</v>
      </c>
      <c r="AY124" s="15">
        <v>4.0</v>
      </c>
      <c r="AZ124" s="15" t="s">
        <v>391</v>
      </c>
      <c r="BA124" s="15" t="s">
        <v>391</v>
      </c>
      <c r="BB124" s="15" t="s">
        <v>391</v>
      </c>
      <c r="BC124" s="15"/>
      <c r="BD124" s="15"/>
      <c r="BE124" s="15" t="s">
        <v>432</v>
      </c>
      <c r="BF124" s="15" t="s">
        <v>393</v>
      </c>
      <c r="BG124" s="15" t="s">
        <v>725</v>
      </c>
      <c r="BH124" s="15"/>
      <c r="BI124" s="15" t="s">
        <v>824</v>
      </c>
      <c r="BJ124" s="15"/>
      <c r="BK124" s="15" t="s">
        <v>681</v>
      </c>
      <c r="BL124" s="15" t="s">
        <v>396</v>
      </c>
      <c r="BM124" s="15" t="s">
        <v>397</v>
      </c>
      <c r="BN124" s="15" t="s">
        <v>398</v>
      </c>
      <c r="BO124" s="15"/>
      <c r="BP124" s="15"/>
      <c r="BQ124" s="15" t="s">
        <v>401</v>
      </c>
      <c r="BR124" s="15" t="s">
        <v>2488</v>
      </c>
      <c r="BS124" s="15" t="s">
        <v>403</v>
      </c>
      <c r="BT124" s="15" t="s">
        <v>1994</v>
      </c>
      <c r="BU124" s="15" t="s">
        <v>405</v>
      </c>
      <c r="BV124" s="15"/>
      <c r="BW124" s="15" t="s">
        <v>406</v>
      </c>
      <c r="BX124" s="15" t="s">
        <v>2503</v>
      </c>
      <c r="BY124" s="15" t="s">
        <v>408</v>
      </c>
      <c r="BZ124" s="15"/>
      <c r="CA124" s="15"/>
      <c r="CB124" s="15"/>
      <c r="CC124" s="15"/>
      <c r="CD124" s="15" t="s">
        <v>1257</v>
      </c>
      <c r="CE124" s="15"/>
      <c r="CF124" s="15" t="s">
        <v>1258</v>
      </c>
      <c r="CG124" s="15"/>
      <c r="CH124" s="15" t="s">
        <v>1259</v>
      </c>
      <c r="CI124" s="15" t="s">
        <v>1964</v>
      </c>
      <c r="CJ124" s="15" t="s">
        <v>1699</v>
      </c>
      <c r="CK124" s="15"/>
      <c r="CL124" s="15"/>
      <c r="CM124" s="15"/>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15"/>
      <c r="ES124" s="15"/>
      <c r="ET124" s="15" t="s">
        <v>578</v>
      </c>
      <c r="EU124" s="15" t="s">
        <v>579</v>
      </c>
      <c r="EV124" s="15" t="s">
        <v>580</v>
      </c>
      <c r="EW124" s="15"/>
      <c r="EX124" s="15"/>
      <c r="EY124" s="15"/>
      <c r="EZ124" s="15" t="s">
        <v>414</v>
      </c>
      <c r="FA124" s="15" t="s">
        <v>414</v>
      </c>
      <c r="FB124" s="15" t="s">
        <v>416</v>
      </c>
      <c r="FC124" s="15" t="s">
        <v>416</v>
      </c>
      <c r="FD124" s="15" t="s">
        <v>415</v>
      </c>
      <c r="FE124" s="15" t="s">
        <v>415</v>
      </c>
      <c r="FF124" s="15" t="s">
        <v>416</v>
      </c>
      <c r="FG124" s="15" t="s">
        <v>415</v>
      </c>
      <c r="FH124" s="15" t="s">
        <v>415</v>
      </c>
      <c r="FI124" s="15" t="s">
        <v>413</v>
      </c>
      <c r="FJ124" s="15" t="s">
        <v>415</v>
      </c>
      <c r="FK124" s="15" t="s">
        <v>415</v>
      </c>
      <c r="FL124" s="15" t="s">
        <v>414</v>
      </c>
      <c r="FM124" s="15" t="s">
        <v>415</v>
      </c>
      <c r="FN124" s="15" t="s">
        <v>415</v>
      </c>
      <c r="FO124" s="15" t="s">
        <v>417</v>
      </c>
      <c r="FP124" s="15" t="s">
        <v>486</v>
      </c>
      <c r="FQ124" s="15" t="s">
        <v>749</v>
      </c>
      <c r="FR124" s="15"/>
      <c r="FS124" s="15" t="s">
        <v>420</v>
      </c>
      <c r="FT124" s="15" t="s">
        <v>1462</v>
      </c>
      <c r="FU124" s="15"/>
      <c r="FV124" s="15" t="s">
        <v>490</v>
      </c>
      <c r="FW124" s="15" t="s">
        <v>491</v>
      </c>
      <c r="FX124" s="15"/>
      <c r="FY124" s="15" t="s">
        <v>493</v>
      </c>
      <c r="FZ124" s="15"/>
      <c r="GA124" s="15"/>
      <c r="GB124" s="15" t="s">
        <v>455</v>
      </c>
      <c r="GC124" s="15"/>
      <c r="GD124" s="15"/>
      <c r="GE124" s="15"/>
      <c r="GF124" s="15"/>
      <c r="GG124" s="15"/>
      <c r="GH124" s="15"/>
      <c r="GI124" s="15"/>
      <c r="GJ124" s="15" t="s">
        <v>788</v>
      </c>
      <c r="GK124" s="15" t="s">
        <v>857</v>
      </c>
      <c r="GL124" s="15" t="s">
        <v>790</v>
      </c>
      <c r="GM124" s="15"/>
      <c r="GN124" s="15"/>
      <c r="GO124" s="15"/>
      <c r="GP124" s="15"/>
      <c r="GQ124" s="15"/>
      <c r="GR124" s="15"/>
      <c r="GS124" s="15"/>
      <c r="GT124" s="15"/>
      <c r="GU124" s="15"/>
      <c r="GV124" s="15"/>
      <c r="GW124" s="15"/>
      <c r="GX124" s="15"/>
      <c r="GY124" s="15"/>
      <c r="GZ124" s="15"/>
      <c r="HA124" s="15"/>
      <c r="HB124" s="15"/>
      <c r="HC124" s="15"/>
      <c r="HD124" s="15"/>
      <c r="HE124" s="15"/>
      <c r="HF124" s="15"/>
      <c r="HG124" s="15"/>
      <c r="HH124" s="15"/>
      <c r="HI124" s="15"/>
      <c r="HJ124" s="15"/>
      <c r="HK124" s="15"/>
      <c r="HL124" s="15"/>
      <c r="HM124" s="15"/>
      <c r="HN124" s="15"/>
      <c r="HO124" s="15"/>
      <c r="HP124" s="31"/>
      <c r="MX124" s="29" t="s">
        <v>10402</v>
      </c>
      <c r="MY124" s="29" t="str">
        <f>IFERROR(__xludf.DUMMYFUNCTION("""COMPUTED_VALUE"""),"Rhode Island")</f>
        <v>Rhode Island</v>
      </c>
    </row>
    <row r="125" ht="16.5" customHeight="1">
      <c r="A125" s="30">
        <v>45829.42277583333</v>
      </c>
      <c r="B125" s="15" t="s">
        <v>368</v>
      </c>
      <c r="C125" s="15" t="s">
        <v>370</v>
      </c>
      <c r="D125" s="15"/>
      <c r="E125" s="15" t="s">
        <v>3082</v>
      </c>
      <c r="F125" s="15"/>
      <c r="G125" s="15" t="s">
        <v>422</v>
      </c>
      <c r="H125" s="15" t="s">
        <v>1921</v>
      </c>
      <c r="I125" s="15" t="s">
        <v>668</v>
      </c>
      <c r="J125" s="15" t="s">
        <v>590</v>
      </c>
      <c r="K125" s="15" t="s">
        <v>376</v>
      </c>
      <c r="L125" s="15" t="s">
        <v>379</v>
      </c>
      <c r="M125" s="15" t="s">
        <v>380</v>
      </c>
      <c r="N125" s="15" t="s">
        <v>379</v>
      </c>
      <c r="O125" s="15" t="s">
        <v>3083</v>
      </c>
      <c r="P125" s="15" t="s">
        <v>1760</v>
      </c>
      <c r="Q125" s="15" t="s">
        <v>818</v>
      </c>
      <c r="R125" s="15" t="s">
        <v>427</v>
      </c>
      <c r="S125" s="15" t="s">
        <v>384</v>
      </c>
      <c r="T125" s="15" t="s">
        <v>385</v>
      </c>
      <c r="U125" s="15"/>
      <c r="V125" s="15"/>
      <c r="W125" s="15" t="s">
        <v>3014</v>
      </c>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t="s">
        <v>390</v>
      </c>
      <c r="AW125" s="15" t="s">
        <v>675</v>
      </c>
      <c r="AX125" s="15">
        <v>4.0</v>
      </c>
      <c r="AY125" s="15">
        <v>4.0</v>
      </c>
      <c r="AZ125" s="15">
        <v>4.0</v>
      </c>
      <c r="BA125" s="15" t="s">
        <v>675</v>
      </c>
      <c r="BB125" s="15" t="s">
        <v>675</v>
      </c>
      <c r="BC125" s="15" t="s">
        <v>3084</v>
      </c>
      <c r="BD125" s="15" t="s">
        <v>3085</v>
      </c>
      <c r="BE125" s="15" t="s">
        <v>432</v>
      </c>
      <c r="BF125" s="15" t="s">
        <v>1047</v>
      </c>
      <c r="BG125" s="15" t="s">
        <v>678</v>
      </c>
      <c r="BH125" s="15" t="s">
        <v>3086</v>
      </c>
      <c r="BI125" s="15" t="s">
        <v>509</v>
      </c>
      <c r="BJ125" s="15" t="s">
        <v>3087</v>
      </c>
      <c r="BK125" s="15" t="s">
        <v>437</v>
      </c>
      <c r="BL125" s="15" t="s">
        <v>438</v>
      </c>
      <c r="BM125" s="15" t="s">
        <v>1247</v>
      </c>
      <c r="BN125" s="15" t="s">
        <v>440</v>
      </c>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t="s">
        <v>441</v>
      </c>
      <c r="CM125" s="15" t="s">
        <v>401</v>
      </c>
      <c r="CN125" s="15" t="s">
        <v>3088</v>
      </c>
      <c r="CO125" s="15" t="s">
        <v>3089</v>
      </c>
      <c r="CP125" s="15" t="s">
        <v>445</v>
      </c>
      <c r="CQ125" s="15" t="s">
        <v>3090</v>
      </c>
      <c r="CR125" s="15" t="s">
        <v>828</v>
      </c>
      <c r="CS125" s="15" t="s">
        <v>3091</v>
      </c>
      <c r="CT125" s="15" t="s">
        <v>3092</v>
      </c>
      <c r="CU125" s="15" t="s">
        <v>982</v>
      </c>
      <c r="CV125" s="15" t="s">
        <v>451</v>
      </c>
      <c r="CW125" s="15" t="s">
        <v>3093</v>
      </c>
      <c r="CX125" s="15" t="s">
        <v>408</v>
      </c>
      <c r="CY125" s="15"/>
      <c r="CZ125" s="15" t="s">
        <v>985</v>
      </c>
      <c r="DA125" s="15" t="s">
        <v>3094</v>
      </c>
      <c r="DB125" s="15" t="s">
        <v>408</v>
      </c>
      <c r="DC125" s="15"/>
      <c r="DD125" s="15" t="s">
        <v>406</v>
      </c>
      <c r="DE125" s="15" t="s">
        <v>1867</v>
      </c>
      <c r="DF125" s="15" t="s">
        <v>3095</v>
      </c>
      <c r="DG125" s="15" t="s">
        <v>524</v>
      </c>
      <c r="DH125" s="15" t="s">
        <v>833</v>
      </c>
      <c r="DI125" s="15" t="s">
        <v>459</v>
      </c>
      <c r="DJ125" s="15" t="s">
        <v>562</v>
      </c>
      <c r="DK125" s="15" t="s">
        <v>525</v>
      </c>
      <c r="DL125" s="15"/>
      <c r="DM125" s="15" t="s">
        <v>3096</v>
      </c>
      <c r="DN125" s="15" t="s">
        <v>3097</v>
      </c>
      <c r="DO125" s="15" t="s">
        <v>3098</v>
      </c>
      <c r="DP125" s="15" t="s">
        <v>3099</v>
      </c>
      <c r="DQ125" s="15" t="s">
        <v>1176</v>
      </c>
      <c r="DR125" s="15" t="s">
        <v>3100</v>
      </c>
      <c r="DS125" s="15" t="s">
        <v>618</v>
      </c>
      <c r="DT125" s="15" t="s">
        <v>570</v>
      </c>
      <c r="DU125" s="15" t="s">
        <v>3101</v>
      </c>
      <c r="DV125" s="15" t="s">
        <v>1143</v>
      </c>
      <c r="DW125" s="15" t="s">
        <v>573</v>
      </c>
      <c r="DX125" s="15" t="s">
        <v>1068</v>
      </c>
      <c r="DY125" s="15" t="s">
        <v>3102</v>
      </c>
      <c r="DZ125" s="15" t="s">
        <v>3103</v>
      </c>
      <c r="EA125" s="15" t="s">
        <v>1413</v>
      </c>
      <c r="EB125" s="15" t="s">
        <v>845</v>
      </c>
      <c r="EC125" s="15" t="s">
        <v>3104</v>
      </c>
      <c r="ED125" s="15"/>
      <c r="EE125" s="15"/>
      <c r="EF125" s="15"/>
      <c r="EG125" s="15"/>
      <c r="EH125" s="15"/>
      <c r="EI125" s="15"/>
      <c r="EJ125" s="15"/>
      <c r="EK125" s="15"/>
      <c r="EL125" s="15"/>
      <c r="EM125" s="15"/>
      <c r="EN125" s="15"/>
      <c r="EO125" s="15"/>
      <c r="EP125" s="15"/>
      <c r="EQ125" s="15"/>
      <c r="ER125" s="15"/>
      <c r="ES125" s="15"/>
      <c r="ET125" s="15" t="s">
        <v>478</v>
      </c>
      <c r="EU125" s="15" t="s">
        <v>479</v>
      </c>
      <c r="EV125" s="15" t="s">
        <v>480</v>
      </c>
      <c r="EW125" s="15"/>
      <c r="EX125" s="15" t="s">
        <v>733</v>
      </c>
      <c r="EY125" s="15" t="s">
        <v>733</v>
      </c>
      <c r="EZ125" s="15" t="s">
        <v>415</v>
      </c>
      <c r="FA125" s="15" t="s">
        <v>414</v>
      </c>
      <c r="FB125" s="15" t="s">
        <v>413</v>
      </c>
      <c r="FC125" s="15" t="s">
        <v>583</v>
      </c>
      <c r="FD125" s="15" t="s">
        <v>413</v>
      </c>
      <c r="FE125" s="15" t="s">
        <v>583</v>
      </c>
      <c r="FF125" s="15" t="s">
        <v>415</v>
      </c>
      <c r="FG125" s="15" t="s">
        <v>413</v>
      </c>
      <c r="FH125" s="15" t="s">
        <v>583</v>
      </c>
      <c r="FI125" s="15" t="s">
        <v>583</v>
      </c>
      <c r="FJ125" s="15" t="s">
        <v>414</v>
      </c>
      <c r="FK125" s="15" t="s">
        <v>415</v>
      </c>
      <c r="FL125" s="15" t="s">
        <v>415</v>
      </c>
      <c r="FM125" s="15" t="s">
        <v>415</v>
      </c>
      <c r="FN125" s="15" t="s">
        <v>415</v>
      </c>
      <c r="FO125" s="15" t="s">
        <v>850</v>
      </c>
      <c r="FP125" s="15" t="s">
        <v>418</v>
      </c>
      <c r="FQ125" s="15" t="s">
        <v>419</v>
      </c>
      <c r="FR125" s="15"/>
      <c r="FS125" s="15" t="s">
        <v>995</v>
      </c>
      <c r="FT125" s="15" t="s">
        <v>488</v>
      </c>
      <c r="FU125" s="15" t="s">
        <v>918</v>
      </c>
      <c r="FV125" s="15" t="s">
        <v>490</v>
      </c>
      <c r="FW125" s="15" t="s">
        <v>491</v>
      </c>
      <c r="FX125" s="15" t="s">
        <v>3105</v>
      </c>
      <c r="FY125" s="15" t="s">
        <v>535</v>
      </c>
      <c r="FZ125" s="15" t="s">
        <v>3106</v>
      </c>
      <c r="GA125" s="15" t="s">
        <v>3107</v>
      </c>
      <c r="GB125" s="15" t="s">
        <v>455</v>
      </c>
      <c r="GC125" s="15"/>
      <c r="GD125" s="15"/>
      <c r="GE125" s="15" t="s">
        <v>753</v>
      </c>
      <c r="GF125" s="15" t="s">
        <v>3108</v>
      </c>
      <c r="GG125" s="15" t="s">
        <v>1000</v>
      </c>
      <c r="GH125" s="15" t="s">
        <v>1000</v>
      </c>
      <c r="GI125" s="15" t="s">
        <v>817</v>
      </c>
      <c r="GJ125" s="15"/>
      <c r="GK125" s="15"/>
      <c r="GL125" s="15"/>
      <c r="GM125" s="15" t="s">
        <v>1079</v>
      </c>
      <c r="GN125" s="15"/>
      <c r="GO125" s="15"/>
      <c r="GP125" s="15"/>
      <c r="GQ125" s="15"/>
      <c r="GR125" s="15"/>
      <c r="GS125" s="15"/>
      <c r="GT125" s="15"/>
      <c r="GU125" s="15"/>
      <c r="GV125" s="15"/>
      <c r="GW125" s="15"/>
      <c r="GX125" s="15"/>
      <c r="GY125" s="15"/>
      <c r="GZ125" s="15"/>
      <c r="HA125" s="15"/>
      <c r="HB125" s="15"/>
      <c r="HC125" s="15"/>
      <c r="HD125" s="15"/>
      <c r="HE125" s="15"/>
      <c r="HF125" s="15"/>
      <c r="HG125" s="15"/>
      <c r="HH125" s="15"/>
      <c r="HI125" s="15"/>
      <c r="HJ125" s="15"/>
      <c r="HK125" s="15"/>
      <c r="HL125" s="15"/>
      <c r="HM125" s="15"/>
      <c r="HN125" s="15"/>
      <c r="HO125" s="15"/>
      <c r="HP125" s="31"/>
      <c r="MX125" s="29" t="s">
        <v>894</v>
      </c>
      <c r="MY125" s="29" t="str">
        <f>IFERROR(__xludf.DUMMYFUNCTION("""COMPUTED_VALUE"""),"Alberta")</f>
        <v>Alberta</v>
      </c>
    </row>
    <row r="126" ht="16.5" customHeight="1">
      <c r="A126" s="30">
        <v>45829.49291922453</v>
      </c>
      <c r="B126" s="15" t="s">
        <v>368</v>
      </c>
      <c r="C126" s="15" t="s">
        <v>894</v>
      </c>
      <c r="D126" s="15" t="s">
        <v>894</v>
      </c>
      <c r="E126" s="15"/>
      <c r="F126" s="15"/>
      <c r="G126" s="15" t="s">
        <v>422</v>
      </c>
      <c r="H126" s="15"/>
      <c r="I126" s="15" t="s">
        <v>638</v>
      </c>
      <c r="J126" s="15" t="s">
        <v>1204</v>
      </c>
      <c r="K126" s="15" t="s">
        <v>376</v>
      </c>
      <c r="L126" s="15" t="s">
        <v>1526</v>
      </c>
      <c r="M126" s="15"/>
      <c r="N126" s="15" t="s">
        <v>1526</v>
      </c>
      <c r="O126" s="15"/>
      <c r="P126" s="15" t="s">
        <v>592</v>
      </c>
      <c r="Q126" s="15"/>
      <c r="R126" s="15" t="s">
        <v>949</v>
      </c>
      <c r="S126" s="15" t="s">
        <v>384</v>
      </c>
      <c r="T126" s="15" t="s">
        <v>385</v>
      </c>
      <c r="U126" s="15" t="s">
        <v>1241</v>
      </c>
      <c r="V126" s="15" t="s">
        <v>1241</v>
      </c>
      <c r="W126" s="15" t="s">
        <v>3014</v>
      </c>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t="s">
        <v>1242</v>
      </c>
      <c r="AW126" s="15"/>
      <c r="AX126" s="15"/>
      <c r="AY126" s="15"/>
      <c r="AZ126" s="15"/>
      <c r="BA126" s="15"/>
      <c r="BB126" s="15"/>
      <c r="BC126" s="15"/>
      <c r="BD126" s="15"/>
      <c r="BE126" s="15"/>
      <c r="BF126" s="15"/>
      <c r="BG126" s="15" t="s">
        <v>394</v>
      </c>
      <c r="BH126" s="15"/>
      <c r="BI126" s="15" t="s">
        <v>824</v>
      </c>
      <c r="BJ126" s="15"/>
      <c r="BK126" s="15" t="s">
        <v>511</v>
      </c>
      <c r="BL126" s="15"/>
      <c r="BM126" s="15" t="s">
        <v>1247</v>
      </c>
      <c r="BN126" s="15" t="s">
        <v>398</v>
      </c>
      <c r="BO126" s="15"/>
      <c r="BP126" s="15"/>
      <c r="BQ126" s="15" t="s">
        <v>442</v>
      </c>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t="s">
        <v>579</v>
      </c>
      <c r="EV126" s="15" t="s">
        <v>527</v>
      </c>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t="s">
        <v>491</v>
      </c>
      <c r="FX126" s="15"/>
      <c r="FY126" s="15" t="s">
        <v>535</v>
      </c>
      <c r="FZ126" s="15"/>
      <c r="GA126" s="15"/>
      <c r="GB126" s="15" t="s">
        <v>408</v>
      </c>
      <c r="GC126" s="15"/>
      <c r="GD126" s="15"/>
      <c r="GE126" s="15"/>
      <c r="GF126" s="15"/>
      <c r="GG126" s="15"/>
      <c r="GH126" s="15"/>
      <c r="GI126" s="15"/>
      <c r="GJ126" s="15"/>
      <c r="GK126" s="15" t="s">
        <v>755</v>
      </c>
      <c r="GL126" s="15" t="s">
        <v>946</v>
      </c>
      <c r="GM126" s="15"/>
      <c r="GN126" s="15"/>
      <c r="GO126" s="15"/>
      <c r="GP126" s="15"/>
      <c r="GQ126" s="15"/>
      <c r="GR126" s="15"/>
      <c r="GS126" s="15"/>
      <c r="GT126" s="15"/>
      <c r="GU126" s="15"/>
      <c r="GV126" s="15"/>
      <c r="GW126" s="15"/>
      <c r="GX126" s="15"/>
      <c r="GY126" s="15"/>
      <c r="GZ126" s="15"/>
      <c r="HA126" s="15"/>
      <c r="HB126" s="15"/>
      <c r="HC126" s="15"/>
      <c r="HD126" s="15"/>
      <c r="HE126" s="15"/>
      <c r="HF126" s="15"/>
      <c r="HG126" s="15"/>
      <c r="HH126" s="15"/>
      <c r="HI126" s="15"/>
      <c r="HJ126" s="15"/>
      <c r="HK126" s="15"/>
      <c r="HL126" s="15"/>
      <c r="HM126" s="15"/>
      <c r="HN126" s="15"/>
      <c r="HO126" s="15"/>
      <c r="HP126" s="31"/>
      <c r="MX126" s="29" t="s">
        <v>10402</v>
      </c>
      <c r="MY126" s="29" t="str">
        <f>IFERROR(__xludf.DUMMYFUNCTION("""COMPUTED_VALUE"""),"Wisconsin")</f>
        <v>Wisconsin</v>
      </c>
    </row>
    <row r="127" ht="16.5" customHeight="1">
      <c r="A127" s="30">
        <v>45829.585866458336</v>
      </c>
      <c r="B127" s="15" t="s">
        <v>368</v>
      </c>
      <c r="C127" s="15" t="s">
        <v>370</v>
      </c>
      <c r="D127" s="15"/>
      <c r="E127" s="15" t="s">
        <v>1441</v>
      </c>
      <c r="F127" s="15"/>
      <c r="G127" s="15" t="s">
        <v>422</v>
      </c>
      <c r="H127" s="15" t="s">
        <v>496</v>
      </c>
      <c r="I127" s="15" t="s">
        <v>374</v>
      </c>
      <c r="J127" s="15" t="s">
        <v>375</v>
      </c>
      <c r="K127" s="15" t="s">
        <v>376</v>
      </c>
      <c r="L127" s="15" t="s">
        <v>793</v>
      </c>
      <c r="M127" s="15" t="s">
        <v>3109</v>
      </c>
      <c r="N127" s="15" t="s">
        <v>591</v>
      </c>
      <c r="O127" s="15" t="s">
        <v>380</v>
      </c>
      <c r="P127" s="15" t="s">
        <v>592</v>
      </c>
      <c r="Q127" s="15" t="s">
        <v>499</v>
      </c>
      <c r="R127" s="15" t="s">
        <v>949</v>
      </c>
      <c r="S127" s="15" t="s">
        <v>384</v>
      </c>
      <c r="T127" s="15" t="s">
        <v>385</v>
      </c>
      <c r="U127" s="15"/>
      <c r="V127" s="15"/>
      <c r="W127" s="15" t="s">
        <v>593</v>
      </c>
      <c r="X127" s="15" t="s">
        <v>387</v>
      </c>
      <c r="Y127" s="15" t="s">
        <v>388</v>
      </c>
      <c r="Z127" s="15" t="s">
        <v>543</v>
      </c>
      <c r="AA127" s="15" t="s">
        <v>3110</v>
      </c>
      <c r="AB127" s="15" t="s">
        <v>3111</v>
      </c>
      <c r="AC127" s="15"/>
      <c r="AD127" s="15"/>
      <c r="AE127" s="15"/>
      <c r="AF127" s="15"/>
      <c r="AG127" s="15"/>
      <c r="AH127" s="15"/>
      <c r="AI127" s="15"/>
      <c r="AJ127" s="15"/>
      <c r="AK127" s="15"/>
      <c r="AL127" s="15"/>
      <c r="AM127" s="15"/>
      <c r="AN127" s="15"/>
      <c r="AO127" s="15"/>
      <c r="AP127" s="15"/>
      <c r="AQ127" s="15"/>
      <c r="AR127" s="15"/>
      <c r="AS127" s="15"/>
      <c r="AT127" s="15"/>
      <c r="AU127" s="15"/>
      <c r="AV127" s="15" t="s">
        <v>1310</v>
      </c>
      <c r="AW127" s="15" t="s">
        <v>675</v>
      </c>
      <c r="AX127" s="15" t="s">
        <v>675</v>
      </c>
      <c r="AY127" s="15" t="s">
        <v>675</v>
      </c>
      <c r="AZ127" s="15" t="s">
        <v>675</v>
      </c>
      <c r="BA127" s="15" t="s">
        <v>675</v>
      </c>
      <c r="BB127" s="15" t="s">
        <v>675</v>
      </c>
      <c r="BC127" s="15" t="s">
        <v>3112</v>
      </c>
      <c r="BD127" s="15" t="s">
        <v>3113</v>
      </c>
      <c r="BE127" s="15" t="s">
        <v>3114</v>
      </c>
      <c r="BF127" s="15" t="s">
        <v>1095</v>
      </c>
      <c r="BG127" s="15" t="s">
        <v>725</v>
      </c>
      <c r="BH127" s="15" t="s">
        <v>3115</v>
      </c>
      <c r="BI127" s="15" t="s">
        <v>976</v>
      </c>
      <c r="BJ127" s="15" t="s">
        <v>3116</v>
      </c>
      <c r="BK127" s="15" t="s">
        <v>437</v>
      </c>
      <c r="BL127" s="15" t="s">
        <v>904</v>
      </c>
      <c r="BM127" s="15" t="s">
        <v>1314</v>
      </c>
      <c r="BN127" s="15" t="s">
        <v>440</v>
      </c>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t="s">
        <v>441</v>
      </c>
      <c r="CM127" s="15" t="s">
        <v>604</v>
      </c>
      <c r="CN127" s="15" t="s">
        <v>3117</v>
      </c>
      <c r="CO127" s="15" t="s">
        <v>3118</v>
      </c>
      <c r="CP127" s="15" t="s">
        <v>445</v>
      </c>
      <c r="CQ127" s="15" t="s">
        <v>3119</v>
      </c>
      <c r="CR127" s="15" t="s">
        <v>447</v>
      </c>
      <c r="CS127" s="15" t="s">
        <v>3120</v>
      </c>
      <c r="CT127" s="15" t="s">
        <v>3121</v>
      </c>
      <c r="CU127" s="15" t="s">
        <v>450</v>
      </c>
      <c r="CV127" s="15" t="s">
        <v>451</v>
      </c>
      <c r="CW127" s="15" t="s">
        <v>3122</v>
      </c>
      <c r="CX127" s="15" t="s">
        <v>455</v>
      </c>
      <c r="CY127" s="15" t="s">
        <v>3123</v>
      </c>
      <c r="CZ127" s="15" t="s">
        <v>453</v>
      </c>
      <c r="DA127" s="15" t="s">
        <v>3124</v>
      </c>
      <c r="DB127" s="15" t="s">
        <v>455</v>
      </c>
      <c r="DC127" s="15" t="s">
        <v>3125</v>
      </c>
      <c r="DD127" s="15" t="s">
        <v>662</v>
      </c>
      <c r="DE127" s="15"/>
      <c r="DF127" s="15" t="s">
        <v>3126</v>
      </c>
      <c r="DG127" s="15" t="s">
        <v>524</v>
      </c>
      <c r="DH127" s="15" t="s">
        <v>410</v>
      </c>
      <c r="DI127" s="15" t="s">
        <v>459</v>
      </c>
      <c r="DJ127" s="15" t="s">
        <v>562</v>
      </c>
      <c r="DK127" s="15" t="s">
        <v>461</v>
      </c>
      <c r="DL127" s="15"/>
      <c r="DM127" s="15" t="s">
        <v>3127</v>
      </c>
      <c r="DN127" s="15" t="s">
        <v>3128</v>
      </c>
      <c r="DO127" s="15" t="s">
        <v>464</v>
      </c>
      <c r="DP127" s="15" t="s">
        <v>3129</v>
      </c>
      <c r="DQ127" s="15" t="s">
        <v>466</v>
      </c>
      <c r="DR127" s="15" t="s">
        <v>3130</v>
      </c>
      <c r="DS127" s="15" t="s">
        <v>839</v>
      </c>
      <c r="DT127" s="15" t="s">
        <v>1580</v>
      </c>
      <c r="DU127" s="15" t="s">
        <v>3131</v>
      </c>
      <c r="DV127" s="15" t="s">
        <v>3132</v>
      </c>
      <c r="DW127" s="15" t="s">
        <v>622</v>
      </c>
      <c r="DX127" s="15" t="s">
        <v>3133</v>
      </c>
      <c r="DY127" s="15" t="s">
        <v>3134</v>
      </c>
      <c r="DZ127" s="15" t="s">
        <v>3135</v>
      </c>
      <c r="EA127" s="15" t="s">
        <v>475</v>
      </c>
      <c r="EB127" s="15" t="s">
        <v>845</v>
      </c>
      <c r="EC127" s="15" t="s">
        <v>3136</v>
      </c>
      <c r="ED127" s="15"/>
      <c r="EE127" s="15"/>
      <c r="EF127" s="15"/>
      <c r="EG127" s="15"/>
      <c r="EH127" s="15"/>
      <c r="EI127" s="15"/>
      <c r="EJ127" s="15"/>
      <c r="EK127" s="15"/>
      <c r="EL127" s="15"/>
      <c r="EM127" s="15"/>
      <c r="EN127" s="15"/>
      <c r="EO127" s="15"/>
      <c r="EP127" s="15"/>
      <c r="EQ127" s="15"/>
      <c r="ER127" s="15"/>
      <c r="ES127" s="15"/>
      <c r="ET127" s="15" t="s">
        <v>526</v>
      </c>
      <c r="EU127" s="15" t="s">
        <v>479</v>
      </c>
      <c r="EV127" s="15" t="s">
        <v>527</v>
      </c>
      <c r="EW127" s="15" t="s">
        <v>3137</v>
      </c>
      <c r="EX127" s="15" t="s">
        <v>3138</v>
      </c>
      <c r="EY127" s="15" t="s">
        <v>3139</v>
      </c>
      <c r="EZ127" s="15" t="s">
        <v>583</v>
      </c>
      <c r="FA127" s="15" t="s">
        <v>583</v>
      </c>
      <c r="FB127" s="15" t="s">
        <v>583</v>
      </c>
      <c r="FC127" s="15" t="s">
        <v>583</v>
      </c>
      <c r="FD127" s="15" t="s">
        <v>415</v>
      </c>
      <c r="FE127" s="15" t="s">
        <v>583</v>
      </c>
      <c r="FF127" s="15" t="s">
        <v>583</v>
      </c>
      <c r="FG127" s="15" t="s">
        <v>413</v>
      </c>
      <c r="FH127" s="15" t="s">
        <v>583</v>
      </c>
      <c r="FI127" s="15" t="s">
        <v>583</v>
      </c>
      <c r="FJ127" s="15" t="s">
        <v>583</v>
      </c>
      <c r="FK127" s="15" t="s">
        <v>413</v>
      </c>
      <c r="FL127" s="15" t="s">
        <v>583</v>
      </c>
      <c r="FM127" s="15" t="s">
        <v>413</v>
      </c>
      <c r="FN127" s="15" t="s">
        <v>583</v>
      </c>
      <c r="FO127" s="15" t="s">
        <v>417</v>
      </c>
      <c r="FP127" s="15" t="s">
        <v>418</v>
      </c>
      <c r="FQ127" s="15" t="s">
        <v>630</v>
      </c>
      <c r="FR127" s="15" t="s">
        <v>3140</v>
      </c>
      <c r="FS127" s="15" t="s">
        <v>420</v>
      </c>
      <c r="FT127" s="15" t="s">
        <v>488</v>
      </c>
      <c r="FU127" s="15" t="s">
        <v>533</v>
      </c>
      <c r="FV127" s="15" t="s">
        <v>490</v>
      </c>
      <c r="FW127" s="15" t="s">
        <v>491</v>
      </c>
      <c r="FX127" s="15" t="s">
        <v>3141</v>
      </c>
      <c r="FY127" s="15" t="s">
        <v>535</v>
      </c>
      <c r="FZ127" s="15" t="s">
        <v>3142</v>
      </c>
      <c r="GA127" s="15" t="s">
        <v>3143</v>
      </c>
      <c r="GB127" s="15" t="s">
        <v>455</v>
      </c>
      <c r="GC127" s="15"/>
      <c r="GD127" s="15"/>
      <c r="GE127" s="15" t="s">
        <v>1339</v>
      </c>
      <c r="GF127" s="15" t="s">
        <v>3144</v>
      </c>
      <c r="GG127" s="15" t="s">
        <v>755</v>
      </c>
      <c r="GH127" s="15" t="s">
        <v>755</v>
      </c>
      <c r="GI127" s="15" t="s">
        <v>817</v>
      </c>
      <c r="GJ127" s="15"/>
      <c r="GK127" s="15"/>
      <c r="GL127" s="15"/>
      <c r="GM127" s="15" t="s">
        <v>1079</v>
      </c>
      <c r="GN127" s="15"/>
      <c r="GO127" s="15"/>
      <c r="GP127" s="15"/>
      <c r="GQ127" s="15"/>
      <c r="GR127" s="15"/>
      <c r="GS127" s="15"/>
      <c r="GT127" s="15"/>
      <c r="GU127" s="15"/>
      <c r="GV127" s="15"/>
      <c r="GW127" s="15"/>
      <c r="GX127" s="15"/>
      <c r="GY127" s="15"/>
      <c r="GZ127" s="15"/>
      <c r="HA127" s="15"/>
      <c r="HB127" s="15"/>
      <c r="HC127" s="15"/>
      <c r="HD127" s="15"/>
      <c r="HE127" s="15"/>
      <c r="HF127" s="15"/>
      <c r="HG127" s="15"/>
      <c r="HH127" s="15"/>
      <c r="HI127" s="15"/>
      <c r="HJ127" s="15"/>
      <c r="HK127" s="15"/>
      <c r="HL127" s="15"/>
      <c r="HM127" s="15"/>
      <c r="HN127" s="15"/>
      <c r="HO127" s="15"/>
      <c r="HP127" s="31"/>
      <c r="MX127" s="29" t="s">
        <v>10402</v>
      </c>
      <c r="MY127" s="29" t="str">
        <f>IFERROR(__xludf.DUMMYFUNCTION("""COMPUTED_VALUE"""),"New York")</f>
        <v>New York</v>
      </c>
    </row>
    <row r="128" ht="16.5" customHeight="1">
      <c r="A128" s="30">
        <v>45829.606147847226</v>
      </c>
      <c r="B128" s="15" t="s">
        <v>368</v>
      </c>
      <c r="C128" s="15" t="s">
        <v>370</v>
      </c>
      <c r="D128" s="15"/>
      <c r="E128" s="15" t="s">
        <v>667</v>
      </c>
      <c r="F128" s="15"/>
      <c r="G128" s="15" t="s">
        <v>3145</v>
      </c>
      <c r="H128" s="15" t="s">
        <v>373</v>
      </c>
      <c r="I128" s="15" t="s">
        <v>374</v>
      </c>
      <c r="J128" s="15" t="s">
        <v>375</v>
      </c>
      <c r="K128" s="15" t="s">
        <v>376</v>
      </c>
      <c r="L128" s="15" t="s">
        <v>377</v>
      </c>
      <c r="M128" s="15" t="s">
        <v>378</v>
      </c>
      <c r="N128" s="15" t="s">
        <v>379</v>
      </c>
      <c r="O128" s="15" t="s">
        <v>380</v>
      </c>
      <c r="P128" s="15" t="s">
        <v>381</v>
      </c>
      <c r="Q128" s="15" t="s">
        <v>862</v>
      </c>
      <c r="R128" s="15" t="s">
        <v>500</v>
      </c>
      <c r="S128" s="15" t="s">
        <v>384</v>
      </c>
      <c r="T128" s="15" t="s">
        <v>385</v>
      </c>
      <c r="U128" s="15"/>
      <c r="V128" s="15"/>
      <c r="W128" s="15" t="s">
        <v>386</v>
      </c>
      <c r="X128" s="15" t="s">
        <v>387</v>
      </c>
      <c r="Y128" s="15" t="s">
        <v>1966</v>
      </c>
      <c r="Z128" s="15" t="s">
        <v>543</v>
      </c>
      <c r="AA128" s="15" t="s">
        <v>3146</v>
      </c>
      <c r="AB128" s="15" t="s">
        <v>3147</v>
      </c>
      <c r="AC128" s="15"/>
      <c r="AD128" s="15"/>
      <c r="AE128" s="15"/>
      <c r="AF128" s="15"/>
      <c r="AG128" s="15"/>
      <c r="AH128" s="15"/>
      <c r="AI128" s="15"/>
      <c r="AJ128" s="15"/>
      <c r="AK128" s="15"/>
      <c r="AL128" s="15"/>
      <c r="AM128" s="15"/>
      <c r="AN128" s="15"/>
      <c r="AO128" s="15"/>
      <c r="AP128" s="15"/>
      <c r="AQ128" s="15"/>
      <c r="AR128" s="15"/>
      <c r="AS128" s="15"/>
      <c r="AT128" s="15"/>
      <c r="AU128" s="15"/>
      <c r="AV128" s="15" t="s">
        <v>1242</v>
      </c>
      <c r="AW128" s="15" t="s">
        <v>675</v>
      </c>
      <c r="AX128" s="15">
        <v>4.0</v>
      </c>
      <c r="AY128" s="15" t="s">
        <v>391</v>
      </c>
      <c r="AZ128" s="15">
        <v>4.0</v>
      </c>
      <c r="BA128" s="15" t="s">
        <v>675</v>
      </c>
      <c r="BB128" s="15" t="s">
        <v>675</v>
      </c>
      <c r="BC128" s="15" t="s">
        <v>3148</v>
      </c>
      <c r="BD128" s="15" t="s">
        <v>3149</v>
      </c>
      <c r="BE128" s="15" t="s">
        <v>432</v>
      </c>
      <c r="BF128" s="15" t="s">
        <v>1095</v>
      </c>
      <c r="BG128" s="15" t="s">
        <v>394</v>
      </c>
      <c r="BH128" s="15" t="s">
        <v>3150</v>
      </c>
      <c r="BI128" s="15" t="s">
        <v>824</v>
      </c>
      <c r="BJ128" s="15"/>
      <c r="BK128" s="15" t="s">
        <v>395</v>
      </c>
      <c r="BL128" s="15" t="s">
        <v>396</v>
      </c>
      <c r="BM128" s="15" t="s">
        <v>1314</v>
      </c>
      <c r="BN128" s="15" t="s">
        <v>398</v>
      </c>
      <c r="BO128" s="15" t="s">
        <v>3151</v>
      </c>
      <c r="BP128" s="15" t="s">
        <v>3152</v>
      </c>
      <c r="BQ128" s="15" t="s">
        <v>604</v>
      </c>
      <c r="BR128" s="15" t="s">
        <v>3153</v>
      </c>
      <c r="BS128" s="15" t="s">
        <v>403</v>
      </c>
      <c r="BT128" s="15" t="s">
        <v>1672</v>
      </c>
      <c r="BU128" s="15" t="s">
        <v>405</v>
      </c>
      <c r="BV128" s="15"/>
      <c r="BW128" s="15" t="s">
        <v>406</v>
      </c>
      <c r="BX128" s="15" t="s">
        <v>407</v>
      </c>
      <c r="BY128" s="15" t="s">
        <v>408</v>
      </c>
      <c r="BZ128" s="15"/>
      <c r="CA128" s="15" t="s">
        <v>3154</v>
      </c>
      <c r="CB128" s="15" t="s">
        <v>3155</v>
      </c>
      <c r="CC128" s="15" t="s">
        <v>3156</v>
      </c>
      <c r="CD128" s="15" t="s">
        <v>1257</v>
      </c>
      <c r="CE128" s="15"/>
      <c r="CF128" s="15" t="s">
        <v>1258</v>
      </c>
      <c r="CG128" s="15"/>
      <c r="CH128" s="15" t="s">
        <v>1698</v>
      </c>
      <c r="CI128" s="15" t="s">
        <v>410</v>
      </c>
      <c r="CJ128" s="15" t="s">
        <v>3157</v>
      </c>
      <c r="CK128" s="15" t="s">
        <v>3158</v>
      </c>
      <c r="CL128" s="15"/>
      <c r="CM128" s="15"/>
      <c r="CN128" s="15"/>
      <c r="CO128" s="15"/>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c r="DZ128" s="15"/>
      <c r="EA128" s="15"/>
      <c r="EB128" s="15"/>
      <c r="EC128" s="15"/>
      <c r="ED128" s="15"/>
      <c r="EE128" s="15"/>
      <c r="EF128" s="15"/>
      <c r="EG128" s="15"/>
      <c r="EH128" s="15"/>
      <c r="EI128" s="15"/>
      <c r="EJ128" s="15"/>
      <c r="EK128" s="15"/>
      <c r="EL128" s="15"/>
      <c r="EM128" s="15"/>
      <c r="EN128" s="15"/>
      <c r="EO128" s="15"/>
      <c r="EP128" s="15"/>
      <c r="EQ128" s="15"/>
      <c r="ER128" s="15"/>
      <c r="ES128" s="15"/>
      <c r="ET128" s="15" t="s">
        <v>478</v>
      </c>
      <c r="EU128" s="15" t="s">
        <v>887</v>
      </c>
      <c r="EV128" s="15" t="s">
        <v>527</v>
      </c>
      <c r="EW128" s="15" t="s">
        <v>3159</v>
      </c>
      <c r="EX128" s="15" t="s">
        <v>3160</v>
      </c>
      <c r="EY128" s="15" t="s">
        <v>3161</v>
      </c>
      <c r="EZ128" s="15" t="s">
        <v>583</v>
      </c>
      <c r="FA128" s="15" t="s">
        <v>583</v>
      </c>
      <c r="FB128" s="15" t="s">
        <v>583</v>
      </c>
      <c r="FC128" s="15" t="s">
        <v>583</v>
      </c>
      <c r="FD128" s="15" t="s">
        <v>415</v>
      </c>
      <c r="FE128" s="15" t="s">
        <v>583</v>
      </c>
      <c r="FF128" s="15" t="s">
        <v>583</v>
      </c>
      <c r="FG128" s="15" t="s">
        <v>583</v>
      </c>
      <c r="FH128" s="15" t="s">
        <v>413</v>
      </c>
      <c r="FI128" s="15" t="s">
        <v>583</v>
      </c>
      <c r="FJ128" s="15" t="s">
        <v>583</v>
      </c>
      <c r="FK128" s="15" t="s">
        <v>583</v>
      </c>
      <c r="FL128" s="15" t="s">
        <v>583</v>
      </c>
      <c r="FM128" s="15" t="s">
        <v>484</v>
      </c>
      <c r="FN128" s="15" t="s">
        <v>484</v>
      </c>
      <c r="FO128" s="15" t="s">
        <v>417</v>
      </c>
      <c r="FP128" s="15" t="s">
        <v>418</v>
      </c>
      <c r="FQ128" s="15" t="s">
        <v>630</v>
      </c>
      <c r="FR128" s="15" t="s">
        <v>3162</v>
      </c>
      <c r="FS128" s="15" t="s">
        <v>420</v>
      </c>
      <c r="FT128" s="15" t="s">
        <v>488</v>
      </c>
      <c r="FU128" s="15" t="s">
        <v>533</v>
      </c>
      <c r="FV128" s="15" t="s">
        <v>490</v>
      </c>
      <c r="FW128" s="15" t="s">
        <v>491</v>
      </c>
      <c r="FX128" s="15" t="s">
        <v>3163</v>
      </c>
      <c r="FY128" s="15" t="s">
        <v>535</v>
      </c>
      <c r="FZ128" s="15" t="s">
        <v>3164</v>
      </c>
      <c r="GA128" s="15"/>
      <c r="GB128" s="15" t="s">
        <v>455</v>
      </c>
      <c r="GC128" s="15"/>
      <c r="GD128" s="15"/>
      <c r="GE128" s="15" t="s">
        <v>1339</v>
      </c>
      <c r="GF128" s="15" t="s">
        <v>3165</v>
      </c>
      <c r="GG128" s="15"/>
      <c r="GH128" s="15"/>
      <c r="GI128" s="15"/>
      <c r="GJ128" s="15" t="s">
        <v>857</v>
      </c>
      <c r="GK128" s="15" t="s">
        <v>857</v>
      </c>
      <c r="GL128" s="15" t="s">
        <v>790</v>
      </c>
      <c r="GM128" s="15"/>
      <c r="GN128" s="15"/>
      <c r="GO128" s="15"/>
      <c r="GP128" s="15"/>
      <c r="GQ128" s="15"/>
      <c r="GR128" s="15"/>
      <c r="GS128" s="15"/>
      <c r="GT128" s="15"/>
      <c r="GU128" s="15"/>
      <c r="GV128" s="15"/>
      <c r="GW128" s="15"/>
      <c r="GX128" s="15"/>
      <c r="GY128" s="15"/>
      <c r="GZ128" s="15"/>
      <c r="HA128" s="15"/>
      <c r="HB128" s="15"/>
      <c r="HC128" s="15"/>
      <c r="HD128" s="15"/>
      <c r="HE128" s="15"/>
      <c r="HF128" s="15"/>
      <c r="HG128" s="15"/>
      <c r="HH128" s="15"/>
      <c r="HI128" s="15"/>
      <c r="HJ128" s="15"/>
      <c r="HK128" s="15"/>
      <c r="HL128" s="15"/>
      <c r="HM128" s="15"/>
      <c r="HN128" s="15"/>
      <c r="HO128" s="15"/>
      <c r="HP128" s="31"/>
      <c r="MX128" s="29" t="s">
        <v>10402</v>
      </c>
      <c r="MY128" s="29" t="str">
        <f>IFERROR(__xludf.DUMMYFUNCTION("""COMPUTED_VALUE"""),"Texas")</f>
        <v>Texas</v>
      </c>
    </row>
    <row r="129" ht="16.5" customHeight="1">
      <c r="A129" s="30">
        <v>45829.64056644676</v>
      </c>
      <c r="B129" s="15" t="s">
        <v>368</v>
      </c>
      <c r="C129" s="15" t="s">
        <v>370</v>
      </c>
      <c r="D129" s="15"/>
      <c r="E129" s="15" t="s">
        <v>1510</v>
      </c>
      <c r="F129" s="15"/>
      <c r="G129" s="15" t="s">
        <v>422</v>
      </c>
      <c r="H129" s="15" t="s">
        <v>539</v>
      </c>
      <c r="I129" s="15" t="s">
        <v>424</v>
      </c>
      <c r="J129" s="15" t="s">
        <v>718</v>
      </c>
      <c r="K129" s="15" t="s">
        <v>376</v>
      </c>
      <c r="L129" s="15" t="s">
        <v>793</v>
      </c>
      <c r="M129" s="15" t="s">
        <v>639</v>
      </c>
      <c r="N129" s="15" t="s">
        <v>670</v>
      </c>
      <c r="O129" s="15" t="s">
        <v>1024</v>
      </c>
      <c r="P129" s="15" t="s">
        <v>1760</v>
      </c>
      <c r="Q129" s="15" t="s">
        <v>1342</v>
      </c>
      <c r="R129" s="15" t="s">
        <v>427</v>
      </c>
      <c r="S129" s="15" t="s">
        <v>384</v>
      </c>
      <c r="T129" s="15" t="s">
        <v>385</v>
      </c>
      <c r="U129" s="15"/>
      <c r="V129" s="15"/>
      <c r="W129" s="15" t="s">
        <v>593</v>
      </c>
      <c r="X129" s="15" t="s">
        <v>1706</v>
      </c>
      <c r="Y129" s="15"/>
      <c r="Z129" s="15"/>
      <c r="AA129" s="15"/>
      <c r="AB129" s="15"/>
      <c r="AC129" s="15" t="s">
        <v>3166</v>
      </c>
      <c r="AD129" s="15" t="s">
        <v>1938</v>
      </c>
      <c r="AE129" s="15" t="s">
        <v>1143</v>
      </c>
      <c r="AF129" s="15"/>
      <c r="AG129" s="15">
        <v>1.0</v>
      </c>
      <c r="AH129" s="15" t="s">
        <v>1145</v>
      </c>
      <c r="AI129" s="15"/>
      <c r="AJ129" s="15"/>
      <c r="AK129" s="15" t="s">
        <v>396</v>
      </c>
      <c r="AL129" s="15"/>
      <c r="AM129" s="15"/>
      <c r="AN129" s="15"/>
      <c r="AO129" s="15"/>
      <c r="AP129" s="15"/>
      <c r="AQ129" s="15"/>
      <c r="AR129" s="15"/>
      <c r="AS129" s="15"/>
      <c r="AT129" s="15"/>
      <c r="AU129" s="15"/>
      <c r="AV129" s="15" t="s">
        <v>504</v>
      </c>
      <c r="AW129" s="15">
        <v>2.0</v>
      </c>
      <c r="AX129" s="15" t="s">
        <v>429</v>
      </c>
      <c r="AY129" s="15">
        <v>2.0</v>
      </c>
      <c r="AZ129" s="15" t="s">
        <v>429</v>
      </c>
      <c r="BA129" s="15">
        <v>2.0</v>
      </c>
      <c r="BB129" s="15">
        <v>2.0</v>
      </c>
      <c r="BC129" s="15"/>
      <c r="BD129" s="15"/>
      <c r="BE129" s="15" t="s">
        <v>392</v>
      </c>
      <c r="BF129" s="15" t="s">
        <v>393</v>
      </c>
      <c r="BG129" s="15" t="s">
        <v>678</v>
      </c>
      <c r="BH129" s="15"/>
      <c r="BI129" s="15" t="s">
        <v>727</v>
      </c>
      <c r="BJ129" s="15"/>
      <c r="BK129" s="15" t="s">
        <v>395</v>
      </c>
      <c r="BL129" s="15"/>
      <c r="BM129" s="15" t="s">
        <v>439</v>
      </c>
      <c r="BN129" s="15" t="s">
        <v>440</v>
      </c>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t="s">
        <v>953</v>
      </c>
      <c r="CM129" s="15" t="s">
        <v>604</v>
      </c>
      <c r="CN129" s="15"/>
      <c r="CO129" s="15"/>
      <c r="CP129" s="15" t="s">
        <v>445</v>
      </c>
      <c r="CQ129" s="15" t="s">
        <v>2064</v>
      </c>
      <c r="CR129" s="15" t="s">
        <v>404</v>
      </c>
      <c r="CS129" s="15" t="s">
        <v>1147</v>
      </c>
      <c r="CT129" s="15"/>
      <c r="CU129" s="15" t="s">
        <v>3167</v>
      </c>
      <c r="CV129" s="15" t="s">
        <v>451</v>
      </c>
      <c r="CW129" s="15"/>
      <c r="CX129" s="15" t="s">
        <v>455</v>
      </c>
      <c r="CY129" s="15"/>
      <c r="CZ129" s="15" t="s">
        <v>453</v>
      </c>
      <c r="DA129" s="15"/>
      <c r="DB129" s="15" t="s">
        <v>455</v>
      </c>
      <c r="DC129" s="15" t="s">
        <v>3168</v>
      </c>
      <c r="DD129" s="15" t="s">
        <v>988</v>
      </c>
      <c r="DE129" s="15"/>
      <c r="DF129" s="15"/>
      <c r="DG129" s="15" t="s">
        <v>524</v>
      </c>
      <c r="DH129" s="15" t="s">
        <v>410</v>
      </c>
      <c r="DI129" s="15" t="s">
        <v>459</v>
      </c>
      <c r="DJ129" s="15" t="s">
        <v>1148</v>
      </c>
      <c r="DK129" s="15" t="s">
        <v>461</v>
      </c>
      <c r="DL129" s="15"/>
      <c r="DM129" s="15" t="s">
        <v>3169</v>
      </c>
      <c r="DN129" s="15" t="s">
        <v>3170</v>
      </c>
      <c r="DO129" s="15" t="s">
        <v>2956</v>
      </c>
      <c r="DP129" s="15"/>
      <c r="DQ129" s="15" t="s">
        <v>700</v>
      </c>
      <c r="DR129" s="15"/>
      <c r="DS129" s="15" t="s">
        <v>468</v>
      </c>
      <c r="DT129" s="15" t="s">
        <v>3171</v>
      </c>
      <c r="DU129" s="15"/>
      <c r="DV129" s="15"/>
      <c r="DW129" s="15" t="s">
        <v>573</v>
      </c>
      <c r="DX129" s="15"/>
      <c r="DY129" s="15"/>
      <c r="DZ129" s="15"/>
      <c r="EA129" s="15" t="s">
        <v>2960</v>
      </c>
      <c r="EB129" s="15" t="s">
        <v>626</v>
      </c>
      <c r="EC129" s="15"/>
      <c r="ED129" s="15"/>
      <c r="EE129" s="15"/>
      <c r="EF129" s="15"/>
      <c r="EG129" s="15"/>
      <c r="EH129" s="15"/>
      <c r="EI129" s="15"/>
      <c r="EJ129" s="15"/>
      <c r="EK129" s="15"/>
      <c r="EL129" s="15"/>
      <c r="EM129" s="15"/>
      <c r="EN129" s="15"/>
      <c r="EO129" s="15"/>
      <c r="EP129" s="15"/>
      <c r="EQ129" s="15"/>
      <c r="ER129" s="15"/>
      <c r="ES129" s="15"/>
      <c r="ET129" s="15" t="s">
        <v>478</v>
      </c>
      <c r="EU129" s="15" t="s">
        <v>1127</v>
      </c>
      <c r="EV129" s="15" t="s">
        <v>1534</v>
      </c>
      <c r="EW129" s="15"/>
      <c r="EX129" s="15"/>
      <c r="EY129" s="15"/>
      <c r="EZ129" s="15" t="s">
        <v>415</v>
      </c>
      <c r="FA129" s="15" t="s">
        <v>415</v>
      </c>
      <c r="FB129" s="15" t="s">
        <v>413</v>
      </c>
      <c r="FC129" s="15" t="s">
        <v>413</v>
      </c>
      <c r="FD129" s="15" t="s">
        <v>413</v>
      </c>
      <c r="FE129" s="15" t="s">
        <v>415</v>
      </c>
      <c r="FF129" s="15" t="s">
        <v>413</v>
      </c>
      <c r="FG129" s="15" t="s">
        <v>413</v>
      </c>
      <c r="FH129" s="15" t="s">
        <v>415</v>
      </c>
      <c r="FI129" s="15" t="s">
        <v>416</v>
      </c>
      <c r="FJ129" s="15" t="s">
        <v>413</v>
      </c>
      <c r="FK129" s="15" t="s">
        <v>415</v>
      </c>
      <c r="FL129" s="15" t="s">
        <v>415</v>
      </c>
      <c r="FM129" s="15" t="s">
        <v>415</v>
      </c>
      <c r="FN129" s="15" t="s">
        <v>415</v>
      </c>
      <c r="FO129" s="15" t="s">
        <v>850</v>
      </c>
      <c r="FP129" s="15" t="s">
        <v>418</v>
      </c>
      <c r="FQ129" s="15" t="s">
        <v>419</v>
      </c>
      <c r="FR129" s="15"/>
      <c r="FS129" s="15" t="s">
        <v>420</v>
      </c>
      <c r="FT129" s="15" t="s">
        <v>1462</v>
      </c>
      <c r="FU129" s="15" t="s">
        <v>533</v>
      </c>
      <c r="FV129" s="15" t="s">
        <v>490</v>
      </c>
      <c r="FW129" s="15" t="s">
        <v>491</v>
      </c>
      <c r="FX129" s="15"/>
      <c r="FY129" s="15" t="s">
        <v>535</v>
      </c>
      <c r="FZ129" s="15"/>
      <c r="GA129" s="15"/>
      <c r="GB129" s="15" t="s">
        <v>408</v>
      </c>
      <c r="GC129" s="15"/>
      <c r="GD129" s="15"/>
      <c r="GE129" s="15"/>
      <c r="GF129" s="15"/>
      <c r="GG129" s="15" t="s">
        <v>755</v>
      </c>
      <c r="GH129" s="15" t="s">
        <v>755</v>
      </c>
      <c r="GI129" s="15" t="s">
        <v>817</v>
      </c>
      <c r="GJ129" s="15"/>
      <c r="GK129" s="15"/>
      <c r="GL129" s="15"/>
      <c r="GM129" s="15" t="s">
        <v>1079</v>
      </c>
      <c r="GN129" s="15"/>
      <c r="GO129" s="15"/>
      <c r="GP129" s="15"/>
      <c r="GQ129" s="15"/>
      <c r="GR129" s="15"/>
      <c r="GS129" s="15"/>
      <c r="GT129" s="15"/>
      <c r="GU129" s="15"/>
      <c r="GV129" s="15"/>
      <c r="GW129" s="15"/>
      <c r="GX129" s="15"/>
      <c r="GY129" s="15"/>
      <c r="GZ129" s="15"/>
      <c r="HA129" s="15"/>
      <c r="HB129" s="15"/>
      <c r="HC129" s="15"/>
      <c r="HD129" s="15"/>
      <c r="HE129" s="15"/>
      <c r="HF129" s="15"/>
      <c r="HG129" s="15"/>
      <c r="HH129" s="15"/>
      <c r="HI129" s="15"/>
      <c r="HJ129" s="15"/>
      <c r="HK129" s="15"/>
      <c r="HL129" s="15"/>
      <c r="HM129" s="15"/>
      <c r="HN129" s="15"/>
      <c r="HO129" s="15"/>
      <c r="HP129" s="31"/>
      <c r="MX129" s="29" t="s">
        <v>10402</v>
      </c>
      <c r="MY129" s="29" t="str">
        <f>IFERROR(__xludf.DUMMYFUNCTION("""COMPUTED_VALUE"""),"West Virginia")</f>
        <v>West Virginia</v>
      </c>
    </row>
    <row r="130" ht="16.5" customHeight="1">
      <c r="A130" s="30">
        <v>45829.679237766206</v>
      </c>
      <c r="B130" s="15" t="s">
        <v>368</v>
      </c>
      <c r="C130" s="15" t="s">
        <v>370</v>
      </c>
      <c r="D130" s="15"/>
      <c r="E130" s="15" t="s">
        <v>3172</v>
      </c>
      <c r="F130" s="15"/>
      <c r="G130" s="15" t="s">
        <v>422</v>
      </c>
      <c r="H130" s="15" t="s">
        <v>496</v>
      </c>
      <c r="I130" s="15" t="s">
        <v>374</v>
      </c>
      <c r="J130" s="15" t="s">
        <v>375</v>
      </c>
      <c r="K130" s="15" t="s">
        <v>376</v>
      </c>
      <c r="L130" s="15" t="s">
        <v>591</v>
      </c>
      <c r="M130" s="15" t="s">
        <v>639</v>
      </c>
      <c r="N130" s="15" t="s">
        <v>379</v>
      </c>
      <c r="O130" s="15" t="s">
        <v>2464</v>
      </c>
      <c r="P130" s="15" t="s">
        <v>381</v>
      </c>
      <c r="Q130" s="15" t="s">
        <v>862</v>
      </c>
      <c r="R130" s="15" t="s">
        <v>500</v>
      </c>
      <c r="S130" s="15" t="s">
        <v>384</v>
      </c>
      <c r="T130" s="15" t="s">
        <v>385</v>
      </c>
      <c r="U130" s="15"/>
      <c r="V130" s="15"/>
      <c r="W130" s="15" t="s">
        <v>3014</v>
      </c>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t="s">
        <v>1310</v>
      </c>
      <c r="AW130" s="15">
        <v>4.0</v>
      </c>
      <c r="AX130" s="15">
        <v>4.0</v>
      </c>
      <c r="AY130" s="15" t="s">
        <v>675</v>
      </c>
      <c r="AZ130" s="15">
        <v>4.0</v>
      </c>
      <c r="BA130" s="15">
        <v>4.0</v>
      </c>
      <c r="BB130" s="15" t="s">
        <v>675</v>
      </c>
      <c r="BC130" s="15" t="s">
        <v>3173</v>
      </c>
      <c r="BD130" s="15" t="s">
        <v>3174</v>
      </c>
      <c r="BE130" s="15" t="s">
        <v>432</v>
      </c>
      <c r="BF130" s="15" t="s">
        <v>1095</v>
      </c>
      <c r="BG130" s="15" t="s">
        <v>434</v>
      </c>
      <c r="BH130" s="15" t="s">
        <v>3175</v>
      </c>
      <c r="BI130" s="15" t="s">
        <v>727</v>
      </c>
      <c r="BJ130" s="15"/>
      <c r="BK130" s="15" t="s">
        <v>395</v>
      </c>
      <c r="BL130" s="15" t="s">
        <v>603</v>
      </c>
      <c r="BM130" s="15" t="s">
        <v>1247</v>
      </c>
      <c r="BN130" s="15" t="s">
        <v>398</v>
      </c>
      <c r="BO130" s="15" t="s">
        <v>3176</v>
      </c>
      <c r="BP130" s="15" t="s">
        <v>3177</v>
      </c>
      <c r="BQ130" s="15" t="s">
        <v>682</v>
      </c>
      <c r="BR130" s="15" t="s">
        <v>3020</v>
      </c>
      <c r="BS130" s="15" t="s">
        <v>403</v>
      </c>
      <c r="BT130" s="15" t="s">
        <v>404</v>
      </c>
      <c r="BU130" s="15" t="s">
        <v>1772</v>
      </c>
      <c r="BV130" s="15" t="s">
        <v>3178</v>
      </c>
      <c r="BW130" s="15" t="s">
        <v>406</v>
      </c>
      <c r="BX130" s="15" t="s">
        <v>407</v>
      </c>
      <c r="BY130" s="15" t="s">
        <v>408</v>
      </c>
      <c r="BZ130" s="15"/>
      <c r="CA130" s="15"/>
      <c r="CB130" s="15" t="s">
        <v>3179</v>
      </c>
      <c r="CC130" s="15" t="s">
        <v>3180</v>
      </c>
      <c r="CD130" s="15" t="s">
        <v>451</v>
      </c>
      <c r="CE130" s="15" t="s">
        <v>3181</v>
      </c>
      <c r="CF130" s="15" t="s">
        <v>1749</v>
      </c>
      <c r="CG130" s="15" t="s">
        <v>3182</v>
      </c>
      <c r="CH130" s="15" t="s">
        <v>1751</v>
      </c>
      <c r="CI130" s="15" t="s">
        <v>410</v>
      </c>
      <c r="CJ130" s="15" t="s">
        <v>3183</v>
      </c>
      <c r="CK130" s="15" t="s">
        <v>3184</v>
      </c>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t="s">
        <v>578</v>
      </c>
      <c r="EU130" s="15" t="s">
        <v>887</v>
      </c>
      <c r="EV130" s="15" t="s">
        <v>480</v>
      </c>
      <c r="EW130" s="15"/>
      <c r="EX130" s="15"/>
      <c r="EY130" s="15" t="s">
        <v>3185</v>
      </c>
      <c r="EZ130" s="15" t="s">
        <v>416</v>
      </c>
      <c r="FA130" s="15" t="s">
        <v>416</v>
      </c>
      <c r="FB130" s="15" t="s">
        <v>413</v>
      </c>
      <c r="FC130" s="15" t="s">
        <v>413</v>
      </c>
      <c r="FD130" s="15" t="s">
        <v>413</v>
      </c>
      <c r="FE130" s="15" t="s">
        <v>415</v>
      </c>
      <c r="FF130" s="15" t="s">
        <v>415</v>
      </c>
      <c r="FG130" s="15" t="s">
        <v>413</v>
      </c>
      <c r="FH130" s="15" t="s">
        <v>583</v>
      </c>
      <c r="FI130" s="15" t="s">
        <v>583</v>
      </c>
      <c r="FJ130" s="15" t="s">
        <v>416</v>
      </c>
      <c r="FK130" s="15" t="s">
        <v>415</v>
      </c>
      <c r="FL130" s="15" t="s">
        <v>415</v>
      </c>
      <c r="FM130" s="15" t="s">
        <v>416</v>
      </c>
      <c r="FN130" s="15" t="s">
        <v>414</v>
      </c>
      <c r="FO130" s="15" t="s">
        <v>1074</v>
      </c>
      <c r="FP130" s="15" t="s">
        <v>418</v>
      </c>
      <c r="FQ130" s="15" t="s">
        <v>749</v>
      </c>
      <c r="FR130" s="15" t="s">
        <v>3186</v>
      </c>
      <c r="FS130" s="15" t="s">
        <v>420</v>
      </c>
      <c r="FT130" s="15" t="s">
        <v>1462</v>
      </c>
      <c r="FU130" s="15" t="s">
        <v>533</v>
      </c>
      <c r="FV130" s="15" t="s">
        <v>490</v>
      </c>
      <c r="FW130" s="15" t="s">
        <v>491</v>
      </c>
      <c r="FX130" s="15"/>
      <c r="FY130" s="15" t="s">
        <v>493</v>
      </c>
      <c r="FZ130" s="15"/>
      <c r="GA130" s="15"/>
      <c r="GB130" s="15" t="s">
        <v>455</v>
      </c>
      <c r="GC130" s="15"/>
      <c r="GD130" s="15"/>
      <c r="GE130" s="15" t="s">
        <v>753</v>
      </c>
      <c r="GF130" s="15"/>
      <c r="GG130" s="15"/>
      <c r="GH130" s="15"/>
      <c r="GI130" s="15"/>
      <c r="GJ130" s="15" t="s">
        <v>755</v>
      </c>
      <c r="GK130" s="15" t="s">
        <v>755</v>
      </c>
      <c r="GL130" s="15" t="s">
        <v>817</v>
      </c>
      <c r="GM130" s="15"/>
      <c r="GN130" s="15"/>
      <c r="GO130" s="15"/>
      <c r="GP130" s="15"/>
      <c r="GQ130" s="15"/>
      <c r="GR130" s="15"/>
      <c r="GS130" s="15"/>
      <c r="GT130" s="15"/>
      <c r="GU130" s="15"/>
      <c r="GV130" s="15"/>
      <c r="GW130" s="15"/>
      <c r="GX130" s="15"/>
      <c r="GY130" s="15"/>
      <c r="GZ130" s="15"/>
      <c r="HA130" s="15"/>
      <c r="HB130" s="15"/>
      <c r="HC130" s="15"/>
      <c r="HD130" s="15"/>
      <c r="HE130" s="15"/>
      <c r="HF130" s="15"/>
      <c r="HG130" s="15"/>
      <c r="HH130" s="15"/>
      <c r="HI130" s="15"/>
      <c r="HJ130" s="15"/>
      <c r="HK130" s="15"/>
      <c r="HL130" s="15"/>
      <c r="HM130" s="15"/>
      <c r="HN130" s="15"/>
      <c r="HO130" s="15"/>
      <c r="HP130" s="31"/>
      <c r="MX130" s="29" t="s">
        <v>10402</v>
      </c>
      <c r="MY130" s="29" t="str">
        <f>IFERROR(__xludf.DUMMYFUNCTION("""COMPUTED_VALUE"""),"New York")</f>
        <v>New York</v>
      </c>
    </row>
    <row r="131" ht="16.5" customHeight="1">
      <c r="A131" s="30">
        <v>45829.99185576389</v>
      </c>
      <c r="B131" s="15" t="s">
        <v>368</v>
      </c>
      <c r="C131" s="15" t="s">
        <v>370</v>
      </c>
      <c r="D131" s="15"/>
      <c r="E131" s="15" t="s">
        <v>667</v>
      </c>
      <c r="F131" s="15"/>
      <c r="G131" s="15" t="s">
        <v>3187</v>
      </c>
      <c r="H131" s="15" t="s">
        <v>539</v>
      </c>
      <c r="I131" s="15" t="s">
        <v>424</v>
      </c>
      <c r="J131" s="15" t="s">
        <v>375</v>
      </c>
      <c r="K131" s="15" t="s">
        <v>376</v>
      </c>
      <c r="L131" s="15" t="s">
        <v>426</v>
      </c>
      <c r="M131" s="15" t="s">
        <v>2464</v>
      </c>
      <c r="N131" s="15" t="s">
        <v>426</v>
      </c>
      <c r="O131" s="15" t="s">
        <v>719</v>
      </c>
      <c r="P131" s="15" t="s">
        <v>592</v>
      </c>
      <c r="Q131" s="15" t="s">
        <v>862</v>
      </c>
      <c r="R131" s="15" t="s">
        <v>500</v>
      </c>
      <c r="S131" s="15" t="s">
        <v>384</v>
      </c>
      <c r="T131" s="15" t="s">
        <v>385</v>
      </c>
      <c r="U131" s="15"/>
      <c r="V131" s="15"/>
      <c r="W131" s="15" t="s">
        <v>3014</v>
      </c>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t="s">
        <v>504</v>
      </c>
      <c r="AW131" s="15" t="s">
        <v>429</v>
      </c>
      <c r="AX131" s="15" t="s">
        <v>429</v>
      </c>
      <c r="AY131" s="15" t="s">
        <v>429</v>
      </c>
      <c r="AZ131" s="15" t="s">
        <v>429</v>
      </c>
      <c r="BA131" s="15" t="s">
        <v>429</v>
      </c>
      <c r="BB131" s="15" t="s">
        <v>429</v>
      </c>
      <c r="BC131" s="15" t="s">
        <v>3188</v>
      </c>
      <c r="BD131" s="15" t="s">
        <v>3189</v>
      </c>
      <c r="BE131" s="15" t="s">
        <v>392</v>
      </c>
      <c r="BF131" s="15" t="s">
        <v>433</v>
      </c>
      <c r="BG131" s="15" t="s">
        <v>678</v>
      </c>
      <c r="BH131" s="15" t="s">
        <v>3190</v>
      </c>
      <c r="BI131" s="15" t="s">
        <v>509</v>
      </c>
      <c r="BJ131" s="15" t="s">
        <v>3191</v>
      </c>
      <c r="BK131" s="15" t="s">
        <v>511</v>
      </c>
      <c r="BL131" s="15" t="s">
        <v>512</v>
      </c>
      <c r="BM131" s="15" t="s">
        <v>439</v>
      </c>
      <c r="BN131" s="15" t="s">
        <v>513</v>
      </c>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t="s">
        <v>441</v>
      </c>
      <c r="CM131" s="15" t="s">
        <v>442</v>
      </c>
      <c r="CN131" s="15" t="s">
        <v>1277</v>
      </c>
      <c r="CO131" s="15" t="s">
        <v>3192</v>
      </c>
      <c r="CP131" s="15" t="s">
        <v>685</v>
      </c>
      <c r="CQ131" s="15" t="s">
        <v>3193</v>
      </c>
      <c r="CR131" s="15" t="s">
        <v>447</v>
      </c>
      <c r="CS131" s="15" t="s">
        <v>3194</v>
      </c>
      <c r="CT131" s="15" t="s">
        <v>3195</v>
      </c>
      <c r="CU131" s="15" t="s">
        <v>450</v>
      </c>
      <c r="CV131" s="15" t="s">
        <v>451</v>
      </c>
      <c r="CW131" s="15" t="s">
        <v>3196</v>
      </c>
      <c r="CX131" s="15" t="s">
        <v>408</v>
      </c>
      <c r="CY131" s="15"/>
      <c r="CZ131" s="15" t="s">
        <v>453</v>
      </c>
      <c r="DA131" s="15" t="s">
        <v>3197</v>
      </c>
      <c r="DB131" s="15" t="s">
        <v>455</v>
      </c>
      <c r="DC131" s="15" t="s">
        <v>3198</v>
      </c>
      <c r="DD131" s="15" t="s">
        <v>457</v>
      </c>
      <c r="DE131" s="15" t="s">
        <v>1368</v>
      </c>
      <c r="DF131" s="15" t="s">
        <v>3199</v>
      </c>
      <c r="DG131" s="15" t="s">
        <v>561</v>
      </c>
      <c r="DH131" s="15" t="s">
        <v>410</v>
      </c>
      <c r="DI131" s="15" t="s">
        <v>459</v>
      </c>
      <c r="DJ131" s="15" t="s">
        <v>613</v>
      </c>
      <c r="DK131" s="15"/>
      <c r="DL131" s="15"/>
      <c r="DM131" s="15"/>
      <c r="DN131" s="15"/>
      <c r="DO131" s="15"/>
      <c r="DP131" s="15"/>
      <c r="DQ131" s="15"/>
      <c r="DR131" s="15"/>
      <c r="DS131" s="15"/>
      <c r="DT131" s="15"/>
      <c r="DU131" s="15"/>
      <c r="DV131" s="15"/>
      <c r="DW131" s="15"/>
      <c r="DX131" s="15"/>
      <c r="DY131" s="15"/>
      <c r="DZ131" s="15"/>
      <c r="EA131" s="15"/>
      <c r="EB131" s="15"/>
      <c r="EC131" s="15"/>
      <c r="ED131" s="15"/>
      <c r="EE131" s="15"/>
      <c r="EF131" s="15"/>
      <c r="EG131" s="15"/>
      <c r="EH131" s="15"/>
      <c r="EI131" s="15"/>
      <c r="EJ131" s="15"/>
      <c r="EK131" s="15"/>
      <c r="EL131" s="15"/>
      <c r="EM131" s="15"/>
      <c r="EN131" s="15"/>
      <c r="EO131" s="15"/>
      <c r="EP131" s="15"/>
      <c r="EQ131" s="15"/>
      <c r="ER131" s="15"/>
      <c r="ES131" s="15"/>
      <c r="ET131" s="15" t="s">
        <v>526</v>
      </c>
      <c r="EU131" s="15" t="s">
        <v>887</v>
      </c>
      <c r="EV131" s="15" t="s">
        <v>480</v>
      </c>
      <c r="EW131" s="15" t="s">
        <v>3200</v>
      </c>
      <c r="EX131" s="15" t="s">
        <v>3201</v>
      </c>
      <c r="EY131" s="15" t="s">
        <v>3202</v>
      </c>
      <c r="EZ131" s="15" t="s">
        <v>413</v>
      </c>
      <c r="FA131" s="15" t="s">
        <v>413</v>
      </c>
      <c r="FB131" s="15" t="s">
        <v>413</v>
      </c>
      <c r="FC131" s="15" t="s">
        <v>413</v>
      </c>
      <c r="FD131" s="15" t="s">
        <v>413</v>
      </c>
      <c r="FE131" s="15" t="s">
        <v>413</v>
      </c>
      <c r="FF131" s="15" t="s">
        <v>413</v>
      </c>
      <c r="FG131" s="15" t="s">
        <v>413</v>
      </c>
      <c r="FH131" s="15" t="s">
        <v>413</v>
      </c>
      <c r="FI131" s="15"/>
      <c r="FJ131" s="15" t="s">
        <v>413</v>
      </c>
      <c r="FK131" s="15"/>
      <c r="FL131" s="15"/>
      <c r="FM131" s="15"/>
      <c r="FN131" s="15"/>
      <c r="FO131" s="15" t="s">
        <v>485</v>
      </c>
      <c r="FP131" s="15" t="s">
        <v>418</v>
      </c>
      <c r="FQ131" s="15" t="s">
        <v>531</v>
      </c>
      <c r="FR131" s="15" t="s">
        <v>3203</v>
      </c>
      <c r="FS131" s="15" t="s">
        <v>420</v>
      </c>
      <c r="FT131" s="15" t="s">
        <v>488</v>
      </c>
      <c r="FU131" s="15" t="s">
        <v>585</v>
      </c>
      <c r="FV131" s="15" t="s">
        <v>490</v>
      </c>
      <c r="FW131" s="15" t="s">
        <v>491</v>
      </c>
      <c r="FX131" s="15" t="s">
        <v>3204</v>
      </c>
      <c r="FY131" s="15" t="s">
        <v>535</v>
      </c>
      <c r="FZ131" s="15" t="s">
        <v>3205</v>
      </c>
      <c r="GA131" s="15" t="s">
        <v>3206</v>
      </c>
      <c r="GB131" s="15" t="s">
        <v>455</v>
      </c>
      <c r="GC131" s="15"/>
      <c r="GD131" s="15"/>
      <c r="GE131" s="15" t="s">
        <v>753</v>
      </c>
      <c r="GF131" s="15" t="s">
        <v>3207</v>
      </c>
      <c r="GG131" s="15" t="s">
        <v>755</v>
      </c>
      <c r="GH131" s="15" t="s">
        <v>755</v>
      </c>
      <c r="GI131" s="15" t="s">
        <v>946</v>
      </c>
      <c r="GJ131" s="15"/>
      <c r="GK131" s="15"/>
      <c r="GL131" s="15"/>
      <c r="GM131" s="15"/>
      <c r="GN131" s="15"/>
      <c r="GO131" s="15"/>
      <c r="GP131" s="15"/>
      <c r="GQ131" s="15" t="s">
        <v>3208</v>
      </c>
      <c r="GR131" s="15"/>
      <c r="GS131" s="15"/>
      <c r="GT131" s="15"/>
      <c r="GU131" s="15"/>
      <c r="GV131" s="15"/>
      <c r="GW131" s="15"/>
      <c r="GX131" s="15"/>
      <c r="GY131" s="15"/>
      <c r="GZ131" s="15"/>
      <c r="HA131" s="15"/>
      <c r="HB131" s="15"/>
      <c r="HC131" s="15"/>
      <c r="HD131" s="15"/>
      <c r="HE131" s="15"/>
      <c r="HF131" s="15"/>
      <c r="HG131" s="15"/>
      <c r="HH131" s="15"/>
      <c r="HI131" s="15"/>
      <c r="HJ131" s="15"/>
      <c r="HK131" s="15"/>
      <c r="HL131" s="15"/>
      <c r="HM131" s="15"/>
      <c r="HN131" s="15"/>
      <c r="HO131" s="15"/>
      <c r="HP131" s="31"/>
      <c r="MX131" s="29" t="s">
        <v>1341</v>
      </c>
      <c r="MY131" s="29" t="str">
        <f>IFERROR(__xludf.DUMMYFUNCTION("""COMPUTED_VALUE"""),"Germany")</f>
        <v>Germany</v>
      </c>
    </row>
    <row r="132" ht="16.5" customHeight="1">
      <c r="A132" s="30">
        <v>45829.99663518518</v>
      </c>
      <c r="B132" s="15" t="s">
        <v>368</v>
      </c>
      <c r="C132" s="15" t="s">
        <v>1341</v>
      </c>
      <c r="D132" s="15" t="s">
        <v>1341</v>
      </c>
      <c r="E132" s="15"/>
      <c r="F132" s="15"/>
      <c r="G132" s="15" t="s">
        <v>422</v>
      </c>
      <c r="H132" s="15" t="s">
        <v>1921</v>
      </c>
      <c r="I132" s="15" t="s">
        <v>668</v>
      </c>
      <c r="J132" s="15" t="s">
        <v>375</v>
      </c>
      <c r="K132" s="15" t="s">
        <v>376</v>
      </c>
      <c r="L132" s="15" t="s">
        <v>377</v>
      </c>
      <c r="M132" s="15" t="s">
        <v>497</v>
      </c>
      <c r="N132" s="15" t="s">
        <v>377</v>
      </c>
      <c r="O132" s="15" t="s">
        <v>497</v>
      </c>
      <c r="P132" s="15" t="s">
        <v>498</v>
      </c>
      <c r="Q132" s="15" t="s">
        <v>382</v>
      </c>
      <c r="R132" s="15" t="s">
        <v>427</v>
      </c>
      <c r="S132" s="15" t="s">
        <v>384</v>
      </c>
      <c r="T132" s="15" t="s">
        <v>385</v>
      </c>
      <c r="U132" s="15"/>
      <c r="V132" s="15"/>
      <c r="W132" s="15" t="s">
        <v>593</v>
      </c>
      <c r="X132" s="15" t="s">
        <v>387</v>
      </c>
      <c r="Y132" s="15" t="s">
        <v>388</v>
      </c>
      <c r="Z132" s="15" t="s">
        <v>389</v>
      </c>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t="s">
        <v>1242</v>
      </c>
      <c r="AW132" s="15">
        <v>4.0</v>
      </c>
      <c r="AX132" s="15" t="s">
        <v>675</v>
      </c>
      <c r="AY132" s="15">
        <v>4.0</v>
      </c>
      <c r="AZ132" s="15">
        <v>4.0</v>
      </c>
      <c r="BA132" s="15" t="s">
        <v>391</v>
      </c>
      <c r="BB132" s="15" t="s">
        <v>675</v>
      </c>
      <c r="BC132" s="15" t="s">
        <v>3209</v>
      </c>
      <c r="BD132" s="15" t="s">
        <v>3210</v>
      </c>
      <c r="BE132" s="15" t="s">
        <v>2379</v>
      </c>
      <c r="BF132" s="15" t="s">
        <v>1047</v>
      </c>
      <c r="BG132" s="15" t="s">
        <v>434</v>
      </c>
      <c r="BH132" s="15" t="s">
        <v>3211</v>
      </c>
      <c r="BI132" s="15" t="s">
        <v>976</v>
      </c>
      <c r="BJ132" s="15"/>
      <c r="BK132" s="15" t="s">
        <v>395</v>
      </c>
      <c r="BL132" s="15" t="s">
        <v>603</v>
      </c>
      <c r="BM132" s="15" t="s">
        <v>1314</v>
      </c>
      <c r="BN132" s="15" t="s">
        <v>513</v>
      </c>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t="s">
        <v>682</v>
      </c>
      <c r="CM132" s="15" t="s">
        <v>604</v>
      </c>
      <c r="CN132" s="15" t="s">
        <v>3212</v>
      </c>
      <c r="CO132" s="15" t="s">
        <v>3213</v>
      </c>
      <c r="CP132" s="15" t="s">
        <v>445</v>
      </c>
      <c r="CQ132" s="15" t="s">
        <v>3214</v>
      </c>
      <c r="CR132" s="15" t="s">
        <v>404</v>
      </c>
      <c r="CS132" s="15"/>
      <c r="CT132" s="15" t="s">
        <v>3215</v>
      </c>
      <c r="CU132" s="15" t="s">
        <v>982</v>
      </c>
      <c r="CV132" s="15" t="s">
        <v>959</v>
      </c>
      <c r="CW132" s="15" t="s">
        <v>2675</v>
      </c>
      <c r="CX132" s="15" t="s">
        <v>408</v>
      </c>
      <c r="CY132" s="15"/>
      <c r="CZ132" s="15" t="s">
        <v>1962</v>
      </c>
      <c r="DA132" s="15"/>
      <c r="DB132" s="15" t="s">
        <v>408</v>
      </c>
      <c r="DC132" s="15"/>
      <c r="DD132" s="15" t="s">
        <v>406</v>
      </c>
      <c r="DE132" s="15" t="s">
        <v>1058</v>
      </c>
      <c r="DF132" s="15"/>
      <c r="DG132" s="15" t="s">
        <v>990</v>
      </c>
      <c r="DH132" s="15" t="s">
        <v>410</v>
      </c>
      <c r="DI132" s="15" t="s">
        <v>459</v>
      </c>
      <c r="DJ132" s="15" t="s">
        <v>613</v>
      </c>
      <c r="DK132" s="15"/>
      <c r="DL132" s="15"/>
      <c r="DM132" s="15"/>
      <c r="DN132" s="15"/>
      <c r="DO132" s="15"/>
      <c r="DP132" s="15"/>
      <c r="DQ132" s="15"/>
      <c r="DR132" s="15"/>
      <c r="DS132" s="15"/>
      <c r="DT132" s="15"/>
      <c r="DU132" s="15"/>
      <c r="DV132" s="15"/>
      <c r="DW132" s="15"/>
      <c r="DX132" s="15"/>
      <c r="DY132" s="15"/>
      <c r="DZ132" s="15"/>
      <c r="EA132" s="15"/>
      <c r="EB132" s="15"/>
      <c r="EC132" s="15"/>
      <c r="ED132" s="15"/>
      <c r="EE132" s="15"/>
      <c r="EF132" s="15"/>
      <c r="EG132" s="15"/>
      <c r="EH132" s="15"/>
      <c r="EI132" s="15"/>
      <c r="EJ132" s="15"/>
      <c r="EK132" s="15"/>
      <c r="EL132" s="15"/>
      <c r="EM132" s="15"/>
      <c r="EN132" s="15"/>
      <c r="EO132" s="15"/>
      <c r="EP132" s="15"/>
      <c r="EQ132" s="15"/>
      <c r="ER132" s="15"/>
      <c r="ES132" s="15"/>
      <c r="ET132" s="15" t="s">
        <v>578</v>
      </c>
      <c r="EU132" s="15" t="s">
        <v>579</v>
      </c>
      <c r="EV132" s="15" t="s">
        <v>480</v>
      </c>
      <c r="EW132" s="15"/>
      <c r="EX132" s="15" t="s">
        <v>3216</v>
      </c>
      <c r="EY132" s="15" t="s">
        <v>3217</v>
      </c>
      <c r="EZ132" s="15" t="s">
        <v>583</v>
      </c>
      <c r="FA132" s="15" t="s">
        <v>415</v>
      </c>
      <c r="FB132" s="15" t="s">
        <v>414</v>
      </c>
      <c r="FC132" s="15" t="s">
        <v>583</v>
      </c>
      <c r="FD132" s="15" t="s">
        <v>583</v>
      </c>
      <c r="FE132" s="15" t="s">
        <v>583</v>
      </c>
      <c r="FF132" s="15" t="s">
        <v>583</v>
      </c>
      <c r="FG132" s="15" t="s">
        <v>415</v>
      </c>
      <c r="FH132" s="15" t="s">
        <v>415</v>
      </c>
      <c r="FI132" s="15" t="s">
        <v>413</v>
      </c>
      <c r="FJ132" s="15" t="s">
        <v>415</v>
      </c>
      <c r="FK132" s="15" t="s">
        <v>414</v>
      </c>
      <c r="FL132" s="15" t="s">
        <v>414</v>
      </c>
      <c r="FM132" s="15" t="s">
        <v>414</v>
      </c>
      <c r="FN132" s="15" t="s">
        <v>415</v>
      </c>
      <c r="FO132" s="15" t="s">
        <v>1537</v>
      </c>
      <c r="FP132" s="15" t="s">
        <v>3218</v>
      </c>
      <c r="FQ132" s="15" t="s">
        <v>749</v>
      </c>
      <c r="FR132" s="15"/>
      <c r="FS132" s="15" t="s">
        <v>1871</v>
      </c>
      <c r="FT132" s="15" t="s">
        <v>2398</v>
      </c>
      <c r="FU132" s="15" t="s">
        <v>585</v>
      </c>
      <c r="FV132" s="15" t="s">
        <v>2399</v>
      </c>
      <c r="FW132" s="15" t="s">
        <v>1853</v>
      </c>
      <c r="FX132" s="15"/>
      <c r="FY132" s="15" t="s">
        <v>1854</v>
      </c>
      <c r="FZ132" s="15"/>
      <c r="GA132" s="15"/>
      <c r="GB132" s="15" t="s">
        <v>455</v>
      </c>
      <c r="GC132" s="15"/>
      <c r="GD132" s="15"/>
      <c r="GE132" s="15" t="s">
        <v>855</v>
      </c>
      <c r="GF132" s="15" t="s">
        <v>3219</v>
      </c>
      <c r="GG132" s="15" t="s">
        <v>755</v>
      </c>
      <c r="GH132" s="15" t="s">
        <v>1000</v>
      </c>
      <c r="GI132" s="15" t="s">
        <v>946</v>
      </c>
      <c r="GJ132" s="15"/>
      <c r="GK132" s="15"/>
      <c r="GL132" s="15"/>
      <c r="GM132" s="15"/>
      <c r="GN132" s="15" t="s">
        <v>3220</v>
      </c>
      <c r="GO132" s="15" t="s">
        <v>3220</v>
      </c>
      <c r="GP132" s="15"/>
      <c r="GQ132" s="15" t="s">
        <v>3208</v>
      </c>
      <c r="GR132" s="15"/>
      <c r="GS132" s="15"/>
      <c r="GT132" s="15"/>
      <c r="GU132" s="15"/>
      <c r="GV132" s="15"/>
      <c r="GW132" s="15"/>
      <c r="GX132" s="15"/>
      <c r="GY132" s="15"/>
      <c r="GZ132" s="15"/>
      <c r="HA132" s="15"/>
      <c r="HB132" s="15"/>
      <c r="HC132" s="15"/>
      <c r="HD132" s="15"/>
      <c r="HE132" s="15"/>
      <c r="HF132" s="15"/>
      <c r="HG132" s="15"/>
      <c r="HH132" s="15"/>
      <c r="HI132" s="15"/>
      <c r="HJ132" s="15"/>
      <c r="HK132" s="15"/>
      <c r="HL132" s="15"/>
      <c r="HM132" s="15"/>
      <c r="HN132" s="15"/>
      <c r="HO132" s="15"/>
      <c r="HP132" s="31"/>
      <c r="MX132" s="29" t="s">
        <v>10402</v>
      </c>
      <c r="MY132" s="29" t="str">
        <f>IFERROR(__xludf.DUMMYFUNCTION("""COMPUTED_VALUE"""),"Pennsylvania")</f>
        <v>Pennsylvania</v>
      </c>
    </row>
    <row r="133" ht="16.5" customHeight="1">
      <c r="A133" s="30">
        <v>45830.26074947917</v>
      </c>
      <c r="B133" s="15" t="s">
        <v>368</v>
      </c>
      <c r="C133" s="15" t="s">
        <v>370</v>
      </c>
      <c r="D133" s="15"/>
      <c r="E133" s="15" t="s">
        <v>791</v>
      </c>
      <c r="F133" s="15"/>
      <c r="G133" s="15" t="s">
        <v>422</v>
      </c>
      <c r="H133" s="15" t="s">
        <v>637</v>
      </c>
      <c r="I133" s="15" t="s">
        <v>638</v>
      </c>
      <c r="J133" s="15" t="s">
        <v>590</v>
      </c>
      <c r="K133" s="15" t="s">
        <v>376</v>
      </c>
      <c r="L133" s="15" t="s">
        <v>591</v>
      </c>
      <c r="M133" s="15" t="s">
        <v>2464</v>
      </c>
      <c r="N133" s="15" t="s">
        <v>379</v>
      </c>
      <c r="O133" s="15" t="s">
        <v>2464</v>
      </c>
      <c r="P133" s="15" t="s">
        <v>592</v>
      </c>
      <c r="Q133" s="15" t="s">
        <v>382</v>
      </c>
      <c r="R133" s="15" t="s">
        <v>427</v>
      </c>
      <c r="S133" s="15" t="s">
        <v>384</v>
      </c>
      <c r="T133" s="15" t="s">
        <v>385</v>
      </c>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t="s">
        <v>1310</v>
      </c>
      <c r="AW133" s="15" t="s">
        <v>391</v>
      </c>
      <c r="AX133" s="15" t="s">
        <v>391</v>
      </c>
      <c r="AY133" s="15" t="s">
        <v>391</v>
      </c>
      <c r="AZ133" s="15" t="s">
        <v>391</v>
      </c>
      <c r="BA133" s="15" t="s">
        <v>391</v>
      </c>
      <c r="BB133" s="15" t="s">
        <v>391</v>
      </c>
      <c r="BC133" s="15" t="s">
        <v>3221</v>
      </c>
      <c r="BD133" s="15" t="s">
        <v>3222</v>
      </c>
      <c r="BE133" s="15" t="s">
        <v>432</v>
      </c>
      <c r="BF133" s="15" t="s">
        <v>1095</v>
      </c>
      <c r="BG133" s="15" t="s">
        <v>434</v>
      </c>
      <c r="BH133" s="15"/>
      <c r="BI133" s="15" t="s">
        <v>824</v>
      </c>
      <c r="BJ133" s="15"/>
      <c r="BK133" s="15" t="s">
        <v>511</v>
      </c>
      <c r="BL133" s="15" t="s">
        <v>396</v>
      </c>
      <c r="BM133" s="15" t="s">
        <v>1314</v>
      </c>
      <c r="BN133" s="15" t="s">
        <v>513</v>
      </c>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t="s">
        <v>441</v>
      </c>
      <c r="CM133" s="15" t="s">
        <v>401</v>
      </c>
      <c r="CN133" s="15" t="s">
        <v>3223</v>
      </c>
      <c r="CO133" s="15" t="s">
        <v>3224</v>
      </c>
      <c r="CP133" s="15" t="s">
        <v>403</v>
      </c>
      <c r="CQ133" s="15" t="s">
        <v>3225</v>
      </c>
      <c r="CR133" s="15" t="s">
        <v>447</v>
      </c>
      <c r="CS133" s="15" t="s">
        <v>1626</v>
      </c>
      <c r="CT133" s="15" t="s">
        <v>3226</v>
      </c>
      <c r="CU133" s="15" t="s">
        <v>982</v>
      </c>
      <c r="CV133" s="15" t="s">
        <v>409</v>
      </c>
      <c r="CW133" s="15" t="s">
        <v>3227</v>
      </c>
      <c r="CX133" s="15" t="s">
        <v>408</v>
      </c>
      <c r="CY133" s="15"/>
      <c r="CZ133" s="15" t="s">
        <v>1962</v>
      </c>
      <c r="DA133" s="15"/>
      <c r="DB133" s="15" t="s">
        <v>455</v>
      </c>
      <c r="DC133" s="15" t="s">
        <v>3228</v>
      </c>
      <c r="DD133" s="15" t="s">
        <v>406</v>
      </c>
      <c r="DE133" s="15" t="s">
        <v>407</v>
      </c>
      <c r="DF133" s="15"/>
      <c r="DG133" s="15" t="s">
        <v>776</v>
      </c>
      <c r="DH133" s="15" t="s">
        <v>1220</v>
      </c>
      <c r="DI133" s="15" t="s">
        <v>459</v>
      </c>
      <c r="DJ133" s="15" t="s">
        <v>613</v>
      </c>
      <c r="DK133" s="15"/>
      <c r="DL133" s="15"/>
      <c r="DM133" s="15"/>
      <c r="DN133" s="15"/>
      <c r="DO133" s="15"/>
      <c r="DP133" s="15"/>
      <c r="DQ133" s="15"/>
      <c r="DR133" s="15"/>
      <c r="DS133" s="15"/>
      <c r="DT133" s="15"/>
      <c r="DU133" s="15"/>
      <c r="DV133" s="15"/>
      <c r="DW133" s="15"/>
      <c r="DX133" s="15"/>
      <c r="DY133" s="15"/>
      <c r="DZ133" s="15"/>
      <c r="EA133" s="15"/>
      <c r="EB133" s="15"/>
      <c r="EC133" s="15"/>
      <c r="ED133" s="15"/>
      <c r="EE133" s="15"/>
      <c r="EF133" s="15"/>
      <c r="EG133" s="15"/>
      <c r="EH133" s="15"/>
      <c r="EI133" s="15"/>
      <c r="EJ133" s="15"/>
      <c r="EK133" s="15"/>
      <c r="EL133" s="15"/>
      <c r="EM133" s="15"/>
      <c r="EN133" s="15"/>
      <c r="EO133" s="15"/>
      <c r="EP133" s="15"/>
      <c r="EQ133" s="15"/>
      <c r="ER133" s="15"/>
      <c r="ES133" s="15"/>
      <c r="ET133" s="15" t="s">
        <v>578</v>
      </c>
      <c r="EU133" s="15" t="s">
        <v>479</v>
      </c>
      <c r="EV133" s="15" t="s">
        <v>1262</v>
      </c>
      <c r="EW133" s="15"/>
      <c r="EX133" s="15"/>
      <c r="EY133" s="15"/>
      <c r="EZ133" s="15" t="s">
        <v>414</v>
      </c>
      <c r="FA133" s="15" t="s">
        <v>414</v>
      </c>
      <c r="FB133" s="15" t="s">
        <v>413</v>
      </c>
      <c r="FC133" s="15" t="s">
        <v>414</v>
      </c>
      <c r="FD133" s="15" t="s">
        <v>413</v>
      </c>
      <c r="FE133" s="15" t="s">
        <v>484</v>
      </c>
      <c r="FF133" s="15" t="s">
        <v>415</v>
      </c>
      <c r="FG133" s="15" t="s">
        <v>415</v>
      </c>
      <c r="FH133" s="15" t="s">
        <v>415</v>
      </c>
      <c r="FI133" s="15" t="s">
        <v>415</v>
      </c>
      <c r="FJ133" s="15" t="s">
        <v>415</v>
      </c>
      <c r="FK133" s="15" t="s">
        <v>415</v>
      </c>
      <c r="FL133" s="15" t="s">
        <v>415</v>
      </c>
      <c r="FM133" s="15" t="s">
        <v>415</v>
      </c>
      <c r="FN133" s="15" t="s">
        <v>415</v>
      </c>
      <c r="FO133" s="15" t="s">
        <v>1074</v>
      </c>
      <c r="FP133" s="15" t="s">
        <v>418</v>
      </c>
      <c r="FQ133" s="15"/>
      <c r="FR133" s="15" t="s">
        <v>3229</v>
      </c>
      <c r="FS133" s="15" t="s">
        <v>1076</v>
      </c>
      <c r="FT133" s="15" t="s">
        <v>1462</v>
      </c>
      <c r="FU133" s="15" t="s">
        <v>533</v>
      </c>
      <c r="FV133" s="15" t="s">
        <v>2387</v>
      </c>
      <c r="FW133" s="15" t="s">
        <v>491</v>
      </c>
      <c r="FX133" s="15" t="s">
        <v>3230</v>
      </c>
      <c r="FY133" s="15" t="s">
        <v>493</v>
      </c>
      <c r="FZ133" s="15"/>
      <c r="GA133" s="15"/>
      <c r="GB133" s="15" t="s">
        <v>455</v>
      </c>
      <c r="GC133" s="15"/>
      <c r="GD133" s="15"/>
      <c r="GE133" s="15" t="s">
        <v>753</v>
      </c>
      <c r="GF133" s="15"/>
      <c r="GG133" s="15" t="s">
        <v>789</v>
      </c>
      <c r="GH133" s="15" t="s">
        <v>789</v>
      </c>
      <c r="GI133" s="15" t="s">
        <v>921</v>
      </c>
      <c r="GJ133" s="15"/>
      <c r="GK133" s="15"/>
      <c r="GL133" s="15"/>
      <c r="GM133" s="15"/>
      <c r="GN133" s="15"/>
      <c r="GO133" s="15"/>
      <c r="GP133" s="15"/>
      <c r="GQ133" s="15" t="s">
        <v>3208</v>
      </c>
      <c r="GR133" s="15"/>
      <c r="GS133" s="15"/>
      <c r="GT133" s="15"/>
      <c r="GU133" s="15"/>
      <c r="GV133" s="15"/>
      <c r="GW133" s="15"/>
      <c r="GX133" s="15"/>
      <c r="GY133" s="15"/>
      <c r="GZ133" s="15"/>
      <c r="HA133" s="15"/>
      <c r="HB133" s="15"/>
      <c r="HC133" s="15"/>
      <c r="HD133" s="15"/>
      <c r="HE133" s="15"/>
      <c r="HF133" s="15"/>
      <c r="HG133" s="15"/>
      <c r="HH133" s="15"/>
      <c r="HI133" s="15"/>
      <c r="HJ133" s="15"/>
      <c r="HK133" s="15"/>
      <c r="HL133" s="15"/>
      <c r="HM133" s="15"/>
      <c r="HN133" s="15"/>
      <c r="HO133" s="15"/>
      <c r="HP133" s="31"/>
      <c r="MX133" s="29" t="s">
        <v>10402</v>
      </c>
      <c r="MY133" s="29" t="str">
        <f>IFERROR(__xludf.DUMMYFUNCTION("""COMPUTED_VALUE"""),"Louisiana")</f>
        <v>Louisiana</v>
      </c>
    </row>
    <row r="134" ht="16.5" customHeight="1">
      <c r="A134" s="30">
        <v>45830.275929791664</v>
      </c>
      <c r="B134" s="15" t="s">
        <v>368</v>
      </c>
      <c r="C134" s="15" t="s">
        <v>370</v>
      </c>
      <c r="D134" s="15"/>
      <c r="E134" s="15" t="s">
        <v>1464</v>
      </c>
      <c r="F134" s="15"/>
      <c r="G134" s="15" t="s">
        <v>422</v>
      </c>
      <c r="H134" s="15" t="s">
        <v>423</v>
      </c>
      <c r="I134" s="15" t="s">
        <v>424</v>
      </c>
      <c r="J134" s="15" t="s">
        <v>375</v>
      </c>
      <c r="K134" s="15" t="s">
        <v>376</v>
      </c>
      <c r="L134" s="15" t="s">
        <v>379</v>
      </c>
      <c r="M134" s="15" t="s">
        <v>378</v>
      </c>
      <c r="N134" s="15" t="s">
        <v>379</v>
      </c>
      <c r="O134" s="15" t="s">
        <v>719</v>
      </c>
      <c r="P134" s="15" t="s">
        <v>498</v>
      </c>
      <c r="Q134" s="15" t="s">
        <v>1156</v>
      </c>
      <c r="R134" s="15" t="s">
        <v>427</v>
      </c>
      <c r="S134" s="15" t="s">
        <v>384</v>
      </c>
      <c r="T134" s="15" t="s">
        <v>385</v>
      </c>
      <c r="U134" s="15"/>
      <c r="V134" s="15"/>
      <c r="W134" s="15" t="s">
        <v>3231</v>
      </c>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t="s">
        <v>1242</v>
      </c>
      <c r="AW134" s="15" t="s">
        <v>391</v>
      </c>
      <c r="AX134" s="15" t="s">
        <v>391</v>
      </c>
      <c r="AY134" s="15" t="s">
        <v>429</v>
      </c>
      <c r="AZ134" s="15" t="s">
        <v>675</v>
      </c>
      <c r="BA134" s="15" t="s">
        <v>675</v>
      </c>
      <c r="BB134" s="15" t="s">
        <v>675</v>
      </c>
      <c r="BC134" s="15" t="s">
        <v>3232</v>
      </c>
      <c r="BD134" s="15" t="s">
        <v>3233</v>
      </c>
      <c r="BE134" s="15" t="s">
        <v>392</v>
      </c>
      <c r="BF134" s="15" t="s">
        <v>433</v>
      </c>
      <c r="BG134" s="15" t="s">
        <v>725</v>
      </c>
      <c r="BH134" s="15" t="s">
        <v>3234</v>
      </c>
      <c r="BI134" s="15" t="s">
        <v>435</v>
      </c>
      <c r="BJ134" s="15" t="s">
        <v>3235</v>
      </c>
      <c r="BK134" s="15" t="s">
        <v>602</v>
      </c>
      <c r="BL134" s="15" t="s">
        <v>512</v>
      </c>
      <c r="BM134" s="15" t="s">
        <v>1247</v>
      </c>
      <c r="BN134" s="15" t="s">
        <v>398</v>
      </c>
      <c r="BO134" s="15" t="s">
        <v>3236</v>
      </c>
      <c r="BP134" s="15" t="s">
        <v>3237</v>
      </c>
      <c r="BQ134" s="15" t="s">
        <v>442</v>
      </c>
      <c r="BR134" s="15" t="s">
        <v>3238</v>
      </c>
      <c r="BS134" s="15" t="s">
        <v>1251</v>
      </c>
      <c r="BT134" s="15" t="s">
        <v>1994</v>
      </c>
      <c r="BU134" s="15" t="s">
        <v>405</v>
      </c>
      <c r="BV134" s="15"/>
      <c r="BW134" s="15" t="s">
        <v>406</v>
      </c>
      <c r="BX134" s="15" t="s">
        <v>407</v>
      </c>
      <c r="BY134" s="15" t="s">
        <v>455</v>
      </c>
      <c r="BZ134" s="15" t="s">
        <v>3239</v>
      </c>
      <c r="CA134" s="15" t="s">
        <v>3240</v>
      </c>
      <c r="CB134" s="15" t="s">
        <v>3241</v>
      </c>
      <c r="CC134" s="15" t="s">
        <v>3242</v>
      </c>
      <c r="CD134" s="15" t="s">
        <v>409</v>
      </c>
      <c r="CE134" s="15" t="s">
        <v>3243</v>
      </c>
      <c r="CF134" s="15" t="s">
        <v>2233</v>
      </c>
      <c r="CG134" s="15" t="s">
        <v>3244</v>
      </c>
      <c r="CH134" s="15" t="s">
        <v>1259</v>
      </c>
      <c r="CI134" s="15" t="s">
        <v>410</v>
      </c>
      <c r="CJ134" s="15" t="s">
        <v>3245</v>
      </c>
      <c r="CK134" s="15" t="s">
        <v>3246</v>
      </c>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15"/>
      <c r="EA134" s="15"/>
      <c r="EB134" s="15"/>
      <c r="EC134" s="15"/>
      <c r="ED134" s="15"/>
      <c r="EE134" s="15"/>
      <c r="EF134" s="15"/>
      <c r="EG134" s="15"/>
      <c r="EH134" s="15"/>
      <c r="EI134" s="15"/>
      <c r="EJ134" s="15"/>
      <c r="EK134" s="15"/>
      <c r="EL134" s="15"/>
      <c r="EM134" s="15"/>
      <c r="EN134" s="15"/>
      <c r="EO134" s="15"/>
      <c r="EP134" s="15"/>
      <c r="EQ134" s="15"/>
      <c r="ER134" s="15"/>
      <c r="ES134" s="15"/>
      <c r="ET134" s="15" t="s">
        <v>526</v>
      </c>
      <c r="EU134" s="15" t="s">
        <v>479</v>
      </c>
      <c r="EV134" s="15" t="s">
        <v>480</v>
      </c>
      <c r="EW134" s="15" t="s">
        <v>3247</v>
      </c>
      <c r="EX134" s="15" t="s">
        <v>3248</v>
      </c>
      <c r="EY134" s="15" t="s">
        <v>3249</v>
      </c>
      <c r="EZ134" s="15" t="s">
        <v>583</v>
      </c>
      <c r="FA134" s="15" t="s">
        <v>583</v>
      </c>
      <c r="FB134" s="15" t="s">
        <v>414</v>
      </c>
      <c r="FC134" s="15" t="s">
        <v>583</v>
      </c>
      <c r="FD134" s="15" t="s">
        <v>416</v>
      </c>
      <c r="FE134" s="15" t="s">
        <v>583</v>
      </c>
      <c r="FF134" s="15" t="s">
        <v>414</v>
      </c>
      <c r="FG134" s="15" t="s">
        <v>583</v>
      </c>
      <c r="FH134" s="15" t="s">
        <v>415</v>
      </c>
      <c r="FI134" s="15" t="s">
        <v>583</v>
      </c>
      <c r="FJ134" s="15" t="s">
        <v>583</v>
      </c>
      <c r="FK134" s="15" t="s">
        <v>414</v>
      </c>
      <c r="FL134" s="15" t="s">
        <v>414</v>
      </c>
      <c r="FM134" s="15" t="s">
        <v>413</v>
      </c>
      <c r="FN134" s="15" t="s">
        <v>583</v>
      </c>
      <c r="FO134" s="15" t="s">
        <v>417</v>
      </c>
      <c r="FP134" s="15" t="s">
        <v>418</v>
      </c>
      <c r="FQ134" s="15" t="s">
        <v>419</v>
      </c>
      <c r="FR134" s="15" t="s">
        <v>3250</v>
      </c>
      <c r="FS134" s="15" t="s">
        <v>420</v>
      </c>
      <c r="FT134" s="15" t="s">
        <v>488</v>
      </c>
      <c r="FU134" s="15" t="s">
        <v>533</v>
      </c>
      <c r="FV134" s="15" t="s">
        <v>490</v>
      </c>
      <c r="FW134" s="15" t="s">
        <v>491</v>
      </c>
      <c r="FX134" s="15" t="s">
        <v>3251</v>
      </c>
      <c r="FY134" s="15" t="s">
        <v>535</v>
      </c>
      <c r="FZ134" s="15" t="s">
        <v>3252</v>
      </c>
      <c r="GA134" s="15" t="s">
        <v>3253</v>
      </c>
      <c r="GB134" s="15" t="s">
        <v>455</v>
      </c>
      <c r="GC134" s="15"/>
      <c r="GD134" s="15"/>
      <c r="GE134" s="15" t="s">
        <v>753</v>
      </c>
      <c r="GF134" s="15" t="s">
        <v>3254</v>
      </c>
      <c r="GG134" s="15"/>
      <c r="GH134" s="15"/>
      <c r="GI134" s="15"/>
      <c r="GJ134" s="15" t="s">
        <v>755</v>
      </c>
      <c r="GK134" s="15" t="s">
        <v>1000</v>
      </c>
      <c r="GL134" s="15" t="s">
        <v>946</v>
      </c>
      <c r="GM134" s="15"/>
      <c r="GN134" s="15"/>
      <c r="GO134" s="15"/>
      <c r="GP134" s="15" t="s">
        <v>387</v>
      </c>
      <c r="GQ134" s="15" t="s">
        <v>3255</v>
      </c>
      <c r="GR134" s="15"/>
      <c r="GS134" s="15"/>
      <c r="GT134" s="15"/>
      <c r="GU134" s="15"/>
      <c r="GV134" s="15"/>
      <c r="GW134" s="15"/>
      <c r="GX134" s="15"/>
      <c r="GY134" s="15"/>
      <c r="GZ134" s="15"/>
      <c r="HA134" s="15"/>
      <c r="HB134" s="15"/>
      <c r="HC134" s="15"/>
      <c r="HD134" s="15"/>
      <c r="HE134" s="15"/>
      <c r="HF134" s="15"/>
      <c r="HG134" s="15"/>
      <c r="HH134" s="15"/>
      <c r="HI134" s="15"/>
      <c r="HJ134" s="15"/>
      <c r="HK134" s="15"/>
      <c r="HL134" s="15"/>
      <c r="HM134" s="15"/>
      <c r="HN134" s="15"/>
      <c r="HO134" s="15"/>
      <c r="HP134" s="31"/>
      <c r="MX134" s="29" t="s">
        <v>10402</v>
      </c>
      <c r="MY134" s="29" t="str">
        <f>IFERROR(__xludf.DUMMYFUNCTION("""COMPUTED_VALUE"""),"Ohio")</f>
        <v>Ohio</v>
      </c>
    </row>
    <row r="135" ht="16.5" customHeight="1">
      <c r="A135" s="30">
        <v>45830.342906412036</v>
      </c>
      <c r="B135" s="15" t="s">
        <v>368</v>
      </c>
      <c r="C135" s="15" t="s">
        <v>370</v>
      </c>
      <c r="D135" s="15"/>
      <c r="E135" s="15" t="s">
        <v>495</v>
      </c>
      <c r="F135" s="15"/>
      <c r="G135" s="15" t="s">
        <v>422</v>
      </c>
      <c r="H135" s="15" t="s">
        <v>496</v>
      </c>
      <c r="I135" s="15" t="s">
        <v>374</v>
      </c>
      <c r="J135" s="15" t="s">
        <v>540</v>
      </c>
      <c r="K135" s="15" t="s">
        <v>376</v>
      </c>
      <c r="L135" s="15" t="s">
        <v>379</v>
      </c>
      <c r="M135" s="15" t="s">
        <v>719</v>
      </c>
      <c r="N135" s="15" t="s">
        <v>426</v>
      </c>
      <c r="O135" s="15" t="s">
        <v>671</v>
      </c>
      <c r="P135" s="15" t="s">
        <v>592</v>
      </c>
      <c r="Q135" s="15" t="s">
        <v>499</v>
      </c>
      <c r="R135" s="15" t="s">
        <v>427</v>
      </c>
      <c r="S135" s="15" t="s">
        <v>384</v>
      </c>
      <c r="T135" s="15" t="s">
        <v>385</v>
      </c>
      <c r="U135" s="15"/>
      <c r="V135" s="15"/>
      <c r="W135" s="15" t="s">
        <v>386</v>
      </c>
      <c r="X135" s="15" t="s">
        <v>387</v>
      </c>
      <c r="Y135" s="15" t="s">
        <v>388</v>
      </c>
      <c r="Z135" s="15" t="s">
        <v>543</v>
      </c>
      <c r="AA135" s="15" t="s">
        <v>3256</v>
      </c>
      <c r="AB135" s="15"/>
      <c r="AC135" s="15"/>
      <c r="AD135" s="15"/>
      <c r="AE135" s="15"/>
      <c r="AF135" s="15"/>
      <c r="AG135" s="15"/>
      <c r="AH135" s="15"/>
      <c r="AI135" s="15"/>
      <c r="AJ135" s="15"/>
      <c r="AK135" s="15"/>
      <c r="AL135" s="15"/>
      <c r="AM135" s="15"/>
      <c r="AN135" s="15"/>
      <c r="AO135" s="15"/>
      <c r="AP135" s="15"/>
      <c r="AQ135" s="15"/>
      <c r="AR135" s="15"/>
      <c r="AS135" s="15"/>
      <c r="AT135" s="15"/>
      <c r="AU135" s="15"/>
      <c r="AV135" s="15" t="s">
        <v>1242</v>
      </c>
      <c r="AW135" s="15" t="s">
        <v>675</v>
      </c>
      <c r="AX135" s="15" t="s">
        <v>675</v>
      </c>
      <c r="AY135" s="15" t="s">
        <v>675</v>
      </c>
      <c r="AZ135" s="15" t="s">
        <v>675</v>
      </c>
      <c r="BA135" s="15" t="s">
        <v>675</v>
      </c>
      <c r="BB135" s="15" t="s">
        <v>675</v>
      </c>
      <c r="BC135" s="15" t="s">
        <v>3257</v>
      </c>
      <c r="BD135" s="15" t="s">
        <v>3258</v>
      </c>
      <c r="BE135" s="15" t="s">
        <v>902</v>
      </c>
      <c r="BF135" s="15" t="s">
        <v>1245</v>
      </c>
      <c r="BG135" s="15" t="s">
        <v>394</v>
      </c>
      <c r="BH135" s="15" t="s">
        <v>3259</v>
      </c>
      <c r="BI135" s="15" t="s">
        <v>976</v>
      </c>
      <c r="BJ135" s="15"/>
      <c r="BK135" s="15" t="s">
        <v>681</v>
      </c>
      <c r="BL135" s="15" t="s">
        <v>904</v>
      </c>
      <c r="BM135" s="15" t="s">
        <v>1314</v>
      </c>
      <c r="BN135" s="15" t="s">
        <v>398</v>
      </c>
      <c r="BO135" s="15" t="s">
        <v>3260</v>
      </c>
      <c r="BP135" s="15" t="s">
        <v>3261</v>
      </c>
      <c r="BQ135" s="15" t="s">
        <v>401</v>
      </c>
      <c r="BR135" s="15" t="s">
        <v>1761</v>
      </c>
      <c r="BS135" s="15" t="s">
        <v>1692</v>
      </c>
      <c r="BT135" s="15" t="s">
        <v>1742</v>
      </c>
      <c r="BU135" s="15" t="s">
        <v>405</v>
      </c>
      <c r="BV135" s="15" t="s">
        <v>3262</v>
      </c>
      <c r="BW135" s="15" t="s">
        <v>988</v>
      </c>
      <c r="BX135" s="15"/>
      <c r="BY135" s="15" t="s">
        <v>408</v>
      </c>
      <c r="BZ135" s="15"/>
      <c r="CA135" s="15" t="s">
        <v>3263</v>
      </c>
      <c r="CB135" s="15" t="s">
        <v>3264</v>
      </c>
      <c r="CC135" s="15" t="s">
        <v>3265</v>
      </c>
      <c r="CD135" s="15" t="s">
        <v>409</v>
      </c>
      <c r="CE135" s="15" t="s">
        <v>3266</v>
      </c>
      <c r="CF135" s="15" t="s">
        <v>1258</v>
      </c>
      <c r="CG135" s="15"/>
      <c r="CH135" s="15" t="s">
        <v>1698</v>
      </c>
      <c r="CI135" s="15" t="s">
        <v>410</v>
      </c>
      <c r="CJ135" s="15" t="s">
        <v>3267</v>
      </c>
      <c r="CK135" s="15" t="s">
        <v>3268</v>
      </c>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t="s">
        <v>578</v>
      </c>
      <c r="EU135" s="15" t="s">
        <v>887</v>
      </c>
      <c r="EV135" s="15" t="s">
        <v>480</v>
      </c>
      <c r="EW135" s="15"/>
      <c r="EX135" s="15" t="s">
        <v>3269</v>
      </c>
      <c r="EY135" s="15" t="s">
        <v>3270</v>
      </c>
      <c r="EZ135" s="15" t="s">
        <v>414</v>
      </c>
      <c r="FA135" s="15" t="s">
        <v>583</v>
      </c>
      <c r="FB135" s="15" t="s">
        <v>413</v>
      </c>
      <c r="FC135" s="15" t="s">
        <v>583</v>
      </c>
      <c r="FD135" s="15" t="s">
        <v>413</v>
      </c>
      <c r="FE135" s="15" t="s">
        <v>414</v>
      </c>
      <c r="FF135" s="15" t="s">
        <v>414</v>
      </c>
      <c r="FG135" s="15" t="s">
        <v>416</v>
      </c>
      <c r="FH135" s="15" t="s">
        <v>414</v>
      </c>
      <c r="FI135" s="15" t="s">
        <v>414</v>
      </c>
      <c r="FJ135" s="15" t="s">
        <v>414</v>
      </c>
      <c r="FK135" s="15" t="s">
        <v>414</v>
      </c>
      <c r="FL135" s="15" t="s">
        <v>414</v>
      </c>
      <c r="FM135" s="15" t="s">
        <v>416</v>
      </c>
      <c r="FN135" s="15" t="s">
        <v>583</v>
      </c>
      <c r="FO135" s="15" t="s">
        <v>850</v>
      </c>
      <c r="FP135" s="15" t="s">
        <v>418</v>
      </c>
      <c r="FQ135" s="15" t="s">
        <v>419</v>
      </c>
      <c r="FR135" s="15" t="s">
        <v>3271</v>
      </c>
      <c r="FS135" s="15" t="s">
        <v>420</v>
      </c>
      <c r="FT135" s="15" t="s">
        <v>488</v>
      </c>
      <c r="FU135" s="15" t="s">
        <v>489</v>
      </c>
      <c r="FV135" s="15" t="s">
        <v>490</v>
      </c>
      <c r="FW135" s="15" t="s">
        <v>491</v>
      </c>
      <c r="FX135" s="15" t="s">
        <v>3272</v>
      </c>
      <c r="FY135" s="15" t="s">
        <v>535</v>
      </c>
      <c r="FZ135" s="15"/>
      <c r="GA135" s="15"/>
      <c r="GB135" s="15" t="s">
        <v>408</v>
      </c>
      <c r="GC135" s="15"/>
      <c r="GD135" s="15"/>
      <c r="GE135" s="15"/>
      <c r="GF135" s="15"/>
      <c r="GG135" s="15"/>
      <c r="GH135" s="15"/>
      <c r="GI135" s="15"/>
      <c r="GJ135" s="15" t="s">
        <v>755</v>
      </c>
      <c r="GK135" s="15" t="s">
        <v>755</v>
      </c>
      <c r="GL135" s="15" t="s">
        <v>817</v>
      </c>
      <c r="GM135" s="15"/>
      <c r="GN135" s="15"/>
      <c r="GO135" s="15"/>
      <c r="GP135" s="15"/>
      <c r="GQ135" s="15" t="s">
        <v>3273</v>
      </c>
      <c r="GR135" s="15"/>
      <c r="GS135" s="15"/>
      <c r="GT135" s="15"/>
      <c r="GU135" s="15"/>
      <c r="GV135" s="15"/>
      <c r="GW135" s="15"/>
      <c r="GX135" s="15"/>
      <c r="GY135" s="15"/>
      <c r="GZ135" s="15"/>
      <c r="HA135" s="15"/>
      <c r="HB135" s="15"/>
      <c r="HC135" s="15"/>
      <c r="HD135" s="15"/>
      <c r="HE135" s="15"/>
      <c r="HF135" s="15"/>
      <c r="HG135" s="15"/>
      <c r="HH135" s="15"/>
      <c r="HI135" s="15"/>
      <c r="HJ135" s="15"/>
      <c r="HK135" s="15"/>
      <c r="HL135" s="15"/>
      <c r="HM135" s="15"/>
      <c r="HN135" s="15"/>
      <c r="HO135" s="15"/>
      <c r="HP135" s="31"/>
      <c r="MX135" s="29" t="s">
        <v>10402</v>
      </c>
      <c r="MY135" s="29" t="str">
        <f>IFERROR(__xludf.DUMMYFUNCTION("""COMPUTED_VALUE"""),"New York")</f>
        <v>New York</v>
      </c>
    </row>
    <row r="136" ht="16.5" customHeight="1">
      <c r="A136" s="30">
        <v>45830.397428067125</v>
      </c>
      <c r="B136" s="15" t="s">
        <v>368</v>
      </c>
      <c r="C136" s="15" t="s">
        <v>370</v>
      </c>
      <c r="D136" s="15"/>
      <c r="E136" s="15" t="s">
        <v>667</v>
      </c>
      <c r="F136" s="15"/>
      <c r="G136" s="15" t="s">
        <v>422</v>
      </c>
      <c r="H136" s="15" t="s">
        <v>1307</v>
      </c>
      <c r="I136" s="15" t="s">
        <v>668</v>
      </c>
      <c r="J136" s="15" t="s">
        <v>375</v>
      </c>
      <c r="K136" s="15" t="s">
        <v>376</v>
      </c>
      <c r="L136" s="15" t="s">
        <v>379</v>
      </c>
      <c r="M136" s="15" t="s">
        <v>541</v>
      </c>
      <c r="N136" s="15" t="s">
        <v>379</v>
      </c>
      <c r="O136" s="15" t="s">
        <v>497</v>
      </c>
      <c r="P136" s="15" t="s">
        <v>381</v>
      </c>
      <c r="Q136" s="15" t="s">
        <v>499</v>
      </c>
      <c r="R136" s="15" t="s">
        <v>949</v>
      </c>
      <c r="S136" s="15" t="s">
        <v>384</v>
      </c>
      <c r="T136" s="15" t="s">
        <v>385</v>
      </c>
      <c r="U136" s="15"/>
      <c r="V136" s="15"/>
      <c r="W136" s="15" t="s">
        <v>386</v>
      </c>
      <c r="X136" s="15" t="s">
        <v>387</v>
      </c>
      <c r="Y136" s="15" t="s">
        <v>388</v>
      </c>
      <c r="Z136" s="15" t="s">
        <v>543</v>
      </c>
      <c r="AA136" s="15" t="s">
        <v>3274</v>
      </c>
      <c r="AB136" s="15" t="s">
        <v>3275</v>
      </c>
      <c r="AC136" s="15"/>
      <c r="AD136" s="15"/>
      <c r="AE136" s="15"/>
      <c r="AF136" s="15"/>
      <c r="AG136" s="15"/>
      <c r="AH136" s="15"/>
      <c r="AI136" s="15"/>
      <c r="AJ136" s="15"/>
      <c r="AK136" s="15"/>
      <c r="AL136" s="15"/>
      <c r="AM136" s="15"/>
      <c r="AN136" s="15"/>
      <c r="AO136" s="15"/>
      <c r="AP136" s="15"/>
      <c r="AQ136" s="15"/>
      <c r="AR136" s="15"/>
      <c r="AS136" s="15"/>
      <c r="AT136" s="15"/>
      <c r="AU136" s="15"/>
      <c r="AV136" s="15" t="s">
        <v>597</v>
      </c>
      <c r="AW136" s="15">
        <v>2.0</v>
      </c>
      <c r="AX136" s="15">
        <v>2.0</v>
      </c>
      <c r="AY136" s="15">
        <v>2.0</v>
      </c>
      <c r="AZ136" s="15">
        <v>2.0</v>
      </c>
      <c r="BA136" s="15">
        <v>2.0</v>
      </c>
      <c r="BB136" s="15">
        <v>2.0</v>
      </c>
      <c r="BC136" s="15" t="s">
        <v>3276</v>
      </c>
      <c r="BD136" s="15" t="s">
        <v>3277</v>
      </c>
      <c r="BE136" s="15" t="s">
        <v>392</v>
      </c>
      <c r="BF136" s="15" t="s">
        <v>1047</v>
      </c>
      <c r="BG136" s="15" t="s">
        <v>678</v>
      </c>
      <c r="BH136" s="15" t="s">
        <v>3278</v>
      </c>
      <c r="BI136" s="15" t="s">
        <v>509</v>
      </c>
      <c r="BJ136" s="15" t="s">
        <v>3279</v>
      </c>
      <c r="BK136" s="15" t="s">
        <v>437</v>
      </c>
      <c r="BL136" s="15" t="s">
        <v>904</v>
      </c>
      <c r="BM136" s="15" t="s">
        <v>1247</v>
      </c>
      <c r="BN136" s="15" t="s">
        <v>440</v>
      </c>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t="s">
        <v>550</v>
      </c>
      <c r="CM136" s="15" t="s">
        <v>604</v>
      </c>
      <c r="CN136" s="15" t="s">
        <v>3280</v>
      </c>
      <c r="CO136" s="15" t="s">
        <v>3281</v>
      </c>
      <c r="CP136" s="15" t="s">
        <v>445</v>
      </c>
      <c r="CQ136" s="15" t="s">
        <v>3282</v>
      </c>
      <c r="CR136" s="15" t="s">
        <v>804</v>
      </c>
      <c r="CS136" s="15" t="s">
        <v>3283</v>
      </c>
      <c r="CT136" s="15" t="s">
        <v>3284</v>
      </c>
      <c r="CU136" s="15" t="s">
        <v>519</v>
      </c>
      <c r="CV136" s="15" t="s">
        <v>451</v>
      </c>
      <c r="CW136" s="15" t="s">
        <v>3285</v>
      </c>
      <c r="CX136" s="15" t="s">
        <v>408</v>
      </c>
      <c r="CY136" s="15"/>
      <c r="CZ136" s="15" t="s">
        <v>453</v>
      </c>
      <c r="DA136" s="15" t="s">
        <v>3286</v>
      </c>
      <c r="DB136" s="15" t="s">
        <v>455</v>
      </c>
      <c r="DC136" s="15" t="s">
        <v>3287</v>
      </c>
      <c r="DD136" s="15" t="s">
        <v>988</v>
      </c>
      <c r="DE136" s="15"/>
      <c r="DF136" s="15" t="s">
        <v>3288</v>
      </c>
      <c r="DG136" s="15" t="s">
        <v>561</v>
      </c>
      <c r="DH136" s="15" t="s">
        <v>410</v>
      </c>
      <c r="DI136" s="15" t="s">
        <v>963</v>
      </c>
      <c r="DJ136" s="15" t="s">
        <v>460</v>
      </c>
      <c r="DK136" s="15" t="s">
        <v>461</v>
      </c>
      <c r="DL136" s="15"/>
      <c r="DM136" s="15" t="s">
        <v>2890</v>
      </c>
      <c r="DN136" s="15" t="s">
        <v>3289</v>
      </c>
      <c r="DO136" s="15" t="s">
        <v>1063</v>
      </c>
      <c r="DP136" s="15" t="s">
        <v>3290</v>
      </c>
      <c r="DQ136" s="15" t="s">
        <v>1578</v>
      </c>
      <c r="DR136" s="15" t="s">
        <v>3291</v>
      </c>
      <c r="DS136" s="15" t="s">
        <v>618</v>
      </c>
      <c r="DT136" s="15" t="s">
        <v>740</v>
      </c>
      <c r="DU136" s="15" t="s">
        <v>3292</v>
      </c>
      <c r="DV136" s="15" t="s">
        <v>3293</v>
      </c>
      <c r="DW136" s="15" t="s">
        <v>622</v>
      </c>
      <c r="DX136" s="15" t="s">
        <v>3294</v>
      </c>
      <c r="DY136" s="15" t="s">
        <v>3295</v>
      </c>
      <c r="DZ136" s="15" t="s">
        <v>3296</v>
      </c>
      <c r="EA136" s="15" t="s">
        <v>475</v>
      </c>
      <c r="EB136" s="15" t="s">
        <v>476</v>
      </c>
      <c r="EC136" s="15" t="s">
        <v>3297</v>
      </c>
      <c r="ED136" s="15"/>
      <c r="EE136" s="15"/>
      <c r="EF136" s="15"/>
      <c r="EG136" s="15"/>
      <c r="EH136" s="15"/>
      <c r="EI136" s="15"/>
      <c r="EJ136" s="15"/>
      <c r="EK136" s="15"/>
      <c r="EL136" s="15"/>
      <c r="EM136" s="15"/>
      <c r="EN136" s="15"/>
      <c r="EO136" s="15"/>
      <c r="EP136" s="15"/>
      <c r="EQ136" s="15"/>
      <c r="ER136" s="15"/>
      <c r="ES136" s="15"/>
      <c r="ET136" s="15" t="s">
        <v>526</v>
      </c>
      <c r="EU136" s="15" t="s">
        <v>1037</v>
      </c>
      <c r="EV136" s="15" t="s">
        <v>527</v>
      </c>
      <c r="EW136" s="15" t="s">
        <v>3298</v>
      </c>
      <c r="EX136" s="15" t="s">
        <v>3299</v>
      </c>
      <c r="EY136" s="15" t="s">
        <v>3300</v>
      </c>
      <c r="EZ136" s="15" t="s">
        <v>415</v>
      </c>
      <c r="FA136" s="15" t="s">
        <v>415</v>
      </c>
      <c r="FB136" s="15" t="s">
        <v>413</v>
      </c>
      <c r="FC136" s="15" t="s">
        <v>413</v>
      </c>
      <c r="FD136" s="15" t="s">
        <v>413</v>
      </c>
      <c r="FE136" s="15" t="s">
        <v>414</v>
      </c>
      <c r="FF136" s="15" t="s">
        <v>413</v>
      </c>
      <c r="FG136" s="15" t="s">
        <v>413</v>
      </c>
      <c r="FH136" s="15" t="s">
        <v>413</v>
      </c>
      <c r="FI136" s="15" t="s">
        <v>583</v>
      </c>
      <c r="FJ136" s="15" t="s">
        <v>413</v>
      </c>
      <c r="FK136" s="15" t="s">
        <v>415</v>
      </c>
      <c r="FL136" s="15" t="s">
        <v>415</v>
      </c>
      <c r="FM136" s="15" t="s">
        <v>416</v>
      </c>
      <c r="FN136" s="15" t="s">
        <v>583</v>
      </c>
      <c r="FO136" s="15" t="s">
        <v>850</v>
      </c>
      <c r="FP136" s="15" t="s">
        <v>418</v>
      </c>
      <c r="FQ136" s="15" t="s">
        <v>419</v>
      </c>
      <c r="FR136" s="15" t="s">
        <v>3301</v>
      </c>
      <c r="FS136" s="15" t="s">
        <v>420</v>
      </c>
      <c r="FT136" s="15" t="s">
        <v>488</v>
      </c>
      <c r="FU136" s="15" t="s">
        <v>533</v>
      </c>
      <c r="FV136" s="15" t="s">
        <v>490</v>
      </c>
      <c r="FW136" s="15" t="s">
        <v>491</v>
      </c>
      <c r="FX136" s="15" t="s">
        <v>3302</v>
      </c>
      <c r="FY136" s="15" t="s">
        <v>535</v>
      </c>
      <c r="FZ136" s="15" t="s">
        <v>3303</v>
      </c>
      <c r="GA136" s="15" t="s">
        <v>3304</v>
      </c>
      <c r="GB136" s="15" t="s">
        <v>455</v>
      </c>
      <c r="GC136" s="15"/>
      <c r="GD136" s="15"/>
      <c r="GE136" s="15" t="s">
        <v>855</v>
      </c>
      <c r="GF136" s="15" t="s">
        <v>3305</v>
      </c>
      <c r="GG136" s="15" t="s">
        <v>755</v>
      </c>
      <c r="GH136" s="15" t="s">
        <v>755</v>
      </c>
      <c r="GI136" s="15" t="s">
        <v>756</v>
      </c>
      <c r="GJ136" s="15"/>
      <c r="GK136" s="15"/>
      <c r="GL136" s="15"/>
      <c r="GM136" s="15" t="s">
        <v>1079</v>
      </c>
      <c r="GN136" s="15"/>
      <c r="GO136" s="15"/>
      <c r="GP136" s="15"/>
      <c r="GQ136" s="15" t="s">
        <v>3306</v>
      </c>
      <c r="GR136" s="15"/>
      <c r="GS136" s="15"/>
      <c r="GT136" s="15"/>
      <c r="GU136" s="15"/>
      <c r="GV136" s="15"/>
      <c r="GW136" s="15"/>
      <c r="GX136" s="15"/>
      <c r="GY136" s="15"/>
      <c r="GZ136" s="15"/>
      <c r="HA136" s="15"/>
      <c r="HB136" s="15"/>
      <c r="HC136" s="15"/>
      <c r="HD136" s="15"/>
      <c r="HE136" s="15"/>
      <c r="HF136" s="15"/>
      <c r="HG136" s="15"/>
      <c r="HH136" s="15"/>
      <c r="HI136" s="15"/>
      <c r="HJ136" s="15"/>
      <c r="HK136" s="15"/>
      <c r="HL136" s="15"/>
      <c r="HM136" s="15"/>
      <c r="HN136" s="15"/>
      <c r="HO136" s="15"/>
      <c r="HP136" s="31"/>
      <c r="MX136" s="29" t="s">
        <v>10402</v>
      </c>
      <c r="MY136" s="29" t="str">
        <f>IFERROR(__xludf.DUMMYFUNCTION("""COMPUTED_VALUE"""),"Wisconsin")</f>
        <v>Wisconsin</v>
      </c>
    </row>
    <row r="137" ht="16.5" customHeight="1">
      <c r="A137" s="30">
        <v>45830.414605439815</v>
      </c>
      <c r="B137" s="15" t="s">
        <v>368</v>
      </c>
      <c r="C137" s="15" t="s">
        <v>370</v>
      </c>
      <c r="D137" s="15"/>
      <c r="E137" s="15" t="s">
        <v>1441</v>
      </c>
      <c r="F137" s="15"/>
      <c r="G137" s="15" t="s">
        <v>422</v>
      </c>
      <c r="H137" s="15" t="s">
        <v>373</v>
      </c>
      <c r="I137" s="15" t="s">
        <v>638</v>
      </c>
      <c r="J137" s="15" t="s">
        <v>718</v>
      </c>
      <c r="K137" s="15" t="s">
        <v>376</v>
      </c>
      <c r="L137" s="15" t="s">
        <v>426</v>
      </c>
      <c r="M137" s="15" t="s">
        <v>378</v>
      </c>
      <c r="N137" s="15" t="s">
        <v>793</v>
      </c>
      <c r="O137" s="15" t="s">
        <v>1270</v>
      </c>
      <c r="P137" s="15" t="s">
        <v>592</v>
      </c>
      <c r="Q137" s="15" t="s">
        <v>499</v>
      </c>
      <c r="R137" s="15" t="s">
        <v>427</v>
      </c>
      <c r="S137" s="15" t="s">
        <v>384</v>
      </c>
      <c r="T137" s="15" t="s">
        <v>385</v>
      </c>
      <c r="U137" s="15"/>
      <c r="V137" s="15"/>
      <c r="W137" s="15" t="s">
        <v>386</v>
      </c>
      <c r="X137" s="15" t="s">
        <v>387</v>
      </c>
      <c r="Y137" s="15" t="s">
        <v>1824</v>
      </c>
      <c r="Z137" s="15" t="s">
        <v>543</v>
      </c>
      <c r="AA137" s="15" t="s">
        <v>3307</v>
      </c>
      <c r="AB137" s="15"/>
      <c r="AC137" s="15"/>
      <c r="AD137" s="15"/>
      <c r="AE137" s="15"/>
      <c r="AF137" s="15"/>
      <c r="AG137" s="15"/>
      <c r="AH137" s="15"/>
      <c r="AI137" s="15"/>
      <c r="AJ137" s="15"/>
      <c r="AK137" s="15"/>
      <c r="AL137" s="15"/>
      <c r="AM137" s="15"/>
      <c r="AN137" s="15"/>
      <c r="AO137" s="15"/>
      <c r="AP137" s="15"/>
      <c r="AQ137" s="15"/>
      <c r="AR137" s="15"/>
      <c r="AS137" s="15"/>
      <c r="AT137" s="15"/>
      <c r="AU137" s="15"/>
      <c r="AV137" s="15" t="s">
        <v>1242</v>
      </c>
      <c r="AW137" s="15" t="s">
        <v>675</v>
      </c>
      <c r="AX137" s="15" t="s">
        <v>675</v>
      </c>
      <c r="AY137" s="15" t="s">
        <v>675</v>
      </c>
      <c r="AZ137" s="15" t="s">
        <v>675</v>
      </c>
      <c r="BA137" s="15" t="s">
        <v>675</v>
      </c>
      <c r="BB137" s="15" t="s">
        <v>675</v>
      </c>
      <c r="BC137" s="15"/>
      <c r="BD137" s="15"/>
      <c r="BE137" s="15"/>
      <c r="BF137" s="15"/>
      <c r="BG137" s="15" t="s">
        <v>434</v>
      </c>
      <c r="BH137" s="15"/>
      <c r="BI137" s="15" t="s">
        <v>976</v>
      </c>
      <c r="BJ137" s="15"/>
      <c r="BK137" s="15" t="s">
        <v>681</v>
      </c>
      <c r="BL137" s="15" t="s">
        <v>603</v>
      </c>
      <c r="BM137" s="15" t="s">
        <v>1247</v>
      </c>
      <c r="BN137" s="15" t="s">
        <v>398</v>
      </c>
      <c r="BO137" s="15" t="s">
        <v>3308</v>
      </c>
      <c r="BP137" s="15" t="s">
        <v>3309</v>
      </c>
      <c r="BQ137" s="15" t="s">
        <v>442</v>
      </c>
      <c r="BR137" s="15" t="s">
        <v>3310</v>
      </c>
      <c r="BS137" s="15" t="s">
        <v>403</v>
      </c>
      <c r="BT137" s="15" t="s">
        <v>404</v>
      </c>
      <c r="BU137" s="15" t="s">
        <v>1772</v>
      </c>
      <c r="BV137" s="15" t="s">
        <v>3311</v>
      </c>
      <c r="BW137" s="15" t="s">
        <v>406</v>
      </c>
      <c r="BX137" s="15" t="s">
        <v>407</v>
      </c>
      <c r="BY137" s="15" t="s">
        <v>408</v>
      </c>
      <c r="BZ137" s="15"/>
      <c r="CA137" s="15"/>
      <c r="CB137" s="15" t="s">
        <v>3312</v>
      </c>
      <c r="CC137" s="15" t="s">
        <v>3313</v>
      </c>
      <c r="CD137" s="15" t="s">
        <v>1931</v>
      </c>
      <c r="CE137" s="15"/>
      <c r="CF137" s="15" t="s">
        <v>1258</v>
      </c>
      <c r="CG137" s="15"/>
      <c r="CH137" s="15" t="s">
        <v>1751</v>
      </c>
      <c r="CI137" s="15" t="s">
        <v>410</v>
      </c>
      <c r="CJ137" s="15" t="s">
        <v>3314</v>
      </c>
      <c r="CK137" s="15" t="s">
        <v>3315</v>
      </c>
      <c r="CL137" s="15"/>
      <c r="CM137" s="15"/>
      <c r="CN137" s="15"/>
      <c r="CO137" s="15"/>
      <c r="CP137" s="15"/>
      <c r="CQ137" s="15"/>
      <c r="CR137" s="15"/>
      <c r="CS137" s="15"/>
      <c r="CT137" s="15"/>
      <c r="CU137" s="15"/>
      <c r="CV137" s="15"/>
      <c r="CW137" s="15"/>
      <c r="CX137" s="15"/>
      <c r="CY137" s="15"/>
      <c r="CZ137" s="15"/>
      <c r="DA137" s="15"/>
      <c r="DB137" s="15"/>
      <c r="DC137" s="15"/>
      <c r="DD137" s="15"/>
      <c r="DE137" s="15"/>
      <c r="DF137" s="15"/>
      <c r="DG137" s="15"/>
      <c r="DH137" s="15"/>
      <c r="DI137" s="15"/>
      <c r="DJ137" s="15"/>
      <c r="DK137" s="15"/>
      <c r="DL137" s="15"/>
      <c r="DM137" s="15"/>
      <c r="DN137" s="15"/>
      <c r="DO137" s="15"/>
      <c r="DP137" s="15"/>
      <c r="DQ137" s="15"/>
      <c r="DR137" s="15"/>
      <c r="DS137" s="15"/>
      <c r="DT137" s="15"/>
      <c r="DU137" s="15"/>
      <c r="DV137" s="15"/>
      <c r="DW137" s="15"/>
      <c r="DX137" s="15"/>
      <c r="DY137" s="15"/>
      <c r="DZ137" s="15"/>
      <c r="EA137" s="15"/>
      <c r="EB137" s="15"/>
      <c r="EC137" s="15"/>
      <c r="ED137" s="15"/>
      <c r="EE137" s="15"/>
      <c r="EF137" s="15"/>
      <c r="EG137" s="15"/>
      <c r="EH137" s="15"/>
      <c r="EI137" s="15"/>
      <c r="EJ137" s="15"/>
      <c r="EK137" s="15"/>
      <c r="EL137" s="15"/>
      <c r="EM137" s="15"/>
      <c r="EN137" s="15"/>
      <c r="EO137" s="15"/>
      <c r="EP137" s="15"/>
      <c r="EQ137" s="15"/>
      <c r="ER137" s="15"/>
      <c r="ES137" s="15"/>
      <c r="ET137" s="15" t="s">
        <v>578</v>
      </c>
      <c r="EU137" s="15" t="s">
        <v>479</v>
      </c>
      <c r="EV137" s="15" t="s">
        <v>480</v>
      </c>
      <c r="EW137" s="15"/>
      <c r="EX137" s="15" t="s">
        <v>3316</v>
      </c>
      <c r="EY137" s="15" t="s">
        <v>2963</v>
      </c>
      <c r="EZ137" s="15" t="s">
        <v>414</v>
      </c>
      <c r="FA137" s="15" t="s">
        <v>583</v>
      </c>
      <c r="FB137" s="15" t="s">
        <v>413</v>
      </c>
      <c r="FC137" s="15" t="s">
        <v>583</v>
      </c>
      <c r="FD137" s="15" t="s">
        <v>415</v>
      </c>
      <c r="FE137" s="15" t="s">
        <v>583</v>
      </c>
      <c r="FF137" s="15" t="s">
        <v>415</v>
      </c>
      <c r="FG137" s="15" t="s">
        <v>413</v>
      </c>
      <c r="FH137" s="15" t="s">
        <v>415</v>
      </c>
      <c r="FI137" s="15" t="s">
        <v>583</v>
      </c>
      <c r="FJ137" s="15" t="s">
        <v>415</v>
      </c>
      <c r="FK137" s="15" t="s">
        <v>415</v>
      </c>
      <c r="FL137" s="15" t="s">
        <v>415</v>
      </c>
      <c r="FM137" s="15" t="s">
        <v>413</v>
      </c>
      <c r="FN137" s="15" t="s">
        <v>583</v>
      </c>
      <c r="FO137" s="15" t="s">
        <v>850</v>
      </c>
      <c r="FP137" s="15" t="s">
        <v>486</v>
      </c>
      <c r="FQ137" s="15" t="s">
        <v>749</v>
      </c>
      <c r="FR137" s="15" t="s">
        <v>3317</v>
      </c>
      <c r="FS137" s="15" t="s">
        <v>420</v>
      </c>
      <c r="FT137" s="15" t="s">
        <v>1476</v>
      </c>
      <c r="FU137" s="15" t="s">
        <v>533</v>
      </c>
      <c r="FV137" s="15" t="s">
        <v>490</v>
      </c>
      <c r="FW137" s="15" t="s">
        <v>491</v>
      </c>
      <c r="FX137" s="15" t="s">
        <v>3318</v>
      </c>
      <c r="FY137" s="15" t="s">
        <v>493</v>
      </c>
      <c r="FZ137" s="15"/>
      <c r="GA137" s="15"/>
      <c r="GB137" s="15" t="s">
        <v>455</v>
      </c>
      <c r="GC137" s="15"/>
      <c r="GD137" s="15"/>
      <c r="GE137" s="15" t="s">
        <v>753</v>
      </c>
      <c r="GF137" s="15"/>
      <c r="GG137" s="15"/>
      <c r="GH137" s="15"/>
      <c r="GI137" s="15"/>
      <c r="GJ137" s="15" t="s">
        <v>1000</v>
      </c>
      <c r="GK137" s="15" t="s">
        <v>1000</v>
      </c>
      <c r="GL137" s="15" t="s">
        <v>817</v>
      </c>
      <c r="GM137" s="15"/>
      <c r="GN137" s="15"/>
      <c r="GO137" s="15"/>
      <c r="GP137" s="15"/>
      <c r="GQ137" s="15" t="s">
        <v>3273</v>
      </c>
      <c r="GR137" s="15"/>
      <c r="GS137" s="15"/>
      <c r="GT137" s="15"/>
      <c r="GU137" s="15"/>
      <c r="GV137" s="15"/>
      <c r="GW137" s="15"/>
      <c r="GX137" s="15"/>
      <c r="GY137" s="15"/>
      <c r="GZ137" s="15"/>
      <c r="HA137" s="15"/>
      <c r="HB137" s="15"/>
      <c r="HC137" s="15"/>
      <c r="HD137" s="15"/>
      <c r="HE137" s="15"/>
      <c r="HF137" s="15"/>
      <c r="HG137" s="15"/>
      <c r="HH137" s="15"/>
      <c r="HI137" s="15"/>
      <c r="HJ137" s="15"/>
      <c r="HK137" s="15"/>
      <c r="HL137" s="15"/>
      <c r="HM137" s="15"/>
      <c r="HN137" s="15"/>
      <c r="HO137" s="15"/>
      <c r="HP137" s="31"/>
      <c r="MX137" s="29" t="s">
        <v>894</v>
      </c>
      <c r="MY137" s="29" t="str">
        <f>IFERROR(__xludf.DUMMYFUNCTION("""COMPUTED_VALUE"""),"Ontario")</f>
        <v>Ontario</v>
      </c>
    </row>
    <row r="138" ht="16.5" customHeight="1">
      <c r="A138" s="30">
        <v>45830.43470159722</v>
      </c>
      <c r="B138" s="15" t="s">
        <v>368</v>
      </c>
      <c r="C138" s="15" t="s">
        <v>894</v>
      </c>
      <c r="D138" s="15" t="s">
        <v>894</v>
      </c>
      <c r="E138" s="15"/>
      <c r="F138" s="15"/>
      <c r="G138" s="15" t="s">
        <v>1783</v>
      </c>
      <c r="H138" s="15" t="s">
        <v>496</v>
      </c>
      <c r="I138" s="15" t="s">
        <v>374</v>
      </c>
      <c r="J138" s="15" t="s">
        <v>375</v>
      </c>
      <c r="K138" s="15" t="s">
        <v>376</v>
      </c>
      <c r="L138" s="15" t="s">
        <v>591</v>
      </c>
      <c r="M138" s="15" t="s">
        <v>719</v>
      </c>
      <c r="N138" s="15" t="s">
        <v>591</v>
      </c>
      <c r="O138" s="15" t="s">
        <v>719</v>
      </c>
      <c r="P138" s="15" t="s">
        <v>592</v>
      </c>
      <c r="Q138" s="15" t="s">
        <v>862</v>
      </c>
      <c r="R138" s="15" t="s">
        <v>427</v>
      </c>
      <c r="S138" s="15" t="s">
        <v>384</v>
      </c>
      <c r="T138" s="15" t="s">
        <v>385</v>
      </c>
      <c r="U138" s="15" t="s">
        <v>896</v>
      </c>
      <c r="V138" s="15" t="s">
        <v>896</v>
      </c>
      <c r="W138" s="15" t="s">
        <v>3014</v>
      </c>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t="s">
        <v>1310</v>
      </c>
      <c r="AW138" s="15">
        <v>2.0</v>
      </c>
      <c r="AX138" s="15">
        <v>2.0</v>
      </c>
      <c r="AY138" s="15">
        <v>2.0</v>
      </c>
      <c r="AZ138" s="15">
        <v>2.0</v>
      </c>
      <c r="BA138" s="15">
        <v>2.0</v>
      </c>
      <c r="BB138" s="15">
        <v>2.0</v>
      </c>
      <c r="BC138" s="15" t="s">
        <v>1766</v>
      </c>
      <c r="BD138" s="15" t="s">
        <v>3319</v>
      </c>
      <c r="BE138" s="15" t="s">
        <v>432</v>
      </c>
      <c r="BF138" s="15" t="s">
        <v>1095</v>
      </c>
      <c r="BG138" s="15" t="s">
        <v>725</v>
      </c>
      <c r="BH138" s="15" t="s">
        <v>1211</v>
      </c>
      <c r="BI138" s="15" t="s">
        <v>435</v>
      </c>
      <c r="BJ138" s="15" t="s">
        <v>3320</v>
      </c>
      <c r="BK138" s="15" t="s">
        <v>602</v>
      </c>
      <c r="BL138" s="15" t="s">
        <v>438</v>
      </c>
      <c r="BM138" s="15" t="s">
        <v>1247</v>
      </c>
      <c r="BN138" s="15" t="s">
        <v>398</v>
      </c>
      <c r="BO138" s="15" t="s">
        <v>3321</v>
      </c>
      <c r="BP138" s="15" t="s">
        <v>3322</v>
      </c>
      <c r="BQ138" s="15" t="s">
        <v>442</v>
      </c>
      <c r="BR138" s="15" t="s">
        <v>3323</v>
      </c>
      <c r="BS138" s="15" t="s">
        <v>1741</v>
      </c>
      <c r="BT138" s="15" t="s">
        <v>404</v>
      </c>
      <c r="BU138" s="15" t="s">
        <v>405</v>
      </c>
      <c r="BV138" s="15" t="s">
        <v>1252</v>
      </c>
      <c r="BW138" s="15" t="s">
        <v>988</v>
      </c>
      <c r="BX138" s="15"/>
      <c r="BY138" s="15" t="s">
        <v>455</v>
      </c>
      <c r="BZ138" s="15" t="s">
        <v>3324</v>
      </c>
      <c r="CA138" s="15" t="s">
        <v>3325</v>
      </c>
      <c r="CB138" s="15" t="s">
        <v>3326</v>
      </c>
      <c r="CC138" s="15" t="s">
        <v>3327</v>
      </c>
      <c r="CD138" s="15" t="s">
        <v>1257</v>
      </c>
      <c r="CE138" s="15" t="s">
        <v>3328</v>
      </c>
      <c r="CF138" s="15"/>
      <c r="CG138" s="15"/>
      <c r="CH138" s="15"/>
      <c r="CI138" s="15"/>
      <c r="CJ138" s="15" t="s">
        <v>3329</v>
      </c>
      <c r="CK138" s="15" t="s">
        <v>3330</v>
      </c>
      <c r="CL138" s="15"/>
      <c r="CM138" s="15"/>
      <c r="CN138" s="15"/>
      <c r="CO138" s="15"/>
      <c r="CP138" s="15"/>
      <c r="CQ138" s="15"/>
      <c r="CR138" s="15"/>
      <c r="CS138" s="15"/>
      <c r="CT138" s="15"/>
      <c r="CU138" s="15"/>
      <c r="CV138" s="15"/>
      <c r="CW138" s="15"/>
      <c r="CX138" s="15"/>
      <c r="CY138" s="15"/>
      <c r="CZ138" s="15"/>
      <c r="DA138" s="15"/>
      <c r="DB138" s="15"/>
      <c r="DC138" s="15"/>
      <c r="DD138" s="15"/>
      <c r="DE138" s="15"/>
      <c r="DF138" s="15"/>
      <c r="DG138" s="15"/>
      <c r="DH138" s="15"/>
      <c r="DI138" s="15"/>
      <c r="DJ138" s="15"/>
      <c r="DK138" s="15"/>
      <c r="DL138" s="15"/>
      <c r="DM138" s="15"/>
      <c r="DN138" s="15"/>
      <c r="DO138" s="15"/>
      <c r="DP138" s="15"/>
      <c r="DQ138" s="15"/>
      <c r="DR138" s="15"/>
      <c r="DS138" s="15"/>
      <c r="DT138" s="15"/>
      <c r="DU138" s="15"/>
      <c r="DV138" s="15"/>
      <c r="DW138" s="15"/>
      <c r="DX138" s="15"/>
      <c r="DY138" s="15"/>
      <c r="DZ138" s="15"/>
      <c r="EA138" s="15"/>
      <c r="EB138" s="15"/>
      <c r="EC138" s="15"/>
      <c r="ED138" s="15"/>
      <c r="EE138" s="15"/>
      <c r="EF138" s="15"/>
      <c r="EG138" s="15"/>
      <c r="EH138" s="15"/>
      <c r="EI138" s="15"/>
      <c r="EJ138" s="15"/>
      <c r="EK138" s="15"/>
      <c r="EL138" s="15"/>
      <c r="EM138" s="15"/>
      <c r="EN138" s="15"/>
      <c r="EO138" s="15"/>
      <c r="EP138" s="15"/>
      <c r="EQ138" s="15"/>
      <c r="ER138" s="15"/>
      <c r="ES138" s="15"/>
      <c r="ET138" s="15" t="s">
        <v>578</v>
      </c>
      <c r="EU138" s="15" t="s">
        <v>1127</v>
      </c>
      <c r="EV138" s="15" t="s">
        <v>1262</v>
      </c>
      <c r="EW138" s="15" t="s">
        <v>3331</v>
      </c>
      <c r="EX138" s="15" t="s">
        <v>3332</v>
      </c>
      <c r="EY138" s="15" t="s">
        <v>3333</v>
      </c>
      <c r="EZ138" s="15" t="s">
        <v>415</v>
      </c>
      <c r="FA138" s="15" t="s">
        <v>415</v>
      </c>
      <c r="FB138" s="15" t="s">
        <v>413</v>
      </c>
      <c r="FC138" s="15" t="s">
        <v>415</v>
      </c>
      <c r="FD138" s="15" t="s">
        <v>413</v>
      </c>
      <c r="FE138" s="15" t="s">
        <v>415</v>
      </c>
      <c r="FF138" s="15" t="s">
        <v>416</v>
      </c>
      <c r="FG138" s="15" t="s">
        <v>413</v>
      </c>
      <c r="FH138" s="15" t="s">
        <v>583</v>
      </c>
      <c r="FI138" s="15" t="s">
        <v>416</v>
      </c>
      <c r="FJ138" s="15" t="s">
        <v>415</v>
      </c>
      <c r="FK138" s="15" t="s">
        <v>416</v>
      </c>
      <c r="FL138" s="15" t="s">
        <v>416</v>
      </c>
      <c r="FM138" s="15" t="s">
        <v>416</v>
      </c>
      <c r="FN138" s="15" t="s">
        <v>414</v>
      </c>
      <c r="FO138" s="15" t="s">
        <v>850</v>
      </c>
      <c r="FP138" s="15" t="s">
        <v>418</v>
      </c>
      <c r="FQ138" s="15" t="s">
        <v>749</v>
      </c>
      <c r="FR138" s="15" t="s">
        <v>3334</v>
      </c>
      <c r="FS138" s="15" t="s">
        <v>420</v>
      </c>
      <c r="FT138" s="15" t="s">
        <v>1462</v>
      </c>
      <c r="FU138" s="15" t="s">
        <v>585</v>
      </c>
      <c r="FV138" s="15" t="s">
        <v>490</v>
      </c>
      <c r="FW138" s="15" t="s">
        <v>491</v>
      </c>
      <c r="FX138" s="15" t="s">
        <v>3335</v>
      </c>
      <c r="FY138" s="15" t="s">
        <v>535</v>
      </c>
      <c r="FZ138" s="15" t="s">
        <v>3336</v>
      </c>
      <c r="GA138" s="15" t="s">
        <v>2927</v>
      </c>
      <c r="GB138" s="15" t="s">
        <v>455</v>
      </c>
      <c r="GC138" s="15"/>
      <c r="GD138" s="15"/>
      <c r="GE138" s="15" t="s">
        <v>786</v>
      </c>
      <c r="GF138" s="15" t="s">
        <v>3337</v>
      </c>
      <c r="GG138" s="15"/>
      <c r="GH138" s="15"/>
      <c r="GI138" s="15"/>
      <c r="GJ138" s="15" t="s">
        <v>920</v>
      </c>
      <c r="GK138" s="15" t="s">
        <v>789</v>
      </c>
      <c r="GL138" s="15" t="s">
        <v>756</v>
      </c>
      <c r="GM138" s="15"/>
      <c r="GN138" s="15"/>
      <c r="GO138" s="15"/>
      <c r="GP138" s="15"/>
      <c r="GQ138" s="15" t="s">
        <v>3273</v>
      </c>
      <c r="GR138" s="15"/>
      <c r="GS138" s="15"/>
      <c r="GT138" s="15"/>
      <c r="GU138" s="15"/>
      <c r="GV138" s="15"/>
      <c r="GW138" s="15"/>
      <c r="GX138" s="15"/>
      <c r="GY138" s="15"/>
      <c r="GZ138" s="15"/>
      <c r="HA138" s="15"/>
      <c r="HB138" s="15"/>
      <c r="HC138" s="15"/>
      <c r="HD138" s="15"/>
      <c r="HE138" s="15"/>
      <c r="HF138" s="15"/>
      <c r="HG138" s="15"/>
      <c r="HH138" s="15"/>
      <c r="HI138" s="15"/>
      <c r="HJ138" s="15"/>
      <c r="HK138" s="15"/>
      <c r="HL138" s="15"/>
      <c r="HM138" s="15"/>
      <c r="HN138" s="15"/>
      <c r="HO138" s="15"/>
      <c r="HP138" s="31"/>
      <c r="MX138" s="29" t="s">
        <v>10402</v>
      </c>
      <c r="MY138" s="29" t="str">
        <f>IFERROR(__xludf.DUMMYFUNCTION("""COMPUTED_VALUE"""),"Delaware")</f>
        <v>Delaware</v>
      </c>
    </row>
    <row r="139" ht="16.5" customHeight="1">
      <c r="A139" s="30">
        <v>45830.46624547454</v>
      </c>
      <c r="B139" s="15" t="s">
        <v>368</v>
      </c>
      <c r="C139" s="15" t="s">
        <v>370</v>
      </c>
      <c r="D139" s="15"/>
      <c r="E139" s="15" t="s">
        <v>3338</v>
      </c>
      <c r="F139" s="15"/>
      <c r="G139" s="15" t="s">
        <v>422</v>
      </c>
      <c r="H139" s="15" t="s">
        <v>423</v>
      </c>
      <c r="I139" s="15" t="s">
        <v>424</v>
      </c>
      <c r="J139" s="15" t="s">
        <v>375</v>
      </c>
      <c r="K139" s="15" t="s">
        <v>376</v>
      </c>
      <c r="L139" s="15" t="s">
        <v>377</v>
      </c>
      <c r="M139" s="15" t="s">
        <v>378</v>
      </c>
      <c r="N139" s="15" t="s">
        <v>591</v>
      </c>
      <c r="O139" s="15" t="s">
        <v>640</v>
      </c>
      <c r="P139" s="15" t="s">
        <v>498</v>
      </c>
      <c r="Q139" s="15" t="s">
        <v>1004</v>
      </c>
      <c r="R139" s="15" t="s">
        <v>949</v>
      </c>
      <c r="S139" s="15" t="s">
        <v>384</v>
      </c>
      <c r="T139" s="15" t="s">
        <v>385</v>
      </c>
      <c r="U139" s="15"/>
      <c r="V139" s="15"/>
      <c r="W139" s="15" t="s">
        <v>386</v>
      </c>
      <c r="X139" s="15" t="s">
        <v>387</v>
      </c>
      <c r="Y139" s="15" t="s">
        <v>388</v>
      </c>
      <c r="Z139" s="15" t="s">
        <v>543</v>
      </c>
      <c r="AA139" s="15" t="s">
        <v>3339</v>
      </c>
      <c r="AB139" s="15"/>
      <c r="AC139" s="15"/>
      <c r="AD139" s="15"/>
      <c r="AE139" s="15"/>
      <c r="AF139" s="15"/>
      <c r="AG139" s="15"/>
      <c r="AH139" s="15"/>
      <c r="AI139" s="15"/>
      <c r="AJ139" s="15"/>
      <c r="AK139" s="15"/>
      <c r="AL139" s="15"/>
      <c r="AM139" s="15"/>
      <c r="AN139" s="15"/>
      <c r="AO139" s="15"/>
      <c r="AP139" s="15"/>
      <c r="AQ139" s="15"/>
      <c r="AR139" s="15"/>
      <c r="AS139" s="15"/>
      <c r="AT139" s="15"/>
      <c r="AU139" s="15"/>
      <c r="AV139" s="15" t="s">
        <v>1310</v>
      </c>
      <c r="AW139" s="15" t="s">
        <v>675</v>
      </c>
      <c r="AX139" s="15">
        <v>4.0</v>
      </c>
      <c r="AY139" s="15">
        <v>2.0</v>
      </c>
      <c r="AZ139" s="15">
        <v>4.0</v>
      </c>
      <c r="BA139" s="15" t="s">
        <v>429</v>
      </c>
      <c r="BB139" s="15">
        <v>4.0</v>
      </c>
      <c r="BC139" s="15" t="s">
        <v>3340</v>
      </c>
      <c r="BD139" s="15" t="s">
        <v>3341</v>
      </c>
      <c r="BE139" s="15" t="s">
        <v>432</v>
      </c>
      <c r="BF139" s="15" t="s">
        <v>1095</v>
      </c>
      <c r="BG139" s="15" t="s">
        <v>725</v>
      </c>
      <c r="BH139" s="15"/>
      <c r="BI139" s="15" t="s">
        <v>976</v>
      </c>
      <c r="BJ139" s="15"/>
      <c r="BK139" s="15" t="s">
        <v>602</v>
      </c>
      <c r="BL139" s="15" t="s">
        <v>904</v>
      </c>
      <c r="BM139" s="15" t="s">
        <v>1247</v>
      </c>
      <c r="BN139" s="15" t="s">
        <v>513</v>
      </c>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t="s">
        <v>441</v>
      </c>
      <c r="CM139" s="15" t="s">
        <v>604</v>
      </c>
      <c r="CN139" s="15" t="s">
        <v>3342</v>
      </c>
      <c r="CO139" s="15" t="s">
        <v>3343</v>
      </c>
      <c r="CP139" s="15" t="s">
        <v>445</v>
      </c>
      <c r="CQ139" s="15" t="s">
        <v>1467</v>
      </c>
      <c r="CR139" s="15" t="s">
        <v>447</v>
      </c>
      <c r="CS139" s="15" t="s">
        <v>957</v>
      </c>
      <c r="CT139" s="15" t="s">
        <v>3344</v>
      </c>
      <c r="CU139" s="15" t="s">
        <v>1863</v>
      </c>
      <c r="CV139" s="15" t="s">
        <v>409</v>
      </c>
      <c r="CW139" s="15" t="s">
        <v>3345</v>
      </c>
      <c r="CX139" s="15" t="s">
        <v>408</v>
      </c>
      <c r="CY139" s="15"/>
      <c r="CZ139" s="15" t="s">
        <v>1962</v>
      </c>
      <c r="DA139" s="15"/>
      <c r="DB139" s="15" t="s">
        <v>408</v>
      </c>
      <c r="DC139" s="15"/>
      <c r="DD139" s="15" t="s">
        <v>406</v>
      </c>
      <c r="DE139" s="15" t="s">
        <v>1058</v>
      </c>
      <c r="DF139" s="15" t="s">
        <v>3346</v>
      </c>
      <c r="DG139" s="15" t="s">
        <v>693</v>
      </c>
      <c r="DH139" s="15" t="s">
        <v>1964</v>
      </c>
      <c r="DI139" s="15" t="s">
        <v>459</v>
      </c>
      <c r="DJ139" s="15" t="s">
        <v>1403</v>
      </c>
      <c r="DK139" s="15" t="s">
        <v>461</v>
      </c>
      <c r="DL139" s="15"/>
      <c r="DM139" s="15"/>
      <c r="DN139" s="15"/>
      <c r="DO139" s="15"/>
      <c r="DP139" s="15"/>
      <c r="DQ139" s="15"/>
      <c r="DR139" s="15"/>
      <c r="DS139" s="15"/>
      <c r="DT139" s="15"/>
      <c r="DU139" s="15"/>
      <c r="DV139" s="15"/>
      <c r="DW139" s="15"/>
      <c r="DX139" s="15"/>
      <c r="DY139" s="15"/>
      <c r="DZ139" s="15"/>
      <c r="EA139" s="15"/>
      <c r="EB139" s="15"/>
      <c r="EC139" s="15"/>
      <c r="ED139" s="15"/>
      <c r="EE139" s="15"/>
      <c r="EF139" s="15"/>
      <c r="EG139" s="15"/>
      <c r="EH139" s="15"/>
      <c r="EI139" s="15"/>
      <c r="EJ139" s="15"/>
      <c r="EK139" s="15"/>
      <c r="EL139" s="15"/>
      <c r="EM139" s="15"/>
      <c r="EN139" s="15"/>
      <c r="EO139" s="15"/>
      <c r="EP139" s="15"/>
      <c r="EQ139" s="15"/>
      <c r="ER139" s="15"/>
      <c r="ES139" s="15"/>
      <c r="ET139" s="15" t="s">
        <v>578</v>
      </c>
      <c r="EU139" s="15" t="s">
        <v>479</v>
      </c>
      <c r="EV139" s="15" t="s">
        <v>580</v>
      </c>
      <c r="EW139" s="15"/>
      <c r="EX139" s="15" t="s">
        <v>3347</v>
      </c>
      <c r="EY139" s="15" t="s">
        <v>3348</v>
      </c>
      <c r="EZ139" s="15"/>
      <c r="FA139" s="15" t="s">
        <v>413</v>
      </c>
      <c r="FB139" s="15" t="s">
        <v>413</v>
      </c>
      <c r="FC139" s="15"/>
      <c r="FD139" s="15"/>
      <c r="FE139" s="15" t="s">
        <v>413</v>
      </c>
      <c r="FF139" s="15"/>
      <c r="FG139" s="15"/>
      <c r="FH139" s="15"/>
      <c r="FI139" s="15"/>
      <c r="FJ139" s="15"/>
      <c r="FK139" s="15"/>
      <c r="FL139" s="15"/>
      <c r="FM139" s="15"/>
      <c r="FN139" s="15"/>
      <c r="FO139" s="15" t="s">
        <v>417</v>
      </c>
      <c r="FP139" s="15" t="s">
        <v>418</v>
      </c>
      <c r="FQ139" s="15" t="s">
        <v>630</v>
      </c>
      <c r="FR139" s="15" t="s">
        <v>2577</v>
      </c>
      <c r="FS139" s="15" t="s">
        <v>1871</v>
      </c>
      <c r="FT139" s="15" t="s">
        <v>1462</v>
      </c>
      <c r="FU139" s="15" t="s">
        <v>918</v>
      </c>
      <c r="FV139" s="15" t="s">
        <v>490</v>
      </c>
      <c r="FW139" s="15" t="s">
        <v>491</v>
      </c>
      <c r="FX139" s="15" t="s">
        <v>3349</v>
      </c>
      <c r="FY139" s="15" t="s">
        <v>493</v>
      </c>
      <c r="FZ139" s="15" t="s">
        <v>3350</v>
      </c>
      <c r="GA139" s="15"/>
      <c r="GB139" s="15" t="s">
        <v>455</v>
      </c>
      <c r="GC139" s="15"/>
      <c r="GD139" s="15"/>
      <c r="GE139" s="15" t="s">
        <v>786</v>
      </c>
      <c r="GF139" s="15"/>
      <c r="GG139" s="15" t="s">
        <v>755</v>
      </c>
      <c r="GH139" s="15" t="s">
        <v>755</v>
      </c>
      <c r="GI139" s="15" t="s">
        <v>817</v>
      </c>
      <c r="GJ139" s="15"/>
      <c r="GK139" s="15"/>
      <c r="GL139" s="15"/>
      <c r="GM139" s="15"/>
      <c r="GN139" s="15"/>
      <c r="GO139" s="15"/>
      <c r="GP139" s="15"/>
      <c r="GQ139" s="15" t="s">
        <v>3351</v>
      </c>
      <c r="GR139" s="15"/>
      <c r="GS139" s="15"/>
      <c r="GT139" s="15"/>
      <c r="GU139" s="15"/>
      <c r="GV139" s="15"/>
      <c r="GW139" s="15"/>
      <c r="GX139" s="15"/>
      <c r="GY139" s="15"/>
      <c r="GZ139" s="15"/>
      <c r="HA139" s="15"/>
      <c r="HB139" s="15"/>
      <c r="HC139" s="15"/>
      <c r="HD139" s="15"/>
      <c r="HE139" s="15"/>
      <c r="HF139" s="15"/>
      <c r="HG139" s="15"/>
      <c r="HH139" s="15"/>
      <c r="HI139" s="15"/>
      <c r="HJ139" s="15"/>
      <c r="HK139" s="15"/>
      <c r="HL139" s="15"/>
      <c r="HM139" s="15"/>
      <c r="HN139" s="15"/>
      <c r="HO139" s="15"/>
      <c r="HP139" s="31"/>
      <c r="MX139" s="29" t="s">
        <v>10402</v>
      </c>
      <c r="MY139" s="29" t="str">
        <f>IFERROR(__xludf.DUMMYFUNCTION("""COMPUTED_VALUE"""),"New York")</f>
        <v>New York</v>
      </c>
    </row>
    <row r="140" ht="16.5" customHeight="1">
      <c r="A140" s="30">
        <v>45830.47800052083</v>
      </c>
      <c r="B140" s="15" t="s">
        <v>368</v>
      </c>
      <c r="C140" s="15" t="s">
        <v>370</v>
      </c>
      <c r="D140" s="15"/>
      <c r="E140" s="15" t="s">
        <v>667</v>
      </c>
      <c r="F140" s="15"/>
      <c r="G140" s="15" t="s">
        <v>422</v>
      </c>
      <c r="H140" s="15" t="s">
        <v>496</v>
      </c>
      <c r="I140" s="15" t="s">
        <v>374</v>
      </c>
      <c r="J140" s="15" t="s">
        <v>718</v>
      </c>
      <c r="K140" s="15" t="s">
        <v>376</v>
      </c>
      <c r="L140" s="15" t="s">
        <v>793</v>
      </c>
      <c r="M140" s="15" t="s">
        <v>378</v>
      </c>
      <c r="N140" s="15" t="s">
        <v>793</v>
      </c>
      <c r="O140" s="15" t="s">
        <v>3352</v>
      </c>
      <c r="P140" s="15" t="s">
        <v>1504</v>
      </c>
      <c r="Q140" s="15" t="s">
        <v>1156</v>
      </c>
      <c r="R140" s="15" t="s">
        <v>427</v>
      </c>
      <c r="S140" s="15" t="s">
        <v>384</v>
      </c>
      <c r="T140" s="15" t="s">
        <v>385</v>
      </c>
      <c r="U140" s="15"/>
      <c r="V140" s="15"/>
      <c r="W140" s="15" t="s">
        <v>386</v>
      </c>
      <c r="X140" s="15" t="s">
        <v>387</v>
      </c>
      <c r="Y140" s="15" t="s">
        <v>3353</v>
      </c>
      <c r="Z140" s="15" t="s">
        <v>389</v>
      </c>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t="s">
        <v>1310</v>
      </c>
      <c r="AW140" s="15">
        <v>4.0</v>
      </c>
      <c r="AX140" s="15">
        <v>4.0</v>
      </c>
      <c r="AY140" s="15">
        <v>4.0</v>
      </c>
      <c r="AZ140" s="15" t="s">
        <v>391</v>
      </c>
      <c r="BA140" s="15">
        <v>4.0</v>
      </c>
      <c r="BB140" s="15" t="s">
        <v>675</v>
      </c>
      <c r="BC140" s="15"/>
      <c r="BD140" s="15"/>
      <c r="BE140" s="15" t="s">
        <v>432</v>
      </c>
      <c r="BF140" s="15" t="s">
        <v>1245</v>
      </c>
      <c r="BG140" s="15" t="s">
        <v>394</v>
      </c>
      <c r="BH140" s="15"/>
      <c r="BI140" s="15" t="s">
        <v>976</v>
      </c>
      <c r="BJ140" s="15"/>
      <c r="BK140" s="15" t="s">
        <v>395</v>
      </c>
      <c r="BL140" s="15" t="s">
        <v>904</v>
      </c>
      <c r="BM140" s="15" t="s">
        <v>1247</v>
      </c>
      <c r="BN140" s="15" t="s">
        <v>398</v>
      </c>
      <c r="BO140" s="15"/>
      <c r="BP140" s="15"/>
      <c r="BQ140" s="15" t="s">
        <v>401</v>
      </c>
      <c r="BR140" s="15" t="s">
        <v>2488</v>
      </c>
      <c r="BS140" s="15" t="s">
        <v>403</v>
      </c>
      <c r="BT140" s="15" t="s">
        <v>404</v>
      </c>
      <c r="BU140" s="15" t="s">
        <v>405</v>
      </c>
      <c r="BV140" s="15"/>
      <c r="BW140" s="15" t="s">
        <v>406</v>
      </c>
      <c r="BX140" s="15" t="s">
        <v>1867</v>
      </c>
      <c r="BY140" s="15" t="s">
        <v>408</v>
      </c>
      <c r="BZ140" s="15"/>
      <c r="CA140" s="15"/>
      <c r="CB140" s="15"/>
      <c r="CC140" s="15"/>
      <c r="CD140" s="15" t="s">
        <v>451</v>
      </c>
      <c r="CE140" s="15"/>
      <c r="CF140" s="15" t="s">
        <v>1258</v>
      </c>
      <c r="CG140" s="15"/>
      <c r="CH140" s="15" t="s">
        <v>1751</v>
      </c>
      <c r="CI140" s="15" t="s">
        <v>410</v>
      </c>
      <c r="CJ140" s="15" t="s">
        <v>3354</v>
      </c>
      <c r="CK140" s="15"/>
      <c r="CL140" s="15"/>
      <c r="CM140" s="15"/>
      <c r="CN140" s="15"/>
      <c r="CO140" s="15"/>
      <c r="CP140" s="15"/>
      <c r="CQ140" s="15"/>
      <c r="CR140" s="15"/>
      <c r="CS140" s="15"/>
      <c r="CT140" s="15"/>
      <c r="CU140" s="15"/>
      <c r="CV140" s="15"/>
      <c r="CW140" s="15"/>
      <c r="CX140" s="15"/>
      <c r="CY140" s="15"/>
      <c r="CZ140" s="15"/>
      <c r="DA140" s="15"/>
      <c r="DB140" s="15"/>
      <c r="DC140" s="15"/>
      <c r="DD140" s="15"/>
      <c r="DE140" s="15"/>
      <c r="DF140" s="15"/>
      <c r="DG140" s="15"/>
      <c r="DH140" s="15"/>
      <c r="DI140" s="15"/>
      <c r="DJ140" s="15"/>
      <c r="DK140" s="15"/>
      <c r="DL140" s="15"/>
      <c r="DM140" s="15"/>
      <c r="DN140" s="15"/>
      <c r="DO140" s="15"/>
      <c r="DP140" s="15"/>
      <c r="DQ140" s="15"/>
      <c r="DR140" s="15"/>
      <c r="DS140" s="15"/>
      <c r="DT140" s="15"/>
      <c r="DU140" s="15"/>
      <c r="DV140" s="15"/>
      <c r="DW140" s="15"/>
      <c r="DX140" s="15"/>
      <c r="DY140" s="15"/>
      <c r="DZ140" s="15"/>
      <c r="EA140" s="15"/>
      <c r="EB140" s="15"/>
      <c r="EC140" s="15"/>
      <c r="ED140" s="15"/>
      <c r="EE140" s="15"/>
      <c r="EF140" s="15"/>
      <c r="EG140" s="15"/>
      <c r="EH140" s="15"/>
      <c r="EI140" s="15"/>
      <c r="EJ140" s="15"/>
      <c r="EK140" s="15"/>
      <c r="EL140" s="15"/>
      <c r="EM140" s="15"/>
      <c r="EN140" s="15"/>
      <c r="EO140" s="15"/>
      <c r="EP140" s="15"/>
      <c r="EQ140" s="15"/>
      <c r="ER140" s="15"/>
      <c r="ES140" s="15"/>
      <c r="ET140" s="15" t="s">
        <v>526</v>
      </c>
      <c r="EU140" s="15" t="s">
        <v>1037</v>
      </c>
      <c r="EV140" s="15" t="s">
        <v>580</v>
      </c>
      <c r="EW140" s="15"/>
      <c r="EX140" s="15"/>
      <c r="EY140" s="15"/>
      <c r="EZ140" s="15" t="s">
        <v>416</v>
      </c>
      <c r="FA140" s="15" t="s">
        <v>414</v>
      </c>
      <c r="FB140" s="15" t="s">
        <v>413</v>
      </c>
      <c r="FC140" s="15" t="s">
        <v>414</v>
      </c>
      <c r="FD140" s="15" t="s">
        <v>416</v>
      </c>
      <c r="FE140" s="15" t="s">
        <v>414</v>
      </c>
      <c r="FF140" s="15" t="s">
        <v>415</v>
      </c>
      <c r="FG140" s="15" t="s">
        <v>415</v>
      </c>
      <c r="FH140" s="15" t="s">
        <v>414</v>
      </c>
      <c r="FI140" s="15" t="s">
        <v>414</v>
      </c>
      <c r="FJ140" s="15" t="s">
        <v>416</v>
      </c>
      <c r="FK140" s="15" t="s">
        <v>416</v>
      </c>
      <c r="FL140" s="15" t="s">
        <v>484</v>
      </c>
      <c r="FM140" s="15" t="s">
        <v>484</v>
      </c>
      <c r="FN140" s="15" t="s">
        <v>484</v>
      </c>
      <c r="FO140" s="15" t="s">
        <v>485</v>
      </c>
      <c r="FP140" s="15" t="s">
        <v>486</v>
      </c>
      <c r="FQ140" s="15" t="s">
        <v>712</v>
      </c>
      <c r="FR140" s="15"/>
      <c r="FS140" s="15" t="s">
        <v>1076</v>
      </c>
      <c r="FT140" s="15" t="s">
        <v>488</v>
      </c>
      <c r="FU140" s="15" t="s">
        <v>489</v>
      </c>
      <c r="FV140" s="15" t="s">
        <v>490</v>
      </c>
      <c r="FW140" s="15" t="s">
        <v>491</v>
      </c>
      <c r="FX140" s="15"/>
      <c r="FY140" s="15" t="s">
        <v>493</v>
      </c>
      <c r="FZ140" s="15"/>
      <c r="GA140" s="15"/>
      <c r="GB140" s="15" t="s">
        <v>408</v>
      </c>
      <c r="GC140" s="15"/>
      <c r="GD140" s="15"/>
      <c r="GE140" s="15"/>
      <c r="GF140" s="15"/>
      <c r="GG140" s="15"/>
      <c r="GH140" s="15"/>
      <c r="GI140" s="15"/>
      <c r="GJ140" s="15" t="s">
        <v>857</v>
      </c>
      <c r="GK140" s="15" t="s">
        <v>857</v>
      </c>
      <c r="GL140" s="15" t="s">
        <v>790</v>
      </c>
      <c r="GM140" s="15"/>
      <c r="GN140" s="15"/>
      <c r="GO140" s="15"/>
      <c r="GP140" s="15"/>
      <c r="GQ140" s="32" t="s">
        <v>3355</v>
      </c>
      <c r="GR140" s="15"/>
      <c r="GS140" s="15"/>
      <c r="GT140" s="15"/>
      <c r="GU140" s="15"/>
      <c r="GV140" s="15"/>
      <c r="GW140" s="15"/>
      <c r="GX140" s="15"/>
      <c r="GY140" s="15"/>
      <c r="GZ140" s="15"/>
      <c r="HA140" s="15"/>
      <c r="HB140" s="15"/>
      <c r="HC140" s="15"/>
      <c r="HD140" s="15"/>
      <c r="HE140" s="15"/>
      <c r="HF140" s="15"/>
      <c r="HG140" s="15"/>
      <c r="HH140" s="15"/>
      <c r="HI140" s="15"/>
      <c r="HJ140" s="15"/>
      <c r="HK140" s="15"/>
      <c r="HL140" s="15"/>
      <c r="HM140" s="15"/>
      <c r="HN140" s="15"/>
      <c r="HO140" s="15"/>
      <c r="HP140" s="31"/>
      <c r="MX140" s="29" t="s">
        <v>10402</v>
      </c>
      <c r="MY140" s="29" t="str">
        <f>IFERROR(__xludf.DUMMYFUNCTION("""COMPUTED_VALUE"""),"Virginia")</f>
        <v>Virginia</v>
      </c>
    </row>
    <row r="141" ht="16.5" customHeight="1">
      <c r="A141" s="30">
        <v>45830.5357296875</v>
      </c>
      <c r="B141" s="15" t="s">
        <v>368</v>
      </c>
      <c r="C141" s="15" t="s">
        <v>370</v>
      </c>
      <c r="D141" s="15"/>
      <c r="E141" s="15" t="s">
        <v>1875</v>
      </c>
      <c r="F141" s="15"/>
      <c r="G141" s="15" t="s">
        <v>422</v>
      </c>
      <c r="H141" s="15" t="s">
        <v>496</v>
      </c>
      <c r="I141" s="15" t="s">
        <v>374</v>
      </c>
      <c r="J141" s="15" t="s">
        <v>718</v>
      </c>
      <c r="K141" s="15" t="s">
        <v>376</v>
      </c>
      <c r="L141" s="15" t="s">
        <v>591</v>
      </c>
      <c r="M141" s="15" t="s">
        <v>719</v>
      </c>
      <c r="N141" s="15" t="s">
        <v>591</v>
      </c>
      <c r="O141" s="15" t="s">
        <v>719</v>
      </c>
      <c r="P141" s="15" t="s">
        <v>498</v>
      </c>
      <c r="Q141" s="15" t="s">
        <v>499</v>
      </c>
      <c r="R141" s="15" t="s">
        <v>427</v>
      </c>
      <c r="S141" s="15" t="s">
        <v>384</v>
      </c>
      <c r="T141" s="15" t="s">
        <v>385</v>
      </c>
      <c r="U141" s="15"/>
      <c r="V141" s="15"/>
      <c r="W141" s="15" t="s">
        <v>386</v>
      </c>
      <c r="X141" s="15" t="s">
        <v>387</v>
      </c>
      <c r="Y141" s="15" t="s">
        <v>388</v>
      </c>
      <c r="Z141" s="15" t="s">
        <v>543</v>
      </c>
      <c r="AA141" s="15" t="s">
        <v>408</v>
      </c>
      <c r="AB141" s="15" t="s">
        <v>3356</v>
      </c>
      <c r="AC141" s="15"/>
      <c r="AD141" s="15"/>
      <c r="AE141" s="15"/>
      <c r="AF141" s="15"/>
      <c r="AG141" s="15"/>
      <c r="AH141" s="15"/>
      <c r="AI141" s="15"/>
      <c r="AJ141" s="15"/>
      <c r="AK141" s="15"/>
      <c r="AL141" s="15"/>
      <c r="AM141" s="15"/>
      <c r="AN141" s="15"/>
      <c r="AO141" s="15"/>
      <c r="AP141" s="15"/>
      <c r="AQ141" s="15"/>
      <c r="AR141" s="15"/>
      <c r="AS141" s="15"/>
      <c r="AT141" s="15"/>
      <c r="AU141" s="15"/>
      <c r="AV141" s="15" t="s">
        <v>1310</v>
      </c>
      <c r="AW141" s="15" t="s">
        <v>675</v>
      </c>
      <c r="AX141" s="15">
        <v>4.0</v>
      </c>
      <c r="AY141" s="15" t="s">
        <v>675</v>
      </c>
      <c r="AZ141" s="15" t="s">
        <v>675</v>
      </c>
      <c r="BA141" s="15" t="s">
        <v>675</v>
      </c>
      <c r="BB141" s="15" t="s">
        <v>675</v>
      </c>
      <c r="BC141" s="15" t="s">
        <v>3357</v>
      </c>
      <c r="BD141" s="15" t="s">
        <v>3358</v>
      </c>
      <c r="BE141" s="15" t="s">
        <v>2379</v>
      </c>
      <c r="BF141" s="15" t="s">
        <v>1095</v>
      </c>
      <c r="BG141" s="15" t="s">
        <v>725</v>
      </c>
      <c r="BH141" s="15" t="s">
        <v>3359</v>
      </c>
      <c r="BI141" s="15" t="s">
        <v>727</v>
      </c>
      <c r="BJ141" s="15"/>
      <c r="BK141" s="15" t="s">
        <v>395</v>
      </c>
      <c r="BL141" s="15" t="s">
        <v>603</v>
      </c>
      <c r="BM141" s="15" t="s">
        <v>1247</v>
      </c>
      <c r="BN141" s="15" t="s">
        <v>398</v>
      </c>
      <c r="BO141" s="15" t="s">
        <v>3360</v>
      </c>
      <c r="BP141" s="15" t="s">
        <v>3361</v>
      </c>
      <c r="BQ141" s="15" t="s">
        <v>604</v>
      </c>
      <c r="BR141" s="15" t="s">
        <v>3362</v>
      </c>
      <c r="BS141" s="15" t="s">
        <v>1251</v>
      </c>
      <c r="BT141" s="15" t="s">
        <v>1672</v>
      </c>
      <c r="BU141" s="15" t="s">
        <v>405</v>
      </c>
      <c r="BV141" s="15"/>
      <c r="BW141" s="15" t="s">
        <v>457</v>
      </c>
      <c r="BX141" s="15"/>
      <c r="BY141" s="15" t="s">
        <v>408</v>
      </c>
      <c r="BZ141" s="15"/>
      <c r="CA141" s="15" t="s">
        <v>3363</v>
      </c>
      <c r="CB141" s="15" t="s">
        <v>3364</v>
      </c>
      <c r="CC141" s="15" t="s">
        <v>3365</v>
      </c>
      <c r="CD141" s="15" t="s">
        <v>409</v>
      </c>
      <c r="CE141" s="15" t="s">
        <v>3366</v>
      </c>
      <c r="CF141" s="15"/>
      <c r="CG141" s="15"/>
      <c r="CH141" s="15" t="s">
        <v>1698</v>
      </c>
      <c r="CI141" s="15" t="s">
        <v>1964</v>
      </c>
      <c r="CJ141" s="15" t="s">
        <v>3367</v>
      </c>
      <c r="CK141" s="15" t="s">
        <v>3368</v>
      </c>
      <c r="CL141" s="15"/>
      <c r="CM141" s="15"/>
      <c r="CN141" s="15"/>
      <c r="CO141" s="15"/>
      <c r="CP141" s="15"/>
      <c r="CQ141" s="15"/>
      <c r="CR141" s="15"/>
      <c r="CS141" s="15"/>
      <c r="CT141" s="15"/>
      <c r="CU141" s="15"/>
      <c r="CV141" s="15"/>
      <c r="CW141" s="15"/>
      <c r="CX141" s="15"/>
      <c r="CY141" s="15"/>
      <c r="CZ141" s="15"/>
      <c r="DA141" s="15"/>
      <c r="DB141" s="15"/>
      <c r="DC141" s="15"/>
      <c r="DD141" s="15"/>
      <c r="DE141" s="15"/>
      <c r="DF141" s="15"/>
      <c r="DG141" s="15"/>
      <c r="DH141" s="15"/>
      <c r="DI141" s="15"/>
      <c r="DJ141" s="15"/>
      <c r="DK141" s="15"/>
      <c r="DL141" s="15"/>
      <c r="DM141" s="15"/>
      <c r="DN141" s="15"/>
      <c r="DO141" s="15"/>
      <c r="DP141" s="15"/>
      <c r="DQ141" s="15"/>
      <c r="DR141" s="15"/>
      <c r="DS141" s="15"/>
      <c r="DT141" s="15"/>
      <c r="DU141" s="15"/>
      <c r="DV141" s="15"/>
      <c r="DW141" s="15"/>
      <c r="DX141" s="15"/>
      <c r="DY141" s="15"/>
      <c r="DZ141" s="15"/>
      <c r="EA141" s="15"/>
      <c r="EB141" s="15"/>
      <c r="EC141" s="15"/>
      <c r="ED141" s="15"/>
      <c r="EE141" s="15"/>
      <c r="EF141" s="15"/>
      <c r="EG141" s="15"/>
      <c r="EH141" s="15"/>
      <c r="EI141" s="15"/>
      <c r="EJ141" s="15"/>
      <c r="EK141" s="15"/>
      <c r="EL141" s="15"/>
      <c r="EM141" s="15"/>
      <c r="EN141" s="15"/>
      <c r="EO141" s="15"/>
      <c r="EP141" s="15"/>
      <c r="EQ141" s="15"/>
      <c r="ER141" s="15"/>
      <c r="ES141" s="15"/>
      <c r="ET141" s="15" t="s">
        <v>578</v>
      </c>
      <c r="EU141" s="15" t="s">
        <v>887</v>
      </c>
      <c r="EV141" s="15" t="s">
        <v>663</v>
      </c>
      <c r="EW141" s="15"/>
      <c r="EX141" s="15" t="s">
        <v>3369</v>
      </c>
      <c r="EY141" s="15" t="s">
        <v>3370</v>
      </c>
      <c r="EZ141" s="15" t="s">
        <v>414</v>
      </c>
      <c r="FA141" s="15" t="s">
        <v>414</v>
      </c>
      <c r="FB141" s="15" t="s">
        <v>413</v>
      </c>
      <c r="FC141" s="15" t="s">
        <v>415</v>
      </c>
      <c r="FD141" s="15" t="s">
        <v>413</v>
      </c>
      <c r="FE141" s="15" t="s">
        <v>583</v>
      </c>
      <c r="FF141" s="15" t="s">
        <v>413</v>
      </c>
      <c r="FG141" s="15" t="s">
        <v>415</v>
      </c>
      <c r="FH141" s="15" t="s">
        <v>583</v>
      </c>
      <c r="FI141" s="15" t="s">
        <v>415</v>
      </c>
      <c r="FJ141" s="15" t="s">
        <v>415</v>
      </c>
      <c r="FK141" s="15" t="s">
        <v>413</v>
      </c>
      <c r="FL141" s="15" t="s">
        <v>583</v>
      </c>
      <c r="FM141" s="15" t="s">
        <v>583</v>
      </c>
      <c r="FN141" s="15" t="s">
        <v>413</v>
      </c>
      <c r="FO141" s="15" t="s">
        <v>417</v>
      </c>
      <c r="FP141" s="15" t="s">
        <v>418</v>
      </c>
      <c r="FQ141" s="15" t="s">
        <v>419</v>
      </c>
      <c r="FR141" s="15" t="s">
        <v>3371</v>
      </c>
      <c r="FS141" s="15" t="s">
        <v>1189</v>
      </c>
      <c r="FT141" s="15" t="s">
        <v>488</v>
      </c>
      <c r="FU141" s="15" t="s">
        <v>489</v>
      </c>
      <c r="FV141" s="15" t="s">
        <v>490</v>
      </c>
      <c r="FW141" s="15" t="s">
        <v>491</v>
      </c>
      <c r="FX141" s="15" t="s">
        <v>3372</v>
      </c>
      <c r="FY141" s="15" t="s">
        <v>493</v>
      </c>
      <c r="FZ141" s="15" t="s">
        <v>3373</v>
      </c>
      <c r="GA141" s="15" t="s">
        <v>3374</v>
      </c>
      <c r="GB141" s="15" t="s">
        <v>455</v>
      </c>
      <c r="GC141" s="15"/>
      <c r="GD141" s="15"/>
      <c r="GE141" s="15"/>
      <c r="GF141" s="15"/>
      <c r="GG141" s="15"/>
      <c r="GH141" s="15"/>
      <c r="GI141" s="15"/>
      <c r="GJ141" s="15" t="s">
        <v>789</v>
      </c>
      <c r="GK141" s="15" t="s">
        <v>788</v>
      </c>
      <c r="GL141" s="15" t="s">
        <v>921</v>
      </c>
      <c r="GM141" s="15"/>
      <c r="GN141" s="15"/>
      <c r="GO141" s="15"/>
      <c r="GP141" s="15"/>
      <c r="GQ141" s="15" t="s">
        <v>3273</v>
      </c>
      <c r="GR141" s="15"/>
      <c r="GS141" s="15"/>
      <c r="GT141" s="15"/>
      <c r="GU141" s="15"/>
      <c r="GV141" s="15"/>
      <c r="GW141" s="15"/>
      <c r="GX141" s="15"/>
      <c r="GY141" s="15"/>
      <c r="GZ141" s="15"/>
      <c r="HA141" s="15"/>
      <c r="HB141" s="15"/>
      <c r="HC141" s="15"/>
      <c r="HD141" s="15"/>
      <c r="HE141" s="15"/>
      <c r="HF141" s="15"/>
      <c r="HG141" s="15"/>
      <c r="HH141" s="15"/>
      <c r="HI141" s="15"/>
      <c r="HJ141" s="15"/>
      <c r="HK141" s="15"/>
      <c r="HL141" s="15"/>
      <c r="HM141" s="15"/>
      <c r="HN141" s="15"/>
      <c r="HO141" s="15"/>
      <c r="HP141" s="31"/>
      <c r="MX141" s="29" t="s">
        <v>894</v>
      </c>
      <c r="MY141" s="29" t="str">
        <f>IFERROR(__xludf.DUMMYFUNCTION("""COMPUTED_VALUE"""),"Ontario")</f>
        <v>Ontario</v>
      </c>
    </row>
    <row r="142" ht="16.5" customHeight="1">
      <c r="A142" s="30">
        <v>45830.61729040509</v>
      </c>
      <c r="B142" s="15" t="s">
        <v>368</v>
      </c>
      <c r="C142" s="15" t="s">
        <v>894</v>
      </c>
      <c r="D142" s="15" t="s">
        <v>894</v>
      </c>
      <c r="E142" s="15"/>
      <c r="F142" s="15"/>
      <c r="G142" s="15" t="s">
        <v>422</v>
      </c>
      <c r="H142" s="15" t="s">
        <v>539</v>
      </c>
      <c r="I142" s="15" t="s">
        <v>424</v>
      </c>
      <c r="J142" s="15" t="s">
        <v>718</v>
      </c>
      <c r="K142" s="15" t="s">
        <v>376</v>
      </c>
      <c r="L142" s="15" t="s">
        <v>379</v>
      </c>
      <c r="M142" s="15" t="s">
        <v>378</v>
      </c>
      <c r="N142" s="15" t="s">
        <v>379</v>
      </c>
      <c r="O142" s="15" t="s">
        <v>497</v>
      </c>
      <c r="P142" s="15" t="s">
        <v>592</v>
      </c>
      <c r="Q142" s="15" t="s">
        <v>499</v>
      </c>
      <c r="R142" s="15" t="s">
        <v>500</v>
      </c>
      <c r="S142" s="15" t="s">
        <v>384</v>
      </c>
      <c r="T142" s="15" t="s">
        <v>385</v>
      </c>
      <c r="U142" s="15" t="s">
        <v>896</v>
      </c>
      <c r="V142" s="15" t="s">
        <v>896</v>
      </c>
      <c r="W142" s="15" t="s">
        <v>3014</v>
      </c>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t="s">
        <v>1242</v>
      </c>
      <c r="AW142" s="15">
        <v>4.0</v>
      </c>
      <c r="AX142" s="15">
        <v>4.0</v>
      </c>
      <c r="AY142" s="15">
        <v>4.0</v>
      </c>
      <c r="AZ142" s="15">
        <v>4.0</v>
      </c>
      <c r="BA142" s="15" t="s">
        <v>675</v>
      </c>
      <c r="BB142" s="15">
        <v>4.0</v>
      </c>
      <c r="BC142" s="15"/>
      <c r="BD142" s="15"/>
      <c r="BE142" s="15" t="s">
        <v>432</v>
      </c>
      <c r="BF142" s="15" t="s">
        <v>1095</v>
      </c>
      <c r="BG142" s="15" t="s">
        <v>394</v>
      </c>
      <c r="BH142" s="15"/>
      <c r="BI142" s="15" t="s">
        <v>435</v>
      </c>
      <c r="BJ142" s="15"/>
      <c r="BK142" s="15" t="s">
        <v>395</v>
      </c>
      <c r="BL142" s="15" t="s">
        <v>512</v>
      </c>
      <c r="BM142" s="15" t="s">
        <v>1314</v>
      </c>
      <c r="BN142" s="15" t="s">
        <v>398</v>
      </c>
      <c r="BO142" s="15"/>
      <c r="BP142" s="15"/>
      <c r="BQ142" s="15" t="s">
        <v>442</v>
      </c>
      <c r="BR142" s="15" t="s">
        <v>3375</v>
      </c>
      <c r="BS142" s="15"/>
      <c r="BT142" s="15" t="s">
        <v>1672</v>
      </c>
      <c r="BU142" s="15" t="s">
        <v>1693</v>
      </c>
      <c r="BV142" s="15"/>
      <c r="BW142" s="15" t="s">
        <v>457</v>
      </c>
      <c r="BX142" s="15"/>
      <c r="BY142" s="15" t="s">
        <v>408</v>
      </c>
      <c r="BZ142" s="15"/>
      <c r="CA142" s="15"/>
      <c r="CB142" s="15"/>
      <c r="CC142" s="15"/>
      <c r="CD142" s="15" t="s">
        <v>451</v>
      </c>
      <c r="CE142" s="15"/>
      <c r="CF142" s="15" t="s">
        <v>1722</v>
      </c>
      <c r="CG142" s="15"/>
      <c r="CH142" s="15" t="s">
        <v>1698</v>
      </c>
      <c r="CI142" s="15" t="s">
        <v>410</v>
      </c>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c r="DF142" s="15"/>
      <c r="DG142" s="15"/>
      <c r="DH142" s="15"/>
      <c r="DI142" s="15"/>
      <c r="DJ142" s="15"/>
      <c r="DK142" s="15"/>
      <c r="DL142" s="15"/>
      <c r="DM142" s="15"/>
      <c r="DN142" s="15"/>
      <c r="DO142" s="15"/>
      <c r="DP142" s="15"/>
      <c r="DQ142" s="15"/>
      <c r="DR142" s="15"/>
      <c r="DS142" s="15"/>
      <c r="DT142" s="15"/>
      <c r="DU142" s="15"/>
      <c r="DV142" s="15"/>
      <c r="DW142" s="15"/>
      <c r="DX142" s="15"/>
      <c r="DY142" s="15"/>
      <c r="DZ142" s="15"/>
      <c r="EA142" s="15"/>
      <c r="EB142" s="15"/>
      <c r="EC142" s="15"/>
      <c r="ED142" s="15"/>
      <c r="EE142" s="15"/>
      <c r="EF142" s="15"/>
      <c r="EG142" s="15"/>
      <c r="EH142" s="15"/>
      <c r="EI142" s="15"/>
      <c r="EJ142" s="15"/>
      <c r="EK142" s="15"/>
      <c r="EL142" s="15"/>
      <c r="EM142" s="15"/>
      <c r="EN142" s="15"/>
      <c r="EO142" s="15"/>
      <c r="EP142" s="15"/>
      <c r="EQ142" s="15"/>
      <c r="ER142" s="15"/>
      <c r="ES142" s="15"/>
      <c r="ET142" s="15" t="s">
        <v>578</v>
      </c>
      <c r="EU142" s="15" t="s">
        <v>479</v>
      </c>
      <c r="EV142" s="15" t="s">
        <v>480</v>
      </c>
      <c r="EW142" s="15"/>
      <c r="EX142" s="15"/>
      <c r="EY142" s="15"/>
      <c r="EZ142" s="15" t="s">
        <v>583</v>
      </c>
      <c r="FA142" s="15" t="s">
        <v>583</v>
      </c>
      <c r="FB142" s="15" t="s">
        <v>583</v>
      </c>
      <c r="FC142" s="15" t="s">
        <v>583</v>
      </c>
      <c r="FD142" s="15" t="s">
        <v>415</v>
      </c>
      <c r="FE142" s="15" t="s">
        <v>583</v>
      </c>
      <c r="FF142" s="15" t="s">
        <v>583</v>
      </c>
      <c r="FG142" s="15" t="s">
        <v>416</v>
      </c>
      <c r="FH142" s="15" t="s">
        <v>583</v>
      </c>
      <c r="FI142" s="15" t="s">
        <v>583</v>
      </c>
      <c r="FJ142" s="15" t="s">
        <v>583</v>
      </c>
      <c r="FK142" s="15" t="s">
        <v>484</v>
      </c>
      <c r="FL142" s="15" t="s">
        <v>583</v>
      </c>
      <c r="FM142" s="15" t="s">
        <v>416</v>
      </c>
      <c r="FN142" s="15" t="s">
        <v>583</v>
      </c>
      <c r="FO142" s="15" t="s">
        <v>1074</v>
      </c>
      <c r="FP142" s="15" t="s">
        <v>418</v>
      </c>
      <c r="FQ142" s="15" t="s">
        <v>419</v>
      </c>
      <c r="FR142" s="15"/>
      <c r="FS142" s="15" t="s">
        <v>995</v>
      </c>
      <c r="FT142" s="15" t="s">
        <v>488</v>
      </c>
      <c r="FU142" s="15" t="s">
        <v>533</v>
      </c>
      <c r="FV142" s="15" t="s">
        <v>1101</v>
      </c>
      <c r="FW142" s="15" t="s">
        <v>491</v>
      </c>
      <c r="FX142" s="15"/>
      <c r="FY142" s="15" t="s">
        <v>1020</v>
      </c>
      <c r="FZ142" s="15"/>
      <c r="GA142" s="15"/>
      <c r="GB142" s="15" t="s">
        <v>408</v>
      </c>
      <c r="GC142" s="15"/>
      <c r="GD142" s="15"/>
      <c r="GE142" s="15"/>
      <c r="GF142" s="15"/>
      <c r="GG142" s="15"/>
      <c r="GH142" s="15"/>
      <c r="GI142" s="15"/>
      <c r="GJ142" s="15" t="s">
        <v>755</v>
      </c>
      <c r="GK142" s="15" t="s">
        <v>755</v>
      </c>
      <c r="GL142" s="15" t="s">
        <v>946</v>
      </c>
      <c r="GM142" s="15"/>
      <c r="GN142" s="15"/>
      <c r="GO142" s="15"/>
      <c r="GP142" s="15"/>
      <c r="GQ142" s="15" t="s">
        <v>3273</v>
      </c>
      <c r="GR142" s="15"/>
      <c r="GS142" s="15"/>
      <c r="GT142" s="15"/>
      <c r="GU142" s="15"/>
      <c r="GV142" s="15"/>
      <c r="GW142" s="15"/>
      <c r="GX142" s="15"/>
      <c r="GY142" s="15"/>
      <c r="GZ142" s="15"/>
      <c r="HA142" s="15"/>
      <c r="HB142" s="15"/>
      <c r="HC142" s="15"/>
      <c r="HD142" s="15"/>
      <c r="HE142" s="15"/>
      <c r="HF142" s="15"/>
      <c r="HG142" s="15"/>
      <c r="HH142" s="15"/>
      <c r="HI142" s="15"/>
      <c r="HJ142" s="15"/>
      <c r="HK142" s="15"/>
      <c r="HL142" s="15"/>
      <c r="HM142" s="15"/>
      <c r="HN142" s="15"/>
      <c r="HO142" s="15"/>
      <c r="HP142" s="31"/>
      <c r="MX142" s="29" t="s">
        <v>3376</v>
      </c>
      <c r="MY142" s="29" t="str">
        <f>IFERROR(__xludf.DUMMYFUNCTION("""COMPUTED_VALUE"""),"Malaysia")</f>
        <v>Malaysia</v>
      </c>
    </row>
    <row r="143" ht="16.5" customHeight="1">
      <c r="A143" s="30">
        <v>45830.622208518515</v>
      </c>
      <c r="B143" s="15" t="s">
        <v>368</v>
      </c>
      <c r="C143" s="15" t="s">
        <v>3376</v>
      </c>
      <c r="D143" s="15" t="s">
        <v>3376</v>
      </c>
      <c r="E143" s="15"/>
      <c r="F143" s="15"/>
      <c r="G143" s="15" t="s">
        <v>1093</v>
      </c>
      <c r="H143" s="15" t="s">
        <v>373</v>
      </c>
      <c r="I143" s="15" t="s">
        <v>374</v>
      </c>
      <c r="J143" s="15" t="s">
        <v>375</v>
      </c>
      <c r="K143" s="15" t="s">
        <v>376</v>
      </c>
      <c r="L143" s="15" t="s">
        <v>1526</v>
      </c>
      <c r="M143" s="15" t="s">
        <v>3377</v>
      </c>
      <c r="N143" s="15" t="s">
        <v>1526</v>
      </c>
      <c r="O143" s="15" t="s">
        <v>1799</v>
      </c>
      <c r="P143" s="15" t="s">
        <v>1760</v>
      </c>
      <c r="Q143" s="15" t="s">
        <v>759</v>
      </c>
      <c r="R143" s="15" t="s">
        <v>3378</v>
      </c>
      <c r="S143" s="15" t="s">
        <v>384</v>
      </c>
      <c r="T143" s="15" t="s">
        <v>385</v>
      </c>
      <c r="U143" s="15"/>
      <c r="V143" s="15"/>
      <c r="W143" s="15" t="s">
        <v>1023</v>
      </c>
      <c r="X143" s="15" t="s">
        <v>2729</v>
      </c>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t="s">
        <v>1310</v>
      </c>
      <c r="AW143" s="15" t="s">
        <v>391</v>
      </c>
      <c r="AX143" s="15" t="s">
        <v>391</v>
      </c>
      <c r="AY143" s="15">
        <v>2.0</v>
      </c>
      <c r="AZ143" s="15">
        <v>2.0</v>
      </c>
      <c r="BA143" s="15" t="s">
        <v>391</v>
      </c>
      <c r="BB143" s="15" t="s">
        <v>391</v>
      </c>
      <c r="BC143" s="15" t="s">
        <v>3379</v>
      </c>
      <c r="BD143" s="15" t="s">
        <v>3380</v>
      </c>
      <c r="BE143" s="15" t="s">
        <v>432</v>
      </c>
      <c r="BF143" s="15" t="s">
        <v>1047</v>
      </c>
      <c r="BG143" s="15" t="s">
        <v>434</v>
      </c>
      <c r="BH143" s="15" t="s">
        <v>3381</v>
      </c>
      <c r="BI143" s="15" t="s">
        <v>435</v>
      </c>
      <c r="BJ143" s="15" t="s">
        <v>3382</v>
      </c>
      <c r="BK143" s="15" t="s">
        <v>511</v>
      </c>
      <c r="BL143" s="15" t="s">
        <v>438</v>
      </c>
      <c r="BM143" s="15" t="s">
        <v>397</v>
      </c>
      <c r="BN143" s="15" t="s">
        <v>398</v>
      </c>
      <c r="BO143" s="15" t="s">
        <v>3383</v>
      </c>
      <c r="BP143" s="15" t="s">
        <v>3384</v>
      </c>
      <c r="BQ143" s="15" t="s">
        <v>401</v>
      </c>
      <c r="BR143" s="15" t="s">
        <v>3385</v>
      </c>
      <c r="BS143" s="15" t="s">
        <v>403</v>
      </c>
      <c r="BT143" s="15" t="s">
        <v>1994</v>
      </c>
      <c r="BU143" s="15" t="s">
        <v>405</v>
      </c>
      <c r="BV143" s="15"/>
      <c r="BW143" s="15" t="s">
        <v>406</v>
      </c>
      <c r="BX143" s="15" t="s">
        <v>1867</v>
      </c>
      <c r="BY143" s="15" t="s">
        <v>455</v>
      </c>
      <c r="BZ143" s="15" t="s">
        <v>3386</v>
      </c>
      <c r="CA143" s="15" t="s">
        <v>3387</v>
      </c>
      <c r="CB143" s="15" t="s">
        <v>3388</v>
      </c>
      <c r="CC143" s="15" t="s">
        <v>3389</v>
      </c>
      <c r="CD143" s="15" t="s">
        <v>409</v>
      </c>
      <c r="CE143" s="15" t="s">
        <v>3390</v>
      </c>
      <c r="CF143" s="15" t="s">
        <v>1258</v>
      </c>
      <c r="CG143" s="15"/>
      <c r="CH143" s="15" t="s">
        <v>1698</v>
      </c>
      <c r="CI143" s="15" t="s">
        <v>1220</v>
      </c>
      <c r="CJ143" s="15" t="s">
        <v>3391</v>
      </c>
      <c r="CK143" s="15" t="s">
        <v>3392</v>
      </c>
      <c r="CL143" s="15"/>
      <c r="CM143" s="15"/>
      <c r="CN143" s="15"/>
      <c r="CO143" s="15"/>
      <c r="CP143" s="15"/>
      <c r="CQ143" s="15"/>
      <c r="CR143" s="15"/>
      <c r="CS143" s="15"/>
      <c r="CT143" s="15"/>
      <c r="CU143" s="15"/>
      <c r="CV143" s="15"/>
      <c r="CW143" s="15"/>
      <c r="CX143" s="15"/>
      <c r="CY143" s="15"/>
      <c r="CZ143" s="15"/>
      <c r="DA143" s="15"/>
      <c r="DB143" s="15"/>
      <c r="DC143" s="15"/>
      <c r="DD143" s="15"/>
      <c r="DE143" s="15"/>
      <c r="DF143" s="15"/>
      <c r="DG143" s="15"/>
      <c r="DH143" s="15"/>
      <c r="DI143" s="15"/>
      <c r="DJ143" s="15"/>
      <c r="DK143" s="15"/>
      <c r="DL143" s="15"/>
      <c r="DM143" s="15"/>
      <c r="DN143" s="15"/>
      <c r="DO143" s="15"/>
      <c r="DP143" s="15"/>
      <c r="DQ143" s="15"/>
      <c r="DR143" s="15"/>
      <c r="DS143" s="15"/>
      <c r="DT143" s="15"/>
      <c r="DU143" s="15"/>
      <c r="DV143" s="15"/>
      <c r="DW143" s="15"/>
      <c r="DX143" s="15"/>
      <c r="DY143" s="15"/>
      <c r="DZ143" s="15"/>
      <c r="EA143" s="15"/>
      <c r="EB143" s="15"/>
      <c r="EC143" s="15"/>
      <c r="ED143" s="15"/>
      <c r="EE143" s="15"/>
      <c r="EF143" s="15"/>
      <c r="EG143" s="15"/>
      <c r="EH143" s="15"/>
      <c r="EI143" s="15"/>
      <c r="EJ143" s="15"/>
      <c r="EK143" s="15"/>
      <c r="EL143" s="15"/>
      <c r="EM143" s="15"/>
      <c r="EN143" s="15"/>
      <c r="EO143" s="15"/>
      <c r="EP143" s="15"/>
      <c r="EQ143" s="15"/>
      <c r="ER143" s="15"/>
      <c r="ES143" s="15"/>
      <c r="ET143" s="15" t="s">
        <v>478</v>
      </c>
      <c r="EU143" s="15" t="s">
        <v>579</v>
      </c>
      <c r="EV143" s="15" t="s">
        <v>527</v>
      </c>
      <c r="EW143" s="15" t="s">
        <v>3393</v>
      </c>
      <c r="EX143" s="15" t="s">
        <v>3394</v>
      </c>
      <c r="EY143" s="15" t="s">
        <v>3395</v>
      </c>
      <c r="EZ143" s="15" t="s">
        <v>415</v>
      </c>
      <c r="FA143" s="15" t="s">
        <v>414</v>
      </c>
      <c r="FB143" s="15" t="s">
        <v>415</v>
      </c>
      <c r="FC143" s="15" t="s">
        <v>415</v>
      </c>
      <c r="FD143" s="15" t="s">
        <v>415</v>
      </c>
      <c r="FE143" s="15" t="s">
        <v>415</v>
      </c>
      <c r="FF143" s="15" t="s">
        <v>415</v>
      </c>
      <c r="FG143" s="15" t="s">
        <v>415</v>
      </c>
      <c r="FH143" s="15" t="s">
        <v>415</v>
      </c>
      <c r="FI143" s="15" t="s">
        <v>415</v>
      </c>
      <c r="FJ143" s="15" t="s">
        <v>415</v>
      </c>
      <c r="FK143" s="15" t="s">
        <v>415</v>
      </c>
      <c r="FL143" s="15" t="s">
        <v>415</v>
      </c>
      <c r="FM143" s="15" t="s">
        <v>415</v>
      </c>
      <c r="FN143" s="15" t="s">
        <v>415</v>
      </c>
      <c r="FO143" s="15" t="s">
        <v>3396</v>
      </c>
      <c r="FP143" s="15" t="s">
        <v>486</v>
      </c>
      <c r="FQ143" s="15" t="s">
        <v>712</v>
      </c>
      <c r="FR143" s="15" t="s">
        <v>3397</v>
      </c>
      <c r="FS143" s="15" t="s">
        <v>420</v>
      </c>
      <c r="FT143" s="15" t="s">
        <v>1462</v>
      </c>
      <c r="FU143" s="15" t="s">
        <v>918</v>
      </c>
      <c r="FV143" s="15" t="s">
        <v>490</v>
      </c>
      <c r="FW143" s="15" t="s">
        <v>491</v>
      </c>
      <c r="FX143" s="15" t="s">
        <v>3398</v>
      </c>
      <c r="FY143" s="15" t="s">
        <v>493</v>
      </c>
      <c r="FZ143" s="15" t="s">
        <v>3399</v>
      </c>
      <c r="GA143" s="15" t="s">
        <v>3400</v>
      </c>
      <c r="GB143" s="15" t="s">
        <v>455</v>
      </c>
      <c r="GC143" s="15"/>
      <c r="GD143" s="15" t="s">
        <v>3401</v>
      </c>
      <c r="GE143" s="15" t="s">
        <v>855</v>
      </c>
      <c r="GF143" s="15" t="s">
        <v>3402</v>
      </c>
      <c r="GG143" s="15"/>
      <c r="GH143" s="15"/>
      <c r="GI143" s="15"/>
      <c r="GJ143" s="15" t="s">
        <v>857</v>
      </c>
      <c r="GK143" s="15" t="s">
        <v>857</v>
      </c>
      <c r="GL143" s="15" t="s">
        <v>817</v>
      </c>
      <c r="GM143" s="15"/>
      <c r="GN143" s="15" t="s">
        <v>3376</v>
      </c>
      <c r="GO143" s="15" t="s">
        <v>3376</v>
      </c>
      <c r="GP143" s="15"/>
      <c r="GQ143" s="15" t="s">
        <v>3208</v>
      </c>
      <c r="GR143" s="15"/>
      <c r="GS143" s="15"/>
      <c r="GT143" s="15"/>
      <c r="GU143" s="15"/>
      <c r="GV143" s="15"/>
      <c r="GW143" s="15"/>
      <c r="GX143" s="15"/>
      <c r="GY143" s="15"/>
      <c r="GZ143" s="15"/>
      <c r="HA143" s="15"/>
      <c r="HB143" s="15"/>
      <c r="HC143" s="15"/>
      <c r="HD143" s="15"/>
      <c r="HE143" s="15"/>
      <c r="HF143" s="15"/>
      <c r="HG143" s="15"/>
      <c r="HH143" s="15"/>
      <c r="HI143" s="15"/>
      <c r="HJ143" s="15"/>
      <c r="HK143" s="15"/>
      <c r="HL143" s="15"/>
      <c r="HM143" s="15"/>
      <c r="HN143" s="15"/>
      <c r="HO143" s="15"/>
      <c r="HP143" s="31"/>
      <c r="MX143" s="29" t="s">
        <v>894</v>
      </c>
      <c r="MY143" s="29" t="str">
        <f>IFERROR(__xludf.DUMMYFUNCTION("""COMPUTED_VALUE"""),"Quebec")</f>
        <v>Quebec</v>
      </c>
    </row>
    <row r="144" ht="16.5" customHeight="1">
      <c r="A144" s="30">
        <v>45830.63773170139</v>
      </c>
      <c r="B144" s="15" t="s">
        <v>368</v>
      </c>
      <c r="C144" s="15" t="s">
        <v>894</v>
      </c>
      <c r="D144" s="15" t="s">
        <v>894</v>
      </c>
      <c r="E144" s="15"/>
      <c r="F144" s="15"/>
      <c r="G144" s="15" t="s">
        <v>422</v>
      </c>
      <c r="H144" s="15" t="s">
        <v>539</v>
      </c>
      <c r="I144" s="15" t="s">
        <v>2578</v>
      </c>
      <c r="J144" s="15" t="s">
        <v>590</v>
      </c>
      <c r="K144" s="15" t="s">
        <v>376</v>
      </c>
      <c r="L144" s="15" t="s">
        <v>379</v>
      </c>
      <c r="M144" s="15" t="s">
        <v>948</v>
      </c>
      <c r="N144" s="15" t="s">
        <v>426</v>
      </c>
      <c r="O144" s="15" t="s">
        <v>639</v>
      </c>
      <c r="P144" s="15" t="s">
        <v>498</v>
      </c>
      <c r="Q144" s="15" t="s">
        <v>382</v>
      </c>
      <c r="R144" s="15" t="s">
        <v>427</v>
      </c>
      <c r="S144" s="15" t="s">
        <v>384</v>
      </c>
      <c r="T144" s="15" t="s">
        <v>385</v>
      </c>
      <c r="U144" s="15" t="s">
        <v>1045</v>
      </c>
      <c r="V144" s="15" t="s">
        <v>1045</v>
      </c>
      <c r="W144" s="15" t="s">
        <v>3014</v>
      </c>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t="s">
        <v>597</v>
      </c>
      <c r="AW144" s="15" t="s">
        <v>391</v>
      </c>
      <c r="AX144" s="15" t="s">
        <v>391</v>
      </c>
      <c r="AY144" s="15" t="s">
        <v>391</v>
      </c>
      <c r="AZ144" s="15">
        <v>4.0</v>
      </c>
      <c r="BA144" s="15">
        <v>4.0</v>
      </c>
      <c r="BB144" s="15">
        <v>4.0</v>
      </c>
      <c r="BC144" s="15" t="s">
        <v>3403</v>
      </c>
      <c r="BD144" s="15" t="s">
        <v>3404</v>
      </c>
      <c r="BE144" s="15" t="s">
        <v>432</v>
      </c>
      <c r="BF144" s="15" t="s">
        <v>393</v>
      </c>
      <c r="BG144" s="15" t="s">
        <v>725</v>
      </c>
      <c r="BH144" s="15" t="s">
        <v>3405</v>
      </c>
      <c r="BI144" s="15" t="s">
        <v>435</v>
      </c>
      <c r="BJ144" s="15" t="s">
        <v>3406</v>
      </c>
      <c r="BK144" s="15" t="s">
        <v>681</v>
      </c>
      <c r="BL144" s="15" t="s">
        <v>438</v>
      </c>
      <c r="BM144" s="15" t="s">
        <v>397</v>
      </c>
      <c r="BN144" s="15" t="s">
        <v>398</v>
      </c>
      <c r="BO144" s="15" t="s">
        <v>3407</v>
      </c>
      <c r="BP144" s="15" t="s">
        <v>3408</v>
      </c>
      <c r="BQ144" s="15" t="s">
        <v>604</v>
      </c>
      <c r="BR144" s="15" t="s">
        <v>3409</v>
      </c>
      <c r="BS144" s="15" t="s">
        <v>1251</v>
      </c>
      <c r="BT144" s="15"/>
      <c r="BU144" s="15" t="s">
        <v>1772</v>
      </c>
      <c r="BV144" s="15" t="s">
        <v>3410</v>
      </c>
      <c r="BW144" s="15" t="s">
        <v>457</v>
      </c>
      <c r="BX144" s="15"/>
      <c r="BY144" s="15" t="s">
        <v>408</v>
      </c>
      <c r="BZ144" s="15"/>
      <c r="CA144" s="15" t="s">
        <v>3411</v>
      </c>
      <c r="CB144" s="15" t="s">
        <v>3412</v>
      </c>
      <c r="CC144" s="15" t="s">
        <v>3413</v>
      </c>
      <c r="CD144" s="15" t="s">
        <v>409</v>
      </c>
      <c r="CE144" s="15" t="s">
        <v>3414</v>
      </c>
      <c r="CF144" s="15" t="s">
        <v>1258</v>
      </c>
      <c r="CG144" s="15"/>
      <c r="CH144" s="15" t="s">
        <v>1698</v>
      </c>
      <c r="CI144" s="15" t="s">
        <v>833</v>
      </c>
      <c r="CJ144" s="15" t="s">
        <v>3415</v>
      </c>
      <c r="CK144" s="15" t="s">
        <v>3416</v>
      </c>
      <c r="CL144" s="15"/>
      <c r="CM144" s="15"/>
      <c r="CN144" s="15"/>
      <c r="CO144" s="15"/>
      <c r="CP144" s="15"/>
      <c r="CQ144" s="15"/>
      <c r="CR144" s="15"/>
      <c r="CS144" s="15"/>
      <c r="CT144" s="15"/>
      <c r="CU144" s="15"/>
      <c r="CV144" s="15"/>
      <c r="CW144" s="15"/>
      <c r="CX144" s="15"/>
      <c r="CY144" s="15"/>
      <c r="CZ144" s="15"/>
      <c r="DA144" s="15"/>
      <c r="DB144" s="15"/>
      <c r="DC144" s="15"/>
      <c r="DD144" s="15"/>
      <c r="DE144" s="15"/>
      <c r="DF144" s="15"/>
      <c r="DG144" s="15"/>
      <c r="DH144" s="15"/>
      <c r="DI144" s="15"/>
      <c r="DJ144" s="15"/>
      <c r="DK144" s="15"/>
      <c r="DL144" s="15"/>
      <c r="DM144" s="15"/>
      <c r="DN144" s="15"/>
      <c r="DO144" s="15"/>
      <c r="DP144" s="15"/>
      <c r="DQ144" s="15"/>
      <c r="DR144" s="15"/>
      <c r="DS144" s="15"/>
      <c r="DT144" s="15"/>
      <c r="DU144" s="15"/>
      <c r="DV144" s="15"/>
      <c r="DW144" s="15"/>
      <c r="DX144" s="15"/>
      <c r="DY144" s="15"/>
      <c r="DZ144" s="15"/>
      <c r="EA144" s="15"/>
      <c r="EB144" s="15"/>
      <c r="EC144" s="15"/>
      <c r="ED144" s="15"/>
      <c r="EE144" s="15"/>
      <c r="EF144" s="15"/>
      <c r="EG144" s="15"/>
      <c r="EH144" s="15"/>
      <c r="EI144" s="15"/>
      <c r="EJ144" s="15"/>
      <c r="EK144" s="15"/>
      <c r="EL144" s="15"/>
      <c r="EM144" s="15"/>
      <c r="EN144" s="15"/>
      <c r="EO144" s="15"/>
      <c r="EP144" s="15"/>
      <c r="EQ144" s="15"/>
      <c r="ER144" s="15"/>
      <c r="ES144" s="15"/>
      <c r="ET144" s="15" t="s">
        <v>526</v>
      </c>
      <c r="EU144" s="15" t="s">
        <v>1127</v>
      </c>
      <c r="EV144" s="15" t="s">
        <v>527</v>
      </c>
      <c r="EW144" s="15" t="s">
        <v>3417</v>
      </c>
      <c r="EX144" s="15" t="s">
        <v>3418</v>
      </c>
      <c r="EY144" s="15" t="s">
        <v>3419</v>
      </c>
      <c r="EZ144" s="15" t="s">
        <v>415</v>
      </c>
      <c r="FA144" s="15" t="s">
        <v>414</v>
      </c>
      <c r="FB144" s="15" t="s">
        <v>413</v>
      </c>
      <c r="FC144" s="15" t="s">
        <v>484</v>
      </c>
      <c r="FD144" s="15" t="s">
        <v>413</v>
      </c>
      <c r="FE144" s="15" t="s">
        <v>416</v>
      </c>
      <c r="FF144" s="15" t="s">
        <v>415</v>
      </c>
      <c r="FG144" s="15" t="s">
        <v>416</v>
      </c>
      <c r="FH144" s="15" t="s">
        <v>414</v>
      </c>
      <c r="FI144" s="15" t="s">
        <v>484</v>
      </c>
      <c r="FJ144" s="15" t="s">
        <v>583</v>
      </c>
      <c r="FK144" s="15" t="s">
        <v>484</v>
      </c>
      <c r="FL144" s="15" t="s">
        <v>414</v>
      </c>
      <c r="FM144" s="15" t="s">
        <v>413</v>
      </c>
      <c r="FN144" s="15" t="s">
        <v>414</v>
      </c>
      <c r="FO144" s="15" t="s">
        <v>1074</v>
      </c>
      <c r="FP144" s="15" t="s">
        <v>486</v>
      </c>
      <c r="FQ144" s="15" t="s">
        <v>630</v>
      </c>
      <c r="FR144" s="15" t="s">
        <v>3420</v>
      </c>
      <c r="FS144" s="15" t="s">
        <v>1189</v>
      </c>
      <c r="FT144" s="15" t="s">
        <v>1462</v>
      </c>
      <c r="FU144" s="15" t="s">
        <v>489</v>
      </c>
      <c r="FV144" s="15" t="s">
        <v>1101</v>
      </c>
      <c r="FW144" s="15" t="s">
        <v>491</v>
      </c>
      <c r="FX144" s="15" t="s">
        <v>3421</v>
      </c>
      <c r="FY144" s="15" t="s">
        <v>1020</v>
      </c>
      <c r="FZ144" s="15" t="s">
        <v>3422</v>
      </c>
      <c r="GA144" s="15" t="s">
        <v>3423</v>
      </c>
      <c r="GB144" s="15" t="s">
        <v>455</v>
      </c>
      <c r="GC144" s="15"/>
      <c r="GD144" s="15"/>
      <c r="GE144" s="15" t="s">
        <v>753</v>
      </c>
      <c r="GF144" s="15" t="s">
        <v>3424</v>
      </c>
      <c r="GG144" s="15"/>
      <c r="GH144" s="15"/>
      <c r="GI144" s="15"/>
      <c r="GJ144" s="15" t="s">
        <v>920</v>
      </c>
      <c r="GK144" s="15" t="s">
        <v>788</v>
      </c>
      <c r="GL144" s="15" t="s">
        <v>946</v>
      </c>
      <c r="GM144" s="15"/>
      <c r="GN144" s="15"/>
      <c r="GO144" s="15"/>
      <c r="GP144" s="15"/>
      <c r="GQ144" s="15" t="s">
        <v>3208</v>
      </c>
      <c r="GR144" s="15"/>
      <c r="GS144" s="15"/>
      <c r="GT144" s="15"/>
      <c r="GU144" s="15"/>
      <c r="GV144" s="15"/>
      <c r="GW144" s="15"/>
      <c r="GX144" s="15"/>
      <c r="GY144" s="15"/>
      <c r="GZ144" s="15"/>
      <c r="HA144" s="15"/>
      <c r="HB144" s="15"/>
      <c r="HC144" s="15"/>
      <c r="HD144" s="15"/>
      <c r="HE144" s="15"/>
      <c r="HF144" s="15"/>
      <c r="HG144" s="15"/>
      <c r="HH144" s="15"/>
      <c r="HI144" s="15"/>
      <c r="HJ144" s="15"/>
      <c r="HK144" s="15"/>
      <c r="HL144" s="15"/>
      <c r="HM144" s="15"/>
      <c r="HN144" s="15"/>
      <c r="HO144" s="15"/>
      <c r="HP144" s="31"/>
      <c r="MX144" s="29" t="s">
        <v>10402</v>
      </c>
      <c r="MY144" s="29" t="str">
        <f>IFERROR(__xludf.DUMMYFUNCTION("""COMPUTED_VALUE"""),"Georgia")</f>
        <v>Georgia</v>
      </c>
    </row>
    <row r="145" ht="16.5" customHeight="1">
      <c r="A145" s="30">
        <v>45830.745157337966</v>
      </c>
      <c r="B145" s="15" t="s">
        <v>368</v>
      </c>
      <c r="C145" s="15" t="s">
        <v>370</v>
      </c>
      <c r="D145" s="15"/>
      <c r="E145" s="15" t="s">
        <v>589</v>
      </c>
      <c r="F145" s="15"/>
      <c r="G145" s="15" t="s">
        <v>422</v>
      </c>
      <c r="H145" s="15" t="s">
        <v>539</v>
      </c>
      <c r="I145" s="15" t="s">
        <v>1022</v>
      </c>
      <c r="J145" s="15" t="s">
        <v>375</v>
      </c>
      <c r="K145" s="15" t="s">
        <v>376</v>
      </c>
      <c r="L145" s="15" t="s">
        <v>426</v>
      </c>
      <c r="M145" s="15" t="s">
        <v>2464</v>
      </c>
      <c r="N145" s="15" t="s">
        <v>379</v>
      </c>
      <c r="O145" s="15" t="s">
        <v>380</v>
      </c>
      <c r="P145" s="15" t="s">
        <v>1760</v>
      </c>
      <c r="Q145" s="15" t="s">
        <v>499</v>
      </c>
      <c r="R145" s="15" t="s">
        <v>500</v>
      </c>
      <c r="S145" s="15" t="s">
        <v>384</v>
      </c>
      <c r="T145" s="15" t="s">
        <v>385</v>
      </c>
      <c r="U145" s="15"/>
      <c r="V145" s="15"/>
      <c r="W145" s="15" t="s">
        <v>386</v>
      </c>
      <c r="X145" s="15" t="s">
        <v>387</v>
      </c>
      <c r="Y145" s="15" t="s">
        <v>897</v>
      </c>
      <c r="Z145" s="15" t="s">
        <v>543</v>
      </c>
      <c r="AA145" s="15" t="s">
        <v>3425</v>
      </c>
      <c r="AB145" s="15"/>
      <c r="AC145" s="15"/>
      <c r="AD145" s="15"/>
      <c r="AE145" s="15"/>
      <c r="AF145" s="15"/>
      <c r="AG145" s="15"/>
      <c r="AH145" s="15"/>
      <c r="AI145" s="15"/>
      <c r="AJ145" s="15"/>
      <c r="AK145" s="15"/>
      <c r="AL145" s="15"/>
      <c r="AM145" s="15"/>
      <c r="AN145" s="15"/>
      <c r="AO145" s="15"/>
      <c r="AP145" s="15"/>
      <c r="AQ145" s="15"/>
      <c r="AR145" s="15"/>
      <c r="AS145" s="15"/>
      <c r="AT145" s="15"/>
      <c r="AU145" s="15"/>
      <c r="AV145" s="15" t="s">
        <v>597</v>
      </c>
      <c r="AW145" s="15">
        <v>4.0</v>
      </c>
      <c r="AX145" s="15">
        <v>4.0</v>
      </c>
      <c r="AY145" s="15">
        <v>4.0</v>
      </c>
      <c r="AZ145" s="15">
        <v>2.0</v>
      </c>
      <c r="BA145" s="15" t="s">
        <v>391</v>
      </c>
      <c r="BB145" s="15">
        <v>4.0</v>
      </c>
      <c r="BC145" s="15" t="s">
        <v>3426</v>
      </c>
      <c r="BD145" s="15" t="s">
        <v>3427</v>
      </c>
      <c r="BE145" s="15" t="s">
        <v>432</v>
      </c>
      <c r="BF145" s="15" t="s">
        <v>1095</v>
      </c>
      <c r="BG145" s="15" t="s">
        <v>434</v>
      </c>
      <c r="BH145" s="15" t="s">
        <v>3428</v>
      </c>
      <c r="BI145" s="15" t="s">
        <v>727</v>
      </c>
      <c r="BJ145" s="15"/>
      <c r="BK145" s="15" t="s">
        <v>602</v>
      </c>
      <c r="BL145" s="15" t="s">
        <v>904</v>
      </c>
      <c r="BM145" s="15" t="s">
        <v>1276</v>
      </c>
      <c r="BN145" s="15" t="s">
        <v>440</v>
      </c>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t="s">
        <v>441</v>
      </c>
      <c r="CM145" s="15" t="s">
        <v>682</v>
      </c>
      <c r="CN145" s="15" t="s">
        <v>1315</v>
      </c>
      <c r="CO145" s="15" t="s">
        <v>3429</v>
      </c>
      <c r="CP145" s="15" t="s">
        <v>403</v>
      </c>
      <c r="CQ145" s="15" t="s">
        <v>1136</v>
      </c>
      <c r="CR145" s="15" t="s">
        <v>447</v>
      </c>
      <c r="CS145" s="15" t="s">
        <v>3430</v>
      </c>
      <c r="CT145" s="15" t="s">
        <v>3431</v>
      </c>
      <c r="CU145" s="15" t="s">
        <v>450</v>
      </c>
      <c r="CV145" s="15" t="s">
        <v>451</v>
      </c>
      <c r="CW145" s="15" t="s">
        <v>3432</v>
      </c>
      <c r="CX145" s="15" t="s">
        <v>408</v>
      </c>
      <c r="CY145" s="15"/>
      <c r="CZ145" s="15" t="s">
        <v>453</v>
      </c>
      <c r="DA145" s="15" t="s">
        <v>3433</v>
      </c>
      <c r="DB145" s="15" t="s">
        <v>455</v>
      </c>
      <c r="DC145" s="15" t="s">
        <v>3434</v>
      </c>
      <c r="DD145" s="15" t="s">
        <v>406</v>
      </c>
      <c r="DE145" s="15" t="s">
        <v>407</v>
      </c>
      <c r="DF145" s="15" t="s">
        <v>3435</v>
      </c>
      <c r="DG145" s="15" t="s">
        <v>524</v>
      </c>
      <c r="DH145" s="15" t="s">
        <v>410</v>
      </c>
      <c r="DI145" s="15" t="s">
        <v>459</v>
      </c>
      <c r="DJ145" s="15" t="s">
        <v>613</v>
      </c>
      <c r="DK145" s="15"/>
      <c r="DL145" s="15"/>
      <c r="DM145" s="15" t="s">
        <v>3436</v>
      </c>
      <c r="DN145" s="15" t="s">
        <v>3437</v>
      </c>
      <c r="DO145" s="15" t="s">
        <v>2956</v>
      </c>
      <c r="DP145" s="15" t="s">
        <v>3438</v>
      </c>
      <c r="DQ145" s="15" t="s">
        <v>1176</v>
      </c>
      <c r="DR145" s="15" t="s">
        <v>3439</v>
      </c>
      <c r="DS145" s="15" t="s">
        <v>618</v>
      </c>
      <c r="DT145" s="15" t="s">
        <v>570</v>
      </c>
      <c r="DU145" s="15" t="s">
        <v>3440</v>
      </c>
      <c r="DV145" s="15" t="s">
        <v>733</v>
      </c>
      <c r="DW145" s="15" t="s">
        <v>396</v>
      </c>
      <c r="DX145" s="15" t="s">
        <v>3441</v>
      </c>
      <c r="DY145" s="15" t="s">
        <v>3442</v>
      </c>
      <c r="DZ145" s="15" t="s">
        <v>3443</v>
      </c>
      <c r="EA145" s="15" t="s">
        <v>475</v>
      </c>
      <c r="EB145" s="15" t="s">
        <v>845</v>
      </c>
      <c r="EC145" s="15" t="s">
        <v>3444</v>
      </c>
      <c r="ED145" s="15"/>
      <c r="EE145" s="15"/>
      <c r="EF145" s="15"/>
      <c r="EG145" s="15"/>
      <c r="EH145" s="15"/>
      <c r="EI145" s="15"/>
      <c r="EJ145" s="15"/>
      <c r="EK145" s="15"/>
      <c r="EL145" s="15"/>
      <c r="EM145" s="15"/>
      <c r="EN145" s="15"/>
      <c r="EO145" s="15"/>
      <c r="EP145" s="15"/>
      <c r="EQ145" s="15"/>
      <c r="ER145" s="15"/>
      <c r="ES145" s="15"/>
      <c r="ET145" s="15" t="s">
        <v>478</v>
      </c>
      <c r="EU145" s="15" t="s">
        <v>479</v>
      </c>
      <c r="EV145" s="15" t="s">
        <v>778</v>
      </c>
      <c r="EW145" s="15" t="s">
        <v>3445</v>
      </c>
      <c r="EX145" s="15" t="s">
        <v>3446</v>
      </c>
      <c r="EY145" s="15" t="s">
        <v>3447</v>
      </c>
      <c r="EZ145" s="15" t="s">
        <v>583</v>
      </c>
      <c r="FA145" s="15" t="s">
        <v>583</v>
      </c>
      <c r="FB145" s="15" t="s">
        <v>416</v>
      </c>
      <c r="FC145" s="15" t="s">
        <v>583</v>
      </c>
      <c r="FD145" s="15" t="s">
        <v>413</v>
      </c>
      <c r="FE145" s="15" t="s">
        <v>583</v>
      </c>
      <c r="FF145" s="15" t="s">
        <v>484</v>
      </c>
      <c r="FG145" s="15" t="s">
        <v>413</v>
      </c>
      <c r="FH145" s="15" t="s">
        <v>583</v>
      </c>
      <c r="FI145" s="15" t="s">
        <v>583</v>
      </c>
      <c r="FJ145" s="15" t="s">
        <v>416</v>
      </c>
      <c r="FK145" s="15" t="s">
        <v>484</v>
      </c>
      <c r="FL145" s="15" t="s">
        <v>484</v>
      </c>
      <c r="FM145" s="15" t="s">
        <v>413</v>
      </c>
      <c r="FN145" s="15" t="s">
        <v>583</v>
      </c>
      <c r="FO145" s="15" t="s">
        <v>3396</v>
      </c>
      <c r="FP145" s="15" t="s">
        <v>486</v>
      </c>
      <c r="FQ145" s="15"/>
      <c r="FR145" s="15" t="s">
        <v>3448</v>
      </c>
      <c r="FS145" s="15" t="s">
        <v>420</v>
      </c>
      <c r="FT145" s="15"/>
      <c r="FU145" s="15" t="s">
        <v>533</v>
      </c>
      <c r="FV145" s="15" t="s">
        <v>490</v>
      </c>
      <c r="FW145" s="15" t="s">
        <v>491</v>
      </c>
      <c r="FX145" s="15" t="s">
        <v>3449</v>
      </c>
      <c r="FY145" s="15" t="s">
        <v>1337</v>
      </c>
      <c r="FZ145" s="15" t="s">
        <v>3450</v>
      </c>
      <c r="GA145" s="15" t="s">
        <v>3451</v>
      </c>
      <c r="GB145" s="15" t="s">
        <v>455</v>
      </c>
      <c r="GC145" s="15"/>
      <c r="GD145" s="15"/>
      <c r="GE145" s="15" t="s">
        <v>753</v>
      </c>
      <c r="GF145" s="15" t="s">
        <v>3337</v>
      </c>
      <c r="GG145" s="15" t="s">
        <v>1000</v>
      </c>
      <c r="GH145" s="15" t="s">
        <v>1000</v>
      </c>
      <c r="GI145" s="15" t="s">
        <v>756</v>
      </c>
      <c r="GJ145" s="15"/>
      <c r="GK145" s="15"/>
      <c r="GL145" s="15"/>
      <c r="GM145" s="15" t="s">
        <v>1079</v>
      </c>
      <c r="GN145" s="15"/>
      <c r="GO145" s="15"/>
      <c r="GP145" s="15"/>
      <c r="GQ145" s="32" t="s">
        <v>3452</v>
      </c>
      <c r="GR145" s="15"/>
      <c r="GS145" s="15"/>
      <c r="GT145" s="15"/>
      <c r="GU145" s="15"/>
      <c r="GV145" s="15"/>
      <c r="GW145" s="15"/>
      <c r="GX145" s="15"/>
      <c r="GY145" s="15"/>
      <c r="GZ145" s="15"/>
      <c r="HA145" s="15"/>
      <c r="HB145" s="15"/>
      <c r="HC145" s="15"/>
      <c r="HD145" s="15"/>
      <c r="HE145" s="15"/>
      <c r="HF145" s="15"/>
      <c r="HG145" s="15"/>
      <c r="HH145" s="15"/>
      <c r="HI145" s="15"/>
      <c r="HJ145" s="15"/>
      <c r="HK145" s="15"/>
      <c r="HL145" s="15"/>
      <c r="HM145" s="15"/>
      <c r="HN145" s="15"/>
      <c r="HO145" s="15"/>
      <c r="HP145" s="31"/>
      <c r="MX145" s="29" t="s">
        <v>10402</v>
      </c>
      <c r="MY145" s="29" t="str">
        <f>IFERROR(__xludf.DUMMYFUNCTION("""COMPUTED_VALUE"""),"California")</f>
        <v>California</v>
      </c>
    </row>
    <row r="146" ht="16.5" customHeight="1">
      <c r="A146" s="30">
        <v>45830.74782991898</v>
      </c>
      <c r="B146" s="15" t="s">
        <v>368</v>
      </c>
      <c r="C146" s="15" t="s">
        <v>370</v>
      </c>
      <c r="D146" s="15"/>
      <c r="E146" s="15" t="s">
        <v>371</v>
      </c>
      <c r="F146" s="15"/>
      <c r="G146" s="15" t="s">
        <v>422</v>
      </c>
      <c r="H146" s="15" t="s">
        <v>373</v>
      </c>
      <c r="I146" s="15" t="s">
        <v>374</v>
      </c>
      <c r="J146" s="15" t="s">
        <v>375</v>
      </c>
      <c r="K146" s="15" t="s">
        <v>376</v>
      </c>
      <c r="L146" s="15" t="s">
        <v>793</v>
      </c>
      <c r="M146" s="15" t="s">
        <v>1690</v>
      </c>
      <c r="N146" s="15" t="s">
        <v>793</v>
      </c>
      <c r="O146" s="15" t="s">
        <v>3453</v>
      </c>
      <c r="P146" s="15" t="s">
        <v>592</v>
      </c>
      <c r="Q146" s="15" t="s">
        <v>499</v>
      </c>
      <c r="R146" s="15" t="s">
        <v>949</v>
      </c>
      <c r="S146" s="15" t="s">
        <v>384</v>
      </c>
      <c r="T146" s="15" t="s">
        <v>385</v>
      </c>
      <c r="U146" s="15"/>
      <c r="V146" s="15"/>
      <c r="W146" s="15" t="s">
        <v>3014</v>
      </c>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t="s">
        <v>597</v>
      </c>
      <c r="AW146" s="15">
        <v>4.0</v>
      </c>
      <c r="AX146" s="15">
        <v>4.0</v>
      </c>
      <c r="AY146" s="15">
        <v>4.0</v>
      </c>
      <c r="AZ146" s="15" t="s">
        <v>391</v>
      </c>
      <c r="BA146" s="15">
        <v>2.0</v>
      </c>
      <c r="BB146" s="15" t="s">
        <v>391</v>
      </c>
      <c r="BC146" s="15"/>
      <c r="BD146" s="15"/>
      <c r="BE146" s="15" t="s">
        <v>902</v>
      </c>
      <c r="BF146" s="15" t="s">
        <v>393</v>
      </c>
      <c r="BG146" s="15" t="s">
        <v>725</v>
      </c>
      <c r="BH146" s="15"/>
      <c r="BI146" s="15" t="s">
        <v>976</v>
      </c>
      <c r="BJ146" s="15"/>
      <c r="BK146" s="15" t="s">
        <v>602</v>
      </c>
      <c r="BL146" s="15" t="s">
        <v>603</v>
      </c>
      <c r="BM146" s="15" t="s">
        <v>1247</v>
      </c>
      <c r="BN146" s="15" t="s">
        <v>513</v>
      </c>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t="s">
        <v>441</v>
      </c>
      <c r="CM146" s="15" t="s">
        <v>401</v>
      </c>
      <c r="CN146" s="15"/>
      <c r="CO146" s="15"/>
      <c r="CP146" s="15" t="s">
        <v>403</v>
      </c>
      <c r="CQ146" s="15" t="s">
        <v>931</v>
      </c>
      <c r="CR146" s="15" t="s">
        <v>404</v>
      </c>
      <c r="CS146" s="15"/>
      <c r="CT146" s="15"/>
      <c r="CU146" s="15"/>
      <c r="CV146" s="15"/>
      <c r="CW146" s="15"/>
      <c r="CX146" s="15" t="s">
        <v>408</v>
      </c>
      <c r="CY146" s="15"/>
      <c r="CZ146" s="15" t="s">
        <v>1398</v>
      </c>
      <c r="DA146" s="15"/>
      <c r="DB146" s="15" t="s">
        <v>408</v>
      </c>
      <c r="DC146" s="15"/>
      <c r="DD146" s="15" t="s">
        <v>406</v>
      </c>
      <c r="DE146" s="15" t="s">
        <v>1058</v>
      </c>
      <c r="DF146" s="15"/>
      <c r="DG146" s="15" t="s">
        <v>776</v>
      </c>
      <c r="DH146" s="15" t="s">
        <v>1220</v>
      </c>
      <c r="DI146" s="15" t="s">
        <v>777</v>
      </c>
      <c r="DJ146" s="15" t="s">
        <v>460</v>
      </c>
      <c r="DK146" s="15" t="s">
        <v>1434</v>
      </c>
      <c r="DL146" s="15"/>
      <c r="DM146" s="15"/>
      <c r="DN146" s="15"/>
      <c r="DO146" s="15"/>
      <c r="DP146" s="15"/>
      <c r="DQ146" s="15"/>
      <c r="DR146" s="15"/>
      <c r="DS146" s="15"/>
      <c r="DT146" s="15"/>
      <c r="DU146" s="15"/>
      <c r="DV146" s="15"/>
      <c r="DW146" s="15"/>
      <c r="DX146" s="15"/>
      <c r="DY146" s="15"/>
      <c r="DZ146" s="15"/>
      <c r="EA146" s="15"/>
      <c r="EB146" s="15"/>
      <c r="EC146" s="15"/>
      <c r="ED146" s="15"/>
      <c r="EE146" s="15"/>
      <c r="EF146" s="15"/>
      <c r="EG146" s="15"/>
      <c r="EH146" s="15"/>
      <c r="EI146" s="15"/>
      <c r="EJ146" s="15"/>
      <c r="EK146" s="15"/>
      <c r="EL146" s="15"/>
      <c r="EM146" s="15"/>
      <c r="EN146" s="15"/>
      <c r="EO146" s="15"/>
      <c r="EP146" s="15"/>
      <c r="EQ146" s="15"/>
      <c r="ER146" s="15"/>
      <c r="ES146" s="15"/>
      <c r="ET146" s="15" t="s">
        <v>526</v>
      </c>
      <c r="EU146" s="15" t="s">
        <v>887</v>
      </c>
      <c r="EV146" s="15" t="s">
        <v>580</v>
      </c>
      <c r="EW146" s="15"/>
      <c r="EX146" s="15"/>
      <c r="EY146" s="15"/>
      <c r="EZ146" s="15" t="s">
        <v>416</v>
      </c>
      <c r="FA146" s="15" t="s">
        <v>415</v>
      </c>
      <c r="FB146" s="15" t="s">
        <v>413</v>
      </c>
      <c r="FC146" s="15" t="s">
        <v>413</v>
      </c>
      <c r="FD146" s="15" t="s">
        <v>413</v>
      </c>
      <c r="FE146" s="15" t="s">
        <v>415</v>
      </c>
      <c r="FF146" s="15" t="s">
        <v>413</v>
      </c>
      <c r="FG146" s="15" t="s">
        <v>415</v>
      </c>
      <c r="FH146" s="15" t="s">
        <v>415</v>
      </c>
      <c r="FI146" s="15" t="s">
        <v>414</v>
      </c>
      <c r="FJ146" s="15" t="s">
        <v>415</v>
      </c>
      <c r="FK146" s="15" t="s">
        <v>415</v>
      </c>
      <c r="FL146" s="15" t="s">
        <v>415</v>
      </c>
      <c r="FM146" s="15" t="s">
        <v>416</v>
      </c>
      <c r="FN146" s="15" t="s">
        <v>583</v>
      </c>
      <c r="FO146" s="15" t="s">
        <v>850</v>
      </c>
      <c r="FP146" s="15" t="s">
        <v>418</v>
      </c>
      <c r="FQ146" s="15" t="s">
        <v>749</v>
      </c>
      <c r="FR146" s="15"/>
      <c r="FS146" s="15" t="s">
        <v>420</v>
      </c>
      <c r="FT146" s="15" t="s">
        <v>488</v>
      </c>
      <c r="FU146" s="15" t="s">
        <v>489</v>
      </c>
      <c r="FV146" s="15" t="s">
        <v>490</v>
      </c>
      <c r="FW146" s="15" t="s">
        <v>1853</v>
      </c>
      <c r="FX146" s="15"/>
      <c r="FY146" s="15" t="s">
        <v>1020</v>
      </c>
      <c r="FZ146" s="15"/>
      <c r="GA146" s="15"/>
      <c r="GB146" s="15"/>
      <c r="GC146" s="15"/>
      <c r="GD146" s="15"/>
      <c r="GE146" s="15"/>
      <c r="GF146" s="15"/>
      <c r="GG146" s="15" t="s">
        <v>755</v>
      </c>
      <c r="GH146" s="15" t="s">
        <v>755</v>
      </c>
      <c r="GI146" s="15" t="s">
        <v>946</v>
      </c>
      <c r="GJ146" s="15"/>
      <c r="GK146" s="15"/>
      <c r="GL146" s="15"/>
      <c r="GM146" s="15"/>
      <c r="GN146" s="15"/>
      <c r="GO146" s="15"/>
      <c r="GP146" s="15"/>
      <c r="GQ146" s="15" t="s">
        <v>3208</v>
      </c>
      <c r="GR146" s="15"/>
      <c r="GS146" s="15"/>
      <c r="GT146" s="15"/>
      <c r="GU146" s="15"/>
      <c r="GV146" s="15"/>
      <c r="GW146" s="15"/>
      <c r="GX146" s="15"/>
      <c r="GY146" s="15"/>
      <c r="GZ146" s="15"/>
      <c r="HA146" s="15"/>
      <c r="HB146" s="15"/>
      <c r="HC146" s="15"/>
      <c r="HD146" s="15"/>
      <c r="HE146" s="15"/>
      <c r="HF146" s="15"/>
      <c r="HG146" s="15"/>
      <c r="HH146" s="15"/>
      <c r="HI146" s="15"/>
      <c r="HJ146" s="15"/>
      <c r="HK146" s="15"/>
      <c r="HL146" s="15"/>
      <c r="HM146" s="15"/>
      <c r="HN146" s="15"/>
      <c r="HO146" s="15"/>
      <c r="HP146" s="31"/>
      <c r="MX146" s="29" t="s">
        <v>10402</v>
      </c>
      <c r="MY146" s="29" t="str">
        <f>IFERROR(__xludf.DUMMYFUNCTION("""COMPUTED_VALUE"""),"Ohio")</f>
        <v>Ohio</v>
      </c>
    </row>
    <row r="147" ht="16.5" customHeight="1">
      <c r="A147" s="30">
        <v>45830.76834444444</v>
      </c>
      <c r="B147" s="15" t="s">
        <v>368</v>
      </c>
      <c r="C147" s="15" t="s">
        <v>370</v>
      </c>
      <c r="D147" s="15"/>
      <c r="E147" s="15" t="s">
        <v>495</v>
      </c>
      <c r="F147" s="15"/>
      <c r="G147" s="15" t="s">
        <v>422</v>
      </c>
      <c r="H147" s="15" t="s">
        <v>637</v>
      </c>
      <c r="I147" s="15" t="s">
        <v>638</v>
      </c>
      <c r="J147" s="15" t="s">
        <v>375</v>
      </c>
      <c r="K147" s="15" t="s">
        <v>376</v>
      </c>
      <c r="L147" s="15" t="s">
        <v>379</v>
      </c>
      <c r="M147" s="15" t="s">
        <v>2464</v>
      </c>
      <c r="N147" s="15" t="s">
        <v>591</v>
      </c>
      <c r="O147" s="15" t="s">
        <v>380</v>
      </c>
      <c r="P147" s="15" t="s">
        <v>381</v>
      </c>
      <c r="Q147" s="15" t="s">
        <v>1156</v>
      </c>
      <c r="R147" s="15" t="s">
        <v>427</v>
      </c>
      <c r="S147" s="15" t="s">
        <v>384</v>
      </c>
      <c r="T147" s="15" t="s">
        <v>385</v>
      </c>
      <c r="U147" s="15"/>
      <c r="V147" s="15"/>
      <c r="W147" s="15" t="s">
        <v>593</v>
      </c>
      <c r="X147" s="15" t="s">
        <v>387</v>
      </c>
      <c r="Y147" s="15" t="s">
        <v>1444</v>
      </c>
      <c r="Z147" s="15" t="s">
        <v>672</v>
      </c>
      <c r="AA147" s="15" t="s">
        <v>408</v>
      </c>
      <c r="AB147" s="15"/>
      <c r="AC147" s="15"/>
      <c r="AD147" s="15"/>
      <c r="AE147" s="15"/>
      <c r="AF147" s="15"/>
      <c r="AG147" s="15"/>
      <c r="AH147" s="15"/>
      <c r="AI147" s="15"/>
      <c r="AJ147" s="15"/>
      <c r="AK147" s="15"/>
      <c r="AL147" s="15"/>
      <c r="AM147" s="15"/>
      <c r="AN147" s="15"/>
      <c r="AO147" s="15"/>
      <c r="AP147" s="15"/>
      <c r="AQ147" s="15"/>
      <c r="AR147" s="15"/>
      <c r="AS147" s="15"/>
      <c r="AT147" s="15"/>
      <c r="AU147" s="15"/>
      <c r="AV147" s="15" t="s">
        <v>504</v>
      </c>
      <c r="AW147" s="15">
        <v>2.0</v>
      </c>
      <c r="AX147" s="15" t="s">
        <v>429</v>
      </c>
      <c r="AY147" s="15" t="s">
        <v>391</v>
      </c>
      <c r="AZ147" s="15">
        <v>2.0</v>
      </c>
      <c r="BA147" s="15">
        <v>2.0</v>
      </c>
      <c r="BB147" s="15" t="s">
        <v>429</v>
      </c>
      <c r="BC147" s="15" t="s">
        <v>3454</v>
      </c>
      <c r="BD147" s="15" t="s">
        <v>3455</v>
      </c>
      <c r="BE147" s="15" t="s">
        <v>432</v>
      </c>
      <c r="BF147" s="15" t="s">
        <v>433</v>
      </c>
      <c r="BG147" s="15" t="s">
        <v>678</v>
      </c>
      <c r="BH147" s="15"/>
      <c r="BI147" s="15" t="s">
        <v>435</v>
      </c>
      <c r="BJ147" s="15"/>
      <c r="BK147" s="15" t="s">
        <v>511</v>
      </c>
      <c r="BL147" s="15" t="s">
        <v>603</v>
      </c>
      <c r="BM147" s="15" t="s">
        <v>439</v>
      </c>
      <c r="BN147" s="15" t="s">
        <v>513</v>
      </c>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t="s">
        <v>441</v>
      </c>
      <c r="CM147" s="15" t="s">
        <v>401</v>
      </c>
      <c r="CN147" s="15" t="s">
        <v>3456</v>
      </c>
      <c r="CO147" s="15" t="s">
        <v>3457</v>
      </c>
      <c r="CP147" s="15" t="s">
        <v>979</v>
      </c>
      <c r="CQ147" s="15" t="s">
        <v>3458</v>
      </c>
      <c r="CR147" s="15" t="s">
        <v>447</v>
      </c>
      <c r="CS147" s="15" t="s">
        <v>957</v>
      </c>
      <c r="CT147" s="15" t="s">
        <v>3459</v>
      </c>
      <c r="CU147" s="15" t="s">
        <v>450</v>
      </c>
      <c r="CV147" s="15" t="s">
        <v>451</v>
      </c>
      <c r="CW147" s="15" t="s">
        <v>3460</v>
      </c>
      <c r="CX147" s="15" t="s">
        <v>733</v>
      </c>
      <c r="CY147" s="15"/>
      <c r="CZ147" s="15" t="s">
        <v>453</v>
      </c>
      <c r="DA147" s="15" t="s">
        <v>3461</v>
      </c>
      <c r="DB147" s="15" t="s">
        <v>455</v>
      </c>
      <c r="DC147" s="15" t="s">
        <v>3462</v>
      </c>
      <c r="DD147" s="15" t="s">
        <v>662</v>
      </c>
      <c r="DE147" s="15"/>
      <c r="DF147" s="15" t="s">
        <v>3463</v>
      </c>
      <c r="DG147" s="15" t="s">
        <v>524</v>
      </c>
      <c r="DH147" s="15" t="s">
        <v>410</v>
      </c>
      <c r="DI147" s="15" t="s">
        <v>459</v>
      </c>
      <c r="DJ147" s="15" t="s">
        <v>613</v>
      </c>
      <c r="DK147" s="15"/>
      <c r="DL147" s="15"/>
      <c r="DM147" s="15"/>
      <c r="DN147" s="15"/>
      <c r="DO147" s="15"/>
      <c r="DP147" s="15"/>
      <c r="DQ147" s="15"/>
      <c r="DR147" s="15"/>
      <c r="DS147" s="15"/>
      <c r="DT147" s="15"/>
      <c r="DU147" s="15"/>
      <c r="DV147" s="15"/>
      <c r="DW147" s="15"/>
      <c r="DX147" s="15"/>
      <c r="DY147" s="15"/>
      <c r="DZ147" s="15"/>
      <c r="EA147" s="15"/>
      <c r="EB147" s="15"/>
      <c r="EC147" s="15"/>
      <c r="ED147" s="15"/>
      <c r="EE147" s="15"/>
      <c r="EF147" s="15"/>
      <c r="EG147" s="15"/>
      <c r="EH147" s="15"/>
      <c r="EI147" s="15"/>
      <c r="EJ147" s="15"/>
      <c r="EK147" s="15"/>
      <c r="EL147" s="15"/>
      <c r="EM147" s="15"/>
      <c r="EN147" s="15"/>
      <c r="EO147" s="15"/>
      <c r="EP147" s="15"/>
      <c r="EQ147" s="15"/>
      <c r="ER147" s="15"/>
      <c r="ES147" s="15"/>
      <c r="ET147" s="15" t="s">
        <v>526</v>
      </c>
      <c r="EU147" s="15" t="s">
        <v>479</v>
      </c>
      <c r="EV147" s="15" t="s">
        <v>480</v>
      </c>
      <c r="EW147" s="15"/>
      <c r="EX147" s="15" t="s">
        <v>3464</v>
      </c>
      <c r="EY147" s="15" t="s">
        <v>3465</v>
      </c>
      <c r="EZ147" s="15" t="s">
        <v>415</v>
      </c>
      <c r="FA147" s="15" t="s">
        <v>415</v>
      </c>
      <c r="FB147" s="15" t="s">
        <v>413</v>
      </c>
      <c r="FC147" s="15" t="s">
        <v>416</v>
      </c>
      <c r="FD147" s="15" t="s">
        <v>413</v>
      </c>
      <c r="FE147" s="15" t="s">
        <v>415</v>
      </c>
      <c r="FF147" s="15" t="s">
        <v>413</v>
      </c>
      <c r="FG147" s="15" t="s">
        <v>415</v>
      </c>
      <c r="FH147" s="15" t="s">
        <v>415</v>
      </c>
      <c r="FI147" s="15" t="s">
        <v>484</v>
      </c>
      <c r="FJ147" s="15" t="s">
        <v>414</v>
      </c>
      <c r="FK147" s="15" t="s">
        <v>415</v>
      </c>
      <c r="FL147" s="15" t="s">
        <v>415</v>
      </c>
      <c r="FM147" s="15" t="s">
        <v>415</v>
      </c>
      <c r="FN147" s="15" t="s">
        <v>415</v>
      </c>
      <c r="FO147" s="15" t="s">
        <v>485</v>
      </c>
      <c r="FP147" s="15" t="s">
        <v>418</v>
      </c>
      <c r="FQ147" s="15" t="s">
        <v>630</v>
      </c>
      <c r="FR147" s="15" t="s">
        <v>3466</v>
      </c>
      <c r="FS147" s="15" t="s">
        <v>420</v>
      </c>
      <c r="FT147" s="15" t="s">
        <v>488</v>
      </c>
      <c r="FU147" s="15" t="s">
        <v>533</v>
      </c>
      <c r="FV147" s="15" t="s">
        <v>490</v>
      </c>
      <c r="FW147" s="15" t="s">
        <v>491</v>
      </c>
      <c r="FX147" s="15" t="s">
        <v>3467</v>
      </c>
      <c r="FY147" s="15" t="s">
        <v>535</v>
      </c>
      <c r="FZ147" s="15" t="s">
        <v>3468</v>
      </c>
      <c r="GA147" s="15"/>
      <c r="GB147" s="15" t="s">
        <v>408</v>
      </c>
      <c r="GC147" s="15"/>
      <c r="GD147" s="15"/>
      <c r="GE147" s="15"/>
      <c r="GF147" s="15"/>
      <c r="GG147" s="15" t="s">
        <v>920</v>
      </c>
      <c r="GH147" s="15" t="s">
        <v>1000</v>
      </c>
      <c r="GI147" s="15" t="s">
        <v>756</v>
      </c>
      <c r="GJ147" s="15"/>
      <c r="GK147" s="15"/>
      <c r="GL147" s="15"/>
      <c r="GM147" s="15"/>
      <c r="GN147" s="15"/>
      <c r="GO147" s="15"/>
      <c r="GP147" s="15"/>
      <c r="GQ147" s="15" t="s">
        <v>3208</v>
      </c>
      <c r="GR147" s="15"/>
      <c r="GS147" s="15"/>
      <c r="GT147" s="15"/>
      <c r="GU147" s="15"/>
      <c r="GV147" s="15"/>
      <c r="GW147" s="15"/>
      <c r="GX147" s="15"/>
      <c r="GY147" s="15"/>
      <c r="GZ147" s="15"/>
      <c r="HA147" s="15"/>
      <c r="HB147" s="15"/>
      <c r="HC147" s="15"/>
      <c r="HD147" s="15"/>
      <c r="HE147" s="15"/>
      <c r="HF147" s="15"/>
      <c r="HG147" s="15"/>
      <c r="HH147" s="15"/>
      <c r="HI147" s="15"/>
      <c r="HJ147" s="15"/>
      <c r="HK147" s="15"/>
      <c r="HL147" s="15"/>
      <c r="HM147" s="15"/>
      <c r="HN147" s="15"/>
      <c r="HO147" s="15"/>
      <c r="HP147" s="31"/>
      <c r="MX147" s="29" t="s">
        <v>10402</v>
      </c>
      <c r="MY147" s="29" t="str">
        <f>IFERROR(__xludf.DUMMYFUNCTION("""COMPUTED_VALUE"""),"Massachusetts")</f>
        <v>Massachusetts</v>
      </c>
    </row>
    <row r="148" ht="16.5" customHeight="1">
      <c r="A148" s="30">
        <v>45830.77002224537</v>
      </c>
      <c r="B148" s="15" t="s">
        <v>368</v>
      </c>
      <c r="C148" s="15" t="s">
        <v>370</v>
      </c>
      <c r="D148" s="15"/>
      <c r="E148" s="15" t="s">
        <v>1001</v>
      </c>
      <c r="F148" s="15"/>
      <c r="G148" s="15" t="s">
        <v>422</v>
      </c>
      <c r="H148" s="15" t="s">
        <v>637</v>
      </c>
      <c r="I148" s="15" t="s">
        <v>638</v>
      </c>
      <c r="J148" s="15" t="s">
        <v>1204</v>
      </c>
      <c r="K148" s="15" t="s">
        <v>376</v>
      </c>
      <c r="L148" s="15" t="s">
        <v>379</v>
      </c>
      <c r="M148" s="15" t="s">
        <v>1690</v>
      </c>
      <c r="N148" s="15" t="s">
        <v>379</v>
      </c>
      <c r="O148" s="15" t="s">
        <v>497</v>
      </c>
      <c r="P148" s="15" t="s">
        <v>592</v>
      </c>
      <c r="Q148" s="15" t="s">
        <v>759</v>
      </c>
      <c r="R148" s="15" t="s">
        <v>1704</v>
      </c>
      <c r="S148" s="15" t="s">
        <v>384</v>
      </c>
      <c r="T148" s="15" t="s">
        <v>385</v>
      </c>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t="s">
        <v>504</v>
      </c>
      <c r="AW148" s="15">
        <v>4.0</v>
      </c>
      <c r="AX148" s="15" t="s">
        <v>391</v>
      </c>
      <c r="AY148" s="15" t="s">
        <v>391</v>
      </c>
      <c r="AZ148" s="15">
        <v>2.0</v>
      </c>
      <c r="BA148" s="15" t="s">
        <v>391</v>
      </c>
      <c r="BB148" s="15" t="s">
        <v>391</v>
      </c>
      <c r="BC148" s="15"/>
      <c r="BD148" s="15"/>
      <c r="BE148" s="15" t="s">
        <v>432</v>
      </c>
      <c r="BF148" s="15"/>
      <c r="BG148" s="15" t="s">
        <v>394</v>
      </c>
      <c r="BH148" s="15"/>
      <c r="BI148" s="15" t="s">
        <v>824</v>
      </c>
      <c r="BJ148" s="15"/>
      <c r="BK148" s="15" t="s">
        <v>681</v>
      </c>
      <c r="BL148" s="15" t="s">
        <v>396</v>
      </c>
      <c r="BM148" s="15" t="s">
        <v>549</v>
      </c>
      <c r="BN148" s="15" t="s">
        <v>440</v>
      </c>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c r="DF148" s="15"/>
      <c r="DG148" s="15"/>
      <c r="DH148" s="15"/>
      <c r="DI148" s="15" t="s">
        <v>459</v>
      </c>
      <c r="DJ148" s="15" t="s">
        <v>613</v>
      </c>
      <c r="DK148" s="15"/>
      <c r="DL148" s="15"/>
      <c r="DM148" s="15" t="s">
        <v>2890</v>
      </c>
      <c r="DN148" s="15" t="s">
        <v>3469</v>
      </c>
      <c r="DO148" s="15" t="s">
        <v>464</v>
      </c>
      <c r="DP148" s="15" t="s">
        <v>3470</v>
      </c>
      <c r="DQ148" s="15" t="s">
        <v>1176</v>
      </c>
      <c r="DR148" s="15" t="s">
        <v>408</v>
      </c>
      <c r="DS148" s="15" t="s">
        <v>839</v>
      </c>
      <c r="DT148" s="15" t="s">
        <v>570</v>
      </c>
      <c r="DU148" s="15" t="s">
        <v>3471</v>
      </c>
      <c r="DV148" s="15" t="s">
        <v>3471</v>
      </c>
      <c r="DW148" s="15" t="s">
        <v>573</v>
      </c>
      <c r="DX148" s="15"/>
      <c r="DY148" s="15" t="s">
        <v>3472</v>
      </c>
      <c r="DZ148" s="15" t="s">
        <v>3473</v>
      </c>
      <c r="EA148" s="15" t="s">
        <v>2960</v>
      </c>
      <c r="EB148" s="15" t="s">
        <v>3474</v>
      </c>
      <c r="EC148" s="15"/>
      <c r="ED148" s="15"/>
      <c r="EE148" s="15"/>
      <c r="EF148" s="15"/>
      <c r="EG148" s="15"/>
      <c r="EH148" s="15"/>
      <c r="EI148" s="15"/>
      <c r="EJ148" s="15"/>
      <c r="EK148" s="15"/>
      <c r="EL148" s="15"/>
      <c r="EM148" s="15"/>
      <c r="EN148" s="15"/>
      <c r="EO148" s="15"/>
      <c r="EP148" s="15"/>
      <c r="EQ148" s="15"/>
      <c r="ER148" s="15"/>
      <c r="ES148" s="15"/>
      <c r="ET148" s="15" t="s">
        <v>478</v>
      </c>
      <c r="EU148" s="15" t="s">
        <v>479</v>
      </c>
      <c r="EV148" s="15" t="s">
        <v>778</v>
      </c>
      <c r="EW148" s="15" t="s">
        <v>3475</v>
      </c>
      <c r="EX148" s="15"/>
      <c r="EY148" s="15"/>
      <c r="EZ148" s="15"/>
      <c r="FA148" s="15"/>
      <c r="FB148" s="15"/>
      <c r="FC148" s="15"/>
      <c r="FD148" s="15"/>
      <c r="FE148" s="15"/>
      <c r="FF148" s="15"/>
      <c r="FG148" s="15"/>
      <c r="FH148" s="15"/>
      <c r="FI148" s="15"/>
      <c r="FJ148" s="15"/>
      <c r="FK148" s="15"/>
      <c r="FL148" s="15"/>
      <c r="FM148" s="15"/>
      <c r="FN148" s="15"/>
      <c r="FO148" s="15" t="s">
        <v>485</v>
      </c>
      <c r="FP148" s="15" t="s">
        <v>486</v>
      </c>
      <c r="FQ148" s="15" t="s">
        <v>712</v>
      </c>
      <c r="FR148" s="15"/>
      <c r="FS148" s="15" t="s">
        <v>420</v>
      </c>
      <c r="FT148" s="15" t="s">
        <v>488</v>
      </c>
      <c r="FU148" s="15" t="s">
        <v>489</v>
      </c>
      <c r="FV148" s="15" t="s">
        <v>490</v>
      </c>
      <c r="FW148" s="15" t="s">
        <v>491</v>
      </c>
      <c r="FX148" s="15"/>
      <c r="FY148" s="15" t="s">
        <v>535</v>
      </c>
      <c r="FZ148" s="15"/>
      <c r="GA148" s="15"/>
      <c r="GB148" s="15" t="s">
        <v>408</v>
      </c>
      <c r="GC148" s="15"/>
      <c r="GD148" s="15"/>
      <c r="GE148" s="15"/>
      <c r="GF148" s="15"/>
      <c r="GG148" s="15"/>
      <c r="GH148" s="15"/>
      <c r="GI148" s="15"/>
      <c r="GJ148" s="15"/>
      <c r="GK148" s="15"/>
      <c r="GL148" s="15"/>
      <c r="GM148" s="15" t="s">
        <v>2312</v>
      </c>
      <c r="GN148" s="15"/>
      <c r="GO148" s="15"/>
      <c r="GP148" s="15"/>
      <c r="GQ148" s="15" t="s">
        <v>3208</v>
      </c>
      <c r="GR148" s="15"/>
      <c r="GS148" s="15"/>
      <c r="GT148" s="15"/>
      <c r="GU148" s="15"/>
      <c r="GV148" s="15"/>
      <c r="GW148" s="15"/>
      <c r="GX148" s="15"/>
      <c r="GY148" s="15"/>
      <c r="GZ148" s="15"/>
      <c r="HA148" s="15"/>
      <c r="HB148" s="15"/>
      <c r="HC148" s="15"/>
      <c r="HD148" s="15"/>
      <c r="HE148" s="15"/>
      <c r="HF148" s="15"/>
      <c r="HG148" s="15"/>
      <c r="HH148" s="15"/>
      <c r="HI148" s="15"/>
      <c r="HJ148" s="15"/>
      <c r="HK148" s="15"/>
      <c r="HL148" s="15"/>
      <c r="HM148" s="15"/>
      <c r="HN148" s="15"/>
      <c r="HO148" s="15"/>
      <c r="HP148" s="31"/>
      <c r="MX148" s="29" t="s">
        <v>894</v>
      </c>
      <c r="MY148" s="29" t="str">
        <f>IFERROR(__xludf.DUMMYFUNCTION("""COMPUTED_VALUE"""),"Alberta")</f>
        <v>Alberta</v>
      </c>
    </row>
    <row r="149" ht="16.5" customHeight="1">
      <c r="A149" s="30">
        <v>45830.85278008102</v>
      </c>
      <c r="B149" s="15" t="s">
        <v>368</v>
      </c>
      <c r="C149" s="15" t="s">
        <v>894</v>
      </c>
      <c r="D149" s="15" t="s">
        <v>894</v>
      </c>
      <c r="E149" s="15"/>
      <c r="F149" s="15"/>
      <c r="G149" s="15" t="s">
        <v>422</v>
      </c>
      <c r="H149" s="15" t="s">
        <v>496</v>
      </c>
      <c r="I149" s="15" t="s">
        <v>374</v>
      </c>
      <c r="J149" s="15" t="s">
        <v>375</v>
      </c>
      <c r="K149" s="15" t="s">
        <v>376</v>
      </c>
      <c r="L149" s="15" t="s">
        <v>426</v>
      </c>
      <c r="M149" s="15" t="s">
        <v>2464</v>
      </c>
      <c r="N149" s="15" t="s">
        <v>426</v>
      </c>
      <c r="O149" s="15" t="s">
        <v>719</v>
      </c>
      <c r="P149" s="15" t="s">
        <v>498</v>
      </c>
      <c r="Q149" s="15" t="s">
        <v>862</v>
      </c>
      <c r="R149" s="15" t="s">
        <v>427</v>
      </c>
      <c r="S149" s="15" t="s">
        <v>384</v>
      </c>
      <c r="T149" s="15" t="s">
        <v>385</v>
      </c>
      <c r="U149" s="15" t="s">
        <v>1241</v>
      </c>
      <c r="V149" s="15" t="s">
        <v>1025</v>
      </c>
      <c r="W149" s="15" t="s">
        <v>3014</v>
      </c>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t="s">
        <v>1310</v>
      </c>
      <c r="AW149" s="15">
        <v>4.0</v>
      </c>
      <c r="AX149" s="15" t="s">
        <v>391</v>
      </c>
      <c r="AY149" s="15" t="s">
        <v>391</v>
      </c>
      <c r="AZ149" s="15" t="s">
        <v>391</v>
      </c>
      <c r="BA149" s="15">
        <v>4.0</v>
      </c>
      <c r="BB149" s="15">
        <v>4.0</v>
      </c>
      <c r="BC149" s="15"/>
      <c r="BD149" s="15"/>
      <c r="BE149" s="15" t="s">
        <v>432</v>
      </c>
      <c r="BF149" s="15"/>
      <c r="BG149" s="15" t="s">
        <v>434</v>
      </c>
      <c r="BH149" s="15"/>
      <c r="BI149" s="15" t="s">
        <v>976</v>
      </c>
      <c r="BJ149" s="15"/>
      <c r="BK149" s="15" t="s">
        <v>681</v>
      </c>
      <c r="BL149" s="15" t="s">
        <v>438</v>
      </c>
      <c r="BM149" s="15" t="s">
        <v>1247</v>
      </c>
      <c r="BN149" s="15" t="s">
        <v>398</v>
      </c>
      <c r="BO149" s="15"/>
      <c r="BP149" s="15"/>
      <c r="BQ149" s="15" t="s">
        <v>442</v>
      </c>
      <c r="BR149" s="15" t="s">
        <v>3323</v>
      </c>
      <c r="BS149" s="15" t="s">
        <v>403</v>
      </c>
      <c r="BT149" s="15" t="s">
        <v>1771</v>
      </c>
      <c r="BU149" s="15" t="s">
        <v>1772</v>
      </c>
      <c r="BV149" s="15"/>
      <c r="BW149" s="15" t="s">
        <v>988</v>
      </c>
      <c r="BX149" s="15" t="s">
        <v>1867</v>
      </c>
      <c r="BY149" s="15" t="s">
        <v>408</v>
      </c>
      <c r="BZ149" s="15"/>
      <c r="CA149" s="15"/>
      <c r="CB149" s="15"/>
      <c r="CC149" s="15"/>
      <c r="CD149" s="15" t="s">
        <v>409</v>
      </c>
      <c r="CE149" s="15"/>
      <c r="CF149" s="15" t="s">
        <v>1258</v>
      </c>
      <c r="CG149" s="15"/>
      <c r="CH149" s="15" t="s">
        <v>1751</v>
      </c>
      <c r="CI149" s="15" t="s">
        <v>1220</v>
      </c>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c r="DF149" s="15"/>
      <c r="DG149" s="15"/>
      <c r="DH149" s="15"/>
      <c r="DI149" s="15"/>
      <c r="DJ149" s="15"/>
      <c r="DK149" s="15"/>
      <c r="DL149" s="15"/>
      <c r="DM149" s="15"/>
      <c r="DN149" s="15"/>
      <c r="DO149" s="15"/>
      <c r="DP149" s="15"/>
      <c r="DQ149" s="15"/>
      <c r="DR149" s="15"/>
      <c r="DS149" s="15"/>
      <c r="DT149" s="15"/>
      <c r="DU149" s="15"/>
      <c r="DV149" s="15"/>
      <c r="DW149" s="15"/>
      <c r="DX149" s="15"/>
      <c r="DY149" s="15"/>
      <c r="DZ149" s="15"/>
      <c r="EA149" s="15"/>
      <c r="EB149" s="15"/>
      <c r="EC149" s="15"/>
      <c r="ED149" s="15"/>
      <c r="EE149" s="15"/>
      <c r="EF149" s="15"/>
      <c r="EG149" s="15"/>
      <c r="EH149" s="15"/>
      <c r="EI149" s="15"/>
      <c r="EJ149" s="15"/>
      <c r="EK149" s="15"/>
      <c r="EL149" s="15"/>
      <c r="EM149" s="15"/>
      <c r="EN149" s="15"/>
      <c r="EO149" s="15"/>
      <c r="EP149" s="15"/>
      <c r="EQ149" s="15"/>
      <c r="ER149" s="15"/>
      <c r="ES149" s="15"/>
      <c r="ET149" s="15" t="s">
        <v>526</v>
      </c>
      <c r="EU149" s="15" t="s">
        <v>1127</v>
      </c>
      <c r="EV149" s="15" t="s">
        <v>1262</v>
      </c>
      <c r="EW149" s="15"/>
      <c r="EX149" s="15"/>
      <c r="EY149" s="15"/>
      <c r="EZ149" s="15" t="s">
        <v>415</v>
      </c>
      <c r="FA149" s="15" t="s">
        <v>415</v>
      </c>
      <c r="FB149" s="15" t="s">
        <v>416</v>
      </c>
      <c r="FC149" s="15" t="s">
        <v>414</v>
      </c>
      <c r="FD149" s="15" t="s">
        <v>413</v>
      </c>
      <c r="FE149" s="15" t="s">
        <v>415</v>
      </c>
      <c r="FF149" s="15" t="s">
        <v>415</v>
      </c>
      <c r="FG149" s="15" t="s">
        <v>416</v>
      </c>
      <c r="FH149" s="15" t="s">
        <v>416</v>
      </c>
      <c r="FI149" s="15" t="s">
        <v>415</v>
      </c>
      <c r="FJ149" s="15" t="s">
        <v>415</v>
      </c>
      <c r="FK149" s="15" t="s">
        <v>416</v>
      </c>
      <c r="FL149" s="15" t="s">
        <v>416</v>
      </c>
      <c r="FM149" s="15" t="s">
        <v>416</v>
      </c>
      <c r="FN149" s="15" t="s">
        <v>415</v>
      </c>
      <c r="FO149" s="15" t="s">
        <v>485</v>
      </c>
      <c r="FP149" s="15" t="s">
        <v>418</v>
      </c>
      <c r="FQ149" s="15" t="s">
        <v>712</v>
      </c>
      <c r="FR149" s="15"/>
      <c r="FS149" s="15" t="s">
        <v>1189</v>
      </c>
      <c r="FT149" s="15" t="s">
        <v>1462</v>
      </c>
      <c r="FU149" s="15" t="s">
        <v>585</v>
      </c>
      <c r="FV149" s="15" t="s">
        <v>490</v>
      </c>
      <c r="FW149" s="15" t="s">
        <v>491</v>
      </c>
      <c r="FX149" s="15"/>
      <c r="FY149" s="15" t="s">
        <v>1337</v>
      </c>
      <c r="FZ149" s="15"/>
      <c r="GA149" s="15"/>
      <c r="GB149" s="15" t="s">
        <v>408</v>
      </c>
      <c r="GC149" s="15"/>
      <c r="GD149" s="15"/>
      <c r="GE149" s="15"/>
      <c r="GF149" s="15"/>
      <c r="GG149" s="15"/>
      <c r="GH149" s="15"/>
      <c r="GI149" s="15"/>
      <c r="GJ149" s="15" t="s">
        <v>920</v>
      </c>
      <c r="GK149" s="15" t="s">
        <v>920</v>
      </c>
      <c r="GL149" s="15" t="s">
        <v>858</v>
      </c>
      <c r="GM149" s="15"/>
      <c r="GN149" s="15"/>
      <c r="GO149" s="15"/>
      <c r="GP149" s="15"/>
      <c r="GQ149" s="15" t="s">
        <v>3351</v>
      </c>
      <c r="GR149" s="15"/>
      <c r="GS149" s="15"/>
      <c r="GT149" s="15"/>
      <c r="GU149" s="15"/>
      <c r="GV149" s="15"/>
      <c r="GW149" s="15"/>
      <c r="GX149" s="15"/>
      <c r="GY149" s="15"/>
      <c r="GZ149" s="15"/>
      <c r="HA149" s="15"/>
      <c r="HB149" s="15"/>
      <c r="HC149" s="15"/>
      <c r="HD149" s="15"/>
      <c r="HE149" s="15"/>
      <c r="HF149" s="15"/>
      <c r="HG149" s="15"/>
      <c r="HH149" s="15"/>
      <c r="HI149" s="15"/>
      <c r="HJ149" s="15"/>
      <c r="HK149" s="15"/>
      <c r="HL149" s="15"/>
      <c r="HM149" s="15"/>
      <c r="HN149" s="15"/>
      <c r="HO149" s="15"/>
      <c r="HP149" s="31"/>
      <c r="MX149" s="29" t="s">
        <v>10402</v>
      </c>
      <c r="MY149" s="29" t="str">
        <f>IFERROR(__xludf.DUMMYFUNCTION("""COMPUTED_VALUE"""),"Louisiana")</f>
        <v>Louisiana</v>
      </c>
    </row>
    <row r="150" ht="16.5" customHeight="1">
      <c r="A150" s="30">
        <v>45830.87385914352</v>
      </c>
      <c r="B150" s="15" t="s">
        <v>368</v>
      </c>
      <c r="C150" s="15" t="s">
        <v>370</v>
      </c>
      <c r="D150" s="15"/>
      <c r="E150" s="15" t="s">
        <v>1464</v>
      </c>
      <c r="F150" s="15"/>
      <c r="G150" s="15" t="s">
        <v>422</v>
      </c>
      <c r="H150" s="15" t="s">
        <v>373</v>
      </c>
      <c r="I150" s="15" t="s">
        <v>374</v>
      </c>
      <c r="J150" s="15" t="s">
        <v>718</v>
      </c>
      <c r="K150" s="15" t="s">
        <v>376</v>
      </c>
      <c r="L150" s="15" t="s">
        <v>591</v>
      </c>
      <c r="M150" s="15" t="s">
        <v>3476</v>
      </c>
      <c r="N150" s="15" t="s">
        <v>591</v>
      </c>
      <c r="O150" s="15" t="s">
        <v>3477</v>
      </c>
      <c r="P150" s="15" t="s">
        <v>592</v>
      </c>
      <c r="Q150" s="15" t="s">
        <v>1156</v>
      </c>
      <c r="R150" s="15" t="s">
        <v>949</v>
      </c>
      <c r="S150" s="15" t="s">
        <v>384</v>
      </c>
      <c r="T150" s="15" t="s">
        <v>385</v>
      </c>
      <c r="U150" s="15"/>
      <c r="V150" s="15"/>
      <c r="W150" s="15" t="s">
        <v>3231</v>
      </c>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t="s">
        <v>1310</v>
      </c>
      <c r="AW150" s="15">
        <v>2.0</v>
      </c>
      <c r="AX150" s="15" t="s">
        <v>391</v>
      </c>
      <c r="AY150" s="15" t="s">
        <v>429</v>
      </c>
      <c r="AZ150" s="15" t="s">
        <v>391</v>
      </c>
      <c r="BA150" s="15" t="s">
        <v>429</v>
      </c>
      <c r="BB150" s="15" t="s">
        <v>429</v>
      </c>
      <c r="BC150" s="15"/>
      <c r="BD150" s="15"/>
      <c r="BE150" s="15" t="s">
        <v>392</v>
      </c>
      <c r="BF150" s="15" t="s">
        <v>393</v>
      </c>
      <c r="BG150" s="15" t="s">
        <v>725</v>
      </c>
      <c r="BH150" s="15"/>
      <c r="BI150" s="15" t="s">
        <v>509</v>
      </c>
      <c r="BJ150" s="15"/>
      <c r="BK150" s="15" t="s">
        <v>395</v>
      </c>
      <c r="BL150" s="15" t="s">
        <v>512</v>
      </c>
      <c r="BM150" s="15" t="s">
        <v>549</v>
      </c>
      <c r="BN150" s="15" t="s">
        <v>513</v>
      </c>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t="s">
        <v>441</v>
      </c>
      <c r="CM150" s="15" t="s">
        <v>401</v>
      </c>
      <c r="CN150" s="15"/>
      <c r="CO150" s="15"/>
      <c r="CP150" s="15" t="s">
        <v>445</v>
      </c>
      <c r="CQ150" s="15" t="s">
        <v>3478</v>
      </c>
      <c r="CR150" s="15" t="s">
        <v>447</v>
      </c>
      <c r="CS150" s="15" t="s">
        <v>3479</v>
      </c>
      <c r="CT150" s="15"/>
      <c r="CU150" s="15" t="s">
        <v>519</v>
      </c>
      <c r="CV150" s="15" t="s">
        <v>451</v>
      </c>
      <c r="CW150" s="15"/>
      <c r="CX150" s="15" t="s">
        <v>455</v>
      </c>
      <c r="CY150" s="15" t="s">
        <v>3480</v>
      </c>
      <c r="CZ150" s="15" t="s">
        <v>453</v>
      </c>
      <c r="DA150" s="15"/>
      <c r="DB150" s="15" t="s">
        <v>408</v>
      </c>
      <c r="DC150" s="15"/>
      <c r="DD150" s="15" t="s">
        <v>457</v>
      </c>
      <c r="DE150" s="15"/>
      <c r="DF150" s="15"/>
      <c r="DG150" s="15" t="s">
        <v>561</v>
      </c>
      <c r="DH150" s="15" t="s">
        <v>410</v>
      </c>
      <c r="DI150" s="15" t="s">
        <v>459</v>
      </c>
      <c r="DJ150" s="15" t="s">
        <v>460</v>
      </c>
      <c r="DK150" s="15" t="s">
        <v>461</v>
      </c>
      <c r="DL150" s="15"/>
      <c r="DM150" s="15"/>
      <c r="DN150" s="15"/>
      <c r="DO150" s="15"/>
      <c r="DP150" s="15"/>
      <c r="DQ150" s="15"/>
      <c r="DR150" s="15"/>
      <c r="DS150" s="15"/>
      <c r="DT150" s="15"/>
      <c r="DU150" s="15"/>
      <c r="DV150" s="15"/>
      <c r="DW150" s="15"/>
      <c r="DX150" s="15"/>
      <c r="DY150" s="15"/>
      <c r="DZ150" s="15"/>
      <c r="EA150" s="15"/>
      <c r="EB150" s="15"/>
      <c r="EC150" s="15"/>
      <c r="ED150" s="15"/>
      <c r="EE150" s="15"/>
      <c r="EF150" s="15"/>
      <c r="EG150" s="15"/>
      <c r="EH150" s="15"/>
      <c r="EI150" s="15"/>
      <c r="EJ150" s="15"/>
      <c r="EK150" s="15"/>
      <c r="EL150" s="15"/>
      <c r="EM150" s="15"/>
      <c r="EN150" s="15"/>
      <c r="EO150" s="15"/>
      <c r="EP150" s="15"/>
      <c r="EQ150" s="15"/>
      <c r="ER150" s="15"/>
      <c r="ES150" s="15"/>
      <c r="ET150" s="15" t="s">
        <v>526</v>
      </c>
      <c r="EU150" s="15" t="s">
        <v>479</v>
      </c>
      <c r="EV150" s="15" t="s">
        <v>1262</v>
      </c>
      <c r="EW150" s="15"/>
      <c r="EX150" s="15"/>
      <c r="EY150" s="15"/>
      <c r="EZ150" s="15" t="s">
        <v>583</v>
      </c>
      <c r="FA150" s="15" t="s">
        <v>583</v>
      </c>
      <c r="FB150" s="15" t="s">
        <v>583</v>
      </c>
      <c r="FC150" s="15" t="s">
        <v>583</v>
      </c>
      <c r="FD150" s="15" t="s">
        <v>416</v>
      </c>
      <c r="FE150" s="15" t="s">
        <v>583</v>
      </c>
      <c r="FF150" s="15" t="s">
        <v>583</v>
      </c>
      <c r="FG150" s="15" t="s">
        <v>416</v>
      </c>
      <c r="FH150" s="15" t="s">
        <v>583</v>
      </c>
      <c r="FI150" s="15" t="s">
        <v>583</v>
      </c>
      <c r="FJ150" s="15" t="s">
        <v>583</v>
      </c>
      <c r="FK150" s="15" t="s">
        <v>413</v>
      </c>
      <c r="FL150" s="15" t="s">
        <v>583</v>
      </c>
      <c r="FM150" s="15" t="s">
        <v>413</v>
      </c>
      <c r="FN150" s="15" t="s">
        <v>583</v>
      </c>
      <c r="FO150" s="15" t="s">
        <v>485</v>
      </c>
      <c r="FP150" s="15" t="s">
        <v>418</v>
      </c>
      <c r="FQ150" s="15" t="s">
        <v>630</v>
      </c>
      <c r="FR150" s="15"/>
      <c r="FS150" s="15" t="s">
        <v>420</v>
      </c>
      <c r="FT150" s="15" t="s">
        <v>488</v>
      </c>
      <c r="FU150" s="15" t="s">
        <v>533</v>
      </c>
      <c r="FV150" s="15" t="s">
        <v>490</v>
      </c>
      <c r="FW150" s="15" t="s">
        <v>1853</v>
      </c>
      <c r="FX150" s="15"/>
      <c r="FY150" s="15" t="s">
        <v>535</v>
      </c>
      <c r="FZ150" s="15"/>
      <c r="GA150" s="15"/>
      <c r="GB150" s="15" t="s">
        <v>408</v>
      </c>
      <c r="GC150" s="15"/>
      <c r="GD150" s="15"/>
      <c r="GE150" s="15"/>
      <c r="GF150" s="15"/>
      <c r="GG150" s="15" t="s">
        <v>755</v>
      </c>
      <c r="GH150" s="15" t="s">
        <v>755</v>
      </c>
      <c r="GI150" s="15" t="s">
        <v>946</v>
      </c>
      <c r="GJ150" s="15"/>
      <c r="GK150" s="15"/>
      <c r="GL150" s="15"/>
      <c r="GM150" s="15"/>
      <c r="GN150" s="15"/>
      <c r="GO150" s="15"/>
      <c r="GP150" s="15" t="s">
        <v>387</v>
      </c>
      <c r="GQ150" s="15" t="s">
        <v>3208</v>
      </c>
      <c r="GR150" s="15"/>
      <c r="GS150" s="15"/>
      <c r="GT150" s="15"/>
      <c r="GU150" s="15"/>
      <c r="GV150" s="15"/>
      <c r="GW150" s="15"/>
      <c r="GX150" s="15"/>
      <c r="GY150" s="15"/>
      <c r="GZ150" s="15"/>
      <c r="HA150" s="15"/>
      <c r="HB150" s="15"/>
      <c r="HC150" s="15"/>
      <c r="HD150" s="15"/>
      <c r="HE150" s="15"/>
      <c r="HF150" s="15"/>
      <c r="HG150" s="15"/>
      <c r="HH150" s="15"/>
      <c r="HI150" s="15"/>
      <c r="HJ150" s="15"/>
      <c r="HK150" s="15"/>
      <c r="HL150" s="15"/>
      <c r="HM150" s="15"/>
      <c r="HN150" s="15"/>
      <c r="HO150" s="15"/>
      <c r="HP150" s="31"/>
      <c r="MX150" s="29" t="s">
        <v>1201</v>
      </c>
      <c r="MY150" s="29" t="str">
        <f>IFERROR(__xludf.DUMMYFUNCTION("""COMPUTED_VALUE"""),"Australia")</f>
        <v>Australia</v>
      </c>
    </row>
    <row r="151" ht="16.5" customHeight="1">
      <c r="A151" s="30">
        <v>45830.97040641204</v>
      </c>
      <c r="B151" s="15" t="s">
        <v>368</v>
      </c>
      <c r="C151" s="15" t="s">
        <v>1201</v>
      </c>
      <c r="D151" s="15" t="s">
        <v>1201</v>
      </c>
      <c r="E151" s="15"/>
      <c r="F151" s="15"/>
      <c r="G151" s="15" t="s">
        <v>422</v>
      </c>
      <c r="H151" s="15" t="s">
        <v>423</v>
      </c>
      <c r="I151" s="15" t="s">
        <v>668</v>
      </c>
      <c r="J151" s="15" t="s">
        <v>1240</v>
      </c>
      <c r="K151" s="15" t="s">
        <v>376</v>
      </c>
      <c r="L151" s="15" t="s">
        <v>379</v>
      </c>
      <c r="M151" s="15" t="s">
        <v>720</v>
      </c>
      <c r="N151" s="15" t="s">
        <v>377</v>
      </c>
      <c r="O151" s="15" t="s">
        <v>497</v>
      </c>
      <c r="P151" s="15" t="s">
        <v>381</v>
      </c>
      <c r="Q151" s="15" t="s">
        <v>499</v>
      </c>
      <c r="R151" s="15" t="s">
        <v>427</v>
      </c>
      <c r="S151" s="15" t="s">
        <v>384</v>
      </c>
      <c r="T151" s="15" t="s">
        <v>385</v>
      </c>
      <c r="U151" s="15"/>
      <c r="V151" s="15"/>
      <c r="W151" s="15" t="s">
        <v>3014</v>
      </c>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t="s">
        <v>1310</v>
      </c>
      <c r="AW151" s="15" t="s">
        <v>391</v>
      </c>
      <c r="AX151" s="15" t="s">
        <v>391</v>
      </c>
      <c r="AY151" s="15" t="s">
        <v>391</v>
      </c>
      <c r="AZ151" s="15" t="s">
        <v>391</v>
      </c>
      <c r="BA151" s="15">
        <v>4.0</v>
      </c>
      <c r="BB151" s="15" t="s">
        <v>391</v>
      </c>
      <c r="BC151" s="15" t="s">
        <v>3481</v>
      </c>
      <c r="BD151" s="15" t="s">
        <v>3482</v>
      </c>
      <c r="BE151" s="15" t="s">
        <v>392</v>
      </c>
      <c r="BF151" s="15" t="s">
        <v>393</v>
      </c>
      <c r="BG151" s="15" t="s">
        <v>678</v>
      </c>
      <c r="BH151" s="15" t="s">
        <v>3483</v>
      </c>
      <c r="BI151" s="15" t="s">
        <v>435</v>
      </c>
      <c r="BJ151" s="15" t="s">
        <v>3484</v>
      </c>
      <c r="BK151" s="15" t="s">
        <v>511</v>
      </c>
      <c r="BL151" s="15" t="s">
        <v>438</v>
      </c>
      <c r="BM151" s="15" t="s">
        <v>1247</v>
      </c>
      <c r="BN151" s="15" t="s">
        <v>440</v>
      </c>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t="s">
        <v>550</v>
      </c>
      <c r="CM151" s="15" t="s">
        <v>442</v>
      </c>
      <c r="CN151" s="15" t="s">
        <v>3485</v>
      </c>
      <c r="CO151" s="15" t="s">
        <v>3486</v>
      </c>
      <c r="CP151" s="15" t="s">
        <v>685</v>
      </c>
      <c r="CQ151" s="15" t="s">
        <v>3487</v>
      </c>
      <c r="CR151" s="15" t="s">
        <v>447</v>
      </c>
      <c r="CS151" s="15" t="s">
        <v>3488</v>
      </c>
      <c r="CT151" s="15" t="s">
        <v>3489</v>
      </c>
      <c r="CU151" s="15" t="s">
        <v>519</v>
      </c>
      <c r="CV151" s="15" t="s">
        <v>451</v>
      </c>
      <c r="CW151" s="15" t="s">
        <v>3490</v>
      </c>
      <c r="CX151" s="15" t="s">
        <v>408</v>
      </c>
      <c r="CY151" s="15"/>
      <c r="CZ151" s="15" t="s">
        <v>453</v>
      </c>
      <c r="DA151" s="15" t="s">
        <v>3491</v>
      </c>
      <c r="DB151" s="15" t="s">
        <v>455</v>
      </c>
      <c r="DC151" s="15" t="s">
        <v>3492</v>
      </c>
      <c r="DD151" s="15" t="s">
        <v>406</v>
      </c>
      <c r="DE151" s="15" t="s">
        <v>407</v>
      </c>
      <c r="DF151" s="15" t="s">
        <v>3493</v>
      </c>
      <c r="DG151" s="15" t="s">
        <v>524</v>
      </c>
      <c r="DH151" s="15" t="s">
        <v>410</v>
      </c>
      <c r="DI151" s="15" t="s">
        <v>963</v>
      </c>
      <c r="DJ151" s="15" t="s">
        <v>562</v>
      </c>
      <c r="DK151" s="15" t="s">
        <v>461</v>
      </c>
      <c r="DL151" s="15"/>
      <c r="DM151" s="15" t="s">
        <v>3494</v>
      </c>
      <c r="DN151" s="15" t="s">
        <v>3495</v>
      </c>
      <c r="DO151" s="15" t="s">
        <v>3496</v>
      </c>
      <c r="DP151" s="15" t="s">
        <v>3497</v>
      </c>
      <c r="DQ151" s="15" t="s">
        <v>466</v>
      </c>
      <c r="DR151" s="15" t="s">
        <v>3498</v>
      </c>
      <c r="DS151" s="15" t="s">
        <v>839</v>
      </c>
      <c r="DT151" s="15" t="s">
        <v>1580</v>
      </c>
      <c r="DU151" s="15" t="s">
        <v>3499</v>
      </c>
      <c r="DV151" s="15" t="s">
        <v>3500</v>
      </c>
      <c r="DW151" s="15" t="s">
        <v>573</v>
      </c>
      <c r="DX151" s="15" t="s">
        <v>3501</v>
      </c>
      <c r="DY151" s="15" t="s">
        <v>3502</v>
      </c>
      <c r="DZ151" s="15" t="s">
        <v>3503</v>
      </c>
      <c r="EA151" s="15" t="s">
        <v>475</v>
      </c>
      <c r="EB151" s="15" t="s">
        <v>626</v>
      </c>
      <c r="EC151" s="15"/>
      <c r="ED151" s="15"/>
      <c r="EE151" s="15"/>
      <c r="EF151" s="15"/>
      <c r="EG151" s="15"/>
      <c r="EH151" s="15"/>
      <c r="EI151" s="15"/>
      <c r="EJ151" s="15"/>
      <c r="EK151" s="15"/>
      <c r="EL151" s="15"/>
      <c r="EM151" s="15"/>
      <c r="EN151" s="15"/>
      <c r="EO151" s="15"/>
      <c r="EP151" s="15"/>
      <c r="EQ151" s="15"/>
      <c r="ER151" s="15"/>
      <c r="ES151" s="15"/>
      <c r="ET151" s="15" t="s">
        <v>526</v>
      </c>
      <c r="EU151" s="15" t="s">
        <v>479</v>
      </c>
      <c r="EV151" s="15" t="s">
        <v>480</v>
      </c>
      <c r="EW151" s="15"/>
      <c r="EX151" s="15" t="s">
        <v>3504</v>
      </c>
      <c r="EY151" s="15" t="s">
        <v>3505</v>
      </c>
      <c r="EZ151" s="15" t="s">
        <v>415</v>
      </c>
      <c r="FA151" s="15" t="s">
        <v>415</v>
      </c>
      <c r="FB151" s="15" t="s">
        <v>413</v>
      </c>
      <c r="FC151" s="15" t="s">
        <v>413</v>
      </c>
      <c r="FD151" s="15" t="s">
        <v>413</v>
      </c>
      <c r="FE151" s="15" t="s">
        <v>415</v>
      </c>
      <c r="FF151" s="15" t="s">
        <v>413</v>
      </c>
      <c r="FG151" s="15" t="s">
        <v>413</v>
      </c>
      <c r="FH151" s="15" t="s">
        <v>414</v>
      </c>
      <c r="FI151" s="15" t="s">
        <v>415</v>
      </c>
      <c r="FJ151" s="15" t="s">
        <v>415</v>
      </c>
      <c r="FK151" s="15" t="s">
        <v>415</v>
      </c>
      <c r="FL151" s="15" t="s">
        <v>415</v>
      </c>
      <c r="FM151" s="15" t="s">
        <v>415</v>
      </c>
      <c r="FN151" s="15" t="s">
        <v>415</v>
      </c>
      <c r="FO151" s="15" t="s">
        <v>485</v>
      </c>
      <c r="FP151" s="15" t="s">
        <v>418</v>
      </c>
      <c r="FQ151" s="15" t="s">
        <v>749</v>
      </c>
      <c r="FR151" s="15"/>
      <c r="FS151" s="15" t="s">
        <v>420</v>
      </c>
      <c r="FT151" s="15" t="s">
        <v>488</v>
      </c>
      <c r="FU151" s="15" t="s">
        <v>918</v>
      </c>
      <c r="FV151" s="15" t="s">
        <v>490</v>
      </c>
      <c r="FW151" s="15" t="s">
        <v>491</v>
      </c>
      <c r="FX151" s="15" t="s">
        <v>3506</v>
      </c>
      <c r="FY151" s="15" t="s">
        <v>535</v>
      </c>
      <c r="FZ151" s="15" t="s">
        <v>3507</v>
      </c>
      <c r="GA151" s="15" t="s">
        <v>3508</v>
      </c>
      <c r="GB151" s="15" t="s">
        <v>455</v>
      </c>
      <c r="GC151" s="15"/>
      <c r="GD151" s="15"/>
      <c r="GE151" s="15" t="s">
        <v>753</v>
      </c>
      <c r="GF151" s="15"/>
      <c r="GG151" s="15" t="s">
        <v>755</v>
      </c>
      <c r="GH151" s="15" t="s">
        <v>755</v>
      </c>
      <c r="GI151" s="15" t="s">
        <v>946</v>
      </c>
      <c r="GJ151" s="15"/>
      <c r="GK151" s="15"/>
      <c r="GL151" s="15"/>
      <c r="GM151" s="15" t="s">
        <v>1079</v>
      </c>
      <c r="GN151" s="15" t="s">
        <v>3509</v>
      </c>
      <c r="GO151" s="15" t="s">
        <v>3509</v>
      </c>
      <c r="GP151" s="15"/>
      <c r="GQ151" s="15" t="s">
        <v>3208</v>
      </c>
      <c r="GR151" s="15"/>
      <c r="GS151" s="15"/>
      <c r="GT151" s="15"/>
      <c r="GU151" s="15"/>
      <c r="GV151" s="15"/>
      <c r="GW151" s="15"/>
      <c r="GX151" s="15"/>
      <c r="GY151" s="15"/>
      <c r="GZ151" s="15"/>
      <c r="HA151" s="15"/>
      <c r="HB151" s="15"/>
      <c r="HC151" s="15"/>
      <c r="HD151" s="15"/>
      <c r="HE151" s="15"/>
      <c r="HF151" s="15"/>
      <c r="HG151" s="15"/>
      <c r="HH151" s="15"/>
      <c r="HI151" s="15"/>
      <c r="HJ151" s="15"/>
      <c r="HK151" s="15"/>
      <c r="HL151" s="15"/>
      <c r="HM151" s="15"/>
      <c r="HN151" s="15"/>
      <c r="HO151" s="15"/>
      <c r="HP151" s="31"/>
      <c r="MX151" s="29" t="s">
        <v>10402</v>
      </c>
      <c r="MY151" s="29" t="str">
        <f>IFERROR(__xludf.DUMMYFUNCTION("""COMPUTED_VALUE"""),"Pennsylvania")</f>
        <v>Pennsylvania</v>
      </c>
    </row>
    <row r="152" ht="16.5" customHeight="1">
      <c r="A152" s="30">
        <v>45831.06838657407</v>
      </c>
      <c r="B152" s="15" t="s">
        <v>368</v>
      </c>
      <c r="C152" s="15" t="s">
        <v>370</v>
      </c>
      <c r="D152" s="15"/>
      <c r="E152" s="15" t="s">
        <v>791</v>
      </c>
      <c r="F152" s="15"/>
      <c r="G152" s="15" t="s">
        <v>422</v>
      </c>
      <c r="H152" s="15" t="s">
        <v>637</v>
      </c>
      <c r="I152" s="15" t="s">
        <v>638</v>
      </c>
      <c r="J152" s="15" t="s">
        <v>375</v>
      </c>
      <c r="K152" s="15" t="s">
        <v>376</v>
      </c>
      <c r="L152" s="15" t="s">
        <v>591</v>
      </c>
      <c r="M152" s="15" t="s">
        <v>378</v>
      </c>
      <c r="N152" s="15" t="s">
        <v>591</v>
      </c>
      <c r="O152" s="15" t="s">
        <v>719</v>
      </c>
      <c r="P152" s="15" t="s">
        <v>381</v>
      </c>
      <c r="Q152" s="15" t="s">
        <v>862</v>
      </c>
      <c r="R152" s="15" t="s">
        <v>427</v>
      </c>
      <c r="S152" s="15" t="s">
        <v>384</v>
      </c>
      <c r="T152" s="15" t="s">
        <v>385</v>
      </c>
      <c r="U152" s="15"/>
      <c r="V152" s="15"/>
      <c r="W152" s="15" t="s">
        <v>3014</v>
      </c>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t="s">
        <v>597</v>
      </c>
      <c r="AW152" s="15">
        <v>2.0</v>
      </c>
      <c r="AX152" s="15" t="s">
        <v>429</v>
      </c>
      <c r="AY152" s="15">
        <v>4.0</v>
      </c>
      <c r="AZ152" s="15">
        <v>2.0</v>
      </c>
      <c r="BA152" s="15" t="s">
        <v>429</v>
      </c>
      <c r="BB152" s="15" t="s">
        <v>429</v>
      </c>
      <c r="BC152" s="15" t="s">
        <v>3510</v>
      </c>
      <c r="BD152" s="15" t="s">
        <v>3511</v>
      </c>
      <c r="BE152" s="15" t="s">
        <v>392</v>
      </c>
      <c r="BF152" s="15" t="s">
        <v>433</v>
      </c>
      <c r="BG152" s="15" t="s">
        <v>678</v>
      </c>
      <c r="BH152" s="15" t="s">
        <v>3512</v>
      </c>
      <c r="BI152" s="15" t="s">
        <v>824</v>
      </c>
      <c r="BJ152" s="15"/>
      <c r="BK152" s="15" t="s">
        <v>681</v>
      </c>
      <c r="BL152" s="15" t="s">
        <v>396</v>
      </c>
      <c r="BM152" s="15" t="s">
        <v>397</v>
      </c>
      <c r="BN152" s="15" t="s">
        <v>513</v>
      </c>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t="s">
        <v>441</v>
      </c>
      <c r="CM152" s="15" t="s">
        <v>401</v>
      </c>
      <c r="CN152" s="15" t="s">
        <v>3513</v>
      </c>
      <c r="CO152" s="15" t="s">
        <v>3514</v>
      </c>
      <c r="CP152" s="15" t="s">
        <v>403</v>
      </c>
      <c r="CQ152" s="15" t="s">
        <v>1427</v>
      </c>
      <c r="CR152" s="15" t="s">
        <v>447</v>
      </c>
      <c r="CS152" s="15" t="s">
        <v>2684</v>
      </c>
      <c r="CT152" s="15" t="s">
        <v>3515</v>
      </c>
      <c r="CU152" s="15" t="s">
        <v>519</v>
      </c>
      <c r="CV152" s="15" t="s">
        <v>451</v>
      </c>
      <c r="CW152" s="15" t="s">
        <v>3516</v>
      </c>
      <c r="CX152" s="15" t="s">
        <v>733</v>
      </c>
      <c r="CY152" s="15"/>
      <c r="CZ152" s="15" t="s">
        <v>985</v>
      </c>
      <c r="DA152" s="15" t="s">
        <v>3517</v>
      </c>
      <c r="DB152" s="15" t="s">
        <v>408</v>
      </c>
      <c r="DC152" s="15"/>
      <c r="DD152" s="15" t="s">
        <v>406</v>
      </c>
      <c r="DE152" s="15" t="s">
        <v>407</v>
      </c>
      <c r="DF152" s="15" t="s">
        <v>3518</v>
      </c>
      <c r="DG152" s="15" t="s">
        <v>561</v>
      </c>
      <c r="DH152" s="15" t="s">
        <v>833</v>
      </c>
      <c r="DI152" s="15" t="s">
        <v>777</v>
      </c>
      <c r="DJ152" s="15" t="s">
        <v>613</v>
      </c>
      <c r="DK152" s="15"/>
      <c r="DL152" s="15"/>
      <c r="DM152" s="15"/>
      <c r="DN152" s="15"/>
      <c r="DO152" s="15"/>
      <c r="DP152" s="15"/>
      <c r="DQ152" s="15"/>
      <c r="DR152" s="15"/>
      <c r="DS152" s="15"/>
      <c r="DT152" s="15"/>
      <c r="DU152" s="15"/>
      <c r="DV152" s="15"/>
      <c r="DW152" s="15"/>
      <c r="DX152" s="15"/>
      <c r="DY152" s="15"/>
      <c r="DZ152" s="15"/>
      <c r="EA152" s="15"/>
      <c r="EB152" s="15"/>
      <c r="EC152" s="15"/>
      <c r="ED152" s="15"/>
      <c r="EE152" s="15"/>
      <c r="EF152" s="15"/>
      <c r="EG152" s="15"/>
      <c r="EH152" s="15"/>
      <c r="EI152" s="15"/>
      <c r="EJ152" s="15"/>
      <c r="EK152" s="15"/>
      <c r="EL152" s="15"/>
      <c r="EM152" s="15"/>
      <c r="EN152" s="15"/>
      <c r="EO152" s="15"/>
      <c r="EP152" s="15"/>
      <c r="EQ152" s="15"/>
      <c r="ER152" s="15"/>
      <c r="ES152" s="15"/>
      <c r="ET152" s="15" t="s">
        <v>526</v>
      </c>
      <c r="EU152" s="15" t="s">
        <v>479</v>
      </c>
      <c r="EV152" s="15" t="s">
        <v>580</v>
      </c>
      <c r="EW152" s="15" t="s">
        <v>3519</v>
      </c>
      <c r="EX152" s="15" t="s">
        <v>3520</v>
      </c>
      <c r="EY152" s="15" t="s">
        <v>3521</v>
      </c>
      <c r="EZ152" s="15" t="s">
        <v>583</v>
      </c>
      <c r="FA152" s="15" t="s">
        <v>583</v>
      </c>
      <c r="FB152" s="15" t="s">
        <v>583</v>
      </c>
      <c r="FC152" s="15" t="s">
        <v>583</v>
      </c>
      <c r="FD152" s="15" t="s">
        <v>413</v>
      </c>
      <c r="FE152" s="15" t="s">
        <v>414</v>
      </c>
      <c r="FF152" s="15" t="s">
        <v>414</v>
      </c>
      <c r="FG152" s="15" t="s">
        <v>414</v>
      </c>
      <c r="FH152" s="15" t="s">
        <v>416</v>
      </c>
      <c r="FI152" s="15" t="s">
        <v>414</v>
      </c>
      <c r="FJ152" s="15" t="s">
        <v>583</v>
      </c>
      <c r="FK152" s="15" t="s">
        <v>414</v>
      </c>
      <c r="FL152" s="15" t="s">
        <v>414</v>
      </c>
      <c r="FM152" s="15" t="s">
        <v>414</v>
      </c>
      <c r="FN152" s="15" t="s">
        <v>414</v>
      </c>
      <c r="FO152" s="15" t="s">
        <v>485</v>
      </c>
      <c r="FP152" s="15" t="s">
        <v>418</v>
      </c>
      <c r="FQ152" s="15" t="s">
        <v>419</v>
      </c>
      <c r="FR152" s="15" t="s">
        <v>3522</v>
      </c>
      <c r="FS152" s="15" t="s">
        <v>420</v>
      </c>
      <c r="FT152" s="15" t="s">
        <v>488</v>
      </c>
      <c r="FU152" s="15" t="s">
        <v>533</v>
      </c>
      <c r="FV152" s="15" t="s">
        <v>490</v>
      </c>
      <c r="FW152" s="15" t="s">
        <v>491</v>
      </c>
      <c r="FX152" s="15" t="s">
        <v>3523</v>
      </c>
      <c r="FY152" s="15" t="s">
        <v>535</v>
      </c>
      <c r="FZ152" s="15"/>
      <c r="GA152" s="15"/>
      <c r="GB152" s="15" t="s">
        <v>408</v>
      </c>
      <c r="GC152" s="15"/>
      <c r="GD152" s="15"/>
      <c r="GE152" s="15"/>
      <c r="GF152" s="15"/>
      <c r="GG152" s="15" t="s">
        <v>857</v>
      </c>
      <c r="GH152" s="15" t="s">
        <v>857</v>
      </c>
      <c r="GI152" s="15" t="s">
        <v>790</v>
      </c>
      <c r="GJ152" s="15"/>
      <c r="GK152" s="15"/>
      <c r="GL152" s="15"/>
      <c r="GM152" s="15"/>
      <c r="GN152" s="15"/>
      <c r="GO152" s="15"/>
      <c r="GP152" s="15"/>
      <c r="GQ152" s="15" t="s">
        <v>3273</v>
      </c>
      <c r="GR152" s="15"/>
      <c r="GS152" s="15"/>
      <c r="GT152" s="15"/>
      <c r="GU152" s="15"/>
      <c r="GV152" s="15"/>
      <c r="GW152" s="15"/>
      <c r="GX152" s="15"/>
      <c r="GY152" s="15"/>
      <c r="GZ152" s="15"/>
      <c r="HA152" s="15"/>
      <c r="HB152" s="15"/>
      <c r="HC152" s="15"/>
      <c r="HD152" s="15"/>
      <c r="HE152" s="15"/>
      <c r="HF152" s="15"/>
      <c r="HG152" s="15"/>
      <c r="HH152" s="15"/>
      <c r="HI152" s="15"/>
      <c r="HJ152" s="15"/>
      <c r="HK152" s="15"/>
      <c r="HL152" s="15"/>
      <c r="HM152" s="15"/>
      <c r="HN152" s="15"/>
      <c r="HO152" s="15"/>
      <c r="HP152" s="31"/>
      <c r="MX152" s="29" t="s">
        <v>3524</v>
      </c>
      <c r="MY152" s="29" t="str">
        <f>IFERROR(__xludf.DUMMYFUNCTION("""COMPUTED_VALUE"""),"Brazil")</f>
        <v>Brazil</v>
      </c>
    </row>
    <row r="153" ht="16.5" customHeight="1">
      <c r="A153" s="30">
        <v>45831.087313819444</v>
      </c>
      <c r="B153" s="15" t="s">
        <v>368</v>
      </c>
      <c r="C153" s="15" t="s">
        <v>3524</v>
      </c>
      <c r="D153" s="15" t="s">
        <v>370</v>
      </c>
      <c r="E153" s="15"/>
      <c r="F153" s="15" t="s">
        <v>2114</v>
      </c>
      <c r="G153" s="15" t="s">
        <v>372</v>
      </c>
      <c r="H153" s="15" t="s">
        <v>539</v>
      </c>
      <c r="I153" s="15" t="s">
        <v>374</v>
      </c>
      <c r="J153" s="15" t="s">
        <v>375</v>
      </c>
      <c r="K153" s="15" t="s">
        <v>376</v>
      </c>
      <c r="L153" s="15" t="s">
        <v>591</v>
      </c>
      <c r="M153" s="15" t="s">
        <v>2464</v>
      </c>
      <c r="N153" s="15" t="s">
        <v>793</v>
      </c>
      <c r="O153" s="15" t="s">
        <v>719</v>
      </c>
      <c r="P153" s="15" t="s">
        <v>498</v>
      </c>
      <c r="Q153" s="15" t="s">
        <v>818</v>
      </c>
      <c r="R153" s="15" t="s">
        <v>427</v>
      </c>
      <c r="S153" s="15" t="s">
        <v>384</v>
      </c>
      <c r="T153" s="15" t="s">
        <v>385</v>
      </c>
      <c r="U153" s="15"/>
      <c r="V153" s="15"/>
      <c r="W153" s="15" t="s">
        <v>386</v>
      </c>
      <c r="X153" s="15" t="s">
        <v>387</v>
      </c>
      <c r="Y153" s="15" t="s">
        <v>388</v>
      </c>
      <c r="Z153" s="15" t="s">
        <v>543</v>
      </c>
      <c r="AA153" s="15" t="s">
        <v>408</v>
      </c>
      <c r="AB153" s="15" t="s">
        <v>408</v>
      </c>
      <c r="AC153" s="15"/>
      <c r="AD153" s="15"/>
      <c r="AE153" s="15"/>
      <c r="AF153" s="15"/>
      <c r="AG153" s="15"/>
      <c r="AH153" s="15"/>
      <c r="AI153" s="15"/>
      <c r="AJ153" s="15"/>
      <c r="AK153" s="15"/>
      <c r="AL153" s="15"/>
      <c r="AM153" s="15"/>
      <c r="AN153" s="15"/>
      <c r="AO153" s="15"/>
      <c r="AP153" s="15"/>
      <c r="AQ153" s="15"/>
      <c r="AR153" s="15"/>
      <c r="AS153" s="15"/>
      <c r="AT153" s="15"/>
      <c r="AU153" s="15"/>
      <c r="AV153" s="15" t="s">
        <v>1242</v>
      </c>
      <c r="AW153" s="15" t="s">
        <v>675</v>
      </c>
      <c r="AX153" s="15" t="s">
        <v>675</v>
      </c>
      <c r="AY153" s="15" t="s">
        <v>391</v>
      </c>
      <c r="AZ153" s="15" t="s">
        <v>391</v>
      </c>
      <c r="BA153" s="15">
        <v>4.0</v>
      </c>
      <c r="BB153" s="15">
        <v>4.0</v>
      </c>
      <c r="BC153" s="15" t="s">
        <v>3525</v>
      </c>
      <c r="BD153" s="15" t="s">
        <v>3526</v>
      </c>
      <c r="BE153" s="15" t="s">
        <v>902</v>
      </c>
      <c r="BF153" s="15" t="s">
        <v>1095</v>
      </c>
      <c r="BG153" s="15" t="s">
        <v>434</v>
      </c>
      <c r="BH153" s="15" t="s">
        <v>3527</v>
      </c>
      <c r="BI153" s="15" t="s">
        <v>976</v>
      </c>
      <c r="BJ153" s="15" t="s">
        <v>3528</v>
      </c>
      <c r="BK153" s="15" t="s">
        <v>681</v>
      </c>
      <c r="BL153" s="15" t="s">
        <v>603</v>
      </c>
      <c r="BM153" s="15" t="s">
        <v>1247</v>
      </c>
      <c r="BN153" s="15" t="s">
        <v>398</v>
      </c>
      <c r="BO153" s="15" t="s">
        <v>3529</v>
      </c>
      <c r="BP153" s="15" t="s">
        <v>3530</v>
      </c>
      <c r="BQ153" s="15" t="s">
        <v>604</v>
      </c>
      <c r="BR153" s="15" t="s">
        <v>402</v>
      </c>
      <c r="BS153" s="15" t="s">
        <v>1741</v>
      </c>
      <c r="BT153" s="15" t="s">
        <v>1994</v>
      </c>
      <c r="BU153" s="15" t="s">
        <v>1772</v>
      </c>
      <c r="BV153" s="15" t="s">
        <v>3531</v>
      </c>
      <c r="BW153" s="15" t="s">
        <v>406</v>
      </c>
      <c r="BX153" s="15" t="s">
        <v>2503</v>
      </c>
      <c r="BY153" s="15" t="s">
        <v>455</v>
      </c>
      <c r="BZ153" s="15" t="s">
        <v>3532</v>
      </c>
      <c r="CA153" s="15" t="s">
        <v>3533</v>
      </c>
      <c r="CB153" s="15" t="s">
        <v>3534</v>
      </c>
      <c r="CC153" s="15" t="s">
        <v>3535</v>
      </c>
      <c r="CD153" s="15" t="s">
        <v>409</v>
      </c>
      <c r="CE153" s="15" t="s">
        <v>3536</v>
      </c>
      <c r="CF153" s="15" t="s">
        <v>1258</v>
      </c>
      <c r="CG153" s="15" t="s">
        <v>396</v>
      </c>
      <c r="CH153" s="15" t="s">
        <v>1698</v>
      </c>
      <c r="CI153" s="15" t="s">
        <v>410</v>
      </c>
      <c r="CJ153" s="15" t="s">
        <v>3537</v>
      </c>
      <c r="CK153" s="15" t="s">
        <v>3538</v>
      </c>
      <c r="CL153" s="15"/>
      <c r="CM153" s="15"/>
      <c r="CN153" s="15"/>
      <c r="CO153" s="15"/>
      <c r="CP153" s="15"/>
      <c r="CQ153" s="15"/>
      <c r="CR153" s="15"/>
      <c r="CS153" s="15"/>
      <c r="CT153" s="15"/>
      <c r="CU153" s="15"/>
      <c r="CV153" s="15"/>
      <c r="CW153" s="15"/>
      <c r="CX153" s="15"/>
      <c r="CY153" s="15"/>
      <c r="CZ153" s="15"/>
      <c r="DA153" s="15"/>
      <c r="DB153" s="15"/>
      <c r="DC153" s="15"/>
      <c r="DD153" s="15"/>
      <c r="DE153" s="15"/>
      <c r="DF153" s="15"/>
      <c r="DG153" s="15"/>
      <c r="DH153" s="15"/>
      <c r="DI153" s="15"/>
      <c r="DJ153" s="15"/>
      <c r="DK153" s="15"/>
      <c r="DL153" s="15"/>
      <c r="DM153" s="15"/>
      <c r="DN153" s="15"/>
      <c r="DO153" s="15"/>
      <c r="DP153" s="15"/>
      <c r="DQ153" s="15"/>
      <c r="DR153" s="15"/>
      <c r="DS153" s="15"/>
      <c r="DT153" s="15"/>
      <c r="DU153" s="15"/>
      <c r="DV153" s="15"/>
      <c r="DW153" s="15"/>
      <c r="DX153" s="15"/>
      <c r="DY153" s="15"/>
      <c r="DZ153" s="15"/>
      <c r="EA153" s="15"/>
      <c r="EB153" s="15"/>
      <c r="EC153" s="15"/>
      <c r="ED153" s="15"/>
      <c r="EE153" s="15"/>
      <c r="EF153" s="15"/>
      <c r="EG153" s="15"/>
      <c r="EH153" s="15"/>
      <c r="EI153" s="15"/>
      <c r="EJ153" s="15"/>
      <c r="EK153" s="15"/>
      <c r="EL153" s="15"/>
      <c r="EM153" s="15"/>
      <c r="EN153" s="15"/>
      <c r="EO153" s="15"/>
      <c r="EP153" s="15"/>
      <c r="EQ153" s="15"/>
      <c r="ER153" s="15"/>
      <c r="ES153" s="15"/>
      <c r="ET153" s="15" t="s">
        <v>526</v>
      </c>
      <c r="EU153" s="15" t="s">
        <v>887</v>
      </c>
      <c r="EV153" s="15" t="s">
        <v>580</v>
      </c>
      <c r="EW153" s="15" t="s">
        <v>3539</v>
      </c>
      <c r="EX153" s="15" t="s">
        <v>3540</v>
      </c>
      <c r="EY153" s="15" t="s">
        <v>3541</v>
      </c>
      <c r="EZ153" s="15" t="s">
        <v>416</v>
      </c>
      <c r="FA153" s="15" t="s">
        <v>414</v>
      </c>
      <c r="FB153" s="15" t="s">
        <v>413</v>
      </c>
      <c r="FC153" s="15" t="s">
        <v>583</v>
      </c>
      <c r="FD153" s="15" t="s">
        <v>416</v>
      </c>
      <c r="FE153" s="15" t="s">
        <v>583</v>
      </c>
      <c r="FF153" s="15" t="s">
        <v>413</v>
      </c>
      <c r="FG153" s="15" t="s">
        <v>416</v>
      </c>
      <c r="FH153" s="15" t="s">
        <v>583</v>
      </c>
      <c r="FI153" s="15" t="s">
        <v>583</v>
      </c>
      <c r="FJ153" s="15" t="s">
        <v>414</v>
      </c>
      <c r="FK153" s="15" t="s">
        <v>414</v>
      </c>
      <c r="FL153" s="15" t="s">
        <v>414</v>
      </c>
      <c r="FM153" s="15" t="s">
        <v>415</v>
      </c>
      <c r="FN153" s="15" t="s">
        <v>583</v>
      </c>
      <c r="FO153" s="15" t="s">
        <v>485</v>
      </c>
      <c r="FP153" s="15" t="s">
        <v>418</v>
      </c>
      <c r="FQ153" s="15" t="s">
        <v>419</v>
      </c>
      <c r="FR153" s="15" t="s">
        <v>3542</v>
      </c>
      <c r="FS153" s="15" t="s">
        <v>420</v>
      </c>
      <c r="FT153" s="15" t="s">
        <v>1462</v>
      </c>
      <c r="FU153" s="15" t="s">
        <v>489</v>
      </c>
      <c r="FV153" s="15" t="s">
        <v>490</v>
      </c>
      <c r="FW153" s="15" t="s">
        <v>491</v>
      </c>
      <c r="FX153" s="15" t="s">
        <v>3543</v>
      </c>
      <c r="FY153" s="15" t="s">
        <v>535</v>
      </c>
      <c r="FZ153" s="15" t="s">
        <v>3544</v>
      </c>
      <c r="GA153" s="15" t="s">
        <v>3545</v>
      </c>
      <c r="GB153" s="15" t="s">
        <v>455</v>
      </c>
      <c r="GC153" s="15"/>
      <c r="GD153" s="15"/>
      <c r="GE153" s="15" t="s">
        <v>753</v>
      </c>
      <c r="GF153" s="15" t="s">
        <v>2619</v>
      </c>
      <c r="GG153" s="15"/>
      <c r="GH153" s="15"/>
      <c r="GI153" s="15"/>
      <c r="GJ153" s="15" t="s">
        <v>755</v>
      </c>
      <c r="GK153" s="15" t="s">
        <v>755</v>
      </c>
      <c r="GL153" s="15" t="s">
        <v>817</v>
      </c>
      <c r="GM153" s="15"/>
      <c r="GN153" s="15" t="s">
        <v>3524</v>
      </c>
      <c r="GO153" s="15"/>
      <c r="GP153" s="15"/>
      <c r="GQ153" s="15" t="s">
        <v>3208</v>
      </c>
      <c r="GR153" s="15"/>
      <c r="GS153" s="15"/>
      <c r="GT153" s="15"/>
      <c r="GU153" s="15"/>
      <c r="GV153" s="15"/>
      <c r="GW153" s="15"/>
      <c r="GX153" s="15"/>
      <c r="GY153" s="15"/>
      <c r="GZ153" s="15"/>
      <c r="HA153" s="15"/>
      <c r="HB153" s="15"/>
      <c r="HC153" s="15"/>
      <c r="HD153" s="15"/>
      <c r="HE153" s="15"/>
      <c r="HF153" s="15"/>
      <c r="HG153" s="15"/>
      <c r="HH153" s="15"/>
      <c r="HI153" s="15"/>
      <c r="HJ153" s="15"/>
      <c r="HK153" s="15"/>
      <c r="HL153" s="15"/>
      <c r="HM153" s="15"/>
      <c r="HN153" s="15"/>
      <c r="HO153" s="15"/>
      <c r="HP153" s="31"/>
      <c r="MX153" s="29" t="s">
        <v>538</v>
      </c>
      <c r="MY153" s="29" t="str">
        <f>IFERROR(__xludf.DUMMYFUNCTION("""COMPUTED_VALUE"""),"United Kingdom")</f>
        <v>United Kingdom</v>
      </c>
    </row>
    <row r="154" ht="16.5" customHeight="1">
      <c r="A154" s="30">
        <v>45831.14147674768</v>
      </c>
      <c r="B154" s="15" t="s">
        <v>368</v>
      </c>
      <c r="C154" s="15" t="s">
        <v>538</v>
      </c>
      <c r="D154" s="15" t="s">
        <v>1201</v>
      </c>
      <c r="E154" s="15"/>
      <c r="F154" s="15"/>
      <c r="G154" s="15" t="s">
        <v>422</v>
      </c>
      <c r="H154" s="15" t="s">
        <v>423</v>
      </c>
      <c r="I154" s="15" t="s">
        <v>424</v>
      </c>
      <c r="J154" s="15" t="s">
        <v>425</v>
      </c>
      <c r="K154" s="15" t="s">
        <v>376</v>
      </c>
      <c r="L154" s="15" t="s">
        <v>379</v>
      </c>
      <c r="M154" s="15" t="s">
        <v>541</v>
      </c>
      <c r="N154" s="15" t="s">
        <v>379</v>
      </c>
      <c r="O154" s="15" t="s">
        <v>3546</v>
      </c>
      <c r="P154" s="15" t="s">
        <v>498</v>
      </c>
      <c r="Q154" s="15" t="s">
        <v>382</v>
      </c>
      <c r="R154" s="15" t="s">
        <v>427</v>
      </c>
      <c r="S154" s="15" t="s">
        <v>384</v>
      </c>
      <c r="T154" s="15" t="s">
        <v>385</v>
      </c>
      <c r="U154" s="15"/>
      <c r="V154" s="15"/>
      <c r="W154" s="15" t="s">
        <v>3014</v>
      </c>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t="s">
        <v>1310</v>
      </c>
      <c r="AW154" s="15">
        <v>4.0</v>
      </c>
      <c r="AX154" s="15">
        <v>4.0</v>
      </c>
      <c r="AY154" s="15" t="s">
        <v>391</v>
      </c>
      <c r="AZ154" s="15" t="s">
        <v>391</v>
      </c>
      <c r="BA154" s="15">
        <v>4.0</v>
      </c>
      <c r="BB154" s="15">
        <v>4.0</v>
      </c>
      <c r="BC154" s="15" t="s">
        <v>3547</v>
      </c>
      <c r="BD154" s="15" t="s">
        <v>3548</v>
      </c>
      <c r="BE154" s="15" t="s">
        <v>432</v>
      </c>
      <c r="BF154" s="15" t="s">
        <v>1095</v>
      </c>
      <c r="BG154" s="15" t="s">
        <v>725</v>
      </c>
      <c r="BH154" s="15" t="s">
        <v>3549</v>
      </c>
      <c r="BI154" s="15" t="s">
        <v>435</v>
      </c>
      <c r="BJ154" s="15" t="s">
        <v>3550</v>
      </c>
      <c r="BK154" s="15" t="s">
        <v>395</v>
      </c>
      <c r="BL154" s="15" t="s">
        <v>603</v>
      </c>
      <c r="BM154" s="15" t="s">
        <v>1247</v>
      </c>
      <c r="BN154" s="15" t="s">
        <v>398</v>
      </c>
      <c r="BO154" s="15" t="s">
        <v>3551</v>
      </c>
      <c r="BP154" s="15" t="s">
        <v>3552</v>
      </c>
      <c r="BQ154" s="15" t="s">
        <v>604</v>
      </c>
      <c r="BR154" s="15" t="s">
        <v>3553</v>
      </c>
      <c r="BS154" s="15" t="s">
        <v>403</v>
      </c>
      <c r="BT154" s="15" t="s">
        <v>1994</v>
      </c>
      <c r="BU154" s="15" t="s">
        <v>1772</v>
      </c>
      <c r="BV154" s="15" t="s">
        <v>3554</v>
      </c>
      <c r="BW154" s="15" t="s">
        <v>406</v>
      </c>
      <c r="BX154" s="15" t="s">
        <v>2503</v>
      </c>
      <c r="BY154" s="15" t="s">
        <v>408</v>
      </c>
      <c r="BZ154" s="15"/>
      <c r="CA154" s="15" t="s">
        <v>3555</v>
      </c>
      <c r="CB154" s="15" t="s">
        <v>3556</v>
      </c>
      <c r="CC154" s="15" t="s">
        <v>3557</v>
      </c>
      <c r="CD154" s="15" t="s">
        <v>409</v>
      </c>
      <c r="CE154" s="15" t="s">
        <v>3558</v>
      </c>
      <c r="CF154" s="15" t="s">
        <v>1258</v>
      </c>
      <c r="CG154" s="15"/>
      <c r="CH154" s="15" t="s">
        <v>1259</v>
      </c>
      <c r="CI154" s="15" t="s">
        <v>833</v>
      </c>
      <c r="CJ154" s="15" t="s">
        <v>3559</v>
      </c>
      <c r="CK154" s="15" t="s">
        <v>3560</v>
      </c>
      <c r="CL154" s="15"/>
      <c r="CM154" s="15"/>
      <c r="CN154" s="15"/>
      <c r="CO154" s="15"/>
      <c r="CP154" s="15"/>
      <c r="CQ154" s="15"/>
      <c r="CR154" s="15"/>
      <c r="CS154" s="15"/>
      <c r="CT154" s="15"/>
      <c r="CU154" s="15"/>
      <c r="CV154" s="15"/>
      <c r="CW154" s="15"/>
      <c r="CX154" s="15"/>
      <c r="CY154" s="15"/>
      <c r="CZ154" s="15"/>
      <c r="DA154" s="15"/>
      <c r="DB154" s="15"/>
      <c r="DC154" s="15"/>
      <c r="DD154" s="15"/>
      <c r="DE154" s="15"/>
      <c r="DF154" s="15"/>
      <c r="DG154" s="15"/>
      <c r="DH154" s="15"/>
      <c r="DI154" s="15"/>
      <c r="DJ154" s="15"/>
      <c r="DK154" s="15"/>
      <c r="DL154" s="15"/>
      <c r="DM154" s="15"/>
      <c r="DN154" s="15"/>
      <c r="DO154" s="15"/>
      <c r="DP154" s="15"/>
      <c r="DQ154" s="15"/>
      <c r="DR154" s="15"/>
      <c r="DS154" s="15"/>
      <c r="DT154" s="15"/>
      <c r="DU154" s="15"/>
      <c r="DV154" s="15"/>
      <c r="DW154" s="15"/>
      <c r="DX154" s="15"/>
      <c r="DY154" s="15"/>
      <c r="DZ154" s="15"/>
      <c r="EA154" s="15"/>
      <c r="EB154" s="15"/>
      <c r="EC154" s="15"/>
      <c r="ED154" s="15"/>
      <c r="EE154" s="15"/>
      <c r="EF154" s="15"/>
      <c r="EG154" s="15"/>
      <c r="EH154" s="15"/>
      <c r="EI154" s="15"/>
      <c r="EJ154" s="15"/>
      <c r="EK154" s="15"/>
      <c r="EL154" s="15"/>
      <c r="EM154" s="15"/>
      <c r="EN154" s="15"/>
      <c r="EO154" s="15"/>
      <c r="EP154" s="15"/>
      <c r="EQ154" s="15"/>
      <c r="ER154" s="15"/>
      <c r="ES154" s="15"/>
      <c r="ET154" s="15" t="s">
        <v>578</v>
      </c>
      <c r="EU154" s="15" t="s">
        <v>479</v>
      </c>
      <c r="EV154" s="15" t="s">
        <v>527</v>
      </c>
      <c r="EW154" s="15" t="s">
        <v>3561</v>
      </c>
      <c r="EX154" s="15" t="s">
        <v>3562</v>
      </c>
      <c r="EY154" s="15" t="s">
        <v>3563</v>
      </c>
      <c r="EZ154" s="15" t="s">
        <v>414</v>
      </c>
      <c r="FA154" s="15" t="s">
        <v>583</v>
      </c>
      <c r="FB154" s="15" t="s">
        <v>415</v>
      </c>
      <c r="FC154" s="15" t="s">
        <v>414</v>
      </c>
      <c r="FD154" s="15" t="s">
        <v>416</v>
      </c>
      <c r="FE154" s="15" t="s">
        <v>583</v>
      </c>
      <c r="FF154" s="15" t="s">
        <v>414</v>
      </c>
      <c r="FG154" s="15" t="s">
        <v>416</v>
      </c>
      <c r="FH154" s="15" t="s">
        <v>414</v>
      </c>
      <c r="FI154" s="15" t="s">
        <v>415</v>
      </c>
      <c r="FJ154" s="15" t="s">
        <v>414</v>
      </c>
      <c r="FK154" s="15" t="s">
        <v>415</v>
      </c>
      <c r="FL154" s="15" t="s">
        <v>415</v>
      </c>
      <c r="FM154" s="15" t="s">
        <v>416</v>
      </c>
      <c r="FN154" s="15" t="s">
        <v>414</v>
      </c>
      <c r="FO154" s="15" t="s">
        <v>850</v>
      </c>
      <c r="FP154" s="15" t="s">
        <v>418</v>
      </c>
      <c r="FQ154" s="15" t="s">
        <v>749</v>
      </c>
      <c r="FR154" s="15" t="s">
        <v>3564</v>
      </c>
      <c r="FS154" s="15" t="s">
        <v>1189</v>
      </c>
      <c r="FT154" s="15" t="s">
        <v>1462</v>
      </c>
      <c r="FU154" s="15" t="s">
        <v>918</v>
      </c>
      <c r="FV154" s="15" t="s">
        <v>490</v>
      </c>
      <c r="FW154" s="15" t="s">
        <v>491</v>
      </c>
      <c r="FX154" s="15" t="s">
        <v>3565</v>
      </c>
      <c r="FY154" s="15" t="s">
        <v>493</v>
      </c>
      <c r="FZ154" s="15" t="s">
        <v>3566</v>
      </c>
      <c r="GA154" s="15" t="s">
        <v>3567</v>
      </c>
      <c r="GB154" s="15" t="s">
        <v>408</v>
      </c>
      <c r="GC154" s="15"/>
      <c r="GD154" s="15"/>
      <c r="GE154" s="15"/>
      <c r="GF154" s="15"/>
      <c r="GG154" s="15"/>
      <c r="GH154" s="15"/>
      <c r="GI154" s="15"/>
      <c r="GJ154" s="15" t="s">
        <v>920</v>
      </c>
      <c r="GK154" s="15" t="s">
        <v>920</v>
      </c>
      <c r="GL154" s="15" t="s">
        <v>756</v>
      </c>
      <c r="GM154" s="15"/>
      <c r="GN154" s="15" t="s">
        <v>3012</v>
      </c>
      <c r="GO154" s="15" t="s">
        <v>3568</v>
      </c>
      <c r="GP154" s="15"/>
      <c r="GQ154" s="15" t="s">
        <v>3569</v>
      </c>
      <c r="GR154" s="15"/>
      <c r="GS154" s="15"/>
      <c r="GT154" s="15"/>
      <c r="GU154" s="15"/>
      <c r="GV154" s="15"/>
      <c r="GW154" s="15"/>
      <c r="GX154" s="15"/>
      <c r="GY154" s="15"/>
      <c r="GZ154" s="15"/>
      <c r="HA154" s="15"/>
      <c r="HB154" s="15"/>
      <c r="HC154" s="15"/>
      <c r="HD154" s="15"/>
      <c r="HE154" s="15"/>
      <c r="HF154" s="15"/>
      <c r="HG154" s="15"/>
      <c r="HH154" s="15"/>
      <c r="HI154" s="15"/>
      <c r="HJ154" s="15"/>
      <c r="HK154" s="15"/>
      <c r="HL154" s="15"/>
      <c r="HM154" s="15"/>
      <c r="HN154" s="15"/>
      <c r="HO154" s="15"/>
      <c r="HP154" s="31"/>
      <c r="MX154" s="29" t="s">
        <v>3570</v>
      </c>
      <c r="MY154" s="29" t="str">
        <f>IFERROR(__xludf.DUMMYFUNCTION("""COMPUTED_VALUE"""),"Colombia")</f>
        <v>Colombia</v>
      </c>
    </row>
    <row r="155" ht="16.5" customHeight="1">
      <c r="A155" s="30">
        <v>45831.20082736111</v>
      </c>
      <c r="B155" s="15" t="s">
        <v>368</v>
      </c>
      <c r="C155" s="15" t="s">
        <v>3570</v>
      </c>
      <c r="D155" s="15" t="s">
        <v>370</v>
      </c>
      <c r="E155" s="15"/>
      <c r="F155" s="15" t="s">
        <v>2114</v>
      </c>
      <c r="G155" s="15" t="s">
        <v>372</v>
      </c>
      <c r="H155" s="15" t="s">
        <v>373</v>
      </c>
      <c r="I155" s="15" t="s">
        <v>374</v>
      </c>
      <c r="J155" s="15" t="s">
        <v>375</v>
      </c>
      <c r="K155" s="15" t="s">
        <v>376</v>
      </c>
      <c r="L155" s="15" t="s">
        <v>379</v>
      </c>
      <c r="M155" s="15" t="s">
        <v>541</v>
      </c>
      <c r="N155" s="15" t="s">
        <v>379</v>
      </c>
      <c r="O155" s="15" t="s">
        <v>380</v>
      </c>
      <c r="P155" s="15" t="s">
        <v>381</v>
      </c>
      <c r="Q155" s="15" t="s">
        <v>818</v>
      </c>
      <c r="R155" s="15" t="s">
        <v>427</v>
      </c>
      <c r="S155" s="15" t="s">
        <v>384</v>
      </c>
      <c r="T155" s="15" t="s">
        <v>385</v>
      </c>
      <c r="U155" s="15"/>
      <c r="V155" s="15"/>
      <c r="W155" s="15" t="s">
        <v>593</v>
      </c>
      <c r="X155" s="15" t="s">
        <v>387</v>
      </c>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t="s">
        <v>1310</v>
      </c>
      <c r="AW155" s="15">
        <v>4.0</v>
      </c>
      <c r="AX155" s="15">
        <v>4.0</v>
      </c>
      <c r="AY155" s="15">
        <v>4.0</v>
      </c>
      <c r="AZ155" s="15" t="s">
        <v>675</v>
      </c>
      <c r="BA155" s="15" t="s">
        <v>675</v>
      </c>
      <c r="BB155" s="15">
        <v>4.0</v>
      </c>
      <c r="BC155" s="15"/>
      <c r="BD155" s="15"/>
      <c r="BE155" s="15" t="s">
        <v>432</v>
      </c>
      <c r="BF155" s="15" t="s">
        <v>393</v>
      </c>
      <c r="BG155" s="15" t="s">
        <v>394</v>
      </c>
      <c r="BH155" s="15"/>
      <c r="BI155" s="15" t="s">
        <v>976</v>
      </c>
      <c r="BJ155" s="15"/>
      <c r="BK155" s="15" t="s">
        <v>681</v>
      </c>
      <c r="BL155" s="15" t="s">
        <v>904</v>
      </c>
      <c r="BM155" s="15" t="s">
        <v>1276</v>
      </c>
      <c r="BN155" s="15" t="s">
        <v>398</v>
      </c>
      <c r="BO155" s="15"/>
      <c r="BP155" s="15"/>
      <c r="BQ155" s="15" t="s">
        <v>442</v>
      </c>
      <c r="BR155" s="15" t="s">
        <v>3571</v>
      </c>
      <c r="BS155" s="15"/>
      <c r="BT155" s="15" t="s">
        <v>404</v>
      </c>
      <c r="BU155" s="15" t="s">
        <v>405</v>
      </c>
      <c r="BV155" s="15"/>
      <c r="BW155" s="15" t="s">
        <v>406</v>
      </c>
      <c r="BX155" s="15" t="s">
        <v>2503</v>
      </c>
      <c r="BY155" s="15" t="s">
        <v>408</v>
      </c>
      <c r="BZ155" s="15"/>
      <c r="CA155" s="15"/>
      <c r="CB155" s="15"/>
      <c r="CC155" s="15"/>
      <c r="CD155" s="15" t="s">
        <v>1257</v>
      </c>
      <c r="CE155" s="15"/>
      <c r="CF155" s="15"/>
      <c r="CG155" s="15"/>
      <c r="CH155" s="15" t="s">
        <v>1698</v>
      </c>
      <c r="CI155" s="15" t="s">
        <v>833</v>
      </c>
      <c r="CJ155" s="15" t="s">
        <v>3572</v>
      </c>
      <c r="CK155" s="15" t="s">
        <v>3573</v>
      </c>
      <c r="CL155" s="15"/>
      <c r="CM155" s="15"/>
      <c r="CN155" s="15"/>
      <c r="CO155" s="15"/>
      <c r="CP155" s="15"/>
      <c r="CQ155" s="15"/>
      <c r="CR155" s="15"/>
      <c r="CS155" s="15"/>
      <c r="CT155" s="15"/>
      <c r="CU155" s="15"/>
      <c r="CV155" s="15"/>
      <c r="CW155" s="15"/>
      <c r="CX155" s="15"/>
      <c r="CY155" s="15"/>
      <c r="CZ155" s="15"/>
      <c r="DA155" s="15"/>
      <c r="DB155" s="15"/>
      <c r="DC155" s="15"/>
      <c r="DD155" s="15"/>
      <c r="DE155" s="15"/>
      <c r="DF155" s="15"/>
      <c r="DG155" s="15"/>
      <c r="DH155" s="15"/>
      <c r="DI155" s="15"/>
      <c r="DJ155" s="15"/>
      <c r="DK155" s="15"/>
      <c r="DL155" s="15"/>
      <c r="DM155" s="15"/>
      <c r="DN155" s="15"/>
      <c r="DO155" s="15"/>
      <c r="DP155" s="15"/>
      <c r="DQ155" s="15"/>
      <c r="DR155" s="15"/>
      <c r="DS155" s="15"/>
      <c r="DT155" s="15"/>
      <c r="DU155" s="15"/>
      <c r="DV155" s="15"/>
      <c r="DW155" s="15"/>
      <c r="DX155" s="15"/>
      <c r="DY155" s="15"/>
      <c r="DZ155" s="15"/>
      <c r="EA155" s="15"/>
      <c r="EB155" s="15"/>
      <c r="EC155" s="15"/>
      <c r="ED155" s="15"/>
      <c r="EE155" s="15"/>
      <c r="EF155" s="15"/>
      <c r="EG155" s="15"/>
      <c r="EH155" s="15"/>
      <c r="EI155" s="15"/>
      <c r="EJ155" s="15"/>
      <c r="EK155" s="15"/>
      <c r="EL155" s="15"/>
      <c r="EM155" s="15"/>
      <c r="EN155" s="15"/>
      <c r="EO155" s="15"/>
      <c r="EP155" s="15"/>
      <c r="EQ155" s="15"/>
      <c r="ER155" s="15"/>
      <c r="ES155" s="15"/>
      <c r="ET155" s="15" t="s">
        <v>478</v>
      </c>
      <c r="EU155" s="15" t="s">
        <v>1127</v>
      </c>
      <c r="EV155" s="15" t="s">
        <v>778</v>
      </c>
      <c r="EW155" s="15" t="s">
        <v>3574</v>
      </c>
      <c r="EX155" s="15" t="s">
        <v>3575</v>
      </c>
      <c r="EY155" s="15"/>
      <c r="EZ155" s="15"/>
      <c r="FA155" s="15"/>
      <c r="FB155" s="15"/>
      <c r="FC155" s="15"/>
      <c r="FD155" s="15"/>
      <c r="FE155" s="15"/>
      <c r="FF155" s="15"/>
      <c r="FG155" s="15"/>
      <c r="FH155" s="15"/>
      <c r="FI155" s="15"/>
      <c r="FJ155" s="15"/>
      <c r="FK155" s="15"/>
      <c r="FL155" s="15"/>
      <c r="FM155" s="15"/>
      <c r="FN155" s="15"/>
      <c r="FO155" s="15" t="s">
        <v>3396</v>
      </c>
      <c r="FP155" s="15" t="s">
        <v>418</v>
      </c>
      <c r="FQ155" s="15" t="s">
        <v>712</v>
      </c>
      <c r="FR155" s="15"/>
      <c r="FS155" s="15" t="s">
        <v>420</v>
      </c>
      <c r="FT155" s="15" t="s">
        <v>488</v>
      </c>
      <c r="FU155" s="15" t="s">
        <v>918</v>
      </c>
      <c r="FV155" s="15" t="s">
        <v>490</v>
      </c>
      <c r="FW155" s="15" t="s">
        <v>491</v>
      </c>
      <c r="FX155" s="15"/>
      <c r="FY155" s="15" t="s">
        <v>535</v>
      </c>
      <c r="FZ155" s="15"/>
      <c r="GA155" s="15"/>
      <c r="GB155" s="15" t="s">
        <v>408</v>
      </c>
      <c r="GC155" s="15"/>
      <c r="GD155" s="15"/>
      <c r="GE155" s="15"/>
      <c r="GF155" s="15"/>
      <c r="GG155" s="15"/>
      <c r="GH155" s="15"/>
      <c r="GI155" s="15"/>
      <c r="GJ155" s="15" t="s">
        <v>788</v>
      </c>
      <c r="GK155" s="15" t="s">
        <v>788</v>
      </c>
      <c r="GL155" s="15"/>
      <c r="GM155" s="15"/>
      <c r="GN155" s="15"/>
      <c r="GO155" s="15"/>
      <c r="GP155" s="15"/>
      <c r="GQ155" s="15"/>
      <c r="GR155" s="15"/>
      <c r="GS155" s="15"/>
      <c r="GT155" s="15"/>
      <c r="GU155" s="15"/>
      <c r="GV155" s="15"/>
      <c r="GW155" s="15"/>
      <c r="GX155" s="15"/>
      <c r="GY155" s="15"/>
      <c r="GZ155" s="15"/>
      <c r="HA155" s="15"/>
      <c r="HB155" s="15"/>
      <c r="HC155" s="15"/>
      <c r="HD155" s="15"/>
      <c r="HE155" s="15"/>
      <c r="HF155" s="15"/>
      <c r="HG155" s="15"/>
      <c r="HH155" s="15"/>
      <c r="HI155" s="15"/>
      <c r="HJ155" s="15"/>
      <c r="HK155" s="15"/>
      <c r="HL155" s="15"/>
      <c r="HM155" s="15"/>
      <c r="HN155" s="15"/>
      <c r="HO155" s="15"/>
      <c r="HP155" s="31"/>
      <c r="MX155" s="29" t="s">
        <v>3576</v>
      </c>
      <c r="MY155" s="29" t="str">
        <f>IFERROR(__xludf.DUMMYFUNCTION("""COMPUTED_VALUE"""),"Ireland")</f>
        <v>Ireland</v>
      </c>
    </row>
    <row r="156" ht="16.5" customHeight="1">
      <c r="A156" s="30">
        <v>45831.2807103125</v>
      </c>
      <c r="B156" s="15" t="s">
        <v>368</v>
      </c>
      <c r="C156" s="15" t="s">
        <v>3576</v>
      </c>
      <c r="D156" s="15" t="s">
        <v>3576</v>
      </c>
      <c r="E156" s="15"/>
      <c r="F156" s="15"/>
      <c r="G156" s="15" t="s">
        <v>422</v>
      </c>
      <c r="H156" s="15" t="s">
        <v>423</v>
      </c>
      <c r="I156" s="15" t="s">
        <v>668</v>
      </c>
      <c r="J156" s="15" t="s">
        <v>718</v>
      </c>
      <c r="K156" s="15" t="s">
        <v>376</v>
      </c>
      <c r="L156" s="15" t="s">
        <v>793</v>
      </c>
      <c r="M156" s="15" t="s">
        <v>639</v>
      </c>
      <c r="N156" s="15" t="s">
        <v>377</v>
      </c>
      <c r="O156" s="15" t="s">
        <v>2097</v>
      </c>
      <c r="P156" s="15" t="s">
        <v>498</v>
      </c>
      <c r="Q156" s="15" t="s">
        <v>382</v>
      </c>
      <c r="R156" s="15" t="s">
        <v>500</v>
      </c>
      <c r="S156" s="15" t="s">
        <v>384</v>
      </c>
      <c r="T156" s="15" t="s">
        <v>385</v>
      </c>
      <c r="U156" s="15"/>
      <c r="V156" s="15"/>
      <c r="W156" s="15" t="s">
        <v>3014</v>
      </c>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t="s">
        <v>1242</v>
      </c>
      <c r="AW156" s="15">
        <v>4.0</v>
      </c>
      <c r="AX156" s="15">
        <v>4.0</v>
      </c>
      <c r="AY156" s="15">
        <v>4.0</v>
      </c>
      <c r="AZ156" s="15">
        <v>4.0</v>
      </c>
      <c r="BA156" s="15">
        <v>4.0</v>
      </c>
      <c r="BB156" s="15">
        <v>4.0</v>
      </c>
      <c r="BC156" s="15" t="s">
        <v>3577</v>
      </c>
      <c r="BD156" s="15" t="s">
        <v>1855</v>
      </c>
      <c r="BE156" s="15" t="s">
        <v>2379</v>
      </c>
      <c r="BF156" s="15" t="s">
        <v>1095</v>
      </c>
      <c r="BG156" s="15" t="s">
        <v>394</v>
      </c>
      <c r="BH156" s="15" t="s">
        <v>3578</v>
      </c>
      <c r="BI156" s="15" t="s">
        <v>976</v>
      </c>
      <c r="BJ156" s="15" t="s">
        <v>396</v>
      </c>
      <c r="BK156" s="15" t="s">
        <v>511</v>
      </c>
      <c r="BL156" s="15" t="s">
        <v>904</v>
      </c>
      <c r="BM156" s="15" t="s">
        <v>1314</v>
      </c>
      <c r="BN156" s="15" t="s">
        <v>398</v>
      </c>
      <c r="BO156" s="15" t="s">
        <v>3579</v>
      </c>
      <c r="BP156" s="15" t="s">
        <v>3580</v>
      </c>
      <c r="BQ156" s="15" t="s">
        <v>401</v>
      </c>
      <c r="BR156" s="15" t="s">
        <v>1740</v>
      </c>
      <c r="BS156" s="15" t="s">
        <v>403</v>
      </c>
      <c r="BT156" s="15" t="s">
        <v>1994</v>
      </c>
      <c r="BU156" s="15" t="s">
        <v>1772</v>
      </c>
      <c r="BV156" s="15" t="s">
        <v>3581</v>
      </c>
      <c r="BW156" s="15" t="s">
        <v>3582</v>
      </c>
      <c r="BX156" s="15" t="s">
        <v>1867</v>
      </c>
      <c r="BY156" s="15" t="s">
        <v>408</v>
      </c>
      <c r="BZ156" s="15" t="s">
        <v>396</v>
      </c>
      <c r="CA156" s="15" t="s">
        <v>3583</v>
      </c>
      <c r="CB156" s="15" t="s">
        <v>3584</v>
      </c>
      <c r="CC156" s="15" t="s">
        <v>3585</v>
      </c>
      <c r="CD156" s="15" t="s">
        <v>451</v>
      </c>
      <c r="CE156" s="15" t="s">
        <v>3586</v>
      </c>
      <c r="CF156" s="15" t="s">
        <v>2233</v>
      </c>
      <c r="CG156" s="15" t="s">
        <v>3587</v>
      </c>
      <c r="CH156" s="15" t="s">
        <v>2744</v>
      </c>
      <c r="CI156" s="15" t="s">
        <v>410</v>
      </c>
      <c r="CJ156" s="15" t="s">
        <v>3588</v>
      </c>
      <c r="CK156" s="15" t="s">
        <v>3589</v>
      </c>
      <c r="CL156" s="15"/>
      <c r="CM156" s="15"/>
      <c r="CN156" s="15"/>
      <c r="CO156" s="15"/>
      <c r="CP156" s="15"/>
      <c r="CQ156" s="15"/>
      <c r="CR156" s="15"/>
      <c r="CS156" s="15"/>
      <c r="CT156" s="15"/>
      <c r="CU156" s="15"/>
      <c r="CV156" s="15"/>
      <c r="CW156" s="15"/>
      <c r="CX156" s="15"/>
      <c r="CY156" s="15"/>
      <c r="CZ156" s="15"/>
      <c r="DA156" s="15"/>
      <c r="DB156" s="15"/>
      <c r="DC156" s="15"/>
      <c r="DD156" s="15"/>
      <c r="DE156" s="15"/>
      <c r="DF156" s="15"/>
      <c r="DG156" s="15"/>
      <c r="DH156" s="15"/>
      <c r="DI156" s="15"/>
      <c r="DJ156" s="15"/>
      <c r="DK156" s="15"/>
      <c r="DL156" s="15"/>
      <c r="DM156" s="15"/>
      <c r="DN156" s="15"/>
      <c r="DO156" s="15"/>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15"/>
      <c r="ES156" s="15"/>
      <c r="ET156" s="15" t="s">
        <v>526</v>
      </c>
      <c r="EU156" s="15" t="s">
        <v>579</v>
      </c>
      <c r="EV156" s="15" t="s">
        <v>580</v>
      </c>
      <c r="EW156" s="15"/>
      <c r="EX156" s="15" t="s">
        <v>3590</v>
      </c>
      <c r="EY156" s="15" t="s">
        <v>396</v>
      </c>
      <c r="EZ156" s="15" t="s">
        <v>415</v>
      </c>
      <c r="FA156" s="15" t="s">
        <v>413</v>
      </c>
      <c r="FB156" s="15" t="s">
        <v>416</v>
      </c>
      <c r="FC156" s="15" t="s">
        <v>416</v>
      </c>
      <c r="FD156" s="15" t="s">
        <v>416</v>
      </c>
      <c r="FE156" s="15" t="s">
        <v>414</v>
      </c>
      <c r="FF156" s="15" t="s">
        <v>415</v>
      </c>
      <c r="FG156" s="15" t="s">
        <v>415</v>
      </c>
      <c r="FH156" s="15" t="s">
        <v>416</v>
      </c>
      <c r="FI156" s="15" t="s">
        <v>415</v>
      </c>
      <c r="FJ156" s="15" t="s">
        <v>415</v>
      </c>
      <c r="FK156" s="15" t="s">
        <v>415</v>
      </c>
      <c r="FL156" s="15" t="s">
        <v>415</v>
      </c>
      <c r="FM156" s="15" t="s">
        <v>415</v>
      </c>
      <c r="FN156" s="15" t="s">
        <v>415</v>
      </c>
      <c r="FO156" s="15" t="s">
        <v>850</v>
      </c>
      <c r="FP156" s="15" t="s">
        <v>418</v>
      </c>
      <c r="FQ156" s="15" t="s">
        <v>531</v>
      </c>
      <c r="FR156" s="15" t="s">
        <v>3591</v>
      </c>
      <c r="FS156" s="15" t="s">
        <v>1189</v>
      </c>
      <c r="FT156" s="15" t="s">
        <v>421</v>
      </c>
      <c r="FU156" s="15" t="s">
        <v>918</v>
      </c>
      <c r="FV156" s="15" t="s">
        <v>490</v>
      </c>
      <c r="FW156" s="15" t="s">
        <v>491</v>
      </c>
      <c r="FX156" s="15" t="s">
        <v>3592</v>
      </c>
      <c r="FY156" s="15" t="s">
        <v>1854</v>
      </c>
      <c r="FZ156" s="15"/>
      <c r="GA156" s="15"/>
      <c r="GB156" s="15" t="s">
        <v>455</v>
      </c>
      <c r="GC156" s="15"/>
      <c r="GD156" s="15"/>
      <c r="GE156" s="15" t="s">
        <v>753</v>
      </c>
      <c r="GF156" s="15" t="s">
        <v>455</v>
      </c>
      <c r="GG156" s="15"/>
      <c r="GH156" s="15"/>
      <c r="GI156" s="15"/>
      <c r="GJ156" s="15" t="s">
        <v>755</v>
      </c>
      <c r="GK156" s="15" t="s">
        <v>920</v>
      </c>
      <c r="GL156" s="15" t="s">
        <v>946</v>
      </c>
      <c r="GM156" s="15"/>
      <c r="GN156" s="15" t="s">
        <v>3593</v>
      </c>
      <c r="GO156" s="15" t="s">
        <v>3594</v>
      </c>
      <c r="GP156" s="15"/>
      <c r="GQ156" s="15" t="s">
        <v>3208</v>
      </c>
      <c r="GR156" s="15"/>
      <c r="GS156" s="15"/>
      <c r="GT156" s="15"/>
      <c r="GU156" s="15"/>
      <c r="GV156" s="15"/>
      <c r="GW156" s="15"/>
      <c r="GX156" s="15"/>
      <c r="GY156" s="15"/>
      <c r="GZ156" s="15"/>
      <c r="HA156" s="15"/>
      <c r="HB156" s="15"/>
      <c r="HC156" s="15"/>
      <c r="HD156" s="15"/>
      <c r="HE156" s="15"/>
      <c r="HF156" s="15"/>
      <c r="HG156" s="15"/>
      <c r="HH156" s="15"/>
      <c r="HI156" s="15"/>
      <c r="HJ156" s="15"/>
      <c r="HK156" s="15"/>
      <c r="HL156" s="15"/>
      <c r="HM156" s="15"/>
      <c r="HN156" s="15"/>
      <c r="HO156" s="15"/>
      <c r="HP156" s="31"/>
      <c r="MX156" s="29" t="s">
        <v>10402</v>
      </c>
      <c r="MY156" s="29" t="str">
        <f>IFERROR(__xludf.DUMMYFUNCTION("""COMPUTED_VALUE"""),"New Jersey")</f>
        <v>New Jersey</v>
      </c>
    </row>
    <row r="157" ht="16.5" customHeight="1">
      <c r="A157" s="30">
        <v>45831.2901250463</v>
      </c>
      <c r="B157" s="15" t="s">
        <v>368</v>
      </c>
      <c r="C157" s="15" t="s">
        <v>370</v>
      </c>
      <c r="D157" s="15"/>
      <c r="E157" s="15" t="s">
        <v>2359</v>
      </c>
      <c r="F157" s="15"/>
      <c r="G157" s="15" t="s">
        <v>3595</v>
      </c>
      <c r="H157" s="15" t="s">
        <v>373</v>
      </c>
      <c r="I157" s="15" t="s">
        <v>374</v>
      </c>
      <c r="J157" s="15" t="s">
        <v>375</v>
      </c>
      <c r="K157" s="15" t="s">
        <v>376</v>
      </c>
      <c r="L157" s="15" t="s">
        <v>591</v>
      </c>
      <c r="M157" s="15" t="s">
        <v>2196</v>
      </c>
      <c r="N157" s="15" t="s">
        <v>377</v>
      </c>
      <c r="O157" s="15" t="s">
        <v>497</v>
      </c>
      <c r="P157" s="15" t="s">
        <v>381</v>
      </c>
      <c r="Q157" s="15" t="s">
        <v>499</v>
      </c>
      <c r="R157" s="15" t="s">
        <v>500</v>
      </c>
      <c r="S157" s="15" t="s">
        <v>384</v>
      </c>
      <c r="T157" s="15" t="s">
        <v>385</v>
      </c>
      <c r="U157" s="15"/>
      <c r="V157" s="15"/>
      <c r="W157" s="15" t="s">
        <v>3231</v>
      </c>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t="s">
        <v>597</v>
      </c>
      <c r="AW157" s="15">
        <v>2.0</v>
      </c>
      <c r="AX157" s="15" t="s">
        <v>429</v>
      </c>
      <c r="AY157" s="15" t="s">
        <v>391</v>
      </c>
      <c r="AZ157" s="15">
        <v>2.0</v>
      </c>
      <c r="BA157" s="15">
        <v>2.0</v>
      </c>
      <c r="BB157" s="15">
        <v>2.0</v>
      </c>
      <c r="BC157" s="15" t="s">
        <v>3596</v>
      </c>
      <c r="BD157" s="15" t="s">
        <v>3597</v>
      </c>
      <c r="BE157" s="15" t="s">
        <v>392</v>
      </c>
      <c r="BF157" s="15" t="s">
        <v>433</v>
      </c>
      <c r="BG157" s="15" t="s">
        <v>434</v>
      </c>
      <c r="BH157" s="15" t="s">
        <v>3598</v>
      </c>
      <c r="BI157" s="15" t="s">
        <v>509</v>
      </c>
      <c r="BJ157" s="15" t="s">
        <v>3599</v>
      </c>
      <c r="BK157" s="15" t="s">
        <v>437</v>
      </c>
      <c r="BL157" s="15" t="s">
        <v>512</v>
      </c>
      <c r="BM157" s="15" t="s">
        <v>549</v>
      </c>
      <c r="BN157" s="15" t="s">
        <v>440</v>
      </c>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t="s">
        <v>441</v>
      </c>
      <c r="CM157" s="15" t="s">
        <v>442</v>
      </c>
      <c r="CN157" s="15" t="s">
        <v>3600</v>
      </c>
      <c r="CO157" s="15" t="s">
        <v>3601</v>
      </c>
      <c r="CP157" s="15" t="s">
        <v>445</v>
      </c>
      <c r="CQ157" s="15" t="s">
        <v>3602</v>
      </c>
      <c r="CR157" s="15" t="s">
        <v>447</v>
      </c>
      <c r="CS157" s="15" t="s">
        <v>1147</v>
      </c>
      <c r="CT157" s="15" t="s">
        <v>3603</v>
      </c>
      <c r="CU157" s="15" t="s">
        <v>450</v>
      </c>
      <c r="CV157" s="15" t="s">
        <v>451</v>
      </c>
      <c r="CW157" s="15" t="s">
        <v>3604</v>
      </c>
      <c r="CX157" s="15" t="s">
        <v>408</v>
      </c>
      <c r="CY157" s="15"/>
      <c r="CZ157" s="15" t="s">
        <v>985</v>
      </c>
      <c r="DA157" s="15" t="s">
        <v>3605</v>
      </c>
      <c r="DB157" s="15" t="s">
        <v>408</v>
      </c>
      <c r="DC157" s="15"/>
      <c r="DD157" s="15" t="s">
        <v>988</v>
      </c>
      <c r="DE157" s="15"/>
      <c r="DF157" s="15" t="s">
        <v>3606</v>
      </c>
      <c r="DG157" s="15" t="s">
        <v>524</v>
      </c>
      <c r="DH157" s="15" t="s">
        <v>410</v>
      </c>
      <c r="DI157" s="15" t="s">
        <v>459</v>
      </c>
      <c r="DJ157" s="15" t="s">
        <v>460</v>
      </c>
      <c r="DK157" s="15" t="s">
        <v>461</v>
      </c>
      <c r="DL157" s="15"/>
      <c r="DM157" s="15" t="s">
        <v>3607</v>
      </c>
      <c r="DN157" s="15" t="s">
        <v>3608</v>
      </c>
      <c r="DO157" s="15" t="s">
        <v>1063</v>
      </c>
      <c r="DP157" s="15" t="s">
        <v>3609</v>
      </c>
      <c r="DQ157" s="15" t="s">
        <v>1176</v>
      </c>
      <c r="DR157" s="15" t="s">
        <v>3610</v>
      </c>
      <c r="DS157" s="15" t="s">
        <v>839</v>
      </c>
      <c r="DT157" s="15" t="s">
        <v>3611</v>
      </c>
      <c r="DU157" s="15" t="s">
        <v>3612</v>
      </c>
      <c r="DV157" s="15" t="s">
        <v>3613</v>
      </c>
      <c r="DW157" s="15" t="s">
        <v>573</v>
      </c>
      <c r="DX157" s="15" t="s">
        <v>3614</v>
      </c>
      <c r="DY157" s="15" t="s">
        <v>3615</v>
      </c>
      <c r="DZ157" s="15" t="s">
        <v>3616</v>
      </c>
      <c r="EA157" s="15" t="s">
        <v>475</v>
      </c>
      <c r="EB157" s="15" t="s">
        <v>845</v>
      </c>
      <c r="EC157" s="15" t="s">
        <v>3617</v>
      </c>
      <c r="ED157" s="15"/>
      <c r="EE157" s="15"/>
      <c r="EF157" s="15"/>
      <c r="EG157" s="15"/>
      <c r="EH157" s="15"/>
      <c r="EI157" s="15"/>
      <c r="EJ157" s="15"/>
      <c r="EK157" s="15"/>
      <c r="EL157" s="15"/>
      <c r="EM157" s="15"/>
      <c r="EN157" s="15"/>
      <c r="EO157" s="15"/>
      <c r="EP157" s="15"/>
      <c r="EQ157" s="15"/>
      <c r="ER157" s="15"/>
      <c r="ES157" s="15"/>
      <c r="ET157" s="15" t="s">
        <v>526</v>
      </c>
      <c r="EU157" s="15" t="s">
        <v>479</v>
      </c>
      <c r="EV157" s="15" t="s">
        <v>527</v>
      </c>
      <c r="EW157" s="15" t="s">
        <v>3618</v>
      </c>
      <c r="EX157" s="15" t="s">
        <v>3619</v>
      </c>
      <c r="EY157" s="15" t="s">
        <v>3620</v>
      </c>
      <c r="EZ157" s="15" t="s">
        <v>583</v>
      </c>
      <c r="FA157" s="15" t="s">
        <v>583</v>
      </c>
      <c r="FB157" s="15" t="s">
        <v>414</v>
      </c>
      <c r="FC157" s="15" t="s">
        <v>583</v>
      </c>
      <c r="FD157" s="15" t="s">
        <v>413</v>
      </c>
      <c r="FE157" s="15" t="s">
        <v>583</v>
      </c>
      <c r="FF157" s="15" t="s">
        <v>583</v>
      </c>
      <c r="FG157" s="15" t="s">
        <v>416</v>
      </c>
      <c r="FH157" s="15" t="s">
        <v>583</v>
      </c>
      <c r="FI157" s="15" t="s">
        <v>583</v>
      </c>
      <c r="FJ157" s="15" t="s">
        <v>583</v>
      </c>
      <c r="FK157" s="15" t="s">
        <v>583</v>
      </c>
      <c r="FL157" s="15" t="s">
        <v>583</v>
      </c>
      <c r="FM157" s="15" t="s">
        <v>416</v>
      </c>
      <c r="FN157" s="15" t="s">
        <v>583</v>
      </c>
      <c r="FO157" s="15" t="s">
        <v>417</v>
      </c>
      <c r="FP157" s="15" t="s">
        <v>486</v>
      </c>
      <c r="FQ157" s="15" t="s">
        <v>630</v>
      </c>
      <c r="FR157" s="15" t="s">
        <v>3621</v>
      </c>
      <c r="FS157" s="15" t="s">
        <v>420</v>
      </c>
      <c r="FT157" s="15" t="s">
        <v>488</v>
      </c>
      <c r="FU157" s="15" t="s">
        <v>533</v>
      </c>
      <c r="FV157" s="15" t="s">
        <v>490</v>
      </c>
      <c r="FW157" s="15" t="s">
        <v>491</v>
      </c>
      <c r="FX157" s="15" t="s">
        <v>3622</v>
      </c>
      <c r="FY157" s="15"/>
      <c r="FZ157" s="15" t="s">
        <v>3623</v>
      </c>
      <c r="GA157" s="15"/>
      <c r="GB157" s="15" t="s">
        <v>455</v>
      </c>
      <c r="GC157" s="15"/>
      <c r="GD157" s="15"/>
      <c r="GE157" s="15" t="s">
        <v>944</v>
      </c>
      <c r="GF157" s="15"/>
      <c r="GG157" s="15" t="s">
        <v>755</v>
      </c>
      <c r="GH157" s="15" t="s">
        <v>755</v>
      </c>
      <c r="GI157" s="15" t="s">
        <v>946</v>
      </c>
      <c r="GJ157" s="15"/>
      <c r="GK157" s="15"/>
      <c r="GL157" s="15"/>
      <c r="GM157" s="15" t="s">
        <v>1079</v>
      </c>
      <c r="GN157" s="15"/>
      <c r="GO157" s="15"/>
      <c r="GP157" s="15" t="s">
        <v>1706</v>
      </c>
      <c r="GQ157" s="15" t="s">
        <v>3208</v>
      </c>
      <c r="GR157" s="15"/>
      <c r="GS157" s="15"/>
      <c r="GT157" s="15"/>
      <c r="GU157" s="15"/>
      <c r="GV157" s="15"/>
      <c r="GW157" s="15"/>
      <c r="GX157" s="15"/>
      <c r="GY157" s="15"/>
      <c r="GZ157" s="15"/>
      <c r="HA157" s="15"/>
      <c r="HB157" s="15"/>
      <c r="HC157" s="15"/>
      <c r="HD157" s="15"/>
      <c r="HE157" s="15"/>
      <c r="HF157" s="15"/>
      <c r="HG157" s="15"/>
      <c r="HH157" s="15"/>
      <c r="HI157" s="15"/>
      <c r="HJ157" s="15"/>
      <c r="HK157" s="15"/>
      <c r="HL157" s="15"/>
      <c r="HM157" s="15"/>
      <c r="HN157" s="15"/>
      <c r="HO157" s="15"/>
      <c r="HP157" s="31"/>
      <c r="MX157" s="29" t="s">
        <v>10402</v>
      </c>
      <c r="MY157" s="29" t="str">
        <f>IFERROR(__xludf.DUMMYFUNCTION("""COMPUTED_VALUE"""),"Michigan")</f>
        <v>Michigan</v>
      </c>
    </row>
    <row r="158" ht="16.5" customHeight="1">
      <c r="A158" s="30">
        <v>45831.31184445602</v>
      </c>
      <c r="B158" s="15" t="s">
        <v>368</v>
      </c>
      <c r="C158" s="15" t="s">
        <v>370</v>
      </c>
      <c r="D158" s="15"/>
      <c r="E158" s="15" t="s">
        <v>1480</v>
      </c>
      <c r="F158" s="15"/>
      <c r="G158" s="15" t="s">
        <v>422</v>
      </c>
      <c r="H158" s="15" t="s">
        <v>373</v>
      </c>
      <c r="I158" s="15" t="s">
        <v>374</v>
      </c>
      <c r="J158" s="15" t="s">
        <v>590</v>
      </c>
      <c r="K158" s="15" t="s">
        <v>376</v>
      </c>
      <c r="L158" s="15" t="s">
        <v>379</v>
      </c>
      <c r="M158" s="15" t="s">
        <v>639</v>
      </c>
      <c r="N158" s="15" t="s">
        <v>426</v>
      </c>
      <c r="O158" s="15" t="s">
        <v>378</v>
      </c>
      <c r="P158" s="15" t="s">
        <v>381</v>
      </c>
      <c r="Q158" s="15" t="s">
        <v>862</v>
      </c>
      <c r="R158" s="15" t="s">
        <v>500</v>
      </c>
      <c r="S158" s="15" t="s">
        <v>3624</v>
      </c>
      <c r="T158" s="15" t="s">
        <v>385</v>
      </c>
      <c r="U158" s="15"/>
      <c r="V158" s="15"/>
      <c r="W158" s="15" t="s">
        <v>3014</v>
      </c>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t="s">
        <v>504</v>
      </c>
      <c r="AW158" s="15" t="s">
        <v>391</v>
      </c>
      <c r="AX158" s="15">
        <v>2.0</v>
      </c>
      <c r="AY158" s="15">
        <v>2.0</v>
      </c>
      <c r="AZ158" s="15">
        <v>2.0</v>
      </c>
      <c r="BA158" s="15" t="s">
        <v>391</v>
      </c>
      <c r="BB158" s="15">
        <v>2.0</v>
      </c>
      <c r="BC158" s="15" t="s">
        <v>3625</v>
      </c>
      <c r="BD158" s="15" t="s">
        <v>3626</v>
      </c>
      <c r="BE158" s="15" t="s">
        <v>902</v>
      </c>
      <c r="BF158" s="15" t="s">
        <v>433</v>
      </c>
      <c r="BG158" s="15" t="s">
        <v>434</v>
      </c>
      <c r="BH158" s="15"/>
      <c r="BI158" s="15" t="s">
        <v>509</v>
      </c>
      <c r="BJ158" s="15" t="s">
        <v>3627</v>
      </c>
      <c r="BK158" s="15" t="s">
        <v>395</v>
      </c>
      <c r="BL158" s="15" t="s">
        <v>603</v>
      </c>
      <c r="BM158" s="15" t="s">
        <v>549</v>
      </c>
      <c r="BN158" s="15" t="s">
        <v>440</v>
      </c>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t="s">
        <v>441</v>
      </c>
      <c r="CM158" s="15" t="s">
        <v>604</v>
      </c>
      <c r="CN158" s="15" t="s">
        <v>1600</v>
      </c>
      <c r="CO158" s="15" t="s">
        <v>3628</v>
      </c>
      <c r="CP158" s="15" t="s">
        <v>403</v>
      </c>
      <c r="CQ158" s="15" t="s">
        <v>3629</v>
      </c>
      <c r="CR158" s="15" t="s">
        <v>447</v>
      </c>
      <c r="CS158" s="15" t="s">
        <v>957</v>
      </c>
      <c r="CT158" s="15" t="s">
        <v>3630</v>
      </c>
      <c r="CU158" s="15" t="s">
        <v>450</v>
      </c>
      <c r="CV158" s="15" t="s">
        <v>451</v>
      </c>
      <c r="CW158" s="15" t="s">
        <v>3631</v>
      </c>
      <c r="CX158" s="15" t="s">
        <v>408</v>
      </c>
      <c r="CY158" s="15"/>
      <c r="CZ158" s="15" t="s">
        <v>453</v>
      </c>
      <c r="DA158" s="15" t="s">
        <v>3632</v>
      </c>
      <c r="DB158" s="15" t="s">
        <v>913</v>
      </c>
      <c r="DC158" s="15"/>
      <c r="DD158" s="15" t="s">
        <v>457</v>
      </c>
      <c r="DE158" s="15"/>
      <c r="DF158" s="15" t="s">
        <v>3633</v>
      </c>
      <c r="DG158" s="15" t="s">
        <v>524</v>
      </c>
      <c r="DH158" s="15" t="s">
        <v>410</v>
      </c>
      <c r="DI158" s="15" t="s">
        <v>459</v>
      </c>
      <c r="DJ158" s="15" t="s">
        <v>562</v>
      </c>
      <c r="DK158" s="15" t="s">
        <v>461</v>
      </c>
      <c r="DL158" s="15"/>
      <c r="DM158" s="15" t="s">
        <v>3634</v>
      </c>
      <c r="DN158" s="15" t="s">
        <v>3635</v>
      </c>
      <c r="DO158" s="15" t="s">
        <v>1063</v>
      </c>
      <c r="DP158" s="15" t="s">
        <v>3636</v>
      </c>
      <c r="DQ158" s="15" t="s">
        <v>837</v>
      </c>
      <c r="DR158" s="15" t="s">
        <v>3637</v>
      </c>
      <c r="DS158" s="15" t="s">
        <v>618</v>
      </c>
      <c r="DT158" s="15"/>
      <c r="DU158" s="15" t="s">
        <v>3638</v>
      </c>
      <c r="DV158" s="15" t="s">
        <v>3639</v>
      </c>
      <c r="DW158" s="15" t="s">
        <v>573</v>
      </c>
      <c r="DX158" s="15" t="s">
        <v>3640</v>
      </c>
      <c r="DY158" s="15" t="s">
        <v>3641</v>
      </c>
      <c r="DZ158" s="15" t="s">
        <v>3642</v>
      </c>
      <c r="EA158" s="15" t="s">
        <v>475</v>
      </c>
      <c r="EB158" s="15" t="s">
        <v>626</v>
      </c>
      <c r="EC158" s="15"/>
      <c r="ED158" s="15"/>
      <c r="EE158" s="15"/>
      <c r="EF158" s="15"/>
      <c r="EG158" s="15"/>
      <c r="EH158" s="15"/>
      <c r="EI158" s="15"/>
      <c r="EJ158" s="15"/>
      <c r="EK158" s="15"/>
      <c r="EL158" s="15"/>
      <c r="EM158" s="15"/>
      <c r="EN158" s="15"/>
      <c r="EO158" s="15"/>
      <c r="EP158" s="15"/>
      <c r="EQ158" s="15"/>
      <c r="ER158" s="15"/>
      <c r="ES158" s="15"/>
      <c r="ET158" s="15" t="s">
        <v>478</v>
      </c>
      <c r="EU158" s="15" t="s">
        <v>479</v>
      </c>
      <c r="EV158" s="15" t="s">
        <v>527</v>
      </c>
      <c r="EW158" s="15" t="s">
        <v>3643</v>
      </c>
      <c r="EX158" s="15" t="s">
        <v>3644</v>
      </c>
      <c r="EY158" s="15" t="s">
        <v>3645</v>
      </c>
      <c r="EZ158" s="15" t="s">
        <v>413</v>
      </c>
      <c r="FA158" s="15" t="s">
        <v>415</v>
      </c>
      <c r="FB158" s="15" t="s">
        <v>413</v>
      </c>
      <c r="FC158" s="15" t="s">
        <v>416</v>
      </c>
      <c r="FD158" s="15" t="s">
        <v>413</v>
      </c>
      <c r="FE158" s="15" t="s">
        <v>415</v>
      </c>
      <c r="FF158" s="15" t="s">
        <v>416</v>
      </c>
      <c r="FG158" s="15" t="s">
        <v>415</v>
      </c>
      <c r="FH158" s="15" t="s">
        <v>415</v>
      </c>
      <c r="FI158" s="15" t="s">
        <v>414</v>
      </c>
      <c r="FJ158" s="15" t="s">
        <v>415</v>
      </c>
      <c r="FK158" s="15" t="s">
        <v>416</v>
      </c>
      <c r="FL158" s="15" t="s">
        <v>415</v>
      </c>
      <c r="FM158" s="15" t="s">
        <v>416</v>
      </c>
      <c r="FN158" s="15" t="s">
        <v>414</v>
      </c>
      <c r="FO158" s="15" t="s">
        <v>417</v>
      </c>
      <c r="FP158" s="15" t="s">
        <v>418</v>
      </c>
      <c r="FQ158" s="15" t="s">
        <v>749</v>
      </c>
      <c r="FR158" s="15" t="s">
        <v>3646</v>
      </c>
      <c r="FS158" s="15" t="s">
        <v>420</v>
      </c>
      <c r="FT158" s="15" t="s">
        <v>488</v>
      </c>
      <c r="FU158" s="15" t="s">
        <v>489</v>
      </c>
      <c r="FV158" s="15" t="s">
        <v>490</v>
      </c>
      <c r="FW158" s="15" t="s">
        <v>491</v>
      </c>
      <c r="FX158" s="15" t="s">
        <v>3647</v>
      </c>
      <c r="FY158" s="15" t="s">
        <v>535</v>
      </c>
      <c r="FZ158" s="15"/>
      <c r="GA158" s="15"/>
      <c r="GB158" s="15" t="s">
        <v>455</v>
      </c>
      <c r="GC158" s="15"/>
      <c r="GD158" s="15"/>
      <c r="GE158" s="15" t="s">
        <v>1339</v>
      </c>
      <c r="GF158" s="15" t="s">
        <v>3648</v>
      </c>
      <c r="GG158" s="15" t="s">
        <v>755</v>
      </c>
      <c r="GH158" s="15" t="s">
        <v>755</v>
      </c>
      <c r="GI158" s="15" t="s">
        <v>946</v>
      </c>
      <c r="GJ158" s="15"/>
      <c r="GK158" s="15"/>
      <c r="GL158" s="15"/>
      <c r="GM158" s="15" t="s">
        <v>1079</v>
      </c>
      <c r="GN158" s="15"/>
      <c r="GO158" s="15"/>
      <c r="GP158" s="15"/>
      <c r="GQ158" s="15" t="s">
        <v>3273</v>
      </c>
      <c r="GR158" s="15"/>
      <c r="GS158" s="15"/>
      <c r="GT158" s="15"/>
      <c r="GU158" s="15"/>
      <c r="GV158" s="15"/>
      <c r="GW158" s="15"/>
      <c r="GX158" s="15"/>
      <c r="GY158" s="15"/>
      <c r="GZ158" s="15"/>
      <c r="HA158" s="15"/>
      <c r="HB158" s="15"/>
      <c r="HC158" s="15"/>
      <c r="HD158" s="15"/>
      <c r="HE158" s="15"/>
      <c r="HF158" s="15"/>
      <c r="HG158" s="15"/>
      <c r="HH158" s="15"/>
      <c r="HI158" s="15"/>
      <c r="HJ158" s="15"/>
      <c r="HK158" s="15"/>
      <c r="HL158" s="15"/>
      <c r="HM158" s="15"/>
      <c r="HN158" s="15"/>
      <c r="HO158" s="15"/>
      <c r="HP158" s="31"/>
      <c r="MX158" s="29" t="s">
        <v>10402</v>
      </c>
      <c r="MY158" s="29" t="str">
        <f>IFERROR(__xludf.DUMMYFUNCTION("""COMPUTED_VALUE"""),"Missouri")</f>
        <v>Missouri</v>
      </c>
    </row>
    <row r="159" ht="16.5" customHeight="1">
      <c r="A159" s="30">
        <v>45831.337022465275</v>
      </c>
      <c r="B159" s="15" t="s">
        <v>368</v>
      </c>
      <c r="C159" s="15" t="s">
        <v>370</v>
      </c>
      <c r="D159" s="15"/>
      <c r="E159" s="15" t="s">
        <v>922</v>
      </c>
      <c r="F159" s="15"/>
      <c r="G159" s="15" t="s">
        <v>422</v>
      </c>
      <c r="H159" s="15" t="s">
        <v>1203</v>
      </c>
      <c r="I159" s="15" t="s">
        <v>638</v>
      </c>
      <c r="J159" s="15" t="s">
        <v>425</v>
      </c>
      <c r="K159" s="15" t="s">
        <v>376</v>
      </c>
      <c r="L159" s="15" t="s">
        <v>591</v>
      </c>
      <c r="M159" s="15" t="s">
        <v>3649</v>
      </c>
      <c r="N159" s="15" t="s">
        <v>670</v>
      </c>
      <c r="O159" s="15" t="s">
        <v>720</v>
      </c>
      <c r="P159" s="15" t="s">
        <v>592</v>
      </c>
      <c r="Q159" s="15" t="s">
        <v>499</v>
      </c>
      <c r="R159" s="15" t="s">
        <v>500</v>
      </c>
      <c r="S159" s="15" t="s">
        <v>384</v>
      </c>
      <c r="T159" s="15" t="s">
        <v>385</v>
      </c>
      <c r="U159" s="15"/>
      <c r="V159" s="15"/>
      <c r="W159" s="15" t="s">
        <v>593</v>
      </c>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t="s">
        <v>390</v>
      </c>
      <c r="AW159" s="15">
        <v>2.0</v>
      </c>
      <c r="AX159" s="15" t="s">
        <v>429</v>
      </c>
      <c r="AY159" s="15" t="s">
        <v>391</v>
      </c>
      <c r="AZ159" s="15" t="s">
        <v>429</v>
      </c>
      <c r="BA159" s="15" t="s">
        <v>429</v>
      </c>
      <c r="BB159" s="15" t="s">
        <v>429</v>
      </c>
      <c r="BC159" s="15" t="s">
        <v>3650</v>
      </c>
      <c r="BD159" s="15" t="s">
        <v>3651</v>
      </c>
      <c r="BE159" s="15" t="s">
        <v>392</v>
      </c>
      <c r="BF159" s="15" t="s">
        <v>433</v>
      </c>
      <c r="BG159" s="15" t="s">
        <v>765</v>
      </c>
      <c r="BH159" s="15"/>
      <c r="BI159" s="15" t="s">
        <v>824</v>
      </c>
      <c r="BJ159" s="15"/>
      <c r="BK159" s="15" t="s">
        <v>437</v>
      </c>
      <c r="BL159" s="15" t="s">
        <v>396</v>
      </c>
      <c r="BM159" s="15" t="s">
        <v>549</v>
      </c>
      <c r="BN159" s="15" t="s">
        <v>440</v>
      </c>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t="s">
        <v>441</v>
      </c>
      <c r="CM159" s="15" t="s">
        <v>401</v>
      </c>
      <c r="CN159" s="15" t="s">
        <v>3652</v>
      </c>
      <c r="CO159" s="15" t="s">
        <v>3653</v>
      </c>
      <c r="CP159" s="15" t="s">
        <v>979</v>
      </c>
      <c r="CQ159" s="15" t="s">
        <v>2317</v>
      </c>
      <c r="CR159" s="15" t="s">
        <v>447</v>
      </c>
      <c r="CS159" s="15" t="s">
        <v>1454</v>
      </c>
      <c r="CT159" s="15" t="s">
        <v>3654</v>
      </c>
      <c r="CU159" s="15" t="s">
        <v>519</v>
      </c>
      <c r="CV159" s="15" t="s">
        <v>451</v>
      </c>
      <c r="CW159" s="15" t="s">
        <v>3655</v>
      </c>
      <c r="CX159" s="15" t="s">
        <v>408</v>
      </c>
      <c r="CY159" s="15"/>
      <c r="CZ159" s="15" t="s">
        <v>453</v>
      </c>
      <c r="DA159" s="15" t="s">
        <v>3656</v>
      </c>
      <c r="DB159" s="15" t="s">
        <v>455</v>
      </c>
      <c r="DC159" s="15" t="s">
        <v>3657</v>
      </c>
      <c r="DD159" s="15" t="s">
        <v>457</v>
      </c>
      <c r="DE159" s="15"/>
      <c r="DF159" s="15" t="s">
        <v>3658</v>
      </c>
      <c r="DG159" s="15" t="s">
        <v>524</v>
      </c>
      <c r="DH159" s="15" t="s">
        <v>694</v>
      </c>
      <c r="DI159" s="15" t="s">
        <v>459</v>
      </c>
      <c r="DJ159" s="15" t="s">
        <v>613</v>
      </c>
      <c r="DK159" s="15"/>
      <c r="DL159" s="15"/>
      <c r="DM159" s="15" t="s">
        <v>3659</v>
      </c>
      <c r="DN159" s="15" t="s">
        <v>3660</v>
      </c>
      <c r="DO159" s="15" t="s">
        <v>464</v>
      </c>
      <c r="DP159" s="15" t="s">
        <v>3661</v>
      </c>
      <c r="DQ159" s="15" t="s">
        <v>700</v>
      </c>
      <c r="DR159" s="15" t="s">
        <v>3662</v>
      </c>
      <c r="DS159" s="15" t="s">
        <v>618</v>
      </c>
      <c r="DT159" s="15" t="s">
        <v>570</v>
      </c>
      <c r="DU159" s="15" t="s">
        <v>3663</v>
      </c>
      <c r="DV159" s="15" t="s">
        <v>3664</v>
      </c>
      <c r="DW159" s="15" t="s">
        <v>573</v>
      </c>
      <c r="DX159" s="15" t="s">
        <v>3665</v>
      </c>
      <c r="DY159" s="15" t="s">
        <v>3666</v>
      </c>
      <c r="DZ159" s="15" t="s">
        <v>3667</v>
      </c>
      <c r="EA159" s="15" t="s">
        <v>475</v>
      </c>
      <c r="EB159" s="15" t="s">
        <v>845</v>
      </c>
      <c r="EC159" s="15" t="s">
        <v>3668</v>
      </c>
      <c r="ED159" s="15"/>
      <c r="EE159" s="15"/>
      <c r="EF159" s="15"/>
      <c r="EG159" s="15"/>
      <c r="EH159" s="15"/>
      <c r="EI159" s="15"/>
      <c r="EJ159" s="15"/>
      <c r="EK159" s="15"/>
      <c r="EL159" s="15"/>
      <c r="EM159" s="15"/>
      <c r="EN159" s="15"/>
      <c r="EO159" s="15"/>
      <c r="EP159" s="15"/>
      <c r="EQ159" s="15"/>
      <c r="ER159" s="15"/>
      <c r="ES159" s="15"/>
      <c r="ET159" s="15" t="s">
        <v>526</v>
      </c>
      <c r="EU159" s="15" t="s">
        <v>1037</v>
      </c>
      <c r="EV159" s="15" t="s">
        <v>480</v>
      </c>
      <c r="EW159" s="15"/>
      <c r="EX159" s="15"/>
      <c r="EY159" s="15"/>
      <c r="EZ159" s="15" t="s">
        <v>415</v>
      </c>
      <c r="FA159" s="15" t="s">
        <v>415</v>
      </c>
      <c r="FB159" s="15" t="s">
        <v>413</v>
      </c>
      <c r="FC159" s="15" t="s">
        <v>413</v>
      </c>
      <c r="FD159" s="15" t="s">
        <v>413</v>
      </c>
      <c r="FE159" s="15" t="s">
        <v>415</v>
      </c>
      <c r="FF159" s="15" t="s">
        <v>413</v>
      </c>
      <c r="FG159" s="15" t="s">
        <v>413</v>
      </c>
      <c r="FH159" s="15" t="s">
        <v>583</v>
      </c>
      <c r="FI159" s="15" t="s">
        <v>415</v>
      </c>
      <c r="FJ159" s="15" t="s">
        <v>416</v>
      </c>
      <c r="FK159" s="15" t="s">
        <v>415</v>
      </c>
      <c r="FL159" s="15" t="s">
        <v>415</v>
      </c>
      <c r="FM159" s="15" t="s">
        <v>413</v>
      </c>
      <c r="FN159" s="15" t="s">
        <v>583</v>
      </c>
      <c r="FO159" s="15" t="s">
        <v>485</v>
      </c>
      <c r="FP159" s="15" t="s">
        <v>418</v>
      </c>
      <c r="FQ159" s="15" t="s">
        <v>712</v>
      </c>
      <c r="FR159" s="15"/>
      <c r="FS159" s="15" t="s">
        <v>420</v>
      </c>
      <c r="FT159" s="15" t="s">
        <v>1462</v>
      </c>
      <c r="FU159" s="15" t="s">
        <v>489</v>
      </c>
      <c r="FV159" s="15" t="s">
        <v>490</v>
      </c>
      <c r="FW159" s="15" t="s">
        <v>491</v>
      </c>
      <c r="FX159" s="15" t="s">
        <v>3669</v>
      </c>
      <c r="FY159" s="15" t="s">
        <v>493</v>
      </c>
      <c r="FZ159" s="15"/>
      <c r="GA159" s="15" t="s">
        <v>3670</v>
      </c>
      <c r="GB159" s="15" t="s">
        <v>455</v>
      </c>
      <c r="GC159" s="15"/>
      <c r="GD159" s="15"/>
      <c r="GE159" s="15" t="s">
        <v>753</v>
      </c>
      <c r="GF159" s="15" t="s">
        <v>3671</v>
      </c>
      <c r="GG159" s="15" t="s">
        <v>857</v>
      </c>
      <c r="GH159" s="15" t="s">
        <v>857</v>
      </c>
      <c r="GI159" s="15" t="s">
        <v>790</v>
      </c>
      <c r="GJ159" s="15"/>
      <c r="GK159" s="15"/>
      <c r="GL159" s="15"/>
      <c r="GM159" s="15" t="s">
        <v>1079</v>
      </c>
      <c r="GN159" s="15"/>
      <c r="GO159" s="15"/>
      <c r="GP159" s="15"/>
      <c r="GQ159" s="15" t="s">
        <v>3351</v>
      </c>
      <c r="GR159" s="15"/>
      <c r="GS159" s="15"/>
      <c r="GT159" s="15"/>
      <c r="GU159" s="15"/>
      <c r="GV159" s="15"/>
      <c r="GW159" s="15"/>
      <c r="GX159" s="15"/>
      <c r="GY159" s="15"/>
      <c r="GZ159" s="15"/>
      <c r="HA159" s="15"/>
      <c r="HB159" s="15"/>
      <c r="HC159" s="15"/>
      <c r="HD159" s="15"/>
      <c r="HE159" s="15"/>
      <c r="HF159" s="15"/>
      <c r="HG159" s="15"/>
      <c r="HH159" s="15"/>
      <c r="HI159" s="15"/>
      <c r="HJ159" s="15"/>
      <c r="HK159" s="15"/>
      <c r="HL159" s="15"/>
      <c r="HM159" s="15"/>
      <c r="HN159" s="15"/>
      <c r="HO159" s="15"/>
      <c r="HP159" s="31"/>
      <c r="MX159" s="29" t="s">
        <v>894</v>
      </c>
      <c r="MY159" s="29" t="str">
        <f>IFERROR(__xludf.DUMMYFUNCTION("""COMPUTED_VALUE"""),"Quebec")</f>
        <v>Quebec</v>
      </c>
    </row>
    <row r="160" ht="16.5" customHeight="1">
      <c r="A160" s="30">
        <v>45831.37880005787</v>
      </c>
      <c r="B160" s="15" t="s">
        <v>368</v>
      </c>
      <c r="C160" s="15" t="s">
        <v>894</v>
      </c>
      <c r="D160" s="15" t="s">
        <v>894</v>
      </c>
      <c r="E160" s="15"/>
      <c r="F160" s="15"/>
      <c r="G160" s="15" t="s">
        <v>422</v>
      </c>
      <c r="H160" s="15" t="s">
        <v>637</v>
      </c>
      <c r="I160" s="15" t="s">
        <v>638</v>
      </c>
      <c r="J160" s="15" t="s">
        <v>375</v>
      </c>
      <c r="K160" s="15" t="s">
        <v>376</v>
      </c>
      <c r="L160" s="15" t="s">
        <v>379</v>
      </c>
      <c r="M160" s="15" t="s">
        <v>380</v>
      </c>
      <c r="N160" s="15" t="s">
        <v>379</v>
      </c>
      <c r="O160" s="15" t="s">
        <v>380</v>
      </c>
      <c r="P160" s="15" t="s">
        <v>498</v>
      </c>
      <c r="Q160" s="15" t="s">
        <v>382</v>
      </c>
      <c r="R160" s="15" t="s">
        <v>1594</v>
      </c>
      <c r="S160" s="15" t="s">
        <v>384</v>
      </c>
      <c r="T160" s="15" t="s">
        <v>385</v>
      </c>
      <c r="U160" s="15" t="s">
        <v>1045</v>
      </c>
      <c r="V160" s="15" t="s">
        <v>1045</v>
      </c>
      <c r="W160" s="15" t="s">
        <v>3231</v>
      </c>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t="s">
        <v>1310</v>
      </c>
      <c r="AW160" s="15" t="s">
        <v>391</v>
      </c>
      <c r="AX160" s="15">
        <v>4.0</v>
      </c>
      <c r="AY160" s="15" t="s">
        <v>391</v>
      </c>
      <c r="AZ160" s="15">
        <v>2.0</v>
      </c>
      <c r="BA160" s="15" t="s">
        <v>391</v>
      </c>
      <c r="BB160" s="15" t="s">
        <v>391</v>
      </c>
      <c r="BC160" s="15"/>
      <c r="BD160" s="15"/>
      <c r="BE160" s="15" t="s">
        <v>432</v>
      </c>
      <c r="BF160" s="15" t="s">
        <v>1095</v>
      </c>
      <c r="BG160" s="15" t="s">
        <v>725</v>
      </c>
      <c r="BH160" s="15"/>
      <c r="BI160" s="15" t="s">
        <v>435</v>
      </c>
      <c r="BJ160" s="15"/>
      <c r="BK160" s="15" t="s">
        <v>681</v>
      </c>
      <c r="BL160" s="15" t="s">
        <v>603</v>
      </c>
      <c r="BM160" s="15" t="s">
        <v>1247</v>
      </c>
      <c r="BN160" s="15" t="s">
        <v>513</v>
      </c>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t="s">
        <v>682</v>
      </c>
      <c r="CM160" s="15" t="s">
        <v>442</v>
      </c>
      <c r="CN160" s="15"/>
      <c r="CO160" s="15"/>
      <c r="CP160" s="15" t="s">
        <v>445</v>
      </c>
      <c r="CQ160" s="15" t="s">
        <v>3672</v>
      </c>
      <c r="CR160" s="15" t="s">
        <v>555</v>
      </c>
      <c r="CS160" s="15"/>
      <c r="CT160" s="15"/>
      <c r="CU160" s="15" t="s">
        <v>982</v>
      </c>
      <c r="CV160" s="15" t="s">
        <v>959</v>
      </c>
      <c r="CW160" s="15"/>
      <c r="CX160" s="15" t="s">
        <v>408</v>
      </c>
      <c r="CY160" s="15"/>
      <c r="CZ160" s="15" t="s">
        <v>985</v>
      </c>
      <c r="DA160" s="15"/>
      <c r="DB160" s="15" t="s">
        <v>408</v>
      </c>
      <c r="DC160" s="15"/>
      <c r="DD160" s="15" t="s">
        <v>406</v>
      </c>
      <c r="DE160" s="15"/>
      <c r="DF160" s="15"/>
      <c r="DG160" s="15" t="s">
        <v>990</v>
      </c>
      <c r="DH160" s="15" t="s">
        <v>694</v>
      </c>
      <c r="DI160" s="15" t="s">
        <v>459</v>
      </c>
      <c r="DJ160" s="15" t="s">
        <v>613</v>
      </c>
      <c r="DK160" s="15"/>
      <c r="DL160" s="15"/>
      <c r="DM160" s="15"/>
      <c r="DN160" s="15"/>
      <c r="DO160" s="15"/>
      <c r="DP160" s="15"/>
      <c r="DQ160" s="15"/>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t="s">
        <v>478</v>
      </c>
      <c r="EU160" s="15" t="s">
        <v>579</v>
      </c>
      <c r="EV160" s="15" t="s">
        <v>480</v>
      </c>
      <c r="EW160" s="15"/>
      <c r="EX160" s="15"/>
      <c r="EY160" s="15"/>
      <c r="EZ160" s="15" t="s">
        <v>583</v>
      </c>
      <c r="FA160" s="15" t="s">
        <v>583</v>
      </c>
      <c r="FB160" s="15" t="s">
        <v>413</v>
      </c>
      <c r="FC160" s="15" t="s">
        <v>416</v>
      </c>
      <c r="FD160" s="15" t="s">
        <v>415</v>
      </c>
      <c r="FE160" s="15" t="s">
        <v>583</v>
      </c>
      <c r="FF160" s="15" t="s">
        <v>583</v>
      </c>
      <c r="FG160" s="15" t="s">
        <v>583</v>
      </c>
      <c r="FH160" s="15" t="s">
        <v>416</v>
      </c>
      <c r="FI160" s="15" t="s">
        <v>413</v>
      </c>
      <c r="FJ160" s="15" t="s">
        <v>583</v>
      </c>
      <c r="FK160" s="15" t="s">
        <v>415</v>
      </c>
      <c r="FL160" s="15" t="s">
        <v>415</v>
      </c>
      <c r="FM160" s="15" t="s">
        <v>583</v>
      </c>
      <c r="FN160" s="15" t="s">
        <v>413</v>
      </c>
      <c r="FO160" s="15" t="s">
        <v>1074</v>
      </c>
      <c r="FP160" s="15" t="s">
        <v>3218</v>
      </c>
      <c r="FQ160" s="15" t="s">
        <v>419</v>
      </c>
      <c r="FR160" s="15"/>
      <c r="FS160" s="15" t="s">
        <v>1871</v>
      </c>
      <c r="FT160" s="15" t="s">
        <v>2750</v>
      </c>
      <c r="FU160" s="15" t="s">
        <v>1235</v>
      </c>
      <c r="FV160" s="15" t="s">
        <v>2136</v>
      </c>
      <c r="FW160" s="15"/>
      <c r="FX160" s="15"/>
      <c r="FY160" s="15" t="s">
        <v>1337</v>
      </c>
      <c r="FZ160" s="15"/>
      <c r="GA160" s="15"/>
      <c r="GB160" s="15" t="s">
        <v>408</v>
      </c>
      <c r="GC160" s="15"/>
      <c r="GD160" s="15"/>
      <c r="GE160" s="15"/>
      <c r="GF160" s="15"/>
      <c r="GG160" s="15" t="s">
        <v>755</v>
      </c>
      <c r="GH160" s="15" t="s">
        <v>755</v>
      </c>
      <c r="GI160" s="15" t="s">
        <v>817</v>
      </c>
      <c r="GJ160" s="15"/>
      <c r="GK160" s="15"/>
      <c r="GL160" s="15"/>
      <c r="GM160" s="15"/>
      <c r="GN160" s="15"/>
      <c r="GO160" s="15"/>
      <c r="GP160" s="15" t="s">
        <v>387</v>
      </c>
      <c r="GQ160" s="15" t="s">
        <v>3208</v>
      </c>
      <c r="GR160" s="15"/>
      <c r="GS160" s="15"/>
      <c r="GT160" s="15"/>
      <c r="GU160" s="15"/>
      <c r="GV160" s="15"/>
      <c r="GW160" s="15"/>
      <c r="GX160" s="15"/>
      <c r="GY160" s="15"/>
      <c r="GZ160" s="15"/>
      <c r="HA160" s="15"/>
      <c r="HB160" s="15"/>
      <c r="HC160" s="15"/>
      <c r="HD160" s="15"/>
      <c r="HE160" s="15"/>
      <c r="HF160" s="15"/>
      <c r="HG160" s="15"/>
      <c r="HH160" s="15"/>
      <c r="HI160" s="15"/>
      <c r="HJ160" s="15"/>
      <c r="HK160" s="15"/>
      <c r="HL160" s="15"/>
      <c r="HM160" s="15"/>
      <c r="HN160" s="15"/>
      <c r="HO160" s="15"/>
      <c r="HP160" s="31"/>
      <c r="MX160" s="29" t="s">
        <v>10402</v>
      </c>
      <c r="MY160" s="29" t="str">
        <f>IFERROR(__xludf.DUMMYFUNCTION("""COMPUTED_VALUE"""),"Maryland")</f>
        <v>Maryland</v>
      </c>
    </row>
    <row r="161" ht="16.5" customHeight="1">
      <c r="A161" s="30">
        <v>45831.437976030094</v>
      </c>
      <c r="B161" s="15" t="s">
        <v>368</v>
      </c>
      <c r="C161" s="15" t="s">
        <v>370</v>
      </c>
      <c r="D161" s="15"/>
      <c r="E161" s="15" t="s">
        <v>859</v>
      </c>
      <c r="F161" s="15"/>
      <c r="G161" s="15" t="s">
        <v>372</v>
      </c>
      <c r="H161" s="15" t="s">
        <v>373</v>
      </c>
      <c r="I161" s="15" t="s">
        <v>374</v>
      </c>
      <c r="J161" s="15" t="s">
        <v>669</v>
      </c>
      <c r="K161" s="15" t="s">
        <v>376</v>
      </c>
      <c r="L161" s="15" t="s">
        <v>793</v>
      </c>
      <c r="M161" s="15" t="s">
        <v>378</v>
      </c>
      <c r="N161" s="15" t="s">
        <v>793</v>
      </c>
      <c r="O161" s="15" t="s">
        <v>3673</v>
      </c>
      <c r="P161" s="15" t="s">
        <v>592</v>
      </c>
      <c r="Q161" s="15" t="s">
        <v>382</v>
      </c>
      <c r="R161" s="15" t="s">
        <v>795</v>
      </c>
      <c r="S161" s="15" t="s">
        <v>384</v>
      </c>
      <c r="T161" s="15" t="s">
        <v>385</v>
      </c>
      <c r="U161" s="15"/>
      <c r="V161" s="15"/>
      <c r="W161" s="15" t="s">
        <v>386</v>
      </c>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t="s">
        <v>1242</v>
      </c>
      <c r="AW161" s="15" t="s">
        <v>675</v>
      </c>
      <c r="AX161" s="15" t="s">
        <v>675</v>
      </c>
      <c r="AY161" s="15" t="s">
        <v>675</v>
      </c>
      <c r="AZ161" s="15" t="s">
        <v>675</v>
      </c>
      <c r="BA161" s="15" t="s">
        <v>675</v>
      </c>
      <c r="BB161" s="15" t="s">
        <v>675</v>
      </c>
      <c r="BC161" s="15" t="s">
        <v>3674</v>
      </c>
      <c r="BD161" s="15" t="s">
        <v>3675</v>
      </c>
      <c r="BE161" s="15" t="s">
        <v>2379</v>
      </c>
      <c r="BF161" s="15" t="s">
        <v>1245</v>
      </c>
      <c r="BG161" s="15" t="s">
        <v>394</v>
      </c>
      <c r="BH161" s="15" t="s">
        <v>3676</v>
      </c>
      <c r="BI161" s="15" t="s">
        <v>435</v>
      </c>
      <c r="BJ161" s="15" t="s">
        <v>3677</v>
      </c>
      <c r="BK161" s="15" t="s">
        <v>681</v>
      </c>
      <c r="BL161" s="15" t="s">
        <v>603</v>
      </c>
      <c r="BM161" s="15" t="s">
        <v>1314</v>
      </c>
      <c r="BN161" s="15" t="s">
        <v>398</v>
      </c>
      <c r="BO161" s="15" t="s">
        <v>3678</v>
      </c>
      <c r="BP161" s="15" t="s">
        <v>3679</v>
      </c>
      <c r="BQ161" s="15" t="s">
        <v>604</v>
      </c>
      <c r="BR161" s="15" t="s">
        <v>1830</v>
      </c>
      <c r="BS161" s="15" t="s">
        <v>1741</v>
      </c>
      <c r="BT161" s="15" t="s">
        <v>1742</v>
      </c>
      <c r="BU161" s="15" t="s">
        <v>405</v>
      </c>
      <c r="BV161" s="15" t="s">
        <v>1211</v>
      </c>
      <c r="BW161" s="15" t="s">
        <v>988</v>
      </c>
      <c r="BX161" s="15"/>
      <c r="BY161" s="15" t="s">
        <v>408</v>
      </c>
      <c r="BZ161" s="15"/>
      <c r="CA161" s="15" t="s">
        <v>3680</v>
      </c>
      <c r="CB161" s="15" t="s">
        <v>3681</v>
      </c>
      <c r="CC161" s="15"/>
      <c r="CD161" s="15" t="s">
        <v>1257</v>
      </c>
      <c r="CE161" s="15" t="s">
        <v>3682</v>
      </c>
      <c r="CF161" s="15" t="s">
        <v>1722</v>
      </c>
      <c r="CG161" s="15" t="s">
        <v>3683</v>
      </c>
      <c r="CH161" s="15" t="s">
        <v>1259</v>
      </c>
      <c r="CI161" s="15" t="s">
        <v>410</v>
      </c>
      <c r="CJ161" s="15" t="s">
        <v>3684</v>
      </c>
      <c r="CK161" s="15" t="s">
        <v>3685</v>
      </c>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5"/>
      <c r="DL161" s="15"/>
      <c r="DM161" s="15"/>
      <c r="DN161" s="15"/>
      <c r="DO161" s="15"/>
      <c r="DP161" s="15"/>
      <c r="DQ161" s="15"/>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t="s">
        <v>526</v>
      </c>
      <c r="EU161" s="15" t="s">
        <v>579</v>
      </c>
      <c r="EV161" s="15" t="s">
        <v>778</v>
      </c>
      <c r="EW161" s="15" t="s">
        <v>3686</v>
      </c>
      <c r="EX161" s="15" t="s">
        <v>3687</v>
      </c>
      <c r="EY161" s="15" t="s">
        <v>3688</v>
      </c>
      <c r="EZ161" s="15" t="s">
        <v>413</v>
      </c>
      <c r="FA161" s="15" t="s">
        <v>413</v>
      </c>
      <c r="FB161" s="15" t="s">
        <v>413</v>
      </c>
      <c r="FC161" s="15" t="s">
        <v>413</v>
      </c>
      <c r="FD161" s="15" t="s">
        <v>413</v>
      </c>
      <c r="FE161" s="15" t="s">
        <v>413</v>
      </c>
      <c r="FF161" s="15" t="s">
        <v>413</v>
      </c>
      <c r="FG161" s="15" t="s">
        <v>416</v>
      </c>
      <c r="FH161" s="15" t="s">
        <v>416</v>
      </c>
      <c r="FI161" s="15" t="s">
        <v>413</v>
      </c>
      <c r="FJ161" s="15" t="s">
        <v>413</v>
      </c>
      <c r="FK161" s="15" t="s">
        <v>413</v>
      </c>
      <c r="FL161" s="15" t="s">
        <v>413</v>
      </c>
      <c r="FM161" s="15" t="s">
        <v>415</v>
      </c>
      <c r="FN161" s="15" t="s">
        <v>413</v>
      </c>
      <c r="FO161" s="15" t="s">
        <v>417</v>
      </c>
      <c r="FP161" s="15" t="s">
        <v>418</v>
      </c>
      <c r="FQ161" s="15" t="s">
        <v>531</v>
      </c>
      <c r="FR161" s="15" t="s">
        <v>3689</v>
      </c>
      <c r="FS161" s="15" t="s">
        <v>420</v>
      </c>
      <c r="FT161" s="15" t="s">
        <v>488</v>
      </c>
      <c r="FU161" s="15" t="s">
        <v>1235</v>
      </c>
      <c r="FV161" s="15" t="s">
        <v>490</v>
      </c>
      <c r="FW161" s="15" t="s">
        <v>491</v>
      </c>
      <c r="FX161" s="15" t="s">
        <v>3690</v>
      </c>
      <c r="FY161" s="15" t="s">
        <v>493</v>
      </c>
      <c r="FZ161" s="15" t="s">
        <v>3691</v>
      </c>
      <c r="GA161" s="15" t="s">
        <v>3692</v>
      </c>
      <c r="GB161" s="15" t="s">
        <v>455</v>
      </c>
      <c r="GC161" s="15"/>
      <c r="GD161" s="15" t="s">
        <v>3693</v>
      </c>
      <c r="GE161" s="15" t="s">
        <v>753</v>
      </c>
      <c r="GF161" s="15" t="s">
        <v>1479</v>
      </c>
      <c r="GG161" s="15"/>
      <c r="GH161" s="15"/>
      <c r="GI161" s="15"/>
      <c r="GJ161" s="15" t="s">
        <v>755</v>
      </c>
      <c r="GK161" s="15" t="s">
        <v>755</v>
      </c>
      <c r="GL161" s="15" t="s">
        <v>946</v>
      </c>
      <c r="GM161" s="15"/>
      <c r="GN161" s="15"/>
      <c r="GO161" s="15"/>
      <c r="GP161" s="15"/>
      <c r="GQ161" s="15" t="s">
        <v>3208</v>
      </c>
      <c r="GR161" s="15"/>
      <c r="GS161" s="15"/>
      <c r="GT161" s="15"/>
      <c r="GU161" s="15"/>
      <c r="GV161" s="15"/>
      <c r="GW161" s="15"/>
      <c r="GX161" s="15"/>
      <c r="GY161" s="15"/>
      <c r="GZ161" s="15"/>
      <c r="HA161" s="15"/>
      <c r="HB161" s="15"/>
      <c r="HC161" s="15"/>
      <c r="HD161" s="15"/>
      <c r="HE161" s="15"/>
      <c r="HF161" s="15"/>
      <c r="HG161" s="15"/>
      <c r="HH161" s="15"/>
      <c r="HI161" s="15"/>
      <c r="HJ161" s="15"/>
      <c r="HK161" s="15"/>
      <c r="HL161" s="15"/>
      <c r="HM161" s="15"/>
      <c r="HN161" s="15"/>
      <c r="HO161" s="15"/>
      <c r="HP161" s="31"/>
      <c r="MX161" s="29" t="s">
        <v>10402</v>
      </c>
      <c r="MY161" s="29" t="str">
        <f>IFERROR(__xludf.DUMMYFUNCTION("""COMPUTED_VALUE"""),"Virginia")</f>
        <v>Virginia</v>
      </c>
    </row>
    <row r="162" ht="16.5" customHeight="1">
      <c r="A162" s="30">
        <v>45831.46863284722</v>
      </c>
      <c r="B162" s="15" t="s">
        <v>368</v>
      </c>
      <c r="C162" s="15" t="s">
        <v>370</v>
      </c>
      <c r="D162" s="15"/>
      <c r="E162" s="15" t="s">
        <v>1875</v>
      </c>
      <c r="F162" s="15"/>
      <c r="G162" s="15" t="s">
        <v>422</v>
      </c>
      <c r="H162" s="15" t="s">
        <v>496</v>
      </c>
      <c r="I162" s="15" t="s">
        <v>374</v>
      </c>
      <c r="J162" s="15" t="s">
        <v>375</v>
      </c>
      <c r="K162" s="15" t="s">
        <v>376</v>
      </c>
      <c r="L162" s="15" t="s">
        <v>379</v>
      </c>
      <c r="M162" s="15" t="s">
        <v>541</v>
      </c>
      <c r="N162" s="15" t="s">
        <v>591</v>
      </c>
      <c r="O162" s="15" t="s">
        <v>671</v>
      </c>
      <c r="P162" s="15" t="s">
        <v>498</v>
      </c>
      <c r="Q162" s="15" t="s">
        <v>1156</v>
      </c>
      <c r="R162" s="15" t="s">
        <v>427</v>
      </c>
      <c r="S162" s="15" t="s">
        <v>384</v>
      </c>
      <c r="T162" s="15" t="s">
        <v>385</v>
      </c>
      <c r="U162" s="15"/>
      <c r="V162" s="15"/>
      <c r="W162" s="15" t="s">
        <v>593</v>
      </c>
      <c r="X162" s="15" t="s">
        <v>387</v>
      </c>
      <c r="Y162" s="15" t="s">
        <v>1444</v>
      </c>
      <c r="Z162" s="15" t="s">
        <v>502</v>
      </c>
      <c r="AA162" s="15" t="s">
        <v>3694</v>
      </c>
      <c r="AB162" s="15" t="s">
        <v>3695</v>
      </c>
      <c r="AC162" s="15"/>
      <c r="AD162" s="15"/>
      <c r="AE162" s="15"/>
      <c r="AF162" s="15"/>
      <c r="AG162" s="15"/>
      <c r="AH162" s="15"/>
      <c r="AI162" s="15"/>
      <c r="AJ162" s="15"/>
      <c r="AK162" s="15"/>
      <c r="AL162" s="15"/>
      <c r="AM162" s="15"/>
      <c r="AN162" s="15"/>
      <c r="AO162" s="15"/>
      <c r="AP162" s="15"/>
      <c r="AQ162" s="15"/>
      <c r="AR162" s="15"/>
      <c r="AS162" s="15"/>
      <c r="AT162" s="15"/>
      <c r="AU162" s="15"/>
      <c r="AV162" s="15" t="s">
        <v>504</v>
      </c>
      <c r="AW162" s="15">
        <v>2.0</v>
      </c>
      <c r="AX162" s="15">
        <v>2.0</v>
      </c>
      <c r="AY162" s="15" t="s">
        <v>391</v>
      </c>
      <c r="AZ162" s="15">
        <v>2.0</v>
      </c>
      <c r="BA162" s="15" t="s">
        <v>429</v>
      </c>
      <c r="BB162" s="15" t="s">
        <v>429</v>
      </c>
      <c r="BC162" s="15" t="s">
        <v>3696</v>
      </c>
      <c r="BD162" s="15" t="s">
        <v>3697</v>
      </c>
      <c r="BE162" s="15" t="s">
        <v>432</v>
      </c>
      <c r="BF162" s="15" t="s">
        <v>433</v>
      </c>
      <c r="BG162" s="15" t="s">
        <v>765</v>
      </c>
      <c r="BH162" s="15" t="s">
        <v>3698</v>
      </c>
      <c r="BI162" s="15" t="s">
        <v>509</v>
      </c>
      <c r="BJ162" s="15" t="s">
        <v>3699</v>
      </c>
      <c r="BK162" s="15" t="s">
        <v>3700</v>
      </c>
      <c r="BL162" s="15" t="s">
        <v>512</v>
      </c>
      <c r="BM162" s="15" t="s">
        <v>439</v>
      </c>
      <c r="BN162" s="15" t="s">
        <v>440</v>
      </c>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t="s">
        <v>441</v>
      </c>
      <c r="CM162" s="15" t="s">
        <v>401</v>
      </c>
      <c r="CN162" s="15" t="s">
        <v>3701</v>
      </c>
      <c r="CO162" s="15" t="s">
        <v>3702</v>
      </c>
      <c r="CP162" s="15" t="s">
        <v>445</v>
      </c>
      <c r="CQ162" s="15" t="s">
        <v>3703</v>
      </c>
      <c r="CR162" s="15" t="s">
        <v>447</v>
      </c>
      <c r="CS162" s="15" t="s">
        <v>3704</v>
      </c>
      <c r="CT162" s="15" t="s">
        <v>3705</v>
      </c>
      <c r="CU162" s="15" t="s">
        <v>450</v>
      </c>
      <c r="CV162" s="15" t="s">
        <v>451</v>
      </c>
      <c r="CW162" s="15" t="s">
        <v>3706</v>
      </c>
      <c r="CX162" s="15" t="s">
        <v>455</v>
      </c>
      <c r="CY162" s="15" t="s">
        <v>3707</v>
      </c>
      <c r="CZ162" s="15" t="s">
        <v>453</v>
      </c>
      <c r="DA162" s="15" t="s">
        <v>3708</v>
      </c>
      <c r="DB162" s="15" t="s">
        <v>455</v>
      </c>
      <c r="DC162" s="15" t="s">
        <v>3709</v>
      </c>
      <c r="DD162" s="15" t="s">
        <v>406</v>
      </c>
      <c r="DE162" s="15" t="s">
        <v>407</v>
      </c>
      <c r="DF162" s="15" t="s">
        <v>3710</v>
      </c>
      <c r="DG162" s="15" t="s">
        <v>524</v>
      </c>
      <c r="DH162" s="15" t="s">
        <v>410</v>
      </c>
      <c r="DI162" s="15" t="s">
        <v>459</v>
      </c>
      <c r="DJ162" s="15" t="s">
        <v>460</v>
      </c>
      <c r="DK162" s="15" t="s">
        <v>461</v>
      </c>
      <c r="DL162" s="15"/>
      <c r="DM162" s="15" t="s">
        <v>3711</v>
      </c>
      <c r="DN162" s="15" t="s">
        <v>3712</v>
      </c>
      <c r="DO162" s="15" t="s">
        <v>567</v>
      </c>
      <c r="DP162" s="15" t="s">
        <v>3713</v>
      </c>
      <c r="DQ162" s="15" t="s">
        <v>466</v>
      </c>
      <c r="DR162" s="15" t="s">
        <v>3714</v>
      </c>
      <c r="DS162" s="15" t="s">
        <v>468</v>
      </c>
      <c r="DT162" s="15" t="s">
        <v>570</v>
      </c>
      <c r="DU162" s="15" t="s">
        <v>3715</v>
      </c>
      <c r="DV162" s="15" t="s">
        <v>3716</v>
      </c>
      <c r="DW162" s="15" t="s">
        <v>622</v>
      </c>
      <c r="DX162" s="15" t="s">
        <v>3717</v>
      </c>
      <c r="DY162" s="15" t="s">
        <v>3718</v>
      </c>
      <c r="DZ162" s="15" t="s">
        <v>3719</v>
      </c>
      <c r="EA162" s="15" t="s">
        <v>475</v>
      </c>
      <c r="EB162" s="15"/>
      <c r="EC162" s="15" t="s">
        <v>3720</v>
      </c>
      <c r="ED162" s="15"/>
      <c r="EE162" s="15"/>
      <c r="EF162" s="15"/>
      <c r="EG162" s="15"/>
      <c r="EH162" s="15"/>
      <c r="EI162" s="15"/>
      <c r="EJ162" s="15"/>
      <c r="EK162" s="15"/>
      <c r="EL162" s="15"/>
      <c r="EM162" s="15"/>
      <c r="EN162" s="15"/>
      <c r="EO162" s="15"/>
      <c r="EP162" s="15"/>
      <c r="EQ162" s="15"/>
      <c r="ER162" s="15"/>
      <c r="ES162" s="15"/>
      <c r="ET162" s="15" t="s">
        <v>526</v>
      </c>
      <c r="EU162" s="15" t="s">
        <v>479</v>
      </c>
      <c r="EV162" s="15" t="s">
        <v>527</v>
      </c>
      <c r="EW162" s="15" t="s">
        <v>3721</v>
      </c>
      <c r="EX162" s="15" t="s">
        <v>3722</v>
      </c>
      <c r="EY162" s="15" t="s">
        <v>3723</v>
      </c>
      <c r="EZ162" s="15" t="s">
        <v>583</v>
      </c>
      <c r="FA162" s="15" t="s">
        <v>583</v>
      </c>
      <c r="FB162" s="15" t="s">
        <v>415</v>
      </c>
      <c r="FC162" s="15" t="s">
        <v>583</v>
      </c>
      <c r="FD162" s="15" t="s">
        <v>416</v>
      </c>
      <c r="FE162" s="15" t="s">
        <v>583</v>
      </c>
      <c r="FF162" s="15" t="s">
        <v>415</v>
      </c>
      <c r="FG162" s="15" t="s">
        <v>583</v>
      </c>
      <c r="FH162" s="15" t="s">
        <v>416</v>
      </c>
      <c r="FI162" s="15" t="s">
        <v>583</v>
      </c>
      <c r="FJ162" s="15" t="s">
        <v>583</v>
      </c>
      <c r="FK162" s="15" t="s">
        <v>583</v>
      </c>
      <c r="FL162" s="15" t="s">
        <v>583</v>
      </c>
      <c r="FM162" s="15" t="s">
        <v>416</v>
      </c>
      <c r="FN162" s="15" t="s">
        <v>583</v>
      </c>
      <c r="FO162" s="15" t="s">
        <v>417</v>
      </c>
      <c r="FP162" s="15" t="s">
        <v>486</v>
      </c>
      <c r="FQ162" s="15" t="s">
        <v>630</v>
      </c>
      <c r="FR162" s="15" t="s">
        <v>3724</v>
      </c>
      <c r="FS162" s="15" t="s">
        <v>420</v>
      </c>
      <c r="FT162" s="15" t="s">
        <v>1462</v>
      </c>
      <c r="FU162" s="15" t="s">
        <v>533</v>
      </c>
      <c r="FV162" s="15" t="s">
        <v>490</v>
      </c>
      <c r="FW162" s="15" t="s">
        <v>491</v>
      </c>
      <c r="FX162" s="15" t="s">
        <v>3725</v>
      </c>
      <c r="FY162" s="15" t="s">
        <v>493</v>
      </c>
      <c r="FZ162" s="15"/>
      <c r="GA162" s="15"/>
      <c r="GB162" s="15" t="s">
        <v>455</v>
      </c>
      <c r="GC162" s="15"/>
      <c r="GD162" s="15"/>
      <c r="GE162" s="15" t="s">
        <v>753</v>
      </c>
      <c r="GF162" s="15"/>
      <c r="GG162" s="15" t="s">
        <v>1000</v>
      </c>
      <c r="GH162" s="15" t="s">
        <v>1000</v>
      </c>
      <c r="GI162" s="15" t="s">
        <v>946</v>
      </c>
      <c r="GJ162" s="15"/>
      <c r="GK162" s="15"/>
      <c r="GL162" s="15"/>
      <c r="GM162" s="15" t="s">
        <v>1079</v>
      </c>
      <c r="GN162" s="15"/>
      <c r="GO162" s="15"/>
      <c r="GP162" s="15"/>
      <c r="GQ162" s="15" t="s">
        <v>3273</v>
      </c>
      <c r="GR162" s="15"/>
      <c r="GS162" s="15"/>
      <c r="GT162" s="15"/>
      <c r="GU162" s="15"/>
      <c r="GV162" s="15"/>
      <c r="GW162" s="15"/>
      <c r="GX162" s="15"/>
      <c r="GY162" s="15"/>
      <c r="GZ162" s="15"/>
      <c r="HA162" s="15"/>
      <c r="HB162" s="15"/>
      <c r="HC162" s="15"/>
      <c r="HD162" s="15"/>
      <c r="HE162" s="15"/>
      <c r="HF162" s="15"/>
      <c r="HG162" s="15"/>
      <c r="HH162" s="15"/>
      <c r="HI162" s="15"/>
      <c r="HJ162" s="15"/>
      <c r="HK162" s="15"/>
      <c r="HL162" s="15"/>
      <c r="HM162" s="15"/>
      <c r="HN162" s="15"/>
      <c r="HO162" s="15"/>
      <c r="HP162" s="31"/>
      <c r="MX162" s="29" t="s">
        <v>894</v>
      </c>
      <c r="MY162" s="29" t="str">
        <f>IFERROR(__xludf.DUMMYFUNCTION("""COMPUTED_VALUE"""),"Ontario")</f>
        <v>Ontario</v>
      </c>
    </row>
    <row r="163" ht="16.5" customHeight="1">
      <c r="A163" s="30">
        <v>45831.47309501158</v>
      </c>
      <c r="B163" s="15" t="s">
        <v>368</v>
      </c>
      <c r="C163" s="15" t="s">
        <v>894</v>
      </c>
      <c r="D163" s="15" t="s">
        <v>894</v>
      </c>
      <c r="E163" s="15"/>
      <c r="F163" s="15"/>
      <c r="G163" s="15" t="s">
        <v>2295</v>
      </c>
      <c r="H163" s="15" t="s">
        <v>373</v>
      </c>
      <c r="I163" s="15" t="s">
        <v>374</v>
      </c>
      <c r="J163" s="15" t="s">
        <v>425</v>
      </c>
      <c r="K163" s="15" t="s">
        <v>376</v>
      </c>
      <c r="L163" s="15" t="s">
        <v>379</v>
      </c>
      <c r="M163" s="15" t="s">
        <v>3726</v>
      </c>
      <c r="N163" s="15" t="s">
        <v>379</v>
      </c>
      <c r="O163" s="15" t="s">
        <v>3727</v>
      </c>
      <c r="P163" s="15" t="s">
        <v>381</v>
      </c>
      <c r="Q163" s="15" t="s">
        <v>499</v>
      </c>
      <c r="R163" s="15" t="s">
        <v>641</v>
      </c>
      <c r="S163" s="15" t="s">
        <v>3728</v>
      </c>
      <c r="T163" s="15" t="s">
        <v>385</v>
      </c>
      <c r="U163" s="15" t="s">
        <v>896</v>
      </c>
      <c r="V163" s="15" t="s">
        <v>896</v>
      </c>
      <c r="W163" s="15" t="s">
        <v>386</v>
      </c>
      <c r="X163" s="15" t="s">
        <v>387</v>
      </c>
      <c r="Y163" s="15" t="s">
        <v>388</v>
      </c>
      <c r="Z163" s="15" t="s">
        <v>543</v>
      </c>
      <c r="AA163" s="15" t="s">
        <v>3729</v>
      </c>
      <c r="AB163" s="15"/>
      <c r="AC163" s="15"/>
      <c r="AD163" s="15"/>
      <c r="AE163" s="15"/>
      <c r="AF163" s="15"/>
      <c r="AG163" s="15"/>
      <c r="AH163" s="15"/>
      <c r="AI163" s="15"/>
      <c r="AJ163" s="15"/>
      <c r="AK163" s="15"/>
      <c r="AL163" s="15"/>
      <c r="AM163" s="15"/>
      <c r="AN163" s="15"/>
      <c r="AO163" s="15"/>
      <c r="AP163" s="15"/>
      <c r="AQ163" s="15"/>
      <c r="AR163" s="15"/>
      <c r="AS163" s="15"/>
      <c r="AT163" s="15"/>
      <c r="AU163" s="15"/>
      <c r="AV163" s="15" t="s">
        <v>390</v>
      </c>
      <c r="AW163" s="15" t="s">
        <v>391</v>
      </c>
      <c r="AX163" s="15">
        <v>2.0</v>
      </c>
      <c r="AY163" s="15" t="s">
        <v>429</v>
      </c>
      <c r="AZ163" s="15" t="s">
        <v>391</v>
      </c>
      <c r="BA163" s="15">
        <v>2.0</v>
      </c>
      <c r="BB163" s="15">
        <v>2.0</v>
      </c>
      <c r="BC163" s="15" t="s">
        <v>3730</v>
      </c>
      <c r="BD163" s="15" t="s">
        <v>3731</v>
      </c>
      <c r="BE163" s="15" t="s">
        <v>432</v>
      </c>
      <c r="BF163" s="15" t="s">
        <v>433</v>
      </c>
      <c r="BG163" s="15" t="s">
        <v>678</v>
      </c>
      <c r="BH163" s="15" t="s">
        <v>3732</v>
      </c>
      <c r="BI163" s="15" t="s">
        <v>824</v>
      </c>
      <c r="BJ163" s="15"/>
      <c r="BK163" s="15" t="s">
        <v>437</v>
      </c>
      <c r="BL163" s="15" t="s">
        <v>396</v>
      </c>
      <c r="BM163" s="15" t="s">
        <v>549</v>
      </c>
      <c r="BN163" s="15" t="s">
        <v>440</v>
      </c>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t="s">
        <v>441</v>
      </c>
      <c r="CM163" s="15" t="s">
        <v>401</v>
      </c>
      <c r="CN163" s="15" t="s">
        <v>3733</v>
      </c>
      <c r="CO163" s="15" t="s">
        <v>3734</v>
      </c>
      <c r="CP163" s="15" t="s">
        <v>445</v>
      </c>
      <c r="CQ163" s="15" t="s">
        <v>3735</v>
      </c>
      <c r="CR163" s="15" t="s">
        <v>804</v>
      </c>
      <c r="CS163" s="15" t="s">
        <v>3736</v>
      </c>
      <c r="CT163" s="15" t="s">
        <v>3737</v>
      </c>
      <c r="CU163" s="15" t="s">
        <v>519</v>
      </c>
      <c r="CV163" s="15" t="s">
        <v>451</v>
      </c>
      <c r="CW163" s="15" t="s">
        <v>3738</v>
      </c>
      <c r="CX163" s="15" t="s">
        <v>408</v>
      </c>
      <c r="CY163" s="15"/>
      <c r="CZ163" s="15" t="s">
        <v>985</v>
      </c>
      <c r="DA163" s="15" t="s">
        <v>3739</v>
      </c>
      <c r="DB163" s="15" t="s">
        <v>455</v>
      </c>
      <c r="DC163" s="15" t="s">
        <v>3740</v>
      </c>
      <c r="DD163" s="15" t="s">
        <v>457</v>
      </c>
      <c r="DE163" s="15"/>
      <c r="DF163" s="15" t="s">
        <v>3741</v>
      </c>
      <c r="DG163" s="15" t="s">
        <v>524</v>
      </c>
      <c r="DH163" s="15" t="s">
        <v>410</v>
      </c>
      <c r="DI163" s="15" t="s">
        <v>459</v>
      </c>
      <c r="DJ163" s="15" t="s">
        <v>460</v>
      </c>
      <c r="DK163" s="15" t="s">
        <v>461</v>
      </c>
      <c r="DL163" s="15"/>
      <c r="DM163" s="15" t="s">
        <v>3742</v>
      </c>
      <c r="DN163" s="15" t="s">
        <v>3743</v>
      </c>
      <c r="DO163" s="15" t="s">
        <v>567</v>
      </c>
      <c r="DP163" s="15" t="s">
        <v>3744</v>
      </c>
      <c r="DQ163" s="15" t="s">
        <v>700</v>
      </c>
      <c r="DR163" s="15" t="s">
        <v>3745</v>
      </c>
      <c r="DS163" s="15" t="s">
        <v>702</v>
      </c>
      <c r="DT163" s="15" t="s">
        <v>3611</v>
      </c>
      <c r="DU163" s="15" t="s">
        <v>3746</v>
      </c>
      <c r="DV163" s="15" t="s">
        <v>3747</v>
      </c>
      <c r="DW163" s="15" t="s">
        <v>622</v>
      </c>
      <c r="DX163" s="15" t="s">
        <v>3748</v>
      </c>
      <c r="DY163" s="15" t="s">
        <v>3749</v>
      </c>
      <c r="DZ163" s="15" t="s">
        <v>3750</v>
      </c>
      <c r="EA163" s="15" t="s">
        <v>475</v>
      </c>
      <c r="EB163" s="15" t="s">
        <v>626</v>
      </c>
      <c r="EC163" s="15"/>
      <c r="ED163" s="15"/>
      <c r="EE163" s="15"/>
      <c r="EF163" s="15"/>
      <c r="EG163" s="15"/>
      <c r="EH163" s="15"/>
      <c r="EI163" s="15"/>
      <c r="EJ163" s="15"/>
      <c r="EK163" s="15"/>
      <c r="EL163" s="15"/>
      <c r="EM163" s="15"/>
      <c r="EN163" s="15"/>
      <c r="EO163" s="15"/>
      <c r="EP163" s="15"/>
      <c r="EQ163" s="15"/>
      <c r="ER163" s="15"/>
      <c r="ES163" s="15"/>
      <c r="ET163" s="15" t="s">
        <v>526</v>
      </c>
      <c r="EU163" s="15" t="s">
        <v>479</v>
      </c>
      <c r="EV163" s="15" t="s">
        <v>663</v>
      </c>
      <c r="EW163" s="15"/>
      <c r="EX163" s="15" t="s">
        <v>3751</v>
      </c>
      <c r="EY163" s="15" t="s">
        <v>3752</v>
      </c>
      <c r="EZ163" s="15" t="s">
        <v>583</v>
      </c>
      <c r="FA163" s="15" t="s">
        <v>583</v>
      </c>
      <c r="FB163" s="15" t="s">
        <v>414</v>
      </c>
      <c r="FC163" s="15" t="s">
        <v>583</v>
      </c>
      <c r="FD163" s="15" t="s">
        <v>415</v>
      </c>
      <c r="FE163" s="15" t="s">
        <v>583</v>
      </c>
      <c r="FF163" s="15" t="s">
        <v>415</v>
      </c>
      <c r="FG163" s="15" t="s">
        <v>583</v>
      </c>
      <c r="FH163" s="15" t="s">
        <v>583</v>
      </c>
      <c r="FI163" s="15" t="s">
        <v>583</v>
      </c>
      <c r="FJ163" s="15" t="s">
        <v>414</v>
      </c>
      <c r="FK163" s="15" t="s">
        <v>583</v>
      </c>
      <c r="FL163" s="15" t="s">
        <v>414</v>
      </c>
      <c r="FM163" s="15" t="s">
        <v>414</v>
      </c>
      <c r="FN163" s="15" t="s">
        <v>414</v>
      </c>
      <c r="FO163" s="15" t="s">
        <v>485</v>
      </c>
      <c r="FP163" s="15" t="s">
        <v>418</v>
      </c>
      <c r="FQ163" s="15" t="s">
        <v>419</v>
      </c>
      <c r="FR163" s="15" t="s">
        <v>3753</v>
      </c>
      <c r="FS163" s="15" t="s">
        <v>420</v>
      </c>
      <c r="FT163" s="15" t="s">
        <v>488</v>
      </c>
      <c r="FU163" s="15" t="s">
        <v>585</v>
      </c>
      <c r="FV163" s="15" t="s">
        <v>490</v>
      </c>
      <c r="FW163" s="15" t="s">
        <v>491</v>
      </c>
      <c r="FX163" s="15" t="s">
        <v>3754</v>
      </c>
      <c r="FY163" s="15" t="s">
        <v>493</v>
      </c>
      <c r="FZ163" s="15"/>
      <c r="GA163" s="15" t="s">
        <v>3755</v>
      </c>
      <c r="GB163" s="15" t="s">
        <v>455</v>
      </c>
      <c r="GC163" s="15"/>
      <c r="GD163" s="15"/>
      <c r="GE163" s="15" t="s">
        <v>944</v>
      </c>
      <c r="GF163" s="15" t="s">
        <v>3756</v>
      </c>
      <c r="GG163" s="15" t="s">
        <v>755</v>
      </c>
      <c r="GH163" s="15" t="s">
        <v>755</v>
      </c>
      <c r="GI163" s="15" t="s">
        <v>817</v>
      </c>
      <c r="GJ163" s="15"/>
      <c r="GK163" s="15"/>
      <c r="GL163" s="15"/>
      <c r="GM163" s="15" t="s">
        <v>1079</v>
      </c>
      <c r="GN163" s="15"/>
      <c r="GO163" s="15"/>
      <c r="GP163" s="15"/>
      <c r="GQ163" s="15" t="s">
        <v>3757</v>
      </c>
      <c r="GR163" s="15"/>
      <c r="GS163" s="15"/>
      <c r="GT163" s="15"/>
      <c r="GU163" s="15"/>
      <c r="GV163" s="15"/>
      <c r="GW163" s="15"/>
      <c r="GX163" s="15"/>
      <c r="GY163" s="15"/>
      <c r="GZ163" s="15"/>
      <c r="HA163" s="15"/>
      <c r="HB163" s="15"/>
      <c r="HC163" s="15"/>
      <c r="HD163" s="15"/>
      <c r="HE163" s="15"/>
      <c r="HF163" s="15"/>
      <c r="HG163" s="15"/>
      <c r="HH163" s="15"/>
      <c r="HI163" s="15"/>
      <c r="HJ163" s="15"/>
      <c r="HK163" s="15"/>
      <c r="HL163" s="15"/>
      <c r="HM163" s="15"/>
      <c r="HN163" s="15"/>
      <c r="HO163" s="15"/>
      <c r="HP163" s="31"/>
      <c r="MX163" s="29" t="s">
        <v>10402</v>
      </c>
      <c r="MY163" s="29" t="str">
        <f>IFERROR(__xludf.DUMMYFUNCTION("""COMPUTED_VALUE"""),"Washington")</f>
        <v>Washington</v>
      </c>
    </row>
    <row r="164" ht="16.5" customHeight="1">
      <c r="A164" s="30">
        <v>45831.54904612269</v>
      </c>
      <c r="B164" s="15" t="s">
        <v>368</v>
      </c>
      <c r="C164" s="15" t="s">
        <v>370</v>
      </c>
      <c r="D164" s="15"/>
      <c r="E164" s="15" t="s">
        <v>1421</v>
      </c>
      <c r="F164" s="15"/>
      <c r="G164" s="15" t="s">
        <v>422</v>
      </c>
      <c r="H164" s="15" t="s">
        <v>539</v>
      </c>
      <c r="I164" s="15" t="s">
        <v>374</v>
      </c>
      <c r="J164" s="15" t="s">
        <v>425</v>
      </c>
      <c r="K164" s="15" t="s">
        <v>376</v>
      </c>
      <c r="L164" s="15" t="s">
        <v>793</v>
      </c>
      <c r="M164" s="15" t="s">
        <v>639</v>
      </c>
      <c r="N164" s="15" t="s">
        <v>591</v>
      </c>
      <c r="O164" s="15" t="s">
        <v>719</v>
      </c>
      <c r="P164" s="15" t="s">
        <v>498</v>
      </c>
      <c r="Q164" s="15" t="s">
        <v>862</v>
      </c>
      <c r="R164" s="15" t="s">
        <v>949</v>
      </c>
      <c r="S164" s="15" t="s">
        <v>384</v>
      </c>
      <c r="T164" s="15" t="s">
        <v>385</v>
      </c>
      <c r="U164" s="15"/>
      <c r="V164" s="15"/>
      <c r="W164" s="15" t="s">
        <v>3014</v>
      </c>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t="s">
        <v>597</v>
      </c>
      <c r="AW164" s="15" t="s">
        <v>675</v>
      </c>
      <c r="AX164" s="15">
        <v>4.0</v>
      </c>
      <c r="AY164" s="15" t="s">
        <v>391</v>
      </c>
      <c r="AZ164" s="15">
        <v>4.0</v>
      </c>
      <c r="BA164" s="15" t="s">
        <v>675</v>
      </c>
      <c r="BB164" s="15" t="s">
        <v>675</v>
      </c>
      <c r="BC164" s="15" t="s">
        <v>3758</v>
      </c>
      <c r="BD164" s="15" t="s">
        <v>3759</v>
      </c>
      <c r="BE164" s="15" t="s">
        <v>902</v>
      </c>
      <c r="BF164" s="15" t="s">
        <v>1095</v>
      </c>
      <c r="BG164" s="15" t="s">
        <v>394</v>
      </c>
      <c r="BH164" s="15" t="s">
        <v>3760</v>
      </c>
      <c r="BI164" s="15" t="s">
        <v>976</v>
      </c>
      <c r="BJ164" s="15"/>
      <c r="BK164" s="15" t="s">
        <v>437</v>
      </c>
      <c r="BL164" s="15" t="s">
        <v>603</v>
      </c>
      <c r="BM164" s="15" t="s">
        <v>1314</v>
      </c>
      <c r="BN164" s="15" t="s">
        <v>398</v>
      </c>
      <c r="BO164" s="15" t="s">
        <v>3761</v>
      </c>
      <c r="BP164" s="15" t="s">
        <v>3762</v>
      </c>
      <c r="BQ164" s="15" t="s">
        <v>442</v>
      </c>
      <c r="BR164" s="15" t="s">
        <v>3763</v>
      </c>
      <c r="BS164" s="15" t="s">
        <v>1741</v>
      </c>
      <c r="BT164" s="15" t="s">
        <v>1672</v>
      </c>
      <c r="BU164" s="15" t="s">
        <v>1693</v>
      </c>
      <c r="BV164" s="15" t="s">
        <v>3764</v>
      </c>
      <c r="BW164" s="15" t="s">
        <v>457</v>
      </c>
      <c r="BX164" s="15"/>
      <c r="BY164" s="15" t="s">
        <v>408</v>
      </c>
      <c r="BZ164" s="15"/>
      <c r="CA164" s="15" t="s">
        <v>3765</v>
      </c>
      <c r="CB164" s="15" t="s">
        <v>3766</v>
      </c>
      <c r="CC164" s="15" t="s">
        <v>3767</v>
      </c>
      <c r="CD164" s="15" t="s">
        <v>451</v>
      </c>
      <c r="CE164" s="15" t="s">
        <v>3768</v>
      </c>
      <c r="CF164" s="15" t="s">
        <v>1722</v>
      </c>
      <c r="CG164" s="15" t="s">
        <v>3769</v>
      </c>
      <c r="CH164" s="15" t="s">
        <v>1679</v>
      </c>
      <c r="CI164" s="15" t="s">
        <v>410</v>
      </c>
      <c r="CJ164" s="15" t="s">
        <v>3770</v>
      </c>
      <c r="CK164" s="15" t="s">
        <v>3771</v>
      </c>
      <c r="CL164" s="15"/>
      <c r="CM164" s="15"/>
      <c r="CN164" s="15"/>
      <c r="CO164" s="15"/>
      <c r="CP164" s="15"/>
      <c r="CQ164" s="15"/>
      <c r="CR164" s="15"/>
      <c r="CS164" s="15"/>
      <c r="CT164" s="15"/>
      <c r="CU164" s="15"/>
      <c r="CV164" s="15"/>
      <c r="CW164" s="15"/>
      <c r="CX164" s="15"/>
      <c r="CY164" s="15"/>
      <c r="CZ164" s="15"/>
      <c r="DA164" s="15"/>
      <c r="DB164" s="15"/>
      <c r="DC164" s="15"/>
      <c r="DD164" s="15"/>
      <c r="DE164" s="15"/>
      <c r="DF164" s="15"/>
      <c r="DG164" s="15"/>
      <c r="DH164" s="15"/>
      <c r="DI164" s="15"/>
      <c r="DJ164" s="15"/>
      <c r="DK164" s="15"/>
      <c r="DL164" s="15"/>
      <c r="DM164" s="15"/>
      <c r="DN164" s="15"/>
      <c r="DO164" s="15"/>
      <c r="DP164" s="15"/>
      <c r="DQ164" s="15"/>
      <c r="DR164" s="15"/>
      <c r="DS164" s="15"/>
      <c r="DT164" s="15"/>
      <c r="DU164" s="15"/>
      <c r="DV164" s="15"/>
      <c r="DW164" s="15"/>
      <c r="DX164" s="15"/>
      <c r="DY164" s="15"/>
      <c r="DZ164" s="15"/>
      <c r="EA164" s="15"/>
      <c r="EB164" s="15"/>
      <c r="EC164" s="15"/>
      <c r="ED164" s="15"/>
      <c r="EE164" s="15"/>
      <c r="EF164" s="15"/>
      <c r="EG164" s="15"/>
      <c r="EH164" s="15"/>
      <c r="EI164" s="15"/>
      <c r="EJ164" s="15"/>
      <c r="EK164" s="15"/>
      <c r="EL164" s="15"/>
      <c r="EM164" s="15"/>
      <c r="EN164" s="15"/>
      <c r="EO164" s="15"/>
      <c r="EP164" s="15"/>
      <c r="EQ164" s="15"/>
      <c r="ER164" s="15"/>
      <c r="ES164" s="15"/>
      <c r="ET164" s="15" t="s">
        <v>578</v>
      </c>
      <c r="EU164" s="15" t="s">
        <v>479</v>
      </c>
      <c r="EV164" s="15" t="s">
        <v>480</v>
      </c>
      <c r="EW164" s="15" t="s">
        <v>3772</v>
      </c>
      <c r="EX164" s="15" t="s">
        <v>3773</v>
      </c>
      <c r="EY164" s="15" t="s">
        <v>3774</v>
      </c>
      <c r="EZ164" s="15" t="s">
        <v>583</v>
      </c>
      <c r="FA164" s="15" t="s">
        <v>583</v>
      </c>
      <c r="FB164" s="15" t="s">
        <v>583</v>
      </c>
      <c r="FC164" s="15" t="s">
        <v>583</v>
      </c>
      <c r="FD164" s="15" t="s">
        <v>416</v>
      </c>
      <c r="FE164" s="15" t="s">
        <v>583</v>
      </c>
      <c r="FF164" s="15" t="s">
        <v>583</v>
      </c>
      <c r="FG164" s="15" t="s">
        <v>413</v>
      </c>
      <c r="FH164" s="15" t="s">
        <v>583</v>
      </c>
      <c r="FI164" s="15" t="s">
        <v>414</v>
      </c>
      <c r="FJ164" s="15" t="s">
        <v>414</v>
      </c>
      <c r="FK164" s="15" t="s">
        <v>413</v>
      </c>
      <c r="FL164" s="15" t="s">
        <v>413</v>
      </c>
      <c r="FM164" s="15" t="s">
        <v>413</v>
      </c>
      <c r="FN164" s="15" t="s">
        <v>583</v>
      </c>
      <c r="FO164" s="15" t="s">
        <v>417</v>
      </c>
      <c r="FP164" s="15" t="s">
        <v>418</v>
      </c>
      <c r="FQ164" s="15" t="s">
        <v>419</v>
      </c>
      <c r="FR164" s="15" t="s">
        <v>3775</v>
      </c>
      <c r="FS164" s="15" t="s">
        <v>420</v>
      </c>
      <c r="FT164" s="15" t="s">
        <v>488</v>
      </c>
      <c r="FU164" s="15" t="s">
        <v>489</v>
      </c>
      <c r="FV164" s="15" t="s">
        <v>490</v>
      </c>
      <c r="FW164" s="15" t="s">
        <v>491</v>
      </c>
      <c r="FX164" s="15" t="s">
        <v>3776</v>
      </c>
      <c r="FY164" s="15" t="s">
        <v>535</v>
      </c>
      <c r="FZ164" s="15" t="s">
        <v>3777</v>
      </c>
      <c r="GA164" s="15"/>
      <c r="GB164" s="15" t="s">
        <v>408</v>
      </c>
      <c r="GC164" s="15"/>
      <c r="GD164" s="15"/>
      <c r="GE164" s="15"/>
      <c r="GF164" s="15"/>
      <c r="GG164" s="15"/>
      <c r="GH164" s="15"/>
      <c r="GI164" s="15"/>
      <c r="GJ164" s="15" t="s">
        <v>755</v>
      </c>
      <c r="GK164" s="15" t="s">
        <v>755</v>
      </c>
      <c r="GL164" s="15" t="s">
        <v>817</v>
      </c>
      <c r="GM164" s="15"/>
      <c r="GN164" s="15"/>
      <c r="GO164" s="15"/>
      <c r="GP164" s="15"/>
      <c r="GQ164" s="15" t="s">
        <v>3351</v>
      </c>
      <c r="GR164" s="15"/>
      <c r="GS164" s="15"/>
      <c r="GT164" s="15"/>
      <c r="GU164" s="15"/>
      <c r="GV164" s="15"/>
      <c r="GW164" s="15"/>
      <c r="GX164" s="15"/>
      <c r="GY164" s="15"/>
      <c r="GZ164" s="15"/>
      <c r="HA164" s="15"/>
      <c r="HB164" s="15"/>
      <c r="HC164" s="15"/>
      <c r="HD164" s="15"/>
      <c r="HE164" s="15"/>
      <c r="HF164" s="15"/>
      <c r="HG164" s="15"/>
      <c r="HH164" s="15"/>
      <c r="HI164" s="15"/>
      <c r="HJ164" s="15"/>
      <c r="HK164" s="15"/>
      <c r="HL164" s="15"/>
      <c r="HM164" s="15"/>
      <c r="HN164" s="15"/>
      <c r="HO164" s="15"/>
      <c r="HP164" s="31"/>
      <c r="MX164" s="29" t="s">
        <v>10402</v>
      </c>
      <c r="MY164" s="29" t="str">
        <f>IFERROR(__xludf.DUMMYFUNCTION("""COMPUTED_VALUE"""),"Massachusetts")</f>
        <v>Massachusetts</v>
      </c>
    </row>
    <row r="165" ht="16.5" customHeight="1">
      <c r="A165" s="30">
        <v>45831.615562349536</v>
      </c>
      <c r="B165" s="15" t="s">
        <v>368</v>
      </c>
      <c r="C165" s="15" t="s">
        <v>370</v>
      </c>
      <c r="D165" s="15"/>
      <c r="E165" s="15" t="s">
        <v>1001</v>
      </c>
      <c r="F165" s="15"/>
      <c r="G165" s="15" t="s">
        <v>422</v>
      </c>
      <c r="H165" s="15" t="s">
        <v>496</v>
      </c>
      <c r="I165" s="15" t="s">
        <v>2578</v>
      </c>
      <c r="J165" s="15" t="s">
        <v>375</v>
      </c>
      <c r="K165" s="15" t="s">
        <v>376</v>
      </c>
      <c r="L165" s="15" t="s">
        <v>793</v>
      </c>
      <c r="M165" s="15" t="s">
        <v>719</v>
      </c>
      <c r="N165" s="15" t="s">
        <v>591</v>
      </c>
      <c r="O165" s="15" t="s">
        <v>719</v>
      </c>
      <c r="P165" s="15" t="s">
        <v>592</v>
      </c>
      <c r="Q165" s="15" t="s">
        <v>818</v>
      </c>
      <c r="R165" s="15" t="s">
        <v>427</v>
      </c>
      <c r="S165" s="15" t="s">
        <v>384</v>
      </c>
      <c r="T165" s="15" t="s">
        <v>385</v>
      </c>
      <c r="U165" s="15"/>
      <c r="V165" s="15"/>
      <c r="W165" s="15" t="s">
        <v>3014</v>
      </c>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t="s">
        <v>1310</v>
      </c>
      <c r="AW165" s="15" t="s">
        <v>675</v>
      </c>
      <c r="AX165" s="15" t="s">
        <v>675</v>
      </c>
      <c r="AY165" s="15">
        <v>4.0</v>
      </c>
      <c r="AZ165" s="15" t="s">
        <v>391</v>
      </c>
      <c r="BA165" s="15" t="s">
        <v>675</v>
      </c>
      <c r="BB165" s="15" t="s">
        <v>675</v>
      </c>
      <c r="BC165" s="15" t="s">
        <v>3778</v>
      </c>
      <c r="BD165" s="15" t="s">
        <v>3779</v>
      </c>
      <c r="BE165" s="15" t="s">
        <v>392</v>
      </c>
      <c r="BF165" s="15" t="s">
        <v>1245</v>
      </c>
      <c r="BG165" s="15" t="s">
        <v>434</v>
      </c>
      <c r="BH165" s="15" t="s">
        <v>3780</v>
      </c>
      <c r="BI165" s="15" t="s">
        <v>976</v>
      </c>
      <c r="BJ165" s="15" t="s">
        <v>3781</v>
      </c>
      <c r="BK165" s="15" t="s">
        <v>511</v>
      </c>
      <c r="BL165" s="15" t="s">
        <v>904</v>
      </c>
      <c r="BM165" s="15" t="s">
        <v>1247</v>
      </c>
      <c r="BN165" s="15" t="s">
        <v>398</v>
      </c>
      <c r="BO165" s="15" t="s">
        <v>3782</v>
      </c>
      <c r="BP165" s="15" t="s">
        <v>3783</v>
      </c>
      <c r="BQ165" s="15" t="s">
        <v>442</v>
      </c>
      <c r="BR165" s="15" t="s">
        <v>3784</v>
      </c>
      <c r="BS165" s="15" t="s">
        <v>1671</v>
      </c>
      <c r="BT165" s="15" t="s">
        <v>1672</v>
      </c>
      <c r="BU165" s="15" t="s">
        <v>405</v>
      </c>
      <c r="BV165" s="15" t="s">
        <v>3785</v>
      </c>
      <c r="BW165" s="15" t="s">
        <v>457</v>
      </c>
      <c r="BX165" s="15" t="s">
        <v>1867</v>
      </c>
      <c r="BY165" s="15" t="s">
        <v>408</v>
      </c>
      <c r="BZ165" s="15"/>
      <c r="CA165" s="15"/>
      <c r="CB165" s="15" t="s">
        <v>3786</v>
      </c>
      <c r="CC165" s="15" t="s">
        <v>3787</v>
      </c>
      <c r="CD165" s="15" t="s">
        <v>451</v>
      </c>
      <c r="CE165" s="15" t="s">
        <v>3788</v>
      </c>
      <c r="CF165" s="15" t="s">
        <v>1258</v>
      </c>
      <c r="CG165" s="15"/>
      <c r="CH165" s="15" t="s">
        <v>1259</v>
      </c>
      <c r="CI165" s="15" t="s">
        <v>410</v>
      </c>
      <c r="CJ165" s="15" t="s">
        <v>3789</v>
      </c>
      <c r="CK165" s="15" t="s">
        <v>3790</v>
      </c>
      <c r="CL165" s="15"/>
      <c r="CM165" s="15"/>
      <c r="CN165" s="15"/>
      <c r="CO165" s="15"/>
      <c r="CP165" s="15"/>
      <c r="CQ165" s="15"/>
      <c r="CR165" s="15"/>
      <c r="CS165" s="15"/>
      <c r="CT165" s="15"/>
      <c r="CU165" s="15"/>
      <c r="CV165" s="15"/>
      <c r="CW165" s="15"/>
      <c r="CX165" s="15"/>
      <c r="CY165" s="15"/>
      <c r="CZ165" s="15"/>
      <c r="DA165" s="15"/>
      <c r="DB165" s="15"/>
      <c r="DC165" s="15"/>
      <c r="DD165" s="15"/>
      <c r="DE165" s="15"/>
      <c r="DF165" s="15"/>
      <c r="DG165" s="15"/>
      <c r="DH165" s="15"/>
      <c r="DI165" s="15"/>
      <c r="DJ165" s="15"/>
      <c r="DK165" s="15"/>
      <c r="DL165" s="15"/>
      <c r="DM165" s="15"/>
      <c r="DN165" s="15"/>
      <c r="DO165" s="15"/>
      <c r="DP165" s="15"/>
      <c r="DQ165" s="15"/>
      <c r="DR165" s="15"/>
      <c r="DS165" s="15"/>
      <c r="DT165" s="15"/>
      <c r="DU165" s="15"/>
      <c r="DV165" s="15"/>
      <c r="DW165" s="15"/>
      <c r="DX165" s="15"/>
      <c r="DY165" s="15"/>
      <c r="DZ165" s="15"/>
      <c r="EA165" s="15"/>
      <c r="EB165" s="15"/>
      <c r="EC165" s="15"/>
      <c r="ED165" s="15"/>
      <c r="EE165" s="15"/>
      <c r="EF165" s="15"/>
      <c r="EG165" s="15"/>
      <c r="EH165" s="15"/>
      <c r="EI165" s="15"/>
      <c r="EJ165" s="15"/>
      <c r="EK165" s="15"/>
      <c r="EL165" s="15"/>
      <c r="EM165" s="15"/>
      <c r="EN165" s="15"/>
      <c r="EO165" s="15"/>
      <c r="EP165" s="15"/>
      <c r="EQ165" s="15"/>
      <c r="ER165" s="15"/>
      <c r="ES165" s="15"/>
      <c r="ET165" s="15" t="s">
        <v>578</v>
      </c>
      <c r="EU165" s="15" t="s">
        <v>1037</v>
      </c>
      <c r="EV165" s="15" t="s">
        <v>580</v>
      </c>
      <c r="EW165" s="15"/>
      <c r="EX165" s="15" t="s">
        <v>3791</v>
      </c>
      <c r="EY165" s="15" t="s">
        <v>3792</v>
      </c>
      <c r="EZ165" s="15" t="s">
        <v>416</v>
      </c>
      <c r="FA165" s="15" t="s">
        <v>416</v>
      </c>
      <c r="FB165" s="15" t="s">
        <v>413</v>
      </c>
      <c r="FC165" s="15" t="s">
        <v>413</v>
      </c>
      <c r="FD165" s="15" t="s">
        <v>413</v>
      </c>
      <c r="FE165" s="15" t="s">
        <v>413</v>
      </c>
      <c r="FF165" s="15" t="s">
        <v>413</v>
      </c>
      <c r="FG165" s="15" t="s">
        <v>413</v>
      </c>
      <c r="FH165" s="15" t="s">
        <v>583</v>
      </c>
      <c r="FI165" s="15" t="s">
        <v>415</v>
      </c>
      <c r="FJ165" s="15" t="s">
        <v>415</v>
      </c>
      <c r="FK165" s="15" t="s">
        <v>413</v>
      </c>
      <c r="FL165" s="15" t="s">
        <v>413</v>
      </c>
      <c r="FM165" s="15" t="s">
        <v>413</v>
      </c>
      <c r="FN165" s="15" t="s">
        <v>414</v>
      </c>
      <c r="FO165" s="15" t="s">
        <v>485</v>
      </c>
      <c r="FP165" s="15" t="s">
        <v>418</v>
      </c>
      <c r="FQ165" s="15" t="s">
        <v>749</v>
      </c>
      <c r="FR165" s="15" t="s">
        <v>2381</v>
      </c>
      <c r="FS165" s="15" t="s">
        <v>1189</v>
      </c>
      <c r="FT165" s="15" t="s">
        <v>488</v>
      </c>
      <c r="FU165" s="15" t="s">
        <v>918</v>
      </c>
      <c r="FV165" s="15" t="s">
        <v>490</v>
      </c>
      <c r="FW165" s="15" t="s">
        <v>491</v>
      </c>
      <c r="FX165" s="15" t="s">
        <v>3793</v>
      </c>
      <c r="FY165" s="15" t="s">
        <v>535</v>
      </c>
      <c r="FZ165" s="15" t="s">
        <v>3794</v>
      </c>
      <c r="GA165" s="15" t="s">
        <v>3795</v>
      </c>
      <c r="GB165" s="15" t="s">
        <v>455</v>
      </c>
      <c r="GC165" s="15"/>
      <c r="GD165" s="15"/>
      <c r="GE165" s="15" t="s">
        <v>753</v>
      </c>
      <c r="GF165" s="15" t="s">
        <v>3796</v>
      </c>
      <c r="GG165" s="15"/>
      <c r="GH165" s="15"/>
      <c r="GI165" s="15"/>
      <c r="GJ165" s="15" t="s">
        <v>920</v>
      </c>
      <c r="GK165" s="15" t="s">
        <v>920</v>
      </c>
      <c r="GL165" s="15" t="s">
        <v>756</v>
      </c>
      <c r="GM165" s="15"/>
      <c r="GN165" s="15"/>
      <c r="GO165" s="15"/>
      <c r="GP165" s="15"/>
      <c r="GQ165" s="15" t="s">
        <v>3273</v>
      </c>
      <c r="GR165" s="15"/>
      <c r="GS165" s="15"/>
      <c r="GT165" s="15"/>
      <c r="GU165" s="15"/>
      <c r="GV165" s="15"/>
      <c r="GW165" s="15"/>
      <c r="GX165" s="15"/>
      <c r="GY165" s="15"/>
      <c r="GZ165" s="15"/>
      <c r="HA165" s="15"/>
      <c r="HB165" s="15"/>
      <c r="HC165" s="15"/>
      <c r="HD165" s="15"/>
      <c r="HE165" s="15"/>
      <c r="HF165" s="15"/>
      <c r="HG165" s="15"/>
      <c r="HH165" s="15"/>
      <c r="HI165" s="15"/>
      <c r="HJ165" s="15"/>
      <c r="HK165" s="15"/>
      <c r="HL165" s="15"/>
      <c r="HM165" s="15"/>
      <c r="HN165" s="15"/>
      <c r="HO165" s="15"/>
      <c r="HP165" s="31"/>
      <c r="MX165" s="29" t="s">
        <v>10402</v>
      </c>
      <c r="MY165" s="29" t="str">
        <f>IFERROR(__xludf.DUMMYFUNCTION("""COMPUTED_VALUE"""),"California")</f>
        <v>California</v>
      </c>
    </row>
    <row r="166" ht="16.5" customHeight="1">
      <c r="A166" s="30">
        <v>45831.70324116898</v>
      </c>
      <c r="B166" s="15" t="s">
        <v>368</v>
      </c>
      <c r="C166" s="15" t="s">
        <v>370</v>
      </c>
      <c r="D166" s="15"/>
      <c r="E166" s="15" t="s">
        <v>371</v>
      </c>
      <c r="F166" s="15"/>
      <c r="G166" s="15" t="s">
        <v>3595</v>
      </c>
      <c r="H166" s="15" t="s">
        <v>637</v>
      </c>
      <c r="I166" s="15" t="s">
        <v>638</v>
      </c>
      <c r="J166" s="15" t="s">
        <v>425</v>
      </c>
      <c r="K166" s="15" t="s">
        <v>376</v>
      </c>
      <c r="L166" s="15" t="s">
        <v>379</v>
      </c>
      <c r="M166" s="15" t="s">
        <v>639</v>
      </c>
      <c r="N166" s="15" t="s">
        <v>591</v>
      </c>
      <c r="O166" s="15" t="s">
        <v>3797</v>
      </c>
      <c r="P166" s="15" t="s">
        <v>381</v>
      </c>
      <c r="Q166" s="15" t="s">
        <v>499</v>
      </c>
      <c r="R166" s="15" t="s">
        <v>795</v>
      </c>
      <c r="S166" s="15" t="s">
        <v>3798</v>
      </c>
      <c r="T166" s="15" t="s">
        <v>385</v>
      </c>
      <c r="U166" s="15"/>
      <c r="V166" s="15"/>
      <c r="W166" s="15" t="s">
        <v>593</v>
      </c>
      <c r="X166" s="15" t="s">
        <v>387</v>
      </c>
      <c r="Y166" s="15" t="s">
        <v>897</v>
      </c>
      <c r="Z166" s="15" t="s">
        <v>543</v>
      </c>
      <c r="AA166" s="15" t="s">
        <v>3799</v>
      </c>
      <c r="AB166" s="15"/>
      <c r="AC166" s="15"/>
      <c r="AD166" s="15"/>
      <c r="AE166" s="15"/>
      <c r="AF166" s="15"/>
      <c r="AG166" s="15"/>
      <c r="AH166" s="15"/>
      <c r="AI166" s="15"/>
      <c r="AJ166" s="15"/>
      <c r="AK166" s="15"/>
      <c r="AL166" s="15"/>
      <c r="AM166" s="15"/>
      <c r="AN166" s="15"/>
      <c r="AO166" s="15"/>
      <c r="AP166" s="15"/>
      <c r="AQ166" s="15"/>
      <c r="AR166" s="15"/>
      <c r="AS166" s="15"/>
      <c r="AT166" s="15"/>
      <c r="AU166" s="15"/>
      <c r="AV166" s="15" t="s">
        <v>597</v>
      </c>
      <c r="AW166" s="15" t="s">
        <v>391</v>
      </c>
      <c r="AX166" s="15">
        <v>4.0</v>
      </c>
      <c r="AY166" s="15" t="s">
        <v>391</v>
      </c>
      <c r="AZ166" s="15" t="s">
        <v>675</v>
      </c>
      <c r="BA166" s="15">
        <v>4.0</v>
      </c>
      <c r="BB166" s="15" t="s">
        <v>391</v>
      </c>
      <c r="BC166" s="15" t="s">
        <v>3800</v>
      </c>
      <c r="BD166" s="15" t="s">
        <v>3801</v>
      </c>
      <c r="BE166" s="15" t="s">
        <v>432</v>
      </c>
      <c r="BF166" s="15" t="s">
        <v>393</v>
      </c>
      <c r="BG166" s="15" t="s">
        <v>678</v>
      </c>
      <c r="BH166" s="15" t="s">
        <v>3802</v>
      </c>
      <c r="BI166" s="15" t="s">
        <v>824</v>
      </c>
      <c r="BJ166" s="15"/>
      <c r="BK166" s="15" t="s">
        <v>395</v>
      </c>
      <c r="BL166" s="15" t="s">
        <v>438</v>
      </c>
      <c r="BM166" s="15" t="s">
        <v>1247</v>
      </c>
      <c r="BN166" s="15" t="s">
        <v>440</v>
      </c>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t="s">
        <v>441</v>
      </c>
      <c r="CM166" s="15" t="s">
        <v>442</v>
      </c>
      <c r="CN166" s="15" t="s">
        <v>3803</v>
      </c>
      <c r="CO166" s="15" t="s">
        <v>3804</v>
      </c>
      <c r="CP166" s="15" t="s">
        <v>685</v>
      </c>
      <c r="CQ166" s="15" t="s">
        <v>3805</v>
      </c>
      <c r="CR166" s="15" t="s">
        <v>447</v>
      </c>
      <c r="CS166" s="15" t="s">
        <v>1454</v>
      </c>
      <c r="CT166" s="15" t="s">
        <v>3806</v>
      </c>
      <c r="CU166" s="15" t="s">
        <v>519</v>
      </c>
      <c r="CV166" s="15" t="s">
        <v>451</v>
      </c>
      <c r="CW166" s="15" t="s">
        <v>3807</v>
      </c>
      <c r="CX166" s="15" t="s">
        <v>408</v>
      </c>
      <c r="CY166" s="15"/>
      <c r="CZ166" s="15" t="s">
        <v>985</v>
      </c>
      <c r="DA166" s="15" t="s">
        <v>3808</v>
      </c>
      <c r="DB166" s="15" t="s">
        <v>408</v>
      </c>
      <c r="DC166" s="15"/>
      <c r="DD166" s="15" t="s">
        <v>1400</v>
      </c>
      <c r="DE166" s="15" t="s">
        <v>1368</v>
      </c>
      <c r="DF166" s="15" t="s">
        <v>3809</v>
      </c>
      <c r="DG166" s="15" t="s">
        <v>561</v>
      </c>
      <c r="DH166" s="15" t="s">
        <v>1220</v>
      </c>
      <c r="DI166" s="15" t="s">
        <v>459</v>
      </c>
      <c r="DJ166" s="15" t="s">
        <v>613</v>
      </c>
      <c r="DK166" s="15"/>
      <c r="DL166" s="15"/>
      <c r="DM166" s="15" t="s">
        <v>3810</v>
      </c>
      <c r="DN166" s="15" t="s">
        <v>3811</v>
      </c>
      <c r="DO166" s="15" t="s">
        <v>464</v>
      </c>
      <c r="DP166" s="15" t="s">
        <v>3812</v>
      </c>
      <c r="DQ166" s="15" t="s">
        <v>837</v>
      </c>
      <c r="DR166" s="15" t="s">
        <v>3813</v>
      </c>
      <c r="DS166" s="15" t="s">
        <v>839</v>
      </c>
      <c r="DT166" s="15" t="s">
        <v>3611</v>
      </c>
      <c r="DU166" s="15" t="s">
        <v>3814</v>
      </c>
      <c r="DV166" s="15" t="s">
        <v>3815</v>
      </c>
      <c r="DW166" s="15" t="s">
        <v>573</v>
      </c>
      <c r="DX166" s="15" t="s">
        <v>3816</v>
      </c>
      <c r="DY166" s="15" t="s">
        <v>3817</v>
      </c>
      <c r="DZ166" s="15" t="s">
        <v>3818</v>
      </c>
      <c r="EA166" s="15" t="s">
        <v>475</v>
      </c>
      <c r="EB166" s="15" t="s">
        <v>626</v>
      </c>
      <c r="EC166" s="15" t="s">
        <v>3819</v>
      </c>
      <c r="ED166" s="15"/>
      <c r="EE166" s="15"/>
      <c r="EF166" s="15"/>
      <c r="EG166" s="15"/>
      <c r="EH166" s="15"/>
      <c r="EI166" s="15"/>
      <c r="EJ166" s="15"/>
      <c r="EK166" s="15"/>
      <c r="EL166" s="15"/>
      <c r="EM166" s="15"/>
      <c r="EN166" s="15"/>
      <c r="EO166" s="15"/>
      <c r="EP166" s="15"/>
      <c r="EQ166" s="15"/>
      <c r="ER166" s="15"/>
      <c r="ES166" s="15"/>
      <c r="ET166" s="15" t="s">
        <v>578</v>
      </c>
      <c r="EU166" s="15" t="s">
        <v>887</v>
      </c>
      <c r="EV166" s="15" t="s">
        <v>1534</v>
      </c>
      <c r="EW166" s="15" t="s">
        <v>3820</v>
      </c>
      <c r="EX166" s="15" t="s">
        <v>3821</v>
      </c>
      <c r="EY166" s="15" t="s">
        <v>3822</v>
      </c>
      <c r="EZ166" s="15" t="s">
        <v>415</v>
      </c>
      <c r="FA166" s="15" t="s">
        <v>414</v>
      </c>
      <c r="FB166" s="15" t="s">
        <v>413</v>
      </c>
      <c r="FC166" s="15" t="s">
        <v>415</v>
      </c>
      <c r="FD166" s="15" t="s">
        <v>416</v>
      </c>
      <c r="FE166" s="15" t="s">
        <v>414</v>
      </c>
      <c r="FF166" s="15" t="s">
        <v>415</v>
      </c>
      <c r="FG166" s="15" t="s">
        <v>415</v>
      </c>
      <c r="FH166" s="15" t="s">
        <v>413</v>
      </c>
      <c r="FI166" s="15" t="s">
        <v>415</v>
      </c>
      <c r="FJ166" s="15" t="s">
        <v>415</v>
      </c>
      <c r="FK166" s="15" t="s">
        <v>415</v>
      </c>
      <c r="FL166" s="15" t="s">
        <v>415</v>
      </c>
      <c r="FM166" s="15" t="s">
        <v>416</v>
      </c>
      <c r="FN166" s="15" t="s">
        <v>414</v>
      </c>
      <c r="FO166" s="15" t="s">
        <v>417</v>
      </c>
      <c r="FP166" s="15" t="s">
        <v>418</v>
      </c>
      <c r="FQ166" s="15" t="s">
        <v>712</v>
      </c>
      <c r="FR166" s="15" t="s">
        <v>3823</v>
      </c>
      <c r="FS166" s="15" t="s">
        <v>420</v>
      </c>
      <c r="FT166" s="15" t="s">
        <v>488</v>
      </c>
      <c r="FU166" s="15" t="s">
        <v>489</v>
      </c>
      <c r="FV166" s="15" t="s">
        <v>490</v>
      </c>
      <c r="FW166" s="15" t="s">
        <v>491</v>
      </c>
      <c r="FX166" s="15" t="s">
        <v>3824</v>
      </c>
      <c r="FY166" s="15" t="s">
        <v>493</v>
      </c>
      <c r="FZ166" s="15" t="s">
        <v>3825</v>
      </c>
      <c r="GA166" s="15"/>
      <c r="GB166" s="15" t="s">
        <v>455</v>
      </c>
      <c r="GC166" s="15"/>
      <c r="GD166" s="15"/>
      <c r="GE166" s="15" t="s">
        <v>753</v>
      </c>
      <c r="GF166" s="15"/>
      <c r="GG166" s="15" t="s">
        <v>788</v>
      </c>
      <c r="GH166" s="15" t="s">
        <v>755</v>
      </c>
      <c r="GI166" s="15" t="s">
        <v>817</v>
      </c>
      <c r="GJ166" s="15"/>
      <c r="GK166" s="15"/>
      <c r="GL166" s="15"/>
      <c r="GM166" s="15" t="s">
        <v>1079</v>
      </c>
      <c r="GN166" s="15"/>
      <c r="GO166" s="15"/>
      <c r="GP166" s="15"/>
      <c r="GQ166" s="15" t="s">
        <v>3208</v>
      </c>
      <c r="GR166" s="15"/>
      <c r="GS166" s="15"/>
      <c r="GT166" s="15"/>
      <c r="GU166" s="15"/>
      <c r="GV166" s="15"/>
      <c r="GW166" s="15"/>
      <c r="GX166" s="15"/>
      <c r="GY166" s="15"/>
      <c r="GZ166" s="15"/>
      <c r="HA166" s="15"/>
      <c r="HB166" s="15"/>
      <c r="HC166" s="15"/>
      <c r="HD166" s="15"/>
      <c r="HE166" s="15"/>
      <c r="HF166" s="15"/>
      <c r="HG166" s="15"/>
      <c r="HH166" s="15"/>
      <c r="HI166" s="15"/>
      <c r="HJ166" s="15"/>
      <c r="HK166" s="15"/>
      <c r="HL166" s="15"/>
      <c r="HM166" s="15"/>
      <c r="HN166" s="15"/>
      <c r="HO166" s="15"/>
      <c r="HP166" s="31"/>
      <c r="MX166" s="29" t="s">
        <v>10402</v>
      </c>
      <c r="MY166" s="29" t="str">
        <f>IFERROR(__xludf.DUMMYFUNCTION("""COMPUTED_VALUE"""),"Florida")</f>
        <v>Florida</v>
      </c>
    </row>
    <row r="167" ht="16.5" customHeight="1">
      <c r="A167" s="30">
        <v>45831.70685833333</v>
      </c>
      <c r="B167" s="15" t="s">
        <v>368</v>
      </c>
      <c r="C167" s="15" t="s">
        <v>370</v>
      </c>
      <c r="D167" s="15"/>
      <c r="E167" s="15" t="s">
        <v>2114</v>
      </c>
      <c r="F167" s="15"/>
      <c r="G167" s="15" t="s">
        <v>422</v>
      </c>
      <c r="H167" s="15" t="s">
        <v>496</v>
      </c>
      <c r="I167" s="15" t="s">
        <v>374</v>
      </c>
      <c r="J167" s="15" t="s">
        <v>540</v>
      </c>
      <c r="K167" s="15" t="s">
        <v>376</v>
      </c>
      <c r="L167" s="15" t="s">
        <v>591</v>
      </c>
      <c r="M167" s="15" t="s">
        <v>639</v>
      </c>
      <c r="N167" s="15" t="s">
        <v>426</v>
      </c>
      <c r="O167" s="15" t="s">
        <v>671</v>
      </c>
      <c r="P167" s="15" t="s">
        <v>498</v>
      </c>
      <c r="Q167" s="15" t="s">
        <v>1156</v>
      </c>
      <c r="R167" s="15" t="s">
        <v>427</v>
      </c>
      <c r="S167" s="15" t="s">
        <v>384</v>
      </c>
      <c r="T167" s="15" t="s">
        <v>385</v>
      </c>
      <c r="U167" s="15"/>
      <c r="V167" s="15"/>
      <c r="W167" s="15" t="s">
        <v>593</v>
      </c>
      <c r="X167" s="15" t="s">
        <v>387</v>
      </c>
      <c r="Y167" s="15" t="s">
        <v>542</v>
      </c>
      <c r="Z167" s="15" t="s">
        <v>543</v>
      </c>
      <c r="AA167" s="15" t="s">
        <v>3826</v>
      </c>
      <c r="AB167" s="15" t="s">
        <v>3827</v>
      </c>
      <c r="AC167" s="15"/>
      <c r="AD167" s="15"/>
      <c r="AE167" s="15"/>
      <c r="AF167" s="15"/>
      <c r="AG167" s="15"/>
      <c r="AH167" s="15"/>
      <c r="AI167" s="15"/>
      <c r="AJ167" s="15"/>
      <c r="AK167" s="15"/>
      <c r="AL167" s="15"/>
      <c r="AM167" s="15"/>
      <c r="AN167" s="15"/>
      <c r="AO167" s="15"/>
      <c r="AP167" s="15"/>
      <c r="AQ167" s="15"/>
      <c r="AR167" s="15"/>
      <c r="AS167" s="15"/>
      <c r="AT167" s="15"/>
      <c r="AU167" s="15"/>
      <c r="AV167" s="15" t="s">
        <v>1242</v>
      </c>
      <c r="AW167" s="15" t="s">
        <v>391</v>
      </c>
      <c r="AX167" s="15">
        <v>4.0</v>
      </c>
      <c r="AY167" s="15" t="s">
        <v>391</v>
      </c>
      <c r="AZ167" s="15">
        <v>2.0</v>
      </c>
      <c r="BA167" s="15">
        <v>4.0</v>
      </c>
      <c r="BB167" s="15">
        <v>4.0</v>
      </c>
      <c r="BC167" s="15" t="s">
        <v>3828</v>
      </c>
      <c r="BD167" s="15" t="s">
        <v>3829</v>
      </c>
      <c r="BE167" s="15" t="s">
        <v>432</v>
      </c>
      <c r="BF167" s="15" t="s">
        <v>1095</v>
      </c>
      <c r="BG167" s="15" t="s">
        <v>725</v>
      </c>
      <c r="BH167" s="15" t="s">
        <v>3830</v>
      </c>
      <c r="BI167" s="15" t="s">
        <v>976</v>
      </c>
      <c r="BJ167" s="15"/>
      <c r="BK167" s="15" t="s">
        <v>681</v>
      </c>
      <c r="BL167" s="15" t="s">
        <v>438</v>
      </c>
      <c r="BM167" s="15" t="s">
        <v>1314</v>
      </c>
      <c r="BN167" s="15" t="s">
        <v>398</v>
      </c>
      <c r="BO167" s="15" t="s">
        <v>3831</v>
      </c>
      <c r="BP167" s="15" t="s">
        <v>3832</v>
      </c>
      <c r="BQ167" s="15" t="s">
        <v>604</v>
      </c>
      <c r="BR167" s="15" t="s">
        <v>3833</v>
      </c>
      <c r="BS167" s="15" t="s">
        <v>403</v>
      </c>
      <c r="BT167" s="15" t="s">
        <v>404</v>
      </c>
      <c r="BU167" s="15" t="s">
        <v>405</v>
      </c>
      <c r="BV167" s="15"/>
      <c r="BW167" s="15" t="s">
        <v>406</v>
      </c>
      <c r="BX167" s="15" t="s">
        <v>407</v>
      </c>
      <c r="BY167" s="15" t="s">
        <v>408</v>
      </c>
      <c r="BZ167" s="15" t="s">
        <v>3834</v>
      </c>
      <c r="CA167" s="15" t="s">
        <v>3835</v>
      </c>
      <c r="CB167" s="15" t="s">
        <v>3836</v>
      </c>
      <c r="CC167" s="15" t="s">
        <v>3837</v>
      </c>
      <c r="CD167" s="15" t="s">
        <v>409</v>
      </c>
      <c r="CE167" s="15" t="s">
        <v>3838</v>
      </c>
      <c r="CF167" s="15" t="s">
        <v>1258</v>
      </c>
      <c r="CG167" s="15"/>
      <c r="CH167" s="15" t="s">
        <v>1698</v>
      </c>
      <c r="CI167" s="15" t="s">
        <v>833</v>
      </c>
      <c r="CJ167" s="15" t="s">
        <v>3839</v>
      </c>
      <c r="CK167" s="15" t="s">
        <v>3840</v>
      </c>
      <c r="CL167" s="15"/>
      <c r="CM167" s="15"/>
      <c r="CN167" s="15"/>
      <c r="CO167" s="15"/>
      <c r="CP167" s="15"/>
      <c r="CQ167" s="15"/>
      <c r="CR167" s="15"/>
      <c r="CS167" s="15"/>
      <c r="CT167" s="15"/>
      <c r="CU167" s="15"/>
      <c r="CV167" s="15"/>
      <c r="CW167" s="15"/>
      <c r="CX167" s="15"/>
      <c r="CY167" s="15"/>
      <c r="CZ167" s="15"/>
      <c r="DA167" s="15"/>
      <c r="DB167" s="15"/>
      <c r="DC167" s="15"/>
      <c r="DD167" s="15"/>
      <c r="DE167" s="15"/>
      <c r="DF167" s="15"/>
      <c r="DG167" s="15"/>
      <c r="DH167" s="15"/>
      <c r="DI167" s="15"/>
      <c r="DJ167" s="15"/>
      <c r="DK167" s="15"/>
      <c r="DL167" s="15"/>
      <c r="DM167" s="15"/>
      <c r="DN167" s="15"/>
      <c r="DO167" s="15"/>
      <c r="DP167" s="15"/>
      <c r="DQ167" s="15"/>
      <c r="DR167" s="15"/>
      <c r="DS167" s="15"/>
      <c r="DT167" s="15"/>
      <c r="DU167" s="15"/>
      <c r="DV167" s="15"/>
      <c r="DW167" s="15"/>
      <c r="DX167" s="15"/>
      <c r="DY167" s="15"/>
      <c r="DZ167" s="15"/>
      <c r="EA167" s="15"/>
      <c r="EB167" s="15"/>
      <c r="EC167" s="15"/>
      <c r="ED167" s="15"/>
      <c r="EE167" s="15"/>
      <c r="EF167" s="15"/>
      <c r="EG167" s="15"/>
      <c r="EH167" s="15"/>
      <c r="EI167" s="15"/>
      <c r="EJ167" s="15"/>
      <c r="EK167" s="15"/>
      <c r="EL167" s="15"/>
      <c r="EM167" s="15"/>
      <c r="EN167" s="15"/>
      <c r="EO167" s="15"/>
      <c r="EP167" s="15"/>
      <c r="EQ167" s="15"/>
      <c r="ER167" s="15"/>
      <c r="ES167" s="15"/>
      <c r="ET167" s="15" t="s">
        <v>526</v>
      </c>
      <c r="EU167" s="15" t="s">
        <v>1037</v>
      </c>
      <c r="EV167" s="15" t="s">
        <v>580</v>
      </c>
      <c r="EW167" s="15" t="s">
        <v>3841</v>
      </c>
      <c r="EX167" s="15" t="s">
        <v>3842</v>
      </c>
      <c r="EY167" s="15" t="s">
        <v>3843</v>
      </c>
      <c r="EZ167" s="15" t="s">
        <v>414</v>
      </c>
      <c r="FA167" s="15" t="s">
        <v>414</v>
      </c>
      <c r="FB167" s="15" t="s">
        <v>416</v>
      </c>
      <c r="FC167" s="15" t="s">
        <v>415</v>
      </c>
      <c r="FD167" s="15" t="s">
        <v>413</v>
      </c>
      <c r="FE167" s="15" t="s">
        <v>414</v>
      </c>
      <c r="FF167" s="15" t="s">
        <v>484</v>
      </c>
      <c r="FG167" s="15" t="s">
        <v>415</v>
      </c>
      <c r="FH167" s="15" t="s">
        <v>415</v>
      </c>
      <c r="FI167" s="15" t="s">
        <v>414</v>
      </c>
      <c r="FJ167" s="15" t="s">
        <v>415</v>
      </c>
      <c r="FK167" s="15" t="s">
        <v>484</v>
      </c>
      <c r="FL167" s="15" t="s">
        <v>484</v>
      </c>
      <c r="FM167" s="15" t="s">
        <v>484</v>
      </c>
      <c r="FN167" s="15" t="s">
        <v>484</v>
      </c>
      <c r="FO167" s="15" t="s">
        <v>485</v>
      </c>
      <c r="FP167" s="15" t="s">
        <v>418</v>
      </c>
      <c r="FQ167" s="15" t="s">
        <v>749</v>
      </c>
      <c r="FR167" s="15"/>
      <c r="FS167" s="15" t="s">
        <v>420</v>
      </c>
      <c r="FT167" s="15" t="s">
        <v>1476</v>
      </c>
      <c r="FU167" s="15" t="s">
        <v>489</v>
      </c>
      <c r="FV167" s="15" t="s">
        <v>490</v>
      </c>
      <c r="FW167" s="15" t="s">
        <v>491</v>
      </c>
      <c r="FX167" s="15" t="s">
        <v>3844</v>
      </c>
      <c r="FY167" s="15" t="s">
        <v>1337</v>
      </c>
      <c r="FZ167" s="15"/>
      <c r="GA167" s="15"/>
      <c r="GB167" s="15" t="s">
        <v>455</v>
      </c>
      <c r="GC167" s="15"/>
      <c r="GD167" s="15"/>
      <c r="GE167" s="15" t="s">
        <v>855</v>
      </c>
      <c r="GF167" s="15"/>
      <c r="GG167" s="15"/>
      <c r="GH167" s="15"/>
      <c r="GI167" s="15"/>
      <c r="GJ167" s="15" t="s">
        <v>857</v>
      </c>
      <c r="GK167" s="15" t="s">
        <v>857</v>
      </c>
      <c r="GL167" s="15" t="s">
        <v>817</v>
      </c>
      <c r="GM167" s="15"/>
      <c r="GN167" s="15"/>
      <c r="GO167" s="15"/>
      <c r="GP167" s="15"/>
      <c r="GQ167" s="15" t="s">
        <v>3273</v>
      </c>
      <c r="GR167" s="15"/>
      <c r="GS167" s="15"/>
      <c r="GT167" s="15"/>
      <c r="GU167" s="15"/>
      <c r="GV167" s="15"/>
      <c r="GW167" s="15"/>
      <c r="GX167" s="15"/>
      <c r="GY167" s="15"/>
      <c r="GZ167" s="15"/>
      <c r="HA167" s="15"/>
      <c r="HB167" s="15"/>
      <c r="HC167" s="15"/>
      <c r="HD167" s="15"/>
      <c r="HE167" s="15"/>
      <c r="HF167" s="15"/>
      <c r="HG167" s="15"/>
      <c r="HH167" s="15"/>
      <c r="HI167" s="15"/>
      <c r="HJ167" s="15"/>
      <c r="HK167" s="15"/>
      <c r="HL167" s="15"/>
      <c r="HM167" s="15"/>
      <c r="HN167" s="15"/>
      <c r="HO167" s="15"/>
      <c r="HP167" s="31"/>
      <c r="MX167" s="29" t="s">
        <v>10402</v>
      </c>
      <c r="MY167" s="29" t="str">
        <f>IFERROR(__xludf.DUMMYFUNCTION("""COMPUTED_VALUE"""),"Wisconsin")</f>
        <v>Wisconsin</v>
      </c>
    </row>
    <row r="168" ht="16.5" customHeight="1">
      <c r="A168" s="30">
        <v>45831.785180127314</v>
      </c>
      <c r="B168" s="15" t="s">
        <v>368</v>
      </c>
      <c r="C168" s="15" t="s">
        <v>370</v>
      </c>
      <c r="D168" s="15"/>
      <c r="E168" s="15" t="s">
        <v>1441</v>
      </c>
      <c r="F168" s="15"/>
      <c r="G168" s="15" t="s">
        <v>1093</v>
      </c>
      <c r="H168" s="15" t="s">
        <v>373</v>
      </c>
      <c r="I168" s="15" t="s">
        <v>374</v>
      </c>
      <c r="J168" s="15" t="s">
        <v>425</v>
      </c>
      <c r="K168" s="15" t="s">
        <v>376</v>
      </c>
      <c r="L168" s="15" t="s">
        <v>379</v>
      </c>
      <c r="M168" s="15" t="s">
        <v>3845</v>
      </c>
      <c r="N168" s="15" t="s">
        <v>426</v>
      </c>
      <c r="O168" s="15" t="s">
        <v>380</v>
      </c>
      <c r="P168" s="15" t="s">
        <v>381</v>
      </c>
      <c r="Q168" s="15" t="s">
        <v>499</v>
      </c>
      <c r="R168" s="15" t="s">
        <v>1197</v>
      </c>
      <c r="S168" s="15" t="s">
        <v>384</v>
      </c>
      <c r="T168" s="15" t="s">
        <v>385</v>
      </c>
      <c r="U168" s="15"/>
      <c r="V168" s="15"/>
      <c r="W168" s="15" t="s">
        <v>3014</v>
      </c>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t="s">
        <v>1242</v>
      </c>
      <c r="AW168" s="15" t="s">
        <v>675</v>
      </c>
      <c r="AX168" s="15" t="s">
        <v>675</v>
      </c>
      <c r="AY168" s="15" t="s">
        <v>675</v>
      </c>
      <c r="AZ168" s="15" t="s">
        <v>675</v>
      </c>
      <c r="BA168" s="15" t="s">
        <v>675</v>
      </c>
      <c r="BB168" s="15" t="s">
        <v>675</v>
      </c>
      <c r="BC168" s="15" t="s">
        <v>3846</v>
      </c>
      <c r="BD168" s="15" t="s">
        <v>3847</v>
      </c>
      <c r="BE168" s="15" t="s">
        <v>2259</v>
      </c>
      <c r="BF168" s="15" t="s">
        <v>1245</v>
      </c>
      <c r="BG168" s="15" t="s">
        <v>394</v>
      </c>
      <c r="BH168" s="15" t="s">
        <v>3848</v>
      </c>
      <c r="BI168" s="15" t="s">
        <v>976</v>
      </c>
      <c r="BJ168" s="15"/>
      <c r="BK168" s="15" t="s">
        <v>602</v>
      </c>
      <c r="BL168" s="15" t="s">
        <v>904</v>
      </c>
      <c r="BM168" s="15" t="s">
        <v>1314</v>
      </c>
      <c r="BN168" s="15" t="s">
        <v>398</v>
      </c>
      <c r="BO168" s="15" t="s">
        <v>3849</v>
      </c>
      <c r="BP168" s="15" t="s">
        <v>3850</v>
      </c>
      <c r="BQ168" s="15" t="s">
        <v>401</v>
      </c>
      <c r="BR168" s="15" t="s">
        <v>1830</v>
      </c>
      <c r="BS168" s="15" t="s">
        <v>1741</v>
      </c>
      <c r="BT168" s="15" t="s">
        <v>404</v>
      </c>
      <c r="BU168" s="15" t="s">
        <v>1772</v>
      </c>
      <c r="BV168" s="15" t="s">
        <v>3851</v>
      </c>
      <c r="BW168" s="15" t="s">
        <v>406</v>
      </c>
      <c r="BX168" s="15" t="s">
        <v>2503</v>
      </c>
      <c r="BY168" s="15" t="s">
        <v>408</v>
      </c>
      <c r="BZ168" s="15"/>
      <c r="CA168" s="15"/>
      <c r="CB168" s="15" t="s">
        <v>3852</v>
      </c>
      <c r="CC168" s="15" t="s">
        <v>3853</v>
      </c>
      <c r="CD168" s="15" t="s">
        <v>1931</v>
      </c>
      <c r="CE168" s="15"/>
      <c r="CF168" s="15" t="s">
        <v>1258</v>
      </c>
      <c r="CG168" s="15"/>
      <c r="CH168" s="15" t="s">
        <v>1698</v>
      </c>
      <c r="CI168" s="15" t="s">
        <v>410</v>
      </c>
      <c r="CJ168" s="15" t="s">
        <v>3854</v>
      </c>
      <c r="CK168" s="15" t="s">
        <v>3855</v>
      </c>
      <c r="CL168" s="15"/>
      <c r="CM168" s="15"/>
      <c r="CN168" s="15"/>
      <c r="CO168" s="15"/>
      <c r="CP168" s="15"/>
      <c r="CQ168" s="15"/>
      <c r="CR168" s="15"/>
      <c r="CS168" s="15"/>
      <c r="CT168" s="15"/>
      <c r="CU168" s="15"/>
      <c r="CV168" s="15"/>
      <c r="CW168" s="15"/>
      <c r="CX168" s="15"/>
      <c r="CY168" s="15"/>
      <c r="CZ168" s="15"/>
      <c r="DA168" s="15"/>
      <c r="DB168" s="15"/>
      <c r="DC168" s="15"/>
      <c r="DD168" s="15"/>
      <c r="DE168" s="15"/>
      <c r="DF168" s="15"/>
      <c r="DG168" s="15"/>
      <c r="DH168" s="15"/>
      <c r="DI168" s="15"/>
      <c r="DJ168" s="15"/>
      <c r="DK168" s="15"/>
      <c r="DL168" s="15"/>
      <c r="DM168" s="15"/>
      <c r="DN168" s="15"/>
      <c r="DO168" s="15"/>
      <c r="DP168" s="15"/>
      <c r="DQ168" s="15"/>
      <c r="DR168" s="15"/>
      <c r="DS168" s="15"/>
      <c r="DT168" s="15"/>
      <c r="DU168" s="15"/>
      <c r="DV168" s="15"/>
      <c r="DW168" s="15"/>
      <c r="DX168" s="15"/>
      <c r="DY168" s="15"/>
      <c r="DZ168" s="15"/>
      <c r="EA168" s="15"/>
      <c r="EB168" s="15"/>
      <c r="EC168" s="15"/>
      <c r="ED168" s="15"/>
      <c r="EE168" s="15"/>
      <c r="EF168" s="15"/>
      <c r="EG168" s="15"/>
      <c r="EH168" s="15"/>
      <c r="EI168" s="15"/>
      <c r="EJ168" s="15"/>
      <c r="EK168" s="15"/>
      <c r="EL168" s="15"/>
      <c r="EM168" s="15"/>
      <c r="EN168" s="15"/>
      <c r="EO168" s="15"/>
      <c r="EP168" s="15"/>
      <c r="EQ168" s="15"/>
      <c r="ER168" s="15"/>
      <c r="ES168" s="15"/>
      <c r="ET168" s="15" t="s">
        <v>578</v>
      </c>
      <c r="EU168" s="15" t="s">
        <v>1037</v>
      </c>
      <c r="EV168" s="15" t="s">
        <v>1262</v>
      </c>
      <c r="EW168" s="15"/>
      <c r="EX168" s="15" t="s">
        <v>3856</v>
      </c>
      <c r="EY168" s="15" t="s">
        <v>3857</v>
      </c>
      <c r="EZ168" s="15" t="s">
        <v>413</v>
      </c>
      <c r="FA168" s="15" t="s">
        <v>413</v>
      </c>
      <c r="FB168" s="15" t="s">
        <v>413</v>
      </c>
      <c r="FC168" s="15" t="s">
        <v>413</v>
      </c>
      <c r="FD168" s="15" t="s">
        <v>413</v>
      </c>
      <c r="FE168" s="15" t="s">
        <v>413</v>
      </c>
      <c r="FF168" s="15" t="s">
        <v>413</v>
      </c>
      <c r="FG168" s="15" t="s">
        <v>413</v>
      </c>
      <c r="FH168" s="15" t="s">
        <v>413</v>
      </c>
      <c r="FI168" s="15" t="s">
        <v>413</v>
      </c>
      <c r="FJ168" s="15" t="s">
        <v>413</v>
      </c>
      <c r="FK168" s="15" t="s">
        <v>413</v>
      </c>
      <c r="FL168" s="15" t="s">
        <v>413</v>
      </c>
      <c r="FM168" s="15" t="s">
        <v>413</v>
      </c>
      <c r="FN168" s="15" t="s">
        <v>583</v>
      </c>
      <c r="FO168" s="15" t="s">
        <v>417</v>
      </c>
      <c r="FP168" s="15" t="s">
        <v>418</v>
      </c>
      <c r="FQ168" s="15" t="s">
        <v>419</v>
      </c>
      <c r="FR168" s="15" t="s">
        <v>3858</v>
      </c>
      <c r="FS168" s="15" t="s">
        <v>420</v>
      </c>
      <c r="FT168" s="15" t="s">
        <v>488</v>
      </c>
      <c r="FU168" s="15" t="s">
        <v>918</v>
      </c>
      <c r="FV168" s="15" t="s">
        <v>490</v>
      </c>
      <c r="FW168" s="15" t="s">
        <v>491</v>
      </c>
      <c r="FX168" s="15" t="s">
        <v>3859</v>
      </c>
      <c r="FY168" s="15" t="s">
        <v>535</v>
      </c>
      <c r="FZ168" s="15" t="s">
        <v>3860</v>
      </c>
      <c r="GA168" s="15"/>
      <c r="GB168" s="15" t="s">
        <v>408</v>
      </c>
      <c r="GC168" s="15"/>
      <c r="GD168" s="15"/>
      <c r="GE168" s="15"/>
      <c r="GF168" s="15"/>
      <c r="GG168" s="15"/>
      <c r="GH168" s="15"/>
      <c r="GI168" s="15"/>
      <c r="GJ168" s="15" t="s">
        <v>920</v>
      </c>
      <c r="GK168" s="15" t="s">
        <v>1000</v>
      </c>
      <c r="GL168" s="15" t="s">
        <v>921</v>
      </c>
      <c r="GM168" s="15"/>
      <c r="GN168" s="15"/>
      <c r="GO168" s="15"/>
      <c r="GP168" s="15"/>
      <c r="GQ168" s="15" t="s">
        <v>3273</v>
      </c>
      <c r="GR168" s="15"/>
      <c r="GS168" s="15"/>
      <c r="GT168" s="15"/>
      <c r="GU168" s="15"/>
      <c r="GV168" s="15"/>
      <c r="GW168" s="15"/>
      <c r="GX168" s="15"/>
      <c r="GY168" s="15"/>
      <c r="GZ168" s="15"/>
      <c r="HA168" s="15"/>
      <c r="HB168" s="15"/>
      <c r="HC168" s="15"/>
      <c r="HD168" s="15"/>
      <c r="HE168" s="15"/>
      <c r="HF168" s="15"/>
      <c r="HG168" s="15"/>
      <c r="HH168" s="15"/>
      <c r="HI168" s="15"/>
      <c r="HJ168" s="15"/>
      <c r="HK168" s="15"/>
      <c r="HL168" s="15"/>
      <c r="HM168" s="15"/>
      <c r="HN168" s="15"/>
      <c r="HO168" s="15"/>
      <c r="HP168" s="31"/>
      <c r="MX168" s="29" t="s">
        <v>894</v>
      </c>
      <c r="MY168" s="29" t="str">
        <f>IFERROR(__xludf.DUMMYFUNCTION("""COMPUTED_VALUE"""),"Manitoba")</f>
        <v>Manitoba</v>
      </c>
    </row>
    <row r="169" ht="16.5" customHeight="1">
      <c r="A169" s="30">
        <v>45831.81648645834</v>
      </c>
      <c r="B169" s="15" t="s">
        <v>368</v>
      </c>
      <c r="C169" s="15" t="s">
        <v>894</v>
      </c>
      <c r="D169" s="15" t="s">
        <v>894</v>
      </c>
      <c r="E169" s="15"/>
      <c r="F169" s="15"/>
      <c r="G169" s="15" t="s">
        <v>422</v>
      </c>
      <c r="H169" s="15" t="s">
        <v>496</v>
      </c>
      <c r="I169" s="15" t="s">
        <v>374</v>
      </c>
      <c r="J169" s="15" t="s">
        <v>718</v>
      </c>
      <c r="K169" s="15" t="s">
        <v>376</v>
      </c>
      <c r="L169" s="15" t="s">
        <v>591</v>
      </c>
      <c r="M169" s="15" t="s">
        <v>378</v>
      </c>
      <c r="N169" s="15" t="s">
        <v>793</v>
      </c>
      <c r="O169" s="15" t="s">
        <v>1270</v>
      </c>
      <c r="P169" s="15" t="s">
        <v>498</v>
      </c>
      <c r="Q169" s="15" t="s">
        <v>862</v>
      </c>
      <c r="R169" s="15" t="s">
        <v>427</v>
      </c>
      <c r="S169" s="15" t="s">
        <v>384</v>
      </c>
      <c r="T169" s="15" t="s">
        <v>385</v>
      </c>
      <c r="U169" s="15" t="s">
        <v>3861</v>
      </c>
      <c r="V169" s="15" t="s">
        <v>896</v>
      </c>
      <c r="W169" s="15" t="s">
        <v>3231</v>
      </c>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t="s">
        <v>390</v>
      </c>
      <c r="AW169" s="15">
        <v>2.0</v>
      </c>
      <c r="AX169" s="15" t="s">
        <v>391</v>
      </c>
      <c r="AY169" s="15">
        <v>2.0</v>
      </c>
      <c r="AZ169" s="15">
        <v>4.0</v>
      </c>
      <c r="BA169" s="15">
        <v>4.0</v>
      </c>
      <c r="BB169" s="15">
        <v>4.0</v>
      </c>
      <c r="BC169" s="15" t="s">
        <v>3862</v>
      </c>
      <c r="BD169" s="15" t="s">
        <v>3863</v>
      </c>
      <c r="BE169" s="15" t="s">
        <v>432</v>
      </c>
      <c r="BF169" s="15" t="s">
        <v>1047</v>
      </c>
      <c r="BG169" s="15" t="s">
        <v>394</v>
      </c>
      <c r="BH169" s="15" t="s">
        <v>3864</v>
      </c>
      <c r="BI169" s="15" t="s">
        <v>435</v>
      </c>
      <c r="BJ169" s="15" t="s">
        <v>3865</v>
      </c>
      <c r="BK169" s="15" t="s">
        <v>602</v>
      </c>
      <c r="BL169" s="15" t="s">
        <v>438</v>
      </c>
      <c r="BM169" s="15" t="s">
        <v>549</v>
      </c>
      <c r="BN169" s="15" t="s">
        <v>398</v>
      </c>
      <c r="BO169" s="15" t="s">
        <v>3866</v>
      </c>
      <c r="BP169" s="15" t="s">
        <v>3867</v>
      </c>
      <c r="BQ169" s="15" t="s">
        <v>442</v>
      </c>
      <c r="BR169" s="15" t="s">
        <v>3868</v>
      </c>
      <c r="BS169" s="15" t="s">
        <v>1671</v>
      </c>
      <c r="BT169" s="15" t="s">
        <v>1742</v>
      </c>
      <c r="BU169" s="15" t="s">
        <v>1831</v>
      </c>
      <c r="BV169" s="15" t="s">
        <v>3869</v>
      </c>
      <c r="BW169" s="15" t="s">
        <v>457</v>
      </c>
      <c r="BX169" s="15"/>
      <c r="BY169" s="15" t="s">
        <v>455</v>
      </c>
      <c r="BZ169" s="15" t="s">
        <v>3870</v>
      </c>
      <c r="CA169" s="15" t="s">
        <v>3871</v>
      </c>
      <c r="CB169" s="15" t="s">
        <v>3872</v>
      </c>
      <c r="CC169" s="15" t="s">
        <v>3873</v>
      </c>
      <c r="CD169" s="15" t="s">
        <v>451</v>
      </c>
      <c r="CE169" s="15" t="s">
        <v>3874</v>
      </c>
      <c r="CF169" s="15" t="s">
        <v>1258</v>
      </c>
      <c r="CG169" s="15"/>
      <c r="CH169" s="15" t="s">
        <v>1679</v>
      </c>
      <c r="CI169" s="15" t="s">
        <v>410</v>
      </c>
      <c r="CJ169" s="15" t="s">
        <v>3875</v>
      </c>
      <c r="CK169" s="15" t="s">
        <v>3876</v>
      </c>
      <c r="CL169" s="15"/>
      <c r="CM169" s="15"/>
      <c r="CN169" s="15"/>
      <c r="CO169" s="15"/>
      <c r="CP169" s="15"/>
      <c r="CQ169" s="15"/>
      <c r="CR169" s="15"/>
      <c r="CS169" s="15"/>
      <c r="CT169" s="15"/>
      <c r="CU169" s="15"/>
      <c r="CV169" s="15"/>
      <c r="CW169" s="15"/>
      <c r="CX169" s="15"/>
      <c r="CY169" s="15"/>
      <c r="CZ169" s="15"/>
      <c r="DA169" s="15"/>
      <c r="DB169" s="15"/>
      <c r="DC169" s="15"/>
      <c r="DD169" s="15"/>
      <c r="DE169" s="15"/>
      <c r="DF169" s="15"/>
      <c r="DG169" s="15"/>
      <c r="DH169" s="15"/>
      <c r="DI169" s="15"/>
      <c r="DJ169" s="15"/>
      <c r="DK169" s="15"/>
      <c r="DL169" s="15"/>
      <c r="DM169" s="15"/>
      <c r="DN169" s="15"/>
      <c r="DO169" s="15"/>
      <c r="DP169" s="15"/>
      <c r="DQ169" s="15"/>
      <c r="DR169" s="15"/>
      <c r="DS169" s="15"/>
      <c r="DT169" s="15"/>
      <c r="DU169" s="15"/>
      <c r="DV169" s="15"/>
      <c r="DW169" s="15"/>
      <c r="DX169" s="15"/>
      <c r="DY169" s="15"/>
      <c r="DZ169" s="15"/>
      <c r="EA169" s="15"/>
      <c r="EB169" s="15"/>
      <c r="EC169" s="15"/>
      <c r="ED169" s="15"/>
      <c r="EE169" s="15"/>
      <c r="EF169" s="15"/>
      <c r="EG169" s="15"/>
      <c r="EH169" s="15"/>
      <c r="EI169" s="15"/>
      <c r="EJ169" s="15"/>
      <c r="EK169" s="15"/>
      <c r="EL169" s="15"/>
      <c r="EM169" s="15"/>
      <c r="EN169" s="15"/>
      <c r="EO169" s="15"/>
      <c r="EP169" s="15"/>
      <c r="EQ169" s="15"/>
      <c r="ER169" s="15"/>
      <c r="ES169" s="15"/>
      <c r="ET169" s="15" t="s">
        <v>578</v>
      </c>
      <c r="EU169" s="15" t="s">
        <v>887</v>
      </c>
      <c r="EV169" s="15" t="s">
        <v>480</v>
      </c>
      <c r="EW169" s="15"/>
      <c r="EX169" s="15" t="s">
        <v>3877</v>
      </c>
      <c r="EY169" s="15" t="s">
        <v>3878</v>
      </c>
      <c r="EZ169" s="15" t="s">
        <v>583</v>
      </c>
      <c r="FA169" s="15" t="s">
        <v>583</v>
      </c>
      <c r="FB169" s="15" t="s">
        <v>414</v>
      </c>
      <c r="FC169" s="15" t="s">
        <v>583</v>
      </c>
      <c r="FD169" s="15" t="s">
        <v>416</v>
      </c>
      <c r="FE169" s="15" t="s">
        <v>583</v>
      </c>
      <c r="FF169" s="15" t="s">
        <v>414</v>
      </c>
      <c r="FG169" s="15" t="s">
        <v>415</v>
      </c>
      <c r="FH169" s="15" t="s">
        <v>414</v>
      </c>
      <c r="FI169" s="15" t="s">
        <v>414</v>
      </c>
      <c r="FJ169" s="15" t="s">
        <v>414</v>
      </c>
      <c r="FK169" s="15" t="s">
        <v>414</v>
      </c>
      <c r="FL169" s="15" t="s">
        <v>414</v>
      </c>
      <c r="FM169" s="15" t="s">
        <v>415</v>
      </c>
      <c r="FN169" s="15" t="s">
        <v>414</v>
      </c>
      <c r="FO169" s="15" t="s">
        <v>1074</v>
      </c>
      <c r="FP169" s="15" t="s">
        <v>418</v>
      </c>
      <c r="FQ169" s="15" t="s">
        <v>419</v>
      </c>
      <c r="FR169" s="15" t="s">
        <v>3879</v>
      </c>
      <c r="FS169" s="15" t="s">
        <v>1871</v>
      </c>
      <c r="FT169" s="15" t="s">
        <v>421</v>
      </c>
      <c r="FU169" s="15" t="s">
        <v>489</v>
      </c>
      <c r="FV169" s="15" t="s">
        <v>1101</v>
      </c>
      <c r="FW169" s="15" t="s">
        <v>491</v>
      </c>
      <c r="FX169" s="15" t="s">
        <v>3880</v>
      </c>
      <c r="FY169" s="15" t="s">
        <v>1020</v>
      </c>
      <c r="FZ169" s="15" t="s">
        <v>3881</v>
      </c>
      <c r="GA169" s="15"/>
      <c r="GB169" s="15" t="s">
        <v>455</v>
      </c>
      <c r="GC169" s="15"/>
      <c r="GD169" s="15"/>
      <c r="GE169" s="15" t="s">
        <v>753</v>
      </c>
      <c r="GF169" s="15" t="s">
        <v>3882</v>
      </c>
      <c r="GG169" s="15"/>
      <c r="GH169" s="15"/>
      <c r="GI169" s="15"/>
      <c r="GJ169" s="15" t="s">
        <v>1000</v>
      </c>
      <c r="GK169" s="15" t="s">
        <v>1000</v>
      </c>
      <c r="GL169" s="15" t="s">
        <v>817</v>
      </c>
      <c r="GM169" s="15"/>
      <c r="GN169" s="15"/>
      <c r="GO169" s="15"/>
      <c r="GP169" s="15" t="s">
        <v>387</v>
      </c>
      <c r="GQ169" s="15" t="s">
        <v>3273</v>
      </c>
      <c r="GR169" s="15"/>
      <c r="GS169" s="15"/>
      <c r="GT169" s="15"/>
      <c r="GU169" s="15"/>
      <c r="GV169" s="15"/>
      <c r="GW169" s="15"/>
      <c r="GX169" s="15"/>
      <c r="GY169" s="15"/>
      <c r="GZ169" s="15"/>
      <c r="HA169" s="15"/>
      <c r="HB169" s="15"/>
      <c r="HC169" s="15"/>
      <c r="HD169" s="15"/>
      <c r="HE169" s="15"/>
      <c r="HF169" s="15"/>
      <c r="HG169" s="15"/>
      <c r="HH169" s="15"/>
      <c r="HI169" s="15"/>
      <c r="HJ169" s="15"/>
      <c r="HK169" s="15"/>
      <c r="HL169" s="15"/>
      <c r="HM169" s="15"/>
      <c r="HN169" s="15"/>
      <c r="HO169" s="15"/>
      <c r="HP169" s="31"/>
      <c r="MX169" s="29" t="s">
        <v>10402</v>
      </c>
      <c r="MY169" s="29" t="str">
        <f>IFERROR(__xludf.DUMMYFUNCTION("""COMPUTED_VALUE"""),"Idaho")</f>
        <v>Idaho</v>
      </c>
    </row>
    <row r="170" ht="16.5" customHeight="1">
      <c r="A170" s="30">
        <v>45831.93652824074</v>
      </c>
      <c r="B170" s="15" t="s">
        <v>368</v>
      </c>
      <c r="C170" s="15" t="s">
        <v>370</v>
      </c>
      <c r="D170" s="15"/>
      <c r="E170" s="15" t="s">
        <v>1382</v>
      </c>
      <c r="F170" s="15"/>
      <c r="G170" s="15" t="s">
        <v>3883</v>
      </c>
      <c r="H170" s="15" t="s">
        <v>637</v>
      </c>
      <c r="I170" s="15" t="s">
        <v>638</v>
      </c>
      <c r="J170" s="15" t="s">
        <v>425</v>
      </c>
      <c r="K170" s="15" t="s">
        <v>376</v>
      </c>
      <c r="L170" s="15" t="s">
        <v>377</v>
      </c>
      <c r="M170" s="15" t="s">
        <v>2464</v>
      </c>
      <c r="N170" s="15" t="s">
        <v>591</v>
      </c>
      <c r="O170" s="15" t="s">
        <v>3884</v>
      </c>
      <c r="P170" s="15" t="s">
        <v>1760</v>
      </c>
      <c r="Q170" s="15" t="s">
        <v>1156</v>
      </c>
      <c r="R170" s="15" t="s">
        <v>3885</v>
      </c>
      <c r="S170" s="15" t="s">
        <v>3886</v>
      </c>
      <c r="T170" s="15" t="s">
        <v>385</v>
      </c>
      <c r="U170" s="15"/>
      <c r="V170" s="15"/>
      <c r="W170" s="15" t="s">
        <v>593</v>
      </c>
      <c r="X170" s="15" t="s">
        <v>387</v>
      </c>
      <c r="Y170" s="15" t="s">
        <v>594</v>
      </c>
      <c r="Z170" s="15" t="s">
        <v>502</v>
      </c>
      <c r="AA170" s="15" t="s">
        <v>3887</v>
      </c>
      <c r="AB170" s="15" t="s">
        <v>3888</v>
      </c>
      <c r="AC170" s="15"/>
      <c r="AD170" s="15"/>
      <c r="AE170" s="15"/>
      <c r="AF170" s="15"/>
      <c r="AG170" s="15"/>
      <c r="AH170" s="15"/>
      <c r="AI170" s="15"/>
      <c r="AJ170" s="15"/>
      <c r="AK170" s="15"/>
      <c r="AL170" s="15"/>
      <c r="AM170" s="15"/>
      <c r="AN170" s="15"/>
      <c r="AO170" s="15"/>
      <c r="AP170" s="15"/>
      <c r="AQ170" s="15"/>
      <c r="AR170" s="15"/>
      <c r="AS170" s="15"/>
      <c r="AT170" s="15"/>
      <c r="AU170" s="15"/>
      <c r="AV170" s="15" t="s">
        <v>504</v>
      </c>
      <c r="AW170" s="15" t="s">
        <v>429</v>
      </c>
      <c r="AX170" s="15" t="s">
        <v>429</v>
      </c>
      <c r="AY170" s="15" t="s">
        <v>429</v>
      </c>
      <c r="AZ170" s="15" t="s">
        <v>429</v>
      </c>
      <c r="BA170" s="15" t="s">
        <v>429</v>
      </c>
      <c r="BB170" s="15" t="s">
        <v>429</v>
      </c>
      <c r="BC170" s="15" t="s">
        <v>3889</v>
      </c>
      <c r="BD170" s="15" t="s">
        <v>3890</v>
      </c>
      <c r="BE170" s="15" t="s">
        <v>392</v>
      </c>
      <c r="BF170" s="15" t="s">
        <v>433</v>
      </c>
      <c r="BG170" s="15" t="s">
        <v>678</v>
      </c>
      <c r="BH170" s="15" t="s">
        <v>3891</v>
      </c>
      <c r="BI170" s="15" t="s">
        <v>509</v>
      </c>
      <c r="BJ170" s="15" t="s">
        <v>3892</v>
      </c>
      <c r="BK170" s="15" t="s">
        <v>511</v>
      </c>
      <c r="BL170" s="15" t="s">
        <v>512</v>
      </c>
      <c r="BM170" s="15" t="s">
        <v>439</v>
      </c>
      <c r="BN170" s="15" t="s">
        <v>440</v>
      </c>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t="s">
        <v>441</v>
      </c>
      <c r="CM170" s="15" t="s">
        <v>604</v>
      </c>
      <c r="CN170" s="15" t="s">
        <v>3893</v>
      </c>
      <c r="CO170" s="15" t="s">
        <v>3894</v>
      </c>
      <c r="CP170" s="15" t="s">
        <v>1008</v>
      </c>
      <c r="CQ170" s="15" t="s">
        <v>3895</v>
      </c>
      <c r="CR170" s="15" t="s">
        <v>804</v>
      </c>
      <c r="CS170" s="15" t="s">
        <v>3896</v>
      </c>
      <c r="CT170" s="15" t="s">
        <v>913</v>
      </c>
      <c r="CU170" s="15" t="s">
        <v>450</v>
      </c>
      <c r="CV170" s="15" t="s">
        <v>451</v>
      </c>
      <c r="CW170" s="15" t="s">
        <v>3897</v>
      </c>
      <c r="CX170" s="15" t="s">
        <v>733</v>
      </c>
      <c r="CY170" s="15"/>
      <c r="CZ170" s="15" t="s">
        <v>453</v>
      </c>
      <c r="DA170" s="15" t="s">
        <v>3898</v>
      </c>
      <c r="DB170" s="15" t="s">
        <v>455</v>
      </c>
      <c r="DC170" s="15" t="s">
        <v>3899</v>
      </c>
      <c r="DD170" s="15" t="s">
        <v>457</v>
      </c>
      <c r="DE170" s="15"/>
      <c r="DF170" s="15" t="s">
        <v>3900</v>
      </c>
      <c r="DG170" s="15" t="s">
        <v>524</v>
      </c>
      <c r="DH170" s="15" t="s">
        <v>410</v>
      </c>
      <c r="DI170" s="15" t="s">
        <v>459</v>
      </c>
      <c r="DJ170" s="15" t="s">
        <v>613</v>
      </c>
      <c r="DK170" s="15"/>
      <c r="DL170" s="15"/>
      <c r="DM170" s="15" t="s">
        <v>3901</v>
      </c>
      <c r="DN170" s="15" t="s">
        <v>3902</v>
      </c>
      <c r="DO170" s="15" t="s">
        <v>464</v>
      </c>
      <c r="DP170" s="15" t="s">
        <v>3903</v>
      </c>
      <c r="DQ170" s="15" t="s">
        <v>1553</v>
      </c>
      <c r="DR170" s="15" t="s">
        <v>3904</v>
      </c>
      <c r="DS170" s="15" t="s">
        <v>468</v>
      </c>
      <c r="DT170" s="15" t="s">
        <v>3611</v>
      </c>
      <c r="DU170" s="15" t="s">
        <v>3905</v>
      </c>
      <c r="DV170" s="15" t="s">
        <v>3906</v>
      </c>
      <c r="DW170" s="15" t="s">
        <v>622</v>
      </c>
      <c r="DX170" s="15" t="s">
        <v>3907</v>
      </c>
      <c r="DY170" s="15" t="s">
        <v>3908</v>
      </c>
      <c r="DZ170" s="15" t="s">
        <v>3909</v>
      </c>
      <c r="EA170" s="15" t="s">
        <v>475</v>
      </c>
      <c r="EB170" s="15" t="s">
        <v>845</v>
      </c>
      <c r="EC170" s="15" t="s">
        <v>3910</v>
      </c>
      <c r="ED170" s="15"/>
      <c r="EE170" s="15"/>
      <c r="EF170" s="15"/>
      <c r="EG170" s="15"/>
      <c r="EH170" s="15"/>
      <c r="EI170" s="15"/>
      <c r="EJ170" s="15"/>
      <c r="EK170" s="15"/>
      <c r="EL170" s="15"/>
      <c r="EM170" s="15"/>
      <c r="EN170" s="15"/>
      <c r="EO170" s="15"/>
      <c r="EP170" s="15"/>
      <c r="EQ170" s="15"/>
      <c r="ER170" s="15"/>
      <c r="ES170" s="15"/>
      <c r="ET170" s="15" t="s">
        <v>478</v>
      </c>
      <c r="EU170" s="15" t="s">
        <v>479</v>
      </c>
      <c r="EV170" s="15" t="s">
        <v>778</v>
      </c>
      <c r="EW170" s="15" t="s">
        <v>3911</v>
      </c>
      <c r="EX170" s="15" t="s">
        <v>3912</v>
      </c>
      <c r="EY170" s="15" t="s">
        <v>3913</v>
      </c>
      <c r="EZ170" s="15" t="s">
        <v>583</v>
      </c>
      <c r="FA170" s="15" t="s">
        <v>583</v>
      </c>
      <c r="FB170" s="15" t="s">
        <v>583</v>
      </c>
      <c r="FC170" s="15" t="s">
        <v>583</v>
      </c>
      <c r="FD170" s="15" t="s">
        <v>583</v>
      </c>
      <c r="FE170" s="15" t="s">
        <v>583</v>
      </c>
      <c r="FF170" s="15" t="s">
        <v>583</v>
      </c>
      <c r="FG170" s="15" t="s">
        <v>413</v>
      </c>
      <c r="FH170" s="15" t="s">
        <v>583</v>
      </c>
      <c r="FI170" s="15" t="s">
        <v>583</v>
      </c>
      <c r="FJ170" s="15" t="s">
        <v>583</v>
      </c>
      <c r="FK170" s="15" t="s">
        <v>583</v>
      </c>
      <c r="FL170" s="15" t="s">
        <v>583</v>
      </c>
      <c r="FM170" s="15" t="s">
        <v>413</v>
      </c>
      <c r="FN170" s="15" t="s">
        <v>583</v>
      </c>
      <c r="FO170" s="15" t="s">
        <v>417</v>
      </c>
      <c r="FP170" s="15" t="s">
        <v>418</v>
      </c>
      <c r="FQ170" s="15" t="s">
        <v>712</v>
      </c>
      <c r="FR170" s="15" t="s">
        <v>3914</v>
      </c>
      <c r="FS170" s="15" t="s">
        <v>420</v>
      </c>
      <c r="FT170" s="15" t="s">
        <v>488</v>
      </c>
      <c r="FU170" s="15" t="s">
        <v>533</v>
      </c>
      <c r="FV170" s="15" t="s">
        <v>490</v>
      </c>
      <c r="FW170" s="15" t="s">
        <v>491</v>
      </c>
      <c r="FX170" s="15" t="s">
        <v>3915</v>
      </c>
      <c r="FY170" s="15" t="s">
        <v>535</v>
      </c>
      <c r="FZ170" s="15" t="s">
        <v>3916</v>
      </c>
      <c r="GA170" s="15" t="s">
        <v>408</v>
      </c>
      <c r="GB170" s="15" t="s">
        <v>455</v>
      </c>
      <c r="GC170" s="15"/>
      <c r="GD170" s="15"/>
      <c r="GE170" s="15" t="s">
        <v>753</v>
      </c>
      <c r="GF170" s="15" t="s">
        <v>3917</v>
      </c>
      <c r="GG170" s="15" t="s">
        <v>755</v>
      </c>
      <c r="GH170" s="15" t="s">
        <v>755</v>
      </c>
      <c r="GI170" s="15" t="s">
        <v>946</v>
      </c>
      <c r="GJ170" s="15"/>
      <c r="GK170" s="15"/>
      <c r="GL170" s="15"/>
      <c r="GM170" s="15" t="s">
        <v>1079</v>
      </c>
      <c r="GN170" s="15"/>
      <c r="GO170" s="15"/>
      <c r="GP170" s="15"/>
      <c r="GQ170" s="15" t="s">
        <v>3918</v>
      </c>
      <c r="GR170" s="15"/>
      <c r="GS170" s="15"/>
      <c r="GT170" s="15"/>
      <c r="GU170" s="15"/>
      <c r="GV170" s="15"/>
      <c r="GW170" s="15"/>
      <c r="GX170" s="15"/>
      <c r="GY170" s="15"/>
      <c r="GZ170" s="15"/>
      <c r="HA170" s="15"/>
      <c r="HB170" s="15"/>
      <c r="HC170" s="15"/>
      <c r="HD170" s="15"/>
      <c r="HE170" s="15"/>
      <c r="HF170" s="15"/>
      <c r="HG170" s="15"/>
      <c r="HH170" s="15"/>
      <c r="HI170" s="15"/>
      <c r="HJ170" s="15"/>
      <c r="HK170" s="15"/>
      <c r="HL170" s="15"/>
      <c r="HM170" s="15"/>
      <c r="HN170" s="15"/>
      <c r="HO170" s="15"/>
      <c r="HP170" s="31"/>
      <c r="MX170" s="29" t="s">
        <v>10402</v>
      </c>
      <c r="MY170" s="29" t="str">
        <f>IFERROR(__xludf.DUMMYFUNCTION("""COMPUTED_VALUE"""),"New York")</f>
        <v>New York</v>
      </c>
    </row>
    <row r="171" ht="16.5" customHeight="1">
      <c r="A171" s="30">
        <v>45832.168814212964</v>
      </c>
      <c r="B171" s="15" t="s">
        <v>368</v>
      </c>
      <c r="C171" s="15" t="s">
        <v>370</v>
      </c>
      <c r="D171" s="15"/>
      <c r="E171" s="15" t="s">
        <v>667</v>
      </c>
      <c r="F171" s="15"/>
      <c r="G171" s="15" t="s">
        <v>792</v>
      </c>
      <c r="H171" s="15" t="s">
        <v>373</v>
      </c>
      <c r="I171" s="15" t="s">
        <v>374</v>
      </c>
      <c r="J171" s="15" t="s">
        <v>375</v>
      </c>
      <c r="K171" s="15" t="s">
        <v>376</v>
      </c>
      <c r="L171" s="15" t="s">
        <v>379</v>
      </c>
      <c r="M171" s="15" t="s">
        <v>3919</v>
      </c>
      <c r="N171" s="15" t="s">
        <v>670</v>
      </c>
      <c r="O171" s="15" t="s">
        <v>720</v>
      </c>
      <c r="P171" s="15" t="s">
        <v>381</v>
      </c>
      <c r="Q171" s="15" t="s">
        <v>1156</v>
      </c>
      <c r="R171" s="15" t="s">
        <v>427</v>
      </c>
      <c r="S171" s="15" t="s">
        <v>384</v>
      </c>
      <c r="T171" s="15" t="s">
        <v>385</v>
      </c>
      <c r="U171" s="15"/>
      <c r="V171" s="15"/>
      <c r="W171" s="15" t="s">
        <v>3014</v>
      </c>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t="s">
        <v>504</v>
      </c>
      <c r="AW171" s="15" t="s">
        <v>429</v>
      </c>
      <c r="AX171" s="15" t="s">
        <v>429</v>
      </c>
      <c r="AY171" s="15" t="s">
        <v>429</v>
      </c>
      <c r="AZ171" s="15" t="s">
        <v>429</v>
      </c>
      <c r="BA171" s="15" t="s">
        <v>429</v>
      </c>
      <c r="BB171" s="15" t="s">
        <v>429</v>
      </c>
      <c r="BC171" s="15" t="s">
        <v>3920</v>
      </c>
      <c r="BD171" s="15" t="s">
        <v>3921</v>
      </c>
      <c r="BE171" s="15" t="s">
        <v>392</v>
      </c>
      <c r="BF171" s="15" t="s">
        <v>433</v>
      </c>
      <c r="BG171" s="15" t="s">
        <v>678</v>
      </c>
      <c r="BH171" s="15"/>
      <c r="BI171" s="15" t="s">
        <v>976</v>
      </c>
      <c r="BJ171" s="15"/>
      <c r="BK171" s="15" t="s">
        <v>681</v>
      </c>
      <c r="BL171" s="15" t="s">
        <v>904</v>
      </c>
      <c r="BM171" s="15" t="s">
        <v>439</v>
      </c>
      <c r="BN171" s="15" t="s">
        <v>513</v>
      </c>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t="s">
        <v>953</v>
      </c>
      <c r="CM171" s="15" t="s">
        <v>401</v>
      </c>
      <c r="CN171" s="15" t="s">
        <v>2829</v>
      </c>
      <c r="CO171" s="15" t="s">
        <v>3922</v>
      </c>
      <c r="CP171" s="15" t="s">
        <v>979</v>
      </c>
      <c r="CQ171" s="15" t="s">
        <v>3923</v>
      </c>
      <c r="CR171" s="15" t="s">
        <v>804</v>
      </c>
      <c r="CS171" s="15" t="s">
        <v>3924</v>
      </c>
      <c r="CT171" s="15" t="s">
        <v>3925</v>
      </c>
      <c r="CU171" s="15" t="s">
        <v>450</v>
      </c>
      <c r="CV171" s="15" t="s">
        <v>451</v>
      </c>
      <c r="CW171" s="15" t="s">
        <v>3926</v>
      </c>
      <c r="CX171" s="15" t="s">
        <v>733</v>
      </c>
      <c r="CY171" s="15"/>
      <c r="CZ171" s="15" t="s">
        <v>453</v>
      </c>
      <c r="DA171" s="15" t="s">
        <v>3927</v>
      </c>
      <c r="DB171" s="15" t="s">
        <v>455</v>
      </c>
      <c r="DC171" s="15" t="s">
        <v>3928</v>
      </c>
      <c r="DD171" s="15" t="s">
        <v>457</v>
      </c>
      <c r="DE171" s="15"/>
      <c r="DF171" s="15" t="s">
        <v>3929</v>
      </c>
      <c r="DG171" s="15" t="s">
        <v>776</v>
      </c>
      <c r="DH171" s="15" t="s">
        <v>410</v>
      </c>
      <c r="DI171" s="15" t="s">
        <v>459</v>
      </c>
      <c r="DJ171" s="15" t="s">
        <v>460</v>
      </c>
      <c r="DK171" s="15" t="s">
        <v>563</v>
      </c>
      <c r="DL171" s="15" t="s">
        <v>3930</v>
      </c>
      <c r="DM171" s="15"/>
      <c r="DN171" s="15"/>
      <c r="DO171" s="15"/>
      <c r="DP171" s="15"/>
      <c r="DQ171" s="15"/>
      <c r="DR171" s="15"/>
      <c r="DS171" s="15"/>
      <c r="DT171" s="15"/>
      <c r="DU171" s="15"/>
      <c r="DV171" s="15"/>
      <c r="DW171" s="15"/>
      <c r="DX171" s="15"/>
      <c r="DY171" s="15"/>
      <c r="DZ171" s="15"/>
      <c r="EA171" s="15"/>
      <c r="EB171" s="15"/>
      <c r="EC171" s="15"/>
      <c r="ED171" s="15"/>
      <c r="EE171" s="15"/>
      <c r="EF171" s="15"/>
      <c r="EG171" s="15"/>
      <c r="EH171" s="15"/>
      <c r="EI171" s="15"/>
      <c r="EJ171" s="15"/>
      <c r="EK171" s="15"/>
      <c r="EL171" s="15"/>
      <c r="EM171" s="15"/>
      <c r="EN171" s="15"/>
      <c r="EO171" s="15"/>
      <c r="EP171" s="15"/>
      <c r="EQ171" s="15"/>
      <c r="ER171" s="15"/>
      <c r="ES171" s="15"/>
      <c r="ET171" s="15" t="s">
        <v>526</v>
      </c>
      <c r="EU171" s="15"/>
      <c r="EV171" s="15" t="s">
        <v>480</v>
      </c>
      <c r="EW171" s="15"/>
      <c r="EX171" s="15" t="s">
        <v>3931</v>
      </c>
      <c r="EY171" s="15" t="s">
        <v>3932</v>
      </c>
      <c r="EZ171" s="15" t="s">
        <v>583</v>
      </c>
      <c r="FA171" s="15" t="s">
        <v>583</v>
      </c>
      <c r="FB171" s="15" t="s">
        <v>583</v>
      </c>
      <c r="FC171" s="15" t="s">
        <v>583</v>
      </c>
      <c r="FD171" s="15" t="s">
        <v>583</v>
      </c>
      <c r="FE171" s="15" t="s">
        <v>583</v>
      </c>
      <c r="FF171" s="15" t="s">
        <v>583</v>
      </c>
      <c r="FG171" s="15" t="s">
        <v>415</v>
      </c>
      <c r="FH171" s="15" t="s">
        <v>415</v>
      </c>
      <c r="FI171" s="15" t="s">
        <v>583</v>
      </c>
      <c r="FJ171" s="15" t="s">
        <v>583</v>
      </c>
      <c r="FK171" s="15" t="s">
        <v>583</v>
      </c>
      <c r="FL171" s="15" t="s">
        <v>583</v>
      </c>
      <c r="FM171" s="15" t="s">
        <v>415</v>
      </c>
      <c r="FN171" s="15" t="s">
        <v>415</v>
      </c>
      <c r="FO171" s="15" t="s">
        <v>417</v>
      </c>
      <c r="FP171" s="15" t="s">
        <v>2524</v>
      </c>
      <c r="FQ171" s="15" t="s">
        <v>630</v>
      </c>
      <c r="FR171" s="15" t="s">
        <v>3933</v>
      </c>
      <c r="FS171" s="15" t="s">
        <v>420</v>
      </c>
      <c r="FT171" s="15" t="s">
        <v>488</v>
      </c>
      <c r="FU171" s="15" t="s">
        <v>533</v>
      </c>
      <c r="FV171" s="15" t="s">
        <v>490</v>
      </c>
      <c r="FW171" s="15" t="s">
        <v>491</v>
      </c>
      <c r="FX171" s="15" t="s">
        <v>3934</v>
      </c>
      <c r="FY171" s="15" t="s">
        <v>535</v>
      </c>
      <c r="FZ171" s="15" t="s">
        <v>3935</v>
      </c>
      <c r="GA171" s="15" t="s">
        <v>3936</v>
      </c>
      <c r="GB171" s="15" t="s">
        <v>455</v>
      </c>
      <c r="GC171" s="15"/>
      <c r="GD171" s="15"/>
      <c r="GE171" s="15" t="s">
        <v>1339</v>
      </c>
      <c r="GF171" s="15"/>
      <c r="GG171" s="15" t="s">
        <v>755</v>
      </c>
      <c r="GH171" s="15" t="s">
        <v>755</v>
      </c>
      <c r="GI171" s="15" t="s">
        <v>946</v>
      </c>
      <c r="GJ171" s="15"/>
      <c r="GK171" s="15"/>
      <c r="GL171" s="15"/>
      <c r="GM171" s="15"/>
      <c r="GN171" s="15"/>
      <c r="GO171" s="15"/>
      <c r="GP171" s="15"/>
      <c r="GQ171" s="15" t="s">
        <v>3937</v>
      </c>
      <c r="GR171" s="15"/>
      <c r="GS171" s="15"/>
      <c r="GT171" s="15"/>
      <c r="GU171" s="15"/>
      <c r="GV171" s="15"/>
      <c r="GW171" s="15"/>
      <c r="GX171" s="15"/>
      <c r="GY171" s="15"/>
      <c r="GZ171" s="15"/>
      <c r="HA171" s="15"/>
      <c r="HB171" s="15"/>
      <c r="HC171" s="15"/>
      <c r="HD171" s="15"/>
      <c r="HE171" s="15"/>
      <c r="HF171" s="15"/>
      <c r="HG171" s="15"/>
      <c r="HH171" s="15"/>
      <c r="HI171" s="15"/>
      <c r="HJ171" s="15"/>
      <c r="HK171" s="15"/>
      <c r="HL171" s="15"/>
      <c r="HM171" s="15"/>
      <c r="HN171" s="15"/>
      <c r="HO171" s="15"/>
      <c r="HP171" s="31"/>
      <c r="MX171" s="29" t="s">
        <v>10402</v>
      </c>
      <c r="MY171" s="29" t="str">
        <f>IFERROR(__xludf.DUMMYFUNCTION("""COMPUTED_VALUE"""),"Indiana")</f>
        <v>Indiana</v>
      </c>
    </row>
    <row r="172" ht="16.5" customHeight="1">
      <c r="A172" s="30">
        <v>45832.22020383102</v>
      </c>
      <c r="B172" s="15" t="s">
        <v>368</v>
      </c>
      <c r="C172" s="15" t="s">
        <v>370</v>
      </c>
      <c r="D172" s="15"/>
      <c r="E172" s="15" t="s">
        <v>757</v>
      </c>
      <c r="F172" s="15"/>
      <c r="G172" s="15" t="s">
        <v>422</v>
      </c>
      <c r="H172" s="15" t="s">
        <v>373</v>
      </c>
      <c r="I172" s="15" t="s">
        <v>638</v>
      </c>
      <c r="J172" s="15" t="s">
        <v>425</v>
      </c>
      <c r="K172" s="15" t="s">
        <v>376</v>
      </c>
      <c r="L172" s="15" t="s">
        <v>1526</v>
      </c>
      <c r="M172" s="15" t="s">
        <v>720</v>
      </c>
      <c r="N172" s="15" t="s">
        <v>1526</v>
      </c>
      <c r="O172" s="15" t="s">
        <v>380</v>
      </c>
      <c r="P172" s="15" t="s">
        <v>498</v>
      </c>
      <c r="Q172" s="15" t="s">
        <v>818</v>
      </c>
      <c r="R172" s="15" t="s">
        <v>427</v>
      </c>
      <c r="S172" s="15" t="s">
        <v>384</v>
      </c>
      <c r="T172" s="15" t="s">
        <v>385</v>
      </c>
      <c r="U172" s="15"/>
      <c r="V172" s="15"/>
      <c r="W172" s="15" t="s">
        <v>386</v>
      </c>
      <c r="X172" s="15" t="s">
        <v>387</v>
      </c>
      <c r="Y172" s="15" t="s">
        <v>761</v>
      </c>
      <c r="Z172" s="15" t="s">
        <v>543</v>
      </c>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t="s">
        <v>1310</v>
      </c>
      <c r="AW172" s="15" t="s">
        <v>675</v>
      </c>
      <c r="AX172" s="15" t="s">
        <v>675</v>
      </c>
      <c r="AY172" s="15" t="s">
        <v>675</v>
      </c>
      <c r="AZ172" s="15" t="s">
        <v>675</v>
      </c>
      <c r="BA172" s="15" t="s">
        <v>675</v>
      </c>
      <c r="BB172" s="15" t="s">
        <v>675</v>
      </c>
      <c r="BC172" s="15" t="s">
        <v>3938</v>
      </c>
      <c r="BD172" s="15" t="s">
        <v>3939</v>
      </c>
      <c r="BE172" s="15" t="s">
        <v>2379</v>
      </c>
      <c r="BF172" s="15" t="s">
        <v>1047</v>
      </c>
      <c r="BG172" s="15" t="s">
        <v>394</v>
      </c>
      <c r="BH172" s="15" t="s">
        <v>3940</v>
      </c>
      <c r="BI172" s="15" t="s">
        <v>976</v>
      </c>
      <c r="BJ172" s="15"/>
      <c r="BK172" s="15" t="s">
        <v>395</v>
      </c>
      <c r="BL172" s="15" t="s">
        <v>603</v>
      </c>
      <c r="BM172" s="15" t="s">
        <v>1314</v>
      </c>
      <c r="BN172" s="15" t="s">
        <v>398</v>
      </c>
      <c r="BO172" s="15" t="s">
        <v>3941</v>
      </c>
      <c r="BP172" s="15" t="s">
        <v>3942</v>
      </c>
      <c r="BQ172" s="15" t="s">
        <v>604</v>
      </c>
      <c r="BR172" s="15" t="s">
        <v>3943</v>
      </c>
      <c r="BS172" s="15" t="s">
        <v>1671</v>
      </c>
      <c r="BT172" s="15"/>
      <c r="BU172" s="15" t="s">
        <v>405</v>
      </c>
      <c r="BV172" s="15"/>
      <c r="BW172" s="15" t="s">
        <v>988</v>
      </c>
      <c r="BX172" s="15"/>
      <c r="BY172" s="15" t="s">
        <v>408</v>
      </c>
      <c r="BZ172" s="15"/>
      <c r="CA172" s="15" t="s">
        <v>3944</v>
      </c>
      <c r="CB172" s="15" t="s">
        <v>3945</v>
      </c>
      <c r="CC172" s="15" t="s">
        <v>3946</v>
      </c>
      <c r="CD172" s="15" t="s">
        <v>1257</v>
      </c>
      <c r="CE172" s="15"/>
      <c r="CF172" s="15" t="s">
        <v>1258</v>
      </c>
      <c r="CG172" s="15"/>
      <c r="CH172" s="15" t="s">
        <v>1259</v>
      </c>
      <c r="CI172" s="15" t="s">
        <v>410</v>
      </c>
      <c r="CJ172" s="15" t="s">
        <v>3947</v>
      </c>
      <c r="CK172" s="15" t="s">
        <v>3948</v>
      </c>
      <c r="CL172" s="15"/>
      <c r="CM172" s="15"/>
      <c r="CN172" s="15"/>
      <c r="CO172" s="15"/>
      <c r="CP172" s="15"/>
      <c r="CQ172" s="15"/>
      <c r="CR172" s="15"/>
      <c r="CS172" s="15"/>
      <c r="CT172" s="15"/>
      <c r="CU172" s="15"/>
      <c r="CV172" s="15"/>
      <c r="CW172" s="15"/>
      <c r="CX172" s="15"/>
      <c r="CY172" s="15"/>
      <c r="CZ172" s="15"/>
      <c r="DA172" s="15"/>
      <c r="DB172" s="15"/>
      <c r="DC172" s="15"/>
      <c r="DD172" s="15"/>
      <c r="DE172" s="15"/>
      <c r="DF172" s="15"/>
      <c r="DG172" s="15"/>
      <c r="DH172" s="15"/>
      <c r="DI172" s="15"/>
      <c r="DJ172" s="15"/>
      <c r="DK172" s="15"/>
      <c r="DL172" s="15"/>
      <c r="DM172" s="15"/>
      <c r="DN172" s="15"/>
      <c r="DO172" s="15"/>
      <c r="DP172" s="15"/>
      <c r="DQ172" s="15"/>
      <c r="DR172" s="15"/>
      <c r="DS172" s="15"/>
      <c r="DT172" s="15"/>
      <c r="DU172" s="15"/>
      <c r="DV172" s="15"/>
      <c r="DW172" s="15"/>
      <c r="DX172" s="15"/>
      <c r="DY172" s="15"/>
      <c r="DZ172" s="15"/>
      <c r="EA172" s="15"/>
      <c r="EB172" s="15"/>
      <c r="EC172" s="15"/>
      <c r="ED172" s="15"/>
      <c r="EE172" s="15"/>
      <c r="EF172" s="15"/>
      <c r="EG172" s="15"/>
      <c r="EH172" s="15"/>
      <c r="EI172" s="15"/>
      <c r="EJ172" s="15"/>
      <c r="EK172" s="15"/>
      <c r="EL172" s="15"/>
      <c r="EM172" s="15"/>
      <c r="EN172" s="15"/>
      <c r="EO172" s="15"/>
      <c r="EP172" s="15"/>
      <c r="EQ172" s="15"/>
      <c r="ER172" s="15"/>
      <c r="ES172" s="15"/>
      <c r="ET172" s="15" t="s">
        <v>526</v>
      </c>
      <c r="EU172" s="15" t="s">
        <v>479</v>
      </c>
      <c r="EV172" s="15" t="s">
        <v>778</v>
      </c>
      <c r="EW172" s="15" t="s">
        <v>3949</v>
      </c>
      <c r="EX172" s="15" t="s">
        <v>3950</v>
      </c>
      <c r="EY172" s="15" t="s">
        <v>3951</v>
      </c>
      <c r="EZ172" s="15" t="s">
        <v>413</v>
      </c>
      <c r="FA172" s="15" t="s">
        <v>413</v>
      </c>
      <c r="FB172" s="15" t="s">
        <v>413</v>
      </c>
      <c r="FC172" s="15" t="s">
        <v>415</v>
      </c>
      <c r="FD172" s="15" t="s">
        <v>413</v>
      </c>
      <c r="FE172" s="15" t="s">
        <v>415</v>
      </c>
      <c r="FF172" s="15" t="s">
        <v>413</v>
      </c>
      <c r="FG172" s="15" t="s">
        <v>413</v>
      </c>
      <c r="FH172" s="15" t="s">
        <v>415</v>
      </c>
      <c r="FI172" s="15" t="s">
        <v>583</v>
      </c>
      <c r="FJ172" s="15" t="s">
        <v>414</v>
      </c>
      <c r="FK172" s="15" t="s">
        <v>413</v>
      </c>
      <c r="FL172" s="15" t="s">
        <v>415</v>
      </c>
      <c r="FM172" s="15" t="s">
        <v>415</v>
      </c>
      <c r="FN172" s="15" t="s">
        <v>415</v>
      </c>
      <c r="FO172" s="15" t="s">
        <v>417</v>
      </c>
      <c r="FP172" s="15" t="s">
        <v>418</v>
      </c>
      <c r="FQ172" s="15" t="s">
        <v>749</v>
      </c>
      <c r="FR172" s="15" t="s">
        <v>3952</v>
      </c>
      <c r="FS172" s="15" t="s">
        <v>420</v>
      </c>
      <c r="FT172" s="15" t="s">
        <v>488</v>
      </c>
      <c r="FU172" s="15" t="s">
        <v>489</v>
      </c>
      <c r="FV172" s="15" t="s">
        <v>490</v>
      </c>
      <c r="FW172" s="15" t="s">
        <v>491</v>
      </c>
      <c r="FX172" s="15" t="s">
        <v>3953</v>
      </c>
      <c r="FY172" s="15" t="s">
        <v>535</v>
      </c>
      <c r="FZ172" s="15" t="s">
        <v>3954</v>
      </c>
      <c r="GA172" s="15"/>
      <c r="GB172" s="15" t="s">
        <v>455</v>
      </c>
      <c r="GC172" s="15"/>
      <c r="GD172" s="15"/>
      <c r="GE172" s="15" t="s">
        <v>855</v>
      </c>
      <c r="GF172" s="15"/>
      <c r="GG172" s="15"/>
      <c r="GH172" s="15"/>
      <c r="GI172" s="15"/>
      <c r="GJ172" s="15" t="s">
        <v>788</v>
      </c>
      <c r="GK172" s="15" t="s">
        <v>788</v>
      </c>
      <c r="GL172" s="15" t="s">
        <v>946</v>
      </c>
      <c r="GM172" s="15"/>
      <c r="GN172" s="15"/>
      <c r="GO172" s="15"/>
      <c r="GP172" s="15"/>
      <c r="GQ172" s="15" t="s">
        <v>3273</v>
      </c>
      <c r="GR172" s="15"/>
      <c r="GS172" s="15"/>
      <c r="GT172" s="15"/>
      <c r="GU172" s="15"/>
      <c r="GV172" s="15"/>
      <c r="GW172" s="15"/>
      <c r="GX172" s="15"/>
      <c r="GY172" s="15"/>
      <c r="GZ172" s="15"/>
      <c r="HA172" s="15"/>
      <c r="HB172" s="15"/>
      <c r="HC172" s="15"/>
      <c r="HD172" s="15"/>
      <c r="HE172" s="15"/>
      <c r="HF172" s="15"/>
      <c r="HG172" s="15"/>
      <c r="HH172" s="15"/>
      <c r="HI172" s="15"/>
      <c r="HJ172" s="15"/>
      <c r="HK172" s="15"/>
      <c r="HL172" s="15"/>
      <c r="HM172" s="15"/>
      <c r="HN172" s="15"/>
      <c r="HO172" s="15"/>
      <c r="HP172" s="31"/>
      <c r="MX172" s="29" t="s">
        <v>10402</v>
      </c>
      <c r="MY172" s="29" t="str">
        <f>IFERROR(__xludf.DUMMYFUNCTION("""COMPUTED_VALUE"""),"North Carolina")</f>
        <v>North Carolina</v>
      </c>
    </row>
    <row r="173" ht="16.5" customHeight="1">
      <c r="A173" s="30">
        <v>45832.38233418981</v>
      </c>
      <c r="B173" s="15" t="s">
        <v>368</v>
      </c>
      <c r="C173" s="15" t="s">
        <v>370</v>
      </c>
      <c r="D173" s="15"/>
      <c r="E173" s="15" t="s">
        <v>3955</v>
      </c>
      <c r="F173" s="15"/>
      <c r="G173" s="15" t="s">
        <v>422</v>
      </c>
      <c r="H173" s="15" t="s">
        <v>496</v>
      </c>
      <c r="I173" s="15" t="s">
        <v>374</v>
      </c>
      <c r="J173" s="15" t="s">
        <v>718</v>
      </c>
      <c r="K173" s="15" t="s">
        <v>376</v>
      </c>
      <c r="L173" s="15" t="s">
        <v>793</v>
      </c>
      <c r="M173" s="15" t="s">
        <v>1270</v>
      </c>
      <c r="N173" s="15" t="s">
        <v>670</v>
      </c>
      <c r="O173" s="15" t="s">
        <v>3956</v>
      </c>
      <c r="P173" s="15" t="s">
        <v>498</v>
      </c>
      <c r="Q173" s="15" t="s">
        <v>862</v>
      </c>
      <c r="R173" s="15" t="s">
        <v>1901</v>
      </c>
      <c r="S173" s="15" t="s">
        <v>3957</v>
      </c>
      <c r="T173" s="15" t="s">
        <v>385</v>
      </c>
      <c r="U173" s="15"/>
      <c r="V173" s="15"/>
      <c r="W173" s="15" t="s">
        <v>3014</v>
      </c>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t="s">
        <v>1242</v>
      </c>
      <c r="AW173" s="15" t="s">
        <v>675</v>
      </c>
      <c r="AX173" s="15" t="s">
        <v>675</v>
      </c>
      <c r="AY173" s="15">
        <v>4.0</v>
      </c>
      <c r="AZ173" s="15">
        <v>4.0</v>
      </c>
      <c r="BA173" s="15" t="s">
        <v>675</v>
      </c>
      <c r="BB173" s="15" t="s">
        <v>675</v>
      </c>
      <c r="BC173" s="15" t="s">
        <v>3958</v>
      </c>
      <c r="BD173" s="15" t="s">
        <v>3959</v>
      </c>
      <c r="BE173" s="15" t="s">
        <v>432</v>
      </c>
      <c r="BF173" s="15" t="s">
        <v>1047</v>
      </c>
      <c r="BG173" s="15" t="s">
        <v>765</v>
      </c>
      <c r="BH173" s="15"/>
      <c r="BI173" s="15" t="s">
        <v>727</v>
      </c>
      <c r="BJ173" s="15"/>
      <c r="BK173" s="15" t="s">
        <v>681</v>
      </c>
      <c r="BL173" s="15" t="s">
        <v>904</v>
      </c>
      <c r="BM173" s="15" t="s">
        <v>1247</v>
      </c>
      <c r="BN173" s="15" t="s">
        <v>398</v>
      </c>
      <c r="BO173" s="15" t="s">
        <v>3960</v>
      </c>
      <c r="BP173" s="15" t="s">
        <v>3961</v>
      </c>
      <c r="BQ173" s="15" t="s">
        <v>442</v>
      </c>
      <c r="BR173" s="15" t="s">
        <v>3962</v>
      </c>
      <c r="BS173" s="15" t="s">
        <v>1741</v>
      </c>
      <c r="BT173" s="15" t="s">
        <v>404</v>
      </c>
      <c r="BU173" s="15" t="s">
        <v>1772</v>
      </c>
      <c r="BV173" s="15" t="s">
        <v>3963</v>
      </c>
      <c r="BW173" s="15" t="s">
        <v>988</v>
      </c>
      <c r="BX173" s="15"/>
      <c r="BY173" s="15" t="s">
        <v>408</v>
      </c>
      <c r="BZ173" s="15" t="s">
        <v>3964</v>
      </c>
      <c r="CA173" s="15"/>
      <c r="CB173" s="15" t="s">
        <v>3965</v>
      </c>
      <c r="CC173" s="15" t="s">
        <v>3966</v>
      </c>
      <c r="CD173" s="15" t="s">
        <v>409</v>
      </c>
      <c r="CE173" s="15" t="s">
        <v>3967</v>
      </c>
      <c r="CF173" s="15" t="s">
        <v>1722</v>
      </c>
      <c r="CG173" s="15" t="s">
        <v>3968</v>
      </c>
      <c r="CH173" s="15" t="s">
        <v>1698</v>
      </c>
      <c r="CI173" s="15" t="s">
        <v>410</v>
      </c>
      <c r="CJ173" s="15" t="s">
        <v>2506</v>
      </c>
      <c r="CK173" s="15" t="s">
        <v>3969</v>
      </c>
      <c r="CL173" s="15"/>
      <c r="CM173" s="15"/>
      <c r="CN173" s="15"/>
      <c r="CO173" s="15"/>
      <c r="CP173" s="15"/>
      <c r="CQ173" s="15"/>
      <c r="CR173" s="15"/>
      <c r="CS173" s="15"/>
      <c r="CT173" s="15"/>
      <c r="CU173" s="15"/>
      <c r="CV173" s="15"/>
      <c r="CW173" s="15"/>
      <c r="CX173" s="15"/>
      <c r="CY173" s="15"/>
      <c r="CZ173" s="15"/>
      <c r="DA173" s="15"/>
      <c r="DB173" s="15"/>
      <c r="DC173" s="15"/>
      <c r="DD173" s="15"/>
      <c r="DE173" s="15"/>
      <c r="DF173" s="15"/>
      <c r="DG173" s="15"/>
      <c r="DH173" s="15"/>
      <c r="DI173" s="15"/>
      <c r="DJ173" s="15"/>
      <c r="DK173" s="15"/>
      <c r="DL173" s="15"/>
      <c r="DM173" s="15"/>
      <c r="DN173" s="15"/>
      <c r="DO173" s="15"/>
      <c r="DP173" s="15"/>
      <c r="DQ173" s="15"/>
      <c r="DR173" s="15"/>
      <c r="DS173" s="15"/>
      <c r="DT173" s="15"/>
      <c r="DU173" s="15"/>
      <c r="DV173" s="15"/>
      <c r="DW173" s="15"/>
      <c r="DX173" s="15"/>
      <c r="DY173" s="15"/>
      <c r="DZ173" s="15"/>
      <c r="EA173" s="15"/>
      <c r="EB173" s="15"/>
      <c r="EC173" s="15"/>
      <c r="ED173" s="15"/>
      <c r="EE173" s="15"/>
      <c r="EF173" s="15"/>
      <c r="EG173" s="15"/>
      <c r="EH173" s="15"/>
      <c r="EI173" s="15"/>
      <c r="EJ173" s="15"/>
      <c r="EK173" s="15"/>
      <c r="EL173" s="15"/>
      <c r="EM173" s="15"/>
      <c r="EN173" s="15"/>
      <c r="EO173" s="15"/>
      <c r="EP173" s="15"/>
      <c r="EQ173" s="15"/>
      <c r="ER173" s="15"/>
      <c r="ES173" s="15"/>
      <c r="ET173" s="15" t="s">
        <v>578</v>
      </c>
      <c r="EU173" s="15" t="s">
        <v>479</v>
      </c>
      <c r="EV173" s="15" t="s">
        <v>1262</v>
      </c>
      <c r="EW173" s="15"/>
      <c r="EX173" s="15" t="s">
        <v>3970</v>
      </c>
      <c r="EY173" s="15" t="s">
        <v>3971</v>
      </c>
      <c r="EZ173" s="15"/>
      <c r="FA173" s="15"/>
      <c r="FB173" s="15"/>
      <c r="FC173" s="15"/>
      <c r="FD173" s="15"/>
      <c r="FE173" s="15"/>
      <c r="FF173" s="15"/>
      <c r="FG173" s="15"/>
      <c r="FH173" s="15"/>
      <c r="FI173" s="15"/>
      <c r="FJ173" s="15"/>
      <c r="FK173" s="15"/>
      <c r="FL173" s="15"/>
      <c r="FM173" s="15"/>
      <c r="FN173" s="15"/>
      <c r="FO173" s="15" t="s">
        <v>417</v>
      </c>
      <c r="FP173" s="15" t="s">
        <v>486</v>
      </c>
      <c r="FQ173" s="15" t="s">
        <v>712</v>
      </c>
      <c r="FR173" s="15"/>
      <c r="FS173" s="15" t="s">
        <v>420</v>
      </c>
      <c r="FT173" s="15" t="s">
        <v>488</v>
      </c>
      <c r="FU173" s="15" t="s">
        <v>489</v>
      </c>
      <c r="FV173" s="15" t="s">
        <v>490</v>
      </c>
      <c r="FW173" s="15" t="s">
        <v>491</v>
      </c>
      <c r="FX173" s="15" t="s">
        <v>3972</v>
      </c>
      <c r="FY173" s="15" t="s">
        <v>493</v>
      </c>
      <c r="FZ173" s="15"/>
      <c r="GA173" s="15"/>
      <c r="GB173" s="15" t="s">
        <v>408</v>
      </c>
      <c r="GC173" s="15"/>
      <c r="GD173" s="15"/>
      <c r="GE173" s="15"/>
      <c r="GF173" s="15"/>
      <c r="GG173" s="15"/>
      <c r="GH173" s="15"/>
      <c r="GI173" s="15"/>
      <c r="GJ173" s="15" t="s">
        <v>1000</v>
      </c>
      <c r="GK173" s="15" t="s">
        <v>1000</v>
      </c>
      <c r="GL173" s="15" t="s">
        <v>756</v>
      </c>
      <c r="GM173" s="15"/>
      <c r="GN173" s="15"/>
      <c r="GO173" s="15"/>
      <c r="GP173" s="15"/>
      <c r="GQ173" s="15" t="s">
        <v>3208</v>
      </c>
      <c r="GR173" s="15"/>
      <c r="GS173" s="15"/>
      <c r="GT173" s="15"/>
      <c r="GU173" s="15"/>
      <c r="GV173" s="15"/>
      <c r="GW173" s="15"/>
      <c r="GX173" s="15"/>
      <c r="GY173" s="15"/>
      <c r="GZ173" s="15"/>
      <c r="HA173" s="15"/>
      <c r="HB173" s="15"/>
      <c r="HC173" s="15"/>
      <c r="HD173" s="15"/>
      <c r="HE173" s="15"/>
      <c r="HF173" s="15"/>
      <c r="HG173" s="15"/>
      <c r="HH173" s="15"/>
      <c r="HI173" s="15"/>
      <c r="HJ173" s="15"/>
      <c r="HK173" s="15"/>
      <c r="HL173" s="15"/>
      <c r="HM173" s="15"/>
      <c r="HN173" s="15"/>
      <c r="HO173" s="15"/>
      <c r="HP173" s="31"/>
      <c r="MX173" s="29" t="s">
        <v>3973</v>
      </c>
      <c r="MY173" s="29" t="str">
        <f>IFERROR(__xludf.DUMMYFUNCTION("""COMPUTED_VALUE"""),"Philippines")</f>
        <v>Philippines</v>
      </c>
    </row>
    <row r="174" ht="16.5" customHeight="1">
      <c r="A174" s="30">
        <v>45832.38844354167</v>
      </c>
      <c r="B174" s="15" t="s">
        <v>368</v>
      </c>
      <c r="C174" s="15" t="s">
        <v>3973</v>
      </c>
      <c r="D174" s="15" t="s">
        <v>3081</v>
      </c>
      <c r="E174" s="15"/>
      <c r="F174" s="15"/>
      <c r="G174" s="15" t="s">
        <v>1093</v>
      </c>
      <c r="H174" s="15" t="s">
        <v>637</v>
      </c>
      <c r="I174" s="15" t="s">
        <v>638</v>
      </c>
      <c r="J174" s="15" t="s">
        <v>590</v>
      </c>
      <c r="K174" s="15" t="s">
        <v>376</v>
      </c>
      <c r="L174" s="15" t="s">
        <v>591</v>
      </c>
      <c r="M174" s="15" t="s">
        <v>3974</v>
      </c>
      <c r="N174" s="15" t="s">
        <v>396</v>
      </c>
      <c r="O174" s="15" t="s">
        <v>3975</v>
      </c>
      <c r="P174" s="15" t="s">
        <v>498</v>
      </c>
      <c r="Q174" s="15" t="s">
        <v>818</v>
      </c>
      <c r="R174" s="15" t="s">
        <v>3976</v>
      </c>
      <c r="S174" s="15" t="s">
        <v>384</v>
      </c>
      <c r="T174" s="15" t="s">
        <v>385</v>
      </c>
      <c r="U174" s="15"/>
      <c r="V174" s="15"/>
      <c r="W174" s="15" t="s">
        <v>3231</v>
      </c>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t="s">
        <v>1310</v>
      </c>
      <c r="AW174" s="15" t="s">
        <v>675</v>
      </c>
      <c r="AX174" s="15" t="s">
        <v>675</v>
      </c>
      <c r="AY174" s="15" t="s">
        <v>675</v>
      </c>
      <c r="AZ174" s="15" t="s">
        <v>675</v>
      </c>
      <c r="BA174" s="15" t="s">
        <v>675</v>
      </c>
      <c r="BB174" s="15">
        <v>4.0</v>
      </c>
      <c r="BC174" s="15" t="s">
        <v>3977</v>
      </c>
      <c r="BD174" s="15" t="s">
        <v>3978</v>
      </c>
      <c r="BE174" s="15" t="s">
        <v>2259</v>
      </c>
      <c r="BF174" s="15" t="s">
        <v>1245</v>
      </c>
      <c r="BG174" s="15" t="s">
        <v>394</v>
      </c>
      <c r="BH174" s="15"/>
      <c r="BI174" s="15" t="s">
        <v>824</v>
      </c>
      <c r="BJ174" s="15" t="s">
        <v>1211</v>
      </c>
      <c r="BK174" s="15" t="s">
        <v>602</v>
      </c>
      <c r="BL174" s="15" t="s">
        <v>396</v>
      </c>
      <c r="BM174" s="15" t="s">
        <v>1247</v>
      </c>
      <c r="BN174" s="15" t="s">
        <v>398</v>
      </c>
      <c r="BO174" s="15" t="s">
        <v>3979</v>
      </c>
      <c r="BP174" s="15" t="s">
        <v>3980</v>
      </c>
      <c r="BQ174" s="15" t="s">
        <v>604</v>
      </c>
      <c r="BR174" s="15" t="s">
        <v>3981</v>
      </c>
      <c r="BS174" s="15" t="s">
        <v>1251</v>
      </c>
      <c r="BT174" s="15" t="s">
        <v>404</v>
      </c>
      <c r="BU174" s="15" t="s">
        <v>405</v>
      </c>
      <c r="BV174" s="15"/>
      <c r="BW174" s="15" t="s">
        <v>406</v>
      </c>
      <c r="BX174" s="15" t="s">
        <v>1867</v>
      </c>
      <c r="BY174" s="15" t="s">
        <v>408</v>
      </c>
      <c r="BZ174" s="15"/>
      <c r="CA174" s="15" t="s">
        <v>3982</v>
      </c>
      <c r="CB174" s="15" t="s">
        <v>3983</v>
      </c>
      <c r="CC174" s="15" t="s">
        <v>3984</v>
      </c>
      <c r="CD174" s="15" t="s">
        <v>409</v>
      </c>
      <c r="CE174" s="15" t="s">
        <v>3985</v>
      </c>
      <c r="CF174" s="15" t="s">
        <v>1258</v>
      </c>
      <c r="CG174" s="15"/>
      <c r="CH174" s="15" t="s">
        <v>1259</v>
      </c>
      <c r="CI174" s="15" t="s">
        <v>1220</v>
      </c>
      <c r="CJ174" s="15" t="s">
        <v>3986</v>
      </c>
      <c r="CK174" s="15" t="s">
        <v>3987</v>
      </c>
      <c r="CL174" s="15"/>
      <c r="CM174" s="15"/>
      <c r="CN174" s="15"/>
      <c r="CO174" s="15"/>
      <c r="CP174" s="15"/>
      <c r="CQ174" s="15"/>
      <c r="CR174" s="15"/>
      <c r="CS174" s="15"/>
      <c r="CT174" s="15"/>
      <c r="CU174" s="15"/>
      <c r="CV174" s="15"/>
      <c r="CW174" s="15"/>
      <c r="CX174" s="15"/>
      <c r="CY174" s="15"/>
      <c r="CZ174" s="15"/>
      <c r="DA174" s="15"/>
      <c r="DB174" s="15"/>
      <c r="DC174" s="15"/>
      <c r="DD174" s="15"/>
      <c r="DE174" s="15"/>
      <c r="DF174" s="15"/>
      <c r="DG174" s="15"/>
      <c r="DH174" s="15"/>
      <c r="DI174" s="15"/>
      <c r="DJ174" s="15"/>
      <c r="DK174" s="15"/>
      <c r="DL174" s="15"/>
      <c r="DM174" s="15"/>
      <c r="DN174" s="15"/>
      <c r="DO174" s="15"/>
      <c r="DP174" s="15"/>
      <c r="DQ174" s="15"/>
      <c r="DR174" s="15"/>
      <c r="DS174" s="15"/>
      <c r="DT174" s="15"/>
      <c r="DU174" s="15"/>
      <c r="DV174" s="15"/>
      <c r="DW174" s="15"/>
      <c r="DX174" s="15"/>
      <c r="DY174" s="15"/>
      <c r="DZ174" s="15"/>
      <c r="EA174" s="15"/>
      <c r="EB174" s="15"/>
      <c r="EC174" s="15"/>
      <c r="ED174" s="15"/>
      <c r="EE174" s="15"/>
      <c r="EF174" s="15"/>
      <c r="EG174" s="15"/>
      <c r="EH174" s="15"/>
      <c r="EI174" s="15"/>
      <c r="EJ174" s="15"/>
      <c r="EK174" s="15"/>
      <c r="EL174" s="15"/>
      <c r="EM174" s="15"/>
      <c r="EN174" s="15"/>
      <c r="EO174" s="15"/>
      <c r="EP174" s="15"/>
      <c r="EQ174" s="15"/>
      <c r="ER174" s="15"/>
      <c r="ES174" s="15"/>
      <c r="ET174" s="15" t="s">
        <v>526</v>
      </c>
      <c r="EU174" s="15" t="s">
        <v>887</v>
      </c>
      <c r="EV174" s="15" t="s">
        <v>663</v>
      </c>
      <c r="EW174" s="15" t="s">
        <v>3988</v>
      </c>
      <c r="EX174" s="15" t="s">
        <v>3989</v>
      </c>
      <c r="EY174" s="15" t="s">
        <v>3990</v>
      </c>
      <c r="EZ174" s="15" t="s">
        <v>583</v>
      </c>
      <c r="FA174" s="15" t="s">
        <v>583</v>
      </c>
      <c r="FB174" s="15" t="s">
        <v>583</v>
      </c>
      <c r="FC174" s="15" t="s">
        <v>583</v>
      </c>
      <c r="FD174" s="15" t="s">
        <v>583</v>
      </c>
      <c r="FE174" s="15" t="s">
        <v>583</v>
      </c>
      <c r="FF174" s="15" t="s">
        <v>583</v>
      </c>
      <c r="FG174" s="15" t="s">
        <v>583</v>
      </c>
      <c r="FH174" s="15" t="s">
        <v>583</v>
      </c>
      <c r="FI174" s="15" t="s">
        <v>583</v>
      </c>
      <c r="FJ174" s="15" t="s">
        <v>583</v>
      </c>
      <c r="FK174" s="15" t="s">
        <v>583</v>
      </c>
      <c r="FL174" s="15" t="s">
        <v>583</v>
      </c>
      <c r="FM174" s="15" t="s">
        <v>583</v>
      </c>
      <c r="FN174" s="15" t="s">
        <v>583</v>
      </c>
      <c r="FO174" s="15" t="s">
        <v>485</v>
      </c>
      <c r="FP174" s="15" t="s">
        <v>486</v>
      </c>
      <c r="FQ174" s="15" t="s">
        <v>630</v>
      </c>
      <c r="FR174" s="15" t="s">
        <v>3991</v>
      </c>
      <c r="FS174" s="15" t="s">
        <v>1189</v>
      </c>
      <c r="FT174" s="15" t="s">
        <v>1462</v>
      </c>
      <c r="FU174" s="15" t="s">
        <v>533</v>
      </c>
      <c r="FV174" s="15" t="s">
        <v>1101</v>
      </c>
      <c r="FW174" s="15" t="s">
        <v>491</v>
      </c>
      <c r="FX174" s="15" t="s">
        <v>3992</v>
      </c>
      <c r="FY174" s="15" t="s">
        <v>535</v>
      </c>
      <c r="FZ174" s="15"/>
      <c r="GA174" s="15"/>
      <c r="GB174" s="15" t="s">
        <v>455</v>
      </c>
      <c r="GC174" s="15"/>
      <c r="GD174" s="15"/>
      <c r="GE174" s="15" t="s">
        <v>753</v>
      </c>
      <c r="GF174" s="15" t="s">
        <v>1479</v>
      </c>
      <c r="GG174" s="15"/>
      <c r="GH174" s="15"/>
      <c r="GI174" s="15"/>
      <c r="GJ174" s="15" t="s">
        <v>1000</v>
      </c>
      <c r="GK174" s="15" t="s">
        <v>1000</v>
      </c>
      <c r="GL174" s="15" t="s">
        <v>817</v>
      </c>
      <c r="GM174" s="15"/>
      <c r="GN174" s="15" t="s">
        <v>3993</v>
      </c>
      <c r="GO174" s="15" t="s">
        <v>3973</v>
      </c>
      <c r="GP174" s="15" t="s">
        <v>3994</v>
      </c>
      <c r="GQ174" s="15" t="s">
        <v>3208</v>
      </c>
      <c r="GR174" s="15"/>
      <c r="GS174" s="15"/>
      <c r="GT174" s="15"/>
      <c r="GU174" s="15"/>
      <c r="GV174" s="15"/>
      <c r="GW174" s="15"/>
      <c r="GX174" s="15"/>
      <c r="GY174" s="15"/>
      <c r="GZ174" s="15"/>
      <c r="HA174" s="15"/>
      <c r="HB174" s="15"/>
      <c r="HC174" s="15"/>
      <c r="HD174" s="15"/>
      <c r="HE174" s="15"/>
      <c r="HF174" s="15"/>
      <c r="HG174" s="15"/>
      <c r="HH174" s="15"/>
      <c r="HI174" s="15"/>
      <c r="HJ174" s="15"/>
      <c r="HK174" s="15"/>
      <c r="HL174" s="15"/>
      <c r="HM174" s="15"/>
      <c r="HN174" s="15"/>
      <c r="HO174" s="15"/>
      <c r="HP174" s="31"/>
      <c r="MX174" s="29" t="s">
        <v>10402</v>
      </c>
      <c r="MY174" s="29" t="str">
        <f>IFERROR(__xludf.DUMMYFUNCTION("""COMPUTED_VALUE"""),"Michigan")</f>
        <v>Michigan</v>
      </c>
    </row>
    <row r="175" ht="16.5" customHeight="1">
      <c r="A175" s="30">
        <v>45832.400918541665</v>
      </c>
      <c r="B175" s="15" t="s">
        <v>368</v>
      </c>
      <c r="C175" s="15" t="s">
        <v>370</v>
      </c>
      <c r="D175" s="15"/>
      <c r="E175" s="15" t="s">
        <v>1480</v>
      </c>
      <c r="F175" s="15"/>
      <c r="G175" s="15" t="s">
        <v>422</v>
      </c>
      <c r="H175" s="15" t="s">
        <v>1921</v>
      </c>
      <c r="I175" s="15" t="s">
        <v>668</v>
      </c>
      <c r="J175" s="15" t="s">
        <v>758</v>
      </c>
      <c r="K175" s="15" t="s">
        <v>376</v>
      </c>
      <c r="L175" s="15" t="s">
        <v>379</v>
      </c>
      <c r="M175" s="15" t="s">
        <v>378</v>
      </c>
      <c r="N175" s="15" t="s">
        <v>426</v>
      </c>
      <c r="O175" s="15" t="s">
        <v>380</v>
      </c>
      <c r="P175" s="15" t="s">
        <v>498</v>
      </c>
      <c r="Q175" s="15" t="s">
        <v>499</v>
      </c>
      <c r="R175" s="15" t="s">
        <v>500</v>
      </c>
      <c r="S175" s="15" t="s">
        <v>384</v>
      </c>
      <c r="T175" s="15" t="s">
        <v>385</v>
      </c>
      <c r="U175" s="15"/>
      <c r="V175" s="15"/>
      <c r="W175" s="15" t="s">
        <v>3231</v>
      </c>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t="s">
        <v>1242</v>
      </c>
      <c r="AW175" s="15" t="s">
        <v>675</v>
      </c>
      <c r="AX175" s="15">
        <v>4.0</v>
      </c>
      <c r="AY175" s="15">
        <v>4.0</v>
      </c>
      <c r="AZ175" s="15" t="s">
        <v>675</v>
      </c>
      <c r="BA175" s="15">
        <v>4.0</v>
      </c>
      <c r="BB175" s="15">
        <v>4.0</v>
      </c>
      <c r="BC175" s="15"/>
      <c r="BD175" s="15"/>
      <c r="BE175" s="15" t="s">
        <v>432</v>
      </c>
      <c r="BF175" s="15" t="s">
        <v>1245</v>
      </c>
      <c r="BG175" s="15" t="s">
        <v>725</v>
      </c>
      <c r="BH175" s="15"/>
      <c r="BI175" s="15" t="s">
        <v>727</v>
      </c>
      <c r="BJ175" s="15"/>
      <c r="BK175" s="15" t="s">
        <v>681</v>
      </c>
      <c r="BL175" s="15" t="s">
        <v>603</v>
      </c>
      <c r="BM175" s="15" t="s">
        <v>1314</v>
      </c>
      <c r="BN175" s="15" t="s">
        <v>398</v>
      </c>
      <c r="BO175" s="15"/>
      <c r="BP175" s="15"/>
      <c r="BQ175" s="15" t="s">
        <v>604</v>
      </c>
      <c r="BR175" s="15"/>
      <c r="BS175" s="15"/>
      <c r="BT175" s="15"/>
      <c r="BU175" s="15" t="s">
        <v>1693</v>
      </c>
      <c r="BV175" s="15"/>
      <c r="BW175" s="15" t="s">
        <v>406</v>
      </c>
      <c r="BX175" s="15" t="s">
        <v>407</v>
      </c>
      <c r="BY175" s="15" t="s">
        <v>408</v>
      </c>
      <c r="BZ175" s="15"/>
      <c r="CA175" s="15"/>
      <c r="CB175" s="15"/>
      <c r="CC175" s="15"/>
      <c r="CD175" s="15" t="s">
        <v>409</v>
      </c>
      <c r="CE175" s="15"/>
      <c r="CF175" s="15" t="s">
        <v>1722</v>
      </c>
      <c r="CG175" s="15"/>
      <c r="CH175" s="15" t="s">
        <v>1751</v>
      </c>
      <c r="CI175" s="15" t="s">
        <v>1220</v>
      </c>
      <c r="CJ175" s="15" t="s">
        <v>3995</v>
      </c>
      <c r="CK175" s="15"/>
      <c r="CL175" s="15"/>
      <c r="CM175" s="15"/>
      <c r="CN175" s="15"/>
      <c r="CO175" s="15"/>
      <c r="CP175" s="15"/>
      <c r="CQ175" s="15"/>
      <c r="CR175" s="15"/>
      <c r="CS175" s="15"/>
      <c r="CT175" s="15"/>
      <c r="CU175" s="15"/>
      <c r="CV175" s="15"/>
      <c r="CW175" s="15"/>
      <c r="CX175" s="15"/>
      <c r="CY175" s="15"/>
      <c r="CZ175" s="15"/>
      <c r="DA175" s="15"/>
      <c r="DB175" s="15"/>
      <c r="DC175" s="15"/>
      <c r="DD175" s="15"/>
      <c r="DE175" s="15"/>
      <c r="DF175" s="15"/>
      <c r="DG175" s="15"/>
      <c r="DH175" s="15"/>
      <c r="DI175" s="15"/>
      <c r="DJ175" s="15"/>
      <c r="DK175" s="15"/>
      <c r="DL175" s="15"/>
      <c r="DM175" s="15"/>
      <c r="DN175" s="15"/>
      <c r="DO175" s="15"/>
      <c r="DP175" s="15"/>
      <c r="DQ175" s="15"/>
      <c r="DR175" s="15"/>
      <c r="DS175" s="15"/>
      <c r="DT175" s="15"/>
      <c r="DU175" s="15"/>
      <c r="DV175" s="15"/>
      <c r="DW175" s="15"/>
      <c r="DX175" s="15"/>
      <c r="DY175" s="15"/>
      <c r="DZ175" s="15"/>
      <c r="EA175" s="15"/>
      <c r="EB175" s="15"/>
      <c r="EC175" s="15"/>
      <c r="ED175" s="15"/>
      <c r="EE175" s="15"/>
      <c r="EF175" s="15"/>
      <c r="EG175" s="15"/>
      <c r="EH175" s="15"/>
      <c r="EI175" s="15"/>
      <c r="EJ175" s="15"/>
      <c r="EK175" s="15"/>
      <c r="EL175" s="15"/>
      <c r="EM175" s="15"/>
      <c r="EN175" s="15"/>
      <c r="EO175" s="15"/>
      <c r="EP175" s="15"/>
      <c r="EQ175" s="15"/>
      <c r="ER175" s="15"/>
      <c r="ES175" s="15"/>
      <c r="ET175" s="15" t="s">
        <v>526</v>
      </c>
      <c r="EU175" s="15" t="s">
        <v>479</v>
      </c>
      <c r="EV175" s="15" t="s">
        <v>1262</v>
      </c>
      <c r="EW175" s="15"/>
      <c r="EX175" s="15"/>
      <c r="EY175" s="15"/>
      <c r="EZ175" s="15" t="s">
        <v>414</v>
      </c>
      <c r="FA175" s="15" t="s">
        <v>414</v>
      </c>
      <c r="FB175" s="15" t="s">
        <v>413</v>
      </c>
      <c r="FC175" s="15" t="s">
        <v>414</v>
      </c>
      <c r="FD175" s="15" t="s">
        <v>413</v>
      </c>
      <c r="FE175" s="15" t="s">
        <v>414</v>
      </c>
      <c r="FF175" s="15" t="s">
        <v>413</v>
      </c>
      <c r="FG175" s="15" t="s">
        <v>414</v>
      </c>
      <c r="FH175" s="15" t="s">
        <v>413</v>
      </c>
      <c r="FI175" s="15" t="s">
        <v>414</v>
      </c>
      <c r="FJ175" s="15" t="s">
        <v>414</v>
      </c>
      <c r="FK175" s="15" t="s">
        <v>415</v>
      </c>
      <c r="FL175" s="15" t="s">
        <v>415</v>
      </c>
      <c r="FM175" s="15" t="s">
        <v>415</v>
      </c>
      <c r="FN175" s="15" t="s">
        <v>415</v>
      </c>
      <c r="FO175" s="15" t="s">
        <v>850</v>
      </c>
      <c r="FP175" s="15" t="s">
        <v>418</v>
      </c>
      <c r="FQ175" s="15" t="s">
        <v>749</v>
      </c>
      <c r="FR175" s="15"/>
      <c r="FS175" s="15" t="s">
        <v>420</v>
      </c>
      <c r="FT175" s="15" t="s">
        <v>488</v>
      </c>
      <c r="FU175" s="15" t="s">
        <v>918</v>
      </c>
      <c r="FV175" s="15" t="s">
        <v>490</v>
      </c>
      <c r="FW175" s="15" t="s">
        <v>491</v>
      </c>
      <c r="FX175" s="15"/>
      <c r="FY175" s="15" t="s">
        <v>1337</v>
      </c>
      <c r="FZ175" s="15"/>
      <c r="GA175" s="15"/>
      <c r="GB175" s="15" t="s">
        <v>408</v>
      </c>
      <c r="GC175" s="15"/>
      <c r="GD175" s="15"/>
      <c r="GE175" s="15"/>
      <c r="GF175" s="15"/>
      <c r="GG175" s="15"/>
      <c r="GH175" s="15"/>
      <c r="GI175" s="15"/>
      <c r="GJ175" s="15" t="s">
        <v>755</v>
      </c>
      <c r="GK175" s="15" t="s">
        <v>755</v>
      </c>
      <c r="GL175" s="15" t="s">
        <v>946</v>
      </c>
      <c r="GM175" s="15"/>
      <c r="GN175" s="15"/>
      <c r="GO175" s="15"/>
      <c r="GP175" s="15"/>
      <c r="GQ175" s="15" t="s">
        <v>3351</v>
      </c>
      <c r="GR175" s="15"/>
      <c r="GS175" s="15"/>
      <c r="GT175" s="15"/>
      <c r="GU175" s="15"/>
      <c r="GV175" s="15"/>
      <c r="GW175" s="15"/>
      <c r="GX175" s="15"/>
      <c r="GY175" s="15"/>
      <c r="GZ175" s="15"/>
      <c r="HA175" s="15"/>
      <c r="HB175" s="15"/>
      <c r="HC175" s="15"/>
      <c r="HD175" s="15"/>
      <c r="HE175" s="15"/>
      <c r="HF175" s="15"/>
      <c r="HG175" s="15"/>
      <c r="HH175" s="15"/>
      <c r="HI175" s="15"/>
      <c r="HJ175" s="15"/>
      <c r="HK175" s="15"/>
      <c r="HL175" s="15"/>
      <c r="HM175" s="15"/>
      <c r="HN175" s="15"/>
      <c r="HO175" s="15"/>
      <c r="HP175" s="31"/>
      <c r="MX175" s="29" t="s">
        <v>10402</v>
      </c>
      <c r="MY175" s="29" t="str">
        <f>IFERROR(__xludf.DUMMYFUNCTION("""COMPUTED_VALUE"""),"California")</f>
        <v>California</v>
      </c>
    </row>
    <row r="176" ht="16.5" customHeight="1">
      <c r="A176" s="30">
        <v>45832.532238541666</v>
      </c>
      <c r="B176" s="15" t="s">
        <v>368</v>
      </c>
      <c r="C176" s="15" t="s">
        <v>370</v>
      </c>
      <c r="D176" s="15"/>
      <c r="E176" s="15" t="s">
        <v>371</v>
      </c>
      <c r="F176" s="15"/>
      <c r="G176" s="15" t="s">
        <v>1002</v>
      </c>
      <c r="H176" s="15" t="s">
        <v>496</v>
      </c>
      <c r="I176" s="15" t="s">
        <v>374</v>
      </c>
      <c r="J176" s="15" t="s">
        <v>669</v>
      </c>
      <c r="K176" s="15" t="s">
        <v>376</v>
      </c>
      <c r="L176" s="15" t="s">
        <v>591</v>
      </c>
      <c r="M176" s="15" t="s">
        <v>719</v>
      </c>
      <c r="N176" s="15" t="s">
        <v>426</v>
      </c>
      <c r="O176" s="15" t="s">
        <v>380</v>
      </c>
      <c r="P176" s="15" t="s">
        <v>381</v>
      </c>
      <c r="Q176" s="15" t="s">
        <v>818</v>
      </c>
      <c r="R176" s="15" t="s">
        <v>500</v>
      </c>
      <c r="S176" s="15" t="s">
        <v>384</v>
      </c>
      <c r="T176" s="15" t="s">
        <v>385</v>
      </c>
      <c r="U176" s="15"/>
      <c r="V176" s="15"/>
      <c r="W176" s="15" t="s">
        <v>593</v>
      </c>
      <c r="X176" s="15" t="s">
        <v>387</v>
      </c>
      <c r="Y176" s="15" t="s">
        <v>388</v>
      </c>
      <c r="Z176" s="15" t="s">
        <v>543</v>
      </c>
      <c r="AA176" s="15" t="s">
        <v>3996</v>
      </c>
      <c r="AB176" s="15"/>
      <c r="AC176" s="15"/>
      <c r="AD176" s="15"/>
      <c r="AE176" s="15"/>
      <c r="AF176" s="15"/>
      <c r="AG176" s="15"/>
      <c r="AH176" s="15"/>
      <c r="AI176" s="15"/>
      <c r="AJ176" s="15"/>
      <c r="AK176" s="15"/>
      <c r="AL176" s="15"/>
      <c r="AM176" s="15"/>
      <c r="AN176" s="15"/>
      <c r="AO176" s="15"/>
      <c r="AP176" s="15"/>
      <c r="AQ176" s="15"/>
      <c r="AR176" s="15"/>
      <c r="AS176" s="15"/>
      <c r="AT176" s="15"/>
      <c r="AU176" s="15"/>
      <c r="AV176" s="15" t="s">
        <v>1310</v>
      </c>
      <c r="AW176" s="15" t="s">
        <v>675</v>
      </c>
      <c r="AX176" s="15" t="s">
        <v>675</v>
      </c>
      <c r="AY176" s="15" t="s">
        <v>675</v>
      </c>
      <c r="AZ176" s="15" t="s">
        <v>675</v>
      </c>
      <c r="BA176" s="15" t="s">
        <v>675</v>
      </c>
      <c r="BB176" s="15" t="s">
        <v>675</v>
      </c>
      <c r="BC176" s="15" t="s">
        <v>3997</v>
      </c>
      <c r="BD176" s="15" t="s">
        <v>3998</v>
      </c>
      <c r="BE176" s="15" t="s">
        <v>3114</v>
      </c>
      <c r="BF176" s="15" t="s">
        <v>1245</v>
      </c>
      <c r="BG176" s="15" t="s">
        <v>725</v>
      </c>
      <c r="BH176" s="15" t="s">
        <v>3999</v>
      </c>
      <c r="BI176" s="15" t="s">
        <v>435</v>
      </c>
      <c r="BJ176" s="15" t="s">
        <v>4000</v>
      </c>
      <c r="BK176" s="15" t="s">
        <v>681</v>
      </c>
      <c r="BL176" s="15" t="s">
        <v>603</v>
      </c>
      <c r="BM176" s="15" t="s">
        <v>1247</v>
      </c>
      <c r="BN176" s="15" t="s">
        <v>440</v>
      </c>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t="s">
        <v>441</v>
      </c>
      <c r="CM176" s="15" t="s">
        <v>442</v>
      </c>
      <c r="CN176" s="15" t="s">
        <v>4001</v>
      </c>
      <c r="CO176" s="15" t="s">
        <v>4002</v>
      </c>
      <c r="CP176" s="15" t="s">
        <v>403</v>
      </c>
      <c r="CQ176" s="15" t="s">
        <v>4003</v>
      </c>
      <c r="CR176" s="15" t="s">
        <v>447</v>
      </c>
      <c r="CS176" s="15" t="s">
        <v>4004</v>
      </c>
      <c r="CT176" s="15" t="s">
        <v>4005</v>
      </c>
      <c r="CU176" s="15" t="s">
        <v>519</v>
      </c>
      <c r="CV176" s="15" t="s">
        <v>451</v>
      </c>
      <c r="CW176" s="15" t="s">
        <v>4006</v>
      </c>
      <c r="CX176" s="15" t="s">
        <v>733</v>
      </c>
      <c r="CY176" s="15"/>
      <c r="CZ176" s="15" t="s">
        <v>453</v>
      </c>
      <c r="DA176" s="15" t="s">
        <v>4007</v>
      </c>
      <c r="DB176" s="15" t="s">
        <v>455</v>
      </c>
      <c r="DC176" s="15" t="s">
        <v>4008</v>
      </c>
      <c r="DD176" s="15" t="s">
        <v>406</v>
      </c>
      <c r="DE176" s="15" t="s">
        <v>407</v>
      </c>
      <c r="DF176" s="15" t="s">
        <v>4009</v>
      </c>
      <c r="DG176" s="15" t="s">
        <v>561</v>
      </c>
      <c r="DH176" s="15" t="s">
        <v>410</v>
      </c>
      <c r="DI176" s="15" t="s">
        <v>963</v>
      </c>
      <c r="DJ176" s="15" t="s">
        <v>460</v>
      </c>
      <c r="DK176" s="15" t="s">
        <v>525</v>
      </c>
      <c r="DL176" s="15"/>
      <c r="DM176" s="15" t="s">
        <v>3901</v>
      </c>
      <c r="DN176" s="15" t="s">
        <v>4010</v>
      </c>
      <c r="DO176" s="15" t="s">
        <v>567</v>
      </c>
      <c r="DP176" s="15" t="s">
        <v>4011</v>
      </c>
      <c r="DQ176" s="15" t="s">
        <v>466</v>
      </c>
      <c r="DR176" s="15" t="s">
        <v>4012</v>
      </c>
      <c r="DS176" s="15" t="s">
        <v>839</v>
      </c>
      <c r="DT176" s="15" t="s">
        <v>740</v>
      </c>
      <c r="DU176" s="15" t="s">
        <v>4013</v>
      </c>
      <c r="DV176" s="15" t="s">
        <v>4014</v>
      </c>
      <c r="DW176" s="15" t="s">
        <v>1328</v>
      </c>
      <c r="DX176" s="15" t="s">
        <v>4015</v>
      </c>
      <c r="DY176" s="15" t="s">
        <v>4016</v>
      </c>
      <c r="DZ176" s="15" t="s">
        <v>4017</v>
      </c>
      <c r="EA176" s="15" t="s">
        <v>475</v>
      </c>
      <c r="EB176" s="15" t="s">
        <v>626</v>
      </c>
      <c r="EC176" s="15"/>
      <c r="ED176" s="15"/>
      <c r="EE176" s="15"/>
      <c r="EF176" s="15"/>
      <c r="EG176" s="15"/>
      <c r="EH176" s="15"/>
      <c r="EI176" s="15"/>
      <c r="EJ176" s="15"/>
      <c r="EK176" s="15"/>
      <c r="EL176" s="15"/>
      <c r="EM176" s="15"/>
      <c r="EN176" s="15"/>
      <c r="EO176" s="15"/>
      <c r="EP176" s="15"/>
      <c r="EQ176" s="15"/>
      <c r="ER176" s="15"/>
      <c r="ES176" s="15"/>
      <c r="ET176" s="15" t="s">
        <v>526</v>
      </c>
      <c r="EU176" s="15" t="s">
        <v>887</v>
      </c>
      <c r="EV176" s="15" t="s">
        <v>778</v>
      </c>
      <c r="EW176" s="15" t="s">
        <v>4018</v>
      </c>
      <c r="EX176" s="15"/>
      <c r="EY176" s="15" t="s">
        <v>4019</v>
      </c>
      <c r="EZ176" s="15" t="s">
        <v>413</v>
      </c>
      <c r="FA176" s="15" t="s">
        <v>413</v>
      </c>
      <c r="FB176" s="15" t="s">
        <v>413</v>
      </c>
      <c r="FC176" s="15" t="s">
        <v>413</v>
      </c>
      <c r="FD176" s="15" t="s">
        <v>413</v>
      </c>
      <c r="FE176" s="15" t="s">
        <v>413</v>
      </c>
      <c r="FF176" s="15" t="s">
        <v>413</v>
      </c>
      <c r="FG176" s="15" t="s">
        <v>413</v>
      </c>
      <c r="FH176" s="15" t="s">
        <v>416</v>
      </c>
      <c r="FI176" s="15" t="s">
        <v>413</v>
      </c>
      <c r="FJ176" s="15" t="s">
        <v>416</v>
      </c>
      <c r="FK176" s="15" t="s">
        <v>413</v>
      </c>
      <c r="FL176" s="15" t="s">
        <v>413</v>
      </c>
      <c r="FM176" s="15" t="s">
        <v>413</v>
      </c>
      <c r="FN176" s="15" t="s">
        <v>416</v>
      </c>
      <c r="FO176" s="15" t="s">
        <v>850</v>
      </c>
      <c r="FP176" s="15"/>
      <c r="FQ176" s="15"/>
      <c r="FR176" s="15"/>
      <c r="FS176" s="15"/>
      <c r="FT176" s="15"/>
      <c r="FU176" s="15"/>
      <c r="FV176" s="15"/>
      <c r="FW176" s="15"/>
      <c r="FX176" s="15"/>
      <c r="FY176" s="15" t="s">
        <v>535</v>
      </c>
      <c r="FZ176" s="15"/>
      <c r="GA176" s="15"/>
      <c r="GB176" s="15" t="s">
        <v>455</v>
      </c>
      <c r="GC176" s="15"/>
      <c r="GD176" s="15"/>
      <c r="GE176" s="15" t="s">
        <v>753</v>
      </c>
      <c r="GF176" s="15" t="s">
        <v>4020</v>
      </c>
      <c r="GG176" s="15" t="s">
        <v>755</v>
      </c>
      <c r="GH176" s="15" t="s">
        <v>755</v>
      </c>
      <c r="GI176" s="15" t="s">
        <v>946</v>
      </c>
      <c r="GJ176" s="15"/>
      <c r="GK176" s="15"/>
      <c r="GL176" s="15"/>
      <c r="GM176" s="15" t="s">
        <v>1079</v>
      </c>
      <c r="GN176" s="15"/>
      <c r="GO176" s="15"/>
      <c r="GP176" s="15"/>
      <c r="GQ176" s="15" t="s">
        <v>3208</v>
      </c>
      <c r="GR176" s="15"/>
      <c r="GS176" s="15"/>
      <c r="GT176" s="15"/>
      <c r="GU176" s="15"/>
      <c r="GV176" s="15"/>
      <c r="GW176" s="15"/>
      <c r="GX176" s="15"/>
      <c r="GY176" s="15"/>
      <c r="GZ176" s="15"/>
      <c r="HA176" s="15"/>
      <c r="HB176" s="15"/>
      <c r="HC176" s="15"/>
      <c r="HD176" s="15"/>
      <c r="HE176" s="15"/>
      <c r="HF176" s="15"/>
      <c r="HG176" s="15"/>
      <c r="HH176" s="15"/>
      <c r="HI176" s="15"/>
      <c r="HJ176" s="15"/>
      <c r="HK176" s="15"/>
      <c r="HL176" s="15"/>
      <c r="HM176" s="15"/>
      <c r="HN176" s="15"/>
      <c r="HO176" s="15"/>
      <c r="HP176" s="31"/>
      <c r="MX176" s="29" t="s">
        <v>10402</v>
      </c>
      <c r="MY176" s="29" t="str">
        <f>IFERROR(__xludf.DUMMYFUNCTION("""COMPUTED_VALUE"""),"Montana")</f>
        <v>Montana</v>
      </c>
    </row>
    <row r="177" ht="16.5" customHeight="1">
      <c r="A177" s="30">
        <v>45832.613582488426</v>
      </c>
      <c r="B177" s="15" t="s">
        <v>368</v>
      </c>
      <c r="C177" s="15" t="s">
        <v>370</v>
      </c>
      <c r="D177" s="15"/>
      <c r="E177" s="15" t="s">
        <v>2335</v>
      </c>
      <c r="F177" s="15"/>
      <c r="G177" s="15" t="s">
        <v>3187</v>
      </c>
      <c r="H177" s="15" t="s">
        <v>496</v>
      </c>
      <c r="I177" s="15" t="s">
        <v>2578</v>
      </c>
      <c r="J177" s="15" t="s">
        <v>375</v>
      </c>
      <c r="K177" s="15" t="s">
        <v>376</v>
      </c>
      <c r="L177" s="15" t="s">
        <v>793</v>
      </c>
      <c r="M177" s="15" t="s">
        <v>639</v>
      </c>
      <c r="N177" s="15" t="s">
        <v>670</v>
      </c>
      <c r="O177" s="15" t="s">
        <v>720</v>
      </c>
      <c r="P177" s="15" t="s">
        <v>498</v>
      </c>
      <c r="Q177" s="15" t="s">
        <v>382</v>
      </c>
      <c r="R177" s="15" t="s">
        <v>427</v>
      </c>
      <c r="S177" s="15" t="s">
        <v>384</v>
      </c>
      <c r="T177" s="15" t="s">
        <v>385</v>
      </c>
      <c r="U177" s="15"/>
      <c r="V177" s="15"/>
      <c r="W177" s="15" t="s">
        <v>3014</v>
      </c>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t="s">
        <v>1310</v>
      </c>
      <c r="AW177" s="15" t="s">
        <v>391</v>
      </c>
      <c r="AX177" s="15">
        <v>2.0</v>
      </c>
      <c r="AY177" s="15">
        <v>4.0</v>
      </c>
      <c r="AZ177" s="15" t="s">
        <v>391</v>
      </c>
      <c r="BA177" s="15" t="s">
        <v>429</v>
      </c>
      <c r="BB177" s="15" t="s">
        <v>391</v>
      </c>
      <c r="BC177" s="15" t="s">
        <v>4021</v>
      </c>
      <c r="BD177" s="15" t="s">
        <v>4022</v>
      </c>
      <c r="BE177" s="15" t="s">
        <v>432</v>
      </c>
      <c r="BF177" s="15" t="s">
        <v>433</v>
      </c>
      <c r="BG177" s="15" t="s">
        <v>765</v>
      </c>
      <c r="BH177" s="15"/>
      <c r="BI177" s="15" t="s">
        <v>509</v>
      </c>
      <c r="BJ177" s="15"/>
      <c r="BK177" s="15" t="s">
        <v>681</v>
      </c>
      <c r="BL177" s="15" t="s">
        <v>512</v>
      </c>
      <c r="BM177" s="15" t="s">
        <v>1247</v>
      </c>
      <c r="BN177" s="15" t="s">
        <v>513</v>
      </c>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t="s">
        <v>441</v>
      </c>
      <c r="CM177" s="15" t="s">
        <v>442</v>
      </c>
      <c r="CN177" s="15" t="s">
        <v>552</v>
      </c>
      <c r="CO177" s="15"/>
      <c r="CP177" s="15" t="s">
        <v>685</v>
      </c>
      <c r="CQ177" s="15" t="s">
        <v>4023</v>
      </c>
      <c r="CR177" s="15" t="s">
        <v>447</v>
      </c>
      <c r="CS177" s="15" t="s">
        <v>4024</v>
      </c>
      <c r="CT177" s="15" t="s">
        <v>4025</v>
      </c>
      <c r="CU177" s="15" t="s">
        <v>519</v>
      </c>
      <c r="CV177" s="15" t="s">
        <v>451</v>
      </c>
      <c r="CW177" s="15"/>
      <c r="CX177" s="15" t="s">
        <v>408</v>
      </c>
      <c r="CY177" s="15"/>
      <c r="CZ177" s="15" t="s">
        <v>453</v>
      </c>
      <c r="DA177" s="15"/>
      <c r="DB177" s="15" t="s">
        <v>455</v>
      </c>
      <c r="DC177" s="15" t="s">
        <v>1866</v>
      </c>
      <c r="DD177" s="15" t="s">
        <v>988</v>
      </c>
      <c r="DE177" s="15"/>
      <c r="DF177" s="15" t="s">
        <v>4026</v>
      </c>
      <c r="DG177" s="15" t="s">
        <v>524</v>
      </c>
      <c r="DH177" s="15" t="s">
        <v>410</v>
      </c>
      <c r="DI177" s="15" t="s">
        <v>963</v>
      </c>
      <c r="DJ177" s="15" t="s">
        <v>562</v>
      </c>
      <c r="DK177" s="15" t="s">
        <v>563</v>
      </c>
      <c r="DL177" s="15" t="s">
        <v>4027</v>
      </c>
      <c r="DM177" s="15"/>
      <c r="DN177" s="15"/>
      <c r="DO177" s="15"/>
      <c r="DP177" s="15"/>
      <c r="DQ177" s="15"/>
      <c r="DR177" s="15"/>
      <c r="DS177" s="15"/>
      <c r="DT177" s="15"/>
      <c r="DU177" s="15"/>
      <c r="DV177" s="15"/>
      <c r="DW177" s="15"/>
      <c r="DX177" s="15"/>
      <c r="DY177" s="15"/>
      <c r="DZ177" s="15"/>
      <c r="EA177" s="15"/>
      <c r="EB177" s="15"/>
      <c r="EC177" s="15"/>
      <c r="ED177" s="15"/>
      <c r="EE177" s="15"/>
      <c r="EF177" s="15"/>
      <c r="EG177" s="15"/>
      <c r="EH177" s="15"/>
      <c r="EI177" s="15"/>
      <c r="EJ177" s="15"/>
      <c r="EK177" s="15"/>
      <c r="EL177" s="15"/>
      <c r="EM177" s="15"/>
      <c r="EN177" s="15"/>
      <c r="EO177" s="15"/>
      <c r="EP177" s="15"/>
      <c r="EQ177" s="15"/>
      <c r="ER177" s="15"/>
      <c r="ES177" s="15"/>
      <c r="ET177" s="15" t="s">
        <v>578</v>
      </c>
      <c r="EU177" s="15" t="s">
        <v>887</v>
      </c>
      <c r="EV177" s="15" t="s">
        <v>580</v>
      </c>
      <c r="EW177" s="15"/>
      <c r="EX177" s="15"/>
      <c r="EY177" s="15"/>
      <c r="EZ177" s="15" t="s">
        <v>416</v>
      </c>
      <c r="FA177" s="15" t="s">
        <v>415</v>
      </c>
      <c r="FB177" s="15" t="s">
        <v>413</v>
      </c>
      <c r="FC177" s="15" t="s">
        <v>413</v>
      </c>
      <c r="FD177" s="15" t="s">
        <v>413</v>
      </c>
      <c r="FE177" s="15" t="s">
        <v>416</v>
      </c>
      <c r="FF177" s="15" t="s">
        <v>413</v>
      </c>
      <c r="FG177" s="15" t="s">
        <v>413</v>
      </c>
      <c r="FH177" s="15" t="s">
        <v>415</v>
      </c>
      <c r="FI177" s="15" t="s">
        <v>415</v>
      </c>
      <c r="FJ177" s="15" t="s">
        <v>415</v>
      </c>
      <c r="FK177" s="15" t="s">
        <v>413</v>
      </c>
      <c r="FL177" s="15" t="s">
        <v>415</v>
      </c>
      <c r="FM177" s="15" t="s">
        <v>413</v>
      </c>
      <c r="FN177" s="15" t="s">
        <v>583</v>
      </c>
      <c r="FO177" s="15" t="s">
        <v>485</v>
      </c>
      <c r="FP177" s="15" t="s">
        <v>418</v>
      </c>
      <c r="FQ177" s="15" t="s">
        <v>712</v>
      </c>
      <c r="FR177" s="15"/>
      <c r="FS177" s="15" t="s">
        <v>420</v>
      </c>
      <c r="FT177" s="15" t="s">
        <v>488</v>
      </c>
      <c r="FU177" s="15" t="s">
        <v>918</v>
      </c>
      <c r="FV177" s="15" t="s">
        <v>490</v>
      </c>
      <c r="FW177" s="15" t="s">
        <v>491</v>
      </c>
      <c r="FX177" s="15" t="s">
        <v>4028</v>
      </c>
      <c r="FY177" s="15" t="s">
        <v>535</v>
      </c>
      <c r="FZ177" s="15"/>
      <c r="GA177" s="15"/>
      <c r="GB177" s="15" t="s">
        <v>455</v>
      </c>
      <c r="GC177" s="15"/>
      <c r="GD177" s="15"/>
      <c r="GE177" s="15" t="s">
        <v>855</v>
      </c>
      <c r="GF177" s="15"/>
      <c r="GG177" s="15" t="s">
        <v>1000</v>
      </c>
      <c r="GH177" s="15" t="s">
        <v>1000</v>
      </c>
      <c r="GI177" s="15" t="s">
        <v>756</v>
      </c>
      <c r="GJ177" s="15"/>
      <c r="GK177" s="15"/>
      <c r="GL177" s="15"/>
      <c r="GM177" s="15"/>
      <c r="GN177" s="15"/>
      <c r="GO177" s="15"/>
      <c r="GP177" s="15"/>
      <c r="GQ177" s="15" t="s">
        <v>3273</v>
      </c>
      <c r="GR177" s="15"/>
      <c r="GS177" s="15"/>
      <c r="GT177" s="15"/>
      <c r="GU177" s="15"/>
      <c r="GV177" s="15"/>
      <c r="GW177" s="15"/>
      <c r="GX177" s="15"/>
      <c r="GY177" s="15"/>
      <c r="GZ177" s="15"/>
      <c r="HA177" s="15"/>
      <c r="HB177" s="15"/>
      <c r="HC177" s="15"/>
      <c r="HD177" s="15"/>
      <c r="HE177" s="15"/>
      <c r="HF177" s="15"/>
      <c r="HG177" s="15"/>
      <c r="HH177" s="15"/>
      <c r="HI177" s="15"/>
      <c r="HJ177" s="15"/>
      <c r="HK177" s="15"/>
      <c r="HL177" s="15"/>
      <c r="HM177" s="15"/>
      <c r="HN177" s="15"/>
      <c r="HO177" s="15"/>
      <c r="HP177" s="31"/>
      <c r="MX177" s="29" t="s">
        <v>894</v>
      </c>
      <c r="MY177" s="29" t="str">
        <f>IFERROR(__xludf.DUMMYFUNCTION("""COMPUTED_VALUE"""),"Ontario")</f>
        <v>Ontario</v>
      </c>
    </row>
    <row r="178" ht="16.5" customHeight="1">
      <c r="A178" s="30">
        <v>45833.016503148145</v>
      </c>
      <c r="B178" s="15" t="s">
        <v>368</v>
      </c>
      <c r="C178" s="15" t="s">
        <v>894</v>
      </c>
      <c r="D178" s="15" t="s">
        <v>894</v>
      </c>
      <c r="E178" s="15"/>
      <c r="F178" s="15"/>
      <c r="G178" s="15" t="s">
        <v>422</v>
      </c>
      <c r="H178" s="15" t="s">
        <v>637</v>
      </c>
      <c r="I178" s="15" t="s">
        <v>638</v>
      </c>
      <c r="J178" s="15" t="s">
        <v>590</v>
      </c>
      <c r="K178" s="15" t="s">
        <v>376</v>
      </c>
      <c r="L178" s="15" t="s">
        <v>591</v>
      </c>
      <c r="M178" s="15" t="s">
        <v>378</v>
      </c>
      <c r="N178" s="15" t="s">
        <v>591</v>
      </c>
      <c r="O178" s="15" t="s">
        <v>719</v>
      </c>
      <c r="P178" s="15" t="s">
        <v>498</v>
      </c>
      <c r="Q178" s="15" t="s">
        <v>862</v>
      </c>
      <c r="R178" s="15" t="s">
        <v>949</v>
      </c>
      <c r="S178" s="15" t="s">
        <v>384</v>
      </c>
      <c r="T178" s="15" t="s">
        <v>385</v>
      </c>
      <c r="U178" s="15" t="s">
        <v>896</v>
      </c>
      <c r="V178" s="15" t="s">
        <v>896</v>
      </c>
      <c r="W178" s="15" t="s">
        <v>593</v>
      </c>
      <c r="X178" s="15" t="s">
        <v>387</v>
      </c>
      <c r="Y178" s="15" t="s">
        <v>388</v>
      </c>
      <c r="Z178" s="15" t="s">
        <v>543</v>
      </c>
      <c r="AA178" s="15"/>
      <c r="AB178" s="15" t="s">
        <v>4029</v>
      </c>
      <c r="AC178" s="15"/>
      <c r="AD178" s="15"/>
      <c r="AE178" s="15"/>
      <c r="AF178" s="15"/>
      <c r="AG178" s="15"/>
      <c r="AH178" s="15"/>
      <c r="AI178" s="15"/>
      <c r="AJ178" s="15"/>
      <c r="AK178" s="15"/>
      <c r="AL178" s="15"/>
      <c r="AM178" s="15"/>
      <c r="AN178" s="15"/>
      <c r="AO178" s="15"/>
      <c r="AP178" s="15"/>
      <c r="AQ178" s="15"/>
      <c r="AR178" s="15"/>
      <c r="AS178" s="15"/>
      <c r="AT178" s="15"/>
      <c r="AU178" s="15"/>
      <c r="AV178" s="15" t="s">
        <v>1242</v>
      </c>
      <c r="AW178" s="15" t="s">
        <v>675</v>
      </c>
      <c r="AX178" s="15" t="s">
        <v>391</v>
      </c>
      <c r="AY178" s="15">
        <v>2.0</v>
      </c>
      <c r="AZ178" s="15">
        <v>4.0</v>
      </c>
      <c r="BA178" s="15">
        <v>4.0</v>
      </c>
      <c r="BB178" s="15" t="s">
        <v>675</v>
      </c>
      <c r="BC178" s="15" t="s">
        <v>4030</v>
      </c>
      <c r="BD178" s="15" t="s">
        <v>4031</v>
      </c>
      <c r="BE178" s="15" t="s">
        <v>432</v>
      </c>
      <c r="BF178" s="15" t="s">
        <v>1095</v>
      </c>
      <c r="BG178" s="15" t="s">
        <v>394</v>
      </c>
      <c r="BH178" s="15" t="s">
        <v>4032</v>
      </c>
      <c r="BI178" s="15" t="s">
        <v>435</v>
      </c>
      <c r="BJ178" s="15" t="s">
        <v>4033</v>
      </c>
      <c r="BK178" s="15" t="s">
        <v>681</v>
      </c>
      <c r="BL178" s="15" t="s">
        <v>603</v>
      </c>
      <c r="BM178" s="15" t="s">
        <v>1314</v>
      </c>
      <c r="BN178" s="15" t="s">
        <v>398</v>
      </c>
      <c r="BO178" s="15" t="s">
        <v>4034</v>
      </c>
      <c r="BP178" s="15" t="s">
        <v>4035</v>
      </c>
      <c r="BQ178" s="15" t="s">
        <v>604</v>
      </c>
      <c r="BR178" s="15" t="s">
        <v>4036</v>
      </c>
      <c r="BS178" s="15" t="s">
        <v>1671</v>
      </c>
      <c r="BT178" s="15" t="s">
        <v>404</v>
      </c>
      <c r="BU178" s="15" t="s">
        <v>1772</v>
      </c>
      <c r="BV178" s="15" t="s">
        <v>4037</v>
      </c>
      <c r="BW178" s="15" t="s">
        <v>988</v>
      </c>
      <c r="BX178" s="15"/>
      <c r="BY178" s="15" t="s">
        <v>408</v>
      </c>
      <c r="BZ178" s="15"/>
      <c r="CA178" s="15" t="s">
        <v>4038</v>
      </c>
      <c r="CB178" s="15" t="s">
        <v>4039</v>
      </c>
      <c r="CC178" s="15" t="s">
        <v>4040</v>
      </c>
      <c r="CD178" s="15" t="s">
        <v>1257</v>
      </c>
      <c r="CE178" s="15"/>
      <c r="CF178" s="15" t="s">
        <v>1258</v>
      </c>
      <c r="CG178" s="15"/>
      <c r="CH178" s="15" t="s">
        <v>1259</v>
      </c>
      <c r="CI178" s="15" t="s">
        <v>410</v>
      </c>
      <c r="CJ178" s="15" t="s">
        <v>4041</v>
      </c>
      <c r="CK178" s="15" t="s">
        <v>4042</v>
      </c>
      <c r="CL178" s="15"/>
      <c r="CM178" s="15"/>
      <c r="CN178" s="15"/>
      <c r="CO178" s="15"/>
      <c r="CP178" s="15"/>
      <c r="CQ178" s="15"/>
      <c r="CR178" s="15"/>
      <c r="CS178" s="15"/>
      <c r="CT178" s="15"/>
      <c r="CU178" s="15"/>
      <c r="CV178" s="15"/>
      <c r="CW178" s="15"/>
      <c r="CX178" s="15"/>
      <c r="CY178" s="15"/>
      <c r="CZ178" s="15"/>
      <c r="DA178" s="15"/>
      <c r="DB178" s="15"/>
      <c r="DC178" s="15"/>
      <c r="DD178" s="15"/>
      <c r="DE178" s="15"/>
      <c r="DF178" s="15"/>
      <c r="DG178" s="15"/>
      <c r="DH178" s="15"/>
      <c r="DI178" s="15"/>
      <c r="DJ178" s="15"/>
      <c r="DK178" s="15"/>
      <c r="DL178" s="15"/>
      <c r="DM178" s="15"/>
      <c r="DN178" s="15"/>
      <c r="DO178" s="15"/>
      <c r="DP178" s="15"/>
      <c r="DQ178" s="15"/>
      <c r="DR178" s="15"/>
      <c r="DS178" s="15"/>
      <c r="DT178" s="15"/>
      <c r="DU178" s="15"/>
      <c r="DV178" s="15"/>
      <c r="DW178" s="15"/>
      <c r="DX178" s="15"/>
      <c r="DY178" s="15"/>
      <c r="DZ178" s="15"/>
      <c r="EA178" s="15"/>
      <c r="EB178" s="15"/>
      <c r="EC178" s="15"/>
      <c r="ED178" s="15"/>
      <c r="EE178" s="15"/>
      <c r="EF178" s="15"/>
      <c r="EG178" s="15"/>
      <c r="EH178" s="15"/>
      <c r="EI178" s="15"/>
      <c r="EJ178" s="15"/>
      <c r="EK178" s="15"/>
      <c r="EL178" s="15"/>
      <c r="EM178" s="15"/>
      <c r="EN178" s="15"/>
      <c r="EO178" s="15"/>
      <c r="EP178" s="15"/>
      <c r="EQ178" s="15"/>
      <c r="ER178" s="15"/>
      <c r="ES178" s="15"/>
      <c r="ET178" s="15" t="s">
        <v>526</v>
      </c>
      <c r="EU178" s="15" t="s">
        <v>1127</v>
      </c>
      <c r="EV178" s="15" t="s">
        <v>1262</v>
      </c>
      <c r="EW178" s="15"/>
      <c r="EX178" s="15" t="s">
        <v>4043</v>
      </c>
      <c r="EY178" s="15" t="s">
        <v>4044</v>
      </c>
      <c r="EZ178" s="15" t="s">
        <v>415</v>
      </c>
      <c r="FA178" s="15" t="s">
        <v>414</v>
      </c>
      <c r="FB178" s="15" t="s">
        <v>415</v>
      </c>
      <c r="FC178" s="15" t="s">
        <v>415</v>
      </c>
      <c r="FD178" s="15" t="s">
        <v>416</v>
      </c>
      <c r="FE178" s="15" t="s">
        <v>414</v>
      </c>
      <c r="FF178" s="15" t="s">
        <v>415</v>
      </c>
      <c r="FG178" s="15" t="s">
        <v>413</v>
      </c>
      <c r="FH178" s="15" t="s">
        <v>583</v>
      </c>
      <c r="FI178" s="15" t="s">
        <v>415</v>
      </c>
      <c r="FJ178" s="15" t="s">
        <v>415</v>
      </c>
      <c r="FK178" s="15" t="s">
        <v>484</v>
      </c>
      <c r="FL178" s="15" t="s">
        <v>415</v>
      </c>
      <c r="FM178" s="15" t="s">
        <v>416</v>
      </c>
      <c r="FN178" s="15" t="s">
        <v>414</v>
      </c>
      <c r="FO178" s="15" t="s">
        <v>850</v>
      </c>
      <c r="FP178" s="15" t="s">
        <v>418</v>
      </c>
      <c r="FQ178" s="15" t="s">
        <v>749</v>
      </c>
      <c r="FR178" s="15" t="s">
        <v>4045</v>
      </c>
      <c r="FS178" s="15" t="s">
        <v>420</v>
      </c>
      <c r="FT178" s="15" t="s">
        <v>1462</v>
      </c>
      <c r="FU178" s="15" t="s">
        <v>489</v>
      </c>
      <c r="FV178" s="15" t="s">
        <v>490</v>
      </c>
      <c r="FW178" s="15" t="s">
        <v>491</v>
      </c>
      <c r="FX178" s="15" t="s">
        <v>4046</v>
      </c>
      <c r="FY178" s="15" t="s">
        <v>535</v>
      </c>
      <c r="FZ178" s="15" t="s">
        <v>4047</v>
      </c>
      <c r="GA178" s="15" t="s">
        <v>4048</v>
      </c>
      <c r="GB178" s="15" t="s">
        <v>408</v>
      </c>
      <c r="GC178" s="15"/>
      <c r="GD178" s="15"/>
      <c r="GE178" s="15"/>
      <c r="GF178" s="15"/>
      <c r="GG178" s="15"/>
      <c r="GH178" s="15"/>
      <c r="GI178" s="15"/>
      <c r="GJ178" s="15" t="s">
        <v>755</v>
      </c>
      <c r="GK178" s="15" t="s">
        <v>1000</v>
      </c>
      <c r="GL178" s="15" t="s">
        <v>817</v>
      </c>
      <c r="GM178" s="15"/>
      <c r="GN178" s="15"/>
      <c r="GO178" s="15"/>
      <c r="GP178" s="15"/>
      <c r="GQ178" s="15" t="s">
        <v>3273</v>
      </c>
      <c r="GR178" s="15"/>
      <c r="GS178" s="15"/>
      <c r="GT178" s="15"/>
      <c r="GU178" s="15"/>
      <c r="GV178" s="15"/>
      <c r="GW178" s="15"/>
      <c r="GX178" s="15"/>
      <c r="GY178" s="15"/>
      <c r="GZ178" s="15"/>
      <c r="HA178" s="15"/>
      <c r="HB178" s="15"/>
      <c r="HC178" s="15"/>
      <c r="HD178" s="15"/>
      <c r="HE178" s="15"/>
      <c r="HF178" s="15"/>
      <c r="HG178" s="15"/>
      <c r="HH178" s="15"/>
      <c r="HI178" s="15"/>
      <c r="HJ178" s="15"/>
      <c r="HK178" s="15"/>
      <c r="HL178" s="15"/>
      <c r="HM178" s="15"/>
      <c r="HN178" s="15"/>
      <c r="HO178" s="15"/>
      <c r="HP178" s="31"/>
      <c r="MX178" s="29" t="s">
        <v>1201</v>
      </c>
      <c r="MY178" s="29" t="str">
        <f>IFERROR(__xludf.DUMMYFUNCTION("""COMPUTED_VALUE"""),"Australia")</f>
        <v>Australia</v>
      </c>
    </row>
    <row r="179" ht="16.5" customHeight="1">
      <c r="A179" s="30">
        <v>45833.09466783565</v>
      </c>
      <c r="B179" s="15" t="s">
        <v>368</v>
      </c>
      <c r="C179" s="15" t="s">
        <v>1201</v>
      </c>
      <c r="D179" s="15" t="s">
        <v>1201</v>
      </c>
      <c r="E179" s="15"/>
      <c r="F179" s="15"/>
      <c r="G179" s="15" t="s">
        <v>422</v>
      </c>
      <c r="H179" s="15" t="s">
        <v>637</v>
      </c>
      <c r="I179" s="15" t="s">
        <v>638</v>
      </c>
      <c r="J179" s="15" t="s">
        <v>590</v>
      </c>
      <c r="K179" s="15" t="s">
        <v>376</v>
      </c>
      <c r="L179" s="15" t="s">
        <v>379</v>
      </c>
      <c r="M179" s="15" t="s">
        <v>720</v>
      </c>
      <c r="N179" s="15" t="s">
        <v>591</v>
      </c>
      <c r="O179" s="15" t="s">
        <v>639</v>
      </c>
      <c r="P179" s="15" t="s">
        <v>381</v>
      </c>
      <c r="Q179" s="15" t="s">
        <v>862</v>
      </c>
      <c r="R179" s="15" t="s">
        <v>1901</v>
      </c>
      <c r="S179" s="15" t="s">
        <v>384</v>
      </c>
      <c r="T179" s="15" t="s">
        <v>385</v>
      </c>
      <c r="U179" s="15"/>
      <c r="V179" s="15"/>
      <c r="W179" s="15" t="s">
        <v>3014</v>
      </c>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t="s">
        <v>1310</v>
      </c>
      <c r="AW179" s="15" t="s">
        <v>391</v>
      </c>
      <c r="AX179" s="15" t="s">
        <v>391</v>
      </c>
      <c r="AY179" s="15">
        <v>4.0</v>
      </c>
      <c r="AZ179" s="15" t="s">
        <v>391</v>
      </c>
      <c r="BA179" s="15" t="s">
        <v>391</v>
      </c>
      <c r="BB179" s="15" t="s">
        <v>391</v>
      </c>
      <c r="BC179" s="15" t="s">
        <v>4049</v>
      </c>
      <c r="BD179" s="15" t="s">
        <v>4050</v>
      </c>
      <c r="BE179" s="15" t="s">
        <v>392</v>
      </c>
      <c r="BF179" s="15" t="s">
        <v>393</v>
      </c>
      <c r="BG179" s="15" t="s">
        <v>725</v>
      </c>
      <c r="BH179" s="15" t="s">
        <v>4051</v>
      </c>
      <c r="BI179" s="15" t="s">
        <v>727</v>
      </c>
      <c r="BJ179" s="15"/>
      <c r="BK179" s="15" t="s">
        <v>681</v>
      </c>
      <c r="BL179" s="15" t="s">
        <v>603</v>
      </c>
      <c r="BM179" s="15" t="s">
        <v>1247</v>
      </c>
      <c r="BN179" s="15" t="s">
        <v>513</v>
      </c>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t="s">
        <v>953</v>
      </c>
      <c r="CM179" s="15" t="s">
        <v>401</v>
      </c>
      <c r="CN179" s="15" t="s">
        <v>4052</v>
      </c>
      <c r="CO179" s="15" t="s">
        <v>4053</v>
      </c>
      <c r="CP179" s="15"/>
      <c r="CQ179" s="15" t="s">
        <v>4054</v>
      </c>
      <c r="CR179" s="15" t="s">
        <v>804</v>
      </c>
      <c r="CS179" s="15"/>
      <c r="CT179" s="15" t="s">
        <v>4055</v>
      </c>
      <c r="CU179" s="15" t="s">
        <v>1961</v>
      </c>
      <c r="CV179" s="15" t="s">
        <v>959</v>
      </c>
      <c r="CW179" s="15"/>
      <c r="CX179" s="15" t="s">
        <v>408</v>
      </c>
      <c r="CY179" s="15"/>
      <c r="CZ179" s="15"/>
      <c r="DA179" s="15"/>
      <c r="DB179" s="15" t="s">
        <v>408</v>
      </c>
      <c r="DC179" s="15"/>
      <c r="DD179" s="15" t="s">
        <v>1400</v>
      </c>
      <c r="DE179" s="15"/>
      <c r="DF179" s="15" t="s">
        <v>4056</v>
      </c>
      <c r="DG179" s="15" t="s">
        <v>693</v>
      </c>
      <c r="DH179" s="15" t="s">
        <v>410</v>
      </c>
      <c r="DI179" s="15" t="s">
        <v>963</v>
      </c>
      <c r="DJ179" s="15" t="s">
        <v>460</v>
      </c>
      <c r="DK179" s="15" t="s">
        <v>563</v>
      </c>
      <c r="DL179" s="15" t="s">
        <v>4057</v>
      </c>
      <c r="DM179" s="15"/>
      <c r="DN179" s="15"/>
      <c r="DO179" s="15"/>
      <c r="DP179" s="15"/>
      <c r="DQ179" s="15"/>
      <c r="DR179" s="15"/>
      <c r="DS179" s="15"/>
      <c r="DT179" s="15"/>
      <c r="DU179" s="15"/>
      <c r="DV179" s="15"/>
      <c r="DW179" s="15"/>
      <c r="DX179" s="15"/>
      <c r="DY179" s="15"/>
      <c r="DZ179" s="15"/>
      <c r="EA179" s="15"/>
      <c r="EB179" s="15"/>
      <c r="EC179" s="15"/>
      <c r="ED179" s="15"/>
      <c r="EE179" s="15"/>
      <c r="EF179" s="15"/>
      <c r="EG179" s="15"/>
      <c r="EH179" s="15"/>
      <c r="EI179" s="15"/>
      <c r="EJ179" s="15"/>
      <c r="EK179" s="15"/>
      <c r="EL179" s="15"/>
      <c r="EM179" s="15"/>
      <c r="EN179" s="15"/>
      <c r="EO179" s="15"/>
      <c r="EP179" s="15"/>
      <c r="EQ179" s="15"/>
      <c r="ER179" s="15"/>
      <c r="ES179" s="15"/>
      <c r="ET179" s="15" t="s">
        <v>578</v>
      </c>
      <c r="EU179" s="15" t="s">
        <v>579</v>
      </c>
      <c r="EV179" s="15" t="s">
        <v>1534</v>
      </c>
      <c r="EW179" s="15" t="s">
        <v>4058</v>
      </c>
      <c r="EX179" s="15" t="s">
        <v>4059</v>
      </c>
      <c r="EY179" s="15" t="s">
        <v>4060</v>
      </c>
      <c r="EZ179" s="15" t="s">
        <v>415</v>
      </c>
      <c r="FA179" s="15" t="s">
        <v>414</v>
      </c>
      <c r="FB179" s="15" t="s">
        <v>416</v>
      </c>
      <c r="FC179" s="15" t="s">
        <v>414</v>
      </c>
      <c r="FD179" s="15" t="s">
        <v>415</v>
      </c>
      <c r="FE179" s="15" t="s">
        <v>414</v>
      </c>
      <c r="FF179" s="15" t="s">
        <v>415</v>
      </c>
      <c r="FG179" s="15" t="s">
        <v>415</v>
      </c>
      <c r="FH179" s="15" t="s">
        <v>414</v>
      </c>
      <c r="FI179" s="15" t="s">
        <v>415</v>
      </c>
      <c r="FJ179" s="15" t="s">
        <v>415</v>
      </c>
      <c r="FK179" s="15" t="s">
        <v>415</v>
      </c>
      <c r="FL179" s="15" t="s">
        <v>415</v>
      </c>
      <c r="FM179" s="15" t="s">
        <v>415</v>
      </c>
      <c r="FN179" s="15" t="s">
        <v>414</v>
      </c>
      <c r="FO179" s="15" t="s">
        <v>1074</v>
      </c>
      <c r="FP179" s="15" t="s">
        <v>486</v>
      </c>
      <c r="FQ179" s="15" t="s">
        <v>749</v>
      </c>
      <c r="FR179" s="15" t="s">
        <v>4061</v>
      </c>
      <c r="FS179" s="15" t="s">
        <v>1871</v>
      </c>
      <c r="FT179" s="15" t="s">
        <v>1462</v>
      </c>
      <c r="FU179" s="15" t="s">
        <v>1235</v>
      </c>
      <c r="FV179" s="15" t="s">
        <v>2136</v>
      </c>
      <c r="FW179" s="15" t="s">
        <v>491</v>
      </c>
      <c r="FX179" s="15" t="s">
        <v>4062</v>
      </c>
      <c r="FY179" s="15" t="s">
        <v>1020</v>
      </c>
      <c r="FZ179" s="15" t="s">
        <v>4063</v>
      </c>
      <c r="GA179" s="15" t="s">
        <v>4064</v>
      </c>
      <c r="GB179" s="15" t="s">
        <v>455</v>
      </c>
      <c r="GC179" s="15"/>
      <c r="GD179" s="15"/>
      <c r="GE179" s="15" t="s">
        <v>1339</v>
      </c>
      <c r="GF179" s="15" t="s">
        <v>4065</v>
      </c>
      <c r="GG179" s="15" t="s">
        <v>857</v>
      </c>
      <c r="GH179" s="15" t="s">
        <v>857</v>
      </c>
      <c r="GI179" s="15" t="s">
        <v>790</v>
      </c>
      <c r="GJ179" s="15"/>
      <c r="GK179" s="15"/>
      <c r="GL179" s="15"/>
      <c r="GM179" s="15"/>
      <c r="GN179" s="15"/>
      <c r="GO179" s="15"/>
      <c r="GP179" s="15"/>
      <c r="GQ179" s="15" t="s">
        <v>3351</v>
      </c>
      <c r="GR179" s="15"/>
      <c r="GS179" s="15"/>
      <c r="GT179" s="15"/>
      <c r="GU179" s="15"/>
      <c r="GV179" s="15"/>
      <c r="GW179" s="15"/>
      <c r="GX179" s="15"/>
      <c r="GY179" s="15"/>
      <c r="GZ179" s="15"/>
      <c r="HA179" s="15"/>
      <c r="HB179" s="15"/>
      <c r="HC179" s="15"/>
      <c r="HD179" s="15"/>
      <c r="HE179" s="15"/>
      <c r="HF179" s="15"/>
      <c r="HG179" s="15"/>
      <c r="HH179" s="15"/>
      <c r="HI179" s="15"/>
      <c r="HJ179" s="15"/>
      <c r="HK179" s="15"/>
      <c r="HL179" s="15"/>
      <c r="HM179" s="15"/>
      <c r="HN179" s="15"/>
      <c r="HO179" s="15"/>
      <c r="HP179" s="31"/>
      <c r="MX179" s="29" t="s">
        <v>1201</v>
      </c>
      <c r="MY179" s="29" t="str">
        <f>IFERROR(__xludf.DUMMYFUNCTION("""COMPUTED_VALUE"""),"Australia")</f>
        <v>Australia</v>
      </c>
    </row>
    <row r="180" ht="16.5" customHeight="1">
      <c r="A180" s="30">
        <v>45833.27167458333</v>
      </c>
      <c r="B180" s="15" t="s">
        <v>368</v>
      </c>
      <c r="C180" s="15" t="s">
        <v>1201</v>
      </c>
      <c r="D180" s="15" t="s">
        <v>1201</v>
      </c>
      <c r="E180" s="15"/>
      <c r="F180" s="15"/>
      <c r="G180" s="15" t="s">
        <v>422</v>
      </c>
      <c r="H180" s="15" t="s">
        <v>637</v>
      </c>
      <c r="I180" s="15" t="s">
        <v>638</v>
      </c>
      <c r="J180" s="15" t="s">
        <v>590</v>
      </c>
      <c r="K180" s="15" t="s">
        <v>376</v>
      </c>
      <c r="L180" s="15" t="s">
        <v>379</v>
      </c>
      <c r="M180" s="15" t="s">
        <v>639</v>
      </c>
      <c r="N180" s="15" t="s">
        <v>591</v>
      </c>
      <c r="O180" s="15" t="s">
        <v>2579</v>
      </c>
      <c r="P180" s="15" t="s">
        <v>498</v>
      </c>
      <c r="Q180" s="15" t="s">
        <v>862</v>
      </c>
      <c r="R180" s="15" t="s">
        <v>949</v>
      </c>
      <c r="S180" s="15" t="s">
        <v>384</v>
      </c>
      <c r="T180" s="15" t="s">
        <v>385</v>
      </c>
      <c r="U180" s="15"/>
      <c r="V180" s="15"/>
      <c r="W180" s="15" t="s">
        <v>3014</v>
      </c>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t="s">
        <v>390</v>
      </c>
      <c r="AW180" s="15">
        <v>4.0</v>
      </c>
      <c r="AX180" s="15" t="s">
        <v>391</v>
      </c>
      <c r="AY180" s="15" t="s">
        <v>391</v>
      </c>
      <c r="AZ180" s="15" t="s">
        <v>391</v>
      </c>
      <c r="BA180" s="15" t="s">
        <v>391</v>
      </c>
      <c r="BB180" s="15">
        <v>2.0</v>
      </c>
      <c r="BC180" s="15" t="s">
        <v>4066</v>
      </c>
      <c r="BD180" s="15" t="s">
        <v>4067</v>
      </c>
      <c r="BE180" s="15" t="s">
        <v>392</v>
      </c>
      <c r="BF180" s="15" t="s">
        <v>433</v>
      </c>
      <c r="BG180" s="15" t="s">
        <v>394</v>
      </c>
      <c r="BH180" s="15"/>
      <c r="BI180" s="15" t="s">
        <v>727</v>
      </c>
      <c r="BJ180" s="15"/>
      <c r="BK180" s="15" t="s">
        <v>437</v>
      </c>
      <c r="BL180" s="15" t="s">
        <v>438</v>
      </c>
      <c r="BM180" s="15" t="s">
        <v>439</v>
      </c>
      <c r="BN180" s="15" t="s">
        <v>398</v>
      </c>
      <c r="BO180" s="15" t="s">
        <v>4068</v>
      </c>
      <c r="BP180" s="15" t="s">
        <v>4069</v>
      </c>
      <c r="BQ180" s="15" t="s">
        <v>604</v>
      </c>
      <c r="BR180" s="15" t="s">
        <v>4070</v>
      </c>
      <c r="BS180" s="15" t="s">
        <v>4071</v>
      </c>
      <c r="BT180" s="15" t="s">
        <v>4072</v>
      </c>
      <c r="BU180" s="15" t="s">
        <v>1831</v>
      </c>
      <c r="BV180" s="15" t="s">
        <v>4073</v>
      </c>
      <c r="BW180" s="15" t="s">
        <v>457</v>
      </c>
      <c r="BX180" s="15"/>
      <c r="BY180" s="15" t="s">
        <v>408</v>
      </c>
      <c r="BZ180" s="15"/>
      <c r="CA180" s="15"/>
      <c r="CB180" s="15" t="s">
        <v>4074</v>
      </c>
      <c r="CC180" s="15" t="s">
        <v>4075</v>
      </c>
      <c r="CD180" s="15" t="s">
        <v>451</v>
      </c>
      <c r="CE180" s="15" t="s">
        <v>4076</v>
      </c>
      <c r="CF180" s="15" t="s">
        <v>1258</v>
      </c>
      <c r="CG180" s="15"/>
      <c r="CH180" s="15" t="s">
        <v>2852</v>
      </c>
      <c r="CI180" s="15" t="s">
        <v>410</v>
      </c>
      <c r="CJ180" s="15" t="s">
        <v>4077</v>
      </c>
      <c r="CK180" s="15" t="s">
        <v>4078</v>
      </c>
      <c r="CL180" s="15"/>
      <c r="CM180" s="15"/>
      <c r="CN180" s="15"/>
      <c r="CO180" s="15"/>
      <c r="CP180" s="15"/>
      <c r="CQ180" s="15"/>
      <c r="CR180" s="15"/>
      <c r="CS180" s="15"/>
      <c r="CT180" s="15"/>
      <c r="CU180" s="15"/>
      <c r="CV180" s="15"/>
      <c r="CW180" s="15"/>
      <c r="CX180" s="15"/>
      <c r="CY180" s="15"/>
      <c r="CZ180" s="15"/>
      <c r="DA180" s="15"/>
      <c r="DB180" s="15"/>
      <c r="DC180" s="15"/>
      <c r="DD180" s="15"/>
      <c r="DE180" s="15"/>
      <c r="DF180" s="15"/>
      <c r="DG180" s="15"/>
      <c r="DH180" s="15"/>
      <c r="DI180" s="15"/>
      <c r="DJ180" s="15"/>
      <c r="DK180" s="15"/>
      <c r="DL180" s="15"/>
      <c r="DM180" s="15"/>
      <c r="DN180" s="15"/>
      <c r="DO180" s="15"/>
      <c r="DP180" s="15"/>
      <c r="DQ180" s="15"/>
      <c r="DR180" s="15"/>
      <c r="DS180" s="15"/>
      <c r="DT180" s="15"/>
      <c r="DU180" s="15"/>
      <c r="DV180" s="15"/>
      <c r="DW180" s="15"/>
      <c r="DX180" s="15"/>
      <c r="DY180" s="15"/>
      <c r="DZ180" s="15"/>
      <c r="EA180" s="15"/>
      <c r="EB180" s="15"/>
      <c r="EC180" s="15"/>
      <c r="ED180" s="15"/>
      <c r="EE180" s="15"/>
      <c r="EF180" s="15"/>
      <c r="EG180" s="15"/>
      <c r="EH180" s="15"/>
      <c r="EI180" s="15"/>
      <c r="EJ180" s="15"/>
      <c r="EK180" s="15"/>
      <c r="EL180" s="15"/>
      <c r="EM180" s="15"/>
      <c r="EN180" s="15"/>
      <c r="EO180" s="15"/>
      <c r="EP180" s="15"/>
      <c r="EQ180" s="15"/>
      <c r="ER180" s="15"/>
      <c r="ES180" s="15"/>
      <c r="ET180" s="15" t="s">
        <v>578</v>
      </c>
      <c r="EU180" s="15" t="s">
        <v>579</v>
      </c>
      <c r="EV180" s="15" t="s">
        <v>1534</v>
      </c>
      <c r="EW180" s="15"/>
      <c r="EX180" s="15" t="s">
        <v>4079</v>
      </c>
      <c r="EY180" s="15" t="s">
        <v>4080</v>
      </c>
      <c r="EZ180" s="15" t="s">
        <v>415</v>
      </c>
      <c r="FA180" s="15" t="s">
        <v>414</v>
      </c>
      <c r="FB180" s="15" t="s">
        <v>416</v>
      </c>
      <c r="FC180" s="15" t="s">
        <v>414</v>
      </c>
      <c r="FD180" s="15" t="s">
        <v>416</v>
      </c>
      <c r="FE180" s="15" t="s">
        <v>414</v>
      </c>
      <c r="FF180" s="15" t="s">
        <v>415</v>
      </c>
      <c r="FG180" s="15" t="s">
        <v>415</v>
      </c>
      <c r="FH180" s="15" t="s">
        <v>415</v>
      </c>
      <c r="FI180" s="15" t="s">
        <v>416</v>
      </c>
      <c r="FJ180" s="15" t="s">
        <v>415</v>
      </c>
      <c r="FK180" s="15" t="s">
        <v>415</v>
      </c>
      <c r="FL180" s="15" t="s">
        <v>415</v>
      </c>
      <c r="FM180" s="15" t="s">
        <v>415</v>
      </c>
      <c r="FN180" s="15" t="s">
        <v>415</v>
      </c>
      <c r="FO180" s="15" t="s">
        <v>850</v>
      </c>
      <c r="FP180" s="15" t="s">
        <v>486</v>
      </c>
      <c r="FQ180" s="15" t="s">
        <v>749</v>
      </c>
      <c r="FR180" s="15" t="s">
        <v>4081</v>
      </c>
      <c r="FS180" s="15" t="s">
        <v>1076</v>
      </c>
      <c r="FT180" s="15" t="s">
        <v>1462</v>
      </c>
      <c r="FU180" s="15" t="s">
        <v>1235</v>
      </c>
      <c r="FV180" s="15" t="s">
        <v>1101</v>
      </c>
      <c r="FW180" s="15" t="s">
        <v>491</v>
      </c>
      <c r="FX180" s="15" t="s">
        <v>4082</v>
      </c>
      <c r="FY180" s="15" t="s">
        <v>1854</v>
      </c>
      <c r="FZ180" s="15" t="s">
        <v>4083</v>
      </c>
      <c r="GA180" s="15"/>
      <c r="GB180" s="15" t="s">
        <v>408</v>
      </c>
      <c r="GC180" s="15"/>
      <c r="GD180" s="15"/>
      <c r="GE180" s="15"/>
      <c r="GF180" s="15"/>
      <c r="GG180" s="15"/>
      <c r="GH180" s="15"/>
      <c r="GI180" s="15"/>
      <c r="GJ180" s="15" t="s">
        <v>857</v>
      </c>
      <c r="GK180" s="15" t="s">
        <v>857</v>
      </c>
      <c r="GL180" s="15" t="s">
        <v>790</v>
      </c>
      <c r="GM180" s="15"/>
      <c r="GN180" s="15"/>
      <c r="GO180" s="15" t="s">
        <v>4084</v>
      </c>
      <c r="GP180" s="15"/>
      <c r="GQ180" s="15" t="s">
        <v>3351</v>
      </c>
      <c r="GR180" s="15"/>
      <c r="GS180" s="15"/>
      <c r="GT180" s="15"/>
      <c r="GU180" s="15"/>
      <c r="GV180" s="15"/>
      <c r="GW180" s="15"/>
      <c r="GX180" s="15"/>
      <c r="GY180" s="15"/>
      <c r="GZ180" s="15"/>
      <c r="HA180" s="15"/>
      <c r="HB180" s="15"/>
      <c r="HC180" s="15"/>
      <c r="HD180" s="15"/>
      <c r="HE180" s="15"/>
      <c r="HF180" s="15"/>
      <c r="HG180" s="15"/>
      <c r="HH180" s="15"/>
      <c r="HI180" s="15"/>
      <c r="HJ180" s="15"/>
      <c r="HK180" s="15"/>
      <c r="HL180" s="15"/>
      <c r="HM180" s="15"/>
      <c r="HN180" s="15"/>
      <c r="HO180" s="15"/>
      <c r="HP180" s="31"/>
      <c r="MX180" s="29" t="s">
        <v>4085</v>
      </c>
      <c r="MY180" s="29" t="str">
        <f>IFERROR(__xludf.DUMMYFUNCTION("""COMPUTED_VALUE"""),"New Zealand")</f>
        <v>New Zealand</v>
      </c>
    </row>
    <row r="181" ht="16.5" customHeight="1">
      <c r="A181" s="30">
        <v>45833.341107002314</v>
      </c>
      <c r="B181" s="15" t="s">
        <v>368</v>
      </c>
      <c r="C181" s="15" t="s">
        <v>4085</v>
      </c>
      <c r="D181" s="15" t="s">
        <v>1201</v>
      </c>
      <c r="E181" s="15"/>
      <c r="F181" s="15"/>
      <c r="G181" s="15" t="s">
        <v>422</v>
      </c>
      <c r="H181" s="15" t="s">
        <v>539</v>
      </c>
      <c r="I181" s="15" t="s">
        <v>424</v>
      </c>
      <c r="J181" s="15" t="s">
        <v>1240</v>
      </c>
      <c r="K181" s="15" t="s">
        <v>376</v>
      </c>
      <c r="L181" s="15" t="s">
        <v>377</v>
      </c>
      <c r="M181" s="15" t="s">
        <v>2464</v>
      </c>
      <c r="N181" s="15" t="s">
        <v>377</v>
      </c>
      <c r="O181" s="15" t="s">
        <v>2464</v>
      </c>
      <c r="P181" s="15" t="s">
        <v>381</v>
      </c>
      <c r="Q181" s="15" t="s">
        <v>499</v>
      </c>
      <c r="R181" s="15" t="s">
        <v>427</v>
      </c>
      <c r="S181" s="15" t="s">
        <v>384</v>
      </c>
      <c r="T181" s="15" t="s">
        <v>385</v>
      </c>
      <c r="U181" s="15"/>
      <c r="V181" s="15"/>
      <c r="W181" s="15" t="s">
        <v>386</v>
      </c>
      <c r="X181" s="15" t="s">
        <v>387</v>
      </c>
      <c r="Y181" s="15"/>
      <c r="Z181" s="15" t="s">
        <v>543</v>
      </c>
      <c r="AA181" s="15" t="s">
        <v>408</v>
      </c>
      <c r="AB181" s="15"/>
      <c r="AC181" s="15"/>
      <c r="AD181" s="15"/>
      <c r="AE181" s="15"/>
      <c r="AF181" s="15"/>
      <c r="AG181" s="15"/>
      <c r="AH181" s="15"/>
      <c r="AI181" s="15"/>
      <c r="AJ181" s="15"/>
      <c r="AK181" s="15"/>
      <c r="AL181" s="15"/>
      <c r="AM181" s="15"/>
      <c r="AN181" s="15"/>
      <c r="AO181" s="15"/>
      <c r="AP181" s="15"/>
      <c r="AQ181" s="15"/>
      <c r="AR181" s="15"/>
      <c r="AS181" s="15"/>
      <c r="AT181" s="15"/>
      <c r="AU181" s="15"/>
      <c r="AV181" s="15" t="s">
        <v>390</v>
      </c>
      <c r="AW181" s="15">
        <v>2.0</v>
      </c>
      <c r="AX181" s="15">
        <v>2.0</v>
      </c>
      <c r="AY181" s="15">
        <v>2.0</v>
      </c>
      <c r="AZ181" s="15" t="s">
        <v>429</v>
      </c>
      <c r="BA181" s="15">
        <v>2.0</v>
      </c>
      <c r="BB181" s="15">
        <v>2.0</v>
      </c>
      <c r="BC181" s="15" t="s">
        <v>4086</v>
      </c>
      <c r="BD181" s="15" t="s">
        <v>4087</v>
      </c>
      <c r="BE181" s="15" t="s">
        <v>392</v>
      </c>
      <c r="BF181" s="15" t="s">
        <v>433</v>
      </c>
      <c r="BG181" s="15" t="s">
        <v>678</v>
      </c>
      <c r="BH181" s="15" t="s">
        <v>4088</v>
      </c>
      <c r="BI181" s="15" t="s">
        <v>509</v>
      </c>
      <c r="BJ181" s="15" t="s">
        <v>4089</v>
      </c>
      <c r="BK181" s="15" t="s">
        <v>511</v>
      </c>
      <c r="BL181" s="15" t="s">
        <v>512</v>
      </c>
      <c r="BM181" s="15" t="s">
        <v>549</v>
      </c>
      <c r="BN181" s="15" t="s">
        <v>440</v>
      </c>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t="s">
        <v>441</v>
      </c>
      <c r="CM181" s="15" t="s">
        <v>442</v>
      </c>
      <c r="CN181" s="15" t="s">
        <v>4090</v>
      </c>
      <c r="CO181" s="15" t="s">
        <v>4091</v>
      </c>
      <c r="CP181" s="15" t="s">
        <v>403</v>
      </c>
      <c r="CQ181" s="15" t="s">
        <v>4092</v>
      </c>
      <c r="CR181" s="15" t="s">
        <v>555</v>
      </c>
      <c r="CS181" s="15" t="s">
        <v>1569</v>
      </c>
      <c r="CT181" s="15" t="s">
        <v>4093</v>
      </c>
      <c r="CU181" s="15" t="s">
        <v>450</v>
      </c>
      <c r="CV181" s="15" t="s">
        <v>451</v>
      </c>
      <c r="CW181" s="15" t="s">
        <v>4094</v>
      </c>
      <c r="CX181" s="15" t="s">
        <v>408</v>
      </c>
      <c r="CY181" s="15"/>
      <c r="CZ181" s="15" t="s">
        <v>453</v>
      </c>
      <c r="DA181" s="15" t="s">
        <v>4095</v>
      </c>
      <c r="DB181" s="15" t="s">
        <v>455</v>
      </c>
      <c r="DC181" s="15" t="s">
        <v>4096</v>
      </c>
      <c r="DD181" s="15" t="s">
        <v>988</v>
      </c>
      <c r="DE181" s="15"/>
      <c r="DF181" s="15" t="s">
        <v>4097</v>
      </c>
      <c r="DG181" s="15" t="s">
        <v>561</v>
      </c>
      <c r="DH181" s="15" t="s">
        <v>410</v>
      </c>
      <c r="DI181" s="15" t="s">
        <v>459</v>
      </c>
      <c r="DJ181" s="15" t="s">
        <v>562</v>
      </c>
      <c r="DK181" s="15" t="s">
        <v>461</v>
      </c>
      <c r="DL181" s="15"/>
      <c r="DM181" s="15" t="s">
        <v>4098</v>
      </c>
      <c r="DN181" s="15" t="s">
        <v>4099</v>
      </c>
      <c r="DO181" s="15" t="s">
        <v>2956</v>
      </c>
      <c r="DP181" s="15" t="s">
        <v>4100</v>
      </c>
      <c r="DQ181" s="15" t="s">
        <v>466</v>
      </c>
      <c r="DR181" s="15" t="s">
        <v>4101</v>
      </c>
      <c r="DS181" s="15" t="s">
        <v>468</v>
      </c>
      <c r="DT181" s="15" t="s">
        <v>570</v>
      </c>
      <c r="DU181" s="15" t="s">
        <v>4102</v>
      </c>
      <c r="DV181" s="15" t="s">
        <v>4103</v>
      </c>
      <c r="DW181" s="15" t="s">
        <v>1328</v>
      </c>
      <c r="DX181" s="15" t="s">
        <v>4104</v>
      </c>
      <c r="DY181" s="15" t="s">
        <v>4105</v>
      </c>
      <c r="DZ181" s="15" t="s">
        <v>4106</v>
      </c>
      <c r="EA181" s="15" t="s">
        <v>475</v>
      </c>
      <c r="EB181" s="15" t="s">
        <v>626</v>
      </c>
      <c r="EC181" s="15" t="s">
        <v>4107</v>
      </c>
      <c r="ED181" s="15"/>
      <c r="EE181" s="15"/>
      <c r="EF181" s="15"/>
      <c r="EG181" s="15"/>
      <c r="EH181" s="15"/>
      <c r="EI181" s="15"/>
      <c r="EJ181" s="15"/>
      <c r="EK181" s="15"/>
      <c r="EL181" s="15"/>
      <c r="EM181" s="15"/>
      <c r="EN181" s="15"/>
      <c r="EO181" s="15"/>
      <c r="EP181" s="15"/>
      <c r="EQ181" s="15"/>
      <c r="ER181" s="15"/>
      <c r="ES181" s="15"/>
      <c r="ET181" s="15" t="s">
        <v>526</v>
      </c>
      <c r="EU181" s="15" t="s">
        <v>579</v>
      </c>
      <c r="EV181" s="15" t="s">
        <v>1262</v>
      </c>
      <c r="EW181" s="15" t="s">
        <v>4108</v>
      </c>
      <c r="EX181" s="15" t="s">
        <v>4109</v>
      </c>
      <c r="EY181" s="15" t="s">
        <v>4110</v>
      </c>
      <c r="EZ181" s="15" t="s">
        <v>413</v>
      </c>
      <c r="FA181" s="15" t="s">
        <v>415</v>
      </c>
      <c r="FB181" s="15" t="s">
        <v>413</v>
      </c>
      <c r="FC181" s="15" t="s">
        <v>413</v>
      </c>
      <c r="FD181" s="15" t="s">
        <v>413</v>
      </c>
      <c r="FE181" s="15" t="s">
        <v>415</v>
      </c>
      <c r="FF181" s="15" t="s">
        <v>416</v>
      </c>
      <c r="FG181" s="15" t="s">
        <v>416</v>
      </c>
      <c r="FH181" s="15" t="s">
        <v>583</v>
      </c>
      <c r="FI181" s="15" t="s">
        <v>413</v>
      </c>
      <c r="FJ181" s="15" t="s">
        <v>413</v>
      </c>
      <c r="FK181" s="15" t="s">
        <v>415</v>
      </c>
      <c r="FL181" s="15" t="s">
        <v>415</v>
      </c>
      <c r="FM181" s="15" t="s">
        <v>415</v>
      </c>
      <c r="FN181" s="15" t="s">
        <v>415</v>
      </c>
      <c r="FO181" s="15" t="s">
        <v>485</v>
      </c>
      <c r="FP181" s="15" t="s">
        <v>418</v>
      </c>
      <c r="FQ181" s="15" t="s">
        <v>1039</v>
      </c>
      <c r="FR181" s="15"/>
      <c r="FS181" s="15" t="s">
        <v>420</v>
      </c>
      <c r="FT181" s="15" t="s">
        <v>488</v>
      </c>
      <c r="FU181" s="15" t="s">
        <v>1235</v>
      </c>
      <c r="FV181" s="15" t="s">
        <v>490</v>
      </c>
      <c r="FW181" s="15" t="s">
        <v>491</v>
      </c>
      <c r="FX181" s="15" t="s">
        <v>4111</v>
      </c>
      <c r="FY181" s="15" t="s">
        <v>493</v>
      </c>
      <c r="FZ181" s="15"/>
      <c r="GA181" s="15" t="s">
        <v>4112</v>
      </c>
      <c r="GB181" s="15" t="s">
        <v>455</v>
      </c>
      <c r="GC181" s="15"/>
      <c r="GD181" s="15"/>
      <c r="GE181" s="15" t="s">
        <v>944</v>
      </c>
      <c r="GF181" s="15" t="s">
        <v>455</v>
      </c>
      <c r="GG181" s="15" t="s">
        <v>1000</v>
      </c>
      <c r="GH181" s="15" t="s">
        <v>755</v>
      </c>
      <c r="GI181" s="15" t="s">
        <v>817</v>
      </c>
      <c r="GJ181" s="15"/>
      <c r="GK181" s="15"/>
      <c r="GL181" s="15"/>
      <c r="GM181" s="15" t="s">
        <v>1079</v>
      </c>
      <c r="GN181" s="15" t="s">
        <v>4085</v>
      </c>
      <c r="GO181" s="15" t="s">
        <v>3568</v>
      </c>
      <c r="GP181" s="15"/>
      <c r="GQ181" s="15" t="s">
        <v>4113</v>
      </c>
      <c r="GR181" s="15"/>
      <c r="GS181" s="15"/>
      <c r="GT181" s="15"/>
      <c r="GU181" s="15"/>
      <c r="GV181" s="15"/>
      <c r="GW181" s="15"/>
      <c r="GX181" s="15"/>
      <c r="GY181" s="15"/>
      <c r="GZ181" s="15"/>
      <c r="HA181" s="15"/>
      <c r="HB181" s="15"/>
      <c r="HC181" s="15"/>
      <c r="HD181" s="15"/>
      <c r="HE181" s="15"/>
      <c r="HF181" s="15"/>
      <c r="HG181" s="15"/>
      <c r="HH181" s="15"/>
      <c r="HI181" s="15"/>
      <c r="HJ181" s="15"/>
      <c r="HK181" s="15"/>
      <c r="HL181" s="15"/>
      <c r="HM181" s="15"/>
      <c r="HN181" s="15"/>
      <c r="HO181" s="15"/>
      <c r="HP181" s="31"/>
      <c r="MX181" s="29" t="s">
        <v>10402</v>
      </c>
      <c r="MY181" s="29" t="str">
        <f>IFERROR(__xludf.DUMMYFUNCTION("""COMPUTED_VALUE"""),"Maine")</f>
        <v>Maine</v>
      </c>
    </row>
    <row r="182" ht="16.5" customHeight="1">
      <c r="A182" s="30">
        <v>45833.43214159722</v>
      </c>
      <c r="B182" s="15" t="s">
        <v>368</v>
      </c>
      <c r="C182" s="15" t="s">
        <v>370</v>
      </c>
      <c r="D182" s="15"/>
      <c r="E182" s="15" t="s">
        <v>4114</v>
      </c>
      <c r="F182" s="15"/>
      <c r="G182" s="15" t="s">
        <v>4115</v>
      </c>
      <c r="H182" s="15" t="s">
        <v>1203</v>
      </c>
      <c r="I182" s="15" t="s">
        <v>638</v>
      </c>
      <c r="J182" s="15" t="s">
        <v>1204</v>
      </c>
      <c r="K182" s="15" t="s">
        <v>376</v>
      </c>
      <c r="L182" s="15" t="s">
        <v>379</v>
      </c>
      <c r="M182" s="15" t="s">
        <v>378</v>
      </c>
      <c r="N182" s="15" t="s">
        <v>1526</v>
      </c>
      <c r="O182" s="15" t="s">
        <v>4116</v>
      </c>
      <c r="P182" s="15" t="s">
        <v>381</v>
      </c>
      <c r="Q182" s="15" t="s">
        <v>1156</v>
      </c>
      <c r="R182" s="15" t="s">
        <v>4117</v>
      </c>
      <c r="S182" s="15" t="s">
        <v>4118</v>
      </c>
      <c r="T182" s="15" t="s">
        <v>385</v>
      </c>
      <c r="U182" s="15"/>
      <c r="V182" s="15"/>
      <c r="W182" s="15" t="s">
        <v>593</v>
      </c>
      <c r="X182" s="15" t="s">
        <v>387</v>
      </c>
      <c r="Y182" s="15" t="s">
        <v>897</v>
      </c>
      <c r="Z182" s="15" t="s">
        <v>502</v>
      </c>
      <c r="AA182" s="15" t="s">
        <v>4119</v>
      </c>
      <c r="AB182" s="15" t="s">
        <v>4120</v>
      </c>
      <c r="AC182" s="15"/>
      <c r="AD182" s="15"/>
      <c r="AE182" s="15"/>
      <c r="AF182" s="15"/>
      <c r="AG182" s="15"/>
      <c r="AH182" s="15"/>
      <c r="AI182" s="15"/>
      <c r="AJ182" s="15"/>
      <c r="AK182" s="15"/>
      <c r="AL182" s="15"/>
      <c r="AM182" s="15"/>
      <c r="AN182" s="15"/>
      <c r="AO182" s="15"/>
      <c r="AP182" s="15"/>
      <c r="AQ182" s="15"/>
      <c r="AR182" s="15"/>
      <c r="AS182" s="15"/>
      <c r="AT182" s="15"/>
      <c r="AU182" s="15"/>
      <c r="AV182" s="15" t="s">
        <v>504</v>
      </c>
      <c r="AW182" s="15">
        <v>2.0</v>
      </c>
      <c r="AX182" s="15" t="s">
        <v>429</v>
      </c>
      <c r="AY182" s="15" t="s">
        <v>429</v>
      </c>
      <c r="AZ182" s="15">
        <v>2.0</v>
      </c>
      <c r="BA182" s="15">
        <v>2.0</v>
      </c>
      <c r="BB182" s="15" t="s">
        <v>429</v>
      </c>
      <c r="BC182" s="15" t="s">
        <v>4121</v>
      </c>
      <c r="BD182" s="15" t="s">
        <v>4122</v>
      </c>
      <c r="BE182" s="15" t="s">
        <v>432</v>
      </c>
      <c r="BF182" s="15" t="s">
        <v>433</v>
      </c>
      <c r="BG182" s="15" t="s">
        <v>394</v>
      </c>
      <c r="BH182" s="15" t="s">
        <v>4123</v>
      </c>
      <c r="BI182" s="15" t="s">
        <v>509</v>
      </c>
      <c r="BJ182" s="15"/>
      <c r="BK182" s="15" t="s">
        <v>681</v>
      </c>
      <c r="BL182" s="15" t="s">
        <v>512</v>
      </c>
      <c r="BM182" s="15" t="s">
        <v>439</v>
      </c>
      <c r="BN182" s="15" t="s">
        <v>513</v>
      </c>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t="s">
        <v>441</v>
      </c>
      <c r="CM182" s="15" t="s">
        <v>442</v>
      </c>
      <c r="CN182" s="15" t="s">
        <v>4124</v>
      </c>
      <c r="CO182" s="15" t="s">
        <v>4125</v>
      </c>
      <c r="CP182" s="15" t="s">
        <v>445</v>
      </c>
      <c r="CQ182" s="15" t="s">
        <v>4126</v>
      </c>
      <c r="CR182" s="15" t="s">
        <v>447</v>
      </c>
      <c r="CS182" s="15" t="s">
        <v>4127</v>
      </c>
      <c r="CT182" s="15" t="s">
        <v>4128</v>
      </c>
      <c r="CU182" s="15" t="s">
        <v>519</v>
      </c>
      <c r="CV182" s="15" t="s">
        <v>451</v>
      </c>
      <c r="CW182" s="15" t="s">
        <v>4129</v>
      </c>
      <c r="CX182" s="15" t="s">
        <v>733</v>
      </c>
      <c r="CY182" s="15"/>
      <c r="CZ182" s="15" t="s">
        <v>453</v>
      </c>
      <c r="DA182" s="15" t="s">
        <v>4130</v>
      </c>
      <c r="DB182" s="15" t="s">
        <v>455</v>
      </c>
      <c r="DC182" s="15" t="s">
        <v>4131</v>
      </c>
      <c r="DD182" s="15" t="s">
        <v>988</v>
      </c>
      <c r="DE182" s="15" t="s">
        <v>407</v>
      </c>
      <c r="DF182" s="15"/>
      <c r="DG182" s="15" t="s">
        <v>524</v>
      </c>
      <c r="DH182" s="15" t="s">
        <v>410</v>
      </c>
      <c r="DI182" s="15" t="s">
        <v>459</v>
      </c>
      <c r="DJ182" s="15" t="s">
        <v>562</v>
      </c>
      <c r="DK182" s="15" t="s">
        <v>461</v>
      </c>
      <c r="DL182" s="15"/>
      <c r="DM182" s="15"/>
      <c r="DN182" s="15"/>
      <c r="DO182" s="15"/>
      <c r="DP182" s="15"/>
      <c r="DQ182" s="15"/>
      <c r="DR182" s="15"/>
      <c r="DS182" s="15"/>
      <c r="DT182" s="15"/>
      <c r="DU182" s="15"/>
      <c r="DV182" s="15"/>
      <c r="DW182" s="15"/>
      <c r="DX182" s="15"/>
      <c r="DY182" s="15"/>
      <c r="DZ182" s="15"/>
      <c r="EA182" s="15"/>
      <c r="EB182" s="15"/>
      <c r="EC182" s="15"/>
      <c r="ED182" s="15"/>
      <c r="EE182" s="15"/>
      <c r="EF182" s="15"/>
      <c r="EG182" s="15"/>
      <c r="EH182" s="15"/>
      <c r="EI182" s="15"/>
      <c r="EJ182" s="15"/>
      <c r="EK182" s="15"/>
      <c r="EL182" s="15"/>
      <c r="EM182" s="15"/>
      <c r="EN182" s="15"/>
      <c r="EO182" s="15"/>
      <c r="EP182" s="15"/>
      <c r="EQ182" s="15"/>
      <c r="ER182" s="15"/>
      <c r="ES182" s="15"/>
      <c r="ET182" s="15" t="s">
        <v>478</v>
      </c>
      <c r="EU182" s="15" t="s">
        <v>479</v>
      </c>
      <c r="EV182" s="15" t="s">
        <v>527</v>
      </c>
      <c r="EW182" s="15" t="s">
        <v>4132</v>
      </c>
      <c r="EX182" s="15" t="s">
        <v>4133</v>
      </c>
      <c r="EY182" s="15" t="s">
        <v>4134</v>
      </c>
      <c r="EZ182" s="15" t="s">
        <v>414</v>
      </c>
      <c r="FA182" s="15" t="s">
        <v>414</v>
      </c>
      <c r="FB182" s="15" t="s">
        <v>583</v>
      </c>
      <c r="FC182" s="15" t="s">
        <v>583</v>
      </c>
      <c r="FD182" s="15" t="s">
        <v>414</v>
      </c>
      <c r="FE182" s="15" t="s">
        <v>583</v>
      </c>
      <c r="FF182" s="15" t="s">
        <v>583</v>
      </c>
      <c r="FG182" s="15" t="s">
        <v>416</v>
      </c>
      <c r="FH182" s="15" t="s">
        <v>414</v>
      </c>
      <c r="FI182" s="15" t="s">
        <v>583</v>
      </c>
      <c r="FJ182" s="15" t="s">
        <v>414</v>
      </c>
      <c r="FK182" s="15" t="s">
        <v>414</v>
      </c>
      <c r="FL182" s="15" t="s">
        <v>416</v>
      </c>
      <c r="FM182" s="15" t="s">
        <v>413</v>
      </c>
      <c r="FN182" s="15" t="s">
        <v>583</v>
      </c>
      <c r="FO182" s="15" t="s">
        <v>417</v>
      </c>
      <c r="FP182" s="15" t="s">
        <v>418</v>
      </c>
      <c r="FQ182" s="15" t="s">
        <v>749</v>
      </c>
      <c r="FR182" s="15" t="s">
        <v>4135</v>
      </c>
      <c r="FS182" s="15" t="s">
        <v>420</v>
      </c>
      <c r="FT182" s="15" t="s">
        <v>488</v>
      </c>
      <c r="FU182" s="15" t="s">
        <v>533</v>
      </c>
      <c r="FV182" s="15" t="s">
        <v>490</v>
      </c>
      <c r="FW182" s="15" t="s">
        <v>491</v>
      </c>
      <c r="FX182" s="15" t="s">
        <v>733</v>
      </c>
      <c r="FY182" s="15" t="s">
        <v>535</v>
      </c>
      <c r="FZ182" s="15" t="s">
        <v>4136</v>
      </c>
      <c r="GA182" s="15" t="s">
        <v>4137</v>
      </c>
      <c r="GB182" s="15" t="s">
        <v>408</v>
      </c>
      <c r="GC182" s="15"/>
      <c r="GD182" s="15"/>
      <c r="GE182" s="15"/>
      <c r="GF182" s="15"/>
      <c r="GG182" s="15" t="s">
        <v>755</v>
      </c>
      <c r="GH182" s="15" t="s">
        <v>755</v>
      </c>
      <c r="GI182" s="15" t="s">
        <v>946</v>
      </c>
      <c r="GJ182" s="15"/>
      <c r="GK182" s="15"/>
      <c r="GL182" s="15"/>
      <c r="GM182" s="15"/>
      <c r="GN182" s="15"/>
      <c r="GO182" s="15"/>
      <c r="GP182" s="15"/>
      <c r="GQ182" s="15" t="s">
        <v>3208</v>
      </c>
      <c r="GR182" s="15"/>
      <c r="GS182" s="15"/>
      <c r="GT182" s="15"/>
      <c r="GU182" s="15"/>
      <c r="GV182" s="15"/>
      <c r="GW182" s="15"/>
      <c r="GX182" s="15"/>
      <c r="GY182" s="15"/>
      <c r="GZ182" s="15"/>
      <c r="HA182" s="15"/>
      <c r="HB182" s="15"/>
      <c r="HC182" s="15"/>
      <c r="HD182" s="15"/>
      <c r="HE182" s="15"/>
      <c r="HF182" s="15"/>
      <c r="HG182" s="15"/>
      <c r="HH182" s="15"/>
      <c r="HI182" s="15"/>
      <c r="HJ182" s="15"/>
      <c r="HK182" s="15"/>
      <c r="HL182" s="15"/>
      <c r="HM182" s="15"/>
      <c r="HN182" s="15"/>
      <c r="HO182" s="15"/>
      <c r="HP182" s="31"/>
      <c r="MX182" s="29" t="s">
        <v>894</v>
      </c>
      <c r="MY182" s="29" t="str">
        <f>IFERROR(__xludf.DUMMYFUNCTION("""COMPUTED_VALUE"""),"Ontario")</f>
        <v>Ontario</v>
      </c>
    </row>
    <row r="183" ht="16.5" customHeight="1">
      <c r="A183" s="30">
        <v>45833.572022002314</v>
      </c>
      <c r="B183" s="15" t="s">
        <v>368</v>
      </c>
      <c r="C183" s="15" t="s">
        <v>894</v>
      </c>
      <c r="D183" s="15" t="s">
        <v>894</v>
      </c>
      <c r="E183" s="15"/>
      <c r="F183" s="15"/>
      <c r="G183" s="15" t="s">
        <v>422</v>
      </c>
      <c r="H183" s="15" t="s">
        <v>373</v>
      </c>
      <c r="I183" s="15" t="s">
        <v>374</v>
      </c>
      <c r="J183" s="15" t="s">
        <v>540</v>
      </c>
      <c r="K183" s="15" t="s">
        <v>376</v>
      </c>
      <c r="L183" s="15" t="s">
        <v>426</v>
      </c>
      <c r="M183" s="15" t="s">
        <v>720</v>
      </c>
      <c r="N183" s="15" t="s">
        <v>591</v>
      </c>
      <c r="O183" s="15" t="s">
        <v>719</v>
      </c>
      <c r="P183" s="15" t="s">
        <v>592</v>
      </c>
      <c r="Q183" s="15" t="s">
        <v>382</v>
      </c>
      <c r="R183" s="15" t="s">
        <v>427</v>
      </c>
      <c r="S183" s="15" t="s">
        <v>384</v>
      </c>
      <c r="T183" s="15" t="s">
        <v>385</v>
      </c>
      <c r="U183" s="15" t="s">
        <v>896</v>
      </c>
      <c r="V183" s="15" t="s">
        <v>896</v>
      </c>
      <c r="W183" s="15" t="s">
        <v>3231</v>
      </c>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t="s">
        <v>1310</v>
      </c>
      <c r="AW183" s="15" t="s">
        <v>675</v>
      </c>
      <c r="AX183" s="15">
        <v>4.0</v>
      </c>
      <c r="AY183" s="15">
        <v>4.0</v>
      </c>
      <c r="AZ183" s="15">
        <v>4.0</v>
      </c>
      <c r="BA183" s="15" t="s">
        <v>429</v>
      </c>
      <c r="BB183" s="15">
        <v>4.0</v>
      </c>
      <c r="BC183" s="15" t="s">
        <v>4138</v>
      </c>
      <c r="BD183" s="15" t="s">
        <v>4139</v>
      </c>
      <c r="BE183" s="15" t="s">
        <v>432</v>
      </c>
      <c r="BF183" s="15" t="s">
        <v>1095</v>
      </c>
      <c r="BG183" s="15" t="s">
        <v>765</v>
      </c>
      <c r="BH183" s="15" t="s">
        <v>4140</v>
      </c>
      <c r="BI183" s="15" t="s">
        <v>435</v>
      </c>
      <c r="BJ183" s="15" t="s">
        <v>4141</v>
      </c>
      <c r="BK183" s="15" t="s">
        <v>437</v>
      </c>
      <c r="BL183" s="15" t="s">
        <v>603</v>
      </c>
      <c r="BM183" s="15" t="s">
        <v>1247</v>
      </c>
      <c r="BN183" s="15" t="s">
        <v>513</v>
      </c>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t="s">
        <v>441</v>
      </c>
      <c r="CM183" s="15" t="s">
        <v>604</v>
      </c>
      <c r="CN183" s="15" t="s">
        <v>4142</v>
      </c>
      <c r="CO183" s="15" t="s">
        <v>4143</v>
      </c>
      <c r="CP183" s="15" t="s">
        <v>445</v>
      </c>
      <c r="CQ183" s="15" t="s">
        <v>4144</v>
      </c>
      <c r="CR183" s="15" t="s">
        <v>404</v>
      </c>
      <c r="CS183" s="15" t="s">
        <v>4145</v>
      </c>
      <c r="CT183" s="15" t="s">
        <v>4146</v>
      </c>
      <c r="CU183" s="15" t="s">
        <v>519</v>
      </c>
      <c r="CV183" s="15" t="s">
        <v>409</v>
      </c>
      <c r="CW183" s="15" t="s">
        <v>4147</v>
      </c>
      <c r="CX183" s="15" t="s">
        <v>408</v>
      </c>
      <c r="CY183" s="15" t="s">
        <v>4148</v>
      </c>
      <c r="CZ183" s="15" t="s">
        <v>985</v>
      </c>
      <c r="DA183" s="15" t="s">
        <v>4149</v>
      </c>
      <c r="DB183" s="15" t="s">
        <v>408</v>
      </c>
      <c r="DC183" s="15" t="s">
        <v>4148</v>
      </c>
      <c r="DD183" s="15" t="s">
        <v>406</v>
      </c>
      <c r="DE183" s="15" t="s">
        <v>407</v>
      </c>
      <c r="DF183" s="15" t="s">
        <v>4150</v>
      </c>
      <c r="DG183" s="15" t="s">
        <v>776</v>
      </c>
      <c r="DH183" s="15" t="s">
        <v>410</v>
      </c>
      <c r="DI183" s="15" t="s">
        <v>459</v>
      </c>
      <c r="DJ183" s="15" t="s">
        <v>460</v>
      </c>
      <c r="DK183" s="15" t="s">
        <v>461</v>
      </c>
      <c r="DL183" s="15"/>
      <c r="DM183" s="15"/>
      <c r="DN183" s="15"/>
      <c r="DO183" s="15"/>
      <c r="DP183" s="15"/>
      <c r="DQ183" s="15"/>
      <c r="DR183" s="15"/>
      <c r="DS183" s="15"/>
      <c r="DT183" s="15"/>
      <c r="DU183" s="15"/>
      <c r="DV183" s="15"/>
      <c r="DW183" s="15"/>
      <c r="DX183" s="15"/>
      <c r="DY183" s="15"/>
      <c r="DZ183" s="15"/>
      <c r="EA183" s="15"/>
      <c r="EB183" s="15"/>
      <c r="EC183" s="15"/>
      <c r="ED183" s="15"/>
      <c r="EE183" s="15"/>
      <c r="EF183" s="15"/>
      <c r="EG183" s="15"/>
      <c r="EH183" s="15"/>
      <c r="EI183" s="15"/>
      <c r="EJ183" s="15"/>
      <c r="EK183" s="15"/>
      <c r="EL183" s="15"/>
      <c r="EM183" s="15"/>
      <c r="EN183" s="15"/>
      <c r="EO183" s="15"/>
      <c r="EP183" s="15"/>
      <c r="EQ183" s="15"/>
      <c r="ER183" s="15"/>
      <c r="ES183" s="15"/>
      <c r="ET183" s="15" t="s">
        <v>578</v>
      </c>
      <c r="EU183" s="15" t="s">
        <v>1127</v>
      </c>
      <c r="EV183" s="15" t="s">
        <v>527</v>
      </c>
      <c r="EW183" s="15" t="s">
        <v>4151</v>
      </c>
      <c r="EX183" s="15" t="s">
        <v>4152</v>
      </c>
      <c r="EY183" s="15" t="s">
        <v>4153</v>
      </c>
      <c r="EZ183" s="15" t="s">
        <v>414</v>
      </c>
      <c r="FA183" s="15" t="s">
        <v>583</v>
      </c>
      <c r="FB183" s="15" t="s">
        <v>416</v>
      </c>
      <c r="FC183" s="15" t="s">
        <v>414</v>
      </c>
      <c r="FD183" s="15" t="s">
        <v>416</v>
      </c>
      <c r="FE183" s="15" t="s">
        <v>583</v>
      </c>
      <c r="FF183" s="15" t="s">
        <v>414</v>
      </c>
      <c r="FG183" s="15" t="s">
        <v>415</v>
      </c>
      <c r="FH183" s="15" t="s">
        <v>414</v>
      </c>
      <c r="FI183" s="15" t="s">
        <v>415</v>
      </c>
      <c r="FJ183" s="15" t="s">
        <v>414</v>
      </c>
      <c r="FK183" s="15" t="s">
        <v>414</v>
      </c>
      <c r="FL183" s="15" t="s">
        <v>414</v>
      </c>
      <c r="FM183" s="15" t="s">
        <v>416</v>
      </c>
      <c r="FN183" s="15" t="s">
        <v>414</v>
      </c>
      <c r="FO183" s="15" t="s">
        <v>1074</v>
      </c>
      <c r="FP183" s="15" t="s">
        <v>486</v>
      </c>
      <c r="FQ183" s="15" t="s">
        <v>419</v>
      </c>
      <c r="FR183" s="15" t="s">
        <v>4154</v>
      </c>
      <c r="FS183" s="15" t="s">
        <v>1076</v>
      </c>
      <c r="FT183" s="15" t="s">
        <v>1462</v>
      </c>
      <c r="FU183" s="15" t="s">
        <v>918</v>
      </c>
      <c r="FV183" s="15" t="s">
        <v>490</v>
      </c>
      <c r="FW183" s="15" t="s">
        <v>491</v>
      </c>
      <c r="FX183" s="15" t="s">
        <v>4155</v>
      </c>
      <c r="FY183" s="15" t="s">
        <v>493</v>
      </c>
      <c r="FZ183" s="15" t="s">
        <v>4156</v>
      </c>
      <c r="GA183" s="15" t="s">
        <v>4148</v>
      </c>
      <c r="GB183" s="15" t="s">
        <v>455</v>
      </c>
      <c r="GC183" s="15"/>
      <c r="GD183" s="15"/>
      <c r="GE183" s="15" t="s">
        <v>753</v>
      </c>
      <c r="GF183" s="15" t="s">
        <v>4148</v>
      </c>
      <c r="GG183" s="15" t="s">
        <v>755</v>
      </c>
      <c r="GH183" s="15" t="s">
        <v>755</v>
      </c>
      <c r="GI183" s="15" t="s">
        <v>946</v>
      </c>
      <c r="GJ183" s="15"/>
      <c r="GK183" s="15"/>
      <c r="GL183" s="15"/>
      <c r="GM183" s="15"/>
      <c r="GN183" s="15"/>
      <c r="GO183" s="15"/>
      <c r="GP183" s="15" t="s">
        <v>387</v>
      </c>
      <c r="GQ183" s="15" t="s">
        <v>3273</v>
      </c>
      <c r="GR183" s="15"/>
      <c r="GS183" s="15"/>
      <c r="GT183" s="15"/>
      <c r="GU183" s="15"/>
      <c r="GV183" s="15"/>
      <c r="GW183" s="15"/>
      <c r="GX183" s="15"/>
      <c r="GY183" s="15"/>
      <c r="GZ183" s="15"/>
      <c r="HA183" s="15"/>
      <c r="HB183" s="15"/>
      <c r="HC183" s="15"/>
      <c r="HD183" s="15"/>
      <c r="HE183" s="15"/>
      <c r="HF183" s="15"/>
      <c r="HG183" s="15"/>
      <c r="HH183" s="15"/>
      <c r="HI183" s="15"/>
      <c r="HJ183" s="15"/>
      <c r="HK183" s="15"/>
      <c r="HL183" s="15"/>
      <c r="HM183" s="15"/>
      <c r="HN183" s="15"/>
      <c r="HO183" s="15"/>
      <c r="HP183" s="31"/>
      <c r="MX183" s="29"/>
      <c r="MY183" s="29"/>
    </row>
    <row r="184" ht="16.5" customHeight="1">
      <c r="A184" s="30">
        <v>45833.62989383102</v>
      </c>
      <c r="B184" s="15" t="s">
        <v>368</v>
      </c>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c r="DF184" s="15"/>
      <c r="DG184" s="15"/>
      <c r="DH184" s="15"/>
      <c r="DI184" s="15"/>
      <c r="DJ184" s="15"/>
      <c r="DK184" s="15"/>
      <c r="DL184" s="15"/>
      <c r="DM184" s="15"/>
      <c r="DN184" s="15"/>
      <c r="DO184" s="15"/>
      <c r="DP184" s="15"/>
      <c r="DQ184" s="15"/>
      <c r="DR184" s="15"/>
      <c r="DS184" s="15"/>
      <c r="DT184" s="15"/>
      <c r="DU184" s="15"/>
      <c r="DV184" s="15"/>
      <c r="DW184" s="15"/>
      <c r="DX184" s="15"/>
      <c r="DY184" s="15"/>
      <c r="DZ184" s="15"/>
      <c r="EA184" s="15"/>
      <c r="EB184" s="15"/>
      <c r="EC184" s="15"/>
      <c r="ED184" s="15"/>
      <c r="EE184" s="15"/>
      <c r="EF184" s="15"/>
      <c r="EG184" s="15"/>
      <c r="EH184" s="15"/>
      <c r="EI184" s="15"/>
      <c r="EJ184" s="15"/>
      <c r="EK184" s="15"/>
      <c r="EL184" s="15"/>
      <c r="EM184" s="15"/>
      <c r="EN184" s="15"/>
      <c r="EO184" s="15"/>
      <c r="EP184" s="15"/>
      <c r="EQ184" s="15"/>
      <c r="ER184" s="15"/>
      <c r="ES184" s="15"/>
      <c r="ET184" s="15"/>
      <c r="EU184" s="15"/>
      <c r="EV184" s="15"/>
      <c r="EW184" s="15"/>
      <c r="EX184" s="15"/>
      <c r="EY184" s="15"/>
      <c r="EZ184" s="15"/>
      <c r="FA184" s="15"/>
      <c r="FB184" s="15"/>
      <c r="FC184" s="15"/>
      <c r="FD184" s="15"/>
      <c r="FE184" s="15"/>
      <c r="FF184" s="15"/>
      <c r="FG184" s="15"/>
      <c r="FH184" s="15"/>
      <c r="FI184" s="15"/>
      <c r="FJ184" s="15"/>
      <c r="FK184" s="15"/>
      <c r="FL184" s="15"/>
      <c r="FM184" s="15"/>
      <c r="FN184" s="15"/>
      <c r="FO184" s="15"/>
      <c r="FP184" s="15"/>
      <c r="FQ184" s="15"/>
      <c r="FR184" s="15"/>
      <c r="FS184" s="15"/>
      <c r="FT184" s="15"/>
      <c r="FU184" s="15"/>
      <c r="FV184" s="15"/>
      <c r="FW184" s="15"/>
      <c r="FX184" s="15"/>
      <c r="FY184" s="15"/>
      <c r="FZ184" s="15"/>
      <c r="GA184" s="15"/>
      <c r="GB184" s="15"/>
      <c r="GC184" s="15"/>
      <c r="GD184" s="15"/>
      <c r="GE184" s="15"/>
      <c r="GF184" s="15"/>
      <c r="GG184" s="15"/>
      <c r="GH184" s="15"/>
      <c r="GI184" s="15"/>
      <c r="GJ184" s="15"/>
      <c r="GK184" s="15"/>
      <c r="GL184" s="15"/>
      <c r="GM184" s="15"/>
      <c r="GN184" s="15"/>
      <c r="GO184" s="15"/>
      <c r="GP184" s="15"/>
      <c r="GQ184" s="15"/>
      <c r="GR184" s="15"/>
      <c r="GS184" s="15"/>
      <c r="GT184" s="15"/>
      <c r="GU184" s="15"/>
      <c r="GV184" s="15"/>
      <c r="GW184" s="15"/>
      <c r="GX184" s="15"/>
      <c r="GY184" s="15"/>
      <c r="GZ184" s="15"/>
      <c r="HA184" s="15"/>
      <c r="HB184" s="15"/>
      <c r="HC184" s="15"/>
      <c r="HD184" s="15"/>
      <c r="HE184" s="15"/>
      <c r="HF184" s="15"/>
      <c r="HG184" s="15"/>
      <c r="HH184" s="15"/>
      <c r="HI184" s="15"/>
      <c r="HJ184" s="15"/>
      <c r="HK184" s="15"/>
      <c r="HL184" s="15"/>
      <c r="HM184" s="15"/>
      <c r="HN184" s="15"/>
      <c r="HO184" s="15"/>
      <c r="HP184" s="31"/>
      <c r="MX184" s="29" t="s">
        <v>10402</v>
      </c>
      <c r="MY184" s="29" t="str">
        <f>IFERROR(__xludf.DUMMYFUNCTION("""COMPUTED_VALUE"""),"Pennsylvania")</f>
        <v>Pennsylvania</v>
      </c>
    </row>
    <row r="185" ht="16.5" customHeight="1">
      <c r="A185" s="30">
        <v>45833.82247668982</v>
      </c>
      <c r="B185" s="15" t="s">
        <v>368</v>
      </c>
      <c r="C185" s="15" t="s">
        <v>370</v>
      </c>
      <c r="D185" s="15"/>
      <c r="E185" s="15" t="s">
        <v>791</v>
      </c>
      <c r="F185" s="15"/>
      <c r="G185" s="15" t="s">
        <v>422</v>
      </c>
      <c r="H185" s="15" t="s">
        <v>637</v>
      </c>
      <c r="I185" s="15" t="s">
        <v>638</v>
      </c>
      <c r="J185" s="15" t="s">
        <v>425</v>
      </c>
      <c r="K185" s="15" t="s">
        <v>376</v>
      </c>
      <c r="L185" s="15" t="s">
        <v>426</v>
      </c>
      <c r="M185" s="15" t="s">
        <v>4157</v>
      </c>
      <c r="N185" s="15" t="s">
        <v>591</v>
      </c>
      <c r="O185" s="15" t="s">
        <v>2464</v>
      </c>
      <c r="P185" s="15" t="s">
        <v>498</v>
      </c>
      <c r="Q185" s="15" t="s">
        <v>862</v>
      </c>
      <c r="R185" s="15" t="s">
        <v>949</v>
      </c>
      <c r="S185" s="15" t="s">
        <v>384</v>
      </c>
      <c r="T185" s="15" t="s">
        <v>385</v>
      </c>
      <c r="U185" s="15"/>
      <c r="V185" s="15"/>
      <c r="W185" s="15" t="s">
        <v>3231</v>
      </c>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t="s">
        <v>1310</v>
      </c>
      <c r="AW185" s="15" t="s">
        <v>391</v>
      </c>
      <c r="AX185" s="15" t="s">
        <v>391</v>
      </c>
      <c r="AY185" s="15">
        <v>4.0</v>
      </c>
      <c r="AZ185" s="15">
        <v>4.0</v>
      </c>
      <c r="BA185" s="15" t="s">
        <v>675</v>
      </c>
      <c r="BB185" s="15" t="s">
        <v>675</v>
      </c>
      <c r="BC185" s="15" t="s">
        <v>4158</v>
      </c>
      <c r="BD185" s="15" t="s">
        <v>4159</v>
      </c>
      <c r="BE185" s="15" t="s">
        <v>432</v>
      </c>
      <c r="BF185" s="15" t="s">
        <v>393</v>
      </c>
      <c r="BG185" s="15" t="s">
        <v>394</v>
      </c>
      <c r="BH185" s="15" t="s">
        <v>4160</v>
      </c>
      <c r="BI185" s="15" t="s">
        <v>824</v>
      </c>
      <c r="BJ185" s="15"/>
      <c r="BK185" s="15" t="s">
        <v>681</v>
      </c>
      <c r="BL185" s="15" t="s">
        <v>396</v>
      </c>
      <c r="BM185" s="15" t="s">
        <v>1247</v>
      </c>
      <c r="BN185" s="15" t="s">
        <v>398</v>
      </c>
      <c r="BO185" s="15" t="s">
        <v>4161</v>
      </c>
      <c r="BP185" s="15" t="s">
        <v>4162</v>
      </c>
      <c r="BQ185" s="15" t="s">
        <v>604</v>
      </c>
      <c r="BR185" s="15" t="s">
        <v>2662</v>
      </c>
      <c r="BS185" s="15" t="s">
        <v>1671</v>
      </c>
      <c r="BT185" s="15" t="s">
        <v>1771</v>
      </c>
      <c r="BU185" s="15" t="s">
        <v>405</v>
      </c>
      <c r="BV185" s="15"/>
      <c r="BW185" s="15" t="s">
        <v>988</v>
      </c>
      <c r="BX185" s="15"/>
      <c r="BY185" s="15" t="s">
        <v>408</v>
      </c>
      <c r="BZ185" s="15"/>
      <c r="CA185" s="15"/>
      <c r="CB185" s="15" t="s">
        <v>4163</v>
      </c>
      <c r="CC185" s="15" t="s">
        <v>4164</v>
      </c>
      <c r="CD185" s="15" t="s">
        <v>409</v>
      </c>
      <c r="CE185" s="15" t="s">
        <v>4165</v>
      </c>
      <c r="CF185" s="15" t="s">
        <v>2233</v>
      </c>
      <c r="CG185" s="15"/>
      <c r="CH185" s="15" t="s">
        <v>1751</v>
      </c>
      <c r="CI185" s="15" t="s">
        <v>410</v>
      </c>
      <c r="CJ185" s="15" t="s">
        <v>4166</v>
      </c>
      <c r="CK185" s="15" t="s">
        <v>4167</v>
      </c>
      <c r="CL185" s="15"/>
      <c r="CM185" s="15"/>
      <c r="CN185" s="15"/>
      <c r="CO185" s="15"/>
      <c r="CP185" s="15"/>
      <c r="CQ185" s="15"/>
      <c r="CR185" s="15"/>
      <c r="CS185" s="15"/>
      <c r="CT185" s="15"/>
      <c r="CU185" s="15"/>
      <c r="CV185" s="15"/>
      <c r="CW185" s="15"/>
      <c r="CX185" s="15"/>
      <c r="CY185" s="15"/>
      <c r="CZ185" s="15"/>
      <c r="DA185" s="15"/>
      <c r="DB185" s="15"/>
      <c r="DC185" s="15"/>
      <c r="DD185" s="15"/>
      <c r="DE185" s="15"/>
      <c r="DF185" s="15"/>
      <c r="DG185" s="15"/>
      <c r="DH185" s="15"/>
      <c r="DI185" s="15"/>
      <c r="DJ185" s="15"/>
      <c r="DK185" s="15"/>
      <c r="DL185" s="15"/>
      <c r="DM185" s="15"/>
      <c r="DN185" s="15"/>
      <c r="DO185" s="15"/>
      <c r="DP185" s="15"/>
      <c r="DQ185" s="15"/>
      <c r="DR185" s="15"/>
      <c r="DS185" s="15"/>
      <c r="DT185" s="15"/>
      <c r="DU185" s="15"/>
      <c r="DV185" s="15"/>
      <c r="DW185" s="15"/>
      <c r="DX185" s="15"/>
      <c r="DY185" s="15"/>
      <c r="DZ185" s="15"/>
      <c r="EA185" s="15"/>
      <c r="EB185" s="15"/>
      <c r="EC185" s="15"/>
      <c r="ED185" s="15"/>
      <c r="EE185" s="15"/>
      <c r="EF185" s="15"/>
      <c r="EG185" s="15"/>
      <c r="EH185" s="15"/>
      <c r="EI185" s="15"/>
      <c r="EJ185" s="15"/>
      <c r="EK185" s="15"/>
      <c r="EL185" s="15"/>
      <c r="EM185" s="15"/>
      <c r="EN185" s="15"/>
      <c r="EO185" s="15"/>
      <c r="EP185" s="15"/>
      <c r="EQ185" s="15"/>
      <c r="ER185" s="15"/>
      <c r="ES185" s="15"/>
      <c r="ET185" s="15" t="s">
        <v>478</v>
      </c>
      <c r="EU185" s="15" t="s">
        <v>887</v>
      </c>
      <c r="EV185" s="15" t="s">
        <v>480</v>
      </c>
      <c r="EW185" s="15"/>
      <c r="EX185" s="15" t="s">
        <v>4168</v>
      </c>
      <c r="EY185" s="15" t="s">
        <v>966</v>
      </c>
      <c r="EZ185" s="15" t="s">
        <v>416</v>
      </c>
      <c r="FA185" s="15" t="s">
        <v>414</v>
      </c>
      <c r="FB185" s="15" t="s">
        <v>413</v>
      </c>
      <c r="FC185" s="15" t="s">
        <v>413</v>
      </c>
      <c r="FD185" s="15" t="s">
        <v>413</v>
      </c>
      <c r="FE185" s="15" t="s">
        <v>414</v>
      </c>
      <c r="FF185" s="15" t="s">
        <v>413</v>
      </c>
      <c r="FG185" s="15" t="s">
        <v>413</v>
      </c>
      <c r="FH185" s="15" t="s">
        <v>484</v>
      </c>
      <c r="FI185" s="15" t="s">
        <v>414</v>
      </c>
      <c r="FJ185" s="15" t="s">
        <v>414</v>
      </c>
      <c r="FK185" s="15" t="s">
        <v>416</v>
      </c>
      <c r="FL185" s="15" t="s">
        <v>416</v>
      </c>
      <c r="FM185" s="15" t="s">
        <v>413</v>
      </c>
      <c r="FN185" s="15" t="s">
        <v>583</v>
      </c>
      <c r="FO185" s="15" t="s">
        <v>485</v>
      </c>
      <c r="FP185" s="15" t="s">
        <v>418</v>
      </c>
      <c r="FQ185" s="15" t="s">
        <v>419</v>
      </c>
      <c r="FR185" s="15" t="s">
        <v>4169</v>
      </c>
      <c r="FS185" s="15" t="s">
        <v>1189</v>
      </c>
      <c r="FT185" s="15" t="s">
        <v>1462</v>
      </c>
      <c r="FU185" s="15" t="s">
        <v>489</v>
      </c>
      <c r="FV185" s="15" t="s">
        <v>490</v>
      </c>
      <c r="FW185" s="15" t="s">
        <v>491</v>
      </c>
      <c r="FX185" s="15"/>
      <c r="FY185" s="15" t="s">
        <v>493</v>
      </c>
      <c r="FZ185" s="15"/>
      <c r="GA185" s="15"/>
      <c r="GB185" s="15" t="s">
        <v>408</v>
      </c>
      <c r="GC185" s="15"/>
      <c r="GD185" s="15"/>
      <c r="GE185" s="15"/>
      <c r="GF185" s="15"/>
      <c r="GG185" s="15"/>
      <c r="GH185" s="15"/>
      <c r="GI185" s="15"/>
      <c r="GJ185" s="15" t="s">
        <v>857</v>
      </c>
      <c r="GK185" s="15"/>
      <c r="GL185" s="15" t="s">
        <v>817</v>
      </c>
      <c r="GM185" s="15"/>
      <c r="GN185" s="15"/>
      <c r="GO185" s="15"/>
      <c r="GP185" s="15" t="s">
        <v>387</v>
      </c>
      <c r="GQ185" s="15" t="s">
        <v>3208</v>
      </c>
      <c r="GR185" s="15"/>
      <c r="GS185" s="15"/>
      <c r="GT185" s="15"/>
      <c r="GU185" s="15"/>
      <c r="GV185" s="15"/>
      <c r="GW185" s="15"/>
      <c r="GX185" s="15"/>
      <c r="GY185" s="15"/>
      <c r="GZ185" s="15"/>
      <c r="HA185" s="15"/>
      <c r="HB185" s="15"/>
      <c r="HC185" s="15"/>
      <c r="HD185" s="15"/>
      <c r="HE185" s="15"/>
      <c r="HF185" s="15"/>
      <c r="HG185" s="15"/>
      <c r="HH185" s="15"/>
      <c r="HI185" s="15"/>
      <c r="HJ185" s="15"/>
      <c r="HK185" s="15"/>
      <c r="HL185" s="15"/>
      <c r="HM185" s="15"/>
      <c r="HN185" s="15"/>
      <c r="HO185" s="15"/>
      <c r="HP185" s="31"/>
      <c r="MX185" s="29" t="s">
        <v>10402</v>
      </c>
      <c r="MY185" s="29" t="str">
        <f>IFERROR(__xludf.DUMMYFUNCTION("""COMPUTED_VALUE"""),"Utah")</f>
        <v>Utah</v>
      </c>
    </row>
    <row r="186" ht="16.5" customHeight="1">
      <c r="A186" s="30">
        <v>45833.822846944444</v>
      </c>
      <c r="B186" s="15" t="s">
        <v>368</v>
      </c>
      <c r="C186" s="15" t="s">
        <v>370</v>
      </c>
      <c r="D186" s="15"/>
      <c r="E186" s="15" t="s">
        <v>4170</v>
      </c>
      <c r="F186" s="15"/>
      <c r="G186" s="15" t="s">
        <v>422</v>
      </c>
      <c r="H186" s="15" t="s">
        <v>373</v>
      </c>
      <c r="I186" s="15" t="s">
        <v>1022</v>
      </c>
      <c r="J186" s="15" t="s">
        <v>590</v>
      </c>
      <c r="K186" s="15" t="s">
        <v>376</v>
      </c>
      <c r="L186" s="15" t="s">
        <v>379</v>
      </c>
      <c r="M186" s="15" t="s">
        <v>378</v>
      </c>
      <c r="N186" s="15" t="s">
        <v>1526</v>
      </c>
      <c r="O186" s="15" t="s">
        <v>640</v>
      </c>
      <c r="P186" s="15" t="s">
        <v>1760</v>
      </c>
      <c r="Q186" s="15" t="s">
        <v>1156</v>
      </c>
      <c r="R186" s="15" t="s">
        <v>500</v>
      </c>
      <c r="S186" s="15" t="s">
        <v>384</v>
      </c>
      <c r="T186" s="15" t="s">
        <v>385</v>
      </c>
      <c r="U186" s="15"/>
      <c r="V186" s="15"/>
      <c r="W186" s="15" t="s">
        <v>593</v>
      </c>
      <c r="X186" s="15" t="s">
        <v>387</v>
      </c>
      <c r="Y186" s="15" t="s">
        <v>4171</v>
      </c>
      <c r="Z186" s="15" t="s">
        <v>672</v>
      </c>
      <c r="AA186" s="15" t="s">
        <v>4172</v>
      </c>
      <c r="AB186" s="15" t="s">
        <v>4173</v>
      </c>
      <c r="AC186" s="15"/>
      <c r="AD186" s="15"/>
      <c r="AE186" s="15"/>
      <c r="AF186" s="15"/>
      <c r="AG186" s="15"/>
      <c r="AH186" s="15"/>
      <c r="AI186" s="15"/>
      <c r="AJ186" s="15"/>
      <c r="AK186" s="15"/>
      <c r="AL186" s="15"/>
      <c r="AM186" s="15"/>
      <c r="AN186" s="15"/>
      <c r="AO186" s="15"/>
      <c r="AP186" s="15"/>
      <c r="AQ186" s="15"/>
      <c r="AR186" s="15"/>
      <c r="AS186" s="15"/>
      <c r="AT186" s="15"/>
      <c r="AU186" s="15"/>
      <c r="AV186" s="15" t="s">
        <v>1242</v>
      </c>
      <c r="AW186" s="15" t="s">
        <v>675</v>
      </c>
      <c r="AX186" s="15">
        <v>4.0</v>
      </c>
      <c r="AY186" s="15" t="s">
        <v>391</v>
      </c>
      <c r="AZ186" s="15" t="s">
        <v>391</v>
      </c>
      <c r="BA186" s="15">
        <v>2.0</v>
      </c>
      <c r="BB186" s="15" t="s">
        <v>391</v>
      </c>
      <c r="BC186" s="15" t="s">
        <v>4174</v>
      </c>
      <c r="BD186" s="15" t="s">
        <v>4175</v>
      </c>
      <c r="BE186" s="15" t="s">
        <v>432</v>
      </c>
      <c r="BF186" s="15" t="s">
        <v>393</v>
      </c>
      <c r="BG186" s="15" t="s">
        <v>678</v>
      </c>
      <c r="BH186" s="15" t="s">
        <v>4176</v>
      </c>
      <c r="BI186" s="15" t="s">
        <v>435</v>
      </c>
      <c r="BJ186" s="15" t="s">
        <v>4177</v>
      </c>
      <c r="BK186" s="15" t="s">
        <v>437</v>
      </c>
      <c r="BL186" s="15" t="s">
        <v>438</v>
      </c>
      <c r="BM186" s="15" t="s">
        <v>1314</v>
      </c>
      <c r="BN186" s="15" t="s">
        <v>513</v>
      </c>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t="s">
        <v>441</v>
      </c>
      <c r="CM186" s="15" t="s">
        <v>604</v>
      </c>
      <c r="CN186" s="15" t="s">
        <v>4178</v>
      </c>
      <c r="CO186" s="15" t="s">
        <v>4179</v>
      </c>
      <c r="CP186" s="15" t="s">
        <v>685</v>
      </c>
      <c r="CQ186" s="15" t="s">
        <v>4180</v>
      </c>
      <c r="CR186" s="15" t="s">
        <v>447</v>
      </c>
      <c r="CS186" s="15" t="s">
        <v>4181</v>
      </c>
      <c r="CT186" s="15" t="s">
        <v>4182</v>
      </c>
      <c r="CU186" s="15" t="s">
        <v>450</v>
      </c>
      <c r="CV186" s="15" t="s">
        <v>451</v>
      </c>
      <c r="CW186" s="15" t="s">
        <v>4183</v>
      </c>
      <c r="CX186" s="15" t="s">
        <v>408</v>
      </c>
      <c r="CY186" s="15"/>
      <c r="CZ186" s="15" t="s">
        <v>453</v>
      </c>
      <c r="DA186" s="15" t="s">
        <v>4184</v>
      </c>
      <c r="DB186" s="15" t="s">
        <v>455</v>
      </c>
      <c r="DC186" s="15" t="s">
        <v>4185</v>
      </c>
      <c r="DD186" s="15" t="s">
        <v>457</v>
      </c>
      <c r="DE186" s="15"/>
      <c r="DF186" s="15"/>
      <c r="DG186" s="15" t="s">
        <v>776</v>
      </c>
      <c r="DH186" s="15" t="s">
        <v>410</v>
      </c>
      <c r="DI186" s="15" t="s">
        <v>459</v>
      </c>
      <c r="DJ186" s="15" t="s">
        <v>613</v>
      </c>
      <c r="DK186" s="15"/>
      <c r="DL186" s="15"/>
      <c r="DM186" s="15"/>
      <c r="DN186" s="15"/>
      <c r="DO186" s="15"/>
      <c r="DP186" s="15"/>
      <c r="DQ186" s="15"/>
      <c r="DR186" s="15"/>
      <c r="DS186" s="15"/>
      <c r="DT186" s="15"/>
      <c r="DU186" s="15"/>
      <c r="DV186" s="15"/>
      <c r="DW186" s="15"/>
      <c r="DX186" s="15"/>
      <c r="DY186" s="15"/>
      <c r="DZ186" s="15"/>
      <c r="EA186" s="15"/>
      <c r="EB186" s="15"/>
      <c r="EC186" s="15"/>
      <c r="ED186" s="15"/>
      <c r="EE186" s="15"/>
      <c r="EF186" s="15"/>
      <c r="EG186" s="15"/>
      <c r="EH186" s="15"/>
      <c r="EI186" s="15"/>
      <c r="EJ186" s="15"/>
      <c r="EK186" s="15"/>
      <c r="EL186" s="15"/>
      <c r="EM186" s="15"/>
      <c r="EN186" s="15"/>
      <c r="EO186" s="15"/>
      <c r="EP186" s="15"/>
      <c r="EQ186" s="15"/>
      <c r="ER186" s="15"/>
      <c r="ES186" s="15"/>
      <c r="ET186" s="15" t="s">
        <v>578</v>
      </c>
      <c r="EU186" s="15" t="s">
        <v>479</v>
      </c>
      <c r="EV186" s="15" t="s">
        <v>778</v>
      </c>
      <c r="EW186" s="15" t="s">
        <v>4186</v>
      </c>
      <c r="EX186" s="15" t="s">
        <v>4187</v>
      </c>
      <c r="EY186" s="15" t="s">
        <v>4188</v>
      </c>
      <c r="EZ186" s="15" t="s">
        <v>414</v>
      </c>
      <c r="FA186" s="15" t="s">
        <v>414</v>
      </c>
      <c r="FB186" s="15" t="s">
        <v>583</v>
      </c>
      <c r="FC186" s="15" t="s">
        <v>583</v>
      </c>
      <c r="FD186" s="15" t="s">
        <v>413</v>
      </c>
      <c r="FE186" s="15" t="s">
        <v>414</v>
      </c>
      <c r="FF186" s="15" t="s">
        <v>484</v>
      </c>
      <c r="FG186" s="15" t="s">
        <v>583</v>
      </c>
      <c r="FH186" s="15" t="s">
        <v>413</v>
      </c>
      <c r="FI186" s="15" t="s">
        <v>583</v>
      </c>
      <c r="FJ186" s="15" t="s">
        <v>583</v>
      </c>
      <c r="FK186" s="15" t="s">
        <v>583</v>
      </c>
      <c r="FL186" s="15" t="s">
        <v>583</v>
      </c>
      <c r="FM186" s="15" t="s">
        <v>415</v>
      </c>
      <c r="FN186" s="15" t="s">
        <v>415</v>
      </c>
      <c r="FO186" s="15" t="s">
        <v>417</v>
      </c>
      <c r="FP186" s="15" t="s">
        <v>418</v>
      </c>
      <c r="FQ186" s="15" t="s">
        <v>712</v>
      </c>
      <c r="FR186" s="15" t="s">
        <v>4189</v>
      </c>
      <c r="FS186" s="15" t="s">
        <v>995</v>
      </c>
      <c r="FT186" s="15" t="s">
        <v>1462</v>
      </c>
      <c r="FU186" s="15" t="s">
        <v>533</v>
      </c>
      <c r="FV186" s="15" t="s">
        <v>490</v>
      </c>
      <c r="FW186" s="15" t="s">
        <v>491</v>
      </c>
      <c r="FX186" s="15" t="s">
        <v>4190</v>
      </c>
      <c r="FY186" s="15" t="s">
        <v>535</v>
      </c>
      <c r="FZ186" s="15" t="s">
        <v>4191</v>
      </c>
      <c r="GA186" s="15" t="s">
        <v>4192</v>
      </c>
      <c r="GB186" s="15" t="s">
        <v>455</v>
      </c>
      <c r="GC186" s="15"/>
      <c r="GD186" s="15"/>
      <c r="GE186" s="15" t="s">
        <v>1339</v>
      </c>
      <c r="GF186" s="15" t="s">
        <v>4193</v>
      </c>
      <c r="GG186" s="15" t="s">
        <v>788</v>
      </c>
      <c r="GH186" s="15" t="s">
        <v>788</v>
      </c>
      <c r="GI186" s="15" t="s">
        <v>858</v>
      </c>
      <c r="GJ186" s="15"/>
      <c r="GK186" s="15"/>
      <c r="GL186" s="15"/>
      <c r="GM186" s="15"/>
      <c r="GN186" s="15"/>
      <c r="GO186" s="15"/>
      <c r="GP186" s="15"/>
      <c r="GQ186" s="15" t="s">
        <v>4194</v>
      </c>
      <c r="GR186" s="15"/>
      <c r="GS186" s="15"/>
      <c r="GT186" s="15"/>
      <c r="GU186" s="15"/>
      <c r="GV186" s="15"/>
      <c r="GW186" s="15"/>
      <c r="GX186" s="15"/>
      <c r="GY186" s="15"/>
      <c r="GZ186" s="15"/>
      <c r="HA186" s="15"/>
      <c r="HB186" s="15"/>
      <c r="HC186" s="15"/>
      <c r="HD186" s="15"/>
      <c r="HE186" s="15"/>
      <c r="HF186" s="15"/>
      <c r="HG186" s="15"/>
      <c r="HH186" s="15"/>
      <c r="HI186" s="15"/>
      <c r="HJ186" s="15"/>
      <c r="HK186" s="15"/>
      <c r="HL186" s="15"/>
      <c r="HM186" s="15"/>
      <c r="HN186" s="15"/>
      <c r="HO186" s="15"/>
      <c r="HP186" s="31"/>
      <c r="MX186" s="29" t="s">
        <v>10402</v>
      </c>
      <c r="MY186" s="29" t="str">
        <f>IFERROR(__xludf.DUMMYFUNCTION("""COMPUTED_VALUE"""),"California")</f>
        <v>California</v>
      </c>
    </row>
    <row r="187" ht="16.5" customHeight="1">
      <c r="A187" s="30">
        <v>45833.88627903935</v>
      </c>
      <c r="B187" s="15" t="s">
        <v>368</v>
      </c>
      <c r="C187" s="15" t="s">
        <v>370</v>
      </c>
      <c r="D187" s="15"/>
      <c r="E187" s="15" t="s">
        <v>371</v>
      </c>
      <c r="F187" s="15"/>
      <c r="G187" s="15" t="s">
        <v>422</v>
      </c>
      <c r="H187" s="15" t="s">
        <v>496</v>
      </c>
      <c r="I187" s="15" t="s">
        <v>374</v>
      </c>
      <c r="J187" s="15" t="s">
        <v>718</v>
      </c>
      <c r="K187" s="15" t="s">
        <v>376</v>
      </c>
      <c r="L187" s="15" t="s">
        <v>793</v>
      </c>
      <c r="M187" s="15" t="s">
        <v>4195</v>
      </c>
      <c r="N187" s="15" t="s">
        <v>793</v>
      </c>
      <c r="O187" s="15" t="s">
        <v>1511</v>
      </c>
      <c r="P187" s="15" t="s">
        <v>592</v>
      </c>
      <c r="Q187" s="15" t="s">
        <v>862</v>
      </c>
      <c r="R187" s="15" t="s">
        <v>500</v>
      </c>
      <c r="S187" s="15" t="s">
        <v>384</v>
      </c>
      <c r="T187" s="15" t="s">
        <v>385</v>
      </c>
      <c r="U187" s="15"/>
      <c r="V187" s="15"/>
      <c r="W187" s="15" t="s">
        <v>593</v>
      </c>
      <c r="X187" s="15" t="s">
        <v>387</v>
      </c>
      <c r="Y187" s="15" t="s">
        <v>388</v>
      </c>
      <c r="Z187" s="15" t="s">
        <v>543</v>
      </c>
      <c r="AA187" s="15" t="s">
        <v>4196</v>
      </c>
      <c r="AB187" s="15" t="s">
        <v>4197</v>
      </c>
      <c r="AC187" s="15"/>
      <c r="AD187" s="15"/>
      <c r="AE187" s="15"/>
      <c r="AF187" s="15"/>
      <c r="AG187" s="15"/>
      <c r="AH187" s="15"/>
      <c r="AI187" s="15"/>
      <c r="AJ187" s="15"/>
      <c r="AK187" s="15"/>
      <c r="AL187" s="15"/>
      <c r="AM187" s="15"/>
      <c r="AN187" s="15"/>
      <c r="AO187" s="15"/>
      <c r="AP187" s="15"/>
      <c r="AQ187" s="15"/>
      <c r="AR187" s="15"/>
      <c r="AS187" s="15"/>
      <c r="AT187" s="15"/>
      <c r="AU187" s="15"/>
      <c r="AV187" s="15" t="s">
        <v>1310</v>
      </c>
      <c r="AW187" s="15">
        <v>4.0</v>
      </c>
      <c r="AX187" s="15" t="s">
        <v>391</v>
      </c>
      <c r="AY187" s="15" t="s">
        <v>391</v>
      </c>
      <c r="AZ187" s="15">
        <v>2.0</v>
      </c>
      <c r="BA187" s="15">
        <v>2.0</v>
      </c>
      <c r="BB187" s="15" t="s">
        <v>391</v>
      </c>
      <c r="BC187" s="15" t="s">
        <v>4198</v>
      </c>
      <c r="BD187" s="15" t="s">
        <v>4199</v>
      </c>
      <c r="BE187" s="15" t="s">
        <v>432</v>
      </c>
      <c r="BF187" s="15" t="s">
        <v>1095</v>
      </c>
      <c r="BG187" s="15" t="s">
        <v>678</v>
      </c>
      <c r="BH187" s="15" t="s">
        <v>4200</v>
      </c>
      <c r="BI187" s="15" t="s">
        <v>976</v>
      </c>
      <c r="BJ187" s="15" t="s">
        <v>4201</v>
      </c>
      <c r="BK187" s="15" t="s">
        <v>511</v>
      </c>
      <c r="BL187" s="15" t="s">
        <v>904</v>
      </c>
      <c r="BM187" s="15" t="s">
        <v>1247</v>
      </c>
      <c r="BN187" s="15" t="s">
        <v>513</v>
      </c>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t="s">
        <v>441</v>
      </c>
      <c r="CM187" s="15" t="s">
        <v>682</v>
      </c>
      <c r="CN187" s="15" t="s">
        <v>4202</v>
      </c>
      <c r="CO187" s="15" t="s">
        <v>4203</v>
      </c>
      <c r="CP187" s="15" t="s">
        <v>685</v>
      </c>
      <c r="CQ187" s="15" t="s">
        <v>4204</v>
      </c>
      <c r="CR187" s="15" t="s">
        <v>447</v>
      </c>
      <c r="CS187" s="15" t="s">
        <v>4205</v>
      </c>
      <c r="CT187" s="15" t="s">
        <v>4206</v>
      </c>
      <c r="CU187" s="15" t="s">
        <v>519</v>
      </c>
      <c r="CV187" s="15" t="s">
        <v>451</v>
      </c>
      <c r="CW187" s="15" t="s">
        <v>4207</v>
      </c>
      <c r="CX187" s="15" t="s">
        <v>408</v>
      </c>
      <c r="CY187" s="15"/>
      <c r="CZ187" s="15" t="s">
        <v>985</v>
      </c>
      <c r="DA187" s="15" t="s">
        <v>4208</v>
      </c>
      <c r="DB187" s="15" t="s">
        <v>408</v>
      </c>
      <c r="DC187" s="15"/>
      <c r="DD187" s="15" t="s">
        <v>988</v>
      </c>
      <c r="DE187" s="15"/>
      <c r="DF187" s="15" t="s">
        <v>4209</v>
      </c>
      <c r="DG187" s="15" t="s">
        <v>524</v>
      </c>
      <c r="DH187" s="15" t="s">
        <v>410</v>
      </c>
      <c r="DI187" s="15" t="s">
        <v>459</v>
      </c>
      <c r="DJ187" s="15" t="s">
        <v>460</v>
      </c>
      <c r="DK187" s="15" t="s">
        <v>461</v>
      </c>
      <c r="DL187" s="15"/>
      <c r="DM187" s="15"/>
      <c r="DN187" s="15"/>
      <c r="DO187" s="15"/>
      <c r="DP187" s="15"/>
      <c r="DQ187" s="15"/>
      <c r="DR187" s="15"/>
      <c r="DS187" s="15"/>
      <c r="DT187" s="15"/>
      <c r="DU187" s="15"/>
      <c r="DV187" s="15"/>
      <c r="DW187" s="15"/>
      <c r="DX187" s="15"/>
      <c r="DY187" s="15"/>
      <c r="DZ187" s="15"/>
      <c r="EA187" s="15"/>
      <c r="EB187" s="15"/>
      <c r="EC187" s="15"/>
      <c r="ED187" s="15"/>
      <c r="EE187" s="15"/>
      <c r="EF187" s="15"/>
      <c r="EG187" s="15"/>
      <c r="EH187" s="15"/>
      <c r="EI187" s="15"/>
      <c r="EJ187" s="15"/>
      <c r="EK187" s="15"/>
      <c r="EL187" s="15"/>
      <c r="EM187" s="15"/>
      <c r="EN187" s="15"/>
      <c r="EO187" s="15"/>
      <c r="EP187" s="15"/>
      <c r="EQ187" s="15"/>
      <c r="ER187" s="15"/>
      <c r="ES187" s="15"/>
      <c r="ET187" s="15" t="s">
        <v>478</v>
      </c>
      <c r="EU187" s="15" t="s">
        <v>887</v>
      </c>
      <c r="EV187" s="15" t="s">
        <v>480</v>
      </c>
      <c r="EW187" s="15"/>
      <c r="EX187" s="15" t="s">
        <v>4210</v>
      </c>
      <c r="EY187" s="15"/>
      <c r="EZ187" s="15" t="s">
        <v>414</v>
      </c>
      <c r="FA187" s="15" t="s">
        <v>414</v>
      </c>
      <c r="FB187" s="15" t="s">
        <v>416</v>
      </c>
      <c r="FC187" s="15" t="s">
        <v>414</v>
      </c>
      <c r="FD187" s="15" t="s">
        <v>416</v>
      </c>
      <c r="FE187" s="15" t="s">
        <v>414</v>
      </c>
      <c r="FF187" s="15" t="s">
        <v>415</v>
      </c>
      <c r="FG187" s="15" t="s">
        <v>416</v>
      </c>
      <c r="FH187" s="15" t="s">
        <v>414</v>
      </c>
      <c r="FI187" s="15" t="s">
        <v>414</v>
      </c>
      <c r="FJ187" s="15" t="s">
        <v>414</v>
      </c>
      <c r="FK187" s="15" t="s">
        <v>415</v>
      </c>
      <c r="FL187" s="15" t="s">
        <v>414</v>
      </c>
      <c r="FM187" s="15" t="s">
        <v>413</v>
      </c>
      <c r="FN187" s="15" t="s">
        <v>414</v>
      </c>
      <c r="FO187" s="15" t="s">
        <v>485</v>
      </c>
      <c r="FP187" s="15" t="s">
        <v>486</v>
      </c>
      <c r="FQ187" s="15" t="s">
        <v>749</v>
      </c>
      <c r="FR187" s="15"/>
      <c r="FS187" s="15" t="s">
        <v>420</v>
      </c>
      <c r="FT187" s="15"/>
      <c r="FU187" s="15" t="s">
        <v>489</v>
      </c>
      <c r="FV187" s="15" t="s">
        <v>490</v>
      </c>
      <c r="FW187" s="15" t="s">
        <v>491</v>
      </c>
      <c r="FX187" s="15" t="s">
        <v>4211</v>
      </c>
      <c r="FY187" s="15" t="s">
        <v>493</v>
      </c>
      <c r="FZ187" s="15"/>
      <c r="GA187" s="15"/>
      <c r="GB187" s="15" t="s">
        <v>455</v>
      </c>
      <c r="GC187" s="15"/>
      <c r="GD187" s="15"/>
      <c r="GE187" s="15" t="s">
        <v>1339</v>
      </c>
      <c r="GF187" s="15" t="s">
        <v>4212</v>
      </c>
      <c r="GG187" s="15" t="s">
        <v>920</v>
      </c>
      <c r="GH187" s="15"/>
      <c r="GI187" s="15" t="s">
        <v>756</v>
      </c>
      <c r="GJ187" s="15"/>
      <c r="GK187" s="15"/>
      <c r="GL187" s="15"/>
      <c r="GM187" s="15"/>
      <c r="GN187" s="15"/>
      <c r="GO187" s="15"/>
      <c r="GP187" s="15"/>
      <c r="GQ187" s="15" t="s">
        <v>3208</v>
      </c>
      <c r="GR187" s="15"/>
      <c r="GS187" s="15"/>
      <c r="GT187" s="15"/>
      <c r="GU187" s="15"/>
      <c r="GV187" s="15"/>
      <c r="GW187" s="15"/>
      <c r="GX187" s="15"/>
      <c r="GY187" s="15"/>
      <c r="GZ187" s="15"/>
      <c r="HA187" s="15"/>
      <c r="HB187" s="15"/>
      <c r="HC187" s="15"/>
      <c r="HD187" s="15"/>
      <c r="HE187" s="15"/>
      <c r="HF187" s="15"/>
      <c r="HG187" s="15"/>
      <c r="HH187" s="15"/>
      <c r="HI187" s="15"/>
      <c r="HJ187" s="15"/>
      <c r="HK187" s="15"/>
      <c r="HL187" s="15"/>
      <c r="HM187" s="15"/>
      <c r="HN187" s="15"/>
      <c r="HO187" s="15"/>
      <c r="HP187" s="31"/>
      <c r="MX187" s="29" t="s">
        <v>947</v>
      </c>
      <c r="MY187" s="29" t="str">
        <f>IFERROR(__xludf.DUMMYFUNCTION("""COMPUTED_VALUE"""),"France")</f>
        <v>France</v>
      </c>
    </row>
    <row r="188" ht="16.5" customHeight="1">
      <c r="A188" s="30">
        <v>45834.08521821759</v>
      </c>
      <c r="B188" s="15" t="s">
        <v>368</v>
      </c>
      <c r="C188" s="15" t="s">
        <v>947</v>
      </c>
      <c r="D188" s="15" t="s">
        <v>947</v>
      </c>
      <c r="E188" s="15"/>
      <c r="F188" s="15"/>
      <c r="G188" s="15" t="s">
        <v>422</v>
      </c>
      <c r="H188" s="15" t="s">
        <v>423</v>
      </c>
      <c r="I188" s="15" t="s">
        <v>424</v>
      </c>
      <c r="J188" s="15" t="s">
        <v>718</v>
      </c>
      <c r="K188" s="15" t="s">
        <v>376</v>
      </c>
      <c r="L188" s="15" t="s">
        <v>379</v>
      </c>
      <c r="M188" s="15" t="s">
        <v>4213</v>
      </c>
      <c r="N188" s="15" t="s">
        <v>793</v>
      </c>
      <c r="O188" s="15" t="s">
        <v>380</v>
      </c>
      <c r="P188" s="15" t="s">
        <v>498</v>
      </c>
      <c r="Q188" s="15" t="s">
        <v>499</v>
      </c>
      <c r="R188" s="15" t="s">
        <v>949</v>
      </c>
      <c r="S188" s="15" t="s">
        <v>384</v>
      </c>
      <c r="T188" s="15" t="s">
        <v>385</v>
      </c>
      <c r="U188" s="15"/>
      <c r="V188" s="15"/>
      <c r="W188" s="15" t="s">
        <v>386</v>
      </c>
      <c r="X188" s="15" t="s">
        <v>387</v>
      </c>
      <c r="Y188" s="15" t="s">
        <v>388</v>
      </c>
      <c r="Z188" s="15" t="s">
        <v>543</v>
      </c>
      <c r="AA188" s="15" t="s">
        <v>408</v>
      </c>
      <c r="AB188" s="15"/>
      <c r="AC188" s="15"/>
      <c r="AD188" s="15"/>
      <c r="AE188" s="15"/>
      <c r="AF188" s="15"/>
      <c r="AG188" s="15"/>
      <c r="AH188" s="15"/>
      <c r="AI188" s="15"/>
      <c r="AJ188" s="15"/>
      <c r="AK188" s="15"/>
      <c r="AL188" s="15"/>
      <c r="AM188" s="15"/>
      <c r="AN188" s="15"/>
      <c r="AO188" s="15"/>
      <c r="AP188" s="15"/>
      <c r="AQ188" s="15"/>
      <c r="AR188" s="15"/>
      <c r="AS188" s="15"/>
      <c r="AT188" s="15"/>
      <c r="AU188" s="15"/>
      <c r="AV188" s="15" t="s">
        <v>1310</v>
      </c>
      <c r="AW188" s="15" t="s">
        <v>391</v>
      </c>
      <c r="AX188" s="15">
        <v>2.0</v>
      </c>
      <c r="AY188" s="15">
        <v>2.0</v>
      </c>
      <c r="AZ188" s="15" t="s">
        <v>429</v>
      </c>
      <c r="BA188" s="15" t="s">
        <v>429</v>
      </c>
      <c r="BB188" s="15">
        <v>4.0</v>
      </c>
      <c r="BC188" s="15" t="s">
        <v>4214</v>
      </c>
      <c r="BD188" s="15" t="s">
        <v>4215</v>
      </c>
      <c r="BE188" s="15" t="s">
        <v>392</v>
      </c>
      <c r="BF188" s="15" t="s">
        <v>1047</v>
      </c>
      <c r="BG188" s="15" t="s">
        <v>434</v>
      </c>
      <c r="BH188" s="15"/>
      <c r="BI188" s="15" t="s">
        <v>435</v>
      </c>
      <c r="BJ188" s="15" t="s">
        <v>4216</v>
      </c>
      <c r="BK188" s="15" t="s">
        <v>437</v>
      </c>
      <c r="BL188" s="15" t="s">
        <v>438</v>
      </c>
      <c r="BM188" s="15" t="s">
        <v>1276</v>
      </c>
      <c r="BN188" s="15" t="s">
        <v>513</v>
      </c>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t="s">
        <v>953</v>
      </c>
      <c r="CM188" s="15" t="s">
        <v>401</v>
      </c>
      <c r="CN188" s="15" t="s">
        <v>4217</v>
      </c>
      <c r="CO188" s="15" t="s">
        <v>552</v>
      </c>
      <c r="CP188" s="15" t="s">
        <v>685</v>
      </c>
      <c r="CQ188" s="15" t="s">
        <v>4218</v>
      </c>
      <c r="CR188" s="15" t="s">
        <v>804</v>
      </c>
      <c r="CS188" s="15" t="s">
        <v>4219</v>
      </c>
      <c r="CT188" s="15" t="s">
        <v>4220</v>
      </c>
      <c r="CU188" s="15" t="s">
        <v>1852</v>
      </c>
      <c r="CV188" s="15" t="s">
        <v>959</v>
      </c>
      <c r="CW188" s="15"/>
      <c r="CX188" s="15" t="s">
        <v>408</v>
      </c>
      <c r="CY188" s="15"/>
      <c r="CZ188" s="15" t="s">
        <v>1398</v>
      </c>
      <c r="DA188" s="15" t="s">
        <v>4221</v>
      </c>
      <c r="DB188" s="15" t="s">
        <v>408</v>
      </c>
      <c r="DC188" s="15"/>
      <c r="DD188" s="15" t="s">
        <v>988</v>
      </c>
      <c r="DE188" s="15"/>
      <c r="DF188" s="15"/>
      <c r="DG188" s="15"/>
      <c r="DH188" s="15" t="s">
        <v>833</v>
      </c>
      <c r="DI188" s="15" t="s">
        <v>459</v>
      </c>
      <c r="DJ188" s="15" t="s">
        <v>613</v>
      </c>
      <c r="DK188" s="15"/>
      <c r="DL188" s="15"/>
      <c r="DM188" s="15"/>
      <c r="DN188" s="15"/>
      <c r="DO188" s="15"/>
      <c r="DP188" s="15"/>
      <c r="DQ188" s="15"/>
      <c r="DR188" s="15"/>
      <c r="DS188" s="15"/>
      <c r="DT188" s="15"/>
      <c r="DU188" s="15"/>
      <c r="DV188" s="15"/>
      <c r="DW188" s="15"/>
      <c r="DX188" s="15"/>
      <c r="DY188" s="15"/>
      <c r="DZ188" s="15"/>
      <c r="EA188" s="15"/>
      <c r="EB188" s="15"/>
      <c r="EC188" s="15"/>
      <c r="ED188" s="15"/>
      <c r="EE188" s="15"/>
      <c r="EF188" s="15"/>
      <c r="EG188" s="15"/>
      <c r="EH188" s="15"/>
      <c r="EI188" s="15"/>
      <c r="EJ188" s="15"/>
      <c r="EK188" s="15"/>
      <c r="EL188" s="15"/>
      <c r="EM188" s="15"/>
      <c r="EN188" s="15"/>
      <c r="EO188" s="15"/>
      <c r="EP188" s="15"/>
      <c r="EQ188" s="15"/>
      <c r="ER188" s="15"/>
      <c r="ES188" s="15"/>
      <c r="ET188" s="15" t="s">
        <v>478</v>
      </c>
      <c r="EU188" s="15" t="s">
        <v>579</v>
      </c>
      <c r="EV188" s="15" t="s">
        <v>480</v>
      </c>
      <c r="EW188" s="15"/>
      <c r="EX188" s="15" t="s">
        <v>4222</v>
      </c>
      <c r="EY188" s="15" t="s">
        <v>4223</v>
      </c>
      <c r="EZ188" s="15" t="s">
        <v>583</v>
      </c>
      <c r="FA188" s="15" t="s">
        <v>583</v>
      </c>
      <c r="FB188" s="15" t="s">
        <v>413</v>
      </c>
      <c r="FC188" s="15" t="s">
        <v>414</v>
      </c>
      <c r="FD188" s="15" t="s">
        <v>413</v>
      </c>
      <c r="FE188" s="15" t="s">
        <v>583</v>
      </c>
      <c r="FF188" s="15" t="s">
        <v>414</v>
      </c>
      <c r="FG188" s="15" t="s">
        <v>414</v>
      </c>
      <c r="FH188" s="15" t="s">
        <v>416</v>
      </c>
      <c r="FI188" s="15" t="s">
        <v>413</v>
      </c>
      <c r="FJ188" s="15" t="s">
        <v>583</v>
      </c>
      <c r="FK188" s="15" t="s">
        <v>415</v>
      </c>
      <c r="FL188" s="15" t="s">
        <v>415</v>
      </c>
      <c r="FM188" s="15" t="s">
        <v>415</v>
      </c>
      <c r="FN188" s="15" t="s">
        <v>415</v>
      </c>
      <c r="FO188" s="15" t="s">
        <v>1537</v>
      </c>
      <c r="FP188" s="15" t="s">
        <v>418</v>
      </c>
      <c r="FQ188" s="15" t="s">
        <v>419</v>
      </c>
      <c r="FR188" s="15" t="s">
        <v>4224</v>
      </c>
      <c r="FS188" s="15" t="s">
        <v>1076</v>
      </c>
      <c r="FT188" s="15" t="s">
        <v>488</v>
      </c>
      <c r="FU188" s="15" t="s">
        <v>1235</v>
      </c>
      <c r="FV188" s="15" t="s">
        <v>1101</v>
      </c>
      <c r="FW188" s="15" t="s">
        <v>1853</v>
      </c>
      <c r="FX188" s="15" t="s">
        <v>4225</v>
      </c>
      <c r="FY188" s="15" t="s">
        <v>1854</v>
      </c>
      <c r="FZ188" s="15" t="s">
        <v>4226</v>
      </c>
      <c r="GA188" s="15"/>
      <c r="GB188" s="15" t="s">
        <v>455</v>
      </c>
      <c r="GC188" s="15"/>
      <c r="GD188" s="15"/>
      <c r="GE188" s="15" t="s">
        <v>753</v>
      </c>
      <c r="GF188" s="15" t="s">
        <v>4227</v>
      </c>
      <c r="GG188" s="15" t="s">
        <v>755</v>
      </c>
      <c r="GH188" s="15" t="s">
        <v>755</v>
      </c>
      <c r="GI188" s="15" t="s">
        <v>817</v>
      </c>
      <c r="GJ188" s="15"/>
      <c r="GK188" s="15"/>
      <c r="GL188" s="15"/>
      <c r="GM188" s="15"/>
      <c r="GN188" s="15"/>
      <c r="GO188" s="15"/>
      <c r="GP188" s="15"/>
      <c r="GQ188" s="15" t="s">
        <v>3208</v>
      </c>
      <c r="GR188" s="15"/>
      <c r="GS188" s="15"/>
      <c r="GT188" s="15"/>
      <c r="GU188" s="15"/>
      <c r="GV188" s="15"/>
      <c r="GW188" s="15"/>
      <c r="GX188" s="15"/>
      <c r="GY188" s="15"/>
      <c r="GZ188" s="15"/>
      <c r="HA188" s="15"/>
      <c r="HB188" s="15"/>
      <c r="HC188" s="15"/>
      <c r="HD188" s="15"/>
      <c r="HE188" s="15"/>
      <c r="HF188" s="15"/>
      <c r="HG188" s="15"/>
      <c r="HH188" s="15"/>
      <c r="HI188" s="15"/>
      <c r="HJ188" s="15"/>
      <c r="HK188" s="15"/>
      <c r="HL188" s="15"/>
      <c r="HM188" s="15"/>
      <c r="HN188" s="15"/>
      <c r="HO188" s="15"/>
      <c r="HP188" s="31"/>
      <c r="MX188" s="29" t="s">
        <v>538</v>
      </c>
      <c r="MY188" s="29" t="str">
        <f>IFERROR(__xludf.DUMMYFUNCTION("""COMPUTED_VALUE"""),"United Kingdom")</f>
        <v>United Kingdom</v>
      </c>
    </row>
    <row r="189" ht="16.5" customHeight="1">
      <c r="A189" s="30">
        <v>45834.09703479167</v>
      </c>
      <c r="B189" s="15" t="s">
        <v>368</v>
      </c>
      <c r="C189" s="15" t="s">
        <v>538</v>
      </c>
      <c r="D189" s="15" t="s">
        <v>538</v>
      </c>
      <c r="E189" s="15"/>
      <c r="F189" s="15"/>
      <c r="G189" s="15" t="s">
        <v>422</v>
      </c>
      <c r="H189" s="15" t="s">
        <v>1921</v>
      </c>
      <c r="I189" s="15" t="s">
        <v>668</v>
      </c>
      <c r="J189" s="15" t="s">
        <v>718</v>
      </c>
      <c r="K189" s="15" t="s">
        <v>376</v>
      </c>
      <c r="L189" s="15" t="s">
        <v>379</v>
      </c>
      <c r="M189" s="15" t="s">
        <v>378</v>
      </c>
      <c r="N189" s="15" t="s">
        <v>379</v>
      </c>
      <c r="O189" s="15" t="s">
        <v>4228</v>
      </c>
      <c r="P189" s="15" t="s">
        <v>498</v>
      </c>
      <c r="Q189" s="15" t="s">
        <v>499</v>
      </c>
      <c r="R189" s="15" t="s">
        <v>427</v>
      </c>
      <c r="S189" s="15" t="s">
        <v>384</v>
      </c>
      <c r="T189" s="15" t="s">
        <v>385</v>
      </c>
      <c r="U189" s="15"/>
      <c r="V189" s="15"/>
      <c r="W189" s="15" t="s">
        <v>3014</v>
      </c>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t="s">
        <v>390</v>
      </c>
      <c r="AW189" s="15">
        <v>2.0</v>
      </c>
      <c r="AX189" s="15">
        <v>2.0</v>
      </c>
      <c r="AY189" s="15">
        <v>4.0</v>
      </c>
      <c r="AZ189" s="15" t="s">
        <v>391</v>
      </c>
      <c r="BA189" s="15">
        <v>2.0</v>
      </c>
      <c r="BB189" s="15" t="s">
        <v>391</v>
      </c>
      <c r="BC189" s="15" t="s">
        <v>4229</v>
      </c>
      <c r="BD189" s="15" t="s">
        <v>4230</v>
      </c>
      <c r="BE189" s="15" t="s">
        <v>392</v>
      </c>
      <c r="BF189" s="15" t="s">
        <v>433</v>
      </c>
      <c r="BG189" s="15" t="s">
        <v>725</v>
      </c>
      <c r="BH189" s="15"/>
      <c r="BI189" s="15" t="s">
        <v>976</v>
      </c>
      <c r="BJ189" s="15"/>
      <c r="BK189" s="15" t="s">
        <v>511</v>
      </c>
      <c r="BL189" s="15" t="s">
        <v>603</v>
      </c>
      <c r="BM189" s="15" t="s">
        <v>549</v>
      </c>
      <c r="BN189" s="15" t="s">
        <v>513</v>
      </c>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t="s">
        <v>441</v>
      </c>
      <c r="CM189" s="15" t="s">
        <v>401</v>
      </c>
      <c r="CN189" s="15" t="s">
        <v>4231</v>
      </c>
      <c r="CO189" s="15" t="s">
        <v>4232</v>
      </c>
      <c r="CP189" s="15" t="s">
        <v>979</v>
      </c>
      <c r="CQ189" s="15" t="s">
        <v>3090</v>
      </c>
      <c r="CR189" s="15" t="s">
        <v>404</v>
      </c>
      <c r="CS189" s="15" t="s">
        <v>1032</v>
      </c>
      <c r="CT189" s="15" t="s">
        <v>4233</v>
      </c>
      <c r="CU189" s="15" t="s">
        <v>450</v>
      </c>
      <c r="CV189" s="15" t="s">
        <v>451</v>
      </c>
      <c r="CW189" s="15" t="s">
        <v>4234</v>
      </c>
      <c r="CX189" s="15" t="s">
        <v>408</v>
      </c>
      <c r="CY189" s="15"/>
      <c r="CZ189" s="15" t="s">
        <v>453</v>
      </c>
      <c r="DA189" s="15" t="s">
        <v>4235</v>
      </c>
      <c r="DB189" s="15" t="s">
        <v>455</v>
      </c>
      <c r="DC189" s="15" t="s">
        <v>4236</v>
      </c>
      <c r="DD189" s="15" t="s">
        <v>406</v>
      </c>
      <c r="DE189" s="15" t="s">
        <v>407</v>
      </c>
      <c r="DF189" s="15" t="s">
        <v>4237</v>
      </c>
      <c r="DG189" s="15" t="s">
        <v>561</v>
      </c>
      <c r="DH189" s="15" t="s">
        <v>410</v>
      </c>
      <c r="DI189" s="15" t="s">
        <v>459</v>
      </c>
      <c r="DJ189" s="15" t="s">
        <v>460</v>
      </c>
      <c r="DK189" s="15" t="s">
        <v>461</v>
      </c>
      <c r="DL189" s="15"/>
      <c r="DM189" s="15"/>
      <c r="DN189" s="15"/>
      <c r="DO189" s="15"/>
      <c r="DP189" s="15"/>
      <c r="DQ189" s="15"/>
      <c r="DR189" s="15"/>
      <c r="DS189" s="15"/>
      <c r="DT189" s="15"/>
      <c r="DU189" s="15"/>
      <c r="DV189" s="15"/>
      <c r="DW189" s="15"/>
      <c r="DX189" s="15"/>
      <c r="DY189" s="15"/>
      <c r="DZ189" s="15"/>
      <c r="EA189" s="15"/>
      <c r="EB189" s="15"/>
      <c r="EC189" s="15"/>
      <c r="ED189" s="15"/>
      <c r="EE189" s="15"/>
      <c r="EF189" s="15"/>
      <c r="EG189" s="15"/>
      <c r="EH189" s="15"/>
      <c r="EI189" s="15"/>
      <c r="EJ189" s="15"/>
      <c r="EK189" s="15"/>
      <c r="EL189" s="15"/>
      <c r="EM189" s="15"/>
      <c r="EN189" s="15"/>
      <c r="EO189" s="15"/>
      <c r="EP189" s="15"/>
      <c r="EQ189" s="15"/>
      <c r="ER189" s="15"/>
      <c r="ES189" s="15"/>
      <c r="ET189" s="15" t="s">
        <v>578</v>
      </c>
      <c r="EU189" s="15" t="s">
        <v>579</v>
      </c>
      <c r="EV189" s="15" t="s">
        <v>1262</v>
      </c>
      <c r="EW189" s="15"/>
      <c r="EX189" s="15" t="s">
        <v>4238</v>
      </c>
      <c r="EY189" s="15" t="s">
        <v>4239</v>
      </c>
      <c r="EZ189" s="15" t="s">
        <v>414</v>
      </c>
      <c r="FA189" s="15" t="s">
        <v>414</v>
      </c>
      <c r="FB189" s="15" t="s">
        <v>413</v>
      </c>
      <c r="FC189" s="15" t="s">
        <v>416</v>
      </c>
      <c r="FD189" s="15" t="s">
        <v>413</v>
      </c>
      <c r="FE189" s="15" t="s">
        <v>414</v>
      </c>
      <c r="FF189" s="15" t="s">
        <v>416</v>
      </c>
      <c r="FG189" s="15" t="s">
        <v>413</v>
      </c>
      <c r="FH189" s="15" t="s">
        <v>414</v>
      </c>
      <c r="FI189" s="15" t="s">
        <v>416</v>
      </c>
      <c r="FJ189" s="15" t="s">
        <v>415</v>
      </c>
      <c r="FK189" s="15" t="s">
        <v>413</v>
      </c>
      <c r="FL189" s="15"/>
      <c r="FM189" s="15" t="s">
        <v>413</v>
      </c>
      <c r="FN189" s="15" t="s">
        <v>414</v>
      </c>
      <c r="FO189" s="15" t="s">
        <v>1074</v>
      </c>
      <c r="FP189" s="15" t="s">
        <v>418</v>
      </c>
      <c r="FQ189" s="15" t="s">
        <v>1039</v>
      </c>
      <c r="FR189" s="15" t="s">
        <v>4240</v>
      </c>
      <c r="FS189" s="15" t="s">
        <v>1189</v>
      </c>
      <c r="FT189" s="15" t="s">
        <v>488</v>
      </c>
      <c r="FU189" s="15" t="s">
        <v>1235</v>
      </c>
      <c r="FV189" s="15" t="s">
        <v>490</v>
      </c>
      <c r="FW189" s="15" t="s">
        <v>491</v>
      </c>
      <c r="FX189" s="15" t="s">
        <v>4241</v>
      </c>
      <c r="FY189" s="15" t="s">
        <v>493</v>
      </c>
      <c r="FZ189" s="15"/>
      <c r="GA189" s="15"/>
      <c r="GB189" s="15" t="s">
        <v>408</v>
      </c>
      <c r="GC189" s="15"/>
      <c r="GD189" s="15"/>
      <c r="GE189" s="15"/>
      <c r="GF189" s="15"/>
      <c r="GG189" s="15" t="s">
        <v>755</v>
      </c>
      <c r="GH189" s="15" t="s">
        <v>755</v>
      </c>
      <c r="GI189" s="15" t="s">
        <v>946</v>
      </c>
      <c r="GJ189" s="15"/>
      <c r="GK189" s="15"/>
      <c r="GL189" s="15"/>
      <c r="GM189" s="15"/>
      <c r="GN189" s="15" t="s">
        <v>3012</v>
      </c>
      <c r="GO189" s="15" t="s">
        <v>3012</v>
      </c>
      <c r="GP189" s="15"/>
      <c r="GQ189" s="15" t="s">
        <v>4242</v>
      </c>
      <c r="GR189" s="15"/>
      <c r="GS189" s="15"/>
      <c r="GT189" s="15"/>
      <c r="GU189" s="15"/>
      <c r="GV189" s="15"/>
      <c r="GW189" s="15"/>
      <c r="GX189" s="15"/>
      <c r="GY189" s="15"/>
      <c r="GZ189" s="15"/>
      <c r="HA189" s="15"/>
      <c r="HB189" s="15"/>
      <c r="HC189" s="15"/>
      <c r="HD189" s="15"/>
      <c r="HE189" s="15"/>
      <c r="HF189" s="15"/>
      <c r="HG189" s="15"/>
      <c r="HH189" s="15"/>
      <c r="HI189" s="15"/>
      <c r="HJ189" s="15"/>
      <c r="HK189" s="15"/>
      <c r="HL189" s="15"/>
      <c r="HM189" s="15"/>
      <c r="HN189" s="15"/>
      <c r="HO189" s="15"/>
      <c r="HP189" s="31"/>
      <c r="MX189" s="29" t="s">
        <v>10402</v>
      </c>
      <c r="MY189" s="29" t="str">
        <f>IFERROR(__xludf.DUMMYFUNCTION("""COMPUTED_VALUE"""),"New Jersey")</f>
        <v>New Jersey</v>
      </c>
    </row>
    <row r="190" ht="16.5" customHeight="1">
      <c r="A190" s="30">
        <v>45834.140873842596</v>
      </c>
      <c r="B190" s="15" t="s">
        <v>368</v>
      </c>
      <c r="C190" s="15" t="s">
        <v>370</v>
      </c>
      <c r="D190" s="15"/>
      <c r="E190" s="15" t="s">
        <v>2359</v>
      </c>
      <c r="F190" s="15"/>
      <c r="G190" s="15" t="s">
        <v>422</v>
      </c>
      <c r="H190" s="15" t="s">
        <v>496</v>
      </c>
      <c r="I190" s="15" t="s">
        <v>424</v>
      </c>
      <c r="J190" s="15" t="s">
        <v>375</v>
      </c>
      <c r="K190" s="15" t="s">
        <v>376</v>
      </c>
      <c r="L190" s="15" t="s">
        <v>426</v>
      </c>
      <c r="M190" s="15" t="s">
        <v>378</v>
      </c>
      <c r="N190" s="15" t="s">
        <v>591</v>
      </c>
      <c r="O190" s="15" t="s">
        <v>719</v>
      </c>
      <c r="P190" s="15" t="s">
        <v>498</v>
      </c>
      <c r="Q190" s="15" t="s">
        <v>382</v>
      </c>
      <c r="R190" s="15" t="s">
        <v>427</v>
      </c>
      <c r="S190" s="15" t="s">
        <v>384</v>
      </c>
      <c r="T190" s="15" t="s">
        <v>385</v>
      </c>
      <c r="U190" s="15"/>
      <c r="V190" s="15"/>
      <c r="W190" s="15" t="s">
        <v>3014</v>
      </c>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t="s">
        <v>1242</v>
      </c>
      <c r="AW190" s="15" t="s">
        <v>675</v>
      </c>
      <c r="AX190" s="15" t="s">
        <v>675</v>
      </c>
      <c r="AY190" s="15" t="s">
        <v>675</v>
      </c>
      <c r="AZ190" s="15">
        <v>4.0</v>
      </c>
      <c r="BA190" s="15" t="s">
        <v>675</v>
      </c>
      <c r="BB190" s="15" t="s">
        <v>675</v>
      </c>
      <c r="BC190" s="15" t="s">
        <v>4243</v>
      </c>
      <c r="BD190" s="15" t="s">
        <v>2991</v>
      </c>
      <c r="BE190" s="15" t="s">
        <v>1094</v>
      </c>
      <c r="BF190" s="15" t="s">
        <v>1095</v>
      </c>
      <c r="BG190" s="15" t="s">
        <v>725</v>
      </c>
      <c r="BH190" s="15"/>
      <c r="BI190" s="15" t="s">
        <v>976</v>
      </c>
      <c r="BJ190" s="15"/>
      <c r="BK190" s="15" t="s">
        <v>437</v>
      </c>
      <c r="BL190" s="15" t="s">
        <v>904</v>
      </c>
      <c r="BM190" s="15" t="s">
        <v>1314</v>
      </c>
      <c r="BN190" s="15" t="s">
        <v>398</v>
      </c>
      <c r="BO190" s="15" t="s">
        <v>4244</v>
      </c>
      <c r="BP190" s="15" t="s">
        <v>4245</v>
      </c>
      <c r="BQ190" s="15" t="s">
        <v>442</v>
      </c>
      <c r="BR190" s="15" t="s">
        <v>4246</v>
      </c>
      <c r="BS190" s="15" t="s">
        <v>1671</v>
      </c>
      <c r="BT190" s="15" t="s">
        <v>404</v>
      </c>
      <c r="BU190" s="15" t="s">
        <v>405</v>
      </c>
      <c r="BV190" s="15"/>
      <c r="BW190" s="15" t="s">
        <v>988</v>
      </c>
      <c r="BX190" s="15"/>
      <c r="BY190" s="15" t="s">
        <v>408</v>
      </c>
      <c r="BZ190" s="15"/>
      <c r="CA190" s="15" t="s">
        <v>4247</v>
      </c>
      <c r="CB190" s="15" t="s">
        <v>4248</v>
      </c>
      <c r="CC190" s="15" t="s">
        <v>4249</v>
      </c>
      <c r="CD190" s="15" t="s">
        <v>409</v>
      </c>
      <c r="CE190" s="15" t="s">
        <v>4250</v>
      </c>
      <c r="CF190" s="15" t="s">
        <v>1258</v>
      </c>
      <c r="CG190" s="15"/>
      <c r="CH190" s="15" t="s">
        <v>1259</v>
      </c>
      <c r="CI190" s="15" t="s">
        <v>410</v>
      </c>
      <c r="CJ190" s="15" t="s">
        <v>4251</v>
      </c>
      <c r="CK190" s="15" t="s">
        <v>4252</v>
      </c>
      <c r="CL190" s="15"/>
      <c r="CM190" s="15"/>
      <c r="CN190" s="15"/>
      <c r="CO190" s="15"/>
      <c r="CP190" s="15"/>
      <c r="CQ190" s="15"/>
      <c r="CR190" s="15"/>
      <c r="CS190" s="15"/>
      <c r="CT190" s="15"/>
      <c r="CU190" s="15"/>
      <c r="CV190" s="15"/>
      <c r="CW190" s="15"/>
      <c r="CX190" s="15"/>
      <c r="CY190" s="15"/>
      <c r="CZ190" s="15"/>
      <c r="DA190" s="15"/>
      <c r="DB190" s="15"/>
      <c r="DC190" s="15"/>
      <c r="DD190" s="15"/>
      <c r="DE190" s="15"/>
      <c r="DF190" s="15"/>
      <c r="DG190" s="15"/>
      <c r="DH190" s="15"/>
      <c r="DI190" s="15"/>
      <c r="DJ190" s="15"/>
      <c r="DK190" s="15"/>
      <c r="DL190" s="15"/>
      <c r="DM190" s="15"/>
      <c r="DN190" s="15"/>
      <c r="DO190" s="15"/>
      <c r="DP190" s="15"/>
      <c r="DQ190" s="15"/>
      <c r="DR190" s="15"/>
      <c r="DS190" s="15"/>
      <c r="DT190" s="15"/>
      <c r="DU190" s="15"/>
      <c r="DV190" s="15"/>
      <c r="DW190" s="15"/>
      <c r="DX190" s="15"/>
      <c r="DY190" s="15"/>
      <c r="DZ190" s="15"/>
      <c r="EA190" s="15"/>
      <c r="EB190" s="15"/>
      <c r="EC190" s="15"/>
      <c r="ED190" s="15"/>
      <c r="EE190" s="15"/>
      <c r="EF190" s="15"/>
      <c r="EG190" s="15"/>
      <c r="EH190" s="15"/>
      <c r="EI190" s="15"/>
      <c r="EJ190" s="15"/>
      <c r="EK190" s="15"/>
      <c r="EL190" s="15"/>
      <c r="EM190" s="15"/>
      <c r="EN190" s="15"/>
      <c r="EO190" s="15"/>
      <c r="EP190" s="15"/>
      <c r="EQ190" s="15"/>
      <c r="ER190" s="15"/>
      <c r="ES190" s="15"/>
      <c r="ET190" s="15" t="s">
        <v>526</v>
      </c>
      <c r="EU190" s="15" t="s">
        <v>479</v>
      </c>
      <c r="EV190" s="15" t="s">
        <v>1262</v>
      </c>
      <c r="EW190" s="15"/>
      <c r="EX190" s="15" t="s">
        <v>4253</v>
      </c>
      <c r="EY190" s="15" t="s">
        <v>4254</v>
      </c>
      <c r="EZ190" s="15" t="s">
        <v>414</v>
      </c>
      <c r="FA190" s="15" t="s">
        <v>583</v>
      </c>
      <c r="FB190" s="15" t="s">
        <v>583</v>
      </c>
      <c r="FC190" s="15" t="s">
        <v>583</v>
      </c>
      <c r="FD190" s="15" t="s">
        <v>415</v>
      </c>
      <c r="FE190" s="15" t="s">
        <v>583</v>
      </c>
      <c r="FF190" s="15" t="s">
        <v>583</v>
      </c>
      <c r="FG190" s="15" t="s">
        <v>583</v>
      </c>
      <c r="FH190" s="15" t="s">
        <v>583</v>
      </c>
      <c r="FI190" s="15" t="s">
        <v>583</v>
      </c>
      <c r="FJ190" s="15" t="s">
        <v>583</v>
      </c>
      <c r="FK190" s="15" t="s">
        <v>414</v>
      </c>
      <c r="FL190" s="15" t="s">
        <v>414</v>
      </c>
      <c r="FM190" s="15" t="s">
        <v>413</v>
      </c>
      <c r="FN190" s="15" t="s">
        <v>583</v>
      </c>
      <c r="FO190" s="15" t="s">
        <v>417</v>
      </c>
      <c r="FP190" s="15" t="s">
        <v>418</v>
      </c>
      <c r="FQ190" s="15" t="s">
        <v>749</v>
      </c>
      <c r="FR190" s="15" t="s">
        <v>1775</v>
      </c>
      <c r="FS190" s="15" t="s">
        <v>420</v>
      </c>
      <c r="FT190" s="15" t="s">
        <v>488</v>
      </c>
      <c r="FU190" s="15" t="s">
        <v>489</v>
      </c>
      <c r="FV190" s="15" t="s">
        <v>490</v>
      </c>
      <c r="FW190" s="15" t="s">
        <v>491</v>
      </c>
      <c r="FX190" s="15"/>
      <c r="FY190" s="15" t="s">
        <v>535</v>
      </c>
      <c r="FZ190" s="15" t="s">
        <v>4255</v>
      </c>
      <c r="GA190" s="15"/>
      <c r="GB190" s="15" t="s">
        <v>408</v>
      </c>
      <c r="GC190" s="15"/>
      <c r="GD190" s="15"/>
      <c r="GE190" s="15"/>
      <c r="GF190" s="15"/>
      <c r="GG190" s="15"/>
      <c r="GH190" s="15"/>
      <c r="GI190" s="15"/>
      <c r="GJ190" s="15" t="s">
        <v>920</v>
      </c>
      <c r="GK190" s="15" t="s">
        <v>755</v>
      </c>
      <c r="GL190" s="15" t="s">
        <v>817</v>
      </c>
      <c r="GM190" s="15"/>
      <c r="GN190" s="15"/>
      <c r="GO190" s="15"/>
      <c r="GP190" s="15"/>
      <c r="GQ190" s="15" t="s">
        <v>3273</v>
      </c>
      <c r="GR190" s="15"/>
      <c r="GS190" s="15"/>
      <c r="GT190" s="15"/>
      <c r="GU190" s="15"/>
      <c r="GV190" s="15"/>
      <c r="GW190" s="15"/>
      <c r="GX190" s="15"/>
      <c r="GY190" s="15"/>
      <c r="GZ190" s="15"/>
      <c r="HA190" s="15"/>
      <c r="HB190" s="15"/>
      <c r="HC190" s="15"/>
      <c r="HD190" s="15"/>
      <c r="HE190" s="15"/>
      <c r="HF190" s="15"/>
      <c r="HG190" s="15"/>
      <c r="HH190" s="15"/>
      <c r="HI190" s="15"/>
      <c r="HJ190" s="15"/>
      <c r="HK190" s="15"/>
      <c r="HL190" s="15"/>
      <c r="HM190" s="15"/>
      <c r="HN190" s="15"/>
      <c r="HO190" s="15"/>
      <c r="HP190" s="31"/>
      <c r="MX190" s="29" t="s">
        <v>10402</v>
      </c>
      <c r="MY190" s="29" t="str">
        <f>IFERROR(__xludf.DUMMYFUNCTION("""COMPUTED_VALUE"""),"New York")</f>
        <v>New York</v>
      </c>
    </row>
    <row r="191" ht="16.5" customHeight="1">
      <c r="A191" s="30">
        <v>45834.45642371528</v>
      </c>
      <c r="B191" s="15" t="s">
        <v>368</v>
      </c>
      <c r="C191" s="15" t="s">
        <v>370</v>
      </c>
      <c r="D191" s="15"/>
      <c r="E191" s="15" t="s">
        <v>667</v>
      </c>
      <c r="F191" s="15"/>
      <c r="G191" s="15" t="s">
        <v>422</v>
      </c>
      <c r="H191" s="15" t="s">
        <v>1203</v>
      </c>
      <c r="I191" s="15" t="s">
        <v>638</v>
      </c>
      <c r="J191" s="15" t="s">
        <v>1204</v>
      </c>
      <c r="K191" s="15" t="s">
        <v>376</v>
      </c>
      <c r="L191" s="15" t="s">
        <v>379</v>
      </c>
      <c r="M191" s="15" t="s">
        <v>720</v>
      </c>
      <c r="N191" s="15" t="s">
        <v>377</v>
      </c>
      <c r="O191" s="15" t="s">
        <v>497</v>
      </c>
      <c r="P191" s="15" t="s">
        <v>381</v>
      </c>
      <c r="Q191" s="15" t="s">
        <v>1156</v>
      </c>
      <c r="R191" s="15" t="s">
        <v>1135</v>
      </c>
      <c r="S191" s="15" t="s">
        <v>384</v>
      </c>
      <c r="T191" s="15" t="s">
        <v>385</v>
      </c>
      <c r="U191" s="15"/>
      <c r="V191" s="15"/>
      <c r="W191" s="15" t="s">
        <v>3014</v>
      </c>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t="s">
        <v>504</v>
      </c>
      <c r="AW191" s="15" t="s">
        <v>429</v>
      </c>
      <c r="AX191" s="15" t="s">
        <v>429</v>
      </c>
      <c r="AY191" s="15" t="s">
        <v>429</v>
      </c>
      <c r="AZ191" s="15" t="s">
        <v>429</v>
      </c>
      <c r="BA191" s="15" t="s">
        <v>429</v>
      </c>
      <c r="BB191" s="15" t="s">
        <v>429</v>
      </c>
      <c r="BC191" s="15" t="s">
        <v>4256</v>
      </c>
      <c r="BD191" s="15" t="s">
        <v>4257</v>
      </c>
      <c r="BE191" s="15" t="s">
        <v>392</v>
      </c>
      <c r="BF191" s="15" t="s">
        <v>433</v>
      </c>
      <c r="BG191" s="15" t="s">
        <v>765</v>
      </c>
      <c r="BH191" s="15"/>
      <c r="BI191" s="15" t="s">
        <v>824</v>
      </c>
      <c r="BJ191" s="15"/>
      <c r="BK191" s="15" t="s">
        <v>511</v>
      </c>
      <c r="BL191" s="15" t="s">
        <v>396</v>
      </c>
      <c r="BM191" s="15" t="s">
        <v>439</v>
      </c>
      <c r="BN191" s="15" t="s">
        <v>513</v>
      </c>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t="s">
        <v>550</v>
      </c>
      <c r="CM191" s="15" t="s">
        <v>604</v>
      </c>
      <c r="CN191" s="15" t="s">
        <v>4258</v>
      </c>
      <c r="CO191" s="15" t="s">
        <v>4259</v>
      </c>
      <c r="CP191" s="15" t="s">
        <v>1948</v>
      </c>
      <c r="CQ191" s="15" t="s">
        <v>2383</v>
      </c>
      <c r="CR191" s="15" t="s">
        <v>404</v>
      </c>
      <c r="CS191" s="15" t="s">
        <v>4260</v>
      </c>
      <c r="CT191" s="15" t="s">
        <v>4261</v>
      </c>
      <c r="CU191" s="15" t="s">
        <v>519</v>
      </c>
      <c r="CV191" s="15" t="s">
        <v>451</v>
      </c>
      <c r="CW191" s="15" t="s">
        <v>4262</v>
      </c>
      <c r="CX191" s="15" t="s">
        <v>408</v>
      </c>
      <c r="CY191" s="15"/>
      <c r="CZ191" s="15" t="s">
        <v>453</v>
      </c>
      <c r="DA191" s="15" t="s">
        <v>4263</v>
      </c>
      <c r="DB191" s="15" t="s">
        <v>408</v>
      </c>
      <c r="DC191" s="15"/>
      <c r="DD191" s="15" t="s">
        <v>988</v>
      </c>
      <c r="DE191" s="15"/>
      <c r="DF191" s="15" t="s">
        <v>4264</v>
      </c>
      <c r="DG191" s="15" t="s">
        <v>561</v>
      </c>
      <c r="DH191" s="15" t="s">
        <v>410</v>
      </c>
      <c r="DI191" s="15" t="s">
        <v>459</v>
      </c>
      <c r="DJ191" s="15" t="s">
        <v>562</v>
      </c>
      <c r="DK191" s="15" t="s">
        <v>461</v>
      </c>
      <c r="DL191" s="15"/>
      <c r="DM191" s="15"/>
      <c r="DN191" s="15"/>
      <c r="DO191" s="15"/>
      <c r="DP191" s="15"/>
      <c r="DQ191" s="15"/>
      <c r="DR191" s="15"/>
      <c r="DS191" s="15"/>
      <c r="DT191" s="15"/>
      <c r="DU191" s="15"/>
      <c r="DV191" s="15"/>
      <c r="DW191" s="15"/>
      <c r="DX191" s="15"/>
      <c r="DY191" s="15"/>
      <c r="DZ191" s="15"/>
      <c r="EA191" s="15"/>
      <c r="EB191" s="15"/>
      <c r="EC191" s="15"/>
      <c r="ED191" s="15"/>
      <c r="EE191" s="15"/>
      <c r="EF191" s="15"/>
      <c r="EG191" s="15"/>
      <c r="EH191" s="15"/>
      <c r="EI191" s="15"/>
      <c r="EJ191" s="15"/>
      <c r="EK191" s="15"/>
      <c r="EL191" s="15"/>
      <c r="EM191" s="15"/>
      <c r="EN191" s="15"/>
      <c r="EO191" s="15"/>
      <c r="EP191" s="15"/>
      <c r="EQ191" s="15"/>
      <c r="ER191" s="15"/>
      <c r="ES191" s="15"/>
      <c r="ET191" s="15" t="s">
        <v>526</v>
      </c>
      <c r="EU191" s="15" t="s">
        <v>887</v>
      </c>
      <c r="EV191" s="15" t="s">
        <v>580</v>
      </c>
      <c r="EW191" s="15"/>
      <c r="EX191" s="15" t="s">
        <v>1337</v>
      </c>
      <c r="EY191" s="15" t="s">
        <v>4265</v>
      </c>
      <c r="EZ191" s="15" t="s">
        <v>416</v>
      </c>
      <c r="FA191" s="15" t="s">
        <v>415</v>
      </c>
      <c r="FB191" s="15" t="s">
        <v>413</v>
      </c>
      <c r="FC191" s="15" t="s">
        <v>413</v>
      </c>
      <c r="FD191" s="15" t="s">
        <v>413</v>
      </c>
      <c r="FE191" s="15" t="s">
        <v>414</v>
      </c>
      <c r="FF191" s="15" t="s">
        <v>413</v>
      </c>
      <c r="FG191" s="15" t="s">
        <v>484</v>
      </c>
      <c r="FH191" s="15" t="s">
        <v>484</v>
      </c>
      <c r="FI191" s="15" t="s">
        <v>484</v>
      </c>
      <c r="FJ191" s="15" t="s">
        <v>416</v>
      </c>
      <c r="FK191" s="15" t="s">
        <v>484</v>
      </c>
      <c r="FL191" s="15" t="s">
        <v>484</v>
      </c>
      <c r="FM191" s="15" t="s">
        <v>484</v>
      </c>
      <c r="FN191" s="15" t="s">
        <v>484</v>
      </c>
      <c r="FO191" s="15" t="s">
        <v>485</v>
      </c>
      <c r="FP191" s="15" t="s">
        <v>418</v>
      </c>
      <c r="FQ191" s="15" t="s">
        <v>712</v>
      </c>
      <c r="FR191" s="15"/>
      <c r="FS191" s="15" t="s">
        <v>420</v>
      </c>
      <c r="FT191" s="15" t="s">
        <v>488</v>
      </c>
      <c r="FU191" s="15" t="s">
        <v>585</v>
      </c>
      <c r="FV191" s="15" t="s">
        <v>1101</v>
      </c>
      <c r="FW191" s="15" t="s">
        <v>491</v>
      </c>
      <c r="FX191" s="15" t="s">
        <v>4266</v>
      </c>
      <c r="FY191" s="15" t="s">
        <v>535</v>
      </c>
      <c r="FZ191" s="15"/>
      <c r="GA191" s="15"/>
      <c r="GB191" s="15" t="s">
        <v>408</v>
      </c>
      <c r="GC191" s="15"/>
      <c r="GD191" s="15"/>
      <c r="GE191" s="15"/>
      <c r="GF191" s="15"/>
      <c r="GG191" s="15" t="s">
        <v>788</v>
      </c>
      <c r="GH191" s="15" t="s">
        <v>788</v>
      </c>
      <c r="GI191" s="15" t="s">
        <v>756</v>
      </c>
      <c r="GJ191" s="15"/>
      <c r="GK191" s="15"/>
      <c r="GL191" s="15"/>
      <c r="GM191" s="15"/>
      <c r="GN191" s="15"/>
      <c r="GO191" s="15"/>
      <c r="GP191" s="15"/>
      <c r="GQ191" s="15" t="s">
        <v>3208</v>
      </c>
      <c r="GR191" s="15"/>
      <c r="GS191" s="15"/>
      <c r="GT191" s="15"/>
      <c r="GU191" s="15"/>
      <c r="GV191" s="15"/>
      <c r="GW191" s="15"/>
      <c r="GX191" s="15"/>
      <c r="GY191" s="15"/>
      <c r="GZ191" s="15"/>
      <c r="HA191" s="15"/>
      <c r="HB191" s="15"/>
      <c r="HC191" s="15"/>
      <c r="HD191" s="15"/>
      <c r="HE191" s="15"/>
      <c r="HF191" s="15"/>
      <c r="HG191" s="15"/>
      <c r="HH191" s="15"/>
      <c r="HI191" s="15"/>
      <c r="HJ191" s="15"/>
      <c r="HK191" s="15"/>
      <c r="HL191" s="15"/>
      <c r="HM191" s="15"/>
      <c r="HN191" s="15"/>
      <c r="HO191" s="15"/>
      <c r="HP191" s="31"/>
      <c r="MX191" s="29" t="s">
        <v>10402</v>
      </c>
      <c r="MY191" s="29" t="str">
        <f>IFERROR(__xludf.DUMMYFUNCTION("""COMPUTED_VALUE"""),"Wisconsin")</f>
        <v>Wisconsin</v>
      </c>
    </row>
    <row r="192" ht="16.5" customHeight="1">
      <c r="A192" s="30">
        <v>45834.524166041665</v>
      </c>
      <c r="B192" s="15" t="s">
        <v>368</v>
      </c>
      <c r="C192" s="15" t="s">
        <v>370</v>
      </c>
      <c r="D192" s="15"/>
      <c r="E192" s="15" t="s">
        <v>1441</v>
      </c>
      <c r="F192" s="15"/>
      <c r="G192" s="15" t="s">
        <v>422</v>
      </c>
      <c r="H192" s="15" t="s">
        <v>1921</v>
      </c>
      <c r="I192" s="15" t="s">
        <v>668</v>
      </c>
      <c r="J192" s="15" t="s">
        <v>1023</v>
      </c>
      <c r="K192" s="15" t="s">
        <v>376</v>
      </c>
      <c r="L192" s="15" t="s">
        <v>426</v>
      </c>
      <c r="M192" s="15" t="s">
        <v>378</v>
      </c>
      <c r="N192" s="15" t="s">
        <v>591</v>
      </c>
      <c r="O192" s="15" t="s">
        <v>719</v>
      </c>
      <c r="P192" s="15" t="s">
        <v>498</v>
      </c>
      <c r="Q192" s="15" t="s">
        <v>382</v>
      </c>
      <c r="R192" s="15" t="s">
        <v>427</v>
      </c>
      <c r="S192" s="15" t="s">
        <v>384</v>
      </c>
      <c r="T192" s="15" t="s">
        <v>385</v>
      </c>
      <c r="U192" s="15"/>
      <c r="V192" s="15"/>
      <c r="W192" s="15" t="s">
        <v>3231</v>
      </c>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t="s">
        <v>1242</v>
      </c>
      <c r="AW192" s="15" t="s">
        <v>675</v>
      </c>
      <c r="AX192" s="15" t="s">
        <v>675</v>
      </c>
      <c r="AY192" s="15" t="s">
        <v>675</v>
      </c>
      <c r="AZ192" s="15" t="s">
        <v>675</v>
      </c>
      <c r="BA192" s="15" t="s">
        <v>675</v>
      </c>
      <c r="BB192" s="15" t="s">
        <v>675</v>
      </c>
      <c r="BC192" s="15" t="s">
        <v>4267</v>
      </c>
      <c r="BD192" s="15" t="s">
        <v>4268</v>
      </c>
      <c r="BE192" s="15" t="s">
        <v>2379</v>
      </c>
      <c r="BF192" s="15" t="s">
        <v>1245</v>
      </c>
      <c r="BG192" s="15" t="s">
        <v>394</v>
      </c>
      <c r="BH192" s="15" t="s">
        <v>4269</v>
      </c>
      <c r="BI192" s="15" t="s">
        <v>976</v>
      </c>
      <c r="BJ192" s="15" t="s">
        <v>4270</v>
      </c>
      <c r="BK192" s="15" t="s">
        <v>681</v>
      </c>
      <c r="BL192" s="15" t="s">
        <v>904</v>
      </c>
      <c r="BM192" s="15" t="s">
        <v>1314</v>
      </c>
      <c r="BN192" s="15" t="s">
        <v>398</v>
      </c>
      <c r="BO192" s="15"/>
      <c r="BP192" s="15" t="s">
        <v>4271</v>
      </c>
      <c r="BQ192" s="15" t="s">
        <v>604</v>
      </c>
      <c r="BR192" s="15" t="s">
        <v>4272</v>
      </c>
      <c r="BS192" s="15" t="s">
        <v>1251</v>
      </c>
      <c r="BT192" s="15" t="s">
        <v>404</v>
      </c>
      <c r="BU192" s="15" t="s">
        <v>1831</v>
      </c>
      <c r="BV192" s="15" t="s">
        <v>4273</v>
      </c>
      <c r="BW192" s="15" t="s">
        <v>406</v>
      </c>
      <c r="BX192" s="15" t="s">
        <v>407</v>
      </c>
      <c r="BY192" s="15" t="s">
        <v>455</v>
      </c>
      <c r="BZ192" s="15" t="s">
        <v>4274</v>
      </c>
      <c r="CA192" s="15" t="s">
        <v>4275</v>
      </c>
      <c r="CB192" s="15" t="s">
        <v>4276</v>
      </c>
      <c r="CC192" s="15" t="s">
        <v>4277</v>
      </c>
      <c r="CD192" s="15" t="s">
        <v>451</v>
      </c>
      <c r="CE192" s="15" t="s">
        <v>4278</v>
      </c>
      <c r="CF192" s="15" t="s">
        <v>1697</v>
      </c>
      <c r="CG192" s="15"/>
      <c r="CH192" s="15" t="s">
        <v>2744</v>
      </c>
      <c r="CI192" s="15" t="s">
        <v>410</v>
      </c>
      <c r="CJ192" s="15" t="s">
        <v>4279</v>
      </c>
      <c r="CK192" s="15" t="s">
        <v>4280</v>
      </c>
      <c r="CL192" s="15"/>
      <c r="CM192" s="15"/>
      <c r="CN192" s="15"/>
      <c r="CO192" s="15"/>
      <c r="CP192" s="15"/>
      <c r="CQ192" s="15"/>
      <c r="CR192" s="15"/>
      <c r="CS192" s="15"/>
      <c r="CT192" s="15"/>
      <c r="CU192" s="15"/>
      <c r="CV192" s="15"/>
      <c r="CW192" s="15"/>
      <c r="CX192" s="15"/>
      <c r="CY192" s="15"/>
      <c r="CZ192" s="15"/>
      <c r="DA192" s="15"/>
      <c r="DB192" s="15"/>
      <c r="DC192" s="15"/>
      <c r="DD192" s="15"/>
      <c r="DE192" s="15"/>
      <c r="DF192" s="15"/>
      <c r="DG192" s="15"/>
      <c r="DH192" s="15"/>
      <c r="DI192" s="15"/>
      <c r="DJ192" s="15"/>
      <c r="DK192" s="15"/>
      <c r="DL192" s="15"/>
      <c r="DM192" s="15"/>
      <c r="DN192" s="15"/>
      <c r="DO192" s="15"/>
      <c r="DP192" s="15"/>
      <c r="DQ192" s="15"/>
      <c r="DR192" s="15"/>
      <c r="DS192" s="15"/>
      <c r="DT192" s="15"/>
      <c r="DU192" s="15"/>
      <c r="DV192" s="15"/>
      <c r="DW192" s="15"/>
      <c r="DX192" s="15"/>
      <c r="DY192" s="15"/>
      <c r="DZ192" s="15"/>
      <c r="EA192" s="15"/>
      <c r="EB192" s="15"/>
      <c r="EC192" s="15"/>
      <c r="ED192" s="15"/>
      <c r="EE192" s="15"/>
      <c r="EF192" s="15"/>
      <c r="EG192" s="15"/>
      <c r="EH192" s="15"/>
      <c r="EI192" s="15"/>
      <c r="EJ192" s="15"/>
      <c r="EK192" s="15"/>
      <c r="EL192" s="15"/>
      <c r="EM192" s="15"/>
      <c r="EN192" s="15"/>
      <c r="EO192" s="15"/>
      <c r="EP192" s="15"/>
      <c r="EQ192" s="15"/>
      <c r="ER192" s="15"/>
      <c r="ES192" s="15"/>
      <c r="ET192" s="15" t="s">
        <v>526</v>
      </c>
      <c r="EU192" s="15" t="s">
        <v>887</v>
      </c>
      <c r="EV192" s="15" t="s">
        <v>480</v>
      </c>
      <c r="EW192" s="15"/>
      <c r="EX192" s="15" t="s">
        <v>4281</v>
      </c>
      <c r="EY192" s="15" t="s">
        <v>4282</v>
      </c>
      <c r="EZ192" s="15" t="s">
        <v>583</v>
      </c>
      <c r="FA192" s="15" t="s">
        <v>583</v>
      </c>
      <c r="FB192" s="15" t="s">
        <v>583</v>
      </c>
      <c r="FC192" s="15" t="s">
        <v>583</v>
      </c>
      <c r="FD192" s="15" t="s">
        <v>583</v>
      </c>
      <c r="FE192" s="15" t="s">
        <v>583</v>
      </c>
      <c r="FF192" s="15" t="s">
        <v>583</v>
      </c>
      <c r="FG192" s="15" t="s">
        <v>583</v>
      </c>
      <c r="FH192" s="15" t="s">
        <v>583</v>
      </c>
      <c r="FI192" s="15" t="s">
        <v>583</v>
      </c>
      <c r="FJ192" s="15" t="s">
        <v>583</v>
      </c>
      <c r="FK192" s="15" t="s">
        <v>583</v>
      </c>
      <c r="FL192" s="15" t="s">
        <v>583</v>
      </c>
      <c r="FM192" s="15" t="s">
        <v>583</v>
      </c>
      <c r="FN192" s="15" t="s">
        <v>583</v>
      </c>
      <c r="FO192" s="15"/>
      <c r="FP192" s="15" t="s">
        <v>2524</v>
      </c>
      <c r="FQ192" s="15" t="s">
        <v>630</v>
      </c>
      <c r="FR192" s="15" t="s">
        <v>4283</v>
      </c>
      <c r="FS192" s="15" t="s">
        <v>420</v>
      </c>
      <c r="FT192" s="15" t="s">
        <v>488</v>
      </c>
      <c r="FU192" s="15" t="s">
        <v>533</v>
      </c>
      <c r="FV192" s="15" t="s">
        <v>490</v>
      </c>
      <c r="FW192" s="15" t="s">
        <v>491</v>
      </c>
      <c r="FX192" s="15"/>
      <c r="FY192" s="15" t="s">
        <v>1020</v>
      </c>
      <c r="FZ192" s="15"/>
      <c r="GA192" s="15" t="s">
        <v>4284</v>
      </c>
      <c r="GB192" s="15" t="s">
        <v>455</v>
      </c>
      <c r="GC192" s="15"/>
      <c r="GD192" s="15" t="s">
        <v>4285</v>
      </c>
      <c r="GE192" s="15" t="s">
        <v>753</v>
      </c>
      <c r="GF192" s="15" t="s">
        <v>3080</v>
      </c>
      <c r="GG192" s="15"/>
      <c r="GH192" s="15"/>
      <c r="GI192" s="15"/>
      <c r="GJ192" s="15" t="s">
        <v>755</v>
      </c>
      <c r="GK192" s="15" t="s">
        <v>755</v>
      </c>
      <c r="GL192" s="15" t="s">
        <v>946</v>
      </c>
      <c r="GM192" s="15"/>
      <c r="GN192" s="15"/>
      <c r="GO192" s="15"/>
      <c r="GP192" s="15" t="s">
        <v>387</v>
      </c>
      <c r="GQ192" s="15" t="s">
        <v>3306</v>
      </c>
      <c r="GR192" s="15"/>
      <c r="GS192" s="15"/>
      <c r="GT192" s="15"/>
      <c r="GU192" s="15"/>
      <c r="GV192" s="15"/>
      <c r="GW192" s="15"/>
      <c r="GX192" s="15"/>
      <c r="GY192" s="15"/>
      <c r="GZ192" s="15"/>
      <c r="HA192" s="15"/>
      <c r="HB192" s="15"/>
      <c r="HC192" s="15"/>
      <c r="HD192" s="15"/>
      <c r="HE192" s="15"/>
      <c r="HF192" s="15"/>
      <c r="HG192" s="15"/>
      <c r="HH192" s="15"/>
      <c r="HI192" s="15"/>
      <c r="HJ192" s="15"/>
      <c r="HK192" s="15"/>
      <c r="HL192" s="15"/>
      <c r="HM192" s="15"/>
      <c r="HN192" s="15"/>
      <c r="HO192" s="15"/>
      <c r="HP192" s="31"/>
      <c r="MX192" s="29" t="s">
        <v>10402</v>
      </c>
      <c r="MY192" s="29" t="str">
        <f>IFERROR(__xludf.DUMMYFUNCTION("""COMPUTED_VALUE"""),"Alabama")</f>
        <v>Alabama</v>
      </c>
    </row>
    <row r="193" ht="16.5" customHeight="1">
      <c r="A193" s="30">
        <v>45834.83290418981</v>
      </c>
      <c r="B193" s="15" t="s">
        <v>368</v>
      </c>
      <c r="C193" s="15" t="s">
        <v>370</v>
      </c>
      <c r="D193" s="15" t="s">
        <v>370</v>
      </c>
      <c r="E193" s="15" t="s">
        <v>2294</v>
      </c>
      <c r="F193" s="15" t="s">
        <v>2294</v>
      </c>
      <c r="G193" s="15" t="s">
        <v>422</v>
      </c>
      <c r="H193" s="15" t="s">
        <v>373</v>
      </c>
      <c r="I193" s="15" t="s">
        <v>374</v>
      </c>
      <c r="J193" s="15" t="s">
        <v>375</v>
      </c>
      <c r="K193" s="15" t="s">
        <v>376</v>
      </c>
      <c r="L193" s="15" t="s">
        <v>426</v>
      </c>
      <c r="M193" s="15" t="s">
        <v>378</v>
      </c>
      <c r="N193" s="15" t="s">
        <v>591</v>
      </c>
      <c r="O193" s="15" t="s">
        <v>671</v>
      </c>
      <c r="P193" s="15" t="s">
        <v>498</v>
      </c>
      <c r="Q193" s="15" t="s">
        <v>382</v>
      </c>
      <c r="R193" s="15" t="s">
        <v>427</v>
      </c>
      <c r="S193" s="15" t="s">
        <v>384</v>
      </c>
      <c r="T193" s="15" t="s">
        <v>385</v>
      </c>
      <c r="U193" s="15"/>
      <c r="V193" s="15"/>
      <c r="W193" s="15" t="s">
        <v>386</v>
      </c>
      <c r="X193" s="15" t="s">
        <v>387</v>
      </c>
      <c r="Y193" s="15" t="s">
        <v>594</v>
      </c>
      <c r="Z193" s="15" t="s">
        <v>672</v>
      </c>
      <c r="AA193" s="15" t="s">
        <v>4286</v>
      </c>
      <c r="AB193" s="15" t="s">
        <v>4287</v>
      </c>
      <c r="AC193" s="15"/>
      <c r="AD193" s="15"/>
      <c r="AE193" s="15"/>
      <c r="AF193" s="15"/>
      <c r="AG193" s="15"/>
      <c r="AH193" s="15"/>
      <c r="AI193" s="15"/>
      <c r="AJ193" s="15"/>
      <c r="AK193" s="15"/>
      <c r="AL193" s="15"/>
      <c r="AM193" s="15"/>
      <c r="AN193" s="15"/>
      <c r="AO193" s="15"/>
      <c r="AP193" s="15"/>
      <c r="AQ193" s="15"/>
      <c r="AR193" s="15"/>
      <c r="AS193" s="15"/>
      <c r="AT193" s="15"/>
      <c r="AU193" s="15"/>
      <c r="AV193" s="15" t="s">
        <v>504</v>
      </c>
      <c r="AW193" s="15" t="s">
        <v>429</v>
      </c>
      <c r="AX193" s="15">
        <v>2.0</v>
      </c>
      <c r="AY193" s="15">
        <v>4.0</v>
      </c>
      <c r="AZ193" s="15">
        <v>2.0</v>
      </c>
      <c r="BA193" s="15" t="s">
        <v>429</v>
      </c>
      <c r="BB193" s="15" t="s">
        <v>429</v>
      </c>
      <c r="BC193" s="15" t="s">
        <v>4288</v>
      </c>
      <c r="BD193" s="15" t="s">
        <v>4289</v>
      </c>
      <c r="BE193" s="15" t="s">
        <v>432</v>
      </c>
      <c r="BF193" s="15" t="s">
        <v>433</v>
      </c>
      <c r="BG193" s="15" t="s">
        <v>678</v>
      </c>
      <c r="BH193" s="15" t="s">
        <v>4290</v>
      </c>
      <c r="BI193" s="15" t="s">
        <v>509</v>
      </c>
      <c r="BJ193" s="15" t="s">
        <v>4291</v>
      </c>
      <c r="BK193" s="15" t="s">
        <v>511</v>
      </c>
      <c r="BL193" s="15" t="s">
        <v>438</v>
      </c>
      <c r="BM193" s="15" t="s">
        <v>439</v>
      </c>
      <c r="BN193" s="15" t="s">
        <v>513</v>
      </c>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t="s">
        <v>441</v>
      </c>
      <c r="CM193" s="15" t="s">
        <v>604</v>
      </c>
      <c r="CN193" s="15" t="s">
        <v>4292</v>
      </c>
      <c r="CO193" s="15" t="s">
        <v>4293</v>
      </c>
      <c r="CP193" s="15" t="s">
        <v>979</v>
      </c>
      <c r="CQ193" s="15" t="s">
        <v>4294</v>
      </c>
      <c r="CR193" s="15" t="s">
        <v>804</v>
      </c>
      <c r="CS193" s="15" t="s">
        <v>4295</v>
      </c>
      <c r="CT193" s="15" t="s">
        <v>4296</v>
      </c>
      <c r="CU193" s="15" t="s">
        <v>450</v>
      </c>
      <c r="CV193" s="15" t="s">
        <v>451</v>
      </c>
      <c r="CW193" s="15" t="s">
        <v>4297</v>
      </c>
      <c r="CX193" s="15" t="s">
        <v>408</v>
      </c>
      <c r="CY193" s="15"/>
      <c r="CZ193" s="15" t="s">
        <v>453</v>
      </c>
      <c r="DA193" s="15" t="s">
        <v>4298</v>
      </c>
      <c r="DB193" s="15" t="s">
        <v>455</v>
      </c>
      <c r="DC193" s="15" t="s">
        <v>4299</v>
      </c>
      <c r="DD193" s="15" t="s">
        <v>457</v>
      </c>
      <c r="DE193" s="15"/>
      <c r="DF193" s="15" t="s">
        <v>4300</v>
      </c>
      <c r="DG193" s="15" t="s">
        <v>524</v>
      </c>
      <c r="DH193" s="15" t="s">
        <v>410</v>
      </c>
      <c r="DI193" s="15" t="s">
        <v>459</v>
      </c>
      <c r="DJ193" s="15" t="s">
        <v>613</v>
      </c>
      <c r="DK193" s="15"/>
      <c r="DL193" s="15"/>
      <c r="DM193" s="15"/>
      <c r="DN193" s="15"/>
      <c r="DO193" s="15"/>
      <c r="DP193" s="15"/>
      <c r="DQ193" s="15"/>
      <c r="DR193" s="15"/>
      <c r="DS193" s="15"/>
      <c r="DT193" s="15"/>
      <c r="DU193" s="15"/>
      <c r="DV193" s="15"/>
      <c r="DW193" s="15"/>
      <c r="DX193" s="15"/>
      <c r="DY193" s="15"/>
      <c r="DZ193" s="15"/>
      <c r="EA193" s="15"/>
      <c r="EB193" s="15"/>
      <c r="EC193" s="15"/>
      <c r="ED193" s="15"/>
      <c r="EE193" s="15"/>
      <c r="EF193" s="15"/>
      <c r="EG193" s="15"/>
      <c r="EH193" s="15"/>
      <c r="EI193" s="15"/>
      <c r="EJ193" s="15"/>
      <c r="EK193" s="15"/>
      <c r="EL193" s="15"/>
      <c r="EM193" s="15"/>
      <c r="EN193" s="15"/>
      <c r="EO193" s="15"/>
      <c r="EP193" s="15"/>
      <c r="EQ193" s="15"/>
      <c r="ER193" s="15"/>
      <c r="ES193" s="15"/>
      <c r="ET193" s="15" t="s">
        <v>526</v>
      </c>
      <c r="EU193" s="15" t="s">
        <v>479</v>
      </c>
      <c r="EV193" s="15" t="s">
        <v>480</v>
      </c>
      <c r="EW193" s="15" t="s">
        <v>4301</v>
      </c>
      <c r="EX193" s="15" t="s">
        <v>4302</v>
      </c>
      <c r="EY193" s="15" t="s">
        <v>4303</v>
      </c>
      <c r="EZ193" s="15" t="s">
        <v>413</v>
      </c>
      <c r="FA193" s="15" t="s">
        <v>413</v>
      </c>
      <c r="FB193" s="15" t="s">
        <v>413</v>
      </c>
      <c r="FC193" s="15" t="s">
        <v>413</v>
      </c>
      <c r="FD193" s="15" t="s">
        <v>413</v>
      </c>
      <c r="FE193" s="15" t="s">
        <v>413</v>
      </c>
      <c r="FF193" s="15" t="s">
        <v>413</v>
      </c>
      <c r="FG193" s="15" t="s">
        <v>413</v>
      </c>
      <c r="FH193" s="15" t="s">
        <v>583</v>
      </c>
      <c r="FI193" s="15" t="s">
        <v>583</v>
      </c>
      <c r="FJ193" s="15" t="s">
        <v>415</v>
      </c>
      <c r="FK193" s="15" t="s">
        <v>484</v>
      </c>
      <c r="FL193" s="15" t="s">
        <v>484</v>
      </c>
      <c r="FM193" s="15" t="s">
        <v>413</v>
      </c>
      <c r="FN193" s="15" t="s">
        <v>583</v>
      </c>
      <c r="FO193" s="15" t="s">
        <v>417</v>
      </c>
      <c r="FP193" s="15" t="s">
        <v>418</v>
      </c>
      <c r="FQ193" s="15" t="s">
        <v>1039</v>
      </c>
      <c r="FR193" s="15" t="s">
        <v>4304</v>
      </c>
      <c r="FS193" s="15" t="s">
        <v>420</v>
      </c>
      <c r="FT193" s="15" t="s">
        <v>488</v>
      </c>
      <c r="FU193" s="15" t="s">
        <v>489</v>
      </c>
      <c r="FV193" s="15" t="s">
        <v>490</v>
      </c>
      <c r="FW193" s="15" t="s">
        <v>491</v>
      </c>
      <c r="FX193" s="15" t="s">
        <v>4305</v>
      </c>
      <c r="FY193" s="15" t="s">
        <v>1020</v>
      </c>
      <c r="FZ193" s="15" t="s">
        <v>4306</v>
      </c>
      <c r="GA193" s="15" t="s">
        <v>4307</v>
      </c>
      <c r="GB193" s="15" t="s">
        <v>455</v>
      </c>
      <c r="GC193" s="15"/>
      <c r="GD193" s="15" t="s">
        <v>4308</v>
      </c>
      <c r="GE193" s="15" t="s">
        <v>753</v>
      </c>
      <c r="GF193" s="15" t="s">
        <v>4309</v>
      </c>
      <c r="GG193" s="15" t="s">
        <v>1000</v>
      </c>
      <c r="GH193" s="15" t="s">
        <v>788</v>
      </c>
      <c r="GI193" s="15" t="s">
        <v>756</v>
      </c>
      <c r="GJ193" s="15"/>
      <c r="GK193" s="15"/>
      <c r="GL193" s="15"/>
      <c r="GM193" s="15"/>
      <c r="GN193" s="15"/>
      <c r="GO193" s="15"/>
      <c r="GP193" s="15"/>
      <c r="GQ193" s="15" t="s">
        <v>4310</v>
      </c>
      <c r="GR193" s="15"/>
      <c r="GS193" s="15"/>
      <c r="GT193" s="15"/>
      <c r="GU193" s="15"/>
      <c r="GV193" s="15"/>
      <c r="GW193" s="15"/>
      <c r="GX193" s="15"/>
      <c r="GY193" s="15"/>
      <c r="GZ193" s="15"/>
      <c r="HA193" s="15"/>
      <c r="HB193" s="15"/>
      <c r="HC193" s="15"/>
      <c r="HD193" s="15"/>
      <c r="HE193" s="15"/>
      <c r="HF193" s="15"/>
      <c r="HG193" s="15"/>
      <c r="HH193" s="15"/>
      <c r="HI193" s="15"/>
      <c r="HJ193" s="15"/>
      <c r="HK193" s="15"/>
      <c r="HL193" s="15"/>
      <c r="HM193" s="15"/>
      <c r="HN193" s="15"/>
      <c r="HO193" s="15"/>
      <c r="HP193" s="31"/>
      <c r="MX193" s="29" t="s">
        <v>10402</v>
      </c>
      <c r="MY193" s="29" t="str">
        <f>IFERROR(__xludf.DUMMYFUNCTION("""COMPUTED_VALUE"""),"Pennsylvania")</f>
        <v>Pennsylvania</v>
      </c>
    </row>
    <row r="194" ht="16.5" customHeight="1">
      <c r="A194" s="30">
        <v>45835.44492405093</v>
      </c>
      <c r="B194" s="15" t="s">
        <v>368</v>
      </c>
      <c r="C194" s="15" t="s">
        <v>370</v>
      </c>
      <c r="D194" s="15" t="s">
        <v>370</v>
      </c>
      <c r="E194" s="15" t="s">
        <v>791</v>
      </c>
      <c r="F194" s="15" t="s">
        <v>791</v>
      </c>
      <c r="G194" s="15" t="s">
        <v>422</v>
      </c>
      <c r="H194" s="15" t="s">
        <v>373</v>
      </c>
      <c r="I194" s="15" t="s">
        <v>638</v>
      </c>
      <c r="J194" s="15" t="s">
        <v>375</v>
      </c>
      <c r="K194" s="15" t="s">
        <v>376</v>
      </c>
      <c r="L194" s="15" t="s">
        <v>426</v>
      </c>
      <c r="M194" s="15" t="s">
        <v>378</v>
      </c>
      <c r="N194" s="15" t="s">
        <v>793</v>
      </c>
      <c r="O194" s="15" t="s">
        <v>720</v>
      </c>
      <c r="P194" s="15" t="s">
        <v>498</v>
      </c>
      <c r="Q194" s="15" t="s">
        <v>862</v>
      </c>
      <c r="R194" s="15" t="s">
        <v>500</v>
      </c>
      <c r="S194" s="15" t="s">
        <v>1443</v>
      </c>
      <c r="T194" s="15" t="s">
        <v>385</v>
      </c>
      <c r="U194" s="15"/>
      <c r="V194" s="15"/>
      <c r="W194" s="15" t="s">
        <v>386</v>
      </c>
      <c r="X194" s="15" t="s">
        <v>387</v>
      </c>
      <c r="Y194" s="15" t="s">
        <v>388</v>
      </c>
      <c r="Z194" s="15" t="s">
        <v>543</v>
      </c>
      <c r="AA194" s="15" t="s">
        <v>4311</v>
      </c>
      <c r="AB194" s="15" t="s">
        <v>4312</v>
      </c>
      <c r="AC194" s="15"/>
      <c r="AD194" s="15"/>
      <c r="AE194" s="15"/>
      <c r="AF194" s="15"/>
      <c r="AG194" s="15"/>
      <c r="AH194" s="15"/>
      <c r="AI194" s="15"/>
      <c r="AJ194" s="15"/>
      <c r="AK194" s="15"/>
      <c r="AL194" s="15"/>
      <c r="AM194" s="15"/>
      <c r="AN194" s="15"/>
      <c r="AO194" s="15"/>
      <c r="AP194" s="15"/>
      <c r="AQ194" s="15"/>
      <c r="AR194" s="15"/>
      <c r="AS194" s="15"/>
      <c r="AT194" s="15"/>
      <c r="AU194" s="15"/>
      <c r="AV194" s="15" t="s">
        <v>390</v>
      </c>
      <c r="AW194" s="15" t="s">
        <v>391</v>
      </c>
      <c r="AX194" s="15">
        <v>4.0</v>
      </c>
      <c r="AY194" s="15">
        <v>4.0</v>
      </c>
      <c r="AZ194" s="15" t="s">
        <v>429</v>
      </c>
      <c r="BA194" s="15" t="s">
        <v>429</v>
      </c>
      <c r="BB194" s="15" t="s">
        <v>429</v>
      </c>
      <c r="BC194" s="15" t="s">
        <v>4313</v>
      </c>
      <c r="BD194" s="15" t="s">
        <v>4314</v>
      </c>
      <c r="BE194" s="15" t="s">
        <v>902</v>
      </c>
      <c r="BF194" s="15" t="s">
        <v>433</v>
      </c>
      <c r="BG194" s="15" t="s">
        <v>678</v>
      </c>
      <c r="BH194" s="15" t="s">
        <v>4315</v>
      </c>
      <c r="BI194" s="15" t="s">
        <v>824</v>
      </c>
      <c r="BJ194" s="15"/>
      <c r="BK194" s="15" t="s">
        <v>437</v>
      </c>
      <c r="BL194" s="15" t="s">
        <v>396</v>
      </c>
      <c r="BM194" s="15" t="s">
        <v>439</v>
      </c>
      <c r="BN194" s="15" t="s">
        <v>440</v>
      </c>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t="s">
        <v>441</v>
      </c>
      <c r="CM194" s="15" t="s">
        <v>604</v>
      </c>
      <c r="CN194" s="15" t="s">
        <v>4316</v>
      </c>
      <c r="CO194" s="15" t="s">
        <v>4317</v>
      </c>
      <c r="CP194" s="15" t="s">
        <v>979</v>
      </c>
      <c r="CQ194" s="15" t="s">
        <v>4318</v>
      </c>
      <c r="CR194" s="15" t="s">
        <v>404</v>
      </c>
      <c r="CS194" s="15" t="s">
        <v>4319</v>
      </c>
      <c r="CT194" s="15" t="s">
        <v>4320</v>
      </c>
      <c r="CU194" s="15" t="s">
        <v>450</v>
      </c>
      <c r="CV194" s="15" t="s">
        <v>451</v>
      </c>
      <c r="CW194" s="15" t="s">
        <v>4321</v>
      </c>
      <c r="CX194" s="15" t="s">
        <v>408</v>
      </c>
      <c r="CY194" s="15"/>
      <c r="CZ194" s="15" t="s">
        <v>453</v>
      </c>
      <c r="DA194" s="15" t="s">
        <v>4322</v>
      </c>
      <c r="DB194" s="15" t="s">
        <v>455</v>
      </c>
      <c r="DC194" s="15" t="s">
        <v>4323</v>
      </c>
      <c r="DD194" s="15" t="s">
        <v>457</v>
      </c>
      <c r="DE194" s="15"/>
      <c r="DF194" s="15" t="s">
        <v>4324</v>
      </c>
      <c r="DG194" s="15" t="s">
        <v>561</v>
      </c>
      <c r="DH194" s="15" t="s">
        <v>410</v>
      </c>
      <c r="DI194" s="15" t="s">
        <v>459</v>
      </c>
      <c r="DJ194" s="15" t="s">
        <v>613</v>
      </c>
      <c r="DK194" s="15"/>
      <c r="DL194" s="15"/>
      <c r="DM194" s="15" t="s">
        <v>4325</v>
      </c>
      <c r="DN194" s="15" t="s">
        <v>4326</v>
      </c>
      <c r="DO194" s="15" t="s">
        <v>567</v>
      </c>
      <c r="DP194" s="15" t="s">
        <v>4327</v>
      </c>
      <c r="DQ194" s="15" t="s">
        <v>837</v>
      </c>
      <c r="DR194" s="15" t="s">
        <v>4328</v>
      </c>
      <c r="DS194" s="15" t="s">
        <v>839</v>
      </c>
      <c r="DT194" s="15" t="s">
        <v>703</v>
      </c>
      <c r="DU194" s="15" t="s">
        <v>4329</v>
      </c>
      <c r="DV194" s="15" t="s">
        <v>4330</v>
      </c>
      <c r="DW194" s="15" t="s">
        <v>573</v>
      </c>
      <c r="DX194" s="15" t="s">
        <v>4331</v>
      </c>
      <c r="DY194" s="15" t="s">
        <v>4332</v>
      </c>
      <c r="DZ194" s="15" t="s">
        <v>4333</v>
      </c>
      <c r="EA194" s="15" t="s">
        <v>475</v>
      </c>
      <c r="EB194" s="15" t="s">
        <v>845</v>
      </c>
      <c r="EC194" s="15" t="s">
        <v>4334</v>
      </c>
      <c r="ED194" s="15"/>
      <c r="EE194" s="15"/>
      <c r="EF194" s="15"/>
      <c r="EG194" s="15"/>
      <c r="EH194" s="15"/>
      <c r="EI194" s="15"/>
      <c r="EJ194" s="15"/>
      <c r="EK194" s="15"/>
      <c r="EL194" s="15"/>
      <c r="EM194" s="15"/>
      <c r="EN194" s="15"/>
      <c r="EO194" s="15"/>
      <c r="EP194" s="15"/>
      <c r="EQ194" s="15"/>
      <c r="ER194" s="15"/>
      <c r="ES194" s="15"/>
      <c r="ET194" s="15" t="s">
        <v>578</v>
      </c>
      <c r="EU194" s="15" t="s">
        <v>887</v>
      </c>
      <c r="EV194" s="15" t="s">
        <v>480</v>
      </c>
      <c r="EW194" s="15" t="s">
        <v>4335</v>
      </c>
      <c r="EX194" s="15" t="s">
        <v>4336</v>
      </c>
      <c r="EY194" s="15" t="s">
        <v>4337</v>
      </c>
      <c r="EZ194" s="15" t="s">
        <v>583</v>
      </c>
      <c r="FA194" s="15" t="s">
        <v>583</v>
      </c>
      <c r="FB194" s="15" t="s">
        <v>416</v>
      </c>
      <c r="FC194" s="15" t="s">
        <v>415</v>
      </c>
      <c r="FD194" s="15" t="s">
        <v>416</v>
      </c>
      <c r="FE194" s="15" t="s">
        <v>583</v>
      </c>
      <c r="FF194" s="15" t="s">
        <v>583</v>
      </c>
      <c r="FG194" s="15" t="s">
        <v>413</v>
      </c>
      <c r="FH194" s="15" t="s">
        <v>583</v>
      </c>
      <c r="FI194" s="15" t="s">
        <v>414</v>
      </c>
      <c r="FJ194" s="15" t="s">
        <v>414</v>
      </c>
      <c r="FK194" s="15" t="s">
        <v>583</v>
      </c>
      <c r="FL194" s="15" t="s">
        <v>583</v>
      </c>
      <c r="FM194" s="15" t="s">
        <v>413</v>
      </c>
      <c r="FN194" s="15" t="s">
        <v>583</v>
      </c>
      <c r="FO194" s="15" t="s">
        <v>417</v>
      </c>
      <c r="FP194" s="15" t="s">
        <v>418</v>
      </c>
      <c r="FQ194" s="15" t="s">
        <v>419</v>
      </c>
      <c r="FR194" s="15" t="s">
        <v>4338</v>
      </c>
      <c r="FS194" s="15" t="s">
        <v>420</v>
      </c>
      <c r="FT194" s="15" t="s">
        <v>488</v>
      </c>
      <c r="FU194" s="15" t="s">
        <v>489</v>
      </c>
      <c r="FV194" s="15" t="s">
        <v>490</v>
      </c>
      <c r="FW194" s="15" t="s">
        <v>491</v>
      </c>
      <c r="FX194" s="15" t="s">
        <v>4339</v>
      </c>
      <c r="FY194" s="15" t="s">
        <v>493</v>
      </c>
      <c r="FZ194" s="15"/>
      <c r="GA194" s="15" t="s">
        <v>4340</v>
      </c>
      <c r="GB194" s="15" t="s">
        <v>455</v>
      </c>
      <c r="GC194" s="15"/>
      <c r="GD194" s="15"/>
      <c r="GE194" s="15" t="s">
        <v>944</v>
      </c>
      <c r="GF194" s="15" t="s">
        <v>4341</v>
      </c>
      <c r="GG194" s="15" t="s">
        <v>857</v>
      </c>
      <c r="GH194" s="15" t="s">
        <v>857</v>
      </c>
      <c r="GI194" s="15" t="s">
        <v>946</v>
      </c>
      <c r="GJ194" s="15"/>
      <c r="GK194" s="15"/>
      <c r="GL194" s="15"/>
      <c r="GM194" s="15" t="s">
        <v>1079</v>
      </c>
      <c r="GN194" s="15"/>
      <c r="GO194" s="15"/>
      <c r="GP194" s="15"/>
      <c r="GQ194" s="15" t="s">
        <v>3273</v>
      </c>
      <c r="GR194" s="15"/>
      <c r="GS194" s="15"/>
      <c r="GT194" s="15"/>
      <c r="GU194" s="15"/>
      <c r="GV194" s="15"/>
      <c r="GW194" s="15"/>
      <c r="GX194" s="15"/>
      <c r="GY194" s="15"/>
      <c r="GZ194" s="15"/>
      <c r="HA194" s="15"/>
      <c r="HB194" s="15"/>
      <c r="HC194" s="15"/>
      <c r="HD194" s="15"/>
      <c r="HE194" s="15"/>
      <c r="HF194" s="15"/>
      <c r="HG194" s="15"/>
      <c r="HH194" s="15"/>
      <c r="HI194" s="15"/>
      <c r="HJ194" s="15"/>
      <c r="HK194" s="15"/>
      <c r="HL194" s="15"/>
      <c r="HM194" s="15"/>
      <c r="HN194" s="15"/>
      <c r="HO194" s="15"/>
      <c r="HP194" s="31"/>
      <c r="MX194" s="29" t="s">
        <v>10402</v>
      </c>
      <c r="MY194" s="29" t="str">
        <f>IFERROR(__xludf.DUMMYFUNCTION("""COMPUTED_VALUE"""),"Georgia")</f>
        <v>Georgia</v>
      </c>
    </row>
    <row r="195" ht="16.5" customHeight="1">
      <c r="A195" s="30">
        <v>45835.70610258102</v>
      </c>
      <c r="B195" s="15" t="s">
        <v>368</v>
      </c>
      <c r="C195" s="15" t="s">
        <v>370</v>
      </c>
      <c r="D195" s="15" t="s">
        <v>370</v>
      </c>
      <c r="E195" s="15" t="s">
        <v>589</v>
      </c>
      <c r="F195" s="15" t="s">
        <v>1510</v>
      </c>
      <c r="G195" s="15" t="s">
        <v>422</v>
      </c>
      <c r="H195" s="15" t="s">
        <v>373</v>
      </c>
      <c r="I195" s="15" t="s">
        <v>638</v>
      </c>
      <c r="J195" s="15" t="s">
        <v>375</v>
      </c>
      <c r="K195" s="15" t="s">
        <v>376</v>
      </c>
      <c r="L195" s="15" t="s">
        <v>793</v>
      </c>
      <c r="M195" s="15" t="s">
        <v>719</v>
      </c>
      <c r="N195" s="15" t="s">
        <v>793</v>
      </c>
      <c r="O195" s="15" t="s">
        <v>719</v>
      </c>
      <c r="P195" s="15" t="s">
        <v>592</v>
      </c>
      <c r="Q195" s="15" t="s">
        <v>759</v>
      </c>
      <c r="R195" s="15" t="s">
        <v>427</v>
      </c>
      <c r="S195" s="15" t="s">
        <v>384</v>
      </c>
      <c r="T195" s="15" t="s">
        <v>385</v>
      </c>
      <c r="U195" s="15"/>
      <c r="V195" s="15"/>
      <c r="W195" s="15" t="s">
        <v>3231</v>
      </c>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t="s">
        <v>597</v>
      </c>
      <c r="AW195" s="15" t="s">
        <v>391</v>
      </c>
      <c r="AX195" s="15">
        <v>2.0</v>
      </c>
      <c r="AY195" s="15" t="s">
        <v>391</v>
      </c>
      <c r="AZ195" s="15" t="s">
        <v>391</v>
      </c>
      <c r="BA195" s="15">
        <v>2.0</v>
      </c>
      <c r="BB195" s="15">
        <v>2.0</v>
      </c>
      <c r="BC195" s="15" t="s">
        <v>4342</v>
      </c>
      <c r="BD195" s="15" t="s">
        <v>4343</v>
      </c>
      <c r="BE195" s="15" t="s">
        <v>392</v>
      </c>
      <c r="BF195" s="15" t="s">
        <v>433</v>
      </c>
      <c r="BG195" s="15" t="s">
        <v>434</v>
      </c>
      <c r="BH195" s="15" t="s">
        <v>4344</v>
      </c>
      <c r="BI195" s="15" t="s">
        <v>509</v>
      </c>
      <c r="BJ195" s="15" t="s">
        <v>4345</v>
      </c>
      <c r="BK195" s="15" t="s">
        <v>437</v>
      </c>
      <c r="BL195" s="15" t="s">
        <v>512</v>
      </c>
      <c r="BM195" s="15" t="s">
        <v>439</v>
      </c>
      <c r="BN195" s="15" t="s">
        <v>513</v>
      </c>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t="s">
        <v>441</v>
      </c>
      <c r="CM195" s="15" t="s">
        <v>682</v>
      </c>
      <c r="CN195" s="15" t="s">
        <v>4346</v>
      </c>
      <c r="CO195" s="15" t="s">
        <v>4347</v>
      </c>
      <c r="CP195" s="15" t="s">
        <v>979</v>
      </c>
      <c r="CQ195" s="15" t="s">
        <v>4348</v>
      </c>
      <c r="CR195" s="15" t="s">
        <v>447</v>
      </c>
      <c r="CS195" s="15" t="s">
        <v>4349</v>
      </c>
      <c r="CT195" s="15" t="s">
        <v>4350</v>
      </c>
      <c r="CU195" s="15" t="s">
        <v>450</v>
      </c>
      <c r="CV195" s="15" t="s">
        <v>451</v>
      </c>
      <c r="CW195" s="15" t="s">
        <v>4351</v>
      </c>
      <c r="CX195" s="15" t="s">
        <v>408</v>
      </c>
      <c r="CY195" s="15"/>
      <c r="CZ195" s="15" t="s">
        <v>985</v>
      </c>
      <c r="DA195" s="15" t="s">
        <v>4352</v>
      </c>
      <c r="DB195" s="15" t="s">
        <v>455</v>
      </c>
      <c r="DC195" s="15" t="s">
        <v>4353</v>
      </c>
      <c r="DD195" s="15" t="s">
        <v>457</v>
      </c>
      <c r="DE195" s="15"/>
      <c r="DF195" s="15" t="s">
        <v>4354</v>
      </c>
      <c r="DG195" s="15" t="s">
        <v>561</v>
      </c>
      <c r="DH195" s="15" t="s">
        <v>1964</v>
      </c>
      <c r="DI195" s="15" t="s">
        <v>459</v>
      </c>
      <c r="DJ195" s="15" t="s">
        <v>562</v>
      </c>
      <c r="DK195" s="15" t="s">
        <v>461</v>
      </c>
      <c r="DL195" s="15"/>
      <c r="DM195" s="15"/>
      <c r="DN195" s="15"/>
      <c r="DO195" s="15"/>
      <c r="DP195" s="15"/>
      <c r="DQ195" s="15"/>
      <c r="DR195" s="15"/>
      <c r="DS195" s="15"/>
      <c r="DT195" s="15"/>
      <c r="DU195" s="15"/>
      <c r="DV195" s="15"/>
      <c r="DW195" s="15"/>
      <c r="DX195" s="15"/>
      <c r="DY195" s="15"/>
      <c r="DZ195" s="15"/>
      <c r="EA195" s="15"/>
      <c r="EB195" s="15"/>
      <c r="EC195" s="15"/>
      <c r="ED195" s="15"/>
      <c r="EE195" s="15"/>
      <c r="EF195" s="15"/>
      <c r="EG195" s="15"/>
      <c r="EH195" s="15"/>
      <c r="EI195" s="15"/>
      <c r="EJ195" s="15"/>
      <c r="EK195" s="15"/>
      <c r="EL195" s="15"/>
      <c r="EM195" s="15"/>
      <c r="EN195" s="15"/>
      <c r="EO195" s="15"/>
      <c r="EP195" s="15"/>
      <c r="EQ195" s="15"/>
      <c r="ER195" s="15"/>
      <c r="ES195" s="15"/>
      <c r="ET195" s="15" t="s">
        <v>526</v>
      </c>
      <c r="EU195" s="15" t="s">
        <v>887</v>
      </c>
      <c r="EV195" s="15" t="s">
        <v>480</v>
      </c>
      <c r="EW195" s="15"/>
      <c r="EX195" s="15" t="s">
        <v>4355</v>
      </c>
      <c r="EY195" s="15" t="s">
        <v>4356</v>
      </c>
      <c r="EZ195" s="15" t="s">
        <v>414</v>
      </c>
      <c r="FA195" s="15" t="s">
        <v>583</v>
      </c>
      <c r="FB195" s="15" t="s">
        <v>413</v>
      </c>
      <c r="FC195" s="15" t="s">
        <v>583</v>
      </c>
      <c r="FD195" s="15" t="s">
        <v>413</v>
      </c>
      <c r="FE195" s="15" t="s">
        <v>415</v>
      </c>
      <c r="FF195" s="15" t="s">
        <v>415</v>
      </c>
      <c r="FG195" s="15" t="s">
        <v>416</v>
      </c>
      <c r="FH195" s="15" t="s">
        <v>583</v>
      </c>
      <c r="FI195" s="15" t="s">
        <v>415</v>
      </c>
      <c r="FJ195" s="15" t="s">
        <v>414</v>
      </c>
      <c r="FK195" s="15" t="s">
        <v>416</v>
      </c>
      <c r="FL195" s="15" t="s">
        <v>415</v>
      </c>
      <c r="FM195" s="15" t="s">
        <v>413</v>
      </c>
      <c r="FN195" s="15" t="s">
        <v>583</v>
      </c>
      <c r="FO195" s="15" t="s">
        <v>485</v>
      </c>
      <c r="FP195" s="15" t="s">
        <v>418</v>
      </c>
      <c r="FQ195" s="15" t="s">
        <v>419</v>
      </c>
      <c r="FR195" s="15" t="s">
        <v>4357</v>
      </c>
      <c r="FS195" s="15" t="s">
        <v>420</v>
      </c>
      <c r="FT195" s="15" t="s">
        <v>488</v>
      </c>
      <c r="FU195" s="15" t="s">
        <v>918</v>
      </c>
      <c r="FV195" s="15" t="s">
        <v>490</v>
      </c>
      <c r="FW195" s="15" t="s">
        <v>491</v>
      </c>
      <c r="FX195" s="15" t="s">
        <v>4358</v>
      </c>
      <c r="FY195" s="15" t="s">
        <v>535</v>
      </c>
      <c r="FZ195" s="15" t="s">
        <v>4359</v>
      </c>
      <c r="GA195" s="15"/>
      <c r="GB195" s="15" t="s">
        <v>455</v>
      </c>
      <c r="GC195" s="15"/>
      <c r="GD195" s="15"/>
      <c r="GE195" s="15" t="s">
        <v>753</v>
      </c>
      <c r="GF195" s="15" t="s">
        <v>4360</v>
      </c>
      <c r="GG195" s="15" t="s">
        <v>1000</v>
      </c>
      <c r="GH195" s="15" t="s">
        <v>755</v>
      </c>
      <c r="GI195" s="15" t="s">
        <v>817</v>
      </c>
      <c r="GJ195" s="15"/>
      <c r="GK195" s="15"/>
      <c r="GL195" s="15"/>
      <c r="GM195" s="15"/>
      <c r="GN195" s="15"/>
      <c r="GO195" s="15"/>
      <c r="GP195" s="15" t="s">
        <v>387</v>
      </c>
      <c r="GQ195" s="15" t="s">
        <v>3208</v>
      </c>
      <c r="GR195" s="15"/>
      <c r="GS195" s="15"/>
      <c r="GT195" s="15"/>
      <c r="GU195" s="15"/>
      <c r="GV195" s="15"/>
      <c r="GW195" s="15"/>
      <c r="GX195" s="15"/>
      <c r="GY195" s="15"/>
      <c r="GZ195" s="15"/>
      <c r="HA195" s="15"/>
      <c r="HB195" s="15"/>
      <c r="HC195" s="15"/>
      <c r="HD195" s="15"/>
      <c r="HE195" s="15"/>
      <c r="HF195" s="15"/>
      <c r="HG195" s="15"/>
      <c r="HH195" s="15"/>
      <c r="HI195" s="15"/>
      <c r="HJ195" s="15"/>
      <c r="HK195" s="15"/>
      <c r="HL195" s="15"/>
      <c r="HM195" s="15"/>
      <c r="HN195" s="15"/>
      <c r="HO195" s="15"/>
      <c r="HP195" s="31"/>
      <c r="MX195" s="29" t="s">
        <v>10402</v>
      </c>
      <c r="MY195" s="29" t="str">
        <f>IFERROR(__xludf.DUMMYFUNCTION("""COMPUTED_VALUE"""),"Nebraska")</f>
        <v>Nebraska</v>
      </c>
    </row>
    <row r="196" ht="16.5" customHeight="1">
      <c r="A196" s="30">
        <v>45835.8895909375</v>
      </c>
      <c r="B196" s="15" t="s">
        <v>368</v>
      </c>
      <c r="C196" s="15" t="s">
        <v>370</v>
      </c>
      <c r="D196" s="15" t="s">
        <v>370</v>
      </c>
      <c r="E196" s="15" t="s">
        <v>1798</v>
      </c>
      <c r="F196" s="15" t="s">
        <v>4361</v>
      </c>
      <c r="G196" s="15" t="s">
        <v>1269</v>
      </c>
      <c r="H196" s="15" t="s">
        <v>373</v>
      </c>
      <c r="I196" s="15" t="s">
        <v>374</v>
      </c>
      <c r="J196" s="15" t="s">
        <v>425</v>
      </c>
      <c r="K196" s="15" t="s">
        <v>376</v>
      </c>
      <c r="L196" s="15" t="s">
        <v>379</v>
      </c>
      <c r="M196" s="15" t="s">
        <v>2464</v>
      </c>
      <c r="N196" s="15" t="s">
        <v>591</v>
      </c>
      <c r="O196" s="15" t="s">
        <v>640</v>
      </c>
      <c r="P196" s="15" t="s">
        <v>498</v>
      </c>
      <c r="Q196" s="15" t="s">
        <v>382</v>
      </c>
      <c r="R196" s="15" t="s">
        <v>500</v>
      </c>
      <c r="S196" s="15" t="s">
        <v>384</v>
      </c>
      <c r="T196" s="15" t="s">
        <v>385</v>
      </c>
      <c r="U196" s="15"/>
      <c r="V196" s="15"/>
      <c r="W196" s="15" t="s">
        <v>3231</v>
      </c>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t="s">
        <v>1242</v>
      </c>
      <c r="AW196" s="15" t="s">
        <v>675</v>
      </c>
      <c r="AX196" s="15" t="s">
        <v>675</v>
      </c>
      <c r="AY196" s="15" t="s">
        <v>675</v>
      </c>
      <c r="AZ196" s="15" t="s">
        <v>675</v>
      </c>
      <c r="BA196" s="15" t="s">
        <v>675</v>
      </c>
      <c r="BB196" s="15" t="s">
        <v>675</v>
      </c>
      <c r="BC196" s="15" t="s">
        <v>4362</v>
      </c>
      <c r="BD196" s="15" t="s">
        <v>4363</v>
      </c>
      <c r="BE196" s="15" t="s">
        <v>2379</v>
      </c>
      <c r="BF196" s="15" t="s">
        <v>1095</v>
      </c>
      <c r="BG196" s="15" t="s">
        <v>725</v>
      </c>
      <c r="BH196" s="15" t="s">
        <v>4364</v>
      </c>
      <c r="BI196" s="15" t="s">
        <v>976</v>
      </c>
      <c r="BJ196" s="15"/>
      <c r="BK196" s="15" t="s">
        <v>395</v>
      </c>
      <c r="BL196" s="15" t="s">
        <v>904</v>
      </c>
      <c r="BM196" s="15" t="s">
        <v>1314</v>
      </c>
      <c r="BN196" s="15" t="s">
        <v>398</v>
      </c>
      <c r="BO196" s="15" t="s">
        <v>4365</v>
      </c>
      <c r="BP196" s="15" t="s">
        <v>4366</v>
      </c>
      <c r="BQ196" s="15" t="s">
        <v>401</v>
      </c>
      <c r="BR196" s="15" t="s">
        <v>4367</v>
      </c>
      <c r="BS196" s="15" t="s">
        <v>1671</v>
      </c>
      <c r="BT196" s="15" t="s">
        <v>4368</v>
      </c>
      <c r="BU196" s="15" t="s">
        <v>405</v>
      </c>
      <c r="BV196" s="15"/>
      <c r="BW196" s="15" t="s">
        <v>988</v>
      </c>
      <c r="BX196" s="15"/>
      <c r="BY196" s="15" t="s">
        <v>408</v>
      </c>
      <c r="BZ196" s="15"/>
      <c r="CA196" s="15" t="s">
        <v>4369</v>
      </c>
      <c r="CB196" s="15" t="s">
        <v>4370</v>
      </c>
      <c r="CC196" s="15" t="s">
        <v>4371</v>
      </c>
      <c r="CD196" s="15" t="s">
        <v>1257</v>
      </c>
      <c r="CE196" s="15"/>
      <c r="CF196" s="15" t="s">
        <v>1722</v>
      </c>
      <c r="CG196" s="15" t="s">
        <v>4372</v>
      </c>
      <c r="CH196" s="15" t="s">
        <v>1259</v>
      </c>
      <c r="CI196" s="15" t="s">
        <v>410</v>
      </c>
      <c r="CJ196" s="15" t="s">
        <v>4373</v>
      </c>
      <c r="CK196" s="15" t="s">
        <v>4374</v>
      </c>
      <c r="CL196" s="15"/>
      <c r="CM196" s="15"/>
      <c r="CN196" s="15"/>
      <c r="CO196" s="15"/>
      <c r="CP196" s="15"/>
      <c r="CQ196" s="15"/>
      <c r="CR196" s="15"/>
      <c r="CS196" s="15"/>
      <c r="CT196" s="15"/>
      <c r="CU196" s="15"/>
      <c r="CV196" s="15"/>
      <c r="CW196" s="15"/>
      <c r="CX196" s="15"/>
      <c r="CY196" s="15"/>
      <c r="CZ196" s="15"/>
      <c r="DA196" s="15"/>
      <c r="DB196" s="15"/>
      <c r="DC196" s="15"/>
      <c r="DD196" s="15"/>
      <c r="DE196" s="15"/>
      <c r="DF196" s="15"/>
      <c r="DG196" s="15"/>
      <c r="DH196" s="15"/>
      <c r="DI196" s="15"/>
      <c r="DJ196" s="15"/>
      <c r="DK196" s="15"/>
      <c r="DL196" s="15"/>
      <c r="DM196" s="15"/>
      <c r="DN196" s="15"/>
      <c r="DO196" s="15"/>
      <c r="DP196" s="15"/>
      <c r="DQ196" s="15"/>
      <c r="DR196" s="15"/>
      <c r="DS196" s="15"/>
      <c r="DT196" s="15"/>
      <c r="DU196" s="15"/>
      <c r="DV196" s="15"/>
      <c r="DW196" s="15"/>
      <c r="DX196" s="15"/>
      <c r="DY196" s="15"/>
      <c r="DZ196" s="15"/>
      <c r="EA196" s="15"/>
      <c r="EB196" s="15"/>
      <c r="EC196" s="15"/>
      <c r="ED196" s="15"/>
      <c r="EE196" s="15"/>
      <c r="EF196" s="15"/>
      <c r="EG196" s="15"/>
      <c r="EH196" s="15"/>
      <c r="EI196" s="15"/>
      <c r="EJ196" s="15"/>
      <c r="EK196" s="15"/>
      <c r="EL196" s="15"/>
      <c r="EM196" s="15"/>
      <c r="EN196" s="15"/>
      <c r="EO196" s="15"/>
      <c r="EP196" s="15"/>
      <c r="EQ196" s="15"/>
      <c r="ER196" s="15"/>
      <c r="ES196" s="15"/>
      <c r="ET196" s="15" t="s">
        <v>526</v>
      </c>
      <c r="EU196" s="15" t="s">
        <v>479</v>
      </c>
      <c r="EV196" s="15" t="s">
        <v>480</v>
      </c>
      <c r="EW196" s="15" t="s">
        <v>4375</v>
      </c>
      <c r="EX196" s="15" t="s">
        <v>4376</v>
      </c>
      <c r="EY196" s="15" t="s">
        <v>4377</v>
      </c>
      <c r="EZ196" s="15" t="s">
        <v>583</v>
      </c>
      <c r="FA196" s="15" t="s">
        <v>583</v>
      </c>
      <c r="FB196" s="15" t="s">
        <v>413</v>
      </c>
      <c r="FC196" s="15" t="s">
        <v>583</v>
      </c>
      <c r="FD196" s="15" t="s">
        <v>415</v>
      </c>
      <c r="FE196" s="15" t="s">
        <v>583</v>
      </c>
      <c r="FF196" s="15" t="s">
        <v>583</v>
      </c>
      <c r="FG196" s="15" t="s">
        <v>413</v>
      </c>
      <c r="FH196" s="15" t="s">
        <v>583</v>
      </c>
      <c r="FI196" s="15" t="s">
        <v>414</v>
      </c>
      <c r="FJ196" s="15" t="s">
        <v>414</v>
      </c>
      <c r="FK196" s="15" t="s">
        <v>415</v>
      </c>
      <c r="FL196" s="15" t="s">
        <v>415</v>
      </c>
      <c r="FM196" s="15" t="s">
        <v>413</v>
      </c>
      <c r="FN196" s="15" t="s">
        <v>583</v>
      </c>
      <c r="FO196" s="15" t="s">
        <v>417</v>
      </c>
      <c r="FP196" s="15" t="s">
        <v>418</v>
      </c>
      <c r="FQ196" s="15" t="s">
        <v>749</v>
      </c>
      <c r="FR196" s="15" t="s">
        <v>4378</v>
      </c>
      <c r="FS196" s="15" t="s">
        <v>420</v>
      </c>
      <c r="FT196" s="15" t="s">
        <v>488</v>
      </c>
      <c r="FU196" s="15" t="s">
        <v>489</v>
      </c>
      <c r="FV196" s="15" t="s">
        <v>490</v>
      </c>
      <c r="FW196" s="15" t="s">
        <v>491</v>
      </c>
      <c r="FX196" s="15" t="s">
        <v>4379</v>
      </c>
      <c r="FY196" s="15" t="s">
        <v>535</v>
      </c>
      <c r="FZ196" s="15" t="s">
        <v>4380</v>
      </c>
      <c r="GA196" s="15" t="s">
        <v>4381</v>
      </c>
      <c r="GB196" s="15" t="s">
        <v>455</v>
      </c>
      <c r="GC196" s="15"/>
      <c r="GD196" s="15"/>
      <c r="GE196" s="15" t="s">
        <v>1339</v>
      </c>
      <c r="GF196" s="15" t="s">
        <v>4382</v>
      </c>
      <c r="GG196" s="15"/>
      <c r="GH196" s="15"/>
      <c r="GI196" s="15"/>
      <c r="GJ196" s="15" t="s">
        <v>755</v>
      </c>
      <c r="GK196" s="15" t="s">
        <v>755</v>
      </c>
      <c r="GL196" s="15" t="s">
        <v>946</v>
      </c>
      <c r="GM196" s="15"/>
      <c r="GN196" s="15"/>
      <c r="GO196" s="15"/>
      <c r="GP196" s="15" t="s">
        <v>387</v>
      </c>
      <c r="GQ196" s="15" t="s">
        <v>3208</v>
      </c>
      <c r="GR196" s="15"/>
      <c r="GS196" s="15"/>
      <c r="GT196" s="15"/>
      <c r="GU196" s="15"/>
      <c r="GV196" s="15"/>
      <c r="GW196" s="15"/>
      <c r="GX196" s="15"/>
      <c r="GY196" s="15"/>
      <c r="GZ196" s="15"/>
      <c r="HA196" s="15"/>
      <c r="HB196" s="15"/>
      <c r="HC196" s="15"/>
      <c r="HD196" s="15"/>
      <c r="HE196" s="15"/>
      <c r="HF196" s="15"/>
      <c r="HG196" s="15"/>
      <c r="HH196" s="15"/>
      <c r="HI196" s="15"/>
      <c r="HJ196" s="15"/>
      <c r="HK196" s="15"/>
      <c r="HL196" s="15"/>
      <c r="HM196" s="15"/>
      <c r="HN196" s="15"/>
      <c r="HO196" s="15"/>
      <c r="HP196" s="31"/>
      <c r="MX196" s="29" t="s">
        <v>10402</v>
      </c>
      <c r="MY196" s="29" t="str">
        <f>IFERROR(__xludf.DUMMYFUNCTION("""COMPUTED_VALUE"""),"North Carolina")</f>
        <v>North Carolina</v>
      </c>
    </row>
    <row r="197" ht="16.5" customHeight="1">
      <c r="A197" s="30">
        <v>45836.08061851852</v>
      </c>
      <c r="B197" s="15" t="s">
        <v>368</v>
      </c>
      <c r="C197" s="15" t="s">
        <v>370</v>
      </c>
      <c r="D197" s="15" t="s">
        <v>370</v>
      </c>
      <c r="E197" s="15" t="s">
        <v>3955</v>
      </c>
      <c r="F197" s="15" t="s">
        <v>2620</v>
      </c>
      <c r="G197" s="15" t="s">
        <v>1102</v>
      </c>
      <c r="H197" s="15" t="s">
        <v>373</v>
      </c>
      <c r="I197" s="15" t="s">
        <v>374</v>
      </c>
      <c r="J197" s="15" t="s">
        <v>590</v>
      </c>
      <c r="K197" s="15" t="s">
        <v>376</v>
      </c>
      <c r="L197" s="15" t="s">
        <v>379</v>
      </c>
      <c r="M197" s="15" t="s">
        <v>640</v>
      </c>
      <c r="N197" s="15" t="s">
        <v>379</v>
      </c>
      <c r="O197" s="15" t="s">
        <v>640</v>
      </c>
      <c r="P197" s="15" t="s">
        <v>592</v>
      </c>
      <c r="Q197" s="15" t="s">
        <v>382</v>
      </c>
      <c r="R197" s="15" t="s">
        <v>1704</v>
      </c>
      <c r="S197" s="15" t="s">
        <v>4383</v>
      </c>
      <c r="T197" s="15" t="s">
        <v>385</v>
      </c>
      <c r="U197" s="15"/>
      <c r="V197" s="15"/>
      <c r="W197" s="15" t="s">
        <v>3014</v>
      </c>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t="s">
        <v>597</v>
      </c>
      <c r="AW197" s="15" t="s">
        <v>391</v>
      </c>
      <c r="AX197" s="15">
        <v>2.0</v>
      </c>
      <c r="AY197" s="15" t="s">
        <v>429</v>
      </c>
      <c r="AZ197" s="15">
        <v>2.0</v>
      </c>
      <c r="BA197" s="15">
        <v>4.0</v>
      </c>
      <c r="BB197" s="15" t="s">
        <v>391</v>
      </c>
      <c r="BC197" s="15" t="s">
        <v>4384</v>
      </c>
      <c r="BD197" s="15" t="s">
        <v>4385</v>
      </c>
      <c r="BE197" s="15" t="s">
        <v>432</v>
      </c>
      <c r="BF197" s="15" t="s">
        <v>433</v>
      </c>
      <c r="BG197" s="15" t="s">
        <v>765</v>
      </c>
      <c r="BH197" s="15"/>
      <c r="BI197" s="15" t="s">
        <v>824</v>
      </c>
      <c r="BJ197" s="15"/>
      <c r="BK197" s="15" t="s">
        <v>437</v>
      </c>
      <c r="BL197" s="15" t="s">
        <v>396</v>
      </c>
      <c r="BM197" s="15" t="s">
        <v>549</v>
      </c>
      <c r="BN197" s="15" t="s">
        <v>440</v>
      </c>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t="s">
        <v>441</v>
      </c>
      <c r="CM197" s="15" t="s">
        <v>401</v>
      </c>
      <c r="CN197" s="15" t="s">
        <v>4386</v>
      </c>
      <c r="CO197" s="15" t="s">
        <v>4387</v>
      </c>
      <c r="CP197" s="15" t="s">
        <v>403</v>
      </c>
      <c r="CQ197" s="15" t="s">
        <v>4388</v>
      </c>
      <c r="CR197" s="15" t="s">
        <v>804</v>
      </c>
      <c r="CS197" s="15" t="s">
        <v>4389</v>
      </c>
      <c r="CT197" s="15" t="s">
        <v>4390</v>
      </c>
      <c r="CU197" s="15" t="s">
        <v>450</v>
      </c>
      <c r="CV197" s="15" t="s">
        <v>409</v>
      </c>
      <c r="CW197" s="15" t="s">
        <v>4391</v>
      </c>
      <c r="CX197" s="15" t="s">
        <v>733</v>
      </c>
      <c r="CY197" s="15"/>
      <c r="CZ197" s="15" t="s">
        <v>985</v>
      </c>
      <c r="DA197" s="15" t="s">
        <v>4392</v>
      </c>
      <c r="DB197" s="15" t="s">
        <v>913</v>
      </c>
      <c r="DC197" s="15"/>
      <c r="DD197" s="15" t="s">
        <v>988</v>
      </c>
      <c r="DE197" s="15"/>
      <c r="DF197" s="15" t="s">
        <v>4393</v>
      </c>
      <c r="DG197" s="15" t="s">
        <v>524</v>
      </c>
      <c r="DH197" s="15" t="s">
        <v>1964</v>
      </c>
      <c r="DI197" s="15" t="s">
        <v>459</v>
      </c>
      <c r="DJ197" s="15" t="s">
        <v>460</v>
      </c>
      <c r="DK197" s="15" t="s">
        <v>1434</v>
      </c>
      <c r="DL197" s="15"/>
      <c r="DM197" s="15" t="s">
        <v>4394</v>
      </c>
      <c r="DN197" s="15" t="s">
        <v>4395</v>
      </c>
      <c r="DO197" s="15" t="s">
        <v>567</v>
      </c>
      <c r="DP197" s="15" t="s">
        <v>4396</v>
      </c>
      <c r="DQ197" s="15" t="s">
        <v>837</v>
      </c>
      <c r="DR197" s="15" t="s">
        <v>4397</v>
      </c>
      <c r="DS197" s="15" t="s">
        <v>618</v>
      </c>
      <c r="DT197" s="15" t="s">
        <v>570</v>
      </c>
      <c r="DU197" s="15" t="s">
        <v>4398</v>
      </c>
      <c r="DV197" s="15" t="s">
        <v>4399</v>
      </c>
      <c r="DW197" s="15" t="s">
        <v>622</v>
      </c>
      <c r="DX197" s="15" t="s">
        <v>4400</v>
      </c>
      <c r="DY197" s="15" t="s">
        <v>4401</v>
      </c>
      <c r="DZ197" s="15" t="s">
        <v>4402</v>
      </c>
      <c r="EA197" s="15" t="s">
        <v>2960</v>
      </c>
      <c r="EB197" s="15" t="s">
        <v>1183</v>
      </c>
      <c r="EC197" s="15"/>
      <c r="ED197" s="15"/>
      <c r="EE197" s="15"/>
      <c r="EF197" s="15"/>
      <c r="EG197" s="15"/>
      <c r="EH197" s="15"/>
      <c r="EI197" s="15"/>
      <c r="EJ197" s="15"/>
      <c r="EK197" s="15"/>
      <c r="EL197" s="15"/>
      <c r="EM197" s="15"/>
      <c r="EN197" s="15"/>
      <c r="EO197" s="15"/>
      <c r="EP197" s="15"/>
      <c r="EQ197" s="15"/>
      <c r="ER197" s="15"/>
      <c r="ES197" s="15"/>
      <c r="ET197" s="15" t="s">
        <v>2747</v>
      </c>
      <c r="EU197" s="15" t="s">
        <v>1037</v>
      </c>
      <c r="EV197" s="15" t="s">
        <v>480</v>
      </c>
      <c r="EW197" s="15"/>
      <c r="EX197" s="15" t="s">
        <v>4403</v>
      </c>
      <c r="EY197" s="15" t="s">
        <v>4404</v>
      </c>
      <c r="EZ197" s="15" t="s">
        <v>414</v>
      </c>
      <c r="FA197" s="15" t="s">
        <v>583</v>
      </c>
      <c r="FB197" s="15" t="s">
        <v>414</v>
      </c>
      <c r="FC197" s="15" t="s">
        <v>414</v>
      </c>
      <c r="FD197" s="15" t="s">
        <v>484</v>
      </c>
      <c r="FE197" s="15" t="s">
        <v>414</v>
      </c>
      <c r="FF197" s="15" t="s">
        <v>484</v>
      </c>
      <c r="FG197" s="15" t="s">
        <v>484</v>
      </c>
      <c r="FH197" s="15" t="s">
        <v>484</v>
      </c>
      <c r="FI197" s="15" t="s">
        <v>414</v>
      </c>
      <c r="FJ197" s="15" t="s">
        <v>583</v>
      </c>
      <c r="FK197" s="15" t="s">
        <v>484</v>
      </c>
      <c r="FL197" s="15" t="s">
        <v>484</v>
      </c>
      <c r="FM197" s="15" t="s">
        <v>484</v>
      </c>
      <c r="FN197" s="15" t="s">
        <v>484</v>
      </c>
      <c r="FO197" s="15" t="s">
        <v>417</v>
      </c>
      <c r="FP197" s="15" t="s">
        <v>2524</v>
      </c>
      <c r="FQ197" s="15" t="s">
        <v>630</v>
      </c>
      <c r="FR197" s="15" t="s">
        <v>4405</v>
      </c>
      <c r="FS197" s="15" t="s">
        <v>995</v>
      </c>
      <c r="FT197" s="15" t="s">
        <v>488</v>
      </c>
      <c r="FU197" s="15" t="s">
        <v>489</v>
      </c>
      <c r="FV197" s="15" t="s">
        <v>490</v>
      </c>
      <c r="FW197" s="15" t="s">
        <v>491</v>
      </c>
      <c r="FX197" s="15" t="s">
        <v>4406</v>
      </c>
      <c r="FY197" s="15" t="s">
        <v>493</v>
      </c>
      <c r="FZ197" s="15"/>
      <c r="GA197" s="15"/>
      <c r="GB197" s="15" t="s">
        <v>408</v>
      </c>
      <c r="GC197" s="15"/>
      <c r="GD197" s="15"/>
      <c r="GE197" s="15"/>
      <c r="GF197" s="15"/>
      <c r="GG197" s="15" t="s">
        <v>789</v>
      </c>
      <c r="GH197" s="15" t="s">
        <v>789</v>
      </c>
      <c r="GI197" s="15" t="s">
        <v>790</v>
      </c>
      <c r="GJ197" s="15"/>
      <c r="GK197" s="15"/>
      <c r="GL197" s="15"/>
      <c r="GM197" s="15" t="s">
        <v>1079</v>
      </c>
      <c r="GN197" s="15"/>
      <c r="GO197" s="15"/>
      <c r="GP197" s="15"/>
      <c r="GQ197" s="15" t="s">
        <v>3208</v>
      </c>
      <c r="GR197" s="15"/>
      <c r="GS197" s="15"/>
      <c r="GT197" s="15"/>
      <c r="GU197" s="15"/>
      <c r="GV197" s="15"/>
      <c r="GW197" s="15"/>
      <c r="GX197" s="15"/>
      <c r="GY197" s="15"/>
      <c r="GZ197" s="15"/>
      <c r="HA197" s="15"/>
      <c r="HB197" s="15"/>
      <c r="HC197" s="15"/>
      <c r="HD197" s="15"/>
      <c r="HE197" s="15"/>
      <c r="HF197" s="15"/>
      <c r="HG197" s="15"/>
      <c r="HH197" s="15"/>
      <c r="HI197" s="15"/>
      <c r="HJ197" s="15"/>
      <c r="HK197" s="15"/>
      <c r="HL197" s="15"/>
      <c r="HM197" s="15"/>
      <c r="HN197" s="15"/>
      <c r="HO197" s="15"/>
      <c r="HP197" s="31"/>
      <c r="MX197" s="29" t="s">
        <v>894</v>
      </c>
      <c r="MY197" s="29" t="str">
        <f>IFERROR(__xludf.DUMMYFUNCTION("""COMPUTED_VALUE"""),"Ontario")</f>
        <v>Ontario</v>
      </c>
    </row>
    <row r="198" ht="16.5" customHeight="1">
      <c r="A198" s="30">
        <v>45836.20510865741</v>
      </c>
      <c r="B198" s="15" t="s">
        <v>368</v>
      </c>
      <c r="C198" s="15" t="s">
        <v>894</v>
      </c>
      <c r="D198" s="15" t="s">
        <v>894</v>
      </c>
      <c r="E198" s="15"/>
      <c r="F198" s="15"/>
      <c r="G198" s="15" t="s">
        <v>422</v>
      </c>
      <c r="H198" s="15" t="s">
        <v>539</v>
      </c>
      <c r="I198" s="15" t="s">
        <v>2578</v>
      </c>
      <c r="J198" s="15" t="s">
        <v>540</v>
      </c>
      <c r="K198" s="15" t="s">
        <v>376</v>
      </c>
      <c r="L198" s="15" t="s">
        <v>379</v>
      </c>
      <c r="M198" s="15" t="s">
        <v>378</v>
      </c>
      <c r="N198" s="15" t="s">
        <v>793</v>
      </c>
      <c r="O198" s="15" t="s">
        <v>719</v>
      </c>
      <c r="P198" s="15" t="s">
        <v>381</v>
      </c>
      <c r="Q198" s="15" t="s">
        <v>862</v>
      </c>
      <c r="R198" s="15" t="s">
        <v>500</v>
      </c>
      <c r="S198" s="15" t="s">
        <v>384</v>
      </c>
      <c r="T198" s="15" t="s">
        <v>385</v>
      </c>
      <c r="U198" s="15" t="s">
        <v>896</v>
      </c>
      <c r="V198" s="15" t="s">
        <v>4407</v>
      </c>
      <c r="W198" s="15" t="s">
        <v>593</v>
      </c>
      <c r="X198" s="15" t="s">
        <v>387</v>
      </c>
      <c r="Y198" s="15" t="s">
        <v>1824</v>
      </c>
      <c r="Z198" s="15" t="s">
        <v>543</v>
      </c>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t="s">
        <v>597</v>
      </c>
      <c r="AW198" s="15" t="s">
        <v>429</v>
      </c>
      <c r="AX198" s="15" t="s">
        <v>429</v>
      </c>
      <c r="AY198" s="15" t="s">
        <v>429</v>
      </c>
      <c r="AZ198" s="15" t="s">
        <v>429</v>
      </c>
      <c r="BA198" s="15" t="s">
        <v>429</v>
      </c>
      <c r="BB198" s="15" t="s">
        <v>429</v>
      </c>
      <c r="BC198" s="15" t="s">
        <v>1514</v>
      </c>
      <c r="BD198" s="15" t="s">
        <v>4408</v>
      </c>
      <c r="BE198" s="15" t="s">
        <v>392</v>
      </c>
      <c r="BF198" s="15" t="s">
        <v>433</v>
      </c>
      <c r="BG198" s="15" t="s">
        <v>725</v>
      </c>
      <c r="BH198" s="15"/>
      <c r="BI198" s="15" t="s">
        <v>435</v>
      </c>
      <c r="BJ198" s="15"/>
      <c r="BK198" s="15" t="s">
        <v>602</v>
      </c>
      <c r="BL198" s="15" t="s">
        <v>438</v>
      </c>
      <c r="BM198" s="15" t="s">
        <v>549</v>
      </c>
      <c r="BN198" s="15" t="s">
        <v>513</v>
      </c>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t="s">
        <v>2022</v>
      </c>
      <c r="CO198" s="15" t="s">
        <v>4409</v>
      </c>
      <c r="CP198" s="15" t="s">
        <v>979</v>
      </c>
      <c r="CQ198" s="15" t="s">
        <v>4410</v>
      </c>
      <c r="CR198" s="15" t="s">
        <v>804</v>
      </c>
      <c r="CS198" s="15" t="s">
        <v>4411</v>
      </c>
      <c r="CT198" s="15" t="s">
        <v>4412</v>
      </c>
      <c r="CU198" s="15" t="s">
        <v>519</v>
      </c>
      <c r="CV198" s="15" t="s">
        <v>451</v>
      </c>
      <c r="CW198" s="15" t="s">
        <v>2521</v>
      </c>
      <c r="CX198" s="15" t="s">
        <v>408</v>
      </c>
      <c r="CY198" s="15"/>
      <c r="CZ198" s="15" t="s">
        <v>985</v>
      </c>
      <c r="DA198" s="15" t="s">
        <v>4413</v>
      </c>
      <c r="DB198" s="15" t="s">
        <v>408</v>
      </c>
      <c r="DC198" s="15"/>
      <c r="DD198" s="15" t="s">
        <v>988</v>
      </c>
      <c r="DE198" s="15"/>
      <c r="DF198" s="15"/>
      <c r="DG198" s="15" t="s">
        <v>561</v>
      </c>
      <c r="DH198" s="15" t="s">
        <v>1220</v>
      </c>
      <c r="DI198" s="15" t="s">
        <v>459</v>
      </c>
      <c r="DJ198" s="15" t="s">
        <v>460</v>
      </c>
      <c r="DK198" s="15" t="s">
        <v>461</v>
      </c>
      <c r="DL198" s="15"/>
      <c r="DM198" s="15"/>
      <c r="DN198" s="15"/>
      <c r="DO198" s="15"/>
      <c r="DP198" s="15"/>
      <c r="DQ198" s="15"/>
      <c r="DR198" s="15"/>
      <c r="DS198" s="15"/>
      <c r="DT198" s="15"/>
      <c r="DU198" s="15"/>
      <c r="DV198" s="15"/>
      <c r="DW198" s="15"/>
      <c r="DX198" s="15"/>
      <c r="DY198" s="15"/>
      <c r="DZ198" s="15"/>
      <c r="EA198" s="15"/>
      <c r="EB198" s="15"/>
      <c r="EC198" s="15"/>
      <c r="ED198" s="15"/>
      <c r="EE198" s="15"/>
      <c r="EF198" s="15"/>
      <c r="EG198" s="15"/>
      <c r="EH198" s="15"/>
      <c r="EI198" s="15"/>
      <c r="EJ198" s="15"/>
      <c r="EK198" s="15"/>
      <c r="EL198" s="15"/>
      <c r="EM198" s="15"/>
      <c r="EN198" s="15"/>
      <c r="EO198" s="15"/>
      <c r="EP198" s="15"/>
      <c r="EQ198" s="15"/>
      <c r="ER198" s="15"/>
      <c r="ES198" s="15"/>
      <c r="ET198" s="15" t="s">
        <v>526</v>
      </c>
      <c r="EU198" s="15" t="s">
        <v>887</v>
      </c>
      <c r="EV198" s="15" t="s">
        <v>480</v>
      </c>
      <c r="EW198" s="15"/>
      <c r="EX198" s="15" t="s">
        <v>4414</v>
      </c>
      <c r="EY198" s="15" t="s">
        <v>4415</v>
      </c>
      <c r="EZ198" s="15" t="s">
        <v>583</v>
      </c>
      <c r="FA198" s="15" t="s">
        <v>583</v>
      </c>
      <c r="FB198" s="15" t="s">
        <v>414</v>
      </c>
      <c r="FC198" s="15" t="s">
        <v>583</v>
      </c>
      <c r="FD198" s="15" t="s">
        <v>413</v>
      </c>
      <c r="FE198" s="15" t="s">
        <v>583</v>
      </c>
      <c r="FF198" s="15" t="s">
        <v>583</v>
      </c>
      <c r="FG198" s="15" t="s">
        <v>583</v>
      </c>
      <c r="FH198" s="15" t="s">
        <v>413</v>
      </c>
      <c r="FI198" s="15" t="s">
        <v>583</v>
      </c>
      <c r="FJ198" s="15" t="s">
        <v>583</v>
      </c>
      <c r="FK198" s="15" t="s">
        <v>583</v>
      </c>
      <c r="FL198" s="15" t="s">
        <v>583</v>
      </c>
      <c r="FM198" s="15" t="s">
        <v>415</v>
      </c>
      <c r="FN198" s="15" t="s">
        <v>415</v>
      </c>
      <c r="FO198" s="15"/>
      <c r="FP198" s="15"/>
      <c r="FQ198" s="15" t="s">
        <v>419</v>
      </c>
      <c r="FR198" s="15" t="s">
        <v>4416</v>
      </c>
      <c r="FS198" s="15" t="s">
        <v>1076</v>
      </c>
      <c r="FT198" s="15" t="s">
        <v>488</v>
      </c>
      <c r="FU198" s="15" t="s">
        <v>489</v>
      </c>
      <c r="FV198" s="15" t="s">
        <v>490</v>
      </c>
      <c r="FW198" s="15" t="s">
        <v>491</v>
      </c>
      <c r="FX198" s="15" t="s">
        <v>4417</v>
      </c>
      <c r="FY198" s="15" t="s">
        <v>1337</v>
      </c>
      <c r="FZ198" s="15"/>
      <c r="GA198" s="15"/>
      <c r="GB198" s="15" t="s">
        <v>408</v>
      </c>
      <c r="GC198" s="15"/>
      <c r="GD198" s="15"/>
      <c r="GE198" s="15"/>
      <c r="GF198" s="15"/>
      <c r="GG198" s="15" t="s">
        <v>755</v>
      </c>
      <c r="GH198" s="15" t="s">
        <v>755</v>
      </c>
      <c r="GI198" s="15" t="s">
        <v>921</v>
      </c>
      <c r="GJ198" s="15"/>
      <c r="GK198" s="15"/>
      <c r="GL198" s="15"/>
      <c r="GM198" s="15"/>
      <c r="GN198" s="15"/>
      <c r="GO198" s="15"/>
      <c r="GP198" s="15"/>
      <c r="GQ198" s="15" t="s">
        <v>3208</v>
      </c>
      <c r="GR198" s="15"/>
      <c r="GS198" s="15"/>
      <c r="GT198" s="15"/>
      <c r="GU198" s="15"/>
      <c r="GV198" s="15"/>
      <c r="GW198" s="15"/>
      <c r="GX198" s="15"/>
      <c r="GY198" s="15"/>
      <c r="GZ198" s="15"/>
      <c r="HA198" s="15"/>
      <c r="HB198" s="15"/>
      <c r="HC198" s="15"/>
      <c r="HD198" s="15"/>
      <c r="HE198" s="15"/>
      <c r="HF198" s="15"/>
      <c r="HG198" s="15"/>
      <c r="HH198" s="15"/>
      <c r="HI198" s="15"/>
      <c r="HJ198" s="15"/>
      <c r="HK198" s="15"/>
      <c r="HL198" s="15"/>
      <c r="HM198" s="15"/>
      <c r="HN198" s="15"/>
      <c r="HO198" s="15"/>
      <c r="HP198" s="31"/>
      <c r="MX198" s="29" t="s">
        <v>894</v>
      </c>
      <c r="MY198" s="29" t="str">
        <f>IFERROR(__xludf.DUMMYFUNCTION("""COMPUTED_VALUE"""),"Quebec")</f>
        <v>Quebec</v>
      </c>
    </row>
    <row r="199" ht="16.5" customHeight="1">
      <c r="A199" s="30">
        <v>45836.34391229167</v>
      </c>
      <c r="B199" s="15" t="s">
        <v>368</v>
      </c>
      <c r="C199" s="15" t="s">
        <v>894</v>
      </c>
      <c r="D199" s="15" t="s">
        <v>370</v>
      </c>
      <c r="E199" s="15"/>
      <c r="F199" s="15" t="s">
        <v>371</v>
      </c>
      <c r="G199" s="15" t="s">
        <v>422</v>
      </c>
      <c r="H199" s="15" t="s">
        <v>373</v>
      </c>
      <c r="I199" s="15" t="s">
        <v>374</v>
      </c>
      <c r="J199" s="15" t="s">
        <v>718</v>
      </c>
      <c r="K199" s="15" t="s">
        <v>376</v>
      </c>
      <c r="L199" s="15" t="s">
        <v>591</v>
      </c>
      <c r="M199" s="15" t="s">
        <v>860</v>
      </c>
      <c r="N199" s="15" t="s">
        <v>379</v>
      </c>
      <c r="O199" s="15" t="s">
        <v>671</v>
      </c>
      <c r="P199" s="15" t="s">
        <v>592</v>
      </c>
      <c r="Q199" s="15" t="s">
        <v>382</v>
      </c>
      <c r="R199" s="15" t="s">
        <v>500</v>
      </c>
      <c r="S199" s="15" t="s">
        <v>384</v>
      </c>
      <c r="T199" s="15" t="s">
        <v>385</v>
      </c>
      <c r="U199" s="15" t="s">
        <v>1045</v>
      </c>
      <c r="V199" s="15"/>
      <c r="W199" s="15" t="s">
        <v>386</v>
      </c>
      <c r="X199" s="15" t="s">
        <v>387</v>
      </c>
      <c r="Y199" s="15" t="s">
        <v>388</v>
      </c>
      <c r="Z199" s="15" t="s">
        <v>543</v>
      </c>
      <c r="AA199" s="15" t="s">
        <v>4418</v>
      </c>
      <c r="AB199" s="15" t="s">
        <v>4419</v>
      </c>
      <c r="AC199" s="15"/>
      <c r="AD199" s="15"/>
      <c r="AE199" s="15"/>
      <c r="AF199" s="15"/>
      <c r="AG199" s="15"/>
      <c r="AH199" s="15"/>
      <c r="AI199" s="15"/>
      <c r="AJ199" s="15"/>
      <c r="AK199" s="15"/>
      <c r="AL199" s="15"/>
      <c r="AM199" s="15"/>
      <c r="AN199" s="15"/>
      <c r="AO199" s="15"/>
      <c r="AP199" s="15"/>
      <c r="AQ199" s="15"/>
      <c r="AR199" s="15"/>
      <c r="AS199" s="15"/>
      <c r="AT199" s="15"/>
      <c r="AU199" s="15"/>
      <c r="AV199" s="15" t="s">
        <v>1310</v>
      </c>
      <c r="AW199" s="15" t="s">
        <v>675</v>
      </c>
      <c r="AX199" s="15" t="s">
        <v>675</v>
      </c>
      <c r="AY199" s="15" t="s">
        <v>675</v>
      </c>
      <c r="AZ199" s="15" t="s">
        <v>675</v>
      </c>
      <c r="BA199" s="15" t="s">
        <v>675</v>
      </c>
      <c r="BB199" s="15" t="s">
        <v>675</v>
      </c>
      <c r="BC199" s="15"/>
      <c r="BD199" s="15" t="s">
        <v>4420</v>
      </c>
      <c r="BE199" s="15" t="s">
        <v>392</v>
      </c>
      <c r="BF199" s="15" t="s">
        <v>1095</v>
      </c>
      <c r="BG199" s="15" t="s">
        <v>394</v>
      </c>
      <c r="BH199" s="15" t="s">
        <v>4421</v>
      </c>
      <c r="BI199" s="15" t="s">
        <v>976</v>
      </c>
      <c r="BJ199" s="15" t="s">
        <v>4422</v>
      </c>
      <c r="BK199" s="15" t="s">
        <v>437</v>
      </c>
      <c r="BL199" s="15" t="s">
        <v>603</v>
      </c>
      <c r="BM199" s="15" t="s">
        <v>1247</v>
      </c>
      <c r="BN199" s="15" t="s">
        <v>398</v>
      </c>
      <c r="BO199" s="15" t="s">
        <v>4423</v>
      </c>
      <c r="BP199" s="15" t="s">
        <v>4424</v>
      </c>
      <c r="BQ199" s="15" t="s">
        <v>604</v>
      </c>
      <c r="BR199" s="15" t="s">
        <v>4425</v>
      </c>
      <c r="BS199" s="15" t="s">
        <v>1671</v>
      </c>
      <c r="BT199" s="15" t="s">
        <v>1994</v>
      </c>
      <c r="BU199" s="15" t="s">
        <v>405</v>
      </c>
      <c r="BV199" s="15" t="s">
        <v>4426</v>
      </c>
      <c r="BW199" s="15" t="s">
        <v>457</v>
      </c>
      <c r="BX199" s="15"/>
      <c r="BY199" s="15" t="s">
        <v>408</v>
      </c>
      <c r="BZ199" s="15"/>
      <c r="CA199" s="15" t="s">
        <v>4427</v>
      </c>
      <c r="CB199" s="15" t="s">
        <v>4428</v>
      </c>
      <c r="CC199" s="15" t="s">
        <v>4429</v>
      </c>
      <c r="CD199" s="15" t="s">
        <v>409</v>
      </c>
      <c r="CE199" s="15" t="s">
        <v>4430</v>
      </c>
      <c r="CF199" s="15" t="s">
        <v>1722</v>
      </c>
      <c r="CG199" s="15" t="s">
        <v>4431</v>
      </c>
      <c r="CH199" s="15" t="s">
        <v>1698</v>
      </c>
      <c r="CI199" s="15" t="s">
        <v>410</v>
      </c>
      <c r="CJ199" s="15" t="s">
        <v>4432</v>
      </c>
      <c r="CK199" s="15"/>
      <c r="CL199" s="15"/>
      <c r="CM199" s="15"/>
      <c r="CN199" s="15"/>
      <c r="CO199" s="15"/>
      <c r="CP199" s="15"/>
      <c r="CQ199" s="15"/>
      <c r="CR199" s="15"/>
      <c r="CS199" s="15"/>
      <c r="CT199" s="15"/>
      <c r="CU199" s="15"/>
      <c r="CV199" s="15"/>
      <c r="CW199" s="15"/>
      <c r="CX199" s="15"/>
      <c r="CY199" s="15"/>
      <c r="CZ199" s="15"/>
      <c r="DA199" s="15"/>
      <c r="DB199" s="15"/>
      <c r="DC199" s="15"/>
      <c r="DD199" s="15"/>
      <c r="DE199" s="15"/>
      <c r="DF199" s="15"/>
      <c r="DG199" s="15"/>
      <c r="DH199" s="15"/>
      <c r="DI199" s="15"/>
      <c r="DJ199" s="15"/>
      <c r="DK199" s="15"/>
      <c r="DL199" s="15"/>
      <c r="DM199" s="15"/>
      <c r="DN199" s="15"/>
      <c r="DO199" s="15"/>
      <c r="DP199" s="15"/>
      <c r="DQ199" s="15"/>
      <c r="DR199" s="15"/>
      <c r="DS199" s="15"/>
      <c r="DT199" s="15"/>
      <c r="DU199" s="15"/>
      <c r="DV199" s="15"/>
      <c r="DW199" s="15"/>
      <c r="DX199" s="15"/>
      <c r="DY199" s="15"/>
      <c r="DZ199" s="15"/>
      <c r="EA199" s="15"/>
      <c r="EB199" s="15"/>
      <c r="EC199" s="15"/>
      <c r="ED199" s="15"/>
      <c r="EE199" s="15"/>
      <c r="EF199" s="15"/>
      <c r="EG199" s="15"/>
      <c r="EH199" s="15"/>
      <c r="EI199" s="15"/>
      <c r="EJ199" s="15"/>
      <c r="EK199" s="15"/>
      <c r="EL199" s="15"/>
      <c r="EM199" s="15"/>
      <c r="EN199" s="15"/>
      <c r="EO199" s="15"/>
      <c r="EP199" s="15"/>
      <c r="EQ199" s="15"/>
      <c r="ER199" s="15"/>
      <c r="ES199" s="15"/>
      <c r="ET199" s="15" t="s">
        <v>578</v>
      </c>
      <c r="EU199" s="15" t="s">
        <v>579</v>
      </c>
      <c r="EV199" s="15" t="s">
        <v>1262</v>
      </c>
      <c r="EW199" s="15"/>
      <c r="EX199" s="15" t="s">
        <v>4433</v>
      </c>
      <c r="EY199" s="15" t="s">
        <v>4434</v>
      </c>
      <c r="EZ199" s="15" t="s">
        <v>415</v>
      </c>
      <c r="FA199" s="15" t="s">
        <v>583</v>
      </c>
      <c r="FB199" s="15" t="s">
        <v>413</v>
      </c>
      <c r="FC199" s="15" t="s">
        <v>416</v>
      </c>
      <c r="FD199" s="15" t="s">
        <v>413</v>
      </c>
      <c r="FE199" s="15" t="s">
        <v>484</v>
      </c>
      <c r="FF199" s="15" t="s">
        <v>415</v>
      </c>
      <c r="FG199" s="15" t="s">
        <v>413</v>
      </c>
      <c r="FH199" s="15" t="s">
        <v>414</v>
      </c>
      <c r="FI199" s="15" t="s">
        <v>416</v>
      </c>
      <c r="FJ199" s="15" t="s">
        <v>416</v>
      </c>
      <c r="FK199" s="15" t="s">
        <v>415</v>
      </c>
      <c r="FL199" s="15" t="s">
        <v>415</v>
      </c>
      <c r="FM199" s="15" t="s">
        <v>415</v>
      </c>
      <c r="FN199" s="15" t="s">
        <v>415</v>
      </c>
      <c r="FO199" s="15" t="s">
        <v>485</v>
      </c>
      <c r="FP199" s="15" t="s">
        <v>418</v>
      </c>
      <c r="FQ199" s="15" t="s">
        <v>531</v>
      </c>
      <c r="FR199" s="15"/>
      <c r="FS199" s="15" t="s">
        <v>420</v>
      </c>
      <c r="FT199" s="15" t="s">
        <v>488</v>
      </c>
      <c r="FU199" s="15" t="s">
        <v>533</v>
      </c>
      <c r="FV199" s="15" t="s">
        <v>490</v>
      </c>
      <c r="FW199" s="15" t="s">
        <v>491</v>
      </c>
      <c r="FX199" s="15" t="s">
        <v>4435</v>
      </c>
      <c r="FY199" s="15" t="s">
        <v>535</v>
      </c>
      <c r="FZ199" s="15" t="s">
        <v>4436</v>
      </c>
      <c r="GA199" s="15"/>
      <c r="GB199" s="15" t="s">
        <v>408</v>
      </c>
      <c r="GC199" s="15"/>
      <c r="GD199" s="15"/>
      <c r="GE199" s="15"/>
      <c r="GF199" s="15"/>
      <c r="GG199" s="15"/>
      <c r="GH199" s="15"/>
      <c r="GI199" s="15"/>
      <c r="GJ199" s="15" t="s">
        <v>755</v>
      </c>
      <c r="GK199" s="15" t="s">
        <v>755</v>
      </c>
      <c r="GL199" s="15" t="s">
        <v>817</v>
      </c>
      <c r="GM199" s="15"/>
      <c r="GN199" s="15"/>
      <c r="GO199" s="15"/>
      <c r="GP199" s="15"/>
      <c r="GQ199" s="15" t="s">
        <v>3208</v>
      </c>
      <c r="GR199" s="15"/>
      <c r="GS199" s="15"/>
      <c r="GT199" s="15"/>
      <c r="GU199" s="15"/>
      <c r="GV199" s="15"/>
      <c r="GW199" s="15"/>
      <c r="GX199" s="15"/>
      <c r="GY199" s="15"/>
      <c r="GZ199" s="15"/>
      <c r="HA199" s="15"/>
      <c r="HB199" s="15"/>
      <c r="HC199" s="15"/>
      <c r="HD199" s="15"/>
      <c r="HE199" s="15"/>
      <c r="HF199" s="15"/>
      <c r="HG199" s="15"/>
      <c r="HH199" s="15"/>
      <c r="HI199" s="15"/>
      <c r="HJ199" s="15"/>
      <c r="HK199" s="15"/>
      <c r="HL199" s="15"/>
      <c r="HM199" s="15"/>
      <c r="HN199" s="15"/>
      <c r="HO199" s="15"/>
      <c r="HP199" s="31"/>
      <c r="MX199" s="29" t="s">
        <v>894</v>
      </c>
      <c r="MY199" s="29" t="str">
        <f>IFERROR(__xludf.DUMMYFUNCTION("""COMPUTED_VALUE"""),"Alberta")</f>
        <v>Alberta</v>
      </c>
    </row>
    <row r="200" ht="16.5" customHeight="1">
      <c r="A200" s="30">
        <v>45836.46845483796</v>
      </c>
      <c r="B200" s="15" t="s">
        <v>368</v>
      </c>
      <c r="C200" s="15" t="s">
        <v>894</v>
      </c>
      <c r="D200" s="15" t="s">
        <v>894</v>
      </c>
      <c r="E200" s="15"/>
      <c r="F200" s="15"/>
      <c r="G200" s="15" t="s">
        <v>422</v>
      </c>
      <c r="H200" s="15" t="s">
        <v>373</v>
      </c>
      <c r="I200" s="15" t="s">
        <v>374</v>
      </c>
      <c r="J200" s="15" t="s">
        <v>425</v>
      </c>
      <c r="K200" s="15" t="s">
        <v>376</v>
      </c>
      <c r="L200" s="15" t="s">
        <v>670</v>
      </c>
      <c r="M200" s="15" t="s">
        <v>639</v>
      </c>
      <c r="N200" s="15" t="s">
        <v>670</v>
      </c>
      <c r="O200" s="15" t="s">
        <v>671</v>
      </c>
      <c r="P200" s="15" t="s">
        <v>592</v>
      </c>
      <c r="Q200" s="15" t="s">
        <v>862</v>
      </c>
      <c r="R200" s="15" t="s">
        <v>427</v>
      </c>
      <c r="S200" s="15" t="s">
        <v>384</v>
      </c>
      <c r="T200" s="15" t="s">
        <v>385</v>
      </c>
      <c r="U200" s="15" t="s">
        <v>1241</v>
      </c>
      <c r="V200" s="15" t="s">
        <v>1241</v>
      </c>
      <c r="W200" s="15" t="s">
        <v>3231</v>
      </c>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t="s">
        <v>1310</v>
      </c>
      <c r="AW200" s="15">
        <v>2.0</v>
      </c>
      <c r="AX200" s="15" t="s">
        <v>429</v>
      </c>
      <c r="AY200" s="15">
        <v>4.0</v>
      </c>
      <c r="AZ200" s="15">
        <v>4.0</v>
      </c>
      <c r="BA200" s="15">
        <v>4.0</v>
      </c>
      <c r="BB200" s="15" t="s">
        <v>391</v>
      </c>
      <c r="BC200" s="15"/>
      <c r="BD200" s="15"/>
      <c r="BE200" s="15" t="s">
        <v>432</v>
      </c>
      <c r="BF200" s="15" t="s">
        <v>433</v>
      </c>
      <c r="BG200" s="15" t="s">
        <v>394</v>
      </c>
      <c r="BH200" s="15"/>
      <c r="BI200" s="15" t="s">
        <v>824</v>
      </c>
      <c r="BJ200" s="15"/>
      <c r="BK200" s="15" t="s">
        <v>602</v>
      </c>
      <c r="BL200" s="15"/>
      <c r="BM200" s="15" t="s">
        <v>1247</v>
      </c>
      <c r="BN200" s="15" t="s">
        <v>440</v>
      </c>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t="s">
        <v>441</v>
      </c>
      <c r="CM200" s="15" t="s">
        <v>604</v>
      </c>
      <c r="CN200" s="15" t="s">
        <v>4437</v>
      </c>
      <c r="CO200" s="15" t="s">
        <v>4438</v>
      </c>
      <c r="CP200" s="15" t="s">
        <v>685</v>
      </c>
      <c r="CQ200" s="15" t="s">
        <v>1467</v>
      </c>
      <c r="CR200" s="15" t="s">
        <v>447</v>
      </c>
      <c r="CS200" s="15" t="s">
        <v>448</v>
      </c>
      <c r="CT200" s="15" t="s">
        <v>4439</v>
      </c>
      <c r="CU200" s="15" t="s">
        <v>1961</v>
      </c>
      <c r="CV200" s="15" t="s">
        <v>451</v>
      </c>
      <c r="CW200" s="15" t="s">
        <v>4440</v>
      </c>
      <c r="CX200" s="15" t="s">
        <v>408</v>
      </c>
      <c r="CY200" s="15"/>
      <c r="CZ200" s="15" t="s">
        <v>453</v>
      </c>
      <c r="DA200" s="15" t="s">
        <v>4441</v>
      </c>
      <c r="DB200" s="15" t="s">
        <v>408</v>
      </c>
      <c r="DC200" s="15"/>
      <c r="DD200" s="15" t="s">
        <v>988</v>
      </c>
      <c r="DE200" s="15"/>
      <c r="DF200" s="15" t="s">
        <v>4442</v>
      </c>
      <c r="DG200" s="15" t="s">
        <v>561</v>
      </c>
      <c r="DH200" s="15" t="s">
        <v>410</v>
      </c>
      <c r="DI200" s="15" t="s">
        <v>459</v>
      </c>
      <c r="DJ200" s="15" t="s">
        <v>460</v>
      </c>
      <c r="DK200" s="15" t="s">
        <v>461</v>
      </c>
      <c r="DL200" s="15"/>
      <c r="DM200" s="15" t="s">
        <v>4443</v>
      </c>
      <c r="DN200" s="15" t="s">
        <v>4444</v>
      </c>
      <c r="DO200" s="15" t="s">
        <v>464</v>
      </c>
      <c r="DP200" s="15" t="s">
        <v>4445</v>
      </c>
      <c r="DQ200" s="15" t="s">
        <v>1578</v>
      </c>
      <c r="DR200" s="15" t="s">
        <v>4446</v>
      </c>
      <c r="DS200" s="15" t="s">
        <v>839</v>
      </c>
      <c r="DT200" s="15" t="s">
        <v>619</v>
      </c>
      <c r="DU200" s="15" t="s">
        <v>4447</v>
      </c>
      <c r="DV200" s="15" t="s">
        <v>4448</v>
      </c>
      <c r="DW200" s="15" t="s">
        <v>573</v>
      </c>
      <c r="DX200" s="15" t="s">
        <v>4449</v>
      </c>
      <c r="DY200" s="15"/>
      <c r="DZ200" s="15" t="s">
        <v>4450</v>
      </c>
      <c r="EA200" s="15" t="s">
        <v>475</v>
      </c>
      <c r="EB200" s="15" t="s">
        <v>626</v>
      </c>
      <c r="EC200" s="15" t="s">
        <v>4451</v>
      </c>
      <c r="ED200" s="15"/>
      <c r="EE200" s="15"/>
      <c r="EF200" s="15"/>
      <c r="EG200" s="15"/>
      <c r="EH200" s="15"/>
      <c r="EI200" s="15"/>
      <c r="EJ200" s="15"/>
      <c r="EK200" s="15"/>
      <c r="EL200" s="15"/>
      <c r="EM200" s="15"/>
      <c r="EN200" s="15"/>
      <c r="EO200" s="15"/>
      <c r="EP200" s="15"/>
      <c r="EQ200" s="15"/>
      <c r="ER200" s="15"/>
      <c r="ES200" s="15"/>
      <c r="ET200" s="15" t="s">
        <v>526</v>
      </c>
      <c r="EU200" s="15" t="s">
        <v>479</v>
      </c>
      <c r="EV200" s="15" t="s">
        <v>480</v>
      </c>
      <c r="EW200" s="15"/>
      <c r="EX200" s="15" t="s">
        <v>4452</v>
      </c>
      <c r="EY200" s="15" t="s">
        <v>4453</v>
      </c>
      <c r="EZ200" s="15" t="s">
        <v>583</v>
      </c>
      <c r="FA200" s="15" t="s">
        <v>583</v>
      </c>
      <c r="FB200" s="15" t="s">
        <v>583</v>
      </c>
      <c r="FC200" s="15" t="s">
        <v>583</v>
      </c>
      <c r="FD200" s="15" t="s">
        <v>415</v>
      </c>
      <c r="FE200" s="15" t="s">
        <v>583</v>
      </c>
      <c r="FF200" s="15" t="s">
        <v>583</v>
      </c>
      <c r="FG200" s="15" t="s">
        <v>415</v>
      </c>
      <c r="FH200" s="15" t="s">
        <v>415</v>
      </c>
      <c r="FI200" s="15" t="s">
        <v>583</v>
      </c>
      <c r="FJ200" s="15" t="s">
        <v>583</v>
      </c>
      <c r="FK200" s="15" t="s">
        <v>415</v>
      </c>
      <c r="FL200" s="15" t="s">
        <v>415</v>
      </c>
      <c r="FM200" s="15" t="s">
        <v>413</v>
      </c>
      <c r="FN200" s="15" t="s">
        <v>415</v>
      </c>
      <c r="FO200" s="15" t="s">
        <v>417</v>
      </c>
      <c r="FP200" s="15" t="s">
        <v>418</v>
      </c>
      <c r="FQ200" s="15" t="s">
        <v>419</v>
      </c>
      <c r="FR200" s="15"/>
      <c r="FS200" s="15" t="s">
        <v>995</v>
      </c>
      <c r="FT200" s="15" t="s">
        <v>488</v>
      </c>
      <c r="FU200" s="15" t="s">
        <v>533</v>
      </c>
      <c r="FV200" s="15" t="s">
        <v>490</v>
      </c>
      <c r="FW200" s="15" t="s">
        <v>491</v>
      </c>
      <c r="FX200" s="15" t="s">
        <v>4454</v>
      </c>
      <c r="FY200" s="15" t="s">
        <v>535</v>
      </c>
      <c r="FZ200" s="15" t="s">
        <v>4455</v>
      </c>
      <c r="GA200" s="15"/>
      <c r="GB200" s="15" t="s">
        <v>455</v>
      </c>
      <c r="GC200" s="15"/>
      <c r="GD200" s="15"/>
      <c r="GE200" s="15" t="s">
        <v>753</v>
      </c>
      <c r="GF200" s="15" t="s">
        <v>4456</v>
      </c>
      <c r="GG200" s="15" t="s">
        <v>755</v>
      </c>
      <c r="GH200" s="15" t="s">
        <v>755</v>
      </c>
      <c r="GI200" s="15" t="s">
        <v>946</v>
      </c>
      <c r="GJ200" s="15"/>
      <c r="GK200" s="15"/>
      <c r="GL200" s="15"/>
      <c r="GM200" s="15" t="s">
        <v>1079</v>
      </c>
      <c r="GN200" s="15"/>
      <c r="GO200" s="15"/>
      <c r="GP200" s="15" t="s">
        <v>387</v>
      </c>
      <c r="GQ200" s="15" t="s">
        <v>3208</v>
      </c>
      <c r="GR200" s="15"/>
      <c r="GS200" s="15"/>
      <c r="GT200" s="15"/>
      <c r="GU200" s="15"/>
      <c r="GV200" s="15"/>
      <c r="GW200" s="15"/>
      <c r="GX200" s="15"/>
      <c r="GY200" s="15"/>
      <c r="GZ200" s="15"/>
      <c r="HA200" s="15"/>
      <c r="HB200" s="15"/>
      <c r="HC200" s="15"/>
      <c r="HD200" s="15"/>
      <c r="HE200" s="15"/>
      <c r="HF200" s="15"/>
      <c r="HG200" s="15"/>
      <c r="HH200" s="15"/>
      <c r="HI200" s="15"/>
      <c r="HJ200" s="15"/>
      <c r="HK200" s="15"/>
      <c r="HL200" s="15"/>
      <c r="HM200" s="15"/>
      <c r="HN200" s="15"/>
      <c r="HO200" s="15"/>
      <c r="HP200" s="31"/>
      <c r="MX200" s="29" t="s">
        <v>538</v>
      </c>
      <c r="MY200" s="29" t="str">
        <f>IFERROR(__xludf.DUMMYFUNCTION("""COMPUTED_VALUE"""),"United Kingdom")</f>
        <v>United Kingdom</v>
      </c>
    </row>
    <row r="201" ht="16.5" customHeight="1">
      <c r="A201" s="30">
        <v>45836.50647361111</v>
      </c>
      <c r="B201" s="15" t="s">
        <v>368</v>
      </c>
      <c r="C201" s="15" t="s">
        <v>538</v>
      </c>
      <c r="D201" s="15" t="s">
        <v>538</v>
      </c>
      <c r="E201" s="15"/>
      <c r="F201" s="15"/>
      <c r="G201" s="15" t="s">
        <v>422</v>
      </c>
      <c r="H201" s="15" t="s">
        <v>1921</v>
      </c>
      <c r="I201" s="15"/>
      <c r="J201" s="15" t="s">
        <v>425</v>
      </c>
      <c r="K201" s="15" t="s">
        <v>376</v>
      </c>
      <c r="L201" s="15" t="s">
        <v>426</v>
      </c>
      <c r="M201" s="15" t="s">
        <v>378</v>
      </c>
      <c r="N201" s="15" t="s">
        <v>426</v>
      </c>
      <c r="O201" s="15" t="s">
        <v>497</v>
      </c>
      <c r="P201" s="15" t="s">
        <v>498</v>
      </c>
      <c r="Q201" s="15" t="s">
        <v>499</v>
      </c>
      <c r="R201" s="15" t="s">
        <v>427</v>
      </c>
      <c r="S201" s="15" t="s">
        <v>384</v>
      </c>
      <c r="T201" s="15" t="s">
        <v>385</v>
      </c>
      <c r="U201" s="15"/>
      <c r="V201" s="15"/>
      <c r="W201" s="15" t="s">
        <v>3014</v>
      </c>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t="s">
        <v>390</v>
      </c>
      <c r="AW201" s="15" t="s">
        <v>391</v>
      </c>
      <c r="AX201" s="15">
        <v>2.0</v>
      </c>
      <c r="AY201" s="15">
        <v>2.0</v>
      </c>
      <c r="AZ201" s="15">
        <v>2.0</v>
      </c>
      <c r="BA201" s="15" t="s">
        <v>391</v>
      </c>
      <c r="BB201" s="15">
        <v>2.0</v>
      </c>
      <c r="BC201" s="15" t="s">
        <v>4457</v>
      </c>
      <c r="BD201" s="15" t="s">
        <v>4458</v>
      </c>
      <c r="BE201" s="15" t="s">
        <v>432</v>
      </c>
      <c r="BF201" s="15" t="s">
        <v>393</v>
      </c>
      <c r="BG201" s="15"/>
      <c r="BH201" s="15"/>
      <c r="BI201" s="15" t="s">
        <v>435</v>
      </c>
      <c r="BJ201" s="15" t="s">
        <v>4459</v>
      </c>
      <c r="BK201" s="15" t="s">
        <v>437</v>
      </c>
      <c r="BL201" s="15" t="s">
        <v>603</v>
      </c>
      <c r="BM201" s="15" t="s">
        <v>549</v>
      </c>
      <c r="BN201" s="15" t="s">
        <v>398</v>
      </c>
      <c r="BO201" s="15" t="s">
        <v>4460</v>
      </c>
      <c r="BP201" s="15" t="s">
        <v>4461</v>
      </c>
      <c r="BQ201" s="15" t="s">
        <v>401</v>
      </c>
      <c r="BR201" s="15" t="s">
        <v>4462</v>
      </c>
      <c r="BS201" s="15" t="s">
        <v>403</v>
      </c>
      <c r="BT201" s="15" t="s">
        <v>404</v>
      </c>
      <c r="BU201" s="15" t="s">
        <v>1772</v>
      </c>
      <c r="BV201" s="15" t="s">
        <v>4463</v>
      </c>
      <c r="BW201" s="15" t="s">
        <v>4464</v>
      </c>
      <c r="BX201" s="15"/>
      <c r="BY201" s="15"/>
      <c r="BZ201" s="15" t="s">
        <v>4465</v>
      </c>
      <c r="CA201" s="15" t="s">
        <v>4466</v>
      </c>
      <c r="CB201" s="15" t="s">
        <v>4467</v>
      </c>
      <c r="CC201" s="15" t="s">
        <v>4468</v>
      </c>
      <c r="CD201" s="15" t="s">
        <v>409</v>
      </c>
      <c r="CE201" s="15"/>
      <c r="CF201" s="15" t="s">
        <v>1258</v>
      </c>
      <c r="CG201" s="15"/>
      <c r="CH201" s="15" t="s">
        <v>1751</v>
      </c>
      <c r="CI201" s="15" t="s">
        <v>1220</v>
      </c>
      <c r="CJ201" s="15" t="s">
        <v>4469</v>
      </c>
      <c r="CK201" s="15" t="s">
        <v>4470</v>
      </c>
      <c r="CL201" s="15"/>
      <c r="CM201" s="15"/>
      <c r="CN201" s="15"/>
      <c r="CO201" s="15"/>
      <c r="CP201" s="15"/>
      <c r="CQ201" s="15"/>
      <c r="CR201" s="15"/>
      <c r="CS201" s="15"/>
      <c r="CT201" s="15"/>
      <c r="CU201" s="15"/>
      <c r="CV201" s="15"/>
      <c r="CW201" s="15"/>
      <c r="CX201" s="15"/>
      <c r="CY201" s="15"/>
      <c r="CZ201" s="15"/>
      <c r="DA201" s="15"/>
      <c r="DB201" s="15"/>
      <c r="DC201" s="15"/>
      <c r="DD201" s="15"/>
      <c r="DE201" s="15"/>
      <c r="DF201" s="15"/>
      <c r="DG201" s="15"/>
      <c r="DH201" s="15"/>
      <c r="DI201" s="15"/>
      <c r="DJ201" s="15"/>
      <c r="DK201" s="15"/>
      <c r="DL201" s="15"/>
      <c r="DM201" s="15"/>
      <c r="DN201" s="15"/>
      <c r="DO201" s="15"/>
      <c r="DP201" s="15"/>
      <c r="DQ201" s="15"/>
      <c r="DR201" s="15"/>
      <c r="DS201" s="15"/>
      <c r="DT201" s="15"/>
      <c r="DU201" s="15"/>
      <c r="DV201" s="15"/>
      <c r="DW201" s="15"/>
      <c r="DX201" s="15"/>
      <c r="DY201" s="15"/>
      <c r="DZ201" s="15"/>
      <c r="EA201" s="15"/>
      <c r="EB201" s="15"/>
      <c r="EC201" s="15"/>
      <c r="ED201" s="15"/>
      <c r="EE201" s="15"/>
      <c r="EF201" s="15"/>
      <c r="EG201" s="15"/>
      <c r="EH201" s="15"/>
      <c r="EI201" s="15"/>
      <c r="EJ201" s="15"/>
      <c r="EK201" s="15"/>
      <c r="EL201" s="15"/>
      <c r="EM201" s="15"/>
      <c r="EN201" s="15"/>
      <c r="EO201" s="15"/>
      <c r="EP201" s="15"/>
      <c r="EQ201" s="15"/>
      <c r="ER201" s="15"/>
      <c r="ES201" s="15"/>
      <c r="ET201" s="15" t="s">
        <v>478</v>
      </c>
      <c r="EU201" s="15"/>
      <c r="EV201" s="15" t="s">
        <v>1534</v>
      </c>
      <c r="EW201" s="15"/>
      <c r="EX201" s="15" t="s">
        <v>4471</v>
      </c>
      <c r="EY201" s="15" t="s">
        <v>4472</v>
      </c>
      <c r="EZ201" s="15" t="s">
        <v>416</v>
      </c>
      <c r="FA201" s="15" t="s">
        <v>416</v>
      </c>
      <c r="FB201" s="15" t="s">
        <v>413</v>
      </c>
      <c r="FC201" s="15" t="s">
        <v>415</v>
      </c>
      <c r="FD201" s="15" t="s">
        <v>413</v>
      </c>
      <c r="FE201" s="15" t="s">
        <v>415</v>
      </c>
      <c r="FF201" s="15" t="s">
        <v>415</v>
      </c>
      <c r="FG201" s="15" t="s">
        <v>415</v>
      </c>
      <c r="FH201" s="15" t="s">
        <v>414</v>
      </c>
      <c r="FI201" s="15" t="s">
        <v>416</v>
      </c>
      <c r="FJ201" s="15" t="s">
        <v>416</v>
      </c>
      <c r="FK201" s="15" t="s">
        <v>416</v>
      </c>
      <c r="FL201" s="15" t="s">
        <v>415</v>
      </c>
      <c r="FM201" s="15" t="s">
        <v>415</v>
      </c>
      <c r="FN201" s="15" t="s">
        <v>415</v>
      </c>
      <c r="FO201" s="15" t="s">
        <v>485</v>
      </c>
      <c r="FP201" s="15" t="s">
        <v>418</v>
      </c>
      <c r="FQ201" s="15"/>
      <c r="FR201" s="15" t="s">
        <v>4473</v>
      </c>
      <c r="FS201" s="15" t="s">
        <v>420</v>
      </c>
      <c r="FT201" s="15"/>
      <c r="FU201" s="15" t="s">
        <v>585</v>
      </c>
      <c r="FV201" s="15" t="s">
        <v>490</v>
      </c>
      <c r="FW201" s="15" t="s">
        <v>491</v>
      </c>
      <c r="FX201" s="15" t="s">
        <v>4474</v>
      </c>
      <c r="FY201" s="15" t="s">
        <v>493</v>
      </c>
      <c r="FZ201" s="15" t="s">
        <v>4475</v>
      </c>
      <c r="GA201" s="15" t="s">
        <v>4476</v>
      </c>
      <c r="GB201" s="15" t="s">
        <v>455</v>
      </c>
      <c r="GC201" s="15"/>
      <c r="GD201" s="15"/>
      <c r="GE201" s="15" t="s">
        <v>1420</v>
      </c>
      <c r="GF201" s="15" t="s">
        <v>4477</v>
      </c>
      <c r="GG201" s="15"/>
      <c r="GH201" s="15"/>
      <c r="GI201" s="15"/>
      <c r="GJ201" s="15" t="s">
        <v>920</v>
      </c>
      <c r="GK201" s="15" t="s">
        <v>920</v>
      </c>
      <c r="GL201" s="15" t="s">
        <v>858</v>
      </c>
      <c r="GM201" s="15"/>
      <c r="GN201" s="15" t="s">
        <v>4478</v>
      </c>
      <c r="GO201" s="15"/>
      <c r="GP201" s="15"/>
      <c r="GQ201" s="15" t="s">
        <v>4479</v>
      </c>
      <c r="GR201" s="15"/>
      <c r="GS201" s="15"/>
      <c r="GT201" s="15"/>
      <c r="GU201" s="15"/>
      <c r="GV201" s="15"/>
      <c r="GW201" s="15"/>
      <c r="GX201" s="15"/>
      <c r="GY201" s="15"/>
      <c r="GZ201" s="15"/>
      <c r="HA201" s="15"/>
      <c r="HB201" s="15"/>
      <c r="HC201" s="15"/>
      <c r="HD201" s="15"/>
      <c r="HE201" s="15"/>
      <c r="HF201" s="15"/>
      <c r="HG201" s="15"/>
      <c r="HH201" s="15"/>
      <c r="HI201" s="15"/>
      <c r="HJ201" s="15"/>
      <c r="HK201" s="15"/>
      <c r="HL201" s="15"/>
      <c r="HM201" s="15"/>
      <c r="HN201" s="15"/>
      <c r="HO201" s="15"/>
      <c r="HP201" s="31"/>
      <c r="MX201" s="29" t="s">
        <v>894</v>
      </c>
      <c r="MY201" s="29" t="str">
        <f>IFERROR(__xludf.DUMMYFUNCTION("""COMPUTED_VALUE"""),"Ontario")</f>
        <v>Ontario</v>
      </c>
    </row>
    <row r="202" ht="16.5" customHeight="1">
      <c r="A202" s="30">
        <v>45836.70248601852</v>
      </c>
      <c r="B202" s="15" t="s">
        <v>368</v>
      </c>
      <c r="C202" s="15" t="s">
        <v>894</v>
      </c>
      <c r="D202" s="15" t="s">
        <v>894</v>
      </c>
      <c r="E202" s="15"/>
      <c r="F202" s="15"/>
      <c r="G202" s="15" t="s">
        <v>422</v>
      </c>
      <c r="H202" s="15" t="s">
        <v>496</v>
      </c>
      <c r="I202" s="15" t="s">
        <v>374</v>
      </c>
      <c r="J202" s="15" t="s">
        <v>425</v>
      </c>
      <c r="K202" s="15" t="s">
        <v>376</v>
      </c>
      <c r="L202" s="15" t="s">
        <v>591</v>
      </c>
      <c r="M202" s="15" t="s">
        <v>541</v>
      </c>
      <c r="N202" s="15" t="s">
        <v>591</v>
      </c>
      <c r="O202" s="15" t="s">
        <v>719</v>
      </c>
      <c r="P202" s="15" t="s">
        <v>498</v>
      </c>
      <c r="Q202" s="15"/>
      <c r="R202" s="15" t="s">
        <v>949</v>
      </c>
      <c r="S202" s="15" t="s">
        <v>384</v>
      </c>
      <c r="T202" s="15" t="s">
        <v>385</v>
      </c>
      <c r="U202" s="15" t="s">
        <v>896</v>
      </c>
      <c r="V202" s="15" t="s">
        <v>896</v>
      </c>
      <c r="W202" s="15" t="s">
        <v>3231</v>
      </c>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t="s">
        <v>1905</v>
      </c>
      <c r="AW202" s="15">
        <v>4.0</v>
      </c>
      <c r="AX202" s="15" t="s">
        <v>391</v>
      </c>
      <c r="AY202" s="15" t="s">
        <v>391</v>
      </c>
      <c r="AZ202" s="15" t="s">
        <v>391</v>
      </c>
      <c r="BA202" s="15" t="s">
        <v>429</v>
      </c>
      <c r="BB202" s="15" t="s">
        <v>391</v>
      </c>
      <c r="BC202" s="15" t="s">
        <v>4480</v>
      </c>
      <c r="BD202" s="15" t="s">
        <v>4481</v>
      </c>
      <c r="BE202" s="15" t="s">
        <v>392</v>
      </c>
      <c r="BF202" s="15" t="s">
        <v>1095</v>
      </c>
      <c r="BG202" s="15" t="s">
        <v>678</v>
      </c>
      <c r="BH202" s="15" t="s">
        <v>4482</v>
      </c>
      <c r="BI202" s="15" t="s">
        <v>976</v>
      </c>
      <c r="BJ202" s="15" t="s">
        <v>4483</v>
      </c>
      <c r="BK202" s="15" t="s">
        <v>511</v>
      </c>
      <c r="BL202" s="15" t="s">
        <v>603</v>
      </c>
      <c r="BM202" s="15" t="s">
        <v>1276</v>
      </c>
      <c r="BN202" s="15" t="s">
        <v>513</v>
      </c>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t="s">
        <v>441</v>
      </c>
      <c r="CM202" s="15" t="s">
        <v>401</v>
      </c>
      <c r="CN202" s="15" t="s">
        <v>4484</v>
      </c>
      <c r="CO202" s="15" t="s">
        <v>4485</v>
      </c>
      <c r="CP202" s="15" t="s">
        <v>445</v>
      </c>
      <c r="CQ202" s="15" t="s">
        <v>4486</v>
      </c>
      <c r="CR202" s="15" t="s">
        <v>828</v>
      </c>
      <c r="CS202" s="15" t="s">
        <v>4487</v>
      </c>
      <c r="CT202" s="15" t="s">
        <v>4488</v>
      </c>
      <c r="CU202" s="15" t="s">
        <v>1852</v>
      </c>
      <c r="CV202" s="15" t="s">
        <v>409</v>
      </c>
      <c r="CW202" s="15" t="s">
        <v>4489</v>
      </c>
      <c r="CX202" s="15" t="s">
        <v>408</v>
      </c>
      <c r="CY202" s="15"/>
      <c r="CZ202" s="15" t="s">
        <v>1962</v>
      </c>
      <c r="DA202" s="15" t="s">
        <v>4490</v>
      </c>
      <c r="DB202" s="15" t="s">
        <v>913</v>
      </c>
      <c r="DC202" s="15" t="s">
        <v>4491</v>
      </c>
      <c r="DD202" s="15" t="s">
        <v>988</v>
      </c>
      <c r="DE202" s="15"/>
      <c r="DF202" s="15"/>
      <c r="DG202" s="15" t="s">
        <v>990</v>
      </c>
      <c r="DH202" s="15" t="s">
        <v>1964</v>
      </c>
      <c r="DI202" s="15" t="s">
        <v>459</v>
      </c>
      <c r="DJ202" s="15" t="s">
        <v>613</v>
      </c>
      <c r="DK202" s="15"/>
      <c r="DL202" s="15"/>
      <c r="DM202" s="15"/>
      <c r="DN202" s="15"/>
      <c r="DO202" s="15"/>
      <c r="DP202" s="15"/>
      <c r="DQ202" s="15"/>
      <c r="DR202" s="15"/>
      <c r="DS202" s="15"/>
      <c r="DT202" s="15"/>
      <c r="DU202" s="15"/>
      <c r="DV202" s="15"/>
      <c r="DW202" s="15"/>
      <c r="DX202" s="15"/>
      <c r="DY202" s="15"/>
      <c r="DZ202" s="15"/>
      <c r="EA202" s="15"/>
      <c r="EB202" s="15"/>
      <c r="EC202" s="15"/>
      <c r="ED202" s="15"/>
      <c r="EE202" s="15"/>
      <c r="EF202" s="15"/>
      <c r="EG202" s="15"/>
      <c r="EH202" s="15"/>
      <c r="EI202" s="15"/>
      <c r="EJ202" s="15"/>
      <c r="EK202" s="15"/>
      <c r="EL202" s="15"/>
      <c r="EM202" s="15"/>
      <c r="EN202" s="15"/>
      <c r="EO202" s="15"/>
      <c r="EP202" s="15"/>
      <c r="EQ202" s="15"/>
      <c r="ER202" s="15"/>
      <c r="ES202" s="15"/>
      <c r="ET202" s="15" t="s">
        <v>478</v>
      </c>
      <c r="EU202" s="15" t="s">
        <v>887</v>
      </c>
      <c r="EV202" s="15" t="s">
        <v>480</v>
      </c>
      <c r="EW202" s="15"/>
      <c r="EX202" s="15" t="s">
        <v>4492</v>
      </c>
      <c r="EY202" s="15" t="s">
        <v>4493</v>
      </c>
      <c r="EZ202" s="15" t="s">
        <v>583</v>
      </c>
      <c r="FA202" s="15" t="s">
        <v>583</v>
      </c>
      <c r="FB202" s="15" t="s">
        <v>583</v>
      </c>
      <c r="FC202" s="15" t="s">
        <v>583</v>
      </c>
      <c r="FD202" s="15" t="s">
        <v>414</v>
      </c>
      <c r="FE202" s="15" t="s">
        <v>414</v>
      </c>
      <c r="FF202" s="15" t="s">
        <v>583</v>
      </c>
      <c r="FG202" s="15" t="s">
        <v>414</v>
      </c>
      <c r="FH202" s="15" t="s">
        <v>484</v>
      </c>
      <c r="FI202" s="15" t="s">
        <v>414</v>
      </c>
      <c r="FJ202" s="15" t="s">
        <v>414</v>
      </c>
      <c r="FK202" s="15" t="s">
        <v>414</v>
      </c>
      <c r="FL202" s="15" t="s">
        <v>414</v>
      </c>
      <c r="FM202" s="15" t="s">
        <v>414</v>
      </c>
      <c r="FN202" s="15" t="s">
        <v>484</v>
      </c>
      <c r="FO202" s="15" t="s">
        <v>1074</v>
      </c>
      <c r="FP202" s="15" t="s">
        <v>3218</v>
      </c>
      <c r="FQ202" s="15" t="s">
        <v>419</v>
      </c>
      <c r="FR202" s="15" t="s">
        <v>4494</v>
      </c>
      <c r="FS202" s="15" t="s">
        <v>1871</v>
      </c>
      <c r="FT202" s="15" t="s">
        <v>2398</v>
      </c>
      <c r="FU202" s="15" t="s">
        <v>489</v>
      </c>
      <c r="FV202" s="15" t="s">
        <v>2399</v>
      </c>
      <c r="FW202" s="15" t="s">
        <v>1853</v>
      </c>
      <c r="FX202" s="15" t="s">
        <v>4495</v>
      </c>
      <c r="FY202" s="15" t="s">
        <v>1854</v>
      </c>
      <c r="FZ202" s="15" t="s">
        <v>4496</v>
      </c>
      <c r="GA202" s="15"/>
      <c r="GB202" s="15" t="s">
        <v>408</v>
      </c>
      <c r="GC202" s="15"/>
      <c r="GD202" s="15"/>
      <c r="GE202" s="15"/>
      <c r="GF202" s="15"/>
      <c r="GG202" s="15" t="s">
        <v>789</v>
      </c>
      <c r="GH202" s="15" t="s">
        <v>920</v>
      </c>
      <c r="GI202" s="15" t="s">
        <v>921</v>
      </c>
      <c r="GJ202" s="15"/>
      <c r="GK202" s="15"/>
      <c r="GL202" s="15"/>
      <c r="GM202" s="15"/>
      <c r="GN202" s="15"/>
      <c r="GO202" s="15"/>
      <c r="GP202" s="15" t="s">
        <v>387</v>
      </c>
      <c r="GQ202" s="15" t="s">
        <v>3351</v>
      </c>
      <c r="GR202" s="15"/>
      <c r="GS202" s="15"/>
      <c r="GT202" s="15"/>
      <c r="GU202" s="15"/>
      <c r="GV202" s="15"/>
      <c r="GW202" s="15"/>
      <c r="GX202" s="15"/>
      <c r="GY202" s="15"/>
      <c r="GZ202" s="15"/>
      <c r="HA202" s="15"/>
      <c r="HB202" s="15"/>
      <c r="HC202" s="15"/>
      <c r="HD202" s="15"/>
      <c r="HE202" s="15"/>
      <c r="HF202" s="15"/>
      <c r="HG202" s="15"/>
      <c r="HH202" s="15"/>
      <c r="HI202" s="15"/>
      <c r="HJ202" s="15"/>
      <c r="HK202" s="15"/>
      <c r="HL202" s="15"/>
      <c r="HM202" s="15"/>
      <c r="HN202" s="15"/>
      <c r="HO202" s="15"/>
      <c r="HP202" s="31"/>
      <c r="MX202" s="29" t="s">
        <v>10402</v>
      </c>
      <c r="MY202" s="29" t="str">
        <f>IFERROR(__xludf.DUMMYFUNCTION("""COMPUTED_VALUE"""),"Oregon")</f>
        <v>Oregon</v>
      </c>
    </row>
    <row r="203" ht="16.5" customHeight="1">
      <c r="A203" s="30">
        <v>45836.7177146412</v>
      </c>
      <c r="B203" s="15" t="s">
        <v>368</v>
      </c>
      <c r="C203" s="15" t="s">
        <v>370</v>
      </c>
      <c r="D203" s="15" t="s">
        <v>370</v>
      </c>
      <c r="E203" s="15" t="s">
        <v>2400</v>
      </c>
      <c r="F203" s="15" t="s">
        <v>4170</v>
      </c>
      <c r="G203" s="15" t="s">
        <v>422</v>
      </c>
      <c r="H203" s="15" t="s">
        <v>373</v>
      </c>
      <c r="I203" s="15" t="s">
        <v>638</v>
      </c>
      <c r="J203" s="15" t="s">
        <v>375</v>
      </c>
      <c r="K203" s="15" t="s">
        <v>376</v>
      </c>
      <c r="L203" s="15" t="s">
        <v>591</v>
      </c>
      <c r="M203" s="15" t="s">
        <v>378</v>
      </c>
      <c r="N203" s="15" t="s">
        <v>591</v>
      </c>
      <c r="O203" s="15" t="s">
        <v>719</v>
      </c>
      <c r="P203" s="15" t="s">
        <v>498</v>
      </c>
      <c r="Q203" s="15" t="s">
        <v>1342</v>
      </c>
      <c r="R203" s="15" t="s">
        <v>427</v>
      </c>
      <c r="S203" s="15" t="s">
        <v>384</v>
      </c>
      <c r="T203" s="15" t="s">
        <v>385</v>
      </c>
      <c r="U203" s="15"/>
      <c r="V203" s="15"/>
      <c r="W203" s="15" t="s">
        <v>386</v>
      </c>
      <c r="X203" s="15" t="s">
        <v>387</v>
      </c>
      <c r="Y203" s="15" t="s">
        <v>4171</v>
      </c>
      <c r="Z203" s="15" t="s">
        <v>543</v>
      </c>
      <c r="AA203" s="15" t="s">
        <v>4497</v>
      </c>
      <c r="AB203" s="15" t="s">
        <v>4498</v>
      </c>
      <c r="AC203" s="15"/>
      <c r="AD203" s="15"/>
      <c r="AE203" s="15"/>
      <c r="AF203" s="15"/>
      <c r="AG203" s="15"/>
      <c r="AH203" s="15"/>
      <c r="AI203" s="15"/>
      <c r="AJ203" s="15"/>
      <c r="AK203" s="15"/>
      <c r="AL203" s="15"/>
      <c r="AM203" s="15"/>
      <c r="AN203" s="15"/>
      <c r="AO203" s="15"/>
      <c r="AP203" s="15"/>
      <c r="AQ203" s="15"/>
      <c r="AR203" s="15"/>
      <c r="AS203" s="15"/>
      <c r="AT203" s="15"/>
      <c r="AU203" s="15"/>
      <c r="AV203" s="15" t="s">
        <v>504</v>
      </c>
      <c r="AW203" s="15">
        <v>2.0</v>
      </c>
      <c r="AX203" s="15" t="s">
        <v>429</v>
      </c>
      <c r="AY203" s="15" t="s">
        <v>429</v>
      </c>
      <c r="AZ203" s="15" t="s">
        <v>429</v>
      </c>
      <c r="BA203" s="15" t="s">
        <v>429</v>
      </c>
      <c r="BB203" s="15" t="s">
        <v>429</v>
      </c>
      <c r="BC203" s="15" t="s">
        <v>4499</v>
      </c>
      <c r="BD203" s="15" t="s">
        <v>4500</v>
      </c>
      <c r="BE203" s="15" t="s">
        <v>392</v>
      </c>
      <c r="BF203" s="15" t="s">
        <v>433</v>
      </c>
      <c r="BG203" s="15" t="s">
        <v>678</v>
      </c>
      <c r="BH203" s="15" t="s">
        <v>4501</v>
      </c>
      <c r="BI203" s="15" t="s">
        <v>509</v>
      </c>
      <c r="BJ203" s="15" t="s">
        <v>4502</v>
      </c>
      <c r="BK203" s="15" t="s">
        <v>437</v>
      </c>
      <c r="BL203" s="15" t="s">
        <v>512</v>
      </c>
      <c r="BM203" s="15" t="s">
        <v>439</v>
      </c>
      <c r="BN203" s="15" t="s">
        <v>513</v>
      </c>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t="s">
        <v>441</v>
      </c>
      <c r="CM203" s="15" t="s">
        <v>401</v>
      </c>
      <c r="CN203" s="15" t="s">
        <v>4503</v>
      </c>
      <c r="CO203" s="15" t="s">
        <v>4504</v>
      </c>
      <c r="CP203" s="15" t="s">
        <v>445</v>
      </c>
      <c r="CQ203" s="15" t="s">
        <v>4505</v>
      </c>
      <c r="CR203" s="15" t="s">
        <v>447</v>
      </c>
      <c r="CS203" s="15" t="s">
        <v>4506</v>
      </c>
      <c r="CT203" s="15" t="s">
        <v>4507</v>
      </c>
      <c r="CU203" s="15" t="s">
        <v>450</v>
      </c>
      <c r="CV203" s="15" t="s">
        <v>451</v>
      </c>
      <c r="CW203" s="15" t="s">
        <v>4508</v>
      </c>
      <c r="CX203" s="15" t="s">
        <v>408</v>
      </c>
      <c r="CY203" s="15"/>
      <c r="CZ203" s="15" t="s">
        <v>453</v>
      </c>
      <c r="DA203" s="15" t="s">
        <v>4509</v>
      </c>
      <c r="DB203" s="15" t="s">
        <v>455</v>
      </c>
      <c r="DC203" s="15" t="s">
        <v>4510</v>
      </c>
      <c r="DD203" s="15" t="s">
        <v>662</v>
      </c>
      <c r="DE203" s="15"/>
      <c r="DF203" s="15" t="s">
        <v>4511</v>
      </c>
      <c r="DG203" s="15" t="s">
        <v>561</v>
      </c>
      <c r="DH203" s="15" t="s">
        <v>410</v>
      </c>
      <c r="DI203" s="15" t="s">
        <v>459</v>
      </c>
      <c r="DJ203" s="15" t="s">
        <v>562</v>
      </c>
      <c r="DK203" s="15" t="s">
        <v>461</v>
      </c>
      <c r="DL203" s="15"/>
      <c r="DM203" s="15"/>
      <c r="DN203" s="15"/>
      <c r="DO203" s="15"/>
      <c r="DP203" s="15"/>
      <c r="DQ203" s="15"/>
      <c r="DR203" s="15"/>
      <c r="DS203" s="15"/>
      <c r="DT203" s="15"/>
      <c r="DU203" s="15"/>
      <c r="DV203" s="15"/>
      <c r="DW203" s="15"/>
      <c r="DX203" s="15"/>
      <c r="DY203" s="15"/>
      <c r="DZ203" s="15"/>
      <c r="EA203" s="15"/>
      <c r="EB203" s="15"/>
      <c r="EC203" s="15"/>
      <c r="ED203" s="15"/>
      <c r="EE203" s="15"/>
      <c r="EF203" s="15"/>
      <c r="EG203" s="15"/>
      <c r="EH203" s="15"/>
      <c r="EI203" s="15"/>
      <c r="EJ203" s="15"/>
      <c r="EK203" s="15"/>
      <c r="EL203" s="15"/>
      <c r="EM203" s="15"/>
      <c r="EN203" s="15"/>
      <c r="EO203" s="15"/>
      <c r="EP203" s="15"/>
      <c r="EQ203" s="15"/>
      <c r="ER203" s="15"/>
      <c r="ES203" s="15"/>
      <c r="ET203" s="15" t="s">
        <v>2747</v>
      </c>
      <c r="EU203" s="15" t="s">
        <v>479</v>
      </c>
      <c r="EV203" s="15" t="s">
        <v>480</v>
      </c>
      <c r="EW203" s="15" t="s">
        <v>4512</v>
      </c>
      <c r="EX203" s="15" t="s">
        <v>4513</v>
      </c>
      <c r="EY203" s="15" t="s">
        <v>4514</v>
      </c>
      <c r="EZ203" s="15" t="s">
        <v>583</v>
      </c>
      <c r="FA203" s="15" t="s">
        <v>583</v>
      </c>
      <c r="FB203" s="15" t="s">
        <v>583</v>
      </c>
      <c r="FC203" s="15" t="s">
        <v>583</v>
      </c>
      <c r="FD203" s="15" t="s">
        <v>415</v>
      </c>
      <c r="FE203" s="15" t="s">
        <v>583</v>
      </c>
      <c r="FF203" s="15" t="s">
        <v>583</v>
      </c>
      <c r="FG203" s="15" t="s">
        <v>413</v>
      </c>
      <c r="FH203" s="15" t="s">
        <v>583</v>
      </c>
      <c r="FI203" s="15" t="s">
        <v>583</v>
      </c>
      <c r="FJ203" s="15" t="s">
        <v>583</v>
      </c>
      <c r="FK203" s="15" t="s">
        <v>583</v>
      </c>
      <c r="FL203" s="15" t="s">
        <v>583</v>
      </c>
      <c r="FM203" s="15" t="s">
        <v>413</v>
      </c>
      <c r="FN203" s="15" t="s">
        <v>583</v>
      </c>
      <c r="FO203" s="15" t="s">
        <v>485</v>
      </c>
      <c r="FP203" s="15" t="s">
        <v>418</v>
      </c>
      <c r="FQ203" s="15" t="s">
        <v>630</v>
      </c>
      <c r="FR203" s="15" t="s">
        <v>4515</v>
      </c>
      <c r="FS203" s="15" t="s">
        <v>420</v>
      </c>
      <c r="FT203" s="15" t="s">
        <v>488</v>
      </c>
      <c r="FU203" s="15" t="s">
        <v>533</v>
      </c>
      <c r="FV203" s="15" t="s">
        <v>490</v>
      </c>
      <c r="FW203" s="15" t="s">
        <v>491</v>
      </c>
      <c r="FX203" s="15" t="s">
        <v>4516</v>
      </c>
      <c r="FY203" s="15" t="s">
        <v>535</v>
      </c>
      <c r="FZ203" s="15" t="s">
        <v>4517</v>
      </c>
      <c r="GA203" s="15" t="s">
        <v>4518</v>
      </c>
      <c r="GB203" s="15" t="s">
        <v>455</v>
      </c>
      <c r="GC203" s="15"/>
      <c r="GD203" s="15"/>
      <c r="GE203" s="15" t="s">
        <v>753</v>
      </c>
      <c r="GF203" s="15" t="s">
        <v>4519</v>
      </c>
      <c r="GG203" s="15" t="s">
        <v>755</v>
      </c>
      <c r="GH203" s="15" t="s">
        <v>755</v>
      </c>
      <c r="GI203" s="15" t="s">
        <v>946</v>
      </c>
      <c r="GJ203" s="15"/>
      <c r="GK203" s="15"/>
      <c r="GL203" s="15"/>
      <c r="GM203" s="15"/>
      <c r="GN203" s="15"/>
      <c r="GO203" s="15"/>
      <c r="GP203" s="15"/>
      <c r="GQ203" s="15" t="s">
        <v>3208</v>
      </c>
      <c r="GR203" s="15"/>
      <c r="GS203" s="15"/>
      <c r="GT203" s="15"/>
      <c r="GU203" s="15"/>
      <c r="GV203" s="15"/>
      <c r="GW203" s="15"/>
      <c r="GX203" s="15"/>
      <c r="GY203" s="15"/>
      <c r="GZ203" s="15"/>
      <c r="HA203" s="15"/>
      <c r="HB203" s="15"/>
      <c r="HC203" s="15"/>
      <c r="HD203" s="15"/>
      <c r="HE203" s="15"/>
      <c r="HF203" s="15"/>
      <c r="HG203" s="15"/>
      <c r="HH203" s="15"/>
      <c r="HI203" s="15"/>
      <c r="HJ203" s="15"/>
      <c r="HK203" s="15"/>
      <c r="HL203" s="15"/>
      <c r="HM203" s="15"/>
      <c r="HN203" s="15"/>
      <c r="HO203" s="15"/>
      <c r="HP203" s="31"/>
      <c r="MX203" s="29" t="s">
        <v>894</v>
      </c>
      <c r="MY203" s="29" t="str">
        <f>IFERROR(__xludf.DUMMYFUNCTION("""COMPUTED_VALUE"""),"Ontario")</f>
        <v>Ontario</v>
      </c>
    </row>
    <row r="204" ht="16.5" customHeight="1">
      <c r="A204" s="30">
        <v>45836.82635135417</v>
      </c>
      <c r="B204" s="15" t="s">
        <v>368</v>
      </c>
      <c r="C204" s="15" t="s">
        <v>894</v>
      </c>
      <c r="D204" s="15" t="s">
        <v>894</v>
      </c>
      <c r="E204" s="15"/>
      <c r="F204" s="15"/>
      <c r="G204" s="15" t="s">
        <v>422</v>
      </c>
      <c r="H204" s="15" t="s">
        <v>539</v>
      </c>
      <c r="I204" s="15" t="s">
        <v>424</v>
      </c>
      <c r="J204" s="15" t="s">
        <v>425</v>
      </c>
      <c r="K204" s="15" t="s">
        <v>376</v>
      </c>
      <c r="L204" s="15" t="s">
        <v>591</v>
      </c>
      <c r="M204" s="15" t="s">
        <v>639</v>
      </c>
      <c r="N204" s="15" t="s">
        <v>426</v>
      </c>
      <c r="O204" s="15" t="s">
        <v>497</v>
      </c>
      <c r="P204" s="15" t="s">
        <v>498</v>
      </c>
      <c r="Q204" s="15" t="s">
        <v>862</v>
      </c>
      <c r="R204" s="15" t="s">
        <v>427</v>
      </c>
      <c r="S204" s="15" t="s">
        <v>384</v>
      </c>
      <c r="T204" s="15" t="s">
        <v>385</v>
      </c>
      <c r="U204" s="15" t="s">
        <v>896</v>
      </c>
      <c r="V204" s="15" t="s">
        <v>896</v>
      </c>
      <c r="W204" s="15" t="s">
        <v>386</v>
      </c>
      <c r="X204" s="15" t="s">
        <v>387</v>
      </c>
      <c r="Y204" s="15" t="s">
        <v>388</v>
      </c>
      <c r="Z204" s="15" t="s">
        <v>672</v>
      </c>
      <c r="AA204" s="15" t="s">
        <v>4520</v>
      </c>
      <c r="AB204" s="15" t="s">
        <v>4521</v>
      </c>
      <c r="AC204" s="15"/>
      <c r="AD204" s="15"/>
      <c r="AE204" s="15"/>
      <c r="AF204" s="15"/>
      <c r="AG204" s="15"/>
      <c r="AH204" s="15"/>
      <c r="AI204" s="15"/>
      <c r="AJ204" s="15"/>
      <c r="AK204" s="15"/>
      <c r="AL204" s="15"/>
      <c r="AM204" s="15"/>
      <c r="AN204" s="15"/>
      <c r="AO204" s="15"/>
      <c r="AP204" s="15"/>
      <c r="AQ204" s="15"/>
      <c r="AR204" s="15"/>
      <c r="AS204" s="15"/>
      <c r="AT204" s="15"/>
      <c r="AU204" s="15"/>
      <c r="AV204" s="15" t="s">
        <v>504</v>
      </c>
      <c r="AW204" s="15" t="s">
        <v>429</v>
      </c>
      <c r="AX204" s="15" t="s">
        <v>429</v>
      </c>
      <c r="AY204" s="15" t="s">
        <v>429</v>
      </c>
      <c r="AZ204" s="15" t="s">
        <v>429</v>
      </c>
      <c r="BA204" s="15" t="s">
        <v>429</v>
      </c>
      <c r="BB204" s="15" t="s">
        <v>429</v>
      </c>
      <c r="BC204" s="15" t="s">
        <v>4522</v>
      </c>
      <c r="BD204" s="15" t="s">
        <v>4523</v>
      </c>
      <c r="BE204" s="15" t="s">
        <v>392</v>
      </c>
      <c r="BF204" s="15" t="s">
        <v>433</v>
      </c>
      <c r="BG204" s="15" t="s">
        <v>678</v>
      </c>
      <c r="BH204" s="15" t="s">
        <v>4524</v>
      </c>
      <c r="BI204" s="15" t="s">
        <v>509</v>
      </c>
      <c r="BJ204" s="15" t="s">
        <v>4525</v>
      </c>
      <c r="BK204" s="15" t="s">
        <v>681</v>
      </c>
      <c r="BL204" s="15" t="s">
        <v>904</v>
      </c>
      <c r="BM204" s="15" t="s">
        <v>439</v>
      </c>
      <c r="BN204" s="15" t="s">
        <v>513</v>
      </c>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t="s">
        <v>441</v>
      </c>
      <c r="CM204" s="15" t="s">
        <v>442</v>
      </c>
      <c r="CN204" s="15" t="s">
        <v>4526</v>
      </c>
      <c r="CO204" s="15" t="s">
        <v>4527</v>
      </c>
      <c r="CP204" s="15" t="s">
        <v>685</v>
      </c>
      <c r="CQ204" s="15" t="s">
        <v>4528</v>
      </c>
      <c r="CR204" s="15" t="s">
        <v>447</v>
      </c>
      <c r="CS204" s="15" t="s">
        <v>4260</v>
      </c>
      <c r="CT204" s="15" t="s">
        <v>4529</v>
      </c>
      <c r="CU204" s="15" t="s">
        <v>450</v>
      </c>
      <c r="CV204" s="15" t="s">
        <v>451</v>
      </c>
      <c r="CW204" s="15" t="s">
        <v>4530</v>
      </c>
      <c r="CX204" s="15" t="s">
        <v>455</v>
      </c>
      <c r="CY204" s="15" t="s">
        <v>4531</v>
      </c>
      <c r="CZ204" s="15" t="s">
        <v>453</v>
      </c>
      <c r="DA204" s="15" t="s">
        <v>4532</v>
      </c>
      <c r="DB204" s="15" t="s">
        <v>455</v>
      </c>
      <c r="DC204" s="15" t="s">
        <v>4533</v>
      </c>
      <c r="DD204" s="15" t="s">
        <v>662</v>
      </c>
      <c r="DE204" s="15"/>
      <c r="DF204" s="15" t="s">
        <v>4534</v>
      </c>
      <c r="DG204" s="15" t="s">
        <v>524</v>
      </c>
      <c r="DH204" s="15" t="s">
        <v>410</v>
      </c>
      <c r="DI204" s="15" t="s">
        <v>459</v>
      </c>
      <c r="DJ204" s="15" t="s">
        <v>613</v>
      </c>
      <c r="DK204" s="15"/>
      <c r="DL204" s="15"/>
      <c r="DM204" s="15"/>
      <c r="DN204" s="15"/>
      <c r="DO204" s="15"/>
      <c r="DP204" s="15"/>
      <c r="DQ204" s="15"/>
      <c r="DR204" s="15"/>
      <c r="DS204" s="15"/>
      <c r="DT204" s="15"/>
      <c r="DU204" s="15"/>
      <c r="DV204" s="15"/>
      <c r="DW204" s="15"/>
      <c r="DX204" s="15"/>
      <c r="DY204" s="15"/>
      <c r="DZ204" s="15"/>
      <c r="EA204" s="15"/>
      <c r="EB204" s="15"/>
      <c r="EC204" s="15"/>
      <c r="ED204" s="15"/>
      <c r="EE204" s="15"/>
      <c r="EF204" s="15"/>
      <c r="EG204" s="15"/>
      <c r="EH204" s="15"/>
      <c r="EI204" s="15"/>
      <c r="EJ204" s="15"/>
      <c r="EK204" s="15"/>
      <c r="EL204" s="15"/>
      <c r="EM204" s="15"/>
      <c r="EN204" s="15"/>
      <c r="EO204" s="15"/>
      <c r="EP204" s="15"/>
      <c r="EQ204" s="15"/>
      <c r="ER204" s="15"/>
      <c r="ES204" s="15"/>
      <c r="ET204" s="15" t="s">
        <v>2747</v>
      </c>
      <c r="EU204" s="15" t="s">
        <v>479</v>
      </c>
      <c r="EV204" s="15" t="s">
        <v>480</v>
      </c>
      <c r="EW204" s="15"/>
      <c r="EX204" s="15" t="s">
        <v>4535</v>
      </c>
      <c r="EY204" s="15" t="s">
        <v>4536</v>
      </c>
      <c r="EZ204" s="15" t="s">
        <v>583</v>
      </c>
      <c r="FA204" s="15" t="s">
        <v>583</v>
      </c>
      <c r="FB204" s="15" t="s">
        <v>413</v>
      </c>
      <c r="FC204" s="15" t="s">
        <v>583</v>
      </c>
      <c r="FD204" s="15" t="s">
        <v>583</v>
      </c>
      <c r="FE204" s="15" t="s">
        <v>583</v>
      </c>
      <c r="FF204" s="15" t="s">
        <v>583</v>
      </c>
      <c r="FG204" s="15" t="s">
        <v>583</v>
      </c>
      <c r="FH204" s="15" t="s">
        <v>413</v>
      </c>
      <c r="FI204" s="15" t="s">
        <v>583</v>
      </c>
      <c r="FJ204" s="15" t="s">
        <v>583</v>
      </c>
      <c r="FK204" s="15" t="s">
        <v>413</v>
      </c>
      <c r="FL204" s="15" t="s">
        <v>583</v>
      </c>
      <c r="FM204" s="15" t="s">
        <v>583</v>
      </c>
      <c r="FN204" s="15" t="s">
        <v>583</v>
      </c>
      <c r="FO204" s="15" t="s">
        <v>417</v>
      </c>
      <c r="FP204" s="15" t="s">
        <v>418</v>
      </c>
      <c r="FQ204" s="15" t="s">
        <v>630</v>
      </c>
      <c r="FR204" s="15" t="s">
        <v>4537</v>
      </c>
      <c r="FS204" s="15" t="s">
        <v>420</v>
      </c>
      <c r="FT204" s="15" t="s">
        <v>488</v>
      </c>
      <c r="FU204" s="15" t="s">
        <v>533</v>
      </c>
      <c r="FV204" s="15" t="s">
        <v>490</v>
      </c>
      <c r="FW204" s="15" t="s">
        <v>491</v>
      </c>
      <c r="FX204" s="15" t="s">
        <v>4538</v>
      </c>
      <c r="FY204" s="15" t="s">
        <v>535</v>
      </c>
      <c r="FZ204" s="15" t="s">
        <v>4539</v>
      </c>
      <c r="GA204" s="15" t="s">
        <v>4540</v>
      </c>
      <c r="GB204" s="15" t="s">
        <v>455</v>
      </c>
      <c r="GC204" s="15"/>
      <c r="GD204" s="15" t="s">
        <v>4541</v>
      </c>
      <c r="GE204" s="15" t="s">
        <v>753</v>
      </c>
      <c r="GF204" s="15" t="s">
        <v>4542</v>
      </c>
      <c r="GG204" s="15" t="s">
        <v>755</v>
      </c>
      <c r="GH204" s="15" t="s">
        <v>755</v>
      </c>
      <c r="GI204" s="15" t="s">
        <v>946</v>
      </c>
      <c r="GJ204" s="15"/>
      <c r="GK204" s="15"/>
      <c r="GL204" s="15"/>
      <c r="GM204" s="15"/>
      <c r="GN204" s="15"/>
      <c r="GO204" s="15"/>
      <c r="GP204" s="15"/>
      <c r="GQ204" s="15" t="s">
        <v>3208</v>
      </c>
      <c r="GR204" s="15"/>
      <c r="GS204" s="15"/>
      <c r="GT204" s="15"/>
      <c r="GU204" s="15"/>
      <c r="GV204" s="15"/>
      <c r="GW204" s="15"/>
      <c r="GX204" s="15"/>
      <c r="GY204" s="15"/>
      <c r="GZ204" s="15"/>
      <c r="HA204" s="15"/>
      <c r="HB204" s="15"/>
      <c r="HC204" s="15"/>
      <c r="HD204" s="15"/>
      <c r="HE204" s="15"/>
      <c r="HF204" s="15"/>
      <c r="HG204" s="15"/>
      <c r="HH204" s="15"/>
      <c r="HI204" s="15"/>
      <c r="HJ204" s="15"/>
      <c r="HK204" s="15"/>
      <c r="HL204" s="15"/>
      <c r="HM204" s="15"/>
      <c r="HN204" s="15"/>
      <c r="HO204" s="15"/>
      <c r="HP204" s="31"/>
      <c r="MX204" s="29" t="s">
        <v>10402</v>
      </c>
      <c r="MY204" s="29" t="str">
        <f>IFERROR(__xludf.DUMMYFUNCTION("""COMPUTED_VALUE"""),"Virginia")</f>
        <v>Virginia</v>
      </c>
    </row>
    <row r="205" ht="16.5" customHeight="1">
      <c r="A205" s="30">
        <v>45836.92451064815</v>
      </c>
      <c r="B205" s="15" t="s">
        <v>368</v>
      </c>
      <c r="C205" s="15" t="s">
        <v>370</v>
      </c>
      <c r="D205" s="15" t="s">
        <v>370</v>
      </c>
      <c r="E205" s="15" t="s">
        <v>1875</v>
      </c>
      <c r="F205" s="15" t="s">
        <v>2400</v>
      </c>
      <c r="G205" s="15" t="s">
        <v>422</v>
      </c>
      <c r="H205" s="15" t="s">
        <v>496</v>
      </c>
      <c r="I205" s="15" t="s">
        <v>374</v>
      </c>
      <c r="J205" s="15" t="s">
        <v>375</v>
      </c>
      <c r="K205" s="15" t="s">
        <v>376</v>
      </c>
      <c r="L205" s="15" t="s">
        <v>793</v>
      </c>
      <c r="M205" s="15" t="s">
        <v>719</v>
      </c>
      <c r="N205" s="15" t="s">
        <v>591</v>
      </c>
      <c r="O205" s="15" t="s">
        <v>719</v>
      </c>
      <c r="P205" s="15" t="s">
        <v>592</v>
      </c>
      <c r="Q205" s="15" t="s">
        <v>382</v>
      </c>
      <c r="R205" s="15" t="s">
        <v>641</v>
      </c>
      <c r="S205" s="15" t="s">
        <v>3728</v>
      </c>
      <c r="T205" s="15" t="s">
        <v>385</v>
      </c>
      <c r="U205" s="15"/>
      <c r="V205" s="15"/>
      <c r="W205" s="15" t="s">
        <v>3014</v>
      </c>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t="s">
        <v>1310</v>
      </c>
      <c r="AW205" s="15">
        <v>4.0</v>
      </c>
      <c r="AX205" s="15">
        <v>4.0</v>
      </c>
      <c r="AY205" s="15">
        <v>4.0</v>
      </c>
      <c r="AZ205" s="15" t="s">
        <v>675</v>
      </c>
      <c r="BA205" s="15" t="s">
        <v>675</v>
      </c>
      <c r="BB205" s="15">
        <v>4.0</v>
      </c>
      <c r="BC205" s="15"/>
      <c r="BD205" s="15"/>
      <c r="BE205" s="15" t="s">
        <v>902</v>
      </c>
      <c r="BF205" s="15"/>
      <c r="BG205" s="15" t="s">
        <v>434</v>
      </c>
      <c r="BH205" s="15" t="s">
        <v>4543</v>
      </c>
      <c r="BI205" s="15" t="s">
        <v>509</v>
      </c>
      <c r="BJ205" s="15"/>
      <c r="BK205" s="15" t="s">
        <v>681</v>
      </c>
      <c r="BL205" s="15" t="s">
        <v>438</v>
      </c>
      <c r="BM205" s="15" t="s">
        <v>1247</v>
      </c>
      <c r="BN205" s="15" t="s">
        <v>398</v>
      </c>
      <c r="BO205" s="15" t="s">
        <v>4544</v>
      </c>
      <c r="BP205" s="15" t="s">
        <v>4545</v>
      </c>
      <c r="BQ205" s="15" t="s">
        <v>604</v>
      </c>
      <c r="BR205" s="15" t="s">
        <v>1691</v>
      </c>
      <c r="BS205" s="15" t="s">
        <v>1671</v>
      </c>
      <c r="BT205" s="15" t="s">
        <v>1771</v>
      </c>
      <c r="BU205" s="15" t="s">
        <v>1772</v>
      </c>
      <c r="BV205" s="15" t="s">
        <v>4546</v>
      </c>
      <c r="BW205" s="15" t="s">
        <v>988</v>
      </c>
      <c r="BX205" s="15"/>
      <c r="BY205" s="15" t="s">
        <v>408</v>
      </c>
      <c r="BZ205" s="15"/>
      <c r="CA205" s="15"/>
      <c r="CB205" s="15" t="s">
        <v>4547</v>
      </c>
      <c r="CC205" s="15" t="s">
        <v>4548</v>
      </c>
      <c r="CD205" s="15" t="s">
        <v>409</v>
      </c>
      <c r="CE205" s="15"/>
      <c r="CF205" s="15" t="s">
        <v>1258</v>
      </c>
      <c r="CG205" s="15"/>
      <c r="CH205" s="15" t="s">
        <v>1698</v>
      </c>
      <c r="CI205" s="15"/>
      <c r="CJ205" s="15" t="s">
        <v>4549</v>
      </c>
      <c r="CK205" s="15" t="s">
        <v>4550</v>
      </c>
      <c r="CL205" s="15"/>
      <c r="CM205" s="15"/>
      <c r="CN205" s="15"/>
      <c r="CO205" s="15"/>
      <c r="CP205" s="15"/>
      <c r="CQ205" s="15"/>
      <c r="CR205" s="15"/>
      <c r="CS205" s="15"/>
      <c r="CT205" s="15"/>
      <c r="CU205" s="15"/>
      <c r="CV205" s="15"/>
      <c r="CW205" s="15"/>
      <c r="CX205" s="15"/>
      <c r="CY205" s="15"/>
      <c r="CZ205" s="15"/>
      <c r="DA205" s="15"/>
      <c r="DB205" s="15"/>
      <c r="DC205" s="15"/>
      <c r="DD205" s="15"/>
      <c r="DE205" s="15"/>
      <c r="DF205" s="15"/>
      <c r="DG205" s="15"/>
      <c r="DH205" s="15"/>
      <c r="DI205" s="15"/>
      <c r="DJ205" s="15"/>
      <c r="DK205" s="15"/>
      <c r="DL205" s="15"/>
      <c r="DM205" s="15"/>
      <c r="DN205" s="15"/>
      <c r="DO205" s="15"/>
      <c r="DP205" s="15"/>
      <c r="DQ205" s="15"/>
      <c r="DR205" s="15"/>
      <c r="DS205" s="15"/>
      <c r="DT205" s="15"/>
      <c r="DU205" s="15"/>
      <c r="DV205" s="15"/>
      <c r="DW205" s="15"/>
      <c r="DX205" s="15"/>
      <c r="DY205" s="15"/>
      <c r="DZ205" s="15"/>
      <c r="EA205" s="15"/>
      <c r="EB205" s="15"/>
      <c r="EC205" s="15"/>
      <c r="ED205" s="15"/>
      <c r="EE205" s="15"/>
      <c r="EF205" s="15"/>
      <c r="EG205" s="15"/>
      <c r="EH205" s="15"/>
      <c r="EI205" s="15"/>
      <c r="EJ205" s="15"/>
      <c r="EK205" s="15"/>
      <c r="EL205" s="15"/>
      <c r="EM205" s="15"/>
      <c r="EN205" s="15"/>
      <c r="EO205" s="15"/>
      <c r="EP205" s="15"/>
      <c r="EQ205" s="15"/>
      <c r="ER205" s="15"/>
      <c r="ES205" s="15"/>
      <c r="ET205" s="15" t="s">
        <v>526</v>
      </c>
      <c r="EU205" s="15" t="s">
        <v>887</v>
      </c>
      <c r="EV205" s="15" t="s">
        <v>527</v>
      </c>
      <c r="EW205" s="15"/>
      <c r="EX205" s="15" t="s">
        <v>4551</v>
      </c>
      <c r="EY205" s="15"/>
      <c r="EZ205" s="15" t="s">
        <v>415</v>
      </c>
      <c r="FA205" s="15" t="s">
        <v>414</v>
      </c>
      <c r="FB205" s="15" t="s">
        <v>416</v>
      </c>
      <c r="FC205" s="15" t="s">
        <v>414</v>
      </c>
      <c r="FD205" s="15" t="s">
        <v>413</v>
      </c>
      <c r="FE205" s="15" t="s">
        <v>414</v>
      </c>
      <c r="FF205" s="15" t="s">
        <v>415</v>
      </c>
      <c r="FG205" s="15" t="s">
        <v>413</v>
      </c>
      <c r="FH205" s="15" t="s">
        <v>414</v>
      </c>
      <c r="FI205" s="15" t="s">
        <v>415</v>
      </c>
      <c r="FJ205" s="15" t="s">
        <v>414</v>
      </c>
      <c r="FK205" s="15" t="s">
        <v>416</v>
      </c>
      <c r="FL205" s="15" t="s">
        <v>413</v>
      </c>
      <c r="FM205" s="15" t="s">
        <v>416</v>
      </c>
      <c r="FN205" s="15" t="s">
        <v>415</v>
      </c>
      <c r="FO205" s="15" t="s">
        <v>485</v>
      </c>
      <c r="FP205" s="15" t="s">
        <v>486</v>
      </c>
      <c r="FQ205" s="15" t="s">
        <v>749</v>
      </c>
      <c r="FR205" s="15"/>
      <c r="FS205" s="15" t="s">
        <v>1189</v>
      </c>
      <c r="FT205" s="15" t="s">
        <v>1462</v>
      </c>
      <c r="FU205" s="15" t="s">
        <v>489</v>
      </c>
      <c r="FV205" s="15" t="s">
        <v>490</v>
      </c>
      <c r="FW205" s="15" t="s">
        <v>491</v>
      </c>
      <c r="FX205" s="15"/>
      <c r="FY205" s="15" t="s">
        <v>493</v>
      </c>
      <c r="FZ205" s="15" t="s">
        <v>4552</v>
      </c>
      <c r="GA205" s="15"/>
      <c r="GB205" s="15" t="s">
        <v>408</v>
      </c>
      <c r="GC205" s="15"/>
      <c r="GD205" s="15"/>
      <c r="GE205" s="15"/>
      <c r="GF205" s="15"/>
      <c r="GG205" s="15"/>
      <c r="GH205" s="15"/>
      <c r="GI205" s="15"/>
      <c r="GJ205" s="15" t="s">
        <v>1000</v>
      </c>
      <c r="GK205" s="15" t="s">
        <v>1000</v>
      </c>
      <c r="GL205" s="15" t="s">
        <v>946</v>
      </c>
      <c r="GM205" s="15"/>
      <c r="GN205" s="15"/>
      <c r="GO205" s="15"/>
      <c r="GP205" s="15"/>
      <c r="GQ205" s="15" t="s">
        <v>3273</v>
      </c>
      <c r="GR205" s="15"/>
      <c r="GS205" s="15"/>
      <c r="GT205" s="15"/>
      <c r="GU205" s="15"/>
      <c r="GV205" s="15"/>
      <c r="GW205" s="15"/>
      <c r="GX205" s="15"/>
      <c r="GY205" s="15"/>
      <c r="GZ205" s="15"/>
      <c r="HA205" s="15"/>
      <c r="HB205" s="15"/>
      <c r="HC205" s="15"/>
      <c r="HD205" s="15"/>
      <c r="HE205" s="15"/>
      <c r="HF205" s="15"/>
      <c r="HG205" s="15"/>
      <c r="HH205" s="15"/>
      <c r="HI205" s="15"/>
      <c r="HJ205" s="15"/>
      <c r="HK205" s="15"/>
      <c r="HL205" s="15"/>
      <c r="HM205" s="15"/>
      <c r="HN205" s="15"/>
      <c r="HO205" s="15"/>
      <c r="HP205" s="31"/>
      <c r="MX205" s="29" t="s">
        <v>10402</v>
      </c>
      <c r="MY205" s="29" t="str">
        <f>IFERROR(__xludf.DUMMYFUNCTION("""COMPUTED_VALUE"""),"Nebraska")</f>
        <v>Nebraska</v>
      </c>
    </row>
    <row r="206" ht="16.5" customHeight="1">
      <c r="A206" s="30">
        <v>45837.03236370371</v>
      </c>
      <c r="B206" s="15" t="s">
        <v>368</v>
      </c>
      <c r="C206" s="15" t="s">
        <v>370</v>
      </c>
      <c r="D206" s="15" t="s">
        <v>370</v>
      </c>
      <c r="E206" s="15" t="s">
        <v>1798</v>
      </c>
      <c r="F206" s="15" t="s">
        <v>1421</v>
      </c>
      <c r="G206" s="15" t="s">
        <v>422</v>
      </c>
      <c r="H206" s="15" t="s">
        <v>496</v>
      </c>
      <c r="I206" s="15" t="s">
        <v>374</v>
      </c>
      <c r="J206" s="15" t="s">
        <v>425</v>
      </c>
      <c r="K206" s="15" t="s">
        <v>376</v>
      </c>
      <c r="L206" s="15" t="s">
        <v>426</v>
      </c>
      <c r="M206" s="15" t="s">
        <v>4553</v>
      </c>
      <c r="N206" s="15" t="s">
        <v>426</v>
      </c>
      <c r="O206" s="15" t="s">
        <v>380</v>
      </c>
      <c r="P206" s="15" t="s">
        <v>498</v>
      </c>
      <c r="Q206" s="15" t="s">
        <v>818</v>
      </c>
      <c r="R206" s="15" t="s">
        <v>427</v>
      </c>
      <c r="S206" s="15" t="s">
        <v>384</v>
      </c>
      <c r="T206" s="15" t="s">
        <v>385</v>
      </c>
      <c r="U206" s="15"/>
      <c r="V206" s="15"/>
      <c r="W206" s="15" t="s">
        <v>386</v>
      </c>
      <c r="X206" s="15" t="s">
        <v>387</v>
      </c>
      <c r="Y206" s="15"/>
      <c r="Z206" s="15" t="s">
        <v>543</v>
      </c>
      <c r="AA206" s="15" t="s">
        <v>408</v>
      </c>
      <c r="AB206" s="15" t="s">
        <v>408</v>
      </c>
      <c r="AC206" s="15"/>
      <c r="AD206" s="15"/>
      <c r="AE206" s="15"/>
      <c r="AF206" s="15"/>
      <c r="AG206" s="15"/>
      <c r="AH206" s="15"/>
      <c r="AI206" s="15"/>
      <c r="AJ206" s="15"/>
      <c r="AK206" s="15"/>
      <c r="AL206" s="15"/>
      <c r="AM206" s="15"/>
      <c r="AN206" s="15"/>
      <c r="AO206" s="15"/>
      <c r="AP206" s="15"/>
      <c r="AQ206" s="15"/>
      <c r="AR206" s="15"/>
      <c r="AS206" s="15"/>
      <c r="AT206" s="15"/>
      <c r="AU206" s="15"/>
      <c r="AV206" s="15" t="s">
        <v>390</v>
      </c>
      <c r="AW206" s="15" t="s">
        <v>391</v>
      </c>
      <c r="AX206" s="15">
        <v>2.0</v>
      </c>
      <c r="AY206" s="15">
        <v>2.0</v>
      </c>
      <c r="AZ206" s="15" t="s">
        <v>429</v>
      </c>
      <c r="BA206" s="15">
        <v>2.0</v>
      </c>
      <c r="BB206" s="15">
        <v>2.0</v>
      </c>
      <c r="BC206" s="15" t="s">
        <v>4554</v>
      </c>
      <c r="BD206" s="15" t="s">
        <v>4555</v>
      </c>
      <c r="BE206" s="15" t="s">
        <v>392</v>
      </c>
      <c r="BF206" s="15" t="s">
        <v>433</v>
      </c>
      <c r="BG206" s="15" t="s">
        <v>434</v>
      </c>
      <c r="BH206" s="15" t="s">
        <v>4556</v>
      </c>
      <c r="BI206" s="15" t="s">
        <v>509</v>
      </c>
      <c r="BJ206" s="15" t="s">
        <v>4557</v>
      </c>
      <c r="BK206" s="15" t="s">
        <v>511</v>
      </c>
      <c r="BL206" s="15" t="s">
        <v>904</v>
      </c>
      <c r="BM206" s="15" t="s">
        <v>439</v>
      </c>
      <c r="BN206" s="15" t="s">
        <v>513</v>
      </c>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t="s">
        <v>441</v>
      </c>
      <c r="CM206" s="15" t="s">
        <v>442</v>
      </c>
      <c r="CN206" s="15" t="s">
        <v>4558</v>
      </c>
      <c r="CO206" s="15" t="s">
        <v>4559</v>
      </c>
      <c r="CP206" s="15" t="s">
        <v>445</v>
      </c>
      <c r="CQ206" s="15" t="s">
        <v>4560</v>
      </c>
      <c r="CR206" s="15" t="s">
        <v>447</v>
      </c>
      <c r="CS206" s="15" t="s">
        <v>4561</v>
      </c>
      <c r="CT206" s="15" t="s">
        <v>4562</v>
      </c>
      <c r="CU206" s="15" t="s">
        <v>450</v>
      </c>
      <c r="CV206" s="15" t="s">
        <v>451</v>
      </c>
      <c r="CW206" s="15" t="s">
        <v>4563</v>
      </c>
      <c r="CX206" s="15" t="s">
        <v>408</v>
      </c>
      <c r="CY206" s="15"/>
      <c r="CZ206" s="15" t="s">
        <v>453</v>
      </c>
      <c r="DA206" s="15" t="s">
        <v>4564</v>
      </c>
      <c r="DB206" s="15" t="s">
        <v>455</v>
      </c>
      <c r="DC206" s="15" t="s">
        <v>4565</v>
      </c>
      <c r="DD206" s="15" t="s">
        <v>988</v>
      </c>
      <c r="DE206" s="15" t="s">
        <v>407</v>
      </c>
      <c r="DF206" s="15" t="s">
        <v>4566</v>
      </c>
      <c r="DG206" s="15" t="s">
        <v>561</v>
      </c>
      <c r="DH206" s="15" t="s">
        <v>410</v>
      </c>
      <c r="DI206" s="15" t="s">
        <v>459</v>
      </c>
      <c r="DJ206" s="15" t="s">
        <v>562</v>
      </c>
      <c r="DK206" s="15" t="s">
        <v>525</v>
      </c>
      <c r="DL206" s="15"/>
      <c r="DM206" s="15"/>
      <c r="DN206" s="15"/>
      <c r="DO206" s="15"/>
      <c r="DP206" s="15"/>
      <c r="DQ206" s="15"/>
      <c r="DR206" s="15"/>
      <c r="DS206" s="15"/>
      <c r="DT206" s="15"/>
      <c r="DU206" s="15"/>
      <c r="DV206" s="15"/>
      <c r="DW206" s="15"/>
      <c r="DX206" s="15"/>
      <c r="DY206" s="15"/>
      <c r="DZ206" s="15"/>
      <c r="EA206" s="15"/>
      <c r="EB206" s="15"/>
      <c r="EC206" s="15"/>
      <c r="ED206" s="15"/>
      <c r="EE206" s="15"/>
      <c r="EF206" s="15"/>
      <c r="EG206" s="15"/>
      <c r="EH206" s="15"/>
      <c r="EI206" s="15"/>
      <c r="EJ206" s="15"/>
      <c r="EK206" s="15"/>
      <c r="EL206" s="15"/>
      <c r="EM206" s="15"/>
      <c r="EN206" s="15"/>
      <c r="EO206" s="15"/>
      <c r="EP206" s="15"/>
      <c r="EQ206" s="15"/>
      <c r="ER206" s="15"/>
      <c r="ES206" s="15"/>
      <c r="ET206" s="15" t="s">
        <v>578</v>
      </c>
      <c r="EU206" s="15" t="s">
        <v>479</v>
      </c>
      <c r="EV206" s="15" t="s">
        <v>480</v>
      </c>
      <c r="EW206" s="15"/>
      <c r="EX206" s="15" t="s">
        <v>4567</v>
      </c>
      <c r="EY206" s="15" t="s">
        <v>4568</v>
      </c>
      <c r="EZ206" s="15" t="s">
        <v>414</v>
      </c>
      <c r="FA206" s="15" t="s">
        <v>583</v>
      </c>
      <c r="FB206" s="15" t="s">
        <v>416</v>
      </c>
      <c r="FC206" s="15" t="s">
        <v>414</v>
      </c>
      <c r="FD206" s="15" t="s">
        <v>415</v>
      </c>
      <c r="FE206" s="15" t="s">
        <v>583</v>
      </c>
      <c r="FF206" s="15" t="s">
        <v>583</v>
      </c>
      <c r="FG206" s="15" t="s">
        <v>413</v>
      </c>
      <c r="FH206" s="15" t="s">
        <v>583</v>
      </c>
      <c r="FI206" s="15" t="s">
        <v>414</v>
      </c>
      <c r="FJ206" s="15" t="s">
        <v>414</v>
      </c>
      <c r="FK206" s="15" t="s">
        <v>413</v>
      </c>
      <c r="FL206" s="15" t="s">
        <v>415</v>
      </c>
      <c r="FM206" s="15" t="s">
        <v>413</v>
      </c>
      <c r="FN206" s="15" t="s">
        <v>414</v>
      </c>
      <c r="FO206" s="15" t="s">
        <v>485</v>
      </c>
      <c r="FP206" s="15" t="s">
        <v>418</v>
      </c>
      <c r="FQ206" s="15" t="s">
        <v>712</v>
      </c>
      <c r="FR206" s="15" t="s">
        <v>4569</v>
      </c>
      <c r="FS206" s="15" t="s">
        <v>420</v>
      </c>
      <c r="FT206" s="15" t="s">
        <v>488</v>
      </c>
      <c r="FU206" s="15" t="s">
        <v>489</v>
      </c>
      <c r="FV206" s="15" t="s">
        <v>490</v>
      </c>
      <c r="FW206" s="15" t="s">
        <v>491</v>
      </c>
      <c r="FX206" s="15" t="s">
        <v>4570</v>
      </c>
      <c r="FY206" s="15" t="s">
        <v>535</v>
      </c>
      <c r="FZ206" s="15" t="s">
        <v>4571</v>
      </c>
      <c r="GA206" s="15"/>
      <c r="GB206" s="15" t="s">
        <v>455</v>
      </c>
      <c r="GC206" s="15"/>
      <c r="GD206" s="15"/>
      <c r="GE206" s="15"/>
      <c r="GF206" s="15"/>
      <c r="GG206" s="15" t="s">
        <v>857</v>
      </c>
      <c r="GH206" s="15" t="s">
        <v>857</v>
      </c>
      <c r="GI206" s="15" t="s">
        <v>946</v>
      </c>
      <c r="GJ206" s="15"/>
      <c r="GK206" s="15"/>
      <c r="GL206" s="15"/>
      <c r="GM206" s="15"/>
      <c r="GN206" s="15"/>
      <c r="GO206" s="15"/>
      <c r="GP206" s="15"/>
      <c r="GQ206" s="15" t="s">
        <v>3208</v>
      </c>
      <c r="GR206" s="15"/>
      <c r="GS206" s="15"/>
      <c r="GT206" s="15"/>
      <c r="GU206" s="15"/>
      <c r="GV206" s="15"/>
      <c r="GW206" s="15"/>
      <c r="GX206" s="15"/>
      <c r="GY206" s="15"/>
      <c r="GZ206" s="15"/>
      <c r="HA206" s="15"/>
      <c r="HB206" s="15"/>
      <c r="HC206" s="15"/>
      <c r="HD206" s="15"/>
      <c r="HE206" s="15"/>
      <c r="HF206" s="15"/>
      <c r="HG206" s="15"/>
      <c r="HH206" s="15"/>
      <c r="HI206" s="15"/>
      <c r="HJ206" s="15"/>
      <c r="HK206" s="15"/>
      <c r="HL206" s="15"/>
      <c r="HM206" s="15"/>
      <c r="HN206" s="15"/>
      <c r="HO206" s="15"/>
      <c r="HP206" s="31"/>
      <c r="MX206" s="29" t="s">
        <v>894</v>
      </c>
      <c r="MY206" s="29" t="str">
        <f>IFERROR(__xludf.DUMMYFUNCTION("""COMPUTED_VALUE"""),"Ontario")</f>
        <v>Ontario</v>
      </c>
    </row>
    <row r="207" ht="16.5" customHeight="1">
      <c r="A207" s="30">
        <v>45837.456585266205</v>
      </c>
      <c r="B207" s="15" t="s">
        <v>368</v>
      </c>
      <c r="C207" s="15" t="s">
        <v>894</v>
      </c>
      <c r="D207" s="15" t="s">
        <v>894</v>
      </c>
      <c r="E207" s="15"/>
      <c r="F207" s="15"/>
      <c r="G207" s="15" t="s">
        <v>422</v>
      </c>
      <c r="H207" s="15" t="s">
        <v>1203</v>
      </c>
      <c r="I207" s="15" t="s">
        <v>638</v>
      </c>
      <c r="J207" s="15" t="s">
        <v>425</v>
      </c>
      <c r="K207" s="15" t="s">
        <v>376</v>
      </c>
      <c r="L207" s="15" t="s">
        <v>670</v>
      </c>
      <c r="M207" s="15" t="s">
        <v>4572</v>
      </c>
      <c r="N207" s="15" t="s">
        <v>591</v>
      </c>
      <c r="O207" s="15" t="s">
        <v>4573</v>
      </c>
      <c r="P207" s="15" t="s">
        <v>592</v>
      </c>
      <c r="Q207" s="15" t="s">
        <v>862</v>
      </c>
      <c r="R207" s="15" t="s">
        <v>500</v>
      </c>
      <c r="S207" s="15" t="s">
        <v>384</v>
      </c>
      <c r="T207" s="15" t="s">
        <v>385</v>
      </c>
      <c r="U207" s="15" t="s">
        <v>896</v>
      </c>
      <c r="V207" s="15" t="s">
        <v>896</v>
      </c>
      <c r="W207" s="15" t="s">
        <v>3014</v>
      </c>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t="s">
        <v>504</v>
      </c>
      <c r="AW207" s="15" t="s">
        <v>429</v>
      </c>
      <c r="AX207" s="15" t="s">
        <v>429</v>
      </c>
      <c r="AY207" s="15" t="s">
        <v>429</v>
      </c>
      <c r="AZ207" s="15" t="s">
        <v>429</v>
      </c>
      <c r="BA207" s="15" t="s">
        <v>429</v>
      </c>
      <c r="BB207" s="15" t="s">
        <v>429</v>
      </c>
      <c r="BC207" s="15" t="s">
        <v>4574</v>
      </c>
      <c r="BD207" s="15" t="s">
        <v>4575</v>
      </c>
      <c r="BE207" s="15" t="s">
        <v>392</v>
      </c>
      <c r="BF207" s="15" t="s">
        <v>433</v>
      </c>
      <c r="BG207" s="15" t="s">
        <v>678</v>
      </c>
      <c r="BH207" s="15" t="s">
        <v>4576</v>
      </c>
      <c r="BI207" s="15" t="s">
        <v>976</v>
      </c>
      <c r="BJ207" s="15"/>
      <c r="BK207" s="15" t="s">
        <v>511</v>
      </c>
      <c r="BL207" s="15" t="s">
        <v>904</v>
      </c>
      <c r="BM207" s="15" t="s">
        <v>439</v>
      </c>
      <c r="BN207" s="15" t="s">
        <v>513</v>
      </c>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t="s">
        <v>441</v>
      </c>
      <c r="CM207" s="15" t="s">
        <v>604</v>
      </c>
      <c r="CN207" s="15" t="s">
        <v>552</v>
      </c>
      <c r="CO207" s="15" t="s">
        <v>4577</v>
      </c>
      <c r="CP207" s="15" t="s">
        <v>685</v>
      </c>
      <c r="CQ207" s="15" t="s">
        <v>4578</v>
      </c>
      <c r="CR207" s="15" t="s">
        <v>804</v>
      </c>
      <c r="CS207" s="15" t="s">
        <v>4579</v>
      </c>
      <c r="CT207" s="15" t="s">
        <v>4580</v>
      </c>
      <c r="CU207" s="15" t="s">
        <v>450</v>
      </c>
      <c r="CV207" s="15" t="s">
        <v>451</v>
      </c>
      <c r="CW207" s="15" t="s">
        <v>4581</v>
      </c>
      <c r="CX207" s="15" t="s">
        <v>408</v>
      </c>
      <c r="CY207" s="15"/>
      <c r="CZ207" s="15" t="s">
        <v>453</v>
      </c>
      <c r="DA207" s="15" t="s">
        <v>4582</v>
      </c>
      <c r="DB207" s="15" t="s">
        <v>455</v>
      </c>
      <c r="DC207" s="15" t="s">
        <v>4583</v>
      </c>
      <c r="DD207" s="15" t="s">
        <v>662</v>
      </c>
      <c r="DE207" s="15"/>
      <c r="DF207" s="15" t="s">
        <v>4584</v>
      </c>
      <c r="DG207" s="15" t="s">
        <v>524</v>
      </c>
      <c r="DH207" s="15" t="s">
        <v>410</v>
      </c>
      <c r="DI207" s="15" t="s">
        <v>459</v>
      </c>
      <c r="DJ207" s="15" t="s">
        <v>613</v>
      </c>
      <c r="DK207" s="15"/>
      <c r="DL207" s="15"/>
      <c r="DM207" s="15"/>
      <c r="DN207" s="15"/>
      <c r="DO207" s="15"/>
      <c r="DP207" s="15"/>
      <c r="DQ207" s="15"/>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t="s">
        <v>526</v>
      </c>
      <c r="EU207" s="15" t="s">
        <v>1127</v>
      </c>
      <c r="EV207" s="15" t="s">
        <v>580</v>
      </c>
      <c r="EW207" s="15"/>
      <c r="EX207" s="15" t="s">
        <v>4585</v>
      </c>
      <c r="EY207" s="15" t="s">
        <v>4586</v>
      </c>
      <c r="EZ207" s="15" t="s">
        <v>415</v>
      </c>
      <c r="FA207" s="15" t="s">
        <v>413</v>
      </c>
      <c r="FB207" s="15" t="s">
        <v>415</v>
      </c>
      <c r="FC207" s="15" t="s">
        <v>415</v>
      </c>
      <c r="FD207" s="15" t="s">
        <v>415</v>
      </c>
      <c r="FE207" s="15" t="s">
        <v>415</v>
      </c>
      <c r="FF207" s="15" t="s">
        <v>415</v>
      </c>
      <c r="FG207" s="15" t="s">
        <v>415</v>
      </c>
      <c r="FH207" s="15" t="s">
        <v>415</v>
      </c>
      <c r="FI207" s="15" t="s">
        <v>415</v>
      </c>
      <c r="FJ207" s="15" t="s">
        <v>415</v>
      </c>
      <c r="FK207" s="15" t="s">
        <v>415</v>
      </c>
      <c r="FL207" s="15" t="s">
        <v>415</v>
      </c>
      <c r="FM207" s="15" t="s">
        <v>415</v>
      </c>
      <c r="FN207" s="15" t="s">
        <v>415</v>
      </c>
      <c r="FO207" s="15" t="s">
        <v>417</v>
      </c>
      <c r="FP207" s="15" t="s">
        <v>418</v>
      </c>
      <c r="FQ207" s="15" t="s">
        <v>419</v>
      </c>
      <c r="FR207" s="15" t="s">
        <v>4587</v>
      </c>
      <c r="FS207" s="15" t="s">
        <v>420</v>
      </c>
      <c r="FT207" s="15" t="s">
        <v>488</v>
      </c>
      <c r="FU207" s="15" t="s">
        <v>918</v>
      </c>
      <c r="FV207" s="15" t="s">
        <v>490</v>
      </c>
      <c r="FW207" s="15" t="s">
        <v>491</v>
      </c>
      <c r="FX207" s="15" t="s">
        <v>4588</v>
      </c>
      <c r="FY207" s="15" t="s">
        <v>535</v>
      </c>
      <c r="FZ207" s="15"/>
      <c r="GA207" s="15"/>
      <c r="GB207" s="15" t="s">
        <v>455</v>
      </c>
      <c r="GC207" s="15"/>
      <c r="GD207" s="15"/>
      <c r="GE207" s="15" t="s">
        <v>753</v>
      </c>
      <c r="GF207" s="15" t="s">
        <v>4589</v>
      </c>
      <c r="GG207" s="15" t="s">
        <v>755</v>
      </c>
      <c r="GH207" s="15" t="s">
        <v>789</v>
      </c>
      <c r="GI207" s="15" t="s">
        <v>817</v>
      </c>
      <c r="GJ207" s="15"/>
      <c r="GK207" s="15"/>
      <c r="GL207" s="15"/>
      <c r="GM207" s="15"/>
      <c r="GN207" s="15"/>
      <c r="GO207" s="15"/>
      <c r="GP207" s="15"/>
      <c r="GQ207" s="15" t="s">
        <v>3208</v>
      </c>
      <c r="GR207" s="15"/>
      <c r="GS207" s="15"/>
      <c r="GT207" s="15"/>
      <c r="GU207" s="15"/>
      <c r="GV207" s="15"/>
      <c r="GW207" s="15"/>
      <c r="GX207" s="15"/>
      <c r="GY207" s="15"/>
      <c r="GZ207" s="15"/>
      <c r="HA207" s="15"/>
      <c r="HB207" s="15"/>
      <c r="HC207" s="15"/>
      <c r="HD207" s="15"/>
      <c r="HE207" s="15"/>
      <c r="HF207" s="15"/>
      <c r="HG207" s="15"/>
      <c r="HH207" s="15"/>
      <c r="HI207" s="15"/>
      <c r="HJ207" s="15"/>
      <c r="HK207" s="15"/>
      <c r="HL207" s="15"/>
      <c r="HM207" s="15"/>
      <c r="HN207" s="15"/>
      <c r="HO207" s="15"/>
      <c r="HP207" s="31"/>
      <c r="MX207" s="29" t="s">
        <v>10402</v>
      </c>
      <c r="MY207" s="29" t="str">
        <f>IFERROR(__xludf.DUMMYFUNCTION("""COMPUTED_VALUE"""),"Florida")</f>
        <v>Florida</v>
      </c>
    </row>
    <row r="208" ht="16.5" customHeight="1">
      <c r="A208" s="30">
        <v>45837.54343665509</v>
      </c>
      <c r="B208" s="15" t="s">
        <v>368</v>
      </c>
      <c r="C208" s="15" t="s">
        <v>370</v>
      </c>
      <c r="D208" s="15" t="s">
        <v>370</v>
      </c>
      <c r="E208" s="15" t="s">
        <v>2114</v>
      </c>
      <c r="F208" s="15" t="s">
        <v>2114</v>
      </c>
      <c r="G208" s="15" t="s">
        <v>422</v>
      </c>
      <c r="H208" s="15" t="s">
        <v>423</v>
      </c>
      <c r="I208" s="15" t="s">
        <v>424</v>
      </c>
      <c r="J208" s="15" t="s">
        <v>1240</v>
      </c>
      <c r="K208" s="15" t="s">
        <v>376</v>
      </c>
      <c r="L208" s="15" t="s">
        <v>426</v>
      </c>
      <c r="M208" s="15" t="s">
        <v>378</v>
      </c>
      <c r="N208" s="15" t="s">
        <v>379</v>
      </c>
      <c r="O208" s="15" t="s">
        <v>4590</v>
      </c>
      <c r="P208" s="15" t="s">
        <v>498</v>
      </c>
      <c r="Q208" s="15" t="s">
        <v>1156</v>
      </c>
      <c r="R208" s="15" t="s">
        <v>427</v>
      </c>
      <c r="S208" s="15" t="s">
        <v>384</v>
      </c>
      <c r="T208" s="15" t="s">
        <v>385</v>
      </c>
      <c r="U208" s="15"/>
      <c r="V208" s="15"/>
      <c r="W208" s="15" t="s">
        <v>593</v>
      </c>
      <c r="X208" s="15" t="s">
        <v>387</v>
      </c>
      <c r="Y208" s="15" t="s">
        <v>388</v>
      </c>
      <c r="Z208" s="15" t="s">
        <v>543</v>
      </c>
      <c r="AA208" s="15" t="s">
        <v>4591</v>
      </c>
      <c r="AB208" s="15" t="s">
        <v>4592</v>
      </c>
      <c r="AC208" s="15"/>
      <c r="AD208" s="15"/>
      <c r="AE208" s="15"/>
      <c r="AF208" s="15"/>
      <c r="AG208" s="15"/>
      <c r="AH208" s="15"/>
      <c r="AI208" s="15"/>
      <c r="AJ208" s="15"/>
      <c r="AK208" s="15"/>
      <c r="AL208" s="15"/>
      <c r="AM208" s="15"/>
      <c r="AN208" s="15"/>
      <c r="AO208" s="15"/>
      <c r="AP208" s="15"/>
      <c r="AQ208" s="15"/>
      <c r="AR208" s="15"/>
      <c r="AS208" s="15"/>
      <c r="AT208" s="15"/>
      <c r="AU208" s="15"/>
      <c r="AV208" s="15" t="s">
        <v>504</v>
      </c>
      <c r="AW208" s="15" t="s">
        <v>429</v>
      </c>
      <c r="AX208" s="15" t="s">
        <v>429</v>
      </c>
      <c r="AY208" s="15">
        <v>4.0</v>
      </c>
      <c r="AZ208" s="15" t="s">
        <v>429</v>
      </c>
      <c r="BA208" s="15" t="s">
        <v>429</v>
      </c>
      <c r="BB208" s="15" t="s">
        <v>429</v>
      </c>
      <c r="BC208" s="15" t="s">
        <v>4593</v>
      </c>
      <c r="BD208" s="15" t="s">
        <v>4594</v>
      </c>
      <c r="BE208" s="15" t="s">
        <v>432</v>
      </c>
      <c r="BF208" s="15" t="s">
        <v>433</v>
      </c>
      <c r="BG208" s="15" t="s">
        <v>678</v>
      </c>
      <c r="BH208" s="15" t="s">
        <v>4595</v>
      </c>
      <c r="BI208" s="15" t="s">
        <v>509</v>
      </c>
      <c r="BJ208" s="15" t="s">
        <v>4596</v>
      </c>
      <c r="BK208" s="15" t="s">
        <v>681</v>
      </c>
      <c r="BL208" s="15" t="s">
        <v>512</v>
      </c>
      <c r="BM208" s="15" t="s">
        <v>439</v>
      </c>
      <c r="BN208" s="15" t="s">
        <v>513</v>
      </c>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t="s">
        <v>441</v>
      </c>
      <c r="CM208" s="15" t="s">
        <v>682</v>
      </c>
      <c r="CN208" s="15" t="s">
        <v>4597</v>
      </c>
      <c r="CO208" s="15" t="s">
        <v>4598</v>
      </c>
      <c r="CP208" s="15" t="s">
        <v>685</v>
      </c>
      <c r="CQ208" s="15" t="s">
        <v>4599</v>
      </c>
      <c r="CR208" s="15" t="s">
        <v>447</v>
      </c>
      <c r="CS208" s="15" t="s">
        <v>805</v>
      </c>
      <c r="CT208" s="15" t="s">
        <v>4600</v>
      </c>
      <c r="CU208" s="15" t="s">
        <v>450</v>
      </c>
      <c r="CV208" s="15" t="s">
        <v>451</v>
      </c>
      <c r="CW208" s="15" t="s">
        <v>4601</v>
      </c>
      <c r="CX208" s="15" t="s">
        <v>455</v>
      </c>
      <c r="CY208" s="15" t="s">
        <v>4602</v>
      </c>
      <c r="CZ208" s="15" t="s">
        <v>453</v>
      </c>
      <c r="DA208" s="15" t="s">
        <v>4603</v>
      </c>
      <c r="DB208" s="15" t="s">
        <v>455</v>
      </c>
      <c r="DC208" s="15" t="s">
        <v>4604</v>
      </c>
      <c r="DD208" s="15" t="s">
        <v>988</v>
      </c>
      <c r="DE208" s="15"/>
      <c r="DF208" s="15" t="s">
        <v>4605</v>
      </c>
      <c r="DG208" s="15" t="s">
        <v>693</v>
      </c>
      <c r="DH208" s="15" t="s">
        <v>410</v>
      </c>
      <c r="DI208" s="15" t="s">
        <v>459</v>
      </c>
      <c r="DJ208" s="15" t="s">
        <v>460</v>
      </c>
      <c r="DK208" s="15" t="s">
        <v>461</v>
      </c>
      <c r="DL208" s="15"/>
      <c r="DM208" s="15"/>
      <c r="DN208" s="15"/>
      <c r="DO208" s="15"/>
      <c r="DP208" s="15"/>
      <c r="DQ208" s="15"/>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t="s">
        <v>526</v>
      </c>
      <c r="EU208" s="15" t="s">
        <v>479</v>
      </c>
      <c r="EV208" s="15" t="s">
        <v>480</v>
      </c>
      <c r="EW208" s="15" t="s">
        <v>4606</v>
      </c>
      <c r="EX208" s="15" t="s">
        <v>4607</v>
      </c>
      <c r="EY208" s="15" t="s">
        <v>4608</v>
      </c>
      <c r="EZ208" s="15" t="s">
        <v>583</v>
      </c>
      <c r="FA208" s="15" t="s">
        <v>583</v>
      </c>
      <c r="FB208" s="15" t="s">
        <v>583</v>
      </c>
      <c r="FC208" s="15" t="s">
        <v>583</v>
      </c>
      <c r="FD208" s="15" t="s">
        <v>484</v>
      </c>
      <c r="FE208" s="15" t="s">
        <v>583</v>
      </c>
      <c r="FF208" s="15" t="s">
        <v>484</v>
      </c>
      <c r="FG208" s="15" t="s">
        <v>583</v>
      </c>
      <c r="FH208" s="15" t="s">
        <v>583</v>
      </c>
      <c r="FI208" s="15" t="s">
        <v>583</v>
      </c>
      <c r="FJ208" s="15" t="s">
        <v>583</v>
      </c>
      <c r="FK208" s="15" t="s">
        <v>583</v>
      </c>
      <c r="FL208" s="15" t="s">
        <v>583</v>
      </c>
      <c r="FM208" s="15" t="s">
        <v>583</v>
      </c>
      <c r="FN208" s="15" t="s">
        <v>583</v>
      </c>
      <c r="FO208" s="15" t="s">
        <v>1537</v>
      </c>
      <c r="FP208" s="15" t="s">
        <v>2524</v>
      </c>
      <c r="FQ208" s="15" t="s">
        <v>630</v>
      </c>
      <c r="FR208" s="15" t="s">
        <v>4609</v>
      </c>
      <c r="FS208" s="15" t="s">
        <v>420</v>
      </c>
      <c r="FT208" s="15" t="s">
        <v>488</v>
      </c>
      <c r="FU208" s="15" t="s">
        <v>533</v>
      </c>
      <c r="FV208" s="15" t="s">
        <v>490</v>
      </c>
      <c r="FW208" s="15" t="s">
        <v>1853</v>
      </c>
      <c r="FX208" s="15" t="s">
        <v>4610</v>
      </c>
      <c r="FY208" s="15" t="s">
        <v>535</v>
      </c>
      <c r="FZ208" s="15" t="s">
        <v>4611</v>
      </c>
      <c r="GA208" s="15" t="s">
        <v>4612</v>
      </c>
      <c r="GB208" s="15" t="s">
        <v>455</v>
      </c>
      <c r="GC208" s="15"/>
      <c r="GD208" s="15"/>
      <c r="GE208" s="15" t="s">
        <v>1339</v>
      </c>
      <c r="GF208" s="15" t="s">
        <v>4613</v>
      </c>
      <c r="GG208" s="15" t="s">
        <v>755</v>
      </c>
      <c r="GH208" s="15" t="s">
        <v>788</v>
      </c>
      <c r="GI208" s="15" t="s">
        <v>756</v>
      </c>
      <c r="GJ208" s="15"/>
      <c r="GK208" s="15"/>
      <c r="GL208" s="15"/>
      <c r="GM208" s="15"/>
      <c r="GN208" s="15"/>
      <c r="GO208" s="15"/>
      <c r="GP208" s="15"/>
      <c r="GQ208" s="15" t="s">
        <v>4614</v>
      </c>
      <c r="GR208" s="15"/>
      <c r="GS208" s="15"/>
      <c r="GT208" s="15"/>
      <c r="GU208" s="15"/>
      <c r="GV208" s="15"/>
      <c r="GW208" s="15"/>
      <c r="GX208" s="15"/>
      <c r="GY208" s="15"/>
      <c r="GZ208" s="15"/>
      <c r="HA208" s="15"/>
      <c r="HB208" s="15"/>
      <c r="HC208" s="15"/>
      <c r="HD208" s="15"/>
      <c r="HE208" s="15"/>
      <c r="HF208" s="15"/>
      <c r="HG208" s="15"/>
      <c r="HH208" s="15"/>
      <c r="HI208" s="15"/>
      <c r="HJ208" s="15"/>
      <c r="HK208" s="15"/>
      <c r="HL208" s="15"/>
      <c r="HM208" s="15"/>
      <c r="HN208" s="15"/>
      <c r="HO208" s="15"/>
      <c r="HP208" s="31"/>
      <c r="MX208" s="29" t="s">
        <v>10402</v>
      </c>
      <c r="MY208" s="29" t="str">
        <f>IFERROR(__xludf.DUMMYFUNCTION("""COMPUTED_VALUE"""),"Washington")</f>
        <v>Washington</v>
      </c>
    </row>
    <row r="209" ht="16.5" customHeight="1">
      <c r="A209" s="30">
        <v>45837.65933071759</v>
      </c>
      <c r="B209" s="15" t="s">
        <v>368</v>
      </c>
      <c r="C209" s="15" t="s">
        <v>370</v>
      </c>
      <c r="D209" s="15" t="s">
        <v>370</v>
      </c>
      <c r="E209" s="15" t="s">
        <v>1421</v>
      </c>
      <c r="F209" s="15" t="s">
        <v>1421</v>
      </c>
      <c r="G209" s="15" t="s">
        <v>3187</v>
      </c>
      <c r="H209" s="15" t="s">
        <v>373</v>
      </c>
      <c r="I209" s="15" t="s">
        <v>374</v>
      </c>
      <c r="J209" s="15" t="s">
        <v>590</v>
      </c>
      <c r="K209" s="15" t="s">
        <v>376</v>
      </c>
      <c r="L209" s="15" t="s">
        <v>379</v>
      </c>
      <c r="M209" s="15" t="s">
        <v>378</v>
      </c>
      <c r="N209" s="15" t="s">
        <v>379</v>
      </c>
      <c r="O209" s="15" t="s">
        <v>380</v>
      </c>
      <c r="P209" s="15" t="s">
        <v>498</v>
      </c>
      <c r="Q209" s="15" t="s">
        <v>862</v>
      </c>
      <c r="R209" s="15" t="s">
        <v>2360</v>
      </c>
      <c r="S209" s="15" t="s">
        <v>1512</v>
      </c>
      <c r="T209" s="15" t="s">
        <v>385</v>
      </c>
      <c r="U209" s="15"/>
      <c r="V209" s="15"/>
      <c r="W209" s="15" t="s">
        <v>3014</v>
      </c>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t="s">
        <v>1242</v>
      </c>
      <c r="AW209" s="15" t="s">
        <v>675</v>
      </c>
      <c r="AX209" s="15" t="s">
        <v>675</v>
      </c>
      <c r="AY209" s="15">
        <v>4.0</v>
      </c>
      <c r="AZ209" s="15" t="s">
        <v>675</v>
      </c>
      <c r="BA209" s="15" t="s">
        <v>675</v>
      </c>
      <c r="BB209" s="15" t="s">
        <v>675</v>
      </c>
      <c r="BC209" s="15" t="s">
        <v>2220</v>
      </c>
      <c r="BD209" s="15" t="s">
        <v>4615</v>
      </c>
      <c r="BE209" s="15" t="s">
        <v>2379</v>
      </c>
      <c r="BF209" s="15" t="s">
        <v>1047</v>
      </c>
      <c r="BG209" s="15" t="s">
        <v>434</v>
      </c>
      <c r="BH209" s="15" t="s">
        <v>4616</v>
      </c>
      <c r="BI209" s="15" t="s">
        <v>976</v>
      </c>
      <c r="BJ209" s="15"/>
      <c r="BK209" s="15" t="s">
        <v>602</v>
      </c>
      <c r="BL209" s="15" t="s">
        <v>904</v>
      </c>
      <c r="BM209" s="15" t="s">
        <v>1314</v>
      </c>
      <c r="BN209" s="15" t="s">
        <v>440</v>
      </c>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t="s">
        <v>441</v>
      </c>
      <c r="CM209" s="15" t="s">
        <v>442</v>
      </c>
      <c r="CN209" s="15" t="s">
        <v>4617</v>
      </c>
      <c r="CO209" s="15" t="s">
        <v>4618</v>
      </c>
      <c r="CP209" s="15" t="s">
        <v>685</v>
      </c>
      <c r="CQ209" s="15" t="s">
        <v>956</v>
      </c>
      <c r="CR209" s="15" t="s">
        <v>804</v>
      </c>
      <c r="CS209" s="15" t="s">
        <v>1626</v>
      </c>
      <c r="CT209" s="15" t="s">
        <v>4619</v>
      </c>
      <c r="CU209" s="15" t="s">
        <v>1863</v>
      </c>
      <c r="CV209" s="15" t="s">
        <v>1931</v>
      </c>
      <c r="CW209" s="15" t="s">
        <v>4620</v>
      </c>
      <c r="CX209" s="15" t="s">
        <v>408</v>
      </c>
      <c r="CY209" s="15"/>
      <c r="CZ209" s="15" t="s">
        <v>453</v>
      </c>
      <c r="DA209" s="15" t="s">
        <v>4621</v>
      </c>
      <c r="DB209" s="15" t="s">
        <v>408</v>
      </c>
      <c r="DC209" s="15"/>
      <c r="DD209" s="15" t="s">
        <v>406</v>
      </c>
      <c r="DE209" s="15" t="s">
        <v>407</v>
      </c>
      <c r="DF209" s="15" t="s">
        <v>4622</v>
      </c>
      <c r="DG209" s="15" t="s">
        <v>524</v>
      </c>
      <c r="DH209" s="15" t="s">
        <v>1220</v>
      </c>
      <c r="DI209" s="15" t="s">
        <v>459</v>
      </c>
      <c r="DJ209" s="15" t="s">
        <v>613</v>
      </c>
      <c r="DK209" s="15"/>
      <c r="DL209" s="15"/>
      <c r="DM209" s="15" t="s">
        <v>4623</v>
      </c>
      <c r="DN209" s="15" t="s">
        <v>4624</v>
      </c>
      <c r="DO209" s="15" t="s">
        <v>464</v>
      </c>
      <c r="DP209" s="15" t="s">
        <v>4625</v>
      </c>
      <c r="DQ209" s="15" t="s">
        <v>466</v>
      </c>
      <c r="DR209" s="15" t="s">
        <v>4626</v>
      </c>
      <c r="DS209" s="15" t="s">
        <v>618</v>
      </c>
      <c r="DT209" s="15" t="s">
        <v>619</v>
      </c>
      <c r="DU209" s="15" t="s">
        <v>4627</v>
      </c>
      <c r="DV209" s="15" t="s">
        <v>4628</v>
      </c>
      <c r="DW209" s="15" t="s">
        <v>1328</v>
      </c>
      <c r="DX209" s="15" t="s">
        <v>4629</v>
      </c>
      <c r="DY209" s="15" t="s">
        <v>4630</v>
      </c>
      <c r="DZ209" s="15" t="s">
        <v>4631</v>
      </c>
      <c r="EA209" s="15" t="s">
        <v>475</v>
      </c>
      <c r="EB209" s="15" t="s">
        <v>476</v>
      </c>
      <c r="EC209" s="15" t="s">
        <v>4632</v>
      </c>
      <c r="ED209" s="15"/>
      <c r="EE209" s="15"/>
      <c r="EF209" s="15"/>
      <c r="EG209" s="15"/>
      <c r="EH209" s="15"/>
      <c r="EI209" s="15"/>
      <c r="EJ209" s="15"/>
      <c r="EK209" s="15"/>
      <c r="EL209" s="15"/>
      <c r="EM209" s="15"/>
      <c r="EN209" s="15"/>
      <c r="EO209" s="15"/>
      <c r="EP209" s="15"/>
      <c r="EQ209" s="15"/>
      <c r="ER209" s="15"/>
      <c r="ES209" s="15"/>
      <c r="ET209" s="15" t="s">
        <v>526</v>
      </c>
      <c r="EU209" s="15" t="s">
        <v>479</v>
      </c>
      <c r="EV209" s="15" t="s">
        <v>480</v>
      </c>
      <c r="EW209" s="15"/>
      <c r="EX209" s="15" t="s">
        <v>4633</v>
      </c>
      <c r="EY209" s="15" t="s">
        <v>4634</v>
      </c>
      <c r="EZ209" s="15" t="s">
        <v>413</v>
      </c>
      <c r="FA209" s="15" t="s">
        <v>416</v>
      </c>
      <c r="FB209" s="15" t="s">
        <v>413</v>
      </c>
      <c r="FC209" s="15" t="s">
        <v>413</v>
      </c>
      <c r="FD209" s="15" t="s">
        <v>413</v>
      </c>
      <c r="FE209" s="15" t="s">
        <v>484</v>
      </c>
      <c r="FF209" s="15" t="s">
        <v>484</v>
      </c>
      <c r="FG209" s="15" t="s">
        <v>413</v>
      </c>
      <c r="FH209" s="15" t="s">
        <v>484</v>
      </c>
      <c r="FI209" s="15" t="s">
        <v>414</v>
      </c>
      <c r="FJ209" s="15" t="s">
        <v>416</v>
      </c>
      <c r="FK209" s="15" t="s">
        <v>414</v>
      </c>
      <c r="FL209" s="15" t="s">
        <v>414</v>
      </c>
      <c r="FM209" s="15" t="s">
        <v>413</v>
      </c>
      <c r="FN209" s="15" t="s">
        <v>484</v>
      </c>
      <c r="FO209" s="15" t="s">
        <v>417</v>
      </c>
      <c r="FP209" s="15" t="s">
        <v>418</v>
      </c>
      <c r="FQ209" s="15" t="s">
        <v>1039</v>
      </c>
      <c r="FR209" s="15" t="s">
        <v>4635</v>
      </c>
      <c r="FS209" s="15" t="s">
        <v>420</v>
      </c>
      <c r="FT209" s="15" t="s">
        <v>488</v>
      </c>
      <c r="FU209" s="15" t="s">
        <v>489</v>
      </c>
      <c r="FV209" s="15" t="s">
        <v>490</v>
      </c>
      <c r="FW209" s="15" t="s">
        <v>491</v>
      </c>
      <c r="FX209" s="15" t="s">
        <v>4636</v>
      </c>
      <c r="FY209" s="15" t="s">
        <v>535</v>
      </c>
      <c r="FZ209" s="15"/>
      <c r="GA209" s="15"/>
      <c r="GB209" s="15" t="s">
        <v>455</v>
      </c>
      <c r="GC209" s="15"/>
      <c r="GD209" s="15"/>
      <c r="GE209" s="15" t="s">
        <v>753</v>
      </c>
      <c r="GF209" s="15" t="s">
        <v>4637</v>
      </c>
      <c r="GG209" s="15" t="s">
        <v>857</v>
      </c>
      <c r="GH209" s="15" t="s">
        <v>857</v>
      </c>
      <c r="GI209" s="15" t="s">
        <v>858</v>
      </c>
      <c r="GJ209" s="15"/>
      <c r="GK209" s="15"/>
      <c r="GL209" s="15"/>
      <c r="GM209" s="15" t="s">
        <v>1079</v>
      </c>
      <c r="GN209" s="15"/>
      <c r="GO209" s="15"/>
      <c r="GP209" s="15"/>
      <c r="GQ209" s="15" t="s">
        <v>3351</v>
      </c>
      <c r="GR209" s="15"/>
      <c r="GS209" s="15"/>
      <c r="GT209" s="15"/>
      <c r="GU209" s="15"/>
      <c r="GV209" s="15"/>
      <c r="GW209" s="15"/>
      <c r="GX209" s="15"/>
      <c r="GY209" s="15"/>
      <c r="GZ209" s="15"/>
      <c r="HA209" s="15"/>
      <c r="HB209" s="15"/>
      <c r="HC209" s="15"/>
      <c r="HD209" s="15"/>
      <c r="HE209" s="15"/>
      <c r="HF209" s="15"/>
      <c r="HG209" s="15"/>
      <c r="HH209" s="15"/>
      <c r="HI209" s="15"/>
      <c r="HJ209" s="15"/>
      <c r="HK209" s="15"/>
      <c r="HL209" s="15"/>
      <c r="HM209" s="15"/>
      <c r="HN209" s="15"/>
      <c r="HO209" s="15"/>
      <c r="HP209" s="31"/>
      <c r="MX209" s="29" t="s">
        <v>2025</v>
      </c>
      <c r="MY209" s="29" t="str">
        <f>IFERROR(__xludf.DUMMYFUNCTION("""COMPUTED_VALUE"""),"South Africa")</f>
        <v>South Africa</v>
      </c>
    </row>
    <row r="210" ht="16.5" customHeight="1">
      <c r="A210" s="30">
        <v>45838.117896192125</v>
      </c>
      <c r="B210" s="15" t="s">
        <v>368</v>
      </c>
      <c r="C210" s="15" t="s">
        <v>2025</v>
      </c>
      <c r="D210" s="15" t="s">
        <v>2025</v>
      </c>
      <c r="E210" s="15"/>
      <c r="F210" s="15"/>
      <c r="G210" s="15" t="s">
        <v>422</v>
      </c>
      <c r="H210" s="15" t="s">
        <v>423</v>
      </c>
      <c r="I210" s="15" t="s">
        <v>424</v>
      </c>
      <c r="J210" s="15" t="s">
        <v>375</v>
      </c>
      <c r="K210" s="15" t="s">
        <v>376</v>
      </c>
      <c r="L210" s="15" t="s">
        <v>377</v>
      </c>
      <c r="M210" s="15" t="s">
        <v>541</v>
      </c>
      <c r="N210" s="15" t="s">
        <v>379</v>
      </c>
      <c r="O210" s="15" t="s">
        <v>541</v>
      </c>
      <c r="P210" s="15" t="s">
        <v>498</v>
      </c>
      <c r="Q210" s="15" t="s">
        <v>499</v>
      </c>
      <c r="R210" s="15" t="s">
        <v>500</v>
      </c>
      <c r="S210" s="15" t="s">
        <v>384</v>
      </c>
      <c r="T210" s="15" t="s">
        <v>385</v>
      </c>
      <c r="U210" s="15"/>
      <c r="V210" s="15"/>
      <c r="W210" s="15" t="s">
        <v>386</v>
      </c>
      <c r="X210" s="15" t="s">
        <v>387</v>
      </c>
      <c r="Y210" s="15" t="s">
        <v>2026</v>
      </c>
      <c r="Z210" s="15" t="s">
        <v>543</v>
      </c>
      <c r="AA210" s="15" t="s">
        <v>4638</v>
      </c>
      <c r="AB210" s="15"/>
      <c r="AC210" s="15"/>
      <c r="AD210" s="15"/>
      <c r="AE210" s="15"/>
      <c r="AF210" s="15"/>
      <c r="AG210" s="15"/>
      <c r="AH210" s="15"/>
      <c r="AI210" s="15"/>
      <c r="AJ210" s="15"/>
      <c r="AK210" s="15"/>
      <c r="AL210" s="15"/>
      <c r="AM210" s="15"/>
      <c r="AN210" s="15"/>
      <c r="AO210" s="15"/>
      <c r="AP210" s="15"/>
      <c r="AQ210" s="15"/>
      <c r="AR210" s="15"/>
      <c r="AS210" s="15"/>
      <c r="AT210" s="15"/>
      <c r="AU210" s="15"/>
      <c r="AV210" s="15" t="s">
        <v>504</v>
      </c>
      <c r="AW210" s="15">
        <v>2.0</v>
      </c>
      <c r="AX210" s="15" t="s">
        <v>429</v>
      </c>
      <c r="AY210" s="15" t="s">
        <v>391</v>
      </c>
      <c r="AZ210" s="15" t="s">
        <v>429</v>
      </c>
      <c r="BA210" s="15" t="s">
        <v>429</v>
      </c>
      <c r="BB210" s="15" t="s">
        <v>429</v>
      </c>
      <c r="BC210" s="15" t="s">
        <v>4639</v>
      </c>
      <c r="BD210" s="15" t="s">
        <v>4640</v>
      </c>
      <c r="BE210" s="15" t="s">
        <v>392</v>
      </c>
      <c r="BF210" s="15" t="s">
        <v>433</v>
      </c>
      <c r="BG210" s="15" t="s">
        <v>678</v>
      </c>
      <c r="BH210" s="15"/>
      <c r="BI210" s="15" t="s">
        <v>509</v>
      </c>
      <c r="BJ210" s="15" t="s">
        <v>4641</v>
      </c>
      <c r="BK210" s="15" t="s">
        <v>511</v>
      </c>
      <c r="BL210" s="15" t="s">
        <v>512</v>
      </c>
      <c r="BM210" s="15" t="s">
        <v>439</v>
      </c>
      <c r="BN210" s="15" t="s">
        <v>513</v>
      </c>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t="s">
        <v>441</v>
      </c>
      <c r="CM210" s="15" t="s">
        <v>401</v>
      </c>
      <c r="CN210" s="15" t="s">
        <v>4642</v>
      </c>
      <c r="CO210" s="15" t="s">
        <v>4643</v>
      </c>
      <c r="CP210" s="15" t="s">
        <v>685</v>
      </c>
      <c r="CQ210" s="15" t="s">
        <v>4644</v>
      </c>
      <c r="CR210" s="15" t="s">
        <v>447</v>
      </c>
      <c r="CS210" s="15" t="s">
        <v>4645</v>
      </c>
      <c r="CT210" s="15" t="s">
        <v>4646</v>
      </c>
      <c r="CU210" s="15" t="s">
        <v>450</v>
      </c>
      <c r="CV210" s="15"/>
      <c r="CW210" s="15" t="s">
        <v>4647</v>
      </c>
      <c r="CX210" s="15" t="s">
        <v>408</v>
      </c>
      <c r="CY210" s="15"/>
      <c r="CZ210" s="15" t="s">
        <v>453</v>
      </c>
      <c r="DA210" s="15" t="s">
        <v>4648</v>
      </c>
      <c r="DB210" s="15" t="s">
        <v>455</v>
      </c>
      <c r="DC210" s="15" t="s">
        <v>4649</v>
      </c>
      <c r="DD210" s="15" t="s">
        <v>457</v>
      </c>
      <c r="DE210" s="15"/>
      <c r="DF210" s="15" t="s">
        <v>4650</v>
      </c>
      <c r="DG210" s="15" t="s">
        <v>776</v>
      </c>
      <c r="DH210" s="15" t="s">
        <v>410</v>
      </c>
      <c r="DI210" s="15" t="s">
        <v>459</v>
      </c>
      <c r="DJ210" s="15" t="s">
        <v>613</v>
      </c>
      <c r="DK210" s="15"/>
      <c r="DL210" s="15"/>
      <c r="DM210" s="15"/>
      <c r="DN210" s="15"/>
      <c r="DO210" s="15"/>
      <c r="DP210" s="15"/>
      <c r="DQ210" s="15"/>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t="s">
        <v>526</v>
      </c>
      <c r="EU210" s="15" t="s">
        <v>579</v>
      </c>
      <c r="EV210" s="15" t="s">
        <v>480</v>
      </c>
      <c r="EW210" s="15"/>
      <c r="EX210" s="15"/>
      <c r="EY210" s="15"/>
      <c r="EZ210" s="15" t="s">
        <v>583</v>
      </c>
      <c r="FA210" s="15" t="s">
        <v>414</v>
      </c>
      <c r="FB210" s="15" t="s">
        <v>484</v>
      </c>
      <c r="FC210" s="15" t="s">
        <v>484</v>
      </c>
      <c r="FD210" s="15" t="s">
        <v>484</v>
      </c>
      <c r="FE210" s="15" t="s">
        <v>414</v>
      </c>
      <c r="FF210" s="15" t="s">
        <v>484</v>
      </c>
      <c r="FG210" s="15" t="s">
        <v>484</v>
      </c>
      <c r="FH210" s="15" t="s">
        <v>484</v>
      </c>
      <c r="FI210" s="15" t="s">
        <v>484</v>
      </c>
      <c r="FJ210" s="15" t="s">
        <v>484</v>
      </c>
      <c r="FK210" s="15" t="s">
        <v>484</v>
      </c>
      <c r="FL210" s="15" t="s">
        <v>484</v>
      </c>
      <c r="FM210" s="15" t="s">
        <v>484</v>
      </c>
      <c r="FN210" s="15" t="s">
        <v>484</v>
      </c>
      <c r="FO210" s="15" t="s">
        <v>485</v>
      </c>
      <c r="FP210" s="15" t="s">
        <v>418</v>
      </c>
      <c r="FQ210" s="15" t="s">
        <v>712</v>
      </c>
      <c r="FR210" s="15"/>
      <c r="FS210" s="15" t="s">
        <v>420</v>
      </c>
      <c r="FT210" s="15" t="s">
        <v>488</v>
      </c>
      <c r="FU210" s="15" t="s">
        <v>918</v>
      </c>
      <c r="FV210" s="15" t="s">
        <v>490</v>
      </c>
      <c r="FW210" s="15" t="s">
        <v>491</v>
      </c>
      <c r="FX210" s="15" t="s">
        <v>4651</v>
      </c>
      <c r="FY210" s="15" t="s">
        <v>535</v>
      </c>
      <c r="FZ210" s="15"/>
      <c r="GA210" s="15"/>
      <c r="GB210" s="15" t="s">
        <v>455</v>
      </c>
      <c r="GC210" s="15"/>
      <c r="GD210" s="15"/>
      <c r="GE210" s="15" t="s">
        <v>786</v>
      </c>
      <c r="GF210" s="15" t="s">
        <v>4652</v>
      </c>
      <c r="GG210" s="15" t="s">
        <v>755</v>
      </c>
      <c r="GH210" s="15" t="s">
        <v>755</v>
      </c>
      <c r="GI210" s="15" t="s">
        <v>817</v>
      </c>
      <c r="GJ210" s="15"/>
      <c r="GK210" s="15"/>
      <c r="GL210" s="15"/>
      <c r="GM210" s="15"/>
      <c r="GN210" s="15" t="s">
        <v>2025</v>
      </c>
      <c r="GO210" s="15" t="s">
        <v>2025</v>
      </c>
      <c r="GP210" s="15"/>
      <c r="GQ210" s="15" t="s">
        <v>4653</v>
      </c>
      <c r="GR210" s="15"/>
      <c r="GS210" s="15"/>
      <c r="GT210" s="15"/>
      <c r="GU210" s="15"/>
      <c r="GV210" s="15"/>
      <c r="GW210" s="15"/>
      <c r="GX210" s="15"/>
      <c r="GY210" s="15"/>
      <c r="GZ210" s="15"/>
      <c r="HA210" s="15"/>
      <c r="HB210" s="15"/>
      <c r="HC210" s="15"/>
      <c r="HD210" s="15"/>
      <c r="HE210" s="15"/>
      <c r="HF210" s="15"/>
      <c r="HG210" s="15"/>
      <c r="HH210" s="15"/>
      <c r="HI210" s="15"/>
      <c r="HJ210" s="15"/>
      <c r="HK210" s="15"/>
      <c r="HL210" s="15"/>
      <c r="HM210" s="15"/>
      <c r="HN210" s="15"/>
      <c r="HO210" s="15"/>
      <c r="HP210" s="31"/>
      <c r="MX210" s="29" t="s">
        <v>10402</v>
      </c>
      <c r="MY210" s="29" t="str">
        <f>IFERROR(__xludf.DUMMYFUNCTION("""COMPUTED_VALUE"""),"Connecticut")</f>
        <v>Connecticut</v>
      </c>
    </row>
    <row r="211" ht="16.5" customHeight="1">
      <c r="A211" s="30">
        <v>45838.70387729167</v>
      </c>
      <c r="B211" s="15" t="s">
        <v>368</v>
      </c>
      <c r="C211" s="15" t="s">
        <v>370</v>
      </c>
      <c r="D211" s="15" t="s">
        <v>370</v>
      </c>
      <c r="E211" s="15" t="s">
        <v>2376</v>
      </c>
      <c r="F211" s="15" t="s">
        <v>667</v>
      </c>
      <c r="G211" s="15" t="s">
        <v>422</v>
      </c>
      <c r="H211" s="15" t="s">
        <v>1203</v>
      </c>
      <c r="I211" s="15" t="s">
        <v>638</v>
      </c>
      <c r="J211" s="15" t="s">
        <v>590</v>
      </c>
      <c r="K211" s="15" t="s">
        <v>376</v>
      </c>
      <c r="L211" s="15" t="s">
        <v>591</v>
      </c>
      <c r="M211" s="15" t="s">
        <v>720</v>
      </c>
      <c r="N211" s="15" t="s">
        <v>426</v>
      </c>
      <c r="O211" s="15" t="s">
        <v>380</v>
      </c>
      <c r="P211" s="15" t="s">
        <v>498</v>
      </c>
      <c r="Q211" s="15" t="s">
        <v>382</v>
      </c>
      <c r="R211" s="15" t="s">
        <v>500</v>
      </c>
      <c r="S211" s="15" t="s">
        <v>384</v>
      </c>
      <c r="T211" s="15" t="s">
        <v>385</v>
      </c>
      <c r="U211" s="15"/>
      <c r="V211" s="15"/>
      <c r="W211" s="15" t="s">
        <v>3014</v>
      </c>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t="s">
        <v>1310</v>
      </c>
      <c r="AW211" s="15">
        <v>4.0</v>
      </c>
      <c r="AX211" s="15">
        <v>2.0</v>
      </c>
      <c r="AY211" s="15" t="s">
        <v>391</v>
      </c>
      <c r="AZ211" s="15" t="s">
        <v>429</v>
      </c>
      <c r="BA211" s="15" t="s">
        <v>429</v>
      </c>
      <c r="BB211" s="15">
        <v>2.0</v>
      </c>
      <c r="BC211" s="15" t="s">
        <v>4654</v>
      </c>
      <c r="BD211" s="15" t="s">
        <v>4655</v>
      </c>
      <c r="BE211" s="15" t="s">
        <v>432</v>
      </c>
      <c r="BF211" s="15" t="s">
        <v>393</v>
      </c>
      <c r="BG211" s="15" t="s">
        <v>725</v>
      </c>
      <c r="BH211" s="15" t="s">
        <v>4656</v>
      </c>
      <c r="BI211" s="15" t="s">
        <v>824</v>
      </c>
      <c r="BJ211" s="15"/>
      <c r="BK211" s="15" t="s">
        <v>681</v>
      </c>
      <c r="BL211" s="15" t="s">
        <v>396</v>
      </c>
      <c r="BM211" s="15" t="s">
        <v>549</v>
      </c>
      <c r="BN211" s="15" t="s">
        <v>440</v>
      </c>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t="s">
        <v>408</v>
      </c>
      <c r="CY211" s="15"/>
      <c r="CZ211" s="15" t="s">
        <v>985</v>
      </c>
      <c r="DA211" s="15"/>
      <c r="DB211" s="15" t="s">
        <v>408</v>
      </c>
      <c r="DC211" s="15"/>
      <c r="DD211" s="15" t="s">
        <v>988</v>
      </c>
      <c r="DE211" s="15" t="s">
        <v>407</v>
      </c>
      <c r="DF211" s="15"/>
      <c r="DG211" s="15" t="s">
        <v>561</v>
      </c>
      <c r="DH211" s="15" t="s">
        <v>410</v>
      </c>
      <c r="DI211" s="15" t="s">
        <v>777</v>
      </c>
      <c r="DJ211" s="15" t="s">
        <v>613</v>
      </c>
      <c r="DK211" s="15"/>
      <c r="DL211" s="15"/>
      <c r="DM211" s="15" t="s">
        <v>4657</v>
      </c>
      <c r="DN211" s="15" t="s">
        <v>4658</v>
      </c>
      <c r="DO211" s="15" t="s">
        <v>464</v>
      </c>
      <c r="DP211" s="15" t="s">
        <v>4659</v>
      </c>
      <c r="DQ211" s="15" t="s">
        <v>1176</v>
      </c>
      <c r="DR211" s="15" t="s">
        <v>4660</v>
      </c>
      <c r="DS211" s="15" t="s">
        <v>839</v>
      </c>
      <c r="DT211" s="15" t="s">
        <v>3611</v>
      </c>
      <c r="DU211" s="15" t="s">
        <v>4661</v>
      </c>
      <c r="DV211" s="15" t="s">
        <v>4661</v>
      </c>
      <c r="DW211" s="15" t="s">
        <v>396</v>
      </c>
      <c r="DX211" s="15" t="s">
        <v>4662</v>
      </c>
      <c r="DY211" s="15"/>
      <c r="DZ211" s="15" t="s">
        <v>4663</v>
      </c>
      <c r="EA211" s="15" t="s">
        <v>475</v>
      </c>
      <c r="EB211" s="15" t="s">
        <v>626</v>
      </c>
      <c r="EC211" s="15"/>
      <c r="ED211" s="15"/>
      <c r="EE211" s="15"/>
      <c r="EF211" s="15"/>
      <c r="EG211" s="15"/>
      <c r="EH211" s="15"/>
      <c r="EI211" s="15"/>
      <c r="EJ211" s="15"/>
      <c r="EK211" s="15"/>
      <c r="EL211" s="15"/>
      <c r="EM211" s="15"/>
      <c r="EN211" s="15"/>
      <c r="EO211" s="15"/>
      <c r="EP211" s="15"/>
      <c r="EQ211" s="15"/>
      <c r="ER211" s="15"/>
      <c r="ES211" s="15"/>
      <c r="ET211" s="15" t="s">
        <v>526</v>
      </c>
      <c r="EU211" s="15" t="s">
        <v>479</v>
      </c>
      <c r="EV211" s="15" t="s">
        <v>1262</v>
      </c>
      <c r="EW211" s="15"/>
      <c r="EX211" s="15" t="s">
        <v>4664</v>
      </c>
      <c r="EY211" s="15" t="s">
        <v>4665</v>
      </c>
      <c r="EZ211" s="15" t="s">
        <v>415</v>
      </c>
      <c r="FA211" s="15" t="s">
        <v>583</v>
      </c>
      <c r="FB211" s="15" t="s">
        <v>413</v>
      </c>
      <c r="FC211" s="15" t="s">
        <v>413</v>
      </c>
      <c r="FD211" s="15" t="s">
        <v>413</v>
      </c>
      <c r="FE211" s="15" t="s">
        <v>583</v>
      </c>
      <c r="FF211" s="15" t="s">
        <v>415</v>
      </c>
      <c r="FG211" s="15" t="s">
        <v>413</v>
      </c>
      <c r="FH211" s="15" t="s">
        <v>583</v>
      </c>
      <c r="FI211" s="15" t="s">
        <v>583</v>
      </c>
      <c r="FJ211" s="15" t="s">
        <v>415</v>
      </c>
      <c r="FK211" s="15" t="s">
        <v>484</v>
      </c>
      <c r="FL211" s="15" t="s">
        <v>484</v>
      </c>
      <c r="FM211" s="15" t="s">
        <v>416</v>
      </c>
      <c r="FN211" s="15" t="s">
        <v>414</v>
      </c>
      <c r="FO211" s="15" t="s">
        <v>1074</v>
      </c>
      <c r="FP211" s="15" t="s">
        <v>418</v>
      </c>
      <c r="FQ211" s="15"/>
      <c r="FR211" s="15" t="s">
        <v>4666</v>
      </c>
      <c r="FS211" s="15" t="s">
        <v>420</v>
      </c>
      <c r="FT211" s="15" t="s">
        <v>488</v>
      </c>
      <c r="FU211" s="15" t="s">
        <v>533</v>
      </c>
      <c r="FV211" s="15" t="s">
        <v>490</v>
      </c>
      <c r="FW211" s="15" t="s">
        <v>491</v>
      </c>
      <c r="FX211" s="15" t="s">
        <v>4667</v>
      </c>
      <c r="FY211" s="15" t="s">
        <v>535</v>
      </c>
      <c r="FZ211" s="15"/>
      <c r="GA211" s="15"/>
      <c r="GB211" s="15" t="s">
        <v>408</v>
      </c>
      <c r="GC211" s="15"/>
      <c r="GD211" s="15"/>
      <c r="GE211" s="15"/>
      <c r="GF211" s="15"/>
      <c r="GG211" s="15" t="s">
        <v>755</v>
      </c>
      <c r="GH211" s="15" t="s">
        <v>755</v>
      </c>
      <c r="GI211" s="15" t="s">
        <v>946</v>
      </c>
      <c r="GJ211" s="15"/>
      <c r="GK211" s="15"/>
      <c r="GL211" s="15"/>
      <c r="GM211" s="15" t="s">
        <v>1079</v>
      </c>
      <c r="GN211" s="15"/>
      <c r="GO211" s="15"/>
      <c r="GP211" s="15"/>
      <c r="GQ211" s="15" t="s">
        <v>3208</v>
      </c>
      <c r="GR211" s="15"/>
      <c r="GS211" s="15"/>
      <c r="GT211" s="15"/>
      <c r="GU211" s="15"/>
      <c r="GV211" s="15"/>
      <c r="GW211" s="15"/>
      <c r="GX211" s="15"/>
      <c r="GY211" s="15"/>
      <c r="GZ211" s="15"/>
      <c r="HA211" s="15"/>
      <c r="HB211" s="15"/>
      <c r="HC211" s="15"/>
      <c r="HD211" s="15"/>
      <c r="HE211" s="15"/>
      <c r="HF211" s="15"/>
      <c r="HG211" s="15"/>
      <c r="HH211" s="15"/>
      <c r="HI211" s="15"/>
      <c r="HJ211" s="15"/>
      <c r="HK211" s="15"/>
      <c r="HL211" s="15"/>
      <c r="HM211" s="15"/>
      <c r="HN211" s="15"/>
      <c r="HO211" s="15"/>
      <c r="HP211" s="31"/>
      <c r="MX211" s="29" t="s">
        <v>10402</v>
      </c>
      <c r="MY211" s="29" t="str">
        <f>IFERROR(__xludf.DUMMYFUNCTION("""COMPUTED_VALUE"""),"Montana")</f>
        <v>Montana</v>
      </c>
    </row>
    <row r="212" ht="16.5" customHeight="1">
      <c r="A212" s="30">
        <v>45839.585315289354</v>
      </c>
      <c r="B212" s="15" t="s">
        <v>368</v>
      </c>
      <c r="C212" s="15" t="s">
        <v>370</v>
      </c>
      <c r="D212" s="15" t="s">
        <v>370</v>
      </c>
      <c r="E212" s="15" t="s">
        <v>2335</v>
      </c>
      <c r="F212" s="15" t="s">
        <v>1421</v>
      </c>
      <c r="G212" s="15" t="s">
        <v>422</v>
      </c>
      <c r="H212" s="15" t="s">
        <v>539</v>
      </c>
      <c r="I212" s="15" t="s">
        <v>424</v>
      </c>
      <c r="J212" s="15" t="s">
        <v>758</v>
      </c>
      <c r="K212" s="15" t="s">
        <v>376</v>
      </c>
      <c r="L212" s="15" t="s">
        <v>426</v>
      </c>
      <c r="M212" s="15" t="s">
        <v>720</v>
      </c>
      <c r="N212" s="15" t="s">
        <v>793</v>
      </c>
      <c r="O212" s="15" t="s">
        <v>2097</v>
      </c>
      <c r="P212" s="15" t="s">
        <v>498</v>
      </c>
      <c r="Q212" s="15" t="s">
        <v>499</v>
      </c>
      <c r="R212" s="15" t="s">
        <v>500</v>
      </c>
      <c r="S212" s="15" t="s">
        <v>384</v>
      </c>
      <c r="T212" s="15" t="s">
        <v>385</v>
      </c>
      <c r="U212" s="15"/>
      <c r="V212" s="15"/>
      <c r="W212" s="15" t="s">
        <v>593</v>
      </c>
      <c r="X212" s="15" t="s">
        <v>387</v>
      </c>
      <c r="Y212" s="15" t="s">
        <v>388</v>
      </c>
      <c r="Z212" s="15" t="s">
        <v>543</v>
      </c>
      <c r="AA212" s="15" t="s">
        <v>4668</v>
      </c>
      <c r="AB212" s="15" t="s">
        <v>4669</v>
      </c>
      <c r="AC212" s="15"/>
      <c r="AD212" s="15"/>
      <c r="AE212" s="15"/>
      <c r="AF212" s="15"/>
      <c r="AG212" s="15"/>
      <c r="AH212" s="15"/>
      <c r="AI212" s="15"/>
      <c r="AJ212" s="15"/>
      <c r="AK212" s="15"/>
      <c r="AL212" s="15"/>
      <c r="AM212" s="15"/>
      <c r="AN212" s="15"/>
      <c r="AO212" s="15"/>
      <c r="AP212" s="15"/>
      <c r="AQ212" s="15"/>
      <c r="AR212" s="15"/>
      <c r="AS212" s="15"/>
      <c r="AT212" s="15"/>
      <c r="AU212" s="15"/>
      <c r="AV212" s="15" t="s">
        <v>1310</v>
      </c>
      <c r="AW212" s="15">
        <v>2.0</v>
      </c>
      <c r="AX212" s="15">
        <v>2.0</v>
      </c>
      <c r="AY212" s="15">
        <v>2.0</v>
      </c>
      <c r="AZ212" s="15" t="s">
        <v>391</v>
      </c>
      <c r="BA212" s="15" t="s">
        <v>391</v>
      </c>
      <c r="BB212" s="15" t="s">
        <v>391</v>
      </c>
      <c r="BC212" s="15" t="s">
        <v>4670</v>
      </c>
      <c r="BD212" s="15" t="s">
        <v>4671</v>
      </c>
      <c r="BE212" s="15" t="s">
        <v>3114</v>
      </c>
      <c r="BF212" s="15" t="s">
        <v>1095</v>
      </c>
      <c r="BG212" s="15" t="s">
        <v>678</v>
      </c>
      <c r="BH212" s="15" t="s">
        <v>4672</v>
      </c>
      <c r="BI212" s="15" t="s">
        <v>435</v>
      </c>
      <c r="BJ212" s="15" t="s">
        <v>4673</v>
      </c>
      <c r="BK212" s="15" t="s">
        <v>437</v>
      </c>
      <c r="BL212" s="15" t="s">
        <v>438</v>
      </c>
      <c r="BM212" s="15" t="s">
        <v>1247</v>
      </c>
      <c r="BN212" s="15" t="s">
        <v>513</v>
      </c>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t="s">
        <v>913</v>
      </c>
      <c r="CM212" s="15" t="s">
        <v>442</v>
      </c>
      <c r="CN212" s="15" t="s">
        <v>552</v>
      </c>
      <c r="CO212" s="15" t="s">
        <v>4674</v>
      </c>
      <c r="CP212" s="15" t="s">
        <v>403</v>
      </c>
      <c r="CQ212" s="15" t="s">
        <v>1427</v>
      </c>
      <c r="CR212" s="15" t="s">
        <v>404</v>
      </c>
      <c r="CS212" s="15" t="s">
        <v>1137</v>
      </c>
      <c r="CT212" s="15" t="s">
        <v>4675</v>
      </c>
      <c r="CU212" s="15" t="s">
        <v>982</v>
      </c>
      <c r="CV212" s="15" t="s">
        <v>451</v>
      </c>
      <c r="CW212" s="15" t="s">
        <v>4676</v>
      </c>
      <c r="CX212" s="15" t="s">
        <v>408</v>
      </c>
      <c r="CY212" s="15"/>
      <c r="CZ212" s="15" t="s">
        <v>453</v>
      </c>
      <c r="DA212" s="15" t="s">
        <v>4677</v>
      </c>
      <c r="DB212" s="15" t="s">
        <v>408</v>
      </c>
      <c r="DC212" s="15"/>
      <c r="DD212" s="15" t="s">
        <v>406</v>
      </c>
      <c r="DE212" s="15" t="s">
        <v>407</v>
      </c>
      <c r="DF212" s="15" t="s">
        <v>4678</v>
      </c>
      <c r="DG212" s="15" t="s">
        <v>524</v>
      </c>
      <c r="DH212" s="15" t="s">
        <v>833</v>
      </c>
      <c r="DI212" s="15" t="s">
        <v>459</v>
      </c>
      <c r="DJ212" s="15" t="s">
        <v>613</v>
      </c>
      <c r="DK212" s="15"/>
      <c r="DL212" s="15"/>
      <c r="DM212" s="15"/>
      <c r="DN212" s="15"/>
      <c r="DO212" s="15"/>
      <c r="DP212" s="15"/>
      <c r="DQ212" s="15"/>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t="s">
        <v>478</v>
      </c>
      <c r="EU212" s="15" t="s">
        <v>1127</v>
      </c>
      <c r="EV212" s="15" t="s">
        <v>527</v>
      </c>
      <c r="EW212" s="15" t="s">
        <v>4679</v>
      </c>
      <c r="EX212" s="15" t="s">
        <v>4680</v>
      </c>
      <c r="EY212" s="15" t="s">
        <v>4681</v>
      </c>
      <c r="EZ212" s="15" t="s">
        <v>414</v>
      </c>
      <c r="FA212" s="15" t="s">
        <v>414</v>
      </c>
      <c r="FB212" s="15" t="s">
        <v>413</v>
      </c>
      <c r="FC212" s="15" t="s">
        <v>414</v>
      </c>
      <c r="FD212" s="15" t="s">
        <v>413</v>
      </c>
      <c r="FE212" s="15" t="s">
        <v>414</v>
      </c>
      <c r="FF212" s="15" t="s">
        <v>415</v>
      </c>
      <c r="FG212" s="15" t="s">
        <v>413</v>
      </c>
      <c r="FH212" s="15" t="s">
        <v>414</v>
      </c>
      <c r="FI212" s="15" t="s">
        <v>583</v>
      </c>
      <c r="FJ212" s="15" t="s">
        <v>413</v>
      </c>
      <c r="FK212" s="15" t="s">
        <v>414</v>
      </c>
      <c r="FL212" s="15" t="s">
        <v>414</v>
      </c>
      <c r="FM212" s="15" t="s">
        <v>416</v>
      </c>
      <c r="FN212" s="15" t="s">
        <v>414</v>
      </c>
      <c r="FO212" s="15" t="s">
        <v>417</v>
      </c>
      <c r="FP212" s="15" t="s">
        <v>418</v>
      </c>
      <c r="FQ212" s="15" t="s">
        <v>630</v>
      </c>
      <c r="FR212" s="15" t="s">
        <v>4682</v>
      </c>
      <c r="FS212" s="15" t="s">
        <v>420</v>
      </c>
      <c r="FT212" s="15" t="s">
        <v>488</v>
      </c>
      <c r="FU212" s="15" t="s">
        <v>489</v>
      </c>
      <c r="FV212" s="15" t="s">
        <v>490</v>
      </c>
      <c r="FW212" s="15" t="s">
        <v>491</v>
      </c>
      <c r="FX212" s="15" t="s">
        <v>4678</v>
      </c>
      <c r="FY212" s="15" t="s">
        <v>535</v>
      </c>
      <c r="FZ212" s="15" t="s">
        <v>4683</v>
      </c>
      <c r="GA212" s="15" t="s">
        <v>4684</v>
      </c>
      <c r="GB212" s="15" t="s">
        <v>455</v>
      </c>
      <c r="GC212" s="15"/>
      <c r="GD212" s="15"/>
      <c r="GE212" s="15" t="s">
        <v>786</v>
      </c>
      <c r="GF212" s="15" t="s">
        <v>4685</v>
      </c>
      <c r="GG212" s="15" t="s">
        <v>755</v>
      </c>
      <c r="GH212" s="15" t="s">
        <v>755</v>
      </c>
      <c r="GI212" s="15" t="s">
        <v>946</v>
      </c>
      <c r="GJ212" s="15"/>
      <c r="GK212" s="15"/>
      <c r="GL212" s="15"/>
      <c r="GM212" s="15"/>
      <c r="GN212" s="15"/>
      <c r="GO212" s="15"/>
      <c r="GP212" s="15"/>
      <c r="GQ212" s="15" t="s">
        <v>3306</v>
      </c>
      <c r="GR212" s="15"/>
      <c r="GS212" s="15"/>
      <c r="GT212" s="15"/>
      <c r="GU212" s="15"/>
      <c r="GV212" s="15"/>
      <c r="GW212" s="15"/>
      <c r="GX212" s="15"/>
      <c r="GY212" s="15"/>
      <c r="GZ212" s="15"/>
      <c r="HA212" s="15"/>
      <c r="HB212" s="15"/>
      <c r="HC212" s="15"/>
      <c r="HD212" s="15"/>
      <c r="HE212" s="15"/>
      <c r="HF212" s="15"/>
      <c r="HG212" s="15"/>
      <c r="HH212" s="15"/>
      <c r="HI212" s="15"/>
      <c r="HJ212" s="15"/>
      <c r="HK212" s="15"/>
      <c r="HL212" s="15"/>
      <c r="HM212" s="15"/>
      <c r="HN212" s="15"/>
      <c r="HO212" s="15"/>
      <c r="HP212" s="31"/>
      <c r="MX212" s="29" t="s">
        <v>10402</v>
      </c>
      <c r="MY212" s="29" t="str">
        <f>IFERROR(__xludf.DUMMYFUNCTION("""COMPUTED_VALUE"""),"Ohio")</f>
        <v>Ohio</v>
      </c>
    </row>
    <row r="213" ht="16.5" customHeight="1">
      <c r="A213" s="30">
        <v>45839.90020665509</v>
      </c>
      <c r="B213" s="15" t="s">
        <v>368</v>
      </c>
      <c r="C213" s="15" t="s">
        <v>370</v>
      </c>
      <c r="D213" s="15" t="s">
        <v>370</v>
      </c>
      <c r="E213" s="15" t="s">
        <v>495</v>
      </c>
      <c r="F213" s="15" t="s">
        <v>1421</v>
      </c>
      <c r="G213" s="15" t="s">
        <v>422</v>
      </c>
      <c r="H213" s="15" t="s">
        <v>423</v>
      </c>
      <c r="I213" s="15" t="s">
        <v>668</v>
      </c>
      <c r="J213" s="15" t="s">
        <v>590</v>
      </c>
      <c r="K213" s="15" t="s">
        <v>376</v>
      </c>
      <c r="L213" s="15" t="s">
        <v>793</v>
      </c>
      <c r="M213" s="15" t="s">
        <v>639</v>
      </c>
      <c r="N213" s="15" t="s">
        <v>793</v>
      </c>
      <c r="O213" s="15" t="s">
        <v>2594</v>
      </c>
      <c r="P213" s="15" t="s">
        <v>498</v>
      </c>
      <c r="Q213" s="15" t="s">
        <v>818</v>
      </c>
      <c r="R213" s="15" t="s">
        <v>500</v>
      </c>
      <c r="S213" s="15" t="s">
        <v>384</v>
      </c>
      <c r="T213" s="15" t="s">
        <v>385</v>
      </c>
      <c r="U213" s="15"/>
      <c r="V213" s="15"/>
      <c r="W213" s="15" t="s">
        <v>3014</v>
      </c>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t="s">
        <v>597</v>
      </c>
      <c r="AW213" s="15">
        <v>4.0</v>
      </c>
      <c r="AX213" s="15" t="s">
        <v>391</v>
      </c>
      <c r="AY213" s="15">
        <v>4.0</v>
      </c>
      <c r="AZ213" s="15">
        <v>2.0</v>
      </c>
      <c r="BA213" s="15" t="s">
        <v>391</v>
      </c>
      <c r="BB213" s="15">
        <v>2.0</v>
      </c>
      <c r="BC213" s="15" t="s">
        <v>4686</v>
      </c>
      <c r="BD213" s="15" t="s">
        <v>4687</v>
      </c>
      <c r="BE213" s="15" t="s">
        <v>432</v>
      </c>
      <c r="BF213" s="15" t="s">
        <v>393</v>
      </c>
      <c r="BG213" s="15" t="s">
        <v>725</v>
      </c>
      <c r="BH213" s="15" t="s">
        <v>4688</v>
      </c>
      <c r="BI213" s="15" t="s">
        <v>435</v>
      </c>
      <c r="BJ213" s="15" t="s">
        <v>4689</v>
      </c>
      <c r="BK213" s="15" t="s">
        <v>511</v>
      </c>
      <c r="BL213" s="15" t="s">
        <v>603</v>
      </c>
      <c r="BM213" s="15" t="s">
        <v>397</v>
      </c>
      <c r="BN213" s="15" t="s">
        <v>513</v>
      </c>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t="s">
        <v>441</v>
      </c>
      <c r="CM213" s="15" t="s">
        <v>604</v>
      </c>
      <c r="CN213" s="15" t="s">
        <v>4690</v>
      </c>
      <c r="CO213" s="15" t="s">
        <v>4691</v>
      </c>
      <c r="CP213" s="15" t="s">
        <v>445</v>
      </c>
      <c r="CQ213" s="15" t="s">
        <v>4692</v>
      </c>
      <c r="CR213" s="15" t="s">
        <v>447</v>
      </c>
      <c r="CS213" s="15" t="s">
        <v>4693</v>
      </c>
      <c r="CT213" s="15" t="s">
        <v>4694</v>
      </c>
      <c r="CU213" s="15" t="s">
        <v>1863</v>
      </c>
      <c r="CV213" s="15" t="s">
        <v>409</v>
      </c>
      <c r="CW213" s="15" t="s">
        <v>4695</v>
      </c>
      <c r="CX213" s="15" t="s">
        <v>455</v>
      </c>
      <c r="CY213" s="15" t="s">
        <v>4696</v>
      </c>
      <c r="CZ213" s="15" t="s">
        <v>1398</v>
      </c>
      <c r="DA213" s="15" t="s">
        <v>4697</v>
      </c>
      <c r="DB213" s="15" t="s">
        <v>408</v>
      </c>
      <c r="DC213" s="15"/>
      <c r="DD213" s="15" t="s">
        <v>406</v>
      </c>
      <c r="DE213" s="15" t="s">
        <v>1867</v>
      </c>
      <c r="DF213" s="15" t="s">
        <v>4698</v>
      </c>
      <c r="DG213" s="15" t="s">
        <v>776</v>
      </c>
      <c r="DH213" s="15" t="s">
        <v>1220</v>
      </c>
      <c r="DI213" s="15" t="s">
        <v>459</v>
      </c>
      <c r="DJ213" s="15" t="s">
        <v>613</v>
      </c>
      <c r="DK213" s="15"/>
      <c r="DL213" s="15"/>
      <c r="DM213" s="15"/>
      <c r="DN213" s="15"/>
      <c r="DO213" s="15"/>
      <c r="DP213" s="15"/>
      <c r="DQ213" s="15"/>
      <c r="DR213" s="15"/>
      <c r="DS213" s="15"/>
      <c r="DT213" s="15"/>
      <c r="DU213" s="15"/>
      <c r="DV213" s="15"/>
      <c r="DW213" s="15"/>
      <c r="DX213" s="15"/>
      <c r="DY213" s="15"/>
      <c r="DZ213" s="15"/>
      <c r="EA213" s="15"/>
      <c r="EB213" s="15"/>
      <c r="EC213" s="15"/>
      <c r="ED213" s="15"/>
      <c r="EE213" s="15"/>
      <c r="EF213" s="15"/>
      <c r="EG213" s="15"/>
      <c r="EH213" s="15"/>
      <c r="EI213" s="15"/>
      <c r="EJ213" s="15"/>
      <c r="EK213" s="15"/>
      <c r="EL213" s="15"/>
      <c r="EM213" s="15"/>
      <c r="EN213" s="15"/>
      <c r="EO213" s="15"/>
      <c r="EP213" s="15"/>
      <c r="EQ213" s="15"/>
      <c r="ER213" s="15"/>
      <c r="ES213" s="15"/>
      <c r="ET213" s="15" t="s">
        <v>478</v>
      </c>
      <c r="EU213" s="15" t="s">
        <v>479</v>
      </c>
      <c r="EV213" s="15" t="s">
        <v>1262</v>
      </c>
      <c r="EW213" s="15" t="s">
        <v>4699</v>
      </c>
      <c r="EX213" s="15" t="s">
        <v>4700</v>
      </c>
      <c r="EY213" s="15" t="s">
        <v>4701</v>
      </c>
      <c r="EZ213" s="15" t="s">
        <v>415</v>
      </c>
      <c r="FA213" s="15" t="s">
        <v>414</v>
      </c>
      <c r="FB213" s="15" t="s">
        <v>413</v>
      </c>
      <c r="FC213" s="15" t="s">
        <v>416</v>
      </c>
      <c r="FD213" s="15" t="s">
        <v>416</v>
      </c>
      <c r="FE213" s="15" t="s">
        <v>583</v>
      </c>
      <c r="FF213" s="15" t="s">
        <v>416</v>
      </c>
      <c r="FG213" s="15" t="s">
        <v>416</v>
      </c>
      <c r="FH213" s="15" t="s">
        <v>413</v>
      </c>
      <c r="FI213" s="15" t="s">
        <v>414</v>
      </c>
      <c r="FJ213" s="15" t="s">
        <v>416</v>
      </c>
      <c r="FK213" s="15" t="s">
        <v>415</v>
      </c>
      <c r="FL213" s="15" t="s">
        <v>415</v>
      </c>
      <c r="FM213" s="15" t="s">
        <v>415</v>
      </c>
      <c r="FN213" s="15" t="s">
        <v>583</v>
      </c>
      <c r="FO213" s="15" t="s">
        <v>3396</v>
      </c>
      <c r="FP213" s="15" t="s">
        <v>486</v>
      </c>
      <c r="FQ213" s="15" t="s">
        <v>1039</v>
      </c>
      <c r="FR213" s="15" t="s">
        <v>4702</v>
      </c>
      <c r="FS213" s="15" t="s">
        <v>420</v>
      </c>
      <c r="FT213" s="15" t="s">
        <v>1462</v>
      </c>
      <c r="FU213" s="15" t="s">
        <v>489</v>
      </c>
      <c r="FV213" s="15" t="s">
        <v>490</v>
      </c>
      <c r="FW213" s="15" t="s">
        <v>491</v>
      </c>
      <c r="FX213" s="15" t="s">
        <v>4703</v>
      </c>
      <c r="FY213" s="15" t="s">
        <v>1020</v>
      </c>
      <c r="FZ213" s="15" t="s">
        <v>4704</v>
      </c>
      <c r="GA213" s="15"/>
      <c r="GB213" s="15" t="s">
        <v>455</v>
      </c>
      <c r="GC213" s="15"/>
      <c r="GD213" s="15"/>
      <c r="GE213" s="15" t="s">
        <v>753</v>
      </c>
      <c r="GF213" s="15" t="s">
        <v>4705</v>
      </c>
      <c r="GG213" s="15" t="s">
        <v>1000</v>
      </c>
      <c r="GH213" s="15" t="s">
        <v>1000</v>
      </c>
      <c r="GI213" s="15" t="s">
        <v>817</v>
      </c>
      <c r="GJ213" s="15"/>
      <c r="GK213" s="15"/>
      <c r="GL213" s="15"/>
      <c r="GM213" s="15"/>
      <c r="GN213" s="15"/>
      <c r="GO213" s="15"/>
      <c r="GP213" s="15"/>
      <c r="GQ213" s="15" t="s">
        <v>4706</v>
      </c>
      <c r="GR213" s="15"/>
      <c r="GS213" s="15"/>
      <c r="GT213" s="15"/>
      <c r="GU213" s="15"/>
      <c r="GV213" s="15"/>
      <c r="GW213" s="15"/>
      <c r="GX213" s="15"/>
      <c r="GY213" s="15"/>
      <c r="GZ213" s="15"/>
      <c r="HA213" s="15"/>
      <c r="HB213" s="15"/>
      <c r="HC213" s="15"/>
      <c r="HD213" s="15"/>
      <c r="HE213" s="15"/>
      <c r="HF213" s="15"/>
      <c r="HG213" s="15"/>
      <c r="HH213" s="15"/>
      <c r="HI213" s="15"/>
      <c r="HJ213" s="15"/>
      <c r="HK213" s="15"/>
      <c r="HL213" s="15"/>
      <c r="HM213" s="15"/>
      <c r="HN213" s="15"/>
      <c r="HO213" s="15"/>
      <c r="HP213" s="31"/>
      <c r="MX213" s="29" t="s">
        <v>4707</v>
      </c>
      <c r="MY213" s="29" t="str">
        <f>IFERROR(__xludf.DUMMYFUNCTION("""COMPUTED_VALUE"""),"Chile")</f>
        <v>Chile</v>
      </c>
    </row>
    <row r="214" ht="16.5" customHeight="1">
      <c r="A214" s="30">
        <v>45840.28386831019</v>
      </c>
      <c r="B214" s="15" t="s">
        <v>368</v>
      </c>
      <c r="C214" s="15" t="s">
        <v>4707</v>
      </c>
      <c r="D214" s="15" t="s">
        <v>4707</v>
      </c>
      <c r="E214" s="15"/>
      <c r="F214" s="15"/>
      <c r="G214" s="15" t="s">
        <v>372</v>
      </c>
      <c r="H214" s="15" t="s">
        <v>373</v>
      </c>
      <c r="I214" s="15" t="s">
        <v>374</v>
      </c>
      <c r="J214" s="15" t="s">
        <v>375</v>
      </c>
      <c r="K214" s="15" t="s">
        <v>376</v>
      </c>
      <c r="L214" s="15" t="s">
        <v>591</v>
      </c>
      <c r="M214" s="15" t="s">
        <v>639</v>
      </c>
      <c r="N214" s="15" t="s">
        <v>670</v>
      </c>
      <c r="O214" s="15" t="s">
        <v>719</v>
      </c>
      <c r="P214" s="15" t="s">
        <v>1504</v>
      </c>
      <c r="Q214" s="15" t="s">
        <v>499</v>
      </c>
      <c r="R214" s="15" t="s">
        <v>1197</v>
      </c>
      <c r="S214" s="15" t="s">
        <v>384</v>
      </c>
      <c r="T214" s="15" t="s">
        <v>385</v>
      </c>
      <c r="U214" s="15"/>
      <c r="V214" s="15"/>
      <c r="W214" s="15" t="s">
        <v>386</v>
      </c>
      <c r="X214" s="15" t="s">
        <v>387</v>
      </c>
      <c r="Y214" s="15" t="s">
        <v>388</v>
      </c>
      <c r="Z214" s="15" t="s">
        <v>389</v>
      </c>
      <c r="AA214" s="15" t="s">
        <v>2675</v>
      </c>
      <c r="AB214" s="15" t="s">
        <v>2675</v>
      </c>
      <c r="AC214" s="15"/>
      <c r="AD214" s="15"/>
      <c r="AE214" s="15"/>
      <c r="AF214" s="15"/>
      <c r="AG214" s="15"/>
      <c r="AH214" s="15"/>
      <c r="AI214" s="15"/>
      <c r="AJ214" s="15"/>
      <c r="AK214" s="15"/>
      <c r="AL214" s="15"/>
      <c r="AM214" s="15"/>
      <c r="AN214" s="15"/>
      <c r="AO214" s="15"/>
      <c r="AP214" s="15"/>
      <c r="AQ214" s="15"/>
      <c r="AR214" s="15"/>
      <c r="AS214" s="15"/>
      <c r="AT214" s="15"/>
      <c r="AU214" s="15"/>
      <c r="AV214" s="15" t="s">
        <v>597</v>
      </c>
      <c r="AW214" s="15" t="s">
        <v>675</v>
      </c>
      <c r="AX214" s="15">
        <v>4.0</v>
      </c>
      <c r="AY214" s="15">
        <v>4.0</v>
      </c>
      <c r="AZ214" s="15" t="s">
        <v>391</v>
      </c>
      <c r="BA214" s="15" t="s">
        <v>391</v>
      </c>
      <c r="BB214" s="15" t="s">
        <v>391</v>
      </c>
      <c r="BC214" s="15" t="s">
        <v>4708</v>
      </c>
      <c r="BD214" s="15" t="s">
        <v>4709</v>
      </c>
      <c r="BE214" s="15" t="s">
        <v>432</v>
      </c>
      <c r="BF214" s="15" t="s">
        <v>433</v>
      </c>
      <c r="BG214" s="15" t="s">
        <v>678</v>
      </c>
      <c r="BH214" s="15"/>
      <c r="BI214" s="15" t="s">
        <v>435</v>
      </c>
      <c r="BJ214" s="15" t="s">
        <v>4710</v>
      </c>
      <c r="BK214" s="15" t="s">
        <v>437</v>
      </c>
      <c r="BL214" s="15" t="s">
        <v>904</v>
      </c>
      <c r="BM214" s="15" t="s">
        <v>397</v>
      </c>
      <c r="BN214" s="15" t="s">
        <v>440</v>
      </c>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t="s">
        <v>550</v>
      </c>
      <c r="CM214" s="15" t="s">
        <v>401</v>
      </c>
      <c r="CN214" s="15" t="s">
        <v>4711</v>
      </c>
      <c r="CO214" s="15" t="s">
        <v>4712</v>
      </c>
      <c r="CP214" s="15" t="s">
        <v>685</v>
      </c>
      <c r="CQ214" s="15" t="s">
        <v>4713</v>
      </c>
      <c r="CR214" s="15" t="s">
        <v>804</v>
      </c>
      <c r="CS214" s="15" t="s">
        <v>4714</v>
      </c>
      <c r="CT214" s="15" t="s">
        <v>4715</v>
      </c>
      <c r="CU214" s="15" t="s">
        <v>519</v>
      </c>
      <c r="CV214" s="15" t="s">
        <v>451</v>
      </c>
      <c r="CW214" s="15" t="s">
        <v>4716</v>
      </c>
      <c r="CX214" s="15" t="s">
        <v>408</v>
      </c>
      <c r="CY214" s="15"/>
      <c r="CZ214" s="15" t="s">
        <v>985</v>
      </c>
      <c r="DA214" s="15" t="s">
        <v>4717</v>
      </c>
      <c r="DB214" s="15" t="s">
        <v>408</v>
      </c>
      <c r="DC214" s="15"/>
      <c r="DD214" s="15" t="s">
        <v>988</v>
      </c>
      <c r="DE214" s="15"/>
      <c r="DF214" s="15" t="s">
        <v>4718</v>
      </c>
      <c r="DG214" s="15" t="s">
        <v>524</v>
      </c>
      <c r="DH214" s="15" t="s">
        <v>410</v>
      </c>
      <c r="DI214" s="15" t="s">
        <v>963</v>
      </c>
      <c r="DJ214" s="15" t="s">
        <v>562</v>
      </c>
      <c r="DK214" s="15" t="s">
        <v>563</v>
      </c>
      <c r="DL214" s="15" t="s">
        <v>4719</v>
      </c>
      <c r="DM214" s="15" t="s">
        <v>4720</v>
      </c>
      <c r="DN214" s="15" t="s">
        <v>4721</v>
      </c>
      <c r="DO214" s="15" t="s">
        <v>567</v>
      </c>
      <c r="DP214" s="15" t="s">
        <v>4722</v>
      </c>
      <c r="DQ214" s="15" t="s">
        <v>837</v>
      </c>
      <c r="DR214" s="15" t="s">
        <v>4723</v>
      </c>
      <c r="DS214" s="15" t="s">
        <v>618</v>
      </c>
      <c r="DT214" s="15" t="s">
        <v>619</v>
      </c>
      <c r="DU214" s="15" t="s">
        <v>4724</v>
      </c>
      <c r="DV214" s="15" t="s">
        <v>4725</v>
      </c>
      <c r="DW214" s="15" t="s">
        <v>622</v>
      </c>
      <c r="DX214" s="15" t="s">
        <v>4726</v>
      </c>
      <c r="DY214" s="15" t="s">
        <v>4727</v>
      </c>
      <c r="DZ214" s="15" t="s">
        <v>4728</v>
      </c>
      <c r="EA214" s="15" t="s">
        <v>475</v>
      </c>
      <c r="EB214" s="15" t="s">
        <v>845</v>
      </c>
      <c r="EC214" s="15" t="s">
        <v>4729</v>
      </c>
      <c r="ED214" s="15"/>
      <c r="EE214" s="15"/>
      <c r="EF214" s="15"/>
      <c r="EG214" s="15"/>
      <c r="EH214" s="15"/>
      <c r="EI214" s="15"/>
      <c r="EJ214" s="15"/>
      <c r="EK214" s="15"/>
      <c r="EL214" s="15"/>
      <c r="EM214" s="15"/>
      <c r="EN214" s="15"/>
      <c r="EO214" s="15"/>
      <c r="EP214" s="15"/>
      <c r="EQ214" s="15"/>
      <c r="ER214" s="15"/>
      <c r="ES214" s="15"/>
      <c r="ET214" s="15" t="s">
        <v>526</v>
      </c>
      <c r="EU214" s="15" t="s">
        <v>579</v>
      </c>
      <c r="EV214" s="15" t="s">
        <v>480</v>
      </c>
      <c r="EW214" s="15" t="s">
        <v>4730</v>
      </c>
      <c r="EX214" s="15" t="s">
        <v>4731</v>
      </c>
      <c r="EY214" s="15" t="s">
        <v>4731</v>
      </c>
      <c r="EZ214" s="15" t="s">
        <v>416</v>
      </c>
      <c r="FA214" s="15" t="s">
        <v>415</v>
      </c>
      <c r="FB214" s="15" t="s">
        <v>413</v>
      </c>
      <c r="FC214" s="15" t="s">
        <v>413</v>
      </c>
      <c r="FD214" s="15" t="s">
        <v>413</v>
      </c>
      <c r="FE214" s="15" t="s">
        <v>414</v>
      </c>
      <c r="FF214" s="15" t="s">
        <v>416</v>
      </c>
      <c r="FG214" s="15" t="s">
        <v>413</v>
      </c>
      <c r="FH214" s="15" t="s">
        <v>415</v>
      </c>
      <c r="FI214" s="15" t="s">
        <v>413</v>
      </c>
      <c r="FJ214" s="15" t="s">
        <v>416</v>
      </c>
      <c r="FK214" s="15" t="s">
        <v>415</v>
      </c>
      <c r="FL214" s="15" t="s">
        <v>415</v>
      </c>
      <c r="FM214" s="15" t="s">
        <v>415</v>
      </c>
      <c r="FN214" s="15" t="s">
        <v>415</v>
      </c>
      <c r="FO214" s="15" t="s">
        <v>485</v>
      </c>
      <c r="FP214" s="15" t="s">
        <v>418</v>
      </c>
      <c r="FQ214" s="15" t="s">
        <v>1039</v>
      </c>
      <c r="FR214" s="15"/>
      <c r="FS214" s="15" t="s">
        <v>420</v>
      </c>
      <c r="FT214" s="15" t="s">
        <v>2750</v>
      </c>
      <c r="FU214" s="15" t="s">
        <v>1235</v>
      </c>
      <c r="FV214" s="15" t="s">
        <v>490</v>
      </c>
      <c r="FW214" s="15" t="s">
        <v>491</v>
      </c>
      <c r="FX214" s="15" t="s">
        <v>4732</v>
      </c>
      <c r="FY214" s="15" t="s">
        <v>535</v>
      </c>
      <c r="FZ214" s="15" t="s">
        <v>4733</v>
      </c>
      <c r="GA214" s="15"/>
      <c r="GB214" s="15" t="s">
        <v>455</v>
      </c>
      <c r="GC214" s="15"/>
      <c r="GD214" s="15"/>
      <c r="GE214" s="15" t="s">
        <v>944</v>
      </c>
      <c r="GF214" s="15" t="s">
        <v>4734</v>
      </c>
      <c r="GG214" s="15" t="s">
        <v>755</v>
      </c>
      <c r="GH214" s="15" t="s">
        <v>755</v>
      </c>
      <c r="GI214" s="15" t="s">
        <v>946</v>
      </c>
      <c r="GJ214" s="15"/>
      <c r="GK214" s="15"/>
      <c r="GL214" s="15"/>
      <c r="GM214" s="15" t="s">
        <v>1079</v>
      </c>
      <c r="GN214" s="15"/>
      <c r="GO214" s="15"/>
      <c r="GP214" s="15"/>
      <c r="GQ214" s="15" t="s">
        <v>3208</v>
      </c>
      <c r="GR214" s="15"/>
      <c r="GS214" s="15"/>
      <c r="GT214" s="15"/>
      <c r="GU214" s="15"/>
      <c r="GV214" s="15"/>
      <c r="GW214" s="15"/>
      <c r="GX214" s="15"/>
      <c r="GY214" s="15"/>
      <c r="GZ214" s="15"/>
      <c r="HA214" s="15"/>
      <c r="HB214" s="15"/>
      <c r="HC214" s="15"/>
      <c r="HD214" s="15"/>
      <c r="HE214" s="15"/>
      <c r="HF214" s="15"/>
      <c r="HG214" s="15"/>
      <c r="HH214" s="15"/>
      <c r="HI214" s="15"/>
      <c r="HJ214" s="15"/>
      <c r="HK214" s="15"/>
      <c r="HL214" s="15"/>
      <c r="HM214" s="15"/>
      <c r="HN214" s="15"/>
      <c r="HO214" s="15"/>
      <c r="HP214" s="31"/>
      <c r="MX214" s="29" t="s">
        <v>10402</v>
      </c>
      <c r="MY214" s="29" t="str">
        <f>IFERROR(__xludf.DUMMYFUNCTION("""COMPUTED_VALUE"""),"California")</f>
        <v>California</v>
      </c>
    </row>
    <row r="215" ht="16.5" customHeight="1">
      <c r="A215" s="30">
        <v>45841.941682199074</v>
      </c>
      <c r="B215" s="15" t="s">
        <v>368</v>
      </c>
      <c r="C215" s="15" t="s">
        <v>370</v>
      </c>
      <c r="D215" s="15" t="s">
        <v>370</v>
      </c>
      <c r="E215" s="15" t="s">
        <v>371</v>
      </c>
      <c r="F215" s="15" t="s">
        <v>371</v>
      </c>
      <c r="G215" s="15" t="s">
        <v>372</v>
      </c>
      <c r="H215" s="15" t="s">
        <v>373</v>
      </c>
      <c r="I215" s="15" t="s">
        <v>374</v>
      </c>
      <c r="J215" s="15" t="s">
        <v>540</v>
      </c>
      <c r="K215" s="15" t="s">
        <v>376</v>
      </c>
      <c r="L215" s="15" t="s">
        <v>379</v>
      </c>
      <c r="M215" s="15" t="s">
        <v>639</v>
      </c>
      <c r="N215" s="15" t="s">
        <v>379</v>
      </c>
      <c r="O215" s="15" t="s">
        <v>4735</v>
      </c>
      <c r="P215" s="15" t="s">
        <v>498</v>
      </c>
      <c r="Q215" s="15" t="s">
        <v>818</v>
      </c>
      <c r="R215" s="15" t="s">
        <v>500</v>
      </c>
      <c r="S215" s="15" t="s">
        <v>384</v>
      </c>
      <c r="T215" s="15" t="s">
        <v>385</v>
      </c>
      <c r="U215" s="15"/>
      <c r="V215" s="15"/>
      <c r="W215" s="15" t="s">
        <v>593</v>
      </c>
      <c r="X215" s="15" t="s">
        <v>387</v>
      </c>
      <c r="Y215" s="15" t="s">
        <v>388</v>
      </c>
      <c r="Z215" s="15" t="s">
        <v>543</v>
      </c>
      <c r="AA215" s="15" t="s">
        <v>2675</v>
      </c>
      <c r="AB215" s="15" t="s">
        <v>2675</v>
      </c>
      <c r="AC215" s="15"/>
      <c r="AD215" s="15"/>
      <c r="AE215" s="15"/>
      <c r="AF215" s="15"/>
      <c r="AG215" s="15"/>
      <c r="AH215" s="15"/>
      <c r="AI215" s="15"/>
      <c r="AJ215" s="15"/>
      <c r="AK215" s="15"/>
      <c r="AL215" s="15"/>
      <c r="AM215" s="15"/>
      <c r="AN215" s="15"/>
      <c r="AO215" s="15"/>
      <c r="AP215" s="15"/>
      <c r="AQ215" s="15"/>
      <c r="AR215" s="15"/>
      <c r="AS215" s="15"/>
      <c r="AT215" s="15"/>
      <c r="AU215" s="15"/>
      <c r="AV215" s="15" t="s">
        <v>390</v>
      </c>
      <c r="AW215" s="15" t="s">
        <v>391</v>
      </c>
      <c r="AX215" s="15" t="s">
        <v>391</v>
      </c>
      <c r="AY215" s="15" t="s">
        <v>391</v>
      </c>
      <c r="AZ215" s="15" t="s">
        <v>675</v>
      </c>
      <c r="BA215" s="15" t="s">
        <v>675</v>
      </c>
      <c r="BB215" s="15" t="s">
        <v>675</v>
      </c>
      <c r="BC215" s="15" t="s">
        <v>4736</v>
      </c>
      <c r="BD215" s="15" t="s">
        <v>4737</v>
      </c>
      <c r="BE215" s="15" t="s">
        <v>432</v>
      </c>
      <c r="BF215" s="15" t="s">
        <v>1095</v>
      </c>
      <c r="BG215" s="15" t="s">
        <v>725</v>
      </c>
      <c r="BH215" s="15"/>
      <c r="BI215" s="15" t="s">
        <v>976</v>
      </c>
      <c r="BJ215" s="15"/>
      <c r="BK215" s="15" t="s">
        <v>437</v>
      </c>
      <c r="BL215" s="15" t="s">
        <v>603</v>
      </c>
      <c r="BM215" s="15" t="s">
        <v>549</v>
      </c>
      <c r="BN215" s="15" t="s">
        <v>398</v>
      </c>
      <c r="BO215" s="15" t="s">
        <v>4738</v>
      </c>
      <c r="BP215" s="15" t="s">
        <v>4739</v>
      </c>
      <c r="BQ215" s="15" t="s">
        <v>401</v>
      </c>
      <c r="BR215" s="15" t="s">
        <v>1830</v>
      </c>
      <c r="BS215" s="15" t="s">
        <v>403</v>
      </c>
      <c r="BT215" s="15" t="s">
        <v>1994</v>
      </c>
      <c r="BU215" s="15" t="s">
        <v>405</v>
      </c>
      <c r="BV215" s="15"/>
      <c r="BW215" s="15" t="s">
        <v>406</v>
      </c>
      <c r="BX215" s="15" t="s">
        <v>2503</v>
      </c>
      <c r="BY215" s="15" t="s">
        <v>455</v>
      </c>
      <c r="BZ215" s="15"/>
      <c r="CA215" s="15"/>
      <c r="CB215" s="15" t="s">
        <v>4740</v>
      </c>
      <c r="CC215" s="15"/>
      <c r="CD215" s="15" t="s">
        <v>451</v>
      </c>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c r="DF215" s="15"/>
      <c r="DG215" s="15"/>
      <c r="DH215" s="15"/>
      <c r="DI215" s="15"/>
      <c r="DJ215" s="15"/>
      <c r="DK215" s="15"/>
      <c r="DL215" s="15"/>
      <c r="DM215" s="15"/>
      <c r="DN215" s="15"/>
      <c r="DO215" s="15"/>
      <c r="DP215" s="15"/>
      <c r="DQ215" s="15"/>
      <c r="DR215" s="15"/>
      <c r="DS215" s="15"/>
      <c r="DT215" s="15"/>
      <c r="DU215" s="15"/>
      <c r="DV215" s="15"/>
      <c r="DW215" s="15"/>
      <c r="DX215" s="15"/>
      <c r="DY215" s="15"/>
      <c r="DZ215" s="15"/>
      <c r="EA215" s="15"/>
      <c r="EB215" s="15"/>
      <c r="EC215" s="15"/>
      <c r="ED215" s="15"/>
      <c r="EE215" s="15"/>
      <c r="EF215" s="15"/>
      <c r="EG215" s="15"/>
      <c r="EH215" s="15"/>
      <c r="EI215" s="15"/>
      <c r="EJ215" s="15"/>
      <c r="EK215" s="15"/>
      <c r="EL215" s="15"/>
      <c r="EM215" s="15"/>
      <c r="EN215" s="15"/>
      <c r="EO215" s="15"/>
      <c r="EP215" s="15"/>
      <c r="EQ215" s="15"/>
      <c r="ER215" s="15"/>
      <c r="ES215" s="15"/>
      <c r="ET215" s="15" t="s">
        <v>526</v>
      </c>
      <c r="EU215" s="15" t="s">
        <v>579</v>
      </c>
      <c r="EV215" s="15" t="s">
        <v>1262</v>
      </c>
      <c r="EW215" s="15"/>
      <c r="EX215" s="15"/>
      <c r="EY215" s="15"/>
      <c r="EZ215" s="15" t="s">
        <v>414</v>
      </c>
      <c r="FA215" s="15" t="s">
        <v>415</v>
      </c>
      <c r="FB215" s="15" t="s">
        <v>413</v>
      </c>
      <c r="FC215" s="15" t="s">
        <v>413</v>
      </c>
      <c r="FD215" s="15" t="s">
        <v>413</v>
      </c>
      <c r="FE215" s="15" t="s">
        <v>414</v>
      </c>
      <c r="FF215" s="15" t="s">
        <v>413</v>
      </c>
      <c r="FG215" s="15" t="s">
        <v>413</v>
      </c>
      <c r="FH215" s="15" t="s">
        <v>413</v>
      </c>
      <c r="FI215" s="15" t="s">
        <v>413</v>
      </c>
      <c r="FJ215" s="15" t="s">
        <v>414</v>
      </c>
      <c r="FK215" s="15" t="s">
        <v>415</v>
      </c>
      <c r="FL215" s="15" t="s">
        <v>415</v>
      </c>
      <c r="FM215" s="15" t="s">
        <v>413</v>
      </c>
      <c r="FN215" s="15" t="s">
        <v>414</v>
      </c>
      <c r="FO215" s="15" t="s">
        <v>485</v>
      </c>
      <c r="FP215" s="15" t="s">
        <v>418</v>
      </c>
      <c r="FQ215" s="15" t="s">
        <v>630</v>
      </c>
      <c r="FR215" s="15"/>
      <c r="FS215" s="15" t="s">
        <v>420</v>
      </c>
      <c r="FT215" s="15" t="s">
        <v>421</v>
      </c>
      <c r="FU215" s="15" t="s">
        <v>918</v>
      </c>
      <c r="FV215" s="15" t="s">
        <v>490</v>
      </c>
      <c r="FW215" s="15" t="s">
        <v>491</v>
      </c>
      <c r="FX215" s="15"/>
      <c r="FY215" s="15" t="s">
        <v>1020</v>
      </c>
      <c r="FZ215" s="15"/>
      <c r="GA215" s="15"/>
      <c r="GB215" s="15" t="s">
        <v>408</v>
      </c>
      <c r="GC215" s="15"/>
      <c r="GD215" s="15"/>
      <c r="GE215" s="15"/>
      <c r="GF215" s="15"/>
      <c r="GG215" s="15"/>
      <c r="GH215" s="15"/>
      <c r="GI215" s="15"/>
      <c r="GJ215" s="15" t="s">
        <v>755</v>
      </c>
      <c r="GK215" s="15" t="s">
        <v>755</v>
      </c>
      <c r="GL215" s="15"/>
      <c r="GM215" s="15"/>
      <c r="GN215" s="15"/>
      <c r="GO215" s="15"/>
      <c r="GP215" s="15"/>
      <c r="GQ215" s="15" t="s">
        <v>3351</v>
      </c>
      <c r="GR215" s="15" t="s">
        <v>4741</v>
      </c>
      <c r="GS215" s="15" t="s">
        <v>2675</v>
      </c>
      <c r="GT215" s="15"/>
      <c r="GU215" s="15"/>
      <c r="GV215" s="15"/>
      <c r="GW215" s="15"/>
      <c r="GX215" s="15"/>
      <c r="GY215" s="15"/>
      <c r="GZ215" s="15"/>
      <c r="HA215" s="15"/>
      <c r="HB215" s="15"/>
      <c r="HC215" s="15"/>
      <c r="HD215" s="15"/>
      <c r="HE215" s="15"/>
      <c r="HF215" s="15"/>
      <c r="HG215" s="15"/>
      <c r="HH215" s="15"/>
      <c r="HI215" s="15"/>
      <c r="HJ215" s="15"/>
      <c r="HK215" s="15"/>
      <c r="HL215" s="15"/>
      <c r="HM215" s="15"/>
      <c r="HN215" s="15"/>
      <c r="HO215" s="15"/>
      <c r="HP215" s="31"/>
      <c r="MX215" s="29" t="s">
        <v>10402</v>
      </c>
      <c r="MY215" s="29" t="str">
        <f>IFERROR(__xludf.DUMMYFUNCTION("""COMPUTED_VALUE"""),"Florida")</f>
        <v>Florida</v>
      </c>
    </row>
    <row r="216" ht="16.5" customHeight="1">
      <c r="A216" s="30">
        <v>45842.01290361111</v>
      </c>
      <c r="B216" s="15" t="s">
        <v>368</v>
      </c>
      <c r="C216" s="15" t="s">
        <v>370</v>
      </c>
      <c r="D216" s="15" t="s">
        <v>370</v>
      </c>
      <c r="E216" s="15" t="s">
        <v>2114</v>
      </c>
      <c r="F216" s="15" t="s">
        <v>2114</v>
      </c>
      <c r="G216" s="15" t="s">
        <v>422</v>
      </c>
      <c r="H216" s="15" t="s">
        <v>539</v>
      </c>
      <c r="I216" s="15" t="s">
        <v>424</v>
      </c>
      <c r="J216" s="15" t="s">
        <v>425</v>
      </c>
      <c r="K216" s="15" t="s">
        <v>376</v>
      </c>
      <c r="L216" s="15" t="s">
        <v>591</v>
      </c>
      <c r="M216" s="15" t="s">
        <v>639</v>
      </c>
      <c r="N216" s="15" t="s">
        <v>793</v>
      </c>
      <c r="O216" s="15" t="s">
        <v>639</v>
      </c>
      <c r="P216" s="15" t="s">
        <v>498</v>
      </c>
      <c r="Q216" s="15" t="s">
        <v>862</v>
      </c>
      <c r="R216" s="15" t="s">
        <v>949</v>
      </c>
      <c r="S216" s="15" t="s">
        <v>4742</v>
      </c>
      <c r="T216" s="15" t="s">
        <v>385</v>
      </c>
      <c r="U216" s="15"/>
      <c r="V216" s="15"/>
      <c r="W216" s="15" t="s">
        <v>386</v>
      </c>
      <c r="X216" s="15" t="s">
        <v>387</v>
      </c>
      <c r="Y216" s="15" t="s">
        <v>897</v>
      </c>
      <c r="Z216" s="15" t="s">
        <v>543</v>
      </c>
      <c r="AA216" s="15" t="s">
        <v>4743</v>
      </c>
      <c r="AB216" s="15" t="s">
        <v>4744</v>
      </c>
      <c r="AC216" s="15"/>
      <c r="AD216" s="15"/>
      <c r="AE216" s="15"/>
      <c r="AF216" s="15"/>
      <c r="AG216" s="15"/>
      <c r="AH216" s="15"/>
      <c r="AI216" s="15"/>
      <c r="AJ216" s="15"/>
      <c r="AK216" s="15"/>
      <c r="AL216" s="15"/>
      <c r="AM216" s="15"/>
      <c r="AN216" s="15"/>
      <c r="AO216" s="15"/>
      <c r="AP216" s="15"/>
      <c r="AQ216" s="15"/>
      <c r="AR216" s="15"/>
      <c r="AS216" s="15"/>
      <c r="AT216" s="15"/>
      <c r="AU216" s="15"/>
      <c r="AV216" s="15" t="s">
        <v>597</v>
      </c>
      <c r="AW216" s="15">
        <v>2.0</v>
      </c>
      <c r="AX216" s="15">
        <v>2.0</v>
      </c>
      <c r="AY216" s="15" t="s">
        <v>391</v>
      </c>
      <c r="AZ216" s="15">
        <v>2.0</v>
      </c>
      <c r="BA216" s="15" t="s">
        <v>391</v>
      </c>
      <c r="BB216" s="15">
        <v>2.0</v>
      </c>
      <c r="BC216" s="15" t="s">
        <v>4745</v>
      </c>
      <c r="BD216" s="15" t="s">
        <v>4746</v>
      </c>
      <c r="BE216" s="15" t="s">
        <v>392</v>
      </c>
      <c r="BF216" s="15" t="s">
        <v>433</v>
      </c>
      <c r="BG216" s="15" t="s">
        <v>434</v>
      </c>
      <c r="BH216" s="15" t="s">
        <v>4747</v>
      </c>
      <c r="BI216" s="15" t="s">
        <v>435</v>
      </c>
      <c r="BJ216" s="15" t="s">
        <v>4748</v>
      </c>
      <c r="BK216" s="15" t="s">
        <v>437</v>
      </c>
      <c r="BL216" s="15" t="s">
        <v>603</v>
      </c>
      <c r="BM216" s="15" t="s">
        <v>549</v>
      </c>
      <c r="BN216" s="15" t="s">
        <v>440</v>
      </c>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t="s">
        <v>441</v>
      </c>
      <c r="CM216" s="15" t="s">
        <v>401</v>
      </c>
      <c r="CN216" s="15" t="s">
        <v>4749</v>
      </c>
      <c r="CO216" s="15" t="s">
        <v>4750</v>
      </c>
      <c r="CP216" s="15" t="s">
        <v>685</v>
      </c>
      <c r="CQ216" s="15" t="s">
        <v>4751</v>
      </c>
      <c r="CR216" s="15" t="s">
        <v>447</v>
      </c>
      <c r="CS216" s="15" t="s">
        <v>2684</v>
      </c>
      <c r="CT216" s="15" t="s">
        <v>4752</v>
      </c>
      <c r="CU216" s="15" t="s">
        <v>519</v>
      </c>
      <c r="CV216" s="15" t="s">
        <v>451</v>
      </c>
      <c r="CW216" s="15" t="s">
        <v>4753</v>
      </c>
      <c r="CX216" s="15" t="s">
        <v>408</v>
      </c>
      <c r="CY216" s="15"/>
      <c r="CZ216" s="15" t="s">
        <v>985</v>
      </c>
      <c r="DA216" s="15" t="s">
        <v>4754</v>
      </c>
      <c r="DB216" s="15" t="s">
        <v>408</v>
      </c>
      <c r="DC216" s="15" t="s">
        <v>4755</v>
      </c>
      <c r="DD216" s="15" t="s">
        <v>988</v>
      </c>
      <c r="DE216" s="15" t="s">
        <v>691</v>
      </c>
      <c r="DF216" s="15" t="s">
        <v>4756</v>
      </c>
      <c r="DG216" s="15" t="s">
        <v>561</v>
      </c>
      <c r="DH216" s="15" t="s">
        <v>1220</v>
      </c>
      <c r="DI216" s="15" t="s">
        <v>963</v>
      </c>
      <c r="DJ216" s="15" t="s">
        <v>613</v>
      </c>
      <c r="DK216" s="15"/>
      <c r="DL216" s="15"/>
      <c r="DM216" s="15" t="s">
        <v>4757</v>
      </c>
      <c r="DN216" s="15" t="s">
        <v>4758</v>
      </c>
      <c r="DO216" s="15" t="s">
        <v>3496</v>
      </c>
      <c r="DP216" s="15" t="s">
        <v>4759</v>
      </c>
      <c r="DQ216" s="15" t="s">
        <v>1176</v>
      </c>
      <c r="DR216" s="15" t="s">
        <v>4760</v>
      </c>
      <c r="DS216" s="15" t="s">
        <v>839</v>
      </c>
      <c r="DT216" s="15" t="s">
        <v>703</v>
      </c>
      <c r="DU216" s="15" t="s">
        <v>4761</v>
      </c>
      <c r="DV216" s="15" t="s">
        <v>4762</v>
      </c>
      <c r="DW216" s="15" t="s">
        <v>573</v>
      </c>
      <c r="DX216" s="15" t="s">
        <v>4763</v>
      </c>
      <c r="DY216" s="15" t="s">
        <v>4764</v>
      </c>
      <c r="DZ216" s="15" t="s">
        <v>4765</v>
      </c>
      <c r="EA216" s="15" t="s">
        <v>1413</v>
      </c>
      <c r="EB216" s="15" t="s">
        <v>476</v>
      </c>
      <c r="EC216" s="15" t="s">
        <v>4766</v>
      </c>
      <c r="ED216" s="15"/>
      <c r="EE216" s="15"/>
      <c r="EF216" s="15"/>
      <c r="EG216" s="15"/>
      <c r="EH216" s="15"/>
      <c r="EI216" s="15"/>
      <c r="EJ216" s="15"/>
      <c r="EK216" s="15"/>
      <c r="EL216" s="15"/>
      <c r="EM216" s="15"/>
      <c r="EN216" s="15"/>
      <c r="EO216" s="15"/>
      <c r="EP216" s="15"/>
      <c r="EQ216" s="15"/>
      <c r="ER216" s="15"/>
      <c r="ES216" s="15"/>
      <c r="ET216" s="15" t="s">
        <v>478</v>
      </c>
      <c r="EU216" s="15" t="s">
        <v>479</v>
      </c>
      <c r="EV216" s="15" t="s">
        <v>480</v>
      </c>
      <c r="EW216" s="15" t="s">
        <v>4767</v>
      </c>
      <c r="EX216" s="15" t="s">
        <v>4768</v>
      </c>
      <c r="EY216" s="15" t="s">
        <v>4769</v>
      </c>
      <c r="EZ216" s="15" t="s">
        <v>414</v>
      </c>
      <c r="FA216" s="15" t="s">
        <v>414</v>
      </c>
      <c r="FB216" s="15" t="s">
        <v>414</v>
      </c>
      <c r="FC216" s="15" t="s">
        <v>414</v>
      </c>
      <c r="FD216" s="15" t="s">
        <v>416</v>
      </c>
      <c r="FE216" s="15" t="s">
        <v>414</v>
      </c>
      <c r="FF216" s="15" t="s">
        <v>415</v>
      </c>
      <c r="FG216" s="15" t="s">
        <v>416</v>
      </c>
      <c r="FH216" s="15" t="s">
        <v>414</v>
      </c>
      <c r="FI216" s="15" t="s">
        <v>414</v>
      </c>
      <c r="FJ216" s="15" t="s">
        <v>414</v>
      </c>
      <c r="FK216" s="15" t="s">
        <v>484</v>
      </c>
      <c r="FL216" s="15" t="s">
        <v>414</v>
      </c>
      <c r="FM216" s="15" t="s">
        <v>416</v>
      </c>
      <c r="FN216" s="15" t="s">
        <v>414</v>
      </c>
      <c r="FO216" s="15" t="s">
        <v>850</v>
      </c>
      <c r="FP216" s="15" t="s">
        <v>418</v>
      </c>
      <c r="FQ216" s="15" t="s">
        <v>749</v>
      </c>
      <c r="FR216" s="15" t="s">
        <v>4770</v>
      </c>
      <c r="FS216" s="15" t="s">
        <v>1189</v>
      </c>
      <c r="FT216" s="15" t="s">
        <v>488</v>
      </c>
      <c r="FU216" s="15" t="s">
        <v>489</v>
      </c>
      <c r="FV216" s="15" t="s">
        <v>490</v>
      </c>
      <c r="FW216" s="15" t="s">
        <v>491</v>
      </c>
      <c r="FX216" s="15" t="s">
        <v>4771</v>
      </c>
      <c r="FY216" s="15" t="s">
        <v>535</v>
      </c>
      <c r="FZ216" s="15" t="s">
        <v>4772</v>
      </c>
      <c r="GA216" s="15" t="s">
        <v>4773</v>
      </c>
      <c r="GB216" s="15" t="s">
        <v>455</v>
      </c>
      <c r="GC216" s="15"/>
      <c r="GD216" s="15"/>
      <c r="GE216" s="15" t="s">
        <v>855</v>
      </c>
      <c r="GF216" s="15"/>
      <c r="GG216" s="15" t="s">
        <v>789</v>
      </c>
      <c r="GH216" s="15" t="s">
        <v>920</v>
      </c>
      <c r="GI216" s="15" t="s">
        <v>858</v>
      </c>
      <c r="GJ216" s="15"/>
      <c r="GK216" s="15"/>
      <c r="GL216" s="15"/>
      <c r="GM216" s="15" t="s">
        <v>1079</v>
      </c>
      <c r="GN216" s="15"/>
      <c r="GO216" s="15"/>
      <c r="GP216" s="15"/>
      <c r="GQ216" s="15" t="s">
        <v>3208</v>
      </c>
      <c r="GR216" s="15"/>
      <c r="GS216" s="15"/>
      <c r="GT216" s="15" t="s">
        <v>4774</v>
      </c>
      <c r="GU216" s="15" t="s">
        <v>4775</v>
      </c>
      <c r="GV216" s="15"/>
      <c r="GW216" s="15"/>
      <c r="GX216" s="15"/>
      <c r="GY216" s="15"/>
      <c r="GZ216" s="15"/>
      <c r="HA216" s="15"/>
      <c r="HB216" s="15"/>
      <c r="HC216" s="15"/>
      <c r="HD216" s="15"/>
      <c r="HE216" s="15"/>
      <c r="HF216" s="15"/>
      <c r="HG216" s="15"/>
      <c r="HH216" s="15"/>
      <c r="HI216" s="15"/>
      <c r="HJ216" s="15"/>
      <c r="HK216" s="15"/>
      <c r="HL216" s="15"/>
      <c r="HM216" s="15"/>
      <c r="HN216" s="15"/>
      <c r="HO216" s="15"/>
      <c r="HP216" s="31"/>
      <c r="MX216" s="29" t="s">
        <v>538</v>
      </c>
      <c r="MY216" s="29" t="str">
        <f>IFERROR(__xludf.DUMMYFUNCTION("""COMPUTED_VALUE"""),"United Kingdom")</f>
        <v>United Kingdom</v>
      </c>
    </row>
    <row r="217" ht="16.5" customHeight="1">
      <c r="A217" s="30">
        <v>45842.59654684028</v>
      </c>
      <c r="B217" s="15" t="s">
        <v>368</v>
      </c>
      <c r="C217" s="15" t="s">
        <v>538</v>
      </c>
      <c r="D217" s="15" t="s">
        <v>894</v>
      </c>
      <c r="E217" s="15"/>
      <c r="F217" s="15"/>
      <c r="G217" s="15" t="s">
        <v>422</v>
      </c>
      <c r="H217" s="15" t="s">
        <v>423</v>
      </c>
      <c r="I217" s="15" t="s">
        <v>424</v>
      </c>
      <c r="J217" s="15" t="s">
        <v>590</v>
      </c>
      <c r="K217" s="15" t="s">
        <v>376</v>
      </c>
      <c r="L217" s="15" t="s">
        <v>377</v>
      </c>
      <c r="M217" s="15" t="s">
        <v>1442</v>
      </c>
      <c r="N217" s="15" t="s">
        <v>377</v>
      </c>
      <c r="O217" s="15" t="s">
        <v>497</v>
      </c>
      <c r="P217" s="15" t="s">
        <v>1760</v>
      </c>
      <c r="Q217" s="15" t="s">
        <v>499</v>
      </c>
      <c r="R217" s="15" t="s">
        <v>500</v>
      </c>
      <c r="S217" s="15" t="s">
        <v>384</v>
      </c>
      <c r="T217" s="15" t="s">
        <v>385</v>
      </c>
      <c r="U217" s="15"/>
      <c r="V217" s="15" t="s">
        <v>896</v>
      </c>
      <c r="W217" s="15" t="s">
        <v>3231</v>
      </c>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t="s">
        <v>1242</v>
      </c>
      <c r="AW217" s="15" t="s">
        <v>675</v>
      </c>
      <c r="AX217" s="15" t="s">
        <v>675</v>
      </c>
      <c r="AY217" s="15">
        <v>4.0</v>
      </c>
      <c r="AZ217" s="15" t="s">
        <v>675</v>
      </c>
      <c r="BA217" s="15" t="s">
        <v>675</v>
      </c>
      <c r="BB217" s="15" t="s">
        <v>675</v>
      </c>
      <c r="BC217" s="15" t="s">
        <v>4776</v>
      </c>
      <c r="BD217" s="15" t="s">
        <v>4777</v>
      </c>
      <c r="BE217" s="15" t="s">
        <v>432</v>
      </c>
      <c r="BF217" s="15" t="s">
        <v>1245</v>
      </c>
      <c r="BG217" s="15" t="s">
        <v>725</v>
      </c>
      <c r="BH217" s="15" t="s">
        <v>4778</v>
      </c>
      <c r="BI217" s="15" t="s">
        <v>435</v>
      </c>
      <c r="BJ217" s="15" t="s">
        <v>4779</v>
      </c>
      <c r="BK217" s="15" t="s">
        <v>602</v>
      </c>
      <c r="BL217" s="15" t="s">
        <v>603</v>
      </c>
      <c r="BM217" s="15" t="s">
        <v>1314</v>
      </c>
      <c r="BN217" s="15" t="s">
        <v>398</v>
      </c>
      <c r="BO217" s="15"/>
      <c r="BP217" s="15" t="s">
        <v>4780</v>
      </c>
      <c r="BQ217" s="15" t="s">
        <v>604</v>
      </c>
      <c r="BR217" s="15" t="s">
        <v>4781</v>
      </c>
      <c r="BS217" s="15" t="s">
        <v>403</v>
      </c>
      <c r="BT217" s="15" t="s">
        <v>1994</v>
      </c>
      <c r="BU217" s="15" t="s">
        <v>405</v>
      </c>
      <c r="BV217" s="15"/>
      <c r="BW217" s="15" t="s">
        <v>406</v>
      </c>
      <c r="BX217" s="15" t="s">
        <v>2503</v>
      </c>
      <c r="BY217" s="15" t="s">
        <v>455</v>
      </c>
      <c r="BZ217" s="15" t="s">
        <v>4782</v>
      </c>
      <c r="CA217" s="15" t="s">
        <v>4783</v>
      </c>
      <c r="CB217" s="15" t="s">
        <v>4784</v>
      </c>
      <c r="CC217" s="15" t="s">
        <v>4785</v>
      </c>
      <c r="CD217" s="15" t="s">
        <v>451</v>
      </c>
      <c r="CE217" s="15" t="s">
        <v>4786</v>
      </c>
      <c r="CF217" s="15" t="s">
        <v>1697</v>
      </c>
      <c r="CG217" s="15"/>
      <c r="CH217" s="15" t="s">
        <v>1259</v>
      </c>
      <c r="CI217" s="15" t="s">
        <v>410</v>
      </c>
      <c r="CJ217" s="15" t="s">
        <v>4787</v>
      </c>
      <c r="CK217" s="15" t="s">
        <v>4788</v>
      </c>
      <c r="CL217" s="15"/>
      <c r="CM217" s="15"/>
      <c r="CN217" s="15"/>
      <c r="CO217" s="15"/>
      <c r="CP217" s="15"/>
      <c r="CQ217" s="15"/>
      <c r="CR217" s="15"/>
      <c r="CS217" s="15"/>
      <c r="CT217" s="15"/>
      <c r="CU217" s="15"/>
      <c r="CV217" s="15"/>
      <c r="CW217" s="15"/>
      <c r="CX217" s="15"/>
      <c r="CY217" s="15"/>
      <c r="CZ217" s="15"/>
      <c r="DA217" s="15"/>
      <c r="DB217" s="15"/>
      <c r="DC217" s="15"/>
      <c r="DD217" s="15"/>
      <c r="DE217" s="15"/>
      <c r="DF217" s="15"/>
      <c r="DG217" s="15"/>
      <c r="DH217" s="15"/>
      <c r="DI217" s="15"/>
      <c r="DJ217" s="15"/>
      <c r="DK217" s="15"/>
      <c r="DL217" s="15"/>
      <c r="DM217" s="15"/>
      <c r="DN217" s="15"/>
      <c r="DO217" s="15"/>
      <c r="DP217" s="15"/>
      <c r="DQ217" s="15"/>
      <c r="DR217" s="15"/>
      <c r="DS217" s="15"/>
      <c r="DT217" s="15"/>
      <c r="DU217" s="15"/>
      <c r="DV217" s="15"/>
      <c r="DW217" s="15"/>
      <c r="DX217" s="15"/>
      <c r="DY217" s="15"/>
      <c r="DZ217" s="15"/>
      <c r="EA217" s="15"/>
      <c r="EB217" s="15"/>
      <c r="EC217" s="15"/>
      <c r="ED217" s="15"/>
      <c r="EE217" s="15"/>
      <c r="EF217" s="15"/>
      <c r="EG217" s="15"/>
      <c r="EH217" s="15"/>
      <c r="EI217" s="15"/>
      <c r="EJ217" s="15"/>
      <c r="EK217" s="15"/>
      <c r="EL217" s="15"/>
      <c r="EM217" s="15"/>
      <c r="EN217" s="15"/>
      <c r="EO217" s="15"/>
      <c r="EP217" s="15"/>
      <c r="EQ217" s="15"/>
      <c r="ER217" s="15"/>
      <c r="ES217" s="15"/>
      <c r="ET217" s="15" t="s">
        <v>526</v>
      </c>
      <c r="EU217" s="15" t="s">
        <v>579</v>
      </c>
      <c r="EV217" s="15" t="s">
        <v>527</v>
      </c>
      <c r="EW217" s="15" t="s">
        <v>4789</v>
      </c>
      <c r="EX217" s="15" t="s">
        <v>4790</v>
      </c>
      <c r="EY217" s="15" t="s">
        <v>4791</v>
      </c>
      <c r="EZ217" s="15" t="s">
        <v>413</v>
      </c>
      <c r="FA217" s="15" t="s">
        <v>583</v>
      </c>
      <c r="FB217" s="15" t="s">
        <v>413</v>
      </c>
      <c r="FC217" s="15" t="s">
        <v>413</v>
      </c>
      <c r="FD217" s="15" t="s">
        <v>413</v>
      </c>
      <c r="FE217" s="15" t="s">
        <v>415</v>
      </c>
      <c r="FF217" s="15" t="s">
        <v>413</v>
      </c>
      <c r="FG217" s="15" t="s">
        <v>413</v>
      </c>
      <c r="FH217" s="15" t="s">
        <v>413</v>
      </c>
      <c r="FI217" s="15" t="s">
        <v>413</v>
      </c>
      <c r="FJ217" s="15" t="s">
        <v>413</v>
      </c>
      <c r="FK217" s="15" t="s">
        <v>413</v>
      </c>
      <c r="FL217" s="15" t="s">
        <v>413</v>
      </c>
      <c r="FM217" s="15" t="s">
        <v>413</v>
      </c>
      <c r="FN217" s="15" t="s">
        <v>413</v>
      </c>
      <c r="FO217" s="15" t="s">
        <v>417</v>
      </c>
      <c r="FP217" s="15" t="s">
        <v>418</v>
      </c>
      <c r="FQ217" s="15" t="s">
        <v>531</v>
      </c>
      <c r="FR217" s="15" t="s">
        <v>4792</v>
      </c>
      <c r="FS217" s="15" t="s">
        <v>420</v>
      </c>
      <c r="FT217" s="15" t="s">
        <v>488</v>
      </c>
      <c r="FU217" s="15" t="s">
        <v>1235</v>
      </c>
      <c r="FV217" s="15" t="s">
        <v>490</v>
      </c>
      <c r="FW217" s="15" t="s">
        <v>1853</v>
      </c>
      <c r="FX217" s="15" t="s">
        <v>4793</v>
      </c>
      <c r="FY217" s="15" t="s">
        <v>535</v>
      </c>
      <c r="FZ217" s="15" t="s">
        <v>4794</v>
      </c>
      <c r="GA217" s="15" t="s">
        <v>4795</v>
      </c>
      <c r="GB217" s="15" t="s">
        <v>408</v>
      </c>
      <c r="GC217" s="15"/>
      <c r="GD217" s="15"/>
      <c r="GE217" s="15"/>
      <c r="GF217" s="15"/>
      <c r="GG217" s="15"/>
      <c r="GH217" s="15"/>
      <c r="GI217" s="15"/>
      <c r="GJ217" s="15" t="s">
        <v>755</v>
      </c>
      <c r="GK217" s="15" t="s">
        <v>755</v>
      </c>
      <c r="GL217" s="15" t="s">
        <v>946</v>
      </c>
      <c r="GM217" s="15"/>
      <c r="GN217" s="15" t="s">
        <v>538</v>
      </c>
      <c r="GO217" s="15"/>
      <c r="GP217" s="15" t="s">
        <v>387</v>
      </c>
      <c r="GQ217" s="15" t="s">
        <v>4796</v>
      </c>
      <c r="GR217" s="15" t="s">
        <v>4741</v>
      </c>
      <c r="GS217" s="15" t="s">
        <v>4797</v>
      </c>
      <c r="GT217" s="15"/>
      <c r="GU217" s="15"/>
      <c r="GV217" s="15"/>
      <c r="GW217" s="15"/>
      <c r="GX217" s="15"/>
      <c r="GY217" s="15"/>
      <c r="GZ217" s="15"/>
      <c r="HA217" s="15"/>
      <c r="HB217" s="15"/>
      <c r="HC217" s="15"/>
      <c r="HD217" s="15"/>
      <c r="HE217" s="15"/>
      <c r="HF217" s="15"/>
      <c r="HG217" s="15"/>
      <c r="HH217" s="15"/>
      <c r="HI217" s="15"/>
      <c r="HJ217" s="15"/>
      <c r="HK217" s="15"/>
      <c r="HL217" s="15"/>
      <c r="HM217" s="15"/>
      <c r="HN217" s="15"/>
      <c r="HO217" s="15"/>
      <c r="HP217" s="31"/>
      <c r="MX217" s="29" t="s">
        <v>10402</v>
      </c>
      <c r="MY217" s="29" t="str">
        <f>IFERROR(__xludf.DUMMYFUNCTION("""COMPUTED_VALUE"""),"New York")</f>
        <v>New York</v>
      </c>
    </row>
    <row r="218" ht="16.5" customHeight="1">
      <c r="A218" s="30">
        <v>45842.748646921296</v>
      </c>
      <c r="B218" s="15" t="s">
        <v>368</v>
      </c>
      <c r="C218" s="15" t="s">
        <v>370</v>
      </c>
      <c r="D218" s="15" t="s">
        <v>370</v>
      </c>
      <c r="E218" s="15" t="s">
        <v>667</v>
      </c>
      <c r="F218" s="15" t="s">
        <v>1510</v>
      </c>
      <c r="G218" s="15" t="s">
        <v>422</v>
      </c>
      <c r="H218" s="15" t="s">
        <v>496</v>
      </c>
      <c r="I218" s="15" t="s">
        <v>2578</v>
      </c>
      <c r="J218" s="15" t="s">
        <v>425</v>
      </c>
      <c r="K218" s="15" t="s">
        <v>376</v>
      </c>
      <c r="L218" s="15" t="s">
        <v>591</v>
      </c>
      <c r="M218" s="15" t="s">
        <v>719</v>
      </c>
      <c r="N218" s="15" t="s">
        <v>379</v>
      </c>
      <c r="O218" s="15" t="s">
        <v>380</v>
      </c>
      <c r="P218" s="15" t="s">
        <v>381</v>
      </c>
      <c r="Q218" s="15" t="s">
        <v>862</v>
      </c>
      <c r="R218" s="15" t="s">
        <v>949</v>
      </c>
      <c r="S218" s="15" t="s">
        <v>384</v>
      </c>
      <c r="T218" s="15" t="s">
        <v>385</v>
      </c>
      <c r="U218" s="15"/>
      <c r="V218" s="15"/>
      <c r="W218" s="15" t="s">
        <v>386</v>
      </c>
      <c r="X218" s="15" t="s">
        <v>387</v>
      </c>
      <c r="Y218" s="15" t="s">
        <v>1824</v>
      </c>
      <c r="Z218" s="15" t="s">
        <v>543</v>
      </c>
      <c r="AA218" s="15" t="s">
        <v>4798</v>
      </c>
      <c r="AB218" s="15" t="s">
        <v>4799</v>
      </c>
      <c r="AC218" s="15"/>
      <c r="AD218" s="15"/>
      <c r="AE218" s="15"/>
      <c r="AF218" s="15"/>
      <c r="AG218" s="15"/>
      <c r="AH218" s="15"/>
      <c r="AI218" s="15"/>
      <c r="AJ218" s="15"/>
      <c r="AK218" s="15"/>
      <c r="AL218" s="15"/>
      <c r="AM218" s="15"/>
      <c r="AN218" s="15"/>
      <c r="AO218" s="15"/>
      <c r="AP218" s="15"/>
      <c r="AQ218" s="15"/>
      <c r="AR218" s="15"/>
      <c r="AS218" s="15"/>
      <c r="AT218" s="15"/>
      <c r="AU218" s="15"/>
      <c r="AV218" s="15" t="s">
        <v>597</v>
      </c>
      <c r="AW218" s="15">
        <v>4.0</v>
      </c>
      <c r="AX218" s="15">
        <v>2.0</v>
      </c>
      <c r="AY218" s="15" t="s">
        <v>675</v>
      </c>
      <c r="AZ218" s="15">
        <v>4.0</v>
      </c>
      <c r="BA218" s="15" t="s">
        <v>675</v>
      </c>
      <c r="BB218" s="15" t="s">
        <v>675</v>
      </c>
      <c r="BC218" s="15" t="s">
        <v>4800</v>
      </c>
      <c r="BD218" s="15" t="s">
        <v>4801</v>
      </c>
      <c r="BE218" s="15" t="s">
        <v>432</v>
      </c>
      <c r="BF218" s="15" t="s">
        <v>1095</v>
      </c>
      <c r="BG218" s="15" t="s">
        <v>394</v>
      </c>
      <c r="BH218" s="15" t="s">
        <v>4802</v>
      </c>
      <c r="BI218" s="15" t="s">
        <v>509</v>
      </c>
      <c r="BJ218" s="15" t="s">
        <v>4803</v>
      </c>
      <c r="BK218" s="15" t="s">
        <v>511</v>
      </c>
      <c r="BL218" s="15" t="s">
        <v>512</v>
      </c>
      <c r="BM218" s="15" t="s">
        <v>397</v>
      </c>
      <c r="BN218" s="15" t="s">
        <v>398</v>
      </c>
      <c r="BO218" s="15" t="s">
        <v>4804</v>
      </c>
      <c r="BP218" s="15" t="s">
        <v>4805</v>
      </c>
      <c r="BQ218" s="15" t="s">
        <v>442</v>
      </c>
      <c r="BR218" s="15" t="s">
        <v>4806</v>
      </c>
      <c r="BS218" s="15" t="s">
        <v>1671</v>
      </c>
      <c r="BT218" s="15" t="s">
        <v>4368</v>
      </c>
      <c r="BU218" s="15" t="s">
        <v>1831</v>
      </c>
      <c r="BV218" s="15" t="s">
        <v>4807</v>
      </c>
      <c r="BW218" s="15" t="s">
        <v>406</v>
      </c>
      <c r="BX218" s="15" t="s">
        <v>407</v>
      </c>
      <c r="BY218" s="15" t="s">
        <v>733</v>
      </c>
      <c r="BZ218" s="15" t="s">
        <v>4808</v>
      </c>
      <c r="CA218" s="15" t="s">
        <v>4809</v>
      </c>
      <c r="CB218" s="15" t="s">
        <v>4810</v>
      </c>
      <c r="CC218" s="15" t="s">
        <v>4811</v>
      </c>
      <c r="CD218" s="15" t="s">
        <v>451</v>
      </c>
      <c r="CE218" s="15" t="s">
        <v>4812</v>
      </c>
      <c r="CF218" s="15" t="s">
        <v>1749</v>
      </c>
      <c r="CG218" s="15" t="s">
        <v>4813</v>
      </c>
      <c r="CH218" s="15" t="s">
        <v>2744</v>
      </c>
      <c r="CI218" s="15" t="s">
        <v>410</v>
      </c>
      <c r="CJ218" s="15" t="s">
        <v>4814</v>
      </c>
      <c r="CK218" s="15" t="s">
        <v>4815</v>
      </c>
      <c r="CL218" s="15"/>
      <c r="CM218" s="15"/>
      <c r="CN218" s="15"/>
      <c r="CO218" s="15"/>
      <c r="CP218" s="15"/>
      <c r="CQ218" s="15"/>
      <c r="CR218" s="15"/>
      <c r="CS218" s="15"/>
      <c r="CT218" s="15"/>
      <c r="CU218" s="15"/>
      <c r="CV218" s="15"/>
      <c r="CW218" s="15"/>
      <c r="CX218" s="15"/>
      <c r="CY218" s="15"/>
      <c r="CZ218" s="15"/>
      <c r="DA218" s="15"/>
      <c r="DB218" s="15"/>
      <c r="DC218" s="15"/>
      <c r="DD218" s="15"/>
      <c r="DE218" s="15"/>
      <c r="DF218" s="15"/>
      <c r="DG218" s="15"/>
      <c r="DH218" s="15"/>
      <c r="DI218" s="15"/>
      <c r="DJ218" s="15"/>
      <c r="DK218" s="15"/>
      <c r="DL218" s="15"/>
      <c r="DM218" s="15"/>
      <c r="DN218" s="15"/>
      <c r="DO218" s="15"/>
      <c r="DP218" s="15"/>
      <c r="DQ218" s="15"/>
      <c r="DR218" s="15"/>
      <c r="DS218" s="15"/>
      <c r="DT218" s="15"/>
      <c r="DU218" s="15"/>
      <c r="DV218" s="15"/>
      <c r="DW218" s="15"/>
      <c r="DX218" s="15"/>
      <c r="DY218" s="15"/>
      <c r="DZ218" s="15"/>
      <c r="EA218" s="15"/>
      <c r="EB218" s="15"/>
      <c r="EC218" s="15"/>
      <c r="ED218" s="15"/>
      <c r="EE218" s="15"/>
      <c r="EF218" s="15"/>
      <c r="EG218" s="15"/>
      <c r="EH218" s="15"/>
      <c r="EI218" s="15"/>
      <c r="EJ218" s="15"/>
      <c r="EK218" s="15"/>
      <c r="EL218" s="15"/>
      <c r="EM218" s="15"/>
      <c r="EN218" s="15"/>
      <c r="EO218" s="15"/>
      <c r="EP218" s="15"/>
      <c r="EQ218" s="15"/>
      <c r="ER218" s="15"/>
      <c r="ES218" s="15"/>
      <c r="ET218" s="15" t="s">
        <v>578</v>
      </c>
      <c r="EU218" s="15" t="s">
        <v>479</v>
      </c>
      <c r="EV218" s="15" t="s">
        <v>527</v>
      </c>
      <c r="EW218" s="15" t="s">
        <v>4816</v>
      </c>
      <c r="EX218" s="15" t="s">
        <v>4817</v>
      </c>
      <c r="EY218" s="15" t="s">
        <v>4818</v>
      </c>
      <c r="EZ218" s="15" t="s">
        <v>583</v>
      </c>
      <c r="FA218" s="15" t="s">
        <v>583</v>
      </c>
      <c r="FB218" s="15" t="s">
        <v>414</v>
      </c>
      <c r="FC218" s="15" t="s">
        <v>583</v>
      </c>
      <c r="FD218" s="15" t="s">
        <v>415</v>
      </c>
      <c r="FE218" s="15" t="s">
        <v>583</v>
      </c>
      <c r="FF218" s="15" t="s">
        <v>583</v>
      </c>
      <c r="FG218" s="15" t="s">
        <v>583</v>
      </c>
      <c r="FH218" s="15" t="s">
        <v>414</v>
      </c>
      <c r="FI218" s="15" t="s">
        <v>583</v>
      </c>
      <c r="FJ218" s="15" t="s">
        <v>583</v>
      </c>
      <c r="FK218" s="15" t="s">
        <v>415</v>
      </c>
      <c r="FL218" s="15" t="s">
        <v>583</v>
      </c>
      <c r="FM218" s="15" t="s">
        <v>415</v>
      </c>
      <c r="FN218" s="15" t="s">
        <v>414</v>
      </c>
      <c r="FO218" s="15" t="s">
        <v>417</v>
      </c>
      <c r="FP218" s="15" t="s">
        <v>418</v>
      </c>
      <c r="FQ218" s="15" t="s">
        <v>630</v>
      </c>
      <c r="FR218" s="15" t="s">
        <v>4819</v>
      </c>
      <c r="FS218" s="15" t="s">
        <v>1189</v>
      </c>
      <c r="FT218" s="15" t="s">
        <v>1462</v>
      </c>
      <c r="FU218" s="15" t="s">
        <v>489</v>
      </c>
      <c r="FV218" s="15" t="s">
        <v>490</v>
      </c>
      <c r="FW218" s="15" t="s">
        <v>491</v>
      </c>
      <c r="FX218" s="15" t="s">
        <v>4820</v>
      </c>
      <c r="FY218" s="15" t="s">
        <v>493</v>
      </c>
      <c r="FZ218" s="15" t="s">
        <v>4821</v>
      </c>
      <c r="GA218" s="15" t="s">
        <v>4822</v>
      </c>
      <c r="GB218" s="15" t="s">
        <v>455</v>
      </c>
      <c r="GC218" s="15"/>
      <c r="GD218" s="15"/>
      <c r="GE218" s="15" t="s">
        <v>786</v>
      </c>
      <c r="GF218" s="15" t="s">
        <v>4823</v>
      </c>
      <c r="GG218" s="15"/>
      <c r="GH218" s="15"/>
      <c r="GI218" s="15"/>
      <c r="GJ218" s="15" t="s">
        <v>857</v>
      </c>
      <c r="GK218" s="15" t="s">
        <v>857</v>
      </c>
      <c r="GL218" s="15" t="s">
        <v>946</v>
      </c>
      <c r="GM218" s="15"/>
      <c r="GN218" s="15"/>
      <c r="GO218" s="15"/>
      <c r="GP218" s="15"/>
      <c r="GQ218" s="15" t="s">
        <v>3208</v>
      </c>
      <c r="GR218" s="15" t="s">
        <v>4774</v>
      </c>
      <c r="GS218" s="15" t="s">
        <v>4824</v>
      </c>
      <c r="GT218" s="15"/>
      <c r="GU218" s="15"/>
      <c r="GV218" s="15"/>
      <c r="GW218" s="15"/>
      <c r="GX218" s="15"/>
      <c r="GY218" s="15"/>
      <c r="GZ218" s="15"/>
      <c r="HA218" s="15"/>
      <c r="HB218" s="15"/>
      <c r="HC218" s="15"/>
      <c r="HD218" s="15"/>
      <c r="HE218" s="15"/>
      <c r="HF218" s="15"/>
      <c r="HG218" s="15"/>
      <c r="HH218" s="15"/>
      <c r="HI218" s="15"/>
      <c r="HJ218" s="15"/>
      <c r="HK218" s="15"/>
      <c r="HL218" s="15"/>
      <c r="HM218" s="15"/>
      <c r="HN218" s="15"/>
      <c r="HO218" s="15"/>
      <c r="HP218" s="31"/>
      <c r="MX218" s="29" t="s">
        <v>10402</v>
      </c>
      <c r="MY218" s="29" t="str">
        <f>IFERROR(__xludf.DUMMYFUNCTION("""COMPUTED_VALUE"""),"Massachusetts")</f>
        <v>Massachusetts</v>
      </c>
    </row>
    <row r="219" ht="16.5" customHeight="1">
      <c r="A219" s="30">
        <v>45842.78131636574</v>
      </c>
      <c r="B219" s="15" t="s">
        <v>368</v>
      </c>
      <c r="C219" s="15" t="s">
        <v>370</v>
      </c>
      <c r="D219" s="15" t="s">
        <v>370</v>
      </c>
      <c r="E219" s="15" t="s">
        <v>1001</v>
      </c>
      <c r="F219" s="15" t="s">
        <v>1001</v>
      </c>
      <c r="G219" s="15" t="s">
        <v>422</v>
      </c>
      <c r="H219" s="15" t="s">
        <v>637</v>
      </c>
      <c r="I219" s="15" t="s">
        <v>638</v>
      </c>
      <c r="J219" s="15" t="s">
        <v>375</v>
      </c>
      <c r="K219" s="15" t="s">
        <v>376</v>
      </c>
      <c r="L219" s="15" t="s">
        <v>670</v>
      </c>
      <c r="M219" s="15" t="s">
        <v>639</v>
      </c>
      <c r="N219" s="15" t="s">
        <v>670</v>
      </c>
      <c r="O219" s="15" t="s">
        <v>497</v>
      </c>
      <c r="P219" s="15" t="s">
        <v>498</v>
      </c>
      <c r="Q219" s="15" t="s">
        <v>862</v>
      </c>
      <c r="R219" s="15" t="s">
        <v>949</v>
      </c>
      <c r="S219" s="15" t="s">
        <v>384</v>
      </c>
      <c r="T219" s="15" t="s">
        <v>385</v>
      </c>
      <c r="U219" s="15"/>
      <c r="V219" s="15"/>
      <c r="W219" s="15" t="s">
        <v>386</v>
      </c>
      <c r="X219" s="15" t="s">
        <v>387</v>
      </c>
      <c r="Y219" s="15"/>
      <c r="Z219" s="15" t="s">
        <v>543</v>
      </c>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t="s">
        <v>1310</v>
      </c>
      <c r="AW219" s="15" t="s">
        <v>675</v>
      </c>
      <c r="AX219" s="15" t="s">
        <v>675</v>
      </c>
      <c r="AY219" s="15" t="s">
        <v>675</v>
      </c>
      <c r="AZ219" s="15">
        <v>4.0</v>
      </c>
      <c r="BA219" s="15" t="s">
        <v>675</v>
      </c>
      <c r="BB219" s="15" t="s">
        <v>675</v>
      </c>
      <c r="BC219" s="15"/>
      <c r="BD219" s="15"/>
      <c r="BE219" s="15" t="s">
        <v>902</v>
      </c>
      <c r="BF219" s="15" t="s">
        <v>1095</v>
      </c>
      <c r="BG219" s="15" t="s">
        <v>394</v>
      </c>
      <c r="BH219" s="15"/>
      <c r="BI219" s="15" t="s">
        <v>727</v>
      </c>
      <c r="BJ219" s="15"/>
      <c r="BK219" s="15" t="s">
        <v>602</v>
      </c>
      <c r="BL219" s="15" t="s">
        <v>603</v>
      </c>
      <c r="BM219" s="15" t="s">
        <v>1314</v>
      </c>
      <c r="BN219" s="15" t="s">
        <v>398</v>
      </c>
      <c r="BO219" s="15"/>
      <c r="BP219" s="15"/>
      <c r="BQ219" s="15" t="s">
        <v>442</v>
      </c>
      <c r="BR219" s="15" t="s">
        <v>4825</v>
      </c>
      <c r="BS219" s="15" t="s">
        <v>1741</v>
      </c>
      <c r="BT219" s="15" t="s">
        <v>1771</v>
      </c>
      <c r="BU219" s="15" t="s">
        <v>405</v>
      </c>
      <c r="BV219" s="15"/>
      <c r="BW219" s="15" t="s">
        <v>457</v>
      </c>
      <c r="BX219" s="15"/>
      <c r="BY219" s="15" t="s">
        <v>408</v>
      </c>
      <c r="BZ219" s="15"/>
      <c r="CA219" s="15"/>
      <c r="CB219" s="15"/>
      <c r="CC219" s="15"/>
      <c r="CD219" s="15" t="s">
        <v>1257</v>
      </c>
      <c r="CE219" s="15"/>
      <c r="CF219" s="15" t="s">
        <v>1258</v>
      </c>
      <c r="CG219" s="15"/>
      <c r="CH219" s="15" t="s">
        <v>1259</v>
      </c>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c r="DF219" s="15"/>
      <c r="DG219" s="15"/>
      <c r="DH219" s="15"/>
      <c r="DI219" s="15"/>
      <c r="DJ219" s="15"/>
      <c r="DK219" s="15"/>
      <c r="DL219" s="15"/>
      <c r="DM219" s="15"/>
      <c r="DN219" s="15"/>
      <c r="DO219" s="15"/>
      <c r="DP219" s="15"/>
      <c r="DQ219" s="15"/>
      <c r="DR219" s="15"/>
      <c r="DS219" s="15"/>
      <c r="DT219" s="15"/>
      <c r="DU219" s="15"/>
      <c r="DV219" s="15"/>
      <c r="DW219" s="15"/>
      <c r="DX219" s="15"/>
      <c r="DY219" s="15"/>
      <c r="DZ219" s="15"/>
      <c r="EA219" s="15"/>
      <c r="EB219" s="15"/>
      <c r="EC219" s="15"/>
      <c r="ED219" s="15"/>
      <c r="EE219" s="15"/>
      <c r="EF219" s="15"/>
      <c r="EG219" s="15"/>
      <c r="EH219" s="15"/>
      <c r="EI219" s="15"/>
      <c r="EJ219" s="15"/>
      <c r="EK219" s="15"/>
      <c r="EL219" s="15"/>
      <c r="EM219" s="15"/>
      <c r="EN219" s="15"/>
      <c r="EO219" s="15"/>
      <c r="EP219" s="15"/>
      <c r="EQ219" s="15"/>
      <c r="ER219" s="15"/>
      <c r="ES219" s="15"/>
      <c r="ET219" s="15" t="s">
        <v>526</v>
      </c>
      <c r="EU219" s="15" t="s">
        <v>1127</v>
      </c>
      <c r="EV219" s="15" t="s">
        <v>527</v>
      </c>
      <c r="EW219" s="15"/>
      <c r="EX219" s="15"/>
      <c r="EY219" s="15"/>
      <c r="EZ219" s="15" t="s">
        <v>413</v>
      </c>
      <c r="FA219" s="15" t="s">
        <v>415</v>
      </c>
      <c r="FB219" s="15" t="s">
        <v>413</v>
      </c>
      <c r="FC219" s="15" t="s">
        <v>413</v>
      </c>
      <c r="FD219" s="15" t="s">
        <v>413</v>
      </c>
      <c r="FE219" s="15" t="s">
        <v>413</v>
      </c>
      <c r="FF219" s="15" t="s">
        <v>413</v>
      </c>
      <c r="FG219" s="15" t="s">
        <v>583</v>
      </c>
      <c r="FH219" s="15" t="s">
        <v>413</v>
      </c>
      <c r="FI219" s="15" t="s">
        <v>415</v>
      </c>
      <c r="FJ219" s="15" t="s">
        <v>416</v>
      </c>
      <c r="FK219" s="15" t="s">
        <v>413</v>
      </c>
      <c r="FL219" s="15" t="s">
        <v>415</v>
      </c>
      <c r="FM219" s="15" t="s">
        <v>414</v>
      </c>
      <c r="FN219" s="15" t="s">
        <v>416</v>
      </c>
      <c r="FO219" s="15" t="s">
        <v>485</v>
      </c>
      <c r="FP219" s="15" t="s">
        <v>418</v>
      </c>
      <c r="FQ219" s="15" t="s">
        <v>1039</v>
      </c>
      <c r="FR219" s="15"/>
      <c r="FS219" s="15" t="s">
        <v>420</v>
      </c>
      <c r="FT219" s="15" t="s">
        <v>488</v>
      </c>
      <c r="FU219" s="15" t="s">
        <v>918</v>
      </c>
      <c r="FV219" s="15" t="s">
        <v>490</v>
      </c>
      <c r="FW219" s="15" t="s">
        <v>491</v>
      </c>
      <c r="FX219" s="15"/>
      <c r="FY219" s="15" t="s">
        <v>535</v>
      </c>
      <c r="FZ219" s="15"/>
      <c r="GA219" s="15"/>
      <c r="GB219" s="15" t="s">
        <v>408</v>
      </c>
      <c r="GC219" s="15"/>
      <c r="GD219" s="15"/>
      <c r="GE219" s="15"/>
      <c r="GF219" s="15"/>
      <c r="GG219" s="15"/>
      <c r="GH219" s="15"/>
      <c r="GI219" s="15"/>
      <c r="GJ219" s="15" t="s">
        <v>755</v>
      </c>
      <c r="GK219" s="15" t="s">
        <v>755</v>
      </c>
      <c r="GL219" s="15" t="s">
        <v>817</v>
      </c>
      <c r="GM219" s="15"/>
      <c r="GN219" s="15"/>
      <c r="GO219" s="15"/>
      <c r="GP219" s="15"/>
      <c r="GQ219" s="15" t="s">
        <v>3208</v>
      </c>
      <c r="GR219" s="15" t="s">
        <v>4774</v>
      </c>
      <c r="GS219" s="15"/>
      <c r="GT219" s="15"/>
      <c r="GU219" s="15"/>
      <c r="GV219" s="15"/>
      <c r="GW219" s="15"/>
      <c r="GX219" s="15"/>
      <c r="GY219" s="15"/>
      <c r="GZ219" s="15"/>
      <c r="HA219" s="15"/>
      <c r="HB219" s="15"/>
      <c r="HC219" s="15"/>
      <c r="HD219" s="15"/>
      <c r="HE219" s="15"/>
      <c r="HF219" s="15"/>
      <c r="HG219" s="15"/>
      <c r="HH219" s="15"/>
      <c r="HI219" s="15"/>
      <c r="HJ219" s="15"/>
      <c r="HK219" s="15"/>
      <c r="HL219" s="15"/>
      <c r="HM219" s="15"/>
      <c r="HN219" s="15"/>
      <c r="HO219" s="15"/>
      <c r="HP219" s="31"/>
      <c r="MX219" s="29" t="s">
        <v>538</v>
      </c>
      <c r="MY219" s="29" t="str">
        <f>IFERROR(__xludf.DUMMYFUNCTION("""COMPUTED_VALUE"""),"United Kingdom")</f>
        <v>United Kingdom</v>
      </c>
    </row>
    <row r="220" ht="16.5" customHeight="1">
      <c r="A220" s="30">
        <v>45843.44344015046</v>
      </c>
      <c r="B220" s="15" t="s">
        <v>368</v>
      </c>
      <c r="C220" s="15" t="s">
        <v>538</v>
      </c>
      <c r="D220" s="15"/>
      <c r="E220" s="15"/>
      <c r="F220" s="15"/>
      <c r="G220" s="15" t="s">
        <v>422</v>
      </c>
      <c r="H220" s="15" t="s">
        <v>423</v>
      </c>
      <c r="I220" s="15" t="s">
        <v>668</v>
      </c>
      <c r="J220" s="15" t="s">
        <v>590</v>
      </c>
      <c r="K220" s="15" t="s">
        <v>376</v>
      </c>
      <c r="L220" s="15" t="s">
        <v>377</v>
      </c>
      <c r="M220" s="15" t="s">
        <v>380</v>
      </c>
      <c r="N220" s="15" t="s">
        <v>377</v>
      </c>
      <c r="O220" s="15" t="s">
        <v>497</v>
      </c>
      <c r="P220" s="15" t="s">
        <v>381</v>
      </c>
      <c r="Q220" s="15" t="s">
        <v>862</v>
      </c>
      <c r="R220" s="15" t="s">
        <v>427</v>
      </c>
      <c r="S220" s="15" t="s">
        <v>384</v>
      </c>
      <c r="T220" s="15" t="s">
        <v>385</v>
      </c>
      <c r="U220" s="15"/>
      <c r="V220" s="15"/>
      <c r="W220" s="15" t="s">
        <v>593</v>
      </c>
      <c r="X220" s="15" t="s">
        <v>387</v>
      </c>
      <c r="Y220" s="15"/>
      <c r="Z220" s="15" t="s">
        <v>543</v>
      </c>
      <c r="AA220" s="15" t="s">
        <v>408</v>
      </c>
      <c r="AB220" s="15"/>
      <c r="AC220" s="15"/>
      <c r="AD220" s="15"/>
      <c r="AE220" s="15"/>
      <c r="AF220" s="15"/>
      <c r="AG220" s="15"/>
      <c r="AH220" s="15"/>
      <c r="AI220" s="15"/>
      <c r="AJ220" s="15"/>
      <c r="AK220" s="15"/>
      <c r="AL220" s="15"/>
      <c r="AM220" s="15"/>
      <c r="AN220" s="15"/>
      <c r="AO220" s="15"/>
      <c r="AP220" s="15"/>
      <c r="AQ220" s="15"/>
      <c r="AR220" s="15"/>
      <c r="AS220" s="15"/>
      <c r="AT220" s="15"/>
      <c r="AU220" s="15"/>
      <c r="AV220" s="15" t="s">
        <v>597</v>
      </c>
      <c r="AW220" s="15">
        <v>4.0</v>
      </c>
      <c r="AX220" s="15" t="s">
        <v>391</v>
      </c>
      <c r="AY220" s="15">
        <v>4.0</v>
      </c>
      <c r="AZ220" s="15" t="s">
        <v>391</v>
      </c>
      <c r="BA220" s="15">
        <v>2.0</v>
      </c>
      <c r="BB220" s="15" t="s">
        <v>391</v>
      </c>
      <c r="BC220" s="15" t="s">
        <v>4826</v>
      </c>
      <c r="BD220" s="15" t="s">
        <v>4827</v>
      </c>
      <c r="BE220" s="15" t="s">
        <v>392</v>
      </c>
      <c r="BF220" s="15"/>
      <c r="BG220" s="15" t="s">
        <v>725</v>
      </c>
      <c r="BH220" s="15"/>
      <c r="BI220" s="15" t="s">
        <v>435</v>
      </c>
      <c r="BJ220" s="15" t="s">
        <v>4828</v>
      </c>
      <c r="BK220" s="15" t="s">
        <v>395</v>
      </c>
      <c r="BL220" s="15" t="s">
        <v>512</v>
      </c>
      <c r="BM220" s="15" t="s">
        <v>397</v>
      </c>
      <c r="BN220" s="15" t="s">
        <v>398</v>
      </c>
      <c r="BO220" s="15"/>
      <c r="BP220" s="15" t="s">
        <v>4829</v>
      </c>
      <c r="BQ220" s="15" t="s">
        <v>401</v>
      </c>
      <c r="BR220" s="15" t="s">
        <v>4830</v>
      </c>
      <c r="BS220" s="15" t="s">
        <v>4071</v>
      </c>
      <c r="BT220" s="15" t="s">
        <v>4072</v>
      </c>
      <c r="BU220" s="15" t="s">
        <v>1772</v>
      </c>
      <c r="BV220" s="15" t="s">
        <v>4831</v>
      </c>
      <c r="BW220" s="15" t="s">
        <v>406</v>
      </c>
      <c r="BX220" s="15" t="s">
        <v>1867</v>
      </c>
      <c r="BY220" s="15" t="s">
        <v>455</v>
      </c>
      <c r="BZ220" s="15" t="s">
        <v>4832</v>
      </c>
      <c r="CA220" s="15" t="s">
        <v>4833</v>
      </c>
      <c r="CB220" s="15" t="s">
        <v>4834</v>
      </c>
      <c r="CC220" s="15" t="s">
        <v>4835</v>
      </c>
      <c r="CD220" s="15" t="s">
        <v>409</v>
      </c>
      <c r="CE220" s="15" t="s">
        <v>2473</v>
      </c>
      <c r="CF220" s="15" t="s">
        <v>1258</v>
      </c>
      <c r="CG220" s="15"/>
      <c r="CH220" s="15" t="s">
        <v>1698</v>
      </c>
      <c r="CI220" s="15"/>
      <c r="CJ220" s="15" t="s">
        <v>4836</v>
      </c>
      <c r="CK220" s="15"/>
      <c r="CL220" s="15"/>
      <c r="CM220" s="15"/>
      <c r="CN220" s="15"/>
      <c r="CO220" s="15"/>
      <c r="CP220" s="15"/>
      <c r="CQ220" s="15"/>
      <c r="CR220" s="15"/>
      <c r="CS220" s="15"/>
      <c r="CT220" s="15"/>
      <c r="CU220" s="15"/>
      <c r="CV220" s="15"/>
      <c r="CW220" s="15"/>
      <c r="CX220" s="15"/>
      <c r="CY220" s="15"/>
      <c r="CZ220" s="15"/>
      <c r="DA220" s="15"/>
      <c r="DB220" s="15"/>
      <c r="DC220" s="15"/>
      <c r="DD220" s="15"/>
      <c r="DE220" s="15"/>
      <c r="DF220" s="15"/>
      <c r="DG220" s="15"/>
      <c r="DH220" s="15"/>
      <c r="DI220" s="15"/>
      <c r="DJ220" s="15"/>
      <c r="DK220" s="15"/>
      <c r="DL220" s="15"/>
      <c r="DM220" s="15"/>
      <c r="DN220" s="15"/>
      <c r="DO220" s="15"/>
      <c r="DP220" s="15"/>
      <c r="DQ220" s="15"/>
      <c r="DR220" s="15"/>
      <c r="DS220" s="15"/>
      <c r="DT220" s="15"/>
      <c r="DU220" s="15"/>
      <c r="DV220" s="15"/>
      <c r="DW220" s="15"/>
      <c r="DX220" s="15"/>
      <c r="DY220" s="15"/>
      <c r="DZ220" s="15"/>
      <c r="EA220" s="15"/>
      <c r="EB220" s="15"/>
      <c r="EC220" s="15"/>
      <c r="ED220" s="15"/>
      <c r="EE220" s="15"/>
      <c r="EF220" s="15"/>
      <c r="EG220" s="15"/>
      <c r="EH220" s="15"/>
      <c r="EI220" s="15"/>
      <c r="EJ220" s="15"/>
      <c r="EK220" s="15"/>
      <c r="EL220" s="15"/>
      <c r="EM220" s="15"/>
      <c r="EN220" s="15"/>
      <c r="EO220" s="15"/>
      <c r="EP220" s="15"/>
      <c r="EQ220" s="15"/>
      <c r="ER220" s="15"/>
      <c r="ES220" s="15"/>
      <c r="ET220" s="15" t="s">
        <v>578</v>
      </c>
      <c r="EU220" s="15" t="s">
        <v>579</v>
      </c>
      <c r="EV220" s="15" t="s">
        <v>1534</v>
      </c>
      <c r="EW220" s="15"/>
      <c r="EX220" s="15" t="s">
        <v>4837</v>
      </c>
      <c r="EY220" s="15" t="s">
        <v>1380</v>
      </c>
      <c r="EZ220" s="15" t="s">
        <v>415</v>
      </c>
      <c r="FA220" s="15" t="s">
        <v>415</v>
      </c>
      <c r="FB220" s="15" t="s">
        <v>413</v>
      </c>
      <c r="FC220" s="15" t="s">
        <v>414</v>
      </c>
      <c r="FD220" s="15" t="s">
        <v>413</v>
      </c>
      <c r="FE220" s="15" t="s">
        <v>484</v>
      </c>
      <c r="FF220" s="15" t="s">
        <v>583</v>
      </c>
      <c r="FG220" s="15" t="s">
        <v>414</v>
      </c>
      <c r="FH220" s="15" t="s">
        <v>416</v>
      </c>
      <c r="FI220" s="15" t="s">
        <v>416</v>
      </c>
      <c r="FJ220" s="15" t="s">
        <v>583</v>
      </c>
      <c r="FK220" s="15" t="s">
        <v>415</v>
      </c>
      <c r="FL220" s="15" t="s">
        <v>415</v>
      </c>
      <c r="FM220" s="15" t="s">
        <v>415</v>
      </c>
      <c r="FN220" s="15" t="s">
        <v>583</v>
      </c>
      <c r="FO220" s="15" t="s">
        <v>1074</v>
      </c>
      <c r="FP220" s="15" t="s">
        <v>486</v>
      </c>
      <c r="FQ220" s="15" t="s">
        <v>419</v>
      </c>
      <c r="FR220" s="15" t="s">
        <v>4838</v>
      </c>
      <c r="FS220" s="15" t="s">
        <v>1076</v>
      </c>
      <c r="FT220" s="15" t="s">
        <v>488</v>
      </c>
      <c r="FU220" s="15" t="s">
        <v>918</v>
      </c>
      <c r="FV220" s="15" t="s">
        <v>490</v>
      </c>
      <c r="FW220" s="15" t="s">
        <v>491</v>
      </c>
      <c r="FX220" s="15" t="s">
        <v>4839</v>
      </c>
      <c r="FY220" s="15" t="s">
        <v>535</v>
      </c>
      <c r="FZ220" s="15"/>
      <c r="GA220" s="15"/>
      <c r="GB220" s="15" t="s">
        <v>455</v>
      </c>
      <c r="GC220" s="15"/>
      <c r="GD220" s="15"/>
      <c r="GE220" s="15" t="s">
        <v>753</v>
      </c>
      <c r="GF220" s="15" t="s">
        <v>455</v>
      </c>
      <c r="GG220" s="15"/>
      <c r="GH220" s="15"/>
      <c r="GI220" s="15"/>
      <c r="GJ220" s="15" t="s">
        <v>789</v>
      </c>
      <c r="GK220" s="15" t="s">
        <v>789</v>
      </c>
      <c r="GL220" s="15" t="s">
        <v>790</v>
      </c>
      <c r="GM220" s="15"/>
      <c r="GN220" s="15"/>
      <c r="GO220" s="15"/>
      <c r="GP220" s="15"/>
      <c r="GQ220" s="15" t="s">
        <v>3208</v>
      </c>
      <c r="GR220" s="15" t="s">
        <v>4840</v>
      </c>
      <c r="GS220" s="15" t="s">
        <v>4841</v>
      </c>
      <c r="GT220" s="15"/>
      <c r="GU220" s="15"/>
      <c r="GV220" s="15"/>
      <c r="GW220" s="15"/>
      <c r="GX220" s="15"/>
      <c r="GY220" s="15"/>
      <c r="GZ220" s="15"/>
      <c r="HA220" s="15"/>
      <c r="HB220" s="15"/>
      <c r="HC220" s="15"/>
      <c r="HD220" s="15"/>
      <c r="HE220" s="15"/>
      <c r="HF220" s="15"/>
      <c r="HG220" s="15"/>
      <c r="HH220" s="15"/>
      <c r="HI220" s="15"/>
      <c r="HJ220" s="15"/>
      <c r="HK220" s="15"/>
      <c r="HL220" s="15"/>
      <c r="HM220" s="15"/>
      <c r="HN220" s="15"/>
      <c r="HO220" s="15"/>
      <c r="HP220" s="31"/>
      <c r="MX220" s="29" t="s">
        <v>947</v>
      </c>
      <c r="MY220" s="29" t="str">
        <f>IFERROR(__xludf.DUMMYFUNCTION("""COMPUTED_VALUE"""),"France")</f>
        <v>France</v>
      </c>
    </row>
    <row r="221" ht="16.5" customHeight="1">
      <c r="A221" s="30">
        <v>45844.052393356484</v>
      </c>
      <c r="B221" s="15" t="s">
        <v>368</v>
      </c>
      <c r="C221" s="15" t="s">
        <v>947</v>
      </c>
      <c r="D221" s="15" t="s">
        <v>947</v>
      </c>
      <c r="E221" s="15"/>
      <c r="F221" s="15"/>
      <c r="G221" s="15" t="s">
        <v>422</v>
      </c>
      <c r="H221" s="15" t="s">
        <v>637</v>
      </c>
      <c r="I221" s="15" t="s">
        <v>638</v>
      </c>
      <c r="J221" s="15" t="s">
        <v>375</v>
      </c>
      <c r="K221" s="15" t="s">
        <v>376</v>
      </c>
      <c r="L221" s="15" t="s">
        <v>379</v>
      </c>
      <c r="M221" s="15" t="s">
        <v>860</v>
      </c>
      <c r="N221" s="15" t="s">
        <v>377</v>
      </c>
      <c r="O221" s="15" t="s">
        <v>380</v>
      </c>
      <c r="P221" s="15" t="s">
        <v>381</v>
      </c>
      <c r="Q221" s="15" t="s">
        <v>382</v>
      </c>
      <c r="R221" s="15" t="s">
        <v>500</v>
      </c>
      <c r="S221" s="15" t="s">
        <v>384</v>
      </c>
      <c r="T221" s="15" t="s">
        <v>385</v>
      </c>
      <c r="U221" s="15"/>
      <c r="V221" s="15"/>
      <c r="W221" s="15" t="s">
        <v>3014</v>
      </c>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t="s">
        <v>1242</v>
      </c>
      <c r="AW221" s="15" t="s">
        <v>675</v>
      </c>
      <c r="AX221" s="15" t="s">
        <v>675</v>
      </c>
      <c r="AY221" s="15" t="s">
        <v>675</v>
      </c>
      <c r="AZ221" s="15" t="s">
        <v>675</v>
      </c>
      <c r="BA221" s="15" t="s">
        <v>675</v>
      </c>
      <c r="BB221" s="15" t="s">
        <v>675</v>
      </c>
      <c r="BC221" s="15" t="s">
        <v>4842</v>
      </c>
      <c r="BD221" s="15"/>
      <c r="BE221" s="15" t="s">
        <v>432</v>
      </c>
      <c r="BF221" s="15" t="s">
        <v>1245</v>
      </c>
      <c r="BG221" s="15" t="s">
        <v>394</v>
      </c>
      <c r="BH221" s="15"/>
      <c r="BI221" s="15" t="s">
        <v>435</v>
      </c>
      <c r="BJ221" s="15" t="s">
        <v>4843</v>
      </c>
      <c r="BK221" s="15" t="s">
        <v>602</v>
      </c>
      <c r="BL221" s="15" t="s">
        <v>904</v>
      </c>
      <c r="BM221" s="15" t="s">
        <v>1247</v>
      </c>
      <c r="BN221" s="15" t="s">
        <v>398</v>
      </c>
      <c r="BO221" s="15" t="s">
        <v>4844</v>
      </c>
      <c r="BP221" s="15"/>
      <c r="BQ221" s="15" t="s">
        <v>604</v>
      </c>
      <c r="BR221" s="15" t="s">
        <v>2583</v>
      </c>
      <c r="BS221" s="15" t="s">
        <v>4071</v>
      </c>
      <c r="BT221" s="15" t="s">
        <v>4845</v>
      </c>
      <c r="BU221" s="15" t="s">
        <v>405</v>
      </c>
      <c r="BV221" s="15"/>
      <c r="BW221" s="15" t="s">
        <v>406</v>
      </c>
      <c r="BX221" s="15" t="s">
        <v>2503</v>
      </c>
      <c r="BY221" s="15" t="s">
        <v>408</v>
      </c>
      <c r="BZ221" s="15"/>
      <c r="CA221" s="15"/>
      <c r="CB221" s="15" t="s">
        <v>4846</v>
      </c>
      <c r="CC221" s="15" t="s">
        <v>1080</v>
      </c>
      <c r="CD221" s="15" t="s">
        <v>451</v>
      </c>
      <c r="CE221" s="15" t="s">
        <v>4847</v>
      </c>
      <c r="CF221" s="15" t="s">
        <v>1697</v>
      </c>
      <c r="CG221" s="15" t="s">
        <v>4848</v>
      </c>
      <c r="CH221" s="15" t="s">
        <v>1259</v>
      </c>
      <c r="CI221" s="15" t="s">
        <v>410</v>
      </c>
      <c r="CJ221" s="15" t="s">
        <v>4849</v>
      </c>
      <c r="CK221" s="15"/>
      <c r="CL221" s="15"/>
      <c r="CM221" s="15"/>
      <c r="CN221" s="15"/>
      <c r="CO221" s="15"/>
      <c r="CP221" s="15"/>
      <c r="CQ221" s="15"/>
      <c r="CR221" s="15"/>
      <c r="CS221" s="15"/>
      <c r="CT221" s="15"/>
      <c r="CU221" s="15"/>
      <c r="CV221" s="15"/>
      <c r="CW221" s="15"/>
      <c r="CX221" s="15"/>
      <c r="CY221" s="15"/>
      <c r="CZ221" s="15"/>
      <c r="DA221" s="15"/>
      <c r="DB221" s="15"/>
      <c r="DC221" s="15"/>
      <c r="DD221" s="15"/>
      <c r="DE221" s="15"/>
      <c r="DF221" s="15"/>
      <c r="DG221" s="15"/>
      <c r="DH221" s="15"/>
      <c r="DI221" s="15"/>
      <c r="DJ221" s="15"/>
      <c r="DK221" s="15"/>
      <c r="DL221" s="15"/>
      <c r="DM221" s="15"/>
      <c r="DN221" s="15"/>
      <c r="DO221" s="15"/>
      <c r="DP221" s="15"/>
      <c r="DQ221" s="15"/>
      <c r="DR221" s="15"/>
      <c r="DS221" s="15"/>
      <c r="DT221" s="15"/>
      <c r="DU221" s="15"/>
      <c r="DV221" s="15"/>
      <c r="DW221" s="15"/>
      <c r="DX221" s="15"/>
      <c r="DY221" s="15"/>
      <c r="DZ221" s="15"/>
      <c r="EA221" s="15"/>
      <c r="EB221" s="15"/>
      <c r="EC221" s="15"/>
      <c r="ED221" s="15"/>
      <c r="EE221" s="15"/>
      <c r="EF221" s="15"/>
      <c r="EG221" s="15"/>
      <c r="EH221" s="15"/>
      <c r="EI221" s="15"/>
      <c r="EJ221" s="15"/>
      <c r="EK221" s="15"/>
      <c r="EL221" s="15"/>
      <c r="EM221" s="15"/>
      <c r="EN221" s="15"/>
      <c r="EO221" s="15"/>
      <c r="EP221" s="15"/>
      <c r="EQ221" s="15"/>
      <c r="ER221" s="15"/>
      <c r="ES221" s="15"/>
      <c r="ET221" s="15" t="s">
        <v>578</v>
      </c>
      <c r="EU221" s="15" t="s">
        <v>579</v>
      </c>
      <c r="EV221" s="15" t="s">
        <v>1534</v>
      </c>
      <c r="EW221" s="15"/>
      <c r="EX221" s="15"/>
      <c r="EY221" s="15"/>
      <c r="EZ221" s="15" t="s">
        <v>583</v>
      </c>
      <c r="FA221" s="15" t="s">
        <v>583</v>
      </c>
      <c r="FB221" s="15" t="s">
        <v>413</v>
      </c>
      <c r="FC221" s="15" t="s">
        <v>414</v>
      </c>
      <c r="FD221" s="15" t="s">
        <v>413</v>
      </c>
      <c r="FE221" s="15" t="s">
        <v>583</v>
      </c>
      <c r="FF221" s="15" t="s">
        <v>484</v>
      </c>
      <c r="FG221" s="15" t="s">
        <v>583</v>
      </c>
      <c r="FH221" s="15" t="s">
        <v>413</v>
      </c>
      <c r="FI221" s="15"/>
      <c r="FJ221" s="15" t="s">
        <v>484</v>
      </c>
      <c r="FK221" s="15" t="s">
        <v>484</v>
      </c>
      <c r="FL221" s="15" t="s">
        <v>484</v>
      </c>
      <c r="FM221" s="15" t="s">
        <v>484</v>
      </c>
      <c r="FN221" s="15" t="s">
        <v>484</v>
      </c>
      <c r="FO221" s="15" t="s">
        <v>417</v>
      </c>
      <c r="FP221" s="15" t="s">
        <v>486</v>
      </c>
      <c r="FQ221" s="15" t="s">
        <v>749</v>
      </c>
      <c r="FR221" s="15"/>
      <c r="FS221" s="15" t="s">
        <v>420</v>
      </c>
      <c r="FT221" s="15" t="s">
        <v>488</v>
      </c>
      <c r="FU221" s="15" t="s">
        <v>585</v>
      </c>
      <c r="FV221" s="15" t="s">
        <v>490</v>
      </c>
      <c r="FW221" s="15" t="s">
        <v>491</v>
      </c>
      <c r="FX221" s="15"/>
      <c r="FY221" s="15" t="s">
        <v>535</v>
      </c>
      <c r="FZ221" s="15"/>
      <c r="GA221" s="15"/>
      <c r="GB221" s="15" t="s">
        <v>408</v>
      </c>
      <c r="GC221" s="15"/>
      <c r="GD221" s="15"/>
      <c r="GE221" s="15"/>
      <c r="GF221" s="15"/>
      <c r="GG221" s="15"/>
      <c r="GH221" s="15"/>
      <c r="GI221" s="15"/>
      <c r="GJ221" s="15" t="s">
        <v>755</v>
      </c>
      <c r="GK221" s="15" t="s">
        <v>755</v>
      </c>
      <c r="GL221" s="15" t="s">
        <v>946</v>
      </c>
      <c r="GM221" s="15"/>
      <c r="GN221" s="15" t="s">
        <v>4850</v>
      </c>
      <c r="GO221" s="15" t="s">
        <v>4850</v>
      </c>
      <c r="GP221" s="15"/>
      <c r="GQ221" s="15" t="s">
        <v>3351</v>
      </c>
      <c r="GR221" s="15" t="s">
        <v>4774</v>
      </c>
      <c r="GS221" s="15"/>
      <c r="GT221" s="15"/>
      <c r="GU221" s="15"/>
      <c r="GV221" s="15"/>
      <c r="GW221" s="15"/>
      <c r="GX221" s="15"/>
      <c r="GY221" s="15"/>
      <c r="GZ221" s="15"/>
      <c r="HA221" s="15"/>
      <c r="HB221" s="15"/>
      <c r="HC221" s="15"/>
      <c r="HD221" s="15"/>
      <c r="HE221" s="15"/>
      <c r="HF221" s="15"/>
      <c r="HG221" s="15"/>
      <c r="HH221" s="15"/>
      <c r="HI221" s="15"/>
      <c r="HJ221" s="15"/>
      <c r="HK221" s="15"/>
      <c r="HL221" s="15"/>
      <c r="HM221" s="15"/>
      <c r="HN221" s="15"/>
      <c r="HO221" s="15"/>
      <c r="HP221" s="31"/>
      <c r="MX221" s="29" t="s">
        <v>10402</v>
      </c>
      <c r="MY221" s="29" t="str">
        <f>IFERROR(__xludf.DUMMYFUNCTION("""COMPUTED_VALUE"""),"Pennsylvania")</f>
        <v>Pennsylvania</v>
      </c>
    </row>
    <row r="222" ht="16.5" customHeight="1">
      <c r="A222" s="30">
        <v>45844.41842277777</v>
      </c>
      <c r="B222" s="15" t="s">
        <v>368</v>
      </c>
      <c r="C222" s="15" t="s">
        <v>370</v>
      </c>
      <c r="D222" s="15" t="s">
        <v>1267</v>
      </c>
      <c r="E222" s="15" t="s">
        <v>791</v>
      </c>
      <c r="F222" s="15"/>
      <c r="G222" s="15" t="s">
        <v>422</v>
      </c>
      <c r="H222" s="15" t="s">
        <v>1921</v>
      </c>
      <c r="I222" s="15" t="s">
        <v>668</v>
      </c>
      <c r="J222" s="15" t="s">
        <v>375</v>
      </c>
      <c r="K222" s="15" t="s">
        <v>376</v>
      </c>
      <c r="L222" s="15" t="s">
        <v>379</v>
      </c>
      <c r="M222" s="15" t="s">
        <v>378</v>
      </c>
      <c r="N222" s="15" t="s">
        <v>379</v>
      </c>
      <c r="O222" s="15" t="s">
        <v>497</v>
      </c>
      <c r="P222" s="15" t="s">
        <v>498</v>
      </c>
      <c r="Q222" s="15" t="s">
        <v>499</v>
      </c>
      <c r="R222" s="15" t="s">
        <v>500</v>
      </c>
      <c r="S222" s="15" t="s">
        <v>384</v>
      </c>
      <c r="T222" s="15" t="s">
        <v>385</v>
      </c>
      <c r="U222" s="15"/>
      <c r="V222" s="15"/>
      <c r="W222" s="15" t="s">
        <v>386</v>
      </c>
      <c r="X222" s="15" t="s">
        <v>387</v>
      </c>
      <c r="Y222" s="15" t="s">
        <v>388</v>
      </c>
      <c r="Z222" s="15" t="s">
        <v>543</v>
      </c>
      <c r="AA222" s="15" t="s">
        <v>2675</v>
      </c>
      <c r="AB222" s="15"/>
      <c r="AC222" s="15"/>
      <c r="AD222" s="15"/>
      <c r="AE222" s="15"/>
      <c r="AF222" s="15"/>
      <c r="AG222" s="15"/>
      <c r="AH222" s="15"/>
      <c r="AI222" s="15"/>
      <c r="AJ222" s="15"/>
      <c r="AK222" s="15"/>
      <c r="AL222" s="15"/>
      <c r="AM222" s="15"/>
      <c r="AN222" s="15"/>
      <c r="AO222" s="15"/>
      <c r="AP222" s="15"/>
      <c r="AQ222" s="15"/>
      <c r="AR222" s="15"/>
      <c r="AS222" s="15"/>
      <c r="AT222" s="15"/>
      <c r="AU222" s="15"/>
      <c r="AV222" s="15" t="s">
        <v>1310</v>
      </c>
      <c r="AW222" s="15" t="s">
        <v>675</v>
      </c>
      <c r="AX222" s="15" t="s">
        <v>675</v>
      </c>
      <c r="AY222" s="15" t="s">
        <v>675</v>
      </c>
      <c r="AZ222" s="15">
        <v>4.0</v>
      </c>
      <c r="BA222" s="15" t="s">
        <v>391</v>
      </c>
      <c r="BB222" s="15" t="s">
        <v>391</v>
      </c>
      <c r="BC222" s="15" t="s">
        <v>4851</v>
      </c>
      <c r="BD222" s="15" t="s">
        <v>4852</v>
      </c>
      <c r="BE222" s="15" t="s">
        <v>432</v>
      </c>
      <c r="BF222" s="15" t="s">
        <v>1095</v>
      </c>
      <c r="BG222" s="15" t="s">
        <v>434</v>
      </c>
      <c r="BH222" s="15"/>
      <c r="BI222" s="15" t="s">
        <v>976</v>
      </c>
      <c r="BJ222" s="15" t="s">
        <v>4148</v>
      </c>
      <c r="BK222" s="15" t="s">
        <v>602</v>
      </c>
      <c r="BL222" s="15" t="s">
        <v>603</v>
      </c>
      <c r="BM222" s="15" t="s">
        <v>1247</v>
      </c>
      <c r="BN222" s="15" t="s">
        <v>513</v>
      </c>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t="s">
        <v>441</v>
      </c>
      <c r="CM222" s="15" t="s">
        <v>604</v>
      </c>
      <c r="CN222" s="15" t="s">
        <v>4853</v>
      </c>
      <c r="CO222" s="15" t="s">
        <v>2675</v>
      </c>
      <c r="CP222" s="15" t="s">
        <v>1008</v>
      </c>
      <c r="CQ222" s="15" t="s">
        <v>4854</v>
      </c>
      <c r="CR222" s="15" t="s">
        <v>447</v>
      </c>
      <c r="CS222" s="15" t="s">
        <v>1626</v>
      </c>
      <c r="CT222" s="15" t="s">
        <v>4855</v>
      </c>
      <c r="CU222" s="15" t="s">
        <v>1852</v>
      </c>
      <c r="CV222" s="15" t="s">
        <v>451</v>
      </c>
      <c r="CW222" s="15" t="s">
        <v>4856</v>
      </c>
      <c r="CX222" s="15" t="s">
        <v>408</v>
      </c>
      <c r="CY222" s="15"/>
      <c r="CZ222" s="15" t="s">
        <v>1962</v>
      </c>
      <c r="DA222" s="15"/>
      <c r="DB222" s="15" t="s">
        <v>408</v>
      </c>
      <c r="DC222" s="15"/>
      <c r="DD222" s="15" t="s">
        <v>988</v>
      </c>
      <c r="DE222" s="15"/>
      <c r="DF222" s="15" t="s">
        <v>4857</v>
      </c>
      <c r="DG222" s="15" t="s">
        <v>990</v>
      </c>
      <c r="DH222" s="15" t="s">
        <v>1964</v>
      </c>
      <c r="DI222" s="15" t="s">
        <v>459</v>
      </c>
      <c r="DJ222" s="15" t="s">
        <v>460</v>
      </c>
      <c r="DK222" s="15" t="s">
        <v>461</v>
      </c>
      <c r="DL222" s="15"/>
      <c r="DM222" s="15"/>
      <c r="DN222" s="15"/>
      <c r="DO222" s="15"/>
      <c r="DP222" s="15"/>
      <c r="DQ222" s="15"/>
      <c r="DR222" s="15"/>
      <c r="DS222" s="15"/>
      <c r="DT222" s="15"/>
      <c r="DU222" s="15"/>
      <c r="DV222" s="15"/>
      <c r="DW222" s="15"/>
      <c r="DX222" s="15"/>
      <c r="DY222" s="15"/>
      <c r="DZ222" s="15"/>
      <c r="EA222" s="15"/>
      <c r="EB222" s="15"/>
      <c r="EC222" s="15"/>
      <c r="ED222" s="15"/>
      <c r="EE222" s="15"/>
      <c r="EF222" s="15"/>
      <c r="EG222" s="15"/>
      <c r="EH222" s="15"/>
      <c r="EI222" s="15"/>
      <c r="EJ222" s="15"/>
      <c r="EK222" s="15"/>
      <c r="EL222" s="15"/>
      <c r="EM222" s="15"/>
      <c r="EN222" s="15"/>
      <c r="EO222" s="15"/>
      <c r="EP222" s="15"/>
      <c r="EQ222" s="15"/>
      <c r="ER222" s="15"/>
      <c r="ES222" s="15"/>
      <c r="ET222" s="15" t="s">
        <v>526</v>
      </c>
      <c r="EU222" s="15" t="s">
        <v>887</v>
      </c>
      <c r="EV222" s="15" t="s">
        <v>527</v>
      </c>
      <c r="EW222" s="15"/>
      <c r="EX222" s="15" t="s">
        <v>4858</v>
      </c>
      <c r="EY222" s="15" t="s">
        <v>4859</v>
      </c>
      <c r="EZ222" s="15" t="s">
        <v>415</v>
      </c>
      <c r="FA222" s="15" t="s">
        <v>583</v>
      </c>
      <c r="FB222" s="15" t="s">
        <v>583</v>
      </c>
      <c r="FC222" s="15" t="s">
        <v>583</v>
      </c>
      <c r="FD222" s="15" t="s">
        <v>583</v>
      </c>
      <c r="FE222" s="15" t="s">
        <v>413</v>
      </c>
      <c r="FF222" s="15" t="s">
        <v>415</v>
      </c>
      <c r="FG222" s="15" t="s">
        <v>583</v>
      </c>
      <c r="FH222" s="15" t="s">
        <v>415</v>
      </c>
      <c r="FI222" s="15" t="s">
        <v>416</v>
      </c>
      <c r="FJ222" s="15" t="s">
        <v>415</v>
      </c>
      <c r="FK222" s="15" t="s">
        <v>413</v>
      </c>
      <c r="FL222" s="15" t="s">
        <v>413</v>
      </c>
      <c r="FM222" s="15" t="s">
        <v>583</v>
      </c>
      <c r="FN222" s="15" t="s">
        <v>416</v>
      </c>
      <c r="FO222" s="15" t="s">
        <v>1074</v>
      </c>
      <c r="FP222" s="15" t="s">
        <v>2651</v>
      </c>
      <c r="FQ222" s="15" t="s">
        <v>531</v>
      </c>
      <c r="FR222" s="15" t="s">
        <v>4860</v>
      </c>
      <c r="FS222" s="15" t="s">
        <v>420</v>
      </c>
      <c r="FT222" s="15" t="s">
        <v>421</v>
      </c>
      <c r="FU222" s="15" t="s">
        <v>489</v>
      </c>
      <c r="FV222" s="15" t="s">
        <v>490</v>
      </c>
      <c r="FW222" s="15" t="s">
        <v>1853</v>
      </c>
      <c r="FX222" s="15"/>
      <c r="FY222" s="15" t="s">
        <v>1854</v>
      </c>
      <c r="FZ222" s="15"/>
      <c r="GA222" s="15"/>
      <c r="GB222" s="15" t="s">
        <v>408</v>
      </c>
      <c r="GC222" s="15"/>
      <c r="GD222" s="15"/>
      <c r="GE222" s="15"/>
      <c r="GF222" s="15"/>
      <c r="GG222" s="15" t="s">
        <v>755</v>
      </c>
      <c r="GH222" s="15" t="s">
        <v>755</v>
      </c>
      <c r="GI222" s="15" t="s">
        <v>756</v>
      </c>
      <c r="GJ222" s="15"/>
      <c r="GK222" s="15"/>
      <c r="GL222" s="15"/>
      <c r="GM222" s="15"/>
      <c r="GN222" s="15"/>
      <c r="GO222" s="15" t="s">
        <v>1267</v>
      </c>
      <c r="GP222" s="15"/>
      <c r="GQ222" s="15" t="s">
        <v>3351</v>
      </c>
      <c r="GR222" s="15"/>
      <c r="GS222" s="15"/>
      <c r="GT222" s="15" t="s">
        <v>4774</v>
      </c>
      <c r="GU222" s="15" t="s">
        <v>4148</v>
      </c>
      <c r="GV222" s="15"/>
      <c r="GW222" s="15"/>
      <c r="GX222" s="15"/>
      <c r="GY222" s="15"/>
      <c r="GZ222" s="15"/>
      <c r="HA222" s="15"/>
      <c r="HB222" s="15"/>
      <c r="HC222" s="15"/>
      <c r="HD222" s="15"/>
      <c r="HE222" s="15"/>
      <c r="HF222" s="15"/>
      <c r="HG222" s="15"/>
      <c r="HH222" s="15"/>
      <c r="HI222" s="15"/>
      <c r="HJ222" s="15"/>
      <c r="HK222" s="15"/>
      <c r="HL222" s="15"/>
      <c r="HM222" s="15"/>
      <c r="HN222" s="15"/>
      <c r="HO222" s="15"/>
      <c r="HP222" s="31"/>
      <c r="MX222" s="29" t="s">
        <v>10402</v>
      </c>
      <c r="MY222" s="29" t="str">
        <f>IFERROR(__xludf.DUMMYFUNCTION("""COMPUTED_VALUE"""),"Pennsylvania")</f>
        <v>Pennsylvania</v>
      </c>
    </row>
    <row r="223" ht="16.5" customHeight="1">
      <c r="A223" s="30">
        <v>45844.46542105324</v>
      </c>
      <c r="B223" s="15" t="s">
        <v>368</v>
      </c>
      <c r="C223" s="15" t="s">
        <v>370</v>
      </c>
      <c r="D223" s="15" t="s">
        <v>370</v>
      </c>
      <c r="E223" s="15" t="s">
        <v>791</v>
      </c>
      <c r="F223" s="15" t="s">
        <v>791</v>
      </c>
      <c r="G223" s="15" t="s">
        <v>422</v>
      </c>
      <c r="H223" s="15" t="s">
        <v>539</v>
      </c>
      <c r="I223" s="15" t="s">
        <v>2578</v>
      </c>
      <c r="J223" s="15" t="s">
        <v>590</v>
      </c>
      <c r="K223" s="15" t="s">
        <v>376</v>
      </c>
      <c r="L223" s="15" t="s">
        <v>426</v>
      </c>
      <c r="M223" s="15" t="s">
        <v>541</v>
      </c>
      <c r="N223" s="15" t="s">
        <v>426</v>
      </c>
      <c r="O223" s="15" t="s">
        <v>4861</v>
      </c>
      <c r="P223" s="15" t="s">
        <v>498</v>
      </c>
      <c r="Q223" s="15" t="s">
        <v>499</v>
      </c>
      <c r="R223" s="15" t="s">
        <v>500</v>
      </c>
      <c r="S223" s="15" t="s">
        <v>384</v>
      </c>
      <c r="T223" s="15" t="s">
        <v>385</v>
      </c>
      <c r="U223" s="15"/>
      <c r="V223" s="15"/>
      <c r="W223" s="15" t="s">
        <v>386</v>
      </c>
      <c r="X223" s="15" t="s">
        <v>387</v>
      </c>
      <c r="Y223" s="15" t="s">
        <v>1444</v>
      </c>
      <c r="Z223" s="15" t="s">
        <v>543</v>
      </c>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t="s">
        <v>1242</v>
      </c>
      <c r="AW223" s="15" t="s">
        <v>675</v>
      </c>
      <c r="AX223" s="15" t="s">
        <v>675</v>
      </c>
      <c r="AY223" s="15" t="s">
        <v>391</v>
      </c>
      <c r="AZ223" s="15" t="s">
        <v>391</v>
      </c>
      <c r="BA223" s="15" t="s">
        <v>675</v>
      </c>
      <c r="BB223" s="15" t="s">
        <v>675</v>
      </c>
      <c r="BC223" s="15" t="s">
        <v>4862</v>
      </c>
      <c r="BD223" s="15" t="s">
        <v>4863</v>
      </c>
      <c r="BE223" s="15" t="s">
        <v>902</v>
      </c>
      <c r="BF223" s="15" t="s">
        <v>1095</v>
      </c>
      <c r="BG223" s="15" t="s">
        <v>434</v>
      </c>
      <c r="BH223" s="15" t="s">
        <v>4864</v>
      </c>
      <c r="BI223" s="15" t="s">
        <v>435</v>
      </c>
      <c r="BJ223" s="15"/>
      <c r="BK223" s="15" t="s">
        <v>437</v>
      </c>
      <c r="BL223" s="15" t="s">
        <v>603</v>
      </c>
      <c r="BM223" s="15" t="s">
        <v>1314</v>
      </c>
      <c r="BN223" s="15" t="s">
        <v>398</v>
      </c>
      <c r="BO223" s="15" t="s">
        <v>4865</v>
      </c>
      <c r="BP223" s="15" t="s">
        <v>408</v>
      </c>
      <c r="BQ223" s="15" t="s">
        <v>442</v>
      </c>
      <c r="BR223" s="15" t="s">
        <v>2227</v>
      </c>
      <c r="BS223" s="15" t="s">
        <v>1741</v>
      </c>
      <c r="BT223" s="15" t="s">
        <v>404</v>
      </c>
      <c r="BU223" s="15" t="s">
        <v>405</v>
      </c>
      <c r="BV223" s="15"/>
      <c r="BW223" s="15" t="s">
        <v>988</v>
      </c>
      <c r="BX223" s="15"/>
      <c r="BY223" s="15" t="s">
        <v>408</v>
      </c>
      <c r="BZ223" s="15"/>
      <c r="CA223" s="15" t="s">
        <v>4866</v>
      </c>
      <c r="CB223" s="15" t="s">
        <v>4867</v>
      </c>
      <c r="CC223" s="15" t="s">
        <v>4868</v>
      </c>
      <c r="CD223" s="15" t="s">
        <v>1257</v>
      </c>
      <c r="CE223" s="15"/>
      <c r="CF223" s="15" t="s">
        <v>1722</v>
      </c>
      <c r="CG223" s="15" t="s">
        <v>4869</v>
      </c>
      <c r="CH223" s="15" t="s">
        <v>1259</v>
      </c>
      <c r="CI223" s="15" t="s">
        <v>410</v>
      </c>
      <c r="CJ223" s="15" t="s">
        <v>4870</v>
      </c>
      <c r="CK223" s="15" t="s">
        <v>4871</v>
      </c>
      <c r="CL223" s="15"/>
      <c r="CM223" s="15"/>
      <c r="CN223" s="15"/>
      <c r="CO223" s="15"/>
      <c r="CP223" s="15"/>
      <c r="CQ223" s="15"/>
      <c r="CR223" s="15"/>
      <c r="CS223" s="15"/>
      <c r="CT223" s="15"/>
      <c r="CU223" s="15"/>
      <c r="CV223" s="15"/>
      <c r="CW223" s="15"/>
      <c r="CX223" s="15"/>
      <c r="CY223" s="15"/>
      <c r="CZ223" s="15"/>
      <c r="DA223" s="15"/>
      <c r="DB223" s="15"/>
      <c r="DC223" s="15"/>
      <c r="DD223" s="15"/>
      <c r="DE223" s="15"/>
      <c r="DF223" s="15"/>
      <c r="DG223" s="15"/>
      <c r="DH223" s="15"/>
      <c r="DI223" s="15"/>
      <c r="DJ223" s="15"/>
      <c r="DK223" s="15"/>
      <c r="DL223" s="15"/>
      <c r="DM223" s="15"/>
      <c r="DN223" s="15"/>
      <c r="DO223" s="15"/>
      <c r="DP223" s="15"/>
      <c r="DQ223" s="15"/>
      <c r="DR223" s="15"/>
      <c r="DS223" s="15"/>
      <c r="DT223" s="15"/>
      <c r="DU223" s="15"/>
      <c r="DV223" s="15"/>
      <c r="DW223" s="15"/>
      <c r="DX223" s="15"/>
      <c r="DY223" s="15"/>
      <c r="DZ223" s="15"/>
      <c r="EA223" s="15"/>
      <c r="EB223" s="15"/>
      <c r="EC223" s="15"/>
      <c r="ED223" s="15"/>
      <c r="EE223" s="15"/>
      <c r="EF223" s="15"/>
      <c r="EG223" s="15"/>
      <c r="EH223" s="15"/>
      <c r="EI223" s="15"/>
      <c r="EJ223" s="15"/>
      <c r="EK223" s="15"/>
      <c r="EL223" s="15"/>
      <c r="EM223" s="15"/>
      <c r="EN223" s="15"/>
      <c r="EO223" s="15"/>
      <c r="EP223" s="15"/>
      <c r="EQ223" s="15"/>
      <c r="ER223" s="15"/>
      <c r="ES223" s="15"/>
      <c r="ET223" s="15" t="s">
        <v>526</v>
      </c>
      <c r="EU223" s="15" t="s">
        <v>479</v>
      </c>
      <c r="EV223" s="15" t="s">
        <v>1262</v>
      </c>
      <c r="EW223" s="15"/>
      <c r="EX223" s="15" t="s">
        <v>4872</v>
      </c>
      <c r="EY223" s="15"/>
      <c r="EZ223" s="15" t="s">
        <v>415</v>
      </c>
      <c r="FA223" s="15" t="s">
        <v>415</v>
      </c>
      <c r="FB223" s="15" t="s">
        <v>413</v>
      </c>
      <c r="FC223" s="15" t="s">
        <v>415</v>
      </c>
      <c r="FD223" s="15" t="s">
        <v>413</v>
      </c>
      <c r="FE223" s="15" t="s">
        <v>415</v>
      </c>
      <c r="FF223" s="15" t="s">
        <v>415</v>
      </c>
      <c r="FG223" s="15" t="s">
        <v>415</v>
      </c>
      <c r="FH223" s="15" t="s">
        <v>414</v>
      </c>
      <c r="FI223" s="15" t="s">
        <v>414</v>
      </c>
      <c r="FJ223" s="15" t="s">
        <v>414</v>
      </c>
      <c r="FK223" s="15" t="s">
        <v>415</v>
      </c>
      <c r="FL223" s="15" t="s">
        <v>415</v>
      </c>
      <c r="FM223" s="15" t="s">
        <v>415</v>
      </c>
      <c r="FN223" s="15" t="s">
        <v>415</v>
      </c>
      <c r="FO223" s="15" t="s">
        <v>850</v>
      </c>
      <c r="FP223" s="15" t="s">
        <v>418</v>
      </c>
      <c r="FQ223" s="15" t="s">
        <v>419</v>
      </c>
      <c r="FR223" s="15"/>
      <c r="FS223" s="15" t="s">
        <v>995</v>
      </c>
      <c r="FT223" s="15" t="s">
        <v>488</v>
      </c>
      <c r="FU223" s="15" t="s">
        <v>489</v>
      </c>
      <c r="FV223" s="15" t="s">
        <v>490</v>
      </c>
      <c r="FW223" s="15" t="s">
        <v>491</v>
      </c>
      <c r="FX223" s="15"/>
      <c r="FY223" s="15" t="s">
        <v>1337</v>
      </c>
      <c r="FZ223" s="15"/>
      <c r="GA223" s="15"/>
      <c r="GB223" s="15" t="s">
        <v>455</v>
      </c>
      <c r="GC223" s="15"/>
      <c r="GD223" s="15"/>
      <c r="GE223" s="15" t="s">
        <v>855</v>
      </c>
      <c r="GF223" s="15"/>
      <c r="GG223" s="15"/>
      <c r="GH223" s="15"/>
      <c r="GI223" s="15"/>
      <c r="GJ223" s="15" t="s">
        <v>857</v>
      </c>
      <c r="GK223" s="15" t="s">
        <v>857</v>
      </c>
      <c r="GL223" s="15" t="s">
        <v>946</v>
      </c>
      <c r="GM223" s="15"/>
      <c r="GN223" s="15"/>
      <c r="GO223" s="15"/>
      <c r="GP223" s="15"/>
      <c r="GQ223" s="15" t="s">
        <v>3351</v>
      </c>
      <c r="GR223" s="15" t="s">
        <v>4741</v>
      </c>
      <c r="GS223" s="15"/>
      <c r="GT223" s="15"/>
      <c r="GU223" s="15"/>
      <c r="GV223" s="15"/>
      <c r="GW223" s="15"/>
      <c r="GX223" s="15"/>
      <c r="GY223" s="15"/>
      <c r="GZ223" s="15"/>
      <c r="HA223" s="15"/>
      <c r="HB223" s="15"/>
      <c r="HC223" s="15"/>
      <c r="HD223" s="15"/>
      <c r="HE223" s="15"/>
      <c r="HF223" s="15"/>
      <c r="HG223" s="15"/>
      <c r="HH223" s="15"/>
      <c r="HI223" s="15"/>
      <c r="HJ223" s="15"/>
      <c r="HK223" s="15"/>
      <c r="HL223" s="15"/>
      <c r="HM223" s="15"/>
      <c r="HN223" s="15"/>
      <c r="HO223" s="15"/>
      <c r="HP223" s="31"/>
      <c r="MX223" s="29" t="s">
        <v>4873</v>
      </c>
      <c r="MY223" s="29" t="str">
        <f>IFERROR(__xludf.DUMMYFUNCTION("""COMPUTED_VALUE"""),"Austria")</f>
        <v>Austria</v>
      </c>
    </row>
    <row r="224" ht="16.5" customHeight="1">
      <c r="A224" s="30">
        <v>45844.61704993056</v>
      </c>
      <c r="B224" s="15" t="s">
        <v>368</v>
      </c>
      <c r="C224" s="15" t="s">
        <v>4873</v>
      </c>
      <c r="D224" s="15" t="s">
        <v>4874</v>
      </c>
      <c r="E224" s="15"/>
      <c r="F224" s="15"/>
      <c r="G224" s="15" t="s">
        <v>422</v>
      </c>
      <c r="H224" s="15" t="s">
        <v>637</v>
      </c>
      <c r="I224" s="15" t="s">
        <v>638</v>
      </c>
      <c r="J224" s="15" t="s">
        <v>375</v>
      </c>
      <c r="K224" s="15" t="s">
        <v>376</v>
      </c>
      <c r="L224" s="15" t="s">
        <v>793</v>
      </c>
      <c r="M224" s="15" t="s">
        <v>1270</v>
      </c>
      <c r="N224" s="15" t="s">
        <v>793</v>
      </c>
      <c r="O224" s="15" t="s">
        <v>720</v>
      </c>
      <c r="P224" s="15" t="s">
        <v>498</v>
      </c>
      <c r="Q224" s="15" t="s">
        <v>759</v>
      </c>
      <c r="R224" s="15" t="s">
        <v>427</v>
      </c>
      <c r="S224" s="15" t="s">
        <v>384</v>
      </c>
      <c r="T224" s="15" t="s">
        <v>385</v>
      </c>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t="s">
        <v>597</v>
      </c>
      <c r="AW224" s="15"/>
      <c r="AX224" s="15"/>
      <c r="AY224" s="15"/>
      <c r="AZ224" s="15"/>
      <c r="BA224" s="15"/>
      <c r="BB224" s="15"/>
      <c r="BC224" s="15"/>
      <c r="BD224" s="15"/>
      <c r="BE224" s="15" t="s">
        <v>392</v>
      </c>
      <c r="BF224" s="15"/>
      <c r="BG224" s="15"/>
      <c r="BH224" s="15"/>
      <c r="BI224" s="15"/>
      <c r="BJ224" s="15"/>
      <c r="BK224" s="15"/>
      <c r="BL224" s="15"/>
      <c r="BM224" s="15"/>
      <c r="BN224" s="15" t="s">
        <v>398</v>
      </c>
      <c r="BO224" s="15"/>
      <c r="BP224" s="15"/>
      <c r="BQ224" s="15"/>
      <c r="BR224" s="15"/>
      <c r="BS224" s="15"/>
      <c r="BT224" s="15"/>
      <c r="BU224" s="15" t="s">
        <v>1693</v>
      </c>
      <c r="BV224" s="15"/>
      <c r="BW224" s="15"/>
      <c r="BX224" s="15"/>
      <c r="BY224" s="15"/>
      <c r="BZ224" s="15"/>
      <c r="CA224" s="15"/>
      <c r="CB224" s="15"/>
      <c r="CC224" s="15"/>
      <c r="CD224" s="15" t="s">
        <v>451</v>
      </c>
      <c r="CE224" s="15"/>
      <c r="CF224" s="15" t="s">
        <v>1697</v>
      </c>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c r="DF224" s="15"/>
      <c r="DG224" s="15"/>
      <c r="DH224" s="15"/>
      <c r="DI224" s="15"/>
      <c r="DJ224" s="15"/>
      <c r="DK224" s="15"/>
      <c r="DL224" s="15"/>
      <c r="DM224" s="15"/>
      <c r="DN224" s="15"/>
      <c r="DO224" s="15"/>
      <c r="DP224" s="15"/>
      <c r="DQ224" s="15"/>
      <c r="DR224" s="15"/>
      <c r="DS224" s="15"/>
      <c r="DT224" s="15"/>
      <c r="DU224" s="15"/>
      <c r="DV224" s="15"/>
      <c r="DW224" s="15"/>
      <c r="DX224" s="15"/>
      <c r="DY224" s="15"/>
      <c r="DZ224" s="15"/>
      <c r="EA224" s="15"/>
      <c r="EB224" s="15"/>
      <c r="EC224" s="15"/>
      <c r="ED224" s="15"/>
      <c r="EE224" s="15"/>
      <c r="EF224" s="15"/>
      <c r="EG224" s="15"/>
      <c r="EH224" s="15"/>
      <c r="EI224" s="15"/>
      <c r="EJ224" s="15"/>
      <c r="EK224" s="15"/>
      <c r="EL224" s="15"/>
      <c r="EM224" s="15"/>
      <c r="EN224" s="15"/>
      <c r="EO224" s="15"/>
      <c r="EP224" s="15"/>
      <c r="EQ224" s="15"/>
      <c r="ER224" s="15"/>
      <c r="ES224" s="15"/>
      <c r="ET224" s="15"/>
      <c r="EU224" s="15"/>
      <c r="EV224" s="15"/>
      <c r="EW224" s="15"/>
      <c r="EX224" s="15"/>
      <c r="EY224" s="15"/>
      <c r="EZ224" s="15"/>
      <c r="FA224" s="15"/>
      <c r="FB224" s="15"/>
      <c r="FC224" s="15"/>
      <c r="FD224" s="15"/>
      <c r="FE224" s="15"/>
      <c r="FF224" s="15"/>
      <c r="FG224" s="15"/>
      <c r="FH224" s="15"/>
      <c r="FI224" s="15"/>
      <c r="FJ224" s="15"/>
      <c r="FK224" s="15"/>
      <c r="FL224" s="15"/>
      <c r="FM224" s="15"/>
      <c r="FN224" s="15"/>
      <c r="FO224" s="15" t="s">
        <v>1074</v>
      </c>
      <c r="FP224" s="15" t="s">
        <v>1200</v>
      </c>
      <c r="FQ224" s="15"/>
      <c r="FR224" s="15"/>
      <c r="FS224" s="15" t="s">
        <v>1871</v>
      </c>
      <c r="FT224" s="15" t="s">
        <v>2398</v>
      </c>
      <c r="FU224" s="15" t="s">
        <v>918</v>
      </c>
      <c r="FV224" s="15"/>
      <c r="FW224" s="15" t="s">
        <v>1853</v>
      </c>
      <c r="FX224" s="15"/>
      <c r="FY224" s="15"/>
      <c r="FZ224" s="15"/>
      <c r="GA224" s="15"/>
      <c r="GB224" s="15" t="s">
        <v>408</v>
      </c>
      <c r="GC224" s="15"/>
      <c r="GD224" s="15"/>
      <c r="GE224" s="15"/>
      <c r="GF224" s="15"/>
      <c r="GG224" s="15"/>
      <c r="GH224" s="15"/>
      <c r="GI224" s="15"/>
      <c r="GJ224" s="15"/>
      <c r="GK224" s="15" t="s">
        <v>755</v>
      </c>
      <c r="GL224" s="15" t="s">
        <v>946</v>
      </c>
      <c r="GM224" s="15"/>
      <c r="GN224" s="15"/>
      <c r="GO224" s="15"/>
      <c r="GP224" s="15"/>
      <c r="GQ224" s="15" t="s">
        <v>3208</v>
      </c>
      <c r="GR224" s="15"/>
      <c r="GS224" s="15"/>
      <c r="GT224" s="15"/>
      <c r="GU224" s="15"/>
      <c r="GV224" s="15"/>
      <c r="GW224" s="15"/>
      <c r="GX224" s="15"/>
      <c r="GY224" s="15"/>
      <c r="GZ224" s="15"/>
      <c r="HA224" s="15"/>
      <c r="HB224" s="15"/>
      <c r="HC224" s="15"/>
      <c r="HD224" s="15"/>
      <c r="HE224" s="15"/>
      <c r="HF224" s="15"/>
      <c r="HG224" s="15"/>
      <c r="HH224" s="15"/>
      <c r="HI224" s="15"/>
      <c r="HJ224" s="15"/>
      <c r="HK224" s="15"/>
      <c r="HL224" s="15"/>
      <c r="HM224" s="15"/>
      <c r="HN224" s="15"/>
      <c r="HO224" s="15"/>
      <c r="HP224" s="31"/>
      <c r="MX224" s="29" t="s">
        <v>10402</v>
      </c>
      <c r="MY224" s="29" t="str">
        <f>IFERROR(__xludf.DUMMYFUNCTION("""COMPUTED_VALUE"""),"Illinois")</f>
        <v>Illinois</v>
      </c>
    </row>
    <row r="225" ht="16.5" customHeight="1">
      <c r="A225" s="30">
        <v>45845.51969324074</v>
      </c>
      <c r="B225" s="15" t="s">
        <v>368</v>
      </c>
      <c r="C225" s="15" t="s">
        <v>370</v>
      </c>
      <c r="D225" s="15" t="s">
        <v>370</v>
      </c>
      <c r="E225" s="15" t="s">
        <v>2708</v>
      </c>
      <c r="F225" s="15" t="s">
        <v>2708</v>
      </c>
      <c r="G225" s="15" t="s">
        <v>422</v>
      </c>
      <c r="H225" s="15" t="s">
        <v>1921</v>
      </c>
      <c r="I225" s="15" t="s">
        <v>668</v>
      </c>
      <c r="J225" s="15" t="s">
        <v>718</v>
      </c>
      <c r="K225" s="15" t="s">
        <v>376</v>
      </c>
      <c r="L225" s="15" t="s">
        <v>379</v>
      </c>
      <c r="M225" s="15" t="s">
        <v>719</v>
      </c>
      <c r="N225" s="15" t="s">
        <v>379</v>
      </c>
      <c r="O225" s="15" t="s">
        <v>380</v>
      </c>
      <c r="P225" s="15" t="s">
        <v>498</v>
      </c>
      <c r="Q225" s="15" t="s">
        <v>862</v>
      </c>
      <c r="R225" s="15" t="s">
        <v>427</v>
      </c>
      <c r="S225" s="15" t="s">
        <v>384</v>
      </c>
      <c r="T225" s="15" t="s">
        <v>385</v>
      </c>
      <c r="U225" s="15"/>
      <c r="V225" s="15"/>
      <c r="W225" s="15" t="s">
        <v>593</v>
      </c>
      <c r="X225" s="15" t="s">
        <v>387</v>
      </c>
      <c r="Y225" s="15" t="s">
        <v>1595</v>
      </c>
      <c r="Z225" s="15" t="s">
        <v>543</v>
      </c>
      <c r="AA225" s="15" t="s">
        <v>408</v>
      </c>
      <c r="AB225" s="15"/>
      <c r="AC225" s="15"/>
      <c r="AD225" s="15"/>
      <c r="AE225" s="15"/>
      <c r="AF225" s="15"/>
      <c r="AG225" s="15"/>
      <c r="AH225" s="15"/>
      <c r="AI225" s="15"/>
      <c r="AJ225" s="15"/>
      <c r="AK225" s="15"/>
      <c r="AL225" s="15"/>
      <c r="AM225" s="15"/>
      <c r="AN225" s="15"/>
      <c r="AO225" s="15"/>
      <c r="AP225" s="15"/>
      <c r="AQ225" s="15"/>
      <c r="AR225" s="15"/>
      <c r="AS225" s="15"/>
      <c r="AT225" s="15"/>
      <c r="AU225" s="15"/>
      <c r="AV225" s="15" t="s">
        <v>1242</v>
      </c>
      <c r="AW225" s="15">
        <v>4.0</v>
      </c>
      <c r="AX225" s="15">
        <v>4.0</v>
      </c>
      <c r="AY225" s="15">
        <v>4.0</v>
      </c>
      <c r="AZ225" s="15" t="s">
        <v>675</v>
      </c>
      <c r="BA225" s="15">
        <v>4.0</v>
      </c>
      <c r="BB225" s="15">
        <v>4.0</v>
      </c>
      <c r="BC225" s="15" t="s">
        <v>4875</v>
      </c>
      <c r="BD225" s="15" t="s">
        <v>4876</v>
      </c>
      <c r="BE225" s="15" t="s">
        <v>902</v>
      </c>
      <c r="BF225" s="15" t="s">
        <v>1245</v>
      </c>
      <c r="BG225" s="15" t="s">
        <v>394</v>
      </c>
      <c r="BH225" s="15" t="s">
        <v>4877</v>
      </c>
      <c r="BI225" s="15" t="s">
        <v>976</v>
      </c>
      <c r="BJ225" s="15"/>
      <c r="BK225" s="15" t="s">
        <v>395</v>
      </c>
      <c r="BL225" s="15" t="s">
        <v>904</v>
      </c>
      <c r="BM225" s="15" t="s">
        <v>1314</v>
      </c>
      <c r="BN225" s="15" t="s">
        <v>513</v>
      </c>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t="s">
        <v>442</v>
      </c>
      <c r="CN225" s="15" t="s">
        <v>4878</v>
      </c>
      <c r="CO225" s="15" t="s">
        <v>4879</v>
      </c>
      <c r="CP225" s="15" t="s">
        <v>685</v>
      </c>
      <c r="CQ225" s="15" t="s">
        <v>1467</v>
      </c>
      <c r="CR225" s="15" t="s">
        <v>447</v>
      </c>
      <c r="CS225" s="15" t="s">
        <v>4880</v>
      </c>
      <c r="CT225" s="15" t="s">
        <v>4881</v>
      </c>
      <c r="CU225" s="15" t="s">
        <v>1863</v>
      </c>
      <c r="CV225" s="15" t="s">
        <v>1931</v>
      </c>
      <c r="CW225" s="15"/>
      <c r="CX225" s="15" t="s">
        <v>408</v>
      </c>
      <c r="CY225" s="15"/>
      <c r="CZ225" s="15" t="s">
        <v>1962</v>
      </c>
      <c r="DA225" s="15"/>
      <c r="DB225" s="15" t="s">
        <v>408</v>
      </c>
      <c r="DC225" s="15"/>
      <c r="DD225" s="15" t="s">
        <v>988</v>
      </c>
      <c r="DE225" s="15"/>
      <c r="DF225" s="15"/>
      <c r="DG225" s="15" t="s">
        <v>693</v>
      </c>
      <c r="DH225" s="15" t="s">
        <v>1220</v>
      </c>
      <c r="DI225" s="15" t="s">
        <v>963</v>
      </c>
      <c r="DJ225" s="15" t="s">
        <v>613</v>
      </c>
      <c r="DK225" s="15"/>
      <c r="DL225" s="15"/>
      <c r="DM225" s="15"/>
      <c r="DN225" s="15"/>
      <c r="DO225" s="15"/>
      <c r="DP225" s="15"/>
      <c r="DQ225" s="15"/>
      <c r="DR225" s="15"/>
      <c r="DS225" s="15"/>
      <c r="DT225" s="15"/>
      <c r="DU225" s="15"/>
      <c r="DV225" s="15"/>
      <c r="DW225" s="15"/>
      <c r="DX225" s="15"/>
      <c r="DY225" s="15"/>
      <c r="DZ225" s="15"/>
      <c r="EA225" s="15"/>
      <c r="EB225" s="15"/>
      <c r="EC225" s="15"/>
      <c r="ED225" s="15"/>
      <c r="EE225" s="15"/>
      <c r="EF225" s="15"/>
      <c r="EG225" s="15"/>
      <c r="EH225" s="15"/>
      <c r="EI225" s="15"/>
      <c r="EJ225" s="15"/>
      <c r="EK225" s="15"/>
      <c r="EL225" s="15"/>
      <c r="EM225" s="15"/>
      <c r="EN225" s="15"/>
      <c r="EO225" s="15"/>
      <c r="EP225" s="15"/>
      <c r="EQ225" s="15"/>
      <c r="ER225" s="15"/>
      <c r="ES225" s="15"/>
      <c r="ET225" s="15" t="s">
        <v>578</v>
      </c>
      <c r="EU225" s="15" t="s">
        <v>479</v>
      </c>
      <c r="EV225" s="15" t="s">
        <v>580</v>
      </c>
      <c r="EW225" s="15"/>
      <c r="EX225" s="15" t="s">
        <v>2238</v>
      </c>
      <c r="EY225" s="15" t="s">
        <v>2238</v>
      </c>
      <c r="EZ225" s="15" t="s">
        <v>484</v>
      </c>
      <c r="FA225" s="15" t="s">
        <v>414</v>
      </c>
      <c r="FB225" s="15" t="s">
        <v>583</v>
      </c>
      <c r="FC225" s="15" t="s">
        <v>583</v>
      </c>
      <c r="FD225" s="15" t="s">
        <v>484</v>
      </c>
      <c r="FE225" s="15" t="s">
        <v>414</v>
      </c>
      <c r="FF225" s="15" t="s">
        <v>484</v>
      </c>
      <c r="FG225" s="15" t="s">
        <v>484</v>
      </c>
      <c r="FH225" s="15" t="s">
        <v>484</v>
      </c>
      <c r="FI225" s="15" t="s">
        <v>484</v>
      </c>
      <c r="FJ225" s="15" t="s">
        <v>415</v>
      </c>
      <c r="FK225" s="15" t="s">
        <v>484</v>
      </c>
      <c r="FL225" s="15" t="s">
        <v>484</v>
      </c>
      <c r="FM225" s="15" t="s">
        <v>484</v>
      </c>
      <c r="FN225" s="15" t="s">
        <v>484</v>
      </c>
      <c r="FO225" s="15" t="s">
        <v>850</v>
      </c>
      <c r="FP225" s="15" t="s">
        <v>1200</v>
      </c>
      <c r="FQ225" s="15" t="s">
        <v>419</v>
      </c>
      <c r="FR225" s="15" t="s">
        <v>4882</v>
      </c>
      <c r="FS225" s="15" t="s">
        <v>1871</v>
      </c>
      <c r="FT225" s="15" t="s">
        <v>421</v>
      </c>
      <c r="FU225" s="15" t="s">
        <v>489</v>
      </c>
      <c r="FV225" s="15" t="s">
        <v>490</v>
      </c>
      <c r="FW225" s="15" t="s">
        <v>1853</v>
      </c>
      <c r="FX225" s="15" t="s">
        <v>4883</v>
      </c>
      <c r="FY225" s="15" t="s">
        <v>1854</v>
      </c>
      <c r="FZ225" s="15" t="s">
        <v>4884</v>
      </c>
      <c r="GA225" s="15" t="s">
        <v>4885</v>
      </c>
      <c r="GB225" s="15" t="s">
        <v>455</v>
      </c>
      <c r="GC225" s="15"/>
      <c r="GD225" s="15"/>
      <c r="GE225" s="15" t="s">
        <v>855</v>
      </c>
      <c r="GF225" s="15"/>
      <c r="GG225" s="15" t="s">
        <v>788</v>
      </c>
      <c r="GH225" s="15" t="s">
        <v>788</v>
      </c>
      <c r="GI225" s="15" t="s">
        <v>921</v>
      </c>
      <c r="GJ225" s="15"/>
      <c r="GK225" s="15"/>
      <c r="GL225" s="15"/>
      <c r="GM225" s="15"/>
      <c r="GN225" s="15"/>
      <c r="GO225" s="15"/>
      <c r="GP225" s="15"/>
      <c r="GQ225" s="15" t="s">
        <v>4886</v>
      </c>
      <c r="GR225" s="15"/>
      <c r="GS225" s="15"/>
      <c r="GT225" s="15" t="s">
        <v>4774</v>
      </c>
      <c r="GU225" s="15"/>
      <c r="GV225" s="15"/>
      <c r="GW225" s="15"/>
      <c r="GX225" s="15"/>
      <c r="GY225" s="15"/>
      <c r="GZ225" s="15"/>
      <c r="HA225" s="15"/>
      <c r="HB225" s="15"/>
      <c r="HC225" s="15"/>
      <c r="HD225" s="15"/>
      <c r="HE225" s="15"/>
      <c r="HF225" s="15"/>
      <c r="HG225" s="15"/>
      <c r="HH225" s="15"/>
      <c r="HI225" s="15"/>
      <c r="HJ225" s="15"/>
      <c r="HK225" s="15"/>
      <c r="HL225" s="15"/>
      <c r="HM225" s="15"/>
      <c r="HN225" s="15"/>
      <c r="HO225" s="15"/>
      <c r="HP225" s="31"/>
      <c r="MX225" s="29" t="s">
        <v>538</v>
      </c>
      <c r="MY225" s="29" t="str">
        <f>IFERROR(__xludf.DUMMYFUNCTION("""COMPUTED_VALUE"""),"United Kingdom")</f>
        <v>United Kingdom</v>
      </c>
    </row>
    <row r="226" ht="16.5" customHeight="1">
      <c r="A226" s="30">
        <v>45846.13157090278</v>
      </c>
      <c r="B226" s="15" t="s">
        <v>368</v>
      </c>
      <c r="C226" s="15" t="s">
        <v>538</v>
      </c>
      <c r="D226" s="15" t="s">
        <v>538</v>
      </c>
      <c r="E226" s="15"/>
      <c r="F226" s="15"/>
      <c r="G226" s="15" t="s">
        <v>422</v>
      </c>
      <c r="H226" s="15" t="s">
        <v>496</v>
      </c>
      <c r="I226" s="15" t="s">
        <v>374</v>
      </c>
      <c r="J226" s="15" t="s">
        <v>425</v>
      </c>
      <c r="K226" s="15" t="s">
        <v>376</v>
      </c>
      <c r="L226" s="15" t="s">
        <v>379</v>
      </c>
      <c r="M226" s="15" t="s">
        <v>541</v>
      </c>
      <c r="N226" s="15" t="s">
        <v>426</v>
      </c>
      <c r="O226" s="15" t="s">
        <v>497</v>
      </c>
      <c r="P226" s="15" t="s">
        <v>498</v>
      </c>
      <c r="Q226" s="15" t="s">
        <v>499</v>
      </c>
      <c r="R226" s="15" t="s">
        <v>427</v>
      </c>
      <c r="S226" s="15" t="s">
        <v>384</v>
      </c>
      <c r="T226" s="15" t="s">
        <v>385</v>
      </c>
      <c r="U226" s="15"/>
      <c r="V226" s="15"/>
      <c r="W226" s="15" t="s">
        <v>386</v>
      </c>
      <c r="X226" s="15" t="s">
        <v>387</v>
      </c>
      <c r="Y226" s="15" t="s">
        <v>388</v>
      </c>
      <c r="Z226" s="15"/>
      <c r="AA226" s="15" t="s">
        <v>408</v>
      </c>
      <c r="AB226" s="15"/>
      <c r="AC226" s="15"/>
      <c r="AD226" s="15"/>
      <c r="AE226" s="15"/>
      <c r="AF226" s="15"/>
      <c r="AG226" s="15"/>
      <c r="AH226" s="15"/>
      <c r="AI226" s="15"/>
      <c r="AJ226" s="15"/>
      <c r="AK226" s="15"/>
      <c r="AL226" s="15"/>
      <c r="AM226" s="15"/>
      <c r="AN226" s="15"/>
      <c r="AO226" s="15"/>
      <c r="AP226" s="15"/>
      <c r="AQ226" s="15"/>
      <c r="AR226" s="15"/>
      <c r="AS226" s="15"/>
      <c r="AT226" s="15"/>
      <c r="AU226" s="15"/>
      <c r="AV226" s="15" t="s">
        <v>390</v>
      </c>
      <c r="AW226" s="15">
        <v>2.0</v>
      </c>
      <c r="AX226" s="15">
        <v>2.0</v>
      </c>
      <c r="AY226" s="15" t="s">
        <v>429</v>
      </c>
      <c r="AZ226" s="15">
        <v>2.0</v>
      </c>
      <c r="BA226" s="15" t="s">
        <v>429</v>
      </c>
      <c r="BB226" s="15">
        <v>2.0</v>
      </c>
      <c r="BC226" s="15" t="s">
        <v>4887</v>
      </c>
      <c r="BD226" s="15" t="s">
        <v>4888</v>
      </c>
      <c r="BE226" s="15" t="s">
        <v>392</v>
      </c>
      <c r="BF226" s="15" t="s">
        <v>433</v>
      </c>
      <c r="BG226" s="15" t="s">
        <v>678</v>
      </c>
      <c r="BH226" s="15" t="s">
        <v>4889</v>
      </c>
      <c r="BI226" s="15" t="s">
        <v>509</v>
      </c>
      <c r="BJ226" s="15" t="s">
        <v>4890</v>
      </c>
      <c r="BK226" s="15" t="s">
        <v>511</v>
      </c>
      <c r="BL226" s="15" t="s">
        <v>512</v>
      </c>
      <c r="BM226" s="15" t="s">
        <v>439</v>
      </c>
      <c r="BN226" s="15" t="s">
        <v>513</v>
      </c>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t="s">
        <v>550</v>
      </c>
      <c r="CM226" s="15" t="s">
        <v>401</v>
      </c>
      <c r="CN226" s="15" t="s">
        <v>4891</v>
      </c>
      <c r="CO226" s="15" t="s">
        <v>4892</v>
      </c>
      <c r="CP226" s="15" t="s">
        <v>1008</v>
      </c>
      <c r="CQ226" s="15" t="s">
        <v>4893</v>
      </c>
      <c r="CR226" s="15" t="s">
        <v>404</v>
      </c>
      <c r="CS226" s="15" t="s">
        <v>4894</v>
      </c>
      <c r="CT226" s="15" t="s">
        <v>4895</v>
      </c>
      <c r="CU226" s="15" t="s">
        <v>519</v>
      </c>
      <c r="CV226" s="15" t="s">
        <v>451</v>
      </c>
      <c r="CW226" s="15" t="s">
        <v>4896</v>
      </c>
      <c r="CX226" s="15" t="s">
        <v>408</v>
      </c>
      <c r="CY226" s="15"/>
      <c r="CZ226" s="15" t="s">
        <v>453</v>
      </c>
      <c r="DA226" s="15" t="s">
        <v>4897</v>
      </c>
      <c r="DB226" s="15" t="s">
        <v>408</v>
      </c>
      <c r="DC226" s="15"/>
      <c r="DD226" s="15" t="s">
        <v>662</v>
      </c>
      <c r="DE226" s="15"/>
      <c r="DF226" s="15" t="s">
        <v>4898</v>
      </c>
      <c r="DG226" s="15" t="s">
        <v>4899</v>
      </c>
      <c r="DH226" s="15" t="s">
        <v>410</v>
      </c>
      <c r="DI226" s="15" t="s">
        <v>963</v>
      </c>
      <c r="DJ226" s="15" t="s">
        <v>613</v>
      </c>
      <c r="DK226" s="15"/>
      <c r="DL226" s="15"/>
      <c r="DM226" s="15"/>
      <c r="DN226" s="15"/>
      <c r="DO226" s="15"/>
      <c r="DP226" s="15"/>
      <c r="DQ226" s="15"/>
      <c r="DR226" s="15"/>
      <c r="DS226" s="15"/>
      <c r="DT226" s="15"/>
      <c r="DU226" s="15"/>
      <c r="DV226" s="15"/>
      <c r="DW226" s="15"/>
      <c r="DX226" s="15"/>
      <c r="DY226" s="15"/>
      <c r="DZ226" s="15"/>
      <c r="EA226" s="15"/>
      <c r="EB226" s="15"/>
      <c r="EC226" s="15"/>
      <c r="ED226" s="15"/>
      <c r="EE226" s="15"/>
      <c r="EF226" s="15"/>
      <c r="EG226" s="15"/>
      <c r="EH226" s="15"/>
      <c r="EI226" s="15"/>
      <c r="EJ226" s="15"/>
      <c r="EK226" s="15"/>
      <c r="EL226" s="15"/>
      <c r="EM226" s="15"/>
      <c r="EN226" s="15"/>
      <c r="EO226" s="15"/>
      <c r="EP226" s="15"/>
      <c r="EQ226" s="15"/>
      <c r="ER226" s="15"/>
      <c r="ES226" s="15"/>
      <c r="ET226" s="15" t="s">
        <v>526</v>
      </c>
      <c r="EU226" s="15" t="s">
        <v>1037</v>
      </c>
      <c r="EV226" s="15" t="s">
        <v>580</v>
      </c>
      <c r="EW226" s="15"/>
      <c r="EX226" s="15" t="s">
        <v>4900</v>
      </c>
      <c r="EY226" s="15" t="s">
        <v>4901</v>
      </c>
      <c r="EZ226" s="15" t="s">
        <v>583</v>
      </c>
      <c r="FA226" s="15" t="s">
        <v>583</v>
      </c>
      <c r="FB226" s="15" t="s">
        <v>413</v>
      </c>
      <c r="FC226" s="15" t="s">
        <v>583</v>
      </c>
      <c r="FD226" s="15" t="s">
        <v>413</v>
      </c>
      <c r="FE226" s="15" t="s">
        <v>583</v>
      </c>
      <c r="FF226" s="15" t="s">
        <v>484</v>
      </c>
      <c r="FG226" s="15" t="s">
        <v>484</v>
      </c>
      <c r="FH226" s="15" t="s">
        <v>484</v>
      </c>
      <c r="FI226" s="15" t="s">
        <v>413</v>
      </c>
      <c r="FJ226" s="15" t="s">
        <v>484</v>
      </c>
      <c r="FK226" s="15" t="s">
        <v>484</v>
      </c>
      <c r="FL226" s="15" t="s">
        <v>484</v>
      </c>
      <c r="FM226" s="15" t="s">
        <v>484</v>
      </c>
      <c r="FN226" s="15" t="s">
        <v>484</v>
      </c>
      <c r="FO226" s="15" t="s">
        <v>417</v>
      </c>
      <c r="FP226" s="15" t="s">
        <v>418</v>
      </c>
      <c r="FQ226" s="15" t="s">
        <v>712</v>
      </c>
      <c r="FR226" s="15"/>
      <c r="FS226" s="15" t="s">
        <v>420</v>
      </c>
      <c r="FT226" s="15" t="s">
        <v>1462</v>
      </c>
      <c r="FU226" s="15" t="s">
        <v>1235</v>
      </c>
      <c r="FV226" s="15" t="s">
        <v>490</v>
      </c>
      <c r="FW226" s="15" t="s">
        <v>491</v>
      </c>
      <c r="FX226" s="15" t="s">
        <v>4902</v>
      </c>
      <c r="FY226" s="15" t="s">
        <v>535</v>
      </c>
      <c r="FZ226" s="15" t="s">
        <v>4903</v>
      </c>
      <c r="GA226" s="15"/>
      <c r="GB226" s="15" t="s">
        <v>455</v>
      </c>
      <c r="GC226" s="15"/>
      <c r="GD226" s="15"/>
      <c r="GE226" s="15" t="s">
        <v>753</v>
      </c>
      <c r="GF226" s="15" t="s">
        <v>4904</v>
      </c>
      <c r="GG226" s="15" t="s">
        <v>755</v>
      </c>
      <c r="GH226" s="15" t="s">
        <v>755</v>
      </c>
      <c r="GI226" s="15" t="s">
        <v>946</v>
      </c>
      <c r="GJ226" s="15"/>
      <c r="GK226" s="15"/>
      <c r="GL226" s="15"/>
      <c r="GM226" s="15"/>
      <c r="GN226" s="15" t="s">
        <v>3012</v>
      </c>
      <c r="GO226" s="15" t="s">
        <v>3012</v>
      </c>
      <c r="GP226" s="15"/>
      <c r="GQ226" s="15" t="s">
        <v>3208</v>
      </c>
      <c r="GR226" s="15"/>
      <c r="GS226" s="15"/>
      <c r="GT226" s="15" t="s">
        <v>4774</v>
      </c>
      <c r="GU226" s="15"/>
      <c r="GV226" s="15"/>
      <c r="GW226" s="15"/>
      <c r="GX226" s="15"/>
      <c r="GY226" s="15"/>
      <c r="GZ226" s="15"/>
      <c r="HA226" s="15"/>
      <c r="HB226" s="15"/>
      <c r="HC226" s="15"/>
      <c r="HD226" s="15"/>
      <c r="HE226" s="15"/>
      <c r="HF226" s="15"/>
      <c r="HG226" s="15"/>
      <c r="HH226" s="15"/>
      <c r="HI226" s="15"/>
      <c r="HJ226" s="15"/>
      <c r="HK226" s="15"/>
      <c r="HL226" s="15"/>
      <c r="HM226" s="15"/>
      <c r="HN226" s="15"/>
      <c r="HO226" s="15"/>
      <c r="HP226" s="31"/>
      <c r="MX226" s="29" t="s">
        <v>10402</v>
      </c>
      <c r="MY226" s="29" t="str">
        <f>IFERROR(__xludf.DUMMYFUNCTION("""COMPUTED_VALUE"""),"New Mexico")</f>
        <v>New Mexico</v>
      </c>
    </row>
    <row r="227" ht="16.5" customHeight="1">
      <c r="A227" s="30">
        <v>45846.51041663194</v>
      </c>
      <c r="B227" s="15" t="s">
        <v>368</v>
      </c>
      <c r="C227" s="15" t="s">
        <v>370</v>
      </c>
      <c r="D227" s="15" t="s">
        <v>370</v>
      </c>
      <c r="E227" s="15" t="s">
        <v>4905</v>
      </c>
      <c r="F227" s="15" t="s">
        <v>4905</v>
      </c>
      <c r="G227" s="15" t="s">
        <v>2295</v>
      </c>
      <c r="H227" s="15" t="s">
        <v>539</v>
      </c>
      <c r="I227" s="15" t="s">
        <v>424</v>
      </c>
      <c r="J227" s="15" t="s">
        <v>758</v>
      </c>
      <c r="K227" s="15" t="s">
        <v>376</v>
      </c>
      <c r="L227" s="15" t="s">
        <v>426</v>
      </c>
      <c r="M227" s="15" t="s">
        <v>2464</v>
      </c>
      <c r="N227" s="15"/>
      <c r="O227" s="15" t="s">
        <v>1024</v>
      </c>
      <c r="P227" s="15" t="s">
        <v>498</v>
      </c>
      <c r="Q227" s="15" t="s">
        <v>1004</v>
      </c>
      <c r="R227" s="15" t="s">
        <v>500</v>
      </c>
      <c r="S227" s="15" t="s">
        <v>384</v>
      </c>
      <c r="T227" s="15" t="s">
        <v>385</v>
      </c>
      <c r="U227" s="15"/>
      <c r="V227" s="15"/>
      <c r="W227" s="15" t="s">
        <v>3014</v>
      </c>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t="s">
        <v>549</v>
      </c>
      <c r="BN227" s="15" t="s">
        <v>513</v>
      </c>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t="s">
        <v>4906</v>
      </c>
      <c r="CO227" s="15" t="s">
        <v>4907</v>
      </c>
      <c r="CP227" s="15" t="s">
        <v>1008</v>
      </c>
      <c r="CQ227" s="15" t="s">
        <v>4908</v>
      </c>
      <c r="CR227" s="15" t="s">
        <v>804</v>
      </c>
      <c r="CS227" s="15" t="s">
        <v>4909</v>
      </c>
      <c r="CT227" s="15" t="s">
        <v>4910</v>
      </c>
      <c r="CU227" s="15" t="s">
        <v>519</v>
      </c>
      <c r="CV227" s="15" t="s">
        <v>451</v>
      </c>
      <c r="CW227" s="15" t="s">
        <v>4911</v>
      </c>
      <c r="CX227" s="15" t="s">
        <v>408</v>
      </c>
      <c r="CY227" s="15"/>
      <c r="CZ227" s="15" t="s">
        <v>453</v>
      </c>
      <c r="DA227" s="15" t="s">
        <v>4912</v>
      </c>
      <c r="DB227" s="15" t="s">
        <v>455</v>
      </c>
      <c r="DC227" s="15" t="s">
        <v>4913</v>
      </c>
      <c r="DD227" s="15" t="s">
        <v>406</v>
      </c>
      <c r="DE227" s="15" t="s">
        <v>1867</v>
      </c>
      <c r="DF227" s="15" t="s">
        <v>4914</v>
      </c>
      <c r="DG227" s="15" t="s">
        <v>990</v>
      </c>
      <c r="DH227" s="15" t="s">
        <v>410</v>
      </c>
      <c r="DI227" s="15" t="s">
        <v>459</v>
      </c>
      <c r="DJ227" s="15" t="s">
        <v>562</v>
      </c>
      <c r="DK227" s="15" t="s">
        <v>525</v>
      </c>
      <c r="DL227" s="15"/>
      <c r="DM227" s="15"/>
      <c r="DN227" s="15"/>
      <c r="DO227" s="15"/>
      <c r="DP227" s="15"/>
      <c r="DQ227" s="15"/>
      <c r="DR227" s="15"/>
      <c r="DS227" s="15"/>
      <c r="DT227" s="15"/>
      <c r="DU227" s="15"/>
      <c r="DV227" s="15"/>
      <c r="DW227" s="15"/>
      <c r="DX227" s="15"/>
      <c r="DY227" s="15"/>
      <c r="DZ227" s="15"/>
      <c r="EA227" s="15"/>
      <c r="EB227" s="15"/>
      <c r="EC227" s="15"/>
      <c r="ED227" s="15"/>
      <c r="EE227" s="15"/>
      <c r="EF227" s="15"/>
      <c r="EG227" s="15"/>
      <c r="EH227" s="15"/>
      <c r="EI227" s="15"/>
      <c r="EJ227" s="15"/>
      <c r="EK227" s="15"/>
      <c r="EL227" s="15"/>
      <c r="EM227" s="15"/>
      <c r="EN227" s="15"/>
      <c r="EO227" s="15"/>
      <c r="EP227" s="15"/>
      <c r="EQ227" s="15"/>
      <c r="ER227" s="15"/>
      <c r="ES227" s="15"/>
      <c r="ET227" s="15" t="s">
        <v>526</v>
      </c>
      <c r="EU227" s="15" t="s">
        <v>479</v>
      </c>
      <c r="EV227" s="15" t="s">
        <v>480</v>
      </c>
      <c r="EW227" s="15"/>
      <c r="EX227" s="15" t="s">
        <v>4915</v>
      </c>
      <c r="EY227" s="15" t="s">
        <v>4916</v>
      </c>
      <c r="EZ227" s="15" t="s">
        <v>583</v>
      </c>
      <c r="FA227" s="15" t="s">
        <v>583</v>
      </c>
      <c r="FB227" s="15" t="s">
        <v>413</v>
      </c>
      <c r="FC227" s="15" t="s">
        <v>583</v>
      </c>
      <c r="FD227" s="15" t="s">
        <v>413</v>
      </c>
      <c r="FE227" s="15" t="s">
        <v>583</v>
      </c>
      <c r="FF227" s="15" t="s">
        <v>583</v>
      </c>
      <c r="FG227" s="15" t="s">
        <v>583</v>
      </c>
      <c r="FH227" s="15" t="s">
        <v>583</v>
      </c>
      <c r="FI227" s="15" t="s">
        <v>583</v>
      </c>
      <c r="FJ227" s="15" t="s">
        <v>583</v>
      </c>
      <c r="FK227" s="15" t="s">
        <v>583</v>
      </c>
      <c r="FL227" s="15" t="s">
        <v>583</v>
      </c>
      <c r="FM227" s="15"/>
      <c r="FN227" s="15" t="s">
        <v>583</v>
      </c>
      <c r="FO227" s="15" t="s">
        <v>485</v>
      </c>
      <c r="FP227" s="15" t="s">
        <v>486</v>
      </c>
      <c r="FQ227" s="15" t="s">
        <v>712</v>
      </c>
      <c r="FR227" s="15" t="s">
        <v>4917</v>
      </c>
      <c r="FS227" s="15" t="s">
        <v>995</v>
      </c>
      <c r="FT227" s="15" t="s">
        <v>1476</v>
      </c>
      <c r="FU227" s="15" t="s">
        <v>533</v>
      </c>
      <c r="FV227" s="15" t="s">
        <v>490</v>
      </c>
      <c r="FW227" s="15" t="s">
        <v>491</v>
      </c>
      <c r="FX227" s="15" t="s">
        <v>4918</v>
      </c>
      <c r="FY227" s="15" t="s">
        <v>493</v>
      </c>
      <c r="FZ227" s="15" t="s">
        <v>4919</v>
      </c>
      <c r="GA227" s="15"/>
      <c r="GB227" s="15" t="s">
        <v>408</v>
      </c>
      <c r="GC227" s="15"/>
      <c r="GD227" s="15"/>
      <c r="GE227" s="15"/>
      <c r="GF227" s="15"/>
      <c r="GG227" s="15" t="s">
        <v>789</v>
      </c>
      <c r="GH227" s="15" t="s">
        <v>789</v>
      </c>
      <c r="GI227" s="15" t="s">
        <v>817</v>
      </c>
      <c r="GJ227" s="15"/>
      <c r="GK227" s="15"/>
      <c r="GL227" s="15"/>
      <c r="GM227" s="15"/>
      <c r="GN227" s="15"/>
      <c r="GO227" s="15"/>
      <c r="GP227" s="15"/>
      <c r="GQ227" s="15" t="s">
        <v>3351</v>
      </c>
      <c r="GR227" s="15"/>
      <c r="GS227" s="15"/>
      <c r="GT227" s="15" t="s">
        <v>4774</v>
      </c>
      <c r="GU227" s="15"/>
      <c r="GV227" s="15"/>
      <c r="GW227" s="15"/>
      <c r="GX227" s="15"/>
      <c r="GY227" s="15"/>
      <c r="GZ227" s="15"/>
      <c r="HA227" s="15"/>
      <c r="HB227" s="15"/>
      <c r="HC227" s="15"/>
      <c r="HD227" s="15"/>
      <c r="HE227" s="15"/>
      <c r="HF227" s="15"/>
      <c r="HG227" s="15"/>
      <c r="HH227" s="15"/>
      <c r="HI227" s="15"/>
      <c r="HJ227" s="15"/>
      <c r="HK227" s="15"/>
      <c r="HL227" s="15"/>
      <c r="HM227" s="15"/>
      <c r="HN227" s="15"/>
      <c r="HO227" s="15"/>
      <c r="HP227" s="31"/>
      <c r="MX227" s="29" t="s">
        <v>10402</v>
      </c>
      <c r="MY227" s="29" t="str">
        <f>IFERROR(__xludf.DUMMYFUNCTION("""COMPUTED_VALUE"""),"Washington")</f>
        <v>Washington</v>
      </c>
    </row>
    <row r="228" ht="16.5" customHeight="1">
      <c r="A228" s="30">
        <v>45849.608638680555</v>
      </c>
      <c r="B228" s="15" t="s">
        <v>368</v>
      </c>
      <c r="C228" s="15" t="s">
        <v>370</v>
      </c>
      <c r="D228" s="15" t="s">
        <v>370</v>
      </c>
      <c r="E228" s="15" t="s">
        <v>1421</v>
      </c>
      <c r="F228" s="15" t="s">
        <v>1421</v>
      </c>
      <c r="G228" s="15" t="s">
        <v>422</v>
      </c>
      <c r="H228" s="15" t="s">
        <v>496</v>
      </c>
      <c r="I228" s="15" t="s">
        <v>374</v>
      </c>
      <c r="J228" s="15" t="s">
        <v>718</v>
      </c>
      <c r="K228" s="15" t="s">
        <v>376</v>
      </c>
      <c r="L228" s="15" t="s">
        <v>793</v>
      </c>
      <c r="M228" s="15" t="s">
        <v>4920</v>
      </c>
      <c r="N228" s="15" t="s">
        <v>793</v>
      </c>
      <c r="O228" s="15" t="s">
        <v>671</v>
      </c>
      <c r="P228" s="15" t="s">
        <v>592</v>
      </c>
      <c r="Q228" s="15" t="s">
        <v>1004</v>
      </c>
      <c r="R228" s="15" t="s">
        <v>1704</v>
      </c>
      <c r="S228" s="15" t="s">
        <v>384</v>
      </c>
      <c r="T228" s="15" t="s">
        <v>385</v>
      </c>
      <c r="U228" s="15"/>
      <c r="V228" s="15"/>
      <c r="W228" s="15" t="s">
        <v>3014</v>
      </c>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t="s">
        <v>1310</v>
      </c>
      <c r="AW228" s="15"/>
      <c r="AX228" s="15"/>
      <c r="AY228" s="15"/>
      <c r="AZ228" s="15"/>
      <c r="BA228" s="15"/>
      <c r="BB228" s="15" t="s">
        <v>675</v>
      </c>
      <c r="BC228" s="15" t="s">
        <v>4921</v>
      </c>
      <c r="BD228" s="15" t="s">
        <v>4922</v>
      </c>
      <c r="BE228" s="15" t="s">
        <v>392</v>
      </c>
      <c r="BF228" s="15" t="s">
        <v>393</v>
      </c>
      <c r="BG228" s="15" t="s">
        <v>678</v>
      </c>
      <c r="BH228" s="15" t="s">
        <v>4923</v>
      </c>
      <c r="BI228" s="15" t="s">
        <v>976</v>
      </c>
      <c r="BJ228" s="15" t="s">
        <v>4924</v>
      </c>
      <c r="BK228" s="15" t="s">
        <v>511</v>
      </c>
      <c r="BL228" s="15" t="s">
        <v>438</v>
      </c>
      <c r="BM228" s="15" t="s">
        <v>397</v>
      </c>
      <c r="BN228" s="15" t="s">
        <v>513</v>
      </c>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t="s">
        <v>441</v>
      </c>
      <c r="CM228" s="15" t="s">
        <v>442</v>
      </c>
      <c r="CN228" s="15" t="s">
        <v>4925</v>
      </c>
      <c r="CO228" s="15" t="s">
        <v>4926</v>
      </c>
      <c r="CP228" s="15" t="s">
        <v>685</v>
      </c>
      <c r="CQ228" s="15" t="s">
        <v>1427</v>
      </c>
      <c r="CR228" s="15" t="s">
        <v>447</v>
      </c>
      <c r="CS228" s="15" t="s">
        <v>4927</v>
      </c>
      <c r="CT228" s="15" t="s">
        <v>4928</v>
      </c>
      <c r="CU228" s="15" t="s">
        <v>1863</v>
      </c>
      <c r="CV228" s="15" t="s">
        <v>409</v>
      </c>
      <c r="CW228" s="15" t="s">
        <v>4929</v>
      </c>
      <c r="CX228" s="15" t="s">
        <v>408</v>
      </c>
      <c r="CY228" s="15"/>
      <c r="CZ228" s="15" t="s">
        <v>985</v>
      </c>
      <c r="DA228" s="15" t="s">
        <v>4930</v>
      </c>
      <c r="DB228" s="15" t="s">
        <v>913</v>
      </c>
      <c r="DC228" s="15"/>
      <c r="DD228" s="15" t="s">
        <v>406</v>
      </c>
      <c r="DE228" s="15" t="s">
        <v>1867</v>
      </c>
      <c r="DF228" s="15" t="s">
        <v>4931</v>
      </c>
      <c r="DG228" s="15" t="s">
        <v>561</v>
      </c>
      <c r="DH228" s="15" t="s">
        <v>1220</v>
      </c>
      <c r="DI228" s="15" t="s">
        <v>459</v>
      </c>
      <c r="DJ228" s="15" t="s">
        <v>562</v>
      </c>
      <c r="DK228" s="15" t="s">
        <v>1434</v>
      </c>
      <c r="DL228" s="15"/>
      <c r="DM228" s="15"/>
      <c r="DN228" s="15"/>
      <c r="DO228" s="15"/>
      <c r="DP228" s="15"/>
      <c r="DQ228" s="15"/>
      <c r="DR228" s="15"/>
      <c r="DS228" s="15"/>
      <c r="DT228" s="15"/>
      <c r="DU228" s="15"/>
      <c r="DV228" s="15"/>
      <c r="DW228" s="15"/>
      <c r="DX228" s="15"/>
      <c r="DY228" s="15"/>
      <c r="DZ228" s="15"/>
      <c r="EA228" s="15"/>
      <c r="EB228" s="15"/>
      <c r="EC228" s="15"/>
      <c r="ED228" s="15"/>
      <c r="EE228" s="15"/>
      <c r="EF228" s="15"/>
      <c r="EG228" s="15"/>
      <c r="EH228" s="15"/>
      <c r="EI228" s="15"/>
      <c r="EJ228" s="15"/>
      <c r="EK228" s="15"/>
      <c r="EL228" s="15"/>
      <c r="EM228" s="15"/>
      <c r="EN228" s="15"/>
      <c r="EO228" s="15"/>
      <c r="EP228" s="15"/>
      <c r="EQ228" s="15"/>
      <c r="ER228" s="15"/>
      <c r="ES228" s="15"/>
      <c r="ET228" s="15" t="s">
        <v>526</v>
      </c>
      <c r="EU228" s="15" t="s">
        <v>1037</v>
      </c>
      <c r="EV228" s="15" t="s">
        <v>580</v>
      </c>
      <c r="EW228" s="15"/>
      <c r="EX228" s="15"/>
      <c r="EY228" s="15"/>
      <c r="EZ228" s="15" t="s">
        <v>414</v>
      </c>
      <c r="FA228" s="15" t="s">
        <v>415</v>
      </c>
      <c r="FB228" s="15" t="s">
        <v>415</v>
      </c>
      <c r="FC228" s="15" t="s">
        <v>415</v>
      </c>
      <c r="FD228" s="15" t="s">
        <v>416</v>
      </c>
      <c r="FE228" s="15" t="s">
        <v>415</v>
      </c>
      <c r="FF228" s="15" t="s">
        <v>484</v>
      </c>
      <c r="FG228" s="15" t="s">
        <v>413</v>
      </c>
      <c r="FH228" s="15" t="s">
        <v>583</v>
      </c>
      <c r="FI228" s="15" t="s">
        <v>414</v>
      </c>
      <c r="FJ228" s="15" t="s">
        <v>484</v>
      </c>
      <c r="FK228" s="15" t="s">
        <v>414</v>
      </c>
      <c r="FL228" s="15" t="s">
        <v>414</v>
      </c>
      <c r="FM228" s="15" t="s">
        <v>416</v>
      </c>
      <c r="FN228" s="15" t="s">
        <v>583</v>
      </c>
      <c r="FO228" s="15" t="s">
        <v>1537</v>
      </c>
      <c r="FP228" s="15" t="s">
        <v>486</v>
      </c>
      <c r="FQ228" s="15" t="s">
        <v>712</v>
      </c>
      <c r="FR228" s="15" t="s">
        <v>4932</v>
      </c>
      <c r="FS228" s="15" t="s">
        <v>995</v>
      </c>
      <c r="FT228" s="15" t="s">
        <v>1462</v>
      </c>
      <c r="FU228" s="15" t="s">
        <v>489</v>
      </c>
      <c r="FV228" s="15"/>
      <c r="FW228" s="15" t="s">
        <v>491</v>
      </c>
      <c r="FX228" s="15"/>
      <c r="FY228" s="15"/>
      <c r="FZ228" s="15" t="s">
        <v>4933</v>
      </c>
      <c r="GA228" s="15" t="s">
        <v>4934</v>
      </c>
      <c r="GB228" s="15" t="s">
        <v>455</v>
      </c>
      <c r="GC228" s="15"/>
      <c r="GD228" s="15"/>
      <c r="GE228" s="15" t="s">
        <v>1339</v>
      </c>
      <c r="GF228" s="15" t="s">
        <v>4935</v>
      </c>
      <c r="GG228" s="15" t="s">
        <v>788</v>
      </c>
      <c r="GH228" s="15" t="s">
        <v>788</v>
      </c>
      <c r="GI228" s="15"/>
      <c r="GJ228" s="15"/>
      <c r="GK228" s="15"/>
      <c r="GL228" s="15"/>
      <c r="GM228" s="15"/>
      <c r="GN228" s="15"/>
      <c r="GO228" s="15"/>
      <c r="GP228" s="15"/>
      <c r="GQ228" s="15" t="s">
        <v>3306</v>
      </c>
      <c r="GR228" s="15"/>
      <c r="GS228" s="15"/>
      <c r="GT228" s="15" t="s">
        <v>4936</v>
      </c>
      <c r="GU228" s="15"/>
      <c r="GV228" s="15"/>
      <c r="GW228" s="15"/>
      <c r="GX228" s="15"/>
      <c r="GY228" s="15"/>
      <c r="GZ228" s="15"/>
      <c r="HA228" s="15"/>
      <c r="HB228" s="15"/>
      <c r="HC228" s="15"/>
      <c r="HD228" s="15"/>
      <c r="HE228" s="15"/>
      <c r="HF228" s="15"/>
      <c r="HG228" s="15"/>
      <c r="HH228" s="15"/>
      <c r="HI228" s="15"/>
      <c r="HJ228" s="15"/>
      <c r="HK228" s="15"/>
      <c r="HL228" s="15"/>
      <c r="HM228" s="15"/>
      <c r="HN228" s="15"/>
      <c r="HO228" s="15"/>
      <c r="HP228" s="31"/>
      <c r="MX228" s="29" t="s">
        <v>10402</v>
      </c>
      <c r="MY228" s="29" t="str">
        <f>IFERROR(__xludf.DUMMYFUNCTION("""COMPUTED_VALUE"""),"Washington")</f>
        <v>Washington</v>
      </c>
    </row>
    <row r="229" ht="16.5" customHeight="1">
      <c r="A229" s="30">
        <v>45849.67123201389</v>
      </c>
      <c r="B229" s="15" t="s">
        <v>368</v>
      </c>
      <c r="C229" s="15" t="s">
        <v>370</v>
      </c>
      <c r="D229" s="15" t="s">
        <v>370</v>
      </c>
      <c r="E229" s="15" t="s">
        <v>1421</v>
      </c>
      <c r="F229" s="15" t="s">
        <v>1849</v>
      </c>
      <c r="G229" s="15" t="s">
        <v>422</v>
      </c>
      <c r="H229" s="15" t="s">
        <v>373</v>
      </c>
      <c r="I229" s="15" t="s">
        <v>374</v>
      </c>
      <c r="J229" s="15" t="s">
        <v>425</v>
      </c>
      <c r="K229" s="15" t="s">
        <v>376</v>
      </c>
      <c r="L229" s="15" t="s">
        <v>591</v>
      </c>
      <c r="M229" s="15" t="s">
        <v>378</v>
      </c>
      <c r="N229" s="15" t="s">
        <v>591</v>
      </c>
      <c r="O229" s="15" t="s">
        <v>497</v>
      </c>
      <c r="P229" s="15" t="s">
        <v>381</v>
      </c>
      <c r="Q229" s="15" t="s">
        <v>1156</v>
      </c>
      <c r="R229" s="15" t="s">
        <v>427</v>
      </c>
      <c r="S229" s="15" t="s">
        <v>384</v>
      </c>
      <c r="T229" s="15" t="s">
        <v>385</v>
      </c>
      <c r="U229" s="15"/>
      <c r="V229" s="15"/>
      <c r="W229" s="15" t="s">
        <v>593</v>
      </c>
      <c r="X229" s="15" t="s">
        <v>387</v>
      </c>
      <c r="Y229" s="15" t="s">
        <v>897</v>
      </c>
      <c r="Z229" s="15" t="s">
        <v>543</v>
      </c>
      <c r="AA229" s="15" t="s">
        <v>4937</v>
      </c>
      <c r="AB229" s="15" t="s">
        <v>4938</v>
      </c>
      <c r="AC229" s="15"/>
      <c r="AD229" s="15"/>
      <c r="AE229" s="15"/>
      <c r="AF229" s="15"/>
      <c r="AG229" s="15"/>
      <c r="AH229" s="15"/>
      <c r="AI229" s="15"/>
      <c r="AJ229" s="15"/>
      <c r="AK229" s="15"/>
      <c r="AL229" s="15"/>
      <c r="AM229" s="15"/>
      <c r="AN229" s="15"/>
      <c r="AO229" s="15"/>
      <c r="AP229" s="15"/>
      <c r="AQ229" s="15"/>
      <c r="AR229" s="15"/>
      <c r="AS229" s="15"/>
      <c r="AT229" s="15"/>
      <c r="AU229" s="15"/>
      <c r="AV229" s="15" t="s">
        <v>597</v>
      </c>
      <c r="AW229" s="15" t="s">
        <v>675</v>
      </c>
      <c r="AX229" s="15">
        <v>4.0</v>
      </c>
      <c r="AY229" s="15" t="s">
        <v>675</v>
      </c>
      <c r="AZ229" s="15" t="s">
        <v>675</v>
      </c>
      <c r="BA229" s="15" t="s">
        <v>391</v>
      </c>
      <c r="BB229" s="15" t="s">
        <v>675</v>
      </c>
      <c r="BC229" s="15" t="s">
        <v>2220</v>
      </c>
      <c r="BD229" s="15" t="s">
        <v>4939</v>
      </c>
      <c r="BE229" s="15" t="s">
        <v>392</v>
      </c>
      <c r="BF229" s="15" t="s">
        <v>1095</v>
      </c>
      <c r="BG229" s="15" t="s">
        <v>394</v>
      </c>
      <c r="BH229" s="15" t="s">
        <v>4940</v>
      </c>
      <c r="BI229" s="15" t="s">
        <v>976</v>
      </c>
      <c r="BJ229" s="15"/>
      <c r="BK229" s="15" t="s">
        <v>437</v>
      </c>
      <c r="BL229" s="15" t="s">
        <v>603</v>
      </c>
      <c r="BM229" s="15" t="s">
        <v>1247</v>
      </c>
      <c r="BN229" s="15" t="s">
        <v>398</v>
      </c>
      <c r="BO229" s="15" t="s">
        <v>4941</v>
      </c>
      <c r="BP229" s="15" t="s">
        <v>4942</v>
      </c>
      <c r="BQ229" s="15" t="s">
        <v>442</v>
      </c>
      <c r="BR229" s="15" t="s">
        <v>4943</v>
      </c>
      <c r="BS229" s="15" t="s">
        <v>1671</v>
      </c>
      <c r="BT229" s="15" t="s">
        <v>1771</v>
      </c>
      <c r="BU229" s="15" t="s">
        <v>405</v>
      </c>
      <c r="BV229" s="15"/>
      <c r="BW229" s="15" t="s">
        <v>457</v>
      </c>
      <c r="BX229" s="15"/>
      <c r="BY229" s="15" t="s">
        <v>455</v>
      </c>
      <c r="BZ229" s="15" t="s">
        <v>4944</v>
      </c>
      <c r="CA229" s="15" t="s">
        <v>4945</v>
      </c>
      <c r="CB229" s="15" t="s">
        <v>4946</v>
      </c>
      <c r="CC229" s="15" t="s">
        <v>4947</v>
      </c>
      <c r="CD229" s="15" t="s">
        <v>409</v>
      </c>
      <c r="CE229" s="15" t="s">
        <v>4948</v>
      </c>
      <c r="CF229" s="15" t="s">
        <v>1258</v>
      </c>
      <c r="CG229" s="15"/>
      <c r="CH229" s="15" t="s">
        <v>1679</v>
      </c>
      <c r="CI229" s="15" t="s">
        <v>410</v>
      </c>
      <c r="CJ229" s="15" t="s">
        <v>4949</v>
      </c>
      <c r="CK229" s="15" t="s">
        <v>4950</v>
      </c>
      <c r="CL229" s="15"/>
      <c r="CM229" s="15"/>
      <c r="CN229" s="15"/>
      <c r="CO229" s="15"/>
      <c r="CP229" s="15"/>
      <c r="CQ229" s="15"/>
      <c r="CR229" s="15"/>
      <c r="CS229" s="15"/>
      <c r="CT229" s="15"/>
      <c r="CU229" s="15"/>
      <c r="CV229" s="15"/>
      <c r="CW229" s="15"/>
      <c r="CX229" s="15"/>
      <c r="CY229" s="15"/>
      <c r="CZ229" s="15"/>
      <c r="DA229" s="15"/>
      <c r="DB229" s="15"/>
      <c r="DC229" s="15"/>
      <c r="DD229" s="15"/>
      <c r="DE229" s="15"/>
      <c r="DF229" s="15"/>
      <c r="DG229" s="15"/>
      <c r="DH229" s="15"/>
      <c r="DI229" s="15"/>
      <c r="DJ229" s="15"/>
      <c r="DK229" s="15"/>
      <c r="DL229" s="15"/>
      <c r="DM229" s="15"/>
      <c r="DN229" s="15"/>
      <c r="DO229" s="15"/>
      <c r="DP229" s="15"/>
      <c r="DQ229" s="15"/>
      <c r="DR229" s="15"/>
      <c r="DS229" s="15"/>
      <c r="DT229" s="15"/>
      <c r="DU229" s="15"/>
      <c r="DV229" s="15"/>
      <c r="DW229" s="15"/>
      <c r="DX229" s="15"/>
      <c r="DY229" s="15"/>
      <c r="DZ229" s="15"/>
      <c r="EA229" s="15"/>
      <c r="EB229" s="15"/>
      <c r="EC229" s="15"/>
      <c r="ED229" s="15"/>
      <c r="EE229" s="15"/>
      <c r="EF229" s="15"/>
      <c r="EG229" s="15"/>
      <c r="EH229" s="15"/>
      <c r="EI229" s="15"/>
      <c r="EJ229" s="15"/>
      <c r="EK229" s="15"/>
      <c r="EL229" s="15"/>
      <c r="EM229" s="15"/>
      <c r="EN229" s="15"/>
      <c r="EO229" s="15"/>
      <c r="EP229" s="15"/>
      <c r="EQ229" s="15"/>
      <c r="ER229" s="15"/>
      <c r="ES229" s="15"/>
      <c r="ET229" s="15" t="s">
        <v>526</v>
      </c>
      <c r="EU229" s="15" t="s">
        <v>887</v>
      </c>
      <c r="EV229" s="15" t="s">
        <v>1534</v>
      </c>
      <c r="EW229" s="15" t="s">
        <v>4951</v>
      </c>
      <c r="EX229" s="15" t="s">
        <v>4952</v>
      </c>
      <c r="EY229" s="15" t="s">
        <v>4953</v>
      </c>
      <c r="EZ229" s="15" t="s">
        <v>415</v>
      </c>
      <c r="FA229" s="15" t="s">
        <v>414</v>
      </c>
      <c r="FB229" s="15" t="s">
        <v>414</v>
      </c>
      <c r="FC229" s="15" t="s">
        <v>414</v>
      </c>
      <c r="FD229" s="15" t="s">
        <v>415</v>
      </c>
      <c r="FE229" s="15" t="s">
        <v>414</v>
      </c>
      <c r="FF229" s="15" t="s">
        <v>415</v>
      </c>
      <c r="FG229" s="15" t="s">
        <v>415</v>
      </c>
      <c r="FH229" s="15" t="s">
        <v>416</v>
      </c>
      <c r="FI229" s="15" t="s">
        <v>415</v>
      </c>
      <c r="FJ229" s="15" t="s">
        <v>415</v>
      </c>
      <c r="FK229" s="15" t="s">
        <v>484</v>
      </c>
      <c r="FL229" s="15" t="s">
        <v>484</v>
      </c>
      <c r="FM229" s="15" t="s">
        <v>484</v>
      </c>
      <c r="FN229" s="15" t="s">
        <v>484</v>
      </c>
      <c r="FO229" s="15" t="s">
        <v>485</v>
      </c>
      <c r="FP229" s="15" t="s">
        <v>486</v>
      </c>
      <c r="FQ229" s="15" t="s">
        <v>712</v>
      </c>
      <c r="FR229" s="15" t="s">
        <v>4954</v>
      </c>
      <c r="FS229" s="15" t="s">
        <v>1189</v>
      </c>
      <c r="FT229" s="15" t="s">
        <v>1476</v>
      </c>
      <c r="FU229" s="15" t="s">
        <v>533</v>
      </c>
      <c r="FV229" s="15" t="s">
        <v>490</v>
      </c>
      <c r="FW229" s="15" t="s">
        <v>491</v>
      </c>
      <c r="FX229" s="15" t="s">
        <v>4955</v>
      </c>
      <c r="FY229" s="15" t="s">
        <v>535</v>
      </c>
      <c r="FZ229" s="15"/>
      <c r="GA229" s="15" t="s">
        <v>4956</v>
      </c>
      <c r="GB229" s="15" t="s">
        <v>455</v>
      </c>
      <c r="GC229" s="15"/>
      <c r="GD229" s="15"/>
      <c r="GE229" s="15" t="s">
        <v>1339</v>
      </c>
      <c r="GF229" s="15" t="s">
        <v>4957</v>
      </c>
      <c r="GG229" s="15"/>
      <c r="GH229" s="15"/>
      <c r="GI229" s="15"/>
      <c r="GJ229" s="15" t="s">
        <v>788</v>
      </c>
      <c r="GK229" s="15" t="s">
        <v>788</v>
      </c>
      <c r="GL229" s="15" t="s">
        <v>858</v>
      </c>
      <c r="GM229" s="15"/>
      <c r="GN229" s="15"/>
      <c r="GO229" s="15"/>
      <c r="GP229" s="15"/>
      <c r="GQ229" s="15" t="s">
        <v>4653</v>
      </c>
      <c r="GR229" s="15" t="s">
        <v>4774</v>
      </c>
      <c r="GS229" s="15"/>
      <c r="GT229" s="15"/>
      <c r="GU229" s="15"/>
      <c r="GV229" s="15"/>
      <c r="GW229" s="15"/>
      <c r="GX229" s="15"/>
      <c r="GY229" s="15"/>
      <c r="GZ229" s="15"/>
      <c r="HA229" s="15"/>
      <c r="HB229" s="15"/>
      <c r="HC229" s="15"/>
      <c r="HD229" s="15"/>
      <c r="HE229" s="15"/>
      <c r="HF229" s="15"/>
      <c r="HG229" s="15"/>
      <c r="HH229" s="15"/>
      <c r="HI229" s="15"/>
      <c r="HJ229" s="15"/>
      <c r="HK229" s="15"/>
      <c r="HL229" s="15"/>
      <c r="HM229" s="15"/>
      <c r="HN229" s="15"/>
      <c r="HO229" s="15"/>
      <c r="HP229" s="31"/>
      <c r="MX229" s="29" t="s">
        <v>4958</v>
      </c>
      <c r="MY229" s="29" t="str">
        <f>IFERROR(__xludf.DUMMYFUNCTION("""COMPUTED_VALUE"""),"Belgium")</f>
        <v>Belgium</v>
      </c>
    </row>
    <row r="230" ht="16.5" customHeight="1">
      <c r="A230" s="30">
        <v>45850.18852405093</v>
      </c>
      <c r="B230" s="15" t="s">
        <v>368</v>
      </c>
      <c r="C230" s="15" t="s">
        <v>4958</v>
      </c>
      <c r="D230" s="15" t="s">
        <v>4958</v>
      </c>
      <c r="E230" s="15"/>
      <c r="F230" s="15"/>
      <c r="G230" s="15" t="s">
        <v>422</v>
      </c>
      <c r="H230" s="15" t="s">
        <v>423</v>
      </c>
      <c r="I230" s="15" t="s">
        <v>668</v>
      </c>
      <c r="J230" s="15" t="s">
        <v>375</v>
      </c>
      <c r="K230" s="15" t="s">
        <v>376</v>
      </c>
      <c r="L230" s="15" t="s">
        <v>377</v>
      </c>
      <c r="M230" s="15" t="s">
        <v>378</v>
      </c>
      <c r="N230" s="15" t="s">
        <v>377</v>
      </c>
      <c r="O230" s="15" t="s">
        <v>380</v>
      </c>
      <c r="P230" s="15" t="s">
        <v>381</v>
      </c>
      <c r="Q230" s="15" t="s">
        <v>759</v>
      </c>
      <c r="R230" s="15" t="s">
        <v>949</v>
      </c>
      <c r="S230" s="15" t="s">
        <v>384</v>
      </c>
      <c r="T230" s="15" t="s">
        <v>385</v>
      </c>
      <c r="U230" s="15"/>
      <c r="V230" s="15"/>
      <c r="W230" s="15" t="s">
        <v>3014</v>
      </c>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t="s">
        <v>1242</v>
      </c>
      <c r="AW230" s="15" t="s">
        <v>675</v>
      </c>
      <c r="AX230" s="15">
        <v>4.0</v>
      </c>
      <c r="AY230" s="15" t="s">
        <v>675</v>
      </c>
      <c r="AZ230" s="15" t="s">
        <v>675</v>
      </c>
      <c r="BA230" s="15">
        <v>4.0</v>
      </c>
      <c r="BB230" s="15" t="s">
        <v>675</v>
      </c>
      <c r="BC230" s="15" t="s">
        <v>4959</v>
      </c>
      <c r="BD230" s="15" t="s">
        <v>4960</v>
      </c>
      <c r="BE230" s="15" t="s">
        <v>2259</v>
      </c>
      <c r="BF230" s="15" t="s">
        <v>1245</v>
      </c>
      <c r="BG230" s="15" t="s">
        <v>765</v>
      </c>
      <c r="BH230" s="15" t="s">
        <v>4961</v>
      </c>
      <c r="BI230" s="15" t="s">
        <v>435</v>
      </c>
      <c r="BJ230" s="15" t="s">
        <v>4962</v>
      </c>
      <c r="BK230" s="15" t="s">
        <v>395</v>
      </c>
      <c r="BL230" s="15" t="s">
        <v>512</v>
      </c>
      <c r="BM230" s="15" t="s">
        <v>1247</v>
      </c>
      <c r="BN230" s="15" t="s">
        <v>513</v>
      </c>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t="s">
        <v>682</v>
      </c>
      <c r="CM230" s="15" t="s">
        <v>401</v>
      </c>
      <c r="CN230" s="15" t="s">
        <v>4963</v>
      </c>
      <c r="CO230" s="15" t="s">
        <v>4964</v>
      </c>
      <c r="CP230" s="15"/>
      <c r="CQ230" s="15" t="s">
        <v>4965</v>
      </c>
      <c r="CR230" s="15" t="s">
        <v>404</v>
      </c>
      <c r="CS230" s="15"/>
      <c r="CT230" s="15" t="s">
        <v>4966</v>
      </c>
      <c r="CU230" s="15" t="s">
        <v>1961</v>
      </c>
      <c r="CV230" s="15" t="s">
        <v>959</v>
      </c>
      <c r="CW230" s="15"/>
      <c r="CX230" s="15" t="s">
        <v>408</v>
      </c>
      <c r="CY230" s="15"/>
      <c r="CZ230" s="15" t="s">
        <v>1962</v>
      </c>
      <c r="DA230" s="15"/>
      <c r="DB230" s="15" t="s">
        <v>408</v>
      </c>
      <c r="DC230" s="15"/>
      <c r="DD230" s="15" t="s">
        <v>406</v>
      </c>
      <c r="DE230" s="15" t="s">
        <v>1058</v>
      </c>
      <c r="DF230" s="15"/>
      <c r="DG230" s="15" t="s">
        <v>990</v>
      </c>
      <c r="DH230" s="15" t="s">
        <v>694</v>
      </c>
      <c r="DI230" s="15" t="s">
        <v>777</v>
      </c>
      <c r="DJ230" s="15" t="s">
        <v>460</v>
      </c>
      <c r="DK230" s="15" t="s">
        <v>1434</v>
      </c>
      <c r="DL230" s="15"/>
      <c r="DM230" s="15"/>
      <c r="DN230" s="15"/>
      <c r="DO230" s="15"/>
      <c r="DP230" s="15"/>
      <c r="DQ230" s="15"/>
      <c r="DR230" s="15"/>
      <c r="DS230" s="15"/>
      <c r="DT230" s="15"/>
      <c r="DU230" s="15"/>
      <c r="DV230" s="15"/>
      <c r="DW230" s="15"/>
      <c r="DX230" s="15"/>
      <c r="DY230" s="15"/>
      <c r="DZ230" s="15"/>
      <c r="EA230" s="15"/>
      <c r="EB230" s="15"/>
      <c r="EC230" s="15"/>
      <c r="ED230" s="15"/>
      <c r="EE230" s="15"/>
      <c r="EF230" s="15"/>
      <c r="EG230" s="15"/>
      <c r="EH230" s="15"/>
      <c r="EI230" s="15"/>
      <c r="EJ230" s="15"/>
      <c r="EK230" s="15"/>
      <c r="EL230" s="15"/>
      <c r="EM230" s="15"/>
      <c r="EN230" s="15"/>
      <c r="EO230" s="15"/>
      <c r="EP230" s="15"/>
      <c r="EQ230" s="15"/>
      <c r="ER230" s="15"/>
      <c r="ES230" s="15"/>
      <c r="ET230" s="15" t="s">
        <v>478</v>
      </c>
      <c r="EU230" s="15" t="s">
        <v>579</v>
      </c>
      <c r="EV230" s="15" t="s">
        <v>480</v>
      </c>
      <c r="EW230" s="15" t="s">
        <v>4967</v>
      </c>
      <c r="EX230" s="15" t="s">
        <v>4968</v>
      </c>
      <c r="EY230" s="15" t="s">
        <v>4969</v>
      </c>
      <c r="EZ230" s="15" t="s">
        <v>583</v>
      </c>
      <c r="FA230" s="15" t="s">
        <v>583</v>
      </c>
      <c r="FB230" s="15" t="s">
        <v>583</v>
      </c>
      <c r="FC230" s="15" t="s">
        <v>583</v>
      </c>
      <c r="FD230" s="15" t="s">
        <v>583</v>
      </c>
      <c r="FE230" s="15" t="s">
        <v>583</v>
      </c>
      <c r="FF230" s="15" t="s">
        <v>583</v>
      </c>
      <c r="FG230" s="15" t="s">
        <v>583</v>
      </c>
      <c r="FH230" s="15" t="s">
        <v>484</v>
      </c>
      <c r="FI230" s="15" t="s">
        <v>414</v>
      </c>
      <c r="FJ230" s="15" t="s">
        <v>583</v>
      </c>
      <c r="FK230" s="15" t="s">
        <v>414</v>
      </c>
      <c r="FL230" s="15" t="s">
        <v>414</v>
      </c>
      <c r="FM230" s="15" t="s">
        <v>414</v>
      </c>
      <c r="FN230" s="15" t="s">
        <v>414</v>
      </c>
      <c r="FO230" s="15" t="s">
        <v>1537</v>
      </c>
      <c r="FP230" s="15" t="s">
        <v>2524</v>
      </c>
      <c r="FQ230" s="15" t="s">
        <v>419</v>
      </c>
      <c r="FR230" s="15" t="s">
        <v>4970</v>
      </c>
      <c r="FS230" s="15" t="s">
        <v>1076</v>
      </c>
      <c r="FT230" s="15" t="s">
        <v>2750</v>
      </c>
      <c r="FU230" s="15" t="s">
        <v>918</v>
      </c>
      <c r="FV230" s="15" t="s">
        <v>2399</v>
      </c>
      <c r="FW230" s="15" t="s">
        <v>1853</v>
      </c>
      <c r="FX230" s="15" t="s">
        <v>4971</v>
      </c>
      <c r="FY230" s="15" t="s">
        <v>1020</v>
      </c>
      <c r="FZ230" s="15" t="s">
        <v>4972</v>
      </c>
      <c r="GA230" s="15" t="s">
        <v>4973</v>
      </c>
      <c r="GB230" s="15" t="s">
        <v>408</v>
      </c>
      <c r="GC230" s="15"/>
      <c r="GD230" s="15"/>
      <c r="GE230" s="15"/>
      <c r="GF230" s="15"/>
      <c r="GG230" s="15" t="s">
        <v>755</v>
      </c>
      <c r="GH230" s="15" t="s">
        <v>788</v>
      </c>
      <c r="GI230" s="15" t="s">
        <v>946</v>
      </c>
      <c r="GJ230" s="15"/>
      <c r="GK230" s="15"/>
      <c r="GL230" s="15"/>
      <c r="GM230" s="15"/>
      <c r="GN230" s="15" t="s">
        <v>4974</v>
      </c>
      <c r="GO230" s="15" t="s">
        <v>4974</v>
      </c>
      <c r="GP230" s="15"/>
      <c r="GQ230" s="15" t="s">
        <v>4975</v>
      </c>
      <c r="GR230" s="15"/>
      <c r="GS230" s="15"/>
      <c r="GT230" s="15" t="s">
        <v>4774</v>
      </c>
      <c r="GU230" s="15"/>
      <c r="GV230" s="15"/>
      <c r="GW230" s="15"/>
      <c r="GX230" s="15"/>
      <c r="GY230" s="15"/>
      <c r="GZ230" s="15"/>
      <c r="HA230" s="15"/>
      <c r="HB230" s="15"/>
      <c r="HC230" s="15"/>
      <c r="HD230" s="15"/>
      <c r="HE230" s="15"/>
      <c r="HF230" s="15"/>
      <c r="HG230" s="15"/>
      <c r="HH230" s="15"/>
      <c r="HI230" s="15"/>
      <c r="HJ230" s="15"/>
      <c r="HK230" s="15"/>
      <c r="HL230" s="15"/>
      <c r="HM230" s="15"/>
      <c r="HN230" s="15"/>
      <c r="HO230" s="15"/>
      <c r="HP230" s="31"/>
      <c r="MX230" s="29" t="s">
        <v>10402</v>
      </c>
      <c r="MY230" s="29" t="str">
        <f>IFERROR(__xludf.DUMMYFUNCTION("""COMPUTED_VALUE"""),"Georgia")</f>
        <v>Georgia</v>
      </c>
    </row>
    <row r="231" ht="16.5" customHeight="1">
      <c r="A231" s="30">
        <v>45850.64452353009</v>
      </c>
      <c r="B231" s="15" t="s">
        <v>368</v>
      </c>
      <c r="C231" s="15" t="s">
        <v>370</v>
      </c>
      <c r="D231" s="15" t="s">
        <v>370</v>
      </c>
      <c r="E231" s="15" t="s">
        <v>589</v>
      </c>
      <c r="F231" s="15" t="s">
        <v>589</v>
      </c>
      <c r="G231" s="15" t="s">
        <v>2657</v>
      </c>
      <c r="H231" s="15" t="s">
        <v>637</v>
      </c>
      <c r="I231" s="15" t="s">
        <v>638</v>
      </c>
      <c r="J231" s="15" t="s">
        <v>375</v>
      </c>
      <c r="K231" s="15" t="s">
        <v>376</v>
      </c>
      <c r="L231" s="15" t="s">
        <v>591</v>
      </c>
      <c r="M231" s="15" t="s">
        <v>719</v>
      </c>
      <c r="N231" s="15" t="s">
        <v>379</v>
      </c>
      <c r="O231" s="15" t="s">
        <v>671</v>
      </c>
      <c r="P231" s="15" t="s">
        <v>498</v>
      </c>
      <c r="Q231" s="15" t="s">
        <v>499</v>
      </c>
      <c r="R231" s="15" t="s">
        <v>641</v>
      </c>
      <c r="S231" s="15" t="s">
        <v>384</v>
      </c>
      <c r="T231" s="15" t="s">
        <v>385</v>
      </c>
      <c r="U231" s="15"/>
      <c r="V231" s="15"/>
      <c r="W231" s="15" t="s">
        <v>3231</v>
      </c>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t="s">
        <v>390</v>
      </c>
      <c r="AW231" s="15" t="s">
        <v>391</v>
      </c>
      <c r="AX231" s="15" t="s">
        <v>391</v>
      </c>
      <c r="AY231" s="15" t="s">
        <v>391</v>
      </c>
      <c r="AZ231" s="15" t="s">
        <v>391</v>
      </c>
      <c r="BA231" s="15">
        <v>2.0</v>
      </c>
      <c r="BB231" s="15">
        <v>2.0</v>
      </c>
      <c r="BC231" s="15" t="s">
        <v>4976</v>
      </c>
      <c r="BD231" s="15" t="s">
        <v>4977</v>
      </c>
      <c r="BE231" s="15" t="s">
        <v>432</v>
      </c>
      <c r="BF231" s="15" t="s">
        <v>393</v>
      </c>
      <c r="BG231" s="15" t="s">
        <v>725</v>
      </c>
      <c r="BH231" s="15" t="s">
        <v>4978</v>
      </c>
      <c r="BI231" s="15" t="s">
        <v>727</v>
      </c>
      <c r="BJ231" s="15" t="s">
        <v>4979</v>
      </c>
      <c r="BK231" s="15" t="s">
        <v>395</v>
      </c>
      <c r="BL231" s="15" t="s">
        <v>438</v>
      </c>
      <c r="BM231" s="15" t="s">
        <v>549</v>
      </c>
      <c r="BN231" s="15" t="s">
        <v>513</v>
      </c>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t="s">
        <v>441</v>
      </c>
      <c r="CM231" s="15" t="s">
        <v>401</v>
      </c>
      <c r="CN231" s="15" t="s">
        <v>4980</v>
      </c>
      <c r="CO231" s="15" t="s">
        <v>4981</v>
      </c>
      <c r="CP231" s="15" t="s">
        <v>403</v>
      </c>
      <c r="CQ231" s="15" t="s">
        <v>1427</v>
      </c>
      <c r="CR231" s="15" t="s">
        <v>404</v>
      </c>
      <c r="CS231" s="15" t="s">
        <v>1137</v>
      </c>
      <c r="CT231" s="15" t="s">
        <v>4982</v>
      </c>
      <c r="CU231" s="15" t="s">
        <v>519</v>
      </c>
      <c r="CV231" s="15" t="s">
        <v>451</v>
      </c>
      <c r="CW231" s="15" t="s">
        <v>4983</v>
      </c>
      <c r="CX231" s="15" t="s">
        <v>733</v>
      </c>
      <c r="CY231" s="15" t="s">
        <v>4984</v>
      </c>
      <c r="CZ231" s="15" t="s">
        <v>453</v>
      </c>
      <c r="DA231" s="15" t="s">
        <v>4985</v>
      </c>
      <c r="DB231" s="15" t="s">
        <v>408</v>
      </c>
      <c r="DC231" s="15" t="s">
        <v>4979</v>
      </c>
      <c r="DD231" s="15" t="s">
        <v>406</v>
      </c>
      <c r="DE231" s="15" t="s">
        <v>407</v>
      </c>
      <c r="DF231" s="15" t="s">
        <v>4986</v>
      </c>
      <c r="DG231" s="15" t="s">
        <v>776</v>
      </c>
      <c r="DH231" s="15" t="s">
        <v>833</v>
      </c>
      <c r="DI231" s="15" t="s">
        <v>459</v>
      </c>
      <c r="DJ231" s="15" t="s">
        <v>613</v>
      </c>
      <c r="DK231" s="15"/>
      <c r="DL231" s="15"/>
      <c r="DM231" s="15"/>
      <c r="DN231" s="15"/>
      <c r="DO231" s="15"/>
      <c r="DP231" s="15"/>
      <c r="DQ231" s="15"/>
      <c r="DR231" s="15"/>
      <c r="DS231" s="15"/>
      <c r="DT231" s="15"/>
      <c r="DU231" s="15"/>
      <c r="DV231" s="15"/>
      <c r="DW231" s="15"/>
      <c r="DX231" s="15"/>
      <c r="DY231" s="15"/>
      <c r="DZ231" s="15"/>
      <c r="EA231" s="15"/>
      <c r="EB231" s="15"/>
      <c r="EC231" s="15"/>
      <c r="ED231" s="15"/>
      <c r="EE231" s="15"/>
      <c r="EF231" s="15"/>
      <c r="EG231" s="15"/>
      <c r="EH231" s="15"/>
      <c r="EI231" s="15"/>
      <c r="EJ231" s="15"/>
      <c r="EK231" s="15"/>
      <c r="EL231" s="15"/>
      <c r="EM231" s="15"/>
      <c r="EN231" s="15"/>
      <c r="EO231" s="15"/>
      <c r="EP231" s="15"/>
      <c r="EQ231" s="15"/>
      <c r="ER231" s="15"/>
      <c r="ES231" s="15"/>
      <c r="ET231" s="15" t="s">
        <v>526</v>
      </c>
      <c r="EU231" s="15" t="s">
        <v>1037</v>
      </c>
      <c r="EV231" s="15" t="s">
        <v>480</v>
      </c>
      <c r="EW231" s="15" t="s">
        <v>4979</v>
      </c>
      <c r="EX231" s="15" t="s">
        <v>4987</v>
      </c>
      <c r="EY231" s="15" t="s">
        <v>4988</v>
      </c>
      <c r="EZ231" s="15" t="s">
        <v>413</v>
      </c>
      <c r="FA231" s="15" t="s">
        <v>414</v>
      </c>
      <c r="FB231" s="15" t="s">
        <v>413</v>
      </c>
      <c r="FC231" s="15" t="s">
        <v>413</v>
      </c>
      <c r="FD231" s="15" t="s">
        <v>413</v>
      </c>
      <c r="FE231" s="15" t="s">
        <v>414</v>
      </c>
      <c r="FF231" s="15" t="s">
        <v>415</v>
      </c>
      <c r="FG231" s="15" t="s">
        <v>415</v>
      </c>
      <c r="FH231" s="15" t="s">
        <v>415</v>
      </c>
      <c r="FI231" s="15" t="s">
        <v>414</v>
      </c>
      <c r="FJ231" s="15" t="s">
        <v>583</v>
      </c>
      <c r="FK231" s="15" t="s">
        <v>415</v>
      </c>
      <c r="FL231" s="15" t="s">
        <v>415</v>
      </c>
      <c r="FM231" s="15" t="s">
        <v>415</v>
      </c>
      <c r="FN231" s="15" t="s">
        <v>414</v>
      </c>
      <c r="FO231" s="15" t="s">
        <v>417</v>
      </c>
      <c r="FP231" s="15" t="s">
        <v>418</v>
      </c>
      <c r="FQ231" s="15" t="s">
        <v>419</v>
      </c>
      <c r="FR231" s="15" t="s">
        <v>4989</v>
      </c>
      <c r="FS231" s="15" t="s">
        <v>420</v>
      </c>
      <c r="FT231" s="15" t="s">
        <v>488</v>
      </c>
      <c r="FU231" s="15" t="s">
        <v>489</v>
      </c>
      <c r="FV231" s="15" t="s">
        <v>490</v>
      </c>
      <c r="FW231" s="15" t="s">
        <v>491</v>
      </c>
      <c r="FX231" s="15" t="s">
        <v>4990</v>
      </c>
      <c r="FY231" s="15" t="s">
        <v>535</v>
      </c>
      <c r="FZ231" s="15" t="s">
        <v>4991</v>
      </c>
      <c r="GA231" s="15" t="s">
        <v>4992</v>
      </c>
      <c r="GB231" s="15" t="s">
        <v>455</v>
      </c>
      <c r="GC231" s="15"/>
      <c r="GD231" s="15"/>
      <c r="GE231" s="15" t="s">
        <v>944</v>
      </c>
      <c r="GF231" s="15" t="s">
        <v>4993</v>
      </c>
      <c r="GG231" s="15" t="s">
        <v>857</v>
      </c>
      <c r="GH231" s="15" t="s">
        <v>857</v>
      </c>
      <c r="GI231" s="15" t="s">
        <v>790</v>
      </c>
      <c r="GJ231" s="15"/>
      <c r="GK231" s="15"/>
      <c r="GL231" s="15"/>
      <c r="GM231" s="15"/>
      <c r="GN231" s="15"/>
      <c r="GO231" s="15"/>
      <c r="GP231" s="15" t="s">
        <v>387</v>
      </c>
      <c r="GQ231" s="15" t="s">
        <v>3208</v>
      </c>
      <c r="GR231" s="15"/>
      <c r="GS231" s="15"/>
      <c r="GT231" s="15" t="s">
        <v>4774</v>
      </c>
      <c r="GU231" s="15" t="s">
        <v>4979</v>
      </c>
      <c r="GV231" s="15"/>
      <c r="GW231" s="15"/>
      <c r="GX231" s="15"/>
      <c r="GY231" s="15"/>
      <c r="GZ231" s="15"/>
      <c r="HA231" s="15"/>
      <c r="HB231" s="15"/>
      <c r="HC231" s="15"/>
      <c r="HD231" s="15"/>
      <c r="HE231" s="15"/>
      <c r="HF231" s="15"/>
      <c r="HG231" s="15"/>
      <c r="HH231" s="15"/>
      <c r="HI231" s="15"/>
      <c r="HJ231" s="15"/>
      <c r="HK231" s="15"/>
      <c r="HL231" s="15"/>
      <c r="HM231" s="15"/>
      <c r="HN231" s="15"/>
      <c r="HO231" s="15"/>
      <c r="HP231" s="31"/>
      <c r="MX231" s="29" t="s">
        <v>1267</v>
      </c>
      <c r="MY231" s="29" t="str">
        <f>IFERROR(__xludf.DUMMYFUNCTION("""COMPUTED_VALUE"""),"Spain")</f>
        <v>Spain</v>
      </c>
    </row>
    <row r="232" ht="16.5" customHeight="1">
      <c r="A232" s="30">
        <v>45850.886114953704</v>
      </c>
      <c r="B232" s="15" t="s">
        <v>368</v>
      </c>
      <c r="C232" s="15" t="s">
        <v>1267</v>
      </c>
      <c r="D232" s="15" t="s">
        <v>1267</v>
      </c>
      <c r="E232" s="15"/>
      <c r="F232" s="15"/>
      <c r="G232" s="15" t="s">
        <v>422</v>
      </c>
      <c r="H232" s="15" t="s">
        <v>1203</v>
      </c>
      <c r="I232" s="15" t="s">
        <v>638</v>
      </c>
      <c r="J232" s="15" t="s">
        <v>590</v>
      </c>
      <c r="K232" s="15" t="s">
        <v>376</v>
      </c>
      <c r="L232" s="15" t="s">
        <v>670</v>
      </c>
      <c r="M232" s="15" t="s">
        <v>719</v>
      </c>
      <c r="N232" s="15" t="s">
        <v>793</v>
      </c>
      <c r="O232" s="15" t="s">
        <v>1024</v>
      </c>
      <c r="P232" s="15" t="s">
        <v>498</v>
      </c>
      <c r="Q232" s="15" t="s">
        <v>759</v>
      </c>
      <c r="R232" s="15" t="s">
        <v>427</v>
      </c>
      <c r="S232" s="15" t="s">
        <v>384</v>
      </c>
      <c r="T232" s="15" t="s">
        <v>385</v>
      </c>
      <c r="U232" s="15"/>
      <c r="V232" s="15"/>
      <c r="W232" s="15" t="s">
        <v>3014</v>
      </c>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t="s">
        <v>390</v>
      </c>
      <c r="AW232" s="15" t="s">
        <v>675</v>
      </c>
      <c r="AX232" s="15">
        <v>2.0</v>
      </c>
      <c r="AY232" s="15">
        <v>2.0</v>
      </c>
      <c r="AZ232" s="15" t="s">
        <v>675</v>
      </c>
      <c r="BA232" s="15" t="s">
        <v>391</v>
      </c>
      <c r="BB232" s="15" t="s">
        <v>391</v>
      </c>
      <c r="BC232" s="15" t="s">
        <v>4994</v>
      </c>
      <c r="BD232" s="15"/>
      <c r="BE232" s="15" t="s">
        <v>392</v>
      </c>
      <c r="BF232" s="15" t="s">
        <v>433</v>
      </c>
      <c r="BG232" s="15" t="s">
        <v>434</v>
      </c>
      <c r="BH232" s="15"/>
      <c r="BI232" s="15" t="s">
        <v>824</v>
      </c>
      <c r="BJ232" s="15"/>
      <c r="BK232" s="15" t="s">
        <v>602</v>
      </c>
      <c r="BL232" s="15" t="s">
        <v>396</v>
      </c>
      <c r="BM232" s="15" t="s">
        <v>549</v>
      </c>
      <c r="BN232" s="15" t="s">
        <v>398</v>
      </c>
      <c r="BO232" s="15"/>
      <c r="BP232" s="15"/>
      <c r="BQ232" s="15" t="s">
        <v>604</v>
      </c>
      <c r="BR232" s="15" t="s">
        <v>4462</v>
      </c>
      <c r="BS232" s="15" t="s">
        <v>4071</v>
      </c>
      <c r="BT232" s="15" t="s">
        <v>404</v>
      </c>
      <c r="BU232" s="15" t="s">
        <v>1831</v>
      </c>
      <c r="BV232" s="15"/>
      <c r="BW232" s="15" t="s">
        <v>406</v>
      </c>
      <c r="BX232" s="15" t="s">
        <v>407</v>
      </c>
      <c r="BY232" s="15" t="s">
        <v>408</v>
      </c>
      <c r="BZ232" s="15"/>
      <c r="CA232" s="15"/>
      <c r="CB232" s="15"/>
      <c r="CC232" s="15"/>
      <c r="CD232" s="15" t="s">
        <v>451</v>
      </c>
      <c r="CE232" s="15"/>
      <c r="CF232" s="15" t="s">
        <v>1258</v>
      </c>
      <c r="CG232" s="15"/>
      <c r="CH232" s="15" t="s">
        <v>2744</v>
      </c>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c r="DF232" s="15"/>
      <c r="DG232" s="15"/>
      <c r="DH232" s="15"/>
      <c r="DI232" s="15"/>
      <c r="DJ232" s="15"/>
      <c r="DK232" s="15"/>
      <c r="DL232" s="15"/>
      <c r="DM232" s="15"/>
      <c r="DN232" s="15"/>
      <c r="DO232" s="15"/>
      <c r="DP232" s="15"/>
      <c r="DQ232" s="15"/>
      <c r="DR232" s="15"/>
      <c r="DS232" s="15"/>
      <c r="DT232" s="15"/>
      <c r="DU232" s="15"/>
      <c r="DV232" s="15"/>
      <c r="DW232" s="15"/>
      <c r="DX232" s="15"/>
      <c r="DY232" s="15"/>
      <c r="DZ232" s="15"/>
      <c r="EA232" s="15"/>
      <c r="EB232" s="15"/>
      <c r="EC232" s="15"/>
      <c r="ED232" s="15"/>
      <c r="EE232" s="15"/>
      <c r="EF232" s="15"/>
      <c r="EG232" s="15"/>
      <c r="EH232" s="15"/>
      <c r="EI232" s="15"/>
      <c r="EJ232" s="15"/>
      <c r="EK232" s="15"/>
      <c r="EL232" s="15"/>
      <c r="EM232" s="15"/>
      <c r="EN232" s="15"/>
      <c r="EO232" s="15"/>
      <c r="EP232" s="15"/>
      <c r="EQ232" s="15"/>
      <c r="ER232" s="15"/>
      <c r="ES232" s="15"/>
      <c r="ET232" s="15" t="s">
        <v>478</v>
      </c>
      <c r="EU232" s="15" t="s">
        <v>579</v>
      </c>
      <c r="EV232" s="15" t="s">
        <v>480</v>
      </c>
      <c r="EW232" s="15"/>
      <c r="EX232" s="15"/>
      <c r="EY232" s="15"/>
      <c r="EZ232" s="15" t="s">
        <v>583</v>
      </c>
      <c r="FA232" s="15" t="s">
        <v>583</v>
      </c>
      <c r="FB232" s="15" t="s">
        <v>413</v>
      </c>
      <c r="FC232" s="15" t="s">
        <v>583</v>
      </c>
      <c r="FD232" s="15" t="s">
        <v>414</v>
      </c>
      <c r="FE232" s="15" t="s">
        <v>583</v>
      </c>
      <c r="FF232" s="15" t="s">
        <v>583</v>
      </c>
      <c r="FG232" s="15" t="s">
        <v>583</v>
      </c>
      <c r="FH232" s="15" t="s">
        <v>413</v>
      </c>
      <c r="FI232" s="15" t="s">
        <v>416</v>
      </c>
      <c r="FJ232" s="15" t="s">
        <v>484</v>
      </c>
      <c r="FK232" s="15" t="s">
        <v>583</v>
      </c>
      <c r="FL232" s="15" t="s">
        <v>583</v>
      </c>
      <c r="FM232" s="15" t="s">
        <v>414</v>
      </c>
      <c r="FN232" s="15" t="s">
        <v>413</v>
      </c>
      <c r="FO232" s="15" t="s">
        <v>1537</v>
      </c>
      <c r="FP232" s="15" t="s">
        <v>2524</v>
      </c>
      <c r="FQ232" s="15" t="s">
        <v>712</v>
      </c>
      <c r="FR232" s="15"/>
      <c r="FS232" s="15" t="s">
        <v>1871</v>
      </c>
      <c r="FT232" s="15" t="s">
        <v>1476</v>
      </c>
      <c r="FU232" s="15" t="s">
        <v>1235</v>
      </c>
      <c r="FV232" s="15" t="s">
        <v>490</v>
      </c>
      <c r="FW232" s="15" t="s">
        <v>491</v>
      </c>
      <c r="FX232" s="15"/>
      <c r="FY232" s="15" t="s">
        <v>493</v>
      </c>
      <c r="FZ232" s="15" t="s">
        <v>4995</v>
      </c>
      <c r="GA232" s="15"/>
      <c r="GB232" s="15"/>
      <c r="GC232" s="15"/>
      <c r="GD232" s="15"/>
      <c r="GE232" s="15"/>
      <c r="GF232" s="15"/>
      <c r="GG232" s="15"/>
      <c r="GH232" s="15"/>
      <c r="GI232" s="15"/>
      <c r="GJ232" s="15" t="s">
        <v>755</v>
      </c>
      <c r="GK232" s="15" t="s">
        <v>755</v>
      </c>
      <c r="GL232" s="15" t="s">
        <v>817</v>
      </c>
      <c r="GM232" s="15"/>
      <c r="GN232" s="15"/>
      <c r="GO232" s="15"/>
      <c r="GP232" s="15"/>
      <c r="GQ232" s="15" t="s">
        <v>3208</v>
      </c>
      <c r="GR232" s="15" t="s">
        <v>4774</v>
      </c>
      <c r="GS232" s="15"/>
      <c r="GT232" s="15"/>
      <c r="GU232" s="15"/>
      <c r="GV232" s="15"/>
      <c r="GW232" s="15"/>
      <c r="GX232" s="15"/>
      <c r="GY232" s="15"/>
      <c r="GZ232" s="15"/>
      <c r="HA232" s="15"/>
      <c r="HB232" s="15"/>
      <c r="HC232" s="15"/>
      <c r="HD232" s="15"/>
      <c r="HE232" s="15"/>
      <c r="HF232" s="15"/>
      <c r="HG232" s="15"/>
      <c r="HH232" s="15"/>
      <c r="HI232" s="15"/>
      <c r="HJ232" s="15"/>
      <c r="HK232" s="15"/>
      <c r="HL232" s="15"/>
      <c r="HM232" s="15"/>
      <c r="HN232" s="15"/>
      <c r="HO232" s="15"/>
      <c r="HP232" s="31"/>
      <c r="MX232" s="29" t="s">
        <v>4996</v>
      </c>
      <c r="MY232" s="29" t="str">
        <f>IFERROR(__xludf.DUMMYFUNCTION("""COMPUTED_VALUE"""),"Portugal")</f>
        <v>Portugal</v>
      </c>
    </row>
    <row r="233" ht="16.5" customHeight="1">
      <c r="A233" s="30">
        <v>45852.678005532405</v>
      </c>
      <c r="B233" s="15" t="s">
        <v>368</v>
      </c>
      <c r="C233" s="15" t="s">
        <v>4996</v>
      </c>
      <c r="D233" s="15" t="s">
        <v>4996</v>
      </c>
      <c r="E233" s="15"/>
      <c r="F233" s="15"/>
      <c r="G233" s="15" t="s">
        <v>1269</v>
      </c>
      <c r="H233" s="15" t="s">
        <v>373</v>
      </c>
      <c r="I233" s="15" t="s">
        <v>374</v>
      </c>
      <c r="J233" s="15" t="s">
        <v>590</v>
      </c>
      <c r="K233" s="15" t="s">
        <v>376</v>
      </c>
      <c r="L233" s="15" t="s">
        <v>591</v>
      </c>
      <c r="M233" s="15" t="s">
        <v>1270</v>
      </c>
      <c r="N233" s="15" t="s">
        <v>426</v>
      </c>
      <c r="O233" s="15" t="s">
        <v>719</v>
      </c>
      <c r="P233" s="15" t="s">
        <v>381</v>
      </c>
      <c r="Q233" s="15" t="s">
        <v>382</v>
      </c>
      <c r="R233" s="15" t="s">
        <v>500</v>
      </c>
      <c r="S233" s="15" t="s">
        <v>384</v>
      </c>
      <c r="T233" s="15" t="s">
        <v>385</v>
      </c>
      <c r="U233" s="15"/>
      <c r="V233" s="15"/>
      <c r="W233" s="15" t="s">
        <v>3231</v>
      </c>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t="s">
        <v>1310</v>
      </c>
      <c r="AW233" s="15" t="s">
        <v>675</v>
      </c>
      <c r="AX233" s="15" t="s">
        <v>675</v>
      </c>
      <c r="AY233" s="15" t="s">
        <v>675</v>
      </c>
      <c r="AZ233" s="15" t="s">
        <v>675</v>
      </c>
      <c r="BA233" s="15" t="s">
        <v>675</v>
      </c>
      <c r="BB233" s="15" t="s">
        <v>675</v>
      </c>
      <c r="BC233" s="15" t="s">
        <v>4997</v>
      </c>
      <c r="BD233" s="15" t="s">
        <v>4998</v>
      </c>
      <c r="BE233" s="15" t="s">
        <v>902</v>
      </c>
      <c r="BF233" s="15" t="s">
        <v>1245</v>
      </c>
      <c r="BG233" s="15" t="s">
        <v>725</v>
      </c>
      <c r="BH233" s="15" t="s">
        <v>4999</v>
      </c>
      <c r="BI233" s="15" t="s">
        <v>824</v>
      </c>
      <c r="BJ233" s="15"/>
      <c r="BK233" s="15" t="s">
        <v>602</v>
      </c>
      <c r="BL233" s="15" t="s">
        <v>603</v>
      </c>
      <c r="BM233" s="15" t="s">
        <v>1247</v>
      </c>
      <c r="BN233" s="15" t="s">
        <v>398</v>
      </c>
      <c r="BO233" s="15" t="s">
        <v>5000</v>
      </c>
      <c r="BP233" s="15" t="s">
        <v>5001</v>
      </c>
      <c r="BQ233" s="15" t="s">
        <v>401</v>
      </c>
      <c r="BR233" s="15" t="s">
        <v>5002</v>
      </c>
      <c r="BS233" s="15" t="s">
        <v>1692</v>
      </c>
      <c r="BT233" s="15" t="s">
        <v>4072</v>
      </c>
      <c r="BU233" s="15" t="s">
        <v>405</v>
      </c>
      <c r="BV233" s="15"/>
      <c r="BW233" s="15" t="s">
        <v>988</v>
      </c>
      <c r="BX233" s="15"/>
      <c r="BY233" s="15" t="s">
        <v>408</v>
      </c>
      <c r="BZ233" s="15"/>
      <c r="CA233" s="15" t="s">
        <v>5003</v>
      </c>
      <c r="CB233" s="15" t="s">
        <v>5004</v>
      </c>
      <c r="CC233" s="15" t="s">
        <v>5005</v>
      </c>
      <c r="CD233" s="15" t="s">
        <v>409</v>
      </c>
      <c r="CE233" s="15" t="s">
        <v>5006</v>
      </c>
      <c r="CF233" s="15" t="s">
        <v>1749</v>
      </c>
      <c r="CG233" s="15" t="s">
        <v>5007</v>
      </c>
      <c r="CH233" s="15" t="s">
        <v>1259</v>
      </c>
      <c r="CI233" s="15" t="s">
        <v>410</v>
      </c>
      <c r="CJ233" s="15" t="s">
        <v>5008</v>
      </c>
      <c r="CK233" s="15" t="s">
        <v>5009</v>
      </c>
      <c r="CL233" s="15"/>
      <c r="CM233" s="15"/>
      <c r="CN233" s="15"/>
      <c r="CO233" s="15"/>
      <c r="CP233" s="15"/>
      <c r="CQ233" s="15"/>
      <c r="CR233" s="15"/>
      <c r="CS233" s="15"/>
      <c r="CT233" s="15"/>
      <c r="CU233" s="15"/>
      <c r="CV233" s="15"/>
      <c r="CW233" s="15"/>
      <c r="CX233" s="15"/>
      <c r="CY233" s="15"/>
      <c r="CZ233" s="15"/>
      <c r="DA233" s="15"/>
      <c r="DB233" s="15"/>
      <c r="DC233" s="15"/>
      <c r="DD233" s="15"/>
      <c r="DE233" s="15"/>
      <c r="DF233" s="15"/>
      <c r="DG233" s="15"/>
      <c r="DH233" s="15"/>
      <c r="DI233" s="15"/>
      <c r="DJ233" s="15"/>
      <c r="DK233" s="15"/>
      <c r="DL233" s="15"/>
      <c r="DM233" s="15"/>
      <c r="DN233" s="15"/>
      <c r="DO233" s="15"/>
      <c r="DP233" s="15"/>
      <c r="DQ233" s="15"/>
      <c r="DR233" s="15"/>
      <c r="DS233" s="15"/>
      <c r="DT233" s="15"/>
      <c r="DU233" s="15"/>
      <c r="DV233" s="15"/>
      <c r="DW233" s="15"/>
      <c r="DX233" s="15"/>
      <c r="DY233" s="15"/>
      <c r="DZ233" s="15"/>
      <c r="EA233" s="15"/>
      <c r="EB233" s="15"/>
      <c r="EC233" s="15"/>
      <c r="ED233" s="15"/>
      <c r="EE233" s="15"/>
      <c r="EF233" s="15"/>
      <c r="EG233" s="15"/>
      <c r="EH233" s="15"/>
      <c r="EI233" s="15"/>
      <c r="EJ233" s="15"/>
      <c r="EK233" s="15"/>
      <c r="EL233" s="15"/>
      <c r="EM233" s="15"/>
      <c r="EN233" s="15"/>
      <c r="EO233" s="15"/>
      <c r="EP233" s="15"/>
      <c r="EQ233" s="15"/>
      <c r="ER233" s="15"/>
      <c r="ES233" s="15"/>
      <c r="ET233" s="15" t="s">
        <v>526</v>
      </c>
      <c r="EU233" s="15" t="s">
        <v>1127</v>
      </c>
      <c r="EV233" s="15" t="s">
        <v>480</v>
      </c>
      <c r="EW233" s="15"/>
      <c r="EX233" s="15" t="s">
        <v>5010</v>
      </c>
      <c r="EY233" s="15" t="s">
        <v>5011</v>
      </c>
      <c r="EZ233" s="15" t="s">
        <v>583</v>
      </c>
      <c r="FA233" s="15" t="s">
        <v>583</v>
      </c>
      <c r="FB233" s="15" t="s">
        <v>414</v>
      </c>
      <c r="FC233" s="15" t="s">
        <v>414</v>
      </c>
      <c r="FD233" s="15" t="s">
        <v>415</v>
      </c>
      <c r="FE233" s="15" t="s">
        <v>583</v>
      </c>
      <c r="FF233" s="15" t="s">
        <v>583</v>
      </c>
      <c r="FG233" s="15" t="s">
        <v>415</v>
      </c>
      <c r="FH233" s="15" t="s">
        <v>415</v>
      </c>
      <c r="FI233" s="15" t="s">
        <v>415</v>
      </c>
      <c r="FJ233" s="15" t="s">
        <v>415</v>
      </c>
      <c r="FK233" s="15" t="s">
        <v>415</v>
      </c>
      <c r="FL233" s="15" t="s">
        <v>415</v>
      </c>
      <c r="FM233" s="15" t="s">
        <v>413</v>
      </c>
      <c r="FN233" s="15" t="s">
        <v>583</v>
      </c>
      <c r="FO233" s="15" t="s">
        <v>485</v>
      </c>
      <c r="FP233" s="15" t="s">
        <v>418</v>
      </c>
      <c r="FQ233" s="15" t="s">
        <v>749</v>
      </c>
      <c r="FR233" s="15" t="s">
        <v>5012</v>
      </c>
      <c r="FS233" s="15" t="s">
        <v>420</v>
      </c>
      <c r="FT233" s="15" t="s">
        <v>488</v>
      </c>
      <c r="FU233" s="15" t="s">
        <v>585</v>
      </c>
      <c r="FV233" s="15" t="s">
        <v>490</v>
      </c>
      <c r="FW233" s="15" t="s">
        <v>491</v>
      </c>
      <c r="FX233" s="15" t="s">
        <v>5013</v>
      </c>
      <c r="FY233" s="15" t="s">
        <v>535</v>
      </c>
      <c r="FZ233" s="15"/>
      <c r="GA233" s="15"/>
      <c r="GB233" s="15" t="s">
        <v>408</v>
      </c>
      <c r="GC233" s="15"/>
      <c r="GD233" s="15"/>
      <c r="GE233" s="15"/>
      <c r="GF233" s="15"/>
      <c r="GG233" s="15"/>
      <c r="GH233" s="15"/>
      <c r="GI233" s="15"/>
      <c r="GJ233" s="15" t="s">
        <v>755</v>
      </c>
      <c r="GK233" s="15" t="s">
        <v>755</v>
      </c>
      <c r="GL233" s="15" t="s">
        <v>946</v>
      </c>
      <c r="GM233" s="15"/>
      <c r="GN233" s="15" t="s">
        <v>4996</v>
      </c>
      <c r="GO233" s="15" t="s">
        <v>4996</v>
      </c>
      <c r="GP233" s="15" t="s">
        <v>5014</v>
      </c>
      <c r="GQ233" s="15" t="s">
        <v>5015</v>
      </c>
      <c r="GR233" s="15" t="s">
        <v>4774</v>
      </c>
      <c r="GS233" s="15"/>
      <c r="GT233" s="15"/>
      <c r="GU233" s="15"/>
      <c r="GV233" s="15"/>
      <c r="GW233" s="15"/>
      <c r="GX233" s="15"/>
      <c r="GY233" s="15"/>
      <c r="GZ233" s="15"/>
      <c r="HA233" s="15"/>
      <c r="HB233" s="15"/>
      <c r="HC233" s="15"/>
      <c r="HD233" s="15"/>
      <c r="HE233" s="15"/>
      <c r="HF233" s="15"/>
      <c r="HG233" s="15"/>
      <c r="HH233" s="15"/>
      <c r="HI233" s="15"/>
      <c r="HJ233" s="15"/>
      <c r="HK233" s="15"/>
      <c r="HL233" s="15"/>
      <c r="HM233" s="15"/>
      <c r="HN233" s="15"/>
      <c r="HO233" s="15"/>
      <c r="HP233" s="31"/>
      <c r="MX233" s="29" t="s">
        <v>5016</v>
      </c>
      <c r="MY233" s="29" t="str">
        <f>IFERROR(__xludf.DUMMYFUNCTION("""COMPUTED_VALUE"""),"El Salvador")</f>
        <v>El Salvador</v>
      </c>
    </row>
    <row r="234" ht="16.5" customHeight="1">
      <c r="A234" s="30">
        <v>45852.8915808912</v>
      </c>
      <c r="B234" s="15" t="s">
        <v>368</v>
      </c>
      <c r="C234" s="15" t="s">
        <v>5016</v>
      </c>
      <c r="D234" s="15" t="s">
        <v>370</v>
      </c>
      <c r="E234" s="15"/>
      <c r="F234" s="15" t="s">
        <v>2359</v>
      </c>
      <c r="G234" s="15" t="s">
        <v>372</v>
      </c>
      <c r="H234" s="15" t="s">
        <v>496</v>
      </c>
      <c r="I234" s="15" t="s">
        <v>424</v>
      </c>
      <c r="J234" s="15" t="s">
        <v>425</v>
      </c>
      <c r="K234" s="15" t="s">
        <v>376</v>
      </c>
      <c r="L234" s="15" t="s">
        <v>426</v>
      </c>
      <c r="M234" s="15" t="s">
        <v>720</v>
      </c>
      <c r="N234" s="15" t="s">
        <v>379</v>
      </c>
      <c r="O234" s="15" t="s">
        <v>5017</v>
      </c>
      <c r="P234" s="15" t="s">
        <v>381</v>
      </c>
      <c r="Q234" s="15" t="s">
        <v>382</v>
      </c>
      <c r="R234" s="15" t="s">
        <v>949</v>
      </c>
      <c r="S234" s="15" t="s">
        <v>384</v>
      </c>
      <c r="T234" s="15" t="s">
        <v>385</v>
      </c>
      <c r="U234" s="15"/>
      <c r="V234" s="15"/>
      <c r="W234" s="15" t="s">
        <v>3231</v>
      </c>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t="s">
        <v>1242</v>
      </c>
      <c r="AW234" s="15" t="s">
        <v>675</v>
      </c>
      <c r="AX234" s="15">
        <v>4.0</v>
      </c>
      <c r="AY234" s="15">
        <v>4.0</v>
      </c>
      <c r="AZ234" s="15" t="s">
        <v>675</v>
      </c>
      <c r="BA234" s="15" t="s">
        <v>675</v>
      </c>
      <c r="BB234" s="15" t="s">
        <v>675</v>
      </c>
      <c r="BC234" s="15" t="s">
        <v>5018</v>
      </c>
      <c r="BD234" s="15" t="s">
        <v>5019</v>
      </c>
      <c r="BE234" s="15" t="s">
        <v>432</v>
      </c>
      <c r="BF234" s="15" t="s">
        <v>1245</v>
      </c>
      <c r="BG234" s="15" t="s">
        <v>434</v>
      </c>
      <c r="BH234" s="15"/>
      <c r="BI234" s="15" t="s">
        <v>435</v>
      </c>
      <c r="BJ234" s="15" t="s">
        <v>5020</v>
      </c>
      <c r="BK234" s="15" t="s">
        <v>681</v>
      </c>
      <c r="BL234" s="15" t="s">
        <v>904</v>
      </c>
      <c r="BM234" s="15" t="s">
        <v>1247</v>
      </c>
      <c r="BN234" s="15" t="s">
        <v>398</v>
      </c>
      <c r="BO234" s="15" t="s">
        <v>5021</v>
      </c>
      <c r="BP234" s="15" t="s">
        <v>5022</v>
      </c>
      <c r="BQ234" s="15" t="s">
        <v>604</v>
      </c>
      <c r="BR234" s="15" t="s">
        <v>4781</v>
      </c>
      <c r="BS234" s="15" t="s">
        <v>1251</v>
      </c>
      <c r="BT234" s="15" t="s">
        <v>4072</v>
      </c>
      <c r="BU234" s="15" t="s">
        <v>405</v>
      </c>
      <c r="BV234" s="15" t="s">
        <v>5023</v>
      </c>
      <c r="BW234" s="15" t="s">
        <v>406</v>
      </c>
      <c r="BX234" s="15" t="s">
        <v>407</v>
      </c>
      <c r="BY234" s="15" t="s">
        <v>455</v>
      </c>
      <c r="BZ234" s="15" t="s">
        <v>5024</v>
      </c>
      <c r="CA234" s="15" t="s">
        <v>5025</v>
      </c>
      <c r="CB234" s="15" t="s">
        <v>5026</v>
      </c>
      <c r="CC234" s="15" t="s">
        <v>5027</v>
      </c>
      <c r="CD234" s="15" t="s">
        <v>409</v>
      </c>
      <c r="CE234" s="15" t="s">
        <v>5028</v>
      </c>
      <c r="CF234" s="15" t="s">
        <v>1722</v>
      </c>
      <c r="CG234" s="15" t="s">
        <v>5029</v>
      </c>
      <c r="CH234" s="15" t="s">
        <v>1698</v>
      </c>
      <c r="CI234" s="15" t="s">
        <v>833</v>
      </c>
      <c r="CJ234" s="15" t="s">
        <v>5030</v>
      </c>
      <c r="CK234" s="15" t="s">
        <v>5031</v>
      </c>
      <c r="CL234" s="15"/>
      <c r="CM234" s="15"/>
      <c r="CN234" s="15"/>
      <c r="CO234" s="15"/>
      <c r="CP234" s="15"/>
      <c r="CQ234" s="15"/>
      <c r="CR234" s="15"/>
      <c r="CS234" s="15"/>
      <c r="CT234" s="15"/>
      <c r="CU234" s="15"/>
      <c r="CV234" s="15"/>
      <c r="CW234" s="15"/>
      <c r="CX234" s="15"/>
      <c r="CY234" s="15"/>
      <c r="CZ234" s="15"/>
      <c r="DA234" s="15"/>
      <c r="DB234" s="15"/>
      <c r="DC234" s="15"/>
      <c r="DD234" s="15"/>
      <c r="DE234" s="15"/>
      <c r="DF234" s="15"/>
      <c r="DG234" s="15"/>
      <c r="DH234" s="15"/>
      <c r="DI234" s="15"/>
      <c r="DJ234" s="15"/>
      <c r="DK234" s="15"/>
      <c r="DL234" s="15"/>
      <c r="DM234" s="15"/>
      <c r="DN234" s="15"/>
      <c r="DO234" s="15"/>
      <c r="DP234" s="15"/>
      <c r="DQ234" s="15"/>
      <c r="DR234" s="15"/>
      <c r="DS234" s="15"/>
      <c r="DT234" s="15"/>
      <c r="DU234" s="15"/>
      <c r="DV234" s="15"/>
      <c r="DW234" s="15"/>
      <c r="DX234" s="15"/>
      <c r="DY234" s="15"/>
      <c r="DZ234" s="15"/>
      <c r="EA234" s="15"/>
      <c r="EB234" s="15"/>
      <c r="EC234" s="15"/>
      <c r="ED234" s="15"/>
      <c r="EE234" s="15"/>
      <c r="EF234" s="15"/>
      <c r="EG234" s="15"/>
      <c r="EH234" s="15"/>
      <c r="EI234" s="15"/>
      <c r="EJ234" s="15"/>
      <c r="EK234" s="15"/>
      <c r="EL234" s="15"/>
      <c r="EM234" s="15"/>
      <c r="EN234" s="15"/>
      <c r="EO234" s="15"/>
      <c r="EP234" s="15"/>
      <c r="EQ234" s="15"/>
      <c r="ER234" s="15"/>
      <c r="ES234" s="15"/>
      <c r="ET234" s="15" t="s">
        <v>578</v>
      </c>
      <c r="EU234" s="15" t="s">
        <v>579</v>
      </c>
      <c r="EV234" s="15" t="s">
        <v>663</v>
      </c>
      <c r="EW234" s="15" t="s">
        <v>5032</v>
      </c>
      <c r="EX234" s="15" t="s">
        <v>5033</v>
      </c>
      <c r="EY234" s="15" t="s">
        <v>5034</v>
      </c>
      <c r="EZ234" s="15" t="s">
        <v>414</v>
      </c>
      <c r="FA234" s="15" t="s">
        <v>414</v>
      </c>
      <c r="FB234" s="15" t="s">
        <v>414</v>
      </c>
      <c r="FC234" s="15" t="s">
        <v>414</v>
      </c>
      <c r="FD234" s="15" t="s">
        <v>415</v>
      </c>
      <c r="FE234" s="15" t="s">
        <v>414</v>
      </c>
      <c r="FF234" s="15" t="s">
        <v>583</v>
      </c>
      <c r="FG234" s="15" t="s">
        <v>415</v>
      </c>
      <c r="FH234" s="15" t="s">
        <v>583</v>
      </c>
      <c r="FI234" s="15" t="s">
        <v>416</v>
      </c>
      <c r="FJ234" s="15" t="s">
        <v>415</v>
      </c>
      <c r="FK234" s="15" t="s">
        <v>416</v>
      </c>
      <c r="FL234" s="15" t="s">
        <v>414</v>
      </c>
      <c r="FM234" s="15" t="s">
        <v>416</v>
      </c>
      <c r="FN234" s="15" t="s">
        <v>583</v>
      </c>
      <c r="FO234" s="15" t="s">
        <v>485</v>
      </c>
      <c r="FP234" s="15" t="s">
        <v>418</v>
      </c>
      <c r="FQ234" s="15" t="s">
        <v>419</v>
      </c>
      <c r="FR234" s="15" t="s">
        <v>5035</v>
      </c>
      <c r="FS234" s="15" t="s">
        <v>420</v>
      </c>
      <c r="FT234" s="15" t="s">
        <v>1462</v>
      </c>
      <c r="FU234" s="15" t="s">
        <v>489</v>
      </c>
      <c r="FV234" s="15" t="s">
        <v>490</v>
      </c>
      <c r="FW234" s="15" t="s">
        <v>491</v>
      </c>
      <c r="FX234" s="15" t="s">
        <v>5036</v>
      </c>
      <c r="FY234" s="15" t="s">
        <v>535</v>
      </c>
      <c r="FZ234" s="15" t="s">
        <v>5037</v>
      </c>
      <c r="GA234" s="15"/>
      <c r="GB234" s="15" t="s">
        <v>455</v>
      </c>
      <c r="GC234" s="15"/>
      <c r="GD234" s="15" t="s">
        <v>5038</v>
      </c>
      <c r="GE234" s="15" t="s">
        <v>855</v>
      </c>
      <c r="GF234" s="15"/>
      <c r="GG234" s="15"/>
      <c r="GH234" s="15"/>
      <c r="GI234" s="15"/>
      <c r="GJ234" s="15" t="s">
        <v>920</v>
      </c>
      <c r="GK234" s="15" t="s">
        <v>920</v>
      </c>
      <c r="GL234" s="15" t="s">
        <v>817</v>
      </c>
      <c r="GM234" s="15"/>
      <c r="GN234" s="15"/>
      <c r="GO234" s="15"/>
      <c r="GP234" s="15" t="s">
        <v>387</v>
      </c>
      <c r="GQ234" s="15" t="s">
        <v>5015</v>
      </c>
      <c r="GR234" s="15" t="s">
        <v>5039</v>
      </c>
      <c r="GS234" s="15" t="s">
        <v>5040</v>
      </c>
      <c r="GT234" s="15"/>
      <c r="GU234" s="15"/>
      <c r="GV234" s="15"/>
      <c r="GW234" s="15"/>
      <c r="GX234" s="15"/>
      <c r="GY234" s="15"/>
      <c r="GZ234" s="15"/>
      <c r="HA234" s="15"/>
      <c r="HB234" s="15"/>
      <c r="HC234" s="15"/>
      <c r="HD234" s="15"/>
      <c r="HE234" s="15"/>
      <c r="HF234" s="15"/>
      <c r="HG234" s="15"/>
      <c r="HH234" s="15"/>
      <c r="HI234" s="15"/>
      <c r="HJ234" s="15"/>
      <c r="HK234" s="15"/>
      <c r="HL234" s="15"/>
      <c r="HM234" s="15"/>
      <c r="HN234" s="15"/>
      <c r="HO234" s="15"/>
      <c r="HP234" s="31"/>
      <c r="MX234" s="29" t="s">
        <v>10402</v>
      </c>
      <c r="MY234" s="29" t="str">
        <f>IFERROR(__xludf.DUMMYFUNCTION("""COMPUTED_VALUE"""),"Missouri")</f>
        <v>Missouri</v>
      </c>
    </row>
    <row r="235" ht="16.5" customHeight="1">
      <c r="A235" s="30">
        <v>45853.37019545139</v>
      </c>
      <c r="B235" s="15" t="s">
        <v>368</v>
      </c>
      <c r="C235" s="15" t="s">
        <v>370</v>
      </c>
      <c r="D235" s="15" t="s">
        <v>370</v>
      </c>
      <c r="E235" s="15" t="s">
        <v>922</v>
      </c>
      <c r="F235" s="15" t="s">
        <v>1441</v>
      </c>
      <c r="G235" s="15" t="s">
        <v>1093</v>
      </c>
      <c r="H235" s="15" t="s">
        <v>539</v>
      </c>
      <c r="I235" s="15" t="s">
        <v>2578</v>
      </c>
      <c r="J235" s="15" t="s">
        <v>540</v>
      </c>
      <c r="K235" s="15" t="s">
        <v>376</v>
      </c>
      <c r="L235" s="15"/>
      <c r="M235" s="15" t="s">
        <v>378</v>
      </c>
      <c r="N235" s="15"/>
      <c r="O235" s="15" t="s">
        <v>720</v>
      </c>
      <c r="P235" s="15" t="s">
        <v>592</v>
      </c>
      <c r="Q235" s="15" t="s">
        <v>862</v>
      </c>
      <c r="R235" s="15" t="s">
        <v>427</v>
      </c>
      <c r="S235" s="15" t="s">
        <v>384</v>
      </c>
      <c r="T235" s="15" t="s">
        <v>385</v>
      </c>
      <c r="U235" s="15"/>
      <c r="V235" s="15"/>
      <c r="W235" s="15" t="s">
        <v>3231</v>
      </c>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t="s">
        <v>1310</v>
      </c>
      <c r="AW235" s="15" t="s">
        <v>675</v>
      </c>
      <c r="AX235" s="15" t="s">
        <v>675</v>
      </c>
      <c r="AY235" s="15" t="s">
        <v>675</v>
      </c>
      <c r="AZ235" s="15" t="s">
        <v>675</v>
      </c>
      <c r="BA235" s="15" t="s">
        <v>675</v>
      </c>
      <c r="BB235" s="15" t="s">
        <v>675</v>
      </c>
      <c r="BC235" s="15" t="s">
        <v>5041</v>
      </c>
      <c r="BD235" s="15" t="s">
        <v>5042</v>
      </c>
      <c r="BE235" s="15" t="s">
        <v>902</v>
      </c>
      <c r="BF235" s="15" t="s">
        <v>393</v>
      </c>
      <c r="BG235" s="15" t="s">
        <v>394</v>
      </c>
      <c r="BH235" s="15" t="s">
        <v>5043</v>
      </c>
      <c r="BI235" s="15" t="s">
        <v>435</v>
      </c>
      <c r="BJ235" s="15" t="s">
        <v>5044</v>
      </c>
      <c r="BK235" s="15" t="s">
        <v>681</v>
      </c>
      <c r="BL235" s="15" t="s">
        <v>603</v>
      </c>
      <c r="BM235" s="15" t="s">
        <v>1314</v>
      </c>
      <c r="BN235" s="15" t="s">
        <v>398</v>
      </c>
      <c r="BO235" s="15" t="s">
        <v>5045</v>
      </c>
      <c r="BP235" s="15" t="s">
        <v>5046</v>
      </c>
      <c r="BQ235" s="15" t="s">
        <v>442</v>
      </c>
      <c r="BR235" s="15" t="s">
        <v>5047</v>
      </c>
      <c r="BS235" s="15" t="s">
        <v>1692</v>
      </c>
      <c r="BT235" s="15" t="s">
        <v>4368</v>
      </c>
      <c r="BU235" s="15" t="s">
        <v>405</v>
      </c>
      <c r="BV235" s="15" t="s">
        <v>1211</v>
      </c>
      <c r="BW235" s="15" t="s">
        <v>406</v>
      </c>
      <c r="BX235" s="15" t="s">
        <v>2503</v>
      </c>
      <c r="BY235" s="15" t="s">
        <v>455</v>
      </c>
      <c r="BZ235" s="15" t="s">
        <v>5048</v>
      </c>
      <c r="CA235" s="15" t="s">
        <v>5049</v>
      </c>
      <c r="CB235" s="15" t="s">
        <v>5050</v>
      </c>
      <c r="CC235" s="15" t="s">
        <v>5051</v>
      </c>
      <c r="CD235" s="15" t="s">
        <v>451</v>
      </c>
      <c r="CE235" s="15" t="s">
        <v>5052</v>
      </c>
      <c r="CF235" s="15" t="s">
        <v>1697</v>
      </c>
      <c r="CG235" s="15" t="s">
        <v>5053</v>
      </c>
      <c r="CH235" s="15" t="s">
        <v>1259</v>
      </c>
      <c r="CI235" s="15" t="s">
        <v>410</v>
      </c>
      <c r="CJ235" s="15" t="s">
        <v>5054</v>
      </c>
      <c r="CK235" s="15" t="s">
        <v>5055</v>
      </c>
      <c r="CL235" s="15"/>
      <c r="CM235" s="15"/>
      <c r="CN235" s="15"/>
      <c r="CO235" s="15"/>
      <c r="CP235" s="15"/>
      <c r="CQ235" s="15"/>
      <c r="CR235" s="15"/>
      <c r="CS235" s="15"/>
      <c r="CT235" s="15"/>
      <c r="CU235" s="15"/>
      <c r="CV235" s="15"/>
      <c r="CW235" s="15"/>
      <c r="CX235" s="15"/>
      <c r="CY235" s="15"/>
      <c r="CZ235" s="15"/>
      <c r="DA235" s="15"/>
      <c r="DB235" s="15"/>
      <c r="DC235" s="15"/>
      <c r="DD235" s="15"/>
      <c r="DE235" s="15"/>
      <c r="DF235" s="15"/>
      <c r="DG235" s="15"/>
      <c r="DH235" s="15"/>
      <c r="DI235" s="15"/>
      <c r="DJ235" s="15"/>
      <c r="DK235" s="15"/>
      <c r="DL235" s="15"/>
      <c r="DM235" s="15"/>
      <c r="DN235" s="15"/>
      <c r="DO235" s="15"/>
      <c r="DP235" s="15"/>
      <c r="DQ235" s="15"/>
      <c r="DR235" s="15"/>
      <c r="DS235" s="15"/>
      <c r="DT235" s="15"/>
      <c r="DU235" s="15"/>
      <c r="DV235" s="15"/>
      <c r="DW235" s="15"/>
      <c r="DX235" s="15"/>
      <c r="DY235" s="15"/>
      <c r="DZ235" s="15"/>
      <c r="EA235" s="15"/>
      <c r="EB235" s="15"/>
      <c r="EC235" s="15"/>
      <c r="ED235" s="15"/>
      <c r="EE235" s="15"/>
      <c r="EF235" s="15"/>
      <c r="EG235" s="15"/>
      <c r="EH235" s="15"/>
      <c r="EI235" s="15"/>
      <c r="EJ235" s="15"/>
      <c r="EK235" s="15"/>
      <c r="EL235" s="15"/>
      <c r="EM235" s="15"/>
      <c r="EN235" s="15"/>
      <c r="EO235" s="15"/>
      <c r="EP235" s="15"/>
      <c r="EQ235" s="15"/>
      <c r="ER235" s="15"/>
      <c r="ES235" s="15"/>
      <c r="ET235" s="15" t="s">
        <v>578</v>
      </c>
      <c r="EU235" s="15" t="s">
        <v>1037</v>
      </c>
      <c r="EV235" s="15" t="s">
        <v>527</v>
      </c>
      <c r="EW235" s="15" t="s">
        <v>5056</v>
      </c>
      <c r="EX235" s="15" t="s">
        <v>5057</v>
      </c>
      <c r="EY235" s="15" t="s">
        <v>5058</v>
      </c>
      <c r="EZ235" s="15" t="s">
        <v>583</v>
      </c>
      <c r="FA235" s="15" t="s">
        <v>583</v>
      </c>
      <c r="FB235" s="15" t="s">
        <v>414</v>
      </c>
      <c r="FC235" s="15" t="s">
        <v>583</v>
      </c>
      <c r="FD235" s="15" t="s">
        <v>415</v>
      </c>
      <c r="FE235" s="15" t="s">
        <v>583</v>
      </c>
      <c r="FF235" s="15" t="s">
        <v>583</v>
      </c>
      <c r="FG235" s="15" t="s">
        <v>416</v>
      </c>
      <c r="FH235" s="15" t="s">
        <v>583</v>
      </c>
      <c r="FI235" s="15" t="s">
        <v>414</v>
      </c>
      <c r="FJ235" s="15" t="s">
        <v>414</v>
      </c>
      <c r="FK235" s="15" t="s">
        <v>416</v>
      </c>
      <c r="FL235" s="15" t="s">
        <v>583</v>
      </c>
      <c r="FM235" s="15" t="s">
        <v>413</v>
      </c>
      <c r="FN235" s="15" t="s">
        <v>583</v>
      </c>
      <c r="FO235" s="15" t="s">
        <v>417</v>
      </c>
      <c r="FP235" s="15" t="s">
        <v>418</v>
      </c>
      <c r="FQ235" s="15" t="s">
        <v>712</v>
      </c>
      <c r="FR235" s="15" t="s">
        <v>5059</v>
      </c>
      <c r="FS235" s="15" t="s">
        <v>995</v>
      </c>
      <c r="FT235" s="15" t="s">
        <v>488</v>
      </c>
      <c r="FU235" s="15" t="s">
        <v>489</v>
      </c>
      <c r="FV235" s="15" t="s">
        <v>490</v>
      </c>
      <c r="FW235" s="15" t="s">
        <v>491</v>
      </c>
      <c r="FX235" s="15" t="s">
        <v>5060</v>
      </c>
      <c r="FY235" s="15" t="s">
        <v>535</v>
      </c>
      <c r="FZ235" s="15" t="s">
        <v>5061</v>
      </c>
      <c r="GA235" s="15"/>
      <c r="GB235" s="15" t="s">
        <v>455</v>
      </c>
      <c r="GC235" s="15"/>
      <c r="GD235" s="15"/>
      <c r="GE235" s="15" t="s">
        <v>753</v>
      </c>
      <c r="GF235" s="15" t="s">
        <v>1211</v>
      </c>
      <c r="GG235" s="15"/>
      <c r="GH235" s="15"/>
      <c r="GI235" s="15"/>
      <c r="GJ235" s="15" t="s">
        <v>755</v>
      </c>
      <c r="GK235" s="15" t="s">
        <v>755</v>
      </c>
      <c r="GL235" s="15" t="s">
        <v>946</v>
      </c>
      <c r="GM235" s="15"/>
      <c r="GN235" s="15"/>
      <c r="GO235" s="15"/>
      <c r="GP235" s="15" t="s">
        <v>5062</v>
      </c>
      <c r="GQ235" s="15" t="s">
        <v>3208</v>
      </c>
      <c r="GR235" s="15" t="s">
        <v>4774</v>
      </c>
      <c r="GS235" s="15" t="s">
        <v>5063</v>
      </c>
      <c r="GT235" s="15"/>
      <c r="GU235" s="15"/>
      <c r="GV235" s="15"/>
      <c r="GW235" s="15"/>
      <c r="GX235" s="15"/>
      <c r="GY235" s="15"/>
      <c r="GZ235" s="15"/>
      <c r="HA235" s="15"/>
      <c r="HB235" s="15"/>
      <c r="HC235" s="15"/>
      <c r="HD235" s="15"/>
      <c r="HE235" s="15"/>
      <c r="HF235" s="15"/>
      <c r="HG235" s="15"/>
      <c r="HH235" s="15"/>
      <c r="HI235" s="15"/>
      <c r="HJ235" s="15"/>
      <c r="HK235" s="15"/>
      <c r="HL235" s="15"/>
      <c r="HM235" s="15"/>
      <c r="HN235" s="15"/>
      <c r="HO235" s="15"/>
      <c r="HP235" s="31"/>
      <c r="MX235" s="29" t="s">
        <v>10402</v>
      </c>
      <c r="MY235" s="29" t="str">
        <f>IFERROR(__xludf.DUMMYFUNCTION("""COMPUTED_VALUE"""),"Kansas")</f>
        <v>Kansas</v>
      </c>
    </row>
    <row r="236" ht="16.5" customHeight="1">
      <c r="A236" s="30">
        <v>45853.81523930556</v>
      </c>
      <c r="B236" s="15" t="s">
        <v>368</v>
      </c>
      <c r="C236" s="15" t="s">
        <v>370</v>
      </c>
      <c r="D236" s="15" t="s">
        <v>370</v>
      </c>
      <c r="E236" s="15" t="s">
        <v>5064</v>
      </c>
      <c r="F236" s="15" t="s">
        <v>1510</v>
      </c>
      <c r="G236" s="15" t="s">
        <v>422</v>
      </c>
      <c r="H236" s="15" t="s">
        <v>637</v>
      </c>
      <c r="I236" s="15" t="s">
        <v>638</v>
      </c>
      <c r="J236" s="15" t="s">
        <v>375</v>
      </c>
      <c r="K236" s="15" t="s">
        <v>376</v>
      </c>
      <c r="L236" s="15" t="s">
        <v>591</v>
      </c>
      <c r="M236" s="15" t="s">
        <v>1024</v>
      </c>
      <c r="N236" s="15" t="s">
        <v>591</v>
      </c>
      <c r="O236" s="15" t="s">
        <v>640</v>
      </c>
      <c r="P236" s="15" t="s">
        <v>592</v>
      </c>
      <c r="Q236" s="15" t="s">
        <v>499</v>
      </c>
      <c r="R236" s="15" t="s">
        <v>5065</v>
      </c>
      <c r="S236" s="15" t="s">
        <v>384</v>
      </c>
      <c r="T236" s="15" t="s">
        <v>385</v>
      </c>
      <c r="U236" s="15"/>
      <c r="V236" s="15"/>
      <c r="W236" s="15" t="s">
        <v>3014</v>
      </c>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t="s">
        <v>390</v>
      </c>
      <c r="AW236" s="15" t="s">
        <v>429</v>
      </c>
      <c r="AX236" s="15" t="s">
        <v>429</v>
      </c>
      <c r="AY236" s="15" t="s">
        <v>429</v>
      </c>
      <c r="AZ236" s="15" t="s">
        <v>429</v>
      </c>
      <c r="BA236" s="15" t="s">
        <v>429</v>
      </c>
      <c r="BB236" s="15" t="s">
        <v>429</v>
      </c>
      <c r="BC236" s="15" t="s">
        <v>5066</v>
      </c>
      <c r="BD236" s="15" t="s">
        <v>5067</v>
      </c>
      <c r="BE236" s="15" t="s">
        <v>392</v>
      </c>
      <c r="BF236" s="15" t="s">
        <v>433</v>
      </c>
      <c r="BG236" s="15" t="s">
        <v>434</v>
      </c>
      <c r="BH236" s="15" t="s">
        <v>5068</v>
      </c>
      <c r="BI236" s="15" t="s">
        <v>509</v>
      </c>
      <c r="BJ236" s="15" t="s">
        <v>5069</v>
      </c>
      <c r="BK236" s="15" t="s">
        <v>511</v>
      </c>
      <c r="BL236" s="15" t="s">
        <v>512</v>
      </c>
      <c r="BM236" s="15" t="s">
        <v>439</v>
      </c>
      <c r="BN236" s="15" t="s">
        <v>513</v>
      </c>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t="s">
        <v>441</v>
      </c>
      <c r="CM236" s="15" t="s">
        <v>682</v>
      </c>
      <c r="CN236" s="15" t="s">
        <v>552</v>
      </c>
      <c r="CO236" s="15" t="s">
        <v>5070</v>
      </c>
      <c r="CP236" s="15" t="s">
        <v>685</v>
      </c>
      <c r="CQ236" s="15" t="s">
        <v>5071</v>
      </c>
      <c r="CR236" s="15" t="s">
        <v>447</v>
      </c>
      <c r="CS236" s="15" t="s">
        <v>2368</v>
      </c>
      <c r="CT236" s="15" t="s">
        <v>5072</v>
      </c>
      <c r="CU236" s="15" t="s">
        <v>450</v>
      </c>
      <c r="CV236" s="15" t="s">
        <v>451</v>
      </c>
      <c r="CW236" s="15" t="s">
        <v>5073</v>
      </c>
      <c r="CX236" s="15" t="s">
        <v>733</v>
      </c>
      <c r="CY236" s="15"/>
      <c r="CZ236" s="15" t="s">
        <v>453</v>
      </c>
      <c r="DA236" s="15" t="s">
        <v>5074</v>
      </c>
      <c r="DB236" s="15" t="s">
        <v>455</v>
      </c>
      <c r="DC236" s="15" t="s">
        <v>5075</v>
      </c>
      <c r="DD236" s="15" t="s">
        <v>988</v>
      </c>
      <c r="DE236" s="15"/>
      <c r="DF236" s="15" t="s">
        <v>5076</v>
      </c>
      <c r="DG236" s="15" t="s">
        <v>776</v>
      </c>
      <c r="DH236" s="15" t="s">
        <v>833</v>
      </c>
      <c r="DI236" s="15" t="s">
        <v>459</v>
      </c>
      <c r="DJ236" s="15" t="s">
        <v>613</v>
      </c>
      <c r="DK236" s="15"/>
      <c r="DL236" s="15"/>
      <c r="DM236" s="15"/>
      <c r="DN236" s="15"/>
      <c r="DO236" s="15"/>
      <c r="DP236" s="15"/>
      <c r="DQ236" s="15"/>
      <c r="DR236" s="15"/>
      <c r="DS236" s="15"/>
      <c r="DT236" s="15"/>
      <c r="DU236" s="15"/>
      <c r="DV236" s="15"/>
      <c r="DW236" s="15"/>
      <c r="DX236" s="15"/>
      <c r="DY236" s="15"/>
      <c r="DZ236" s="15"/>
      <c r="EA236" s="15"/>
      <c r="EB236" s="15"/>
      <c r="EC236" s="15"/>
      <c r="ED236" s="15"/>
      <c r="EE236" s="15"/>
      <c r="EF236" s="15"/>
      <c r="EG236" s="15"/>
      <c r="EH236" s="15"/>
      <c r="EI236" s="15"/>
      <c r="EJ236" s="15"/>
      <c r="EK236" s="15"/>
      <c r="EL236" s="15"/>
      <c r="EM236" s="15"/>
      <c r="EN236" s="15"/>
      <c r="EO236" s="15"/>
      <c r="EP236" s="15"/>
      <c r="EQ236" s="15"/>
      <c r="ER236" s="15"/>
      <c r="ES236" s="15"/>
      <c r="ET236" s="15" t="s">
        <v>578</v>
      </c>
      <c r="EU236" s="15" t="s">
        <v>479</v>
      </c>
      <c r="EV236" s="15" t="s">
        <v>1262</v>
      </c>
      <c r="EW236" s="15" t="s">
        <v>5077</v>
      </c>
      <c r="EX236" s="15" t="s">
        <v>4872</v>
      </c>
      <c r="EY236" s="15" t="s">
        <v>5078</v>
      </c>
      <c r="EZ236" s="15" t="s">
        <v>583</v>
      </c>
      <c r="FA236" s="15" t="s">
        <v>583</v>
      </c>
      <c r="FB236" s="15" t="s">
        <v>583</v>
      </c>
      <c r="FC236" s="15" t="s">
        <v>583</v>
      </c>
      <c r="FD236" s="15" t="s">
        <v>583</v>
      </c>
      <c r="FE236" s="15" t="s">
        <v>583</v>
      </c>
      <c r="FF236" s="15" t="s">
        <v>583</v>
      </c>
      <c r="FG236" s="15" t="s">
        <v>413</v>
      </c>
      <c r="FH236" s="15" t="s">
        <v>583</v>
      </c>
      <c r="FI236" s="15" t="s">
        <v>583</v>
      </c>
      <c r="FJ236" s="15" t="s">
        <v>583</v>
      </c>
      <c r="FK236" s="15" t="s">
        <v>415</v>
      </c>
      <c r="FL236" s="15" t="s">
        <v>583</v>
      </c>
      <c r="FM236" s="15" t="s">
        <v>413</v>
      </c>
      <c r="FN236" s="15" t="s">
        <v>583</v>
      </c>
      <c r="FO236" s="15" t="s">
        <v>417</v>
      </c>
      <c r="FP236" s="15" t="s">
        <v>418</v>
      </c>
      <c r="FQ236" s="15" t="s">
        <v>712</v>
      </c>
      <c r="FR236" s="15" t="s">
        <v>5079</v>
      </c>
      <c r="FS236" s="15" t="s">
        <v>420</v>
      </c>
      <c r="FT236" s="15" t="s">
        <v>488</v>
      </c>
      <c r="FU236" s="15" t="s">
        <v>533</v>
      </c>
      <c r="FV236" s="15" t="s">
        <v>490</v>
      </c>
      <c r="FW236" s="15" t="s">
        <v>491</v>
      </c>
      <c r="FX236" s="15" t="s">
        <v>5080</v>
      </c>
      <c r="FY236" s="15" t="s">
        <v>535</v>
      </c>
      <c r="FZ236" s="15"/>
      <c r="GA236" s="15"/>
      <c r="GB236" s="15" t="s">
        <v>455</v>
      </c>
      <c r="GC236" s="15"/>
      <c r="GD236" s="15"/>
      <c r="GE236" s="15" t="s">
        <v>753</v>
      </c>
      <c r="GF236" s="15"/>
      <c r="GG236" s="15" t="s">
        <v>920</v>
      </c>
      <c r="GH236" s="15" t="s">
        <v>920</v>
      </c>
      <c r="GI236" s="15" t="s">
        <v>946</v>
      </c>
      <c r="GJ236" s="15"/>
      <c r="GK236" s="15"/>
      <c r="GL236" s="15"/>
      <c r="GM236" s="15"/>
      <c r="GN236" s="15"/>
      <c r="GO236" s="15"/>
      <c r="GP236" s="15"/>
      <c r="GQ236" s="15" t="s">
        <v>3208</v>
      </c>
      <c r="GR236" s="15"/>
      <c r="GS236" s="15"/>
      <c r="GT236" s="15" t="s">
        <v>5081</v>
      </c>
      <c r="GU236" s="15" t="s">
        <v>5082</v>
      </c>
      <c r="GV236" s="15"/>
      <c r="GW236" s="15"/>
      <c r="GX236" s="15"/>
      <c r="GY236" s="15"/>
      <c r="GZ236" s="15"/>
      <c r="HA236" s="15"/>
      <c r="HB236" s="15"/>
      <c r="HC236" s="15"/>
      <c r="HD236" s="15"/>
      <c r="HE236" s="15"/>
      <c r="HF236" s="15"/>
      <c r="HG236" s="15"/>
      <c r="HH236" s="15"/>
      <c r="HI236" s="15"/>
      <c r="HJ236" s="15"/>
      <c r="HK236" s="15"/>
      <c r="HL236" s="15"/>
      <c r="HM236" s="15"/>
      <c r="HN236" s="15"/>
      <c r="HO236" s="15"/>
      <c r="HP236" s="31"/>
      <c r="MX236" s="29" t="s">
        <v>10402</v>
      </c>
      <c r="MY236" s="29" t="str">
        <f>IFERROR(__xludf.DUMMYFUNCTION("""COMPUTED_VALUE"""),"Texas")</f>
        <v>Texas</v>
      </c>
    </row>
    <row r="237" ht="16.5" customHeight="1">
      <c r="A237" s="30">
        <v>45853.917537939815</v>
      </c>
      <c r="B237" s="15" t="s">
        <v>368</v>
      </c>
      <c r="C237" s="15" t="s">
        <v>370</v>
      </c>
      <c r="D237" s="15" t="s">
        <v>370</v>
      </c>
      <c r="E237" s="15" t="s">
        <v>1510</v>
      </c>
      <c r="F237" s="15" t="s">
        <v>1421</v>
      </c>
      <c r="G237" s="15" t="s">
        <v>5083</v>
      </c>
      <c r="H237" s="15" t="s">
        <v>373</v>
      </c>
      <c r="I237" s="15" t="s">
        <v>374</v>
      </c>
      <c r="J237" s="15" t="s">
        <v>375</v>
      </c>
      <c r="K237" s="15" t="s">
        <v>376</v>
      </c>
      <c r="L237" s="15" t="s">
        <v>793</v>
      </c>
      <c r="M237" s="15" t="s">
        <v>720</v>
      </c>
      <c r="N237" s="15" t="s">
        <v>793</v>
      </c>
      <c r="O237" s="15" t="s">
        <v>719</v>
      </c>
      <c r="P237" s="15" t="s">
        <v>592</v>
      </c>
      <c r="Q237" s="15" t="s">
        <v>499</v>
      </c>
      <c r="R237" s="15" t="s">
        <v>500</v>
      </c>
      <c r="S237" s="15" t="s">
        <v>384</v>
      </c>
      <c r="T237" s="15" t="s">
        <v>385</v>
      </c>
      <c r="U237" s="15"/>
      <c r="V237" s="15"/>
      <c r="W237" s="15" t="s">
        <v>386</v>
      </c>
      <c r="X237" s="15" t="s">
        <v>387</v>
      </c>
      <c r="Y237" s="15" t="s">
        <v>897</v>
      </c>
      <c r="Z237" s="15" t="s">
        <v>543</v>
      </c>
      <c r="AA237" s="15" t="s">
        <v>5084</v>
      </c>
      <c r="AB237" s="15" t="s">
        <v>5085</v>
      </c>
      <c r="AC237" s="15"/>
      <c r="AD237" s="15"/>
      <c r="AE237" s="15"/>
      <c r="AF237" s="15"/>
      <c r="AG237" s="15"/>
      <c r="AH237" s="15"/>
      <c r="AI237" s="15"/>
      <c r="AJ237" s="15"/>
      <c r="AK237" s="15"/>
      <c r="AL237" s="15"/>
      <c r="AM237" s="15"/>
      <c r="AN237" s="15"/>
      <c r="AO237" s="15"/>
      <c r="AP237" s="15"/>
      <c r="AQ237" s="15"/>
      <c r="AR237" s="15"/>
      <c r="AS237" s="15"/>
      <c r="AT237" s="15"/>
      <c r="AU237" s="15"/>
      <c r="AV237" s="15" t="s">
        <v>390</v>
      </c>
      <c r="AW237" s="15" t="s">
        <v>391</v>
      </c>
      <c r="AX237" s="15" t="s">
        <v>429</v>
      </c>
      <c r="AY237" s="15">
        <v>2.0</v>
      </c>
      <c r="AZ237" s="15" t="s">
        <v>429</v>
      </c>
      <c r="BA237" s="15" t="s">
        <v>391</v>
      </c>
      <c r="BB237" s="15" t="s">
        <v>391</v>
      </c>
      <c r="BC237" s="15" t="s">
        <v>5086</v>
      </c>
      <c r="BD237" s="15" t="s">
        <v>5087</v>
      </c>
      <c r="BE237" s="15" t="s">
        <v>392</v>
      </c>
      <c r="BF237" s="15" t="s">
        <v>433</v>
      </c>
      <c r="BG237" s="15" t="s">
        <v>394</v>
      </c>
      <c r="BH237" s="15" t="s">
        <v>5088</v>
      </c>
      <c r="BI237" s="15" t="s">
        <v>976</v>
      </c>
      <c r="BJ237" s="15" t="s">
        <v>1211</v>
      </c>
      <c r="BK237" s="15" t="s">
        <v>602</v>
      </c>
      <c r="BL237" s="15" t="s">
        <v>603</v>
      </c>
      <c r="BM237" s="15" t="s">
        <v>397</v>
      </c>
      <c r="BN237" s="15" t="s">
        <v>440</v>
      </c>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t="s">
        <v>441</v>
      </c>
      <c r="CM237" s="15" t="s">
        <v>551</v>
      </c>
      <c r="CN237" s="15" t="s">
        <v>5089</v>
      </c>
      <c r="CO237" s="15" t="s">
        <v>5090</v>
      </c>
      <c r="CP237" s="15" t="s">
        <v>445</v>
      </c>
      <c r="CQ237" s="15" t="s">
        <v>5091</v>
      </c>
      <c r="CR237" s="15" t="s">
        <v>404</v>
      </c>
      <c r="CS237" s="15" t="s">
        <v>5092</v>
      </c>
      <c r="CT237" s="15" t="s">
        <v>5093</v>
      </c>
      <c r="CU237" s="15" t="s">
        <v>450</v>
      </c>
      <c r="CV237" s="15" t="s">
        <v>451</v>
      </c>
      <c r="CW237" s="15" t="s">
        <v>5094</v>
      </c>
      <c r="CX237" s="15" t="s">
        <v>408</v>
      </c>
      <c r="CY237" s="15" t="s">
        <v>1211</v>
      </c>
      <c r="CZ237" s="15" t="s">
        <v>453</v>
      </c>
      <c r="DA237" s="15" t="s">
        <v>5095</v>
      </c>
      <c r="DB237" s="15" t="s">
        <v>455</v>
      </c>
      <c r="DC237" s="15" t="s">
        <v>5096</v>
      </c>
      <c r="DD237" s="15" t="s">
        <v>457</v>
      </c>
      <c r="DE237" s="15"/>
      <c r="DF237" s="15" t="s">
        <v>5097</v>
      </c>
      <c r="DG237" s="15" t="s">
        <v>561</v>
      </c>
      <c r="DH237" s="15" t="s">
        <v>410</v>
      </c>
      <c r="DI237" s="15" t="s">
        <v>459</v>
      </c>
      <c r="DJ237" s="15" t="s">
        <v>613</v>
      </c>
      <c r="DK237" s="15"/>
      <c r="DL237" s="15"/>
      <c r="DM237" s="15" t="s">
        <v>5098</v>
      </c>
      <c r="DN237" s="15" t="s">
        <v>5099</v>
      </c>
      <c r="DO237" s="15" t="s">
        <v>567</v>
      </c>
      <c r="DP237" s="15" t="s">
        <v>5100</v>
      </c>
      <c r="DQ237" s="15" t="s">
        <v>466</v>
      </c>
      <c r="DR237" s="15" t="s">
        <v>5101</v>
      </c>
      <c r="DS237" s="15" t="s">
        <v>702</v>
      </c>
      <c r="DT237" s="15" t="s">
        <v>469</v>
      </c>
      <c r="DU237" s="15" t="s">
        <v>5102</v>
      </c>
      <c r="DV237" s="15" t="s">
        <v>5103</v>
      </c>
      <c r="DW237" s="15" t="s">
        <v>573</v>
      </c>
      <c r="DX237" s="15" t="s">
        <v>5104</v>
      </c>
      <c r="DY237" s="15" t="s">
        <v>5105</v>
      </c>
      <c r="DZ237" s="15" t="s">
        <v>5106</v>
      </c>
      <c r="EA237" s="15" t="s">
        <v>475</v>
      </c>
      <c r="EB237" s="15" t="s">
        <v>626</v>
      </c>
      <c r="EC237" s="15" t="s">
        <v>5107</v>
      </c>
      <c r="ED237" s="15"/>
      <c r="EE237" s="15"/>
      <c r="EF237" s="15"/>
      <c r="EG237" s="15"/>
      <c r="EH237" s="15"/>
      <c r="EI237" s="15"/>
      <c r="EJ237" s="15"/>
      <c r="EK237" s="15"/>
      <c r="EL237" s="15"/>
      <c r="EM237" s="15"/>
      <c r="EN237" s="15"/>
      <c r="EO237" s="15"/>
      <c r="EP237" s="15"/>
      <c r="EQ237" s="15"/>
      <c r="ER237" s="15"/>
      <c r="ES237" s="15"/>
      <c r="ET237" s="15" t="s">
        <v>478</v>
      </c>
      <c r="EU237" s="15" t="s">
        <v>479</v>
      </c>
      <c r="EV237" s="15" t="s">
        <v>527</v>
      </c>
      <c r="EW237" s="15" t="s">
        <v>5108</v>
      </c>
      <c r="EX237" s="15" t="s">
        <v>5109</v>
      </c>
      <c r="EY237" s="15" t="s">
        <v>5110</v>
      </c>
      <c r="EZ237" s="15" t="s">
        <v>414</v>
      </c>
      <c r="FA237" s="15" t="s">
        <v>583</v>
      </c>
      <c r="FB237" s="15" t="s">
        <v>413</v>
      </c>
      <c r="FC237" s="15" t="s">
        <v>414</v>
      </c>
      <c r="FD237" s="15" t="s">
        <v>413</v>
      </c>
      <c r="FE237" s="15" t="s">
        <v>414</v>
      </c>
      <c r="FF237" s="15" t="s">
        <v>484</v>
      </c>
      <c r="FG237" s="15" t="s">
        <v>413</v>
      </c>
      <c r="FH237" s="15" t="s">
        <v>484</v>
      </c>
      <c r="FI237" s="15" t="s">
        <v>414</v>
      </c>
      <c r="FJ237" s="15" t="s">
        <v>415</v>
      </c>
      <c r="FK237" s="15" t="s">
        <v>484</v>
      </c>
      <c r="FL237" s="15" t="s">
        <v>484</v>
      </c>
      <c r="FM237" s="15" t="s">
        <v>413</v>
      </c>
      <c r="FN237" s="15" t="s">
        <v>484</v>
      </c>
      <c r="FO237" s="15" t="s">
        <v>417</v>
      </c>
      <c r="FP237" s="15" t="s">
        <v>418</v>
      </c>
      <c r="FQ237" s="15" t="s">
        <v>419</v>
      </c>
      <c r="FR237" s="15" t="s">
        <v>5111</v>
      </c>
      <c r="FS237" s="15" t="s">
        <v>420</v>
      </c>
      <c r="FT237" s="15" t="s">
        <v>488</v>
      </c>
      <c r="FU237" s="15" t="s">
        <v>918</v>
      </c>
      <c r="FV237" s="15" t="s">
        <v>490</v>
      </c>
      <c r="FW237" s="15" t="s">
        <v>491</v>
      </c>
      <c r="FX237" s="15" t="s">
        <v>5112</v>
      </c>
      <c r="FY237" s="15" t="s">
        <v>493</v>
      </c>
      <c r="FZ237" s="15" t="s">
        <v>5113</v>
      </c>
      <c r="GA237" s="15" t="s">
        <v>5114</v>
      </c>
      <c r="GB237" s="15" t="s">
        <v>455</v>
      </c>
      <c r="GC237" s="15"/>
      <c r="GD237" s="15"/>
      <c r="GE237" s="15" t="s">
        <v>1339</v>
      </c>
      <c r="GF237" s="15" t="s">
        <v>5115</v>
      </c>
      <c r="GG237" s="15" t="s">
        <v>755</v>
      </c>
      <c r="GH237" s="15" t="s">
        <v>755</v>
      </c>
      <c r="GI237" s="15" t="s">
        <v>946</v>
      </c>
      <c r="GJ237" s="15"/>
      <c r="GK237" s="15"/>
      <c r="GL237" s="15"/>
      <c r="GM237" s="15" t="s">
        <v>1079</v>
      </c>
      <c r="GN237" s="15"/>
      <c r="GO237" s="15"/>
      <c r="GP237" s="15"/>
      <c r="GQ237" s="15" t="s">
        <v>3937</v>
      </c>
      <c r="GR237" s="15"/>
      <c r="GS237" s="15"/>
      <c r="GT237" s="15" t="s">
        <v>4774</v>
      </c>
      <c r="GU237" s="15" t="s">
        <v>1211</v>
      </c>
      <c r="GV237" s="15"/>
      <c r="GW237" s="15"/>
      <c r="GX237" s="15"/>
      <c r="GY237" s="15"/>
      <c r="GZ237" s="15"/>
      <c r="HA237" s="15"/>
      <c r="HB237" s="15"/>
      <c r="HC237" s="15"/>
      <c r="HD237" s="15"/>
      <c r="HE237" s="15"/>
      <c r="HF237" s="15"/>
      <c r="HG237" s="15"/>
      <c r="HH237" s="15"/>
      <c r="HI237" s="15"/>
      <c r="HJ237" s="15"/>
      <c r="HK237" s="15"/>
      <c r="HL237" s="15"/>
      <c r="HM237" s="15"/>
      <c r="HN237" s="15"/>
      <c r="HO237" s="15"/>
      <c r="HP237" s="31"/>
      <c r="MX237" s="29" t="s">
        <v>10402</v>
      </c>
      <c r="MY237" s="29" t="str">
        <f>IFERROR(__xludf.DUMMYFUNCTION("""COMPUTED_VALUE"""),"Maryland")</f>
        <v>Maryland</v>
      </c>
    </row>
    <row r="238" ht="16.5" customHeight="1">
      <c r="A238" s="30">
        <v>45854.425925324074</v>
      </c>
      <c r="B238" s="15" t="s">
        <v>368</v>
      </c>
      <c r="C238" s="15" t="s">
        <v>370</v>
      </c>
      <c r="D238" s="15" t="s">
        <v>370</v>
      </c>
      <c r="E238" s="15" t="s">
        <v>859</v>
      </c>
      <c r="F238" s="15" t="s">
        <v>859</v>
      </c>
      <c r="G238" s="15" t="s">
        <v>1783</v>
      </c>
      <c r="H238" s="15" t="s">
        <v>373</v>
      </c>
      <c r="I238" s="15" t="s">
        <v>638</v>
      </c>
      <c r="J238" s="15" t="s">
        <v>590</v>
      </c>
      <c r="K238" s="15" t="s">
        <v>376</v>
      </c>
      <c r="L238" s="15" t="s">
        <v>591</v>
      </c>
      <c r="M238" s="15" t="s">
        <v>5116</v>
      </c>
      <c r="N238" s="15" t="s">
        <v>591</v>
      </c>
      <c r="O238" s="15" t="s">
        <v>671</v>
      </c>
      <c r="P238" s="15" t="s">
        <v>498</v>
      </c>
      <c r="Q238" s="15" t="s">
        <v>862</v>
      </c>
      <c r="R238" s="15" t="s">
        <v>500</v>
      </c>
      <c r="S238" s="15" t="s">
        <v>384</v>
      </c>
      <c r="T238" s="15" t="s">
        <v>385</v>
      </c>
      <c r="U238" s="15"/>
      <c r="V238" s="15"/>
      <c r="W238" s="15" t="s">
        <v>3014</v>
      </c>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t="s">
        <v>504</v>
      </c>
      <c r="AW238" s="15" t="s">
        <v>675</v>
      </c>
      <c r="AX238" s="15" t="s">
        <v>675</v>
      </c>
      <c r="AY238" s="15">
        <v>4.0</v>
      </c>
      <c r="AZ238" s="15">
        <v>4.0</v>
      </c>
      <c r="BA238" s="15" t="s">
        <v>391</v>
      </c>
      <c r="BB238" s="15" t="s">
        <v>429</v>
      </c>
      <c r="BC238" s="15" t="s">
        <v>5117</v>
      </c>
      <c r="BD238" s="15" t="s">
        <v>5118</v>
      </c>
      <c r="BE238" s="15" t="s">
        <v>2379</v>
      </c>
      <c r="BF238" s="15" t="s">
        <v>433</v>
      </c>
      <c r="BG238" s="15" t="s">
        <v>678</v>
      </c>
      <c r="BH238" s="15" t="s">
        <v>5119</v>
      </c>
      <c r="BI238" s="15" t="s">
        <v>976</v>
      </c>
      <c r="BJ238" s="15"/>
      <c r="BK238" s="15" t="s">
        <v>437</v>
      </c>
      <c r="BL238" s="15" t="s">
        <v>904</v>
      </c>
      <c r="BM238" s="15" t="s">
        <v>439</v>
      </c>
      <c r="BN238" s="15" t="s">
        <v>513</v>
      </c>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t="s">
        <v>441</v>
      </c>
      <c r="CM238" s="15" t="s">
        <v>604</v>
      </c>
      <c r="CN238" s="15" t="s">
        <v>5120</v>
      </c>
      <c r="CO238" s="15" t="s">
        <v>5121</v>
      </c>
      <c r="CP238" s="15" t="s">
        <v>403</v>
      </c>
      <c r="CQ238" s="15" t="s">
        <v>5122</v>
      </c>
      <c r="CR238" s="15" t="s">
        <v>447</v>
      </c>
      <c r="CS238" s="15" t="s">
        <v>5123</v>
      </c>
      <c r="CT238" s="15" t="s">
        <v>5124</v>
      </c>
      <c r="CU238" s="15" t="s">
        <v>450</v>
      </c>
      <c r="CV238" s="15" t="s">
        <v>451</v>
      </c>
      <c r="CW238" s="15" t="s">
        <v>5125</v>
      </c>
      <c r="CX238" s="15" t="s">
        <v>408</v>
      </c>
      <c r="CY238" s="15"/>
      <c r="CZ238" s="15" t="s">
        <v>453</v>
      </c>
      <c r="DA238" s="15" t="s">
        <v>5126</v>
      </c>
      <c r="DB238" s="15" t="s">
        <v>408</v>
      </c>
      <c r="DC238" s="15"/>
      <c r="DD238" s="15" t="s">
        <v>988</v>
      </c>
      <c r="DE238" s="15"/>
      <c r="DF238" s="15" t="s">
        <v>5127</v>
      </c>
      <c r="DG238" s="15" t="s">
        <v>776</v>
      </c>
      <c r="DH238" s="15" t="s">
        <v>410</v>
      </c>
      <c r="DI238" s="15" t="s">
        <v>459</v>
      </c>
      <c r="DJ238" s="15" t="s">
        <v>460</v>
      </c>
      <c r="DK238" s="15" t="s">
        <v>1434</v>
      </c>
      <c r="DL238" s="15"/>
      <c r="DM238" s="15"/>
      <c r="DN238" s="15"/>
      <c r="DO238" s="15"/>
      <c r="DP238" s="15"/>
      <c r="DQ238" s="15"/>
      <c r="DR238" s="15"/>
      <c r="DS238" s="15"/>
      <c r="DT238" s="15"/>
      <c r="DU238" s="15"/>
      <c r="DV238" s="15"/>
      <c r="DW238" s="15"/>
      <c r="DX238" s="15"/>
      <c r="DY238" s="15"/>
      <c r="DZ238" s="15"/>
      <c r="EA238" s="15"/>
      <c r="EB238" s="15"/>
      <c r="EC238" s="15"/>
      <c r="ED238" s="15"/>
      <c r="EE238" s="15"/>
      <c r="EF238" s="15"/>
      <c r="EG238" s="15"/>
      <c r="EH238" s="15"/>
      <c r="EI238" s="15"/>
      <c r="EJ238" s="15"/>
      <c r="EK238" s="15"/>
      <c r="EL238" s="15"/>
      <c r="EM238" s="15"/>
      <c r="EN238" s="15"/>
      <c r="EO238" s="15"/>
      <c r="EP238" s="15"/>
      <c r="EQ238" s="15"/>
      <c r="ER238" s="15"/>
      <c r="ES238" s="15"/>
      <c r="ET238" s="15" t="s">
        <v>578</v>
      </c>
      <c r="EU238" s="15" t="s">
        <v>479</v>
      </c>
      <c r="EV238" s="15" t="s">
        <v>480</v>
      </c>
      <c r="EW238" s="15" t="s">
        <v>5128</v>
      </c>
      <c r="EX238" s="15" t="s">
        <v>5129</v>
      </c>
      <c r="EY238" s="15" t="s">
        <v>5130</v>
      </c>
      <c r="EZ238" s="15" t="s">
        <v>583</v>
      </c>
      <c r="FA238" s="15" t="s">
        <v>583</v>
      </c>
      <c r="FB238" s="15" t="s">
        <v>414</v>
      </c>
      <c r="FC238" s="15" t="s">
        <v>583</v>
      </c>
      <c r="FD238" s="15" t="s">
        <v>416</v>
      </c>
      <c r="FE238" s="15" t="s">
        <v>583</v>
      </c>
      <c r="FF238" s="15" t="s">
        <v>414</v>
      </c>
      <c r="FG238" s="15" t="s">
        <v>413</v>
      </c>
      <c r="FH238" s="15" t="s">
        <v>583</v>
      </c>
      <c r="FI238" s="15" t="s">
        <v>583</v>
      </c>
      <c r="FJ238" s="15" t="s">
        <v>414</v>
      </c>
      <c r="FK238" s="15" t="s">
        <v>484</v>
      </c>
      <c r="FL238" s="15" t="s">
        <v>484</v>
      </c>
      <c r="FM238" s="15" t="s">
        <v>415</v>
      </c>
      <c r="FN238" s="15" t="s">
        <v>583</v>
      </c>
      <c r="FO238" s="15" t="s">
        <v>485</v>
      </c>
      <c r="FP238" s="15" t="s">
        <v>486</v>
      </c>
      <c r="FQ238" s="15" t="s">
        <v>419</v>
      </c>
      <c r="FR238" s="15" t="s">
        <v>5131</v>
      </c>
      <c r="FS238" s="15" t="s">
        <v>420</v>
      </c>
      <c r="FT238" s="15" t="s">
        <v>1462</v>
      </c>
      <c r="FU238" s="15" t="s">
        <v>533</v>
      </c>
      <c r="FV238" s="15" t="s">
        <v>490</v>
      </c>
      <c r="FW238" s="15" t="s">
        <v>491</v>
      </c>
      <c r="FX238" s="15" t="s">
        <v>5132</v>
      </c>
      <c r="FY238" s="15" t="s">
        <v>1020</v>
      </c>
      <c r="FZ238" s="15" t="s">
        <v>5133</v>
      </c>
      <c r="GA238" s="15" t="s">
        <v>408</v>
      </c>
      <c r="GB238" s="15" t="s">
        <v>455</v>
      </c>
      <c r="GC238" s="15"/>
      <c r="GD238" s="15"/>
      <c r="GE238" s="15" t="s">
        <v>753</v>
      </c>
      <c r="GF238" s="15" t="s">
        <v>5134</v>
      </c>
      <c r="GG238" s="15" t="s">
        <v>755</v>
      </c>
      <c r="GH238" s="15" t="s">
        <v>755</v>
      </c>
      <c r="GI238" s="15" t="s">
        <v>817</v>
      </c>
      <c r="GJ238" s="15"/>
      <c r="GK238" s="15"/>
      <c r="GL238" s="15"/>
      <c r="GM238" s="15"/>
      <c r="GN238" s="15"/>
      <c r="GO238" s="15"/>
      <c r="GP238" s="15"/>
      <c r="GQ238" s="15" t="s">
        <v>3208</v>
      </c>
      <c r="GR238" s="15"/>
      <c r="GS238" s="15"/>
      <c r="GT238" s="15"/>
      <c r="GU238" s="15"/>
      <c r="GV238" s="15"/>
      <c r="GW238" s="15"/>
      <c r="GX238" s="15"/>
      <c r="GY238" s="15"/>
      <c r="GZ238" s="15"/>
      <c r="HA238" s="15"/>
      <c r="HB238" s="15"/>
      <c r="HC238" s="15"/>
      <c r="HD238" s="15"/>
      <c r="HE238" s="15"/>
      <c r="HF238" s="15"/>
      <c r="HG238" s="15"/>
      <c r="HH238" s="15"/>
      <c r="HI238" s="15"/>
      <c r="HJ238" s="15"/>
      <c r="HK238" s="15"/>
      <c r="HL238" s="15"/>
      <c r="HM238" s="15"/>
      <c r="HN238" s="15"/>
      <c r="HO238" s="15"/>
      <c r="HP238" s="31"/>
      <c r="MX238" s="29" t="s">
        <v>10402</v>
      </c>
      <c r="MY238" s="29" t="str">
        <f>IFERROR(__xludf.DUMMYFUNCTION("""COMPUTED_VALUE"""),"North Carolina")</f>
        <v>North Carolina</v>
      </c>
    </row>
    <row r="239" ht="16.5" customHeight="1">
      <c r="A239" s="30">
        <v>45854.43201237269</v>
      </c>
      <c r="B239" s="15" t="s">
        <v>368</v>
      </c>
      <c r="C239" s="15" t="s">
        <v>370</v>
      </c>
      <c r="D239" s="15" t="s">
        <v>370</v>
      </c>
      <c r="E239" s="15" t="s">
        <v>3955</v>
      </c>
      <c r="F239" s="15" t="s">
        <v>589</v>
      </c>
      <c r="G239" s="15" t="s">
        <v>422</v>
      </c>
      <c r="H239" s="15" t="s">
        <v>496</v>
      </c>
      <c r="I239" s="15" t="s">
        <v>374</v>
      </c>
      <c r="J239" s="15" t="s">
        <v>718</v>
      </c>
      <c r="K239" s="15" t="s">
        <v>376</v>
      </c>
      <c r="L239" s="15" t="s">
        <v>793</v>
      </c>
      <c r="M239" s="15" t="s">
        <v>378</v>
      </c>
      <c r="N239" s="15" t="s">
        <v>670</v>
      </c>
      <c r="O239" s="15" t="s">
        <v>720</v>
      </c>
      <c r="P239" s="15" t="s">
        <v>1504</v>
      </c>
      <c r="Q239" s="15" t="s">
        <v>499</v>
      </c>
      <c r="R239" s="15" t="s">
        <v>427</v>
      </c>
      <c r="S239" s="15" t="s">
        <v>1785</v>
      </c>
      <c r="T239" s="15" t="s">
        <v>1786</v>
      </c>
      <c r="U239" s="15"/>
      <c r="V239" s="15"/>
      <c r="W239" s="15" t="s">
        <v>386</v>
      </c>
      <c r="X239" s="15" t="s">
        <v>1706</v>
      </c>
      <c r="Y239" s="15"/>
      <c r="Z239" s="15"/>
      <c r="AA239" s="15"/>
      <c r="AB239" s="15"/>
      <c r="AC239" s="15" t="s">
        <v>2055</v>
      </c>
      <c r="AD239" s="15" t="s">
        <v>2968</v>
      </c>
      <c r="AE239" s="15" t="s">
        <v>408</v>
      </c>
      <c r="AF239" s="15" t="s">
        <v>5135</v>
      </c>
      <c r="AG239" s="15">
        <v>5.0</v>
      </c>
      <c r="AH239" s="15" t="s">
        <v>1639</v>
      </c>
      <c r="AI239" s="15" t="s">
        <v>5136</v>
      </c>
      <c r="AJ239" s="15" t="s">
        <v>5137</v>
      </c>
      <c r="AK239" s="15" t="s">
        <v>1712</v>
      </c>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c r="DF239" s="15"/>
      <c r="DG239" s="15"/>
      <c r="DH239" s="15"/>
      <c r="DI239" s="15"/>
      <c r="DJ239" s="15"/>
      <c r="DK239" s="15"/>
      <c r="DL239" s="15"/>
      <c r="DM239" s="15"/>
      <c r="DN239" s="15"/>
      <c r="DO239" s="15"/>
      <c r="DP239" s="15"/>
      <c r="DQ239" s="15"/>
      <c r="DR239" s="15"/>
      <c r="DS239" s="15"/>
      <c r="DT239" s="15"/>
      <c r="DU239" s="15"/>
      <c r="DV239" s="15"/>
      <c r="DW239" s="15"/>
      <c r="DX239" s="15"/>
      <c r="DY239" s="15"/>
      <c r="DZ239" s="15"/>
      <c r="EA239" s="15"/>
      <c r="EB239" s="15"/>
      <c r="EC239" s="15"/>
      <c r="ED239" s="15" t="s">
        <v>5138</v>
      </c>
      <c r="EE239" s="15" t="s">
        <v>5139</v>
      </c>
      <c r="EF239" s="15" t="s">
        <v>1211</v>
      </c>
      <c r="EG239" s="15" t="s">
        <v>5140</v>
      </c>
      <c r="EH239" s="15" t="s">
        <v>5141</v>
      </c>
      <c r="EI239" s="15" t="s">
        <v>5142</v>
      </c>
      <c r="EJ239" s="15"/>
      <c r="EK239" s="15"/>
      <c r="EL239" s="15"/>
      <c r="EM239" s="15"/>
      <c r="EN239" s="15"/>
      <c r="EO239" s="15" t="s">
        <v>5143</v>
      </c>
      <c r="EP239" s="15" t="s">
        <v>5144</v>
      </c>
      <c r="EQ239" s="15" t="s">
        <v>5145</v>
      </c>
      <c r="ER239" s="15" t="s">
        <v>5146</v>
      </c>
      <c r="ES239" s="15" t="s">
        <v>5147</v>
      </c>
      <c r="ET239" s="15"/>
      <c r="EU239" s="15"/>
      <c r="EV239" s="15"/>
      <c r="EW239" s="15"/>
      <c r="EX239" s="15"/>
      <c r="EY239" s="15"/>
      <c r="EZ239" s="15" t="s">
        <v>583</v>
      </c>
      <c r="FA239" s="15" t="s">
        <v>583</v>
      </c>
      <c r="FB239" s="15" t="s">
        <v>414</v>
      </c>
      <c r="FC239" s="15" t="s">
        <v>583</v>
      </c>
      <c r="FD239" s="15" t="s">
        <v>414</v>
      </c>
      <c r="FE239" s="15" t="s">
        <v>583</v>
      </c>
      <c r="FF239" s="15" t="s">
        <v>414</v>
      </c>
      <c r="FG239" s="15" t="s">
        <v>583</v>
      </c>
      <c r="FH239" s="15" t="s">
        <v>416</v>
      </c>
      <c r="FI239" s="15" t="s">
        <v>583</v>
      </c>
      <c r="FJ239" s="15" t="s">
        <v>583</v>
      </c>
      <c r="FK239" s="15" t="s">
        <v>583</v>
      </c>
      <c r="FL239" s="15" t="s">
        <v>583</v>
      </c>
      <c r="FM239" s="15" t="s">
        <v>583</v>
      </c>
      <c r="FN239" s="15" t="s">
        <v>415</v>
      </c>
      <c r="FO239" s="15" t="s">
        <v>417</v>
      </c>
      <c r="FP239" s="15" t="s">
        <v>418</v>
      </c>
      <c r="FQ239" s="15" t="s">
        <v>630</v>
      </c>
      <c r="FR239" s="15" t="s">
        <v>5148</v>
      </c>
      <c r="FS239" s="15" t="s">
        <v>995</v>
      </c>
      <c r="FT239" s="15" t="s">
        <v>1476</v>
      </c>
      <c r="FU239" s="15" t="s">
        <v>489</v>
      </c>
      <c r="FV239" s="15" t="s">
        <v>490</v>
      </c>
      <c r="FW239" s="15" t="s">
        <v>491</v>
      </c>
      <c r="FX239" s="15" t="s">
        <v>5149</v>
      </c>
      <c r="FY239" s="15" t="s">
        <v>535</v>
      </c>
      <c r="FZ239" s="15" t="s">
        <v>5150</v>
      </c>
      <c r="GA239" s="15" t="s">
        <v>5151</v>
      </c>
      <c r="GB239" s="15" t="s">
        <v>455</v>
      </c>
      <c r="GC239" s="15"/>
      <c r="GD239" s="15"/>
      <c r="GE239" s="15" t="s">
        <v>1339</v>
      </c>
      <c r="GF239" s="15" t="s">
        <v>5152</v>
      </c>
      <c r="GG239" s="15"/>
      <c r="GH239" s="15"/>
      <c r="GI239" s="15"/>
      <c r="GJ239" s="15"/>
      <c r="GK239" s="15"/>
      <c r="GL239" s="15"/>
      <c r="GM239" s="15"/>
      <c r="GN239" s="15"/>
      <c r="GO239" s="15"/>
      <c r="GP239" s="15"/>
      <c r="GQ239" s="15" t="s">
        <v>3273</v>
      </c>
      <c r="GR239" s="15"/>
      <c r="GS239" s="15"/>
      <c r="GT239" s="15"/>
      <c r="GU239" s="15"/>
      <c r="GV239" s="15"/>
      <c r="GW239" s="15"/>
      <c r="GX239" s="15"/>
      <c r="GY239" s="15"/>
      <c r="GZ239" s="15"/>
      <c r="HA239" s="15"/>
      <c r="HB239" s="15"/>
      <c r="HC239" s="15"/>
      <c r="HD239" s="15"/>
      <c r="HE239" s="15"/>
      <c r="HF239" s="15"/>
      <c r="HG239" s="15"/>
      <c r="HH239" s="15"/>
      <c r="HI239" s="15"/>
      <c r="HJ239" s="15"/>
      <c r="HK239" s="15"/>
      <c r="HL239" s="15"/>
      <c r="HM239" s="15"/>
      <c r="HN239" s="15"/>
      <c r="HO239" s="15"/>
      <c r="HP239" s="31"/>
      <c r="MX239" s="29" t="s">
        <v>5153</v>
      </c>
      <c r="MY239" s="29" t="str">
        <f>IFERROR(__xludf.DUMMYFUNCTION("""COMPUTED_VALUE"""),"Sweden")</f>
        <v>Sweden</v>
      </c>
    </row>
    <row r="240" ht="16.5" customHeight="1">
      <c r="A240" s="30">
        <v>45855.065328993056</v>
      </c>
      <c r="B240" s="15" t="s">
        <v>368</v>
      </c>
      <c r="C240" s="15" t="s">
        <v>5153</v>
      </c>
      <c r="D240" s="15" t="s">
        <v>5153</v>
      </c>
      <c r="E240" s="15"/>
      <c r="F240" s="15"/>
      <c r="G240" s="15" t="s">
        <v>422</v>
      </c>
      <c r="H240" s="15" t="s">
        <v>637</v>
      </c>
      <c r="I240" s="15" t="s">
        <v>374</v>
      </c>
      <c r="J240" s="15" t="s">
        <v>375</v>
      </c>
      <c r="K240" s="15" t="s">
        <v>376</v>
      </c>
      <c r="L240" s="15" t="s">
        <v>1526</v>
      </c>
      <c r="M240" s="15" t="s">
        <v>1024</v>
      </c>
      <c r="N240" s="15" t="s">
        <v>1526</v>
      </c>
      <c r="O240" s="15" t="s">
        <v>1024</v>
      </c>
      <c r="P240" s="15" t="s">
        <v>498</v>
      </c>
      <c r="Q240" s="15" t="s">
        <v>818</v>
      </c>
      <c r="R240" s="15" t="s">
        <v>427</v>
      </c>
      <c r="S240" s="15" t="s">
        <v>384</v>
      </c>
      <c r="T240" s="15" t="s">
        <v>385</v>
      </c>
      <c r="U240" s="15"/>
      <c r="V240" s="15"/>
      <c r="W240" s="15" t="s">
        <v>3014</v>
      </c>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t="s">
        <v>1242</v>
      </c>
      <c r="AW240" s="15">
        <v>2.0</v>
      </c>
      <c r="AX240" s="15">
        <v>2.0</v>
      </c>
      <c r="AY240" s="15">
        <v>2.0</v>
      </c>
      <c r="AZ240" s="15">
        <v>2.0</v>
      </c>
      <c r="BA240" s="15" t="s">
        <v>429</v>
      </c>
      <c r="BB240" s="15" t="s">
        <v>429</v>
      </c>
      <c r="BC240" s="15" t="s">
        <v>5154</v>
      </c>
      <c r="BD240" s="15" t="s">
        <v>5155</v>
      </c>
      <c r="BE240" s="15" t="s">
        <v>392</v>
      </c>
      <c r="BF240" s="15" t="s">
        <v>1095</v>
      </c>
      <c r="BG240" s="15" t="s">
        <v>394</v>
      </c>
      <c r="BH240" s="15" t="s">
        <v>408</v>
      </c>
      <c r="BI240" s="15" t="s">
        <v>976</v>
      </c>
      <c r="BJ240" s="15" t="s">
        <v>5156</v>
      </c>
      <c r="BK240" s="15" t="s">
        <v>681</v>
      </c>
      <c r="BL240" s="15" t="s">
        <v>603</v>
      </c>
      <c r="BM240" s="15" t="s">
        <v>1314</v>
      </c>
      <c r="BN240" s="15" t="s">
        <v>513</v>
      </c>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t="s">
        <v>682</v>
      </c>
      <c r="CM240" s="15" t="s">
        <v>604</v>
      </c>
      <c r="CN240" s="15" t="s">
        <v>5078</v>
      </c>
      <c r="CO240" s="15" t="s">
        <v>5157</v>
      </c>
      <c r="CP240" s="15" t="s">
        <v>403</v>
      </c>
      <c r="CQ240" s="15" t="s">
        <v>5158</v>
      </c>
      <c r="CR240" s="15" t="s">
        <v>555</v>
      </c>
      <c r="CS240" s="15" t="s">
        <v>1137</v>
      </c>
      <c r="CT240" s="15" t="s">
        <v>5159</v>
      </c>
      <c r="CU240" s="15" t="s">
        <v>1852</v>
      </c>
      <c r="CV240" s="15" t="s">
        <v>959</v>
      </c>
      <c r="CW240" s="15" t="s">
        <v>5160</v>
      </c>
      <c r="CX240" s="15" t="s">
        <v>455</v>
      </c>
      <c r="CY240" s="15" t="s">
        <v>5161</v>
      </c>
      <c r="CZ240" s="15" t="s">
        <v>1962</v>
      </c>
      <c r="DA240" s="15" t="s">
        <v>5156</v>
      </c>
      <c r="DB240" s="15" t="s">
        <v>408</v>
      </c>
      <c r="DC240" s="15"/>
      <c r="DD240" s="15" t="s">
        <v>406</v>
      </c>
      <c r="DE240" s="15" t="s">
        <v>1867</v>
      </c>
      <c r="DF240" s="15" t="s">
        <v>5162</v>
      </c>
      <c r="DG240" s="15" t="s">
        <v>693</v>
      </c>
      <c r="DH240" s="15" t="s">
        <v>410</v>
      </c>
      <c r="DI240" s="15" t="s">
        <v>963</v>
      </c>
      <c r="DJ240" s="15" t="s">
        <v>613</v>
      </c>
      <c r="DK240" s="15"/>
      <c r="DL240" s="15"/>
      <c r="DM240" s="15"/>
      <c r="DN240" s="15"/>
      <c r="DO240" s="15"/>
      <c r="DP240" s="15"/>
      <c r="DQ240" s="15"/>
      <c r="DR240" s="15"/>
      <c r="DS240" s="15"/>
      <c r="DT240" s="15"/>
      <c r="DU240" s="15"/>
      <c r="DV240" s="15"/>
      <c r="DW240" s="15"/>
      <c r="DX240" s="15"/>
      <c r="DY240" s="15"/>
      <c r="DZ240" s="15"/>
      <c r="EA240" s="15"/>
      <c r="EB240" s="15"/>
      <c r="EC240" s="15"/>
      <c r="ED240" s="15"/>
      <c r="EE240" s="15"/>
      <c r="EF240" s="15"/>
      <c r="EG240" s="15"/>
      <c r="EH240" s="15"/>
      <c r="EI240" s="15"/>
      <c r="EJ240" s="15"/>
      <c r="EK240" s="15"/>
      <c r="EL240" s="15"/>
      <c r="EM240" s="15"/>
      <c r="EN240" s="15"/>
      <c r="EO240" s="15"/>
      <c r="EP240" s="15"/>
      <c r="EQ240" s="15"/>
      <c r="ER240" s="15"/>
      <c r="ES240" s="15"/>
      <c r="ET240" s="15" t="s">
        <v>578</v>
      </c>
      <c r="EU240" s="15" t="s">
        <v>579</v>
      </c>
      <c r="EV240" s="15" t="s">
        <v>580</v>
      </c>
      <c r="EW240" s="15" t="s">
        <v>5156</v>
      </c>
      <c r="EX240" s="15" t="s">
        <v>5163</v>
      </c>
      <c r="EY240" s="15" t="s">
        <v>5164</v>
      </c>
      <c r="EZ240" s="15" t="s">
        <v>583</v>
      </c>
      <c r="FA240" s="15" t="s">
        <v>583</v>
      </c>
      <c r="FB240" s="15" t="s">
        <v>413</v>
      </c>
      <c r="FC240" s="15" t="s">
        <v>415</v>
      </c>
      <c r="FD240" s="15" t="s">
        <v>415</v>
      </c>
      <c r="FE240" s="15" t="s">
        <v>583</v>
      </c>
      <c r="FF240" s="15" t="s">
        <v>415</v>
      </c>
      <c r="FG240" s="15" t="s">
        <v>416</v>
      </c>
      <c r="FH240" s="15" t="s">
        <v>416</v>
      </c>
      <c r="FI240" s="15" t="s">
        <v>413</v>
      </c>
      <c r="FJ240" s="15" t="s">
        <v>416</v>
      </c>
      <c r="FK240" s="15" t="s">
        <v>413</v>
      </c>
      <c r="FL240" s="15" t="s">
        <v>413</v>
      </c>
      <c r="FM240" s="15" t="s">
        <v>413</v>
      </c>
      <c r="FN240" s="15" t="s">
        <v>416</v>
      </c>
      <c r="FO240" s="15" t="s">
        <v>1537</v>
      </c>
      <c r="FP240" s="15" t="s">
        <v>486</v>
      </c>
      <c r="FQ240" s="15" t="s">
        <v>749</v>
      </c>
      <c r="FR240" s="15" t="s">
        <v>5165</v>
      </c>
      <c r="FS240" s="15" t="s">
        <v>1871</v>
      </c>
      <c r="FT240" s="15" t="s">
        <v>1476</v>
      </c>
      <c r="FU240" s="15" t="s">
        <v>1235</v>
      </c>
      <c r="FV240" s="15" t="s">
        <v>2136</v>
      </c>
      <c r="FW240" s="15" t="s">
        <v>1853</v>
      </c>
      <c r="FX240" s="15" t="s">
        <v>5166</v>
      </c>
      <c r="FY240" s="15" t="s">
        <v>1854</v>
      </c>
      <c r="FZ240" s="15" t="s">
        <v>5167</v>
      </c>
      <c r="GA240" s="15" t="s">
        <v>5168</v>
      </c>
      <c r="GB240" s="15" t="s">
        <v>455</v>
      </c>
      <c r="GC240" s="15"/>
      <c r="GD240" s="15"/>
      <c r="GE240" s="15" t="s">
        <v>753</v>
      </c>
      <c r="GF240" s="15" t="s">
        <v>5169</v>
      </c>
      <c r="GG240" s="15" t="s">
        <v>1000</v>
      </c>
      <c r="GH240" s="15" t="s">
        <v>1000</v>
      </c>
      <c r="GI240" s="15" t="s">
        <v>756</v>
      </c>
      <c r="GJ240" s="15"/>
      <c r="GK240" s="15"/>
      <c r="GL240" s="15"/>
      <c r="GM240" s="15"/>
      <c r="GN240" s="15" t="s">
        <v>5153</v>
      </c>
      <c r="GO240" s="15" t="s">
        <v>5153</v>
      </c>
      <c r="GP240" s="15"/>
      <c r="GQ240" s="15" t="s">
        <v>3208</v>
      </c>
      <c r="GR240" s="15"/>
      <c r="GS240" s="15"/>
      <c r="GT240" s="15" t="s">
        <v>5170</v>
      </c>
      <c r="GU240" s="15" t="s">
        <v>5171</v>
      </c>
      <c r="GV240" s="15"/>
      <c r="GW240" s="15"/>
      <c r="GX240" s="15"/>
      <c r="GY240" s="15"/>
      <c r="GZ240" s="15"/>
      <c r="HA240" s="15"/>
      <c r="HB240" s="15"/>
      <c r="HC240" s="15"/>
      <c r="HD240" s="15"/>
      <c r="HE240" s="15"/>
      <c r="HF240" s="15"/>
      <c r="HG240" s="15"/>
      <c r="HH240" s="15"/>
      <c r="HI240" s="15"/>
      <c r="HJ240" s="15"/>
      <c r="HK240" s="15"/>
      <c r="HL240" s="15"/>
      <c r="HM240" s="15"/>
      <c r="HN240" s="15"/>
      <c r="HO240" s="15"/>
      <c r="HP240" s="31"/>
      <c r="MX240" s="29" t="s">
        <v>538</v>
      </c>
      <c r="MY240" s="29" t="str">
        <f>IFERROR(__xludf.DUMMYFUNCTION("""COMPUTED_VALUE"""),"United Kingdom")</f>
        <v>United Kingdom</v>
      </c>
    </row>
    <row r="241" ht="16.5" customHeight="1">
      <c r="A241" s="30">
        <v>45857.18312947916</v>
      </c>
      <c r="B241" s="15" t="s">
        <v>368</v>
      </c>
      <c r="C241" s="15" t="s">
        <v>538</v>
      </c>
      <c r="D241" s="15" t="s">
        <v>538</v>
      </c>
      <c r="E241" s="15"/>
      <c r="F241" s="15"/>
      <c r="G241" s="15" t="s">
        <v>422</v>
      </c>
      <c r="H241" s="15" t="s">
        <v>496</v>
      </c>
      <c r="I241" s="15" t="s">
        <v>374</v>
      </c>
      <c r="J241" s="15" t="s">
        <v>540</v>
      </c>
      <c r="K241" s="15" t="s">
        <v>376</v>
      </c>
      <c r="L241" s="15" t="s">
        <v>426</v>
      </c>
      <c r="M241" s="15" t="s">
        <v>860</v>
      </c>
      <c r="N241" s="15" t="s">
        <v>426</v>
      </c>
      <c r="O241" s="15" t="s">
        <v>1270</v>
      </c>
      <c r="P241" s="15" t="s">
        <v>498</v>
      </c>
      <c r="Q241" s="15" t="s">
        <v>862</v>
      </c>
      <c r="R241" s="15" t="s">
        <v>500</v>
      </c>
      <c r="S241" s="15" t="s">
        <v>384</v>
      </c>
      <c r="T241" s="15" t="s">
        <v>385</v>
      </c>
      <c r="U241" s="15"/>
      <c r="V241" s="15"/>
      <c r="W241" s="15" t="s">
        <v>386</v>
      </c>
      <c r="X241" s="15" t="s">
        <v>387</v>
      </c>
      <c r="Y241" s="15"/>
      <c r="Z241" s="15" t="s">
        <v>389</v>
      </c>
      <c r="AA241" s="15" t="s">
        <v>408</v>
      </c>
      <c r="AB241" s="15" t="s">
        <v>408</v>
      </c>
      <c r="AC241" s="15"/>
      <c r="AD241" s="15"/>
      <c r="AE241" s="15"/>
      <c r="AF241" s="15"/>
      <c r="AG241" s="15"/>
      <c r="AH241" s="15"/>
      <c r="AI241" s="15"/>
      <c r="AJ241" s="15"/>
      <c r="AK241" s="15"/>
      <c r="AL241" s="15"/>
      <c r="AM241" s="15"/>
      <c r="AN241" s="15"/>
      <c r="AO241" s="15"/>
      <c r="AP241" s="15"/>
      <c r="AQ241" s="15"/>
      <c r="AR241" s="15"/>
      <c r="AS241" s="15"/>
      <c r="AT241" s="15"/>
      <c r="AU241" s="15"/>
      <c r="AV241" s="15" t="s">
        <v>1242</v>
      </c>
      <c r="AW241" s="15" t="s">
        <v>675</v>
      </c>
      <c r="AX241" s="15" t="s">
        <v>675</v>
      </c>
      <c r="AY241" s="15" t="s">
        <v>675</v>
      </c>
      <c r="AZ241" s="15" t="s">
        <v>675</v>
      </c>
      <c r="BA241" s="15" t="s">
        <v>675</v>
      </c>
      <c r="BB241" s="15" t="s">
        <v>675</v>
      </c>
      <c r="BC241" s="15" t="s">
        <v>2505</v>
      </c>
      <c r="BD241" s="15" t="s">
        <v>5172</v>
      </c>
      <c r="BE241" s="15" t="s">
        <v>432</v>
      </c>
      <c r="BF241" s="15" t="s">
        <v>1245</v>
      </c>
      <c r="BG241" s="15" t="s">
        <v>394</v>
      </c>
      <c r="BH241" s="15"/>
      <c r="BI241" s="15" t="s">
        <v>976</v>
      </c>
      <c r="BJ241" s="15"/>
      <c r="BK241" s="15" t="s">
        <v>681</v>
      </c>
      <c r="BL241" s="15" t="s">
        <v>603</v>
      </c>
      <c r="BM241" s="15" t="s">
        <v>1314</v>
      </c>
      <c r="BN241" s="15" t="s">
        <v>398</v>
      </c>
      <c r="BO241" s="15" t="s">
        <v>5173</v>
      </c>
      <c r="BP241" s="15" t="s">
        <v>408</v>
      </c>
      <c r="BQ241" s="15" t="s">
        <v>604</v>
      </c>
      <c r="BR241" s="15" t="s">
        <v>5174</v>
      </c>
      <c r="BS241" s="15" t="s">
        <v>403</v>
      </c>
      <c r="BT241" s="15" t="s">
        <v>5175</v>
      </c>
      <c r="BU241" s="15" t="s">
        <v>405</v>
      </c>
      <c r="BV241" s="15"/>
      <c r="BW241" s="15" t="s">
        <v>406</v>
      </c>
      <c r="BX241" s="15" t="s">
        <v>2503</v>
      </c>
      <c r="BY241" s="15" t="s">
        <v>408</v>
      </c>
      <c r="BZ241" s="15"/>
      <c r="CA241" s="15" t="s">
        <v>5176</v>
      </c>
      <c r="CB241" s="15" t="s">
        <v>5177</v>
      </c>
      <c r="CC241" s="15"/>
      <c r="CD241" s="15" t="s">
        <v>1257</v>
      </c>
      <c r="CE241" s="15" t="s">
        <v>408</v>
      </c>
      <c r="CF241" s="15" t="s">
        <v>2233</v>
      </c>
      <c r="CG241" s="15"/>
      <c r="CH241" s="15" t="s">
        <v>1259</v>
      </c>
      <c r="CI241" s="15" t="s">
        <v>410</v>
      </c>
      <c r="CJ241" s="15" t="s">
        <v>5178</v>
      </c>
      <c r="CK241" s="15" t="s">
        <v>5179</v>
      </c>
      <c r="CL241" s="15"/>
      <c r="CM241" s="15"/>
      <c r="CN241" s="15"/>
      <c r="CO241" s="15"/>
      <c r="CP241" s="15"/>
      <c r="CQ241" s="15"/>
      <c r="CR241" s="15"/>
      <c r="CS241" s="15"/>
      <c r="CT241" s="15"/>
      <c r="CU241" s="15"/>
      <c r="CV241" s="15"/>
      <c r="CW241" s="15"/>
      <c r="CX241" s="15"/>
      <c r="CY241" s="15"/>
      <c r="CZ241" s="15"/>
      <c r="DA241" s="15"/>
      <c r="DB241" s="15"/>
      <c r="DC241" s="15"/>
      <c r="DD241" s="15"/>
      <c r="DE241" s="15"/>
      <c r="DF241" s="15"/>
      <c r="DG241" s="15"/>
      <c r="DH241" s="15"/>
      <c r="DI241" s="15"/>
      <c r="DJ241" s="15"/>
      <c r="DK241" s="15"/>
      <c r="DL241" s="15"/>
      <c r="DM241" s="15"/>
      <c r="DN241" s="15"/>
      <c r="DO241" s="15"/>
      <c r="DP241" s="15"/>
      <c r="DQ241" s="15"/>
      <c r="DR241" s="15"/>
      <c r="DS241" s="15"/>
      <c r="DT241" s="15"/>
      <c r="DU241" s="15"/>
      <c r="DV241" s="15"/>
      <c r="DW241" s="15"/>
      <c r="DX241" s="15"/>
      <c r="DY241" s="15"/>
      <c r="DZ241" s="15"/>
      <c r="EA241" s="15"/>
      <c r="EB241" s="15"/>
      <c r="EC241" s="15"/>
      <c r="ED241" s="15"/>
      <c r="EE241" s="15"/>
      <c r="EF241" s="15"/>
      <c r="EG241" s="15"/>
      <c r="EH241" s="15"/>
      <c r="EI241" s="15"/>
      <c r="EJ241" s="15"/>
      <c r="EK241" s="15"/>
      <c r="EL241" s="15"/>
      <c r="EM241" s="15"/>
      <c r="EN241" s="15"/>
      <c r="EO241" s="15"/>
      <c r="EP241" s="15"/>
      <c r="EQ241" s="15"/>
      <c r="ER241" s="15"/>
      <c r="ES241" s="15"/>
      <c r="ET241" s="15" t="s">
        <v>526</v>
      </c>
      <c r="EU241" s="15" t="s">
        <v>579</v>
      </c>
      <c r="EV241" s="15" t="s">
        <v>580</v>
      </c>
      <c r="EW241" s="15"/>
      <c r="EX241" s="15" t="s">
        <v>5180</v>
      </c>
      <c r="EY241" s="15" t="s">
        <v>5180</v>
      </c>
      <c r="EZ241" s="15" t="s">
        <v>413</v>
      </c>
      <c r="FA241" s="15" t="s">
        <v>415</v>
      </c>
      <c r="FB241" s="15" t="s">
        <v>413</v>
      </c>
      <c r="FC241" s="15" t="s">
        <v>413</v>
      </c>
      <c r="FD241" s="15" t="s">
        <v>413</v>
      </c>
      <c r="FE241" s="15" t="s">
        <v>415</v>
      </c>
      <c r="FF241" s="15" t="s">
        <v>413</v>
      </c>
      <c r="FG241" s="15" t="s">
        <v>413</v>
      </c>
      <c r="FH241" s="15" t="s">
        <v>413</v>
      </c>
      <c r="FI241" s="15" t="s">
        <v>413</v>
      </c>
      <c r="FJ241" s="15" t="s">
        <v>413</v>
      </c>
      <c r="FK241" s="15" t="s">
        <v>413</v>
      </c>
      <c r="FL241" s="15" t="s">
        <v>413</v>
      </c>
      <c r="FM241" s="15" t="s">
        <v>413</v>
      </c>
      <c r="FN241" s="15" t="s">
        <v>413</v>
      </c>
      <c r="FO241" s="15" t="s">
        <v>485</v>
      </c>
      <c r="FP241" s="15" t="s">
        <v>418</v>
      </c>
      <c r="FQ241" s="15" t="s">
        <v>531</v>
      </c>
      <c r="FR241" s="15"/>
      <c r="FS241" s="15" t="s">
        <v>420</v>
      </c>
      <c r="FT241" s="15" t="s">
        <v>488</v>
      </c>
      <c r="FU241" s="15" t="s">
        <v>1235</v>
      </c>
      <c r="FV241" s="15" t="s">
        <v>490</v>
      </c>
      <c r="FW241" s="15" t="s">
        <v>491</v>
      </c>
      <c r="FX241" s="15" t="s">
        <v>5181</v>
      </c>
      <c r="FY241" s="15" t="s">
        <v>535</v>
      </c>
      <c r="FZ241" s="15" t="s">
        <v>5182</v>
      </c>
      <c r="GA241" s="15"/>
      <c r="GB241" s="15" t="s">
        <v>408</v>
      </c>
      <c r="GC241" s="15"/>
      <c r="GD241" s="15"/>
      <c r="GE241" s="15"/>
      <c r="GF241" s="15"/>
      <c r="GG241" s="15"/>
      <c r="GH241" s="15"/>
      <c r="GI241" s="15"/>
      <c r="GJ241" s="15" t="s">
        <v>755</v>
      </c>
      <c r="GK241" s="15" t="s">
        <v>755</v>
      </c>
      <c r="GL241" s="15" t="s">
        <v>817</v>
      </c>
      <c r="GM241" s="15"/>
      <c r="GN241" s="15" t="s">
        <v>538</v>
      </c>
      <c r="GO241" s="15" t="s">
        <v>538</v>
      </c>
      <c r="GP241" s="15"/>
      <c r="GQ241" s="15" t="s">
        <v>5183</v>
      </c>
      <c r="GR241" s="15" t="s">
        <v>4774</v>
      </c>
      <c r="GS241" s="15" t="s">
        <v>408</v>
      </c>
      <c r="GT241" s="15"/>
      <c r="GU241" s="15"/>
      <c r="GV241" s="15"/>
      <c r="GW241" s="15"/>
      <c r="GX241" s="15"/>
      <c r="GY241" s="15"/>
      <c r="GZ241" s="15"/>
      <c r="HA241" s="15"/>
      <c r="HB241" s="15"/>
      <c r="HC241" s="15"/>
      <c r="HD241" s="15"/>
      <c r="HE241" s="15"/>
      <c r="HF241" s="15"/>
      <c r="HG241" s="15"/>
      <c r="HH241" s="15"/>
      <c r="HI241" s="15"/>
      <c r="HJ241" s="15"/>
      <c r="HK241" s="15"/>
      <c r="HL241" s="15"/>
      <c r="HM241" s="15"/>
      <c r="HN241" s="15"/>
      <c r="HO241" s="15"/>
      <c r="HP241" s="31"/>
      <c r="MX241" s="29" t="s">
        <v>1268</v>
      </c>
      <c r="MY241" s="29" t="str">
        <f>IFERROR(__xludf.DUMMYFUNCTION("""COMPUTED_VALUE"""),"Switzerland")</f>
        <v>Switzerland</v>
      </c>
    </row>
    <row r="242" ht="16.5" customHeight="1">
      <c r="A242" s="30">
        <v>45858.855598043985</v>
      </c>
      <c r="B242" s="15" t="s">
        <v>368</v>
      </c>
      <c r="C242" s="15" t="s">
        <v>1268</v>
      </c>
      <c r="D242" s="15" t="s">
        <v>1268</v>
      </c>
      <c r="E242" s="15"/>
      <c r="F242" s="15"/>
      <c r="G242" s="15" t="s">
        <v>792</v>
      </c>
      <c r="H242" s="15" t="s">
        <v>373</v>
      </c>
      <c r="I242" s="15" t="s">
        <v>374</v>
      </c>
      <c r="J242" s="15" t="s">
        <v>375</v>
      </c>
      <c r="K242" s="15" t="s">
        <v>376</v>
      </c>
      <c r="L242" s="15" t="s">
        <v>591</v>
      </c>
      <c r="M242" s="15" t="s">
        <v>2998</v>
      </c>
      <c r="N242" s="15" t="s">
        <v>426</v>
      </c>
      <c r="O242" s="15" t="s">
        <v>5184</v>
      </c>
      <c r="P242" s="15" t="s">
        <v>592</v>
      </c>
      <c r="Q242" s="15" t="s">
        <v>818</v>
      </c>
      <c r="R242" s="15" t="s">
        <v>427</v>
      </c>
      <c r="S242" s="15" t="s">
        <v>384</v>
      </c>
      <c r="T242" s="15" t="s">
        <v>385</v>
      </c>
      <c r="U242" s="15"/>
      <c r="V242" s="15"/>
      <c r="W242" s="15" t="s">
        <v>3231</v>
      </c>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t="s">
        <v>1310</v>
      </c>
      <c r="AW242" s="15">
        <v>4.0</v>
      </c>
      <c r="AX242" s="15">
        <v>2.0</v>
      </c>
      <c r="AY242" s="15">
        <v>2.0</v>
      </c>
      <c r="AZ242" s="15" t="s">
        <v>429</v>
      </c>
      <c r="BA242" s="15" t="s">
        <v>429</v>
      </c>
      <c r="BB242" s="15">
        <v>2.0</v>
      </c>
      <c r="BC242" s="15" t="s">
        <v>5185</v>
      </c>
      <c r="BD242" s="15" t="s">
        <v>5186</v>
      </c>
      <c r="BE242" s="15" t="s">
        <v>392</v>
      </c>
      <c r="BF242" s="15" t="s">
        <v>1095</v>
      </c>
      <c r="BG242" s="15" t="s">
        <v>434</v>
      </c>
      <c r="BH242" s="15" t="s">
        <v>5187</v>
      </c>
      <c r="BI242" s="15" t="s">
        <v>435</v>
      </c>
      <c r="BJ242" s="15" t="s">
        <v>5188</v>
      </c>
      <c r="BK242" s="15" t="s">
        <v>437</v>
      </c>
      <c r="BL242" s="15" t="s">
        <v>603</v>
      </c>
      <c r="BM242" s="15" t="s">
        <v>1247</v>
      </c>
      <c r="BN242" s="15" t="s">
        <v>513</v>
      </c>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t="s">
        <v>550</v>
      </c>
      <c r="CM242" s="15" t="s">
        <v>604</v>
      </c>
      <c r="CN242" s="15" t="s">
        <v>5189</v>
      </c>
      <c r="CO242" s="15" t="s">
        <v>5190</v>
      </c>
      <c r="CP242" s="15" t="s">
        <v>685</v>
      </c>
      <c r="CQ242" s="15" t="s">
        <v>5191</v>
      </c>
      <c r="CR242" s="15" t="s">
        <v>804</v>
      </c>
      <c r="CS242" s="15" t="s">
        <v>5192</v>
      </c>
      <c r="CT242" s="15" t="s">
        <v>5193</v>
      </c>
      <c r="CU242" s="15" t="s">
        <v>519</v>
      </c>
      <c r="CV242" s="15" t="s">
        <v>1931</v>
      </c>
      <c r="CW242" s="15"/>
      <c r="CX242" s="15" t="s">
        <v>408</v>
      </c>
      <c r="CY242" s="15"/>
      <c r="CZ242" s="15" t="s">
        <v>1962</v>
      </c>
      <c r="DA242" s="15"/>
      <c r="DB242" s="15" t="s">
        <v>408</v>
      </c>
      <c r="DC242" s="15"/>
      <c r="DD242" s="15" t="s">
        <v>406</v>
      </c>
      <c r="DE242" s="15" t="s">
        <v>407</v>
      </c>
      <c r="DF242" s="15" t="s">
        <v>5194</v>
      </c>
      <c r="DG242" s="15" t="s">
        <v>776</v>
      </c>
      <c r="DH242" s="15" t="s">
        <v>833</v>
      </c>
      <c r="DI242" s="15" t="s">
        <v>963</v>
      </c>
      <c r="DJ242" s="15" t="s">
        <v>460</v>
      </c>
      <c r="DK242" s="15" t="s">
        <v>563</v>
      </c>
      <c r="DL242" s="15" t="s">
        <v>5195</v>
      </c>
      <c r="DM242" s="15"/>
      <c r="DN242" s="15"/>
      <c r="DO242" s="15"/>
      <c r="DP242" s="15"/>
      <c r="DQ242" s="15"/>
      <c r="DR242" s="15"/>
      <c r="DS242" s="15"/>
      <c r="DT242" s="15"/>
      <c r="DU242" s="15"/>
      <c r="DV242" s="15"/>
      <c r="DW242" s="15"/>
      <c r="DX242" s="15"/>
      <c r="DY242" s="15"/>
      <c r="DZ242" s="15"/>
      <c r="EA242" s="15"/>
      <c r="EB242" s="15"/>
      <c r="EC242" s="15"/>
      <c r="ED242" s="15"/>
      <c r="EE242" s="15"/>
      <c r="EF242" s="15"/>
      <c r="EG242" s="15"/>
      <c r="EH242" s="15"/>
      <c r="EI242" s="15"/>
      <c r="EJ242" s="15"/>
      <c r="EK242" s="15"/>
      <c r="EL242" s="15"/>
      <c r="EM242" s="15"/>
      <c r="EN242" s="15"/>
      <c r="EO242" s="15"/>
      <c r="EP242" s="15"/>
      <c r="EQ242" s="15"/>
      <c r="ER242" s="15"/>
      <c r="ES242" s="15"/>
      <c r="ET242" s="15" t="s">
        <v>526</v>
      </c>
      <c r="EU242" s="15" t="s">
        <v>579</v>
      </c>
      <c r="EV242" s="15" t="s">
        <v>580</v>
      </c>
      <c r="EW242" s="15" t="s">
        <v>5196</v>
      </c>
      <c r="EX242" s="15" t="s">
        <v>5197</v>
      </c>
      <c r="EY242" s="15" t="s">
        <v>5198</v>
      </c>
      <c r="EZ242" s="15" t="s">
        <v>414</v>
      </c>
      <c r="FA242" s="15" t="s">
        <v>583</v>
      </c>
      <c r="FB242" s="15" t="s">
        <v>413</v>
      </c>
      <c r="FC242" s="15" t="s">
        <v>415</v>
      </c>
      <c r="FD242" s="15" t="s">
        <v>416</v>
      </c>
      <c r="FE242" s="15" t="s">
        <v>414</v>
      </c>
      <c r="FF242" s="15" t="s">
        <v>415</v>
      </c>
      <c r="FG242" s="15" t="s">
        <v>415</v>
      </c>
      <c r="FH242" s="15" t="s">
        <v>415</v>
      </c>
      <c r="FI242" s="15" t="s">
        <v>416</v>
      </c>
      <c r="FJ242" s="15" t="s">
        <v>414</v>
      </c>
      <c r="FK242" s="15" t="s">
        <v>416</v>
      </c>
      <c r="FL242" s="15" t="s">
        <v>416</v>
      </c>
      <c r="FM242" s="15" t="s">
        <v>415</v>
      </c>
      <c r="FN242" s="15" t="s">
        <v>415</v>
      </c>
      <c r="FO242" s="15" t="s">
        <v>1074</v>
      </c>
      <c r="FP242" s="15" t="s">
        <v>486</v>
      </c>
      <c r="FQ242" s="15" t="s">
        <v>419</v>
      </c>
      <c r="FR242" s="15" t="s">
        <v>5199</v>
      </c>
      <c r="FS242" s="15" t="s">
        <v>1871</v>
      </c>
      <c r="FT242" s="15" t="s">
        <v>1462</v>
      </c>
      <c r="FU242" s="15" t="s">
        <v>1235</v>
      </c>
      <c r="FV242" s="15" t="s">
        <v>2399</v>
      </c>
      <c r="FW242" s="15" t="s">
        <v>1853</v>
      </c>
      <c r="FX242" s="15" t="s">
        <v>5200</v>
      </c>
      <c r="FY242" s="15" t="s">
        <v>1020</v>
      </c>
      <c r="FZ242" s="15" t="s">
        <v>5201</v>
      </c>
      <c r="GA242" s="15" t="s">
        <v>5202</v>
      </c>
      <c r="GB242" s="15" t="s">
        <v>408</v>
      </c>
      <c r="GC242" s="15"/>
      <c r="GD242" s="15"/>
      <c r="GE242" s="15"/>
      <c r="GF242" s="15"/>
      <c r="GG242" s="15" t="s">
        <v>1000</v>
      </c>
      <c r="GH242" s="15" t="s">
        <v>1000</v>
      </c>
      <c r="GI242" s="15" t="s">
        <v>817</v>
      </c>
      <c r="GJ242" s="15"/>
      <c r="GK242" s="15"/>
      <c r="GL242" s="15"/>
      <c r="GM242" s="15"/>
      <c r="GN242" s="15" t="s">
        <v>1268</v>
      </c>
      <c r="GO242" s="15" t="s">
        <v>1268</v>
      </c>
      <c r="GP242" s="15" t="s">
        <v>5203</v>
      </c>
      <c r="GQ242" s="15" t="s">
        <v>3208</v>
      </c>
      <c r="GR242" s="15"/>
      <c r="GS242" s="15"/>
      <c r="GT242" s="15" t="s">
        <v>4774</v>
      </c>
      <c r="GU242" s="15"/>
      <c r="GV242" s="15"/>
      <c r="GW242" s="15"/>
      <c r="GX242" s="15"/>
      <c r="GY242" s="15"/>
      <c r="GZ242" s="15"/>
      <c r="HA242" s="15"/>
      <c r="HB242" s="15"/>
      <c r="HC242" s="15"/>
      <c r="HD242" s="15"/>
      <c r="HE242" s="15"/>
      <c r="HF242" s="15"/>
      <c r="HG242" s="15"/>
      <c r="HH242" s="15"/>
      <c r="HI242" s="15"/>
      <c r="HJ242" s="15"/>
      <c r="HK242" s="15"/>
      <c r="HL242" s="15"/>
      <c r="HM242" s="15"/>
      <c r="HN242" s="15"/>
      <c r="HO242" s="15"/>
      <c r="HP242" s="31"/>
      <c r="MX242" s="29" t="s">
        <v>5204</v>
      </c>
      <c r="MY242" s="29" t="str">
        <f>IFERROR(__xludf.DUMMYFUNCTION("""COMPUTED_VALUE"""),"Denmark")</f>
        <v>Denmark</v>
      </c>
    </row>
    <row r="243" ht="16.5" customHeight="1">
      <c r="A243" s="30">
        <v>45861.16600383102</v>
      </c>
      <c r="B243" s="15" t="s">
        <v>368</v>
      </c>
      <c r="C243" s="15" t="s">
        <v>5204</v>
      </c>
      <c r="D243" s="15" t="s">
        <v>5204</v>
      </c>
      <c r="E243" s="15"/>
      <c r="F243" s="15"/>
      <c r="G243" s="15" t="s">
        <v>422</v>
      </c>
      <c r="H243" s="15" t="s">
        <v>539</v>
      </c>
      <c r="I243" s="15" t="s">
        <v>424</v>
      </c>
      <c r="J243" s="15" t="s">
        <v>590</v>
      </c>
      <c r="K243" s="15" t="s">
        <v>1784</v>
      </c>
      <c r="L243" s="15" t="s">
        <v>1526</v>
      </c>
      <c r="M243" s="15" t="s">
        <v>378</v>
      </c>
      <c r="N243" s="15" t="s">
        <v>426</v>
      </c>
      <c r="O243" s="15" t="s">
        <v>1385</v>
      </c>
      <c r="P243" s="15" t="s">
        <v>381</v>
      </c>
      <c r="Q243" s="15" t="s">
        <v>759</v>
      </c>
      <c r="R243" s="15" t="s">
        <v>1704</v>
      </c>
      <c r="S243" s="15" t="s">
        <v>384</v>
      </c>
      <c r="T243" s="15" t="s">
        <v>385</v>
      </c>
      <c r="U243" s="15"/>
      <c r="V243" s="15"/>
      <c r="W243" s="15" t="s">
        <v>386</v>
      </c>
      <c r="X243" s="15" t="s">
        <v>387</v>
      </c>
      <c r="Y243" s="15" t="s">
        <v>2115</v>
      </c>
      <c r="Z243" s="15" t="s">
        <v>389</v>
      </c>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t="s">
        <v>1242</v>
      </c>
      <c r="AW243" s="15" t="s">
        <v>675</v>
      </c>
      <c r="AX243" s="15" t="s">
        <v>675</v>
      </c>
      <c r="AY243" s="15" t="s">
        <v>675</v>
      </c>
      <c r="AZ243" s="15" t="s">
        <v>675</v>
      </c>
      <c r="BA243" s="15" t="s">
        <v>675</v>
      </c>
      <c r="BB243" s="15" t="s">
        <v>675</v>
      </c>
      <c r="BC243" s="15" t="s">
        <v>2500</v>
      </c>
      <c r="BD243" s="15" t="s">
        <v>2500</v>
      </c>
      <c r="BE243" s="15" t="s">
        <v>2259</v>
      </c>
      <c r="BF243" s="15" t="s">
        <v>1047</v>
      </c>
      <c r="BG243" s="15" t="s">
        <v>394</v>
      </c>
      <c r="BH243" s="15" t="s">
        <v>2927</v>
      </c>
      <c r="BI243" s="15" t="s">
        <v>976</v>
      </c>
      <c r="BJ243" s="15" t="s">
        <v>5205</v>
      </c>
      <c r="BK243" s="15" t="s">
        <v>602</v>
      </c>
      <c r="BL243" s="15" t="s">
        <v>603</v>
      </c>
      <c r="BM243" s="15" t="s">
        <v>1314</v>
      </c>
      <c r="BN243" s="15" t="s">
        <v>398</v>
      </c>
      <c r="BO243" s="15" t="s">
        <v>5206</v>
      </c>
      <c r="BP243" s="15" t="s">
        <v>552</v>
      </c>
      <c r="BQ243" s="15" t="s">
        <v>401</v>
      </c>
      <c r="BR243" s="15" t="s">
        <v>5207</v>
      </c>
      <c r="BS243" s="15" t="s">
        <v>4071</v>
      </c>
      <c r="BT243" s="15" t="s">
        <v>4845</v>
      </c>
      <c r="BU243" s="15" t="s">
        <v>405</v>
      </c>
      <c r="BV243" s="15"/>
      <c r="BW243" s="15" t="s">
        <v>406</v>
      </c>
      <c r="BX243" s="15" t="s">
        <v>1867</v>
      </c>
      <c r="BY243" s="15" t="s">
        <v>408</v>
      </c>
      <c r="BZ243" s="15"/>
      <c r="CA243" s="15" t="s">
        <v>5208</v>
      </c>
      <c r="CB243" s="15" t="s">
        <v>5209</v>
      </c>
      <c r="CC243" s="15" t="s">
        <v>5210</v>
      </c>
      <c r="CD243" s="15" t="s">
        <v>1931</v>
      </c>
      <c r="CE243" s="15" t="s">
        <v>5211</v>
      </c>
      <c r="CF243" s="15" t="s">
        <v>1697</v>
      </c>
      <c r="CG243" s="15"/>
      <c r="CH243" s="15" t="s">
        <v>1698</v>
      </c>
      <c r="CI243" s="15" t="s">
        <v>410</v>
      </c>
      <c r="CJ243" s="15" t="s">
        <v>2506</v>
      </c>
      <c r="CK243" s="15" t="s">
        <v>5212</v>
      </c>
      <c r="CL243" s="15"/>
      <c r="CM243" s="15"/>
      <c r="CN243" s="15"/>
      <c r="CO243" s="15"/>
      <c r="CP243" s="15"/>
      <c r="CQ243" s="15"/>
      <c r="CR243" s="15"/>
      <c r="CS243" s="15"/>
      <c r="CT243" s="15"/>
      <c r="CU243" s="15"/>
      <c r="CV243" s="15"/>
      <c r="CW243" s="15"/>
      <c r="CX243" s="15"/>
      <c r="CY243" s="15"/>
      <c r="CZ243" s="15"/>
      <c r="DA243" s="15"/>
      <c r="DB243" s="15"/>
      <c r="DC243" s="15"/>
      <c r="DD243" s="15"/>
      <c r="DE243" s="15"/>
      <c r="DF243" s="15"/>
      <c r="DG243" s="15"/>
      <c r="DH243" s="15"/>
      <c r="DI243" s="15"/>
      <c r="DJ243" s="15"/>
      <c r="DK243" s="15"/>
      <c r="DL243" s="15"/>
      <c r="DM243" s="15"/>
      <c r="DN243" s="15"/>
      <c r="DO243" s="15"/>
      <c r="DP243" s="15"/>
      <c r="DQ243" s="15"/>
      <c r="DR243" s="15"/>
      <c r="DS243" s="15"/>
      <c r="DT243" s="15"/>
      <c r="DU243" s="15"/>
      <c r="DV243" s="15"/>
      <c r="DW243" s="15"/>
      <c r="DX243" s="15"/>
      <c r="DY243" s="15"/>
      <c r="DZ243" s="15"/>
      <c r="EA243" s="15"/>
      <c r="EB243" s="15"/>
      <c r="EC243" s="15"/>
      <c r="ED243" s="15"/>
      <c r="EE243" s="15"/>
      <c r="EF243" s="15"/>
      <c r="EG243" s="15"/>
      <c r="EH243" s="15"/>
      <c r="EI243" s="15"/>
      <c r="EJ243" s="15"/>
      <c r="EK243" s="15"/>
      <c r="EL243" s="15"/>
      <c r="EM243" s="15"/>
      <c r="EN243" s="15"/>
      <c r="EO243" s="15"/>
      <c r="EP243" s="15"/>
      <c r="EQ243" s="15"/>
      <c r="ER243" s="15"/>
      <c r="ES243" s="15"/>
      <c r="ET243" s="15" t="s">
        <v>578</v>
      </c>
      <c r="EU243" s="15" t="s">
        <v>579</v>
      </c>
      <c r="EV243" s="15" t="s">
        <v>663</v>
      </c>
      <c r="EW243" s="15"/>
      <c r="EX243" s="15" t="s">
        <v>5213</v>
      </c>
      <c r="EY243" s="15" t="s">
        <v>5214</v>
      </c>
      <c r="EZ243" s="15" t="s">
        <v>413</v>
      </c>
      <c r="FA243" s="15" t="s">
        <v>413</v>
      </c>
      <c r="FB243" s="15" t="s">
        <v>413</v>
      </c>
      <c r="FC243" s="15" t="s">
        <v>413</v>
      </c>
      <c r="FD243" s="15" t="s">
        <v>413</v>
      </c>
      <c r="FE243" s="15" t="s">
        <v>415</v>
      </c>
      <c r="FF243" s="15" t="s">
        <v>413</v>
      </c>
      <c r="FG243" s="15" t="s">
        <v>413</v>
      </c>
      <c r="FH243" s="15" t="s">
        <v>413</v>
      </c>
      <c r="FI243" s="15" t="s">
        <v>413</v>
      </c>
      <c r="FJ243" s="15" t="s">
        <v>413</v>
      </c>
      <c r="FK243" s="15" t="s">
        <v>413</v>
      </c>
      <c r="FL243" s="15" t="s">
        <v>413</v>
      </c>
      <c r="FM243" s="15" t="s">
        <v>413</v>
      </c>
      <c r="FN243" s="15" t="s">
        <v>413</v>
      </c>
      <c r="FO243" s="15" t="s">
        <v>417</v>
      </c>
      <c r="FP243" s="15" t="s">
        <v>418</v>
      </c>
      <c r="FQ243" s="15" t="s">
        <v>1039</v>
      </c>
      <c r="FR243" s="15" t="s">
        <v>5215</v>
      </c>
      <c r="FS243" s="15" t="s">
        <v>420</v>
      </c>
      <c r="FT243" s="15" t="s">
        <v>1462</v>
      </c>
      <c r="FU243" s="15" t="s">
        <v>1235</v>
      </c>
      <c r="FV243" s="15" t="s">
        <v>490</v>
      </c>
      <c r="FW243" s="15" t="s">
        <v>491</v>
      </c>
      <c r="FX243" s="15" t="s">
        <v>5216</v>
      </c>
      <c r="FY243" s="15" t="s">
        <v>535</v>
      </c>
      <c r="FZ243" s="15" t="s">
        <v>5217</v>
      </c>
      <c r="GA243" s="15"/>
      <c r="GB243" s="15" t="s">
        <v>455</v>
      </c>
      <c r="GC243" s="15"/>
      <c r="GD243" s="15"/>
      <c r="GE243" s="15" t="s">
        <v>753</v>
      </c>
      <c r="GF243" s="15" t="s">
        <v>5218</v>
      </c>
      <c r="GG243" s="15"/>
      <c r="GH243" s="15"/>
      <c r="GI243" s="15"/>
      <c r="GJ243" s="15" t="s">
        <v>755</v>
      </c>
      <c r="GK243" s="15" t="s">
        <v>755</v>
      </c>
      <c r="GL243" s="15" t="s">
        <v>817</v>
      </c>
      <c r="GM243" s="15"/>
      <c r="GN243" s="15" t="s">
        <v>5204</v>
      </c>
      <c r="GO243" s="15" t="s">
        <v>5204</v>
      </c>
      <c r="GP243" s="15"/>
      <c r="GQ243" s="32" t="s">
        <v>5219</v>
      </c>
      <c r="GR243" s="15" t="s">
        <v>5170</v>
      </c>
      <c r="GS243" s="15" t="s">
        <v>5220</v>
      </c>
      <c r="GT243" s="15"/>
      <c r="GU243" s="15"/>
      <c r="GV243" s="15"/>
      <c r="GW243" s="15"/>
      <c r="GX243" s="15"/>
      <c r="GY243" s="15"/>
      <c r="GZ243" s="15"/>
      <c r="HA243" s="15"/>
      <c r="HB243" s="15"/>
      <c r="HC243" s="15"/>
      <c r="HD243" s="15"/>
      <c r="HE243" s="15"/>
      <c r="HF243" s="15"/>
      <c r="HG243" s="15"/>
      <c r="HH243" s="15"/>
      <c r="HI243" s="15"/>
      <c r="HJ243" s="15"/>
      <c r="HK243" s="15"/>
      <c r="HL243" s="15"/>
      <c r="HM243" s="15"/>
      <c r="HN243" s="15"/>
      <c r="HO243" s="15"/>
      <c r="HP243" s="31"/>
      <c r="MX243" s="29" t="s">
        <v>10402</v>
      </c>
      <c r="MY243" s="29" t="str">
        <f>IFERROR(__xludf.DUMMYFUNCTION("""COMPUTED_VALUE"""),"Vermont")</f>
        <v>Vermont</v>
      </c>
    </row>
    <row r="244" ht="16.5" customHeight="1">
      <c r="A244" s="33">
        <v>45864.54673815973</v>
      </c>
      <c r="B244" s="29" t="s">
        <v>368</v>
      </c>
      <c r="C244" s="29" t="s">
        <v>370</v>
      </c>
      <c r="D244" s="29" t="s">
        <v>370</v>
      </c>
      <c r="E244" s="29" t="s">
        <v>5221</v>
      </c>
      <c r="F244" s="29" t="s">
        <v>5221</v>
      </c>
      <c r="G244" s="29" t="s">
        <v>422</v>
      </c>
      <c r="H244" s="29" t="s">
        <v>637</v>
      </c>
      <c r="I244" s="29" t="s">
        <v>638</v>
      </c>
      <c r="J244" s="29" t="s">
        <v>425</v>
      </c>
      <c r="K244" s="29" t="s">
        <v>376</v>
      </c>
      <c r="L244" s="29" t="s">
        <v>793</v>
      </c>
      <c r="M244" s="29" t="s">
        <v>639</v>
      </c>
      <c r="N244" s="29" t="s">
        <v>591</v>
      </c>
      <c r="O244" s="29" t="s">
        <v>4228</v>
      </c>
      <c r="P244" s="29" t="s">
        <v>498</v>
      </c>
      <c r="Q244" s="29" t="s">
        <v>862</v>
      </c>
      <c r="R244" s="29" t="s">
        <v>1197</v>
      </c>
      <c r="S244" s="29" t="s">
        <v>384</v>
      </c>
      <c r="T244" s="29" t="s">
        <v>385</v>
      </c>
      <c r="U244" s="29"/>
      <c r="V244" s="29"/>
      <c r="W244" s="29" t="s">
        <v>3014</v>
      </c>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t="s">
        <v>1310</v>
      </c>
      <c r="AW244" s="29" t="s">
        <v>675</v>
      </c>
      <c r="AX244" s="29">
        <v>4.0</v>
      </c>
      <c r="AY244" s="29" t="s">
        <v>675</v>
      </c>
      <c r="AZ244" s="29" t="s">
        <v>675</v>
      </c>
      <c r="BA244" s="29" t="s">
        <v>675</v>
      </c>
      <c r="BB244" s="29" t="s">
        <v>675</v>
      </c>
      <c r="BC244" s="29" t="s">
        <v>5222</v>
      </c>
      <c r="BD244" s="29"/>
      <c r="BE244" s="29" t="s">
        <v>392</v>
      </c>
      <c r="BF244" s="29" t="s">
        <v>1095</v>
      </c>
      <c r="BG244" s="29" t="s">
        <v>394</v>
      </c>
      <c r="BH244" s="29"/>
      <c r="BI244" s="29" t="s">
        <v>824</v>
      </c>
      <c r="BJ244" s="29"/>
      <c r="BK244" s="29" t="s">
        <v>511</v>
      </c>
      <c r="BL244" s="29" t="s">
        <v>603</v>
      </c>
      <c r="BM244" s="29" t="s">
        <v>1314</v>
      </c>
      <c r="BN244" s="29" t="s">
        <v>398</v>
      </c>
      <c r="BO244" s="29" t="s">
        <v>5223</v>
      </c>
      <c r="BP244" s="29" t="s">
        <v>408</v>
      </c>
      <c r="BQ244" s="29" t="s">
        <v>442</v>
      </c>
      <c r="BR244" s="29" t="s">
        <v>1761</v>
      </c>
      <c r="BS244" s="29" t="s">
        <v>1741</v>
      </c>
      <c r="BT244" s="29" t="s">
        <v>404</v>
      </c>
      <c r="BU244" s="29" t="s">
        <v>405</v>
      </c>
      <c r="BV244" s="29"/>
      <c r="BW244" s="29" t="s">
        <v>406</v>
      </c>
      <c r="BX244" s="29" t="s">
        <v>2503</v>
      </c>
      <c r="BY244" s="29" t="s">
        <v>408</v>
      </c>
      <c r="BZ244" s="29"/>
      <c r="CA244" s="29"/>
      <c r="CB244" s="29" t="s">
        <v>5224</v>
      </c>
      <c r="CC244" s="29" t="s">
        <v>5225</v>
      </c>
      <c r="CD244" s="29" t="s">
        <v>409</v>
      </c>
      <c r="CE244" s="29" t="s">
        <v>5226</v>
      </c>
      <c r="CF244" s="29" t="s">
        <v>1258</v>
      </c>
      <c r="CG244" s="29"/>
      <c r="CH244" s="29" t="s">
        <v>1259</v>
      </c>
      <c r="CI244" s="29" t="s">
        <v>410</v>
      </c>
      <c r="CJ244" s="29" t="s">
        <v>5227</v>
      </c>
      <c r="CK244" s="29" t="s">
        <v>5228</v>
      </c>
      <c r="CL244" s="29"/>
      <c r="CM244" s="29"/>
      <c r="CN244" s="29"/>
      <c r="CO244" s="29"/>
      <c r="CP244" s="29"/>
      <c r="CQ244" s="29"/>
      <c r="CR244" s="29"/>
      <c r="CS244" s="29"/>
      <c r="CT244" s="29"/>
      <c r="CU244" s="29"/>
      <c r="CV244" s="29"/>
      <c r="CW244" s="29"/>
      <c r="CX244" s="29"/>
      <c r="CY244" s="29"/>
      <c r="CZ244" s="29"/>
      <c r="DA244" s="29"/>
      <c r="DB244" s="29"/>
      <c r="DC244" s="29"/>
      <c r="DD244" s="29"/>
      <c r="DE244" s="29"/>
      <c r="DF244" s="29"/>
      <c r="DG244" s="29"/>
      <c r="DH244" s="29"/>
      <c r="DI244" s="29"/>
      <c r="DJ244" s="29"/>
      <c r="DK244" s="29"/>
      <c r="DL244" s="29"/>
      <c r="DM244" s="29"/>
      <c r="DN244" s="29"/>
      <c r="DO244" s="29"/>
      <c r="DP244" s="29"/>
      <c r="DQ244" s="29"/>
      <c r="DR244" s="29"/>
      <c r="DS244" s="29"/>
      <c r="DT244" s="29"/>
      <c r="DU244" s="29"/>
      <c r="DV244" s="29"/>
      <c r="DW244" s="29"/>
      <c r="DX244" s="29"/>
      <c r="DY244" s="29"/>
      <c r="DZ244" s="29"/>
      <c r="EA244" s="29"/>
      <c r="EB244" s="29"/>
      <c r="EC244" s="29"/>
      <c r="ED244" s="29"/>
      <c r="EE244" s="29"/>
      <c r="EF244" s="29"/>
      <c r="EG244" s="29"/>
      <c r="EH244" s="29"/>
      <c r="EI244" s="29"/>
      <c r="EJ244" s="29"/>
      <c r="EK244" s="29"/>
      <c r="EL244" s="29"/>
      <c r="EM244" s="29"/>
      <c r="EN244" s="29"/>
      <c r="EO244" s="29"/>
      <c r="EP244" s="29"/>
      <c r="EQ244" s="29"/>
      <c r="ER244" s="29"/>
      <c r="ES244" s="29"/>
      <c r="ET244" s="29" t="s">
        <v>578</v>
      </c>
      <c r="EU244" s="29" t="s">
        <v>887</v>
      </c>
      <c r="EV244" s="29" t="s">
        <v>580</v>
      </c>
      <c r="EW244" s="29"/>
      <c r="EX244" s="29" t="s">
        <v>5229</v>
      </c>
      <c r="EY244" s="29" t="s">
        <v>5229</v>
      </c>
      <c r="EZ244" s="29" t="s">
        <v>416</v>
      </c>
      <c r="FA244" s="29" t="s">
        <v>583</v>
      </c>
      <c r="FB244" s="29" t="s">
        <v>414</v>
      </c>
      <c r="FC244" s="29" t="s">
        <v>414</v>
      </c>
      <c r="FD244" s="29" t="s">
        <v>413</v>
      </c>
      <c r="FE244" s="29" t="s">
        <v>414</v>
      </c>
      <c r="FF244" s="29" t="s">
        <v>413</v>
      </c>
      <c r="FG244" s="29" t="s">
        <v>413</v>
      </c>
      <c r="FH244" s="29" t="s">
        <v>583</v>
      </c>
      <c r="FI244" s="29" t="s">
        <v>414</v>
      </c>
      <c r="FJ244" s="29" t="s">
        <v>415</v>
      </c>
      <c r="FK244" s="29" t="s">
        <v>413</v>
      </c>
      <c r="FL244" s="29" t="s">
        <v>413</v>
      </c>
      <c r="FM244" s="29" t="s">
        <v>413</v>
      </c>
      <c r="FN244" s="29" t="s">
        <v>583</v>
      </c>
      <c r="FO244" s="29" t="s">
        <v>485</v>
      </c>
      <c r="FP244" s="29" t="s">
        <v>418</v>
      </c>
      <c r="FQ244" s="29" t="s">
        <v>749</v>
      </c>
      <c r="FR244" s="29"/>
      <c r="FS244" s="29" t="s">
        <v>420</v>
      </c>
      <c r="FT244" s="29" t="s">
        <v>488</v>
      </c>
      <c r="FU244" s="29" t="s">
        <v>489</v>
      </c>
      <c r="FV244" s="29" t="s">
        <v>490</v>
      </c>
      <c r="FW244" s="29" t="s">
        <v>491</v>
      </c>
      <c r="FX244" s="29" t="s">
        <v>5230</v>
      </c>
      <c r="FY244" s="29" t="s">
        <v>535</v>
      </c>
      <c r="FZ244" s="29"/>
      <c r="GA244" s="29"/>
      <c r="GB244" s="29" t="s">
        <v>408</v>
      </c>
      <c r="GC244" s="29"/>
      <c r="GD244" s="29"/>
      <c r="GE244" s="29"/>
      <c r="GF244" s="29"/>
      <c r="GG244" s="29"/>
      <c r="GH244" s="29"/>
      <c r="GI244" s="29"/>
      <c r="GJ244" s="29"/>
      <c r="GK244" s="29" t="s">
        <v>920</v>
      </c>
      <c r="GL244" s="29" t="s">
        <v>817</v>
      </c>
      <c r="GM244" s="29"/>
      <c r="GN244" s="29"/>
      <c r="GO244" s="29"/>
      <c r="GP244" s="29"/>
      <c r="GQ244" s="29" t="s">
        <v>3273</v>
      </c>
      <c r="GR244" s="29" t="s">
        <v>4774</v>
      </c>
      <c r="GS244" s="29"/>
      <c r="GT244" s="29"/>
      <c r="GU244" s="29"/>
      <c r="HP244" s="31"/>
      <c r="MX244" s="29" t="s">
        <v>10402</v>
      </c>
      <c r="MY244" s="29" t="str">
        <f>IFERROR(__xludf.DUMMYFUNCTION("""COMPUTED_VALUE"""),"Washington")</f>
        <v>Washington</v>
      </c>
    </row>
    <row r="245" ht="16.5" customHeight="1">
      <c r="A245" s="33">
        <v>45864.76644127315</v>
      </c>
      <c r="B245" s="29" t="s">
        <v>368</v>
      </c>
      <c r="C245" s="29" t="s">
        <v>370</v>
      </c>
      <c r="D245" s="29" t="s">
        <v>370</v>
      </c>
      <c r="E245" s="29" t="s">
        <v>1421</v>
      </c>
      <c r="F245" s="29" t="s">
        <v>1421</v>
      </c>
      <c r="G245" s="29" t="s">
        <v>422</v>
      </c>
      <c r="H245" s="29" t="s">
        <v>496</v>
      </c>
      <c r="I245" s="29" t="s">
        <v>424</v>
      </c>
      <c r="J245" s="29" t="s">
        <v>375</v>
      </c>
      <c r="K245" s="29" t="s">
        <v>376</v>
      </c>
      <c r="L245" s="29" t="s">
        <v>377</v>
      </c>
      <c r="M245" s="29" t="s">
        <v>2539</v>
      </c>
      <c r="N245" s="29" t="s">
        <v>377</v>
      </c>
      <c r="O245" s="29" t="s">
        <v>380</v>
      </c>
      <c r="P245" s="29" t="s">
        <v>381</v>
      </c>
      <c r="Q245" s="29" t="s">
        <v>499</v>
      </c>
      <c r="R245" s="29" t="s">
        <v>949</v>
      </c>
      <c r="S245" s="29" t="s">
        <v>384</v>
      </c>
      <c r="T245" s="29" t="s">
        <v>385</v>
      </c>
      <c r="U245" s="29"/>
      <c r="V245" s="29"/>
      <c r="W245" s="29" t="s">
        <v>386</v>
      </c>
      <c r="X245" s="29" t="s">
        <v>387</v>
      </c>
      <c r="Y245" s="29" t="s">
        <v>388</v>
      </c>
      <c r="Z245" s="29" t="s">
        <v>543</v>
      </c>
      <c r="AA245" s="29" t="s">
        <v>5240</v>
      </c>
      <c r="AB245" s="29" t="s">
        <v>5241</v>
      </c>
      <c r="AC245" s="29"/>
      <c r="AD245" s="29"/>
      <c r="AE245" s="29"/>
      <c r="AF245" s="29"/>
      <c r="AG245" s="29"/>
      <c r="AH245" s="29"/>
      <c r="AI245" s="29"/>
      <c r="AJ245" s="29"/>
      <c r="AK245" s="29"/>
      <c r="AL245" s="29"/>
      <c r="AM245" s="29"/>
      <c r="AN245" s="29"/>
      <c r="AO245" s="29"/>
      <c r="AP245" s="29"/>
      <c r="AQ245" s="29"/>
      <c r="AR245" s="29"/>
      <c r="AS245" s="29"/>
      <c r="AT245" s="29"/>
      <c r="AU245" s="29"/>
      <c r="AV245" s="29" t="s">
        <v>1242</v>
      </c>
      <c r="AW245" s="29" t="s">
        <v>675</v>
      </c>
      <c r="AX245" s="29" t="s">
        <v>675</v>
      </c>
      <c r="AY245" s="29" t="s">
        <v>675</v>
      </c>
      <c r="AZ245" s="29" t="s">
        <v>675</v>
      </c>
      <c r="BA245" s="29" t="s">
        <v>675</v>
      </c>
      <c r="BB245" s="29" t="s">
        <v>675</v>
      </c>
      <c r="BC245" s="29"/>
      <c r="BD245" s="29"/>
      <c r="BE245" s="29" t="s">
        <v>432</v>
      </c>
      <c r="BF245" s="29" t="s">
        <v>1047</v>
      </c>
      <c r="BG245" s="29" t="s">
        <v>434</v>
      </c>
      <c r="BH245" s="29" t="s">
        <v>5242</v>
      </c>
      <c r="BI245" s="29" t="s">
        <v>976</v>
      </c>
      <c r="BJ245" s="29"/>
      <c r="BK245" s="29" t="s">
        <v>681</v>
      </c>
      <c r="BL245" s="29" t="s">
        <v>904</v>
      </c>
      <c r="BM245" s="29" t="s">
        <v>1247</v>
      </c>
      <c r="BN245" s="29" t="s">
        <v>398</v>
      </c>
      <c r="BO245" s="29" t="s">
        <v>5243</v>
      </c>
      <c r="BP245" s="29" t="s">
        <v>5244</v>
      </c>
      <c r="BQ245" s="29" t="s">
        <v>604</v>
      </c>
      <c r="BR245" s="29" t="s">
        <v>5245</v>
      </c>
      <c r="BS245" s="29" t="s">
        <v>1671</v>
      </c>
      <c r="BT245" s="29" t="s">
        <v>1742</v>
      </c>
      <c r="BU245" s="29" t="s">
        <v>405</v>
      </c>
      <c r="BV245" s="29"/>
      <c r="BW245" s="29" t="s">
        <v>988</v>
      </c>
      <c r="BX245" s="29"/>
      <c r="BY245" s="29" t="s">
        <v>455</v>
      </c>
      <c r="BZ245" s="29" t="s">
        <v>5246</v>
      </c>
      <c r="CA245" s="29" t="s">
        <v>5247</v>
      </c>
      <c r="CB245" s="29" t="s">
        <v>5248</v>
      </c>
      <c r="CC245" s="29" t="s">
        <v>5249</v>
      </c>
      <c r="CD245" s="29" t="s">
        <v>1257</v>
      </c>
      <c r="CE245" s="29"/>
      <c r="CF245" s="29" t="s">
        <v>1722</v>
      </c>
      <c r="CG245" s="29"/>
      <c r="CH245" s="29"/>
      <c r="CI245" s="29" t="s">
        <v>410</v>
      </c>
      <c r="CJ245" s="29" t="s">
        <v>5250</v>
      </c>
      <c r="CK245" s="29" t="s">
        <v>5251</v>
      </c>
      <c r="CL245" s="29"/>
      <c r="CM245" s="29"/>
      <c r="CN245" s="29"/>
      <c r="CO245" s="29"/>
      <c r="CP245" s="29"/>
      <c r="CQ245" s="29"/>
      <c r="CR245" s="29"/>
      <c r="CS245" s="29"/>
      <c r="CT245" s="29"/>
      <c r="CU245" s="29"/>
      <c r="CV245" s="29"/>
      <c r="CW245" s="29"/>
      <c r="CX245" s="29"/>
      <c r="CY245" s="29"/>
      <c r="CZ245" s="29"/>
      <c r="DA245" s="29"/>
      <c r="DB245" s="29"/>
      <c r="DC245" s="29"/>
      <c r="DD245" s="29"/>
      <c r="DE245" s="29"/>
      <c r="DF245" s="29"/>
      <c r="DG245" s="29"/>
      <c r="DH245" s="29"/>
      <c r="DI245" s="29"/>
      <c r="DJ245" s="29"/>
      <c r="DK245" s="29"/>
      <c r="DL245" s="29"/>
      <c r="DM245" s="29"/>
      <c r="DN245" s="29"/>
      <c r="DO245" s="29"/>
      <c r="DP245" s="29"/>
      <c r="DQ245" s="29"/>
      <c r="DR245" s="29"/>
      <c r="DS245" s="29"/>
      <c r="DT245" s="29"/>
      <c r="DU245" s="29"/>
      <c r="DV245" s="29"/>
      <c r="DW245" s="29"/>
      <c r="DX245" s="29"/>
      <c r="DY245" s="29"/>
      <c r="DZ245" s="29"/>
      <c r="EA245" s="29"/>
      <c r="EB245" s="29"/>
      <c r="EC245" s="29"/>
      <c r="ED245" s="29"/>
      <c r="EE245" s="29"/>
      <c r="EF245" s="29"/>
      <c r="EG245" s="29"/>
      <c r="EH245" s="29"/>
      <c r="EI245" s="29"/>
      <c r="EJ245" s="29"/>
      <c r="EK245" s="29"/>
      <c r="EL245" s="29"/>
      <c r="EM245" s="29"/>
      <c r="EN245" s="29"/>
      <c r="EO245" s="29"/>
      <c r="EP245" s="29"/>
      <c r="EQ245" s="29"/>
      <c r="ER245" s="29"/>
      <c r="ES245" s="29"/>
      <c r="ET245" s="29" t="s">
        <v>526</v>
      </c>
      <c r="EU245" s="29" t="s">
        <v>479</v>
      </c>
      <c r="EV245" s="29" t="s">
        <v>480</v>
      </c>
      <c r="EW245" s="29" t="s">
        <v>5252</v>
      </c>
      <c r="EX245" s="29" t="s">
        <v>5253</v>
      </c>
      <c r="EY245" s="29" t="s">
        <v>5254</v>
      </c>
      <c r="EZ245" s="29" t="s">
        <v>413</v>
      </c>
      <c r="FA245" s="29" t="s">
        <v>416</v>
      </c>
      <c r="FB245" s="29" t="s">
        <v>413</v>
      </c>
      <c r="FC245" s="29" t="s">
        <v>413</v>
      </c>
      <c r="FD245" s="29" t="s">
        <v>413</v>
      </c>
      <c r="FE245" s="29" t="s">
        <v>413</v>
      </c>
      <c r="FF245" s="29" t="s">
        <v>413</v>
      </c>
      <c r="FG245" s="29" t="s">
        <v>415</v>
      </c>
      <c r="FH245" s="29" t="s">
        <v>415</v>
      </c>
      <c r="FI245" s="29" t="s">
        <v>583</v>
      </c>
      <c r="FJ245" s="29" t="s">
        <v>416</v>
      </c>
      <c r="FK245" s="29" t="s">
        <v>415</v>
      </c>
      <c r="FL245" s="29" t="s">
        <v>583</v>
      </c>
      <c r="FM245" s="29" t="s">
        <v>415</v>
      </c>
      <c r="FN245" s="29" t="s">
        <v>583</v>
      </c>
      <c r="FO245" s="29" t="s">
        <v>417</v>
      </c>
      <c r="FP245" s="29" t="s">
        <v>418</v>
      </c>
      <c r="FQ245" s="29" t="s">
        <v>749</v>
      </c>
      <c r="FR245" s="29" t="s">
        <v>5255</v>
      </c>
      <c r="FS245" s="29" t="s">
        <v>420</v>
      </c>
      <c r="FT245" s="29" t="s">
        <v>1462</v>
      </c>
      <c r="FU245" s="29" t="s">
        <v>489</v>
      </c>
      <c r="FV245" s="29" t="s">
        <v>490</v>
      </c>
      <c r="FW245" s="29" t="s">
        <v>491</v>
      </c>
      <c r="FX245" s="29" t="s">
        <v>5256</v>
      </c>
      <c r="FY245" s="29" t="s">
        <v>535</v>
      </c>
      <c r="FZ245" s="29" t="s">
        <v>5257</v>
      </c>
      <c r="GA245" s="29" t="s">
        <v>5258</v>
      </c>
      <c r="GB245" s="29" t="s">
        <v>455</v>
      </c>
      <c r="GC245" s="29"/>
      <c r="GD245" s="29" t="s">
        <v>5259</v>
      </c>
      <c r="GE245" s="29" t="s">
        <v>1339</v>
      </c>
      <c r="GF245" s="29"/>
      <c r="GG245" s="29"/>
      <c r="GH245" s="29"/>
      <c r="GI245" s="29"/>
      <c r="GJ245" s="29" t="s">
        <v>755</v>
      </c>
      <c r="GK245" s="29" t="s">
        <v>755</v>
      </c>
      <c r="GL245" s="29" t="s">
        <v>817</v>
      </c>
      <c r="GM245" s="29"/>
      <c r="GN245" s="29"/>
      <c r="GO245" s="29"/>
      <c r="GP245" s="29"/>
      <c r="GQ245" s="29" t="s">
        <v>3208</v>
      </c>
      <c r="GR245" s="29" t="s">
        <v>4774</v>
      </c>
      <c r="GS245" s="29"/>
      <c r="GT245" s="29"/>
      <c r="GU245" s="29"/>
      <c r="HP245" s="31"/>
      <c r="MX245" s="29" t="s">
        <v>2796</v>
      </c>
      <c r="MY245" s="29" t="str">
        <f>IFERROR(__xludf.DUMMYFUNCTION("""COMPUTED_VALUE"""),"Poland")</f>
        <v>Poland</v>
      </c>
    </row>
    <row r="246" ht="16.5" customHeight="1">
      <c r="A246" s="33">
        <v>45865.26090908565</v>
      </c>
      <c r="B246" s="29" t="s">
        <v>368</v>
      </c>
      <c r="C246" s="29" t="s">
        <v>2796</v>
      </c>
      <c r="D246" s="29" t="s">
        <v>2796</v>
      </c>
      <c r="E246" s="29"/>
      <c r="F246" s="29"/>
      <c r="G246" s="29" t="s">
        <v>422</v>
      </c>
      <c r="H246" s="29" t="s">
        <v>373</v>
      </c>
      <c r="I246" s="29" t="s">
        <v>638</v>
      </c>
      <c r="J246" s="29" t="s">
        <v>375</v>
      </c>
      <c r="K246" s="29" t="s">
        <v>376</v>
      </c>
      <c r="L246" s="29" t="s">
        <v>426</v>
      </c>
      <c r="M246" s="29" t="s">
        <v>720</v>
      </c>
      <c r="N246" s="29" t="s">
        <v>426</v>
      </c>
      <c r="O246" s="29" t="s">
        <v>380</v>
      </c>
      <c r="P246" s="29" t="s">
        <v>381</v>
      </c>
      <c r="Q246" s="29" t="s">
        <v>1156</v>
      </c>
      <c r="R246" s="29" t="s">
        <v>949</v>
      </c>
      <c r="S246" s="29" t="s">
        <v>384</v>
      </c>
      <c r="T246" s="29" t="s">
        <v>385</v>
      </c>
      <c r="U246" s="29"/>
      <c r="V246" s="29"/>
      <c r="W246" s="29" t="s">
        <v>386</v>
      </c>
      <c r="X246" s="29" t="s">
        <v>387</v>
      </c>
      <c r="Y246" s="29" t="s">
        <v>388</v>
      </c>
      <c r="Z246" s="29" t="s">
        <v>389</v>
      </c>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t="s">
        <v>1310</v>
      </c>
      <c r="AW246" s="29">
        <v>4.0</v>
      </c>
      <c r="AX246" s="29" t="s">
        <v>391</v>
      </c>
      <c r="AY246" s="29" t="s">
        <v>391</v>
      </c>
      <c r="AZ246" s="29" t="s">
        <v>429</v>
      </c>
      <c r="BA246" s="29" t="s">
        <v>429</v>
      </c>
      <c r="BB246" s="29" t="s">
        <v>391</v>
      </c>
      <c r="BC246" s="29" t="s">
        <v>5266</v>
      </c>
      <c r="BD246" s="29" t="s">
        <v>5267</v>
      </c>
      <c r="BE246" s="29" t="s">
        <v>902</v>
      </c>
      <c r="BF246" s="29" t="s">
        <v>393</v>
      </c>
      <c r="BG246" s="29" t="s">
        <v>765</v>
      </c>
      <c r="BH246" s="29"/>
      <c r="BI246" s="29" t="s">
        <v>976</v>
      </c>
      <c r="BJ246" s="29"/>
      <c r="BK246" s="29" t="s">
        <v>437</v>
      </c>
      <c r="BL246" s="29" t="s">
        <v>603</v>
      </c>
      <c r="BM246" s="29" t="s">
        <v>1247</v>
      </c>
      <c r="BN246" s="29" t="s">
        <v>513</v>
      </c>
      <c r="BO246" s="29"/>
      <c r="BP246" s="29"/>
      <c r="BQ246" s="29"/>
      <c r="BR246" s="29"/>
      <c r="BS246" s="29"/>
      <c r="BT246" s="29"/>
      <c r="BU246" s="29"/>
      <c r="BV246" s="29"/>
      <c r="BW246" s="29"/>
      <c r="BX246" s="29"/>
      <c r="BY246" s="29"/>
      <c r="BZ246" s="29"/>
      <c r="CA246" s="29"/>
      <c r="CB246" s="29"/>
      <c r="CC246" s="29"/>
      <c r="CD246" s="29"/>
      <c r="CE246" s="29"/>
      <c r="CF246" s="29"/>
      <c r="CG246" s="29"/>
      <c r="CH246" s="29"/>
      <c r="CI246" s="29"/>
      <c r="CJ246" s="29"/>
      <c r="CK246" s="29"/>
      <c r="CL246" s="29" t="s">
        <v>550</v>
      </c>
      <c r="CM246" s="29" t="s">
        <v>604</v>
      </c>
      <c r="CN246" s="29" t="s">
        <v>5268</v>
      </c>
      <c r="CO246" s="29" t="s">
        <v>5269</v>
      </c>
      <c r="CP246" s="29" t="s">
        <v>1008</v>
      </c>
      <c r="CQ246" s="29" t="s">
        <v>5270</v>
      </c>
      <c r="CR246" s="29" t="s">
        <v>404</v>
      </c>
      <c r="CS246" s="29" t="s">
        <v>1851</v>
      </c>
      <c r="CT246" s="29" t="s">
        <v>5271</v>
      </c>
      <c r="CU246" s="29" t="s">
        <v>1961</v>
      </c>
      <c r="CV246" s="29" t="s">
        <v>409</v>
      </c>
      <c r="CW246" s="29" t="s">
        <v>5272</v>
      </c>
      <c r="CX246" s="29" t="s">
        <v>408</v>
      </c>
      <c r="CY246" s="29"/>
      <c r="CZ246" s="29" t="s">
        <v>1962</v>
      </c>
      <c r="DA246" s="29"/>
      <c r="DB246" s="29" t="s">
        <v>455</v>
      </c>
      <c r="DC246" s="29" t="s">
        <v>5273</v>
      </c>
      <c r="DD246" s="29" t="s">
        <v>662</v>
      </c>
      <c r="DE246" s="29"/>
      <c r="DF246" s="29" t="s">
        <v>5274</v>
      </c>
      <c r="DG246" s="29" t="s">
        <v>990</v>
      </c>
      <c r="DH246" s="29" t="s">
        <v>410</v>
      </c>
      <c r="DI246" s="29" t="s">
        <v>963</v>
      </c>
      <c r="DJ246" s="29" t="s">
        <v>562</v>
      </c>
      <c r="DK246" s="29" t="s">
        <v>563</v>
      </c>
      <c r="DL246" s="29" t="s">
        <v>5275</v>
      </c>
      <c r="DM246" s="29"/>
      <c r="DN246" s="29"/>
      <c r="DO246" s="29"/>
      <c r="DP246" s="29"/>
      <c r="DQ246" s="29"/>
      <c r="DR246" s="29"/>
      <c r="DS246" s="29"/>
      <c r="DT246" s="29"/>
      <c r="DU246" s="29"/>
      <c r="DV246" s="29"/>
      <c r="DW246" s="29"/>
      <c r="DX246" s="29"/>
      <c r="DY246" s="29"/>
      <c r="DZ246" s="29"/>
      <c r="EA246" s="29"/>
      <c r="EB246" s="29"/>
      <c r="EC246" s="29"/>
      <c r="ED246" s="29"/>
      <c r="EE246" s="29"/>
      <c r="EF246" s="29"/>
      <c r="EG246" s="29"/>
      <c r="EH246" s="29"/>
      <c r="EI246" s="29"/>
      <c r="EJ246" s="29"/>
      <c r="EK246" s="29"/>
      <c r="EL246" s="29"/>
      <c r="EM246" s="29"/>
      <c r="EN246" s="29"/>
      <c r="EO246" s="29"/>
      <c r="EP246" s="29"/>
      <c r="EQ246" s="29"/>
      <c r="ER246" s="29"/>
      <c r="ES246" s="29"/>
      <c r="ET246" s="29" t="s">
        <v>578</v>
      </c>
      <c r="EU246" s="29" t="s">
        <v>579</v>
      </c>
      <c r="EV246" s="29" t="s">
        <v>1262</v>
      </c>
      <c r="EW246" s="29"/>
      <c r="EX246" s="29" t="s">
        <v>5276</v>
      </c>
      <c r="EY246" s="29" t="s">
        <v>5277</v>
      </c>
      <c r="EZ246" s="29" t="s">
        <v>415</v>
      </c>
      <c r="FA246" s="29" t="s">
        <v>414</v>
      </c>
      <c r="FB246" s="29" t="s">
        <v>416</v>
      </c>
      <c r="FC246" s="29" t="s">
        <v>414</v>
      </c>
      <c r="FD246" s="29" t="s">
        <v>413</v>
      </c>
      <c r="FE246" s="29" t="s">
        <v>583</v>
      </c>
      <c r="FF246" s="29" t="s">
        <v>583</v>
      </c>
      <c r="FG246" s="29" t="s">
        <v>583</v>
      </c>
      <c r="FH246" s="29" t="s">
        <v>413</v>
      </c>
      <c r="FI246" s="29" t="s">
        <v>413</v>
      </c>
      <c r="FJ246" s="29" t="s">
        <v>415</v>
      </c>
      <c r="FK246" s="29" t="s">
        <v>414</v>
      </c>
      <c r="FL246" s="29" t="s">
        <v>414</v>
      </c>
      <c r="FM246" s="29" t="s">
        <v>414</v>
      </c>
      <c r="FN246" s="29" t="s">
        <v>415</v>
      </c>
      <c r="FO246" s="29" t="s">
        <v>1074</v>
      </c>
      <c r="FP246" s="29" t="s">
        <v>418</v>
      </c>
      <c r="FQ246" s="29" t="s">
        <v>1039</v>
      </c>
      <c r="FR246" s="29" t="s">
        <v>5278</v>
      </c>
      <c r="FS246" s="29" t="s">
        <v>1076</v>
      </c>
      <c r="FT246" s="29" t="s">
        <v>1462</v>
      </c>
      <c r="FU246" s="29" t="s">
        <v>585</v>
      </c>
      <c r="FV246" s="29" t="s">
        <v>1101</v>
      </c>
      <c r="FW246" s="29" t="s">
        <v>1853</v>
      </c>
      <c r="FX246" s="29" t="s">
        <v>5279</v>
      </c>
      <c r="FY246" s="29" t="s">
        <v>493</v>
      </c>
      <c r="FZ246" s="29" t="s">
        <v>5280</v>
      </c>
      <c r="GA246" s="29"/>
      <c r="GB246" s="29" t="s">
        <v>408</v>
      </c>
      <c r="GC246" s="29"/>
      <c r="GD246" s="29"/>
      <c r="GE246" s="29"/>
      <c r="GF246" s="29"/>
      <c r="GG246" s="29" t="s">
        <v>788</v>
      </c>
      <c r="GH246" s="29" t="s">
        <v>788</v>
      </c>
      <c r="GI246" s="29" t="s">
        <v>817</v>
      </c>
      <c r="GJ246" s="29"/>
      <c r="GK246" s="29"/>
      <c r="GL246" s="29"/>
      <c r="GM246" s="29"/>
      <c r="GN246" s="29"/>
      <c r="GO246" s="29"/>
      <c r="GP246" s="29"/>
      <c r="GQ246" s="29" t="s">
        <v>3208</v>
      </c>
      <c r="GR246" s="29"/>
      <c r="GS246" s="29"/>
      <c r="GT246" s="29" t="s">
        <v>4774</v>
      </c>
      <c r="GU246" s="29"/>
      <c r="HP246" s="31"/>
      <c r="MX246" s="29" t="s">
        <v>10402</v>
      </c>
      <c r="MY246" s="29" t="str">
        <f>IFERROR(__xludf.DUMMYFUNCTION("""COMPUTED_VALUE"""),"Georgia")</f>
        <v>Georgia</v>
      </c>
    </row>
    <row r="247" ht="16.5" customHeight="1">
      <c r="A247" s="33">
        <v>45865.286593275465</v>
      </c>
      <c r="B247" s="29" t="s">
        <v>368</v>
      </c>
      <c r="C247" s="29" t="s">
        <v>370</v>
      </c>
      <c r="D247" s="29" t="s">
        <v>370</v>
      </c>
      <c r="E247" s="29" t="s">
        <v>589</v>
      </c>
      <c r="F247" s="29" t="s">
        <v>589</v>
      </c>
      <c r="G247" s="29" t="s">
        <v>1023</v>
      </c>
      <c r="H247" s="29" t="s">
        <v>539</v>
      </c>
      <c r="I247" s="29" t="s">
        <v>424</v>
      </c>
      <c r="J247" s="29" t="s">
        <v>425</v>
      </c>
      <c r="K247" s="29" t="s">
        <v>376</v>
      </c>
      <c r="L247" s="29" t="s">
        <v>591</v>
      </c>
      <c r="M247" s="29" t="s">
        <v>378</v>
      </c>
      <c r="N247" s="29" t="s">
        <v>591</v>
      </c>
      <c r="O247" s="29" t="s">
        <v>639</v>
      </c>
      <c r="P247" s="29" t="s">
        <v>1760</v>
      </c>
      <c r="Q247" s="29" t="s">
        <v>1156</v>
      </c>
      <c r="R247" s="29" t="s">
        <v>427</v>
      </c>
      <c r="S247" s="29" t="s">
        <v>384</v>
      </c>
      <c r="T247" s="29" t="s">
        <v>385</v>
      </c>
      <c r="U247" s="29"/>
      <c r="V247" s="29"/>
      <c r="W247" s="29" t="s">
        <v>593</v>
      </c>
      <c r="X247" s="29" t="s">
        <v>387</v>
      </c>
      <c r="Y247" s="29" t="s">
        <v>2115</v>
      </c>
      <c r="Z247" s="29" t="s">
        <v>502</v>
      </c>
      <c r="AA247" s="29" t="s">
        <v>5288</v>
      </c>
      <c r="AB247" s="29" t="s">
        <v>5289</v>
      </c>
      <c r="AC247" s="29"/>
      <c r="AD247" s="29"/>
      <c r="AE247" s="29"/>
      <c r="AF247" s="29"/>
      <c r="AG247" s="29"/>
      <c r="AH247" s="29"/>
      <c r="AI247" s="29"/>
      <c r="AJ247" s="29"/>
      <c r="AK247" s="29"/>
      <c r="AL247" s="29"/>
      <c r="AM247" s="29"/>
      <c r="AN247" s="29"/>
      <c r="AO247" s="29"/>
      <c r="AP247" s="29"/>
      <c r="AQ247" s="29"/>
      <c r="AR247" s="29"/>
      <c r="AS247" s="29"/>
      <c r="AT247" s="29"/>
      <c r="AU247" s="29"/>
      <c r="AV247" s="29" t="s">
        <v>597</v>
      </c>
      <c r="AW247" s="29" t="s">
        <v>391</v>
      </c>
      <c r="AX247" s="29" t="s">
        <v>429</v>
      </c>
      <c r="AY247" s="29" t="s">
        <v>429</v>
      </c>
      <c r="AZ247" s="29" t="s">
        <v>429</v>
      </c>
      <c r="BA247" s="29" t="s">
        <v>429</v>
      </c>
      <c r="BB247" s="29" t="s">
        <v>429</v>
      </c>
      <c r="BC247" s="29"/>
      <c r="BD247" s="29"/>
      <c r="BE247" s="29" t="s">
        <v>392</v>
      </c>
      <c r="BF247" s="29" t="s">
        <v>393</v>
      </c>
      <c r="BG247" s="29" t="s">
        <v>765</v>
      </c>
      <c r="BH247" s="29"/>
      <c r="BI247" s="29" t="s">
        <v>509</v>
      </c>
      <c r="BJ247" s="29"/>
      <c r="BK247" s="29" t="s">
        <v>511</v>
      </c>
      <c r="BL247" s="29" t="s">
        <v>512</v>
      </c>
      <c r="BM247" s="29" t="s">
        <v>549</v>
      </c>
      <c r="BN247" s="29" t="s">
        <v>513</v>
      </c>
      <c r="BO247" s="29"/>
      <c r="BP247" s="29"/>
      <c r="BQ247" s="29"/>
      <c r="BR247" s="29"/>
      <c r="BS247" s="29"/>
      <c r="BT247" s="29"/>
      <c r="BU247" s="29"/>
      <c r="BV247" s="29"/>
      <c r="BW247" s="29"/>
      <c r="BX247" s="29"/>
      <c r="BY247" s="29"/>
      <c r="BZ247" s="29"/>
      <c r="CA247" s="29"/>
      <c r="CB247" s="29"/>
      <c r="CC247" s="29"/>
      <c r="CD247" s="29"/>
      <c r="CE247" s="29"/>
      <c r="CF247" s="29"/>
      <c r="CG247" s="29"/>
      <c r="CH247" s="29"/>
      <c r="CI247" s="29"/>
      <c r="CJ247" s="29"/>
      <c r="CK247" s="29"/>
      <c r="CL247" s="29" t="s">
        <v>441</v>
      </c>
      <c r="CM247" s="29" t="s">
        <v>442</v>
      </c>
      <c r="CN247" s="29"/>
      <c r="CO247" s="29" t="s">
        <v>5290</v>
      </c>
      <c r="CP247" s="29" t="s">
        <v>1008</v>
      </c>
      <c r="CQ247" s="29" t="s">
        <v>2064</v>
      </c>
      <c r="CR247" s="29" t="s">
        <v>447</v>
      </c>
      <c r="CS247" s="29" t="s">
        <v>5291</v>
      </c>
      <c r="CT247" s="29" t="s">
        <v>5292</v>
      </c>
      <c r="CU247" s="29" t="s">
        <v>519</v>
      </c>
      <c r="CV247" s="29" t="s">
        <v>451</v>
      </c>
      <c r="CW247" s="29" t="s">
        <v>5293</v>
      </c>
      <c r="CX247" s="29" t="s">
        <v>408</v>
      </c>
      <c r="CY247" s="29"/>
      <c r="CZ247" s="29" t="s">
        <v>1398</v>
      </c>
      <c r="DA247" s="29" t="s">
        <v>5294</v>
      </c>
      <c r="DB247" s="29" t="s">
        <v>408</v>
      </c>
      <c r="DC247" s="29"/>
      <c r="DD247" s="29" t="s">
        <v>406</v>
      </c>
      <c r="DE247" s="29" t="s">
        <v>1867</v>
      </c>
      <c r="DF247" s="29"/>
      <c r="DG247" s="29" t="s">
        <v>561</v>
      </c>
      <c r="DH247" s="29" t="s">
        <v>833</v>
      </c>
      <c r="DI247" s="29" t="s">
        <v>459</v>
      </c>
      <c r="DJ247" s="29" t="s">
        <v>613</v>
      </c>
      <c r="DK247" s="29"/>
      <c r="DL247" s="29"/>
      <c r="DM247" s="29"/>
      <c r="DN247" s="29"/>
      <c r="DO247" s="29"/>
      <c r="DP247" s="29"/>
      <c r="DQ247" s="29"/>
      <c r="DR247" s="29"/>
      <c r="DS247" s="29"/>
      <c r="DT247" s="29"/>
      <c r="DU247" s="29"/>
      <c r="DV247" s="29"/>
      <c r="DW247" s="29"/>
      <c r="DX247" s="29"/>
      <c r="DY247" s="29"/>
      <c r="DZ247" s="29"/>
      <c r="EA247" s="29"/>
      <c r="EB247" s="29"/>
      <c r="EC247" s="29"/>
      <c r="ED247" s="29"/>
      <c r="EE247" s="29"/>
      <c r="EF247" s="29"/>
      <c r="EG247" s="29"/>
      <c r="EH247" s="29"/>
      <c r="EI247" s="29"/>
      <c r="EJ247" s="29"/>
      <c r="EK247" s="29"/>
      <c r="EL247" s="29"/>
      <c r="EM247" s="29"/>
      <c r="EN247" s="29"/>
      <c r="EO247" s="29"/>
      <c r="EP247" s="29"/>
      <c r="EQ247" s="29"/>
      <c r="ER247" s="29"/>
      <c r="ES247" s="29"/>
      <c r="ET247" s="29" t="s">
        <v>2747</v>
      </c>
      <c r="EU247" s="29" t="s">
        <v>479</v>
      </c>
      <c r="EV247" s="29" t="s">
        <v>1534</v>
      </c>
      <c r="EW247" s="29"/>
      <c r="EX247" s="29"/>
      <c r="EY247" s="29"/>
      <c r="EZ247" s="29" t="s">
        <v>413</v>
      </c>
      <c r="FA247" s="29" t="s">
        <v>416</v>
      </c>
      <c r="FB247" s="29" t="s">
        <v>413</v>
      </c>
      <c r="FC247" s="29" t="s">
        <v>413</v>
      </c>
      <c r="FD247" s="29" t="s">
        <v>413</v>
      </c>
      <c r="FE247" s="29" t="s">
        <v>416</v>
      </c>
      <c r="FF247" s="29" t="s">
        <v>413</v>
      </c>
      <c r="FG247" s="29" t="s">
        <v>413</v>
      </c>
      <c r="FH247" s="29" t="s">
        <v>583</v>
      </c>
      <c r="FI247" s="29" t="s">
        <v>583</v>
      </c>
      <c r="FJ247" s="29" t="s">
        <v>414</v>
      </c>
      <c r="FK247" s="29" t="s">
        <v>413</v>
      </c>
      <c r="FL247" s="29" t="s">
        <v>415</v>
      </c>
      <c r="FM247" s="29" t="s">
        <v>413</v>
      </c>
      <c r="FN247" s="29" t="s">
        <v>583</v>
      </c>
      <c r="FO247" s="29" t="s">
        <v>417</v>
      </c>
      <c r="FP247" s="29" t="s">
        <v>418</v>
      </c>
      <c r="FQ247" s="29" t="s">
        <v>419</v>
      </c>
      <c r="FR247" s="29"/>
      <c r="FS247" s="29" t="s">
        <v>1189</v>
      </c>
      <c r="FT247" s="29" t="s">
        <v>488</v>
      </c>
      <c r="FU247" s="29" t="s">
        <v>533</v>
      </c>
      <c r="FV247" s="29" t="s">
        <v>490</v>
      </c>
      <c r="FW247" s="29" t="s">
        <v>491</v>
      </c>
      <c r="FX247" s="29" t="s">
        <v>5295</v>
      </c>
      <c r="FY247" s="29" t="s">
        <v>535</v>
      </c>
      <c r="FZ247" s="29" t="s">
        <v>5296</v>
      </c>
      <c r="GA247" s="29"/>
      <c r="GB247" s="29" t="s">
        <v>455</v>
      </c>
      <c r="GC247" s="29"/>
      <c r="GD247" s="29"/>
      <c r="GE247" s="29" t="s">
        <v>753</v>
      </c>
      <c r="GF247" s="29"/>
      <c r="GG247" s="29" t="s">
        <v>789</v>
      </c>
      <c r="GH247" s="29" t="s">
        <v>789</v>
      </c>
      <c r="GI247" s="29" t="s">
        <v>817</v>
      </c>
      <c r="GJ247" s="29"/>
      <c r="GK247" s="29"/>
      <c r="GL247" s="29"/>
      <c r="GM247" s="29"/>
      <c r="GN247" s="29"/>
      <c r="GO247" s="29"/>
      <c r="GP247" s="29"/>
      <c r="GQ247" s="29" t="s">
        <v>3208</v>
      </c>
      <c r="GR247" s="29"/>
      <c r="GS247" s="29"/>
      <c r="GT247" s="29" t="s">
        <v>4774</v>
      </c>
      <c r="GU247" s="29"/>
      <c r="HP247" s="31"/>
      <c r="MX247" s="29" t="s">
        <v>10402</v>
      </c>
      <c r="MY247" s="29" t="str">
        <f>IFERROR(__xludf.DUMMYFUNCTION("""COMPUTED_VALUE"""),"California")</f>
        <v>California</v>
      </c>
    </row>
    <row r="248" ht="16.5" customHeight="1">
      <c r="A248" s="33">
        <v>45865.616428368055</v>
      </c>
      <c r="B248" s="29" t="s">
        <v>368</v>
      </c>
      <c r="C248" s="29" t="s">
        <v>370</v>
      </c>
      <c r="D248" s="29" t="s">
        <v>370</v>
      </c>
      <c r="E248" s="29" t="s">
        <v>371</v>
      </c>
      <c r="F248" s="29" t="s">
        <v>371</v>
      </c>
      <c r="G248" s="29" t="s">
        <v>422</v>
      </c>
      <c r="H248" s="29" t="s">
        <v>496</v>
      </c>
      <c r="I248" s="29" t="s">
        <v>374</v>
      </c>
      <c r="J248" s="29" t="s">
        <v>1240</v>
      </c>
      <c r="K248" s="29" t="s">
        <v>376</v>
      </c>
      <c r="L248" s="29" t="s">
        <v>379</v>
      </c>
      <c r="M248" s="29" t="s">
        <v>719</v>
      </c>
      <c r="N248" s="29" t="s">
        <v>426</v>
      </c>
      <c r="O248" s="29" t="s">
        <v>497</v>
      </c>
      <c r="P248" s="29" t="s">
        <v>498</v>
      </c>
      <c r="Q248" s="29" t="s">
        <v>499</v>
      </c>
      <c r="R248" s="29" t="s">
        <v>427</v>
      </c>
      <c r="S248" s="29" t="s">
        <v>384</v>
      </c>
      <c r="T248" s="29" t="s">
        <v>385</v>
      </c>
      <c r="U248" s="29"/>
      <c r="V248" s="29"/>
      <c r="W248" s="29" t="s">
        <v>3014</v>
      </c>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t="s">
        <v>390</v>
      </c>
      <c r="AW248" s="29" t="s">
        <v>429</v>
      </c>
      <c r="AX248" s="29" t="s">
        <v>429</v>
      </c>
      <c r="AY248" s="29" t="s">
        <v>429</v>
      </c>
      <c r="AZ248" s="29" t="s">
        <v>429</v>
      </c>
      <c r="BA248" s="29" t="s">
        <v>429</v>
      </c>
      <c r="BB248" s="29">
        <v>2.0</v>
      </c>
      <c r="BC248" s="29" t="s">
        <v>5303</v>
      </c>
      <c r="BD248" s="29" t="s">
        <v>5304</v>
      </c>
      <c r="BE248" s="29" t="s">
        <v>392</v>
      </c>
      <c r="BF248" s="29" t="s">
        <v>433</v>
      </c>
      <c r="BG248" s="29" t="s">
        <v>678</v>
      </c>
      <c r="BH248" s="29" t="s">
        <v>5305</v>
      </c>
      <c r="BI248" s="29" t="s">
        <v>435</v>
      </c>
      <c r="BJ248" s="29" t="s">
        <v>5306</v>
      </c>
      <c r="BK248" s="29" t="s">
        <v>511</v>
      </c>
      <c r="BL248" s="29" t="s">
        <v>603</v>
      </c>
      <c r="BM248" s="29" t="s">
        <v>439</v>
      </c>
      <c r="BN248" s="29" t="s">
        <v>513</v>
      </c>
      <c r="BO248" s="29"/>
      <c r="BP248" s="29"/>
      <c r="BQ248" s="29"/>
      <c r="BR248" s="29"/>
      <c r="BS248" s="29"/>
      <c r="BT248" s="29"/>
      <c r="BU248" s="29"/>
      <c r="BV248" s="29"/>
      <c r="BW248" s="29"/>
      <c r="BX248" s="29"/>
      <c r="BY248" s="29"/>
      <c r="BZ248" s="29"/>
      <c r="CA248" s="29"/>
      <c r="CB248" s="29"/>
      <c r="CC248" s="29"/>
      <c r="CD248" s="29"/>
      <c r="CE248" s="29"/>
      <c r="CF248" s="29"/>
      <c r="CG248" s="29"/>
      <c r="CH248" s="29"/>
      <c r="CI248" s="29"/>
      <c r="CJ248" s="29"/>
      <c r="CK248" s="29"/>
      <c r="CL248" s="29" t="s">
        <v>441</v>
      </c>
      <c r="CM248" s="29" t="s">
        <v>401</v>
      </c>
      <c r="CN248" s="29" t="s">
        <v>552</v>
      </c>
      <c r="CO248" s="29" t="s">
        <v>455</v>
      </c>
      <c r="CP248" s="29" t="s">
        <v>685</v>
      </c>
      <c r="CQ248" s="29" t="s">
        <v>5307</v>
      </c>
      <c r="CR248" s="29" t="s">
        <v>804</v>
      </c>
      <c r="CS248" s="29" t="s">
        <v>5308</v>
      </c>
      <c r="CT248" s="29" t="s">
        <v>5309</v>
      </c>
      <c r="CU248" s="29" t="s">
        <v>450</v>
      </c>
      <c r="CV248" s="29" t="s">
        <v>451</v>
      </c>
      <c r="CW248" s="29" t="s">
        <v>5310</v>
      </c>
      <c r="CX248" s="29" t="s">
        <v>733</v>
      </c>
      <c r="CY248" s="29"/>
      <c r="CZ248" s="29" t="s">
        <v>453</v>
      </c>
      <c r="DA248" s="29" t="s">
        <v>5311</v>
      </c>
      <c r="DB248" s="29" t="s">
        <v>455</v>
      </c>
      <c r="DC248" s="29" t="s">
        <v>5312</v>
      </c>
      <c r="DD248" s="29" t="s">
        <v>457</v>
      </c>
      <c r="DE248" s="29"/>
      <c r="DF248" s="29"/>
      <c r="DG248" s="29" t="s">
        <v>524</v>
      </c>
      <c r="DH248" s="29" t="s">
        <v>410</v>
      </c>
      <c r="DI248" s="29" t="s">
        <v>459</v>
      </c>
      <c r="DJ248" s="29" t="s">
        <v>460</v>
      </c>
      <c r="DK248" s="29" t="s">
        <v>461</v>
      </c>
      <c r="DL248" s="29"/>
      <c r="DM248" s="29"/>
      <c r="DN248" s="29"/>
      <c r="DO248" s="29"/>
      <c r="DP248" s="29"/>
      <c r="DQ248" s="29"/>
      <c r="DR248" s="29"/>
      <c r="DS248" s="29"/>
      <c r="DT248" s="29"/>
      <c r="DU248" s="29"/>
      <c r="DV248" s="29"/>
      <c r="DW248" s="29"/>
      <c r="DX248" s="29"/>
      <c r="DY248" s="29"/>
      <c r="DZ248" s="29"/>
      <c r="EA248" s="29"/>
      <c r="EB248" s="29"/>
      <c r="EC248" s="29"/>
      <c r="ED248" s="29"/>
      <c r="EE248" s="29"/>
      <c r="EF248" s="29"/>
      <c r="EG248" s="29"/>
      <c r="EH248" s="29"/>
      <c r="EI248" s="29"/>
      <c r="EJ248" s="29"/>
      <c r="EK248" s="29"/>
      <c r="EL248" s="29"/>
      <c r="EM248" s="29"/>
      <c r="EN248" s="29"/>
      <c r="EO248" s="29"/>
      <c r="EP248" s="29"/>
      <c r="EQ248" s="29"/>
      <c r="ER248" s="29"/>
      <c r="ES248" s="29"/>
      <c r="ET248" s="29" t="s">
        <v>526</v>
      </c>
      <c r="EU248" s="29" t="s">
        <v>479</v>
      </c>
      <c r="EV248" s="29" t="s">
        <v>480</v>
      </c>
      <c r="EW248" s="29"/>
      <c r="EX248" s="29" t="s">
        <v>5313</v>
      </c>
      <c r="EY248" s="29" t="s">
        <v>552</v>
      </c>
      <c r="EZ248" s="29" t="s">
        <v>583</v>
      </c>
      <c r="FA248" s="29" t="s">
        <v>583</v>
      </c>
      <c r="FB248" s="29" t="s">
        <v>583</v>
      </c>
      <c r="FC248" s="29" t="s">
        <v>583</v>
      </c>
      <c r="FD248" s="29" t="s">
        <v>415</v>
      </c>
      <c r="FE248" s="29" t="s">
        <v>583</v>
      </c>
      <c r="FF248" s="29" t="s">
        <v>583</v>
      </c>
      <c r="FG248" s="29" t="s">
        <v>416</v>
      </c>
      <c r="FH248" s="29" t="s">
        <v>583</v>
      </c>
      <c r="FI248" s="29" t="s">
        <v>583</v>
      </c>
      <c r="FJ248" s="29" t="s">
        <v>583</v>
      </c>
      <c r="FK248" s="29" t="s">
        <v>583</v>
      </c>
      <c r="FL248" s="29" t="s">
        <v>583</v>
      </c>
      <c r="FM248" s="29" t="s">
        <v>413</v>
      </c>
      <c r="FN248" s="29" t="s">
        <v>583</v>
      </c>
      <c r="FO248" s="29" t="s">
        <v>417</v>
      </c>
      <c r="FP248" s="29" t="s">
        <v>486</v>
      </c>
      <c r="FQ248" s="29" t="s">
        <v>419</v>
      </c>
      <c r="FR248" s="29" t="s">
        <v>5314</v>
      </c>
      <c r="FS248" s="29" t="s">
        <v>420</v>
      </c>
      <c r="FT248" s="29" t="s">
        <v>1462</v>
      </c>
      <c r="FU248" s="29" t="s">
        <v>533</v>
      </c>
      <c r="FV248" s="29" t="s">
        <v>490</v>
      </c>
      <c r="FW248" s="29" t="s">
        <v>491</v>
      </c>
      <c r="FX248" s="29" t="s">
        <v>5315</v>
      </c>
      <c r="FY248" s="29" t="s">
        <v>1020</v>
      </c>
      <c r="FZ248" s="29" t="s">
        <v>5316</v>
      </c>
      <c r="GA248" s="29"/>
      <c r="GB248" s="29" t="s">
        <v>455</v>
      </c>
      <c r="GC248" s="29"/>
      <c r="GD248" s="29"/>
      <c r="GE248" s="29" t="s">
        <v>786</v>
      </c>
      <c r="GF248" s="29" t="s">
        <v>5317</v>
      </c>
      <c r="GG248" s="29" t="s">
        <v>857</v>
      </c>
      <c r="GH248" s="29" t="s">
        <v>857</v>
      </c>
      <c r="GI248" s="29" t="s">
        <v>790</v>
      </c>
      <c r="GJ248" s="29"/>
      <c r="GK248" s="29"/>
      <c r="GL248" s="29"/>
      <c r="GM248" s="29"/>
      <c r="GN248" s="29"/>
      <c r="GO248" s="29"/>
      <c r="GP248" s="29"/>
      <c r="GQ248" s="29" t="s">
        <v>3208</v>
      </c>
      <c r="GR248" s="29"/>
      <c r="GS248" s="29"/>
      <c r="GT248" s="29" t="s">
        <v>5318</v>
      </c>
      <c r="GU248" s="29" t="s">
        <v>5319</v>
      </c>
      <c r="HP248" s="31"/>
      <c r="MX248" s="29" t="s">
        <v>10402</v>
      </c>
      <c r="MY248" s="29" t="str">
        <f>IFERROR(__xludf.DUMMYFUNCTION("""COMPUTED_VALUE"""),"Michigan")</f>
        <v>Michigan</v>
      </c>
    </row>
    <row r="249" ht="16.5" customHeight="1">
      <c r="A249" s="33">
        <v>45866.35659802084</v>
      </c>
      <c r="B249" s="29" t="s">
        <v>368</v>
      </c>
      <c r="C249" s="29" t="s">
        <v>370</v>
      </c>
      <c r="D249" s="29" t="s">
        <v>370</v>
      </c>
      <c r="E249" s="29" t="s">
        <v>1480</v>
      </c>
      <c r="F249" s="29" t="s">
        <v>1421</v>
      </c>
      <c r="G249" s="29" t="s">
        <v>422</v>
      </c>
      <c r="H249" s="29" t="s">
        <v>373</v>
      </c>
      <c r="I249" s="29" t="s">
        <v>638</v>
      </c>
      <c r="J249" s="29" t="s">
        <v>425</v>
      </c>
      <c r="K249" s="29" t="s">
        <v>376</v>
      </c>
      <c r="L249" s="29" t="s">
        <v>426</v>
      </c>
      <c r="M249" s="29" t="s">
        <v>2539</v>
      </c>
      <c r="N249" s="29" t="s">
        <v>591</v>
      </c>
      <c r="O249" s="29" t="s">
        <v>2464</v>
      </c>
      <c r="P249" s="29" t="s">
        <v>1760</v>
      </c>
      <c r="Q249" s="29" t="s">
        <v>1156</v>
      </c>
      <c r="R249" s="29" t="s">
        <v>500</v>
      </c>
      <c r="S249" s="29" t="s">
        <v>384</v>
      </c>
      <c r="T249" s="29" t="s">
        <v>385</v>
      </c>
      <c r="U249" s="29"/>
      <c r="V249" s="29"/>
      <c r="W249" s="29" t="s">
        <v>593</v>
      </c>
      <c r="X249" s="29" t="s">
        <v>387</v>
      </c>
      <c r="Y249" s="29" t="s">
        <v>388</v>
      </c>
      <c r="Z249" s="29" t="s">
        <v>543</v>
      </c>
      <c r="AA249" s="29" t="s">
        <v>408</v>
      </c>
      <c r="AB249" s="29" t="s">
        <v>5322</v>
      </c>
      <c r="AC249" s="29"/>
      <c r="AD249" s="29"/>
      <c r="AE249" s="29"/>
      <c r="AF249" s="29"/>
      <c r="AG249" s="29"/>
      <c r="AH249" s="29"/>
      <c r="AI249" s="29"/>
      <c r="AJ249" s="29"/>
      <c r="AK249" s="29"/>
      <c r="AL249" s="29"/>
      <c r="AM249" s="29"/>
      <c r="AN249" s="29"/>
      <c r="AO249" s="29"/>
      <c r="AP249" s="29"/>
      <c r="AQ249" s="29"/>
      <c r="AR249" s="29"/>
      <c r="AS249" s="29"/>
      <c r="AT249" s="29"/>
      <c r="AU249" s="29"/>
      <c r="AV249" s="29" t="s">
        <v>390</v>
      </c>
      <c r="AW249" s="29" t="s">
        <v>391</v>
      </c>
      <c r="AX249" s="29">
        <v>4.0</v>
      </c>
      <c r="AY249" s="29">
        <v>2.0</v>
      </c>
      <c r="AZ249" s="29" t="s">
        <v>429</v>
      </c>
      <c r="BA249" s="29" t="s">
        <v>429</v>
      </c>
      <c r="BB249" s="29">
        <v>2.0</v>
      </c>
      <c r="BC249" s="29" t="s">
        <v>5323</v>
      </c>
      <c r="BD249" s="29" t="s">
        <v>5324</v>
      </c>
      <c r="BE249" s="29" t="s">
        <v>432</v>
      </c>
      <c r="BF249" s="29" t="s">
        <v>433</v>
      </c>
      <c r="BG249" s="29" t="s">
        <v>678</v>
      </c>
      <c r="BH249" s="29" t="s">
        <v>5325</v>
      </c>
      <c r="BI249" s="29" t="s">
        <v>509</v>
      </c>
      <c r="BJ249" s="29" t="s">
        <v>5326</v>
      </c>
      <c r="BK249" s="29" t="s">
        <v>511</v>
      </c>
      <c r="BL249" s="29" t="s">
        <v>438</v>
      </c>
      <c r="BM249" s="29" t="s">
        <v>439</v>
      </c>
      <c r="BN249" s="29" t="s">
        <v>440</v>
      </c>
      <c r="BO249" s="29"/>
      <c r="BP249" s="29"/>
      <c r="BQ249" s="29"/>
      <c r="BR249" s="29"/>
      <c r="BS249" s="29"/>
      <c r="BT249" s="29"/>
      <c r="BU249" s="29"/>
      <c r="BV249" s="29"/>
      <c r="BW249" s="29"/>
      <c r="BX249" s="29"/>
      <c r="BY249" s="29"/>
      <c r="BZ249" s="29"/>
      <c r="CA249" s="29"/>
      <c r="CB249" s="29"/>
      <c r="CC249" s="29"/>
      <c r="CD249" s="29"/>
      <c r="CE249" s="29"/>
      <c r="CF249" s="29"/>
      <c r="CG249" s="29"/>
      <c r="CH249" s="29"/>
      <c r="CI249" s="29"/>
      <c r="CJ249" s="29"/>
      <c r="CK249" s="29"/>
      <c r="CL249" s="29"/>
      <c r="CM249" s="29"/>
      <c r="CN249" s="29"/>
      <c r="CO249" s="29"/>
      <c r="CP249" s="29"/>
      <c r="CQ249" s="29"/>
      <c r="CR249" s="29"/>
      <c r="CS249" s="29"/>
      <c r="CT249" s="29"/>
      <c r="CU249" s="29"/>
      <c r="CV249" s="29"/>
      <c r="CW249" s="29"/>
      <c r="CX249" s="29" t="s">
        <v>408</v>
      </c>
      <c r="CY249" s="29"/>
      <c r="CZ249" s="29" t="s">
        <v>453</v>
      </c>
      <c r="DA249" s="29" t="s">
        <v>5327</v>
      </c>
      <c r="DB249" s="29" t="s">
        <v>408</v>
      </c>
      <c r="DC249" s="29"/>
      <c r="DD249" s="29" t="s">
        <v>406</v>
      </c>
      <c r="DE249" s="29" t="s">
        <v>407</v>
      </c>
      <c r="DF249" s="29" t="s">
        <v>5328</v>
      </c>
      <c r="DG249" s="29" t="s">
        <v>524</v>
      </c>
      <c r="DH249" s="29" t="s">
        <v>410</v>
      </c>
      <c r="DI249" s="29" t="s">
        <v>459</v>
      </c>
      <c r="DJ249" s="29" t="s">
        <v>613</v>
      </c>
      <c r="DK249" s="29"/>
      <c r="DL249" s="29"/>
      <c r="DM249" s="29" t="s">
        <v>5329</v>
      </c>
      <c r="DN249" s="29" t="s">
        <v>5330</v>
      </c>
      <c r="DO249" s="29" t="s">
        <v>464</v>
      </c>
      <c r="DP249" s="29" t="s">
        <v>5331</v>
      </c>
      <c r="DQ249" s="29" t="s">
        <v>466</v>
      </c>
      <c r="DR249" s="29" t="s">
        <v>5332</v>
      </c>
      <c r="DS249" s="29" t="s">
        <v>702</v>
      </c>
      <c r="DT249" s="29" t="s">
        <v>570</v>
      </c>
      <c r="DU249" s="29" t="s">
        <v>5333</v>
      </c>
      <c r="DV249" s="29" t="s">
        <v>5334</v>
      </c>
      <c r="DW249" s="29" t="s">
        <v>622</v>
      </c>
      <c r="DX249" s="29" t="s">
        <v>1131</v>
      </c>
      <c r="DY249" s="29" t="s">
        <v>5335</v>
      </c>
      <c r="DZ249" s="29" t="s">
        <v>5336</v>
      </c>
      <c r="EA249" s="29" t="s">
        <v>475</v>
      </c>
      <c r="EB249" s="29" t="s">
        <v>5337</v>
      </c>
      <c r="EC249" s="29" t="s">
        <v>5338</v>
      </c>
      <c r="ED249" s="29"/>
      <c r="EE249" s="29"/>
      <c r="EF249" s="29"/>
      <c r="EG249" s="29"/>
      <c r="EH249" s="29"/>
      <c r="EI249" s="29"/>
      <c r="EJ249" s="29"/>
      <c r="EK249" s="29"/>
      <c r="EL249" s="29"/>
      <c r="EM249" s="29"/>
      <c r="EN249" s="29"/>
      <c r="EO249" s="29"/>
      <c r="EP249" s="29"/>
      <c r="EQ249" s="29"/>
      <c r="ER249" s="29"/>
      <c r="ES249" s="29"/>
      <c r="ET249" s="29" t="s">
        <v>526</v>
      </c>
      <c r="EU249" s="29" t="s">
        <v>479</v>
      </c>
      <c r="EV249" s="29" t="s">
        <v>480</v>
      </c>
      <c r="EW249" s="29"/>
      <c r="EX249" s="29" t="s">
        <v>5339</v>
      </c>
      <c r="EY249" s="29" t="s">
        <v>2829</v>
      </c>
      <c r="EZ249" s="29" t="s">
        <v>414</v>
      </c>
      <c r="FA249" s="29" t="s">
        <v>414</v>
      </c>
      <c r="FB249" s="29" t="s">
        <v>413</v>
      </c>
      <c r="FC249" s="29" t="s">
        <v>413</v>
      </c>
      <c r="FD249" s="29" t="s">
        <v>413</v>
      </c>
      <c r="FE249" s="29" t="s">
        <v>583</v>
      </c>
      <c r="FF249" s="29" t="s">
        <v>413</v>
      </c>
      <c r="FG249" s="29" t="s">
        <v>415</v>
      </c>
      <c r="FH249" s="29" t="s">
        <v>484</v>
      </c>
      <c r="FI249" s="29" t="s">
        <v>583</v>
      </c>
      <c r="FJ249" s="29" t="s">
        <v>414</v>
      </c>
      <c r="FK249" s="29" t="s">
        <v>414</v>
      </c>
      <c r="FL249" s="29" t="s">
        <v>416</v>
      </c>
      <c r="FM249" s="29" t="s">
        <v>416</v>
      </c>
      <c r="FN249" s="29" t="s">
        <v>583</v>
      </c>
      <c r="FO249" s="29" t="s">
        <v>1537</v>
      </c>
      <c r="FP249" s="29" t="s">
        <v>418</v>
      </c>
      <c r="FQ249" s="29" t="s">
        <v>630</v>
      </c>
      <c r="FR249" s="29"/>
      <c r="FS249" s="29" t="s">
        <v>420</v>
      </c>
      <c r="FT249" s="29" t="s">
        <v>488</v>
      </c>
      <c r="FU249" s="29" t="s">
        <v>533</v>
      </c>
      <c r="FV249" s="29" t="s">
        <v>490</v>
      </c>
      <c r="FW249" s="29" t="s">
        <v>491</v>
      </c>
      <c r="FX249" s="29" t="s">
        <v>5340</v>
      </c>
      <c r="FY249" s="29" t="s">
        <v>535</v>
      </c>
      <c r="FZ249" s="29"/>
      <c r="GA249" s="29"/>
      <c r="GB249" s="29" t="s">
        <v>455</v>
      </c>
      <c r="GC249" s="29"/>
      <c r="GD249" s="29"/>
      <c r="GE249" s="29" t="s">
        <v>855</v>
      </c>
      <c r="GF249" s="29"/>
      <c r="GG249" s="29"/>
      <c r="GH249" s="29"/>
      <c r="GI249" s="29"/>
      <c r="GJ249" s="29"/>
      <c r="GK249" s="29"/>
      <c r="GL249" s="29"/>
      <c r="GM249" s="29" t="s">
        <v>1079</v>
      </c>
      <c r="GN249" s="29"/>
      <c r="GO249" s="29"/>
      <c r="GP249" s="29"/>
      <c r="GQ249" s="29" t="s">
        <v>5341</v>
      </c>
      <c r="GR249" s="29"/>
      <c r="GS249" s="29"/>
      <c r="GT249" s="29"/>
      <c r="GU249" s="29"/>
      <c r="HP249" s="31"/>
      <c r="MX249" s="29" t="s">
        <v>10402</v>
      </c>
      <c r="MY249" s="29" t="str">
        <f>IFERROR(__xludf.DUMMYFUNCTION("""COMPUTED_VALUE"""),"Indiana")</f>
        <v>Indiana</v>
      </c>
    </row>
    <row r="250" ht="16.5" customHeight="1">
      <c r="A250" s="33">
        <v>45866.36920435185</v>
      </c>
      <c r="B250" s="29" t="s">
        <v>368</v>
      </c>
      <c r="C250" s="29" t="s">
        <v>370</v>
      </c>
      <c r="D250" s="29" t="s">
        <v>370</v>
      </c>
      <c r="E250" s="29" t="s">
        <v>757</v>
      </c>
      <c r="F250" s="29" t="s">
        <v>791</v>
      </c>
      <c r="G250" s="29" t="s">
        <v>422</v>
      </c>
      <c r="H250" s="29" t="s">
        <v>539</v>
      </c>
      <c r="I250" s="29" t="s">
        <v>424</v>
      </c>
      <c r="J250" s="29" t="s">
        <v>718</v>
      </c>
      <c r="K250" s="29" t="s">
        <v>376</v>
      </c>
      <c r="L250" s="29" t="s">
        <v>793</v>
      </c>
      <c r="M250" s="29" t="s">
        <v>639</v>
      </c>
      <c r="N250" s="29" t="s">
        <v>670</v>
      </c>
      <c r="O250" s="29" t="s">
        <v>1270</v>
      </c>
      <c r="P250" s="29" t="s">
        <v>381</v>
      </c>
      <c r="Q250" s="29" t="s">
        <v>382</v>
      </c>
      <c r="R250" s="29" t="s">
        <v>427</v>
      </c>
      <c r="S250" s="29" t="s">
        <v>384</v>
      </c>
      <c r="T250" s="29" t="s">
        <v>385</v>
      </c>
      <c r="U250" s="29"/>
      <c r="V250" s="29"/>
      <c r="W250" s="29" t="s">
        <v>593</v>
      </c>
      <c r="X250" s="29" t="s">
        <v>387</v>
      </c>
      <c r="Y250" s="29" t="s">
        <v>388</v>
      </c>
      <c r="Z250" s="29" t="s">
        <v>502</v>
      </c>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t="s">
        <v>391</v>
      </c>
      <c r="AX250" s="29" t="s">
        <v>391</v>
      </c>
      <c r="AY250" s="29" t="s">
        <v>391</v>
      </c>
      <c r="AZ250" s="29">
        <v>2.0</v>
      </c>
      <c r="BA250" s="29">
        <v>2.0</v>
      </c>
      <c r="BB250" s="29" t="s">
        <v>391</v>
      </c>
      <c r="BC250" s="29"/>
      <c r="BD250" s="29"/>
      <c r="BE250" s="29" t="s">
        <v>392</v>
      </c>
      <c r="BF250" s="29" t="s">
        <v>393</v>
      </c>
      <c r="BG250" s="29" t="s">
        <v>765</v>
      </c>
      <c r="BH250" s="29"/>
      <c r="BI250" s="29" t="s">
        <v>435</v>
      </c>
      <c r="BJ250" s="29"/>
      <c r="BK250" s="29" t="s">
        <v>437</v>
      </c>
      <c r="BL250" s="29"/>
      <c r="BM250" s="29" t="s">
        <v>397</v>
      </c>
      <c r="BN250" s="29" t="s">
        <v>513</v>
      </c>
      <c r="BO250" s="29"/>
      <c r="BP250" s="29"/>
      <c r="BQ250" s="29"/>
      <c r="BR250" s="29"/>
      <c r="BS250" s="29"/>
      <c r="BT250" s="29"/>
      <c r="BU250" s="29"/>
      <c r="BV250" s="29"/>
      <c r="BW250" s="29"/>
      <c r="BX250" s="29"/>
      <c r="BY250" s="29"/>
      <c r="BZ250" s="29"/>
      <c r="CA250" s="29"/>
      <c r="CB250" s="29"/>
      <c r="CC250" s="29"/>
      <c r="CD250" s="29"/>
      <c r="CE250" s="29"/>
      <c r="CF250" s="29"/>
      <c r="CG250" s="29"/>
      <c r="CH250" s="29"/>
      <c r="CI250" s="29"/>
      <c r="CJ250" s="29"/>
      <c r="CK250" s="29"/>
      <c r="CL250" s="29"/>
      <c r="CM250" s="29"/>
      <c r="CN250" s="29"/>
      <c r="CO250" s="29"/>
      <c r="CP250" s="29" t="s">
        <v>445</v>
      </c>
      <c r="CQ250" s="29" t="s">
        <v>1467</v>
      </c>
      <c r="CR250" s="29" t="s">
        <v>555</v>
      </c>
      <c r="CS250" s="29" t="s">
        <v>5348</v>
      </c>
      <c r="CT250" s="29"/>
      <c r="CU250" s="29" t="s">
        <v>450</v>
      </c>
      <c r="CV250" s="29" t="s">
        <v>451</v>
      </c>
      <c r="CW250" s="29"/>
      <c r="CX250" s="29" t="s">
        <v>455</v>
      </c>
      <c r="CY250" s="29"/>
      <c r="CZ250" s="29" t="s">
        <v>985</v>
      </c>
      <c r="DA250" s="29"/>
      <c r="DB250" s="29" t="s">
        <v>408</v>
      </c>
      <c r="DC250" s="29"/>
      <c r="DD250" s="29" t="s">
        <v>406</v>
      </c>
      <c r="DE250" s="29" t="s">
        <v>407</v>
      </c>
      <c r="DF250" s="29"/>
      <c r="DG250" s="29" t="s">
        <v>776</v>
      </c>
      <c r="DH250" s="29" t="s">
        <v>833</v>
      </c>
      <c r="DI250" s="29" t="s">
        <v>459</v>
      </c>
      <c r="DJ250" s="29" t="s">
        <v>562</v>
      </c>
      <c r="DK250" s="29" t="s">
        <v>461</v>
      </c>
      <c r="DL250" s="29"/>
      <c r="DM250" s="29"/>
      <c r="DN250" s="29"/>
      <c r="DO250" s="29"/>
      <c r="DP250" s="29"/>
      <c r="DQ250" s="29"/>
      <c r="DR250" s="29"/>
      <c r="DS250" s="29"/>
      <c r="DT250" s="29"/>
      <c r="DU250" s="29"/>
      <c r="DV250" s="29"/>
      <c r="DW250" s="29"/>
      <c r="DX250" s="29"/>
      <c r="DY250" s="29"/>
      <c r="DZ250" s="29"/>
      <c r="EA250" s="29"/>
      <c r="EB250" s="29"/>
      <c r="EC250" s="29"/>
      <c r="ED250" s="29"/>
      <c r="EE250" s="29"/>
      <c r="EF250" s="29"/>
      <c r="EG250" s="29"/>
      <c r="EH250" s="29"/>
      <c r="EI250" s="29"/>
      <c r="EJ250" s="29"/>
      <c r="EK250" s="29"/>
      <c r="EL250" s="29"/>
      <c r="EM250" s="29"/>
      <c r="EN250" s="29"/>
      <c r="EO250" s="29"/>
      <c r="EP250" s="29"/>
      <c r="EQ250" s="29"/>
      <c r="ER250" s="29"/>
      <c r="ES250" s="29"/>
      <c r="ET250" s="29" t="s">
        <v>526</v>
      </c>
      <c r="EU250" s="29" t="s">
        <v>479</v>
      </c>
      <c r="EV250" s="29" t="s">
        <v>1262</v>
      </c>
      <c r="EW250" s="29"/>
      <c r="EX250" s="29"/>
      <c r="EY250" s="29"/>
      <c r="EZ250" s="29" t="s">
        <v>415</v>
      </c>
      <c r="FA250" s="29" t="s">
        <v>415</v>
      </c>
      <c r="FB250" s="29" t="s">
        <v>413</v>
      </c>
      <c r="FC250" s="29" t="s">
        <v>416</v>
      </c>
      <c r="FD250" s="29" t="s">
        <v>413</v>
      </c>
      <c r="FE250" s="29" t="s">
        <v>415</v>
      </c>
      <c r="FF250" s="29" t="s">
        <v>415</v>
      </c>
      <c r="FG250" s="29" t="s">
        <v>413</v>
      </c>
      <c r="FH250" s="29" t="s">
        <v>583</v>
      </c>
      <c r="FI250" s="29" t="s">
        <v>415</v>
      </c>
      <c r="FJ250" s="29" t="s">
        <v>415</v>
      </c>
      <c r="FK250" s="29" t="s">
        <v>413</v>
      </c>
      <c r="FL250" s="29" t="s">
        <v>413</v>
      </c>
      <c r="FM250" s="29" t="s">
        <v>415</v>
      </c>
      <c r="FN250" s="29" t="s">
        <v>415</v>
      </c>
      <c r="FO250" s="29" t="s">
        <v>850</v>
      </c>
      <c r="FP250" s="29" t="s">
        <v>418</v>
      </c>
      <c r="FQ250" s="29" t="s">
        <v>712</v>
      </c>
      <c r="FR250" s="29"/>
      <c r="FS250" s="29" t="s">
        <v>995</v>
      </c>
      <c r="FT250" s="29" t="s">
        <v>488</v>
      </c>
      <c r="FU250" s="29" t="s">
        <v>533</v>
      </c>
      <c r="FV250" s="29" t="s">
        <v>490</v>
      </c>
      <c r="FW250" s="29" t="s">
        <v>491</v>
      </c>
      <c r="FX250" s="29"/>
      <c r="FY250" s="29" t="s">
        <v>535</v>
      </c>
      <c r="FZ250" s="29"/>
      <c r="GA250" s="29"/>
      <c r="GB250" s="29" t="s">
        <v>408</v>
      </c>
      <c r="GC250" s="29"/>
      <c r="GD250" s="29"/>
      <c r="GE250" s="29"/>
      <c r="GF250" s="29"/>
      <c r="GG250" s="29" t="s">
        <v>920</v>
      </c>
      <c r="GH250" s="29" t="s">
        <v>920</v>
      </c>
      <c r="GI250" s="29" t="s">
        <v>756</v>
      </c>
      <c r="GJ250" s="29"/>
      <c r="GK250" s="29"/>
      <c r="GL250" s="29"/>
      <c r="GM250" s="29"/>
      <c r="GN250" s="29"/>
      <c r="GO250" s="29"/>
      <c r="GP250" s="29"/>
      <c r="GQ250" s="29" t="s">
        <v>3208</v>
      </c>
      <c r="GR250" s="29"/>
      <c r="GS250" s="29"/>
      <c r="GT250" s="29" t="s">
        <v>4774</v>
      </c>
      <c r="GU250" s="29"/>
      <c r="HP250" s="31"/>
      <c r="MX250" s="29" t="s">
        <v>10402</v>
      </c>
      <c r="MY250" s="29" t="str">
        <f>IFERROR(__xludf.DUMMYFUNCTION("""COMPUTED_VALUE"""),"Oregon")</f>
        <v>Oregon</v>
      </c>
    </row>
    <row r="251" ht="16.5" customHeight="1">
      <c r="A251" s="33">
        <v>45866.706210324075</v>
      </c>
      <c r="B251" s="29" t="s">
        <v>368</v>
      </c>
      <c r="C251" s="29" t="s">
        <v>370</v>
      </c>
      <c r="D251" s="29" t="s">
        <v>370</v>
      </c>
      <c r="E251" s="29" t="s">
        <v>2400</v>
      </c>
      <c r="F251" s="29" t="s">
        <v>1421</v>
      </c>
      <c r="G251" s="29" t="s">
        <v>422</v>
      </c>
      <c r="H251" s="29" t="s">
        <v>496</v>
      </c>
      <c r="I251" s="29" t="s">
        <v>374</v>
      </c>
      <c r="J251" s="29" t="s">
        <v>375</v>
      </c>
      <c r="K251" s="29" t="s">
        <v>376</v>
      </c>
      <c r="L251" s="29" t="s">
        <v>379</v>
      </c>
      <c r="M251" s="29" t="s">
        <v>5350</v>
      </c>
      <c r="N251" s="29" t="s">
        <v>426</v>
      </c>
      <c r="O251" s="29" t="s">
        <v>671</v>
      </c>
      <c r="P251" s="29" t="s">
        <v>498</v>
      </c>
      <c r="Q251" s="29" t="s">
        <v>862</v>
      </c>
      <c r="R251" s="29" t="s">
        <v>427</v>
      </c>
      <c r="S251" s="29" t="s">
        <v>384</v>
      </c>
      <c r="T251" s="29" t="s">
        <v>385</v>
      </c>
      <c r="U251" s="29"/>
      <c r="V251" s="29"/>
      <c r="W251" s="29" t="s">
        <v>3014</v>
      </c>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t="s">
        <v>597</v>
      </c>
      <c r="AW251" s="29">
        <v>4.0</v>
      </c>
      <c r="AX251" s="29" t="s">
        <v>391</v>
      </c>
      <c r="AY251" s="29">
        <v>4.0</v>
      </c>
      <c r="AZ251" s="29">
        <v>4.0</v>
      </c>
      <c r="BA251" s="29">
        <v>4.0</v>
      </c>
      <c r="BB251" s="29">
        <v>4.0</v>
      </c>
      <c r="BC251" s="29"/>
      <c r="BD251" s="29"/>
      <c r="BE251" s="29" t="s">
        <v>432</v>
      </c>
      <c r="BF251" s="29" t="s">
        <v>1047</v>
      </c>
      <c r="BG251" s="29" t="s">
        <v>434</v>
      </c>
      <c r="BH251" s="29" t="s">
        <v>5351</v>
      </c>
      <c r="BI251" s="29" t="s">
        <v>976</v>
      </c>
      <c r="BJ251" s="29"/>
      <c r="BK251" s="29" t="s">
        <v>511</v>
      </c>
      <c r="BL251" s="29" t="s">
        <v>438</v>
      </c>
      <c r="BM251" s="29" t="s">
        <v>397</v>
      </c>
      <c r="BN251" s="29" t="s">
        <v>398</v>
      </c>
      <c r="BO251" s="29" t="s">
        <v>5352</v>
      </c>
      <c r="BP251" s="29" t="s">
        <v>5353</v>
      </c>
      <c r="BQ251" s="29" t="s">
        <v>604</v>
      </c>
      <c r="BR251" s="29" t="s">
        <v>2662</v>
      </c>
      <c r="BS251" s="29" t="s">
        <v>403</v>
      </c>
      <c r="BT251" s="29" t="s">
        <v>4368</v>
      </c>
      <c r="BU251" s="29" t="s">
        <v>1772</v>
      </c>
      <c r="BV251" s="29" t="s">
        <v>5354</v>
      </c>
      <c r="BW251" s="29" t="s">
        <v>406</v>
      </c>
      <c r="BX251" s="29" t="s">
        <v>2503</v>
      </c>
      <c r="BY251" s="29" t="s">
        <v>408</v>
      </c>
      <c r="BZ251" s="29"/>
      <c r="CA251" s="29" t="s">
        <v>5355</v>
      </c>
      <c r="CB251" s="29" t="s">
        <v>5356</v>
      </c>
      <c r="CC251" s="29" t="s">
        <v>5357</v>
      </c>
      <c r="CD251" s="29" t="s">
        <v>409</v>
      </c>
      <c r="CE251" s="29" t="s">
        <v>5358</v>
      </c>
      <c r="CF251" s="29" t="s">
        <v>1258</v>
      </c>
      <c r="CG251" s="29"/>
      <c r="CH251" s="29" t="s">
        <v>1698</v>
      </c>
      <c r="CI251" s="29"/>
      <c r="CJ251" s="29" t="s">
        <v>5359</v>
      </c>
      <c r="CK251" s="29" t="s">
        <v>5360</v>
      </c>
      <c r="CL251" s="29"/>
      <c r="CM251" s="29"/>
      <c r="CN251" s="29"/>
      <c r="CO251" s="29"/>
      <c r="CP251" s="29"/>
      <c r="CQ251" s="29"/>
      <c r="CR251" s="29"/>
      <c r="CS251" s="29"/>
      <c r="CT251" s="29"/>
      <c r="CU251" s="29"/>
      <c r="CV251" s="29"/>
      <c r="CW251" s="29"/>
      <c r="CX251" s="29"/>
      <c r="CY251" s="29"/>
      <c r="CZ251" s="29"/>
      <c r="DA251" s="29"/>
      <c r="DB251" s="29"/>
      <c r="DC251" s="29"/>
      <c r="DD251" s="29"/>
      <c r="DE251" s="29"/>
      <c r="DF251" s="29"/>
      <c r="DG251" s="29"/>
      <c r="DH251" s="29"/>
      <c r="DI251" s="29"/>
      <c r="DJ251" s="29"/>
      <c r="DK251" s="29"/>
      <c r="DL251" s="29"/>
      <c r="DM251" s="29"/>
      <c r="DN251" s="29"/>
      <c r="DO251" s="29"/>
      <c r="DP251" s="29"/>
      <c r="DQ251" s="29"/>
      <c r="DR251" s="29"/>
      <c r="DS251" s="29"/>
      <c r="DT251" s="29"/>
      <c r="DU251" s="29"/>
      <c r="DV251" s="29"/>
      <c r="DW251" s="29"/>
      <c r="DX251" s="29"/>
      <c r="DY251" s="29"/>
      <c r="DZ251" s="29"/>
      <c r="EA251" s="29"/>
      <c r="EB251" s="29"/>
      <c r="EC251" s="29"/>
      <c r="ED251" s="29"/>
      <c r="EE251" s="29"/>
      <c r="EF251" s="29"/>
      <c r="EG251" s="29"/>
      <c r="EH251" s="29"/>
      <c r="EI251" s="29"/>
      <c r="EJ251" s="29"/>
      <c r="EK251" s="29"/>
      <c r="EL251" s="29"/>
      <c r="EM251" s="29"/>
      <c r="EN251" s="29"/>
      <c r="EO251" s="29"/>
      <c r="EP251" s="29"/>
      <c r="EQ251" s="29"/>
      <c r="ER251" s="29"/>
      <c r="ES251" s="29"/>
      <c r="ET251" s="29" t="s">
        <v>578</v>
      </c>
      <c r="EU251" s="29" t="s">
        <v>887</v>
      </c>
      <c r="EV251" s="29" t="s">
        <v>527</v>
      </c>
      <c r="EW251" s="29"/>
      <c r="EX251" s="29"/>
      <c r="EY251" s="29"/>
      <c r="EZ251" s="29" t="s">
        <v>415</v>
      </c>
      <c r="FA251" s="29" t="s">
        <v>414</v>
      </c>
      <c r="FB251" s="29" t="s">
        <v>413</v>
      </c>
      <c r="FC251" s="29" t="s">
        <v>413</v>
      </c>
      <c r="FD251" s="29" t="s">
        <v>416</v>
      </c>
      <c r="FE251" s="29" t="s">
        <v>415</v>
      </c>
      <c r="FF251" s="29" t="s">
        <v>415</v>
      </c>
      <c r="FG251" s="29" t="s">
        <v>413</v>
      </c>
      <c r="FH251" s="29" t="s">
        <v>415</v>
      </c>
      <c r="FI251" s="29" t="s">
        <v>414</v>
      </c>
      <c r="FJ251" s="29" t="s">
        <v>415</v>
      </c>
      <c r="FK251" s="29" t="s">
        <v>416</v>
      </c>
      <c r="FL251" s="29" t="s">
        <v>415</v>
      </c>
      <c r="FM251" s="29" t="s">
        <v>413</v>
      </c>
      <c r="FN251" s="29" t="s">
        <v>415</v>
      </c>
      <c r="FO251" s="29" t="s">
        <v>850</v>
      </c>
      <c r="FP251" s="29" t="s">
        <v>418</v>
      </c>
      <c r="FQ251" s="29" t="s">
        <v>749</v>
      </c>
      <c r="FR251" s="29"/>
      <c r="FS251" s="29" t="s">
        <v>420</v>
      </c>
      <c r="FT251" s="29" t="s">
        <v>1462</v>
      </c>
      <c r="FU251" s="29" t="s">
        <v>489</v>
      </c>
      <c r="FV251" s="29" t="s">
        <v>490</v>
      </c>
      <c r="FW251" s="29" t="s">
        <v>491</v>
      </c>
      <c r="FX251" s="29" t="s">
        <v>5361</v>
      </c>
      <c r="FY251" s="29" t="s">
        <v>1020</v>
      </c>
      <c r="FZ251" s="29"/>
      <c r="GA251" s="29"/>
      <c r="GB251" s="29" t="s">
        <v>455</v>
      </c>
      <c r="GC251" s="29"/>
      <c r="GD251" s="29"/>
      <c r="GE251" s="29" t="s">
        <v>753</v>
      </c>
      <c r="GF251" s="29" t="s">
        <v>5362</v>
      </c>
      <c r="GG251" s="29"/>
      <c r="GH251" s="29"/>
      <c r="GI251" s="29"/>
      <c r="GJ251" s="29" t="s">
        <v>755</v>
      </c>
      <c r="GK251" s="29" t="s">
        <v>755</v>
      </c>
      <c r="GL251" s="29" t="s">
        <v>817</v>
      </c>
      <c r="GM251" s="29"/>
      <c r="GN251" s="29"/>
      <c r="GO251" s="29"/>
      <c r="GP251" s="29"/>
      <c r="GQ251" s="29" t="s">
        <v>3208</v>
      </c>
      <c r="GR251" s="29" t="s">
        <v>5039</v>
      </c>
      <c r="GS251" s="29" t="s">
        <v>5363</v>
      </c>
      <c r="GT251" s="29"/>
      <c r="GU251" s="29"/>
      <c r="HP251" s="31"/>
      <c r="MX251" s="29" t="s">
        <v>538</v>
      </c>
      <c r="MY251" s="29" t="str">
        <f>IFERROR(__xludf.DUMMYFUNCTION("""COMPUTED_VALUE"""),"United Kingdom")</f>
        <v>United Kingdom</v>
      </c>
    </row>
    <row r="252" ht="16.5" customHeight="1">
      <c r="A252" s="33">
        <v>45867.46554252315</v>
      </c>
      <c r="B252" s="29" t="s">
        <v>368</v>
      </c>
      <c r="C252" s="29" t="s">
        <v>538</v>
      </c>
      <c r="D252" s="29" t="s">
        <v>538</v>
      </c>
      <c r="E252" s="29"/>
      <c r="F252" s="29"/>
      <c r="G252" s="29" t="s">
        <v>422</v>
      </c>
      <c r="H252" s="29" t="s">
        <v>637</v>
      </c>
      <c r="I252" s="29" t="s">
        <v>638</v>
      </c>
      <c r="J252" s="29" t="s">
        <v>718</v>
      </c>
      <c r="K252" s="29" t="s">
        <v>376</v>
      </c>
      <c r="L252" s="29" t="s">
        <v>379</v>
      </c>
      <c r="M252" s="29" t="s">
        <v>2464</v>
      </c>
      <c r="N252" s="29" t="s">
        <v>591</v>
      </c>
      <c r="O252" s="29" t="s">
        <v>2464</v>
      </c>
      <c r="P252" s="29" t="s">
        <v>381</v>
      </c>
      <c r="Q252" s="29" t="s">
        <v>818</v>
      </c>
      <c r="R252" s="29" t="s">
        <v>949</v>
      </c>
      <c r="S252" s="29" t="s">
        <v>384</v>
      </c>
      <c r="T252" s="29" t="s">
        <v>385</v>
      </c>
      <c r="U252" s="29"/>
      <c r="V252" s="29"/>
      <c r="W252" s="29" t="s">
        <v>3231</v>
      </c>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t="s">
        <v>1242</v>
      </c>
      <c r="AW252" s="29" t="s">
        <v>675</v>
      </c>
      <c r="AX252" s="29" t="s">
        <v>391</v>
      </c>
      <c r="AY252" s="29" t="s">
        <v>391</v>
      </c>
      <c r="AZ252" s="29">
        <v>2.0</v>
      </c>
      <c r="BA252" s="29" t="s">
        <v>391</v>
      </c>
      <c r="BB252" s="29">
        <v>4.0</v>
      </c>
      <c r="BC252" s="29"/>
      <c r="BD252" s="29"/>
      <c r="BE252" s="29" t="s">
        <v>432</v>
      </c>
      <c r="BF252" s="29" t="s">
        <v>1095</v>
      </c>
      <c r="BG252" s="29" t="s">
        <v>394</v>
      </c>
      <c r="BH252" s="29"/>
      <c r="BI252" s="29" t="s">
        <v>435</v>
      </c>
      <c r="BJ252" s="29"/>
      <c r="BK252" s="29" t="s">
        <v>395</v>
      </c>
      <c r="BL252" s="29" t="s">
        <v>904</v>
      </c>
      <c r="BM252" s="29" t="s">
        <v>1314</v>
      </c>
      <c r="BN252" s="29" t="s">
        <v>398</v>
      </c>
      <c r="BO252" s="29"/>
      <c r="BP252" s="29" t="s">
        <v>5365</v>
      </c>
      <c r="BQ252" s="29" t="s">
        <v>682</v>
      </c>
      <c r="BR252" s="29" t="s">
        <v>4462</v>
      </c>
      <c r="BS252" s="29" t="s">
        <v>403</v>
      </c>
      <c r="BT252" s="29" t="s">
        <v>404</v>
      </c>
      <c r="BU252" s="29" t="s">
        <v>405</v>
      </c>
      <c r="BV252" s="29"/>
      <c r="BW252" s="29" t="s">
        <v>406</v>
      </c>
      <c r="BX252" s="29" t="s">
        <v>1867</v>
      </c>
      <c r="BY252" s="29" t="s">
        <v>408</v>
      </c>
      <c r="BZ252" s="29"/>
      <c r="CA252" s="29"/>
      <c r="CB252" s="29"/>
      <c r="CC252" s="29"/>
      <c r="CD252" s="29" t="s">
        <v>2248</v>
      </c>
      <c r="CE252" s="29"/>
      <c r="CF252" s="29" t="s">
        <v>1258</v>
      </c>
      <c r="CG252" s="29"/>
      <c r="CH252" s="29" t="s">
        <v>1259</v>
      </c>
      <c r="CI252" s="29" t="s">
        <v>5366</v>
      </c>
      <c r="CJ252" s="29"/>
      <c r="CK252" s="29" t="s">
        <v>5367</v>
      </c>
      <c r="CL252" s="29"/>
      <c r="CM252" s="29"/>
      <c r="CN252" s="29"/>
      <c r="CO252" s="29"/>
      <c r="CP252" s="29"/>
      <c r="CQ252" s="29"/>
      <c r="CR252" s="29"/>
      <c r="CS252" s="29"/>
      <c r="CT252" s="29"/>
      <c r="CU252" s="29"/>
      <c r="CV252" s="29"/>
      <c r="CW252" s="29"/>
      <c r="CX252" s="29"/>
      <c r="CY252" s="29"/>
      <c r="CZ252" s="29"/>
      <c r="DA252" s="29"/>
      <c r="DB252" s="29"/>
      <c r="DC252" s="29"/>
      <c r="DD252" s="29"/>
      <c r="DE252" s="29"/>
      <c r="DF252" s="29"/>
      <c r="DG252" s="29"/>
      <c r="DH252" s="29"/>
      <c r="DI252" s="29"/>
      <c r="DJ252" s="29"/>
      <c r="DK252" s="29"/>
      <c r="DL252" s="29"/>
      <c r="DM252" s="29"/>
      <c r="DN252" s="29"/>
      <c r="DO252" s="29"/>
      <c r="DP252" s="29"/>
      <c r="DQ252" s="29"/>
      <c r="DR252" s="29"/>
      <c r="DS252" s="29"/>
      <c r="DT252" s="29"/>
      <c r="DU252" s="29"/>
      <c r="DV252" s="29"/>
      <c r="DW252" s="29"/>
      <c r="DX252" s="29"/>
      <c r="DY252" s="29"/>
      <c r="DZ252" s="29"/>
      <c r="EA252" s="29"/>
      <c r="EB252" s="29"/>
      <c r="EC252" s="29"/>
      <c r="ED252" s="29"/>
      <c r="EE252" s="29"/>
      <c r="EF252" s="29"/>
      <c r="EG252" s="29"/>
      <c r="EH252" s="29"/>
      <c r="EI252" s="29"/>
      <c r="EJ252" s="29"/>
      <c r="EK252" s="29"/>
      <c r="EL252" s="29"/>
      <c r="EM252" s="29"/>
      <c r="EN252" s="29"/>
      <c r="EO252" s="29"/>
      <c r="EP252" s="29"/>
      <c r="EQ252" s="29"/>
      <c r="ER252" s="29"/>
      <c r="ES252" s="29"/>
      <c r="ET252" s="29" t="s">
        <v>526</v>
      </c>
      <c r="EU252" s="29" t="s">
        <v>579</v>
      </c>
      <c r="EV252" s="29" t="s">
        <v>778</v>
      </c>
      <c r="EW252" s="29"/>
      <c r="EX252" s="29"/>
      <c r="EY252" s="29"/>
      <c r="EZ252" s="29" t="s">
        <v>413</v>
      </c>
      <c r="FA252" s="29" t="s">
        <v>415</v>
      </c>
      <c r="FB252" s="29" t="s">
        <v>413</v>
      </c>
      <c r="FC252" s="29" t="s">
        <v>413</v>
      </c>
      <c r="FD252" s="29" t="s">
        <v>413</v>
      </c>
      <c r="FE252" s="29" t="s">
        <v>415</v>
      </c>
      <c r="FF252" s="29" t="s">
        <v>413</v>
      </c>
      <c r="FG252" s="29" t="s">
        <v>416</v>
      </c>
      <c r="FH252" s="29" t="s">
        <v>415</v>
      </c>
      <c r="FI252" s="29" t="s">
        <v>413</v>
      </c>
      <c r="FJ252" s="29" t="s">
        <v>413</v>
      </c>
      <c r="FK252" s="29" t="s">
        <v>413</v>
      </c>
      <c r="FL252" s="29" t="s">
        <v>413</v>
      </c>
      <c r="FM252" s="29" t="s">
        <v>413</v>
      </c>
      <c r="FN252" s="29" t="s">
        <v>413</v>
      </c>
      <c r="FO252" s="29" t="s">
        <v>485</v>
      </c>
      <c r="FP252" s="29" t="s">
        <v>418</v>
      </c>
      <c r="FQ252" s="29" t="s">
        <v>531</v>
      </c>
      <c r="FR252" s="29"/>
      <c r="FS252" s="29" t="s">
        <v>420</v>
      </c>
      <c r="FT252" s="29" t="s">
        <v>488</v>
      </c>
      <c r="FU252" s="29" t="s">
        <v>1235</v>
      </c>
      <c r="FV252" s="29" t="s">
        <v>490</v>
      </c>
      <c r="FW252" s="29" t="s">
        <v>491</v>
      </c>
      <c r="FX252" s="29"/>
      <c r="FY252" s="29" t="s">
        <v>1337</v>
      </c>
      <c r="FZ252" s="29"/>
      <c r="GA252" s="29"/>
      <c r="GB252" s="29" t="s">
        <v>408</v>
      </c>
      <c r="GC252" s="29"/>
      <c r="GD252" s="29"/>
      <c r="GE252" s="29"/>
      <c r="GF252" s="29"/>
      <c r="GG252" s="29"/>
      <c r="GH252" s="29"/>
      <c r="GI252" s="29"/>
      <c r="GJ252" s="29" t="s">
        <v>789</v>
      </c>
      <c r="GK252" s="29" t="s">
        <v>857</v>
      </c>
      <c r="GL252" s="29" t="s">
        <v>790</v>
      </c>
      <c r="GM252" s="29"/>
      <c r="GN252" s="29" t="s">
        <v>5368</v>
      </c>
      <c r="GO252" s="29" t="s">
        <v>5368</v>
      </c>
      <c r="GP252" s="29" t="s">
        <v>387</v>
      </c>
      <c r="GQ252" s="29" t="s">
        <v>3208</v>
      </c>
      <c r="GR252" s="29" t="s">
        <v>4774</v>
      </c>
      <c r="GS252" s="29"/>
      <c r="GT252" s="29"/>
      <c r="GU252" s="29"/>
      <c r="HP252" s="31"/>
      <c r="MX252" s="29" t="s">
        <v>5372</v>
      </c>
      <c r="MY252" s="29" t="str">
        <f>IFERROR(__xludf.DUMMYFUNCTION("""COMPUTED_VALUE"""),"Ukraine")</f>
        <v>Ukraine</v>
      </c>
    </row>
    <row r="253" ht="16.5" customHeight="1">
      <c r="A253" s="33">
        <v>45869.6256671875</v>
      </c>
      <c r="B253" s="29" t="s">
        <v>368</v>
      </c>
      <c r="C253" s="29" t="s">
        <v>5372</v>
      </c>
      <c r="D253" s="29" t="s">
        <v>635</v>
      </c>
      <c r="E253" s="29"/>
      <c r="F253" s="29"/>
      <c r="G253" s="29" t="s">
        <v>422</v>
      </c>
      <c r="H253" s="29" t="s">
        <v>637</v>
      </c>
      <c r="I253" s="29" t="s">
        <v>638</v>
      </c>
      <c r="J253" s="29" t="s">
        <v>590</v>
      </c>
      <c r="K253" s="29" t="s">
        <v>376</v>
      </c>
      <c r="L253" s="29" t="s">
        <v>426</v>
      </c>
      <c r="M253" s="29" t="s">
        <v>1024</v>
      </c>
      <c r="N253" s="29" t="s">
        <v>591</v>
      </c>
      <c r="O253" s="29" t="s">
        <v>1024</v>
      </c>
      <c r="P253" s="29" t="s">
        <v>498</v>
      </c>
      <c r="Q253" s="29" t="s">
        <v>818</v>
      </c>
      <c r="R253" s="29" t="s">
        <v>500</v>
      </c>
      <c r="S253" s="29" t="s">
        <v>384</v>
      </c>
      <c r="T253" s="29" t="s">
        <v>385</v>
      </c>
      <c r="U253" s="29"/>
      <c r="V253" s="29"/>
      <c r="W253" s="29" t="s">
        <v>3014</v>
      </c>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t="s">
        <v>1310</v>
      </c>
      <c r="AW253" s="29">
        <v>4.0</v>
      </c>
      <c r="AX253" s="29">
        <v>4.0</v>
      </c>
      <c r="AY253" s="29">
        <v>4.0</v>
      </c>
      <c r="AZ253" s="29">
        <v>2.0</v>
      </c>
      <c r="BA253" s="29">
        <v>2.0</v>
      </c>
      <c r="BB253" s="29" t="s">
        <v>391</v>
      </c>
      <c r="BC253" s="29"/>
      <c r="BD253" s="29" t="s">
        <v>5373</v>
      </c>
      <c r="BE253" s="29" t="s">
        <v>432</v>
      </c>
      <c r="BF253" s="29" t="s">
        <v>1095</v>
      </c>
      <c r="BG253" s="29" t="s">
        <v>394</v>
      </c>
      <c r="BH253" s="29"/>
      <c r="BI253" s="29" t="s">
        <v>824</v>
      </c>
      <c r="BJ253" s="29"/>
      <c r="BK253" s="29" t="s">
        <v>681</v>
      </c>
      <c r="BL253" s="29" t="s">
        <v>396</v>
      </c>
      <c r="BM253" s="29" t="s">
        <v>1247</v>
      </c>
      <c r="BN253" s="29" t="s">
        <v>513</v>
      </c>
      <c r="BO253" s="29"/>
      <c r="BP253" s="29"/>
      <c r="BQ253" s="29"/>
      <c r="BR253" s="29"/>
      <c r="BS253" s="29"/>
      <c r="BT253" s="29"/>
      <c r="BU253" s="29"/>
      <c r="BV253" s="29"/>
      <c r="BW253" s="29"/>
      <c r="BX253" s="29"/>
      <c r="BY253" s="29"/>
      <c r="BZ253" s="29"/>
      <c r="CA253" s="29"/>
      <c r="CB253" s="29"/>
      <c r="CC253" s="29"/>
      <c r="CD253" s="29"/>
      <c r="CE253" s="29"/>
      <c r="CF253" s="29"/>
      <c r="CG253" s="29"/>
      <c r="CH253" s="29"/>
      <c r="CI253" s="29"/>
      <c r="CJ253" s="29"/>
      <c r="CK253" s="29"/>
      <c r="CL253" s="29" t="s">
        <v>953</v>
      </c>
      <c r="CM253" s="29" t="s">
        <v>401</v>
      </c>
      <c r="CN253" s="29" t="s">
        <v>5374</v>
      </c>
      <c r="CO253" s="29" t="s">
        <v>5375</v>
      </c>
      <c r="CP253" s="29" t="s">
        <v>445</v>
      </c>
      <c r="CQ253" s="29" t="s">
        <v>5376</v>
      </c>
      <c r="CR253" s="29" t="s">
        <v>404</v>
      </c>
      <c r="CS253" s="29" t="s">
        <v>1137</v>
      </c>
      <c r="CT253" s="29" t="s">
        <v>5377</v>
      </c>
      <c r="CU253" s="29" t="s">
        <v>450</v>
      </c>
      <c r="CV253" s="29" t="s">
        <v>959</v>
      </c>
      <c r="CW253" s="29"/>
      <c r="CX253" s="29" t="s">
        <v>408</v>
      </c>
      <c r="CY253" s="29"/>
      <c r="CZ253" s="29" t="s">
        <v>1398</v>
      </c>
      <c r="DA253" s="29"/>
      <c r="DB253" s="29" t="s">
        <v>408</v>
      </c>
      <c r="DC253" s="29"/>
      <c r="DD253" s="29" t="s">
        <v>406</v>
      </c>
      <c r="DE253" s="29" t="s">
        <v>691</v>
      </c>
      <c r="DF253" s="29"/>
      <c r="DG253" s="29" t="s">
        <v>776</v>
      </c>
      <c r="DH253" s="29" t="s">
        <v>410</v>
      </c>
      <c r="DI253" s="29" t="s">
        <v>963</v>
      </c>
      <c r="DJ253" s="29" t="s">
        <v>613</v>
      </c>
      <c r="DK253" s="29"/>
      <c r="DL253" s="29"/>
      <c r="DM253" s="29"/>
      <c r="DN253" s="29"/>
      <c r="DO253" s="29"/>
      <c r="DP253" s="29"/>
      <c r="DQ253" s="29"/>
      <c r="DR253" s="29"/>
      <c r="DS253" s="29"/>
      <c r="DT253" s="29"/>
      <c r="DU253" s="29"/>
      <c r="DV253" s="29"/>
      <c r="DW253" s="29"/>
      <c r="DX253" s="29"/>
      <c r="DY253" s="29"/>
      <c r="DZ253" s="29"/>
      <c r="EA253" s="29"/>
      <c r="EB253" s="29"/>
      <c r="EC253" s="29"/>
      <c r="ED253" s="29"/>
      <c r="EE253" s="29"/>
      <c r="EF253" s="29"/>
      <c r="EG253" s="29"/>
      <c r="EH253" s="29"/>
      <c r="EI253" s="29"/>
      <c r="EJ253" s="29"/>
      <c r="EK253" s="29"/>
      <c r="EL253" s="29"/>
      <c r="EM253" s="29"/>
      <c r="EN253" s="29"/>
      <c r="EO253" s="29"/>
      <c r="EP253" s="29"/>
      <c r="EQ253" s="29"/>
      <c r="ER253" s="29"/>
      <c r="ES253" s="29"/>
      <c r="ET253" s="29" t="s">
        <v>478</v>
      </c>
      <c r="EU253" s="29" t="s">
        <v>579</v>
      </c>
      <c r="EV253" s="29" t="s">
        <v>527</v>
      </c>
      <c r="EW253" s="29" t="s">
        <v>5378</v>
      </c>
      <c r="EX253" s="29"/>
      <c r="EY253" s="29" t="s">
        <v>5379</v>
      </c>
      <c r="EZ253" s="29" t="s">
        <v>583</v>
      </c>
      <c r="FA253" s="29" t="s">
        <v>583</v>
      </c>
      <c r="FB253" s="29" t="s">
        <v>413</v>
      </c>
      <c r="FC253" s="29" t="s">
        <v>583</v>
      </c>
      <c r="FD253" s="29" t="s">
        <v>415</v>
      </c>
      <c r="FE253" s="29" t="s">
        <v>583</v>
      </c>
      <c r="FF253" s="29" t="s">
        <v>583</v>
      </c>
      <c r="FG253" s="29" t="s">
        <v>414</v>
      </c>
      <c r="FH253" s="29" t="s">
        <v>413</v>
      </c>
      <c r="FI253" s="29" t="s">
        <v>413</v>
      </c>
      <c r="FJ253" s="29" t="s">
        <v>583</v>
      </c>
      <c r="FK253" s="29" t="s">
        <v>583</v>
      </c>
      <c r="FL253" s="29" t="s">
        <v>583</v>
      </c>
      <c r="FM253" s="29" t="s">
        <v>413</v>
      </c>
      <c r="FN253" s="29" t="s">
        <v>413</v>
      </c>
      <c r="FO253" s="29" t="s">
        <v>1537</v>
      </c>
      <c r="FP253" s="29" t="s">
        <v>1200</v>
      </c>
      <c r="FQ253" s="29" t="s">
        <v>712</v>
      </c>
      <c r="FR253" s="29" t="s">
        <v>5380</v>
      </c>
      <c r="FS253" s="29" t="s">
        <v>1871</v>
      </c>
      <c r="FT253" s="29" t="s">
        <v>421</v>
      </c>
      <c r="FU253" s="29" t="s">
        <v>1235</v>
      </c>
      <c r="FV253" s="29" t="s">
        <v>2387</v>
      </c>
      <c r="FW253" s="29" t="s">
        <v>491</v>
      </c>
      <c r="FX253" s="29"/>
      <c r="FY253" s="29" t="s">
        <v>493</v>
      </c>
      <c r="FZ253" s="29"/>
      <c r="GA253" s="29"/>
      <c r="GB253" s="29" t="s">
        <v>455</v>
      </c>
      <c r="GC253" s="29"/>
      <c r="GD253" s="29"/>
      <c r="GE253" s="29" t="s">
        <v>753</v>
      </c>
      <c r="GF253" s="29"/>
      <c r="GG253" s="29" t="s">
        <v>755</v>
      </c>
      <c r="GH253" s="29" t="s">
        <v>755</v>
      </c>
      <c r="GI253" s="29" t="s">
        <v>858</v>
      </c>
      <c r="GJ253" s="29"/>
      <c r="GK253" s="29"/>
      <c r="GL253" s="29"/>
      <c r="GM253" s="29"/>
      <c r="GN253" s="29"/>
      <c r="GO253" s="29"/>
      <c r="GP253" s="29"/>
      <c r="GQ253" s="29" t="s">
        <v>3208</v>
      </c>
      <c r="GR253" s="29"/>
      <c r="GS253" s="29"/>
      <c r="GT253" s="29" t="s">
        <v>4774</v>
      </c>
      <c r="GU253" s="29"/>
      <c r="HP253" s="31"/>
      <c r="MX253" s="29" t="s">
        <v>10402</v>
      </c>
      <c r="MY253" s="29" t="str">
        <f>IFERROR(__xludf.DUMMYFUNCTION("""COMPUTED_VALUE"""),"Kentucky")</f>
        <v>Kentucky</v>
      </c>
    </row>
    <row r="254" ht="16.5" customHeight="1">
      <c r="A254" s="33">
        <v>45870.66304393519</v>
      </c>
      <c r="B254" s="29" t="s">
        <v>368</v>
      </c>
      <c r="C254" s="29" t="s">
        <v>370</v>
      </c>
      <c r="D254" s="29" t="s">
        <v>370</v>
      </c>
      <c r="E254" s="29" t="s">
        <v>5384</v>
      </c>
      <c r="F254" s="29" t="s">
        <v>1421</v>
      </c>
      <c r="G254" s="29" t="s">
        <v>422</v>
      </c>
      <c r="H254" s="29" t="s">
        <v>373</v>
      </c>
      <c r="I254" s="29" t="s">
        <v>374</v>
      </c>
      <c r="J254" s="29" t="s">
        <v>375</v>
      </c>
      <c r="K254" s="29" t="s">
        <v>376</v>
      </c>
      <c r="L254" s="29" t="s">
        <v>379</v>
      </c>
      <c r="M254" s="29" t="s">
        <v>1690</v>
      </c>
      <c r="N254" s="29" t="s">
        <v>379</v>
      </c>
      <c r="O254" s="29" t="s">
        <v>5385</v>
      </c>
      <c r="P254" s="29" t="s">
        <v>381</v>
      </c>
      <c r="Q254" s="29" t="s">
        <v>1156</v>
      </c>
      <c r="R254" s="29" t="s">
        <v>500</v>
      </c>
      <c r="S254" s="29" t="s">
        <v>5386</v>
      </c>
      <c r="T254" s="29" t="s">
        <v>385</v>
      </c>
      <c r="U254" s="29"/>
      <c r="V254" s="29"/>
      <c r="W254" s="29" t="s">
        <v>386</v>
      </c>
      <c r="X254" s="29" t="s">
        <v>387</v>
      </c>
      <c r="Y254" s="29" t="s">
        <v>761</v>
      </c>
      <c r="Z254" s="29" t="s">
        <v>672</v>
      </c>
      <c r="AA254" s="29" t="s">
        <v>5387</v>
      </c>
      <c r="AB254" s="29" t="s">
        <v>5388</v>
      </c>
      <c r="AC254" s="29"/>
      <c r="AD254" s="29"/>
      <c r="AE254" s="29"/>
      <c r="AF254" s="29"/>
      <c r="AG254" s="29"/>
      <c r="AH254" s="29"/>
      <c r="AI254" s="29"/>
      <c r="AJ254" s="29"/>
      <c r="AK254" s="29"/>
      <c r="AL254" s="29"/>
      <c r="AM254" s="29"/>
      <c r="AN254" s="29"/>
      <c r="AO254" s="29"/>
      <c r="AP254" s="29"/>
      <c r="AQ254" s="29"/>
      <c r="AR254" s="29"/>
      <c r="AS254" s="29"/>
      <c r="AT254" s="29"/>
      <c r="AU254" s="29"/>
      <c r="AV254" s="29" t="s">
        <v>504</v>
      </c>
      <c r="AW254" s="29" t="s">
        <v>675</v>
      </c>
      <c r="AX254" s="29">
        <v>4.0</v>
      </c>
      <c r="AY254" s="29" t="s">
        <v>675</v>
      </c>
      <c r="AZ254" s="29" t="s">
        <v>675</v>
      </c>
      <c r="BA254" s="29" t="s">
        <v>675</v>
      </c>
      <c r="BB254" s="29" t="s">
        <v>675</v>
      </c>
      <c r="BC254" s="29" t="s">
        <v>5389</v>
      </c>
      <c r="BD254" s="29" t="s">
        <v>5390</v>
      </c>
      <c r="BE254" s="29" t="s">
        <v>432</v>
      </c>
      <c r="BF254" s="29" t="s">
        <v>1245</v>
      </c>
      <c r="BG254" s="29" t="s">
        <v>394</v>
      </c>
      <c r="BH254" s="29"/>
      <c r="BI254" s="29" t="s">
        <v>976</v>
      </c>
      <c r="BJ254" s="29"/>
      <c r="BK254" s="29" t="s">
        <v>681</v>
      </c>
      <c r="BL254" s="29" t="s">
        <v>603</v>
      </c>
      <c r="BM254" s="29" t="s">
        <v>1247</v>
      </c>
      <c r="BN254" s="29" t="s">
        <v>513</v>
      </c>
      <c r="BO254" s="29"/>
      <c r="BP254" s="29"/>
      <c r="BQ254" s="29"/>
      <c r="BR254" s="29"/>
      <c r="BS254" s="29"/>
      <c r="BT254" s="29"/>
      <c r="BU254" s="29"/>
      <c r="BV254" s="29"/>
      <c r="BW254" s="29"/>
      <c r="BX254" s="29"/>
      <c r="BY254" s="29"/>
      <c r="BZ254" s="29"/>
      <c r="CA254" s="29"/>
      <c r="CB254" s="29"/>
      <c r="CC254" s="29"/>
      <c r="CD254" s="29"/>
      <c r="CE254" s="29"/>
      <c r="CF254" s="29"/>
      <c r="CG254" s="29"/>
      <c r="CH254" s="29"/>
      <c r="CI254" s="29"/>
      <c r="CJ254" s="29"/>
      <c r="CK254" s="29"/>
      <c r="CL254" s="29" t="s">
        <v>441</v>
      </c>
      <c r="CM254" s="29" t="s">
        <v>401</v>
      </c>
      <c r="CN254" s="29" t="s">
        <v>5391</v>
      </c>
      <c r="CO254" s="29" t="s">
        <v>5392</v>
      </c>
      <c r="CP254" s="29" t="s">
        <v>445</v>
      </c>
      <c r="CQ254" s="29" t="s">
        <v>5393</v>
      </c>
      <c r="CR254" s="29" t="s">
        <v>447</v>
      </c>
      <c r="CS254" s="29" t="s">
        <v>5394</v>
      </c>
      <c r="CT254" s="29" t="s">
        <v>5395</v>
      </c>
      <c r="CU254" s="29" t="s">
        <v>450</v>
      </c>
      <c r="CV254" s="29" t="s">
        <v>451</v>
      </c>
      <c r="CW254" s="29" t="s">
        <v>5396</v>
      </c>
      <c r="CX254" s="29" t="s">
        <v>408</v>
      </c>
      <c r="CY254" s="29" t="s">
        <v>1211</v>
      </c>
      <c r="CZ254" s="29" t="s">
        <v>453</v>
      </c>
      <c r="DA254" s="29" t="s">
        <v>5397</v>
      </c>
      <c r="DB254" s="29" t="s">
        <v>408</v>
      </c>
      <c r="DC254" s="29" t="s">
        <v>1211</v>
      </c>
      <c r="DD254" s="29" t="s">
        <v>406</v>
      </c>
      <c r="DE254" s="29" t="s">
        <v>407</v>
      </c>
      <c r="DF254" s="29" t="s">
        <v>5398</v>
      </c>
      <c r="DG254" s="29" t="s">
        <v>561</v>
      </c>
      <c r="DH254" s="29" t="s">
        <v>1964</v>
      </c>
      <c r="DI254" s="29" t="s">
        <v>459</v>
      </c>
      <c r="DJ254" s="29" t="s">
        <v>460</v>
      </c>
      <c r="DK254" s="29" t="s">
        <v>461</v>
      </c>
      <c r="DL254" s="29"/>
      <c r="DM254" s="29"/>
      <c r="DN254" s="29"/>
      <c r="DO254" s="29"/>
      <c r="DP254" s="29"/>
      <c r="DQ254" s="29"/>
      <c r="DR254" s="29"/>
      <c r="DS254" s="29"/>
      <c r="DT254" s="29"/>
      <c r="DU254" s="29"/>
      <c r="DV254" s="29"/>
      <c r="DW254" s="29"/>
      <c r="DX254" s="29"/>
      <c r="DY254" s="29"/>
      <c r="DZ254" s="29"/>
      <c r="EA254" s="29"/>
      <c r="EB254" s="29"/>
      <c r="EC254" s="29"/>
      <c r="ED254" s="29"/>
      <c r="EE254" s="29"/>
      <c r="EF254" s="29"/>
      <c r="EG254" s="29"/>
      <c r="EH254" s="29"/>
      <c r="EI254" s="29"/>
      <c r="EJ254" s="29"/>
      <c r="EK254" s="29"/>
      <c r="EL254" s="29"/>
      <c r="EM254" s="29"/>
      <c r="EN254" s="29"/>
      <c r="EO254" s="29"/>
      <c r="EP254" s="29"/>
      <c r="EQ254" s="29"/>
      <c r="ER254" s="29"/>
      <c r="ES254" s="29"/>
      <c r="ET254" s="29" t="s">
        <v>2747</v>
      </c>
      <c r="EU254" s="29" t="s">
        <v>479</v>
      </c>
      <c r="EV254" s="29" t="s">
        <v>480</v>
      </c>
      <c r="EW254" s="29" t="s">
        <v>5399</v>
      </c>
      <c r="EX254" s="29" t="s">
        <v>5400</v>
      </c>
      <c r="EY254" s="29" t="s">
        <v>5401</v>
      </c>
      <c r="EZ254" s="29" t="s">
        <v>416</v>
      </c>
      <c r="FA254" s="29" t="s">
        <v>416</v>
      </c>
      <c r="FB254" s="29" t="s">
        <v>413</v>
      </c>
      <c r="FC254" s="29" t="s">
        <v>413</v>
      </c>
      <c r="FD254" s="29" t="s">
        <v>413</v>
      </c>
      <c r="FE254" s="29" t="s">
        <v>414</v>
      </c>
      <c r="FF254" s="29" t="s">
        <v>413</v>
      </c>
      <c r="FG254" s="29" t="s">
        <v>413</v>
      </c>
      <c r="FH254" s="29" t="s">
        <v>484</v>
      </c>
      <c r="FI254" s="29" t="s">
        <v>484</v>
      </c>
      <c r="FJ254" s="29" t="s">
        <v>583</v>
      </c>
      <c r="FK254" s="29" t="s">
        <v>413</v>
      </c>
      <c r="FL254" s="29" t="s">
        <v>416</v>
      </c>
      <c r="FM254" s="29" t="s">
        <v>413</v>
      </c>
      <c r="FN254" s="29" t="s">
        <v>484</v>
      </c>
      <c r="FO254" s="29" t="s">
        <v>850</v>
      </c>
      <c r="FP254" s="29" t="s">
        <v>418</v>
      </c>
      <c r="FQ254" s="29" t="s">
        <v>1039</v>
      </c>
      <c r="FR254" s="29" t="s">
        <v>5402</v>
      </c>
      <c r="FS254" s="29" t="s">
        <v>1189</v>
      </c>
      <c r="FT254" s="29" t="s">
        <v>488</v>
      </c>
      <c r="FU254" s="29" t="s">
        <v>489</v>
      </c>
      <c r="FV254" s="29" t="s">
        <v>490</v>
      </c>
      <c r="FW254" s="29" t="s">
        <v>491</v>
      </c>
      <c r="FX254" s="29" t="s">
        <v>5403</v>
      </c>
      <c r="FY254" s="29" t="s">
        <v>535</v>
      </c>
      <c r="FZ254" s="29" t="s">
        <v>5404</v>
      </c>
      <c r="GA254" s="29" t="s">
        <v>5405</v>
      </c>
      <c r="GB254" s="29" t="s">
        <v>455</v>
      </c>
      <c r="GC254" s="29"/>
      <c r="GD254" s="29"/>
      <c r="GE254" s="29" t="s">
        <v>855</v>
      </c>
      <c r="GF254" s="29" t="s">
        <v>5406</v>
      </c>
      <c r="GG254" s="29" t="s">
        <v>755</v>
      </c>
      <c r="GH254" s="29" t="s">
        <v>755</v>
      </c>
      <c r="GI254" s="29" t="s">
        <v>946</v>
      </c>
      <c r="GJ254" s="29"/>
      <c r="GK254" s="29"/>
      <c r="GL254" s="29"/>
      <c r="GM254" s="29"/>
      <c r="GN254" s="29"/>
      <c r="GO254" s="29"/>
      <c r="GP254" s="29"/>
      <c r="GQ254" s="29" t="s">
        <v>5407</v>
      </c>
      <c r="GR254" s="29"/>
      <c r="GS254" s="29"/>
      <c r="GT254" s="29" t="s">
        <v>4774</v>
      </c>
      <c r="GU254" s="29" t="s">
        <v>1211</v>
      </c>
      <c r="HP254" s="31"/>
      <c r="MX254" s="29" t="s">
        <v>10402</v>
      </c>
      <c r="MY254" s="29" t="str">
        <f>IFERROR(__xludf.DUMMYFUNCTION("""COMPUTED_VALUE"""),"Virginia")</f>
        <v>Virginia</v>
      </c>
    </row>
    <row r="255" ht="16.5" customHeight="1">
      <c r="A255" s="33">
        <v>45871.494499988425</v>
      </c>
      <c r="B255" s="29" t="s">
        <v>368</v>
      </c>
      <c r="C255" s="29" t="s">
        <v>370</v>
      </c>
      <c r="D255" s="29" t="s">
        <v>370</v>
      </c>
      <c r="E255" s="29" t="s">
        <v>1875</v>
      </c>
      <c r="F255" s="29" t="s">
        <v>3955</v>
      </c>
      <c r="G255" s="29" t="s">
        <v>422</v>
      </c>
      <c r="H255" s="29" t="s">
        <v>539</v>
      </c>
      <c r="I255" s="29" t="s">
        <v>424</v>
      </c>
      <c r="J255" s="29" t="s">
        <v>718</v>
      </c>
      <c r="K255" s="29" t="s">
        <v>376</v>
      </c>
      <c r="L255" s="29" t="s">
        <v>379</v>
      </c>
      <c r="M255" s="29" t="s">
        <v>720</v>
      </c>
      <c r="N255" s="29" t="s">
        <v>793</v>
      </c>
      <c r="O255" s="29" t="s">
        <v>5408</v>
      </c>
      <c r="P255" s="29" t="s">
        <v>498</v>
      </c>
      <c r="Q255" s="29" t="s">
        <v>862</v>
      </c>
      <c r="R255" s="29" t="s">
        <v>500</v>
      </c>
      <c r="S255" s="29" t="s">
        <v>384</v>
      </c>
      <c r="T255" s="29" t="s">
        <v>385</v>
      </c>
      <c r="U255" s="29"/>
      <c r="V255" s="29"/>
      <c r="W255" s="29" t="s">
        <v>593</v>
      </c>
      <c r="X255" s="29" t="s">
        <v>387</v>
      </c>
      <c r="Y255" s="29" t="s">
        <v>1444</v>
      </c>
      <c r="Z255" s="29" t="s">
        <v>543</v>
      </c>
      <c r="AA255" s="29" t="s">
        <v>796</v>
      </c>
      <c r="AB255" s="29" t="s">
        <v>5409</v>
      </c>
      <c r="AC255" s="29"/>
      <c r="AD255" s="29"/>
      <c r="AE255" s="29"/>
      <c r="AF255" s="29"/>
      <c r="AG255" s="29"/>
      <c r="AH255" s="29"/>
      <c r="AI255" s="29"/>
      <c r="AJ255" s="29"/>
      <c r="AK255" s="29"/>
      <c r="AL255" s="29"/>
      <c r="AM255" s="29"/>
      <c r="AN255" s="29"/>
      <c r="AO255" s="29"/>
      <c r="AP255" s="29"/>
      <c r="AQ255" s="29"/>
      <c r="AR255" s="29"/>
      <c r="AS255" s="29"/>
      <c r="AT255" s="29"/>
      <c r="AU255" s="29"/>
      <c r="AV255" s="29" t="s">
        <v>390</v>
      </c>
      <c r="AW255" s="29" t="s">
        <v>391</v>
      </c>
      <c r="AX255" s="29" t="s">
        <v>391</v>
      </c>
      <c r="AY255" s="29">
        <v>2.0</v>
      </c>
      <c r="AZ255" s="29">
        <v>2.0</v>
      </c>
      <c r="BA255" s="29" t="s">
        <v>429</v>
      </c>
      <c r="BB255" s="29">
        <v>2.0</v>
      </c>
      <c r="BC255" s="29" t="s">
        <v>5410</v>
      </c>
      <c r="BD255" s="29" t="s">
        <v>5411</v>
      </c>
      <c r="BE255" s="29" t="s">
        <v>432</v>
      </c>
      <c r="BF255" s="29" t="s">
        <v>433</v>
      </c>
      <c r="BG255" s="29" t="s">
        <v>765</v>
      </c>
      <c r="BH255" s="29" t="s">
        <v>5412</v>
      </c>
      <c r="BI255" s="29" t="s">
        <v>509</v>
      </c>
      <c r="BJ255" s="29" t="s">
        <v>5413</v>
      </c>
      <c r="BK255" s="29" t="s">
        <v>681</v>
      </c>
      <c r="BL255" s="29" t="s">
        <v>512</v>
      </c>
      <c r="BM255" s="29" t="s">
        <v>439</v>
      </c>
      <c r="BN255" s="29" t="s">
        <v>513</v>
      </c>
      <c r="BO255" s="29"/>
      <c r="BP255" s="29"/>
      <c r="BQ255" s="29"/>
      <c r="BR255" s="29"/>
      <c r="BS255" s="29"/>
      <c r="BT255" s="29"/>
      <c r="BU255" s="29"/>
      <c r="BV255" s="29"/>
      <c r="BW255" s="29"/>
      <c r="BX255" s="29"/>
      <c r="BY255" s="29"/>
      <c r="BZ255" s="29"/>
      <c r="CA255" s="29"/>
      <c r="CB255" s="29"/>
      <c r="CC255" s="29"/>
      <c r="CD255" s="29"/>
      <c r="CE255" s="29"/>
      <c r="CF255" s="29"/>
      <c r="CG255" s="29"/>
      <c r="CH255" s="29"/>
      <c r="CI255" s="29"/>
      <c r="CJ255" s="29"/>
      <c r="CK255" s="29"/>
      <c r="CL255" s="29" t="s">
        <v>441</v>
      </c>
      <c r="CM255" s="29" t="s">
        <v>604</v>
      </c>
      <c r="CN255" s="29" t="s">
        <v>1315</v>
      </c>
      <c r="CO255" s="29" t="s">
        <v>5414</v>
      </c>
      <c r="CP255" s="29" t="s">
        <v>685</v>
      </c>
      <c r="CQ255" s="29" t="s">
        <v>5415</v>
      </c>
      <c r="CR255" s="29" t="s">
        <v>447</v>
      </c>
      <c r="CS255" s="29" t="s">
        <v>3488</v>
      </c>
      <c r="CT255" s="29" t="s">
        <v>5416</v>
      </c>
      <c r="CU255" s="29" t="s">
        <v>450</v>
      </c>
      <c r="CV255" s="29" t="s">
        <v>451</v>
      </c>
      <c r="CW255" s="29" t="s">
        <v>5417</v>
      </c>
      <c r="CX255" s="29" t="s">
        <v>455</v>
      </c>
      <c r="CY255" s="29" t="s">
        <v>5418</v>
      </c>
      <c r="CZ255" s="29" t="s">
        <v>453</v>
      </c>
      <c r="DA255" s="29" t="s">
        <v>5419</v>
      </c>
      <c r="DB255" s="29" t="s">
        <v>455</v>
      </c>
      <c r="DC255" s="29" t="s">
        <v>5420</v>
      </c>
      <c r="DD255" s="29" t="s">
        <v>662</v>
      </c>
      <c r="DE255" s="29"/>
      <c r="DF255" s="29" t="s">
        <v>5421</v>
      </c>
      <c r="DG255" s="29" t="s">
        <v>524</v>
      </c>
      <c r="DH255" s="29" t="s">
        <v>410</v>
      </c>
      <c r="DI255" s="29" t="s">
        <v>459</v>
      </c>
      <c r="DJ255" s="29" t="s">
        <v>460</v>
      </c>
      <c r="DK255" s="29" t="s">
        <v>461</v>
      </c>
      <c r="DL255" s="29"/>
      <c r="DM255" s="29"/>
      <c r="DN255" s="29"/>
      <c r="DO255" s="29"/>
      <c r="DP255" s="29"/>
      <c r="DQ255" s="29"/>
      <c r="DR255" s="29"/>
      <c r="DS255" s="29"/>
      <c r="DT255" s="29"/>
      <c r="DU255" s="29"/>
      <c r="DV255" s="29"/>
      <c r="DW255" s="29"/>
      <c r="DX255" s="29"/>
      <c r="DY255" s="29"/>
      <c r="DZ255" s="29"/>
      <c r="EA255" s="29"/>
      <c r="EB255" s="29"/>
      <c r="EC255" s="29"/>
      <c r="ED255" s="29"/>
      <c r="EE255" s="29"/>
      <c r="EF255" s="29"/>
      <c r="EG255" s="29"/>
      <c r="EH255" s="29"/>
      <c r="EI255" s="29"/>
      <c r="EJ255" s="29"/>
      <c r="EK255" s="29"/>
      <c r="EL255" s="29"/>
      <c r="EM255" s="29"/>
      <c r="EN255" s="29"/>
      <c r="EO255" s="29"/>
      <c r="EP255" s="29"/>
      <c r="EQ255" s="29"/>
      <c r="ER255" s="29"/>
      <c r="ES255" s="29"/>
      <c r="ET255" s="29" t="s">
        <v>526</v>
      </c>
      <c r="EU255" s="29" t="s">
        <v>479</v>
      </c>
      <c r="EV255" s="29" t="s">
        <v>480</v>
      </c>
      <c r="EW255" s="29" t="s">
        <v>5422</v>
      </c>
      <c r="EX255" s="29" t="s">
        <v>5423</v>
      </c>
      <c r="EY255" s="29" t="s">
        <v>5424</v>
      </c>
      <c r="EZ255" s="29" t="s">
        <v>413</v>
      </c>
      <c r="FA255" s="29"/>
      <c r="FB255" s="29" t="s">
        <v>413</v>
      </c>
      <c r="FC255" s="29" t="s">
        <v>413</v>
      </c>
      <c r="FD255" s="29" t="s">
        <v>413</v>
      </c>
      <c r="FE255" s="29" t="s">
        <v>413</v>
      </c>
      <c r="FF255" s="29" t="s">
        <v>413</v>
      </c>
      <c r="FG255" s="29" t="s">
        <v>415</v>
      </c>
      <c r="FH255" s="29" t="s">
        <v>583</v>
      </c>
      <c r="FI255" s="29" t="s">
        <v>414</v>
      </c>
      <c r="FJ255" s="29" t="s">
        <v>414</v>
      </c>
      <c r="FK255" s="29" t="s">
        <v>416</v>
      </c>
      <c r="FL255" s="29" t="s">
        <v>415</v>
      </c>
      <c r="FM255" s="29" t="s">
        <v>415</v>
      </c>
      <c r="FN255" s="29" t="s">
        <v>414</v>
      </c>
      <c r="FO255" s="29" t="s">
        <v>485</v>
      </c>
      <c r="FP255" s="29" t="s">
        <v>418</v>
      </c>
      <c r="FQ255" s="29" t="s">
        <v>419</v>
      </c>
      <c r="FR255" s="29"/>
      <c r="FS255" s="29" t="s">
        <v>420</v>
      </c>
      <c r="FT255" s="29" t="s">
        <v>488</v>
      </c>
      <c r="FU255" s="29" t="s">
        <v>489</v>
      </c>
      <c r="FV255" s="29" t="s">
        <v>490</v>
      </c>
      <c r="FW255" s="29" t="s">
        <v>491</v>
      </c>
      <c r="FX255" s="29" t="s">
        <v>5425</v>
      </c>
      <c r="FY255" s="29" t="s">
        <v>535</v>
      </c>
      <c r="FZ255" s="29"/>
      <c r="GA255" s="29"/>
      <c r="GB255" s="29" t="s">
        <v>455</v>
      </c>
      <c r="GC255" s="29"/>
      <c r="GD255" s="29"/>
      <c r="GE255" s="29" t="s">
        <v>786</v>
      </c>
      <c r="GF255" s="29" t="s">
        <v>5426</v>
      </c>
      <c r="GG255" s="29" t="s">
        <v>755</v>
      </c>
      <c r="GH255" s="29" t="s">
        <v>755</v>
      </c>
      <c r="GI255" s="29" t="s">
        <v>946</v>
      </c>
      <c r="GJ255" s="29"/>
      <c r="GK255" s="29"/>
      <c r="GL255" s="29"/>
      <c r="GM255" s="29"/>
      <c r="GN255" s="29"/>
      <c r="GO255" s="29"/>
      <c r="GP255" s="29"/>
      <c r="GQ255" s="29" t="s">
        <v>4653</v>
      </c>
      <c r="GR255" s="29"/>
      <c r="GS255" s="29"/>
      <c r="GT255" s="29" t="s">
        <v>4774</v>
      </c>
      <c r="GU255" s="29"/>
      <c r="HP255" s="31"/>
      <c r="MX255" s="29" t="s">
        <v>1201</v>
      </c>
      <c r="MY255" s="29" t="str">
        <f>IFERROR(__xludf.DUMMYFUNCTION("""COMPUTED_VALUE"""),"Australia")</f>
        <v>Australia</v>
      </c>
    </row>
    <row r="256" ht="16.5" customHeight="1">
      <c r="A256" s="33">
        <v>45872.30185957176</v>
      </c>
      <c r="B256" s="29" t="s">
        <v>368</v>
      </c>
      <c r="C256" s="29" t="s">
        <v>1201</v>
      </c>
      <c r="D256" s="29" t="s">
        <v>1201</v>
      </c>
      <c r="E256" s="29"/>
      <c r="F256" s="29"/>
      <c r="G256" s="29" t="s">
        <v>422</v>
      </c>
      <c r="H256" s="29" t="s">
        <v>373</v>
      </c>
      <c r="I256" s="29" t="s">
        <v>374</v>
      </c>
      <c r="J256" s="29" t="s">
        <v>1240</v>
      </c>
      <c r="K256" s="29" t="s">
        <v>376</v>
      </c>
      <c r="L256" s="29" t="s">
        <v>426</v>
      </c>
      <c r="M256" s="29" t="s">
        <v>5427</v>
      </c>
      <c r="N256" s="29" t="s">
        <v>426</v>
      </c>
      <c r="O256" s="29" t="s">
        <v>5427</v>
      </c>
      <c r="P256" s="29" t="s">
        <v>592</v>
      </c>
      <c r="Q256" s="29" t="s">
        <v>499</v>
      </c>
      <c r="R256" s="29" t="s">
        <v>427</v>
      </c>
      <c r="S256" s="29" t="s">
        <v>384</v>
      </c>
      <c r="T256" s="29" t="s">
        <v>385</v>
      </c>
      <c r="U256" s="29"/>
      <c r="V256" s="29"/>
      <c r="W256" s="29" t="s">
        <v>3014</v>
      </c>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t="s">
        <v>1310</v>
      </c>
      <c r="AW256" s="29">
        <v>4.0</v>
      </c>
      <c r="AX256" s="29">
        <v>4.0</v>
      </c>
      <c r="AY256" s="29" t="s">
        <v>675</v>
      </c>
      <c r="AZ256" s="29" t="s">
        <v>675</v>
      </c>
      <c r="BA256" s="29">
        <v>4.0</v>
      </c>
      <c r="BB256" s="29" t="s">
        <v>675</v>
      </c>
      <c r="BC256" s="29"/>
      <c r="BD256" s="29"/>
      <c r="BE256" s="29" t="s">
        <v>902</v>
      </c>
      <c r="BF256" s="29" t="s">
        <v>1095</v>
      </c>
      <c r="BG256" s="29" t="s">
        <v>394</v>
      </c>
      <c r="BH256" s="29"/>
      <c r="BI256" s="29" t="s">
        <v>976</v>
      </c>
      <c r="BJ256" s="29"/>
      <c r="BK256" s="29" t="s">
        <v>681</v>
      </c>
      <c r="BL256" s="29" t="s">
        <v>438</v>
      </c>
      <c r="BM256" s="29" t="s">
        <v>549</v>
      </c>
      <c r="BN256" s="29" t="s">
        <v>398</v>
      </c>
      <c r="BO256" s="29" t="s">
        <v>5428</v>
      </c>
      <c r="BP256" s="29" t="s">
        <v>5429</v>
      </c>
      <c r="BQ256" s="29" t="s">
        <v>604</v>
      </c>
      <c r="BR256" s="29" t="s">
        <v>5430</v>
      </c>
      <c r="BS256" s="29" t="s">
        <v>1671</v>
      </c>
      <c r="BT256" s="29" t="s">
        <v>4368</v>
      </c>
      <c r="BU256" s="29" t="s">
        <v>1693</v>
      </c>
      <c r="BV256" s="29" t="s">
        <v>5431</v>
      </c>
      <c r="BW256" s="29" t="s">
        <v>988</v>
      </c>
      <c r="BX256" s="29"/>
      <c r="BY256" s="29" t="s">
        <v>408</v>
      </c>
      <c r="BZ256" s="29"/>
      <c r="CA256" s="29"/>
      <c r="CB256" s="29" t="s">
        <v>5432</v>
      </c>
      <c r="CC256" s="29" t="s">
        <v>5433</v>
      </c>
      <c r="CD256" s="29" t="s">
        <v>451</v>
      </c>
      <c r="CE256" s="29" t="s">
        <v>5434</v>
      </c>
      <c r="CF256" s="29" t="s">
        <v>1258</v>
      </c>
      <c r="CG256" s="29"/>
      <c r="CH256" s="29" t="s">
        <v>1751</v>
      </c>
      <c r="CI256" s="29" t="s">
        <v>410</v>
      </c>
      <c r="CJ256" s="29" t="s">
        <v>5435</v>
      </c>
      <c r="CK256" s="29"/>
      <c r="CL256" s="29"/>
      <c r="CM256" s="29"/>
      <c r="CN256" s="29"/>
      <c r="CO256" s="29"/>
      <c r="CP256" s="29"/>
      <c r="CQ256" s="29"/>
      <c r="CR256" s="29"/>
      <c r="CS256" s="29"/>
      <c r="CT256" s="29"/>
      <c r="CU256" s="29"/>
      <c r="CV256" s="29"/>
      <c r="CW256" s="29"/>
      <c r="CX256" s="29"/>
      <c r="CY256" s="29"/>
      <c r="CZ256" s="29"/>
      <c r="DA256" s="29"/>
      <c r="DB256" s="29"/>
      <c r="DC256" s="29"/>
      <c r="DD256" s="29"/>
      <c r="DE256" s="29"/>
      <c r="DF256" s="29"/>
      <c r="DG256" s="29"/>
      <c r="DH256" s="29"/>
      <c r="DI256" s="29" t="s">
        <v>459</v>
      </c>
      <c r="DJ256" s="29" t="s">
        <v>562</v>
      </c>
      <c r="DK256" s="29" t="s">
        <v>525</v>
      </c>
      <c r="DL256" s="29"/>
      <c r="DM256" s="29"/>
      <c r="DN256" s="29"/>
      <c r="DO256" s="29"/>
      <c r="DP256" s="29"/>
      <c r="DQ256" s="29"/>
      <c r="DR256" s="29"/>
      <c r="DS256" s="29"/>
      <c r="DT256" s="29"/>
      <c r="DU256" s="29"/>
      <c r="DV256" s="29"/>
      <c r="DW256" s="29"/>
      <c r="DX256" s="29"/>
      <c r="DY256" s="29"/>
      <c r="DZ256" s="29"/>
      <c r="EA256" s="29"/>
      <c r="EB256" s="29"/>
      <c r="EC256" s="29"/>
      <c r="ED256" s="29"/>
      <c r="EE256" s="29"/>
      <c r="EF256" s="29"/>
      <c r="EG256" s="29"/>
      <c r="EH256" s="29"/>
      <c r="EI256" s="29"/>
      <c r="EJ256" s="29"/>
      <c r="EK256" s="29"/>
      <c r="EL256" s="29"/>
      <c r="EM256" s="29"/>
      <c r="EN256" s="29"/>
      <c r="EO256" s="29"/>
      <c r="EP256" s="29"/>
      <c r="EQ256" s="29"/>
      <c r="ER256" s="29"/>
      <c r="ES256" s="29"/>
      <c r="ET256" s="29"/>
      <c r="EU256" s="29" t="s">
        <v>1127</v>
      </c>
      <c r="EV256" s="29" t="s">
        <v>1262</v>
      </c>
      <c r="EW256" s="29"/>
      <c r="EX256" s="29"/>
      <c r="EY256" s="29"/>
      <c r="EZ256" s="29" t="s">
        <v>415</v>
      </c>
      <c r="FA256" s="29" t="s">
        <v>583</v>
      </c>
      <c r="FB256" s="29" t="s">
        <v>415</v>
      </c>
      <c r="FC256" s="29" t="s">
        <v>414</v>
      </c>
      <c r="FD256" s="29" t="s">
        <v>415</v>
      </c>
      <c r="FE256" s="29" t="s">
        <v>414</v>
      </c>
      <c r="FF256" s="29" t="s">
        <v>414</v>
      </c>
      <c r="FG256" s="29" t="s">
        <v>416</v>
      </c>
      <c r="FH256" s="29" t="s">
        <v>415</v>
      </c>
      <c r="FI256" s="29" t="s">
        <v>414</v>
      </c>
      <c r="FJ256" s="29" t="s">
        <v>414</v>
      </c>
      <c r="FK256" s="29" t="s">
        <v>414</v>
      </c>
      <c r="FL256" s="29" t="s">
        <v>414</v>
      </c>
      <c r="FM256" s="29" t="s">
        <v>416</v>
      </c>
      <c r="FN256" s="29" t="s">
        <v>414</v>
      </c>
      <c r="FO256" s="29" t="s">
        <v>1537</v>
      </c>
      <c r="FP256" s="29" t="s">
        <v>486</v>
      </c>
      <c r="FQ256" s="29" t="s">
        <v>712</v>
      </c>
      <c r="FR256" s="29"/>
      <c r="FS256" s="29" t="s">
        <v>1076</v>
      </c>
      <c r="FT256" s="29" t="s">
        <v>1462</v>
      </c>
      <c r="FU256" s="29" t="s">
        <v>918</v>
      </c>
      <c r="FV256" s="29" t="s">
        <v>490</v>
      </c>
      <c r="FW256" s="29" t="s">
        <v>491</v>
      </c>
      <c r="FX256" s="29"/>
      <c r="FY256" s="29" t="s">
        <v>1020</v>
      </c>
      <c r="FZ256" s="29"/>
      <c r="GA256" s="29"/>
      <c r="GB256" s="29" t="s">
        <v>408</v>
      </c>
      <c r="GC256" s="29"/>
      <c r="GD256" s="29"/>
      <c r="GE256" s="29"/>
      <c r="GF256" s="29"/>
      <c r="GG256" s="29"/>
      <c r="GH256" s="29"/>
      <c r="GI256" s="29"/>
      <c r="GJ256" s="29" t="s">
        <v>1000</v>
      </c>
      <c r="GK256" s="29" t="s">
        <v>755</v>
      </c>
      <c r="GL256" s="29" t="s">
        <v>946</v>
      </c>
      <c r="GM256" s="29"/>
      <c r="GN256" s="29" t="s">
        <v>5436</v>
      </c>
      <c r="GO256" s="29" t="s">
        <v>1201</v>
      </c>
      <c r="GP256" s="29"/>
      <c r="GQ256" s="29" t="s">
        <v>3208</v>
      </c>
      <c r="GR256" s="29" t="s">
        <v>5039</v>
      </c>
      <c r="GS256" s="29"/>
      <c r="GT256" s="29"/>
      <c r="GU256" s="29"/>
      <c r="HP256" s="31"/>
      <c r="MX256" s="29" t="s">
        <v>10402</v>
      </c>
      <c r="MY256" s="29" t="str">
        <f>IFERROR(__xludf.DUMMYFUNCTION("""COMPUTED_VALUE"""),"Massachusetts")</f>
        <v>Massachusetts</v>
      </c>
    </row>
    <row r="257" ht="16.5" customHeight="1">
      <c r="A257" s="33">
        <v>45872.47329465278</v>
      </c>
      <c r="B257" s="29" t="s">
        <v>368</v>
      </c>
      <c r="C257" s="29" t="s">
        <v>370</v>
      </c>
      <c r="D257" s="29" t="s">
        <v>370</v>
      </c>
      <c r="E257" s="29" t="s">
        <v>1001</v>
      </c>
      <c r="F257" s="29" t="s">
        <v>2708</v>
      </c>
      <c r="G257" s="29" t="s">
        <v>422</v>
      </c>
      <c r="H257" s="29" t="s">
        <v>496</v>
      </c>
      <c r="I257" s="29" t="s">
        <v>2578</v>
      </c>
      <c r="J257" s="29" t="s">
        <v>540</v>
      </c>
      <c r="K257" s="29" t="s">
        <v>376</v>
      </c>
      <c r="L257" s="29" t="s">
        <v>591</v>
      </c>
      <c r="M257" s="29" t="s">
        <v>639</v>
      </c>
      <c r="N257" s="29" t="s">
        <v>591</v>
      </c>
      <c r="O257" s="29" t="s">
        <v>5439</v>
      </c>
      <c r="P257" s="29" t="s">
        <v>381</v>
      </c>
      <c r="Q257" s="29" t="s">
        <v>382</v>
      </c>
      <c r="R257" s="29" t="s">
        <v>500</v>
      </c>
      <c r="S257" s="29" t="s">
        <v>384</v>
      </c>
      <c r="T257" s="29" t="s">
        <v>385</v>
      </c>
      <c r="U257" s="29"/>
      <c r="V257" s="29"/>
      <c r="W257" s="29" t="s">
        <v>386</v>
      </c>
      <c r="X257" s="29" t="s">
        <v>387</v>
      </c>
      <c r="Y257" s="29" t="s">
        <v>388</v>
      </c>
      <c r="Z257" s="29" t="s">
        <v>543</v>
      </c>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t="s">
        <v>1310</v>
      </c>
      <c r="AW257" s="29">
        <v>4.0</v>
      </c>
      <c r="AX257" s="29">
        <v>2.0</v>
      </c>
      <c r="AY257" s="29" t="s">
        <v>391</v>
      </c>
      <c r="AZ257" s="29" t="s">
        <v>429</v>
      </c>
      <c r="BA257" s="29">
        <v>2.0</v>
      </c>
      <c r="BB257" s="29">
        <v>2.0</v>
      </c>
      <c r="BC257" s="29" t="s">
        <v>5440</v>
      </c>
      <c r="BD257" s="29" t="s">
        <v>5441</v>
      </c>
      <c r="BE257" s="29" t="s">
        <v>902</v>
      </c>
      <c r="BF257" s="29" t="s">
        <v>393</v>
      </c>
      <c r="BG257" s="29" t="s">
        <v>765</v>
      </c>
      <c r="BH257" s="29"/>
      <c r="BI257" s="29" t="s">
        <v>435</v>
      </c>
      <c r="BJ257" s="29"/>
      <c r="BK257" s="29" t="s">
        <v>437</v>
      </c>
      <c r="BL257" s="29" t="s">
        <v>603</v>
      </c>
      <c r="BM257" s="29" t="s">
        <v>397</v>
      </c>
      <c r="BN257" s="29" t="s">
        <v>513</v>
      </c>
      <c r="BO257" s="29"/>
      <c r="BP257" s="29"/>
      <c r="BQ257" s="29"/>
      <c r="BR257" s="29"/>
      <c r="BS257" s="29"/>
      <c r="BT257" s="29"/>
      <c r="BU257" s="29"/>
      <c r="BV257" s="29"/>
      <c r="BW257" s="29"/>
      <c r="BX257" s="29"/>
      <c r="BY257" s="29"/>
      <c r="BZ257" s="29"/>
      <c r="CA257" s="29"/>
      <c r="CB257" s="29"/>
      <c r="CC257" s="29"/>
      <c r="CD257" s="29"/>
      <c r="CE257" s="29"/>
      <c r="CF257" s="29"/>
      <c r="CG257" s="29"/>
      <c r="CH257" s="29"/>
      <c r="CI257" s="29"/>
      <c r="CJ257" s="29"/>
      <c r="CK257" s="29"/>
      <c r="CL257" s="29" t="s">
        <v>441</v>
      </c>
      <c r="CM257" s="29" t="s">
        <v>604</v>
      </c>
      <c r="CN257" s="29" t="s">
        <v>5442</v>
      </c>
      <c r="CO257" s="29" t="s">
        <v>5443</v>
      </c>
      <c r="CP257" s="29" t="s">
        <v>445</v>
      </c>
      <c r="CQ257" s="29" t="s">
        <v>1427</v>
      </c>
      <c r="CR257" s="29" t="s">
        <v>447</v>
      </c>
      <c r="CS257" s="29" t="s">
        <v>2801</v>
      </c>
      <c r="CT257" s="29" t="s">
        <v>5444</v>
      </c>
      <c r="CU257" s="29" t="s">
        <v>519</v>
      </c>
      <c r="CV257" s="29" t="s">
        <v>451</v>
      </c>
      <c r="CW257" s="29" t="s">
        <v>5445</v>
      </c>
      <c r="CX257" s="29" t="s">
        <v>408</v>
      </c>
      <c r="CY257" s="29"/>
      <c r="CZ257" s="29" t="s">
        <v>985</v>
      </c>
      <c r="DA257" s="29" t="s">
        <v>5446</v>
      </c>
      <c r="DB257" s="29" t="s">
        <v>408</v>
      </c>
      <c r="DC257" s="29"/>
      <c r="DD257" s="29" t="s">
        <v>662</v>
      </c>
      <c r="DE257" s="29" t="s">
        <v>407</v>
      </c>
      <c r="DF257" s="29" t="s">
        <v>5447</v>
      </c>
      <c r="DG257" s="29" t="s">
        <v>561</v>
      </c>
      <c r="DH257" s="29" t="s">
        <v>833</v>
      </c>
      <c r="DI257" s="29" t="s">
        <v>459</v>
      </c>
      <c r="DJ257" s="29" t="s">
        <v>562</v>
      </c>
      <c r="DK257" s="29" t="s">
        <v>525</v>
      </c>
      <c r="DL257" s="29"/>
      <c r="DM257" s="29"/>
      <c r="DN257" s="29"/>
      <c r="DO257" s="29"/>
      <c r="DP257" s="29"/>
      <c r="DQ257" s="29"/>
      <c r="DR257" s="29"/>
      <c r="DS257" s="29"/>
      <c r="DT257" s="29"/>
      <c r="DU257" s="29"/>
      <c r="DV257" s="29"/>
      <c r="DW257" s="29"/>
      <c r="DX257" s="29"/>
      <c r="DY257" s="29"/>
      <c r="DZ257" s="29"/>
      <c r="EA257" s="29"/>
      <c r="EB257" s="29"/>
      <c r="EC257" s="29"/>
      <c r="ED257" s="29"/>
      <c r="EE257" s="29"/>
      <c r="EF257" s="29"/>
      <c r="EG257" s="29"/>
      <c r="EH257" s="29"/>
      <c r="EI257" s="29"/>
      <c r="EJ257" s="29"/>
      <c r="EK257" s="29"/>
      <c r="EL257" s="29"/>
      <c r="EM257" s="29"/>
      <c r="EN257" s="29"/>
      <c r="EO257" s="29"/>
      <c r="EP257" s="29"/>
      <c r="EQ257" s="29"/>
      <c r="ER257" s="29"/>
      <c r="ES257" s="29"/>
      <c r="ET257" s="29" t="s">
        <v>526</v>
      </c>
      <c r="EU257" s="29" t="s">
        <v>479</v>
      </c>
      <c r="EV257" s="29" t="s">
        <v>480</v>
      </c>
      <c r="EW257" s="29"/>
      <c r="EX257" s="29"/>
      <c r="EY257" s="29"/>
      <c r="EZ257" s="29" t="s">
        <v>415</v>
      </c>
      <c r="FA257" s="29" t="s">
        <v>415</v>
      </c>
      <c r="FB257" s="29" t="s">
        <v>413</v>
      </c>
      <c r="FC257" s="29" t="s">
        <v>413</v>
      </c>
      <c r="FD257" s="29" t="s">
        <v>413</v>
      </c>
      <c r="FE257" s="29" t="s">
        <v>583</v>
      </c>
      <c r="FF257" s="29" t="s">
        <v>414</v>
      </c>
      <c r="FG257" s="29" t="s">
        <v>413</v>
      </c>
      <c r="FH257" s="29" t="s">
        <v>583</v>
      </c>
      <c r="FI257" s="29" t="s">
        <v>583</v>
      </c>
      <c r="FJ257" s="29" t="s">
        <v>414</v>
      </c>
      <c r="FK257" s="29" t="s">
        <v>484</v>
      </c>
      <c r="FL257" s="29" t="s">
        <v>583</v>
      </c>
      <c r="FM257" s="29" t="s">
        <v>416</v>
      </c>
      <c r="FN257" s="29" t="s">
        <v>583</v>
      </c>
      <c r="FO257" s="29" t="s">
        <v>3396</v>
      </c>
      <c r="FP257" s="29" t="s">
        <v>418</v>
      </c>
      <c r="FQ257" s="29" t="s">
        <v>419</v>
      </c>
      <c r="FR257" s="29"/>
      <c r="FS257" s="29" t="s">
        <v>420</v>
      </c>
      <c r="FT257" s="29" t="s">
        <v>488</v>
      </c>
      <c r="FU257" s="29" t="s">
        <v>489</v>
      </c>
      <c r="FV257" s="29" t="s">
        <v>490</v>
      </c>
      <c r="FW257" s="29" t="s">
        <v>491</v>
      </c>
      <c r="FX257" s="29" t="s">
        <v>5448</v>
      </c>
      <c r="FY257" s="29" t="s">
        <v>493</v>
      </c>
      <c r="FZ257" s="29"/>
      <c r="GA257" s="29"/>
      <c r="GB257" s="29" t="s">
        <v>408</v>
      </c>
      <c r="GC257" s="29"/>
      <c r="GD257" s="29"/>
      <c r="GE257" s="29"/>
      <c r="GF257" s="29"/>
      <c r="GG257" s="29" t="s">
        <v>755</v>
      </c>
      <c r="GH257" s="29" t="s">
        <v>755</v>
      </c>
      <c r="GI257" s="29" t="s">
        <v>946</v>
      </c>
      <c r="GJ257" s="29"/>
      <c r="GK257" s="29"/>
      <c r="GL257" s="29"/>
      <c r="GM257" s="29"/>
      <c r="GN257" s="29"/>
      <c r="GO257" s="29"/>
      <c r="GP257" s="29"/>
      <c r="GQ257" s="29" t="s">
        <v>3208</v>
      </c>
      <c r="GR257" s="29"/>
      <c r="GS257" s="29"/>
      <c r="GT257" s="29" t="s">
        <v>4774</v>
      </c>
      <c r="GU257" s="29"/>
      <c r="HP257" s="31"/>
      <c r="MX257" s="29" t="s">
        <v>538</v>
      </c>
      <c r="MY257" s="29" t="str">
        <f>IFERROR(__xludf.DUMMYFUNCTION("""COMPUTED_VALUE"""),"United Kingdom")</f>
        <v>United Kingdom</v>
      </c>
    </row>
    <row r="258" ht="16.5" customHeight="1">
      <c r="A258" s="33">
        <v>45876.17624883102</v>
      </c>
      <c r="B258" s="29" t="s">
        <v>368</v>
      </c>
      <c r="C258" s="29" t="s">
        <v>538</v>
      </c>
      <c r="D258" s="29" t="s">
        <v>538</v>
      </c>
      <c r="E258" s="29"/>
      <c r="F258" s="29"/>
      <c r="G258" s="29" t="s">
        <v>422</v>
      </c>
      <c r="H258" s="29" t="s">
        <v>496</v>
      </c>
      <c r="I258" s="29" t="s">
        <v>374</v>
      </c>
      <c r="J258" s="29" t="s">
        <v>425</v>
      </c>
      <c r="K258" s="29" t="s">
        <v>376</v>
      </c>
      <c r="L258" s="29" t="s">
        <v>379</v>
      </c>
      <c r="M258" s="29" t="s">
        <v>541</v>
      </c>
      <c r="N258" s="29" t="s">
        <v>379</v>
      </c>
      <c r="O258" s="29" t="s">
        <v>671</v>
      </c>
      <c r="P258" s="29" t="s">
        <v>498</v>
      </c>
      <c r="Q258" s="29" t="s">
        <v>862</v>
      </c>
      <c r="R258" s="29" t="s">
        <v>427</v>
      </c>
      <c r="S258" s="29" t="s">
        <v>384</v>
      </c>
      <c r="T258" s="29" t="s">
        <v>385</v>
      </c>
      <c r="U258" s="29"/>
      <c r="V258" s="29"/>
      <c r="W258" s="29" t="s">
        <v>3231</v>
      </c>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t="s">
        <v>1242</v>
      </c>
      <c r="AW258" s="29">
        <v>4.0</v>
      </c>
      <c r="AX258" s="29">
        <v>4.0</v>
      </c>
      <c r="AY258" s="29" t="s">
        <v>391</v>
      </c>
      <c r="AZ258" s="29">
        <v>4.0</v>
      </c>
      <c r="BA258" s="29" t="s">
        <v>675</v>
      </c>
      <c r="BB258" s="29" t="s">
        <v>675</v>
      </c>
      <c r="BC258" s="29" t="s">
        <v>5449</v>
      </c>
      <c r="BD258" s="29" t="s">
        <v>5450</v>
      </c>
      <c r="BE258" s="29" t="s">
        <v>902</v>
      </c>
      <c r="BF258" s="29" t="s">
        <v>1095</v>
      </c>
      <c r="BG258" s="29" t="s">
        <v>434</v>
      </c>
      <c r="BH258" s="29" t="s">
        <v>5451</v>
      </c>
      <c r="BI258" s="29" t="s">
        <v>435</v>
      </c>
      <c r="BJ258" s="29" t="s">
        <v>5452</v>
      </c>
      <c r="BK258" s="29" t="s">
        <v>511</v>
      </c>
      <c r="BL258" s="29" t="s">
        <v>904</v>
      </c>
      <c r="BM258" s="29" t="s">
        <v>1247</v>
      </c>
      <c r="BN258" s="29" t="s">
        <v>398</v>
      </c>
      <c r="BO258" s="29" t="s">
        <v>5453</v>
      </c>
      <c r="BP258" s="29" t="s">
        <v>5454</v>
      </c>
      <c r="BQ258" s="29" t="s">
        <v>401</v>
      </c>
      <c r="BR258" s="29" t="s">
        <v>5455</v>
      </c>
      <c r="BS258" s="29" t="s">
        <v>4071</v>
      </c>
      <c r="BT258" s="29" t="s">
        <v>404</v>
      </c>
      <c r="BU258" s="29" t="s">
        <v>405</v>
      </c>
      <c r="BV258" s="29" t="s">
        <v>5456</v>
      </c>
      <c r="BW258" s="29" t="s">
        <v>406</v>
      </c>
      <c r="BX258" s="29" t="s">
        <v>2503</v>
      </c>
      <c r="BY258" s="29" t="s">
        <v>408</v>
      </c>
      <c r="BZ258" s="29"/>
      <c r="CA258" s="29" t="s">
        <v>5457</v>
      </c>
      <c r="CB258" s="29" t="s">
        <v>5458</v>
      </c>
      <c r="CC258" s="29" t="s">
        <v>5459</v>
      </c>
      <c r="CD258" s="29" t="s">
        <v>1257</v>
      </c>
      <c r="CE258" s="29"/>
      <c r="CF258" s="29" t="s">
        <v>1258</v>
      </c>
      <c r="CG258" s="29"/>
      <c r="CH258" s="29" t="s">
        <v>1259</v>
      </c>
      <c r="CI258" s="29" t="s">
        <v>410</v>
      </c>
      <c r="CJ258" s="29" t="s">
        <v>5460</v>
      </c>
      <c r="CK258" s="29" t="s">
        <v>5461</v>
      </c>
      <c r="CL258" s="29"/>
      <c r="CM258" s="29"/>
      <c r="CN258" s="29"/>
      <c r="CO258" s="29"/>
      <c r="CP258" s="29"/>
      <c r="CQ258" s="29"/>
      <c r="CR258" s="29"/>
      <c r="CS258" s="29"/>
      <c r="CT258" s="29"/>
      <c r="CU258" s="29"/>
      <c r="CV258" s="29"/>
      <c r="CW258" s="29"/>
      <c r="CX258" s="29"/>
      <c r="CY258" s="29"/>
      <c r="CZ258" s="29"/>
      <c r="DA258" s="29"/>
      <c r="DB258" s="29"/>
      <c r="DC258" s="29"/>
      <c r="DD258" s="29"/>
      <c r="DE258" s="29"/>
      <c r="DF258" s="29"/>
      <c r="DG258" s="29"/>
      <c r="DH258" s="29"/>
      <c r="DI258" s="29" t="s">
        <v>963</v>
      </c>
      <c r="DJ258" s="29" t="s">
        <v>460</v>
      </c>
      <c r="DK258" s="29" t="s">
        <v>525</v>
      </c>
      <c r="DL258" s="29"/>
      <c r="DM258" s="29"/>
      <c r="DN258" s="29"/>
      <c r="DO258" s="29"/>
      <c r="DP258" s="29"/>
      <c r="DQ258" s="29"/>
      <c r="DR258" s="29"/>
      <c r="DS258" s="29"/>
      <c r="DT258" s="29"/>
      <c r="DU258" s="29"/>
      <c r="DV258" s="29"/>
      <c r="DW258" s="29"/>
      <c r="DX258" s="29"/>
      <c r="DY258" s="29"/>
      <c r="DZ258" s="29"/>
      <c r="EA258" s="29"/>
      <c r="EB258" s="29"/>
      <c r="EC258" s="29"/>
      <c r="ED258" s="29"/>
      <c r="EE258" s="29"/>
      <c r="EF258" s="29"/>
      <c r="EG258" s="29"/>
      <c r="EH258" s="29"/>
      <c r="EI258" s="29"/>
      <c r="EJ258" s="29"/>
      <c r="EK258" s="29"/>
      <c r="EL258" s="29"/>
      <c r="EM258" s="29"/>
      <c r="EN258" s="29"/>
      <c r="EO258" s="29"/>
      <c r="EP258" s="29"/>
      <c r="EQ258" s="29"/>
      <c r="ER258" s="29"/>
      <c r="ES258" s="29"/>
      <c r="ET258" s="29" t="s">
        <v>526</v>
      </c>
      <c r="EU258" s="29" t="s">
        <v>579</v>
      </c>
      <c r="EV258" s="29" t="s">
        <v>527</v>
      </c>
      <c r="EW258" s="29"/>
      <c r="EX258" s="29" t="s">
        <v>5462</v>
      </c>
      <c r="EY258" s="29" t="s">
        <v>5463</v>
      </c>
      <c r="EZ258" s="29" t="s">
        <v>415</v>
      </c>
      <c r="FA258" s="29" t="s">
        <v>414</v>
      </c>
      <c r="FB258" s="29" t="s">
        <v>413</v>
      </c>
      <c r="FC258" s="29" t="s">
        <v>583</v>
      </c>
      <c r="FD258" s="29" t="s">
        <v>413</v>
      </c>
      <c r="FE258" s="29" t="s">
        <v>414</v>
      </c>
      <c r="FF258" s="29" t="s">
        <v>414</v>
      </c>
      <c r="FG258" s="29" t="s">
        <v>416</v>
      </c>
      <c r="FH258" s="29" t="s">
        <v>416</v>
      </c>
      <c r="FI258" s="29" t="s">
        <v>416</v>
      </c>
      <c r="FJ258" s="29" t="s">
        <v>416</v>
      </c>
      <c r="FK258" s="29" t="s">
        <v>416</v>
      </c>
      <c r="FL258" s="29" t="s">
        <v>415</v>
      </c>
      <c r="FM258" s="29" t="s">
        <v>413</v>
      </c>
      <c r="FN258" s="29" t="s">
        <v>416</v>
      </c>
      <c r="FO258" s="29" t="s">
        <v>417</v>
      </c>
      <c r="FP258" s="29" t="s">
        <v>418</v>
      </c>
      <c r="FQ258" s="29" t="s">
        <v>1039</v>
      </c>
      <c r="FR258" s="29" t="s">
        <v>5464</v>
      </c>
      <c r="FS258" s="29" t="s">
        <v>420</v>
      </c>
      <c r="FT258" s="29" t="s">
        <v>488</v>
      </c>
      <c r="FU258" s="29" t="s">
        <v>1235</v>
      </c>
      <c r="FV258" s="29" t="s">
        <v>490</v>
      </c>
      <c r="FW258" s="29" t="s">
        <v>491</v>
      </c>
      <c r="FX258" s="29" t="s">
        <v>5465</v>
      </c>
      <c r="FY258" s="29" t="s">
        <v>535</v>
      </c>
      <c r="FZ258" s="29" t="s">
        <v>5466</v>
      </c>
      <c r="GA258" s="29"/>
      <c r="GB258" s="29" t="s">
        <v>455</v>
      </c>
      <c r="GC258" s="29"/>
      <c r="GD258" s="29"/>
      <c r="GE258" s="29" t="s">
        <v>753</v>
      </c>
      <c r="GF258" s="29" t="s">
        <v>5467</v>
      </c>
      <c r="GG258" s="29"/>
      <c r="GH258" s="29"/>
      <c r="GI258" s="29"/>
      <c r="GJ258" s="29" t="s">
        <v>788</v>
      </c>
      <c r="GK258" s="29" t="s">
        <v>920</v>
      </c>
      <c r="GL258" s="29" t="s">
        <v>817</v>
      </c>
      <c r="GM258" s="29"/>
      <c r="GN258" s="29" t="s">
        <v>2293</v>
      </c>
      <c r="GO258" s="29" t="s">
        <v>2293</v>
      </c>
      <c r="GP258" s="29" t="s">
        <v>387</v>
      </c>
      <c r="GQ258" s="29" t="s">
        <v>3208</v>
      </c>
      <c r="GR258" s="29" t="s">
        <v>4774</v>
      </c>
      <c r="GS258" s="29"/>
      <c r="GT258" s="29"/>
      <c r="GU258" s="29"/>
      <c r="HP258" s="31"/>
      <c r="MX258" s="29" t="s">
        <v>5153</v>
      </c>
      <c r="MY258" s="29" t="str">
        <f>IFERROR(__xludf.DUMMYFUNCTION("""COMPUTED_VALUE"""),"Sweden")</f>
        <v>Sweden</v>
      </c>
    </row>
    <row r="259" ht="16.5" customHeight="1">
      <c r="A259" s="33">
        <v>45876.638081446756</v>
      </c>
      <c r="B259" s="29" t="s">
        <v>368</v>
      </c>
      <c r="C259" s="29" t="s">
        <v>5153</v>
      </c>
      <c r="D259" s="29" t="s">
        <v>5153</v>
      </c>
      <c r="E259" s="29"/>
      <c r="F259" s="29"/>
      <c r="G259" s="29" t="s">
        <v>422</v>
      </c>
      <c r="H259" s="29" t="s">
        <v>373</v>
      </c>
      <c r="I259" s="29" t="s">
        <v>374</v>
      </c>
      <c r="J259" s="29" t="s">
        <v>540</v>
      </c>
      <c r="K259" s="29" t="s">
        <v>376</v>
      </c>
      <c r="L259" s="29" t="s">
        <v>793</v>
      </c>
      <c r="M259" s="29" t="s">
        <v>639</v>
      </c>
      <c r="N259" s="29" t="s">
        <v>379</v>
      </c>
      <c r="O259" s="29" t="s">
        <v>497</v>
      </c>
      <c r="P259" s="29" t="s">
        <v>498</v>
      </c>
      <c r="Q259" s="29" t="s">
        <v>862</v>
      </c>
      <c r="R259" s="29" t="s">
        <v>427</v>
      </c>
      <c r="S259" s="29" t="s">
        <v>384</v>
      </c>
      <c r="T259" s="29" t="s">
        <v>385</v>
      </c>
      <c r="U259" s="29"/>
      <c r="V259" s="29"/>
      <c r="W259" s="29" t="s">
        <v>3231</v>
      </c>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t="s">
        <v>1310</v>
      </c>
      <c r="AW259" s="29">
        <v>4.0</v>
      </c>
      <c r="AX259" s="29" t="s">
        <v>391</v>
      </c>
      <c r="AY259" s="29" t="s">
        <v>675</v>
      </c>
      <c r="AZ259" s="29" t="s">
        <v>675</v>
      </c>
      <c r="BA259" s="29" t="s">
        <v>675</v>
      </c>
      <c r="BB259" s="29" t="s">
        <v>675</v>
      </c>
      <c r="BC259" s="29" t="s">
        <v>5469</v>
      </c>
      <c r="BD259" s="29" t="s">
        <v>5470</v>
      </c>
      <c r="BE259" s="29" t="s">
        <v>902</v>
      </c>
      <c r="BF259" s="29" t="s">
        <v>1095</v>
      </c>
      <c r="BG259" s="29" t="s">
        <v>394</v>
      </c>
      <c r="BH259" s="29"/>
      <c r="BI259" s="29" t="s">
        <v>976</v>
      </c>
      <c r="BJ259" s="29"/>
      <c r="BK259" s="29" t="s">
        <v>437</v>
      </c>
      <c r="BL259" s="29" t="s">
        <v>603</v>
      </c>
      <c r="BM259" s="29" t="s">
        <v>1247</v>
      </c>
      <c r="BN259" s="29" t="s">
        <v>398</v>
      </c>
      <c r="BO259" s="29" t="s">
        <v>5471</v>
      </c>
      <c r="BP259" s="29" t="s">
        <v>5472</v>
      </c>
      <c r="BQ259" s="29" t="s">
        <v>401</v>
      </c>
      <c r="BR259" s="29" t="s">
        <v>4462</v>
      </c>
      <c r="BS259" s="29" t="s">
        <v>4071</v>
      </c>
      <c r="BT259" s="29" t="s">
        <v>4072</v>
      </c>
      <c r="BU259" s="29" t="s">
        <v>405</v>
      </c>
      <c r="BV259" s="29"/>
      <c r="BW259" s="29" t="s">
        <v>406</v>
      </c>
      <c r="BX259" s="29" t="s">
        <v>1867</v>
      </c>
      <c r="BY259" s="29" t="s">
        <v>408</v>
      </c>
      <c r="BZ259" s="29"/>
      <c r="CA259" s="29"/>
      <c r="CB259" s="29" t="s">
        <v>5473</v>
      </c>
      <c r="CC259" s="29" t="s">
        <v>5474</v>
      </c>
      <c r="CD259" s="29" t="s">
        <v>409</v>
      </c>
      <c r="CE259" s="29" t="s">
        <v>5475</v>
      </c>
      <c r="CF259" s="29" t="s">
        <v>1697</v>
      </c>
      <c r="CG259" s="29"/>
      <c r="CH259" s="29" t="s">
        <v>1259</v>
      </c>
      <c r="CI259" s="29" t="s">
        <v>1220</v>
      </c>
      <c r="CJ259" s="29" t="s">
        <v>5476</v>
      </c>
      <c r="CK259" s="29" t="s">
        <v>5477</v>
      </c>
      <c r="CL259" s="29"/>
      <c r="CM259" s="29"/>
      <c r="CN259" s="29"/>
      <c r="CO259" s="29"/>
      <c r="CP259" s="29"/>
      <c r="CQ259" s="29"/>
      <c r="CR259" s="29"/>
      <c r="CS259" s="29"/>
      <c r="CT259" s="29"/>
      <c r="CU259" s="29"/>
      <c r="CV259" s="29"/>
      <c r="CW259" s="29"/>
      <c r="CX259" s="29"/>
      <c r="CY259" s="29"/>
      <c r="CZ259" s="29"/>
      <c r="DA259" s="29"/>
      <c r="DB259" s="29"/>
      <c r="DC259" s="29"/>
      <c r="DD259" s="29"/>
      <c r="DE259" s="29"/>
      <c r="DF259" s="29"/>
      <c r="DG259" s="29"/>
      <c r="DH259" s="29"/>
      <c r="DI259" s="29" t="s">
        <v>963</v>
      </c>
      <c r="DJ259" s="29" t="s">
        <v>460</v>
      </c>
      <c r="DK259" s="29" t="s">
        <v>525</v>
      </c>
      <c r="DL259" s="29"/>
      <c r="DM259" s="29"/>
      <c r="DN259" s="29"/>
      <c r="DO259" s="29"/>
      <c r="DP259" s="29"/>
      <c r="DQ259" s="29"/>
      <c r="DR259" s="29"/>
      <c r="DS259" s="29"/>
      <c r="DT259" s="29"/>
      <c r="DU259" s="29"/>
      <c r="DV259" s="29"/>
      <c r="DW259" s="29"/>
      <c r="DX259" s="29"/>
      <c r="DY259" s="29"/>
      <c r="DZ259" s="29"/>
      <c r="EA259" s="29"/>
      <c r="EB259" s="29"/>
      <c r="EC259" s="29"/>
      <c r="ED259" s="29"/>
      <c r="EE259" s="29"/>
      <c r="EF259" s="29"/>
      <c r="EG259" s="29"/>
      <c r="EH259" s="29"/>
      <c r="EI259" s="29"/>
      <c r="EJ259" s="29"/>
      <c r="EK259" s="29"/>
      <c r="EL259" s="29"/>
      <c r="EM259" s="29"/>
      <c r="EN259" s="29"/>
      <c r="EO259" s="29"/>
      <c r="EP259" s="29"/>
      <c r="EQ259" s="29"/>
      <c r="ER259" s="29"/>
      <c r="ES259" s="29"/>
      <c r="ET259" s="29" t="s">
        <v>526</v>
      </c>
      <c r="EU259" s="29" t="s">
        <v>579</v>
      </c>
      <c r="EV259" s="29" t="s">
        <v>1534</v>
      </c>
      <c r="EW259" s="29"/>
      <c r="EX259" s="29"/>
      <c r="EY259" s="29"/>
      <c r="EZ259" s="29" t="s">
        <v>416</v>
      </c>
      <c r="FA259" s="29" t="s">
        <v>415</v>
      </c>
      <c r="FB259" s="29" t="s">
        <v>413</v>
      </c>
      <c r="FC259" s="29" t="s">
        <v>413</v>
      </c>
      <c r="FD259" s="29" t="s">
        <v>413</v>
      </c>
      <c r="FE259" s="29" t="s">
        <v>415</v>
      </c>
      <c r="FF259" s="29" t="s">
        <v>413</v>
      </c>
      <c r="FG259" s="29" t="s">
        <v>413</v>
      </c>
      <c r="FH259" s="29" t="s">
        <v>413</v>
      </c>
      <c r="FI259" s="29" t="s">
        <v>413</v>
      </c>
      <c r="FJ259" s="29" t="s">
        <v>413</v>
      </c>
      <c r="FK259" s="29" t="s">
        <v>413</v>
      </c>
      <c r="FL259" s="29" t="s">
        <v>413</v>
      </c>
      <c r="FM259" s="29" t="s">
        <v>413</v>
      </c>
      <c r="FN259" s="29" t="s">
        <v>413</v>
      </c>
      <c r="FO259" s="29" t="s">
        <v>417</v>
      </c>
      <c r="FP259" s="29" t="s">
        <v>418</v>
      </c>
      <c r="FQ259" s="29"/>
      <c r="FR259" s="29"/>
      <c r="FS259" s="29" t="s">
        <v>420</v>
      </c>
      <c r="FT259" s="29" t="s">
        <v>488</v>
      </c>
      <c r="FU259" s="29" t="s">
        <v>1235</v>
      </c>
      <c r="FV259" s="29" t="s">
        <v>490</v>
      </c>
      <c r="FW259" s="29" t="s">
        <v>491</v>
      </c>
      <c r="FX259" s="29" t="s">
        <v>5478</v>
      </c>
      <c r="FY259" s="29" t="s">
        <v>535</v>
      </c>
      <c r="FZ259" s="29"/>
      <c r="GA259" s="29"/>
      <c r="GB259" s="29" t="s">
        <v>455</v>
      </c>
      <c r="GC259" s="29"/>
      <c r="GD259" s="29"/>
      <c r="GE259" s="29" t="s">
        <v>753</v>
      </c>
      <c r="GF259" s="29"/>
      <c r="GG259" s="29"/>
      <c r="GH259" s="29"/>
      <c r="GI259" s="29"/>
      <c r="GJ259" s="29" t="s">
        <v>755</v>
      </c>
      <c r="GK259" s="29" t="s">
        <v>755</v>
      </c>
      <c r="GL259" s="29" t="s">
        <v>817</v>
      </c>
      <c r="GM259" s="29"/>
      <c r="GN259" s="29" t="s">
        <v>5153</v>
      </c>
      <c r="GO259" s="29" t="s">
        <v>5153</v>
      </c>
      <c r="GP259" s="29" t="s">
        <v>387</v>
      </c>
      <c r="GQ259" s="29" t="s">
        <v>3208</v>
      </c>
      <c r="GR259" s="29" t="s">
        <v>4774</v>
      </c>
      <c r="GS259" s="29"/>
      <c r="GT259" s="29"/>
      <c r="GU259" s="29"/>
      <c r="HP259" s="31"/>
      <c r="MX259" s="29" t="s">
        <v>10402</v>
      </c>
      <c r="MY259" s="29" t="str">
        <f>IFERROR(__xludf.DUMMYFUNCTION("""COMPUTED_VALUE"""),"New Jersey")</f>
        <v>New Jersey</v>
      </c>
    </row>
    <row r="260" ht="16.5" customHeight="1">
      <c r="A260" s="33">
        <v>45879.53425473379</v>
      </c>
      <c r="B260" s="29" t="s">
        <v>368</v>
      </c>
      <c r="C260" s="29" t="s">
        <v>370</v>
      </c>
      <c r="D260" s="29" t="s">
        <v>370</v>
      </c>
      <c r="E260" s="29" t="s">
        <v>2359</v>
      </c>
      <c r="F260" s="29" t="s">
        <v>1592</v>
      </c>
      <c r="G260" s="29" t="s">
        <v>422</v>
      </c>
      <c r="H260" s="29" t="s">
        <v>373</v>
      </c>
      <c r="I260" s="29" t="s">
        <v>374</v>
      </c>
      <c r="J260" s="29" t="s">
        <v>718</v>
      </c>
      <c r="K260" s="29" t="s">
        <v>376</v>
      </c>
      <c r="L260" s="29" t="s">
        <v>379</v>
      </c>
      <c r="M260" s="29" t="s">
        <v>497</v>
      </c>
      <c r="N260" s="29" t="s">
        <v>426</v>
      </c>
      <c r="O260" s="29" t="s">
        <v>5479</v>
      </c>
      <c r="P260" s="29" t="s">
        <v>498</v>
      </c>
      <c r="Q260" s="29" t="s">
        <v>862</v>
      </c>
      <c r="R260" s="29" t="s">
        <v>1135</v>
      </c>
      <c r="S260" s="29" t="s">
        <v>1443</v>
      </c>
      <c r="T260" s="29" t="s">
        <v>385</v>
      </c>
      <c r="U260" s="29"/>
      <c r="V260" s="29"/>
      <c r="W260" s="29" t="s">
        <v>3231</v>
      </c>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t="s">
        <v>1310</v>
      </c>
      <c r="AW260" s="29" t="s">
        <v>675</v>
      </c>
      <c r="AX260" s="29" t="s">
        <v>675</v>
      </c>
      <c r="AY260" s="29" t="s">
        <v>675</v>
      </c>
      <c r="AZ260" s="29" t="s">
        <v>675</v>
      </c>
      <c r="BA260" s="29" t="s">
        <v>675</v>
      </c>
      <c r="BB260" s="29" t="s">
        <v>675</v>
      </c>
      <c r="BC260" s="29"/>
      <c r="BD260" s="29"/>
      <c r="BE260" s="29" t="s">
        <v>432</v>
      </c>
      <c r="BF260" s="29" t="s">
        <v>1245</v>
      </c>
      <c r="BG260" s="29" t="s">
        <v>394</v>
      </c>
      <c r="BH260" s="29"/>
      <c r="BI260" s="29" t="s">
        <v>976</v>
      </c>
      <c r="BJ260" s="29"/>
      <c r="BK260" s="29" t="s">
        <v>681</v>
      </c>
      <c r="BL260" s="29" t="s">
        <v>904</v>
      </c>
      <c r="BM260" s="29" t="s">
        <v>1247</v>
      </c>
      <c r="BN260" s="29" t="s">
        <v>440</v>
      </c>
      <c r="BO260" s="29"/>
      <c r="BP260" s="29"/>
      <c r="BQ260" s="29"/>
      <c r="BR260" s="29"/>
      <c r="BS260" s="29"/>
      <c r="BT260" s="29"/>
      <c r="BU260" s="29"/>
      <c r="BV260" s="29"/>
      <c r="BW260" s="29"/>
      <c r="BX260" s="29"/>
      <c r="BY260" s="29"/>
      <c r="BZ260" s="29"/>
      <c r="CA260" s="29"/>
      <c r="CB260" s="29"/>
      <c r="CC260" s="29"/>
      <c r="CD260" s="29"/>
      <c r="CE260" s="29"/>
      <c r="CF260" s="29"/>
      <c r="CG260" s="29"/>
      <c r="CH260" s="29"/>
      <c r="CI260" s="29"/>
      <c r="CJ260" s="29"/>
      <c r="CK260" s="29"/>
      <c r="CL260" s="29" t="s">
        <v>441</v>
      </c>
      <c r="CM260" s="29" t="s">
        <v>604</v>
      </c>
      <c r="CN260" s="29" t="s">
        <v>552</v>
      </c>
      <c r="CO260" s="29" t="s">
        <v>5480</v>
      </c>
      <c r="CP260" s="29" t="s">
        <v>979</v>
      </c>
      <c r="CQ260" s="29" t="s">
        <v>3090</v>
      </c>
      <c r="CR260" s="29" t="s">
        <v>804</v>
      </c>
      <c r="CS260" s="29" t="s">
        <v>5481</v>
      </c>
      <c r="CT260" s="29"/>
      <c r="CU260" s="29" t="s">
        <v>450</v>
      </c>
      <c r="CV260" s="29" t="s">
        <v>451</v>
      </c>
      <c r="CW260" s="29"/>
      <c r="CX260" s="29" t="s">
        <v>408</v>
      </c>
      <c r="CY260" s="29"/>
      <c r="CZ260" s="29" t="s">
        <v>453</v>
      </c>
      <c r="DA260" s="29" t="s">
        <v>5482</v>
      </c>
      <c r="DB260" s="29" t="s">
        <v>408</v>
      </c>
      <c r="DC260" s="29"/>
      <c r="DD260" s="29" t="s">
        <v>457</v>
      </c>
      <c r="DE260" s="29"/>
      <c r="DF260" s="29"/>
      <c r="DG260" s="29" t="s">
        <v>524</v>
      </c>
      <c r="DH260" s="29" t="s">
        <v>410</v>
      </c>
      <c r="DI260" s="29" t="s">
        <v>459</v>
      </c>
      <c r="DJ260" s="29" t="s">
        <v>460</v>
      </c>
      <c r="DK260" s="29" t="s">
        <v>461</v>
      </c>
      <c r="DL260" s="29"/>
      <c r="DM260" s="29" t="s">
        <v>5483</v>
      </c>
      <c r="DN260" s="29" t="s">
        <v>5484</v>
      </c>
      <c r="DO260" s="29" t="s">
        <v>464</v>
      </c>
      <c r="DP260" s="29" t="s">
        <v>5485</v>
      </c>
      <c r="DQ260" s="29" t="s">
        <v>1324</v>
      </c>
      <c r="DR260" s="29"/>
      <c r="DS260" s="29" t="s">
        <v>618</v>
      </c>
      <c r="DT260" s="29" t="s">
        <v>5486</v>
      </c>
      <c r="DU260" s="29"/>
      <c r="DV260" s="29"/>
      <c r="DW260" s="29" t="s">
        <v>396</v>
      </c>
      <c r="DX260" s="29"/>
      <c r="DY260" s="29" t="s">
        <v>5487</v>
      </c>
      <c r="DZ260" s="29" t="s">
        <v>5488</v>
      </c>
      <c r="EA260" s="29" t="s">
        <v>475</v>
      </c>
      <c r="EB260" s="29" t="s">
        <v>626</v>
      </c>
      <c r="EC260" s="29"/>
      <c r="ED260" s="29"/>
      <c r="EE260" s="29"/>
      <c r="EF260" s="29"/>
      <c r="EG260" s="29"/>
      <c r="EH260" s="29"/>
      <c r="EI260" s="29"/>
      <c r="EJ260" s="29"/>
      <c r="EK260" s="29"/>
      <c r="EL260" s="29"/>
      <c r="EM260" s="29"/>
      <c r="EN260" s="29"/>
      <c r="EO260" s="29"/>
      <c r="EP260" s="29"/>
      <c r="EQ260" s="29"/>
      <c r="ER260" s="29"/>
      <c r="ES260" s="29"/>
      <c r="ET260" s="29" t="s">
        <v>526</v>
      </c>
      <c r="EU260" s="29" t="s">
        <v>479</v>
      </c>
      <c r="EV260" s="29" t="s">
        <v>527</v>
      </c>
      <c r="EW260" s="29" t="s">
        <v>5489</v>
      </c>
      <c r="EX260" s="29"/>
      <c r="EY260" s="29"/>
      <c r="EZ260" s="29" t="s">
        <v>416</v>
      </c>
      <c r="FA260" s="29" t="s">
        <v>415</v>
      </c>
      <c r="FB260" s="29" t="s">
        <v>413</v>
      </c>
      <c r="FC260" s="29" t="s">
        <v>413</v>
      </c>
      <c r="FD260" s="29" t="s">
        <v>413</v>
      </c>
      <c r="FE260" s="29" t="s">
        <v>416</v>
      </c>
      <c r="FF260" s="29" t="s">
        <v>413</v>
      </c>
      <c r="FG260" s="29" t="s">
        <v>416</v>
      </c>
      <c r="FH260" s="29" t="s">
        <v>583</v>
      </c>
      <c r="FI260" s="29" t="s">
        <v>414</v>
      </c>
      <c r="FJ260" s="29" t="s">
        <v>415</v>
      </c>
      <c r="FK260" s="29" t="s">
        <v>484</v>
      </c>
      <c r="FL260" s="29" t="s">
        <v>484</v>
      </c>
      <c r="FM260" s="29" t="s">
        <v>484</v>
      </c>
      <c r="FN260" s="29" t="s">
        <v>484</v>
      </c>
      <c r="FO260" s="29" t="s">
        <v>485</v>
      </c>
      <c r="FP260" s="29" t="s">
        <v>418</v>
      </c>
      <c r="FQ260" s="29" t="s">
        <v>419</v>
      </c>
      <c r="FR260" s="29" t="s">
        <v>5490</v>
      </c>
      <c r="FS260" s="29" t="s">
        <v>420</v>
      </c>
      <c r="FT260" s="29" t="s">
        <v>488</v>
      </c>
      <c r="FU260" s="29" t="s">
        <v>533</v>
      </c>
      <c r="FV260" s="29" t="s">
        <v>490</v>
      </c>
      <c r="FW260" s="29" t="s">
        <v>491</v>
      </c>
      <c r="FX260" s="29" t="s">
        <v>5491</v>
      </c>
      <c r="FY260" s="29" t="s">
        <v>535</v>
      </c>
      <c r="FZ260" s="29"/>
      <c r="GA260" s="29"/>
      <c r="GB260" s="29" t="s">
        <v>408</v>
      </c>
      <c r="GC260" s="29"/>
      <c r="GD260" s="29"/>
      <c r="GE260" s="29"/>
      <c r="GF260" s="29"/>
      <c r="GG260" s="29" t="s">
        <v>755</v>
      </c>
      <c r="GH260" s="29" t="s">
        <v>755</v>
      </c>
      <c r="GI260" s="29" t="s">
        <v>817</v>
      </c>
      <c r="GJ260" s="29"/>
      <c r="GK260" s="29"/>
      <c r="GL260" s="29"/>
      <c r="GM260" s="29" t="s">
        <v>1079</v>
      </c>
      <c r="GN260" s="29"/>
      <c r="GO260" s="29"/>
      <c r="GP260" s="29" t="s">
        <v>387</v>
      </c>
      <c r="GQ260" s="29" t="s">
        <v>3208</v>
      </c>
      <c r="GR260" s="29"/>
      <c r="GS260" s="29"/>
      <c r="GT260" s="29" t="s">
        <v>4774</v>
      </c>
      <c r="GU260" s="29"/>
      <c r="HP260" s="31"/>
      <c r="MX260" s="29" t="s">
        <v>10402</v>
      </c>
      <c r="MY260" s="29" t="str">
        <f>IFERROR(__xludf.DUMMYFUNCTION("""COMPUTED_VALUE"""),"Idaho")</f>
        <v>Idaho</v>
      </c>
    </row>
    <row r="261" ht="16.5" customHeight="1">
      <c r="A261" s="33">
        <v>45879.723996388886</v>
      </c>
      <c r="B261" s="29" t="s">
        <v>368</v>
      </c>
      <c r="C261" s="29" t="s">
        <v>370</v>
      </c>
      <c r="D261" s="29" t="s">
        <v>370</v>
      </c>
      <c r="E261" s="29" t="s">
        <v>1382</v>
      </c>
      <c r="F261" s="29" t="s">
        <v>1421</v>
      </c>
      <c r="G261" s="29" t="s">
        <v>422</v>
      </c>
      <c r="H261" s="29" t="s">
        <v>496</v>
      </c>
      <c r="I261" s="29" t="s">
        <v>374</v>
      </c>
      <c r="J261" s="29" t="s">
        <v>718</v>
      </c>
      <c r="K261" s="29" t="s">
        <v>376</v>
      </c>
      <c r="L261" s="29" t="s">
        <v>426</v>
      </c>
      <c r="M261" s="29" t="s">
        <v>720</v>
      </c>
      <c r="N261" s="29" t="s">
        <v>379</v>
      </c>
      <c r="O261" s="29" t="s">
        <v>380</v>
      </c>
      <c r="P261" s="29" t="s">
        <v>498</v>
      </c>
      <c r="Q261" s="29" t="s">
        <v>382</v>
      </c>
      <c r="R261" s="29" t="s">
        <v>500</v>
      </c>
      <c r="S261" s="29" t="s">
        <v>384</v>
      </c>
      <c r="T261" s="29" t="s">
        <v>385</v>
      </c>
      <c r="U261" s="29"/>
      <c r="V261" s="29"/>
      <c r="W261" s="29" t="s">
        <v>3231</v>
      </c>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t="s">
        <v>390</v>
      </c>
      <c r="AW261" s="29" t="s">
        <v>391</v>
      </c>
      <c r="AX261" s="29" t="s">
        <v>391</v>
      </c>
      <c r="AY261" s="29">
        <v>4.0</v>
      </c>
      <c r="AZ261" s="29" t="s">
        <v>391</v>
      </c>
      <c r="BA261" s="29" t="s">
        <v>391</v>
      </c>
      <c r="BB261" s="29" t="s">
        <v>391</v>
      </c>
      <c r="BC261" s="29"/>
      <c r="BD261" s="29"/>
      <c r="BE261" s="29" t="s">
        <v>392</v>
      </c>
      <c r="BF261" s="29" t="s">
        <v>393</v>
      </c>
      <c r="BG261" s="29" t="s">
        <v>725</v>
      </c>
      <c r="BH261" s="29"/>
      <c r="BI261" s="29" t="s">
        <v>824</v>
      </c>
      <c r="BJ261" s="29"/>
      <c r="BK261" s="29" t="s">
        <v>395</v>
      </c>
      <c r="BL261" s="29"/>
      <c r="BM261" s="29" t="s">
        <v>549</v>
      </c>
      <c r="BN261" s="29" t="s">
        <v>513</v>
      </c>
      <c r="BO261" s="29"/>
      <c r="BP261" s="29"/>
      <c r="BQ261" s="29"/>
      <c r="BR261" s="29"/>
      <c r="BS261" s="29"/>
      <c r="BT261" s="29"/>
      <c r="BU261" s="29"/>
      <c r="BV261" s="29"/>
      <c r="BW261" s="29"/>
      <c r="BX261" s="29"/>
      <c r="BY261" s="29"/>
      <c r="BZ261" s="29"/>
      <c r="CA261" s="29"/>
      <c r="CB261" s="29"/>
      <c r="CC261" s="29"/>
      <c r="CD261" s="29"/>
      <c r="CE261" s="29"/>
      <c r="CF261" s="29"/>
      <c r="CG261" s="29"/>
      <c r="CH261" s="29"/>
      <c r="CI261" s="29"/>
      <c r="CJ261" s="29"/>
      <c r="CK261" s="29"/>
      <c r="CL261" s="29" t="s">
        <v>441</v>
      </c>
      <c r="CM261" s="29" t="s">
        <v>682</v>
      </c>
      <c r="CN261" s="29"/>
      <c r="CO261" s="29"/>
      <c r="CP261" s="29" t="s">
        <v>445</v>
      </c>
      <c r="CQ261" s="29" t="s">
        <v>1467</v>
      </c>
      <c r="CR261" s="29" t="s">
        <v>447</v>
      </c>
      <c r="CS261" s="29" t="s">
        <v>3120</v>
      </c>
      <c r="CT261" s="29"/>
      <c r="CU261" s="29" t="s">
        <v>982</v>
      </c>
      <c r="CV261" s="29" t="s">
        <v>409</v>
      </c>
      <c r="CW261" s="29"/>
      <c r="CX261" s="29" t="s">
        <v>408</v>
      </c>
      <c r="CY261" s="29"/>
      <c r="CZ261" s="29" t="s">
        <v>1962</v>
      </c>
      <c r="DA261" s="29"/>
      <c r="DB261" s="29" t="s">
        <v>408</v>
      </c>
      <c r="DC261" s="29"/>
      <c r="DD261" s="29" t="s">
        <v>406</v>
      </c>
      <c r="DE261" s="29" t="s">
        <v>407</v>
      </c>
      <c r="DF261" s="29"/>
      <c r="DG261" s="29" t="s">
        <v>990</v>
      </c>
      <c r="DH261" s="29" t="s">
        <v>833</v>
      </c>
      <c r="DI261" s="29" t="s">
        <v>459</v>
      </c>
      <c r="DJ261" s="29" t="s">
        <v>613</v>
      </c>
      <c r="DK261" s="29"/>
      <c r="DL261" s="29"/>
      <c r="DM261" s="29"/>
      <c r="DN261" s="29"/>
      <c r="DO261" s="29"/>
      <c r="DP261" s="29"/>
      <c r="DQ261" s="29"/>
      <c r="DR261" s="29"/>
      <c r="DS261" s="29"/>
      <c r="DT261" s="29"/>
      <c r="DU261" s="29"/>
      <c r="DV261" s="29"/>
      <c r="DW261" s="29"/>
      <c r="DX261" s="29"/>
      <c r="DY261" s="29"/>
      <c r="DZ261" s="29"/>
      <c r="EA261" s="29"/>
      <c r="EB261" s="29"/>
      <c r="EC261" s="29"/>
      <c r="ED261" s="29"/>
      <c r="EE261" s="29"/>
      <c r="EF261" s="29"/>
      <c r="EG261" s="29"/>
      <c r="EH261" s="29"/>
      <c r="EI261" s="29"/>
      <c r="EJ261" s="29"/>
      <c r="EK261" s="29"/>
      <c r="EL261" s="29"/>
      <c r="EM261" s="29"/>
      <c r="EN261" s="29"/>
      <c r="EO261" s="29"/>
      <c r="EP261" s="29"/>
      <c r="EQ261" s="29"/>
      <c r="ER261" s="29"/>
      <c r="ES261" s="29"/>
      <c r="ET261" s="29"/>
      <c r="EU261" s="29"/>
      <c r="EV261" s="29"/>
      <c r="EW261" s="29"/>
      <c r="EX261" s="29"/>
      <c r="EY261" s="29"/>
      <c r="EZ261" s="29" t="s">
        <v>416</v>
      </c>
      <c r="FA261" s="29" t="s">
        <v>415</v>
      </c>
      <c r="FB261" s="29" t="s">
        <v>413</v>
      </c>
      <c r="FC261" s="29" t="s">
        <v>415</v>
      </c>
      <c r="FD261" s="29" t="s">
        <v>413</v>
      </c>
      <c r="FE261" s="29" t="s">
        <v>415</v>
      </c>
      <c r="FF261" s="29" t="s">
        <v>415</v>
      </c>
      <c r="FG261" s="29" t="s">
        <v>413</v>
      </c>
      <c r="FH261" s="29" t="s">
        <v>583</v>
      </c>
      <c r="FI261" s="29" t="s">
        <v>414</v>
      </c>
      <c r="FJ261" s="29" t="s">
        <v>415</v>
      </c>
      <c r="FK261" s="29" t="s">
        <v>413</v>
      </c>
      <c r="FL261" s="29" t="s">
        <v>413</v>
      </c>
      <c r="FM261" s="29" t="s">
        <v>413</v>
      </c>
      <c r="FN261" s="29" t="s">
        <v>583</v>
      </c>
      <c r="FO261" s="29" t="s">
        <v>850</v>
      </c>
      <c r="FP261" s="29" t="s">
        <v>418</v>
      </c>
      <c r="FQ261" s="29" t="s">
        <v>419</v>
      </c>
      <c r="FR261" s="29"/>
      <c r="FS261" s="29" t="s">
        <v>1189</v>
      </c>
      <c r="FT261" s="29" t="s">
        <v>488</v>
      </c>
      <c r="FU261" s="29" t="s">
        <v>533</v>
      </c>
      <c r="FV261" s="29" t="s">
        <v>490</v>
      </c>
      <c r="FW261" s="29" t="s">
        <v>491</v>
      </c>
      <c r="FX261" s="29"/>
      <c r="FY261" s="29" t="s">
        <v>535</v>
      </c>
      <c r="FZ261" s="29"/>
      <c r="GA261" s="29"/>
      <c r="GB261" s="29" t="s">
        <v>408</v>
      </c>
      <c r="GC261" s="29"/>
      <c r="GD261" s="29"/>
      <c r="GE261" s="29"/>
      <c r="GF261" s="29"/>
      <c r="GG261" s="29" t="s">
        <v>755</v>
      </c>
      <c r="GH261" s="29" t="s">
        <v>755</v>
      </c>
      <c r="GI261" s="29" t="s">
        <v>946</v>
      </c>
      <c r="GJ261" s="29"/>
      <c r="GK261" s="29"/>
      <c r="GL261" s="29"/>
      <c r="GM261" s="29"/>
      <c r="GN261" s="29"/>
      <c r="GO261" s="29"/>
      <c r="GP261" s="29" t="s">
        <v>387</v>
      </c>
      <c r="GQ261" s="29"/>
      <c r="GR261" s="29"/>
      <c r="GS261" s="29"/>
      <c r="GT261" s="29" t="s">
        <v>4774</v>
      </c>
      <c r="GU261" s="29"/>
      <c r="HP261" s="31"/>
      <c r="MX261" s="29" t="s">
        <v>10402</v>
      </c>
      <c r="MY261" s="29" t="str">
        <f>IFERROR(__xludf.DUMMYFUNCTION("""COMPUTED_VALUE"""),"Texas")</f>
        <v>Texas</v>
      </c>
    </row>
    <row r="262" ht="16.5" customHeight="1">
      <c r="A262" s="33">
        <v>45880.350850821764</v>
      </c>
      <c r="B262" s="29" t="s">
        <v>368</v>
      </c>
      <c r="C262" s="29" t="s">
        <v>370</v>
      </c>
      <c r="D262" s="29" t="s">
        <v>370</v>
      </c>
      <c r="E262" s="29" t="s">
        <v>1510</v>
      </c>
      <c r="F262" s="29" t="s">
        <v>1510</v>
      </c>
      <c r="G262" s="29" t="s">
        <v>422</v>
      </c>
      <c r="H262" s="29" t="s">
        <v>496</v>
      </c>
      <c r="I262" s="29" t="s">
        <v>374</v>
      </c>
      <c r="J262" s="29" t="s">
        <v>1240</v>
      </c>
      <c r="K262" s="29" t="s">
        <v>376</v>
      </c>
      <c r="L262" s="29" t="s">
        <v>426</v>
      </c>
      <c r="M262" s="29" t="s">
        <v>720</v>
      </c>
      <c r="N262" s="29" t="s">
        <v>426</v>
      </c>
      <c r="O262" s="29" t="s">
        <v>5502</v>
      </c>
      <c r="P262" s="29" t="s">
        <v>381</v>
      </c>
      <c r="Q262" s="29" t="s">
        <v>499</v>
      </c>
      <c r="R262" s="29" t="s">
        <v>427</v>
      </c>
      <c r="S262" s="29" t="s">
        <v>384</v>
      </c>
      <c r="T262" s="29" t="s">
        <v>385</v>
      </c>
      <c r="U262" s="29"/>
      <c r="V262" s="29"/>
      <c r="W262" s="29" t="s">
        <v>386</v>
      </c>
      <c r="X262" s="29" t="s">
        <v>387</v>
      </c>
      <c r="Y262" s="29" t="s">
        <v>388</v>
      </c>
      <c r="Z262" s="29" t="s">
        <v>543</v>
      </c>
      <c r="AA262" s="29" t="s">
        <v>5503</v>
      </c>
      <c r="AB262" s="29" t="s">
        <v>5504</v>
      </c>
      <c r="AC262" s="29"/>
      <c r="AD262" s="29"/>
      <c r="AE262" s="29"/>
      <c r="AF262" s="29"/>
      <c r="AG262" s="29"/>
      <c r="AH262" s="29"/>
      <c r="AI262" s="29"/>
      <c r="AJ262" s="29"/>
      <c r="AK262" s="29"/>
      <c r="AL262" s="29"/>
      <c r="AM262" s="29"/>
      <c r="AN262" s="29"/>
      <c r="AO262" s="29"/>
      <c r="AP262" s="29"/>
      <c r="AQ262" s="29"/>
      <c r="AR262" s="29"/>
      <c r="AS262" s="29"/>
      <c r="AT262" s="29"/>
      <c r="AU262" s="29"/>
      <c r="AV262" s="29" t="s">
        <v>504</v>
      </c>
      <c r="AW262" s="29">
        <v>2.0</v>
      </c>
      <c r="AX262" s="29">
        <v>2.0</v>
      </c>
      <c r="AY262" s="29" t="s">
        <v>391</v>
      </c>
      <c r="AZ262" s="29" t="s">
        <v>429</v>
      </c>
      <c r="BA262" s="29" t="s">
        <v>391</v>
      </c>
      <c r="BB262" s="29">
        <v>2.0</v>
      </c>
      <c r="BC262" s="29" t="s">
        <v>5505</v>
      </c>
      <c r="BD262" s="29" t="s">
        <v>5506</v>
      </c>
      <c r="BE262" s="29" t="s">
        <v>392</v>
      </c>
      <c r="BF262" s="29" t="s">
        <v>433</v>
      </c>
      <c r="BG262" s="29" t="s">
        <v>678</v>
      </c>
      <c r="BH262" s="29" t="s">
        <v>5507</v>
      </c>
      <c r="BI262" s="29" t="s">
        <v>509</v>
      </c>
      <c r="BJ262" s="29" t="s">
        <v>5508</v>
      </c>
      <c r="BK262" s="29" t="s">
        <v>395</v>
      </c>
      <c r="BL262" s="29" t="s">
        <v>438</v>
      </c>
      <c r="BM262" s="29" t="s">
        <v>439</v>
      </c>
      <c r="BN262" s="29" t="s">
        <v>440</v>
      </c>
      <c r="BO262" s="29"/>
      <c r="BP262" s="29"/>
      <c r="BQ262" s="29"/>
      <c r="BR262" s="29"/>
      <c r="BS262" s="29"/>
      <c r="BT262" s="29"/>
      <c r="BU262" s="29"/>
      <c r="BV262" s="29"/>
      <c r="BW262" s="29"/>
      <c r="BX262" s="29"/>
      <c r="BY262" s="29"/>
      <c r="BZ262" s="29"/>
      <c r="CA262" s="29"/>
      <c r="CB262" s="29"/>
      <c r="CC262" s="29"/>
      <c r="CD262" s="29"/>
      <c r="CE262" s="29"/>
      <c r="CF262" s="29"/>
      <c r="CG262" s="29"/>
      <c r="CH262" s="29"/>
      <c r="CI262" s="29"/>
      <c r="CJ262" s="29"/>
      <c r="CK262" s="29"/>
      <c r="CL262" s="29" t="s">
        <v>441</v>
      </c>
      <c r="CM262" s="29" t="s">
        <v>604</v>
      </c>
      <c r="CN262" s="29" t="s">
        <v>552</v>
      </c>
      <c r="CO262" s="29" t="s">
        <v>5509</v>
      </c>
      <c r="CP262" s="29" t="s">
        <v>445</v>
      </c>
      <c r="CQ262" s="29" t="s">
        <v>5510</v>
      </c>
      <c r="CR262" s="29" t="s">
        <v>447</v>
      </c>
      <c r="CS262" s="29" t="s">
        <v>5511</v>
      </c>
      <c r="CT262" s="29" t="s">
        <v>5512</v>
      </c>
      <c r="CU262" s="29" t="s">
        <v>450</v>
      </c>
      <c r="CV262" s="29" t="s">
        <v>451</v>
      </c>
      <c r="CW262" s="29" t="s">
        <v>5513</v>
      </c>
      <c r="CX262" s="29" t="s">
        <v>408</v>
      </c>
      <c r="CY262" s="29"/>
      <c r="CZ262" s="29" t="s">
        <v>453</v>
      </c>
      <c r="DA262" s="29" t="s">
        <v>5514</v>
      </c>
      <c r="DB262" s="29" t="s">
        <v>455</v>
      </c>
      <c r="DC262" s="29" t="s">
        <v>5515</v>
      </c>
      <c r="DD262" s="29" t="s">
        <v>457</v>
      </c>
      <c r="DE262" s="29"/>
      <c r="DF262" s="29" t="s">
        <v>5516</v>
      </c>
      <c r="DG262" s="29" t="s">
        <v>524</v>
      </c>
      <c r="DH262" s="29" t="s">
        <v>410</v>
      </c>
      <c r="DI262" s="29" t="s">
        <v>459</v>
      </c>
      <c r="DJ262" s="29" t="s">
        <v>613</v>
      </c>
      <c r="DK262" s="29"/>
      <c r="DL262" s="29"/>
      <c r="DM262" s="29" t="s">
        <v>5517</v>
      </c>
      <c r="DN262" s="29" t="s">
        <v>5518</v>
      </c>
      <c r="DO262" s="29" t="s">
        <v>1063</v>
      </c>
      <c r="DP262" s="29" t="s">
        <v>4396</v>
      </c>
      <c r="DQ262" s="29" t="s">
        <v>1578</v>
      </c>
      <c r="DR262" s="29" t="s">
        <v>5519</v>
      </c>
      <c r="DS262" s="29" t="s">
        <v>839</v>
      </c>
      <c r="DT262" s="29" t="s">
        <v>570</v>
      </c>
      <c r="DU262" s="29" t="s">
        <v>5520</v>
      </c>
      <c r="DV262" s="29" t="s">
        <v>408</v>
      </c>
      <c r="DW262" s="29" t="s">
        <v>573</v>
      </c>
      <c r="DX262" s="29" t="s">
        <v>5521</v>
      </c>
      <c r="DY262" s="29" t="s">
        <v>5522</v>
      </c>
      <c r="DZ262" s="29" t="s">
        <v>5523</v>
      </c>
      <c r="EA262" s="29" t="s">
        <v>475</v>
      </c>
      <c r="EB262" s="29" t="s">
        <v>845</v>
      </c>
      <c r="EC262" s="29" t="s">
        <v>5524</v>
      </c>
      <c r="ED262" s="29"/>
      <c r="EE262" s="29"/>
      <c r="EF262" s="29"/>
      <c r="EG262" s="29"/>
      <c r="EH262" s="29"/>
      <c r="EI262" s="29"/>
      <c r="EJ262" s="29"/>
      <c r="EK262" s="29"/>
      <c r="EL262" s="29"/>
      <c r="EM262" s="29"/>
      <c r="EN262" s="29"/>
      <c r="EO262" s="29"/>
      <c r="EP262" s="29"/>
      <c r="EQ262" s="29"/>
      <c r="ER262" s="29"/>
      <c r="ES262" s="29"/>
      <c r="ET262" s="29" t="s">
        <v>578</v>
      </c>
      <c r="EU262" s="29" t="s">
        <v>479</v>
      </c>
      <c r="EV262" s="29" t="s">
        <v>480</v>
      </c>
      <c r="EW262" s="29"/>
      <c r="EX262" s="29" t="s">
        <v>5525</v>
      </c>
      <c r="EY262" s="29" t="s">
        <v>5526</v>
      </c>
      <c r="EZ262" s="29" t="s">
        <v>416</v>
      </c>
      <c r="FA262" s="29" t="s">
        <v>416</v>
      </c>
      <c r="FB262" s="29" t="s">
        <v>413</v>
      </c>
      <c r="FC262" s="29" t="s">
        <v>416</v>
      </c>
      <c r="FD262" s="29" t="s">
        <v>413</v>
      </c>
      <c r="FE262" s="29" t="s">
        <v>416</v>
      </c>
      <c r="FF262" s="29" t="s">
        <v>413</v>
      </c>
      <c r="FG262" s="29" t="s">
        <v>416</v>
      </c>
      <c r="FH262" s="29" t="s">
        <v>413</v>
      </c>
      <c r="FI262" s="29" t="s">
        <v>416</v>
      </c>
      <c r="FJ262" s="29" t="s">
        <v>416</v>
      </c>
      <c r="FK262" s="29" t="s">
        <v>416</v>
      </c>
      <c r="FL262" s="29" t="s">
        <v>416</v>
      </c>
      <c r="FM262" s="29" t="s">
        <v>413</v>
      </c>
      <c r="FN262" s="29" t="s">
        <v>416</v>
      </c>
      <c r="FO262" s="29" t="s">
        <v>417</v>
      </c>
      <c r="FP262" s="29" t="s">
        <v>486</v>
      </c>
      <c r="FQ262" s="29" t="s">
        <v>712</v>
      </c>
      <c r="FR262" s="29" t="s">
        <v>5527</v>
      </c>
      <c r="FS262" s="29" t="s">
        <v>420</v>
      </c>
      <c r="FT262" s="29" t="s">
        <v>1462</v>
      </c>
      <c r="FU262" s="29" t="s">
        <v>918</v>
      </c>
      <c r="FV262" s="29" t="s">
        <v>490</v>
      </c>
      <c r="FW262" s="29" t="s">
        <v>491</v>
      </c>
      <c r="FX262" s="29" t="s">
        <v>5528</v>
      </c>
      <c r="FY262" s="29" t="s">
        <v>535</v>
      </c>
      <c r="FZ262" s="29" t="s">
        <v>5529</v>
      </c>
      <c r="GA262" s="29"/>
      <c r="GB262" s="29" t="s">
        <v>455</v>
      </c>
      <c r="GC262" s="29"/>
      <c r="GD262" s="29"/>
      <c r="GE262" s="29" t="s">
        <v>753</v>
      </c>
      <c r="GF262" s="29" t="s">
        <v>455</v>
      </c>
      <c r="GG262" s="29" t="s">
        <v>788</v>
      </c>
      <c r="GH262" s="29" t="s">
        <v>788</v>
      </c>
      <c r="GI262" s="29" t="s">
        <v>858</v>
      </c>
      <c r="GJ262" s="29"/>
      <c r="GK262" s="29"/>
      <c r="GL262" s="29"/>
      <c r="GM262" s="29" t="s">
        <v>1079</v>
      </c>
      <c r="GN262" s="29"/>
      <c r="GO262" s="29"/>
      <c r="GP262" s="29"/>
      <c r="GQ262" s="29" t="s">
        <v>5530</v>
      </c>
      <c r="GR262" s="29"/>
      <c r="GS262" s="29"/>
      <c r="GT262" s="29" t="s">
        <v>4774</v>
      </c>
      <c r="GU262" s="29"/>
      <c r="HP262" s="31"/>
      <c r="MX262" s="29" t="s">
        <v>10402</v>
      </c>
      <c r="MY262" s="29" t="str">
        <f>IFERROR(__xludf.DUMMYFUNCTION("""COMPUTED_VALUE"""),"Texas")</f>
        <v>Texas</v>
      </c>
    </row>
    <row r="263" ht="16.5" customHeight="1">
      <c r="A263" s="33">
        <v>45880.668832337964</v>
      </c>
      <c r="B263" s="29" t="s">
        <v>368</v>
      </c>
      <c r="C263" s="29" t="s">
        <v>370</v>
      </c>
      <c r="D263" s="29" t="s">
        <v>370</v>
      </c>
      <c r="E263" s="29" t="s">
        <v>1510</v>
      </c>
      <c r="F263" s="29" t="s">
        <v>1510</v>
      </c>
      <c r="G263" s="29" t="s">
        <v>422</v>
      </c>
      <c r="H263" s="29" t="s">
        <v>1203</v>
      </c>
      <c r="I263" s="29" t="s">
        <v>638</v>
      </c>
      <c r="J263" s="29" t="s">
        <v>1204</v>
      </c>
      <c r="K263" s="29" t="s">
        <v>376</v>
      </c>
      <c r="L263" s="29" t="s">
        <v>591</v>
      </c>
      <c r="M263" s="29" t="s">
        <v>719</v>
      </c>
      <c r="N263" s="29" t="s">
        <v>591</v>
      </c>
      <c r="O263" s="29" t="s">
        <v>719</v>
      </c>
      <c r="P263" s="29" t="s">
        <v>498</v>
      </c>
      <c r="Q263" s="29" t="s">
        <v>1156</v>
      </c>
      <c r="R263" s="29" t="s">
        <v>5538</v>
      </c>
      <c r="S263" s="29" t="s">
        <v>384</v>
      </c>
      <c r="T263" s="29" t="s">
        <v>385</v>
      </c>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t="s">
        <v>390</v>
      </c>
      <c r="AW263" s="29">
        <v>2.0</v>
      </c>
      <c r="AX263" s="29">
        <v>2.0</v>
      </c>
      <c r="AY263" s="29" t="s">
        <v>391</v>
      </c>
      <c r="AZ263" s="29">
        <v>2.0</v>
      </c>
      <c r="BA263" s="29">
        <v>2.0</v>
      </c>
      <c r="BB263" s="29">
        <v>2.0</v>
      </c>
      <c r="BC263" s="29"/>
      <c r="BD263" s="29"/>
      <c r="BE263" s="29" t="s">
        <v>432</v>
      </c>
      <c r="BF263" s="29" t="s">
        <v>433</v>
      </c>
      <c r="BG263" s="29" t="s">
        <v>765</v>
      </c>
      <c r="BH263" s="29"/>
      <c r="BI263" s="29" t="s">
        <v>824</v>
      </c>
      <c r="BJ263" s="29"/>
      <c r="BK263" s="29" t="s">
        <v>437</v>
      </c>
      <c r="BL263" s="29" t="s">
        <v>603</v>
      </c>
      <c r="BM263" s="29" t="s">
        <v>439</v>
      </c>
      <c r="BN263" s="29" t="s">
        <v>513</v>
      </c>
      <c r="BO263" s="29"/>
      <c r="BP263" s="29"/>
      <c r="BQ263" s="29"/>
      <c r="BR263" s="29"/>
      <c r="BS263" s="29"/>
      <c r="BT263" s="29"/>
      <c r="BU263" s="29"/>
      <c r="BV263" s="29"/>
      <c r="BW263" s="29"/>
      <c r="BX263" s="29"/>
      <c r="BY263" s="29"/>
      <c r="BZ263" s="29"/>
      <c r="CA263" s="29"/>
      <c r="CB263" s="29"/>
      <c r="CC263" s="29"/>
      <c r="CD263" s="29"/>
      <c r="CE263" s="29"/>
      <c r="CF263" s="29"/>
      <c r="CG263" s="29"/>
      <c r="CH263" s="29"/>
      <c r="CI263" s="29"/>
      <c r="CJ263" s="29"/>
      <c r="CK263" s="29"/>
      <c r="CL263" s="29" t="s">
        <v>441</v>
      </c>
      <c r="CM263" s="29" t="s">
        <v>442</v>
      </c>
      <c r="CN263" s="29"/>
      <c r="CO263" s="29"/>
      <c r="CP263" s="29"/>
      <c r="CQ263" s="29" t="s">
        <v>5539</v>
      </c>
      <c r="CR263" s="29" t="s">
        <v>404</v>
      </c>
      <c r="CS263" s="29" t="s">
        <v>5540</v>
      </c>
      <c r="CT263" s="29"/>
      <c r="CU263" s="29"/>
      <c r="CV263" s="29"/>
      <c r="CW263" s="29"/>
      <c r="CX263" s="29"/>
      <c r="CY263" s="29"/>
      <c r="CZ263" s="29"/>
      <c r="DA263" s="29"/>
      <c r="DB263" s="29"/>
      <c r="DC263" s="29"/>
      <c r="DD263" s="29" t="s">
        <v>662</v>
      </c>
      <c r="DE263" s="29"/>
      <c r="DF263" s="29"/>
      <c r="DG263" s="29"/>
      <c r="DH263" s="29"/>
      <c r="DI263" s="29"/>
      <c r="DJ263" s="29"/>
      <c r="DK263" s="29"/>
      <c r="DL263" s="29"/>
      <c r="DM263" s="29"/>
      <c r="DN263" s="29"/>
      <c r="DO263" s="29"/>
      <c r="DP263" s="29"/>
      <c r="DQ263" s="29"/>
      <c r="DR263" s="29"/>
      <c r="DS263" s="29"/>
      <c r="DT263" s="29"/>
      <c r="DU263" s="29"/>
      <c r="DV263" s="29"/>
      <c r="DW263" s="29"/>
      <c r="DX263" s="29"/>
      <c r="DY263" s="29"/>
      <c r="DZ263" s="29"/>
      <c r="EA263" s="29"/>
      <c r="EB263" s="29"/>
      <c r="EC263" s="29"/>
      <c r="ED263" s="29"/>
      <c r="EE263" s="29"/>
      <c r="EF263" s="29"/>
      <c r="EG263" s="29"/>
      <c r="EH263" s="29"/>
      <c r="EI263" s="29"/>
      <c r="EJ263" s="29"/>
      <c r="EK263" s="29"/>
      <c r="EL263" s="29"/>
      <c r="EM263" s="29"/>
      <c r="EN263" s="29"/>
      <c r="EO263" s="29"/>
      <c r="EP263" s="29"/>
      <c r="EQ263" s="29"/>
      <c r="ER263" s="29"/>
      <c r="ES263" s="29"/>
      <c r="ET263" s="29"/>
      <c r="EU263" s="29"/>
      <c r="EV263" s="29"/>
      <c r="EW263" s="29"/>
      <c r="EX263" s="29"/>
      <c r="EY263" s="29"/>
      <c r="EZ263" s="29"/>
      <c r="FA263" s="29"/>
      <c r="FB263" s="29"/>
      <c r="FC263" s="29"/>
      <c r="FD263" s="29"/>
      <c r="FE263" s="29"/>
      <c r="FF263" s="29"/>
      <c r="FG263" s="29"/>
      <c r="FH263" s="29"/>
      <c r="FI263" s="29"/>
      <c r="FJ263" s="29"/>
      <c r="FK263" s="29"/>
      <c r="FL263" s="29"/>
      <c r="FM263" s="29"/>
      <c r="FN263" s="29"/>
      <c r="FO263" s="29"/>
      <c r="FP263" s="29"/>
      <c r="FQ263" s="29"/>
      <c r="FR263" s="29"/>
      <c r="FS263" s="29"/>
      <c r="FT263" s="29"/>
      <c r="FU263" s="29"/>
      <c r="FV263" s="29"/>
      <c r="FW263" s="29"/>
      <c r="FX263" s="29"/>
      <c r="FY263" s="29"/>
      <c r="FZ263" s="29"/>
      <c r="GA263" s="29"/>
      <c r="GB263" s="29"/>
      <c r="GC263" s="29"/>
      <c r="GD263" s="29"/>
      <c r="GE263" s="29"/>
      <c r="GF263" s="29"/>
      <c r="GG263" s="29"/>
      <c r="GH263" s="29"/>
      <c r="GI263" s="29"/>
      <c r="GJ263" s="29"/>
      <c r="GK263" s="29"/>
      <c r="GL263" s="29"/>
      <c r="GM263" s="29"/>
      <c r="GN263" s="29"/>
      <c r="GO263" s="29"/>
      <c r="GP263" s="29"/>
      <c r="GQ263" s="29"/>
      <c r="GR263" s="29"/>
      <c r="GS263" s="29"/>
      <c r="GT263" s="29"/>
      <c r="GU263" s="29"/>
      <c r="HP263" s="31"/>
      <c r="MX263" s="29" t="s">
        <v>1201</v>
      </c>
      <c r="MY263" s="29" t="str">
        <f>IFERROR(__xludf.DUMMYFUNCTION("""COMPUTED_VALUE"""),"Australia")</f>
        <v>Australia</v>
      </c>
    </row>
    <row r="264" ht="16.5" customHeight="1">
      <c r="A264" s="33">
        <v>45880.90769810185</v>
      </c>
      <c r="B264" s="29" t="s">
        <v>368</v>
      </c>
      <c r="C264" s="29" t="s">
        <v>1201</v>
      </c>
      <c r="D264" s="29" t="s">
        <v>1201</v>
      </c>
      <c r="E264" s="29"/>
      <c r="F264" s="29"/>
      <c r="G264" s="29" t="s">
        <v>422</v>
      </c>
      <c r="H264" s="29" t="s">
        <v>496</v>
      </c>
      <c r="I264" s="29" t="s">
        <v>2578</v>
      </c>
      <c r="J264" s="29" t="s">
        <v>425</v>
      </c>
      <c r="K264" s="29" t="s">
        <v>376</v>
      </c>
      <c r="L264" s="29" t="s">
        <v>379</v>
      </c>
      <c r="M264" s="29" t="s">
        <v>2464</v>
      </c>
      <c r="N264" s="29" t="s">
        <v>379</v>
      </c>
      <c r="O264" s="29" t="s">
        <v>497</v>
      </c>
      <c r="P264" s="29" t="s">
        <v>592</v>
      </c>
      <c r="Q264" s="29" t="s">
        <v>499</v>
      </c>
      <c r="R264" s="29" t="s">
        <v>427</v>
      </c>
      <c r="S264" s="29" t="s">
        <v>384</v>
      </c>
      <c r="T264" s="29" t="s">
        <v>385</v>
      </c>
      <c r="U264" s="29"/>
      <c r="V264" s="29"/>
      <c r="W264" s="29" t="s">
        <v>3014</v>
      </c>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t="s">
        <v>390</v>
      </c>
      <c r="AW264" s="29">
        <v>2.0</v>
      </c>
      <c r="AX264" s="29">
        <v>2.0</v>
      </c>
      <c r="AY264" s="29" t="s">
        <v>675</v>
      </c>
      <c r="AZ264" s="29" t="s">
        <v>675</v>
      </c>
      <c r="BA264" s="29" t="s">
        <v>675</v>
      </c>
      <c r="BB264" s="29" t="s">
        <v>675</v>
      </c>
      <c r="BC264" s="29" t="s">
        <v>5542</v>
      </c>
      <c r="BD264" s="29" t="s">
        <v>5543</v>
      </c>
      <c r="BE264" s="29" t="s">
        <v>392</v>
      </c>
      <c r="BF264" s="29" t="s">
        <v>433</v>
      </c>
      <c r="BG264" s="29" t="s">
        <v>394</v>
      </c>
      <c r="BH264" s="29"/>
      <c r="BI264" s="29" t="s">
        <v>509</v>
      </c>
      <c r="BJ264" s="29" t="s">
        <v>5544</v>
      </c>
      <c r="BK264" s="29" t="s">
        <v>602</v>
      </c>
      <c r="BL264" s="29" t="s">
        <v>438</v>
      </c>
      <c r="BM264" s="29" t="s">
        <v>549</v>
      </c>
      <c r="BN264" s="29" t="s">
        <v>440</v>
      </c>
      <c r="BO264" s="29"/>
      <c r="BP264" s="29"/>
      <c r="BQ264" s="29"/>
      <c r="BR264" s="29"/>
      <c r="BS264" s="29"/>
      <c r="BT264" s="29"/>
      <c r="BU264" s="29"/>
      <c r="BV264" s="29"/>
      <c r="BW264" s="29"/>
      <c r="BX264" s="29"/>
      <c r="BY264" s="29"/>
      <c r="BZ264" s="29"/>
      <c r="CA264" s="29"/>
      <c r="CB264" s="29"/>
      <c r="CC264" s="29"/>
      <c r="CD264" s="29"/>
      <c r="CE264" s="29"/>
      <c r="CF264" s="29"/>
      <c r="CG264" s="29"/>
      <c r="CH264" s="29"/>
      <c r="CI264" s="29"/>
      <c r="CJ264" s="29"/>
      <c r="CK264" s="29"/>
      <c r="CL264" s="29" t="s">
        <v>441</v>
      </c>
      <c r="CM264" s="29" t="s">
        <v>401</v>
      </c>
      <c r="CN264" s="29" t="s">
        <v>5545</v>
      </c>
      <c r="CO264" s="29" t="s">
        <v>5546</v>
      </c>
      <c r="CP264" s="29" t="s">
        <v>979</v>
      </c>
      <c r="CQ264" s="29" t="s">
        <v>5547</v>
      </c>
      <c r="CR264" s="29" t="s">
        <v>447</v>
      </c>
      <c r="CS264" s="29" t="s">
        <v>5548</v>
      </c>
      <c r="CT264" s="29" t="s">
        <v>5549</v>
      </c>
      <c r="CU264" s="29" t="s">
        <v>450</v>
      </c>
      <c r="CV264" s="29" t="s">
        <v>451</v>
      </c>
      <c r="CW264" s="29" t="s">
        <v>5550</v>
      </c>
      <c r="CX264" s="29" t="s">
        <v>408</v>
      </c>
      <c r="CY264" s="29"/>
      <c r="CZ264" s="29" t="s">
        <v>453</v>
      </c>
      <c r="DA264" s="29" t="s">
        <v>5551</v>
      </c>
      <c r="DB264" s="29" t="s">
        <v>455</v>
      </c>
      <c r="DC264" s="29" t="s">
        <v>5552</v>
      </c>
      <c r="DD264" s="29" t="s">
        <v>457</v>
      </c>
      <c r="DE264" s="29"/>
      <c r="DF264" s="29" t="s">
        <v>5553</v>
      </c>
      <c r="DG264" s="29" t="s">
        <v>524</v>
      </c>
      <c r="DH264" s="29" t="s">
        <v>410</v>
      </c>
      <c r="DI264" s="29" t="s">
        <v>459</v>
      </c>
      <c r="DJ264" s="29" t="s">
        <v>562</v>
      </c>
      <c r="DK264" s="29" t="s">
        <v>461</v>
      </c>
      <c r="DL264" s="29"/>
      <c r="DM264" s="29" t="s">
        <v>5554</v>
      </c>
      <c r="DN264" s="29" t="s">
        <v>5555</v>
      </c>
      <c r="DO264" s="29" t="s">
        <v>464</v>
      </c>
      <c r="DP264" s="29" t="s">
        <v>5556</v>
      </c>
      <c r="DQ264" s="29" t="s">
        <v>466</v>
      </c>
      <c r="DR264" s="29" t="s">
        <v>5557</v>
      </c>
      <c r="DS264" s="29" t="s">
        <v>468</v>
      </c>
      <c r="DT264" s="29" t="s">
        <v>469</v>
      </c>
      <c r="DU264" s="29" t="s">
        <v>5558</v>
      </c>
      <c r="DV264" s="29" t="s">
        <v>5559</v>
      </c>
      <c r="DW264" s="29" t="s">
        <v>573</v>
      </c>
      <c r="DX264" s="29" t="s">
        <v>5560</v>
      </c>
      <c r="DY264" s="29" t="s">
        <v>5561</v>
      </c>
      <c r="DZ264" s="29" t="s">
        <v>5562</v>
      </c>
      <c r="EA264" s="29" t="s">
        <v>475</v>
      </c>
      <c r="EB264" s="29" t="s">
        <v>626</v>
      </c>
      <c r="EC264" s="29" t="s">
        <v>5563</v>
      </c>
      <c r="ED264" s="29"/>
      <c r="EE264" s="29"/>
      <c r="EF264" s="29"/>
      <c r="EG264" s="29"/>
      <c r="EH264" s="29"/>
      <c r="EI264" s="29"/>
      <c r="EJ264" s="29"/>
      <c r="EK264" s="29"/>
      <c r="EL264" s="29"/>
      <c r="EM264" s="29"/>
      <c r="EN264" s="29"/>
      <c r="EO264" s="29"/>
      <c r="EP264" s="29"/>
      <c r="EQ264" s="29"/>
      <c r="ER264" s="29"/>
      <c r="ES264" s="29"/>
      <c r="ET264" s="29" t="s">
        <v>526</v>
      </c>
      <c r="EU264" s="29" t="s">
        <v>887</v>
      </c>
      <c r="EV264" s="29" t="s">
        <v>527</v>
      </c>
      <c r="EW264" s="29" t="s">
        <v>5564</v>
      </c>
      <c r="EX264" s="29" t="s">
        <v>5565</v>
      </c>
      <c r="EY264" s="29" t="s">
        <v>5566</v>
      </c>
      <c r="EZ264" s="29" t="s">
        <v>583</v>
      </c>
      <c r="FA264" s="29" t="s">
        <v>583</v>
      </c>
      <c r="FB264" s="29" t="s">
        <v>583</v>
      </c>
      <c r="FC264" s="29" t="s">
        <v>583</v>
      </c>
      <c r="FD264" s="29" t="s">
        <v>583</v>
      </c>
      <c r="FE264" s="29" t="s">
        <v>583</v>
      </c>
      <c r="FF264" s="29" t="s">
        <v>583</v>
      </c>
      <c r="FG264" s="29" t="s">
        <v>583</v>
      </c>
      <c r="FH264" s="29" t="s">
        <v>583</v>
      </c>
      <c r="FI264" s="29" t="s">
        <v>583</v>
      </c>
      <c r="FJ264" s="29" t="s">
        <v>583</v>
      </c>
      <c r="FK264" s="29" t="s">
        <v>414</v>
      </c>
      <c r="FL264" s="29" t="s">
        <v>583</v>
      </c>
      <c r="FM264" s="29" t="s">
        <v>484</v>
      </c>
      <c r="FN264" s="29" t="s">
        <v>583</v>
      </c>
      <c r="FO264" s="29" t="s">
        <v>485</v>
      </c>
      <c r="FP264" s="29" t="s">
        <v>486</v>
      </c>
      <c r="FQ264" s="29" t="s">
        <v>419</v>
      </c>
      <c r="FR264" s="29" t="s">
        <v>5567</v>
      </c>
      <c r="FS264" s="29" t="s">
        <v>420</v>
      </c>
      <c r="FT264" s="29" t="s">
        <v>488</v>
      </c>
      <c r="FU264" s="29" t="s">
        <v>918</v>
      </c>
      <c r="FV264" s="29" t="s">
        <v>490</v>
      </c>
      <c r="FW264" s="29" t="s">
        <v>491</v>
      </c>
      <c r="FX264" s="29" t="s">
        <v>5568</v>
      </c>
      <c r="FY264" s="29" t="s">
        <v>535</v>
      </c>
      <c r="FZ264" s="29" t="s">
        <v>5569</v>
      </c>
      <c r="GA264" s="29" t="s">
        <v>5570</v>
      </c>
      <c r="GB264" s="29" t="s">
        <v>455</v>
      </c>
      <c r="GC264" s="29"/>
      <c r="GD264" s="29" t="s">
        <v>5571</v>
      </c>
      <c r="GE264" s="29" t="s">
        <v>753</v>
      </c>
      <c r="GF264" s="29" t="s">
        <v>5572</v>
      </c>
      <c r="GG264" s="29" t="s">
        <v>755</v>
      </c>
      <c r="GH264" s="29" t="s">
        <v>755</v>
      </c>
      <c r="GI264" s="29" t="s">
        <v>946</v>
      </c>
      <c r="GJ264" s="29"/>
      <c r="GK264" s="29"/>
      <c r="GL264" s="29"/>
      <c r="GM264" s="29" t="s">
        <v>1079</v>
      </c>
      <c r="GN264" s="29" t="s">
        <v>5573</v>
      </c>
      <c r="GO264" s="29" t="s">
        <v>5574</v>
      </c>
      <c r="GP264" s="29"/>
      <c r="GQ264" s="29" t="s">
        <v>3208</v>
      </c>
      <c r="GR264" s="29"/>
      <c r="GS264" s="29"/>
      <c r="GT264" s="29" t="s">
        <v>4774</v>
      </c>
      <c r="GU264" s="29"/>
      <c r="HP264" s="31"/>
      <c r="MX264" s="29" t="s">
        <v>538</v>
      </c>
      <c r="MY264" s="29" t="str">
        <f>IFERROR(__xludf.DUMMYFUNCTION("""COMPUTED_VALUE"""),"United Kingdom")</f>
        <v>United Kingdom</v>
      </c>
    </row>
    <row r="265" ht="16.5" customHeight="1">
      <c r="A265" s="33">
        <v>45881.71131423611</v>
      </c>
      <c r="B265" s="29" t="s">
        <v>368</v>
      </c>
      <c r="C265" s="29" t="s">
        <v>538</v>
      </c>
      <c r="D265" s="29" t="s">
        <v>538</v>
      </c>
      <c r="E265" s="29"/>
      <c r="F265" s="29"/>
      <c r="G265" s="29" t="s">
        <v>422</v>
      </c>
      <c r="H265" s="29" t="s">
        <v>423</v>
      </c>
      <c r="I265" s="29" t="s">
        <v>668</v>
      </c>
      <c r="J265" s="29" t="s">
        <v>1240</v>
      </c>
      <c r="K265" s="29" t="s">
        <v>376</v>
      </c>
      <c r="L265" s="29" t="s">
        <v>379</v>
      </c>
      <c r="M265" s="29" t="s">
        <v>378</v>
      </c>
      <c r="N265" s="29" t="s">
        <v>377</v>
      </c>
      <c r="O265" s="29" t="s">
        <v>497</v>
      </c>
      <c r="P265" s="29" t="s">
        <v>498</v>
      </c>
      <c r="Q265" s="29" t="s">
        <v>862</v>
      </c>
      <c r="R265" s="29" t="s">
        <v>427</v>
      </c>
      <c r="S265" s="29" t="s">
        <v>384</v>
      </c>
      <c r="T265" s="29" t="s">
        <v>385</v>
      </c>
      <c r="U265" s="29"/>
      <c r="V265" s="29"/>
      <c r="W265" s="29" t="s">
        <v>386</v>
      </c>
      <c r="X265" s="29" t="s">
        <v>387</v>
      </c>
      <c r="Y265" s="29"/>
      <c r="Z265" s="29" t="s">
        <v>672</v>
      </c>
      <c r="AA265" s="29" t="s">
        <v>408</v>
      </c>
      <c r="AB265" s="29" t="s">
        <v>408</v>
      </c>
      <c r="AC265" s="29"/>
      <c r="AD265" s="29"/>
      <c r="AE265" s="29"/>
      <c r="AF265" s="29"/>
      <c r="AG265" s="29"/>
      <c r="AH265" s="29"/>
      <c r="AI265" s="29"/>
      <c r="AJ265" s="29"/>
      <c r="AK265" s="29"/>
      <c r="AL265" s="29"/>
      <c r="AM265" s="29"/>
      <c r="AN265" s="29"/>
      <c r="AO265" s="29"/>
      <c r="AP265" s="29"/>
      <c r="AQ265" s="29"/>
      <c r="AR265" s="29"/>
      <c r="AS265" s="29"/>
      <c r="AT265" s="29"/>
      <c r="AU265" s="29"/>
      <c r="AV265" s="29" t="s">
        <v>1242</v>
      </c>
      <c r="AW265" s="29">
        <v>4.0</v>
      </c>
      <c r="AX265" s="29" t="s">
        <v>391</v>
      </c>
      <c r="AY265" s="29" t="s">
        <v>391</v>
      </c>
      <c r="AZ265" s="29">
        <v>2.0</v>
      </c>
      <c r="BA265" s="29" t="s">
        <v>429</v>
      </c>
      <c r="BB265" s="29">
        <v>2.0</v>
      </c>
      <c r="BC265" s="29" t="s">
        <v>5579</v>
      </c>
      <c r="BD265" s="29" t="s">
        <v>5580</v>
      </c>
      <c r="BE265" s="29" t="s">
        <v>392</v>
      </c>
      <c r="BF265" s="29" t="s">
        <v>393</v>
      </c>
      <c r="BG265" s="29" t="s">
        <v>678</v>
      </c>
      <c r="BH265" s="29" t="s">
        <v>5581</v>
      </c>
      <c r="BI265" s="29" t="s">
        <v>509</v>
      </c>
      <c r="BJ265" s="29" t="s">
        <v>5582</v>
      </c>
      <c r="BK265" s="29" t="s">
        <v>437</v>
      </c>
      <c r="BL265" s="29" t="s">
        <v>438</v>
      </c>
      <c r="BM265" s="29" t="s">
        <v>1247</v>
      </c>
      <c r="BN265" s="29" t="s">
        <v>513</v>
      </c>
      <c r="BO265" s="29"/>
      <c r="BP265" s="29"/>
      <c r="BQ265" s="29"/>
      <c r="BR265" s="29"/>
      <c r="BS265" s="29"/>
      <c r="BT265" s="29"/>
      <c r="BU265" s="29"/>
      <c r="BV265" s="29"/>
      <c r="BW265" s="29"/>
      <c r="BX265" s="29"/>
      <c r="BY265" s="29"/>
      <c r="BZ265" s="29"/>
      <c r="CA265" s="29"/>
      <c r="CB265" s="29"/>
      <c r="CC265" s="29"/>
      <c r="CD265" s="29"/>
      <c r="CE265" s="29"/>
      <c r="CF265" s="29"/>
      <c r="CG265" s="29"/>
      <c r="CH265" s="29"/>
      <c r="CI265" s="29"/>
      <c r="CJ265" s="29"/>
      <c r="CK265" s="29"/>
      <c r="CL265" s="29" t="s">
        <v>441</v>
      </c>
      <c r="CM265" s="29"/>
      <c r="CN265" s="29"/>
      <c r="CO265" s="29" t="s">
        <v>5583</v>
      </c>
      <c r="CP265" s="29"/>
      <c r="CQ265" s="29" t="s">
        <v>956</v>
      </c>
      <c r="CR265" s="29" t="s">
        <v>804</v>
      </c>
      <c r="CS265" s="29" t="s">
        <v>1346</v>
      </c>
      <c r="CT265" s="29" t="s">
        <v>5584</v>
      </c>
      <c r="CU265" s="29" t="s">
        <v>519</v>
      </c>
      <c r="CV265" s="29" t="s">
        <v>409</v>
      </c>
      <c r="CW265" s="29" t="s">
        <v>5585</v>
      </c>
      <c r="CX265" s="29" t="s">
        <v>455</v>
      </c>
      <c r="CY265" s="29" t="s">
        <v>5586</v>
      </c>
      <c r="CZ265" s="29" t="s">
        <v>1962</v>
      </c>
      <c r="DA265" s="29"/>
      <c r="DB265" s="29" t="s">
        <v>455</v>
      </c>
      <c r="DC265" s="29" t="s">
        <v>5587</v>
      </c>
      <c r="DD265" s="29" t="s">
        <v>406</v>
      </c>
      <c r="DE265" s="29" t="s">
        <v>407</v>
      </c>
      <c r="DF265" s="29" t="s">
        <v>5588</v>
      </c>
      <c r="DG265" s="29" t="s">
        <v>776</v>
      </c>
      <c r="DH265" s="29" t="s">
        <v>410</v>
      </c>
      <c r="DI265" s="29" t="s">
        <v>459</v>
      </c>
      <c r="DJ265" s="29" t="s">
        <v>613</v>
      </c>
      <c r="DK265" s="29"/>
      <c r="DL265" s="29"/>
      <c r="DM265" s="29"/>
      <c r="DN265" s="29"/>
      <c r="DO265" s="29"/>
      <c r="DP265" s="29"/>
      <c r="DQ265" s="29"/>
      <c r="DR265" s="29"/>
      <c r="DS265" s="29"/>
      <c r="DT265" s="29"/>
      <c r="DU265" s="29"/>
      <c r="DV265" s="29"/>
      <c r="DW265" s="29"/>
      <c r="DX265" s="29"/>
      <c r="DY265" s="29"/>
      <c r="DZ265" s="29"/>
      <c r="EA265" s="29"/>
      <c r="EB265" s="29"/>
      <c r="EC265" s="29"/>
      <c r="ED265" s="29"/>
      <c r="EE265" s="29"/>
      <c r="EF265" s="29"/>
      <c r="EG265" s="29"/>
      <c r="EH265" s="29"/>
      <c r="EI265" s="29"/>
      <c r="EJ265" s="29"/>
      <c r="EK265" s="29"/>
      <c r="EL265" s="29"/>
      <c r="EM265" s="29"/>
      <c r="EN265" s="29"/>
      <c r="EO265" s="29"/>
      <c r="EP265" s="29"/>
      <c r="EQ265" s="29"/>
      <c r="ER265" s="29"/>
      <c r="ES265" s="29"/>
      <c r="ET265" s="29" t="s">
        <v>2747</v>
      </c>
      <c r="EU265" s="29" t="s">
        <v>579</v>
      </c>
      <c r="EV265" s="29" t="s">
        <v>580</v>
      </c>
      <c r="EW265" s="29" t="s">
        <v>5589</v>
      </c>
      <c r="EX265" s="29" t="s">
        <v>5590</v>
      </c>
      <c r="EY265" s="29" t="s">
        <v>5591</v>
      </c>
      <c r="EZ265" s="29" t="s">
        <v>583</v>
      </c>
      <c r="FA265" s="29" t="s">
        <v>583</v>
      </c>
      <c r="FB265" s="29" t="s">
        <v>583</v>
      </c>
      <c r="FC265" s="29" t="s">
        <v>583</v>
      </c>
      <c r="FD265" s="29" t="s">
        <v>413</v>
      </c>
      <c r="FE265" s="29" t="s">
        <v>583</v>
      </c>
      <c r="FF265" s="29" t="s">
        <v>583</v>
      </c>
      <c r="FG265" s="29" t="s">
        <v>583</v>
      </c>
      <c r="FH265" s="29" t="s">
        <v>583</v>
      </c>
      <c r="FI265" s="29" t="s">
        <v>413</v>
      </c>
      <c r="FJ265" s="29" t="s">
        <v>413</v>
      </c>
      <c r="FK265" s="29" t="s">
        <v>583</v>
      </c>
      <c r="FL265" s="29" t="s">
        <v>583</v>
      </c>
      <c r="FM265" s="29" t="s">
        <v>583</v>
      </c>
      <c r="FN265" s="29" t="s">
        <v>583</v>
      </c>
      <c r="FO265" s="29" t="s">
        <v>1537</v>
      </c>
      <c r="FP265" s="29" t="s">
        <v>486</v>
      </c>
      <c r="FQ265" s="29" t="s">
        <v>749</v>
      </c>
      <c r="FR265" s="29" t="s">
        <v>5592</v>
      </c>
      <c r="FS265" s="29" t="s">
        <v>1871</v>
      </c>
      <c r="FT265" s="29" t="s">
        <v>1462</v>
      </c>
      <c r="FU265" s="29" t="s">
        <v>1235</v>
      </c>
      <c r="FV265" s="29" t="s">
        <v>2136</v>
      </c>
      <c r="FW265" s="29" t="s">
        <v>491</v>
      </c>
      <c r="FX265" s="29" t="s">
        <v>5593</v>
      </c>
      <c r="FY265" s="29" t="s">
        <v>1854</v>
      </c>
      <c r="FZ265" s="29" t="s">
        <v>5594</v>
      </c>
      <c r="GA265" s="29" t="s">
        <v>5595</v>
      </c>
      <c r="GB265" s="29" t="s">
        <v>455</v>
      </c>
      <c r="GC265" s="29"/>
      <c r="GD265" s="29"/>
      <c r="GE265" s="29" t="s">
        <v>753</v>
      </c>
      <c r="GF265" s="29"/>
      <c r="GG265" s="29" t="s">
        <v>857</v>
      </c>
      <c r="GH265" s="29" t="s">
        <v>755</v>
      </c>
      <c r="GI265" s="29" t="s">
        <v>946</v>
      </c>
      <c r="GJ265" s="29"/>
      <c r="GK265" s="29"/>
      <c r="GL265" s="29"/>
      <c r="GM265" s="29"/>
      <c r="GN265" s="29" t="s">
        <v>5596</v>
      </c>
      <c r="GO265" s="29" t="s">
        <v>5596</v>
      </c>
      <c r="GP265" s="29"/>
      <c r="GQ265" s="29" t="s">
        <v>3208</v>
      </c>
      <c r="GR265" s="29"/>
      <c r="GS265" s="29"/>
      <c r="GT265" s="29" t="s">
        <v>4774</v>
      </c>
      <c r="GU265" s="29" t="s">
        <v>408</v>
      </c>
      <c r="HP265" s="31"/>
      <c r="MX265" s="29" t="s">
        <v>10402</v>
      </c>
      <c r="MY265" s="29" t="str">
        <f>IFERROR(__xludf.DUMMYFUNCTION("""COMPUTED_VALUE"""),"Michigan")</f>
        <v>Michigan</v>
      </c>
    </row>
    <row r="266" ht="16.5" customHeight="1">
      <c r="A266" s="33">
        <v>45881.76282621528</v>
      </c>
      <c r="B266" s="29" t="s">
        <v>368</v>
      </c>
      <c r="C266" s="29" t="s">
        <v>370</v>
      </c>
      <c r="D266" s="29" t="s">
        <v>370</v>
      </c>
      <c r="E266" s="29" t="s">
        <v>1480</v>
      </c>
      <c r="F266" s="29" t="s">
        <v>1441</v>
      </c>
      <c r="G266" s="29" t="s">
        <v>422</v>
      </c>
      <c r="H266" s="29" t="s">
        <v>373</v>
      </c>
      <c r="I266" s="29" t="s">
        <v>374</v>
      </c>
      <c r="J266" s="29" t="s">
        <v>375</v>
      </c>
      <c r="K266" s="29" t="s">
        <v>376</v>
      </c>
      <c r="L266" s="29" t="s">
        <v>426</v>
      </c>
      <c r="M266" s="29" t="s">
        <v>5598</v>
      </c>
      <c r="N266" s="29" t="s">
        <v>591</v>
      </c>
      <c r="O266" s="29" t="s">
        <v>497</v>
      </c>
      <c r="P266" s="29" t="s">
        <v>498</v>
      </c>
      <c r="Q266" s="29" t="s">
        <v>862</v>
      </c>
      <c r="R266" s="29" t="s">
        <v>500</v>
      </c>
      <c r="S266" s="29" t="s">
        <v>384</v>
      </c>
      <c r="T266" s="29" t="s">
        <v>385</v>
      </c>
      <c r="U266" s="29"/>
      <c r="V266" s="29"/>
      <c r="W266" s="29" t="s">
        <v>3014</v>
      </c>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t="s">
        <v>504</v>
      </c>
      <c r="AW266" s="29">
        <v>4.0</v>
      </c>
      <c r="AX266" s="29" t="s">
        <v>391</v>
      </c>
      <c r="AY266" s="29">
        <v>4.0</v>
      </c>
      <c r="AZ266" s="29" t="s">
        <v>391</v>
      </c>
      <c r="BA266" s="29" t="s">
        <v>391</v>
      </c>
      <c r="BB266" s="29">
        <v>4.0</v>
      </c>
      <c r="BC266" s="29" t="s">
        <v>5599</v>
      </c>
      <c r="BD266" s="29" t="s">
        <v>5600</v>
      </c>
      <c r="BE266" s="29" t="s">
        <v>392</v>
      </c>
      <c r="BF266" s="29" t="s">
        <v>393</v>
      </c>
      <c r="BG266" s="29" t="s">
        <v>725</v>
      </c>
      <c r="BH266" s="29" t="s">
        <v>5601</v>
      </c>
      <c r="BI266" s="29" t="s">
        <v>976</v>
      </c>
      <c r="BJ266" s="29"/>
      <c r="BK266" s="29" t="s">
        <v>681</v>
      </c>
      <c r="BL266" s="29" t="s">
        <v>512</v>
      </c>
      <c r="BM266" s="29" t="s">
        <v>439</v>
      </c>
      <c r="BN266" s="29" t="s">
        <v>440</v>
      </c>
      <c r="BO266" s="29"/>
      <c r="BP266" s="29"/>
      <c r="BQ266" s="29"/>
      <c r="BR266" s="29"/>
      <c r="BS266" s="29"/>
      <c r="BT266" s="29"/>
      <c r="BU266" s="29"/>
      <c r="BV266" s="29"/>
      <c r="BW266" s="29"/>
      <c r="BX266" s="29"/>
      <c r="BY266" s="29"/>
      <c r="BZ266" s="29"/>
      <c r="CA266" s="29"/>
      <c r="CB266" s="29"/>
      <c r="CC266" s="29"/>
      <c r="CD266" s="29"/>
      <c r="CE266" s="29"/>
      <c r="CF266" s="29"/>
      <c r="CG266" s="29"/>
      <c r="CH266" s="29"/>
      <c r="CI266" s="29"/>
      <c r="CJ266" s="29"/>
      <c r="CK266" s="29"/>
      <c r="CL266" s="29" t="s">
        <v>441</v>
      </c>
      <c r="CM266" s="29" t="s">
        <v>604</v>
      </c>
      <c r="CN266" s="29" t="s">
        <v>5602</v>
      </c>
      <c r="CO266" s="29" t="s">
        <v>5603</v>
      </c>
      <c r="CP266" s="29" t="s">
        <v>1008</v>
      </c>
      <c r="CQ266" s="29" t="s">
        <v>4908</v>
      </c>
      <c r="CR266" s="29" t="s">
        <v>447</v>
      </c>
      <c r="CS266" s="29" t="s">
        <v>5604</v>
      </c>
      <c r="CT266" s="29" t="s">
        <v>5605</v>
      </c>
      <c r="CU266" s="29" t="s">
        <v>450</v>
      </c>
      <c r="CV266" s="29" t="s">
        <v>451</v>
      </c>
      <c r="CW266" s="29" t="s">
        <v>5606</v>
      </c>
      <c r="CX266" s="29" t="s">
        <v>408</v>
      </c>
      <c r="CY266" s="29"/>
      <c r="CZ266" s="29" t="s">
        <v>453</v>
      </c>
      <c r="DA266" s="29" t="s">
        <v>5607</v>
      </c>
      <c r="DB266" s="29" t="s">
        <v>408</v>
      </c>
      <c r="DC266" s="29"/>
      <c r="DD266" s="29" t="s">
        <v>406</v>
      </c>
      <c r="DE266" s="29" t="s">
        <v>407</v>
      </c>
      <c r="DF266" s="29" t="s">
        <v>5608</v>
      </c>
      <c r="DG266" s="29" t="s">
        <v>524</v>
      </c>
      <c r="DH266" s="29" t="s">
        <v>410</v>
      </c>
      <c r="DI266" s="29" t="s">
        <v>777</v>
      </c>
      <c r="DJ266" s="29" t="s">
        <v>613</v>
      </c>
      <c r="DK266" s="29"/>
      <c r="DL266" s="29"/>
      <c r="DM266" s="29" t="s">
        <v>5609</v>
      </c>
      <c r="DN266" s="29" t="s">
        <v>1576</v>
      </c>
      <c r="DO266" s="29" t="s">
        <v>464</v>
      </c>
      <c r="DP266" s="29" t="s">
        <v>5610</v>
      </c>
      <c r="DQ266" s="29" t="s">
        <v>1553</v>
      </c>
      <c r="DR266" s="29" t="s">
        <v>5611</v>
      </c>
      <c r="DS266" s="29" t="s">
        <v>839</v>
      </c>
      <c r="DT266" s="29" t="s">
        <v>570</v>
      </c>
      <c r="DU266" s="29" t="s">
        <v>5612</v>
      </c>
      <c r="DV266" s="29" t="s">
        <v>5613</v>
      </c>
      <c r="DW266" s="29" t="s">
        <v>396</v>
      </c>
      <c r="DX266" s="29" t="s">
        <v>5614</v>
      </c>
      <c r="DY266" s="29" t="s">
        <v>5615</v>
      </c>
      <c r="DZ266" s="29" t="s">
        <v>5616</v>
      </c>
      <c r="EA266" s="29" t="s">
        <v>475</v>
      </c>
      <c r="EB266" s="29" t="s">
        <v>845</v>
      </c>
      <c r="EC266" s="29" t="s">
        <v>5617</v>
      </c>
      <c r="ED266" s="29"/>
      <c r="EE266" s="29"/>
      <c r="EF266" s="29"/>
      <c r="EG266" s="29"/>
      <c r="EH266" s="29"/>
      <c r="EI266" s="29"/>
      <c r="EJ266" s="29"/>
      <c r="EK266" s="29"/>
      <c r="EL266" s="29"/>
      <c r="EM266" s="29"/>
      <c r="EN266" s="29"/>
      <c r="EO266" s="29"/>
      <c r="EP266" s="29"/>
      <c r="EQ266" s="29"/>
      <c r="ER266" s="29"/>
      <c r="ES266" s="29"/>
      <c r="ET266" s="29" t="s">
        <v>578</v>
      </c>
      <c r="EU266" s="29" t="s">
        <v>479</v>
      </c>
      <c r="EV266" s="29" t="s">
        <v>480</v>
      </c>
      <c r="EW266" s="29" t="s">
        <v>5618</v>
      </c>
      <c r="EX266" s="29" t="s">
        <v>5619</v>
      </c>
      <c r="EY266" s="29" t="s">
        <v>4493</v>
      </c>
      <c r="EZ266" s="29" t="s">
        <v>416</v>
      </c>
      <c r="FA266" s="29" t="s">
        <v>415</v>
      </c>
      <c r="FB266" s="29" t="s">
        <v>413</v>
      </c>
      <c r="FC266" s="29" t="s">
        <v>413</v>
      </c>
      <c r="FD266" s="29" t="s">
        <v>413</v>
      </c>
      <c r="FE266" s="29" t="s">
        <v>415</v>
      </c>
      <c r="FF266" s="29" t="s">
        <v>415</v>
      </c>
      <c r="FG266" s="29" t="s">
        <v>413</v>
      </c>
      <c r="FH266" s="29" t="s">
        <v>583</v>
      </c>
      <c r="FI266" s="29" t="s">
        <v>414</v>
      </c>
      <c r="FJ266" s="29" t="s">
        <v>415</v>
      </c>
      <c r="FK266" s="29" t="s">
        <v>413</v>
      </c>
      <c r="FL266" s="29" t="s">
        <v>415</v>
      </c>
      <c r="FM266" s="29" t="s">
        <v>416</v>
      </c>
      <c r="FN266" s="29" t="s">
        <v>414</v>
      </c>
      <c r="FO266" s="29" t="s">
        <v>485</v>
      </c>
      <c r="FP266" s="29" t="s">
        <v>418</v>
      </c>
      <c r="FQ266" s="29" t="s">
        <v>749</v>
      </c>
      <c r="FR266" s="29" t="s">
        <v>5620</v>
      </c>
      <c r="FS266" s="29" t="s">
        <v>420</v>
      </c>
      <c r="FT266" s="29" t="s">
        <v>1462</v>
      </c>
      <c r="FU266" s="29" t="s">
        <v>489</v>
      </c>
      <c r="FV266" s="29" t="s">
        <v>490</v>
      </c>
      <c r="FW266" s="29" t="s">
        <v>491</v>
      </c>
      <c r="FX266" s="29" t="s">
        <v>5621</v>
      </c>
      <c r="FY266" s="29" t="s">
        <v>493</v>
      </c>
      <c r="FZ266" s="29" t="s">
        <v>5622</v>
      </c>
      <c r="GA266" s="29" t="s">
        <v>5623</v>
      </c>
      <c r="GB266" s="29" t="s">
        <v>455</v>
      </c>
      <c r="GC266" s="29"/>
      <c r="GD266" s="29"/>
      <c r="GE266" s="29" t="s">
        <v>753</v>
      </c>
      <c r="GF266" s="29"/>
      <c r="GG266" s="29" t="s">
        <v>755</v>
      </c>
      <c r="GH266" s="29" t="s">
        <v>755</v>
      </c>
      <c r="GI266" s="29" t="s">
        <v>946</v>
      </c>
      <c r="GJ266" s="29"/>
      <c r="GK266" s="29"/>
      <c r="GL266" s="29"/>
      <c r="GM266" s="29" t="s">
        <v>1079</v>
      </c>
      <c r="GN266" s="29"/>
      <c r="GO266" s="29"/>
      <c r="GP266" s="29"/>
      <c r="GQ266" s="29" t="s">
        <v>3273</v>
      </c>
      <c r="GR266" s="29"/>
      <c r="GS266" s="29"/>
      <c r="GT266" s="29" t="s">
        <v>4774</v>
      </c>
      <c r="GU266" s="29"/>
      <c r="HP266" s="31"/>
      <c r="MX266" s="29" t="s">
        <v>10402</v>
      </c>
      <c r="MY266" s="29" t="str">
        <f>IFERROR(__xludf.DUMMYFUNCTION("""COMPUTED_VALUE"""),"Wyoming")</f>
        <v>Wyoming</v>
      </c>
    </row>
    <row r="267" ht="16.5" customHeight="1">
      <c r="A267" s="33">
        <v>45885.3984591551</v>
      </c>
      <c r="B267" s="29" t="s">
        <v>368</v>
      </c>
      <c r="C267" s="29" t="s">
        <v>370</v>
      </c>
      <c r="D267" s="29" t="s">
        <v>370</v>
      </c>
      <c r="E267" s="29" t="s">
        <v>5630</v>
      </c>
      <c r="F267" s="29" t="s">
        <v>371</v>
      </c>
      <c r="G267" s="29" t="s">
        <v>422</v>
      </c>
      <c r="H267" s="29" t="s">
        <v>496</v>
      </c>
      <c r="I267" s="29" t="s">
        <v>374</v>
      </c>
      <c r="J267" s="29" t="s">
        <v>669</v>
      </c>
      <c r="K267" s="29" t="s">
        <v>376</v>
      </c>
      <c r="L267" s="29" t="s">
        <v>591</v>
      </c>
      <c r="M267" s="29" t="s">
        <v>639</v>
      </c>
      <c r="N267" s="29" t="s">
        <v>591</v>
      </c>
      <c r="O267" s="29" t="s">
        <v>719</v>
      </c>
      <c r="P267" s="29" t="s">
        <v>592</v>
      </c>
      <c r="Q267" s="29" t="s">
        <v>862</v>
      </c>
      <c r="R267" s="29" t="s">
        <v>500</v>
      </c>
      <c r="S267" s="29" t="s">
        <v>384</v>
      </c>
      <c r="T267" s="29" t="s">
        <v>385</v>
      </c>
      <c r="U267" s="29"/>
      <c r="V267" s="29"/>
      <c r="W267" s="29" t="s">
        <v>386</v>
      </c>
      <c r="X267" s="29" t="s">
        <v>387</v>
      </c>
      <c r="Y267" s="29"/>
      <c r="Z267" s="29" t="s">
        <v>543</v>
      </c>
      <c r="AA267" s="29" t="s">
        <v>5631</v>
      </c>
      <c r="AB267" s="29" t="s">
        <v>5632</v>
      </c>
      <c r="AC267" s="29"/>
      <c r="AD267" s="29"/>
      <c r="AE267" s="29"/>
      <c r="AF267" s="29"/>
      <c r="AG267" s="29"/>
      <c r="AH267" s="29"/>
      <c r="AI267" s="29"/>
      <c r="AJ267" s="29"/>
      <c r="AK267" s="29"/>
      <c r="AL267" s="29"/>
      <c r="AM267" s="29"/>
      <c r="AN267" s="29"/>
      <c r="AO267" s="29"/>
      <c r="AP267" s="29"/>
      <c r="AQ267" s="29"/>
      <c r="AR267" s="29"/>
      <c r="AS267" s="29"/>
      <c r="AT267" s="29"/>
      <c r="AU267" s="29"/>
      <c r="AV267" s="29" t="s">
        <v>1310</v>
      </c>
      <c r="AW267" s="29" t="s">
        <v>675</v>
      </c>
      <c r="AX267" s="29" t="s">
        <v>675</v>
      </c>
      <c r="AY267" s="29" t="s">
        <v>391</v>
      </c>
      <c r="AZ267" s="29">
        <v>4.0</v>
      </c>
      <c r="BA267" s="29" t="s">
        <v>675</v>
      </c>
      <c r="BB267" s="29">
        <v>4.0</v>
      </c>
      <c r="BC267" s="29" t="s">
        <v>5633</v>
      </c>
      <c r="BD267" s="29" t="s">
        <v>5634</v>
      </c>
      <c r="BE267" s="29" t="s">
        <v>432</v>
      </c>
      <c r="BF267" s="29" t="s">
        <v>1095</v>
      </c>
      <c r="BG267" s="29" t="s">
        <v>725</v>
      </c>
      <c r="BH267" s="29" t="s">
        <v>5635</v>
      </c>
      <c r="BI267" s="29" t="s">
        <v>976</v>
      </c>
      <c r="BJ267" s="29" t="s">
        <v>5636</v>
      </c>
      <c r="BK267" s="29" t="s">
        <v>511</v>
      </c>
      <c r="BL267" s="29" t="s">
        <v>603</v>
      </c>
      <c r="BM267" s="29" t="s">
        <v>1314</v>
      </c>
      <c r="BN267" s="29"/>
      <c r="BO267" s="29"/>
      <c r="BP267" s="29"/>
      <c r="BQ267" s="29"/>
      <c r="BR267" s="29"/>
      <c r="BS267" s="29"/>
      <c r="BT267" s="29"/>
      <c r="BU267" s="29"/>
      <c r="BV267" s="29"/>
      <c r="BW267" s="29"/>
      <c r="BX267" s="29"/>
      <c r="BY267" s="29"/>
      <c r="BZ267" s="29"/>
      <c r="CA267" s="29"/>
      <c r="CB267" s="29"/>
      <c r="CC267" s="29"/>
      <c r="CD267" s="29"/>
      <c r="CE267" s="29"/>
      <c r="CF267" s="29"/>
      <c r="CG267" s="29"/>
      <c r="CH267" s="29"/>
      <c r="CI267" s="29"/>
      <c r="CJ267" s="29"/>
      <c r="CK267" s="29"/>
      <c r="CL267" s="29"/>
      <c r="CM267" s="29"/>
      <c r="CN267" s="29"/>
      <c r="CO267" s="29"/>
      <c r="CP267" s="29"/>
      <c r="CQ267" s="29"/>
      <c r="CR267" s="29"/>
      <c r="CS267" s="29"/>
      <c r="CT267" s="29"/>
      <c r="CU267" s="29"/>
      <c r="CV267" s="29"/>
      <c r="CW267" s="29"/>
      <c r="CX267" s="29"/>
      <c r="CY267" s="29"/>
      <c r="CZ267" s="29"/>
      <c r="DA267" s="29"/>
      <c r="DB267" s="29"/>
      <c r="DC267" s="29"/>
      <c r="DD267" s="29"/>
      <c r="DE267" s="29"/>
      <c r="DF267" s="29"/>
      <c r="DG267" s="29"/>
      <c r="DH267" s="29"/>
      <c r="DI267" s="29"/>
      <c r="DJ267" s="29"/>
      <c r="DK267" s="29"/>
      <c r="DL267" s="29"/>
      <c r="DM267" s="29"/>
      <c r="DN267" s="29"/>
      <c r="DO267" s="29"/>
      <c r="DP267" s="29"/>
      <c r="DQ267" s="29"/>
      <c r="DR267" s="29"/>
      <c r="DS267" s="29"/>
      <c r="DT267" s="29"/>
      <c r="DU267" s="29"/>
      <c r="DV267" s="29"/>
      <c r="DW267" s="29"/>
      <c r="DX267" s="29"/>
      <c r="DY267" s="29"/>
      <c r="DZ267" s="29"/>
      <c r="EA267" s="29"/>
      <c r="EB267" s="29"/>
      <c r="EC267" s="29"/>
      <c r="ED267" s="29"/>
      <c r="EE267" s="29"/>
      <c r="EF267" s="29"/>
      <c r="EG267" s="29"/>
      <c r="EH267" s="29"/>
      <c r="EI267" s="29"/>
      <c r="EJ267" s="29"/>
      <c r="EK267" s="29"/>
      <c r="EL267" s="29"/>
      <c r="EM267" s="29"/>
      <c r="EN267" s="29"/>
      <c r="EO267" s="29"/>
      <c r="EP267" s="29"/>
      <c r="EQ267" s="29"/>
      <c r="ER267" s="29"/>
      <c r="ES267" s="29"/>
      <c r="ET267" s="29" t="s">
        <v>478</v>
      </c>
      <c r="EU267" s="29" t="s">
        <v>887</v>
      </c>
      <c r="EV267" s="29" t="s">
        <v>1262</v>
      </c>
      <c r="EW267" s="29"/>
      <c r="EX267" s="29" t="s">
        <v>5637</v>
      </c>
      <c r="EY267" s="29" t="s">
        <v>5638</v>
      </c>
      <c r="EZ267" s="29" t="s">
        <v>414</v>
      </c>
      <c r="FA267" s="29" t="s">
        <v>414</v>
      </c>
      <c r="FB267" s="29" t="s">
        <v>413</v>
      </c>
      <c r="FC267" s="29" t="s">
        <v>416</v>
      </c>
      <c r="FD267" s="29" t="s">
        <v>413</v>
      </c>
      <c r="FE267" s="29" t="s">
        <v>416</v>
      </c>
      <c r="FF267" s="29" t="s">
        <v>413</v>
      </c>
      <c r="FG267" s="29" t="s">
        <v>413</v>
      </c>
      <c r="FH267" s="29" t="s">
        <v>484</v>
      </c>
      <c r="FI267" s="29" t="s">
        <v>583</v>
      </c>
      <c r="FJ267" s="29" t="s">
        <v>414</v>
      </c>
      <c r="FK267" s="29" t="s">
        <v>414</v>
      </c>
      <c r="FL267" s="29" t="s">
        <v>414</v>
      </c>
      <c r="FM267" s="29" t="s">
        <v>413</v>
      </c>
      <c r="FN267" s="29" t="s">
        <v>484</v>
      </c>
      <c r="FO267" s="29" t="s">
        <v>850</v>
      </c>
      <c r="FP267" s="29" t="s">
        <v>418</v>
      </c>
      <c r="FQ267" s="29" t="s">
        <v>1039</v>
      </c>
      <c r="FR267" s="29" t="s">
        <v>5639</v>
      </c>
      <c r="FS267" s="29" t="s">
        <v>1189</v>
      </c>
      <c r="FT267" s="29" t="s">
        <v>488</v>
      </c>
      <c r="FU267" s="29" t="s">
        <v>918</v>
      </c>
      <c r="FV267" s="29" t="s">
        <v>490</v>
      </c>
      <c r="FW267" s="29" t="s">
        <v>491</v>
      </c>
      <c r="FX267" s="29" t="s">
        <v>5640</v>
      </c>
      <c r="FY267" s="29" t="s">
        <v>1854</v>
      </c>
      <c r="FZ267" s="29"/>
      <c r="GA267" s="29" t="s">
        <v>5641</v>
      </c>
      <c r="GB267" s="29" t="s">
        <v>455</v>
      </c>
      <c r="GC267" s="29"/>
      <c r="GD267" s="29"/>
      <c r="GE267" s="29" t="s">
        <v>753</v>
      </c>
      <c r="GF267" s="29"/>
      <c r="GG267" s="29"/>
      <c r="GH267" s="29"/>
      <c r="GI267" s="29"/>
      <c r="GJ267" s="29"/>
      <c r="GK267" s="29"/>
      <c r="GL267" s="29"/>
      <c r="GM267" s="29"/>
      <c r="GN267" s="29"/>
      <c r="GO267" s="29"/>
      <c r="GP267" s="29"/>
      <c r="GQ267" s="29" t="s">
        <v>3208</v>
      </c>
      <c r="GR267" s="29"/>
      <c r="GS267" s="29"/>
      <c r="GT267" s="29"/>
      <c r="GU267" s="29"/>
      <c r="HP267" s="31"/>
      <c r="MX267" s="29" t="s">
        <v>10402</v>
      </c>
      <c r="MY267" s="29" t="str">
        <f>IFERROR(__xludf.DUMMYFUNCTION("""COMPUTED_VALUE"""),"Washington")</f>
        <v>Washington</v>
      </c>
    </row>
    <row r="268" ht="16.5" customHeight="1">
      <c r="A268" s="33">
        <v>45885.69460180556</v>
      </c>
      <c r="B268" s="29" t="s">
        <v>368</v>
      </c>
      <c r="C268" s="29" t="s">
        <v>370</v>
      </c>
      <c r="D268" s="29" t="s">
        <v>370</v>
      </c>
      <c r="E268" s="29" t="s">
        <v>1421</v>
      </c>
      <c r="F268" s="29" t="s">
        <v>1421</v>
      </c>
      <c r="G268" s="29" t="s">
        <v>422</v>
      </c>
      <c r="H268" s="29" t="s">
        <v>496</v>
      </c>
      <c r="I268" s="29" t="s">
        <v>2578</v>
      </c>
      <c r="J268" s="29" t="s">
        <v>375</v>
      </c>
      <c r="K268" s="29" t="s">
        <v>376</v>
      </c>
      <c r="L268" s="29" t="s">
        <v>426</v>
      </c>
      <c r="M268" s="29" t="s">
        <v>378</v>
      </c>
      <c r="N268" s="29" t="s">
        <v>670</v>
      </c>
      <c r="O268" s="29" t="s">
        <v>720</v>
      </c>
      <c r="P268" s="29" t="s">
        <v>592</v>
      </c>
      <c r="Q268" s="29" t="s">
        <v>1004</v>
      </c>
      <c r="R268" s="29" t="s">
        <v>427</v>
      </c>
      <c r="S268" s="29" t="s">
        <v>384</v>
      </c>
      <c r="T268" s="29" t="s">
        <v>385</v>
      </c>
      <c r="U268" s="29"/>
      <c r="V268" s="29"/>
      <c r="W268" s="29" t="s">
        <v>3231</v>
      </c>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t="s">
        <v>597</v>
      </c>
      <c r="AW268" s="29" t="s">
        <v>391</v>
      </c>
      <c r="AX268" s="29" t="s">
        <v>391</v>
      </c>
      <c r="AY268" s="29" t="s">
        <v>675</v>
      </c>
      <c r="AZ268" s="29" t="s">
        <v>391</v>
      </c>
      <c r="BA268" s="29">
        <v>2.0</v>
      </c>
      <c r="BB268" s="29">
        <v>2.0</v>
      </c>
      <c r="BC268" s="29" t="s">
        <v>5643</v>
      </c>
      <c r="BD268" s="29" t="s">
        <v>5644</v>
      </c>
      <c r="BE268" s="29" t="s">
        <v>392</v>
      </c>
      <c r="BF268" s="29" t="s">
        <v>393</v>
      </c>
      <c r="BG268" s="29" t="s">
        <v>434</v>
      </c>
      <c r="BH268" s="29"/>
      <c r="BI268" s="29" t="s">
        <v>727</v>
      </c>
      <c r="BJ268" s="29"/>
      <c r="BK268" s="29" t="s">
        <v>681</v>
      </c>
      <c r="BL268" s="29" t="s">
        <v>603</v>
      </c>
      <c r="BM268" s="29" t="s">
        <v>549</v>
      </c>
      <c r="BN268" s="29"/>
      <c r="BO268" s="29"/>
      <c r="BP268" s="29"/>
      <c r="BQ268" s="29"/>
      <c r="BR268" s="29"/>
      <c r="BS268" s="29"/>
      <c r="BT268" s="29"/>
      <c r="BU268" s="29"/>
      <c r="BV268" s="29"/>
      <c r="BW268" s="29"/>
      <c r="BX268" s="29"/>
      <c r="BY268" s="29"/>
      <c r="BZ268" s="29"/>
      <c r="CA268" s="29"/>
      <c r="CB268" s="29"/>
      <c r="CC268" s="29"/>
      <c r="CD268" s="29"/>
      <c r="CE268" s="29"/>
      <c r="CF268" s="29"/>
      <c r="CG268" s="29"/>
      <c r="CH268" s="29"/>
      <c r="CI268" s="29"/>
      <c r="CJ268" s="29"/>
      <c r="CK268" s="29"/>
      <c r="CL268" s="29"/>
      <c r="CM268" s="29"/>
      <c r="CN268" s="29"/>
      <c r="CO268" s="29"/>
      <c r="CP268" s="29"/>
      <c r="CQ268" s="29"/>
      <c r="CR268" s="29"/>
      <c r="CS268" s="29"/>
      <c r="CT268" s="29"/>
      <c r="CU268" s="29"/>
      <c r="CV268" s="29"/>
      <c r="CW268" s="29"/>
      <c r="CX268" s="29"/>
      <c r="CY268" s="29"/>
      <c r="CZ268" s="29"/>
      <c r="DA268" s="29"/>
      <c r="DB268" s="29"/>
      <c r="DC268" s="29"/>
      <c r="DD268" s="29"/>
      <c r="DE268" s="29"/>
      <c r="DF268" s="29"/>
      <c r="DG268" s="29"/>
      <c r="DH268" s="29"/>
      <c r="DI268" s="29"/>
      <c r="DJ268" s="29"/>
      <c r="DK268" s="29"/>
      <c r="DL268" s="29"/>
      <c r="DM268" s="29"/>
      <c r="DN268" s="29"/>
      <c r="DO268" s="29"/>
      <c r="DP268" s="29"/>
      <c r="DQ268" s="29"/>
      <c r="DR268" s="29"/>
      <c r="DS268" s="29"/>
      <c r="DT268" s="29"/>
      <c r="DU268" s="29"/>
      <c r="DV268" s="29"/>
      <c r="DW268" s="29"/>
      <c r="DX268" s="29"/>
      <c r="DY268" s="29"/>
      <c r="DZ268" s="29"/>
      <c r="EA268" s="29"/>
      <c r="EB268" s="29"/>
      <c r="EC268" s="29"/>
      <c r="ED268" s="29"/>
      <c r="EE268" s="29"/>
      <c r="EF268" s="29"/>
      <c r="EG268" s="29"/>
      <c r="EH268" s="29"/>
      <c r="EI268" s="29"/>
      <c r="EJ268" s="29"/>
      <c r="EK268" s="29"/>
      <c r="EL268" s="29"/>
      <c r="EM268" s="29"/>
      <c r="EN268" s="29"/>
      <c r="EO268" s="29"/>
      <c r="EP268" s="29"/>
      <c r="EQ268" s="29"/>
      <c r="ER268" s="29"/>
      <c r="ES268" s="29"/>
      <c r="ET268" s="29"/>
      <c r="EU268" s="29"/>
      <c r="EV268" s="29" t="s">
        <v>663</v>
      </c>
      <c r="EW268" s="29"/>
      <c r="EX268" s="29" t="s">
        <v>5645</v>
      </c>
      <c r="EY268" s="29"/>
      <c r="EZ268" s="29" t="s">
        <v>484</v>
      </c>
      <c r="FA268" s="29" t="s">
        <v>484</v>
      </c>
      <c r="FB268" s="29" t="s">
        <v>484</v>
      </c>
      <c r="FC268" s="29" t="s">
        <v>414</v>
      </c>
      <c r="FD268" s="29" t="s">
        <v>416</v>
      </c>
      <c r="FE268" s="29" t="s">
        <v>414</v>
      </c>
      <c r="FF268" s="29" t="s">
        <v>415</v>
      </c>
      <c r="FG268" s="29" t="s">
        <v>414</v>
      </c>
      <c r="FH268" s="29" t="s">
        <v>484</v>
      </c>
      <c r="FI268" s="29" t="s">
        <v>583</v>
      </c>
      <c r="FJ268" s="29" t="s">
        <v>414</v>
      </c>
      <c r="FK268" s="29" t="s">
        <v>484</v>
      </c>
      <c r="FL268" s="29" t="s">
        <v>484</v>
      </c>
      <c r="FM268" s="29" t="s">
        <v>416</v>
      </c>
      <c r="FN268" s="29" t="s">
        <v>414</v>
      </c>
      <c r="FO268" s="29" t="s">
        <v>417</v>
      </c>
      <c r="FP268" s="29" t="s">
        <v>418</v>
      </c>
      <c r="FQ268" s="29" t="s">
        <v>419</v>
      </c>
      <c r="FR268" s="29" t="s">
        <v>5646</v>
      </c>
      <c r="FS268" s="29" t="s">
        <v>1076</v>
      </c>
      <c r="FT268" s="29" t="s">
        <v>488</v>
      </c>
      <c r="FU268" s="29" t="s">
        <v>489</v>
      </c>
      <c r="FV268" s="29" t="s">
        <v>490</v>
      </c>
      <c r="FW268" s="29" t="s">
        <v>491</v>
      </c>
      <c r="FX268" s="29" t="s">
        <v>5647</v>
      </c>
      <c r="FY268" s="29" t="s">
        <v>493</v>
      </c>
      <c r="FZ268" s="29" t="s">
        <v>5648</v>
      </c>
      <c r="GA268" s="29" t="s">
        <v>5649</v>
      </c>
      <c r="GB268" s="29" t="s">
        <v>455</v>
      </c>
      <c r="GC268" s="29"/>
      <c r="GD268" s="29"/>
      <c r="GE268" s="29" t="s">
        <v>855</v>
      </c>
      <c r="GF268" s="29"/>
      <c r="GG268" s="29"/>
      <c r="GH268" s="29"/>
      <c r="GI268" s="29"/>
      <c r="GJ268" s="29"/>
      <c r="GK268" s="29"/>
      <c r="GL268" s="29"/>
      <c r="GM268" s="29"/>
      <c r="GN268" s="29"/>
      <c r="GO268" s="29"/>
      <c r="GP268" s="29" t="s">
        <v>1706</v>
      </c>
      <c r="GQ268" s="29" t="s">
        <v>3306</v>
      </c>
      <c r="GR268" s="29"/>
      <c r="GS268" s="29"/>
      <c r="GT268" s="29"/>
      <c r="GU268" s="29"/>
      <c r="HP268" s="31"/>
      <c r="MX268" s="29" t="s">
        <v>1201</v>
      </c>
      <c r="MY268" s="29" t="str">
        <f>IFERROR(__xludf.DUMMYFUNCTION("""COMPUTED_VALUE"""),"Australia")</f>
        <v>Australia</v>
      </c>
    </row>
    <row r="269" ht="16.5" customHeight="1">
      <c r="A269" s="33">
        <v>45887.26090246528</v>
      </c>
      <c r="B269" s="29" t="s">
        <v>368</v>
      </c>
      <c r="C269" s="29" t="s">
        <v>1201</v>
      </c>
      <c r="D269" s="29" t="s">
        <v>1201</v>
      </c>
      <c r="E269" s="29"/>
      <c r="F269" s="29"/>
      <c r="G269" s="29" t="s">
        <v>422</v>
      </c>
      <c r="H269" s="29" t="s">
        <v>637</v>
      </c>
      <c r="I269" s="29" t="s">
        <v>638</v>
      </c>
      <c r="J269" s="29" t="s">
        <v>375</v>
      </c>
      <c r="K269" s="29" t="s">
        <v>376</v>
      </c>
      <c r="L269" s="29" t="s">
        <v>793</v>
      </c>
      <c r="M269" s="29" t="s">
        <v>860</v>
      </c>
      <c r="N269" s="29" t="s">
        <v>670</v>
      </c>
      <c r="O269" s="29" t="s">
        <v>378</v>
      </c>
      <c r="P269" s="29" t="s">
        <v>592</v>
      </c>
      <c r="Q269" s="29" t="s">
        <v>1004</v>
      </c>
      <c r="R269" s="29" t="s">
        <v>949</v>
      </c>
      <c r="S269" s="29" t="s">
        <v>384</v>
      </c>
      <c r="T269" s="29" t="s">
        <v>385</v>
      </c>
      <c r="U269" s="29"/>
      <c r="V269" s="29"/>
      <c r="W269" s="29" t="s">
        <v>386</v>
      </c>
      <c r="X269" s="29" t="s">
        <v>387</v>
      </c>
      <c r="Y269" s="29" t="s">
        <v>1444</v>
      </c>
      <c r="Z269" s="29" t="s">
        <v>543</v>
      </c>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t="s">
        <v>1242</v>
      </c>
      <c r="AW269" s="29">
        <v>4.0</v>
      </c>
      <c r="AX269" s="29">
        <v>4.0</v>
      </c>
      <c r="AY269" s="29" t="s">
        <v>675</v>
      </c>
      <c r="AZ269" s="29" t="s">
        <v>675</v>
      </c>
      <c r="BA269" s="29" t="s">
        <v>675</v>
      </c>
      <c r="BB269" s="29" t="s">
        <v>675</v>
      </c>
      <c r="BC269" s="29" t="s">
        <v>5651</v>
      </c>
      <c r="BD269" s="29"/>
      <c r="BE269" s="29" t="s">
        <v>902</v>
      </c>
      <c r="BF269" s="29" t="s">
        <v>393</v>
      </c>
      <c r="BG269" s="29" t="s">
        <v>394</v>
      </c>
      <c r="BH269" s="29" t="s">
        <v>5652</v>
      </c>
      <c r="BI269" s="29" t="s">
        <v>976</v>
      </c>
      <c r="BJ269" s="29"/>
      <c r="BK269" s="29" t="s">
        <v>681</v>
      </c>
      <c r="BL269" s="29" t="s">
        <v>904</v>
      </c>
      <c r="BM269" s="29" t="s">
        <v>1314</v>
      </c>
      <c r="BN269" s="29"/>
      <c r="BO269" s="29"/>
      <c r="BP269" s="29"/>
      <c r="BQ269" s="29"/>
      <c r="BR269" s="29"/>
      <c r="BS269" s="29"/>
      <c r="BT269" s="29"/>
      <c r="BU269" s="29"/>
      <c r="BV269" s="29"/>
      <c r="BW269" s="29"/>
      <c r="BX269" s="29"/>
      <c r="BY269" s="29"/>
      <c r="BZ269" s="29"/>
      <c r="CA269" s="29"/>
      <c r="CB269" s="29"/>
      <c r="CC269" s="29"/>
      <c r="CD269" s="29"/>
      <c r="CE269" s="29"/>
      <c r="CF269" s="29"/>
      <c r="CG269" s="29"/>
      <c r="CH269" s="29"/>
      <c r="CI269" s="29"/>
      <c r="CJ269" s="29"/>
      <c r="CK269" s="29"/>
      <c r="CL269" s="29"/>
      <c r="CM269" s="29"/>
      <c r="CN269" s="29"/>
      <c r="CO269" s="29"/>
      <c r="CP269" s="29"/>
      <c r="CQ269" s="29"/>
      <c r="CR269" s="29"/>
      <c r="CS269" s="29"/>
      <c r="CT269" s="29"/>
      <c r="CU269" s="29"/>
      <c r="CV269" s="29"/>
      <c r="CW269" s="29"/>
      <c r="CX269" s="29"/>
      <c r="CY269" s="29"/>
      <c r="CZ269" s="29"/>
      <c r="DA269" s="29"/>
      <c r="DB269" s="29"/>
      <c r="DC269" s="29"/>
      <c r="DD269" s="29"/>
      <c r="DE269" s="29"/>
      <c r="DF269" s="29"/>
      <c r="DG269" s="29"/>
      <c r="DH269" s="29"/>
      <c r="DI269" s="29"/>
      <c r="DJ269" s="29"/>
      <c r="DK269" s="29"/>
      <c r="DL269" s="29"/>
      <c r="DM269" s="29"/>
      <c r="DN269" s="29"/>
      <c r="DO269" s="29"/>
      <c r="DP269" s="29"/>
      <c r="DQ269" s="29"/>
      <c r="DR269" s="29"/>
      <c r="DS269" s="29"/>
      <c r="DT269" s="29"/>
      <c r="DU269" s="29"/>
      <c r="DV269" s="29"/>
      <c r="DW269" s="29"/>
      <c r="DX269" s="29"/>
      <c r="DY269" s="29"/>
      <c r="DZ269" s="29"/>
      <c r="EA269" s="29"/>
      <c r="EB269" s="29"/>
      <c r="EC269" s="29"/>
      <c r="ED269" s="29"/>
      <c r="EE269" s="29"/>
      <c r="EF269" s="29"/>
      <c r="EG269" s="29"/>
      <c r="EH269" s="29"/>
      <c r="EI269" s="29"/>
      <c r="EJ269" s="29"/>
      <c r="EK269" s="29"/>
      <c r="EL269" s="29"/>
      <c r="EM269" s="29"/>
      <c r="EN269" s="29"/>
      <c r="EO269" s="29"/>
      <c r="EP269" s="29"/>
      <c r="EQ269" s="29"/>
      <c r="ER269" s="29"/>
      <c r="ES269" s="29"/>
      <c r="ET269" s="29" t="s">
        <v>526</v>
      </c>
      <c r="EU269" s="29" t="s">
        <v>579</v>
      </c>
      <c r="EV269" s="29" t="s">
        <v>1262</v>
      </c>
      <c r="EW269" s="29"/>
      <c r="EX269" s="29" t="s">
        <v>5653</v>
      </c>
      <c r="EY269" s="29"/>
      <c r="EZ269" s="29" t="s">
        <v>416</v>
      </c>
      <c r="FA269" s="29" t="s">
        <v>414</v>
      </c>
      <c r="FB269" s="29" t="s">
        <v>413</v>
      </c>
      <c r="FC269" s="29" t="s">
        <v>416</v>
      </c>
      <c r="FD269" s="29" t="s">
        <v>416</v>
      </c>
      <c r="FE269" s="29" t="s">
        <v>415</v>
      </c>
      <c r="FF269" s="29" t="s">
        <v>416</v>
      </c>
      <c r="FG269" s="29" t="s">
        <v>413</v>
      </c>
      <c r="FH269" s="29" t="s">
        <v>583</v>
      </c>
      <c r="FI269" s="29" t="s">
        <v>415</v>
      </c>
      <c r="FJ269" s="29" t="s">
        <v>416</v>
      </c>
      <c r="FK269" s="29" t="s">
        <v>416</v>
      </c>
      <c r="FL269" s="29" t="s">
        <v>416</v>
      </c>
      <c r="FM269" s="29" t="s">
        <v>413</v>
      </c>
      <c r="FN269" s="29" t="s">
        <v>414</v>
      </c>
      <c r="FO269" s="29" t="s">
        <v>485</v>
      </c>
      <c r="FP269" s="29" t="s">
        <v>418</v>
      </c>
      <c r="FQ269" s="29" t="s">
        <v>1039</v>
      </c>
      <c r="FR269" s="29" t="s">
        <v>5654</v>
      </c>
      <c r="FS269" s="29" t="s">
        <v>420</v>
      </c>
      <c r="FT269" s="29" t="s">
        <v>488</v>
      </c>
      <c r="FU269" s="29" t="s">
        <v>585</v>
      </c>
      <c r="FV269" s="29" t="s">
        <v>490</v>
      </c>
      <c r="FW269" s="29" t="s">
        <v>491</v>
      </c>
      <c r="FX269" s="29" t="s">
        <v>5655</v>
      </c>
      <c r="FY269" s="29" t="s">
        <v>493</v>
      </c>
      <c r="FZ269" s="29"/>
      <c r="GA269" s="29"/>
      <c r="GB269" s="29" t="s">
        <v>455</v>
      </c>
      <c r="GC269" s="29"/>
      <c r="GD269" s="29"/>
      <c r="GE269" s="29" t="s">
        <v>753</v>
      </c>
      <c r="GF269" s="29"/>
      <c r="GG269" s="29"/>
      <c r="GH269" s="29"/>
      <c r="GI269" s="29"/>
      <c r="GJ269" s="29"/>
      <c r="GK269" s="29"/>
      <c r="GL269" s="29"/>
      <c r="GM269" s="29"/>
      <c r="GN269" s="29"/>
      <c r="GO269" s="29"/>
      <c r="GP269" s="29"/>
      <c r="GQ269" s="29" t="s">
        <v>5656</v>
      </c>
      <c r="GR269" s="29"/>
      <c r="GS269" s="29"/>
      <c r="GT269" s="29"/>
      <c r="GU269" s="29"/>
      <c r="HP269" s="31"/>
      <c r="MX269" s="29" t="s">
        <v>10402</v>
      </c>
      <c r="MY269" s="29" t="str">
        <f>IFERROR(__xludf.DUMMYFUNCTION("""COMPUTED_VALUE"""),"Illinois")</f>
        <v>Illinois</v>
      </c>
    </row>
    <row r="270" ht="16.5" customHeight="1">
      <c r="A270" s="33">
        <v>45890.5657042824</v>
      </c>
      <c r="B270" s="29" t="s">
        <v>368</v>
      </c>
      <c r="C270" s="29" t="s">
        <v>370</v>
      </c>
      <c r="D270" s="29" t="s">
        <v>370</v>
      </c>
      <c r="E270" s="29" t="s">
        <v>2708</v>
      </c>
      <c r="F270" s="29" t="s">
        <v>2708</v>
      </c>
      <c r="G270" s="29" t="s">
        <v>422</v>
      </c>
      <c r="H270" s="29" t="s">
        <v>496</v>
      </c>
      <c r="I270" s="29" t="s">
        <v>374</v>
      </c>
      <c r="J270" s="29" t="s">
        <v>375</v>
      </c>
      <c r="K270" s="29" t="s">
        <v>376</v>
      </c>
      <c r="L270" s="29" t="s">
        <v>379</v>
      </c>
      <c r="M270" s="29" t="s">
        <v>541</v>
      </c>
      <c r="N270" s="29" t="s">
        <v>426</v>
      </c>
      <c r="O270" s="29" t="s">
        <v>380</v>
      </c>
      <c r="P270" s="29" t="s">
        <v>381</v>
      </c>
      <c r="Q270" s="29" t="s">
        <v>382</v>
      </c>
      <c r="R270" s="29" t="s">
        <v>427</v>
      </c>
      <c r="S270" s="29" t="s">
        <v>384</v>
      </c>
      <c r="T270" s="29" t="s">
        <v>385</v>
      </c>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t="s">
        <v>513</v>
      </c>
      <c r="BO270" s="29"/>
      <c r="BP270" s="29"/>
      <c r="BQ270" s="29"/>
      <c r="BR270" s="29"/>
      <c r="BS270" s="29"/>
      <c r="BT270" s="29"/>
      <c r="BU270" s="29"/>
      <c r="BV270" s="29"/>
      <c r="BW270" s="29"/>
      <c r="BX270" s="29"/>
      <c r="BY270" s="29"/>
      <c r="BZ270" s="29"/>
      <c r="CA270" s="29"/>
      <c r="CB270" s="29"/>
      <c r="CC270" s="29"/>
      <c r="CD270" s="29"/>
      <c r="CE270" s="29"/>
      <c r="CF270" s="29"/>
      <c r="CG270" s="29"/>
      <c r="CH270" s="29"/>
      <c r="CI270" s="29"/>
      <c r="CJ270" s="29"/>
      <c r="CK270" s="29"/>
      <c r="CL270" s="29"/>
      <c r="CM270" s="29" t="s">
        <v>401</v>
      </c>
      <c r="CN270" s="29"/>
      <c r="CO270" s="29"/>
      <c r="CP270" s="29"/>
      <c r="CQ270" s="29"/>
      <c r="CR270" s="29"/>
      <c r="CS270" s="29"/>
      <c r="CT270" s="29"/>
      <c r="CU270" s="29"/>
      <c r="CV270" s="29"/>
      <c r="CW270" s="29"/>
      <c r="CX270" s="29"/>
      <c r="CY270" s="29"/>
      <c r="CZ270" s="29"/>
      <c r="DA270" s="29"/>
      <c r="DB270" s="29"/>
      <c r="DC270" s="29"/>
      <c r="DD270" s="29"/>
      <c r="DE270" s="29"/>
      <c r="DF270" s="29"/>
      <c r="DG270" s="29"/>
      <c r="DH270" s="29"/>
      <c r="DI270" s="29"/>
      <c r="DJ270" s="29"/>
      <c r="DK270" s="29"/>
      <c r="DL270" s="29"/>
      <c r="DM270" s="29"/>
      <c r="DN270" s="29"/>
      <c r="DO270" s="29"/>
      <c r="DP270" s="29"/>
      <c r="DQ270" s="29"/>
      <c r="DR270" s="29"/>
      <c r="DS270" s="29"/>
      <c r="DT270" s="29"/>
      <c r="DU270" s="29"/>
      <c r="DV270" s="29"/>
      <c r="DW270" s="29"/>
      <c r="DX270" s="29"/>
      <c r="DY270" s="29"/>
      <c r="DZ270" s="29"/>
      <c r="EA270" s="29"/>
      <c r="EB270" s="29"/>
      <c r="EC270" s="29"/>
      <c r="ED270" s="29"/>
      <c r="EE270" s="29"/>
      <c r="EF270" s="29"/>
      <c r="EG270" s="29"/>
      <c r="EH270" s="29"/>
      <c r="EI270" s="29"/>
      <c r="EJ270" s="29"/>
      <c r="EK270" s="29"/>
      <c r="EL270" s="29"/>
      <c r="EM270" s="29"/>
      <c r="EN270" s="29"/>
      <c r="EO270" s="29"/>
      <c r="EP270" s="29"/>
      <c r="EQ270" s="29"/>
      <c r="ER270" s="29"/>
      <c r="ES270" s="29"/>
      <c r="ET270" s="29"/>
      <c r="EU270" s="29"/>
      <c r="EV270" s="29"/>
      <c r="EW270" s="29"/>
      <c r="EX270" s="29"/>
      <c r="EY270" s="29"/>
      <c r="EZ270" s="29"/>
      <c r="FA270" s="29"/>
      <c r="FB270" s="29"/>
      <c r="FC270" s="29"/>
      <c r="FD270" s="29"/>
      <c r="FE270" s="29"/>
      <c r="FF270" s="29"/>
      <c r="FG270" s="29"/>
      <c r="FH270" s="29"/>
      <c r="FI270" s="29"/>
      <c r="FJ270" s="29"/>
      <c r="FK270" s="29"/>
      <c r="FL270" s="29"/>
      <c r="FM270" s="29"/>
      <c r="FN270" s="29"/>
      <c r="FO270" s="29"/>
      <c r="FP270" s="29"/>
      <c r="FQ270" s="29"/>
      <c r="FR270" s="29"/>
      <c r="FS270" s="29"/>
      <c r="FT270" s="29"/>
      <c r="FU270" s="29"/>
      <c r="FV270" s="29"/>
      <c r="FW270" s="29"/>
      <c r="FX270" s="29"/>
      <c r="FY270" s="29"/>
      <c r="FZ270" s="29"/>
      <c r="GA270" s="29"/>
      <c r="GB270" s="29"/>
      <c r="GC270" s="29"/>
      <c r="GD270" s="29"/>
      <c r="GE270" s="29"/>
      <c r="GF270" s="29"/>
      <c r="GG270" s="29"/>
      <c r="GH270" s="29"/>
      <c r="GI270" s="29"/>
      <c r="GJ270" s="29"/>
      <c r="GK270" s="29"/>
      <c r="GL270" s="29"/>
      <c r="GM270" s="29"/>
      <c r="GN270" s="29"/>
      <c r="GO270" s="29"/>
      <c r="GP270" s="29"/>
      <c r="GQ270" s="29"/>
      <c r="GR270" s="29"/>
      <c r="GS270" s="29"/>
      <c r="GT270" s="29"/>
      <c r="GU270" s="29"/>
      <c r="HP270" s="31"/>
      <c r="MX270" s="29" t="s">
        <v>10402</v>
      </c>
      <c r="MY270" s="29" t="str">
        <f>IFERROR(__xludf.DUMMYFUNCTION("""COMPUTED_VALUE"""),"New Jersey")</f>
        <v>New Jersey</v>
      </c>
    </row>
    <row r="271" ht="16.5" customHeight="1">
      <c r="A271" s="33">
        <v>45890.639364930554</v>
      </c>
      <c r="B271" s="29" t="s">
        <v>368</v>
      </c>
      <c r="C271" s="29" t="s">
        <v>370</v>
      </c>
      <c r="D271" s="29" t="s">
        <v>370</v>
      </c>
      <c r="E271" s="29" t="s">
        <v>2359</v>
      </c>
      <c r="F271" s="29" t="s">
        <v>2359</v>
      </c>
      <c r="G271" s="29" t="s">
        <v>422</v>
      </c>
      <c r="H271" s="29" t="s">
        <v>1921</v>
      </c>
      <c r="I271" s="29" t="s">
        <v>668</v>
      </c>
      <c r="J271" s="29" t="s">
        <v>718</v>
      </c>
      <c r="K271" s="29" t="s">
        <v>376</v>
      </c>
      <c r="L271" s="29" t="s">
        <v>793</v>
      </c>
      <c r="M271" s="29" t="s">
        <v>639</v>
      </c>
      <c r="N271" s="29" t="s">
        <v>793</v>
      </c>
      <c r="O271" s="29" t="s">
        <v>5657</v>
      </c>
      <c r="P271" s="29" t="s">
        <v>498</v>
      </c>
      <c r="Q271" s="29" t="s">
        <v>499</v>
      </c>
      <c r="R271" s="29" t="s">
        <v>500</v>
      </c>
      <c r="S271" s="29" t="s">
        <v>384</v>
      </c>
      <c r="T271" s="29" t="s">
        <v>385</v>
      </c>
      <c r="U271" s="29"/>
      <c r="V271" s="29"/>
      <c r="W271" s="29" t="s">
        <v>593</v>
      </c>
      <c r="X271" s="29" t="s">
        <v>387</v>
      </c>
      <c r="Y271" s="29" t="s">
        <v>542</v>
      </c>
      <c r="Z271" s="29" t="s">
        <v>502</v>
      </c>
      <c r="AA271" s="29" t="s">
        <v>408</v>
      </c>
      <c r="AB271" s="29"/>
      <c r="AC271" s="29"/>
      <c r="AD271" s="29"/>
      <c r="AE271" s="29"/>
      <c r="AF271" s="29"/>
      <c r="AG271" s="29"/>
      <c r="AH271" s="29"/>
      <c r="AI271" s="29"/>
      <c r="AJ271" s="29"/>
      <c r="AK271" s="29"/>
      <c r="AL271" s="29"/>
      <c r="AM271" s="29"/>
      <c r="AN271" s="29"/>
      <c r="AO271" s="29"/>
      <c r="AP271" s="29"/>
      <c r="AQ271" s="29"/>
      <c r="AR271" s="29"/>
      <c r="AS271" s="29"/>
      <c r="AT271" s="29"/>
      <c r="AU271" s="29"/>
      <c r="AV271" s="29" t="s">
        <v>1310</v>
      </c>
      <c r="AW271" s="29">
        <v>2.0</v>
      </c>
      <c r="AX271" s="29" t="s">
        <v>429</v>
      </c>
      <c r="AY271" s="29" t="s">
        <v>391</v>
      </c>
      <c r="AZ271" s="29">
        <v>2.0</v>
      </c>
      <c r="BA271" s="29">
        <v>2.0</v>
      </c>
      <c r="BB271" s="29">
        <v>2.0</v>
      </c>
      <c r="BC271" s="29" t="s">
        <v>5658</v>
      </c>
      <c r="BD271" s="29" t="s">
        <v>5659</v>
      </c>
      <c r="BE271" s="29" t="s">
        <v>392</v>
      </c>
      <c r="BF271" s="29" t="s">
        <v>433</v>
      </c>
      <c r="BG271" s="29" t="s">
        <v>434</v>
      </c>
      <c r="BH271" s="29"/>
      <c r="BI271" s="29" t="s">
        <v>976</v>
      </c>
      <c r="BJ271" s="29"/>
      <c r="BK271" s="29" t="s">
        <v>511</v>
      </c>
      <c r="BL271" s="29" t="s">
        <v>438</v>
      </c>
      <c r="BM271" s="29" t="s">
        <v>1247</v>
      </c>
      <c r="BN271" s="29"/>
      <c r="BO271" s="29"/>
      <c r="BP271" s="29"/>
      <c r="BQ271" s="29"/>
      <c r="BR271" s="29"/>
      <c r="BS271" s="29"/>
      <c r="BT271" s="29"/>
      <c r="BU271" s="29"/>
      <c r="BV271" s="29"/>
      <c r="BW271" s="29"/>
      <c r="BX271" s="29"/>
      <c r="BY271" s="29"/>
      <c r="BZ271" s="29"/>
      <c r="CA271" s="29"/>
      <c r="CB271" s="29"/>
      <c r="CC271" s="29"/>
      <c r="CD271" s="29"/>
      <c r="CE271" s="29"/>
      <c r="CF271" s="29"/>
      <c r="CG271" s="29"/>
      <c r="CH271" s="29"/>
      <c r="CI271" s="29"/>
      <c r="CJ271" s="29"/>
      <c r="CK271" s="29"/>
      <c r="CL271" s="29"/>
      <c r="CM271" s="29"/>
      <c r="CN271" s="29"/>
      <c r="CO271" s="29"/>
      <c r="CP271" s="29"/>
      <c r="CQ271" s="29"/>
      <c r="CR271" s="29"/>
      <c r="CS271" s="29"/>
      <c r="CT271" s="29"/>
      <c r="CU271" s="29"/>
      <c r="CV271" s="29"/>
      <c r="CW271" s="29"/>
      <c r="CX271" s="29"/>
      <c r="CY271" s="29"/>
      <c r="CZ271" s="29"/>
      <c r="DA271" s="29"/>
      <c r="DB271" s="29"/>
      <c r="DC271" s="29"/>
      <c r="DD271" s="29"/>
      <c r="DE271" s="29"/>
      <c r="DF271" s="29"/>
      <c r="DG271" s="29"/>
      <c r="DH271" s="29"/>
      <c r="DI271" s="29"/>
      <c r="DJ271" s="29"/>
      <c r="DK271" s="29"/>
      <c r="DL271" s="29"/>
      <c r="DM271" s="29"/>
      <c r="DN271" s="29"/>
      <c r="DO271" s="29"/>
      <c r="DP271" s="29"/>
      <c r="DQ271" s="29"/>
      <c r="DR271" s="29"/>
      <c r="DS271" s="29"/>
      <c r="DT271" s="29"/>
      <c r="DU271" s="29"/>
      <c r="DV271" s="29"/>
      <c r="DW271" s="29"/>
      <c r="DX271" s="29"/>
      <c r="DY271" s="29"/>
      <c r="DZ271" s="29"/>
      <c r="EA271" s="29"/>
      <c r="EB271" s="29"/>
      <c r="EC271" s="29"/>
      <c r="ED271" s="29"/>
      <c r="EE271" s="29"/>
      <c r="EF271" s="29"/>
      <c r="EG271" s="29"/>
      <c r="EH271" s="29"/>
      <c r="EI271" s="29"/>
      <c r="EJ271" s="29"/>
      <c r="EK271" s="29"/>
      <c r="EL271" s="29"/>
      <c r="EM271" s="29"/>
      <c r="EN271" s="29"/>
      <c r="EO271" s="29"/>
      <c r="EP271" s="29"/>
      <c r="EQ271" s="29"/>
      <c r="ER271" s="29"/>
      <c r="ES271" s="29"/>
      <c r="ET271" s="29" t="s">
        <v>526</v>
      </c>
      <c r="EU271" s="29" t="s">
        <v>479</v>
      </c>
      <c r="EV271" s="29" t="s">
        <v>480</v>
      </c>
      <c r="EW271" s="29"/>
      <c r="EX271" s="29" t="s">
        <v>5660</v>
      </c>
      <c r="EY271" s="29" t="s">
        <v>1380</v>
      </c>
      <c r="EZ271" s="29" t="s">
        <v>413</v>
      </c>
      <c r="FA271" s="29" t="s">
        <v>415</v>
      </c>
      <c r="FB271" s="29" t="s">
        <v>413</v>
      </c>
      <c r="FC271" s="29" t="s">
        <v>413</v>
      </c>
      <c r="FD271" s="29" t="s">
        <v>413</v>
      </c>
      <c r="FE271" s="29" t="s">
        <v>415</v>
      </c>
      <c r="FF271" s="29" t="s">
        <v>413</v>
      </c>
      <c r="FG271" s="29" t="s">
        <v>413</v>
      </c>
      <c r="FH271" s="29" t="s">
        <v>413</v>
      </c>
      <c r="FI271" s="29" t="s">
        <v>416</v>
      </c>
      <c r="FJ271" s="29" t="s">
        <v>414</v>
      </c>
      <c r="FK271" s="29" t="s">
        <v>415</v>
      </c>
      <c r="FL271" s="29" t="s">
        <v>583</v>
      </c>
      <c r="FM271" s="29" t="s">
        <v>413</v>
      </c>
      <c r="FN271" s="29" t="s">
        <v>484</v>
      </c>
      <c r="FO271" s="29" t="s">
        <v>485</v>
      </c>
      <c r="FP271" s="29" t="s">
        <v>418</v>
      </c>
      <c r="FQ271" s="29" t="s">
        <v>630</v>
      </c>
      <c r="FR271" s="29"/>
      <c r="FS271" s="29" t="s">
        <v>1189</v>
      </c>
      <c r="FT271" s="29" t="s">
        <v>488</v>
      </c>
      <c r="FU271" s="29" t="s">
        <v>533</v>
      </c>
      <c r="FV271" s="29" t="s">
        <v>490</v>
      </c>
      <c r="FW271" s="29" t="s">
        <v>491</v>
      </c>
      <c r="FX271" s="29" t="s">
        <v>5661</v>
      </c>
      <c r="FY271" s="29" t="s">
        <v>535</v>
      </c>
      <c r="FZ271" s="29"/>
      <c r="GA271" s="29"/>
      <c r="GB271" s="29" t="s">
        <v>455</v>
      </c>
      <c r="GC271" s="29"/>
      <c r="GD271" s="29"/>
      <c r="GE271" s="29" t="s">
        <v>753</v>
      </c>
      <c r="GF271" s="29"/>
      <c r="GG271" s="29"/>
      <c r="GH271" s="29"/>
      <c r="GI271" s="29"/>
      <c r="GJ271" s="29"/>
      <c r="GK271" s="29"/>
      <c r="GL271" s="29"/>
      <c r="GM271" s="29"/>
      <c r="GN271" s="29"/>
      <c r="GO271" s="29"/>
      <c r="GP271" s="29"/>
      <c r="GQ271" s="29" t="s">
        <v>3208</v>
      </c>
      <c r="GR271" s="29"/>
      <c r="GS271" s="29"/>
      <c r="GT271" s="29"/>
      <c r="GU271" s="29"/>
      <c r="HP271" s="31"/>
      <c r="MX271" s="29" t="s">
        <v>894</v>
      </c>
      <c r="MY271" s="29" t="str">
        <f>IFERROR(__xludf.DUMMYFUNCTION("""COMPUTED_VALUE"""),"Alberta")</f>
        <v>Alberta</v>
      </c>
    </row>
    <row r="272" ht="16.5" customHeight="1">
      <c r="A272" s="33">
        <v>45890.654446562505</v>
      </c>
      <c r="B272" s="29" t="s">
        <v>368</v>
      </c>
      <c r="C272" s="29" t="s">
        <v>894</v>
      </c>
      <c r="D272" s="29" t="s">
        <v>370</v>
      </c>
      <c r="E272" s="29"/>
      <c r="F272" s="29" t="s">
        <v>1421</v>
      </c>
      <c r="G272" s="29" t="s">
        <v>422</v>
      </c>
      <c r="H272" s="29" t="s">
        <v>539</v>
      </c>
      <c r="I272" s="29" t="s">
        <v>424</v>
      </c>
      <c r="J272" s="29" t="s">
        <v>375</v>
      </c>
      <c r="K272" s="29" t="s">
        <v>376</v>
      </c>
      <c r="L272" s="29" t="s">
        <v>591</v>
      </c>
      <c r="M272" s="29" t="s">
        <v>378</v>
      </c>
      <c r="N272" s="29" t="s">
        <v>670</v>
      </c>
      <c r="O272" s="29" t="s">
        <v>720</v>
      </c>
      <c r="P272" s="29" t="s">
        <v>592</v>
      </c>
      <c r="Q272" s="29" t="s">
        <v>862</v>
      </c>
      <c r="R272" s="29" t="s">
        <v>949</v>
      </c>
      <c r="S272" s="29" t="s">
        <v>1785</v>
      </c>
      <c r="T272" s="29" t="s">
        <v>1786</v>
      </c>
      <c r="U272" s="29" t="s">
        <v>1241</v>
      </c>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c r="CB272" s="29"/>
      <c r="CC272" s="29"/>
      <c r="CD272" s="29"/>
      <c r="CE272" s="29"/>
      <c r="CF272" s="29"/>
      <c r="CG272" s="29"/>
      <c r="CH272" s="29"/>
      <c r="CI272" s="29"/>
      <c r="CJ272" s="29"/>
      <c r="CK272" s="29"/>
      <c r="CL272" s="29"/>
      <c r="CM272" s="29"/>
      <c r="CN272" s="29"/>
      <c r="CO272" s="29"/>
      <c r="CP272" s="29"/>
      <c r="CQ272" s="29"/>
      <c r="CR272" s="29"/>
      <c r="CS272" s="29"/>
      <c r="CT272" s="29"/>
      <c r="CU272" s="29"/>
      <c r="CV272" s="29"/>
      <c r="CW272" s="29"/>
      <c r="CX272" s="29"/>
      <c r="CY272" s="29"/>
      <c r="CZ272" s="29"/>
      <c r="DA272" s="29"/>
      <c r="DB272" s="29"/>
      <c r="DC272" s="29"/>
      <c r="DD272" s="29"/>
      <c r="DE272" s="29"/>
      <c r="DF272" s="29"/>
      <c r="DG272" s="29"/>
      <c r="DH272" s="29"/>
      <c r="DI272" s="29"/>
      <c r="DJ272" s="29"/>
      <c r="DK272" s="29"/>
      <c r="DL272" s="29"/>
      <c r="DM272" s="29"/>
      <c r="DN272" s="29"/>
      <c r="DO272" s="29"/>
      <c r="DP272" s="29"/>
      <c r="DQ272" s="29"/>
      <c r="DR272" s="29"/>
      <c r="DS272" s="29"/>
      <c r="DT272" s="29"/>
      <c r="DU272" s="29"/>
      <c r="DV272" s="29"/>
      <c r="DW272" s="29"/>
      <c r="DX272" s="29"/>
      <c r="DY272" s="29"/>
      <c r="DZ272" s="29"/>
      <c r="EA272" s="29"/>
      <c r="EB272" s="29"/>
      <c r="EC272" s="29"/>
      <c r="ED272" s="29" t="s">
        <v>5662</v>
      </c>
      <c r="EE272" s="29"/>
      <c r="EF272" s="29"/>
      <c r="EG272" s="29"/>
      <c r="EH272" s="29" t="s">
        <v>5663</v>
      </c>
      <c r="EI272" s="29" t="s">
        <v>5664</v>
      </c>
      <c r="EJ272" s="29"/>
      <c r="EK272" s="29"/>
      <c r="EL272" s="29"/>
      <c r="EM272" s="29"/>
      <c r="EN272" s="29"/>
      <c r="EO272" s="29"/>
      <c r="EP272" s="29"/>
      <c r="EQ272" s="29"/>
      <c r="ER272" s="29" t="s">
        <v>5665</v>
      </c>
      <c r="ES272" s="29" t="s">
        <v>5666</v>
      </c>
      <c r="ET272" s="29" t="s">
        <v>578</v>
      </c>
      <c r="EU272" s="29" t="s">
        <v>1037</v>
      </c>
      <c r="EV272" s="29" t="s">
        <v>580</v>
      </c>
      <c r="EW272" s="29"/>
      <c r="EX272" s="29" t="s">
        <v>5667</v>
      </c>
      <c r="EY272" s="29" t="s">
        <v>5668</v>
      </c>
      <c r="EZ272" s="29" t="s">
        <v>415</v>
      </c>
      <c r="FA272" s="29" t="s">
        <v>415</v>
      </c>
      <c r="FB272" s="29" t="s">
        <v>415</v>
      </c>
      <c r="FC272" s="29" t="s">
        <v>415</v>
      </c>
      <c r="FD272" s="29" t="s">
        <v>413</v>
      </c>
      <c r="FE272" s="29" t="s">
        <v>415</v>
      </c>
      <c r="FF272" s="29" t="s">
        <v>415</v>
      </c>
      <c r="FG272" s="29" t="s">
        <v>415</v>
      </c>
      <c r="FH272" s="29" t="s">
        <v>415</v>
      </c>
      <c r="FI272" s="29" t="s">
        <v>415</v>
      </c>
      <c r="FJ272" s="29" t="s">
        <v>415</v>
      </c>
      <c r="FK272" s="29" t="s">
        <v>415</v>
      </c>
      <c r="FL272" s="29" t="s">
        <v>415</v>
      </c>
      <c r="FM272" s="29" t="s">
        <v>415</v>
      </c>
      <c r="FN272" s="29" t="s">
        <v>415</v>
      </c>
      <c r="FO272" s="29" t="s">
        <v>850</v>
      </c>
      <c r="FP272" s="29" t="s">
        <v>418</v>
      </c>
      <c r="FQ272" s="29" t="s">
        <v>712</v>
      </c>
      <c r="FR272" s="29" t="s">
        <v>5669</v>
      </c>
      <c r="FS272" s="29" t="s">
        <v>995</v>
      </c>
      <c r="FT272" s="29" t="s">
        <v>488</v>
      </c>
      <c r="FU272" s="29" t="s">
        <v>918</v>
      </c>
      <c r="FV272" s="29" t="s">
        <v>490</v>
      </c>
      <c r="FW272" s="29" t="s">
        <v>491</v>
      </c>
      <c r="FX272" s="29" t="s">
        <v>5670</v>
      </c>
      <c r="FY272" s="29" t="s">
        <v>493</v>
      </c>
      <c r="FZ272" s="29" t="s">
        <v>5671</v>
      </c>
      <c r="GA272" s="29" t="s">
        <v>5672</v>
      </c>
      <c r="GB272" s="29" t="s">
        <v>455</v>
      </c>
      <c r="GC272" s="29"/>
      <c r="GD272" s="29"/>
      <c r="GE272" s="29" t="s">
        <v>786</v>
      </c>
      <c r="GF272" s="29" t="s">
        <v>5673</v>
      </c>
      <c r="GG272" s="29"/>
      <c r="GH272" s="29"/>
      <c r="GI272" s="29"/>
      <c r="GJ272" s="29"/>
      <c r="GK272" s="29"/>
      <c r="GL272" s="29"/>
      <c r="GM272" s="29"/>
      <c r="GN272" s="29"/>
      <c r="GO272" s="29"/>
      <c r="GP272" s="29"/>
      <c r="GQ272" s="29"/>
      <c r="GR272" s="29"/>
      <c r="GS272" s="29"/>
      <c r="GT272" s="29"/>
      <c r="GU272" s="29"/>
      <c r="HP272" s="31"/>
      <c r="MX272" s="29" t="s">
        <v>5694</v>
      </c>
      <c r="MY272" s="29" t="str">
        <f>IFERROR(__xludf.DUMMYFUNCTION("""COMPUTED_VALUE"""),"Netherlands")</f>
        <v>Netherlands</v>
      </c>
    </row>
    <row r="273" ht="16.5" customHeight="1">
      <c r="A273" s="33">
        <v>45891.315471574075</v>
      </c>
      <c r="B273" s="29" t="s">
        <v>368</v>
      </c>
      <c r="C273" s="29" t="s">
        <v>5694</v>
      </c>
      <c r="D273" s="29" t="s">
        <v>5694</v>
      </c>
      <c r="E273" s="29"/>
      <c r="F273" s="29"/>
      <c r="G273" s="29" t="s">
        <v>422</v>
      </c>
      <c r="H273" s="29" t="s">
        <v>373</v>
      </c>
      <c r="I273" s="29" t="s">
        <v>374</v>
      </c>
      <c r="J273" s="29" t="s">
        <v>718</v>
      </c>
      <c r="K273" s="29" t="s">
        <v>376</v>
      </c>
      <c r="L273" s="29" t="s">
        <v>793</v>
      </c>
      <c r="M273" s="29" t="s">
        <v>639</v>
      </c>
      <c r="N273" s="29" t="s">
        <v>793</v>
      </c>
      <c r="O273" s="29" t="s">
        <v>671</v>
      </c>
      <c r="P273" s="29" t="s">
        <v>498</v>
      </c>
      <c r="Q273" s="29" t="s">
        <v>382</v>
      </c>
      <c r="R273" s="29" t="s">
        <v>949</v>
      </c>
      <c r="S273" s="29" t="s">
        <v>384</v>
      </c>
      <c r="T273" s="29" t="s">
        <v>385</v>
      </c>
      <c r="U273" s="29"/>
      <c r="V273" s="29"/>
      <c r="W273" s="29" t="s">
        <v>3014</v>
      </c>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t="s">
        <v>1310</v>
      </c>
      <c r="AW273" s="29">
        <v>4.0</v>
      </c>
      <c r="AX273" s="29" t="s">
        <v>391</v>
      </c>
      <c r="AY273" s="29">
        <v>2.0</v>
      </c>
      <c r="AZ273" s="29">
        <v>2.0</v>
      </c>
      <c r="BA273" s="29" t="s">
        <v>429</v>
      </c>
      <c r="BB273" s="29">
        <v>2.0</v>
      </c>
      <c r="BC273" s="29" t="s">
        <v>5695</v>
      </c>
      <c r="BD273" s="29" t="s">
        <v>5696</v>
      </c>
      <c r="BE273" s="29" t="s">
        <v>432</v>
      </c>
      <c r="BF273" s="29" t="s">
        <v>393</v>
      </c>
      <c r="BG273" s="29" t="s">
        <v>434</v>
      </c>
      <c r="BH273" s="29" t="s">
        <v>5697</v>
      </c>
      <c r="BI273" s="29" t="s">
        <v>509</v>
      </c>
      <c r="BJ273" s="29" t="s">
        <v>5698</v>
      </c>
      <c r="BK273" s="29" t="s">
        <v>602</v>
      </c>
      <c r="BL273" s="29" t="s">
        <v>438</v>
      </c>
      <c r="BM273" s="29" t="s">
        <v>1247</v>
      </c>
      <c r="BN273" s="29" t="s">
        <v>513</v>
      </c>
      <c r="BO273" s="29"/>
      <c r="BP273" s="29"/>
      <c r="BQ273" s="29"/>
      <c r="BR273" s="29"/>
      <c r="BS273" s="29"/>
      <c r="BT273" s="29"/>
      <c r="BU273" s="29"/>
      <c r="BV273" s="29"/>
      <c r="BW273" s="29"/>
      <c r="BX273" s="29"/>
      <c r="BY273" s="29"/>
      <c r="BZ273" s="29"/>
      <c r="CA273" s="29"/>
      <c r="CB273" s="29"/>
      <c r="CC273" s="29"/>
      <c r="CD273" s="29"/>
      <c r="CE273" s="29"/>
      <c r="CF273" s="29"/>
      <c r="CG273" s="29"/>
      <c r="CH273" s="29"/>
      <c r="CI273" s="29"/>
      <c r="CJ273" s="29"/>
      <c r="CK273" s="29"/>
      <c r="CL273" s="29" t="s">
        <v>550</v>
      </c>
      <c r="CM273" s="29" t="s">
        <v>604</v>
      </c>
      <c r="CN273" s="29" t="s">
        <v>5699</v>
      </c>
      <c r="CO273" s="29" t="s">
        <v>5700</v>
      </c>
      <c r="CP273" s="29" t="s">
        <v>685</v>
      </c>
      <c r="CQ273" s="29" t="s">
        <v>5701</v>
      </c>
      <c r="CR273" s="29" t="s">
        <v>404</v>
      </c>
      <c r="CS273" s="29" t="s">
        <v>5702</v>
      </c>
      <c r="CT273" s="29" t="s">
        <v>5703</v>
      </c>
      <c r="CU273" s="29" t="s">
        <v>1852</v>
      </c>
      <c r="CV273" s="29" t="s">
        <v>451</v>
      </c>
      <c r="CW273" s="29" t="s">
        <v>5704</v>
      </c>
      <c r="CX273" s="29" t="s">
        <v>408</v>
      </c>
      <c r="CY273" s="29" t="s">
        <v>1211</v>
      </c>
      <c r="CZ273" s="29" t="s">
        <v>453</v>
      </c>
      <c r="DA273" s="29" t="s">
        <v>5705</v>
      </c>
      <c r="DB273" s="29" t="s">
        <v>913</v>
      </c>
      <c r="DC273" s="29" t="s">
        <v>5706</v>
      </c>
      <c r="DD273" s="29" t="s">
        <v>406</v>
      </c>
      <c r="DE273" s="29" t="s">
        <v>407</v>
      </c>
      <c r="DF273" s="29" t="s">
        <v>5707</v>
      </c>
      <c r="DG273" s="29" t="s">
        <v>776</v>
      </c>
      <c r="DH273" s="29" t="s">
        <v>410</v>
      </c>
      <c r="DI273" s="29" t="s">
        <v>963</v>
      </c>
      <c r="DJ273" s="29" t="s">
        <v>460</v>
      </c>
      <c r="DK273" s="29" t="s">
        <v>563</v>
      </c>
      <c r="DL273" s="29" t="s">
        <v>5708</v>
      </c>
      <c r="DM273" s="29"/>
      <c r="DN273" s="29"/>
      <c r="DO273" s="29"/>
      <c r="DP273" s="29"/>
      <c r="DQ273" s="29"/>
      <c r="DR273" s="29"/>
      <c r="DS273" s="29"/>
      <c r="DT273" s="29"/>
      <c r="DU273" s="29"/>
      <c r="DV273" s="29"/>
      <c r="DW273" s="29"/>
      <c r="DX273" s="29"/>
      <c r="DY273" s="29"/>
      <c r="DZ273" s="29"/>
      <c r="EA273" s="29"/>
      <c r="EB273" s="29"/>
      <c r="EC273" s="29"/>
      <c r="ED273" s="29"/>
      <c r="EE273" s="29"/>
      <c r="EF273" s="29"/>
      <c r="EG273" s="29"/>
      <c r="EH273" s="29"/>
      <c r="EI273" s="29"/>
      <c r="EJ273" s="29"/>
      <c r="EK273" s="29"/>
      <c r="EL273" s="29"/>
      <c r="EM273" s="29"/>
      <c r="EN273" s="29"/>
      <c r="EO273" s="29"/>
      <c r="EP273" s="29"/>
      <c r="EQ273" s="29"/>
      <c r="ER273" s="29"/>
      <c r="ES273" s="29"/>
      <c r="ET273" s="29" t="s">
        <v>478</v>
      </c>
      <c r="EU273" s="29" t="s">
        <v>579</v>
      </c>
      <c r="EV273" s="29" t="s">
        <v>1534</v>
      </c>
      <c r="EW273" s="29" t="s">
        <v>5709</v>
      </c>
      <c r="EX273" s="29" t="s">
        <v>5710</v>
      </c>
      <c r="EY273" s="29" t="s">
        <v>5711</v>
      </c>
      <c r="EZ273" s="29" t="s">
        <v>416</v>
      </c>
      <c r="FA273" s="29" t="s">
        <v>415</v>
      </c>
      <c r="FB273" s="29" t="s">
        <v>413</v>
      </c>
      <c r="FC273" s="29" t="s">
        <v>413</v>
      </c>
      <c r="FD273" s="29" t="s">
        <v>413</v>
      </c>
      <c r="FE273" s="29" t="s">
        <v>416</v>
      </c>
      <c r="FF273" s="29" t="s">
        <v>415</v>
      </c>
      <c r="FG273" s="29" t="s">
        <v>416</v>
      </c>
      <c r="FH273" s="29" t="s">
        <v>414</v>
      </c>
      <c r="FI273" s="29" t="s">
        <v>413</v>
      </c>
      <c r="FJ273" s="29" t="s">
        <v>416</v>
      </c>
      <c r="FK273" s="29" t="s">
        <v>415</v>
      </c>
      <c r="FL273" s="29" t="s">
        <v>415</v>
      </c>
      <c r="FM273" s="29" t="s">
        <v>415</v>
      </c>
      <c r="FN273" s="29" t="s">
        <v>415</v>
      </c>
      <c r="FO273" s="29" t="s">
        <v>485</v>
      </c>
      <c r="FP273" s="29" t="s">
        <v>418</v>
      </c>
      <c r="FQ273" s="29" t="s">
        <v>1039</v>
      </c>
      <c r="FR273" s="29" t="s">
        <v>5712</v>
      </c>
      <c r="FS273" s="29" t="s">
        <v>420</v>
      </c>
      <c r="FT273" s="29" t="s">
        <v>488</v>
      </c>
      <c r="FU273" s="29" t="s">
        <v>1235</v>
      </c>
      <c r="FV273" s="29" t="s">
        <v>490</v>
      </c>
      <c r="FW273" s="29" t="s">
        <v>491</v>
      </c>
      <c r="FX273" s="29" t="s">
        <v>5713</v>
      </c>
      <c r="FY273" s="29" t="s">
        <v>535</v>
      </c>
      <c r="FZ273" s="29" t="s">
        <v>5714</v>
      </c>
      <c r="GA273" s="29" t="s">
        <v>5715</v>
      </c>
      <c r="GB273" s="29" t="s">
        <v>408</v>
      </c>
      <c r="GC273" s="29"/>
      <c r="GD273" s="29"/>
      <c r="GE273" s="29"/>
      <c r="GF273" s="29"/>
      <c r="GG273" s="29" t="s">
        <v>1000</v>
      </c>
      <c r="GH273" s="29" t="s">
        <v>1000</v>
      </c>
      <c r="GI273" s="29" t="s">
        <v>858</v>
      </c>
      <c r="GJ273" s="29"/>
      <c r="GK273" s="29"/>
      <c r="GL273" s="29"/>
      <c r="GM273" s="29"/>
      <c r="GN273" s="29" t="s">
        <v>5716</v>
      </c>
      <c r="GO273" s="29" t="s">
        <v>5716</v>
      </c>
      <c r="GP273" s="29"/>
      <c r="GQ273" s="29" t="s">
        <v>5717</v>
      </c>
      <c r="GR273" s="29"/>
      <c r="GS273" s="29"/>
      <c r="GT273" s="29" t="s">
        <v>4774</v>
      </c>
      <c r="GU273" s="29" t="s">
        <v>1211</v>
      </c>
      <c r="HP273" s="31"/>
      <c r="MX273" s="29" t="s">
        <v>1201</v>
      </c>
      <c r="MY273" s="29" t="str">
        <f>IFERROR(__xludf.DUMMYFUNCTION("""COMPUTED_VALUE"""),"Australia")</f>
        <v>Australia</v>
      </c>
    </row>
    <row r="274" ht="16.5" customHeight="1">
      <c r="A274" s="33">
        <v>45891.94145059028</v>
      </c>
      <c r="B274" s="29" t="s">
        <v>368</v>
      </c>
      <c r="C274" s="29" t="s">
        <v>1201</v>
      </c>
      <c r="D274" s="29" t="s">
        <v>1201</v>
      </c>
      <c r="E274" s="29"/>
      <c r="F274" s="29"/>
      <c r="G274" s="29" t="s">
        <v>422</v>
      </c>
      <c r="H274" s="29" t="s">
        <v>373</v>
      </c>
      <c r="I274" s="29" t="s">
        <v>374</v>
      </c>
      <c r="J274" s="29" t="s">
        <v>540</v>
      </c>
      <c r="K274" s="29" t="s">
        <v>376</v>
      </c>
      <c r="L274" s="29" t="s">
        <v>670</v>
      </c>
      <c r="M274" s="29" t="s">
        <v>720</v>
      </c>
      <c r="N274" s="29" t="s">
        <v>670</v>
      </c>
      <c r="O274" s="29" t="s">
        <v>541</v>
      </c>
      <c r="P274" s="29" t="s">
        <v>592</v>
      </c>
      <c r="Q274" s="29" t="s">
        <v>1156</v>
      </c>
      <c r="R274" s="29" t="s">
        <v>427</v>
      </c>
      <c r="S274" s="29" t="s">
        <v>384</v>
      </c>
      <c r="T274" s="29" t="s">
        <v>385</v>
      </c>
      <c r="U274" s="29"/>
      <c r="V274" s="29"/>
      <c r="W274" s="29" t="s">
        <v>593</v>
      </c>
      <c r="X274" s="29" t="s">
        <v>387</v>
      </c>
      <c r="Y274" s="29" t="s">
        <v>1157</v>
      </c>
      <c r="Z274" s="29" t="s">
        <v>502</v>
      </c>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t="s">
        <v>1310</v>
      </c>
      <c r="AW274" s="29">
        <v>2.0</v>
      </c>
      <c r="AX274" s="29">
        <v>2.0</v>
      </c>
      <c r="AY274" s="29">
        <v>2.0</v>
      </c>
      <c r="AZ274" s="29">
        <v>2.0</v>
      </c>
      <c r="BA274" s="29" t="s">
        <v>429</v>
      </c>
      <c r="BB274" s="29" t="s">
        <v>429</v>
      </c>
      <c r="BC274" s="29"/>
      <c r="BD274" s="29"/>
      <c r="BE274" s="29" t="s">
        <v>392</v>
      </c>
      <c r="BF274" s="29" t="s">
        <v>393</v>
      </c>
      <c r="BG274" s="29" t="s">
        <v>678</v>
      </c>
      <c r="BH274" s="29"/>
      <c r="BI274" s="29" t="s">
        <v>435</v>
      </c>
      <c r="BJ274" s="29"/>
      <c r="BK274" s="29" t="s">
        <v>511</v>
      </c>
      <c r="BL274" s="29" t="s">
        <v>603</v>
      </c>
      <c r="BM274" s="29" t="s">
        <v>1247</v>
      </c>
      <c r="BN274" s="29"/>
      <c r="BO274" s="29"/>
      <c r="BP274" s="29"/>
      <c r="BQ274" s="29"/>
      <c r="BR274" s="29"/>
      <c r="BS274" s="29"/>
      <c r="BT274" s="29"/>
      <c r="BU274" s="29"/>
      <c r="BV274" s="29"/>
      <c r="BW274" s="29"/>
      <c r="BX274" s="29"/>
      <c r="BY274" s="29"/>
      <c r="BZ274" s="29"/>
      <c r="CA274" s="29"/>
      <c r="CB274" s="29"/>
      <c r="CC274" s="29"/>
      <c r="CD274" s="29"/>
      <c r="CE274" s="29"/>
      <c r="CF274" s="29"/>
      <c r="CG274" s="29"/>
      <c r="CH274" s="29"/>
      <c r="CI274" s="29"/>
      <c r="CJ274" s="29"/>
      <c r="CK274" s="29"/>
      <c r="CL274" s="29"/>
      <c r="CM274" s="29"/>
      <c r="CN274" s="29"/>
      <c r="CO274" s="29"/>
      <c r="CP274" s="29"/>
      <c r="CQ274" s="29"/>
      <c r="CR274" s="29"/>
      <c r="CS274" s="29"/>
      <c r="CT274" s="29"/>
      <c r="CU274" s="29"/>
      <c r="CV274" s="29"/>
      <c r="CW274" s="29"/>
      <c r="CX274" s="29"/>
      <c r="CY274" s="29"/>
      <c r="CZ274" s="29"/>
      <c r="DA274" s="29"/>
      <c r="DB274" s="29"/>
      <c r="DC274" s="29"/>
      <c r="DD274" s="29"/>
      <c r="DE274" s="29"/>
      <c r="DF274" s="29"/>
      <c r="DG274" s="29"/>
      <c r="DH274" s="29"/>
      <c r="DI274" s="29"/>
      <c r="DJ274" s="29"/>
      <c r="DK274" s="29"/>
      <c r="DL274" s="29"/>
      <c r="DM274" s="29"/>
      <c r="DN274" s="29"/>
      <c r="DO274" s="29"/>
      <c r="DP274" s="29"/>
      <c r="DQ274" s="29"/>
      <c r="DR274" s="29"/>
      <c r="DS274" s="29"/>
      <c r="DT274" s="29"/>
      <c r="DU274" s="29"/>
      <c r="DV274" s="29"/>
      <c r="DW274" s="29"/>
      <c r="DX274" s="29"/>
      <c r="DY274" s="29"/>
      <c r="DZ274" s="29"/>
      <c r="EA274" s="29"/>
      <c r="EB274" s="29"/>
      <c r="EC274" s="29"/>
      <c r="ED274" s="29"/>
      <c r="EE274" s="29"/>
      <c r="EF274" s="29"/>
      <c r="EG274" s="29"/>
      <c r="EH274" s="29"/>
      <c r="EI274" s="29"/>
      <c r="EJ274" s="29"/>
      <c r="EK274" s="29"/>
      <c r="EL274" s="29"/>
      <c r="EM274" s="29"/>
      <c r="EN274" s="29"/>
      <c r="EO274" s="29"/>
      <c r="EP274" s="29"/>
      <c r="EQ274" s="29"/>
      <c r="ER274" s="29"/>
      <c r="ES274" s="29"/>
      <c r="ET274" s="29" t="s">
        <v>2747</v>
      </c>
      <c r="EU274" s="29" t="s">
        <v>887</v>
      </c>
      <c r="EV274" s="29" t="s">
        <v>1262</v>
      </c>
      <c r="EW274" s="29"/>
      <c r="EX274" s="29"/>
      <c r="EY274" s="29"/>
      <c r="EZ274" s="29"/>
      <c r="FA274" s="29"/>
      <c r="FB274" s="29"/>
      <c r="FC274" s="29"/>
      <c r="FD274" s="29"/>
      <c r="FE274" s="29"/>
      <c r="FF274" s="29"/>
      <c r="FG274" s="29"/>
      <c r="FH274" s="29"/>
      <c r="FI274" s="29"/>
      <c r="FJ274" s="29"/>
      <c r="FK274" s="29"/>
      <c r="FL274" s="29"/>
      <c r="FM274" s="29"/>
      <c r="FN274" s="29"/>
      <c r="FO274" s="29" t="s">
        <v>1537</v>
      </c>
      <c r="FP274" s="29" t="s">
        <v>418</v>
      </c>
      <c r="FQ274" s="29" t="s">
        <v>419</v>
      </c>
      <c r="FR274" s="29"/>
      <c r="FS274" s="29" t="s">
        <v>1871</v>
      </c>
      <c r="FT274" s="29" t="s">
        <v>1462</v>
      </c>
      <c r="FU274" s="29" t="s">
        <v>533</v>
      </c>
      <c r="FV274" s="29" t="s">
        <v>2399</v>
      </c>
      <c r="FW274" s="29" t="s">
        <v>1853</v>
      </c>
      <c r="FX274" s="29"/>
      <c r="FY274" s="29" t="s">
        <v>1020</v>
      </c>
      <c r="FZ274" s="29"/>
      <c r="GA274" s="29"/>
      <c r="GB274" s="29" t="s">
        <v>455</v>
      </c>
      <c r="GC274" s="29"/>
      <c r="GD274" s="29"/>
      <c r="GE274" s="29"/>
      <c r="GF274" s="29"/>
      <c r="GG274" s="29"/>
      <c r="GH274" s="29"/>
      <c r="GI274" s="29"/>
      <c r="GJ274" s="29"/>
      <c r="GK274" s="29"/>
      <c r="GL274" s="29"/>
      <c r="GM274" s="29"/>
      <c r="GN274" s="29"/>
      <c r="GO274" s="29"/>
      <c r="GP274" s="29"/>
      <c r="GQ274" s="29" t="s">
        <v>4653</v>
      </c>
      <c r="GR274" s="29"/>
      <c r="GS274" s="29"/>
      <c r="GT274" s="29"/>
      <c r="GU274" s="29"/>
      <c r="HP274" s="31"/>
      <c r="MX274" s="29" t="s">
        <v>10402</v>
      </c>
      <c r="MY274" s="29" t="str">
        <f>IFERROR(__xludf.DUMMYFUNCTION("""COMPUTED_VALUE"""),"Washington")</f>
        <v>Washington</v>
      </c>
    </row>
    <row r="275" ht="16.5" customHeight="1">
      <c r="A275" s="33">
        <v>45894.746686087965</v>
      </c>
      <c r="B275" s="29" t="s">
        <v>368</v>
      </c>
      <c r="C275" s="29" t="s">
        <v>370</v>
      </c>
      <c r="D275" s="29" t="s">
        <v>370</v>
      </c>
      <c r="E275" s="29" t="s">
        <v>1421</v>
      </c>
      <c r="F275" s="29" t="s">
        <v>1421</v>
      </c>
      <c r="G275" s="29" t="s">
        <v>422</v>
      </c>
      <c r="H275" s="29" t="s">
        <v>496</v>
      </c>
      <c r="I275" s="29"/>
      <c r="J275" s="29" t="s">
        <v>425</v>
      </c>
      <c r="K275" s="29" t="s">
        <v>376</v>
      </c>
      <c r="L275" s="29" t="s">
        <v>426</v>
      </c>
      <c r="M275" s="29" t="s">
        <v>5722</v>
      </c>
      <c r="N275" s="29" t="s">
        <v>426</v>
      </c>
      <c r="O275" s="29" t="s">
        <v>497</v>
      </c>
      <c r="P275" s="29" t="s">
        <v>498</v>
      </c>
      <c r="Q275" s="29" t="s">
        <v>382</v>
      </c>
      <c r="R275" s="29" t="s">
        <v>949</v>
      </c>
      <c r="S275" s="29" t="s">
        <v>1785</v>
      </c>
      <c r="T275" s="29" t="s">
        <v>1786</v>
      </c>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c r="BU275" s="29"/>
      <c r="BV275" s="29"/>
      <c r="BW275" s="29"/>
      <c r="BX275" s="29"/>
      <c r="BY275" s="29"/>
      <c r="BZ275" s="29"/>
      <c r="CA275" s="29"/>
      <c r="CB275" s="29"/>
      <c r="CC275" s="29"/>
      <c r="CD275" s="29"/>
      <c r="CE275" s="29"/>
      <c r="CF275" s="29"/>
      <c r="CG275" s="29"/>
      <c r="CH275" s="29"/>
      <c r="CI275" s="29"/>
      <c r="CJ275" s="29"/>
      <c r="CK275" s="29"/>
      <c r="CL275" s="29"/>
      <c r="CM275" s="29"/>
      <c r="CN275" s="29"/>
      <c r="CO275" s="29"/>
      <c r="CP275" s="29"/>
      <c r="CQ275" s="29"/>
      <c r="CR275" s="29"/>
      <c r="CS275" s="29"/>
      <c r="CT275" s="29"/>
      <c r="CU275" s="29"/>
      <c r="CV275" s="29"/>
      <c r="CW275" s="29"/>
      <c r="CX275" s="29"/>
      <c r="CY275" s="29"/>
      <c r="CZ275" s="29"/>
      <c r="DA275" s="29"/>
      <c r="DB275" s="29"/>
      <c r="DC275" s="29"/>
      <c r="DD275" s="29"/>
      <c r="DE275" s="29"/>
      <c r="DF275" s="29"/>
      <c r="DG275" s="29"/>
      <c r="DH275" s="29"/>
      <c r="DI275" s="29"/>
      <c r="DJ275" s="29"/>
      <c r="DK275" s="29"/>
      <c r="DL275" s="29"/>
      <c r="DM275" s="29"/>
      <c r="DN275" s="29"/>
      <c r="DO275" s="29"/>
      <c r="DP275" s="29"/>
      <c r="DQ275" s="29"/>
      <c r="DR275" s="29"/>
      <c r="DS275" s="29"/>
      <c r="DT275" s="29"/>
      <c r="DU275" s="29"/>
      <c r="DV275" s="29"/>
      <c r="DW275" s="29"/>
      <c r="DX275" s="29"/>
      <c r="DY275" s="29"/>
      <c r="DZ275" s="29"/>
      <c r="EA275" s="29"/>
      <c r="EB275" s="29"/>
      <c r="EC275" s="29"/>
      <c r="ED275" s="29" t="s">
        <v>5723</v>
      </c>
      <c r="EE275" s="29" t="s">
        <v>5724</v>
      </c>
      <c r="EF275" s="29"/>
      <c r="EG275" s="29"/>
      <c r="EH275" s="29"/>
      <c r="EI275" s="29"/>
      <c r="EJ275" s="29"/>
      <c r="EK275" s="29"/>
      <c r="EL275" s="29"/>
      <c r="EM275" s="29"/>
      <c r="EN275" s="29"/>
      <c r="EO275" s="29" t="s">
        <v>5725</v>
      </c>
      <c r="EP275" s="29"/>
      <c r="EQ275" s="29"/>
      <c r="ER275" s="29" t="s">
        <v>5726</v>
      </c>
      <c r="ES275" s="29"/>
      <c r="ET275" s="29" t="s">
        <v>526</v>
      </c>
      <c r="EU275" s="29" t="s">
        <v>887</v>
      </c>
      <c r="EV275" s="29" t="s">
        <v>527</v>
      </c>
      <c r="EW275" s="29" t="s">
        <v>5727</v>
      </c>
      <c r="EX275" s="29" t="s">
        <v>5728</v>
      </c>
      <c r="EY275" s="29" t="s">
        <v>5729</v>
      </c>
      <c r="EZ275" s="29" t="s">
        <v>413</v>
      </c>
      <c r="FA275" s="29" t="s">
        <v>413</v>
      </c>
      <c r="FB275" s="29" t="s">
        <v>413</v>
      </c>
      <c r="FC275" s="29" t="s">
        <v>413</v>
      </c>
      <c r="FD275" s="29" t="s">
        <v>413</v>
      </c>
      <c r="FE275" s="29" t="s">
        <v>413</v>
      </c>
      <c r="FF275" s="29" t="s">
        <v>413</v>
      </c>
      <c r="FG275" s="29" t="s">
        <v>413</v>
      </c>
      <c r="FH275" s="29" t="s">
        <v>413</v>
      </c>
      <c r="FI275" s="29" t="s">
        <v>413</v>
      </c>
      <c r="FJ275" s="29" t="s">
        <v>413</v>
      </c>
      <c r="FK275" s="29" t="s">
        <v>413</v>
      </c>
      <c r="FL275" s="29" t="s">
        <v>415</v>
      </c>
      <c r="FM275" s="29" t="s">
        <v>413</v>
      </c>
      <c r="FN275" s="29" t="s">
        <v>413</v>
      </c>
      <c r="FO275" s="29" t="s">
        <v>417</v>
      </c>
      <c r="FP275" s="29" t="s">
        <v>418</v>
      </c>
      <c r="FQ275" s="29" t="s">
        <v>712</v>
      </c>
      <c r="FR275" s="29" t="s">
        <v>5730</v>
      </c>
      <c r="FS275" s="29" t="s">
        <v>420</v>
      </c>
      <c r="FT275" s="29" t="s">
        <v>488</v>
      </c>
      <c r="FU275" s="29" t="s">
        <v>918</v>
      </c>
      <c r="FV275" s="29" t="s">
        <v>490</v>
      </c>
      <c r="FW275" s="29" t="s">
        <v>491</v>
      </c>
      <c r="FX275" s="29" t="s">
        <v>5731</v>
      </c>
      <c r="FY275" s="29" t="s">
        <v>535</v>
      </c>
      <c r="FZ275" s="29" t="s">
        <v>5732</v>
      </c>
      <c r="GA275" s="29"/>
      <c r="GB275" s="29" t="s">
        <v>408</v>
      </c>
      <c r="GC275" s="29"/>
      <c r="GD275" s="29"/>
      <c r="GE275" s="29"/>
      <c r="GF275" s="29"/>
      <c r="GG275" s="29"/>
      <c r="GH275" s="29"/>
      <c r="GI275" s="29"/>
      <c r="GJ275" s="29"/>
      <c r="GK275" s="29"/>
      <c r="GL275" s="29"/>
      <c r="GM275" s="29"/>
      <c r="GN275" s="29"/>
      <c r="GO275" s="29"/>
      <c r="GP275" s="29"/>
      <c r="GQ275" s="29" t="s">
        <v>4653</v>
      </c>
      <c r="GR275" s="29"/>
      <c r="GS275" s="29"/>
      <c r="GT275" s="29"/>
      <c r="GU275" s="29"/>
      <c r="HP275" s="31"/>
      <c r="MX275" s="29" t="s">
        <v>4085</v>
      </c>
      <c r="MY275" s="29" t="str">
        <f>IFERROR(__xludf.DUMMYFUNCTION("""COMPUTED_VALUE"""),"New Zealand")</f>
        <v>New Zealand</v>
      </c>
    </row>
    <row r="276" ht="16.5" customHeight="1">
      <c r="A276" s="33">
        <v>45895.19232461805</v>
      </c>
      <c r="B276" s="29" t="s">
        <v>368</v>
      </c>
      <c r="C276" s="29" t="s">
        <v>4085</v>
      </c>
      <c r="D276" s="29" t="s">
        <v>1201</v>
      </c>
      <c r="E276" s="29"/>
      <c r="F276" s="29"/>
      <c r="G276" s="29" t="s">
        <v>422</v>
      </c>
      <c r="H276" s="29" t="s">
        <v>373</v>
      </c>
      <c r="I276" s="29" t="s">
        <v>374</v>
      </c>
      <c r="J276" s="29" t="s">
        <v>590</v>
      </c>
      <c r="K276" s="29" t="s">
        <v>376</v>
      </c>
      <c r="L276" s="29" t="s">
        <v>379</v>
      </c>
      <c r="M276" s="29" t="s">
        <v>2464</v>
      </c>
      <c r="N276" s="29"/>
      <c r="O276" s="29" t="s">
        <v>719</v>
      </c>
      <c r="P276" s="29" t="s">
        <v>498</v>
      </c>
      <c r="Q276" s="29" t="s">
        <v>499</v>
      </c>
      <c r="R276" s="29" t="s">
        <v>427</v>
      </c>
      <c r="S276" s="29" t="s">
        <v>384</v>
      </c>
      <c r="T276" s="29" t="s">
        <v>385</v>
      </c>
      <c r="U276" s="29"/>
      <c r="V276" s="29"/>
      <c r="W276" s="29" t="s">
        <v>386</v>
      </c>
      <c r="X276" s="29" t="s">
        <v>387</v>
      </c>
      <c r="Y276" s="29" t="s">
        <v>594</v>
      </c>
      <c r="Z276" s="29" t="s">
        <v>543</v>
      </c>
      <c r="AA276" s="29" t="s">
        <v>5746</v>
      </c>
      <c r="AB276" s="29"/>
      <c r="AC276" s="29"/>
      <c r="AD276" s="29"/>
      <c r="AE276" s="29"/>
      <c r="AF276" s="29"/>
      <c r="AG276" s="29"/>
      <c r="AH276" s="29"/>
      <c r="AI276" s="29"/>
      <c r="AJ276" s="29"/>
      <c r="AK276" s="29"/>
      <c r="AL276" s="29"/>
      <c r="AM276" s="29"/>
      <c r="AN276" s="29"/>
      <c r="AO276" s="29"/>
      <c r="AP276" s="29"/>
      <c r="AQ276" s="29"/>
      <c r="AR276" s="29"/>
      <c r="AS276" s="29"/>
      <c r="AT276" s="29"/>
      <c r="AU276" s="29"/>
      <c r="AV276" s="29" t="s">
        <v>1242</v>
      </c>
      <c r="AW276" s="29" t="s">
        <v>675</v>
      </c>
      <c r="AX276" s="29" t="s">
        <v>675</v>
      </c>
      <c r="AY276" s="29" t="s">
        <v>675</v>
      </c>
      <c r="AZ276" s="29" t="s">
        <v>675</v>
      </c>
      <c r="BA276" s="29" t="s">
        <v>675</v>
      </c>
      <c r="BB276" s="29" t="s">
        <v>675</v>
      </c>
      <c r="BC276" s="29" t="s">
        <v>5747</v>
      </c>
      <c r="BD276" s="29" t="s">
        <v>5748</v>
      </c>
      <c r="BE276" s="29" t="s">
        <v>2259</v>
      </c>
      <c r="BF276" s="29" t="s">
        <v>1245</v>
      </c>
      <c r="BG276" s="29" t="s">
        <v>394</v>
      </c>
      <c r="BH276" s="29" t="s">
        <v>5749</v>
      </c>
      <c r="BI276" s="29" t="s">
        <v>976</v>
      </c>
      <c r="BJ276" s="29"/>
      <c r="BK276" s="29" t="s">
        <v>681</v>
      </c>
      <c r="BL276" s="29" t="s">
        <v>603</v>
      </c>
      <c r="BM276" s="29" t="s">
        <v>1314</v>
      </c>
      <c r="BN276" s="29"/>
      <c r="BO276" s="29"/>
      <c r="BP276" s="29"/>
      <c r="BQ276" s="29"/>
      <c r="BR276" s="29"/>
      <c r="BS276" s="29"/>
      <c r="BT276" s="29"/>
      <c r="BU276" s="29"/>
      <c r="BV276" s="29"/>
      <c r="BW276" s="29"/>
      <c r="BX276" s="29"/>
      <c r="BY276" s="29"/>
      <c r="BZ276" s="29"/>
      <c r="CA276" s="29"/>
      <c r="CB276" s="29"/>
      <c r="CC276" s="29"/>
      <c r="CD276" s="29"/>
      <c r="CE276" s="29"/>
      <c r="CF276" s="29"/>
      <c r="CG276" s="29"/>
      <c r="CH276" s="29"/>
      <c r="CI276" s="29"/>
      <c r="CJ276" s="29"/>
      <c r="CK276" s="29"/>
      <c r="CL276" s="29"/>
      <c r="CM276" s="29"/>
      <c r="CN276" s="29"/>
      <c r="CO276" s="29"/>
      <c r="CP276" s="29"/>
      <c r="CQ276" s="29"/>
      <c r="CR276" s="29"/>
      <c r="CS276" s="29"/>
      <c r="CT276" s="29"/>
      <c r="CU276" s="29"/>
      <c r="CV276" s="29"/>
      <c r="CW276" s="29"/>
      <c r="CX276" s="29"/>
      <c r="CY276" s="29"/>
      <c r="CZ276" s="29"/>
      <c r="DA276" s="29"/>
      <c r="DB276" s="29"/>
      <c r="DC276" s="29"/>
      <c r="DD276" s="29"/>
      <c r="DE276" s="29"/>
      <c r="DF276" s="29"/>
      <c r="DG276" s="29"/>
      <c r="DH276" s="29"/>
      <c r="DI276" s="29"/>
      <c r="DJ276" s="29"/>
      <c r="DK276" s="29"/>
      <c r="DL276" s="29"/>
      <c r="DM276" s="29"/>
      <c r="DN276" s="29"/>
      <c r="DO276" s="29"/>
      <c r="DP276" s="29"/>
      <c r="DQ276" s="29"/>
      <c r="DR276" s="29"/>
      <c r="DS276" s="29"/>
      <c r="DT276" s="29"/>
      <c r="DU276" s="29"/>
      <c r="DV276" s="29"/>
      <c r="DW276" s="29"/>
      <c r="DX276" s="29"/>
      <c r="DY276" s="29"/>
      <c r="DZ276" s="29"/>
      <c r="EA276" s="29"/>
      <c r="EB276" s="29"/>
      <c r="EC276" s="29"/>
      <c r="ED276" s="29"/>
      <c r="EE276" s="29"/>
      <c r="EF276" s="29"/>
      <c r="EG276" s="29"/>
      <c r="EH276" s="29"/>
      <c r="EI276" s="29"/>
      <c r="EJ276" s="29"/>
      <c r="EK276" s="29"/>
      <c r="EL276" s="29"/>
      <c r="EM276" s="29"/>
      <c r="EN276" s="29"/>
      <c r="EO276" s="29"/>
      <c r="EP276" s="29"/>
      <c r="EQ276" s="29"/>
      <c r="ER276" s="29"/>
      <c r="ES276" s="29"/>
      <c r="ET276" s="29" t="s">
        <v>526</v>
      </c>
      <c r="EU276" s="29" t="s">
        <v>1127</v>
      </c>
      <c r="EV276" s="29" t="s">
        <v>1262</v>
      </c>
      <c r="EW276" s="29"/>
      <c r="EX276" s="29" t="s">
        <v>5750</v>
      </c>
      <c r="EY276" s="29" t="s">
        <v>552</v>
      </c>
      <c r="EZ276" s="29" t="s">
        <v>583</v>
      </c>
      <c r="FA276" s="29" t="s">
        <v>583</v>
      </c>
      <c r="FB276" s="29" t="s">
        <v>583</v>
      </c>
      <c r="FC276" s="29" t="s">
        <v>583</v>
      </c>
      <c r="FD276" s="29" t="s">
        <v>415</v>
      </c>
      <c r="FE276" s="29" t="s">
        <v>583</v>
      </c>
      <c r="FF276" s="29" t="s">
        <v>583</v>
      </c>
      <c r="FG276" s="29" t="s">
        <v>413</v>
      </c>
      <c r="FH276" s="29" t="s">
        <v>484</v>
      </c>
      <c r="FI276" s="29" t="s">
        <v>484</v>
      </c>
      <c r="FJ276" s="29" t="s">
        <v>484</v>
      </c>
      <c r="FK276" s="29" t="s">
        <v>484</v>
      </c>
      <c r="FL276" s="29" t="s">
        <v>484</v>
      </c>
      <c r="FM276" s="29" t="s">
        <v>413</v>
      </c>
      <c r="FN276" s="29" t="s">
        <v>484</v>
      </c>
      <c r="FO276" s="29" t="s">
        <v>485</v>
      </c>
      <c r="FP276" s="29" t="s">
        <v>418</v>
      </c>
      <c r="FQ276" s="29" t="s">
        <v>419</v>
      </c>
      <c r="FR276" s="29" t="s">
        <v>5751</v>
      </c>
      <c r="FS276" s="29" t="s">
        <v>420</v>
      </c>
      <c r="FT276" s="29" t="s">
        <v>488</v>
      </c>
      <c r="FU276" s="29" t="s">
        <v>585</v>
      </c>
      <c r="FV276" s="29" t="s">
        <v>490</v>
      </c>
      <c r="FW276" s="29" t="s">
        <v>491</v>
      </c>
      <c r="FX276" s="29" t="s">
        <v>5752</v>
      </c>
      <c r="FY276" s="29" t="s">
        <v>535</v>
      </c>
      <c r="FZ276" s="29" t="s">
        <v>5753</v>
      </c>
      <c r="GA276" s="29"/>
      <c r="GB276" s="29" t="s">
        <v>455</v>
      </c>
      <c r="GC276" s="29"/>
      <c r="GD276" s="29"/>
      <c r="GE276" s="29" t="s">
        <v>944</v>
      </c>
      <c r="GF276" s="29" t="s">
        <v>455</v>
      </c>
      <c r="GG276" s="29"/>
      <c r="GH276" s="29"/>
      <c r="GI276" s="29"/>
      <c r="GJ276" s="29"/>
      <c r="GK276" s="29"/>
      <c r="GL276" s="29"/>
      <c r="GM276" s="29"/>
      <c r="GN276" s="29" t="s">
        <v>4085</v>
      </c>
      <c r="GO276" s="29" t="s">
        <v>1201</v>
      </c>
      <c r="GP276" s="29"/>
      <c r="GQ276" s="29" t="s">
        <v>3208</v>
      </c>
      <c r="GR276" s="29"/>
      <c r="GS276" s="29"/>
      <c r="GT276" s="29"/>
      <c r="GU276" s="29"/>
      <c r="HP276" s="31"/>
      <c r="MX276" s="29" t="s">
        <v>538</v>
      </c>
      <c r="MY276" s="29" t="str">
        <f>IFERROR(__xludf.DUMMYFUNCTION("""COMPUTED_VALUE"""),"United Kingdom")</f>
        <v>United Kingdom</v>
      </c>
    </row>
    <row r="277" ht="16.5" customHeight="1">
      <c r="A277" s="33">
        <v>45896.146926319445</v>
      </c>
      <c r="B277" s="29" t="s">
        <v>368</v>
      </c>
      <c r="C277" s="29" t="s">
        <v>538</v>
      </c>
      <c r="D277" s="29" t="s">
        <v>538</v>
      </c>
      <c r="E277" s="29"/>
      <c r="F277" s="29"/>
      <c r="G277" s="29" t="s">
        <v>422</v>
      </c>
      <c r="H277" s="29" t="s">
        <v>637</v>
      </c>
      <c r="I277" s="29" t="s">
        <v>638</v>
      </c>
      <c r="J277" s="29" t="s">
        <v>1023</v>
      </c>
      <c r="K277" s="29" t="s">
        <v>376</v>
      </c>
      <c r="L277" s="29" t="s">
        <v>591</v>
      </c>
      <c r="M277" s="29" t="s">
        <v>639</v>
      </c>
      <c r="N277" s="29" t="s">
        <v>591</v>
      </c>
      <c r="O277" s="29" t="s">
        <v>671</v>
      </c>
      <c r="P277" s="29" t="s">
        <v>381</v>
      </c>
      <c r="Q277" s="29" t="s">
        <v>862</v>
      </c>
      <c r="R277" s="29" t="s">
        <v>2360</v>
      </c>
      <c r="S277" s="29" t="s">
        <v>1512</v>
      </c>
      <c r="T277" s="29" t="s">
        <v>385</v>
      </c>
      <c r="U277" s="29"/>
      <c r="V277" s="29"/>
      <c r="W277" s="29" t="s">
        <v>3014</v>
      </c>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t="s">
        <v>390</v>
      </c>
      <c r="AW277" s="29">
        <v>4.0</v>
      </c>
      <c r="AX277" s="29">
        <v>2.0</v>
      </c>
      <c r="AY277" s="29">
        <v>2.0</v>
      </c>
      <c r="AZ277" s="29">
        <v>2.0</v>
      </c>
      <c r="BA277" s="29">
        <v>4.0</v>
      </c>
      <c r="BB277" s="29" t="s">
        <v>391</v>
      </c>
      <c r="BC277" s="29" t="s">
        <v>5754</v>
      </c>
      <c r="BD277" s="29" t="s">
        <v>5755</v>
      </c>
      <c r="BE277" s="29" t="s">
        <v>432</v>
      </c>
      <c r="BF277" s="29" t="s">
        <v>1047</v>
      </c>
      <c r="BG277" s="29" t="s">
        <v>678</v>
      </c>
      <c r="BH277" s="29"/>
      <c r="BI277" s="29" t="s">
        <v>509</v>
      </c>
      <c r="BJ277" s="29"/>
      <c r="BK277" s="29" t="s">
        <v>437</v>
      </c>
      <c r="BL277" s="29" t="s">
        <v>603</v>
      </c>
      <c r="BM277" s="29" t="s">
        <v>439</v>
      </c>
      <c r="BN277" s="29" t="s">
        <v>513</v>
      </c>
      <c r="BO277" s="29"/>
      <c r="BP277" s="29"/>
      <c r="BQ277" s="29"/>
      <c r="BR277" s="29"/>
      <c r="BS277" s="29"/>
      <c r="BT277" s="29"/>
      <c r="BU277" s="29"/>
      <c r="BV277" s="29"/>
      <c r="BW277" s="29"/>
      <c r="BX277" s="29"/>
      <c r="BY277" s="29"/>
      <c r="BZ277" s="29"/>
      <c r="CA277" s="29"/>
      <c r="CB277" s="29"/>
      <c r="CC277" s="29"/>
      <c r="CD277" s="29"/>
      <c r="CE277" s="29"/>
      <c r="CF277" s="29"/>
      <c r="CG277" s="29"/>
      <c r="CH277" s="29"/>
      <c r="CI277" s="29"/>
      <c r="CJ277" s="29"/>
      <c r="CK277" s="29"/>
      <c r="CL277" s="29" t="s">
        <v>550</v>
      </c>
      <c r="CM277" s="29" t="s">
        <v>401</v>
      </c>
      <c r="CN277" s="29" t="s">
        <v>5756</v>
      </c>
      <c r="CO277" s="29" t="s">
        <v>5757</v>
      </c>
      <c r="CP277" s="29" t="s">
        <v>445</v>
      </c>
      <c r="CQ277" s="29" t="s">
        <v>5758</v>
      </c>
      <c r="CR277" s="29" t="s">
        <v>804</v>
      </c>
      <c r="CS277" s="29" t="s">
        <v>687</v>
      </c>
      <c r="CT277" s="29" t="s">
        <v>5759</v>
      </c>
      <c r="CU277" s="29" t="s">
        <v>450</v>
      </c>
      <c r="CV277" s="29" t="s">
        <v>451</v>
      </c>
      <c r="CW277" s="29" t="s">
        <v>5760</v>
      </c>
      <c r="CX277" s="29" t="s">
        <v>408</v>
      </c>
      <c r="CY277" s="29"/>
      <c r="CZ277" s="29" t="s">
        <v>453</v>
      </c>
      <c r="DA277" s="29" t="s">
        <v>5761</v>
      </c>
      <c r="DB277" s="29" t="s">
        <v>455</v>
      </c>
      <c r="DC277" s="29" t="s">
        <v>5762</v>
      </c>
      <c r="DD277" s="29" t="s">
        <v>406</v>
      </c>
      <c r="DE277" s="29" t="s">
        <v>691</v>
      </c>
      <c r="DF277" s="29" t="s">
        <v>5763</v>
      </c>
      <c r="DG277" s="29" t="s">
        <v>524</v>
      </c>
      <c r="DH277" s="29" t="s">
        <v>410</v>
      </c>
      <c r="DI277" s="29" t="s">
        <v>963</v>
      </c>
      <c r="DJ277" s="29" t="s">
        <v>613</v>
      </c>
      <c r="DK277" s="29"/>
      <c r="DL277" s="29"/>
      <c r="DM277" s="29"/>
      <c r="DN277" s="29"/>
      <c r="DO277" s="29"/>
      <c r="DP277" s="29"/>
      <c r="DQ277" s="29"/>
      <c r="DR277" s="29"/>
      <c r="DS277" s="29"/>
      <c r="DT277" s="29"/>
      <c r="DU277" s="29"/>
      <c r="DV277" s="29"/>
      <c r="DW277" s="29"/>
      <c r="DX277" s="29"/>
      <c r="DY277" s="29"/>
      <c r="DZ277" s="29"/>
      <c r="EA277" s="29"/>
      <c r="EB277" s="29"/>
      <c r="EC277" s="29"/>
      <c r="ED277" s="29"/>
      <c r="EE277" s="29"/>
      <c r="EF277" s="29"/>
      <c r="EG277" s="29"/>
      <c r="EH277" s="29"/>
      <c r="EI277" s="29"/>
      <c r="EJ277" s="29"/>
      <c r="EK277" s="29"/>
      <c r="EL277" s="29"/>
      <c r="EM277" s="29"/>
      <c r="EN277" s="29"/>
      <c r="EO277" s="29"/>
      <c r="EP277" s="29"/>
      <c r="EQ277" s="29"/>
      <c r="ER277" s="29"/>
      <c r="ES277" s="29"/>
      <c r="ET277" s="29" t="s">
        <v>526</v>
      </c>
      <c r="EU277" s="29" t="s">
        <v>579</v>
      </c>
      <c r="EV277" s="29" t="s">
        <v>1262</v>
      </c>
      <c r="EW277" s="29" t="s">
        <v>5764</v>
      </c>
      <c r="EX277" s="29" t="s">
        <v>5765</v>
      </c>
      <c r="EY277" s="29" t="s">
        <v>5766</v>
      </c>
      <c r="EZ277" s="29" t="s">
        <v>413</v>
      </c>
      <c r="FA277" s="29" t="s">
        <v>413</v>
      </c>
      <c r="FB277" s="29" t="s">
        <v>413</v>
      </c>
      <c r="FC277" s="29" t="s">
        <v>413</v>
      </c>
      <c r="FD277" s="29" t="s">
        <v>413</v>
      </c>
      <c r="FE277" s="29" t="s">
        <v>414</v>
      </c>
      <c r="FF277" s="29" t="s">
        <v>583</v>
      </c>
      <c r="FG277" s="29" t="s">
        <v>583</v>
      </c>
      <c r="FH277" s="29" t="s">
        <v>415</v>
      </c>
      <c r="FI277" s="29" t="s">
        <v>415</v>
      </c>
      <c r="FJ277" s="29" t="s">
        <v>415</v>
      </c>
      <c r="FK277" s="29" t="s">
        <v>415</v>
      </c>
      <c r="FL277" s="29" t="s">
        <v>415</v>
      </c>
      <c r="FM277" s="29" t="s">
        <v>415</v>
      </c>
      <c r="FN277" s="29" t="s">
        <v>415</v>
      </c>
      <c r="FO277" s="29" t="s">
        <v>417</v>
      </c>
      <c r="FP277" s="29" t="s">
        <v>418</v>
      </c>
      <c r="FQ277" s="29" t="s">
        <v>712</v>
      </c>
      <c r="FR277" s="29"/>
      <c r="FS277" s="29" t="s">
        <v>1189</v>
      </c>
      <c r="FT277" s="29" t="s">
        <v>1462</v>
      </c>
      <c r="FU277" s="29" t="s">
        <v>585</v>
      </c>
      <c r="FV277" s="29" t="s">
        <v>490</v>
      </c>
      <c r="FW277" s="29" t="s">
        <v>491</v>
      </c>
      <c r="FX277" s="29"/>
      <c r="FY277" s="29" t="s">
        <v>493</v>
      </c>
      <c r="FZ277" s="29"/>
      <c r="GA277" s="29"/>
      <c r="GB277" s="29" t="s">
        <v>408</v>
      </c>
      <c r="GC277" s="29"/>
      <c r="GD277" s="29"/>
      <c r="GE277" s="29"/>
      <c r="GF277" s="29"/>
      <c r="GG277" s="29" t="s">
        <v>755</v>
      </c>
      <c r="GH277" s="29" t="s">
        <v>755</v>
      </c>
      <c r="GI277" s="29" t="s">
        <v>946</v>
      </c>
      <c r="GJ277" s="29"/>
      <c r="GK277" s="29"/>
      <c r="GL277" s="29"/>
      <c r="GM277" s="29"/>
      <c r="GN277" s="29" t="s">
        <v>5767</v>
      </c>
      <c r="GO277" s="29" t="s">
        <v>3012</v>
      </c>
      <c r="GP277" s="29"/>
      <c r="GQ277" s="29" t="s">
        <v>5656</v>
      </c>
      <c r="GR277" s="29"/>
      <c r="GS277" s="29"/>
      <c r="GT277" s="29" t="s">
        <v>4774</v>
      </c>
      <c r="GU277" s="29"/>
      <c r="HP277" s="31"/>
      <c r="MX277" s="29" t="s">
        <v>5770</v>
      </c>
      <c r="MY277" s="29" t="str">
        <f>IFERROR(__xludf.DUMMYFUNCTION("""COMPUTED_VALUE"""),"Indonesia")</f>
        <v>Indonesia</v>
      </c>
    </row>
    <row r="278" ht="16.5" customHeight="1">
      <c r="A278" s="33">
        <v>45896.23385525463</v>
      </c>
      <c r="B278" s="29" t="s">
        <v>368</v>
      </c>
      <c r="C278" s="29" t="s">
        <v>5770</v>
      </c>
      <c r="D278" s="29" t="s">
        <v>5770</v>
      </c>
      <c r="E278" s="29"/>
      <c r="F278" s="29"/>
      <c r="G278" s="29" t="s">
        <v>5771</v>
      </c>
      <c r="H278" s="29" t="s">
        <v>496</v>
      </c>
      <c r="I278" s="29" t="s">
        <v>374</v>
      </c>
      <c r="J278" s="29" t="s">
        <v>375</v>
      </c>
      <c r="K278" s="29" t="s">
        <v>376</v>
      </c>
      <c r="L278" s="29" t="s">
        <v>379</v>
      </c>
      <c r="M278" s="29" t="s">
        <v>541</v>
      </c>
      <c r="N278" s="29" t="s">
        <v>379</v>
      </c>
      <c r="O278" s="29" t="s">
        <v>541</v>
      </c>
      <c r="P278" s="29" t="s">
        <v>498</v>
      </c>
      <c r="Q278" s="29" t="s">
        <v>759</v>
      </c>
      <c r="R278" s="29" t="s">
        <v>641</v>
      </c>
      <c r="S278" s="29" t="s">
        <v>384</v>
      </c>
      <c r="T278" s="29" t="s">
        <v>385</v>
      </c>
      <c r="U278" s="29"/>
      <c r="V278" s="29"/>
      <c r="W278" s="29" t="s">
        <v>386</v>
      </c>
      <c r="X278" s="29" t="s">
        <v>387</v>
      </c>
      <c r="Y278" s="29" t="s">
        <v>388</v>
      </c>
      <c r="Z278" s="29" t="s">
        <v>389</v>
      </c>
      <c r="AA278" s="29" t="s">
        <v>5772</v>
      </c>
      <c r="AB278" s="29" t="s">
        <v>5773</v>
      </c>
      <c r="AC278" s="29"/>
      <c r="AD278" s="29"/>
      <c r="AE278" s="29"/>
      <c r="AF278" s="29"/>
      <c r="AG278" s="29"/>
      <c r="AH278" s="29"/>
      <c r="AI278" s="29"/>
      <c r="AJ278" s="29"/>
      <c r="AK278" s="29"/>
      <c r="AL278" s="29"/>
      <c r="AM278" s="29"/>
      <c r="AN278" s="29"/>
      <c r="AO278" s="29"/>
      <c r="AP278" s="29"/>
      <c r="AQ278" s="29"/>
      <c r="AR278" s="29"/>
      <c r="AS278" s="29"/>
      <c r="AT278" s="29"/>
      <c r="AU278" s="29"/>
      <c r="AV278" s="29" t="s">
        <v>1242</v>
      </c>
      <c r="AW278" s="29" t="s">
        <v>675</v>
      </c>
      <c r="AX278" s="29" t="s">
        <v>675</v>
      </c>
      <c r="AY278" s="29">
        <v>4.0</v>
      </c>
      <c r="AZ278" s="29">
        <v>4.0</v>
      </c>
      <c r="BA278" s="29" t="s">
        <v>675</v>
      </c>
      <c r="BB278" s="29" t="s">
        <v>675</v>
      </c>
      <c r="BC278" s="29" t="s">
        <v>5774</v>
      </c>
      <c r="BD278" s="29" t="s">
        <v>5775</v>
      </c>
      <c r="BE278" s="29" t="s">
        <v>2379</v>
      </c>
      <c r="BF278" s="29" t="s">
        <v>1095</v>
      </c>
      <c r="BG278" s="29" t="s">
        <v>394</v>
      </c>
      <c r="BH278" s="29" t="s">
        <v>2829</v>
      </c>
      <c r="BI278" s="29" t="s">
        <v>824</v>
      </c>
      <c r="BJ278" s="29" t="s">
        <v>5776</v>
      </c>
      <c r="BK278" s="29" t="s">
        <v>681</v>
      </c>
      <c r="BL278" s="29" t="s">
        <v>603</v>
      </c>
      <c r="BM278" s="29" t="s">
        <v>1314</v>
      </c>
      <c r="BN278" s="29"/>
      <c r="BO278" s="29"/>
      <c r="BP278" s="29"/>
      <c r="BQ278" s="29"/>
      <c r="BR278" s="29"/>
      <c r="BS278" s="29"/>
      <c r="BT278" s="29"/>
      <c r="BU278" s="29"/>
      <c r="BV278" s="29"/>
      <c r="BW278" s="29"/>
      <c r="BX278" s="29"/>
      <c r="BY278" s="29"/>
      <c r="BZ278" s="29"/>
      <c r="CA278" s="29"/>
      <c r="CB278" s="29"/>
      <c r="CC278" s="29"/>
      <c r="CD278" s="29"/>
      <c r="CE278" s="29"/>
      <c r="CF278" s="29"/>
      <c r="CG278" s="29"/>
      <c r="CH278" s="29"/>
      <c r="CI278" s="29"/>
      <c r="CJ278" s="29"/>
      <c r="CK278" s="29"/>
      <c r="CL278" s="29"/>
      <c r="CM278" s="29"/>
      <c r="CN278" s="29"/>
      <c r="CO278" s="29"/>
      <c r="CP278" s="29"/>
      <c r="CQ278" s="29"/>
      <c r="CR278" s="29"/>
      <c r="CS278" s="29"/>
      <c r="CT278" s="29"/>
      <c r="CU278" s="29"/>
      <c r="CV278" s="29"/>
      <c r="CW278" s="29"/>
      <c r="CX278" s="29"/>
      <c r="CY278" s="29"/>
      <c r="CZ278" s="29"/>
      <c r="DA278" s="29"/>
      <c r="DB278" s="29"/>
      <c r="DC278" s="29"/>
      <c r="DD278" s="29"/>
      <c r="DE278" s="29"/>
      <c r="DF278" s="29"/>
      <c r="DG278" s="29"/>
      <c r="DH278" s="29"/>
      <c r="DI278" s="29"/>
      <c r="DJ278" s="29"/>
      <c r="DK278" s="29"/>
      <c r="DL278" s="29"/>
      <c r="DM278" s="29"/>
      <c r="DN278" s="29"/>
      <c r="DO278" s="29"/>
      <c r="DP278" s="29"/>
      <c r="DQ278" s="29"/>
      <c r="DR278" s="29"/>
      <c r="DS278" s="29"/>
      <c r="DT278" s="29"/>
      <c r="DU278" s="29"/>
      <c r="DV278" s="29"/>
      <c r="DW278" s="29"/>
      <c r="DX278" s="29"/>
      <c r="DY278" s="29"/>
      <c r="DZ278" s="29"/>
      <c r="EA278" s="29"/>
      <c r="EB278" s="29"/>
      <c r="EC278" s="29"/>
      <c r="ED278" s="29"/>
      <c r="EE278" s="29"/>
      <c r="EF278" s="29"/>
      <c r="EG278" s="29"/>
      <c r="EH278" s="29"/>
      <c r="EI278" s="29"/>
      <c r="EJ278" s="29"/>
      <c r="EK278" s="29"/>
      <c r="EL278" s="29"/>
      <c r="EM278" s="29"/>
      <c r="EN278" s="29"/>
      <c r="EO278" s="29"/>
      <c r="EP278" s="29"/>
      <c r="EQ278" s="29"/>
      <c r="ER278" s="29"/>
      <c r="ES278" s="29"/>
      <c r="ET278" s="29" t="s">
        <v>526</v>
      </c>
      <c r="EU278" s="29" t="s">
        <v>887</v>
      </c>
      <c r="EV278" s="29" t="s">
        <v>527</v>
      </c>
      <c r="EW278" s="29" t="s">
        <v>5777</v>
      </c>
      <c r="EX278" s="29" t="s">
        <v>5778</v>
      </c>
      <c r="EY278" s="29" t="s">
        <v>5779</v>
      </c>
      <c r="EZ278" s="29" t="s">
        <v>583</v>
      </c>
      <c r="FA278" s="29" t="s">
        <v>583</v>
      </c>
      <c r="FB278" s="29" t="s">
        <v>583</v>
      </c>
      <c r="FC278" s="29" t="s">
        <v>583</v>
      </c>
      <c r="FD278" s="29" t="s">
        <v>583</v>
      </c>
      <c r="FE278" s="29" t="s">
        <v>583</v>
      </c>
      <c r="FF278" s="29" t="s">
        <v>415</v>
      </c>
      <c r="FG278" s="29" t="s">
        <v>415</v>
      </c>
      <c r="FH278" s="29" t="s">
        <v>415</v>
      </c>
      <c r="FI278" s="29" t="s">
        <v>416</v>
      </c>
      <c r="FJ278" s="29" t="s">
        <v>414</v>
      </c>
      <c r="FK278" s="29" t="s">
        <v>414</v>
      </c>
      <c r="FL278" s="29" t="s">
        <v>414</v>
      </c>
      <c r="FM278" s="29" t="s">
        <v>484</v>
      </c>
      <c r="FN278" s="29" t="s">
        <v>484</v>
      </c>
      <c r="FO278" s="29" t="s">
        <v>417</v>
      </c>
      <c r="FP278" s="29" t="s">
        <v>418</v>
      </c>
      <c r="FQ278" s="29" t="s">
        <v>712</v>
      </c>
      <c r="FR278" s="29" t="s">
        <v>5780</v>
      </c>
      <c r="FS278" s="29" t="s">
        <v>1076</v>
      </c>
      <c r="FT278" s="29" t="s">
        <v>488</v>
      </c>
      <c r="FU278" s="29" t="s">
        <v>533</v>
      </c>
      <c r="FV278" s="29" t="s">
        <v>490</v>
      </c>
      <c r="FW278" s="29" t="s">
        <v>491</v>
      </c>
      <c r="FX278" s="29" t="s">
        <v>5781</v>
      </c>
      <c r="FY278" s="29" t="s">
        <v>535</v>
      </c>
      <c r="FZ278" s="29" t="s">
        <v>5782</v>
      </c>
      <c r="GA278" s="29" t="s">
        <v>408</v>
      </c>
      <c r="GB278" s="29" t="s">
        <v>455</v>
      </c>
      <c r="GC278" s="29"/>
      <c r="GD278" s="29"/>
      <c r="GE278" s="29" t="s">
        <v>753</v>
      </c>
      <c r="GF278" s="29" t="s">
        <v>5783</v>
      </c>
      <c r="GG278" s="29"/>
      <c r="GH278" s="29"/>
      <c r="GI278" s="29"/>
      <c r="GJ278" s="29"/>
      <c r="GK278" s="29"/>
      <c r="GL278" s="29"/>
      <c r="GM278" s="29"/>
      <c r="GN278" s="29" t="s">
        <v>5784</v>
      </c>
      <c r="GO278" s="29" t="s">
        <v>5784</v>
      </c>
      <c r="GP278" s="29"/>
      <c r="GQ278" s="29" t="s">
        <v>3208</v>
      </c>
      <c r="GR278" s="29"/>
      <c r="GS278" s="29"/>
      <c r="GT278" s="29"/>
      <c r="GU278" s="29"/>
      <c r="HP278" s="31"/>
      <c r="MX278" s="29" t="s">
        <v>538</v>
      </c>
      <c r="MY278" s="29" t="str">
        <f>IFERROR(__xludf.DUMMYFUNCTION("""COMPUTED_VALUE"""),"United Kingdom")</f>
        <v>United Kingdom</v>
      </c>
    </row>
    <row r="279" ht="16.5" customHeight="1">
      <c r="A279" s="33">
        <v>45896.65199521991</v>
      </c>
      <c r="B279" s="29" t="s">
        <v>368</v>
      </c>
      <c r="C279" s="29" t="s">
        <v>538</v>
      </c>
      <c r="D279" s="29" t="s">
        <v>538</v>
      </c>
      <c r="E279" s="29"/>
      <c r="F279" s="29"/>
      <c r="G279" s="29" t="s">
        <v>422</v>
      </c>
      <c r="H279" s="29" t="s">
        <v>539</v>
      </c>
      <c r="I279" s="29" t="s">
        <v>2578</v>
      </c>
      <c r="J279" s="29" t="s">
        <v>375</v>
      </c>
      <c r="K279" s="29" t="s">
        <v>376</v>
      </c>
      <c r="L279" s="29" t="s">
        <v>379</v>
      </c>
      <c r="M279" s="29" t="s">
        <v>2464</v>
      </c>
      <c r="N279" s="29" t="s">
        <v>591</v>
      </c>
      <c r="O279" s="29" t="s">
        <v>2464</v>
      </c>
      <c r="P279" s="29" t="s">
        <v>381</v>
      </c>
      <c r="Q279" s="29" t="s">
        <v>862</v>
      </c>
      <c r="R279" s="29" t="s">
        <v>949</v>
      </c>
      <c r="S279" s="29" t="s">
        <v>384</v>
      </c>
      <c r="T279" s="29" t="s">
        <v>385</v>
      </c>
      <c r="U279" s="29"/>
      <c r="V279" s="29"/>
      <c r="W279" s="29" t="s">
        <v>3014</v>
      </c>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t="s">
        <v>390</v>
      </c>
      <c r="AW279" s="29" t="s">
        <v>391</v>
      </c>
      <c r="AX279" s="29">
        <v>2.0</v>
      </c>
      <c r="AY279" s="29">
        <v>2.0</v>
      </c>
      <c r="AZ279" s="29" t="s">
        <v>429</v>
      </c>
      <c r="BA279" s="29" t="s">
        <v>429</v>
      </c>
      <c r="BB279" s="29" t="s">
        <v>429</v>
      </c>
      <c r="BC279" s="29" t="s">
        <v>5785</v>
      </c>
      <c r="BD279" s="29" t="s">
        <v>5786</v>
      </c>
      <c r="BE279" s="29" t="s">
        <v>902</v>
      </c>
      <c r="BF279" s="29" t="s">
        <v>433</v>
      </c>
      <c r="BG279" s="29" t="s">
        <v>725</v>
      </c>
      <c r="BH279" s="29" t="s">
        <v>5787</v>
      </c>
      <c r="BI279" s="29" t="s">
        <v>509</v>
      </c>
      <c r="BJ279" s="29" t="s">
        <v>5788</v>
      </c>
      <c r="BK279" s="29" t="s">
        <v>511</v>
      </c>
      <c r="BL279" s="29" t="s">
        <v>438</v>
      </c>
      <c r="BM279" s="29" t="s">
        <v>549</v>
      </c>
      <c r="BN279" s="29" t="s">
        <v>513</v>
      </c>
      <c r="BO279" s="29"/>
      <c r="BP279" s="29"/>
      <c r="BQ279" s="29"/>
      <c r="BR279" s="29"/>
      <c r="BS279" s="29"/>
      <c r="BT279" s="29"/>
      <c r="BU279" s="29"/>
      <c r="BV279" s="29"/>
      <c r="BW279" s="29"/>
      <c r="BX279" s="29"/>
      <c r="BY279" s="29"/>
      <c r="BZ279" s="29"/>
      <c r="CA279" s="29"/>
      <c r="CB279" s="29"/>
      <c r="CC279" s="29"/>
      <c r="CD279" s="29"/>
      <c r="CE279" s="29"/>
      <c r="CF279" s="29"/>
      <c r="CG279" s="29"/>
      <c r="CH279" s="29"/>
      <c r="CI279" s="29"/>
      <c r="CJ279" s="29"/>
      <c r="CK279" s="29"/>
      <c r="CL279" s="29" t="s">
        <v>550</v>
      </c>
      <c r="CM279" s="29" t="s">
        <v>401</v>
      </c>
      <c r="CN279" s="29" t="s">
        <v>5789</v>
      </c>
      <c r="CO279" s="29" t="s">
        <v>5790</v>
      </c>
      <c r="CP279" s="29" t="s">
        <v>445</v>
      </c>
      <c r="CQ279" s="29" t="s">
        <v>5791</v>
      </c>
      <c r="CR279" s="29" t="s">
        <v>804</v>
      </c>
      <c r="CS279" s="29" t="s">
        <v>4145</v>
      </c>
      <c r="CT279" s="29" t="s">
        <v>5792</v>
      </c>
      <c r="CU279" s="29" t="s">
        <v>1852</v>
      </c>
      <c r="CV279" s="29" t="s">
        <v>451</v>
      </c>
      <c r="CW279" s="29" t="s">
        <v>5793</v>
      </c>
      <c r="CX279" s="29" t="s">
        <v>408</v>
      </c>
      <c r="CY279" s="29"/>
      <c r="CZ279" s="29" t="s">
        <v>985</v>
      </c>
      <c r="DA279" s="29" t="s">
        <v>5794</v>
      </c>
      <c r="DB279" s="29" t="s">
        <v>455</v>
      </c>
      <c r="DC279" s="29" t="s">
        <v>5795</v>
      </c>
      <c r="DD279" s="29" t="s">
        <v>406</v>
      </c>
      <c r="DE279" s="29" t="s">
        <v>1867</v>
      </c>
      <c r="DF279" s="29"/>
      <c r="DG279" s="29" t="s">
        <v>561</v>
      </c>
      <c r="DH279" s="29" t="s">
        <v>833</v>
      </c>
      <c r="DI279" s="29" t="s">
        <v>459</v>
      </c>
      <c r="DJ279" s="29" t="s">
        <v>613</v>
      </c>
      <c r="DK279" s="29"/>
      <c r="DL279" s="29"/>
      <c r="DM279" s="29"/>
      <c r="DN279" s="29"/>
      <c r="DO279" s="29"/>
      <c r="DP279" s="29"/>
      <c r="DQ279" s="29"/>
      <c r="DR279" s="29"/>
      <c r="DS279" s="29"/>
      <c r="DT279" s="29"/>
      <c r="DU279" s="29"/>
      <c r="DV279" s="29"/>
      <c r="DW279" s="29"/>
      <c r="DX279" s="29"/>
      <c r="DY279" s="29"/>
      <c r="DZ279" s="29"/>
      <c r="EA279" s="29"/>
      <c r="EB279" s="29"/>
      <c r="EC279" s="29"/>
      <c r="ED279" s="29"/>
      <c r="EE279" s="29"/>
      <c r="EF279" s="29"/>
      <c r="EG279" s="29"/>
      <c r="EH279" s="29"/>
      <c r="EI279" s="29"/>
      <c r="EJ279" s="29"/>
      <c r="EK279" s="29"/>
      <c r="EL279" s="29"/>
      <c r="EM279" s="29"/>
      <c r="EN279" s="29"/>
      <c r="EO279" s="29"/>
      <c r="EP279" s="29"/>
      <c r="EQ279" s="29"/>
      <c r="ER279" s="29"/>
      <c r="ES279" s="29"/>
      <c r="ET279" s="29" t="s">
        <v>578</v>
      </c>
      <c r="EU279" s="29" t="s">
        <v>579</v>
      </c>
      <c r="EV279" s="29" t="s">
        <v>527</v>
      </c>
      <c r="EW279" s="29"/>
      <c r="EX279" s="29" t="s">
        <v>5796</v>
      </c>
      <c r="EY279" s="29" t="s">
        <v>5797</v>
      </c>
      <c r="EZ279" s="29" t="s">
        <v>583</v>
      </c>
      <c r="FA279" s="29" t="s">
        <v>583</v>
      </c>
      <c r="FB279" s="29" t="s">
        <v>416</v>
      </c>
      <c r="FC279" s="29" t="s">
        <v>414</v>
      </c>
      <c r="FD279" s="29" t="s">
        <v>413</v>
      </c>
      <c r="FE279" s="29" t="s">
        <v>484</v>
      </c>
      <c r="FF279" s="29" t="s">
        <v>583</v>
      </c>
      <c r="FG279" s="29" t="s">
        <v>583</v>
      </c>
      <c r="FH279" s="29" t="s">
        <v>583</v>
      </c>
      <c r="FI279" s="29" t="s">
        <v>583</v>
      </c>
      <c r="FJ279" s="29" t="s">
        <v>414</v>
      </c>
      <c r="FK279" s="29" t="s">
        <v>415</v>
      </c>
      <c r="FL279" s="29" t="s">
        <v>415</v>
      </c>
      <c r="FM279" s="29" t="s">
        <v>415</v>
      </c>
      <c r="FN279" s="29" t="s">
        <v>415</v>
      </c>
      <c r="FO279" s="29" t="s">
        <v>1074</v>
      </c>
      <c r="FP279" s="29" t="s">
        <v>418</v>
      </c>
      <c r="FQ279" s="29" t="s">
        <v>749</v>
      </c>
      <c r="FR279" s="29"/>
      <c r="FS279" s="29" t="s">
        <v>1871</v>
      </c>
      <c r="FT279" s="29" t="s">
        <v>1462</v>
      </c>
      <c r="FU279" s="29" t="s">
        <v>489</v>
      </c>
      <c r="FV279" s="29" t="s">
        <v>2387</v>
      </c>
      <c r="FW279" s="29" t="s">
        <v>491</v>
      </c>
      <c r="FX279" s="29" t="s">
        <v>5798</v>
      </c>
      <c r="FY279" s="29" t="s">
        <v>493</v>
      </c>
      <c r="FZ279" s="29"/>
      <c r="GA279" s="29"/>
      <c r="GB279" s="29" t="s">
        <v>455</v>
      </c>
      <c r="GC279" s="29"/>
      <c r="GD279" s="29"/>
      <c r="GE279" s="29" t="s">
        <v>753</v>
      </c>
      <c r="GF279" s="29"/>
      <c r="GG279" s="29" t="s">
        <v>755</v>
      </c>
      <c r="GH279" s="29" t="s">
        <v>1000</v>
      </c>
      <c r="GI279" s="29" t="s">
        <v>817</v>
      </c>
      <c r="GJ279" s="29"/>
      <c r="GK279" s="29"/>
      <c r="GL279" s="29"/>
      <c r="GM279" s="29"/>
      <c r="GN279" s="29" t="s">
        <v>3012</v>
      </c>
      <c r="GO279" s="29" t="s">
        <v>5799</v>
      </c>
      <c r="GP279" s="29"/>
      <c r="GQ279" s="29" t="s">
        <v>3208</v>
      </c>
      <c r="GR279" s="29"/>
      <c r="GS279" s="29"/>
      <c r="GT279" s="29" t="s">
        <v>4741</v>
      </c>
      <c r="GU279" s="29" t="s">
        <v>5800</v>
      </c>
      <c r="HP279" s="31"/>
      <c r="MX279" s="29" t="s">
        <v>10402</v>
      </c>
      <c r="MY279" s="29" t="str">
        <f>IFERROR(__xludf.DUMMYFUNCTION("""COMPUTED_VALUE"""),"New Mexico")</f>
        <v>New Mexico</v>
      </c>
    </row>
    <row r="280" ht="16.5" customHeight="1">
      <c r="A280" s="33">
        <v>45897.22162399306</v>
      </c>
      <c r="B280" s="29" t="s">
        <v>368</v>
      </c>
      <c r="C280" s="29" t="s">
        <v>370</v>
      </c>
      <c r="D280" s="29" t="s">
        <v>370</v>
      </c>
      <c r="E280" s="29" t="s">
        <v>4905</v>
      </c>
      <c r="F280" s="29" t="s">
        <v>667</v>
      </c>
      <c r="G280" s="29" t="s">
        <v>422</v>
      </c>
      <c r="H280" s="29" t="s">
        <v>373</v>
      </c>
      <c r="I280" s="29" t="s">
        <v>374</v>
      </c>
      <c r="J280" s="29" t="s">
        <v>718</v>
      </c>
      <c r="K280" s="29" t="s">
        <v>376</v>
      </c>
      <c r="L280" s="29" t="s">
        <v>793</v>
      </c>
      <c r="M280" s="29" t="s">
        <v>639</v>
      </c>
      <c r="N280" s="29" t="s">
        <v>426</v>
      </c>
      <c r="O280" s="29" t="s">
        <v>380</v>
      </c>
      <c r="P280" s="29" t="s">
        <v>498</v>
      </c>
      <c r="Q280" s="29" t="s">
        <v>862</v>
      </c>
      <c r="R280" s="29" t="s">
        <v>500</v>
      </c>
      <c r="S280" s="29" t="s">
        <v>384</v>
      </c>
      <c r="T280" s="29" t="s">
        <v>385</v>
      </c>
      <c r="U280" s="29"/>
      <c r="V280" s="29"/>
      <c r="W280" s="29" t="s">
        <v>386</v>
      </c>
      <c r="X280" s="29" t="s">
        <v>387</v>
      </c>
      <c r="Y280" s="29" t="s">
        <v>388</v>
      </c>
      <c r="Z280" s="29" t="s">
        <v>543</v>
      </c>
      <c r="AA280" s="29" t="s">
        <v>408</v>
      </c>
      <c r="AB280" s="29"/>
      <c r="AC280" s="29"/>
      <c r="AD280" s="29"/>
      <c r="AE280" s="29"/>
      <c r="AF280" s="29"/>
      <c r="AG280" s="29"/>
      <c r="AH280" s="29"/>
      <c r="AI280" s="29"/>
      <c r="AJ280" s="29"/>
      <c r="AK280" s="29"/>
      <c r="AL280" s="29"/>
      <c r="AM280" s="29"/>
      <c r="AN280" s="29"/>
      <c r="AO280" s="29"/>
      <c r="AP280" s="29"/>
      <c r="AQ280" s="29"/>
      <c r="AR280" s="29"/>
      <c r="AS280" s="29"/>
      <c r="AT280" s="29"/>
      <c r="AU280" s="29"/>
      <c r="AV280" s="29" t="s">
        <v>1242</v>
      </c>
      <c r="AW280" s="29" t="s">
        <v>675</v>
      </c>
      <c r="AX280" s="29" t="s">
        <v>675</v>
      </c>
      <c r="AY280" s="29" t="s">
        <v>675</v>
      </c>
      <c r="AZ280" s="29" t="s">
        <v>675</v>
      </c>
      <c r="BA280" s="29" t="s">
        <v>675</v>
      </c>
      <c r="BB280" s="29" t="s">
        <v>675</v>
      </c>
      <c r="BC280" s="29" t="s">
        <v>5803</v>
      </c>
      <c r="BD280" s="29" t="s">
        <v>5804</v>
      </c>
      <c r="BE280" s="29" t="s">
        <v>3114</v>
      </c>
      <c r="BF280" s="29" t="s">
        <v>1095</v>
      </c>
      <c r="BG280" s="29" t="s">
        <v>434</v>
      </c>
      <c r="BH280" s="29" t="s">
        <v>5805</v>
      </c>
      <c r="BI280" s="29" t="s">
        <v>976</v>
      </c>
      <c r="BJ280" s="29"/>
      <c r="BK280" s="29" t="s">
        <v>681</v>
      </c>
      <c r="BL280" s="29" t="s">
        <v>603</v>
      </c>
      <c r="BM280" s="29" t="s">
        <v>1247</v>
      </c>
      <c r="BN280" s="29"/>
      <c r="BO280" s="29"/>
      <c r="BP280" s="29"/>
      <c r="BQ280" s="29"/>
      <c r="BR280" s="29"/>
      <c r="BS280" s="29"/>
      <c r="BT280" s="29"/>
      <c r="BU280" s="29"/>
      <c r="BV280" s="29"/>
      <c r="BW280" s="29"/>
      <c r="BX280" s="29"/>
      <c r="BY280" s="29"/>
      <c r="BZ280" s="29"/>
      <c r="CA280" s="29"/>
      <c r="CB280" s="29"/>
      <c r="CC280" s="29"/>
      <c r="CD280" s="29"/>
      <c r="CE280" s="29"/>
      <c r="CF280" s="29"/>
      <c r="CG280" s="29"/>
      <c r="CH280" s="29"/>
      <c r="CI280" s="29"/>
      <c r="CJ280" s="29"/>
      <c r="CK280" s="29"/>
      <c r="CL280" s="29"/>
      <c r="CM280" s="29"/>
      <c r="CN280" s="29"/>
      <c r="CO280" s="29"/>
      <c r="CP280" s="29"/>
      <c r="CQ280" s="29"/>
      <c r="CR280" s="29"/>
      <c r="CS280" s="29"/>
      <c r="CT280" s="29"/>
      <c r="CU280" s="29"/>
      <c r="CV280" s="29"/>
      <c r="CW280" s="29"/>
      <c r="CX280" s="29"/>
      <c r="CY280" s="29"/>
      <c r="CZ280" s="29"/>
      <c r="DA280" s="29"/>
      <c r="DB280" s="29"/>
      <c r="DC280" s="29"/>
      <c r="DD280" s="29"/>
      <c r="DE280" s="29"/>
      <c r="DF280" s="29"/>
      <c r="DG280" s="29"/>
      <c r="DH280" s="29"/>
      <c r="DI280" s="29"/>
      <c r="DJ280" s="29"/>
      <c r="DK280" s="29"/>
      <c r="DL280" s="29"/>
      <c r="DM280" s="29"/>
      <c r="DN280" s="29"/>
      <c r="DO280" s="29"/>
      <c r="DP280" s="29"/>
      <c r="DQ280" s="29"/>
      <c r="DR280" s="29"/>
      <c r="DS280" s="29"/>
      <c r="DT280" s="29"/>
      <c r="DU280" s="29"/>
      <c r="DV280" s="29"/>
      <c r="DW280" s="29"/>
      <c r="DX280" s="29"/>
      <c r="DY280" s="29"/>
      <c r="DZ280" s="29"/>
      <c r="EA280" s="29"/>
      <c r="EB280" s="29"/>
      <c r="EC280" s="29"/>
      <c r="ED280" s="29"/>
      <c r="EE280" s="29"/>
      <c r="EF280" s="29"/>
      <c r="EG280" s="29"/>
      <c r="EH280" s="29"/>
      <c r="EI280" s="29"/>
      <c r="EJ280" s="29"/>
      <c r="EK280" s="29"/>
      <c r="EL280" s="29"/>
      <c r="EM280" s="29"/>
      <c r="EN280" s="29"/>
      <c r="EO280" s="29"/>
      <c r="EP280" s="29"/>
      <c r="EQ280" s="29"/>
      <c r="ER280" s="29"/>
      <c r="ES280" s="29"/>
      <c r="ET280" s="29" t="s">
        <v>478</v>
      </c>
      <c r="EU280" s="29" t="s">
        <v>887</v>
      </c>
      <c r="EV280" s="29" t="s">
        <v>663</v>
      </c>
      <c r="EW280" s="29" t="s">
        <v>5806</v>
      </c>
      <c r="EX280" s="29" t="s">
        <v>5807</v>
      </c>
      <c r="EY280" s="29" t="s">
        <v>5808</v>
      </c>
      <c r="EZ280" s="29" t="s">
        <v>583</v>
      </c>
      <c r="FA280" s="29" t="s">
        <v>583</v>
      </c>
      <c r="FB280" s="29" t="s">
        <v>416</v>
      </c>
      <c r="FC280" s="29" t="s">
        <v>414</v>
      </c>
      <c r="FD280" s="29" t="s">
        <v>416</v>
      </c>
      <c r="FE280" s="29" t="s">
        <v>484</v>
      </c>
      <c r="FF280" s="29" t="s">
        <v>583</v>
      </c>
      <c r="FG280" s="29" t="s">
        <v>413</v>
      </c>
      <c r="FH280" s="29" t="s">
        <v>484</v>
      </c>
      <c r="FI280" s="29" t="s">
        <v>583</v>
      </c>
      <c r="FJ280" s="29" t="s">
        <v>583</v>
      </c>
      <c r="FK280" s="29" t="s">
        <v>416</v>
      </c>
      <c r="FL280" s="29" t="s">
        <v>583</v>
      </c>
      <c r="FM280" s="29" t="s">
        <v>413</v>
      </c>
      <c r="FN280" s="29" t="s">
        <v>484</v>
      </c>
      <c r="FO280" s="29" t="s">
        <v>850</v>
      </c>
      <c r="FP280" s="29" t="s">
        <v>418</v>
      </c>
      <c r="FQ280" s="29" t="s">
        <v>1039</v>
      </c>
      <c r="FR280" s="29" t="s">
        <v>5809</v>
      </c>
      <c r="FS280" s="29" t="s">
        <v>420</v>
      </c>
      <c r="FT280" s="29" t="s">
        <v>488</v>
      </c>
      <c r="FU280" s="29" t="s">
        <v>533</v>
      </c>
      <c r="FV280" s="29" t="s">
        <v>490</v>
      </c>
      <c r="FW280" s="29" t="s">
        <v>491</v>
      </c>
      <c r="FX280" s="29" t="s">
        <v>5810</v>
      </c>
      <c r="FY280" s="29" t="s">
        <v>1854</v>
      </c>
      <c r="FZ280" s="29" t="s">
        <v>5811</v>
      </c>
      <c r="GA280" s="29"/>
      <c r="GB280" s="29" t="s">
        <v>408</v>
      </c>
      <c r="GC280" s="29"/>
      <c r="GD280" s="29"/>
      <c r="GE280" s="29"/>
      <c r="GF280" s="29"/>
      <c r="GG280" s="29"/>
      <c r="GH280" s="29"/>
      <c r="GI280" s="29"/>
      <c r="GJ280" s="29"/>
      <c r="GK280" s="29"/>
      <c r="GL280" s="29"/>
      <c r="GM280" s="29"/>
      <c r="GN280" s="29"/>
      <c r="GO280" s="29"/>
      <c r="GP280" s="29"/>
      <c r="GQ280" s="29" t="s">
        <v>3208</v>
      </c>
      <c r="GR280" s="29"/>
      <c r="GS280" s="29"/>
      <c r="GT280" s="29"/>
      <c r="GU280" s="29"/>
      <c r="HP280" s="31"/>
      <c r="MX280" s="29" t="s">
        <v>10402</v>
      </c>
      <c r="MY280" s="29" t="str">
        <f>IFERROR(__xludf.DUMMYFUNCTION("""COMPUTED_VALUE"""),"California")</f>
        <v>California</v>
      </c>
    </row>
    <row r="281" ht="16.5" customHeight="1">
      <c r="A281" s="33">
        <v>45897.57309873843</v>
      </c>
      <c r="B281" s="29" t="s">
        <v>368</v>
      </c>
      <c r="C281" s="29" t="s">
        <v>370</v>
      </c>
      <c r="D281" s="29" t="s">
        <v>370</v>
      </c>
      <c r="E281" s="29" t="s">
        <v>371</v>
      </c>
      <c r="F281" s="29" t="s">
        <v>371</v>
      </c>
      <c r="G281" s="29" t="s">
        <v>422</v>
      </c>
      <c r="H281" s="29" t="s">
        <v>496</v>
      </c>
      <c r="I281" s="29" t="s">
        <v>374</v>
      </c>
      <c r="J281" s="29" t="s">
        <v>425</v>
      </c>
      <c r="K281" s="29" t="s">
        <v>376</v>
      </c>
      <c r="L281" s="29" t="s">
        <v>426</v>
      </c>
      <c r="M281" s="29" t="s">
        <v>378</v>
      </c>
      <c r="N281" s="29" t="s">
        <v>379</v>
      </c>
      <c r="O281" s="29" t="s">
        <v>497</v>
      </c>
      <c r="P281" s="29" t="s">
        <v>498</v>
      </c>
      <c r="Q281" s="29" t="s">
        <v>818</v>
      </c>
      <c r="R281" s="29" t="s">
        <v>427</v>
      </c>
      <c r="S281" s="29" t="s">
        <v>384</v>
      </c>
      <c r="T281" s="29" t="s">
        <v>385</v>
      </c>
      <c r="U281" s="29"/>
      <c r="V281" s="29"/>
      <c r="W281" s="29" t="s">
        <v>593</v>
      </c>
      <c r="X281" s="29" t="s">
        <v>387</v>
      </c>
      <c r="Y281" s="29" t="s">
        <v>2115</v>
      </c>
      <c r="Z281" s="29" t="s">
        <v>543</v>
      </c>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t="s">
        <v>1242</v>
      </c>
      <c r="AW281" s="29" t="s">
        <v>675</v>
      </c>
      <c r="AX281" s="29" t="s">
        <v>675</v>
      </c>
      <c r="AY281" s="29" t="s">
        <v>391</v>
      </c>
      <c r="AZ281" s="29" t="s">
        <v>391</v>
      </c>
      <c r="BA281" s="29" t="s">
        <v>429</v>
      </c>
      <c r="BB281" s="29" t="s">
        <v>391</v>
      </c>
      <c r="BC281" s="29" t="s">
        <v>5812</v>
      </c>
      <c r="BD281" s="29" t="s">
        <v>5813</v>
      </c>
      <c r="BE281" s="29" t="s">
        <v>432</v>
      </c>
      <c r="BF281" s="29" t="s">
        <v>1245</v>
      </c>
      <c r="BG281" s="29" t="s">
        <v>434</v>
      </c>
      <c r="BH281" s="29" t="s">
        <v>5814</v>
      </c>
      <c r="BI281" s="29" t="s">
        <v>976</v>
      </c>
      <c r="BJ281" s="29"/>
      <c r="BK281" s="29" t="s">
        <v>511</v>
      </c>
      <c r="BL281" s="29" t="s">
        <v>904</v>
      </c>
      <c r="BM281" s="29" t="s">
        <v>1247</v>
      </c>
      <c r="BN281" s="29"/>
      <c r="BO281" s="29"/>
      <c r="BP281" s="29"/>
      <c r="BQ281" s="29"/>
      <c r="BR281" s="29"/>
      <c r="BS281" s="29"/>
      <c r="BT281" s="29"/>
      <c r="BU281" s="29"/>
      <c r="BV281" s="29"/>
      <c r="BW281" s="29"/>
      <c r="BX281" s="29"/>
      <c r="BY281" s="29"/>
      <c r="BZ281" s="29"/>
      <c r="CA281" s="29"/>
      <c r="CB281" s="29"/>
      <c r="CC281" s="29"/>
      <c r="CD281" s="29"/>
      <c r="CE281" s="29"/>
      <c r="CF281" s="29"/>
      <c r="CG281" s="29"/>
      <c r="CH281" s="29"/>
      <c r="CI281" s="29"/>
      <c r="CJ281" s="29"/>
      <c r="CK281" s="29"/>
      <c r="CL281" s="29"/>
      <c r="CM281" s="29"/>
      <c r="CN281" s="29"/>
      <c r="CO281" s="29"/>
      <c r="CP281" s="29"/>
      <c r="CQ281" s="29"/>
      <c r="CR281" s="29"/>
      <c r="CS281" s="29"/>
      <c r="CT281" s="29"/>
      <c r="CU281" s="29"/>
      <c r="CV281" s="29"/>
      <c r="CW281" s="29"/>
      <c r="CX281" s="29"/>
      <c r="CY281" s="29"/>
      <c r="CZ281" s="29"/>
      <c r="DA281" s="29"/>
      <c r="DB281" s="29"/>
      <c r="DC281" s="29"/>
      <c r="DD281" s="29"/>
      <c r="DE281" s="29"/>
      <c r="DF281" s="29"/>
      <c r="DG281" s="29"/>
      <c r="DH281" s="29"/>
      <c r="DI281" s="29"/>
      <c r="DJ281" s="29"/>
      <c r="DK281" s="29"/>
      <c r="DL281" s="29"/>
      <c r="DM281" s="29"/>
      <c r="DN281" s="29"/>
      <c r="DO281" s="29"/>
      <c r="DP281" s="29"/>
      <c r="DQ281" s="29"/>
      <c r="DR281" s="29"/>
      <c r="DS281" s="29"/>
      <c r="DT281" s="29"/>
      <c r="DU281" s="29"/>
      <c r="DV281" s="29"/>
      <c r="DW281" s="29"/>
      <c r="DX281" s="29"/>
      <c r="DY281" s="29"/>
      <c r="DZ281" s="29"/>
      <c r="EA281" s="29"/>
      <c r="EB281" s="29"/>
      <c r="EC281" s="29"/>
      <c r="ED281" s="29"/>
      <c r="EE281" s="29"/>
      <c r="EF281" s="29"/>
      <c r="EG281" s="29"/>
      <c r="EH281" s="29"/>
      <c r="EI281" s="29"/>
      <c r="EJ281" s="29"/>
      <c r="EK281" s="29"/>
      <c r="EL281" s="29"/>
      <c r="EM281" s="29"/>
      <c r="EN281" s="29"/>
      <c r="EO281" s="29"/>
      <c r="EP281" s="29"/>
      <c r="EQ281" s="29"/>
      <c r="ER281" s="29"/>
      <c r="ES281" s="29"/>
      <c r="ET281" s="29" t="s">
        <v>526</v>
      </c>
      <c r="EU281" s="29" t="s">
        <v>1127</v>
      </c>
      <c r="EV281" s="29" t="s">
        <v>580</v>
      </c>
      <c r="EW281" s="29"/>
      <c r="EX281" s="29" t="s">
        <v>5815</v>
      </c>
      <c r="EY281" s="29" t="s">
        <v>1380</v>
      </c>
      <c r="EZ281" s="29" t="s">
        <v>414</v>
      </c>
      <c r="FA281" s="29" t="s">
        <v>414</v>
      </c>
      <c r="FB281" s="29" t="s">
        <v>413</v>
      </c>
      <c r="FC281" s="29" t="s">
        <v>415</v>
      </c>
      <c r="FD281" s="29" t="s">
        <v>416</v>
      </c>
      <c r="FE281" s="29" t="s">
        <v>583</v>
      </c>
      <c r="FF281" s="29" t="s">
        <v>583</v>
      </c>
      <c r="FG281" s="29" t="s">
        <v>413</v>
      </c>
      <c r="FH281" s="29" t="s">
        <v>415</v>
      </c>
      <c r="FI281" s="29" t="s">
        <v>415</v>
      </c>
      <c r="FJ281" s="29" t="s">
        <v>583</v>
      </c>
      <c r="FK281" s="29" t="s">
        <v>415</v>
      </c>
      <c r="FL281" s="29" t="s">
        <v>415</v>
      </c>
      <c r="FM281" s="29" t="s">
        <v>415</v>
      </c>
      <c r="FN281" s="29" t="s">
        <v>415</v>
      </c>
      <c r="FO281" s="29" t="s">
        <v>1074</v>
      </c>
      <c r="FP281" s="29" t="s">
        <v>486</v>
      </c>
      <c r="FQ281" s="29" t="s">
        <v>630</v>
      </c>
      <c r="FR281" s="29" t="s">
        <v>5816</v>
      </c>
      <c r="FS281" s="29" t="s">
        <v>1076</v>
      </c>
      <c r="FT281" s="29" t="s">
        <v>421</v>
      </c>
      <c r="FU281" s="29" t="s">
        <v>918</v>
      </c>
      <c r="FV281" s="29" t="s">
        <v>490</v>
      </c>
      <c r="FW281" s="29" t="s">
        <v>491</v>
      </c>
      <c r="FX281" s="29" t="s">
        <v>5817</v>
      </c>
      <c r="FY281" s="29" t="s">
        <v>1337</v>
      </c>
      <c r="FZ281" s="29"/>
      <c r="GA281" s="29"/>
      <c r="GB281" s="29" t="s">
        <v>408</v>
      </c>
      <c r="GC281" s="29"/>
      <c r="GD281" s="29"/>
      <c r="GE281" s="29"/>
      <c r="GF281" s="29"/>
      <c r="GG281" s="29"/>
      <c r="GH281" s="29"/>
      <c r="GI281" s="29"/>
      <c r="GJ281" s="29"/>
      <c r="GK281" s="29"/>
      <c r="GL281" s="29"/>
      <c r="GM281" s="29"/>
      <c r="GN281" s="29"/>
      <c r="GO281" s="29"/>
      <c r="GP281" s="29"/>
      <c r="GQ281" s="29" t="s">
        <v>5656</v>
      </c>
      <c r="GR281" s="29"/>
      <c r="GS281" s="29"/>
      <c r="GT281" s="29"/>
      <c r="GU281" s="29"/>
      <c r="HP281" s="31"/>
      <c r="MX281" s="29" t="s">
        <v>1201</v>
      </c>
      <c r="MY281" s="29" t="str">
        <f>IFERROR(__xludf.DUMMYFUNCTION("""COMPUTED_VALUE"""),"Australia")</f>
        <v>Australia</v>
      </c>
    </row>
    <row r="282" ht="16.5" customHeight="1">
      <c r="A282" s="33">
        <v>45897.77317857639</v>
      </c>
      <c r="B282" s="29" t="s">
        <v>368</v>
      </c>
      <c r="C282" s="29" t="s">
        <v>1201</v>
      </c>
      <c r="D282" s="29" t="s">
        <v>1201</v>
      </c>
      <c r="E282" s="29"/>
      <c r="F282" s="29"/>
      <c r="G282" s="29" t="s">
        <v>422</v>
      </c>
      <c r="H282" s="29" t="s">
        <v>637</v>
      </c>
      <c r="I282" s="29" t="s">
        <v>638</v>
      </c>
      <c r="J282" s="29" t="s">
        <v>1204</v>
      </c>
      <c r="K282" s="29" t="s">
        <v>376</v>
      </c>
      <c r="L282" s="29" t="s">
        <v>377</v>
      </c>
      <c r="M282" s="29" t="s">
        <v>378</v>
      </c>
      <c r="N282" s="29" t="s">
        <v>1526</v>
      </c>
      <c r="O282" s="29" t="s">
        <v>1024</v>
      </c>
      <c r="P282" s="29" t="s">
        <v>1760</v>
      </c>
      <c r="Q282" s="29" t="s">
        <v>818</v>
      </c>
      <c r="R282" s="29" t="s">
        <v>1594</v>
      </c>
      <c r="S282" s="29" t="s">
        <v>1705</v>
      </c>
      <c r="T282" s="29" t="s">
        <v>385</v>
      </c>
      <c r="U282" s="29"/>
      <c r="V282" s="29"/>
      <c r="W282" s="29" t="s">
        <v>3231</v>
      </c>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t="s">
        <v>1310</v>
      </c>
      <c r="AW282" s="29">
        <v>4.0</v>
      </c>
      <c r="AX282" s="29" t="s">
        <v>391</v>
      </c>
      <c r="AY282" s="29" t="s">
        <v>391</v>
      </c>
      <c r="AZ282" s="29" t="s">
        <v>675</v>
      </c>
      <c r="BA282" s="29">
        <v>4.0</v>
      </c>
      <c r="BB282" s="29">
        <v>4.0</v>
      </c>
      <c r="BC282" s="29"/>
      <c r="BD282" s="29"/>
      <c r="BE282" s="29" t="s">
        <v>392</v>
      </c>
      <c r="BF282" s="29" t="s">
        <v>1095</v>
      </c>
      <c r="BG282" s="29" t="s">
        <v>725</v>
      </c>
      <c r="BH282" s="29"/>
      <c r="BI282" s="29" t="s">
        <v>824</v>
      </c>
      <c r="BJ282" s="29"/>
      <c r="BK282" s="29" t="s">
        <v>395</v>
      </c>
      <c r="BL282" s="29" t="s">
        <v>396</v>
      </c>
      <c r="BM282" s="29" t="s">
        <v>1276</v>
      </c>
      <c r="BN282" s="29"/>
      <c r="BO282" s="29"/>
      <c r="BP282" s="29"/>
      <c r="BQ282" s="29"/>
      <c r="BR282" s="29"/>
      <c r="BS282" s="29"/>
      <c r="BT282" s="29"/>
      <c r="BU282" s="29"/>
      <c r="BV282" s="29"/>
      <c r="BW282" s="29"/>
      <c r="BX282" s="29"/>
      <c r="BY282" s="29"/>
      <c r="BZ282" s="29"/>
      <c r="CA282" s="29"/>
      <c r="CB282" s="29"/>
      <c r="CC282" s="29"/>
      <c r="CD282" s="29"/>
      <c r="CE282" s="29"/>
      <c r="CF282" s="29"/>
      <c r="CG282" s="29"/>
      <c r="CH282" s="29"/>
      <c r="CI282" s="29"/>
      <c r="CJ282" s="29"/>
      <c r="CK282" s="29"/>
      <c r="CL282" s="29"/>
      <c r="CM282" s="29"/>
      <c r="CN282" s="29"/>
      <c r="CO282" s="29"/>
      <c r="CP282" s="29"/>
      <c r="CQ282" s="29"/>
      <c r="CR282" s="29"/>
      <c r="CS282" s="29"/>
      <c r="CT282" s="29"/>
      <c r="CU282" s="29"/>
      <c r="CV282" s="29"/>
      <c r="CW282" s="29"/>
      <c r="CX282" s="29"/>
      <c r="CY282" s="29"/>
      <c r="CZ282" s="29"/>
      <c r="DA282" s="29"/>
      <c r="DB282" s="29"/>
      <c r="DC282" s="29"/>
      <c r="DD282" s="29"/>
      <c r="DE282" s="29"/>
      <c r="DF282" s="29"/>
      <c r="DG282" s="29"/>
      <c r="DH282" s="29"/>
      <c r="DI282" s="29"/>
      <c r="DJ282" s="29"/>
      <c r="DK282" s="29"/>
      <c r="DL282" s="29"/>
      <c r="DM282" s="29"/>
      <c r="DN282" s="29"/>
      <c r="DO282" s="29"/>
      <c r="DP282" s="29"/>
      <c r="DQ282" s="29"/>
      <c r="DR282" s="29"/>
      <c r="DS282" s="29"/>
      <c r="DT282" s="29"/>
      <c r="DU282" s="29"/>
      <c r="DV282" s="29"/>
      <c r="DW282" s="29"/>
      <c r="DX282" s="29"/>
      <c r="DY282" s="29"/>
      <c r="DZ282" s="29"/>
      <c r="EA282" s="29"/>
      <c r="EB282" s="29"/>
      <c r="EC282" s="29"/>
      <c r="ED282" s="29"/>
      <c r="EE282" s="29"/>
      <c r="EF282" s="29"/>
      <c r="EG282" s="29"/>
      <c r="EH282" s="29"/>
      <c r="EI282" s="29"/>
      <c r="EJ282" s="29"/>
      <c r="EK282" s="29"/>
      <c r="EL282" s="29"/>
      <c r="EM282" s="29"/>
      <c r="EN282" s="29"/>
      <c r="EO282" s="29"/>
      <c r="EP282" s="29"/>
      <c r="EQ282" s="29"/>
      <c r="ER282" s="29"/>
      <c r="ES282" s="29"/>
      <c r="ET282" s="29" t="s">
        <v>478</v>
      </c>
      <c r="EU282" s="29" t="s">
        <v>579</v>
      </c>
      <c r="EV282" s="29" t="s">
        <v>480</v>
      </c>
      <c r="EW282" s="29"/>
      <c r="EX282" s="29" t="s">
        <v>5819</v>
      </c>
      <c r="EY282" s="29" t="s">
        <v>5820</v>
      </c>
      <c r="EZ282" s="29" t="s">
        <v>416</v>
      </c>
      <c r="FA282" s="29" t="s">
        <v>415</v>
      </c>
      <c r="FB282" s="29" t="s">
        <v>413</v>
      </c>
      <c r="FC282" s="29" t="s">
        <v>413</v>
      </c>
      <c r="FD282" s="29" t="s">
        <v>416</v>
      </c>
      <c r="FE282" s="29" t="s">
        <v>416</v>
      </c>
      <c r="FF282" s="29" t="s">
        <v>415</v>
      </c>
      <c r="FG282" s="29" t="s">
        <v>413</v>
      </c>
      <c r="FH282" s="29" t="s">
        <v>414</v>
      </c>
      <c r="FI282" s="29" t="s">
        <v>413</v>
      </c>
      <c r="FJ282" s="29" t="s">
        <v>416</v>
      </c>
      <c r="FK282" s="29" t="s">
        <v>415</v>
      </c>
      <c r="FL282" s="29" t="s">
        <v>415</v>
      </c>
      <c r="FM282" s="29" t="s">
        <v>415</v>
      </c>
      <c r="FN282" s="29" t="s">
        <v>583</v>
      </c>
      <c r="FO282" s="29" t="s">
        <v>485</v>
      </c>
      <c r="FP282" s="29" t="s">
        <v>486</v>
      </c>
      <c r="FQ282" s="29" t="s">
        <v>749</v>
      </c>
      <c r="FR282" s="29" t="s">
        <v>5821</v>
      </c>
      <c r="FS282" s="29" t="s">
        <v>420</v>
      </c>
      <c r="FT282" s="29" t="s">
        <v>1462</v>
      </c>
      <c r="FU282" s="29" t="s">
        <v>585</v>
      </c>
      <c r="FV282" s="29" t="s">
        <v>490</v>
      </c>
      <c r="FW282" s="29" t="s">
        <v>491</v>
      </c>
      <c r="FX282" s="29" t="s">
        <v>5822</v>
      </c>
      <c r="FY282" s="29" t="s">
        <v>535</v>
      </c>
      <c r="FZ282" s="29" t="s">
        <v>5823</v>
      </c>
      <c r="GA282" s="29"/>
      <c r="GB282" s="29" t="s">
        <v>455</v>
      </c>
      <c r="GC282" s="29"/>
      <c r="GD282" s="29"/>
      <c r="GE282" s="29" t="s">
        <v>855</v>
      </c>
      <c r="GF282" s="29"/>
      <c r="GG282" s="29"/>
      <c r="GH282" s="29"/>
      <c r="GI282" s="29"/>
      <c r="GJ282" s="29"/>
      <c r="GK282" s="29"/>
      <c r="GL282" s="29"/>
      <c r="GM282" s="29"/>
      <c r="GN282" s="29" t="s">
        <v>5824</v>
      </c>
      <c r="GO282" s="29" t="s">
        <v>5824</v>
      </c>
      <c r="GP282" s="29" t="s">
        <v>642</v>
      </c>
      <c r="GQ282" s="29" t="s">
        <v>3208</v>
      </c>
      <c r="GR282" s="29"/>
      <c r="GS282" s="29"/>
      <c r="GT282" s="29"/>
      <c r="GU282" s="29"/>
      <c r="HP282" s="31"/>
      <c r="MX282" s="29" t="s">
        <v>538</v>
      </c>
      <c r="MY282" s="29" t="str">
        <f>IFERROR(__xludf.DUMMYFUNCTION("""COMPUTED_VALUE"""),"United Kingdom")</f>
        <v>United Kingdom</v>
      </c>
    </row>
    <row r="283" ht="16.5" customHeight="1">
      <c r="A283" s="33">
        <v>45897.92551584491</v>
      </c>
      <c r="B283" s="29" t="s">
        <v>368</v>
      </c>
      <c r="C283" s="29" t="s">
        <v>538</v>
      </c>
      <c r="D283" s="29" t="s">
        <v>538</v>
      </c>
      <c r="E283" s="29"/>
      <c r="F283" s="29"/>
      <c r="G283" s="29" t="s">
        <v>422</v>
      </c>
      <c r="H283" s="29" t="s">
        <v>496</v>
      </c>
      <c r="I283" s="29" t="s">
        <v>374</v>
      </c>
      <c r="J283" s="29" t="s">
        <v>375</v>
      </c>
      <c r="K283" s="29" t="s">
        <v>376</v>
      </c>
      <c r="L283" s="29" t="s">
        <v>591</v>
      </c>
      <c r="M283" s="29" t="s">
        <v>639</v>
      </c>
      <c r="N283" s="29" t="s">
        <v>591</v>
      </c>
      <c r="O283" s="29"/>
      <c r="P283" s="29" t="s">
        <v>498</v>
      </c>
      <c r="Q283" s="29" t="s">
        <v>862</v>
      </c>
      <c r="R283" s="29" t="s">
        <v>949</v>
      </c>
      <c r="S283" s="29" t="s">
        <v>384</v>
      </c>
      <c r="T283" s="29" t="s">
        <v>385</v>
      </c>
      <c r="U283" s="29"/>
      <c r="V283" s="29"/>
      <c r="W283" s="29" t="s">
        <v>386</v>
      </c>
      <c r="X283" s="29" t="s">
        <v>387</v>
      </c>
      <c r="Y283" s="29" t="s">
        <v>388</v>
      </c>
      <c r="Z283" s="29" t="s">
        <v>543</v>
      </c>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t="s">
        <v>1310</v>
      </c>
      <c r="AW283" s="29" t="s">
        <v>675</v>
      </c>
      <c r="AX283" s="29">
        <v>4.0</v>
      </c>
      <c r="AY283" s="29">
        <v>4.0</v>
      </c>
      <c r="AZ283" s="29" t="s">
        <v>675</v>
      </c>
      <c r="BA283" s="29" t="s">
        <v>675</v>
      </c>
      <c r="BB283" s="29">
        <v>4.0</v>
      </c>
      <c r="BC283" s="29"/>
      <c r="BD283" s="29"/>
      <c r="BE283" s="29" t="s">
        <v>2379</v>
      </c>
      <c r="BF283" s="29" t="s">
        <v>1095</v>
      </c>
      <c r="BG283" s="29" t="s">
        <v>434</v>
      </c>
      <c r="BH283" s="29"/>
      <c r="BI283" s="29" t="s">
        <v>509</v>
      </c>
      <c r="BJ283" s="29"/>
      <c r="BK283" s="29" t="s">
        <v>437</v>
      </c>
      <c r="BL283" s="29" t="s">
        <v>438</v>
      </c>
      <c r="BM283" s="29" t="s">
        <v>1247</v>
      </c>
      <c r="BN283" s="29"/>
      <c r="BO283" s="29"/>
      <c r="BP283" s="29"/>
      <c r="BQ283" s="29"/>
      <c r="BR283" s="29"/>
      <c r="BS283" s="29"/>
      <c r="BT283" s="29"/>
      <c r="BU283" s="29"/>
      <c r="BV283" s="29"/>
      <c r="BW283" s="29"/>
      <c r="BX283" s="29"/>
      <c r="BY283" s="29"/>
      <c r="BZ283" s="29"/>
      <c r="CA283" s="29"/>
      <c r="CB283" s="29"/>
      <c r="CC283" s="29"/>
      <c r="CD283" s="29"/>
      <c r="CE283" s="29"/>
      <c r="CF283" s="29"/>
      <c r="CG283" s="29"/>
      <c r="CH283" s="29"/>
      <c r="CI283" s="29"/>
      <c r="CJ283" s="29"/>
      <c r="CK283" s="29"/>
      <c r="CL283" s="29"/>
      <c r="CM283" s="29"/>
      <c r="CN283" s="29"/>
      <c r="CO283" s="29"/>
      <c r="CP283" s="29"/>
      <c r="CQ283" s="29"/>
      <c r="CR283" s="29"/>
      <c r="CS283" s="29"/>
      <c r="CT283" s="29"/>
      <c r="CU283" s="29"/>
      <c r="CV283" s="29"/>
      <c r="CW283" s="29"/>
      <c r="CX283" s="29"/>
      <c r="CY283" s="29"/>
      <c r="CZ283" s="29"/>
      <c r="DA283" s="29"/>
      <c r="DB283" s="29"/>
      <c r="DC283" s="29"/>
      <c r="DD283" s="29"/>
      <c r="DE283" s="29"/>
      <c r="DF283" s="29"/>
      <c r="DG283" s="29"/>
      <c r="DH283" s="29"/>
      <c r="DI283" s="29"/>
      <c r="DJ283" s="29"/>
      <c r="DK283" s="29"/>
      <c r="DL283" s="29"/>
      <c r="DM283" s="29"/>
      <c r="DN283" s="29"/>
      <c r="DO283" s="29"/>
      <c r="DP283" s="29"/>
      <c r="DQ283" s="29"/>
      <c r="DR283" s="29"/>
      <c r="DS283" s="29"/>
      <c r="DT283" s="29"/>
      <c r="DU283" s="29"/>
      <c r="DV283" s="29"/>
      <c r="DW283" s="29"/>
      <c r="DX283" s="29"/>
      <c r="DY283" s="29"/>
      <c r="DZ283" s="29"/>
      <c r="EA283" s="29"/>
      <c r="EB283" s="29"/>
      <c r="EC283" s="29"/>
      <c r="ED283" s="29"/>
      <c r="EE283" s="29"/>
      <c r="EF283" s="29"/>
      <c r="EG283" s="29"/>
      <c r="EH283" s="29"/>
      <c r="EI283" s="29"/>
      <c r="EJ283" s="29"/>
      <c r="EK283" s="29"/>
      <c r="EL283" s="29"/>
      <c r="EM283" s="29"/>
      <c r="EN283" s="29"/>
      <c r="EO283" s="29"/>
      <c r="EP283" s="29"/>
      <c r="EQ283" s="29"/>
      <c r="ER283" s="29"/>
      <c r="ES283" s="29"/>
      <c r="ET283" s="29" t="s">
        <v>526</v>
      </c>
      <c r="EU283" s="29" t="s">
        <v>579</v>
      </c>
      <c r="EV283" s="29" t="s">
        <v>527</v>
      </c>
      <c r="EW283" s="29"/>
      <c r="EX283" s="29"/>
      <c r="EY283" s="29"/>
      <c r="EZ283" s="29" t="s">
        <v>415</v>
      </c>
      <c r="FA283" s="29" t="s">
        <v>415</v>
      </c>
      <c r="FB283" s="29" t="s">
        <v>413</v>
      </c>
      <c r="FC283" s="29" t="s">
        <v>415</v>
      </c>
      <c r="FD283" s="29" t="s">
        <v>413</v>
      </c>
      <c r="FE283" s="29" t="s">
        <v>415</v>
      </c>
      <c r="FF283" s="29" t="s">
        <v>415</v>
      </c>
      <c r="FG283" s="29" t="s">
        <v>415</v>
      </c>
      <c r="FH283" s="29" t="s">
        <v>415</v>
      </c>
      <c r="FI283" s="29" t="s">
        <v>415</v>
      </c>
      <c r="FJ283" s="29" t="s">
        <v>416</v>
      </c>
      <c r="FK283" s="29" t="s">
        <v>415</v>
      </c>
      <c r="FL283" s="29" t="s">
        <v>415</v>
      </c>
      <c r="FM283" s="29" t="s">
        <v>415</v>
      </c>
      <c r="FN283" s="29" t="s">
        <v>415</v>
      </c>
      <c r="FO283" s="29"/>
      <c r="FP283" s="29" t="s">
        <v>418</v>
      </c>
      <c r="FQ283" s="29" t="s">
        <v>749</v>
      </c>
      <c r="FR283" s="29"/>
      <c r="FS283" s="29" t="s">
        <v>420</v>
      </c>
      <c r="FT283" s="29" t="s">
        <v>1462</v>
      </c>
      <c r="FU283" s="29" t="s">
        <v>1235</v>
      </c>
      <c r="FV283" s="29" t="s">
        <v>490</v>
      </c>
      <c r="FW283" s="29" t="s">
        <v>491</v>
      </c>
      <c r="FX283" s="29"/>
      <c r="FY283" s="29" t="s">
        <v>1337</v>
      </c>
      <c r="FZ283" s="29"/>
      <c r="GA283" s="29"/>
      <c r="GB283" s="29"/>
      <c r="GC283" s="29"/>
      <c r="GD283" s="29"/>
      <c r="GE283" s="29"/>
      <c r="GF283" s="29"/>
      <c r="GG283" s="29"/>
      <c r="GH283" s="29"/>
      <c r="GI283" s="29"/>
      <c r="GJ283" s="29"/>
      <c r="GK283" s="29"/>
      <c r="GL283" s="29"/>
      <c r="GM283" s="29"/>
      <c r="GN283" s="29" t="s">
        <v>5826</v>
      </c>
      <c r="GO283" s="29" t="s">
        <v>5826</v>
      </c>
      <c r="GP283" s="29"/>
      <c r="GQ283" s="29"/>
      <c r="GR283" s="29"/>
      <c r="GS283" s="29"/>
      <c r="GT283" s="29"/>
      <c r="GU283" s="29"/>
      <c r="HP283" s="31"/>
      <c r="MX283" s="29" t="s">
        <v>10402</v>
      </c>
      <c r="MY283" s="29" t="str">
        <f>IFERROR(__xludf.DUMMYFUNCTION("""COMPUTED_VALUE"""),"New York")</f>
        <v>New York</v>
      </c>
    </row>
    <row r="284" ht="16.5" customHeight="1">
      <c r="A284" s="33">
        <v>45898.4903021875</v>
      </c>
      <c r="B284" s="29" t="s">
        <v>368</v>
      </c>
      <c r="C284" s="29" t="s">
        <v>370</v>
      </c>
      <c r="D284" s="29" t="s">
        <v>370</v>
      </c>
      <c r="E284" s="29" t="s">
        <v>667</v>
      </c>
      <c r="F284" s="29" t="s">
        <v>1592</v>
      </c>
      <c r="G284" s="29" t="s">
        <v>422</v>
      </c>
      <c r="H284" s="29" t="s">
        <v>496</v>
      </c>
      <c r="I284" s="29" t="s">
        <v>374</v>
      </c>
      <c r="J284" s="29" t="s">
        <v>590</v>
      </c>
      <c r="K284" s="29" t="s">
        <v>376</v>
      </c>
      <c r="L284" s="29" t="s">
        <v>426</v>
      </c>
      <c r="M284" s="29" t="s">
        <v>378</v>
      </c>
      <c r="N284" s="29" t="s">
        <v>379</v>
      </c>
      <c r="O284" s="29" t="s">
        <v>497</v>
      </c>
      <c r="P284" s="29" t="s">
        <v>381</v>
      </c>
      <c r="Q284" s="29" t="s">
        <v>499</v>
      </c>
      <c r="R284" s="29" t="s">
        <v>427</v>
      </c>
      <c r="S284" s="29" t="s">
        <v>384</v>
      </c>
      <c r="T284" s="29" t="s">
        <v>385</v>
      </c>
      <c r="U284" s="29"/>
      <c r="V284" s="29"/>
      <c r="W284" s="29" t="s">
        <v>593</v>
      </c>
      <c r="X284" s="29" t="s">
        <v>387</v>
      </c>
      <c r="Y284" s="29" t="s">
        <v>2026</v>
      </c>
      <c r="Z284" s="29" t="s">
        <v>543</v>
      </c>
      <c r="AA284" s="29" t="s">
        <v>5827</v>
      </c>
      <c r="AB284" s="29"/>
      <c r="AC284" s="29"/>
      <c r="AD284" s="29"/>
      <c r="AE284" s="29"/>
      <c r="AF284" s="29"/>
      <c r="AG284" s="29"/>
      <c r="AH284" s="29"/>
      <c r="AI284" s="29"/>
      <c r="AJ284" s="29"/>
      <c r="AK284" s="29"/>
      <c r="AL284" s="29"/>
      <c r="AM284" s="29"/>
      <c r="AN284" s="29"/>
      <c r="AO284" s="29"/>
      <c r="AP284" s="29"/>
      <c r="AQ284" s="29"/>
      <c r="AR284" s="29"/>
      <c r="AS284" s="29"/>
      <c r="AT284" s="29"/>
      <c r="AU284" s="29"/>
      <c r="AV284" s="29" t="s">
        <v>390</v>
      </c>
      <c r="AW284" s="29" t="s">
        <v>391</v>
      </c>
      <c r="AX284" s="29" t="s">
        <v>391</v>
      </c>
      <c r="AY284" s="29">
        <v>4.0</v>
      </c>
      <c r="AZ284" s="29">
        <v>4.0</v>
      </c>
      <c r="BA284" s="29" t="s">
        <v>391</v>
      </c>
      <c r="BB284" s="29" t="s">
        <v>391</v>
      </c>
      <c r="BC284" s="29"/>
      <c r="BD284" s="29"/>
      <c r="BE284" s="29" t="s">
        <v>1094</v>
      </c>
      <c r="BF284" s="29" t="s">
        <v>1095</v>
      </c>
      <c r="BG284" s="29" t="s">
        <v>765</v>
      </c>
      <c r="BH284" s="29" t="s">
        <v>5828</v>
      </c>
      <c r="BI284" s="29" t="s">
        <v>727</v>
      </c>
      <c r="BJ284" s="29"/>
      <c r="BK284" s="29" t="s">
        <v>681</v>
      </c>
      <c r="BL284" s="29" t="s">
        <v>438</v>
      </c>
      <c r="BM284" s="29" t="s">
        <v>397</v>
      </c>
      <c r="BN284" s="29"/>
      <c r="BO284" s="29"/>
      <c r="BP284" s="29"/>
      <c r="BQ284" s="29"/>
      <c r="BR284" s="29"/>
      <c r="BS284" s="29"/>
      <c r="BT284" s="29"/>
      <c r="BU284" s="29"/>
      <c r="BV284" s="29"/>
      <c r="BW284" s="29"/>
      <c r="BX284" s="29"/>
      <c r="BY284" s="29"/>
      <c r="BZ284" s="29"/>
      <c r="CA284" s="29"/>
      <c r="CB284" s="29"/>
      <c r="CC284" s="29"/>
      <c r="CD284" s="29"/>
      <c r="CE284" s="29"/>
      <c r="CF284" s="29"/>
      <c r="CG284" s="29"/>
      <c r="CH284" s="29"/>
      <c r="CI284" s="29"/>
      <c r="CJ284" s="29"/>
      <c r="CK284" s="29"/>
      <c r="CL284" s="29"/>
      <c r="CM284" s="29"/>
      <c r="CN284" s="29"/>
      <c r="CO284" s="29"/>
      <c r="CP284" s="29"/>
      <c r="CQ284" s="29"/>
      <c r="CR284" s="29"/>
      <c r="CS284" s="29"/>
      <c r="CT284" s="29"/>
      <c r="CU284" s="29"/>
      <c r="CV284" s="29"/>
      <c r="CW284" s="29"/>
      <c r="CX284" s="29"/>
      <c r="CY284" s="29"/>
      <c r="CZ284" s="29"/>
      <c r="DA284" s="29"/>
      <c r="DB284" s="29"/>
      <c r="DC284" s="29"/>
      <c r="DD284" s="29"/>
      <c r="DE284" s="29"/>
      <c r="DF284" s="29"/>
      <c r="DG284" s="29"/>
      <c r="DH284" s="29"/>
      <c r="DI284" s="29"/>
      <c r="DJ284" s="29"/>
      <c r="DK284" s="29"/>
      <c r="DL284" s="29"/>
      <c r="DM284" s="29"/>
      <c r="DN284" s="29"/>
      <c r="DO284" s="29"/>
      <c r="DP284" s="29"/>
      <c r="DQ284" s="29"/>
      <c r="DR284" s="29"/>
      <c r="DS284" s="29"/>
      <c r="DT284" s="29"/>
      <c r="DU284" s="29"/>
      <c r="DV284" s="29"/>
      <c r="DW284" s="29"/>
      <c r="DX284" s="29"/>
      <c r="DY284" s="29"/>
      <c r="DZ284" s="29"/>
      <c r="EA284" s="29"/>
      <c r="EB284" s="29"/>
      <c r="EC284" s="29"/>
      <c r="ED284" s="29"/>
      <c r="EE284" s="29"/>
      <c r="EF284" s="29"/>
      <c r="EG284" s="29"/>
      <c r="EH284" s="29"/>
      <c r="EI284" s="29"/>
      <c r="EJ284" s="29"/>
      <c r="EK284" s="29"/>
      <c r="EL284" s="29"/>
      <c r="EM284" s="29"/>
      <c r="EN284" s="29"/>
      <c r="EO284" s="29"/>
      <c r="EP284" s="29"/>
      <c r="EQ284" s="29"/>
      <c r="ER284" s="29"/>
      <c r="ES284" s="29"/>
      <c r="ET284" s="29" t="s">
        <v>526</v>
      </c>
      <c r="EU284" s="29" t="s">
        <v>479</v>
      </c>
      <c r="EV284" s="29" t="s">
        <v>527</v>
      </c>
      <c r="EW284" s="29" t="s">
        <v>5829</v>
      </c>
      <c r="EX284" s="29" t="s">
        <v>5830</v>
      </c>
      <c r="EY284" s="29" t="s">
        <v>5831</v>
      </c>
      <c r="EZ284" s="29" t="s">
        <v>583</v>
      </c>
      <c r="FA284" s="29" t="s">
        <v>583</v>
      </c>
      <c r="FB284" s="29" t="s">
        <v>583</v>
      </c>
      <c r="FC284" s="29" t="s">
        <v>583</v>
      </c>
      <c r="FD284" s="29" t="s">
        <v>415</v>
      </c>
      <c r="FE284" s="29" t="s">
        <v>583</v>
      </c>
      <c r="FF284" s="29" t="s">
        <v>583</v>
      </c>
      <c r="FG284" s="29" t="s">
        <v>583</v>
      </c>
      <c r="FH284" s="29" t="s">
        <v>414</v>
      </c>
      <c r="FI284" s="29" t="s">
        <v>583</v>
      </c>
      <c r="FJ284" s="29" t="s">
        <v>583</v>
      </c>
      <c r="FK284" s="29" t="s">
        <v>414</v>
      </c>
      <c r="FL284" s="29" t="s">
        <v>414</v>
      </c>
      <c r="FM284" s="29" t="s">
        <v>416</v>
      </c>
      <c r="FN284" s="29" t="s">
        <v>414</v>
      </c>
      <c r="FO284" s="29" t="s">
        <v>850</v>
      </c>
      <c r="FP284" s="29" t="s">
        <v>418</v>
      </c>
      <c r="FQ284" s="29" t="s">
        <v>419</v>
      </c>
      <c r="FR284" s="29" t="s">
        <v>5832</v>
      </c>
      <c r="FS284" s="29" t="s">
        <v>1871</v>
      </c>
      <c r="FT284" s="29" t="s">
        <v>1462</v>
      </c>
      <c r="FU284" s="29" t="s">
        <v>533</v>
      </c>
      <c r="FV284" s="29" t="s">
        <v>1101</v>
      </c>
      <c r="FW284" s="29" t="s">
        <v>491</v>
      </c>
      <c r="FX284" s="29" t="s">
        <v>5833</v>
      </c>
      <c r="FY284" s="29" t="s">
        <v>493</v>
      </c>
      <c r="FZ284" s="29" t="s">
        <v>5834</v>
      </c>
      <c r="GA284" s="29"/>
      <c r="GB284" s="29" t="s">
        <v>455</v>
      </c>
      <c r="GC284" s="29"/>
      <c r="GD284" s="29"/>
      <c r="GE284" s="29" t="s">
        <v>753</v>
      </c>
      <c r="GF284" s="29" t="s">
        <v>5835</v>
      </c>
      <c r="GG284" s="29"/>
      <c r="GH284" s="29"/>
      <c r="GI284" s="29"/>
      <c r="GJ284" s="29"/>
      <c r="GK284" s="29"/>
      <c r="GL284" s="29"/>
      <c r="GM284" s="29"/>
      <c r="GN284" s="29"/>
      <c r="GO284" s="29"/>
      <c r="GP284" s="29"/>
      <c r="GQ284" s="29" t="s">
        <v>3208</v>
      </c>
      <c r="GR284" s="29"/>
      <c r="GS284" s="29"/>
      <c r="GT284" s="29"/>
      <c r="GU284" s="29"/>
      <c r="HP284" s="31"/>
      <c r="MX284" s="29" t="s">
        <v>10402</v>
      </c>
      <c r="MY284" s="29" t="str">
        <f>IFERROR(__xludf.DUMMYFUNCTION("""COMPUTED_VALUE"""),"Washington")</f>
        <v>Washington</v>
      </c>
    </row>
    <row r="285" ht="16.5" customHeight="1">
      <c r="A285" s="33">
        <v>45898.58556331019</v>
      </c>
      <c r="B285" s="29" t="s">
        <v>368</v>
      </c>
      <c r="C285" s="29" t="s">
        <v>370</v>
      </c>
      <c r="D285" s="29" t="s">
        <v>370</v>
      </c>
      <c r="E285" s="29" t="s">
        <v>1421</v>
      </c>
      <c r="F285" s="29" t="s">
        <v>1421</v>
      </c>
      <c r="G285" s="29" t="s">
        <v>422</v>
      </c>
      <c r="H285" s="29" t="s">
        <v>539</v>
      </c>
      <c r="I285" s="29" t="s">
        <v>2578</v>
      </c>
      <c r="J285" s="29" t="s">
        <v>425</v>
      </c>
      <c r="K285" s="29" t="s">
        <v>376</v>
      </c>
      <c r="L285" s="29" t="s">
        <v>591</v>
      </c>
      <c r="M285" s="29" t="s">
        <v>5837</v>
      </c>
      <c r="N285" s="29" t="s">
        <v>793</v>
      </c>
      <c r="O285" s="29" t="s">
        <v>5838</v>
      </c>
      <c r="P285" s="29" t="s">
        <v>381</v>
      </c>
      <c r="Q285" s="29" t="s">
        <v>862</v>
      </c>
      <c r="R285" s="29" t="s">
        <v>500</v>
      </c>
      <c r="S285" s="29" t="s">
        <v>384</v>
      </c>
      <c r="T285" s="29" t="s">
        <v>385</v>
      </c>
      <c r="U285" s="29"/>
      <c r="V285" s="29"/>
      <c r="W285" s="29" t="s">
        <v>3014</v>
      </c>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t="s">
        <v>1310</v>
      </c>
      <c r="AW285" s="29" t="s">
        <v>675</v>
      </c>
      <c r="AX285" s="29" t="s">
        <v>675</v>
      </c>
      <c r="AY285" s="29" t="s">
        <v>675</v>
      </c>
      <c r="AZ285" s="29">
        <v>4.0</v>
      </c>
      <c r="BA285" s="29">
        <v>4.0</v>
      </c>
      <c r="BB285" s="29" t="s">
        <v>675</v>
      </c>
      <c r="BC285" s="29" t="s">
        <v>5839</v>
      </c>
      <c r="BD285" s="29" t="s">
        <v>5840</v>
      </c>
      <c r="BE285" s="29" t="s">
        <v>3114</v>
      </c>
      <c r="BF285" s="29" t="s">
        <v>1095</v>
      </c>
      <c r="BG285" s="29"/>
      <c r="BH285" s="29" t="s">
        <v>5841</v>
      </c>
      <c r="BI285" s="29" t="s">
        <v>509</v>
      </c>
      <c r="BJ285" s="29" t="s">
        <v>5842</v>
      </c>
      <c r="BK285" s="29" t="s">
        <v>602</v>
      </c>
      <c r="BL285" s="29" t="s">
        <v>512</v>
      </c>
      <c r="BM285" s="29" t="s">
        <v>1247</v>
      </c>
      <c r="BN285" s="29" t="s">
        <v>398</v>
      </c>
      <c r="BO285" s="29" t="s">
        <v>5843</v>
      </c>
      <c r="BP285" s="29" t="s">
        <v>5844</v>
      </c>
      <c r="BQ285" s="29" t="s">
        <v>442</v>
      </c>
      <c r="BR285" s="29" t="s">
        <v>5845</v>
      </c>
      <c r="BS285" s="29" t="s">
        <v>1741</v>
      </c>
      <c r="BT285" s="29" t="s">
        <v>4368</v>
      </c>
      <c r="BU285" s="29" t="s">
        <v>405</v>
      </c>
      <c r="BV285" s="29" t="s">
        <v>1211</v>
      </c>
      <c r="BW285" s="29" t="s">
        <v>457</v>
      </c>
      <c r="BX285" s="29"/>
      <c r="BY285" s="29" t="s">
        <v>408</v>
      </c>
      <c r="BZ285" s="29"/>
      <c r="CA285" s="29" t="s">
        <v>5846</v>
      </c>
      <c r="CB285" s="29" t="s">
        <v>5847</v>
      </c>
      <c r="CC285" s="29" t="s">
        <v>5848</v>
      </c>
      <c r="CD285" s="29" t="s">
        <v>1257</v>
      </c>
      <c r="CE285" s="29" t="s">
        <v>5849</v>
      </c>
      <c r="CF285" s="29" t="s">
        <v>1722</v>
      </c>
      <c r="CG285" s="29" t="s">
        <v>5850</v>
      </c>
      <c r="CH285" s="29" t="s">
        <v>1259</v>
      </c>
      <c r="CI285" s="29" t="s">
        <v>410</v>
      </c>
      <c r="CJ285" s="29" t="s">
        <v>5851</v>
      </c>
      <c r="CK285" s="29" t="s">
        <v>5852</v>
      </c>
      <c r="CL285" s="29"/>
      <c r="CM285" s="29"/>
      <c r="CN285" s="29"/>
      <c r="CO285" s="29"/>
      <c r="CP285" s="29"/>
      <c r="CQ285" s="29"/>
      <c r="CR285" s="29"/>
      <c r="CS285" s="29"/>
      <c r="CT285" s="29"/>
      <c r="CU285" s="29"/>
      <c r="CV285" s="29"/>
      <c r="CW285" s="29"/>
      <c r="CX285" s="29"/>
      <c r="CY285" s="29"/>
      <c r="CZ285" s="29"/>
      <c r="DA285" s="29"/>
      <c r="DB285" s="29"/>
      <c r="DC285" s="29"/>
      <c r="DD285" s="29"/>
      <c r="DE285" s="29"/>
      <c r="DF285" s="29"/>
      <c r="DG285" s="29"/>
      <c r="DH285" s="29"/>
      <c r="DI285" s="29" t="s">
        <v>459</v>
      </c>
      <c r="DJ285" s="29" t="s">
        <v>562</v>
      </c>
      <c r="DK285" s="29" t="s">
        <v>525</v>
      </c>
      <c r="DL285" s="29"/>
      <c r="DM285" s="29"/>
      <c r="DN285" s="29"/>
      <c r="DO285" s="29"/>
      <c r="DP285" s="29"/>
      <c r="DQ285" s="29"/>
      <c r="DR285" s="29"/>
      <c r="DS285" s="29"/>
      <c r="DT285" s="29"/>
      <c r="DU285" s="29"/>
      <c r="DV285" s="29"/>
      <c r="DW285" s="29"/>
      <c r="DX285" s="29"/>
      <c r="DY285" s="29"/>
      <c r="DZ285" s="29"/>
      <c r="EA285" s="29"/>
      <c r="EB285" s="29"/>
      <c r="EC285" s="29"/>
      <c r="ED285" s="29"/>
      <c r="EE285" s="29"/>
      <c r="EF285" s="29"/>
      <c r="EG285" s="29"/>
      <c r="EH285" s="29"/>
      <c r="EI285" s="29"/>
      <c r="EJ285" s="29"/>
      <c r="EK285" s="29"/>
      <c r="EL285" s="29"/>
      <c r="EM285" s="29"/>
      <c r="EN285" s="29"/>
      <c r="EO285" s="29"/>
      <c r="EP285" s="29"/>
      <c r="EQ285" s="29"/>
      <c r="ER285" s="29"/>
      <c r="ES285" s="29"/>
      <c r="ET285" s="29" t="s">
        <v>578</v>
      </c>
      <c r="EU285" s="29" t="s">
        <v>479</v>
      </c>
      <c r="EV285" s="29" t="s">
        <v>480</v>
      </c>
      <c r="EW285" s="29" t="s">
        <v>5853</v>
      </c>
      <c r="EX285" s="29" t="s">
        <v>5854</v>
      </c>
      <c r="EY285" s="29" t="s">
        <v>5855</v>
      </c>
      <c r="EZ285" s="29" t="s">
        <v>414</v>
      </c>
      <c r="FA285" s="29" t="s">
        <v>414</v>
      </c>
      <c r="FB285" s="29" t="s">
        <v>416</v>
      </c>
      <c r="FC285" s="29" t="s">
        <v>414</v>
      </c>
      <c r="FD285" s="29" t="s">
        <v>413</v>
      </c>
      <c r="FE285" s="29" t="s">
        <v>414</v>
      </c>
      <c r="FF285" s="29" t="s">
        <v>415</v>
      </c>
      <c r="FG285" s="29" t="s">
        <v>416</v>
      </c>
      <c r="FH285" s="29" t="s">
        <v>414</v>
      </c>
      <c r="FI285" s="29" t="s">
        <v>414</v>
      </c>
      <c r="FJ285" s="29" t="s">
        <v>414</v>
      </c>
      <c r="FK285" s="29" t="s">
        <v>416</v>
      </c>
      <c r="FL285" s="29" t="s">
        <v>583</v>
      </c>
      <c r="FM285" s="29" t="s">
        <v>416</v>
      </c>
      <c r="FN285" s="29" t="s">
        <v>583</v>
      </c>
      <c r="FO285" s="29" t="s">
        <v>485</v>
      </c>
      <c r="FP285" s="29" t="s">
        <v>418</v>
      </c>
      <c r="FQ285" s="29" t="s">
        <v>419</v>
      </c>
      <c r="FR285" s="29" t="s">
        <v>5856</v>
      </c>
      <c r="FS285" s="29" t="s">
        <v>1076</v>
      </c>
      <c r="FT285" s="29" t="s">
        <v>488</v>
      </c>
      <c r="FU285" s="29" t="s">
        <v>533</v>
      </c>
      <c r="FV285" s="29" t="s">
        <v>490</v>
      </c>
      <c r="FW285" s="29" t="s">
        <v>491</v>
      </c>
      <c r="FX285" s="29" t="s">
        <v>5857</v>
      </c>
      <c r="FY285" s="29" t="s">
        <v>535</v>
      </c>
      <c r="FZ285" s="29" t="s">
        <v>5858</v>
      </c>
      <c r="GA285" s="29" t="s">
        <v>5859</v>
      </c>
      <c r="GB285" s="29" t="s">
        <v>455</v>
      </c>
      <c r="GC285" s="29" t="s">
        <v>5860</v>
      </c>
      <c r="GD285" s="29"/>
      <c r="GE285" s="29" t="s">
        <v>786</v>
      </c>
      <c r="GF285" s="29" t="s">
        <v>5861</v>
      </c>
      <c r="GG285" s="29"/>
      <c r="GH285" s="29"/>
      <c r="GI285" s="29"/>
      <c r="GJ285" s="29" t="s">
        <v>755</v>
      </c>
      <c r="GK285" s="29" t="s">
        <v>755</v>
      </c>
      <c r="GL285" s="29" t="s">
        <v>946</v>
      </c>
      <c r="GM285" s="29"/>
      <c r="GN285" s="29"/>
      <c r="GO285" s="29"/>
      <c r="GP285" s="29"/>
      <c r="GQ285" s="29" t="s">
        <v>3306</v>
      </c>
      <c r="GR285" s="29" t="s">
        <v>4936</v>
      </c>
      <c r="GS285" s="29" t="s">
        <v>5862</v>
      </c>
      <c r="GT285" s="29"/>
      <c r="GU285" s="29"/>
      <c r="HP285" s="31"/>
      <c r="MX285" s="29" t="s">
        <v>10402</v>
      </c>
      <c r="MY285" s="29" t="str">
        <f>IFERROR(__xludf.DUMMYFUNCTION("""COMPUTED_VALUE"""),"Puerto Rico")</f>
        <v>Puerto Rico</v>
      </c>
    </row>
    <row r="286" ht="16.5" customHeight="1">
      <c r="A286" s="33">
        <v>45899.51747539351</v>
      </c>
      <c r="B286" s="29" t="s">
        <v>368</v>
      </c>
      <c r="C286" s="29" t="s">
        <v>370</v>
      </c>
      <c r="D286" s="29" t="s">
        <v>370</v>
      </c>
      <c r="E286" s="29" t="s">
        <v>5866</v>
      </c>
      <c r="F286" s="29" t="s">
        <v>371</v>
      </c>
      <c r="G286" s="29" t="s">
        <v>1269</v>
      </c>
      <c r="H286" s="29" t="s">
        <v>423</v>
      </c>
      <c r="I286" s="29" t="s">
        <v>668</v>
      </c>
      <c r="J286" s="29" t="s">
        <v>375</v>
      </c>
      <c r="K286" s="29" t="s">
        <v>376</v>
      </c>
      <c r="L286" s="29" t="s">
        <v>377</v>
      </c>
      <c r="M286" s="29" t="s">
        <v>3845</v>
      </c>
      <c r="N286" s="29" t="s">
        <v>426</v>
      </c>
      <c r="O286" s="29" t="s">
        <v>5867</v>
      </c>
      <c r="P286" s="29" t="s">
        <v>381</v>
      </c>
      <c r="Q286" s="29" t="s">
        <v>1004</v>
      </c>
      <c r="R286" s="29" t="s">
        <v>500</v>
      </c>
      <c r="S286" s="29" t="s">
        <v>384</v>
      </c>
      <c r="T286" s="29" t="s">
        <v>385</v>
      </c>
      <c r="U286" s="29"/>
      <c r="V286" s="29"/>
      <c r="W286" s="29" t="s">
        <v>386</v>
      </c>
      <c r="X286" s="29" t="s">
        <v>387</v>
      </c>
      <c r="Y286" s="29" t="s">
        <v>388</v>
      </c>
      <c r="Z286" s="29" t="s">
        <v>389</v>
      </c>
      <c r="AA286" s="29" t="s">
        <v>5868</v>
      </c>
      <c r="AB286" s="29" t="s">
        <v>5869</v>
      </c>
      <c r="AC286" s="29"/>
      <c r="AD286" s="29"/>
      <c r="AE286" s="29"/>
      <c r="AF286" s="29"/>
      <c r="AG286" s="29"/>
      <c r="AH286" s="29"/>
      <c r="AI286" s="29"/>
      <c r="AJ286" s="29"/>
      <c r="AK286" s="29"/>
      <c r="AL286" s="29"/>
      <c r="AM286" s="29"/>
      <c r="AN286" s="29"/>
      <c r="AO286" s="29"/>
      <c r="AP286" s="29"/>
      <c r="AQ286" s="29"/>
      <c r="AR286" s="29"/>
      <c r="AS286" s="29"/>
      <c r="AT286" s="29"/>
      <c r="AU286" s="29"/>
      <c r="AV286" s="29" t="s">
        <v>1242</v>
      </c>
      <c r="AW286" s="29" t="s">
        <v>675</v>
      </c>
      <c r="AX286" s="29" t="s">
        <v>675</v>
      </c>
      <c r="AY286" s="29" t="s">
        <v>675</v>
      </c>
      <c r="AZ286" s="29" t="s">
        <v>675</v>
      </c>
      <c r="BA286" s="29" t="s">
        <v>675</v>
      </c>
      <c r="BB286" s="29" t="s">
        <v>675</v>
      </c>
      <c r="BC286" s="29" t="s">
        <v>5870</v>
      </c>
      <c r="BD286" s="29" t="s">
        <v>5871</v>
      </c>
      <c r="BE286" s="29" t="s">
        <v>432</v>
      </c>
      <c r="BF286" s="29" t="s">
        <v>1245</v>
      </c>
      <c r="BG286" s="29" t="s">
        <v>434</v>
      </c>
      <c r="BH286" s="29" t="s">
        <v>5872</v>
      </c>
      <c r="BI286" s="29" t="s">
        <v>435</v>
      </c>
      <c r="BJ286" s="29" t="s">
        <v>5873</v>
      </c>
      <c r="BK286" s="29" t="s">
        <v>511</v>
      </c>
      <c r="BL286" s="29" t="s">
        <v>438</v>
      </c>
      <c r="BM286" s="29" t="s">
        <v>1314</v>
      </c>
      <c r="BN286" s="29" t="s">
        <v>440</v>
      </c>
      <c r="BO286" s="29"/>
      <c r="BP286" s="29"/>
      <c r="BQ286" s="29"/>
      <c r="BR286" s="29"/>
      <c r="BS286" s="29"/>
      <c r="BT286" s="29"/>
      <c r="BU286" s="29"/>
      <c r="BV286" s="29"/>
      <c r="BW286" s="29"/>
      <c r="BX286" s="29"/>
      <c r="BY286" s="29"/>
      <c r="BZ286" s="29"/>
      <c r="CA286" s="29"/>
      <c r="CB286" s="29"/>
      <c r="CC286" s="29"/>
      <c r="CD286" s="29"/>
      <c r="CE286" s="29"/>
      <c r="CF286" s="29"/>
      <c r="CG286" s="29"/>
      <c r="CH286" s="29"/>
      <c r="CI286" s="29"/>
      <c r="CJ286" s="29"/>
      <c r="CK286" s="29"/>
      <c r="CL286" s="29" t="s">
        <v>441</v>
      </c>
      <c r="CM286" s="29" t="s">
        <v>682</v>
      </c>
      <c r="CN286" s="29" t="s">
        <v>5874</v>
      </c>
      <c r="CO286" s="29" t="s">
        <v>5875</v>
      </c>
      <c r="CP286" s="29" t="s">
        <v>685</v>
      </c>
      <c r="CQ286" s="29" t="s">
        <v>5876</v>
      </c>
      <c r="CR286" s="29" t="s">
        <v>404</v>
      </c>
      <c r="CS286" s="29" t="s">
        <v>1137</v>
      </c>
      <c r="CT286" s="29" t="s">
        <v>5877</v>
      </c>
      <c r="CU286" s="29" t="s">
        <v>982</v>
      </c>
      <c r="CV286" s="29" t="s">
        <v>451</v>
      </c>
      <c r="CW286" s="29" t="s">
        <v>5878</v>
      </c>
      <c r="CX286" s="29" t="s">
        <v>408</v>
      </c>
      <c r="CY286" s="29"/>
      <c r="CZ286" s="29" t="s">
        <v>1398</v>
      </c>
      <c r="DA286" s="29" t="s">
        <v>5879</v>
      </c>
      <c r="DB286" s="29" t="s">
        <v>455</v>
      </c>
      <c r="DC286" s="29" t="s">
        <v>5880</v>
      </c>
      <c r="DD286" s="29" t="s">
        <v>457</v>
      </c>
      <c r="DE286" s="29" t="s">
        <v>691</v>
      </c>
      <c r="DF286" s="29" t="s">
        <v>5881</v>
      </c>
      <c r="DG286" s="29" t="s">
        <v>561</v>
      </c>
      <c r="DH286" s="29" t="s">
        <v>833</v>
      </c>
      <c r="DI286" s="29" t="s">
        <v>963</v>
      </c>
      <c r="DJ286" s="29" t="s">
        <v>1403</v>
      </c>
      <c r="DK286" s="29" t="s">
        <v>525</v>
      </c>
      <c r="DL286" s="29"/>
      <c r="DM286" s="29" t="s">
        <v>5882</v>
      </c>
      <c r="DN286" s="29" t="s">
        <v>5883</v>
      </c>
      <c r="DO286" s="29" t="s">
        <v>3496</v>
      </c>
      <c r="DP286" s="29" t="s">
        <v>5884</v>
      </c>
      <c r="DQ286" s="29" t="s">
        <v>1324</v>
      </c>
      <c r="DR286" s="29" t="s">
        <v>5885</v>
      </c>
      <c r="DS286" s="29" t="s">
        <v>618</v>
      </c>
      <c r="DT286" s="29" t="s">
        <v>1580</v>
      </c>
      <c r="DU286" s="29" t="s">
        <v>5886</v>
      </c>
      <c r="DV286" s="29" t="s">
        <v>5887</v>
      </c>
      <c r="DW286" s="29" t="s">
        <v>1328</v>
      </c>
      <c r="DX286" s="29" t="s">
        <v>5888</v>
      </c>
      <c r="DY286" s="29" t="s">
        <v>5889</v>
      </c>
      <c r="DZ286" s="29" t="s">
        <v>5890</v>
      </c>
      <c r="EA286" s="29" t="s">
        <v>475</v>
      </c>
      <c r="EB286" s="29" t="s">
        <v>626</v>
      </c>
      <c r="EC286" s="29" t="s">
        <v>5891</v>
      </c>
      <c r="ED286" s="29"/>
      <c r="EE286" s="29"/>
      <c r="EF286" s="29"/>
      <c r="EG286" s="29"/>
      <c r="EH286" s="29"/>
      <c r="EI286" s="29"/>
      <c r="EJ286" s="29"/>
      <c r="EK286" s="29"/>
      <c r="EL286" s="29"/>
      <c r="EM286" s="29"/>
      <c r="EN286" s="29"/>
      <c r="EO286" s="29"/>
      <c r="EP286" s="29"/>
      <c r="EQ286" s="29"/>
      <c r="ER286" s="29"/>
      <c r="ES286" s="29"/>
      <c r="ET286" s="29" t="s">
        <v>526</v>
      </c>
      <c r="EU286" s="29" t="s">
        <v>579</v>
      </c>
      <c r="EV286" s="29" t="s">
        <v>778</v>
      </c>
      <c r="EW286" s="29" t="s">
        <v>5892</v>
      </c>
      <c r="EX286" s="29" t="s">
        <v>5893</v>
      </c>
      <c r="EY286" s="29" t="s">
        <v>5894</v>
      </c>
      <c r="EZ286" s="29" t="s">
        <v>413</v>
      </c>
      <c r="FA286" s="29" t="s">
        <v>413</v>
      </c>
      <c r="FB286" s="29" t="s">
        <v>413</v>
      </c>
      <c r="FC286" s="29" t="s">
        <v>413</v>
      </c>
      <c r="FD286" s="29" t="s">
        <v>413</v>
      </c>
      <c r="FE286" s="29" t="s">
        <v>413</v>
      </c>
      <c r="FF286" s="29" t="s">
        <v>413</v>
      </c>
      <c r="FG286" s="29" t="s">
        <v>413</v>
      </c>
      <c r="FH286" s="29" t="s">
        <v>413</v>
      </c>
      <c r="FI286" s="29" t="s">
        <v>413</v>
      </c>
      <c r="FJ286" s="29" t="s">
        <v>413</v>
      </c>
      <c r="FK286" s="29" t="s">
        <v>413</v>
      </c>
      <c r="FL286" s="29" t="s">
        <v>413</v>
      </c>
      <c r="FM286" s="29" t="s">
        <v>413</v>
      </c>
      <c r="FN286" s="29" t="s">
        <v>583</v>
      </c>
      <c r="FO286" s="29" t="s">
        <v>485</v>
      </c>
      <c r="FP286" s="29" t="s">
        <v>418</v>
      </c>
      <c r="FQ286" s="29" t="s">
        <v>531</v>
      </c>
      <c r="FR286" s="29" t="s">
        <v>5895</v>
      </c>
      <c r="FS286" s="29" t="s">
        <v>420</v>
      </c>
      <c r="FT286" s="29" t="s">
        <v>1462</v>
      </c>
      <c r="FU286" s="29" t="s">
        <v>585</v>
      </c>
      <c r="FV286" s="29" t="s">
        <v>490</v>
      </c>
      <c r="FW286" s="29" t="s">
        <v>491</v>
      </c>
      <c r="FX286" s="29" t="s">
        <v>5896</v>
      </c>
      <c r="FY286" s="29" t="s">
        <v>535</v>
      </c>
      <c r="FZ286" s="29" t="s">
        <v>5897</v>
      </c>
      <c r="GA286" s="29"/>
      <c r="GB286" s="29" t="s">
        <v>455</v>
      </c>
      <c r="GC286" s="29"/>
      <c r="GD286" s="29"/>
      <c r="GE286" s="29" t="s">
        <v>944</v>
      </c>
      <c r="GF286" s="29" t="s">
        <v>5898</v>
      </c>
      <c r="GG286" s="29" t="s">
        <v>755</v>
      </c>
      <c r="GH286" s="29" t="s">
        <v>755</v>
      </c>
      <c r="GI286" s="29" t="s">
        <v>946</v>
      </c>
      <c r="GJ286" s="29"/>
      <c r="GK286" s="29"/>
      <c r="GL286" s="29"/>
      <c r="GM286" s="29" t="s">
        <v>1079</v>
      </c>
      <c r="GN286" s="29"/>
      <c r="GO286" s="29"/>
      <c r="GP286" s="29"/>
      <c r="GQ286" s="29" t="s">
        <v>3208</v>
      </c>
      <c r="GR286" s="29"/>
      <c r="GS286" s="29"/>
      <c r="GT286" s="29" t="s">
        <v>4774</v>
      </c>
      <c r="GU286" s="29"/>
      <c r="HP286" s="31"/>
      <c r="MX286" s="29" t="s">
        <v>1341</v>
      </c>
      <c r="MY286" s="29" t="str">
        <f>IFERROR(__xludf.DUMMYFUNCTION("""COMPUTED_VALUE"""),"Germany")</f>
        <v>Germany</v>
      </c>
    </row>
    <row r="287" ht="16.5" customHeight="1">
      <c r="A287" s="33">
        <v>45900.64462908565</v>
      </c>
      <c r="B287" s="29" t="s">
        <v>368</v>
      </c>
      <c r="C287" s="29" t="s">
        <v>1341</v>
      </c>
      <c r="D287" s="29" t="s">
        <v>1341</v>
      </c>
      <c r="E287" s="29"/>
      <c r="F287" s="29"/>
      <c r="G287" s="29" t="s">
        <v>422</v>
      </c>
      <c r="H287" s="29" t="s">
        <v>1921</v>
      </c>
      <c r="I287" s="29" t="s">
        <v>668</v>
      </c>
      <c r="J287" s="29" t="s">
        <v>375</v>
      </c>
      <c r="K287" s="29" t="s">
        <v>376</v>
      </c>
      <c r="L287" s="29" t="s">
        <v>377</v>
      </c>
      <c r="M287" s="29" t="s">
        <v>497</v>
      </c>
      <c r="N287" s="29" t="s">
        <v>377</v>
      </c>
      <c r="O287" s="29" t="s">
        <v>497</v>
      </c>
      <c r="P287" s="29" t="s">
        <v>381</v>
      </c>
      <c r="Q287" s="29" t="s">
        <v>499</v>
      </c>
      <c r="R287" s="29" t="s">
        <v>427</v>
      </c>
      <c r="S287" s="29" t="s">
        <v>384</v>
      </c>
      <c r="T287" s="29" t="s">
        <v>385</v>
      </c>
      <c r="U287" s="29"/>
      <c r="V287" s="29"/>
      <c r="W287" s="29" t="s">
        <v>386</v>
      </c>
      <c r="X287" s="29" t="s">
        <v>387</v>
      </c>
      <c r="Y287" s="29" t="s">
        <v>388</v>
      </c>
      <c r="Z287" s="29" t="s">
        <v>543</v>
      </c>
      <c r="AA287" s="29" t="s">
        <v>5904</v>
      </c>
      <c r="AB287" s="29" t="s">
        <v>5905</v>
      </c>
      <c r="AC287" s="29"/>
      <c r="AD287" s="29"/>
      <c r="AE287" s="29"/>
      <c r="AF287" s="29"/>
      <c r="AG287" s="29"/>
      <c r="AH287" s="29"/>
      <c r="AI287" s="29"/>
      <c r="AJ287" s="29"/>
      <c r="AK287" s="29"/>
      <c r="AL287" s="29"/>
      <c r="AM287" s="29"/>
      <c r="AN287" s="29"/>
      <c r="AO287" s="29"/>
      <c r="AP287" s="29"/>
      <c r="AQ287" s="29"/>
      <c r="AR287" s="29"/>
      <c r="AS287" s="29"/>
      <c r="AT287" s="29"/>
      <c r="AU287" s="29"/>
      <c r="AV287" s="29" t="s">
        <v>1242</v>
      </c>
      <c r="AW287" s="29" t="s">
        <v>675</v>
      </c>
      <c r="AX287" s="29">
        <v>4.0</v>
      </c>
      <c r="AY287" s="29">
        <v>4.0</v>
      </c>
      <c r="AZ287" s="29">
        <v>4.0</v>
      </c>
      <c r="BA287" s="29">
        <v>2.0</v>
      </c>
      <c r="BB287" s="29" t="s">
        <v>675</v>
      </c>
      <c r="BC287" s="29" t="s">
        <v>5906</v>
      </c>
      <c r="BD287" s="29" t="s">
        <v>5907</v>
      </c>
      <c r="BE287" s="29" t="s">
        <v>2259</v>
      </c>
      <c r="BF287" s="29" t="s">
        <v>1047</v>
      </c>
      <c r="BG287" s="29" t="s">
        <v>434</v>
      </c>
      <c r="BH287" s="29"/>
      <c r="BI287" s="29" t="s">
        <v>976</v>
      </c>
      <c r="BJ287" s="29"/>
      <c r="BK287" s="29" t="s">
        <v>395</v>
      </c>
      <c r="BL287" s="29" t="s">
        <v>904</v>
      </c>
      <c r="BM287" s="29" t="s">
        <v>1314</v>
      </c>
      <c r="BN287" s="29" t="s">
        <v>513</v>
      </c>
      <c r="BO287" s="29"/>
      <c r="BP287" s="29"/>
      <c r="BQ287" s="29"/>
      <c r="BR287" s="29"/>
      <c r="BS287" s="29"/>
      <c r="BT287" s="29"/>
      <c r="BU287" s="29"/>
      <c r="BV287" s="29"/>
      <c r="BW287" s="29"/>
      <c r="BX287" s="29"/>
      <c r="BY287" s="29"/>
      <c r="BZ287" s="29"/>
      <c r="CA287" s="29"/>
      <c r="CB287" s="29"/>
      <c r="CC287" s="29"/>
      <c r="CD287" s="29"/>
      <c r="CE287" s="29"/>
      <c r="CF287" s="29"/>
      <c r="CG287" s="29"/>
      <c r="CH287" s="29"/>
      <c r="CI287" s="29"/>
      <c r="CJ287" s="29"/>
      <c r="CK287" s="29"/>
      <c r="CL287" s="29" t="s">
        <v>682</v>
      </c>
      <c r="CM287" s="29" t="s">
        <v>604</v>
      </c>
      <c r="CN287" s="29" t="s">
        <v>5908</v>
      </c>
      <c r="CO287" s="29" t="s">
        <v>5909</v>
      </c>
      <c r="CP287" s="29"/>
      <c r="CQ287" s="29"/>
      <c r="CR287" s="29"/>
      <c r="CS287" s="29"/>
      <c r="CT287" s="29" t="s">
        <v>5910</v>
      </c>
      <c r="CU287" s="29" t="s">
        <v>1852</v>
      </c>
      <c r="CV287" s="29" t="s">
        <v>959</v>
      </c>
      <c r="CW287" s="29" t="s">
        <v>5911</v>
      </c>
      <c r="CX287" s="29" t="s">
        <v>408</v>
      </c>
      <c r="CY287" s="29"/>
      <c r="CZ287" s="29" t="s">
        <v>1962</v>
      </c>
      <c r="DA287" s="29"/>
      <c r="DB287" s="29" t="s">
        <v>408</v>
      </c>
      <c r="DC287" s="29"/>
      <c r="DD287" s="29"/>
      <c r="DE287" s="29"/>
      <c r="DF287" s="29"/>
      <c r="DG287" s="29" t="s">
        <v>990</v>
      </c>
      <c r="DH287" s="29" t="s">
        <v>833</v>
      </c>
      <c r="DI287" s="29" t="s">
        <v>963</v>
      </c>
      <c r="DJ287" s="29" t="s">
        <v>562</v>
      </c>
      <c r="DK287" s="29" t="s">
        <v>563</v>
      </c>
      <c r="DL287" s="29" t="s">
        <v>5912</v>
      </c>
      <c r="DM287" s="29"/>
      <c r="DN287" s="29"/>
      <c r="DO287" s="29"/>
      <c r="DP287" s="29"/>
      <c r="DQ287" s="29"/>
      <c r="DR287" s="29"/>
      <c r="DS287" s="29"/>
      <c r="DT287" s="29"/>
      <c r="DU287" s="29"/>
      <c r="DV287" s="29"/>
      <c r="DW287" s="29"/>
      <c r="DX287" s="29"/>
      <c r="DY287" s="29"/>
      <c r="DZ287" s="29"/>
      <c r="EA287" s="29"/>
      <c r="EB287" s="29"/>
      <c r="EC287" s="29"/>
      <c r="ED287" s="29"/>
      <c r="EE287" s="29"/>
      <c r="EF287" s="29"/>
      <c r="EG287" s="29"/>
      <c r="EH287" s="29"/>
      <c r="EI287" s="29"/>
      <c r="EJ287" s="29"/>
      <c r="EK287" s="29"/>
      <c r="EL287" s="29"/>
      <c r="EM287" s="29"/>
      <c r="EN287" s="29"/>
      <c r="EO287" s="29"/>
      <c r="EP287" s="29"/>
      <c r="EQ287" s="29"/>
      <c r="ER287" s="29"/>
      <c r="ES287" s="29"/>
      <c r="ET287" s="29" t="s">
        <v>578</v>
      </c>
      <c r="EU287" s="29" t="s">
        <v>579</v>
      </c>
      <c r="EV287" s="29" t="s">
        <v>527</v>
      </c>
      <c r="EW287" s="29" t="s">
        <v>5913</v>
      </c>
      <c r="EX287" s="29" t="s">
        <v>5914</v>
      </c>
      <c r="EY287" s="29" t="s">
        <v>5915</v>
      </c>
      <c r="EZ287" s="29" t="s">
        <v>414</v>
      </c>
      <c r="FA287" s="29" t="s">
        <v>583</v>
      </c>
      <c r="FB287" s="29" t="s">
        <v>415</v>
      </c>
      <c r="FC287" s="29" t="s">
        <v>583</v>
      </c>
      <c r="FD287" s="29" t="s">
        <v>414</v>
      </c>
      <c r="FE287" s="29" t="s">
        <v>583</v>
      </c>
      <c r="FF287" s="29" t="s">
        <v>583</v>
      </c>
      <c r="FG287" s="29" t="s">
        <v>583</v>
      </c>
      <c r="FH287" s="29" t="s">
        <v>416</v>
      </c>
      <c r="FI287" s="29" t="s">
        <v>413</v>
      </c>
      <c r="FJ287" s="29" t="s">
        <v>415</v>
      </c>
      <c r="FK287" s="29" t="s">
        <v>583</v>
      </c>
      <c r="FL287" s="29" t="s">
        <v>583</v>
      </c>
      <c r="FM287" s="29" t="s">
        <v>414</v>
      </c>
      <c r="FN287" s="29" t="s">
        <v>413</v>
      </c>
      <c r="FO287" s="29" t="s">
        <v>1074</v>
      </c>
      <c r="FP287" s="29" t="s">
        <v>3218</v>
      </c>
      <c r="FQ287" s="29" t="s">
        <v>749</v>
      </c>
      <c r="FR287" s="29" t="s">
        <v>2270</v>
      </c>
      <c r="FS287" s="29" t="s">
        <v>1871</v>
      </c>
      <c r="FT287" s="29" t="s">
        <v>2398</v>
      </c>
      <c r="FU287" s="29" t="s">
        <v>1235</v>
      </c>
      <c r="FV287" s="29" t="s">
        <v>2399</v>
      </c>
      <c r="FW287" s="29" t="s">
        <v>1853</v>
      </c>
      <c r="FX287" s="29"/>
      <c r="FY287" s="29" t="s">
        <v>1854</v>
      </c>
      <c r="FZ287" s="29"/>
      <c r="GA287" s="29"/>
      <c r="GB287" s="29" t="s">
        <v>408</v>
      </c>
      <c r="GC287" s="29"/>
      <c r="GD287" s="29"/>
      <c r="GE287" s="29"/>
      <c r="GF287" s="29"/>
      <c r="GG287" s="29" t="s">
        <v>755</v>
      </c>
      <c r="GH287" s="29" t="s">
        <v>755</v>
      </c>
      <c r="GI287" s="29" t="s">
        <v>946</v>
      </c>
      <c r="GJ287" s="29"/>
      <c r="GK287" s="29"/>
      <c r="GL287" s="29"/>
      <c r="GM287" s="29"/>
      <c r="GN287" s="29" t="s">
        <v>3220</v>
      </c>
      <c r="GO287" s="29" t="s">
        <v>3220</v>
      </c>
      <c r="GP287" s="29"/>
      <c r="GQ287" s="29" t="s">
        <v>3208</v>
      </c>
      <c r="GR287" s="29"/>
      <c r="GS287" s="29"/>
      <c r="GT287" s="29" t="s">
        <v>4774</v>
      </c>
      <c r="GU287" s="29"/>
      <c r="HP287" s="31"/>
      <c r="MX287" s="29" t="s">
        <v>10402</v>
      </c>
      <c r="MY287" s="29" t="str">
        <f>IFERROR(__xludf.DUMMYFUNCTION("""COMPUTED_VALUE"""),"Washington")</f>
        <v>Washington</v>
      </c>
    </row>
    <row r="288" ht="16.5" customHeight="1">
      <c r="A288" s="33">
        <v>45901.78909364583</v>
      </c>
      <c r="B288" s="29" t="s">
        <v>368</v>
      </c>
      <c r="C288" s="29" t="s">
        <v>370</v>
      </c>
      <c r="D288" s="29" t="s">
        <v>370</v>
      </c>
      <c r="E288" s="29" t="s">
        <v>1421</v>
      </c>
      <c r="F288" s="29" t="s">
        <v>1421</v>
      </c>
      <c r="G288" s="29" t="s">
        <v>5926</v>
      </c>
      <c r="H288" s="29" t="s">
        <v>637</v>
      </c>
      <c r="I288" s="29" t="s">
        <v>638</v>
      </c>
      <c r="J288" s="29" t="s">
        <v>590</v>
      </c>
      <c r="K288" s="29" t="s">
        <v>376</v>
      </c>
      <c r="L288" s="29" t="s">
        <v>793</v>
      </c>
      <c r="M288" s="29" t="s">
        <v>719</v>
      </c>
      <c r="N288" s="29" t="s">
        <v>1526</v>
      </c>
      <c r="O288" s="29" t="s">
        <v>2464</v>
      </c>
      <c r="P288" s="29" t="s">
        <v>381</v>
      </c>
      <c r="Q288" s="29" t="s">
        <v>499</v>
      </c>
      <c r="R288" s="29" t="s">
        <v>5927</v>
      </c>
      <c r="S288" s="29" t="s">
        <v>5928</v>
      </c>
      <c r="T288" s="29" t="s">
        <v>1786</v>
      </c>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29"/>
      <c r="BR288" s="29"/>
      <c r="BS288" s="29"/>
      <c r="BT288" s="29"/>
      <c r="BU288" s="29"/>
      <c r="BV288" s="29"/>
      <c r="BW288" s="29"/>
      <c r="BX288" s="29"/>
      <c r="BY288" s="29"/>
      <c r="BZ288" s="29"/>
      <c r="CA288" s="29"/>
      <c r="CB288" s="29"/>
      <c r="CC288" s="29"/>
      <c r="CD288" s="29"/>
      <c r="CE288" s="29"/>
      <c r="CF288" s="29"/>
      <c r="CG288" s="29"/>
      <c r="CH288" s="29"/>
      <c r="CI288" s="29"/>
      <c r="CJ288" s="29"/>
      <c r="CK288" s="29"/>
      <c r="CL288" s="29"/>
      <c r="CM288" s="29"/>
      <c r="CN288" s="29"/>
      <c r="CO288" s="29"/>
      <c r="CP288" s="29"/>
      <c r="CQ288" s="29"/>
      <c r="CR288" s="29"/>
      <c r="CS288" s="29"/>
      <c r="CT288" s="29"/>
      <c r="CU288" s="29"/>
      <c r="CV288" s="29"/>
      <c r="CW288" s="29"/>
      <c r="CX288" s="29"/>
      <c r="CY288" s="29"/>
      <c r="CZ288" s="29"/>
      <c r="DA288" s="29"/>
      <c r="DB288" s="29"/>
      <c r="DC288" s="29"/>
      <c r="DD288" s="29"/>
      <c r="DE288" s="29"/>
      <c r="DF288" s="29"/>
      <c r="DG288" s="29"/>
      <c r="DH288" s="29"/>
      <c r="DI288" s="29"/>
      <c r="DJ288" s="29"/>
      <c r="DK288" s="29"/>
      <c r="DL288" s="29"/>
      <c r="DM288" s="29"/>
      <c r="DN288" s="29"/>
      <c r="DO288" s="29"/>
      <c r="DP288" s="29"/>
      <c r="DQ288" s="29"/>
      <c r="DR288" s="29"/>
      <c r="DS288" s="29"/>
      <c r="DT288" s="29"/>
      <c r="DU288" s="29"/>
      <c r="DV288" s="29"/>
      <c r="DW288" s="29"/>
      <c r="DX288" s="29"/>
      <c r="DY288" s="29"/>
      <c r="DZ288" s="29"/>
      <c r="EA288" s="29"/>
      <c r="EB288" s="29"/>
      <c r="EC288" s="29"/>
      <c r="ED288" s="29" t="s">
        <v>5929</v>
      </c>
      <c r="EE288" s="29"/>
      <c r="EF288" s="29"/>
      <c r="EG288" s="29"/>
      <c r="EH288" s="29"/>
      <c r="EI288" s="29"/>
      <c r="EJ288" s="29"/>
      <c r="EK288" s="29"/>
      <c r="EL288" s="29"/>
      <c r="EM288" s="29"/>
      <c r="EN288" s="29"/>
      <c r="EO288" s="29"/>
      <c r="EP288" s="29"/>
      <c r="EQ288" s="29"/>
      <c r="ER288" s="29" t="s">
        <v>5930</v>
      </c>
      <c r="ES288" s="29" t="s">
        <v>5931</v>
      </c>
      <c r="ET288" s="29" t="s">
        <v>526</v>
      </c>
      <c r="EU288" s="29" t="s">
        <v>1037</v>
      </c>
      <c r="EV288" s="29" t="s">
        <v>480</v>
      </c>
      <c r="EW288" s="29"/>
      <c r="EX288" s="29"/>
      <c r="EY288" s="29" t="s">
        <v>5932</v>
      </c>
      <c r="EZ288" s="29" t="s">
        <v>414</v>
      </c>
      <c r="FA288" s="29" t="s">
        <v>414</v>
      </c>
      <c r="FB288" s="29" t="s">
        <v>416</v>
      </c>
      <c r="FC288" s="29" t="s">
        <v>484</v>
      </c>
      <c r="FD288" s="29" t="s">
        <v>415</v>
      </c>
      <c r="FE288" s="29" t="s">
        <v>414</v>
      </c>
      <c r="FF288" s="29" t="s">
        <v>484</v>
      </c>
      <c r="FG288" s="29" t="s">
        <v>416</v>
      </c>
      <c r="FH288" s="29" t="s">
        <v>414</v>
      </c>
      <c r="FI288" s="29" t="s">
        <v>484</v>
      </c>
      <c r="FJ288" s="29" t="s">
        <v>484</v>
      </c>
      <c r="FK288" s="29" t="s">
        <v>484</v>
      </c>
      <c r="FL288" s="29" t="s">
        <v>484</v>
      </c>
      <c r="FM288" s="29" t="s">
        <v>484</v>
      </c>
      <c r="FN288" s="29" t="s">
        <v>484</v>
      </c>
      <c r="FO288" s="29" t="s">
        <v>417</v>
      </c>
      <c r="FP288" s="29" t="s">
        <v>418</v>
      </c>
      <c r="FQ288" s="29" t="s">
        <v>749</v>
      </c>
      <c r="FR288" s="29"/>
      <c r="FS288" s="29" t="s">
        <v>995</v>
      </c>
      <c r="FT288" s="29" t="s">
        <v>488</v>
      </c>
      <c r="FU288" s="29" t="s">
        <v>489</v>
      </c>
      <c r="FV288" s="29" t="s">
        <v>490</v>
      </c>
      <c r="FW288" s="29" t="s">
        <v>491</v>
      </c>
      <c r="FX288" s="29" t="s">
        <v>5933</v>
      </c>
      <c r="FY288" s="29" t="s">
        <v>535</v>
      </c>
      <c r="FZ288" s="29"/>
      <c r="GA288" s="29" t="s">
        <v>5934</v>
      </c>
      <c r="GB288" s="29" t="s">
        <v>408</v>
      </c>
      <c r="GC288" s="29"/>
      <c r="GD288" s="29"/>
      <c r="GE288" s="29"/>
      <c r="GF288" s="29"/>
      <c r="GG288" s="29"/>
      <c r="GH288" s="29"/>
      <c r="GI288" s="29"/>
      <c r="GJ288" s="29"/>
      <c r="GK288" s="29"/>
      <c r="GL288" s="29"/>
      <c r="GM288" s="29"/>
      <c r="GN288" s="29"/>
      <c r="GO288" s="29"/>
      <c r="GP288" s="29"/>
      <c r="GQ288" s="29" t="s">
        <v>3937</v>
      </c>
      <c r="GR288" s="29"/>
      <c r="GS288" s="29"/>
      <c r="GT288" s="29"/>
      <c r="GU288" s="29"/>
      <c r="HP288" s="31"/>
      <c r="MX288" s="29" t="s">
        <v>10402</v>
      </c>
      <c r="MY288" s="29" t="str">
        <f>IFERROR(__xludf.DUMMYFUNCTION("""COMPUTED_VALUE"""),"North Carolina")</f>
        <v>North Carolina</v>
      </c>
    </row>
    <row r="289" ht="16.5" customHeight="1">
      <c r="A289" s="33">
        <v>45902.88062935185</v>
      </c>
      <c r="B289" s="29" t="s">
        <v>368</v>
      </c>
      <c r="C289" s="29" t="s">
        <v>370</v>
      </c>
      <c r="D289" s="29" t="s">
        <v>370</v>
      </c>
      <c r="E289" s="29" t="s">
        <v>3955</v>
      </c>
      <c r="F289" s="29" t="s">
        <v>1421</v>
      </c>
      <c r="G289" s="29" t="s">
        <v>422</v>
      </c>
      <c r="H289" s="29" t="s">
        <v>373</v>
      </c>
      <c r="I289" s="29" t="s">
        <v>374</v>
      </c>
      <c r="J289" s="29" t="s">
        <v>375</v>
      </c>
      <c r="K289" s="29" t="s">
        <v>376</v>
      </c>
      <c r="L289" s="29" t="s">
        <v>591</v>
      </c>
      <c r="M289" s="29" t="s">
        <v>378</v>
      </c>
      <c r="N289" s="29" t="s">
        <v>793</v>
      </c>
      <c r="O289" s="29" t="s">
        <v>719</v>
      </c>
      <c r="P289" s="29" t="s">
        <v>592</v>
      </c>
      <c r="Q289" s="29" t="s">
        <v>499</v>
      </c>
      <c r="R289" s="29" t="s">
        <v>5936</v>
      </c>
      <c r="S289" s="29" t="s">
        <v>2361</v>
      </c>
      <c r="T289" s="29" t="s">
        <v>385</v>
      </c>
      <c r="U289" s="29"/>
      <c r="V289" s="29"/>
      <c r="W289" s="29" t="s">
        <v>386</v>
      </c>
      <c r="X289" s="29" t="s">
        <v>387</v>
      </c>
      <c r="Y289" s="29" t="s">
        <v>2026</v>
      </c>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t="s">
        <v>597</v>
      </c>
      <c r="AW289" s="29"/>
      <c r="AX289" s="29"/>
      <c r="AY289" s="29"/>
      <c r="AZ289" s="29"/>
      <c r="BA289" s="29"/>
      <c r="BB289" s="29"/>
      <c r="BC289" s="29"/>
      <c r="BD289" s="29"/>
      <c r="BE289" s="29"/>
      <c r="BF289" s="29"/>
      <c r="BG289" s="29"/>
      <c r="BH289" s="29"/>
      <c r="BI289" s="29"/>
      <c r="BJ289" s="29"/>
      <c r="BK289" s="29"/>
      <c r="BL289" s="29" t="s">
        <v>904</v>
      </c>
      <c r="BM289" s="29"/>
      <c r="BN289" s="29" t="s">
        <v>513</v>
      </c>
      <c r="BO289" s="29"/>
      <c r="BP289" s="29"/>
      <c r="BQ289" s="29"/>
      <c r="BR289" s="29"/>
      <c r="BS289" s="29"/>
      <c r="BT289" s="29"/>
      <c r="BU289" s="29"/>
      <c r="BV289" s="29"/>
      <c r="BW289" s="29"/>
      <c r="BX289" s="29"/>
      <c r="BY289" s="29"/>
      <c r="BZ289" s="29"/>
      <c r="CA289" s="29"/>
      <c r="CB289" s="29"/>
      <c r="CC289" s="29"/>
      <c r="CD289" s="29"/>
      <c r="CE289" s="29"/>
      <c r="CF289" s="29"/>
      <c r="CG289" s="29"/>
      <c r="CH289" s="29"/>
      <c r="CI289" s="29"/>
      <c r="CJ289" s="29"/>
      <c r="CK289" s="29"/>
      <c r="CL289" s="29" t="s">
        <v>913</v>
      </c>
      <c r="CM289" s="29" t="s">
        <v>401</v>
      </c>
      <c r="CN289" s="29"/>
      <c r="CO289" s="29" t="s">
        <v>5937</v>
      </c>
      <c r="CP289" s="29" t="s">
        <v>445</v>
      </c>
      <c r="CQ289" s="29" t="s">
        <v>5938</v>
      </c>
      <c r="CR289" s="29" t="s">
        <v>447</v>
      </c>
      <c r="CS289" s="29"/>
      <c r="CT289" s="29"/>
      <c r="CU289" s="29"/>
      <c r="CV289" s="29" t="s">
        <v>409</v>
      </c>
      <c r="CW289" s="29"/>
      <c r="CX289" s="29"/>
      <c r="CY289" s="29"/>
      <c r="CZ289" s="29"/>
      <c r="DA289" s="29"/>
      <c r="DB289" s="29"/>
      <c r="DC289" s="29"/>
      <c r="DD289" s="29"/>
      <c r="DE289" s="29"/>
      <c r="DF289" s="29" t="s">
        <v>5939</v>
      </c>
      <c r="DG289" s="29"/>
      <c r="DH289" s="29"/>
      <c r="DI289" s="29" t="s">
        <v>459</v>
      </c>
      <c r="DJ289" s="29" t="s">
        <v>460</v>
      </c>
      <c r="DK289" s="29" t="s">
        <v>525</v>
      </c>
      <c r="DL289" s="29"/>
      <c r="DM289" s="29"/>
      <c r="DN289" s="29"/>
      <c r="DO289" s="29"/>
      <c r="DP289" s="29"/>
      <c r="DQ289" s="29"/>
      <c r="DR289" s="29"/>
      <c r="DS289" s="29"/>
      <c r="DT289" s="29"/>
      <c r="DU289" s="29"/>
      <c r="DV289" s="29"/>
      <c r="DW289" s="29"/>
      <c r="DX289" s="29"/>
      <c r="DY289" s="29"/>
      <c r="DZ289" s="29"/>
      <c r="EA289" s="29"/>
      <c r="EB289" s="29"/>
      <c r="EC289" s="29"/>
      <c r="ED289" s="29"/>
      <c r="EE289" s="29"/>
      <c r="EF289" s="29"/>
      <c r="EG289" s="29"/>
      <c r="EH289" s="29"/>
      <c r="EI289" s="29"/>
      <c r="EJ289" s="29"/>
      <c r="EK289" s="29"/>
      <c r="EL289" s="29"/>
      <c r="EM289" s="29"/>
      <c r="EN289" s="29"/>
      <c r="EO289" s="29"/>
      <c r="EP289" s="29"/>
      <c r="EQ289" s="29"/>
      <c r="ER289" s="29"/>
      <c r="ES289" s="29"/>
      <c r="ET289" s="29" t="s">
        <v>578</v>
      </c>
      <c r="EU289" s="29"/>
      <c r="EV289" s="29"/>
      <c r="EW289" s="29"/>
      <c r="EX289" s="29"/>
      <c r="EY289" s="29"/>
      <c r="EZ289" s="29"/>
      <c r="FA289" s="29"/>
      <c r="FB289" s="29"/>
      <c r="FC289" s="29"/>
      <c r="FD289" s="29"/>
      <c r="FE289" s="29"/>
      <c r="FF289" s="29"/>
      <c r="FG289" s="29"/>
      <c r="FH289" s="29"/>
      <c r="FI289" s="29"/>
      <c r="FJ289" s="29"/>
      <c r="FK289" s="29"/>
      <c r="FL289" s="29"/>
      <c r="FM289" s="29"/>
      <c r="FN289" s="29"/>
      <c r="FO289" s="29"/>
      <c r="FP289" s="29"/>
      <c r="FQ289" s="29"/>
      <c r="FR289" s="29"/>
      <c r="FS289" s="29"/>
      <c r="FT289" s="29"/>
      <c r="FU289" s="29"/>
      <c r="FV289" s="29"/>
      <c r="FW289" s="29"/>
      <c r="FX289" s="29"/>
      <c r="FY289" s="29" t="s">
        <v>1337</v>
      </c>
      <c r="FZ289" s="29"/>
      <c r="GA289" s="29"/>
      <c r="GB289" s="29" t="s">
        <v>408</v>
      </c>
      <c r="GC289" s="29"/>
      <c r="GD289" s="29"/>
      <c r="GE289" s="29"/>
      <c r="GF289" s="29"/>
      <c r="GG289" s="29"/>
      <c r="GH289" s="29"/>
      <c r="GI289" s="29"/>
      <c r="GJ289" s="29"/>
      <c r="GK289" s="29"/>
      <c r="GL289" s="29"/>
      <c r="GM289" s="29"/>
      <c r="GN289" s="29"/>
      <c r="GO289" s="29"/>
      <c r="GP289" s="29"/>
      <c r="GQ289" s="29" t="s">
        <v>3306</v>
      </c>
      <c r="GR289" s="29"/>
      <c r="GS289" s="29"/>
      <c r="GT289" s="29"/>
      <c r="GU289" s="29"/>
      <c r="HP289" s="31"/>
      <c r="MX289" s="29" t="s">
        <v>894</v>
      </c>
      <c r="MY289" s="29" t="str">
        <f>IFERROR(__xludf.DUMMYFUNCTION("""COMPUTED_VALUE"""),"Alberta")</f>
        <v>Alberta</v>
      </c>
    </row>
    <row r="290" ht="16.5" customHeight="1">
      <c r="A290" s="33">
        <v>45902.88397509259</v>
      </c>
      <c r="B290" s="29" t="s">
        <v>368</v>
      </c>
      <c r="C290" s="29" t="s">
        <v>894</v>
      </c>
      <c r="D290" s="29" t="s">
        <v>894</v>
      </c>
      <c r="E290" s="29"/>
      <c r="F290" s="29"/>
      <c r="G290" s="29" t="s">
        <v>422</v>
      </c>
      <c r="H290" s="29" t="s">
        <v>496</v>
      </c>
      <c r="I290" s="29" t="s">
        <v>2578</v>
      </c>
      <c r="J290" s="29" t="s">
        <v>669</v>
      </c>
      <c r="K290" s="29" t="s">
        <v>376</v>
      </c>
      <c r="L290" s="29" t="s">
        <v>591</v>
      </c>
      <c r="M290" s="29" t="s">
        <v>378</v>
      </c>
      <c r="N290" s="29" t="s">
        <v>591</v>
      </c>
      <c r="O290" s="29" t="s">
        <v>719</v>
      </c>
      <c r="P290" s="29" t="s">
        <v>1504</v>
      </c>
      <c r="Q290" s="29" t="s">
        <v>382</v>
      </c>
      <c r="R290" s="29" t="s">
        <v>427</v>
      </c>
      <c r="S290" s="29" t="s">
        <v>384</v>
      </c>
      <c r="T290" s="29" t="s">
        <v>385</v>
      </c>
      <c r="U290" s="29" t="s">
        <v>1241</v>
      </c>
      <c r="V290" s="29" t="s">
        <v>896</v>
      </c>
      <c r="W290" s="29" t="s">
        <v>3014</v>
      </c>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t="s">
        <v>1242</v>
      </c>
      <c r="AW290" s="29" t="s">
        <v>675</v>
      </c>
      <c r="AX290" s="29">
        <v>4.0</v>
      </c>
      <c r="AY290" s="29">
        <v>4.0</v>
      </c>
      <c r="AZ290" s="29">
        <v>4.0</v>
      </c>
      <c r="BA290" s="29" t="s">
        <v>675</v>
      </c>
      <c r="BB290" s="29" t="s">
        <v>675</v>
      </c>
      <c r="BC290" s="29" t="s">
        <v>5940</v>
      </c>
      <c r="BD290" s="29" t="s">
        <v>5941</v>
      </c>
      <c r="BE290" s="29" t="s">
        <v>432</v>
      </c>
      <c r="BF290" s="29" t="s">
        <v>1095</v>
      </c>
      <c r="BG290" s="29" t="s">
        <v>394</v>
      </c>
      <c r="BH290" s="29" t="s">
        <v>5942</v>
      </c>
      <c r="BI290" s="29" t="s">
        <v>435</v>
      </c>
      <c r="BJ290" s="29" t="s">
        <v>5943</v>
      </c>
      <c r="BK290" s="29" t="s">
        <v>395</v>
      </c>
      <c r="BL290" s="29" t="s">
        <v>603</v>
      </c>
      <c r="BM290" s="29" t="s">
        <v>1314</v>
      </c>
      <c r="BN290" s="29" t="s">
        <v>398</v>
      </c>
      <c r="BO290" s="29" t="s">
        <v>5944</v>
      </c>
      <c r="BP290" s="29" t="s">
        <v>5945</v>
      </c>
      <c r="BQ290" s="29" t="s">
        <v>442</v>
      </c>
      <c r="BR290" s="29" t="s">
        <v>1250</v>
      </c>
      <c r="BS290" s="29" t="s">
        <v>1251</v>
      </c>
      <c r="BT290" s="29" t="s">
        <v>1742</v>
      </c>
      <c r="BU290" s="29" t="s">
        <v>405</v>
      </c>
      <c r="BV290" s="29"/>
      <c r="BW290" s="29" t="s">
        <v>988</v>
      </c>
      <c r="BX290" s="29"/>
      <c r="BY290" s="29" t="s">
        <v>455</v>
      </c>
      <c r="BZ290" s="29" t="s">
        <v>5946</v>
      </c>
      <c r="CA290" s="29" t="s">
        <v>5947</v>
      </c>
      <c r="CB290" s="29" t="s">
        <v>5948</v>
      </c>
      <c r="CC290" s="29" t="s">
        <v>5949</v>
      </c>
      <c r="CD290" s="29" t="s">
        <v>409</v>
      </c>
      <c r="CE290" s="29" t="s">
        <v>5950</v>
      </c>
      <c r="CF290" s="29" t="s">
        <v>1258</v>
      </c>
      <c r="CG290" s="29"/>
      <c r="CH290" s="29" t="s">
        <v>1259</v>
      </c>
      <c r="CI290" s="29" t="s">
        <v>410</v>
      </c>
      <c r="CJ290" s="29" t="s">
        <v>5951</v>
      </c>
      <c r="CK290" s="29" t="s">
        <v>5952</v>
      </c>
      <c r="CL290" s="29"/>
      <c r="CM290" s="29"/>
      <c r="CN290" s="29"/>
      <c r="CO290" s="29"/>
      <c r="CP290" s="29"/>
      <c r="CQ290" s="29"/>
      <c r="CR290" s="29"/>
      <c r="CS290" s="29"/>
      <c r="CT290" s="29"/>
      <c r="CU290" s="29"/>
      <c r="CV290" s="29"/>
      <c r="CW290" s="29"/>
      <c r="CX290" s="29"/>
      <c r="CY290" s="29"/>
      <c r="CZ290" s="29"/>
      <c r="DA290" s="29"/>
      <c r="DB290" s="29"/>
      <c r="DC290" s="29"/>
      <c r="DD290" s="29"/>
      <c r="DE290" s="29"/>
      <c r="DF290" s="29"/>
      <c r="DG290" s="29"/>
      <c r="DH290" s="29"/>
      <c r="DI290" s="29" t="s">
        <v>459</v>
      </c>
      <c r="DJ290" s="29" t="s">
        <v>613</v>
      </c>
      <c r="DK290" s="29"/>
      <c r="DL290" s="29"/>
      <c r="DM290" s="29"/>
      <c r="DN290" s="29"/>
      <c r="DO290" s="29"/>
      <c r="DP290" s="29"/>
      <c r="DQ290" s="29"/>
      <c r="DR290" s="29"/>
      <c r="DS290" s="29"/>
      <c r="DT290" s="29"/>
      <c r="DU290" s="29"/>
      <c r="DV290" s="29"/>
      <c r="DW290" s="29"/>
      <c r="DX290" s="29"/>
      <c r="DY290" s="29"/>
      <c r="DZ290" s="29"/>
      <c r="EA290" s="29"/>
      <c r="EB290" s="29"/>
      <c r="EC290" s="29"/>
      <c r="ED290" s="29"/>
      <c r="EE290" s="29"/>
      <c r="EF290" s="29"/>
      <c r="EG290" s="29"/>
      <c r="EH290" s="29"/>
      <c r="EI290" s="29"/>
      <c r="EJ290" s="29"/>
      <c r="EK290" s="29"/>
      <c r="EL290" s="29"/>
      <c r="EM290" s="29"/>
      <c r="EN290" s="29"/>
      <c r="EO290" s="29"/>
      <c r="EP290" s="29"/>
      <c r="EQ290" s="29"/>
      <c r="ER290" s="29"/>
      <c r="ES290" s="29"/>
      <c r="ET290" s="29" t="s">
        <v>478</v>
      </c>
      <c r="EU290" s="29" t="s">
        <v>887</v>
      </c>
      <c r="EV290" s="29" t="s">
        <v>527</v>
      </c>
      <c r="EW290" s="29" t="s">
        <v>5953</v>
      </c>
      <c r="EX290" s="29" t="s">
        <v>5954</v>
      </c>
      <c r="EY290" s="29" t="s">
        <v>5955</v>
      </c>
      <c r="EZ290" s="29" t="s">
        <v>414</v>
      </c>
      <c r="FA290" s="29" t="s">
        <v>583</v>
      </c>
      <c r="FB290" s="29" t="s">
        <v>415</v>
      </c>
      <c r="FC290" s="29" t="s">
        <v>414</v>
      </c>
      <c r="FD290" s="29" t="s">
        <v>416</v>
      </c>
      <c r="FE290" s="29" t="s">
        <v>583</v>
      </c>
      <c r="FF290" s="29" t="s">
        <v>414</v>
      </c>
      <c r="FG290" s="29" t="s">
        <v>416</v>
      </c>
      <c r="FH290" s="29" t="s">
        <v>415</v>
      </c>
      <c r="FI290" s="29" t="s">
        <v>414</v>
      </c>
      <c r="FJ290" s="29" t="s">
        <v>414</v>
      </c>
      <c r="FK290" s="29" t="s">
        <v>416</v>
      </c>
      <c r="FL290" s="29" t="s">
        <v>416</v>
      </c>
      <c r="FM290" s="29" t="s">
        <v>413</v>
      </c>
      <c r="FN290" s="29" t="s">
        <v>583</v>
      </c>
      <c r="FO290" s="29" t="s">
        <v>417</v>
      </c>
      <c r="FP290" s="29" t="s">
        <v>418</v>
      </c>
      <c r="FQ290" s="29" t="s">
        <v>749</v>
      </c>
      <c r="FR290" s="29" t="s">
        <v>5956</v>
      </c>
      <c r="FS290" s="29" t="s">
        <v>420</v>
      </c>
      <c r="FT290" s="29" t="s">
        <v>488</v>
      </c>
      <c r="FU290" s="29" t="s">
        <v>918</v>
      </c>
      <c r="FV290" s="29" t="s">
        <v>490</v>
      </c>
      <c r="FW290" s="29" t="s">
        <v>491</v>
      </c>
      <c r="FX290" s="29" t="s">
        <v>5957</v>
      </c>
      <c r="FY290" s="29" t="s">
        <v>1020</v>
      </c>
      <c r="FZ290" s="29" t="s">
        <v>5958</v>
      </c>
      <c r="GA290" s="29" t="s">
        <v>5959</v>
      </c>
      <c r="GB290" s="29" t="s">
        <v>408</v>
      </c>
      <c r="GC290" s="29"/>
      <c r="GD290" s="29"/>
      <c r="GE290" s="29"/>
      <c r="GF290" s="29"/>
      <c r="GG290" s="29"/>
      <c r="GH290" s="29"/>
      <c r="GI290" s="29"/>
      <c r="GJ290" s="29" t="s">
        <v>789</v>
      </c>
      <c r="GK290" s="29" t="s">
        <v>789</v>
      </c>
      <c r="GL290" s="29" t="s">
        <v>790</v>
      </c>
      <c r="GM290" s="29"/>
      <c r="GN290" s="29"/>
      <c r="GO290" s="29"/>
      <c r="GP290" s="29"/>
      <c r="GQ290" s="29" t="s">
        <v>3208</v>
      </c>
      <c r="GR290" s="29" t="s">
        <v>4774</v>
      </c>
      <c r="GS290" s="29"/>
      <c r="GT290" s="29"/>
      <c r="GU290" s="29"/>
      <c r="HP290" s="31"/>
      <c r="MX290" s="29" t="s">
        <v>10402</v>
      </c>
      <c r="MY290" s="29" t="str">
        <f>IFERROR(__xludf.DUMMYFUNCTION("""COMPUTED_VALUE"""),"Florida")</f>
        <v>Florida</v>
      </c>
    </row>
    <row r="291" ht="16.5" customHeight="1">
      <c r="A291" s="33">
        <v>45902.913459814816</v>
      </c>
      <c r="B291" s="29" t="s">
        <v>368</v>
      </c>
      <c r="C291" s="29" t="s">
        <v>370</v>
      </c>
      <c r="D291" s="29" t="s">
        <v>370</v>
      </c>
      <c r="E291" s="29" t="s">
        <v>2114</v>
      </c>
      <c r="F291" s="29" t="s">
        <v>1421</v>
      </c>
      <c r="G291" s="29" t="s">
        <v>422</v>
      </c>
      <c r="H291" s="29" t="s">
        <v>496</v>
      </c>
      <c r="I291" s="29" t="s">
        <v>374</v>
      </c>
      <c r="J291" s="29" t="s">
        <v>375</v>
      </c>
      <c r="K291" s="29" t="s">
        <v>376</v>
      </c>
      <c r="L291" s="29" t="s">
        <v>793</v>
      </c>
      <c r="M291" s="29" t="s">
        <v>720</v>
      </c>
      <c r="N291" s="29" t="s">
        <v>426</v>
      </c>
      <c r="O291" s="29" t="s">
        <v>497</v>
      </c>
      <c r="P291" s="29" t="s">
        <v>498</v>
      </c>
      <c r="Q291" s="29" t="s">
        <v>382</v>
      </c>
      <c r="R291" s="29" t="s">
        <v>1704</v>
      </c>
      <c r="S291" s="29" t="s">
        <v>3798</v>
      </c>
      <c r="T291" s="29" t="s">
        <v>385</v>
      </c>
      <c r="U291" s="29"/>
      <c r="V291" s="29"/>
      <c r="W291" s="29" t="s">
        <v>593</v>
      </c>
      <c r="X291" s="29" t="s">
        <v>387</v>
      </c>
      <c r="Y291" s="29" t="s">
        <v>1966</v>
      </c>
      <c r="Z291" s="29" t="s">
        <v>502</v>
      </c>
      <c r="AA291" s="29" t="s">
        <v>455</v>
      </c>
      <c r="AB291" s="29" t="s">
        <v>5962</v>
      </c>
      <c r="AC291" s="29"/>
      <c r="AD291" s="29"/>
      <c r="AE291" s="29"/>
      <c r="AF291" s="29"/>
      <c r="AG291" s="29"/>
      <c r="AH291" s="29"/>
      <c r="AI291" s="29"/>
      <c r="AJ291" s="29"/>
      <c r="AK291" s="29"/>
      <c r="AL291" s="29"/>
      <c r="AM291" s="29"/>
      <c r="AN291" s="29"/>
      <c r="AO291" s="29"/>
      <c r="AP291" s="29"/>
      <c r="AQ291" s="29"/>
      <c r="AR291" s="29"/>
      <c r="AS291" s="29"/>
      <c r="AT291" s="29"/>
      <c r="AU291" s="29"/>
      <c r="AV291" s="29" t="s">
        <v>390</v>
      </c>
      <c r="AW291" s="29">
        <v>2.0</v>
      </c>
      <c r="AX291" s="29">
        <v>2.0</v>
      </c>
      <c r="AY291" s="29">
        <v>2.0</v>
      </c>
      <c r="AZ291" s="29">
        <v>2.0</v>
      </c>
      <c r="BA291" s="29">
        <v>2.0</v>
      </c>
      <c r="BB291" s="29">
        <v>2.0</v>
      </c>
      <c r="BC291" s="29" t="s">
        <v>5963</v>
      </c>
      <c r="BD291" s="29" t="s">
        <v>5964</v>
      </c>
      <c r="BE291" s="29" t="s">
        <v>432</v>
      </c>
      <c r="BF291" s="29" t="s">
        <v>433</v>
      </c>
      <c r="BG291" s="29" t="s">
        <v>725</v>
      </c>
      <c r="BH291" s="29"/>
      <c r="BI291" s="29" t="s">
        <v>509</v>
      </c>
      <c r="BJ291" s="29"/>
      <c r="BK291" s="29" t="s">
        <v>511</v>
      </c>
      <c r="BL291" s="29" t="s">
        <v>603</v>
      </c>
      <c r="BM291" s="29" t="s">
        <v>549</v>
      </c>
      <c r="BN291" s="29" t="s">
        <v>513</v>
      </c>
      <c r="BO291" s="29"/>
      <c r="BP291" s="29"/>
      <c r="BQ291" s="29"/>
      <c r="BR291" s="29"/>
      <c r="BS291" s="29"/>
      <c r="BT291" s="29"/>
      <c r="BU291" s="29"/>
      <c r="BV291" s="29"/>
      <c r="BW291" s="29"/>
      <c r="BX291" s="29"/>
      <c r="BY291" s="29"/>
      <c r="BZ291" s="29"/>
      <c r="CA291" s="29"/>
      <c r="CB291" s="29"/>
      <c r="CC291" s="29"/>
      <c r="CD291" s="29"/>
      <c r="CE291" s="29"/>
      <c r="CF291" s="29"/>
      <c r="CG291" s="29"/>
      <c r="CH291" s="29"/>
      <c r="CI291" s="29"/>
      <c r="CJ291" s="29"/>
      <c r="CK291" s="29"/>
      <c r="CL291" s="29" t="s">
        <v>441</v>
      </c>
      <c r="CM291" s="29" t="s">
        <v>401</v>
      </c>
      <c r="CN291" s="29" t="s">
        <v>5965</v>
      </c>
      <c r="CO291" s="29" t="s">
        <v>5966</v>
      </c>
      <c r="CP291" s="29" t="s">
        <v>979</v>
      </c>
      <c r="CQ291" s="29" t="s">
        <v>1649</v>
      </c>
      <c r="CR291" s="29" t="s">
        <v>447</v>
      </c>
      <c r="CS291" s="29" t="s">
        <v>5967</v>
      </c>
      <c r="CT291" s="29" t="s">
        <v>5968</v>
      </c>
      <c r="CU291" s="29" t="s">
        <v>450</v>
      </c>
      <c r="CV291" s="29" t="s">
        <v>451</v>
      </c>
      <c r="CW291" s="29" t="s">
        <v>5969</v>
      </c>
      <c r="CX291" s="29" t="s">
        <v>408</v>
      </c>
      <c r="CY291" s="29"/>
      <c r="CZ291" s="29" t="s">
        <v>453</v>
      </c>
      <c r="DA291" s="29" t="s">
        <v>2567</v>
      </c>
      <c r="DB291" s="29" t="s">
        <v>408</v>
      </c>
      <c r="DC291" s="29"/>
      <c r="DD291" s="29" t="s">
        <v>406</v>
      </c>
      <c r="DE291" s="29" t="s">
        <v>407</v>
      </c>
      <c r="DF291" s="29" t="s">
        <v>5970</v>
      </c>
      <c r="DG291" s="29" t="s">
        <v>561</v>
      </c>
      <c r="DH291" s="29" t="s">
        <v>410</v>
      </c>
      <c r="DI291" s="29" t="s">
        <v>459</v>
      </c>
      <c r="DJ291" s="29" t="s">
        <v>460</v>
      </c>
      <c r="DK291" s="29" t="s">
        <v>461</v>
      </c>
      <c r="DL291" s="29"/>
      <c r="DM291" s="29"/>
      <c r="DN291" s="29"/>
      <c r="DO291" s="29"/>
      <c r="DP291" s="29"/>
      <c r="DQ291" s="29"/>
      <c r="DR291" s="29"/>
      <c r="DS291" s="29"/>
      <c r="DT291" s="29"/>
      <c r="DU291" s="29"/>
      <c r="DV291" s="29"/>
      <c r="DW291" s="29"/>
      <c r="DX291" s="29"/>
      <c r="DY291" s="29"/>
      <c r="DZ291" s="29"/>
      <c r="EA291" s="29"/>
      <c r="EB291" s="29"/>
      <c r="EC291" s="29"/>
      <c r="ED291" s="29"/>
      <c r="EE291" s="29"/>
      <c r="EF291" s="29"/>
      <c r="EG291" s="29"/>
      <c r="EH291" s="29"/>
      <c r="EI291" s="29"/>
      <c r="EJ291" s="29"/>
      <c r="EK291" s="29"/>
      <c r="EL291" s="29"/>
      <c r="EM291" s="29"/>
      <c r="EN291" s="29"/>
      <c r="EO291" s="29"/>
      <c r="EP291" s="29"/>
      <c r="EQ291" s="29"/>
      <c r="ER291" s="29"/>
      <c r="ES291" s="29"/>
      <c r="ET291" s="29" t="s">
        <v>578</v>
      </c>
      <c r="EU291" s="29" t="s">
        <v>479</v>
      </c>
      <c r="EV291" s="29" t="s">
        <v>1534</v>
      </c>
      <c r="EW291" s="29"/>
      <c r="EX291" s="29"/>
      <c r="EY291" s="29"/>
      <c r="EZ291" s="29" t="s">
        <v>413</v>
      </c>
      <c r="FA291" s="29" t="s">
        <v>413</v>
      </c>
      <c r="FB291" s="29" t="s">
        <v>413</v>
      </c>
      <c r="FC291" s="29" t="s">
        <v>413</v>
      </c>
      <c r="FD291" s="29" t="s">
        <v>413</v>
      </c>
      <c r="FE291" s="29" t="s">
        <v>413</v>
      </c>
      <c r="FF291" s="29" t="s">
        <v>413</v>
      </c>
      <c r="FG291" s="29" t="s">
        <v>413</v>
      </c>
      <c r="FH291" s="29" t="s">
        <v>484</v>
      </c>
      <c r="FI291" s="29" t="s">
        <v>413</v>
      </c>
      <c r="FJ291" s="29" t="s">
        <v>413</v>
      </c>
      <c r="FK291" s="29" t="s">
        <v>413</v>
      </c>
      <c r="FL291" s="29" t="s">
        <v>413</v>
      </c>
      <c r="FM291" s="29" t="s">
        <v>413</v>
      </c>
      <c r="FN291" s="29" t="s">
        <v>484</v>
      </c>
      <c r="FO291" s="29" t="s">
        <v>417</v>
      </c>
      <c r="FP291" s="29" t="s">
        <v>418</v>
      </c>
      <c r="FQ291" s="29" t="s">
        <v>531</v>
      </c>
      <c r="FR291" s="29"/>
      <c r="FS291" s="29" t="s">
        <v>420</v>
      </c>
      <c r="FT291" s="29" t="s">
        <v>488</v>
      </c>
      <c r="FU291" s="29" t="s">
        <v>918</v>
      </c>
      <c r="FV291" s="29" t="s">
        <v>490</v>
      </c>
      <c r="FW291" s="29" t="s">
        <v>491</v>
      </c>
      <c r="FX291" s="29"/>
      <c r="FY291" s="29" t="s">
        <v>535</v>
      </c>
      <c r="FZ291" s="29"/>
      <c r="GA291" s="29"/>
      <c r="GB291" s="29" t="s">
        <v>408</v>
      </c>
      <c r="GC291" s="29"/>
      <c r="GD291" s="29"/>
      <c r="GE291" s="29"/>
      <c r="GF291" s="29"/>
      <c r="GG291" s="29" t="s">
        <v>755</v>
      </c>
      <c r="GH291" s="29" t="s">
        <v>755</v>
      </c>
      <c r="GI291" s="29" t="s">
        <v>817</v>
      </c>
      <c r="GJ291" s="29"/>
      <c r="GK291" s="29"/>
      <c r="GL291" s="29"/>
      <c r="GM291" s="29"/>
      <c r="GN291" s="29"/>
      <c r="GO291" s="29"/>
      <c r="GP291" s="29"/>
      <c r="GQ291" s="29" t="s">
        <v>3937</v>
      </c>
      <c r="GR291" s="29"/>
      <c r="GS291" s="29"/>
      <c r="GT291" s="29" t="s">
        <v>4774</v>
      </c>
      <c r="GU291" s="29"/>
      <c r="HP291" s="31"/>
      <c r="MX291" s="29" t="s">
        <v>10402</v>
      </c>
      <c r="MY291" s="29" t="str">
        <f>IFERROR(__xludf.DUMMYFUNCTION("""COMPUTED_VALUE"""),"New York")</f>
        <v>New York</v>
      </c>
    </row>
    <row r="292" ht="16.5" customHeight="1">
      <c r="A292" s="33">
        <v>45902.931395011576</v>
      </c>
      <c r="B292" s="29" t="s">
        <v>368</v>
      </c>
      <c r="C292" s="29" t="s">
        <v>370</v>
      </c>
      <c r="D292" s="29" t="s">
        <v>370</v>
      </c>
      <c r="E292" s="29" t="s">
        <v>667</v>
      </c>
      <c r="F292" s="29" t="s">
        <v>1421</v>
      </c>
      <c r="G292" s="29" t="s">
        <v>5972</v>
      </c>
      <c r="H292" s="29" t="s">
        <v>496</v>
      </c>
      <c r="I292" s="29" t="s">
        <v>374</v>
      </c>
      <c r="J292" s="29" t="s">
        <v>375</v>
      </c>
      <c r="K292" s="29" t="s">
        <v>376</v>
      </c>
      <c r="L292" s="29" t="s">
        <v>793</v>
      </c>
      <c r="M292" s="29" t="s">
        <v>639</v>
      </c>
      <c r="N292" s="29" t="s">
        <v>379</v>
      </c>
      <c r="O292" s="29" t="s">
        <v>671</v>
      </c>
      <c r="P292" s="29" t="s">
        <v>381</v>
      </c>
      <c r="Q292" s="29" t="s">
        <v>499</v>
      </c>
      <c r="R292" s="29" t="s">
        <v>500</v>
      </c>
      <c r="S292" s="29" t="s">
        <v>384</v>
      </c>
      <c r="T292" s="29" t="s">
        <v>385</v>
      </c>
      <c r="U292" s="29"/>
      <c r="V292" s="29"/>
      <c r="W292" s="29" t="s">
        <v>593</v>
      </c>
      <c r="X292" s="29" t="s">
        <v>387</v>
      </c>
      <c r="Y292" s="29" t="s">
        <v>594</v>
      </c>
      <c r="Z292" s="29" t="s">
        <v>389</v>
      </c>
      <c r="AA292" s="29" t="s">
        <v>5973</v>
      </c>
      <c r="AB292" s="29"/>
      <c r="AC292" s="29"/>
      <c r="AD292" s="29"/>
      <c r="AE292" s="29"/>
      <c r="AF292" s="29"/>
      <c r="AG292" s="29"/>
      <c r="AH292" s="29"/>
      <c r="AI292" s="29"/>
      <c r="AJ292" s="29"/>
      <c r="AK292" s="29"/>
      <c r="AL292" s="29"/>
      <c r="AM292" s="29"/>
      <c r="AN292" s="29"/>
      <c r="AO292" s="29"/>
      <c r="AP292" s="29"/>
      <c r="AQ292" s="29"/>
      <c r="AR292" s="29"/>
      <c r="AS292" s="29"/>
      <c r="AT292" s="29"/>
      <c r="AU292" s="29"/>
      <c r="AV292" s="29" t="s">
        <v>1242</v>
      </c>
      <c r="AW292" s="29" t="s">
        <v>391</v>
      </c>
      <c r="AX292" s="29" t="s">
        <v>391</v>
      </c>
      <c r="AY292" s="29">
        <v>2.0</v>
      </c>
      <c r="AZ292" s="29" t="s">
        <v>391</v>
      </c>
      <c r="BA292" s="29" t="s">
        <v>391</v>
      </c>
      <c r="BB292" s="29">
        <v>4.0</v>
      </c>
      <c r="BC292" s="29" t="s">
        <v>5974</v>
      </c>
      <c r="BD292" s="29" t="s">
        <v>5975</v>
      </c>
      <c r="BE292" s="29" t="s">
        <v>902</v>
      </c>
      <c r="BF292" s="29" t="s">
        <v>393</v>
      </c>
      <c r="BG292" s="29" t="s">
        <v>678</v>
      </c>
      <c r="BH292" s="29" t="s">
        <v>5976</v>
      </c>
      <c r="BI292" s="29" t="s">
        <v>435</v>
      </c>
      <c r="BJ292" s="29" t="s">
        <v>5977</v>
      </c>
      <c r="BK292" s="29" t="s">
        <v>511</v>
      </c>
      <c r="BL292" s="29" t="s">
        <v>512</v>
      </c>
      <c r="BM292" s="29" t="s">
        <v>1314</v>
      </c>
      <c r="BN292" s="29" t="s">
        <v>513</v>
      </c>
      <c r="BO292" s="29"/>
      <c r="BP292" s="29"/>
      <c r="BQ292" s="29"/>
      <c r="BR292" s="29"/>
      <c r="BS292" s="29"/>
      <c r="BT292" s="29"/>
      <c r="BU292" s="29"/>
      <c r="BV292" s="29"/>
      <c r="BW292" s="29"/>
      <c r="BX292" s="29"/>
      <c r="BY292" s="29"/>
      <c r="BZ292" s="29"/>
      <c r="CA292" s="29"/>
      <c r="CB292" s="29"/>
      <c r="CC292" s="29"/>
      <c r="CD292" s="29"/>
      <c r="CE292" s="29"/>
      <c r="CF292" s="29"/>
      <c r="CG292" s="29"/>
      <c r="CH292" s="29"/>
      <c r="CI292" s="29"/>
      <c r="CJ292" s="29"/>
      <c r="CK292" s="29"/>
      <c r="CL292" s="29" t="s">
        <v>682</v>
      </c>
      <c r="CM292" s="29" t="s">
        <v>682</v>
      </c>
      <c r="CN292" s="29" t="s">
        <v>5978</v>
      </c>
      <c r="CO292" s="29" t="s">
        <v>5979</v>
      </c>
      <c r="CP292" s="29"/>
      <c r="CQ292" s="29"/>
      <c r="CR292" s="29"/>
      <c r="CS292" s="29"/>
      <c r="CT292" s="29"/>
      <c r="CU292" s="29" t="s">
        <v>1961</v>
      </c>
      <c r="CV292" s="29" t="s">
        <v>959</v>
      </c>
      <c r="CW292" s="29"/>
      <c r="CX292" s="29" t="s">
        <v>455</v>
      </c>
      <c r="CY292" s="29" t="s">
        <v>5980</v>
      </c>
      <c r="CZ292" s="29" t="s">
        <v>1962</v>
      </c>
      <c r="DA292" s="29"/>
      <c r="DB292" s="29" t="s">
        <v>455</v>
      </c>
      <c r="DC292" s="29" t="s">
        <v>5981</v>
      </c>
      <c r="DD292" s="29"/>
      <c r="DE292" s="29"/>
      <c r="DF292" s="29"/>
      <c r="DG292" s="29" t="s">
        <v>990</v>
      </c>
      <c r="DH292" s="29" t="s">
        <v>410</v>
      </c>
      <c r="DI292" s="29" t="s">
        <v>963</v>
      </c>
      <c r="DJ292" s="29" t="s">
        <v>460</v>
      </c>
      <c r="DK292" s="29" t="s">
        <v>563</v>
      </c>
      <c r="DL292" s="29" t="s">
        <v>5982</v>
      </c>
      <c r="DM292" s="29"/>
      <c r="DN292" s="29"/>
      <c r="DO292" s="29"/>
      <c r="DP292" s="29"/>
      <c r="DQ292" s="29"/>
      <c r="DR292" s="29"/>
      <c r="DS292" s="29"/>
      <c r="DT292" s="29"/>
      <c r="DU292" s="29"/>
      <c r="DV292" s="29"/>
      <c r="DW292" s="29"/>
      <c r="DX292" s="29"/>
      <c r="DY292" s="29"/>
      <c r="DZ292" s="29"/>
      <c r="EA292" s="29"/>
      <c r="EB292" s="29"/>
      <c r="EC292" s="29"/>
      <c r="ED292" s="29"/>
      <c r="EE292" s="29"/>
      <c r="EF292" s="29"/>
      <c r="EG292" s="29"/>
      <c r="EH292" s="29"/>
      <c r="EI292" s="29"/>
      <c r="EJ292" s="29"/>
      <c r="EK292" s="29"/>
      <c r="EL292" s="29"/>
      <c r="EM292" s="29"/>
      <c r="EN292" s="29"/>
      <c r="EO292" s="29"/>
      <c r="EP292" s="29"/>
      <c r="EQ292" s="29"/>
      <c r="ER292" s="29"/>
      <c r="ES292" s="29"/>
      <c r="ET292" s="29" t="s">
        <v>2747</v>
      </c>
      <c r="EU292" s="29" t="s">
        <v>579</v>
      </c>
      <c r="EV292" s="29" t="s">
        <v>778</v>
      </c>
      <c r="EW292" s="29" t="s">
        <v>5983</v>
      </c>
      <c r="EX292" s="29"/>
      <c r="EY292" s="29" t="s">
        <v>5984</v>
      </c>
      <c r="EZ292" s="29" t="s">
        <v>415</v>
      </c>
      <c r="FA292" s="29" t="s">
        <v>414</v>
      </c>
      <c r="FB292" s="29" t="s">
        <v>413</v>
      </c>
      <c r="FC292" s="29" t="s">
        <v>484</v>
      </c>
      <c r="FD292" s="29" t="s">
        <v>415</v>
      </c>
      <c r="FE292" s="29" t="s">
        <v>415</v>
      </c>
      <c r="FF292" s="29" t="s">
        <v>415</v>
      </c>
      <c r="FG292" s="29" t="s">
        <v>415</v>
      </c>
      <c r="FH292" s="29" t="s">
        <v>415</v>
      </c>
      <c r="FI292" s="29" t="s">
        <v>413</v>
      </c>
      <c r="FJ292" s="29" t="s">
        <v>414</v>
      </c>
      <c r="FK292" s="29" t="s">
        <v>413</v>
      </c>
      <c r="FL292" s="29" t="s">
        <v>416</v>
      </c>
      <c r="FM292" s="29" t="s">
        <v>583</v>
      </c>
      <c r="FN292" s="29" t="s">
        <v>413</v>
      </c>
      <c r="FO292" s="29" t="s">
        <v>850</v>
      </c>
      <c r="FP292" s="29" t="s">
        <v>1200</v>
      </c>
      <c r="FQ292" s="29" t="s">
        <v>419</v>
      </c>
      <c r="FR292" s="29" t="s">
        <v>5985</v>
      </c>
      <c r="FS292" s="29" t="s">
        <v>1871</v>
      </c>
      <c r="FT292" s="29" t="s">
        <v>421</v>
      </c>
      <c r="FU292" s="29" t="s">
        <v>489</v>
      </c>
      <c r="FV292" s="29" t="s">
        <v>490</v>
      </c>
      <c r="FW292" s="29" t="s">
        <v>491</v>
      </c>
      <c r="FX292" s="29" t="s">
        <v>5986</v>
      </c>
      <c r="FY292" s="29" t="s">
        <v>1337</v>
      </c>
      <c r="FZ292" s="29"/>
      <c r="GA292" s="29"/>
      <c r="GB292" s="29" t="s">
        <v>455</v>
      </c>
      <c r="GC292" s="29"/>
      <c r="GD292" s="29"/>
      <c r="GE292" s="29" t="s">
        <v>855</v>
      </c>
      <c r="GF292" s="29"/>
      <c r="GG292" s="29" t="s">
        <v>755</v>
      </c>
      <c r="GH292" s="29" t="s">
        <v>755</v>
      </c>
      <c r="GI292" s="29" t="s">
        <v>946</v>
      </c>
      <c r="GJ292" s="29"/>
      <c r="GK292" s="29"/>
      <c r="GL292" s="29"/>
      <c r="GM292" s="29"/>
      <c r="GN292" s="29"/>
      <c r="GO292" s="29"/>
      <c r="GP292" s="29"/>
      <c r="GQ292" s="29" t="s">
        <v>3208</v>
      </c>
      <c r="GR292" s="29"/>
      <c r="GS292" s="29"/>
      <c r="GT292" s="29" t="s">
        <v>4774</v>
      </c>
      <c r="GU292" s="29"/>
      <c r="HP292" s="31"/>
      <c r="MX292" s="29" t="s">
        <v>1984</v>
      </c>
      <c r="MY292" s="29" t="str">
        <f>IFERROR(__xludf.DUMMYFUNCTION("""COMPUTED_VALUE"""),"India")</f>
        <v>India</v>
      </c>
    </row>
    <row r="293" ht="16.5" customHeight="1">
      <c r="A293" s="33">
        <v>45902.93752576389</v>
      </c>
      <c r="B293" s="29" t="s">
        <v>368</v>
      </c>
      <c r="C293" s="29" t="s">
        <v>1984</v>
      </c>
      <c r="D293" s="29" t="s">
        <v>1984</v>
      </c>
      <c r="E293" s="29"/>
      <c r="F293" s="29"/>
      <c r="G293" s="29" t="s">
        <v>1093</v>
      </c>
      <c r="H293" s="29" t="s">
        <v>637</v>
      </c>
      <c r="I293" s="29" t="s">
        <v>638</v>
      </c>
      <c r="J293" s="29" t="s">
        <v>718</v>
      </c>
      <c r="K293" s="29" t="s">
        <v>376</v>
      </c>
      <c r="L293" s="29" t="s">
        <v>377</v>
      </c>
      <c r="M293" s="29" t="s">
        <v>378</v>
      </c>
      <c r="N293" s="29" t="s">
        <v>377</v>
      </c>
      <c r="O293" s="29" t="s">
        <v>719</v>
      </c>
      <c r="P293" s="29" t="s">
        <v>381</v>
      </c>
      <c r="Q293" s="29" t="s">
        <v>499</v>
      </c>
      <c r="R293" s="29" t="s">
        <v>949</v>
      </c>
      <c r="S293" s="29" t="s">
        <v>384</v>
      </c>
      <c r="T293" s="29" t="s">
        <v>385</v>
      </c>
      <c r="U293" s="29"/>
      <c r="V293" s="29"/>
      <c r="W293" s="29" t="s">
        <v>386</v>
      </c>
      <c r="X293" s="29" t="s">
        <v>5993</v>
      </c>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t="s">
        <v>597</v>
      </c>
      <c r="AW293" s="29" t="s">
        <v>391</v>
      </c>
      <c r="AX293" s="29">
        <v>4.0</v>
      </c>
      <c r="AY293" s="29" t="s">
        <v>675</v>
      </c>
      <c r="AZ293" s="29" t="s">
        <v>391</v>
      </c>
      <c r="BA293" s="29" t="s">
        <v>391</v>
      </c>
      <c r="BB293" s="29">
        <v>4.0</v>
      </c>
      <c r="BC293" s="29" t="s">
        <v>5994</v>
      </c>
      <c r="BD293" s="29" t="s">
        <v>5995</v>
      </c>
      <c r="BE293" s="29" t="s">
        <v>902</v>
      </c>
      <c r="BF293" s="29" t="s">
        <v>393</v>
      </c>
      <c r="BG293" s="29" t="s">
        <v>394</v>
      </c>
      <c r="BH293" s="29" t="s">
        <v>5996</v>
      </c>
      <c r="BI293" s="29" t="s">
        <v>824</v>
      </c>
      <c r="BJ293" s="29"/>
      <c r="BK293" s="29" t="s">
        <v>437</v>
      </c>
      <c r="BL293" s="29" t="s">
        <v>438</v>
      </c>
      <c r="BM293" s="29" t="s">
        <v>397</v>
      </c>
      <c r="BN293" s="29" t="s">
        <v>398</v>
      </c>
      <c r="BO293" s="29" t="s">
        <v>5997</v>
      </c>
      <c r="BP293" s="29" t="s">
        <v>5998</v>
      </c>
      <c r="BQ293" s="29" t="s">
        <v>682</v>
      </c>
      <c r="BR293" s="29" t="s">
        <v>5999</v>
      </c>
      <c r="BS293" s="29" t="s">
        <v>4071</v>
      </c>
      <c r="BT293" s="29" t="s">
        <v>4072</v>
      </c>
      <c r="BU293" s="29" t="s">
        <v>1693</v>
      </c>
      <c r="BV293" s="29" t="s">
        <v>6000</v>
      </c>
      <c r="BW293" s="29" t="s">
        <v>406</v>
      </c>
      <c r="BX293" s="29" t="s">
        <v>407</v>
      </c>
      <c r="BY293" s="29" t="s">
        <v>408</v>
      </c>
      <c r="BZ293" s="29"/>
      <c r="CA293" s="29" t="s">
        <v>6001</v>
      </c>
      <c r="CB293" s="29" t="s">
        <v>6002</v>
      </c>
      <c r="CC293" s="29" t="s">
        <v>6003</v>
      </c>
      <c r="CD293" s="29" t="s">
        <v>451</v>
      </c>
      <c r="CE293" s="29" t="s">
        <v>6004</v>
      </c>
      <c r="CF293" s="29" t="s">
        <v>1749</v>
      </c>
      <c r="CG293" s="29" t="s">
        <v>6005</v>
      </c>
      <c r="CH293" s="29" t="s">
        <v>1751</v>
      </c>
      <c r="CI293" s="29" t="s">
        <v>5366</v>
      </c>
      <c r="CJ293" s="29" t="s">
        <v>6001</v>
      </c>
      <c r="CK293" s="29" t="s">
        <v>6006</v>
      </c>
      <c r="CL293" s="29"/>
      <c r="CM293" s="29"/>
      <c r="CN293" s="29"/>
      <c r="CO293" s="29"/>
      <c r="CP293" s="29"/>
      <c r="CQ293" s="29"/>
      <c r="CR293" s="29"/>
      <c r="CS293" s="29"/>
      <c r="CT293" s="29"/>
      <c r="CU293" s="29"/>
      <c r="CV293" s="29"/>
      <c r="CW293" s="29"/>
      <c r="CX293" s="29"/>
      <c r="CY293" s="29"/>
      <c r="CZ293" s="29"/>
      <c r="DA293" s="29"/>
      <c r="DB293" s="29"/>
      <c r="DC293" s="29"/>
      <c r="DD293" s="29"/>
      <c r="DE293" s="29"/>
      <c r="DF293" s="29"/>
      <c r="DG293" s="29"/>
      <c r="DH293" s="29"/>
      <c r="DI293" s="29" t="s">
        <v>777</v>
      </c>
      <c r="DJ293" s="29" t="s">
        <v>613</v>
      </c>
      <c r="DK293" s="29"/>
      <c r="DL293" s="29"/>
      <c r="DM293" s="29"/>
      <c r="DN293" s="29"/>
      <c r="DO293" s="29"/>
      <c r="DP293" s="29"/>
      <c r="DQ293" s="29"/>
      <c r="DR293" s="29"/>
      <c r="DS293" s="29"/>
      <c r="DT293" s="29"/>
      <c r="DU293" s="29"/>
      <c r="DV293" s="29"/>
      <c r="DW293" s="29"/>
      <c r="DX293" s="29"/>
      <c r="DY293" s="29"/>
      <c r="DZ293" s="29"/>
      <c r="EA293" s="29"/>
      <c r="EB293" s="29"/>
      <c r="EC293" s="29"/>
      <c r="ED293" s="29"/>
      <c r="EE293" s="29"/>
      <c r="EF293" s="29"/>
      <c r="EG293" s="29"/>
      <c r="EH293" s="29"/>
      <c r="EI293" s="29"/>
      <c r="EJ293" s="29"/>
      <c r="EK293" s="29"/>
      <c r="EL293" s="29"/>
      <c r="EM293" s="29"/>
      <c r="EN293" s="29"/>
      <c r="EO293" s="29"/>
      <c r="EP293" s="29"/>
      <c r="EQ293" s="29"/>
      <c r="ER293" s="29"/>
      <c r="ES293" s="29"/>
      <c r="ET293" s="29" t="s">
        <v>478</v>
      </c>
      <c r="EU293" s="29" t="s">
        <v>579</v>
      </c>
      <c r="EV293" s="29" t="s">
        <v>1534</v>
      </c>
      <c r="EW293" s="29"/>
      <c r="EX293" s="29" t="s">
        <v>6007</v>
      </c>
      <c r="EY293" s="29" t="s">
        <v>6008</v>
      </c>
      <c r="EZ293" s="29" t="s">
        <v>415</v>
      </c>
      <c r="FA293" s="29" t="s">
        <v>583</v>
      </c>
      <c r="FB293" s="29" t="s">
        <v>415</v>
      </c>
      <c r="FC293" s="29" t="s">
        <v>583</v>
      </c>
      <c r="FD293" s="29" t="s">
        <v>416</v>
      </c>
      <c r="FE293" s="29" t="s">
        <v>583</v>
      </c>
      <c r="FF293" s="29" t="s">
        <v>583</v>
      </c>
      <c r="FG293" s="29" t="s">
        <v>583</v>
      </c>
      <c r="FH293" s="29" t="s">
        <v>413</v>
      </c>
      <c r="FI293" s="29" t="s">
        <v>416</v>
      </c>
      <c r="FJ293" s="29" t="s">
        <v>583</v>
      </c>
      <c r="FK293" s="29" t="s">
        <v>415</v>
      </c>
      <c r="FL293" s="29" t="s">
        <v>415</v>
      </c>
      <c r="FM293" s="29" t="s">
        <v>415</v>
      </c>
      <c r="FN293" s="29" t="s">
        <v>415</v>
      </c>
      <c r="FO293" s="29" t="s">
        <v>1537</v>
      </c>
      <c r="FP293" s="29"/>
      <c r="FQ293" s="29" t="s">
        <v>712</v>
      </c>
      <c r="FR293" s="29" t="s">
        <v>6009</v>
      </c>
      <c r="FS293" s="29" t="s">
        <v>1871</v>
      </c>
      <c r="FT293" s="29" t="s">
        <v>2750</v>
      </c>
      <c r="FU293" s="29" t="s">
        <v>1235</v>
      </c>
      <c r="FV293" s="29" t="s">
        <v>2387</v>
      </c>
      <c r="FW293" s="29" t="s">
        <v>491</v>
      </c>
      <c r="FX293" s="29" t="s">
        <v>6010</v>
      </c>
      <c r="FY293" s="29" t="s">
        <v>493</v>
      </c>
      <c r="FZ293" s="29" t="s">
        <v>6011</v>
      </c>
      <c r="GA293" s="29" t="s">
        <v>408</v>
      </c>
      <c r="GB293" s="29" t="s">
        <v>455</v>
      </c>
      <c r="GC293" s="29"/>
      <c r="GD293" s="29"/>
      <c r="GE293" s="29" t="s">
        <v>1420</v>
      </c>
      <c r="GF293" s="29" t="s">
        <v>408</v>
      </c>
      <c r="GG293" s="29"/>
      <c r="GH293" s="29"/>
      <c r="GI293" s="29"/>
      <c r="GJ293" s="29" t="s">
        <v>1000</v>
      </c>
      <c r="GK293" s="29" t="s">
        <v>1000</v>
      </c>
      <c r="GL293" s="29" t="s">
        <v>946</v>
      </c>
      <c r="GM293" s="29"/>
      <c r="GN293" s="29" t="s">
        <v>6012</v>
      </c>
      <c r="GO293" s="29" t="s">
        <v>6012</v>
      </c>
      <c r="GP293" s="29"/>
      <c r="GQ293" s="29" t="s">
        <v>3273</v>
      </c>
      <c r="GR293" s="29" t="s">
        <v>4774</v>
      </c>
      <c r="GS293" s="29" t="s">
        <v>408</v>
      </c>
      <c r="GT293" s="29"/>
      <c r="GU293" s="29"/>
      <c r="HP293" s="31"/>
      <c r="MX293" s="29" t="s">
        <v>10402</v>
      </c>
      <c r="MY293" s="29" t="str">
        <f>IFERROR(__xludf.DUMMYFUNCTION("""COMPUTED_VALUE"""),"Nevada")</f>
        <v>Nevada</v>
      </c>
    </row>
    <row r="294" ht="16.5" customHeight="1">
      <c r="A294" s="33">
        <v>45903.44211505787</v>
      </c>
      <c r="B294" s="29" t="s">
        <v>368</v>
      </c>
      <c r="C294" s="29" t="s">
        <v>370</v>
      </c>
      <c r="D294" s="29" t="s">
        <v>370</v>
      </c>
      <c r="E294" s="29" t="s">
        <v>6014</v>
      </c>
      <c r="F294" s="29" t="s">
        <v>1421</v>
      </c>
      <c r="G294" s="29" t="s">
        <v>422</v>
      </c>
      <c r="H294" s="29" t="s">
        <v>496</v>
      </c>
      <c r="I294" s="29" t="s">
        <v>374</v>
      </c>
      <c r="J294" s="29" t="s">
        <v>425</v>
      </c>
      <c r="K294" s="29" t="s">
        <v>376</v>
      </c>
      <c r="L294" s="29" t="s">
        <v>379</v>
      </c>
      <c r="M294" s="29" t="s">
        <v>2464</v>
      </c>
      <c r="N294" s="29" t="s">
        <v>377</v>
      </c>
      <c r="O294" s="29" t="s">
        <v>5017</v>
      </c>
      <c r="P294" s="29" t="s">
        <v>381</v>
      </c>
      <c r="Q294" s="29" t="s">
        <v>818</v>
      </c>
      <c r="R294" s="29" t="s">
        <v>1704</v>
      </c>
      <c r="S294" s="29" t="s">
        <v>6015</v>
      </c>
      <c r="T294" s="29" t="s">
        <v>385</v>
      </c>
      <c r="U294" s="29"/>
      <c r="V294" s="29"/>
      <c r="W294" s="29" t="s">
        <v>3231</v>
      </c>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v>2.0</v>
      </c>
      <c r="AX294" s="29">
        <v>4.0</v>
      </c>
      <c r="AY294" s="29" t="s">
        <v>391</v>
      </c>
      <c r="AZ294" s="29" t="s">
        <v>675</v>
      </c>
      <c r="BA294" s="29" t="s">
        <v>391</v>
      </c>
      <c r="BB294" s="29">
        <v>4.0</v>
      </c>
      <c r="BC294" s="29" t="s">
        <v>6016</v>
      </c>
      <c r="BD294" s="29"/>
      <c r="BE294" s="29" t="s">
        <v>432</v>
      </c>
      <c r="BF294" s="29" t="s">
        <v>433</v>
      </c>
      <c r="BG294" s="29" t="s">
        <v>765</v>
      </c>
      <c r="BH294" s="29"/>
      <c r="BI294" s="29" t="s">
        <v>976</v>
      </c>
      <c r="BJ294" s="29"/>
      <c r="BK294" s="29" t="s">
        <v>602</v>
      </c>
      <c r="BL294" s="29" t="s">
        <v>603</v>
      </c>
      <c r="BM294" s="29"/>
      <c r="BN294" s="29" t="s">
        <v>398</v>
      </c>
      <c r="BO294" s="29" t="s">
        <v>6017</v>
      </c>
      <c r="BP294" s="29" t="s">
        <v>6018</v>
      </c>
      <c r="BQ294" s="29" t="s">
        <v>442</v>
      </c>
      <c r="BR294" s="29" t="s">
        <v>3323</v>
      </c>
      <c r="BS294" s="29" t="s">
        <v>1692</v>
      </c>
      <c r="BT294" s="29" t="s">
        <v>404</v>
      </c>
      <c r="BU294" s="29" t="s">
        <v>405</v>
      </c>
      <c r="BV294" s="29"/>
      <c r="BW294" s="29" t="s">
        <v>988</v>
      </c>
      <c r="BX294" s="29"/>
      <c r="BY294" s="29" t="s">
        <v>408</v>
      </c>
      <c r="BZ294" s="29"/>
      <c r="CA294" s="29"/>
      <c r="CB294" s="29" t="s">
        <v>6019</v>
      </c>
      <c r="CC294" s="29" t="s">
        <v>6020</v>
      </c>
      <c r="CD294" s="29" t="s">
        <v>409</v>
      </c>
      <c r="CE294" s="29" t="s">
        <v>6021</v>
      </c>
      <c r="CF294" s="29" t="s">
        <v>1749</v>
      </c>
      <c r="CG294" s="29" t="s">
        <v>6022</v>
      </c>
      <c r="CH294" s="29" t="s">
        <v>1751</v>
      </c>
      <c r="CI294" s="29" t="s">
        <v>410</v>
      </c>
      <c r="CJ294" s="29" t="s">
        <v>6023</v>
      </c>
      <c r="CK294" s="29" t="s">
        <v>6024</v>
      </c>
      <c r="CL294" s="29"/>
      <c r="CM294" s="29"/>
      <c r="CN294" s="29"/>
      <c r="CO294" s="29"/>
      <c r="CP294" s="29"/>
      <c r="CQ294" s="29"/>
      <c r="CR294" s="29"/>
      <c r="CS294" s="29"/>
      <c r="CT294" s="29"/>
      <c r="CU294" s="29"/>
      <c r="CV294" s="29"/>
      <c r="CW294" s="29"/>
      <c r="CX294" s="29"/>
      <c r="CY294" s="29"/>
      <c r="CZ294" s="29"/>
      <c r="DA294" s="29"/>
      <c r="DB294" s="29"/>
      <c r="DC294" s="29"/>
      <c r="DD294" s="29"/>
      <c r="DE294" s="29"/>
      <c r="DF294" s="29"/>
      <c r="DG294" s="29"/>
      <c r="DH294" s="29"/>
      <c r="DI294" s="29" t="s">
        <v>459</v>
      </c>
      <c r="DJ294" s="29" t="s">
        <v>613</v>
      </c>
      <c r="DK294" s="29"/>
      <c r="DL294" s="29"/>
      <c r="DM294" s="29"/>
      <c r="DN294" s="29"/>
      <c r="DO294" s="29"/>
      <c r="DP294" s="29"/>
      <c r="DQ294" s="29"/>
      <c r="DR294" s="29"/>
      <c r="DS294" s="29"/>
      <c r="DT294" s="29"/>
      <c r="DU294" s="29"/>
      <c r="DV294" s="29"/>
      <c r="DW294" s="29"/>
      <c r="DX294" s="29"/>
      <c r="DY294" s="29"/>
      <c r="DZ294" s="29"/>
      <c r="EA294" s="29"/>
      <c r="EB294" s="29"/>
      <c r="EC294" s="29"/>
      <c r="ED294" s="29"/>
      <c r="EE294" s="29"/>
      <c r="EF294" s="29"/>
      <c r="EG294" s="29"/>
      <c r="EH294" s="29"/>
      <c r="EI294" s="29"/>
      <c r="EJ294" s="29"/>
      <c r="EK294" s="29"/>
      <c r="EL294" s="29"/>
      <c r="EM294" s="29"/>
      <c r="EN294" s="29"/>
      <c r="EO294" s="29"/>
      <c r="EP294" s="29"/>
      <c r="EQ294" s="29"/>
      <c r="ER294" s="29"/>
      <c r="ES294" s="29"/>
      <c r="ET294" s="29" t="s">
        <v>478</v>
      </c>
      <c r="EU294" s="29" t="s">
        <v>887</v>
      </c>
      <c r="EV294" s="29" t="s">
        <v>527</v>
      </c>
      <c r="EW294" s="29" t="s">
        <v>6025</v>
      </c>
      <c r="EX294" s="29" t="s">
        <v>6026</v>
      </c>
      <c r="EY294" s="29"/>
      <c r="EZ294" s="29" t="s">
        <v>415</v>
      </c>
      <c r="FA294" s="29" t="s">
        <v>414</v>
      </c>
      <c r="FB294" s="29" t="s">
        <v>415</v>
      </c>
      <c r="FC294" s="29" t="s">
        <v>415</v>
      </c>
      <c r="FD294" s="29" t="s">
        <v>416</v>
      </c>
      <c r="FE294" s="29" t="s">
        <v>414</v>
      </c>
      <c r="FF294" s="29" t="s">
        <v>415</v>
      </c>
      <c r="FG294" s="29" t="s">
        <v>484</v>
      </c>
      <c r="FH294" s="29" t="s">
        <v>484</v>
      </c>
      <c r="FI294" s="29" t="s">
        <v>414</v>
      </c>
      <c r="FJ294" s="29" t="s">
        <v>415</v>
      </c>
      <c r="FK294" s="29" t="s">
        <v>484</v>
      </c>
      <c r="FL294" s="29" t="s">
        <v>484</v>
      </c>
      <c r="FM294" s="29" t="s">
        <v>416</v>
      </c>
      <c r="FN294" s="29" t="s">
        <v>583</v>
      </c>
      <c r="FO294" s="29" t="s">
        <v>485</v>
      </c>
      <c r="FP294" s="29" t="s">
        <v>418</v>
      </c>
      <c r="FQ294" s="29" t="s">
        <v>749</v>
      </c>
      <c r="FR294" s="29"/>
      <c r="FS294" s="29" t="s">
        <v>995</v>
      </c>
      <c r="FT294" s="29" t="s">
        <v>488</v>
      </c>
      <c r="FU294" s="29" t="s">
        <v>489</v>
      </c>
      <c r="FV294" s="29" t="s">
        <v>490</v>
      </c>
      <c r="FW294" s="29" t="s">
        <v>491</v>
      </c>
      <c r="FX294" s="29" t="s">
        <v>6027</v>
      </c>
      <c r="FY294" s="29" t="s">
        <v>535</v>
      </c>
      <c r="FZ294" s="29" t="s">
        <v>6028</v>
      </c>
      <c r="GA294" s="29" t="s">
        <v>6029</v>
      </c>
      <c r="GB294" s="29" t="s">
        <v>408</v>
      </c>
      <c r="GC294" s="29"/>
      <c r="GD294" s="29"/>
      <c r="GE294" s="29"/>
      <c r="GF294" s="29"/>
      <c r="GG294" s="29"/>
      <c r="GH294" s="29"/>
      <c r="GI294" s="29"/>
      <c r="GJ294" s="29" t="s">
        <v>755</v>
      </c>
      <c r="GK294" s="29" t="s">
        <v>755</v>
      </c>
      <c r="GL294" s="29" t="s">
        <v>756</v>
      </c>
      <c r="GM294" s="29"/>
      <c r="GN294" s="29"/>
      <c r="GO294" s="29"/>
      <c r="GP294" s="29" t="s">
        <v>387</v>
      </c>
      <c r="GQ294" s="29" t="s">
        <v>5656</v>
      </c>
      <c r="GR294" s="29" t="s">
        <v>5170</v>
      </c>
      <c r="GS294" s="29"/>
      <c r="GT294" s="29"/>
      <c r="GU294" s="29"/>
      <c r="HP294" s="31"/>
      <c r="MX294" s="29" t="s">
        <v>894</v>
      </c>
      <c r="MY294" s="29" t="str">
        <f>IFERROR(__xludf.DUMMYFUNCTION("""COMPUTED_VALUE"""),"Ontario")</f>
        <v>Ontario</v>
      </c>
    </row>
    <row r="295" ht="16.5" customHeight="1">
      <c r="A295" s="33">
        <v>45903.48758677083</v>
      </c>
      <c r="B295" s="29" t="s">
        <v>368</v>
      </c>
      <c r="C295" s="29" t="s">
        <v>894</v>
      </c>
      <c r="D295" s="29" t="s">
        <v>894</v>
      </c>
      <c r="E295" s="29"/>
      <c r="F295" s="29"/>
      <c r="G295" s="29" t="s">
        <v>422</v>
      </c>
      <c r="H295" s="29" t="s">
        <v>496</v>
      </c>
      <c r="I295" s="29" t="s">
        <v>374</v>
      </c>
      <c r="J295" s="29" t="s">
        <v>375</v>
      </c>
      <c r="K295" s="29" t="s">
        <v>376</v>
      </c>
      <c r="L295" s="29" t="s">
        <v>426</v>
      </c>
      <c r="M295" s="29" t="s">
        <v>6033</v>
      </c>
      <c r="N295" s="29" t="s">
        <v>379</v>
      </c>
      <c r="O295" s="29" t="s">
        <v>1511</v>
      </c>
      <c r="P295" s="29" t="s">
        <v>381</v>
      </c>
      <c r="Q295" s="29" t="s">
        <v>382</v>
      </c>
      <c r="R295" s="29" t="s">
        <v>1704</v>
      </c>
      <c r="S295" s="29" t="s">
        <v>4742</v>
      </c>
      <c r="T295" s="29" t="s">
        <v>385</v>
      </c>
      <c r="U295" s="29" t="s">
        <v>896</v>
      </c>
      <c r="V295" s="29" t="s">
        <v>1025</v>
      </c>
      <c r="W295" s="29" t="s">
        <v>3014</v>
      </c>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t="s">
        <v>597</v>
      </c>
      <c r="AW295" s="29">
        <v>4.0</v>
      </c>
      <c r="AX295" s="29" t="s">
        <v>391</v>
      </c>
      <c r="AY295" s="29">
        <v>2.0</v>
      </c>
      <c r="AZ295" s="29" t="s">
        <v>429</v>
      </c>
      <c r="BA295" s="29">
        <v>2.0</v>
      </c>
      <c r="BB295" s="29" t="s">
        <v>429</v>
      </c>
      <c r="BC295" s="29" t="s">
        <v>6034</v>
      </c>
      <c r="BD295" s="29" t="s">
        <v>6035</v>
      </c>
      <c r="BE295" s="29" t="s">
        <v>432</v>
      </c>
      <c r="BF295" s="29" t="s">
        <v>393</v>
      </c>
      <c r="BG295" s="29" t="s">
        <v>765</v>
      </c>
      <c r="BH295" s="29" t="s">
        <v>6036</v>
      </c>
      <c r="BI295" s="29" t="s">
        <v>509</v>
      </c>
      <c r="BJ295" s="29" t="s">
        <v>6037</v>
      </c>
      <c r="BK295" s="29" t="s">
        <v>395</v>
      </c>
      <c r="BL295" s="29" t="s">
        <v>438</v>
      </c>
      <c r="BM295" s="29" t="s">
        <v>549</v>
      </c>
      <c r="BN295" s="29" t="s">
        <v>513</v>
      </c>
      <c r="BO295" s="29"/>
      <c r="BP295" s="29"/>
      <c r="BQ295" s="29"/>
      <c r="BR295" s="29"/>
      <c r="BS295" s="29"/>
      <c r="BT295" s="29"/>
      <c r="BU295" s="29"/>
      <c r="BV295" s="29"/>
      <c r="BW295" s="29"/>
      <c r="BX295" s="29"/>
      <c r="BY295" s="29"/>
      <c r="BZ295" s="29"/>
      <c r="CA295" s="29"/>
      <c r="CB295" s="29"/>
      <c r="CC295" s="29"/>
      <c r="CD295" s="29"/>
      <c r="CE295" s="29"/>
      <c r="CF295" s="29"/>
      <c r="CG295" s="29"/>
      <c r="CH295" s="29"/>
      <c r="CI295" s="29"/>
      <c r="CJ295" s="29"/>
      <c r="CK295" s="29"/>
      <c r="CL295" s="29" t="s">
        <v>441</v>
      </c>
      <c r="CM295" s="29" t="s">
        <v>604</v>
      </c>
      <c r="CN295" s="29" t="s">
        <v>6038</v>
      </c>
      <c r="CO295" s="29" t="s">
        <v>6039</v>
      </c>
      <c r="CP295" s="29" t="s">
        <v>685</v>
      </c>
      <c r="CQ295" s="29" t="s">
        <v>6040</v>
      </c>
      <c r="CR295" s="29" t="s">
        <v>447</v>
      </c>
      <c r="CS295" s="29" t="s">
        <v>6041</v>
      </c>
      <c r="CT295" s="29" t="s">
        <v>6042</v>
      </c>
      <c r="CU295" s="29" t="s">
        <v>450</v>
      </c>
      <c r="CV295" s="29" t="s">
        <v>451</v>
      </c>
      <c r="CW295" s="29" t="s">
        <v>6043</v>
      </c>
      <c r="CX295" s="29" t="s">
        <v>408</v>
      </c>
      <c r="CY295" s="29"/>
      <c r="CZ295" s="29" t="s">
        <v>453</v>
      </c>
      <c r="DA295" s="29" t="s">
        <v>6044</v>
      </c>
      <c r="DB295" s="29" t="s">
        <v>455</v>
      </c>
      <c r="DC295" s="29" t="s">
        <v>6045</v>
      </c>
      <c r="DD295" s="29" t="s">
        <v>988</v>
      </c>
      <c r="DE295" s="29" t="s">
        <v>1368</v>
      </c>
      <c r="DF295" s="29" t="s">
        <v>6046</v>
      </c>
      <c r="DG295" s="29" t="s">
        <v>561</v>
      </c>
      <c r="DH295" s="29" t="s">
        <v>410</v>
      </c>
      <c r="DI295" s="29" t="s">
        <v>459</v>
      </c>
      <c r="DJ295" s="29" t="s">
        <v>460</v>
      </c>
      <c r="DK295" s="29" t="s">
        <v>563</v>
      </c>
      <c r="DL295" s="29" t="s">
        <v>6047</v>
      </c>
      <c r="DM295" s="29"/>
      <c r="DN295" s="29"/>
      <c r="DO295" s="29"/>
      <c r="DP295" s="29"/>
      <c r="DQ295" s="29"/>
      <c r="DR295" s="29"/>
      <c r="DS295" s="29"/>
      <c r="DT295" s="29"/>
      <c r="DU295" s="29"/>
      <c r="DV295" s="29"/>
      <c r="DW295" s="29"/>
      <c r="DX295" s="29"/>
      <c r="DY295" s="29"/>
      <c r="DZ295" s="29"/>
      <c r="EA295" s="29"/>
      <c r="EB295" s="29"/>
      <c r="EC295" s="29"/>
      <c r="ED295" s="29"/>
      <c r="EE295" s="29"/>
      <c r="EF295" s="29"/>
      <c r="EG295" s="29"/>
      <c r="EH295" s="29"/>
      <c r="EI295" s="29"/>
      <c r="EJ295" s="29"/>
      <c r="EK295" s="29"/>
      <c r="EL295" s="29"/>
      <c r="EM295" s="29"/>
      <c r="EN295" s="29"/>
      <c r="EO295" s="29"/>
      <c r="EP295" s="29"/>
      <c r="EQ295" s="29"/>
      <c r="ER295" s="29"/>
      <c r="ES295" s="29"/>
      <c r="ET295" s="29" t="s">
        <v>2747</v>
      </c>
      <c r="EU295" s="29" t="s">
        <v>1127</v>
      </c>
      <c r="EV295" s="29" t="s">
        <v>527</v>
      </c>
      <c r="EW295" s="29" t="s">
        <v>6048</v>
      </c>
      <c r="EX295" s="29" t="s">
        <v>6049</v>
      </c>
      <c r="EY295" s="29"/>
      <c r="EZ295" s="29" t="s">
        <v>414</v>
      </c>
      <c r="FA295" s="29" t="s">
        <v>414</v>
      </c>
      <c r="FB295" s="29" t="s">
        <v>415</v>
      </c>
      <c r="FC295" s="29"/>
      <c r="FD295" s="29" t="s">
        <v>413</v>
      </c>
      <c r="FE295" s="29" t="s">
        <v>414</v>
      </c>
      <c r="FF295" s="29" t="s">
        <v>414</v>
      </c>
      <c r="FG295" s="29" t="s">
        <v>416</v>
      </c>
      <c r="FH295" s="29" t="s">
        <v>414</v>
      </c>
      <c r="FI295" s="29" t="s">
        <v>414</v>
      </c>
      <c r="FJ295" s="29" t="s">
        <v>415</v>
      </c>
      <c r="FK295" s="29" t="s">
        <v>414</v>
      </c>
      <c r="FL295" s="29" t="s">
        <v>414</v>
      </c>
      <c r="FM295" s="29" t="s">
        <v>416</v>
      </c>
      <c r="FN295" s="29" t="s">
        <v>414</v>
      </c>
      <c r="FO295" s="29" t="s">
        <v>417</v>
      </c>
      <c r="FP295" s="29" t="s">
        <v>418</v>
      </c>
      <c r="FQ295" s="29" t="s">
        <v>531</v>
      </c>
      <c r="FR295" s="29" t="s">
        <v>6050</v>
      </c>
      <c r="FS295" s="29" t="s">
        <v>420</v>
      </c>
      <c r="FT295" s="29" t="s">
        <v>488</v>
      </c>
      <c r="FU295" s="29" t="s">
        <v>1235</v>
      </c>
      <c r="FV295" s="29" t="s">
        <v>490</v>
      </c>
      <c r="FW295" s="29" t="s">
        <v>491</v>
      </c>
      <c r="FX295" s="29" t="s">
        <v>6051</v>
      </c>
      <c r="FY295" s="29" t="s">
        <v>535</v>
      </c>
      <c r="FZ295" s="29" t="s">
        <v>6052</v>
      </c>
      <c r="GA295" s="29"/>
      <c r="GB295" s="29" t="s">
        <v>408</v>
      </c>
      <c r="GC295" s="29"/>
      <c r="GD295" s="29"/>
      <c r="GE295" s="29"/>
      <c r="GF295" s="29"/>
      <c r="GG295" s="29" t="s">
        <v>1000</v>
      </c>
      <c r="GH295" s="29" t="s">
        <v>1000</v>
      </c>
      <c r="GI295" s="29" t="s">
        <v>756</v>
      </c>
      <c r="GJ295" s="29"/>
      <c r="GK295" s="29"/>
      <c r="GL295" s="29"/>
      <c r="GM295" s="29"/>
      <c r="GN295" s="29"/>
      <c r="GO295" s="29"/>
      <c r="GP295" s="29"/>
      <c r="GQ295" s="29" t="s">
        <v>3306</v>
      </c>
      <c r="GR295" s="29"/>
      <c r="GS295" s="29"/>
      <c r="GT295" s="29" t="s">
        <v>4774</v>
      </c>
      <c r="GU295" s="29"/>
      <c r="HP295" s="31"/>
      <c r="MX295" s="29" t="s">
        <v>10402</v>
      </c>
      <c r="MY295" s="29" t="str">
        <f>IFERROR(__xludf.DUMMYFUNCTION("""COMPUTED_VALUE"""),"California")</f>
        <v>California</v>
      </c>
    </row>
    <row r="296" ht="16.5" customHeight="1">
      <c r="A296" s="33">
        <v>45903.51030376158</v>
      </c>
      <c r="B296" s="29" t="s">
        <v>368</v>
      </c>
      <c r="C296" s="29" t="s">
        <v>370</v>
      </c>
      <c r="D296" s="29" t="s">
        <v>370</v>
      </c>
      <c r="E296" s="29" t="s">
        <v>371</v>
      </c>
      <c r="F296" s="29" t="s">
        <v>1421</v>
      </c>
      <c r="G296" s="29" t="s">
        <v>422</v>
      </c>
      <c r="H296" s="29" t="s">
        <v>496</v>
      </c>
      <c r="I296" s="29" t="s">
        <v>374</v>
      </c>
      <c r="J296" s="29" t="s">
        <v>425</v>
      </c>
      <c r="K296" s="29" t="s">
        <v>376</v>
      </c>
      <c r="L296" s="29" t="s">
        <v>793</v>
      </c>
      <c r="M296" s="29" t="s">
        <v>639</v>
      </c>
      <c r="N296" s="29" t="s">
        <v>426</v>
      </c>
      <c r="O296" s="29" t="s">
        <v>380</v>
      </c>
      <c r="P296" s="29" t="s">
        <v>1760</v>
      </c>
      <c r="Q296" s="29" t="s">
        <v>382</v>
      </c>
      <c r="R296" s="29" t="s">
        <v>949</v>
      </c>
      <c r="S296" s="29" t="s">
        <v>4742</v>
      </c>
      <c r="T296" s="29" t="s">
        <v>385</v>
      </c>
      <c r="U296" s="29"/>
      <c r="V296" s="29"/>
      <c r="W296" s="29" t="s">
        <v>3231</v>
      </c>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t="s">
        <v>390</v>
      </c>
      <c r="AW296" s="29">
        <v>2.0</v>
      </c>
      <c r="AX296" s="29" t="s">
        <v>675</v>
      </c>
      <c r="AY296" s="29">
        <v>2.0</v>
      </c>
      <c r="AZ296" s="29">
        <v>2.0</v>
      </c>
      <c r="BA296" s="29">
        <v>4.0</v>
      </c>
      <c r="BB296" s="29" t="s">
        <v>391</v>
      </c>
      <c r="BC296" s="29" t="s">
        <v>6054</v>
      </c>
      <c r="BD296" s="29" t="s">
        <v>6055</v>
      </c>
      <c r="BE296" s="29" t="s">
        <v>902</v>
      </c>
      <c r="BF296" s="29" t="s">
        <v>1047</v>
      </c>
      <c r="BG296" s="29" t="s">
        <v>678</v>
      </c>
      <c r="BH296" s="29" t="s">
        <v>6056</v>
      </c>
      <c r="BI296" s="29" t="s">
        <v>435</v>
      </c>
      <c r="BJ296" s="29" t="s">
        <v>6057</v>
      </c>
      <c r="BK296" s="29" t="s">
        <v>602</v>
      </c>
      <c r="BL296" s="29" t="s">
        <v>904</v>
      </c>
      <c r="BM296" s="29" t="s">
        <v>549</v>
      </c>
      <c r="BN296" s="29" t="s">
        <v>398</v>
      </c>
      <c r="BO296" s="29" t="s">
        <v>6058</v>
      </c>
      <c r="BP296" s="29" t="s">
        <v>6059</v>
      </c>
      <c r="BQ296" s="29" t="s">
        <v>442</v>
      </c>
      <c r="BR296" s="29" t="s">
        <v>6060</v>
      </c>
      <c r="BS296" s="29" t="s">
        <v>1692</v>
      </c>
      <c r="BT296" s="29" t="s">
        <v>404</v>
      </c>
      <c r="BU296" s="29" t="s">
        <v>1772</v>
      </c>
      <c r="BV296" s="29" t="s">
        <v>6061</v>
      </c>
      <c r="BW296" s="29" t="s">
        <v>406</v>
      </c>
      <c r="BX296" s="29" t="s">
        <v>407</v>
      </c>
      <c r="BY296" s="29" t="s">
        <v>408</v>
      </c>
      <c r="BZ296" s="29"/>
      <c r="CA296" s="29"/>
      <c r="CB296" s="29" t="s">
        <v>6062</v>
      </c>
      <c r="CC296" s="29" t="s">
        <v>6063</v>
      </c>
      <c r="CD296" s="29" t="s">
        <v>409</v>
      </c>
      <c r="CE296" s="29" t="s">
        <v>6064</v>
      </c>
      <c r="CF296" s="29" t="s">
        <v>1749</v>
      </c>
      <c r="CG296" s="29" t="s">
        <v>6065</v>
      </c>
      <c r="CH296" s="29" t="s">
        <v>1751</v>
      </c>
      <c r="CI296" s="29" t="s">
        <v>1220</v>
      </c>
      <c r="CJ296" s="29" t="s">
        <v>6066</v>
      </c>
      <c r="CK296" s="29" t="s">
        <v>6067</v>
      </c>
      <c r="CL296" s="29"/>
      <c r="CM296" s="29"/>
      <c r="CN296" s="29"/>
      <c r="CO296" s="29"/>
      <c r="CP296" s="29"/>
      <c r="CQ296" s="29"/>
      <c r="CR296" s="29"/>
      <c r="CS296" s="29"/>
      <c r="CT296" s="29"/>
      <c r="CU296" s="29"/>
      <c r="CV296" s="29"/>
      <c r="CW296" s="29"/>
      <c r="CX296" s="29"/>
      <c r="CY296" s="29"/>
      <c r="CZ296" s="29"/>
      <c r="DA296" s="29"/>
      <c r="DB296" s="29"/>
      <c r="DC296" s="29"/>
      <c r="DD296" s="29"/>
      <c r="DE296" s="29"/>
      <c r="DF296" s="29"/>
      <c r="DG296" s="29"/>
      <c r="DH296" s="29"/>
      <c r="DI296" s="29" t="s">
        <v>459</v>
      </c>
      <c r="DJ296" s="29" t="s">
        <v>613</v>
      </c>
      <c r="DK296" s="29"/>
      <c r="DL296" s="29"/>
      <c r="DM296" s="29"/>
      <c r="DN296" s="29"/>
      <c r="DO296" s="29"/>
      <c r="DP296" s="29"/>
      <c r="DQ296" s="29"/>
      <c r="DR296" s="29"/>
      <c r="DS296" s="29"/>
      <c r="DT296" s="29"/>
      <c r="DU296" s="29"/>
      <c r="DV296" s="29"/>
      <c r="DW296" s="29"/>
      <c r="DX296" s="29"/>
      <c r="DY296" s="29"/>
      <c r="DZ296" s="29"/>
      <c r="EA296" s="29"/>
      <c r="EB296" s="29"/>
      <c r="EC296" s="29"/>
      <c r="ED296" s="29"/>
      <c r="EE296" s="29"/>
      <c r="EF296" s="29"/>
      <c r="EG296" s="29"/>
      <c r="EH296" s="29"/>
      <c r="EI296" s="29"/>
      <c r="EJ296" s="29"/>
      <c r="EK296" s="29"/>
      <c r="EL296" s="29"/>
      <c r="EM296" s="29"/>
      <c r="EN296" s="29"/>
      <c r="EO296" s="29"/>
      <c r="EP296" s="29"/>
      <c r="EQ296" s="29"/>
      <c r="ER296" s="29"/>
      <c r="ES296" s="29"/>
      <c r="ET296" s="29" t="s">
        <v>478</v>
      </c>
      <c r="EU296" s="29" t="s">
        <v>1127</v>
      </c>
      <c r="EV296" s="29" t="s">
        <v>527</v>
      </c>
      <c r="EW296" s="29"/>
      <c r="EX296" s="29" t="s">
        <v>6068</v>
      </c>
      <c r="EY296" s="29" t="s">
        <v>6069</v>
      </c>
      <c r="EZ296" s="29" t="s">
        <v>413</v>
      </c>
      <c r="FA296" s="29" t="s">
        <v>413</v>
      </c>
      <c r="FB296" s="29" t="s">
        <v>413</v>
      </c>
      <c r="FC296" s="29" t="s">
        <v>413</v>
      </c>
      <c r="FD296" s="29" t="s">
        <v>413</v>
      </c>
      <c r="FE296" s="29" t="s">
        <v>413</v>
      </c>
      <c r="FF296" s="29" t="s">
        <v>413</v>
      </c>
      <c r="FG296" s="29" t="s">
        <v>413</v>
      </c>
      <c r="FH296" s="29" t="s">
        <v>583</v>
      </c>
      <c r="FI296" s="29" t="s">
        <v>484</v>
      </c>
      <c r="FJ296" s="29" t="s">
        <v>484</v>
      </c>
      <c r="FK296" s="29" t="s">
        <v>484</v>
      </c>
      <c r="FL296" s="29" t="s">
        <v>484</v>
      </c>
      <c r="FM296" s="29" t="s">
        <v>413</v>
      </c>
      <c r="FN296" s="29"/>
      <c r="FO296" s="29" t="s">
        <v>417</v>
      </c>
      <c r="FP296" s="29" t="s">
        <v>418</v>
      </c>
      <c r="FQ296" s="29" t="s">
        <v>712</v>
      </c>
      <c r="FR296" s="29" t="s">
        <v>6070</v>
      </c>
      <c r="FS296" s="29" t="s">
        <v>420</v>
      </c>
      <c r="FT296" s="29" t="s">
        <v>488</v>
      </c>
      <c r="FU296" s="29" t="s">
        <v>918</v>
      </c>
      <c r="FV296" s="29" t="s">
        <v>490</v>
      </c>
      <c r="FW296" s="29" t="s">
        <v>491</v>
      </c>
      <c r="FX296" s="29" t="s">
        <v>6071</v>
      </c>
      <c r="FY296" s="29" t="s">
        <v>535</v>
      </c>
      <c r="FZ296" s="29"/>
      <c r="GA296" s="29"/>
      <c r="GB296" s="29" t="s">
        <v>408</v>
      </c>
      <c r="GC296" s="29"/>
      <c r="GD296" s="29"/>
      <c r="GE296" s="29"/>
      <c r="GF296" s="29"/>
      <c r="GG296" s="29"/>
      <c r="GH296" s="29"/>
      <c r="GI296" s="29"/>
      <c r="GJ296" s="29" t="s">
        <v>920</v>
      </c>
      <c r="GK296" s="29" t="s">
        <v>920</v>
      </c>
      <c r="GL296" s="29" t="s">
        <v>756</v>
      </c>
      <c r="GM296" s="29"/>
      <c r="GN296" s="29"/>
      <c r="GO296" s="29"/>
      <c r="GP296" s="29" t="s">
        <v>387</v>
      </c>
      <c r="GQ296" s="29" t="s">
        <v>6072</v>
      </c>
      <c r="GR296" s="29" t="s">
        <v>4774</v>
      </c>
      <c r="GS296" s="29"/>
      <c r="GT296" s="29"/>
      <c r="GU296" s="29"/>
      <c r="HP296" s="31"/>
      <c r="MX296" s="29" t="s">
        <v>10402</v>
      </c>
      <c r="MY296" s="29" t="str">
        <f>IFERROR(__xludf.DUMMYFUNCTION("""COMPUTED_VALUE"""),"Washington")</f>
        <v>Washington</v>
      </c>
    </row>
    <row r="297" ht="16.5" customHeight="1">
      <c r="A297" s="33">
        <v>45903.51222153935</v>
      </c>
      <c r="B297" s="29" t="s">
        <v>368</v>
      </c>
      <c r="C297" s="29" t="s">
        <v>370</v>
      </c>
      <c r="D297" s="29" t="s">
        <v>370</v>
      </c>
      <c r="E297" s="29" t="s">
        <v>1421</v>
      </c>
      <c r="F297" s="29" t="s">
        <v>1421</v>
      </c>
      <c r="G297" s="29" t="s">
        <v>422</v>
      </c>
      <c r="H297" s="29" t="s">
        <v>496</v>
      </c>
      <c r="I297" s="29" t="s">
        <v>374</v>
      </c>
      <c r="J297" s="29" t="s">
        <v>375</v>
      </c>
      <c r="K297" s="29" t="s">
        <v>376</v>
      </c>
      <c r="L297" s="29" t="s">
        <v>426</v>
      </c>
      <c r="M297" s="29" t="s">
        <v>541</v>
      </c>
      <c r="N297" s="29" t="s">
        <v>591</v>
      </c>
      <c r="O297" s="29" t="s">
        <v>497</v>
      </c>
      <c r="P297" s="29" t="s">
        <v>498</v>
      </c>
      <c r="Q297" s="29" t="s">
        <v>1004</v>
      </c>
      <c r="R297" s="29" t="s">
        <v>949</v>
      </c>
      <c r="S297" s="29" t="s">
        <v>6074</v>
      </c>
      <c r="T297" s="29" t="s">
        <v>385</v>
      </c>
      <c r="U297" s="29"/>
      <c r="V297" s="29"/>
      <c r="W297" s="29" t="s">
        <v>3014</v>
      </c>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t="s">
        <v>390</v>
      </c>
      <c r="AW297" s="29" t="s">
        <v>391</v>
      </c>
      <c r="AX297" s="29" t="s">
        <v>391</v>
      </c>
      <c r="AY297" s="29">
        <v>2.0</v>
      </c>
      <c r="AZ297" s="29">
        <v>2.0</v>
      </c>
      <c r="BA297" s="29">
        <v>2.0</v>
      </c>
      <c r="BB297" s="29">
        <v>2.0</v>
      </c>
      <c r="BC297" s="29" t="s">
        <v>6075</v>
      </c>
      <c r="BD297" s="29" t="s">
        <v>6076</v>
      </c>
      <c r="BE297" s="29" t="s">
        <v>902</v>
      </c>
      <c r="BF297" s="29" t="s">
        <v>393</v>
      </c>
      <c r="BG297" s="29" t="s">
        <v>434</v>
      </c>
      <c r="BH297" s="29" t="s">
        <v>6077</v>
      </c>
      <c r="BI297" s="29" t="s">
        <v>509</v>
      </c>
      <c r="BJ297" s="29" t="s">
        <v>6078</v>
      </c>
      <c r="BK297" s="29" t="s">
        <v>681</v>
      </c>
      <c r="BL297" s="29" t="s">
        <v>512</v>
      </c>
      <c r="BM297" s="29" t="s">
        <v>549</v>
      </c>
      <c r="BN297" s="29" t="s">
        <v>513</v>
      </c>
      <c r="BO297" s="29"/>
      <c r="BP297" s="29"/>
      <c r="BQ297" s="29"/>
      <c r="BR297" s="29"/>
      <c r="BS297" s="29"/>
      <c r="BT297" s="29"/>
      <c r="BU297" s="29"/>
      <c r="BV297" s="29"/>
      <c r="BW297" s="29"/>
      <c r="BX297" s="29"/>
      <c r="BY297" s="29"/>
      <c r="BZ297" s="29"/>
      <c r="CA297" s="29"/>
      <c r="CB297" s="29"/>
      <c r="CC297" s="29"/>
      <c r="CD297" s="29"/>
      <c r="CE297" s="29"/>
      <c r="CF297" s="29"/>
      <c r="CG297" s="29"/>
      <c r="CH297" s="29"/>
      <c r="CI297" s="29"/>
      <c r="CJ297" s="29"/>
      <c r="CK297" s="29"/>
      <c r="CL297" s="29" t="s">
        <v>441</v>
      </c>
      <c r="CM297" s="29" t="s">
        <v>604</v>
      </c>
      <c r="CN297" s="29" t="s">
        <v>6079</v>
      </c>
      <c r="CO297" s="29" t="s">
        <v>6080</v>
      </c>
      <c r="CP297" s="29" t="s">
        <v>1948</v>
      </c>
      <c r="CQ297" s="29" t="s">
        <v>5701</v>
      </c>
      <c r="CR297" s="29" t="s">
        <v>447</v>
      </c>
      <c r="CS297" s="29" t="s">
        <v>6081</v>
      </c>
      <c r="CT297" s="29" t="s">
        <v>6082</v>
      </c>
      <c r="CU297" s="29" t="s">
        <v>1852</v>
      </c>
      <c r="CV297" s="29" t="s">
        <v>409</v>
      </c>
      <c r="CW297" s="29" t="s">
        <v>6083</v>
      </c>
      <c r="CX297" s="29" t="s">
        <v>408</v>
      </c>
      <c r="CY297" s="29"/>
      <c r="CZ297" s="29" t="s">
        <v>1962</v>
      </c>
      <c r="DA297" s="29"/>
      <c r="DB297" s="29" t="s">
        <v>408</v>
      </c>
      <c r="DC297" s="29"/>
      <c r="DD297" s="29" t="s">
        <v>988</v>
      </c>
      <c r="DE297" s="29"/>
      <c r="DF297" s="29" t="s">
        <v>6084</v>
      </c>
      <c r="DG297" s="29" t="s">
        <v>990</v>
      </c>
      <c r="DH297" s="29" t="s">
        <v>1964</v>
      </c>
      <c r="DI297" s="29" t="s">
        <v>459</v>
      </c>
      <c r="DJ297" s="29" t="s">
        <v>613</v>
      </c>
      <c r="DK297" s="29"/>
      <c r="DL297" s="29"/>
      <c r="DM297" s="29"/>
      <c r="DN297" s="29"/>
      <c r="DO297" s="29"/>
      <c r="DP297" s="29"/>
      <c r="DQ297" s="29"/>
      <c r="DR297" s="29"/>
      <c r="DS297" s="29"/>
      <c r="DT297" s="29"/>
      <c r="DU297" s="29"/>
      <c r="DV297" s="29"/>
      <c r="DW297" s="29"/>
      <c r="DX297" s="29"/>
      <c r="DY297" s="29"/>
      <c r="DZ297" s="29"/>
      <c r="EA297" s="29"/>
      <c r="EB297" s="29"/>
      <c r="EC297" s="29"/>
      <c r="ED297" s="29"/>
      <c r="EE297" s="29"/>
      <c r="EF297" s="29"/>
      <c r="EG297" s="29"/>
      <c r="EH297" s="29"/>
      <c r="EI297" s="29"/>
      <c r="EJ297" s="29"/>
      <c r="EK297" s="29"/>
      <c r="EL297" s="29"/>
      <c r="EM297" s="29"/>
      <c r="EN297" s="29"/>
      <c r="EO297" s="29"/>
      <c r="EP297" s="29"/>
      <c r="EQ297" s="29"/>
      <c r="ER297" s="29"/>
      <c r="ES297" s="29"/>
      <c r="ET297" s="29" t="s">
        <v>478</v>
      </c>
      <c r="EU297" s="29" t="s">
        <v>1037</v>
      </c>
      <c r="EV297" s="29" t="s">
        <v>580</v>
      </c>
      <c r="EW297" s="29"/>
      <c r="EX297" s="29" t="s">
        <v>6085</v>
      </c>
      <c r="EY297" s="29" t="s">
        <v>6085</v>
      </c>
      <c r="EZ297" s="29" t="s">
        <v>414</v>
      </c>
      <c r="FA297" s="29" t="s">
        <v>414</v>
      </c>
      <c r="FB297" s="29" t="s">
        <v>416</v>
      </c>
      <c r="FC297" s="29" t="s">
        <v>415</v>
      </c>
      <c r="FD297" s="29" t="s">
        <v>416</v>
      </c>
      <c r="FE297" s="29" t="s">
        <v>415</v>
      </c>
      <c r="FF297" s="29" t="s">
        <v>484</v>
      </c>
      <c r="FG297" s="29" t="s">
        <v>484</v>
      </c>
      <c r="FH297" s="29" t="s">
        <v>484</v>
      </c>
      <c r="FI297" s="29" t="s">
        <v>484</v>
      </c>
      <c r="FJ297" s="29" t="s">
        <v>484</v>
      </c>
      <c r="FK297" s="29" t="s">
        <v>484</v>
      </c>
      <c r="FL297" s="29" t="s">
        <v>484</v>
      </c>
      <c r="FM297" s="29" t="s">
        <v>484</v>
      </c>
      <c r="FN297" s="29" t="s">
        <v>484</v>
      </c>
      <c r="FO297" s="29" t="s">
        <v>3396</v>
      </c>
      <c r="FP297" s="29" t="s">
        <v>486</v>
      </c>
      <c r="FQ297" s="29" t="s">
        <v>712</v>
      </c>
      <c r="FR297" s="29"/>
      <c r="FS297" s="29" t="s">
        <v>995</v>
      </c>
      <c r="FT297" s="29" t="s">
        <v>1462</v>
      </c>
      <c r="FU297" s="29" t="s">
        <v>918</v>
      </c>
      <c r="FV297" s="29" t="s">
        <v>490</v>
      </c>
      <c r="FW297" s="29" t="s">
        <v>491</v>
      </c>
      <c r="FX297" s="29" t="s">
        <v>6086</v>
      </c>
      <c r="FY297" s="29" t="s">
        <v>493</v>
      </c>
      <c r="FZ297" s="29"/>
      <c r="GA297" s="29"/>
      <c r="GB297" s="29" t="s">
        <v>408</v>
      </c>
      <c r="GC297" s="29"/>
      <c r="GD297" s="29"/>
      <c r="GE297" s="29"/>
      <c r="GF297" s="29"/>
      <c r="GG297" s="29" t="s">
        <v>789</v>
      </c>
      <c r="GH297" s="29" t="s">
        <v>920</v>
      </c>
      <c r="GI297" s="29" t="s">
        <v>756</v>
      </c>
      <c r="GJ297" s="29"/>
      <c r="GK297" s="29"/>
      <c r="GL297" s="29"/>
      <c r="GM297" s="29"/>
      <c r="GN297" s="29"/>
      <c r="GO297" s="29"/>
      <c r="GP297" s="29"/>
      <c r="GQ297" s="29" t="s">
        <v>5656</v>
      </c>
      <c r="GR297" s="29"/>
      <c r="GS297" s="29"/>
      <c r="GT297" s="29" t="s">
        <v>5081</v>
      </c>
      <c r="GU297" s="29" t="s">
        <v>6087</v>
      </c>
      <c r="HP297" s="31"/>
      <c r="MX297" s="29" t="s">
        <v>10402</v>
      </c>
      <c r="MY297" s="29" t="str">
        <f>IFERROR(__xludf.DUMMYFUNCTION("""COMPUTED_VALUE"""),"California")</f>
        <v>California</v>
      </c>
    </row>
    <row r="298" ht="16.5" customHeight="1">
      <c r="A298" s="33">
        <v>45903.55631206019</v>
      </c>
      <c r="B298" s="29" t="s">
        <v>368</v>
      </c>
      <c r="C298" s="29" t="s">
        <v>370</v>
      </c>
      <c r="D298" s="29" t="s">
        <v>370</v>
      </c>
      <c r="E298" s="29" t="s">
        <v>371</v>
      </c>
      <c r="F298" s="29" t="s">
        <v>371</v>
      </c>
      <c r="G298" s="29" t="s">
        <v>422</v>
      </c>
      <c r="H298" s="29" t="s">
        <v>496</v>
      </c>
      <c r="I298" s="29" t="s">
        <v>374</v>
      </c>
      <c r="J298" s="29" t="s">
        <v>375</v>
      </c>
      <c r="K298" s="29" t="s">
        <v>376</v>
      </c>
      <c r="L298" s="29" t="s">
        <v>379</v>
      </c>
      <c r="M298" s="29" t="s">
        <v>378</v>
      </c>
      <c r="N298" s="29" t="s">
        <v>591</v>
      </c>
      <c r="O298" s="29" t="s">
        <v>671</v>
      </c>
      <c r="P298" s="29" t="s">
        <v>498</v>
      </c>
      <c r="Q298" s="29" t="s">
        <v>862</v>
      </c>
      <c r="R298" s="29" t="s">
        <v>1704</v>
      </c>
      <c r="S298" s="29" t="s">
        <v>6088</v>
      </c>
      <c r="T298" s="29" t="s">
        <v>385</v>
      </c>
      <c r="U298" s="29"/>
      <c r="V298" s="29"/>
      <c r="W298" s="29" t="s">
        <v>386</v>
      </c>
      <c r="X298" s="29" t="s">
        <v>6089</v>
      </c>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t="s">
        <v>597</v>
      </c>
      <c r="AW298" s="29">
        <v>4.0</v>
      </c>
      <c r="AX298" s="29">
        <v>4.0</v>
      </c>
      <c r="AY298" s="29" t="s">
        <v>391</v>
      </c>
      <c r="AZ298" s="29" t="s">
        <v>391</v>
      </c>
      <c r="BA298" s="29">
        <v>4.0</v>
      </c>
      <c r="BB298" s="29">
        <v>4.0</v>
      </c>
      <c r="BC298" s="29" t="s">
        <v>6090</v>
      </c>
      <c r="BD298" s="29" t="s">
        <v>6091</v>
      </c>
      <c r="BE298" s="29" t="s">
        <v>1094</v>
      </c>
      <c r="BF298" s="29" t="s">
        <v>393</v>
      </c>
      <c r="BG298" s="29" t="s">
        <v>434</v>
      </c>
      <c r="BH298" s="29" t="s">
        <v>6092</v>
      </c>
      <c r="BI298" s="29" t="s">
        <v>976</v>
      </c>
      <c r="BJ298" s="29"/>
      <c r="BK298" s="29" t="s">
        <v>395</v>
      </c>
      <c r="BL298" s="29" t="s">
        <v>904</v>
      </c>
      <c r="BM298" s="29" t="s">
        <v>1276</v>
      </c>
      <c r="BN298" s="29" t="s">
        <v>398</v>
      </c>
      <c r="BO298" s="29" t="s">
        <v>6093</v>
      </c>
      <c r="BP298" s="29" t="s">
        <v>6094</v>
      </c>
      <c r="BQ298" s="29" t="s">
        <v>401</v>
      </c>
      <c r="BR298" s="29" t="s">
        <v>6095</v>
      </c>
      <c r="BS298" s="29" t="s">
        <v>403</v>
      </c>
      <c r="BT298" s="29" t="s">
        <v>404</v>
      </c>
      <c r="BU298" s="29" t="s">
        <v>405</v>
      </c>
      <c r="BV298" s="29"/>
      <c r="BW298" s="29" t="s">
        <v>988</v>
      </c>
      <c r="BX298" s="29"/>
      <c r="BY298" s="29" t="s">
        <v>733</v>
      </c>
      <c r="BZ298" s="29" t="s">
        <v>6096</v>
      </c>
      <c r="CA298" s="29"/>
      <c r="CB298" s="29" t="s">
        <v>6097</v>
      </c>
      <c r="CC298" s="29" t="s">
        <v>6098</v>
      </c>
      <c r="CD298" s="29" t="s">
        <v>1931</v>
      </c>
      <c r="CE298" s="29"/>
      <c r="CF298" s="29" t="s">
        <v>1749</v>
      </c>
      <c r="CG298" s="29" t="s">
        <v>6099</v>
      </c>
      <c r="CH298" s="29" t="s">
        <v>1698</v>
      </c>
      <c r="CI298" s="29" t="s">
        <v>1220</v>
      </c>
      <c r="CJ298" s="29" t="s">
        <v>6100</v>
      </c>
      <c r="CK298" s="29" t="s">
        <v>6101</v>
      </c>
      <c r="CL298" s="29"/>
      <c r="CM298" s="29"/>
      <c r="CN298" s="29"/>
      <c r="CO298" s="29"/>
      <c r="CP298" s="29"/>
      <c r="CQ298" s="29"/>
      <c r="CR298" s="29"/>
      <c r="CS298" s="29"/>
      <c r="CT298" s="29"/>
      <c r="CU298" s="29"/>
      <c r="CV298" s="29"/>
      <c r="CW298" s="29"/>
      <c r="CX298" s="29"/>
      <c r="CY298" s="29"/>
      <c r="CZ298" s="29"/>
      <c r="DA298" s="29"/>
      <c r="DB298" s="29"/>
      <c r="DC298" s="29"/>
      <c r="DD298" s="29"/>
      <c r="DE298" s="29"/>
      <c r="DF298" s="29"/>
      <c r="DG298" s="29"/>
      <c r="DH298" s="29"/>
      <c r="DI298" s="29" t="s">
        <v>459</v>
      </c>
      <c r="DJ298" s="29" t="s">
        <v>460</v>
      </c>
      <c r="DK298" s="29" t="s">
        <v>525</v>
      </c>
      <c r="DL298" s="29"/>
      <c r="DM298" s="29"/>
      <c r="DN298" s="29"/>
      <c r="DO298" s="29"/>
      <c r="DP298" s="29"/>
      <c r="DQ298" s="29"/>
      <c r="DR298" s="29"/>
      <c r="DS298" s="29"/>
      <c r="DT298" s="29"/>
      <c r="DU298" s="29"/>
      <c r="DV298" s="29"/>
      <c r="DW298" s="29"/>
      <c r="DX298" s="29"/>
      <c r="DY298" s="29"/>
      <c r="DZ298" s="29"/>
      <c r="EA298" s="29"/>
      <c r="EB298" s="29"/>
      <c r="EC298" s="29"/>
      <c r="ED298" s="29"/>
      <c r="EE298" s="29"/>
      <c r="EF298" s="29"/>
      <c r="EG298" s="29"/>
      <c r="EH298" s="29"/>
      <c r="EI298" s="29"/>
      <c r="EJ298" s="29"/>
      <c r="EK298" s="29"/>
      <c r="EL298" s="29"/>
      <c r="EM298" s="29"/>
      <c r="EN298" s="29"/>
      <c r="EO298" s="29"/>
      <c r="EP298" s="29"/>
      <c r="EQ298" s="29"/>
      <c r="ER298" s="29"/>
      <c r="ES298" s="29"/>
      <c r="ET298" s="29" t="s">
        <v>478</v>
      </c>
      <c r="EU298" s="29" t="s">
        <v>887</v>
      </c>
      <c r="EV298" s="29" t="s">
        <v>663</v>
      </c>
      <c r="EW298" s="29"/>
      <c r="EX298" s="29" t="s">
        <v>404</v>
      </c>
      <c r="EY298" s="29" t="s">
        <v>404</v>
      </c>
      <c r="EZ298" s="29" t="s">
        <v>414</v>
      </c>
      <c r="FA298" s="29" t="s">
        <v>414</v>
      </c>
      <c r="FB298" s="29" t="s">
        <v>415</v>
      </c>
      <c r="FC298" s="29" t="s">
        <v>415</v>
      </c>
      <c r="FD298" s="29" t="s">
        <v>416</v>
      </c>
      <c r="FE298" s="29" t="s">
        <v>414</v>
      </c>
      <c r="FF298" s="29" t="s">
        <v>415</v>
      </c>
      <c r="FG298" s="29" t="s">
        <v>415</v>
      </c>
      <c r="FH298" s="29" t="s">
        <v>415</v>
      </c>
      <c r="FI298" s="29" t="s">
        <v>415</v>
      </c>
      <c r="FJ298" s="29" t="s">
        <v>415</v>
      </c>
      <c r="FK298" s="29" t="s">
        <v>415</v>
      </c>
      <c r="FL298" s="29" t="s">
        <v>415</v>
      </c>
      <c r="FM298" s="29" t="s">
        <v>415</v>
      </c>
      <c r="FN298" s="29" t="s">
        <v>415</v>
      </c>
      <c r="FO298" s="29" t="s">
        <v>850</v>
      </c>
      <c r="FP298" s="29" t="s">
        <v>1200</v>
      </c>
      <c r="FQ298" s="29" t="s">
        <v>712</v>
      </c>
      <c r="FR298" s="29"/>
      <c r="FS298" s="29" t="s">
        <v>995</v>
      </c>
      <c r="FT298" s="29" t="s">
        <v>421</v>
      </c>
      <c r="FU298" s="29" t="s">
        <v>489</v>
      </c>
      <c r="FV298" s="29" t="s">
        <v>1101</v>
      </c>
      <c r="FW298" s="29" t="s">
        <v>491</v>
      </c>
      <c r="FX298" s="29"/>
      <c r="FY298" s="29" t="s">
        <v>1020</v>
      </c>
      <c r="FZ298" s="29" t="s">
        <v>6102</v>
      </c>
      <c r="GA298" s="29" t="s">
        <v>6103</v>
      </c>
      <c r="GB298" s="29" t="s">
        <v>408</v>
      </c>
      <c r="GC298" s="29"/>
      <c r="GD298" s="29"/>
      <c r="GE298" s="29"/>
      <c r="GF298" s="29"/>
      <c r="GG298" s="29"/>
      <c r="GH298" s="29"/>
      <c r="GI298" s="29"/>
      <c r="GJ298" s="29" t="s">
        <v>789</v>
      </c>
      <c r="GK298" s="29" t="s">
        <v>789</v>
      </c>
      <c r="GL298" s="29" t="s">
        <v>790</v>
      </c>
      <c r="GM298" s="29"/>
      <c r="GN298" s="29"/>
      <c r="GO298" s="29"/>
      <c r="GP298" s="29"/>
      <c r="GQ298" s="29" t="s">
        <v>6104</v>
      </c>
      <c r="GR298" s="29" t="s">
        <v>4774</v>
      </c>
      <c r="GS298" s="29"/>
      <c r="GT298" s="29"/>
      <c r="GU298" s="29"/>
      <c r="HP298" s="31"/>
      <c r="MX298" s="29" t="s">
        <v>10402</v>
      </c>
      <c r="MY298" s="29" t="str">
        <f>IFERROR(__xludf.DUMMYFUNCTION("""COMPUTED_VALUE"""),"Massachusetts")</f>
        <v>Massachusetts</v>
      </c>
    </row>
    <row r="299" ht="16.5" customHeight="1">
      <c r="A299" s="33">
        <v>45903.60210783565</v>
      </c>
      <c r="B299" s="29" t="s">
        <v>368</v>
      </c>
      <c r="C299" s="29" t="s">
        <v>370</v>
      </c>
      <c r="D299" s="29" t="s">
        <v>370</v>
      </c>
      <c r="E299" s="29" t="s">
        <v>1001</v>
      </c>
      <c r="F299" s="29" t="s">
        <v>1001</v>
      </c>
      <c r="G299" s="29" t="s">
        <v>422</v>
      </c>
      <c r="H299" s="29" t="s">
        <v>373</v>
      </c>
      <c r="I299" s="29" t="s">
        <v>374</v>
      </c>
      <c r="J299" s="29" t="s">
        <v>375</v>
      </c>
      <c r="K299" s="29" t="s">
        <v>376</v>
      </c>
      <c r="L299" s="29" t="s">
        <v>670</v>
      </c>
      <c r="M299" s="29" t="s">
        <v>720</v>
      </c>
      <c r="N299" s="29" t="s">
        <v>591</v>
      </c>
      <c r="O299" s="29" t="s">
        <v>719</v>
      </c>
      <c r="P299" s="29" t="s">
        <v>498</v>
      </c>
      <c r="Q299" s="29" t="s">
        <v>862</v>
      </c>
      <c r="R299" s="29" t="s">
        <v>2360</v>
      </c>
      <c r="S299" s="29" t="s">
        <v>1512</v>
      </c>
      <c r="T299" s="29" t="s">
        <v>385</v>
      </c>
      <c r="U299" s="29"/>
      <c r="V299" s="29"/>
      <c r="W299" s="29" t="s">
        <v>3231</v>
      </c>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t="s">
        <v>1310</v>
      </c>
      <c r="AW299" s="29" t="s">
        <v>391</v>
      </c>
      <c r="AX299" s="29" t="s">
        <v>391</v>
      </c>
      <c r="AY299" s="29">
        <v>2.0</v>
      </c>
      <c r="AZ299" s="29" t="s">
        <v>675</v>
      </c>
      <c r="BA299" s="29" t="s">
        <v>675</v>
      </c>
      <c r="BB299" s="29" t="s">
        <v>391</v>
      </c>
      <c r="BC299" s="29" t="s">
        <v>6107</v>
      </c>
      <c r="BD299" s="29" t="s">
        <v>6108</v>
      </c>
      <c r="BE299" s="29" t="s">
        <v>392</v>
      </c>
      <c r="BF299" s="29" t="s">
        <v>433</v>
      </c>
      <c r="BG299" s="29" t="s">
        <v>434</v>
      </c>
      <c r="BH299" s="29" t="s">
        <v>6109</v>
      </c>
      <c r="BI299" s="29" t="s">
        <v>509</v>
      </c>
      <c r="BJ299" s="29" t="s">
        <v>6110</v>
      </c>
      <c r="BK299" s="29" t="s">
        <v>395</v>
      </c>
      <c r="BL299" s="29" t="s">
        <v>603</v>
      </c>
      <c r="BM299" s="29" t="s">
        <v>397</v>
      </c>
      <c r="BN299" s="29" t="s">
        <v>398</v>
      </c>
      <c r="BO299" s="29" t="s">
        <v>6111</v>
      </c>
      <c r="BP299" s="29" t="s">
        <v>6112</v>
      </c>
      <c r="BQ299" s="29" t="s">
        <v>604</v>
      </c>
      <c r="BR299" s="29" t="s">
        <v>6113</v>
      </c>
      <c r="BS299" s="29" t="s">
        <v>1741</v>
      </c>
      <c r="BT299" s="29" t="s">
        <v>404</v>
      </c>
      <c r="BU299" s="29" t="s">
        <v>405</v>
      </c>
      <c r="BV299" s="29"/>
      <c r="BW299" s="29" t="s">
        <v>406</v>
      </c>
      <c r="BX299" s="29" t="s">
        <v>2503</v>
      </c>
      <c r="BY299" s="29" t="s">
        <v>455</v>
      </c>
      <c r="BZ299" s="29" t="s">
        <v>6114</v>
      </c>
      <c r="CA299" s="29" t="s">
        <v>6115</v>
      </c>
      <c r="CB299" s="29" t="s">
        <v>6116</v>
      </c>
      <c r="CC299" s="29" t="s">
        <v>6117</v>
      </c>
      <c r="CD299" s="29" t="s">
        <v>409</v>
      </c>
      <c r="CE299" s="29" t="s">
        <v>6118</v>
      </c>
      <c r="CF299" s="29" t="s">
        <v>1722</v>
      </c>
      <c r="CG299" s="29" t="s">
        <v>6119</v>
      </c>
      <c r="CH299" s="29" t="s">
        <v>1259</v>
      </c>
      <c r="CI299" s="29"/>
      <c r="CJ299" s="29" t="s">
        <v>6120</v>
      </c>
      <c r="CK299" s="29" t="s">
        <v>6121</v>
      </c>
      <c r="CL299" s="29"/>
      <c r="CM299" s="29"/>
      <c r="CN299" s="29"/>
      <c r="CO299" s="29"/>
      <c r="CP299" s="29"/>
      <c r="CQ299" s="29"/>
      <c r="CR299" s="29"/>
      <c r="CS299" s="29"/>
      <c r="CT299" s="29"/>
      <c r="CU299" s="29"/>
      <c r="CV299" s="29"/>
      <c r="CW299" s="29"/>
      <c r="CX299" s="29"/>
      <c r="CY299" s="29"/>
      <c r="CZ299" s="29"/>
      <c r="DA299" s="29"/>
      <c r="DB299" s="29"/>
      <c r="DC299" s="29"/>
      <c r="DD299" s="29"/>
      <c r="DE299" s="29"/>
      <c r="DF299" s="29"/>
      <c r="DG299" s="29"/>
      <c r="DH299" s="29"/>
      <c r="DI299" s="29" t="s">
        <v>963</v>
      </c>
      <c r="DJ299" s="29" t="s">
        <v>562</v>
      </c>
      <c r="DK299" s="29" t="s">
        <v>525</v>
      </c>
      <c r="DL299" s="29"/>
      <c r="DM299" s="29"/>
      <c r="DN299" s="29"/>
      <c r="DO299" s="29"/>
      <c r="DP299" s="29"/>
      <c r="DQ299" s="29"/>
      <c r="DR299" s="29"/>
      <c r="DS299" s="29"/>
      <c r="DT299" s="29"/>
      <c r="DU299" s="29"/>
      <c r="DV299" s="29"/>
      <c r="DW299" s="29"/>
      <c r="DX299" s="29"/>
      <c r="DY299" s="29"/>
      <c r="DZ299" s="29"/>
      <c r="EA299" s="29"/>
      <c r="EB299" s="29"/>
      <c r="EC299" s="29"/>
      <c r="ED299" s="29"/>
      <c r="EE299" s="29"/>
      <c r="EF299" s="29"/>
      <c r="EG299" s="29"/>
      <c r="EH299" s="29"/>
      <c r="EI299" s="29"/>
      <c r="EJ299" s="29"/>
      <c r="EK299" s="29"/>
      <c r="EL299" s="29"/>
      <c r="EM299" s="29"/>
      <c r="EN299" s="29"/>
      <c r="EO299" s="29"/>
      <c r="EP299" s="29"/>
      <c r="EQ299" s="29"/>
      <c r="ER299" s="29"/>
      <c r="ES299" s="29"/>
      <c r="ET299" s="29" t="s">
        <v>478</v>
      </c>
      <c r="EU299" s="29" t="s">
        <v>887</v>
      </c>
      <c r="EV299" s="29" t="s">
        <v>480</v>
      </c>
      <c r="EW299" s="29"/>
      <c r="EX299" s="29"/>
      <c r="EY299" s="29"/>
      <c r="EZ299" s="29"/>
      <c r="FA299" s="29"/>
      <c r="FB299" s="29"/>
      <c r="FC299" s="29"/>
      <c r="FD299" s="29"/>
      <c r="FE299" s="29"/>
      <c r="FF299" s="29"/>
      <c r="FG299" s="29"/>
      <c r="FH299" s="29"/>
      <c r="FI299" s="29"/>
      <c r="FJ299" s="29"/>
      <c r="FK299" s="29"/>
      <c r="FL299" s="29"/>
      <c r="FM299" s="29"/>
      <c r="FN299" s="29"/>
      <c r="FO299" s="29" t="s">
        <v>485</v>
      </c>
      <c r="FP299" s="29" t="s">
        <v>486</v>
      </c>
      <c r="FQ299" s="29" t="s">
        <v>419</v>
      </c>
      <c r="FR299" s="29"/>
      <c r="FS299" s="29" t="s">
        <v>995</v>
      </c>
      <c r="FT299" s="29" t="s">
        <v>421</v>
      </c>
      <c r="FU299" s="29" t="s">
        <v>489</v>
      </c>
      <c r="FV299" s="29" t="s">
        <v>490</v>
      </c>
      <c r="FW299" s="29" t="s">
        <v>491</v>
      </c>
      <c r="FX299" s="29"/>
      <c r="FY299" s="29" t="s">
        <v>493</v>
      </c>
      <c r="FZ299" s="29" t="s">
        <v>6122</v>
      </c>
      <c r="GA299" s="29" t="s">
        <v>6123</v>
      </c>
      <c r="GB299" s="29" t="s">
        <v>455</v>
      </c>
      <c r="GC299" s="29"/>
      <c r="GD299" s="29"/>
      <c r="GE299" s="29" t="s">
        <v>753</v>
      </c>
      <c r="GF299" s="29"/>
      <c r="GG299" s="29"/>
      <c r="GH299" s="29"/>
      <c r="GI299" s="29"/>
      <c r="GJ299" s="29" t="s">
        <v>1000</v>
      </c>
      <c r="GK299" s="29" t="s">
        <v>1000</v>
      </c>
      <c r="GL299" s="29" t="s">
        <v>756</v>
      </c>
      <c r="GM299" s="29"/>
      <c r="GN299" s="29"/>
      <c r="GO299" s="29"/>
      <c r="GP299" s="29" t="s">
        <v>6124</v>
      </c>
      <c r="GQ299" s="29" t="s">
        <v>5656</v>
      </c>
      <c r="GR299" s="29" t="s">
        <v>4774</v>
      </c>
      <c r="GS299" s="29"/>
      <c r="GT299" s="29"/>
      <c r="GU299" s="29"/>
      <c r="HP299" s="31"/>
      <c r="MX299" s="29" t="s">
        <v>10402</v>
      </c>
      <c r="MY299" s="29" t="str">
        <f>IFERROR(__xludf.DUMMYFUNCTION("""COMPUTED_VALUE"""),"Iowa")</f>
        <v>Iowa</v>
      </c>
    </row>
    <row r="300" ht="16.5" customHeight="1">
      <c r="A300" s="33">
        <v>45903.61053475694</v>
      </c>
      <c r="B300" s="29" t="s">
        <v>368</v>
      </c>
      <c r="C300" s="29" t="s">
        <v>370</v>
      </c>
      <c r="D300" s="29" t="s">
        <v>370</v>
      </c>
      <c r="E300" s="29" t="s">
        <v>2388</v>
      </c>
      <c r="F300" s="29" t="s">
        <v>2388</v>
      </c>
      <c r="G300" s="29" t="s">
        <v>422</v>
      </c>
      <c r="H300" s="29" t="s">
        <v>539</v>
      </c>
      <c r="I300" s="29" t="s">
        <v>424</v>
      </c>
      <c r="J300" s="29" t="s">
        <v>425</v>
      </c>
      <c r="K300" s="29" t="s">
        <v>376</v>
      </c>
      <c r="L300" s="29" t="s">
        <v>379</v>
      </c>
      <c r="M300" s="29" t="s">
        <v>948</v>
      </c>
      <c r="N300" s="29" t="s">
        <v>379</v>
      </c>
      <c r="O300" s="29" t="s">
        <v>2097</v>
      </c>
      <c r="P300" s="29" t="s">
        <v>498</v>
      </c>
      <c r="Q300" s="29" t="s">
        <v>1156</v>
      </c>
      <c r="R300" s="29" t="s">
        <v>427</v>
      </c>
      <c r="S300" s="29" t="s">
        <v>384</v>
      </c>
      <c r="T300" s="29" t="s">
        <v>385</v>
      </c>
      <c r="U300" s="29"/>
      <c r="V300" s="29"/>
      <c r="W300" s="29" t="s">
        <v>593</v>
      </c>
      <c r="X300" s="29" t="s">
        <v>387</v>
      </c>
      <c r="Y300" s="29" t="s">
        <v>388</v>
      </c>
      <c r="Z300" s="29" t="s">
        <v>502</v>
      </c>
      <c r="AA300" s="29" t="s">
        <v>6127</v>
      </c>
      <c r="AB300" s="29"/>
      <c r="AC300" s="29"/>
      <c r="AD300" s="29"/>
      <c r="AE300" s="29"/>
      <c r="AF300" s="29"/>
      <c r="AG300" s="29"/>
      <c r="AH300" s="29"/>
      <c r="AI300" s="29"/>
      <c r="AJ300" s="29"/>
      <c r="AK300" s="29"/>
      <c r="AL300" s="29"/>
      <c r="AM300" s="29"/>
      <c r="AN300" s="29"/>
      <c r="AO300" s="29"/>
      <c r="AP300" s="29"/>
      <c r="AQ300" s="29"/>
      <c r="AR300" s="29"/>
      <c r="AS300" s="29"/>
      <c r="AT300" s="29"/>
      <c r="AU300" s="29"/>
      <c r="AV300" s="29" t="s">
        <v>597</v>
      </c>
      <c r="AW300" s="29">
        <v>4.0</v>
      </c>
      <c r="AX300" s="29" t="s">
        <v>391</v>
      </c>
      <c r="AY300" s="29">
        <v>2.0</v>
      </c>
      <c r="AZ300" s="29" t="s">
        <v>391</v>
      </c>
      <c r="BA300" s="29">
        <v>2.0</v>
      </c>
      <c r="BB300" s="29" t="s">
        <v>391</v>
      </c>
      <c r="BC300" s="29" t="s">
        <v>6128</v>
      </c>
      <c r="BD300" s="29" t="s">
        <v>6129</v>
      </c>
      <c r="BE300" s="29" t="s">
        <v>902</v>
      </c>
      <c r="BF300" s="29" t="s">
        <v>1095</v>
      </c>
      <c r="BG300" s="29" t="s">
        <v>678</v>
      </c>
      <c r="BH300" s="29"/>
      <c r="BI300" s="29" t="s">
        <v>976</v>
      </c>
      <c r="BJ300" s="29"/>
      <c r="BK300" s="29" t="s">
        <v>395</v>
      </c>
      <c r="BL300" s="29" t="s">
        <v>603</v>
      </c>
      <c r="BM300" s="29" t="s">
        <v>397</v>
      </c>
      <c r="BN300" s="29" t="s">
        <v>513</v>
      </c>
      <c r="BO300" s="29"/>
      <c r="BP300" s="29"/>
      <c r="BQ300" s="29"/>
      <c r="BR300" s="29"/>
      <c r="BS300" s="29"/>
      <c r="BT300" s="29"/>
      <c r="BU300" s="29"/>
      <c r="BV300" s="29"/>
      <c r="BW300" s="29"/>
      <c r="BX300" s="29"/>
      <c r="BY300" s="29"/>
      <c r="BZ300" s="29"/>
      <c r="CA300" s="29"/>
      <c r="CB300" s="29"/>
      <c r="CC300" s="29"/>
      <c r="CD300" s="29"/>
      <c r="CE300" s="29"/>
      <c r="CF300" s="29"/>
      <c r="CG300" s="29"/>
      <c r="CH300" s="29"/>
      <c r="CI300" s="29"/>
      <c r="CJ300" s="29"/>
      <c r="CK300" s="29"/>
      <c r="CL300" s="29" t="s">
        <v>441</v>
      </c>
      <c r="CM300" s="29" t="s">
        <v>604</v>
      </c>
      <c r="CN300" s="29" t="s">
        <v>6130</v>
      </c>
      <c r="CO300" s="29" t="s">
        <v>6131</v>
      </c>
      <c r="CP300" s="29" t="s">
        <v>403</v>
      </c>
      <c r="CQ300" s="29" t="s">
        <v>6132</v>
      </c>
      <c r="CR300" s="29" t="s">
        <v>804</v>
      </c>
      <c r="CS300" s="29" t="s">
        <v>6133</v>
      </c>
      <c r="CT300" s="29" t="s">
        <v>6134</v>
      </c>
      <c r="CU300" s="29" t="s">
        <v>1852</v>
      </c>
      <c r="CV300" s="29" t="s">
        <v>409</v>
      </c>
      <c r="CW300" s="29"/>
      <c r="CX300" s="29" t="s">
        <v>408</v>
      </c>
      <c r="CY300" s="29"/>
      <c r="CZ300" s="29" t="s">
        <v>1398</v>
      </c>
      <c r="DA300" s="29"/>
      <c r="DB300" s="29" t="s">
        <v>408</v>
      </c>
      <c r="DC300" s="29"/>
      <c r="DD300" s="29" t="s">
        <v>406</v>
      </c>
      <c r="DE300" s="29" t="s">
        <v>1867</v>
      </c>
      <c r="DF300" s="29" t="s">
        <v>6135</v>
      </c>
      <c r="DG300" s="29" t="s">
        <v>990</v>
      </c>
      <c r="DH300" s="29" t="s">
        <v>833</v>
      </c>
      <c r="DI300" s="29" t="s">
        <v>963</v>
      </c>
      <c r="DJ300" s="29" t="s">
        <v>1403</v>
      </c>
      <c r="DK300" s="29" t="s">
        <v>563</v>
      </c>
      <c r="DL300" s="29" t="s">
        <v>408</v>
      </c>
      <c r="DM300" s="29"/>
      <c r="DN300" s="29"/>
      <c r="DO300" s="29"/>
      <c r="DP300" s="29"/>
      <c r="DQ300" s="29"/>
      <c r="DR300" s="29"/>
      <c r="DS300" s="29"/>
      <c r="DT300" s="29"/>
      <c r="DU300" s="29"/>
      <c r="DV300" s="29"/>
      <c r="DW300" s="29"/>
      <c r="DX300" s="29"/>
      <c r="DY300" s="29"/>
      <c r="DZ300" s="29"/>
      <c r="EA300" s="29"/>
      <c r="EB300" s="29"/>
      <c r="EC300" s="29"/>
      <c r="ED300" s="29"/>
      <c r="EE300" s="29"/>
      <c r="EF300" s="29"/>
      <c r="EG300" s="29"/>
      <c r="EH300" s="29"/>
      <c r="EI300" s="29"/>
      <c r="EJ300" s="29"/>
      <c r="EK300" s="29"/>
      <c r="EL300" s="29"/>
      <c r="EM300" s="29"/>
      <c r="EN300" s="29"/>
      <c r="EO300" s="29"/>
      <c r="EP300" s="29"/>
      <c r="EQ300" s="29"/>
      <c r="ER300" s="29"/>
      <c r="ES300" s="29"/>
      <c r="ET300" s="29" t="s">
        <v>578</v>
      </c>
      <c r="EU300" s="29" t="s">
        <v>887</v>
      </c>
      <c r="EV300" s="29" t="s">
        <v>527</v>
      </c>
      <c r="EW300" s="29" t="s">
        <v>6136</v>
      </c>
      <c r="EX300" s="29" t="s">
        <v>6137</v>
      </c>
      <c r="EY300" s="29" t="s">
        <v>6137</v>
      </c>
      <c r="EZ300" s="29" t="s">
        <v>415</v>
      </c>
      <c r="FA300" s="29" t="s">
        <v>414</v>
      </c>
      <c r="FB300" s="29" t="s">
        <v>416</v>
      </c>
      <c r="FC300" s="29" t="s">
        <v>415</v>
      </c>
      <c r="FD300" s="29" t="s">
        <v>415</v>
      </c>
      <c r="FE300" s="29" t="s">
        <v>415</v>
      </c>
      <c r="FF300" s="29" t="s">
        <v>415</v>
      </c>
      <c r="FG300" s="29" t="s">
        <v>414</v>
      </c>
      <c r="FH300" s="29" t="s">
        <v>416</v>
      </c>
      <c r="FI300" s="29" t="s">
        <v>415</v>
      </c>
      <c r="FJ300" s="29" t="s">
        <v>415</v>
      </c>
      <c r="FK300" s="29" t="s">
        <v>414</v>
      </c>
      <c r="FL300" s="29" t="s">
        <v>414</v>
      </c>
      <c r="FM300" s="29" t="s">
        <v>415</v>
      </c>
      <c r="FN300" s="29" t="s">
        <v>416</v>
      </c>
      <c r="FO300" s="29" t="s">
        <v>850</v>
      </c>
      <c r="FP300" s="29" t="s">
        <v>1200</v>
      </c>
      <c r="FQ300" s="29" t="s">
        <v>712</v>
      </c>
      <c r="FR300" s="29" t="s">
        <v>6138</v>
      </c>
      <c r="FS300" s="29" t="s">
        <v>1871</v>
      </c>
      <c r="FT300" s="29" t="s">
        <v>421</v>
      </c>
      <c r="FU300" s="29" t="s">
        <v>489</v>
      </c>
      <c r="FV300" s="29" t="s">
        <v>490</v>
      </c>
      <c r="FW300" s="29" t="s">
        <v>491</v>
      </c>
      <c r="FX300" s="29" t="s">
        <v>6139</v>
      </c>
      <c r="FY300" s="29" t="s">
        <v>535</v>
      </c>
      <c r="FZ300" s="29" t="s">
        <v>6140</v>
      </c>
      <c r="GA300" s="29"/>
      <c r="GB300" s="29" t="s">
        <v>408</v>
      </c>
      <c r="GC300" s="29"/>
      <c r="GD300" s="29"/>
      <c r="GE300" s="29"/>
      <c r="GF300" s="29"/>
      <c r="GG300" s="29" t="s">
        <v>789</v>
      </c>
      <c r="GH300" s="29" t="s">
        <v>789</v>
      </c>
      <c r="GI300" s="29" t="s">
        <v>921</v>
      </c>
      <c r="GJ300" s="29"/>
      <c r="GK300" s="29"/>
      <c r="GL300" s="29"/>
      <c r="GM300" s="29"/>
      <c r="GN300" s="29"/>
      <c r="GO300" s="29"/>
      <c r="GP300" s="29"/>
      <c r="GQ300" s="29" t="s">
        <v>6141</v>
      </c>
      <c r="GR300" s="29"/>
      <c r="GS300" s="29"/>
      <c r="GT300" s="29" t="s">
        <v>4774</v>
      </c>
      <c r="GU300" s="29"/>
      <c r="HP300" s="31"/>
      <c r="MX300" s="29" t="s">
        <v>10402</v>
      </c>
      <c r="MY300" s="29" t="str">
        <f>IFERROR(__xludf.DUMMYFUNCTION("""COMPUTED_VALUE"""),"Ohio")</f>
        <v>Ohio</v>
      </c>
    </row>
    <row r="301" ht="16.5" customHeight="1">
      <c r="A301" s="33">
        <v>45903.613335625</v>
      </c>
      <c r="B301" s="29" t="s">
        <v>368</v>
      </c>
      <c r="C301" s="29" t="s">
        <v>370</v>
      </c>
      <c r="D301" s="29" t="s">
        <v>370</v>
      </c>
      <c r="E301" s="29" t="s">
        <v>495</v>
      </c>
      <c r="F301" s="29" t="s">
        <v>1421</v>
      </c>
      <c r="G301" s="29" t="s">
        <v>422</v>
      </c>
      <c r="H301" s="29" t="s">
        <v>373</v>
      </c>
      <c r="I301" s="29" t="s">
        <v>638</v>
      </c>
      <c r="J301" s="29" t="s">
        <v>590</v>
      </c>
      <c r="K301" s="29" t="s">
        <v>376</v>
      </c>
      <c r="L301" s="29" t="s">
        <v>426</v>
      </c>
      <c r="M301" s="29" t="s">
        <v>378</v>
      </c>
      <c r="N301" s="29" t="s">
        <v>426</v>
      </c>
      <c r="O301" s="29" t="s">
        <v>497</v>
      </c>
      <c r="P301" s="29" t="s">
        <v>1760</v>
      </c>
      <c r="Q301" s="29" t="s">
        <v>862</v>
      </c>
      <c r="R301" s="29" t="s">
        <v>6142</v>
      </c>
      <c r="S301" s="29" t="s">
        <v>6143</v>
      </c>
      <c r="T301" s="29" t="s">
        <v>6144</v>
      </c>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c r="BO301" s="29"/>
      <c r="BP301" s="29"/>
      <c r="BQ301" s="29"/>
      <c r="BR301" s="29"/>
      <c r="BS301" s="29"/>
      <c r="BT301" s="29"/>
      <c r="BU301" s="29"/>
      <c r="BV301" s="29"/>
      <c r="BW301" s="29"/>
      <c r="BX301" s="29"/>
      <c r="BY301" s="29"/>
      <c r="BZ301" s="29"/>
      <c r="CA301" s="29"/>
      <c r="CB301" s="29"/>
      <c r="CC301" s="29"/>
      <c r="CD301" s="29"/>
      <c r="CE301" s="29"/>
      <c r="CF301" s="29"/>
      <c r="CG301" s="29"/>
      <c r="CH301" s="29"/>
      <c r="CI301" s="29"/>
      <c r="CJ301" s="29"/>
      <c r="CK301" s="29"/>
      <c r="CL301" s="29"/>
      <c r="CM301" s="29"/>
      <c r="CN301" s="29"/>
      <c r="CO301" s="29"/>
      <c r="CP301" s="29"/>
      <c r="CQ301" s="29"/>
      <c r="CR301" s="29"/>
      <c r="CS301" s="29"/>
      <c r="CT301" s="29"/>
      <c r="CU301" s="29"/>
      <c r="CV301" s="29"/>
      <c r="CW301" s="29"/>
      <c r="CX301" s="29"/>
      <c r="CY301" s="29"/>
      <c r="CZ301" s="29"/>
      <c r="DA301" s="29"/>
      <c r="DB301" s="29"/>
      <c r="DC301" s="29"/>
      <c r="DD301" s="29"/>
      <c r="DE301" s="29"/>
      <c r="DF301" s="29"/>
      <c r="DG301" s="29"/>
      <c r="DH301" s="29"/>
      <c r="DI301" s="29"/>
      <c r="DJ301" s="29"/>
      <c r="DK301" s="29"/>
      <c r="DL301" s="29"/>
      <c r="DM301" s="29"/>
      <c r="DN301" s="29"/>
      <c r="DO301" s="29"/>
      <c r="DP301" s="29"/>
      <c r="DQ301" s="29"/>
      <c r="DR301" s="29"/>
      <c r="DS301" s="29"/>
      <c r="DT301" s="29"/>
      <c r="DU301" s="29"/>
      <c r="DV301" s="29"/>
      <c r="DW301" s="29"/>
      <c r="DX301" s="29"/>
      <c r="DY301" s="29"/>
      <c r="DZ301" s="29"/>
      <c r="EA301" s="29"/>
      <c r="EB301" s="29"/>
      <c r="EC301" s="29"/>
      <c r="ED301" s="29" t="s">
        <v>5723</v>
      </c>
      <c r="EE301" s="29"/>
      <c r="EF301" s="29"/>
      <c r="EG301" s="29"/>
      <c r="EH301" s="29"/>
      <c r="EI301" s="29"/>
      <c r="EJ301" s="29"/>
      <c r="EK301" s="29"/>
      <c r="EL301" s="29"/>
      <c r="EM301" s="29"/>
      <c r="EN301" s="29"/>
      <c r="EO301" s="29" t="s">
        <v>6145</v>
      </c>
      <c r="EP301" s="29"/>
      <c r="EQ301" s="29"/>
      <c r="ER301" s="29" t="s">
        <v>6146</v>
      </c>
      <c r="ES301" s="29"/>
      <c r="ET301" s="29" t="s">
        <v>2747</v>
      </c>
      <c r="EU301" s="29" t="s">
        <v>479</v>
      </c>
      <c r="EV301" s="29" t="s">
        <v>480</v>
      </c>
      <c r="EW301" s="29"/>
      <c r="EX301" s="29"/>
      <c r="EY301" s="29"/>
      <c r="EZ301" s="29" t="s">
        <v>583</v>
      </c>
      <c r="FA301" s="29" t="s">
        <v>583</v>
      </c>
      <c r="FB301" s="29" t="s">
        <v>415</v>
      </c>
      <c r="FC301" s="29" t="s">
        <v>583</v>
      </c>
      <c r="FD301" s="29" t="s">
        <v>414</v>
      </c>
      <c r="FE301" s="29" t="s">
        <v>583</v>
      </c>
      <c r="FF301" s="29" t="s">
        <v>583</v>
      </c>
      <c r="FG301" s="29" t="s">
        <v>416</v>
      </c>
      <c r="FH301" s="29" t="s">
        <v>583</v>
      </c>
      <c r="FI301" s="29" t="s">
        <v>583</v>
      </c>
      <c r="FJ301" s="29" t="s">
        <v>583</v>
      </c>
      <c r="FK301" s="29" t="s">
        <v>415</v>
      </c>
      <c r="FL301" s="29" t="s">
        <v>415</v>
      </c>
      <c r="FM301" s="29" t="s">
        <v>413</v>
      </c>
      <c r="FN301" s="29" t="s">
        <v>583</v>
      </c>
      <c r="FO301" s="29" t="s">
        <v>417</v>
      </c>
      <c r="FP301" s="29" t="s">
        <v>418</v>
      </c>
      <c r="FQ301" s="29" t="s">
        <v>749</v>
      </c>
      <c r="FR301" s="29" t="s">
        <v>6147</v>
      </c>
      <c r="FS301" s="29" t="s">
        <v>420</v>
      </c>
      <c r="FT301" s="29" t="s">
        <v>488</v>
      </c>
      <c r="FU301" s="29" t="s">
        <v>533</v>
      </c>
      <c r="FV301" s="29" t="s">
        <v>490</v>
      </c>
      <c r="FW301" s="29" t="s">
        <v>491</v>
      </c>
      <c r="FX301" s="29" t="s">
        <v>6148</v>
      </c>
      <c r="FY301" s="29" t="s">
        <v>535</v>
      </c>
      <c r="FZ301" s="29"/>
      <c r="GA301" s="29"/>
      <c r="GB301" s="29" t="s">
        <v>455</v>
      </c>
      <c r="GC301" s="29"/>
      <c r="GD301" s="29"/>
      <c r="GE301" s="29" t="s">
        <v>1339</v>
      </c>
      <c r="GF301" s="29" t="s">
        <v>6149</v>
      </c>
      <c r="GG301" s="29"/>
      <c r="GH301" s="29"/>
      <c r="GI301" s="29"/>
      <c r="GJ301" s="29"/>
      <c r="GK301" s="29"/>
      <c r="GL301" s="29"/>
      <c r="GM301" s="29"/>
      <c r="GN301" s="29"/>
      <c r="GO301" s="29"/>
      <c r="GP301" s="29"/>
      <c r="GQ301" s="29" t="s">
        <v>3306</v>
      </c>
      <c r="GR301" s="29"/>
      <c r="GS301" s="29"/>
      <c r="GT301" s="29"/>
      <c r="GU301" s="29"/>
      <c r="HP301" s="31"/>
      <c r="MX301" s="29" t="s">
        <v>10402</v>
      </c>
      <c r="MY301" s="29" t="str">
        <f>IFERROR(__xludf.DUMMYFUNCTION("""COMPUTED_VALUE"""),"Washington")</f>
        <v>Washington</v>
      </c>
    </row>
    <row r="302" ht="16.5" customHeight="1">
      <c r="A302" s="33">
        <v>45903.64189053241</v>
      </c>
      <c r="B302" s="29" t="s">
        <v>368</v>
      </c>
      <c r="C302" s="29" t="s">
        <v>370</v>
      </c>
      <c r="D302" s="29" t="s">
        <v>370</v>
      </c>
      <c r="E302" s="29" t="s">
        <v>1421</v>
      </c>
      <c r="F302" s="29" t="s">
        <v>1421</v>
      </c>
      <c r="G302" s="29" t="s">
        <v>422</v>
      </c>
      <c r="H302" s="29" t="s">
        <v>373</v>
      </c>
      <c r="I302" s="29" t="s">
        <v>374</v>
      </c>
      <c r="J302" s="29" t="s">
        <v>375</v>
      </c>
      <c r="K302" s="29" t="s">
        <v>376</v>
      </c>
      <c r="L302" s="29" t="s">
        <v>591</v>
      </c>
      <c r="M302" s="29" t="s">
        <v>6157</v>
      </c>
      <c r="N302" s="29" t="s">
        <v>670</v>
      </c>
      <c r="O302" s="29" t="s">
        <v>671</v>
      </c>
      <c r="P302" s="29" t="s">
        <v>592</v>
      </c>
      <c r="Q302" s="29" t="s">
        <v>862</v>
      </c>
      <c r="R302" s="29" t="s">
        <v>949</v>
      </c>
      <c r="S302" s="29" t="s">
        <v>384</v>
      </c>
      <c r="T302" s="29" t="s">
        <v>385</v>
      </c>
      <c r="U302" s="29"/>
      <c r="V302" s="29"/>
      <c r="W302" s="29" t="s">
        <v>593</v>
      </c>
      <c r="X302" s="29" t="s">
        <v>387</v>
      </c>
      <c r="Y302" s="29" t="s">
        <v>388</v>
      </c>
      <c r="Z302" s="29" t="s">
        <v>502</v>
      </c>
      <c r="AA302" s="29" t="s">
        <v>6158</v>
      </c>
      <c r="AB302" s="29" t="s">
        <v>6159</v>
      </c>
      <c r="AC302" s="29"/>
      <c r="AD302" s="29"/>
      <c r="AE302" s="29"/>
      <c r="AF302" s="29"/>
      <c r="AG302" s="29"/>
      <c r="AH302" s="29"/>
      <c r="AI302" s="29"/>
      <c r="AJ302" s="29"/>
      <c r="AK302" s="29"/>
      <c r="AL302" s="29"/>
      <c r="AM302" s="29"/>
      <c r="AN302" s="29"/>
      <c r="AO302" s="29"/>
      <c r="AP302" s="29"/>
      <c r="AQ302" s="29"/>
      <c r="AR302" s="29"/>
      <c r="AS302" s="29"/>
      <c r="AT302" s="29"/>
      <c r="AU302" s="29"/>
      <c r="AV302" s="29" t="s">
        <v>597</v>
      </c>
      <c r="AW302" s="29" t="s">
        <v>391</v>
      </c>
      <c r="AX302" s="29" t="s">
        <v>391</v>
      </c>
      <c r="AY302" s="29">
        <v>4.0</v>
      </c>
      <c r="AZ302" s="29">
        <v>2.0</v>
      </c>
      <c r="BA302" s="29">
        <v>2.0</v>
      </c>
      <c r="BB302" s="29" t="s">
        <v>391</v>
      </c>
      <c r="BC302" s="29" t="s">
        <v>6160</v>
      </c>
      <c r="BD302" s="29" t="s">
        <v>6161</v>
      </c>
      <c r="BE302" s="29" t="s">
        <v>432</v>
      </c>
      <c r="BF302" s="29" t="s">
        <v>393</v>
      </c>
      <c r="BG302" s="29" t="s">
        <v>765</v>
      </c>
      <c r="BH302" s="29" t="s">
        <v>6162</v>
      </c>
      <c r="BI302" s="29" t="s">
        <v>976</v>
      </c>
      <c r="BJ302" s="29"/>
      <c r="BK302" s="29" t="s">
        <v>602</v>
      </c>
      <c r="BL302" s="29" t="s">
        <v>603</v>
      </c>
      <c r="BM302" s="29" t="s">
        <v>1247</v>
      </c>
      <c r="BN302" s="29" t="s">
        <v>513</v>
      </c>
      <c r="BO302" s="29"/>
      <c r="BP302" s="29"/>
      <c r="BQ302" s="29"/>
      <c r="BR302" s="29"/>
      <c r="BS302" s="29"/>
      <c r="BT302" s="29"/>
      <c r="BU302" s="29"/>
      <c r="BV302" s="29"/>
      <c r="BW302" s="29"/>
      <c r="BX302" s="29"/>
      <c r="BY302" s="29"/>
      <c r="BZ302" s="29"/>
      <c r="CA302" s="29"/>
      <c r="CB302" s="29"/>
      <c r="CC302" s="29"/>
      <c r="CD302" s="29"/>
      <c r="CE302" s="29"/>
      <c r="CF302" s="29"/>
      <c r="CG302" s="29"/>
      <c r="CH302" s="29"/>
      <c r="CI302" s="29"/>
      <c r="CJ302" s="29"/>
      <c r="CK302" s="29"/>
      <c r="CL302" s="29" t="s">
        <v>441</v>
      </c>
      <c r="CM302" s="29" t="s">
        <v>604</v>
      </c>
      <c r="CN302" s="29" t="s">
        <v>6163</v>
      </c>
      <c r="CO302" s="29" t="s">
        <v>6164</v>
      </c>
      <c r="CP302" s="29" t="s">
        <v>445</v>
      </c>
      <c r="CQ302" s="29" t="s">
        <v>6165</v>
      </c>
      <c r="CR302" s="29" t="s">
        <v>447</v>
      </c>
      <c r="CS302" s="29" t="s">
        <v>1626</v>
      </c>
      <c r="CT302" s="29" t="s">
        <v>6166</v>
      </c>
      <c r="CU302" s="29" t="s">
        <v>1863</v>
      </c>
      <c r="CV302" s="29" t="s">
        <v>409</v>
      </c>
      <c r="CW302" s="29" t="s">
        <v>6167</v>
      </c>
      <c r="CX302" s="29" t="s">
        <v>455</v>
      </c>
      <c r="CY302" s="29" t="s">
        <v>6168</v>
      </c>
      <c r="CZ302" s="29" t="s">
        <v>985</v>
      </c>
      <c r="DA302" s="29" t="s">
        <v>6169</v>
      </c>
      <c r="DB302" s="29" t="s">
        <v>913</v>
      </c>
      <c r="DC302" s="29" t="s">
        <v>6170</v>
      </c>
      <c r="DD302" s="29" t="s">
        <v>988</v>
      </c>
      <c r="DE302" s="29" t="s">
        <v>407</v>
      </c>
      <c r="DF302" s="29" t="s">
        <v>6171</v>
      </c>
      <c r="DG302" s="29" t="s">
        <v>4899</v>
      </c>
      <c r="DH302" s="29" t="s">
        <v>833</v>
      </c>
      <c r="DI302" s="29" t="s">
        <v>459</v>
      </c>
      <c r="DJ302" s="29" t="s">
        <v>460</v>
      </c>
      <c r="DK302" s="29" t="s">
        <v>461</v>
      </c>
      <c r="DL302" s="29"/>
      <c r="DM302" s="29"/>
      <c r="DN302" s="29"/>
      <c r="DO302" s="29"/>
      <c r="DP302" s="29"/>
      <c r="DQ302" s="29"/>
      <c r="DR302" s="29"/>
      <c r="DS302" s="29"/>
      <c r="DT302" s="29"/>
      <c r="DU302" s="29"/>
      <c r="DV302" s="29"/>
      <c r="DW302" s="29"/>
      <c r="DX302" s="29"/>
      <c r="DY302" s="29"/>
      <c r="DZ302" s="29"/>
      <c r="EA302" s="29"/>
      <c r="EB302" s="29"/>
      <c r="EC302" s="29"/>
      <c r="ED302" s="29"/>
      <c r="EE302" s="29"/>
      <c r="EF302" s="29"/>
      <c r="EG302" s="29"/>
      <c r="EH302" s="29"/>
      <c r="EI302" s="29"/>
      <c r="EJ302" s="29"/>
      <c r="EK302" s="29"/>
      <c r="EL302" s="29"/>
      <c r="EM302" s="29"/>
      <c r="EN302" s="29"/>
      <c r="EO302" s="29"/>
      <c r="EP302" s="29"/>
      <c r="EQ302" s="29"/>
      <c r="ER302" s="29"/>
      <c r="ES302" s="29"/>
      <c r="ET302" s="29" t="s">
        <v>478</v>
      </c>
      <c r="EU302" s="29" t="s">
        <v>887</v>
      </c>
      <c r="EV302" s="29" t="s">
        <v>527</v>
      </c>
      <c r="EW302" s="29" t="s">
        <v>6172</v>
      </c>
      <c r="EX302" s="29" t="s">
        <v>6173</v>
      </c>
      <c r="EY302" s="29" t="s">
        <v>6174</v>
      </c>
      <c r="EZ302" s="29" t="s">
        <v>414</v>
      </c>
      <c r="FA302" s="29" t="s">
        <v>414</v>
      </c>
      <c r="FB302" s="29" t="s">
        <v>413</v>
      </c>
      <c r="FC302" s="29" t="s">
        <v>415</v>
      </c>
      <c r="FD302" s="29" t="s">
        <v>413</v>
      </c>
      <c r="FE302" s="29" t="s">
        <v>414</v>
      </c>
      <c r="FF302" s="29" t="s">
        <v>415</v>
      </c>
      <c r="FG302" s="29" t="s">
        <v>413</v>
      </c>
      <c r="FH302" s="29" t="s">
        <v>583</v>
      </c>
      <c r="FI302" s="29" t="s">
        <v>415</v>
      </c>
      <c r="FJ302" s="29" t="s">
        <v>484</v>
      </c>
      <c r="FK302" s="29" t="s">
        <v>415</v>
      </c>
      <c r="FL302" s="29" t="s">
        <v>415</v>
      </c>
      <c r="FM302" s="29" t="s">
        <v>416</v>
      </c>
      <c r="FN302" s="29" t="s">
        <v>414</v>
      </c>
      <c r="FO302" s="29" t="s">
        <v>1074</v>
      </c>
      <c r="FP302" s="29" t="s">
        <v>2524</v>
      </c>
      <c r="FQ302" s="29" t="s">
        <v>749</v>
      </c>
      <c r="FR302" s="29" t="s">
        <v>6175</v>
      </c>
      <c r="FS302" s="29" t="s">
        <v>1189</v>
      </c>
      <c r="FT302" s="29" t="s">
        <v>488</v>
      </c>
      <c r="FU302" s="29" t="s">
        <v>489</v>
      </c>
      <c r="FV302" s="29" t="s">
        <v>490</v>
      </c>
      <c r="FW302" s="29" t="s">
        <v>491</v>
      </c>
      <c r="FX302" s="29" t="s">
        <v>6176</v>
      </c>
      <c r="FY302" s="29" t="s">
        <v>493</v>
      </c>
      <c r="FZ302" s="29"/>
      <c r="GA302" s="29" t="s">
        <v>6177</v>
      </c>
      <c r="GB302" s="29" t="s">
        <v>408</v>
      </c>
      <c r="GC302" s="29"/>
      <c r="GD302" s="29"/>
      <c r="GE302" s="29"/>
      <c r="GF302" s="29"/>
      <c r="GG302" s="29" t="s">
        <v>755</v>
      </c>
      <c r="GH302" s="29" t="s">
        <v>755</v>
      </c>
      <c r="GI302" s="29" t="s">
        <v>817</v>
      </c>
      <c r="GJ302" s="29"/>
      <c r="GK302" s="29"/>
      <c r="GL302" s="29"/>
      <c r="GM302" s="29"/>
      <c r="GN302" s="29"/>
      <c r="GO302" s="29"/>
      <c r="GP302" s="29"/>
      <c r="GQ302" s="29" t="s">
        <v>5656</v>
      </c>
      <c r="GR302" s="29"/>
      <c r="GS302" s="29"/>
      <c r="GT302" s="29" t="s">
        <v>5039</v>
      </c>
      <c r="GU302" s="29" t="s">
        <v>6178</v>
      </c>
      <c r="HP302" s="31"/>
      <c r="MX302" s="29" t="s">
        <v>10402</v>
      </c>
      <c r="MY302" s="29" t="str">
        <f>IFERROR(__xludf.DUMMYFUNCTION("""COMPUTED_VALUE"""),"Massachusetts")</f>
        <v>Massachusetts</v>
      </c>
    </row>
    <row r="303" ht="16.5" customHeight="1">
      <c r="A303" s="33">
        <v>45903.651005266205</v>
      </c>
      <c r="B303" s="29" t="s">
        <v>368</v>
      </c>
      <c r="C303" s="29" t="s">
        <v>370</v>
      </c>
      <c r="D303" s="29" t="s">
        <v>370</v>
      </c>
      <c r="E303" s="29" t="s">
        <v>1001</v>
      </c>
      <c r="F303" s="29" t="s">
        <v>1421</v>
      </c>
      <c r="G303" s="29" t="s">
        <v>422</v>
      </c>
      <c r="H303" s="29" t="s">
        <v>373</v>
      </c>
      <c r="I303" s="29" t="s">
        <v>638</v>
      </c>
      <c r="J303" s="29" t="s">
        <v>718</v>
      </c>
      <c r="K303" s="29" t="s">
        <v>376</v>
      </c>
      <c r="L303" s="29" t="s">
        <v>670</v>
      </c>
      <c r="M303" s="29" t="s">
        <v>860</v>
      </c>
      <c r="N303" s="29" t="s">
        <v>591</v>
      </c>
      <c r="O303" s="29" t="s">
        <v>2579</v>
      </c>
      <c r="P303" s="29" t="s">
        <v>498</v>
      </c>
      <c r="Q303" s="29" t="s">
        <v>382</v>
      </c>
      <c r="R303" s="29" t="s">
        <v>500</v>
      </c>
      <c r="S303" s="29" t="s">
        <v>384</v>
      </c>
      <c r="T303" s="29" t="s">
        <v>385</v>
      </c>
      <c r="U303" s="29"/>
      <c r="V303" s="29"/>
      <c r="W303" s="29" t="s">
        <v>3014</v>
      </c>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t="s">
        <v>1310</v>
      </c>
      <c r="AW303" s="29">
        <v>4.0</v>
      </c>
      <c r="AX303" s="29" t="s">
        <v>675</v>
      </c>
      <c r="AY303" s="29" t="s">
        <v>429</v>
      </c>
      <c r="AZ303" s="29">
        <v>2.0</v>
      </c>
      <c r="BA303" s="29">
        <v>2.0</v>
      </c>
      <c r="BB303" s="29" t="s">
        <v>391</v>
      </c>
      <c r="BC303" s="29"/>
      <c r="BD303" s="29"/>
      <c r="BE303" s="29"/>
      <c r="BF303" s="29" t="s">
        <v>433</v>
      </c>
      <c r="BG303" s="29" t="s">
        <v>725</v>
      </c>
      <c r="BH303" s="29"/>
      <c r="BI303" s="29" t="s">
        <v>509</v>
      </c>
      <c r="BJ303" s="29"/>
      <c r="BK303" s="29" t="s">
        <v>395</v>
      </c>
      <c r="BL303" s="29" t="s">
        <v>603</v>
      </c>
      <c r="BM303" s="29" t="s">
        <v>1247</v>
      </c>
      <c r="BN303" s="29" t="s">
        <v>513</v>
      </c>
      <c r="BO303" s="29"/>
      <c r="BP303" s="29"/>
      <c r="BQ303" s="29"/>
      <c r="BR303" s="29"/>
      <c r="BS303" s="29"/>
      <c r="BT303" s="29"/>
      <c r="BU303" s="29"/>
      <c r="BV303" s="29"/>
      <c r="BW303" s="29"/>
      <c r="BX303" s="29"/>
      <c r="BY303" s="29"/>
      <c r="BZ303" s="29"/>
      <c r="CA303" s="29"/>
      <c r="CB303" s="29"/>
      <c r="CC303" s="29"/>
      <c r="CD303" s="29"/>
      <c r="CE303" s="29"/>
      <c r="CF303" s="29"/>
      <c r="CG303" s="29"/>
      <c r="CH303" s="29"/>
      <c r="CI303" s="29"/>
      <c r="CJ303" s="29"/>
      <c r="CK303" s="29"/>
      <c r="CL303" s="29" t="s">
        <v>441</v>
      </c>
      <c r="CM303" s="29" t="s">
        <v>604</v>
      </c>
      <c r="CN303" s="29" t="s">
        <v>6179</v>
      </c>
      <c r="CO303" s="29" t="s">
        <v>6180</v>
      </c>
      <c r="CP303" s="29" t="s">
        <v>685</v>
      </c>
      <c r="CQ303" s="29" t="s">
        <v>6181</v>
      </c>
      <c r="CR303" s="29" t="s">
        <v>447</v>
      </c>
      <c r="CS303" s="29" t="s">
        <v>6182</v>
      </c>
      <c r="CT303" s="29"/>
      <c r="CU303" s="29" t="s">
        <v>982</v>
      </c>
      <c r="CV303" s="29" t="s">
        <v>451</v>
      </c>
      <c r="CW303" s="29" t="s">
        <v>3586</v>
      </c>
      <c r="CX303" s="29" t="s">
        <v>408</v>
      </c>
      <c r="CY303" s="29"/>
      <c r="CZ303" s="29" t="s">
        <v>1962</v>
      </c>
      <c r="DA303" s="29"/>
      <c r="DB303" s="29" t="s">
        <v>408</v>
      </c>
      <c r="DC303" s="29"/>
      <c r="DD303" s="29" t="s">
        <v>406</v>
      </c>
      <c r="DE303" s="29" t="s">
        <v>407</v>
      </c>
      <c r="DF303" s="29" t="s">
        <v>6183</v>
      </c>
      <c r="DG303" s="29" t="s">
        <v>776</v>
      </c>
      <c r="DH303" s="29" t="s">
        <v>1220</v>
      </c>
      <c r="DI303" s="29" t="s">
        <v>459</v>
      </c>
      <c r="DJ303" s="29" t="s">
        <v>613</v>
      </c>
      <c r="DK303" s="29"/>
      <c r="DL303" s="29"/>
      <c r="DM303" s="29"/>
      <c r="DN303" s="29"/>
      <c r="DO303" s="29"/>
      <c r="DP303" s="29"/>
      <c r="DQ303" s="29"/>
      <c r="DR303" s="29"/>
      <c r="DS303" s="29"/>
      <c r="DT303" s="29"/>
      <c r="DU303" s="29"/>
      <c r="DV303" s="29"/>
      <c r="DW303" s="29"/>
      <c r="DX303" s="29"/>
      <c r="DY303" s="29"/>
      <c r="DZ303" s="29"/>
      <c r="EA303" s="29"/>
      <c r="EB303" s="29"/>
      <c r="EC303" s="29"/>
      <c r="ED303" s="29"/>
      <c r="EE303" s="29"/>
      <c r="EF303" s="29"/>
      <c r="EG303" s="29"/>
      <c r="EH303" s="29"/>
      <c r="EI303" s="29"/>
      <c r="EJ303" s="29"/>
      <c r="EK303" s="29"/>
      <c r="EL303" s="29"/>
      <c r="EM303" s="29"/>
      <c r="EN303" s="29"/>
      <c r="EO303" s="29"/>
      <c r="EP303" s="29"/>
      <c r="EQ303" s="29"/>
      <c r="ER303" s="29"/>
      <c r="ES303" s="29"/>
      <c r="ET303" s="29" t="s">
        <v>578</v>
      </c>
      <c r="EU303" s="29" t="s">
        <v>479</v>
      </c>
      <c r="EV303" s="29" t="s">
        <v>527</v>
      </c>
      <c r="EW303" s="29"/>
      <c r="EX303" s="29"/>
      <c r="EY303" s="29"/>
      <c r="EZ303" s="29" t="s">
        <v>413</v>
      </c>
      <c r="FA303" s="29"/>
      <c r="FB303" s="29" t="s">
        <v>413</v>
      </c>
      <c r="FC303" s="29"/>
      <c r="FD303" s="29" t="s">
        <v>413</v>
      </c>
      <c r="FE303" s="29" t="s">
        <v>583</v>
      </c>
      <c r="FF303" s="29"/>
      <c r="FG303" s="29" t="s">
        <v>413</v>
      </c>
      <c r="FH303" s="29" t="s">
        <v>413</v>
      </c>
      <c r="FI303" s="29" t="s">
        <v>583</v>
      </c>
      <c r="FJ303" s="29"/>
      <c r="FK303" s="29"/>
      <c r="FL303" s="29"/>
      <c r="FM303" s="29"/>
      <c r="FN303" s="29"/>
      <c r="FO303" s="29" t="s">
        <v>485</v>
      </c>
      <c r="FP303" s="29" t="s">
        <v>418</v>
      </c>
      <c r="FQ303" s="29" t="s">
        <v>712</v>
      </c>
      <c r="FR303" s="29"/>
      <c r="FS303" s="29" t="s">
        <v>1189</v>
      </c>
      <c r="FT303" s="29" t="s">
        <v>488</v>
      </c>
      <c r="FU303" s="29" t="s">
        <v>585</v>
      </c>
      <c r="FV303" s="29" t="s">
        <v>2399</v>
      </c>
      <c r="FW303" s="29" t="s">
        <v>491</v>
      </c>
      <c r="FX303" s="29"/>
      <c r="FY303" s="29" t="s">
        <v>535</v>
      </c>
      <c r="FZ303" s="29"/>
      <c r="GA303" s="29"/>
      <c r="GB303" s="29" t="s">
        <v>408</v>
      </c>
      <c r="GC303" s="29"/>
      <c r="GD303" s="29"/>
      <c r="GE303" s="29"/>
      <c r="GF303" s="29"/>
      <c r="GG303" s="29" t="s">
        <v>755</v>
      </c>
      <c r="GH303" s="29" t="s">
        <v>755</v>
      </c>
      <c r="GI303" s="29" t="s">
        <v>946</v>
      </c>
      <c r="GJ303" s="29"/>
      <c r="GK303" s="29"/>
      <c r="GL303" s="29"/>
      <c r="GM303" s="29"/>
      <c r="GN303" s="29"/>
      <c r="GO303" s="29"/>
      <c r="GP303" s="29"/>
      <c r="GQ303" s="29" t="s">
        <v>3208</v>
      </c>
      <c r="GR303" s="29"/>
      <c r="GS303" s="29"/>
      <c r="GT303" s="29" t="s">
        <v>5170</v>
      </c>
      <c r="GU303" s="29"/>
      <c r="HP303" s="31"/>
      <c r="MX303" s="29" t="s">
        <v>10402</v>
      </c>
      <c r="MY303" s="29" t="str">
        <f>IFERROR(__xludf.DUMMYFUNCTION("""COMPUTED_VALUE"""),"Indiana")</f>
        <v>Indiana</v>
      </c>
    </row>
    <row r="304" ht="16.5" customHeight="1">
      <c r="A304" s="33">
        <v>45903.676439421295</v>
      </c>
      <c r="B304" s="29" t="s">
        <v>368</v>
      </c>
      <c r="C304" s="29" t="s">
        <v>370</v>
      </c>
      <c r="D304" s="29" t="s">
        <v>370</v>
      </c>
      <c r="E304" s="29" t="s">
        <v>757</v>
      </c>
      <c r="F304" s="29" t="s">
        <v>1421</v>
      </c>
      <c r="G304" s="29" t="s">
        <v>422</v>
      </c>
      <c r="H304" s="29" t="s">
        <v>496</v>
      </c>
      <c r="I304" s="29" t="s">
        <v>374</v>
      </c>
      <c r="J304" s="29" t="s">
        <v>375</v>
      </c>
      <c r="K304" s="29" t="s">
        <v>376</v>
      </c>
      <c r="L304" s="29" t="s">
        <v>793</v>
      </c>
      <c r="M304" s="29" t="s">
        <v>6184</v>
      </c>
      <c r="N304" s="29" t="s">
        <v>426</v>
      </c>
      <c r="O304" s="29" t="s">
        <v>497</v>
      </c>
      <c r="P304" s="29" t="s">
        <v>381</v>
      </c>
      <c r="Q304" s="29" t="s">
        <v>382</v>
      </c>
      <c r="R304" s="29" t="s">
        <v>949</v>
      </c>
      <c r="S304" s="29" t="s">
        <v>6185</v>
      </c>
      <c r="T304" s="29" t="s">
        <v>385</v>
      </c>
      <c r="U304" s="29"/>
      <c r="V304" s="29"/>
      <c r="W304" s="29" t="s">
        <v>1023</v>
      </c>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t="s">
        <v>597</v>
      </c>
      <c r="AW304" s="29" t="s">
        <v>391</v>
      </c>
      <c r="AX304" s="29" t="s">
        <v>391</v>
      </c>
      <c r="AY304" s="29" t="s">
        <v>429</v>
      </c>
      <c r="AZ304" s="29" t="s">
        <v>429</v>
      </c>
      <c r="BA304" s="29">
        <v>2.0</v>
      </c>
      <c r="BB304" s="29" t="s">
        <v>429</v>
      </c>
      <c r="BC304" s="29" t="s">
        <v>6186</v>
      </c>
      <c r="BD304" s="29" t="s">
        <v>6187</v>
      </c>
      <c r="BE304" s="29" t="s">
        <v>902</v>
      </c>
      <c r="BF304" s="29" t="s">
        <v>433</v>
      </c>
      <c r="BG304" s="29" t="s">
        <v>678</v>
      </c>
      <c r="BH304" s="29" t="s">
        <v>6188</v>
      </c>
      <c r="BI304" s="29" t="s">
        <v>509</v>
      </c>
      <c r="BJ304" s="29" t="s">
        <v>6189</v>
      </c>
      <c r="BK304" s="29" t="s">
        <v>437</v>
      </c>
      <c r="BL304" s="29" t="s">
        <v>904</v>
      </c>
      <c r="BM304" s="29" t="s">
        <v>439</v>
      </c>
      <c r="BN304" s="29" t="s">
        <v>513</v>
      </c>
      <c r="BO304" s="29"/>
      <c r="BP304" s="29"/>
      <c r="BQ304" s="29"/>
      <c r="BR304" s="29"/>
      <c r="BS304" s="29"/>
      <c r="BT304" s="29"/>
      <c r="BU304" s="29"/>
      <c r="BV304" s="29"/>
      <c r="BW304" s="29"/>
      <c r="BX304" s="29"/>
      <c r="BY304" s="29"/>
      <c r="BZ304" s="29"/>
      <c r="CA304" s="29"/>
      <c r="CB304" s="29"/>
      <c r="CC304" s="29"/>
      <c r="CD304" s="29"/>
      <c r="CE304" s="29"/>
      <c r="CF304" s="29"/>
      <c r="CG304" s="29"/>
      <c r="CH304" s="29"/>
      <c r="CI304" s="29"/>
      <c r="CJ304" s="29"/>
      <c r="CK304" s="29"/>
      <c r="CL304" s="29" t="s">
        <v>441</v>
      </c>
      <c r="CM304" s="29" t="s">
        <v>442</v>
      </c>
      <c r="CN304" s="29" t="s">
        <v>552</v>
      </c>
      <c r="CO304" s="29" t="s">
        <v>6190</v>
      </c>
      <c r="CP304" s="29" t="s">
        <v>445</v>
      </c>
      <c r="CQ304" s="29" t="s">
        <v>6191</v>
      </c>
      <c r="CR304" s="29" t="s">
        <v>404</v>
      </c>
      <c r="CS304" s="29" t="s">
        <v>6192</v>
      </c>
      <c r="CT304" s="29" t="s">
        <v>6193</v>
      </c>
      <c r="CU304" s="29" t="s">
        <v>450</v>
      </c>
      <c r="CV304" s="29" t="s">
        <v>451</v>
      </c>
      <c r="CW304" s="29" t="s">
        <v>6194</v>
      </c>
      <c r="CX304" s="29" t="s">
        <v>408</v>
      </c>
      <c r="CY304" s="29"/>
      <c r="CZ304" s="29" t="s">
        <v>453</v>
      </c>
      <c r="DA304" s="29" t="s">
        <v>6195</v>
      </c>
      <c r="DB304" s="29" t="s">
        <v>455</v>
      </c>
      <c r="DC304" s="29" t="s">
        <v>6196</v>
      </c>
      <c r="DD304" s="29" t="s">
        <v>662</v>
      </c>
      <c r="DE304" s="29" t="s">
        <v>1368</v>
      </c>
      <c r="DF304" s="29" t="s">
        <v>6197</v>
      </c>
      <c r="DG304" s="29" t="s">
        <v>561</v>
      </c>
      <c r="DH304" s="29" t="s">
        <v>410</v>
      </c>
      <c r="DI304" s="29" t="s">
        <v>777</v>
      </c>
      <c r="DJ304" s="29" t="s">
        <v>613</v>
      </c>
      <c r="DK304" s="29"/>
      <c r="DL304" s="29"/>
      <c r="DM304" s="29"/>
      <c r="DN304" s="29"/>
      <c r="DO304" s="29"/>
      <c r="DP304" s="29"/>
      <c r="DQ304" s="29"/>
      <c r="DR304" s="29"/>
      <c r="DS304" s="29"/>
      <c r="DT304" s="29"/>
      <c r="DU304" s="29"/>
      <c r="DV304" s="29"/>
      <c r="DW304" s="29"/>
      <c r="DX304" s="29"/>
      <c r="DY304" s="29"/>
      <c r="DZ304" s="29"/>
      <c r="EA304" s="29"/>
      <c r="EB304" s="29"/>
      <c r="EC304" s="29"/>
      <c r="ED304" s="29"/>
      <c r="EE304" s="29"/>
      <c r="EF304" s="29"/>
      <c r="EG304" s="29"/>
      <c r="EH304" s="29"/>
      <c r="EI304" s="29"/>
      <c r="EJ304" s="29"/>
      <c r="EK304" s="29"/>
      <c r="EL304" s="29"/>
      <c r="EM304" s="29"/>
      <c r="EN304" s="29"/>
      <c r="EO304" s="29"/>
      <c r="EP304" s="29"/>
      <c r="EQ304" s="29"/>
      <c r="ER304" s="29"/>
      <c r="ES304" s="29"/>
      <c r="ET304" s="29" t="s">
        <v>578</v>
      </c>
      <c r="EU304" s="29" t="s">
        <v>479</v>
      </c>
      <c r="EV304" s="29" t="s">
        <v>527</v>
      </c>
      <c r="EW304" s="29" t="s">
        <v>6198</v>
      </c>
      <c r="EX304" s="29" t="s">
        <v>6199</v>
      </c>
      <c r="EY304" s="29" t="s">
        <v>6200</v>
      </c>
      <c r="EZ304" s="29" t="s">
        <v>484</v>
      </c>
      <c r="FA304" s="29" t="s">
        <v>484</v>
      </c>
      <c r="FB304" s="29" t="s">
        <v>413</v>
      </c>
      <c r="FC304" s="29" t="s">
        <v>415</v>
      </c>
      <c r="FD304" s="29" t="s">
        <v>413</v>
      </c>
      <c r="FE304" s="29" t="s">
        <v>414</v>
      </c>
      <c r="FF304" s="29" t="s">
        <v>484</v>
      </c>
      <c r="FG304" s="29" t="s">
        <v>413</v>
      </c>
      <c r="FH304" s="29" t="s">
        <v>583</v>
      </c>
      <c r="FI304" s="29" t="s">
        <v>484</v>
      </c>
      <c r="FJ304" s="29" t="s">
        <v>484</v>
      </c>
      <c r="FK304" s="29" t="s">
        <v>484</v>
      </c>
      <c r="FL304" s="29" t="s">
        <v>484</v>
      </c>
      <c r="FM304" s="29" t="s">
        <v>413</v>
      </c>
      <c r="FN304" s="29" t="s">
        <v>583</v>
      </c>
      <c r="FO304" s="29" t="s">
        <v>850</v>
      </c>
      <c r="FP304" s="29" t="s">
        <v>418</v>
      </c>
      <c r="FQ304" s="29" t="s">
        <v>712</v>
      </c>
      <c r="FR304" s="29" t="s">
        <v>6201</v>
      </c>
      <c r="FS304" s="29" t="s">
        <v>995</v>
      </c>
      <c r="FT304" s="29" t="s">
        <v>488</v>
      </c>
      <c r="FU304" s="29" t="s">
        <v>489</v>
      </c>
      <c r="FV304" s="29" t="s">
        <v>490</v>
      </c>
      <c r="FW304" s="29" t="s">
        <v>491</v>
      </c>
      <c r="FX304" s="29" t="s">
        <v>6202</v>
      </c>
      <c r="FY304" s="29" t="s">
        <v>535</v>
      </c>
      <c r="FZ304" s="29" t="s">
        <v>6203</v>
      </c>
      <c r="GA304" s="29" t="s">
        <v>6204</v>
      </c>
      <c r="GB304" s="29" t="s">
        <v>455</v>
      </c>
      <c r="GC304" s="29"/>
      <c r="GD304" s="29"/>
      <c r="GE304" s="29" t="s">
        <v>753</v>
      </c>
      <c r="GF304" s="29"/>
      <c r="GG304" s="29" t="s">
        <v>789</v>
      </c>
      <c r="GH304" s="29" t="s">
        <v>1000</v>
      </c>
      <c r="GI304" s="29" t="s">
        <v>756</v>
      </c>
      <c r="GJ304" s="29"/>
      <c r="GK304" s="29"/>
      <c r="GL304" s="29"/>
      <c r="GM304" s="29"/>
      <c r="GN304" s="29"/>
      <c r="GO304" s="29"/>
      <c r="GP304" s="29"/>
      <c r="GQ304" s="29" t="s">
        <v>5656</v>
      </c>
      <c r="GR304" s="29"/>
      <c r="GS304" s="29"/>
      <c r="GT304" s="29" t="s">
        <v>4774</v>
      </c>
      <c r="GU304" s="29"/>
      <c r="HP304" s="31"/>
      <c r="MX304" s="29" t="s">
        <v>10402</v>
      </c>
      <c r="MY304" s="29" t="str">
        <f>IFERROR(__xludf.DUMMYFUNCTION("""COMPUTED_VALUE"""),"Michigan")</f>
        <v>Michigan</v>
      </c>
    </row>
    <row r="305" ht="16.5" customHeight="1">
      <c r="A305" s="33">
        <v>45903.68097119213</v>
      </c>
      <c r="B305" s="29" t="s">
        <v>368</v>
      </c>
      <c r="C305" s="29" t="s">
        <v>370</v>
      </c>
      <c r="D305" s="29" t="s">
        <v>370</v>
      </c>
      <c r="E305" s="29" t="s">
        <v>1480</v>
      </c>
      <c r="F305" s="29" t="s">
        <v>1421</v>
      </c>
      <c r="G305" s="29" t="s">
        <v>422</v>
      </c>
      <c r="H305" s="29" t="s">
        <v>373</v>
      </c>
      <c r="I305" s="29" t="s">
        <v>374</v>
      </c>
      <c r="J305" s="29" t="s">
        <v>375</v>
      </c>
      <c r="K305" s="29" t="s">
        <v>376</v>
      </c>
      <c r="L305" s="29" t="s">
        <v>379</v>
      </c>
      <c r="M305" s="29" t="s">
        <v>6033</v>
      </c>
      <c r="N305" s="29" t="s">
        <v>591</v>
      </c>
      <c r="O305" s="29" t="s">
        <v>497</v>
      </c>
      <c r="P305" s="29" t="s">
        <v>498</v>
      </c>
      <c r="Q305" s="29" t="s">
        <v>1156</v>
      </c>
      <c r="R305" s="29" t="s">
        <v>863</v>
      </c>
      <c r="S305" s="29" t="s">
        <v>5928</v>
      </c>
      <c r="T305" s="29" t="s">
        <v>1786</v>
      </c>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c r="BR305" s="29"/>
      <c r="BS305" s="29"/>
      <c r="BT305" s="29"/>
      <c r="BU305" s="29"/>
      <c r="BV305" s="29"/>
      <c r="BW305" s="29"/>
      <c r="BX305" s="29"/>
      <c r="BY305" s="29"/>
      <c r="BZ305" s="29"/>
      <c r="CA305" s="29"/>
      <c r="CB305" s="29"/>
      <c r="CC305" s="29"/>
      <c r="CD305" s="29"/>
      <c r="CE305" s="29"/>
      <c r="CF305" s="29"/>
      <c r="CG305" s="29"/>
      <c r="CH305" s="29"/>
      <c r="CI305" s="29"/>
      <c r="CJ305" s="29"/>
      <c r="CK305" s="29"/>
      <c r="CL305" s="29"/>
      <c r="CM305" s="29"/>
      <c r="CN305" s="29"/>
      <c r="CO305" s="29"/>
      <c r="CP305" s="29"/>
      <c r="CQ305" s="29"/>
      <c r="CR305" s="29"/>
      <c r="CS305" s="29"/>
      <c r="CT305" s="29"/>
      <c r="CU305" s="29"/>
      <c r="CV305" s="29"/>
      <c r="CW305" s="29"/>
      <c r="CX305" s="29"/>
      <c r="CY305" s="29"/>
      <c r="CZ305" s="29"/>
      <c r="DA305" s="29"/>
      <c r="DB305" s="29"/>
      <c r="DC305" s="29"/>
      <c r="DD305" s="29"/>
      <c r="DE305" s="29"/>
      <c r="DF305" s="29"/>
      <c r="DG305" s="29"/>
      <c r="DH305" s="29"/>
      <c r="DI305" s="29"/>
      <c r="DJ305" s="29"/>
      <c r="DK305" s="29"/>
      <c r="DL305" s="29"/>
      <c r="DM305" s="29"/>
      <c r="DN305" s="29"/>
      <c r="DO305" s="29"/>
      <c r="DP305" s="29"/>
      <c r="DQ305" s="29"/>
      <c r="DR305" s="29"/>
      <c r="DS305" s="29"/>
      <c r="DT305" s="29"/>
      <c r="DU305" s="29"/>
      <c r="DV305" s="29"/>
      <c r="DW305" s="29"/>
      <c r="DX305" s="29"/>
      <c r="DY305" s="29"/>
      <c r="DZ305" s="29"/>
      <c r="EA305" s="29"/>
      <c r="EB305" s="29"/>
      <c r="EC305" s="29"/>
      <c r="ED305" s="29" t="s">
        <v>6205</v>
      </c>
      <c r="EE305" s="29" t="s">
        <v>6206</v>
      </c>
      <c r="EF305" s="29"/>
      <c r="EG305" s="29"/>
      <c r="EH305" s="29"/>
      <c r="EI305" s="29"/>
      <c r="EJ305" s="29"/>
      <c r="EK305" s="29"/>
      <c r="EL305" s="29"/>
      <c r="EM305" s="29"/>
      <c r="EN305" s="29"/>
      <c r="EO305" s="29"/>
      <c r="EP305" s="29"/>
      <c r="EQ305" s="29"/>
      <c r="ER305" s="29" t="s">
        <v>6207</v>
      </c>
      <c r="ES305" s="29"/>
      <c r="ET305" s="29" t="s">
        <v>478</v>
      </c>
      <c r="EU305" s="29" t="s">
        <v>479</v>
      </c>
      <c r="EV305" s="29" t="s">
        <v>527</v>
      </c>
      <c r="EW305" s="29" t="s">
        <v>6208</v>
      </c>
      <c r="EX305" s="29" t="s">
        <v>6209</v>
      </c>
      <c r="EY305" s="29" t="s">
        <v>6210</v>
      </c>
      <c r="EZ305" s="29" t="s">
        <v>414</v>
      </c>
      <c r="FA305" s="29" t="s">
        <v>583</v>
      </c>
      <c r="FB305" s="29" t="s">
        <v>414</v>
      </c>
      <c r="FC305" s="29" t="s">
        <v>414</v>
      </c>
      <c r="FD305" s="29" t="s">
        <v>415</v>
      </c>
      <c r="FE305" s="29" t="s">
        <v>583</v>
      </c>
      <c r="FF305" s="29" t="s">
        <v>415</v>
      </c>
      <c r="FG305" s="29" t="s">
        <v>414</v>
      </c>
      <c r="FH305" s="29" t="s">
        <v>415</v>
      </c>
      <c r="FI305" s="29" t="s">
        <v>583</v>
      </c>
      <c r="FJ305" s="29" t="s">
        <v>413</v>
      </c>
      <c r="FK305" s="29" t="s">
        <v>415</v>
      </c>
      <c r="FL305" s="29" t="s">
        <v>583</v>
      </c>
      <c r="FM305" s="29" t="s">
        <v>413</v>
      </c>
      <c r="FN305" s="29" t="s">
        <v>583</v>
      </c>
      <c r="FO305" s="29" t="s">
        <v>417</v>
      </c>
      <c r="FP305" s="29" t="s">
        <v>418</v>
      </c>
      <c r="FQ305" s="29" t="s">
        <v>749</v>
      </c>
      <c r="FR305" s="29" t="s">
        <v>6211</v>
      </c>
      <c r="FS305" s="29" t="s">
        <v>995</v>
      </c>
      <c r="FT305" s="29" t="s">
        <v>488</v>
      </c>
      <c r="FU305" s="29" t="s">
        <v>533</v>
      </c>
      <c r="FV305" s="29" t="s">
        <v>490</v>
      </c>
      <c r="FW305" s="29" t="s">
        <v>491</v>
      </c>
      <c r="FX305" s="29" t="s">
        <v>6212</v>
      </c>
      <c r="FY305" s="29" t="s">
        <v>535</v>
      </c>
      <c r="FZ305" s="29" t="s">
        <v>6213</v>
      </c>
      <c r="GA305" s="29"/>
      <c r="GB305" s="29" t="s">
        <v>455</v>
      </c>
      <c r="GC305" s="29"/>
      <c r="GD305" s="29"/>
      <c r="GE305" s="29" t="s">
        <v>1339</v>
      </c>
      <c r="GF305" s="29" t="s">
        <v>6214</v>
      </c>
      <c r="GG305" s="29"/>
      <c r="GH305" s="29"/>
      <c r="GI305" s="29"/>
      <c r="GJ305" s="29"/>
      <c r="GK305" s="29"/>
      <c r="GL305" s="29"/>
      <c r="GM305" s="29"/>
      <c r="GN305" s="29"/>
      <c r="GO305" s="29"/>
      <c r="GP305" s="29"/>
      <c r="GQ305" s="29" t="s">
        <v>6215</v>
      </c>
      <c r="GR305" s="29"/>
      <c r="GS305" s="29"/>
      <c r="GT305" s="29"/>
      <c r="GU305" s="29"/>
      <c r="HP305" s="31"/>
      <c r="MX305" s="29" t="s">
        <v>10402</v>
      </c>
      <c r="MY305" s="29" t="str">
        <f>IFERROR(__xludf.DUMMYFUNCTION("""COMPUTED_VALUE"""),"Florida")</f>
        <v>Florida</v>
      </c>
    </row>
    <row r="306" ht="16.5" customHeight="1">
      <c r="A306" s="33">
        <v>45903.70256416667</v>
      </c>
      <c r="B306" s="29" t="s">
        <v>368</v>
      </c>
      <c r="C306" s="29" t="s">
        <v>370</v>
      </c>
      <c r="D306" s="29" t="s">
        <v>370</v>
      </c>
      <c r="E306" s="29" t="s">
        <v>2114</v>
      </c>
      <c r="F306" s="29" t="s">
        <v>1421</v>
      </c>
      <c r="G306" s="29" t="s">
        <v>422</v>
      </c>
      <c r="H306" s="29" t="s">
        <v>373</v>
      </c>
      <c r="I306" s="29" t="s">
        <v>1022</v>
      </c>
      <c r="J306" s="29" t="s">
        <v>718</v>
      </c>
      <c r="K306" s="29" t="s">
        <v>376</v>
      </c>
      <c r="L306" s="29" t="s">
        <v>379</v>
      </c>
      <c r="M306" s="29" t="s">
        <v>378</v>
      </c>
      <c r="N306" s="29" t="s">
        <v>379</v>
      </c>
      <c r="O306" s="29" t="s">
        <v>719</v>
      </c>
      <c r="P306" s="29" t="s">
        <v>381</v>
      </c>
      <c r="Q306" s="29" t="s">
        <v>382</v>
      </c>
      <c r="R306" s="29" t="s">
        <v>1901</v>
      </c>
      <c r="S306" s="29" t="s">
        <v>384</v>
      </c>
      <c r="T306" s="29" t="s">
        <v>385</v>
      </c>
      <c r="U306" s="29"/>
      <c r="V306" s="29"/>
      <c r="W306" s="29" t="s">
        <v>386</v>
      </c>
      <c r="X306" s="29" t="s">
        <v>387</v>
      </c>
      <c r="Y306" s="29" t="s">
        <v>388</v>
      </c>
      <c r="Z306" s="29" t="s">
        <v>672</v>
      </c>
      <c r="AA306" s="29" t="s">
        <v>408</v>
      </c>
      <c r="AB306" s="29" t="s">
        <v>6224</v>
      </c>
      <c r="AC306" s="29"/>
      <c r="AD306" s="29"/>
      <c r="AE306" s="29"/>
      <c r="AF306" s="29"/>
      <c r="AG306" s="29"/>
      <c r="AH306" s="29"/>
      <c r="AI306" s="29"/>
      <c r="AJ306" s="29"/>
      <c r="AK306" s="29"/>
      <c r="AL306" s="29"/>
      <c r="AM306" s="29"/>
      <c r="AN306" s="29"/>
      <c r="AO306" s="29"/>
      <c r="AP306" s="29"/>
      <c r="AQ306" s="29"/>
      <c r="AR306" s="29"/>
      <c r="AS306" s="29"/>
      <c r="AT306" s="29"/>
      <c r="AU306" s="29"/>
      <c r="AV306" s="29" t="s">
        <v>597</v>
      </c>
      <c r="AW306" s="29">
        <v>4.0</v>
      </c>
      <c r="AX306" s="29">
        <v>4.0</v>
      </c>
      <c r="AY306" s="29">
        <v>4.0</v>
      </c>
      <c r="AZ306" s="29">
        <v>4.0</v>
      </c>
      <c r="BA306" s="29" t="s">
        <v>675</v>
      </c>
      <c r="BB306" s="29">
        <v>4.0</v>
      </c>
      <c r="BC306" s="29" t="s">
        <v>6225</v>
      </c>
      <c r="BD306" s="29" t="s">
        <v>6226</v>
      </c>
      <c r="BE306" s="29" t="s">
        <v>432</v>
      </c>
      <c r="BF306" s="29" t="s">
        <v>1095</v>
      </c>
      <c r="BG306" s="29" t="s">
        <v>678</v>
      </c>
      <c r="BH306" s="29"/>
      <c r="BI306" s="29" t="s">
        <v>435</v>
      </c>
      <c r="BJ306" s="29" t="s">
        <v>6227</v>
      </c>
      <c r="BK306" s="29" t="s">
        <v>437</v>
      </c>
      <c r="BL306" s="29" t="s">
        <v>603</v>
      </c>
      <c r="BM306" s="29" t="s">
        <v>549</v>
      </c>
      <c r="BN306" s="29" t="s">
        <v>440</v>
      </c>
      <c r="BO306" s="29"/>
      <c r="BP306" s="29"/>
      <c r="BQ306" s="29"/>
      <c r="BR306" s="29"/>
      <c r="BS306" s="29"/>
      <c r="BT306" s="29"/>
      <c r="BU306" s="29"/>
      <c r="BV306" s="29"/>
      <c r="BW306" s="29"/>
      <c r="BX306" s="29"/>
      <c r="BY306" s="29"/>
      <c r="BZ306" s="29"/>
      <c r="CA306" s="29"/>
      <c r="CB306" s="29"/>
      <c r="CC306" s="29"/>
      <c r="CD306" s="29"/>
      <c r="CE306" s="29"/>
      <c r="CF306" s="29"/>
      <c r="CG306" s="29"/>
      <c r="CH306" s="29"/>
      <c r="CI306" s="29"/>
      <c r="CJ306" s="29"/>
      <c r="CK306" s="29"/>
      <c r="CL306" s="29" t="s">
        <v>441</v>
      </c>
      <c r="CM306" s="29" t="s">
        <v>401</v>
      </c>
      <c r="CN306" s="29" t="s">
        <v>6228</v>
      </c>
      <c r="CO306" s="29" t="s">
        <v>6229</v>
      </c>
      <c r="CP306" s="29" t="s">
        <v>403</v>
      </c>
      <c r="CQ306" s="29" t="s">
        <v>1427</v>
      </c>
      <c r="CR306" s="29" t="s">
        <v>404</v>
      </c>
      <c r="CS306" s="29"/>
      <c r="CT306" s="29" t="s">
        <v>6230</v>
      </c>
      <c r="CU306" s="29" t="s">
        <v>450</v>
      </c>
      <c r="CV306" s="29" t="s">
        <v>451</v>
      </c>
      <c r="CW306" s="29" t="s">
        <v>1766</v>
      </c>
      <c r="CX306" s="29" t="s">
        <v>408</v>
      </c>
      <c r="CY306" s="29"/>
      <c r="CZ306" s="29" t="s">
        <v>453</v>
      </c>
      <c r="DA306" s="29"/>
      <c r="DB306" s="29" t="s">
        <v>408</v>
      </c>
      <c r="DC306" s="29"/>
      <c r="DD306" s="29" t="s">
        <v>406</v>
      </c>
      <c r="DE306" s="29" t="s">
        <v>407</v>
      </c>
      <c r="DF306" s="29" t="s">
        <v>6231</v>
      </c>
      <c r="DG306" s="29" t="s">
        <v>524</v>
      </c>
      <c r="DH306" s="29" t="s">
        <v>1964</v>
      </c>
      <c r="DI306" s="29" t="s">
        <v>777</v>
      </c>
      <c r="DJ306" s="29" t="s">
        <v>562</v>
      </c>
      <c r="DK306" s="29" t="s">
        <v>1434</v>
      </c>
      <c r="DL306" s="29"/>
      <c r="DM306" s="29" t="s">
        <v>6232</v>
      </c>
      <c r="DN306" s="29" t="s">
        <v>6233</v>
      </c>
      <c r="DO306" s="29" t="s">
        <v>1063</v>
      </c>
      <c r="DP306" s="29" t="s">
        <v>6234</v>
      </c>
      <c r="DQ306" s="29" t="s">
        <v>837</v>
      </c>
      <c r="DR306" s="29" t="s">
        <v>6235</v>
      </c>
      <c r="DS306" s="29" t="s">
        <v>468</v>
      </c>
      <c r="DT306" s="29" t="s">
        <v>703</v>
      </c>
      <c r="DU306" s="29" t="s">
        <v>6236</v>
      </c>
      <c r="DV306" s="29" t="s">
        <v>408</v>
      </c>
      <c r="DW306" s="29" t="s">
        <v>573</v>
      </c>
      <c r="DX306" s="29" t="s">
        <v>6237</v>
      </c>
      <c r="DY306" s="29" t="s">
        <v>6238</v>
      </c>
      <c r="DZ306" s="29" t="s">
        <v>6239</v>
      </c>
      <c r="EA306" s="29" t="s">
        <v>475</v>
      </c>
      <c r="EB306" s="29" t="s">
        <v>845</v>
      </c>
      <c r="EC306" s="29"/>
      <c r="ED306" s="29"/>
      <c r="EE306" s="29"/>
      <c r="EF306" s="29"/>
      <c r="EG306" s="29"/>
      <c r="EH306" s="29"/>
      <c r="EI306" s="29"/>
      <c r="EJ306" s="29"/>
      <c r="EK306" s="29"/>
      <c r="EL306" s="29"/>
      <c r="EM306" s="29"/>
      <c r="EN306" s="29"/>
      <c r="EO306" s="29"/>
      <c r="EP306" s="29"/>
      <c r="EQ306" s="29"/>
      <c r="ER306" s="29"/>
      <c r="ES306" s="29"/>
      <c r="ET306" s="29" t="s">
        <v>526</v>
      </c>
      <c r="EU306" s="29" t="s">
        <v>479</v>
      </c>
      <c r="EV306" s="29" t="s">
        <v>1262</v>
      </c>
      <c r="EW306" s="29"/>
      <c r="EX306" s="29"/>
      <c r="EY306" s="29"/>
      <c r="EZ306" s="29"/>
      <c r="FA306" s="29"/>
      <c r="FB306" s="29"/>
      <c r="FC306" s="29"/>
      <c r="FD306" s="29"/>
      <c r="FE306" s="29"/>
      <c r="FF306" s="29"/>
      <c r="FG306" s="29"/>
      <c r="FH306" s="29"/>
      <c r="FI306" s="29"/>
      <c r="FJ306" s="29"/>
      <c r="FK306" s="29"/>
      <c r="FL306" s="29"/>
      <c r="FM306" s="29"/>
      <c r="FN306" s="29"/>
      <c r="FO306" s="29"/>
      <c r="FP306" s="29"/>
      <c r="FQ306" s="29"/>
      <c r="FR306" s="29"/>
      <c r="FS306" s="29"/>
      <c r="FT306" s="29"/>
      <c r="FU306" s="29"/>
      <c r="FV306" s="29"/>
      <c r="FW306" s="29"/>
      <c r="FX306" s="29"/>
      <c r="FY306" s="29"/>
      <c r="FZ306" s="29"/>
      <c r="GA306" s="29"/>
      <c r="GB306" s="29"/>
      <c r="GC306" s="29"/>
      <c r="GD306" s="29"/>
      <c r="GE306" s="29"/>
      <c r="GF306" s="29"/>
      <c r="GG306" s="29" t="s">
        <v>755</v>
      </c>
      <c r="GH306" s="29" t="s">
        <v>755</v>
      </c>
      <c r="GI306" s="29" t="s">
        <v>946</v>
      </c>
      <c r="GJ306" s="29"/>
      <c r="GK306" s="29"/>
      <c r="GL306" s="29"/>
      <c r="GM306" s="29" t="s">
        <v>1079</v>
      </c>
      <c r="GN306" s="29"/>
      <c r="GO306" s="29"/>
      <c r="GP306" s="29"/>
      <c r="GQ306" s="29"/>
      <c r="GR306" s="29"/>
      <c r="GS306" s="29"/>
      <c r="GT306" s="29" t="s">
        <v>4774</v>
      </c>
      <c r="GU306" s="29" t="s">
        <v>6240</v>
      </c>
      <c r="HP306" s="31"/>
      <c r="MX306" s="29" t="s">
        <v>10402</v>
      </c>
      <c r="MY306" s="29" t="str">
        <f>IFERROR(__xludf.DUMMYFUNCTION("""COMPUTED_VALUE"""),"Texas")</f>
        <v>Texas</v>
      </c>
    </row>
    <row r="307" ht="16.5" customHeight="1">
      <c r="A307" s="33">
        <v>45904.60925771991</v>
      </c>
      <c r="B307" s="29" t="s">
        <v>368</v>
      </c>
      <c r="C307" s="29" t="s">
        <v>370</v>
      </c>
      <c r="D307" s="29" t="s">
        <v>370</v>
      </c>
      <c r="E307" s="29" t="s">
        <v>1510</v>
      </c>
      <c r="F307" s="29" t="s">
        <v>1421</v>
      </c>
      <c r="G307" s="29" t="s">
        <v>422</v>
      </c>
      <c r="H307" s="29" t="s">
        <v>496</v>
      </c>
      <c r="I307" s="29" t="s">
        <v>374</v>
      </c>
      <c r="J307" s="29" t="s">
        <v>375</v>
      </c>
      <c r="K307" s="29" t="s">
        <v>376</v>
      </c>
      <c r="L307" s="29" t="s">
        <v>793</v>
      </c>
      <c r="M307" s="29" t="s">
        <v>1360</v>
      </c>
      <c r="N307" s="29" t="s">
        <v>670</v>
      </c>
      <c r="O307" s="29" t="s">
        <v>1270</v>
      </c>
      <c r="P307" s="29" t="s">
        <v>498</v>
      </c>
      <c r="Q307" s="29" t="s">
        <v>862</v>
      </c>
      <c r="R307" s="29" t="s">
        <v>427</v>
      </c>
      <c r="S307" s="29" t="s">
        <v>1785</v>
      </c>
      <c r="T307" s="29" t="s">
        <v>1786</v>
      </c>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c r="BO307" s="29"/>
      <c r="BP307" s="29"/>
      <c r="BQ307" s="29"/>
      <c r="BR307" s="29"/>
      <c r="BS307" s="29"/>
      <c r="BT307" s="29"/>
      <c r="BU307" s="29"/>
      <c r="BV307" s="29"/>
      <c r="BW307" s="29"/>
      <c r="BX307" s="29"/>
      <c r="BY307" s="29"/>
      <c r="BZ307" s="29"/>
      <c r="CA307" s="29"/>
      <c r="CB307" s="29"/>
      <c r="CC307" s="29"/>
      <c r="CD307" s="29"/>
      <c r="CE307" s="29"/>
      <c r="CF307" s="29"/>
      <c r="CG307" s="29"/>
      <c r="CH307" s="29"/>
      <c r="CI307" s="29"/>
      <c r="CJ307" s="29"/>
      <c r="CK307" s="29"/>
      <c r="CL307" s="29"/>
      <c r="CM307" s="29"/>
      <c r="CN307" s="29"/>
      <c r="CO307" s="29"/>
      <c r="CP307" s="29"/>
      <c r="CQ307" s="29"/>
      <c r="CR307" s="29"/>
      <c r="CS307" s="29"/>
      <c r="CT307" s="29"/>
      <c r="CU307" s="29"/>
      <c r="CV307" s="29"/>
      <c r="CW307" s="29"/>
      <c r="CX307" s="29"/>
      <c r="CY307" s="29"/>
      <c r="CZ307" s="29"/>
      <c r="DA307" s="29"/>
      <c r="DB307" s="29"/>
      <c r="DC307" s="29"/>
      <c r="DD307" s="29"/>
      <c r="DE307" s="29"/>
      <c r="DF307" s="29"/>
      <c r="DG307" s="29"/>
      <c r="DH307" s="29"/>
      <c r="DI307" s="29"/>
      <c r="DJ307" s="29"/>
      <c r="DK307" s="29"/>
      <c r="DL307" s="29"/>
      <c r="DM307" s="29"/>
      <c r="DN307" s="29"/>
      <c r="DO307" s="29"/>
      <c r="DP307" s="29"/>
      <c r="DQ307" s="29"/>
      <c r="DR307" s="29"/>
      <c r="DS307" s="29"/>
      <c r="DT307" s="29"/>
      <c r="DU307" s="29"/>
      <c r="DV307" s="29"/>
      <c r="DW307" s="29"/>
      <c r="DX307" s="29"/>
      <c r="DY307" s="29"/>
      <c r="DZ307" s="29"/>
      <c r="EA307" s="29"/>
      <c r="EB307" s="29"/>
      <c r="EC307" s="29"/>
      <c r="ED307" s="29" t="s">
        <v>5929</v>
      </c>
      <c r="EE307" s="29"/>
      <c r="EF307" s="29"/>
      <c r="EG307" s="29"/>
      <c r="EH307" s="29"/>
      <c r="EI307" s="29"/>
      <c r="EJ307" s="29"/>
      <c r="EK307" s="29"/>
      <c r="EL307" s="29"/>
      <c r="EM307" s="29"/>
      <c r="EN307" s="29"/>
      <c r="EO307" s="29"/>
      <c r="EP307" s="29"/>
      <c r="EQ307" s="29"/>
      <c r="ER307" s="29" t="s">
        <v>6245</v>
      </c>
      <c r="ES307" s="29" t="s">
        <v>6246</v>
      </c>
      <c r="ET307" s="29" t="s">
        <v>578</v>
      </c>
      <c r="EU307" s="29" t="s">
        <v>887</v>
      </c>
      <c r="EV307" s="29" t="s">
        <v>527</v>
      </c>
      <c r="EW307" s="29"/>
      <c r="EX307" s="29" t="s">
        <v>6247</v>
      </c>
      <c r="EY307" s="29" t="s">
        <v>733</v>
      </c>
      <c r="EZ307" s="29" t="s">
        <v>413</v>
      </c>
      <c r="FA307" s="29" t="s">
        <v>415</v>
      </c>
      <c r="FB307" s="29" t="s">
        <v>413</v>
      </c>
      <c r="FC307" s="29" t="s">
        <v>413</v>
      </c>
      <c r="FD307" s="29" t="s">
        <v>413</v>
      </c>
      <c r="FE307" s="29" t="s">
        <v>413</v>
      </c>
      <c r="FF307" s="29" t="s">
        <v>413</v>
      </c>
      <c r="FG307" s="29" t="s">
        <v>413</v>
      </c>
      <c r="FH307" s="29" t="s">
        <v>415</v>
      </c>
      <c r="FI307" s="29" t="s">
        <v>413</v>
      </c>
      <c r="FJ307" s="29" t="s">
        <v>415</v>
      </c>
      <c r="FK307" s="29" t="s">
        <v>415</v>
      </c>
      <c r="FL307" s="29" t="s">
        <v>415</v>
      </c>
      <c r="FM307" s="29" t="s">
        <v>413</v>
      </c>
      <c r="FN307" s="29" t="s">
        <v>414</v>
      </c>
      <c r="FO307" s="29" t="s">
        <v>485</v>
      </c>
      <c r="FP307" s="29" t="s">
        <v>486</v>
      </c>
      <c r="FQ307" s="29" t="s">
        <v>749</v>
      </c>
      <c r="FR307" s="29" t="s">
        <v>2510</v>
      </c>
      <c r="FS307" s="29" t="s">
        <v>420</v>
      </c>
      <c r="FT307" s="29" t="s">
        <v>488</v>
      </c>
      <c r="FU307" s="29" t="s">
        <v>489</v>
      </c>
      <c r="FV307" s="29" t="s">
        <v>490</v>
      </c>
      <c r="FW307" s="29" t="s">
        <v>491</v>
      </c>
      <c r="FX307" s="29" t="s">
        <v>6248</v>
      </c>
      <c r="FY307" s="29" t="s">
        <v>535</v>
      </c>
      <c r="FZ307" s="29" t="s">
        <v>6249</v>
      </c>
      <c r="GA307" s="29" t="s">
        <v>6250</v>
      </c>
      <c r="GB307" s="29" t="s">
        <v>455</v>
      </c>
      <c r="GC307" s="29"/>
      <c r="GD307" s="29"/>
      <c r="GE307" s="29" t="s">
        <v>1339</v>
      </c>
      <c r="GF307" s="29"/>
      <c r="GG307" s="29"/>
      <c r="GH307" s="29"/>
      <c r="GI307" s="29"/>
      <c r="GJ307" s="29"/>
      <c r="GK307" s="29"/>
      <c r="GL307" s="29"/>
      <c r="GM307" s="29"/>
      <c r="GN307" s="29"/>
      <c r="GO307" s="29"/>
      <c r="GP307" s="29"/>
      <c r="GQ307" s="29" t="s">
        <v>6251</v>
      </c>
      <c r="GR307" s="29"/>
      <c r="GS307" s="29"/>
      <c r="GT307" s="29"/>
      <c r="GU307" s="29"/>
      <c r="HP307" s="31"/>
      <c r="MX307" s="29" t="s">
        <v>10402</v>
      </c>
      <c r="MY307" s="29" t="str">
        <f>IFERROR(__xludf.DUMMYFUNCTION("""COMPUTED_VALUE"""),"Ohio")</f>
        <v>Ohio</v>
      </c>
    </row>
    <row r="308" ht="16.5" customHeight="1">
      <c r="A308" s="33">
        <v>45904.68773384259</v>
      </c>
      <c r="B308" s="29" t="s">
        <v>368</v>
      </c>
      <c r="C308" s="29" t="s">
        <v>370</v>
      </c>
      <c r="D308" s="29" t="s">
        <v>370</v>
      </c>
      <c r="E308" s="29" t="s">
        <v>495</v>
      </c>
      <c r="F308" s="29" t="s">
        <v>495</v>
      </c>
      <c r="G308" s="29" t="s">
        <v>422</v>
      </c>
      <c r="H308" s="29" t="s">
        <v>1921</v>
      </c>
      <c r="I308" s="29" t="s">
        <v>668</v>
      </c>
      <c r="J308" s="29" t="s">
        <v>375</v>
      </c>
      <c r="K308" s="29" t="s">
        <v>376</v>
      </c>
      <c r="L308" s="29" t="s">
        <v>591</v>
      </c>
      <c r="M308" s="29" t="s">
        <v>639</v>
      </c>
      <c r="N308" s="29" t="s">
        <v>591</v>
      </c>
      <c r="O308" s="29" t="s">
        <v>719</v>
      </c>
      <c r="P308" s="29" t="s">
        <v>498</v>
      </c>
      <c r="Q308" s="29" t="s">
        <v>499</v>
      </c>
      <c r="R308" s="29" t="s">
        <v>500</v>
      </c>
      <c r="S308" s="29" t="s">
        <v>384</v>
      </c>
      <c r="T308" s="29" t="s">
        <v>385</v>
      </c>
      <c r="U308" s="29"/>
      <c r="V308" s="29"/>
      <c r="W308" s="29" t="s">
        <v>3014</v>
      </c>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t="s">
        <v>1310</v>
      </c>
      <c r="AW308" s="29" t="s">
        <v>675</v>
      </c>
      <c r="AX308" s="29">
        <v>4.0</v>
      </c>
      <c r="AY308" s="29">
        <v>4.0</v>
      </c>
      <c r="AZ308" s="29" t="s">
        <v>391</v>
      </c>
      <c r="BA308" s="29">
        <v>2.0</v>
      </c>
      <c r="BB308" s="29" t="s">
        <v>391</v>
      </c>
      <c r="BC308" s="29" t="s">
        <v>6254</v>
      </c>
      <c r="BD308" s="29" t="s">
        <v>6255</v>
      </c>
      <c r="BE308" s="29" t="s">
        <v>432</v>
      </c>
      <c r="BF308" s="29" t="s">
        <v>1095</v>
      </c>
      <c r="BG308" s="29" t="s">
        <v>434</v>
      </c>
      <c r="BH308" s="29" t="s">
        <v>6256</v>
      </c>
      <c r="BI308" s="29" t="s">
        <v>727</v>
      </c>
      <c r="BJ308" s="29"/>
      <c r="BK308" s="29" t="s">
        <v>681</v>
      </c>
      <c r="BL308" s="29" t="s">
        <v>603</v>
      </c>
      <c r="BM308" s="29" t="s">
        <v>1247</v>
      </c>
      <c r="BN308" s="29" t="s">
        <v>513</v>
      </c>
      <c r="BO308" s="29"/>
      <c r="BP308" s="29"/>
      <c r="BQ308" s="29"/>
      <c r="BR308" s="29"/>
      <c r="BS308" s="29"/>
      <c r="BT308" s="29"/>
      <c r="BU308" s="29"/>
      <c r="BV308" s="29"/>
      <c r="BW308" s="29"/>
      <c r="BX308" s="29"/>
      <c r="BY308" s="29"/>
      <c r="BZ308" s="29"/>
      <c r="CA308" s="29"/>
      <c r="CB308" s="29"/>
      <c r="CC308" s="29"/>
      <c r="CD308" s="29"/>
      <c r="CE308" s="29"/>
      <c r="CF308" s="29"/>
      <c r="CG308" s="29"/>
      <c r="CH308" s="29"/>
      <c r="CI308" s="29"/>
      <c r="CJ308" s="29"/>
      <c r="CK308" s="29"/>
      <c r="CL308" s="29" t="s">
        <v>441</v>
      </c>
      <c r="CM308" s="29" t="s">
        <v>682</v>
      </c>
      <c r="CN308" s="29" t="s">
        <v>6257</v>
      </c>
      <c r="CO308" s="29" t="s">
        <v>6258</v>
      </c>
      <c r="CP308" s="29" t="s">
        <v>1008</v>
      </c>
      <c r="CQ308" s="29" t="s">
        <v>1427</v>
      </c>
      <c r="CR308" s="29" t="s">
        <v>447</v>
      </c>
      <c r="CS308" s="29" t="s">
        <v>6259</v>
      </c>
      <c r="CT308" s="29" t="s">
        <v>6260</v>
      </c>
      <c r="CU308" s="29" t="s">
        <v>519</v>
      </c>
      <c r="CV308" s="29" t="s">
        <v>451</v>
      </c>
      <c r="CW308" s="29" t="s">
        <v>6261</v>
      </c>
      <c r="CX308" s="29" t="s">
        <v>408</v>
      </c>
      <c r="CY308" s="29"/>
      <c r="CZ308" s="29" t="s">
        <v>985</v>
      </c>
      <c r="DA308" s="29" t="s">
        <v>6262</v>
      </c>
      <c r="DB308" s="29" t="s">
        <v>408</v>
      </c>
      <c r="DC308" s="29"/>
      <c r="DD308" s="29" t="s">
        <v>988</v>
      </c>
      <c r="DE308" s="29" t="s">
        <v>1867</v>
      </c>
      <c r="DF308" s="29" t="s">
        <v>6263</v>
      </c>
      <c r="DG308" s="29" t="s">
        <v>561</v>
      </c>
      <c r="DH308" s="29" t="s">
        <v>833</v>
      </c>
      <c r="DI308" s="29" t="s">
        <v>777</v>
      </c>
      <c r="DJ308" s="29" t="s">
        <v>460</v>
      </c>
      <c r="DK308" s="29" t="s">
        <v>461</v>
      </c>
      <c r="DL308" s="29"/>
      <c r="DM308" s="29"/>
      <c r="DN308" s="29"/>
      <c r="DO308" s="29"/>
      <c r="DP308" s="29"/>
      <c r="DQ308" s="29"/>
      <c r="DR308" s="29"/>
      <c r="DS308" s="29"/>
      <c r="DT308" s="29"/>
      <c r="DU308" s="29"/>
      <c r="DV308" s="29"/>
      <c r="DW308" s="29"/>
      <c r="DX308" s="29"/>
      <c r="DY308" s="29"/>
      <c r="DZ308" s="29"/>
      <c r="EA308" s="29"/>
      <c r="EB308" s="29"/>
      <c r="EC308" s="29"/>
      <c r="ED308" s="29"/>
      <c r="EE308" s="29"/>
      <c r="EF308" s="29"/>
      <c r="EG308" s="29"/>
      <c r="EH308" s="29"/>
      <c r="EI308" s="29"/>
      <c r="EJ308" s="29"/>
      <c r="EK308" s="29"/>
      <c r="EL308" s="29"/>
      <c r="EM308" s="29"/>
      <c r="EN308" s="29"/>
      <c r="EO308" s="29"/>
      <c r="EP308" s="29"/>
      <c r="EQ308" s="29"/>
      <c r="ER308" s="29"/>
      <c r="ES308" s="29"/>
      <c r="ET308" s="29" t="s">
        <v>526</v>
      </c>
      <c r="EU308" s="29" t="s">
        <v>1037</v>
      </c>
      <c r="EV308" s="29" t="s">
        <v>527</v>
      </c>
      <c r="EW308" s="29" t="s">
        <v>6264</v>
      </c>
      <c r="EX308" s="29" t="s">
        <v>6265</v>
      </c>
      <c r="EY308" s="29" t="s">
        <v>6266</v>
      </c>
      <c r="EZ308" s="29" t="s">
        <v>415</v>
      </c>
      <c r="FA308" s="29" t="s">
        <v>415</v>
      </c>
      <c r="FB308" s="29" t="s">
        <v>413</v>
      </c>
      <c r="FC308" s="29" t="s">
        <v>413</v>
      </c>
      <c r="FD308" s="29" t="s">
        <v>413</v>
      </c>
      <c r="FE308" s="29" t="s">
        <v>414</v>
      </c>
      <c r="FF308" s="29" t="s">
        <v>415</v>
      </c>
      <c r="FG308" s="29" t="s">
        <v>413</v>
      </c>
      <c r="FH308" s="29" t="s">
        <v>415</v>
      </c>
      <c r="FI308" s="29" t="s">
        <v>414</v>
      </c>
      <c r="FJ308" s="29" t="s">
        <v>415</v>
      </c>
      <c r="FK308" s="29" t="s">
        <v>415</v>
      </c>
      <c r="FL308" s="29" t="s">
        <v>415</v>
      </c>
      <c r="FM308" s="29" t="s">
        <v>413</v>
      </c>
      <c r="FN308" s="29" t="s">
        <v>414</v>
      </c>
      <c r="FO308" s="29" t="s">
        <v>850</v>
      </c>
      <c r="FP308" s="29" t="s">
        <v>418</v>
      </c>
      <c r="FQ308" s="29" t="s">
        <v>712</v>
      </c>
      <c r="FR308" s="29" t="s">
        <v>6267</v>
      </c>
      <c r="FS308" s="29" t="s">
        <v>1189</v>
      </c>
      <c r="FT308" s="29" t="s">
        <v>488</v>
      </c>
      <c r="FU308" s="29" t="s">
        <v>489</v>
      </c>
      <c r="FV308" s="29" t="s">
        <v>490</v>
      </c>
      <c r="FW308" s="29" t="s">
        <v>491</v>
      </c>
      <c r="FX308" s="29" t="s">
        <v>6268</v>
      </c>
      <c r="FY308" s="29" t="s">
        <v>535</v>
      </c>
      <c r="FZ308" s="29" t="s">
        <v>6269</v>
      </c>
      <c r="GA308" s="29" t="s">
        <v>6270</v>
      </c>
      <c r="GB308" s="29" t="s">
        <v>455</v>
      </c>
      <c r="GC308" s="29"/>
      <c r="GD308" s="29"/>
      <c r="GE308" s="29" t="s">
        <v>855</v>
      </c>
      <c r="GF308" s="29" t="s">
        <v>6271</v>
      </c>
      <c r="GG308" s="29" t="s">
        <v>857</v>
      </c>
      <c r="GH308" s="29" t="s">
        <v>857</v>
      </c>
      <c r="GI308" s="29" t="s">
        <v>790</v>
      </c>
      <c r="GJ308" s="29"/>
      <c r="GK308" s="29"/>
      <c r="GL308" s="29"/>
      <c r="GM308" s="29"/>
      <c r="GN308" s="29"/>
      <c r="GO308" s="29"/>
      <c r="GP308" s="29"/>
      <c r="GQ308" s="29" t="s">
        <v>6272</v>
      </c>
      <c r="GR308" s="29"/>
      <c r="GS308" s="29"/>
      <c r="GT308" s="29" t="s">
        <v>4774</v>
      </c>
      <c r="GU308" s="29"/>
      <c r="HP308" s="31"/>
      <c r="MX308" s="29" t="s">
        <v>10402</v>
      </c>
      <c r="MY308" s="29" t="str">
        <f>IFERROR(__xludf.DUMMYFUNCTION("""COMPUTED_VALUE"""),"California")</f>
        <v>California</v>
      </c>
    </row>
    <row r="309" ht="16.5" customHeight="1">
      <c r="A309" s="33">
        <v>45908.396919861116</v>
      </c>
      <c r="B309" s="29" t="s">
        <v>368</v>
      </c>
      <c r="C309" s="29" t="s">
        <v>370</v>
      </c>
      <c r="D309" s="29" t="s">
        <v>4874</v>
      </c>
      <c r="E309" s="29" t="s">
        <v>371</v>
      </c>
      <c r="F309" s="29"/>
      <c r="G309" s="29" t="s">
        <v>422</v>
      </c>
      <c r="H309" s="29" t="s">
        <v>539</v>
      </c>
      <c r="I309" s="29" t="s">
        <v>424</v>
      </c>
      <c r="J309" s="29" t="s">
        <v>718</v>
      </c>
      <c r="K309" s="29" t="s">
        <v>376</v>
      </c>
      <c r="L309" s="29" t="s">
        <v>426</v>
      </c>
      <c r="M309" s="29" t="s">
        <v>541</v>
      </c>
      <c r="N309" s="29" t="s">
        <v>670</v>
      </c>
      <c r="O309" s="29" t="s">
        <v>6275</v>
      </c>
      <c r="P309" s="29" t="s">
        <v>498</v>
      </c>
      <c r="Q309" s="29" t="s">
        <v>862</v>
      </c>
      <c r="R309" s="29" t="s">
        <v>500</v>
      </c>
      <c r="S309" s="29" t="s">
        <v>3624</v>
      </c>
      <c r="T309" s="29" t="s">
        <v>385</v>
      </c>
      <c r="U309" s="29"/>
      <c r="V309" s="29"/>
      <c r="W309" s="29" t="s">
        <v>593</v>
      </c>
      <c r="X309" s="29" t="s">
        <v>387</v>
      </c>
      <c r="Y309" s="29" t="s">
        <v>1444</v>
      </c>
      <c r="Z309" s="29" t="s">
        <v>543</v>
      </c>
      <c r="AA309" s="29" t="s">
        <v>6276</v>
      </c>
      <c r="AB309" s="29" t="s">
        <v>6277</v>
      </c>
      <c r="AC309" s="29"/>
      <c r="AD309" s="29"/>
      <c r="AE309" s="29"/>
      <c r="AF309" s="29"/>
      <c r="AG309" s="29"/>
      <c r="AH309" s="29"/>
      <c r="AI309" s="29"/>
      <c r="AJ309" s="29"/>
      <c r="AK309" s="29"/>
      <c r="AL309" s="29"/>
      <c r="AM309" s="29"/>
      <c r="AN309" s="29"/>
      <c r="AO309" s="29"/>
      <c r="AP309" s="29"/>
      <c r="AQ309" s="29"/>
      <c r="AR309" s="29"/>
      <c r="AS309" s="29"/>
      <c r="AT309" s="29"/>
      <c r="AU309" s="29"/>
      <c r="AV309" s="29" t="s">
        <v>597</v>
      </c>
      <c r="AW309" s="29" t="s">
        <v>391</v>
      </c>
      <c r="AX309" s="29">
        <v>2.0</v>
      </c>
      <c r="AY309" s="29" t="s">
        <v>429</v>
      </c>
      <c r="AZ309" s="29" t="s">
        <v>391</v>
      </c>
      <c r="BA309" s="29">
        <v>4.0</v>
      </c>
      <c r="BB309" s="29">
        <v>4.0</v>
      </c>
      <c r="BC309" s="29" t="s">
        <v>6278</v>
      </c>
      <c r="BD309" s="29" t="s">
        <v>6279</v>
      </c>
      <c r="BE309" s="29" t="s">
        <v>432</v>
      </c>
      <c r="BF309" s="29" t="s">
        <v>433</v>
      </c>
      <c r="BG309" s="29" t="s">
        <v>765</v>
      </c>
      <c r="BH309" s="29"/>
      <c r="BI309" s="29" t="s">
        <v>435</v>
      </c>
      <c r="BJ309" s="29" t="s">
        <v>6280</v>
      </c>
      <c r="BK309" s="29" t="s">
        <v>511</v>
      </c>
      <c r="BL309" s="29" t="s">
        <v>603</v>
      </c>
      <c r="BM309" s="29" t="s">
        <v>439</v>
      </c>
      <c r="BN309" s="29" t="s">
        <v>440</v>
      </c>
      <c r="BO309" s="29"/>
      <c r="BP309" s="29"/>
      <c r="BQ309" s="29"/>
      <c r="BR309" s="29"/>
      <c r="BS309" s="29"/>
      <c r="BT309" s="29"/>
      <c r="BU309" s="29"/>
      <c r="BV309" s="29"/>
      <c r="BW309" s="29"/>
      <c r="BX309" s="29"/>
      <c r="BY309" s="29"/>
      <c r="BZ309" s="29"/>
      <c r="CA309" s="29"/>
      <c r="CB309" s="29"/>
      <c r="CC309" s="29"/>
      <c r="CD309" s="29"/>
      <c r="CE309" s="29"/>
      <c r="CF309" s="29"/>
      <c r="CG309" s="29"/>
      <c r="CH309" s="29"/>
      <c r="CI309" s="29"/>
      <c r="CJ309" s="29"/>
      <c r="CK309" s="29"/>
      <c r="CL309" s="29" t="s">
        <v>441</v>
      </c>
      <c r="CM309" s="29" t="s">
        <v>442</v>
      </c>
      <c r="CN309" s="29" t="s">
        <v>552</v>
      </c>
      <c r="CO309" s="29" t="s">
        <v>6281</v>
      </c>
      <c r="CP309" s="29" t="s">
        <v>685</v>
      </c>
      <c r="CQ309" s="29" t="s">
        <v>956</v>
      </c>
      <c r="CR309" s="29" t="s">
        <v>447</v>
      </c>
      <c r="CS309" s="29" t="s">
        <v>871</v>
      </c>
      <c r="CT309" s="29" t="s">
        <v>6282</v>
      </c>
      <c r="CU309" s="29" t="s">
        <v>450</v>
      </c>
      <c r="CV309" s="29" t="s">
        <v>451</v>
      </c>
      <c r="CW309" s="29" t="s">
        <v>6283</v>
      </c>
      <c r="CX309" s="29" t="s">
        <v>408</v>
      </c>
      <c r="CY309" s="29"/>
      <c r="CZ309" s="29" t="s">
        <v>453</v>
      </c>
      <c r="DA309" s="29" t="s">
        <v>6284</v>
      </c>
      <c r="DB309" s="29" t="s">
        <v>455</v>
      </c>
      <c r="DC309" s="29" t="s">
        <v>6285</v>
      </c>
      <c r="DD309" s="29" t="s">
        <v>988</v>
      </c>
      <c r="DE309" s="29"/>
      <c r="DF309" s="29" t="s">
        <v>6286</v>
      </c>
      <c r="DG309" s="29" t="s">
        <v>561</v>
      </c>
      <c r="DH309" s="29" t="s">
        <v>410</v>
      </c>
      <c r="DI309" s="29" t="s">
        <v>459</v>
      </c>
      <c r="DJ309" s="29" t="s">
        <v>613</v>
      </c>
      <c r="DK309" s="29"/>
      <c r="DL309" s="29"/>
      <c r="DM309" s="29" t="s">
        <v>6287</v>
      </c>
      <c r="DN309" s="29" t="s">
        <v>6288</v>
      </c>
      <c r="DO309" s="29" t="s">
        <v>464</v>
      </c>
      <c r="DP309" s="29" t="s">
        <v>6289</v>
      </c>
      <c r="DQ309" s="29" t="s">
        <v>466</v>
      </c>
      <c r="DR309" s="29" t="s">
        <v>6290</v>
      </c>
      <c r="DS309" s="29" t="s">
        <v>618</v>
      </c>
      <c r="DT309" s="29" t="s">
        <v>1580</v>
      </c>
      <c r="DU309" s="29" t="s">
        <v>6291</v>
      </c>
      <c r="DV309" s="29" t="s">
        <v>6292</v>
      </c>
      <c r="DW309" s="29" t="s">
        <v>622</v>
      </c>
      <c r="DX309" s="29" t="s">
        <v>6293</v>
      </c>
      <c r="DY309" s="29" t="s">
        <v>6294</v>
      </c>
      <c r="DZ309" s="29" t="s">
        <v>6295</v>
      </c>
      <c r="EA309" s="29" t="s">
        <v>1413</v>
      </c>
      <c r="EB309" s="29" t="s">
        <v>845</v>
      </c>
      <c r="EC309" s="29" t="s">
        <v>6296</v>
      </c>
      <c r="ED309" s="29"/>
      <c r="EE309" s="29"/>
      <c r="EF309" s="29"/>
      <c r="EG309" s="29"/>
      <c r="EH309" s="29"/>
      <c r="EI309" s="29"/>
      <c r="EJ309" s="29"/>
      <c r="EK309" s="29"/>
      <c r="EL309" s="29"/>
      <c r="EM309" s="29"/>
      <c r="EN309" s="29"/>
      <c r="EO309" s="29"/>
      <c r="EP309" s="29"/>
      <c r="EQ309" s="29"/>
      <c r="ER309" s="29"/>
      <c r="ES309" s="29"/>
      <c r="ET309" s="29" t="s">
        <v>578</v>
      </c>
      <c r="EU309" s="29" t="s">
        <v>579</v>
      </c>
      <c r="EV309" s="29" t="s">
        <v>480</v>
      </c>
      <c r="EW309" s="29"/>
      <c r="EX309" s="29" t="s">
        <v>6297</v>
      </c>
      <c r="EY309" s="29" t="s">
        <v>6298</v>
      </c>
      <c r="EZ309" s="29" t="s">
        <v>416</v>
      </c>
      <c r="FA309" s="29" t="s">
        <v>415</v>
      </c>
      <c r="FB309" s="29" t="s">
        <v>413</v>
      </c>
      <c r="FC309" s="29" t="s">
        <v>413</v>
      </c>
      <c r="FD309" s="29" t="s">
        <v>413</v>
      </c>
      <c r="FE309" s="29" t="s">
        <v>415</v>
      </c>
      <c r="FF309" s="29" t="s">
        <v>413</v>
      </c>
      <c r="FG309" s="29" t="s">
        <v>413</v>
      </c>
      <c r="FH309" s="29" t="s">
        <v>413</v>
      </c>
      <c r="FI309" s="29" t="s">
        <v>413</v>
      </c>
      <c r="FJ309" s="29" t="s">
        <v>413</v>
      </c>
      <c r="FK309" s="29" t="s">
        <v>413</v>
      </c>
      <c r="FL309" s="29" t="s">
        <v>413</v>
      </c>
      <c r="FM309" s="29" t="s">
        <v>413</v>
      </c>
      <c r="FN309" s="29" t="s">
        <v>413</v>
      </c>
      <c r="FO309" s="29" t="s">
        <v>485</v>
      </c>
      <c r="FP309" s="29" t="s">
        <v>418</v>
      </c>
      <c r="FQ309" s="29" t="s">
        <v>531</v>
      </c>
      <c r="FR309" s="29" t="s">
        <v>6299</v>
      </c>
      <c r="FS309" s="29" t="s">
        <v>420</v>
      </c>
      <c r="FT309" s="29" t="s">
        <v>1462</v>
      </c>
      <c r="FU309" s="29" t="s">
        <v>1235</v>
      </c>
      <c r="FV309" s="29" t="s">
        <v>490</v>
      </c>
      <c r="FW309" s="29" t="s">
        <v>491</v>
      </c>
      <c r="FX309" s="29" t="s">
        <v>6300</v>
      </c>
      <c r="FY309" s="29" t="s">
        <v>535</v>
      </c>
      <c r="FZ309" s="29"/>
      <c r="GA309" s="29"/>
      <c r="GB309" s="29" t="s">
        <v>455</v>
      </c>
      <c r="GC309" s="29"/>
      <c r="GD309" s="29" t="s">
        <v>6301</v>
      </c>
      <c r="GE309" s="29" t="s">
        <v>1339</v>
      </c>
      <c r="GF309" s="29"/>
      <c r="GG309" s="29" t="s">
        <v>755</v>
      </c>
      <c r="GH309" s="29" t="s">
        <v>755</v>
      </c>
      <c r="GI309" s="29" t="s">
        <v>946</v>
      </c>
      <c r="GJ309" s="29"/>
      <c r="GK309" s="29"/>
      <c r="GL309" s="29"/>
      <c r="GM309" s="29" t="s">
        <v>1079</v>
      </c>
      <c r="GN309" s="29"/>
      <c r="GO309" s="29" t="s">
        <v>4874</v>
      </c>
      <c r="GP309" s="29"/>
      <c r="GQ309" s="29" t="s">
        <v>3208</v>
      </c>
      <c r="GR309" s="29"/>
      <c r="GS309" s="29"/>
      <c r="GT309" s="29" t="s">
        <v>4774</v>
      </c>
      <c r="GU309" s="29" t="s">
        <v>1252</v>
      </c>
      <c r="HP309" s="31"/>
      <c r="MX309" s="29" t="s">
        <v>10402</v>
      </c>
      <c r="MY309" s="29" t="str">
        <f>IFERROR(__xludf.DUMMYFUNCTION("""COMPUTED_VALUE"""),"Texas")</f>
        <v>Texas</v>
      </c>
    </row>
    <row r="310" ht="16.5" customHeight="1">
      <c r="A310" s="33">
        <v>45908.43864734954</v>
      </c>
      <c r="B310" s="29" t="s">
        <v>368</v>
      </c>
      <c r="C310" s="29" t="s">
        <v>370</v>
      </c>
      <c r="D310" s="29" t="s">
        <v>370</v>
      </c>
      <c r="E310" s="29" t="s">
        <v>1510</v>
      </c>
      <c r="F310" s="29" t="s">
        <v>1510</v>
      </c>
      <c r="G310" s="29" t="s">
        <v>422</v>
      </c>
      <c r="H310" s="29" t="s">
        <v>496</v>
      </c>
      <c r="I310" s="29" t="s">
        <v>374</v>
      </c>
      <c r="J310" s="29" t="s">
        <v>718</v>
      </c>
      <c r="K310" s="29" t="s">
        <v>376</v>
      </c>
      <c r="L310" s="29" t="s">
        <v>670</v>
      </c>
      <c r="M310" s="29" t="s">
        <v>720</v>
      </c>
      <c r="N310" s="29" t="s">
        <v>793</v>
      </c>
      <c r="O310" s="29" t="s">
        <v>1270</v>
      </c>
      <c r="P310" s="29" t="s">
        <v>1504</v>
      </c>
      <c r="Q310" s="29" t="s">
        <v>499</v>
      </c>
      <c r="R310" s="29" t="s">
        <v>427</v>
      </c>
      <c r="S310" s="29" t="s">
        <v>384</v>
      </c>
      <c r="T310" s="29" t="s">
        <v>385</v>
      </c>
      <c r="U310" s="29"/>
      <c r="V310" s="29"/>
      <c r="W310" s="29" t="s">
        <v>593</v>
      </c>
      <c r="X310" s="29" t="s">
        <v>387</v>
      </c>
      <c r="Y310" s="29" t="s">
        <v>1966</v>
      </c>
      <c r="Z310" s="29" t="s">
        <v>543</v>
      </c>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t="s">
        <v>1310</v>
      </c>
      <c r="AW310" s="29">
        <v>4.0</v>
      </c>
      <c r="AX310" s="29" t="s">
        <v>391</v>
      </c>
      <c r="AY310" s="29" t="s">
        <v>675</v>
      </c>
      <c r="AZ310" s="29">
        <v>4.0</v>
      </c>
      <c r="BA310" s="29">
        <v>4.0</v>
      </c>
      <c r="BB310" s="29">
        <v>4.0</v>
      </c>
      <c r="BC310" s="29"/>
      <c r="BD310" s="29"/>
      <c r="BE310" s="29" t="s">
        <v>902</v>
      </c>
      <c r="BF310" s="29" t="s">
        <v>1245</v>
      </c>
      <c r="BG310" s="29" t="s">
        <v>434</v>
      </c>
      <c r="BH310" s="29"/>
      <c r="BI310" s="29" t="s">
        <v>435</v>
      </c>
      <c r="BJ310" s="29"/>
      <c r="BK310" s="29" t="s">
        <v>602</v>
      </c>
      <c r="BL310" s="29" t="s">
        <v>603</v>
      </c>
      <c r="BM310" s="29" t="s">
        <v>1247</v>
      </c>
      <c r="BN310" s="29" t="s">
        <v>398</v>
      </c>
      <c r="BO310" s="29"/>
      <c r="BP310" s="29"/>
      <c r="BQ310" s="29" t="s">
        <v>604</v>
      </c>
      <c r="BR310" s="29" t="s">
        <v>6307</v>
      </c>
      <c r="BS310" s="29" t="s">
        <v>1671</v>
      </c>
      <c r="BT310" s="29" t="s">
        <v>404</v>
      </c>
      <c r="BU310" s="29" t="s">
        <v>1831</v>
      </c>
      <c r="BV310" s="29"/>
      <c r="BW310" s="29" t="s">
        <v>406</v>
      </c>
      <c r="BX310" s="29" t="s">
        <v>2503</v>
      </c>
      <c r="BY310" s="29" t="s">
        <v>408</v>
      </c>
      <c r="BZ310" s="29"/>
      <c r="CA310" s="29"/>
      <c r="CB310" s="29"/>
      <c r="CC310" s="29"/>
      <c r="CD310" s="29" t="s">
        <v>451</v>
      </c>
      <c r="CE310" s="29"/>
      <c r="CF310" s="29" t="s">
        <v>2233</v>
      </c>
      <c r="CG310" s="29"/>
      <c r="CH310" s="29" t="s">
        <v>1698</v>
      </c>
      <c r="CI310" s="29" t="s">
        <v>410</v>
      </c>
      <c r="CJ310" s="29"/>
      <c r="CK310" s="29"/>
      <c r="CL310" s="29"/>
      <c r="CM310" s="29"/>
      <c r="CN310" s="29"/>
      <c r="CO310" s="29"/>
      <c r="CP310" s="29"/>
      <c r="CQ310" s="29"/>
      <c r="CR310" s="29"/>
      <c r="CS310" s="29"/>
      <c r="CT310" s="29"/>
      <c r="CU310" s="29"/>
      <c r="CV310" s="29"/>
      <c r="CW310" s="29"/>
      <c r="CX310" s="29"/>
      <c r="CY310" s="29"/>
      <c r="CZ310" s="29"/>
      <c r="DA310" s="29"/>
      <c r="DB310" s="29"/>
      <c r="DC310" s="29"/>
      <c r="DD310" s="29"/>
      <c r="DE310" s="29"/>
      <c r="DF310" s="29"/>
      <c r="DG310" s="29"/>
      <c r="DH310" s="29"/>
      <c r="DI310" s="29" t="s">
        <v>459</v>
      </c>
      <c r="DJ310" s="29" t="s">
        <v>562</v>
      </c>
      <c r="DK310" s="29" t="s">
        <v>525</v>
      </c>
      <c r="DL310" s="29"/>
      <c r="DM310" s="29"/>
      <c r="DN310" s="29"/>
      <c r="DO310" s="29"/>
      <c r="DP310" s="29"/>
      <c r="DQ310" s="29"/>
      <c r="DR310" s="29"/>
      <c r="DS310" s="29"/>
      <c r="DT310" s="29"/>
      <c r="DU310" s="29"/>
      <c r="DV310" s="29"/>
      <c r="DW310" s="29"/>
      <c r="DX310" s="29"/>
      <c r="DY310" s="29"/>
      <c r="DZ310" s="29"/>
      <c r="EA310" s="29"/>
      <c r="EB310" s="29"/>
      <c r="EC310" s="29"/>
      <c r="ED310" s="29"/>
      <c r="EE310" s="29"/>
      <c r="EF310" s="29"/>
      <c r="EG310" s="29"/>
      <c r="EH310" s="29"/>
      <c r="EI310" s="29"/>
      <c r="EJ310" s="29"/>
      <c r="EK310" s="29"/>
      <c r="EL310" s="29"/>
      <c r="EM310" s="29"/>
      <c r="EN310" s="29"/>
      <c r="EO310" s="29"/>
      <c r="EP310" s="29"/>
      <c r="EQ310" s="29"/>
      <c r="ER310" s="29"/>
      <c r="ES310" s="29"/>
      <c r="ET310" s="29" t="s">
        <v>526</v>
      </c>
      <c r="EU310" s="29" t="s">
        <v>887</v>
      </c>
      <c r="EV310" s="29" t="s">
        <v>580</v>
      </c>
      <c r="EW310" s="29"/>
      <c r="EX310" s="29"/>
      <c r="EY310" s="29"/>
      <c r="EZ310" s="29" t="s">
        <v>414</v>
      </c>
      <c r="FA310" s="29" t="s">
        <v>583</v>
      </c>
      <c r="FB310" s="29" t="s">
        <v>416</v>
      </c>
      <c r="FC310" s="29" t="s">
        <v>583</v>
      </c>
      <c r="FD310" s="29" t="s">
        <v>416</v>
      </c>
      <c r="FE310" s="29" t="s">
        <v>583</v>
      </c>
      <c r="FF310" s="29" t="s">
        <v>583</v>
      </c>
      <c r="FG310" s="29" t="s">
        <v>416</v>
      </c>
      <c r="FH310" s="29" t="s">
        <v>583</v>
      </c>
      <c r="FI310" s="29" t="s">
        <v>583</v>
      </c>
      <c r="FJ310" s="29" t="s">
        <v>583</v>
      </c>
      <c r="FK310" s="29" t="s">
        <v>414</v>
      </c>
      <c r="FL310" s="29" t="s">
        <v>583</v>
      </c>
      <c r="FM310" s="29" t="s">
        <v>416</v>
      </c>
      <c r="FN310" s="29" t="s">
        <v>583</v>
      </c>
      <c r="FO310" s="29" t="s">
        <v>850</v>
      </c>
      <c r="FP310" s="29" t="s">
        <v>486</v>
      </c>
      <c r="FQ310" s="29" t="s">
        <v>419</v>
      </c>
      <c r="FR310" s="29"/>
      <c r="FS310" s="29" t="s">
        <v>995</v>
      </c>
      <c r="FT310" s="29" t="s">
        <v>1476</v>
      </c>
      <c r="FU310" s="29" t="s">
        <v>533</v>
      </c>
      <c r="FV310" s="29" t="s">
        <v>490</v>
      </c>
      <c r="FW310" s="29" t="s">
        <v>491</v>
      </c>
      <c r="FX310" s="29"/>
      <c r="FY310" s="29" t="s">
        <v>493</v>
      </c>
      <c r="FZ310" s="29"/>
      <c r="GA310" s="29"/>
      <c r="GB310" s="29" t="s">
        <v>408</v>
      </c>
      <c r="GC310" s="29"/>
      <c r="GD310" s="29"/>
      <c r="GE310" s="29"/>
      <c r="GF310" s="29"/>
      <c r="GG310" s="29"/>
      <c r="GH310" s="29"/>
      <c r="GI310" s="29"/>
      <c r="GJ310" s="29" t="s">
        <v>1000</v>
      </c>
      <c r="GK310" s="29" t="s">
        <v>1000</v>
      </c>
      <c r="GL310" s="29" t="s">
        <v>817</v>
      </c>
      <c r="GM310" s="29"/>
      <c r="GN310" s="29"/>
      <c r="GO310" s="29"/>
      <c r="GP310" s="29"/>
      <c r="GQ310" s="29" t="s">
        <v>5656</v>
      </c>
      <c r="GR310" s="29" t="s">
        <v>4774</v>
      </c>
      <c r="GS310" s="29"/>
      <c r="GT310" s="29"/>
      <c r="GU310" s="29"/>
      <c r="HP310" s="31"/>
      <c r="MX310" s="29" t="s">
        <v>10402</v>
      </c>
      <c r="MY310" s="29" t="str">
        <f>IFERROR(__xludf.DUMMYFUNCTION("""COMPUTED_VALUE"""),"New Jersey")</f>
        <v>New Jersey</v>
      </c>
    </row>
    <row r="311" ht="16.5" customHeight="1">
      <c r="A311" s="33">
        <v>45909.61754627315</v>
      </c>
      <c r="B311" s="29" t="s">
        <v>368</v>
      </c>
      <c r="C311" s="29" t="s">
        <v>370</v>
      </c>
      <c r="D311" s="29" t="s">
        <v>370</v>
      </c>
      <c r="E311" s="29" t="s">
        <v>2359</v>
      </c>
      <c r="F311" s="29" t="s">
        <v>1421</v>
      </c>
      <c r="G311" s="29" t="s">
        <v>422</v>
      </c>
      <c r="H311" s="29" t="s">
        <v>496</v>
      </c>
      <c r="I311" s="29" t="s">
        <v>374</v>
      </c>
      <c r="J311" s="29" t="s">
        <v>718</v>
      </c>
      <c r="K311" s="29" t="s">
        <v>376</v>
      </c>
      <c r="L311" s="29" t="s">
        <v>379</v>
      </c>
      <c r="M311" s="29" t="s">
        <v>378</v>
      </c>
      <c r="N311" s="29" t="s">
        <v>793</v>
      </c>
      <c r="O311" s="29" t="s">
        <v>719</v>
      </c>
      <c r="P311" s="29" t="s">
        <v>592</v>
      </c>
      <c r="Q311" s="29" t="s">
        <v>499</v>
      </c>
      <c r="R311" s="29" t="s">
        <v>500</v>
      </c>
      <c r="S311" s="29" t="s">
        <v>384</v>
      </c>
      <c r="T311" s="29" t="s">
        <v>385</v>
      </c>
      <c r="U311" s="29"/>
      <c r="V311" s="29"/>
      <c r="W311" s="29" t="s">
        <v>386</v>
      </c>
      <c r="X311" s="29" t="s">
        <v>387</v>
      </c>
      <c r="Y311" s="29" t="s">
        <v>388</v>
      </c>
      <c r="Z311" s="29" t="s">
        <v>543</v>
      </c>
      <c r="AA311" s="29" t="s">
        <v>6308</v>
      </c>
      <c r="AB311" s="29"/>
      <c r="AC311" s="29"/>
      <c r="AD311" s="29"/>
      <c r="AE311" s="29"/>
      <c r="AF311" s="29"/>
      <c r="AG311" s="29"/>
      <c r="AH311" s="29"/>
      <c r="AI311" s="29"/>
      <c r="AJ311" s="29"/>
      <c r="AK311" s="29"/>
      <c r="AL311" s="29"/>
      <c r="AM311" s="29"/>
      <c r="AN311" s="29"/>
      <c r="AO311" s="29"/>
      <c r="AP311" s="29"/>
      <c r="AQ311" s="29"/>
      <c r="AR311" s="29"/>
      <c r="AS311" s="29"/>
      <c r="AT311" s="29"/>
      <c r="AU311" s="29"/>
      <c r="AV311" s="29" t="s">
        <v>1310</v>
      </c>
      <c r="AW311" s="29" t="s">
        <v>391</v>
      </c>
      <c r="AX311" s="29" t="s">
        <v>391</v>
      </c>
      <c r="AY311" s="29">
        <v>2.0</v>
      </c>
      <c r="AZ311" s="29" t="s">
        <v>391</v>
      </c>
      <c r="BA311" s="29">
        <v>4.0</v>
      </c>
      <c r="BB311" s="29" t="s">
        <v>391</v>
      </c>
      <c r="BC311" s="29"/>
      <c r="BD311" s="29"/>
      <c r="BE311" s="29" t="s">
        <v>432</v>
      </c>
      <c r="BF311" s="29" t="s">
        <v>393</v>
      </c>
      <c r="BG311" s="29" t="s">
        <v>725</v>
      </c>
      <c r="BH311" s="29" t="s">
        <v>6309</v>
      </c>
      <c r="BI311" s="29" t="s">
        <v>435</v>
      </c>
      <c r="BJ311" s="29" t="s">
        <v>6310</v>
      </c>
      <c r="BK311" s="29" t="s">
        <v>437</v>
      </c>
      <c r="BL311" s="29" t="s">
        <v>438</v>
      </c>
      <c r="BM311" s="29" t="s">
        <v>1247</v>
      </c>
      <c r="BN311" s="29" t="s">
        <v>398</v>
      </c>
      <c r="BO311" s="29" t="s">
        <v>6311</v>
      </c>
      <c r="BP311" s="29" t="s">
        <v>6312</v>
      </c>
      <c r="BQ311" s="29" t="s">
        <v>401</v>
      </c>
      <c r="BR311" s="29" t="s">
        <v>6313</v>
      </c>
      <c r="BS311" s="29" t="s">
        <v>403</v>
      </c>
      <c r="BT311" s="29" t="s">
        <v>404</v>
      </c>
      <c r="BU311" s="29" t="s">
        <v>405</v>
      </c>
      <c r="BV311" s="29"/>
      <c r="BW311" s="29" t="s">
        <v>406</v>
      </c>
      <c r="BX311" s="29" t="s">
        <v>2503</v>
      </c>
      <c r="BY311" s="29" t="s">
        <v>408</v>
      </c>
      <c r="BZ311" s="29"/>
      <c r="CA311" s="29"/>
      <c r="CB311" s="29" t="s">
        <v>6314</v>
      </c>
      <c r="CC311" s="29" t="s">
        <v>6315</v>
      </c>
      <c r="CD311" s="29" t="s">
        <v>451</v>
      </c>
      <c r="CE311" s="29" t="s">
        <v>6316</v>
      </c>
      <c r="CF311" s="29" t="s">
        <v>1749</v>
      </c>
      <c r="CG311" s="29"/>
      <c r="CH311" s="29" t="s">
        <v>1698</v>
      </c>
      <c r="CI311" s="29" t="s">
        <v>833</v>
      </c>
      <c r="CJ311" s="29" t="s">
        <v>6317</v>
      </c>
      <c r="CK311" s="29" t="s">
        <v>6318</v>
      </c>
      <c r="CL311" s="29"/>
      <c r="CM311" s="29"/>
      <c r="CN311" s="29"/>
      <c r="CO311" s="29"/>
      <c r="CP311" s="29"/>
      <c r="CQ311" s="29"/>
      <c r="CR311" s="29"/>
      <c r="CS311" s="29"/>
      <c r="CT311" s="29"/>
      <c r="CU311" s="29"/>
      <c r="CV311" s="29"/>
      <c r="CW311" s="29"/>
      <c r="CX311" s="29"/>
      <c r="CY311" s="29"/>
      <c r="CZ311" s="29"/>
      <c r="DA311" s="29"/>
      <c r="DB311" s="29"/>
      <c r="DC311" s="29"/>
      <c r="DD311" s="29"/>
      <c r="DE311" s="29"/>
      <c r="DF311" s="29"/>
      <c r="DG311" s="29"/>
      <c r="DH311" s="29"/>
      <c r="DI311" s="29" t="s">
        <v>963</v>
      </c>
      <c r="DJ311" s="29" t="s">
        <v>460</v>
      </c>
      <c r="DK311" s="29" t="s">
        <v>6319</v>
      </c>
      <c r="DL311" s="29"/>
      <c r="DM311" s="29"/>
      <c r="DN311" s="29"/>
      <c r="DO311" s="29"/>
      <c r="DP311" s="29"/>
      <c r="DQ311" s="29"/>
      <c r="DR311" s="29"/>
      <c r="DS311" s="29"/>
      <c r="DT311" s="29"/>
      <c r="DU311" s="29"/>
      <c r="DV311" s="29"/>
      <c r="DW311" s="29"/>
      <c r="DX311" s="29"/>
      <c r="DY311" s="29"/>
      <c r="DZ311" s="29"/>
      <c r="EA311" s="29"/>
      <c r="EB311" s="29"/>
      <c r="EC311" s="29"/>
      <c r="ED311" s="29"/>
      <c r="EE311" s="29"/>
      <c r="EF311" s="29"/>
      <c r="EG311" s="29"/>
      <c r="EH311" s="29"/>
      <c r="EI311" s="29"/>
      <c r="EJ311" s="29"/>
      <c r="EK311" s="29"/>
      <c r="EL311" s="29"/>
      <c r="EM311" s="29"/>
      <c r="EN311" s="29"/>
      <c r="EO311" s="29"/>
      <c r="EP311" s="29"/>
      <c r="EQ311" s="29"/>
      <c r="ER311" s="29"/>
      <c r="ES311" s="29"/>
      <c r="ET311" s="29" t="s">
        <v>478</v>
      </c>
      <c r="EU311" s="29" t="s">
        <v>887</v>
      </c>
      <c r="EV311" s="29" t="s">
        <v>580</v>
      </c>
      <c r="EW311" s="29"/>
      <c r="EX311" s="29"/>
      <c r="EY311" s="29"/>
      <c r="EZ311" s="29" t="s">
        <v>416</v>
      </c>
      <c r="FA311" s="29" t="s">
        <v>415</v>
      </c>
      <c r="FB311" s="29" t="s">
        <v>415</v>
      </c>
      <c r="FC311" s="29" t="s">
        <v>414</v>
      </c>
      <c r="FD311" s="29" t="s">
        <v>413</v>
      </c>
      <c r="FE311" s="29" t="s">
        <v>415</v>
      </c>
      <c r="FF311" s="29" t="s">
        <v>414</v>
      </c>
      <c r="FG311" s="29" t="s">
        <v>416</v>
      </c>
      <c r="FH311" s="29" t="s">
        <v>583</v>
      </c>
      <c r="FI311" s="29" t="s">
        <v>415</v>
      </c>
      <c r="FJ311" s="29" t="s">
        <v>415</v>
      </c>
      <c r="FK311" s="29" t="s">
        <v>484</v>
      </c>
      <c r="FL311" s="29" t="s">
        <v>484</v>
      </c>
      <c r="FM311" s="29" t="s">
        <v>413</v>
      </c>
      <c r="FN311" s="29" t="s">
        <v>583</v>
      </c>
      <c r="FO311" s="29" t="s">
        <v>485</v>
      </c>
      <c r="FP311" s="29" t="s">
        <v>418</v>
      </c>
      <c r="FQ311" s="29" t="s">
        <v>712</v>
      </c>
      <c r="FR311" s="29"/>
      <c r="FS311" s="29" t="s">
        <v>1076</v>
      </c>
      <c r="FT311" s="29" t="s">
        <v>1462</v>
      </c>
      <c r="FU311" s="29" t="s">
        <v>489</v>
      </c>
      <c r="FV311" s="29" t="s">
        <v>490</v>
      </c>
      <c r="FW311" s="29" t="s">
        <v>491</v>
      </c>
      <c r="FX311" s="29"/>
      <c r="FY311" s="29" t="s">
        <v>535</v>
      </c>
      <c r="FZ311" s="29"/>
      <c r="GA311" s="29"/>
      <c r="GB311" s="29" t="s">
        <v>455</v>
      </c>
      <c r="GC311" s="29"/>
      <c r="GD311" s="29"/>
      <c r="GE311" s="29" t="s">
        <v>1339</v>
      </c>
      <c r="GF311" s="29"/>
      <c r="GG311" s="29"/>
      <c r="GH311" s="29"/>
      <c r="GI311" s="29"/>
      <c r="GJ311" s="29" t="s">
        <v>755</v>
      </c>
      <c r="GK311" s="29" t="s">
        <v>755</v>
      </c>
      <c r="GL311" s="29" t="s">
        <v>817</v>
      </c>
      <c r="GM311" s="29"/>
      <c r="GN311" s="29"/>
      <c r="GO311" s="29"/>
      <c r="GP311" s="29"/>
      <c r="GQ311" s="29" t="s">
        <v>3937</v>
      </c>
      <c r="GR311" s="29" t="s">
        <v>4774</v>
      </c>
      <c r="GS311" s="29"/>
      <c r="GT311" s="29"/>
      <c r="GU311" s="29"/>
      <c r="HP311" s="31"/>
      <c r="MX311" s="29" t="s">
        <v>10402</v>
      </c>
      <c r="MY311" s="29" t="str">
        <f>IFERROR(__xludf.DUMMYFUNCTION("""COMPUTED_VALUE"""),"Massachusetts")</f>
        <v>Massachusetts</v>
      </c>
    </row>
    <row r="312" ht="16.5" customHeight="1">
      <c r="A312" s="33">
        <v>45909.7875549537</v>
      </c>
      <c r="B312" s="29" t="s">
        <v>368</v>
      </c>
      <c r="C312" s="29" t="s">
        <v>370</v>
      </c>
      <c r="D312" s="29" t="s">
        <v>3576</v>
      </c>
      <c r="E312" s="29" t="s">
        <v>1001</v>
      </c>
      <c r="F312" s="29"/>
      <c r="G312" s="29" t="s">
        <v>422</v>
      </c>
      <c r="H312" s="29" t="s">
        <v>496</v>
      </c>
      <c r="I312" s="29" t="s">
        <v>424</v>
      </c>
      <c r="J312" s="29" t="s">
        <v>669</v>
      </c>
      <c r="K312" s="29" t="s">
        <v>376</v>
      </c>
      <c r="L312" s="29" t="s">
        <v>793</v>
      </c>
      <c r="M312" s="29" t="s">
        <v>639</v>
      </c>
      <c r="N312" s="29" t="s">
        <v>793</v>
      </c>
      <c r="O312" s="29" t="s">
        <v>639</v>
      </c>
      <c r="P312" s="29" t="s">
        <v>592</v>
      </c>
      <c r="Q312" s="29" t="s">
        <v>382</v>
      </c>
      <c r="R312" s="29" t="s">
        <v>427</v>
      </c>
      <c r="S312" s="29" t="s">
        <v>384</v>
      </c>
      <c r="T312" s="29" t="s">
        <v>385</v>
      </c>
      <c r="U312" s="29"/>
      <c r="V312" s="29"/>
      <c r="W312" s="29" t="s">
        <v>386</v>
      </c>
      <c r="X312" s="29" t="s">
        <v>387</v>
      </c>
      <c r="Y312" s="29" t="s">
        <v>388</v>
      </c>
      <c r="Z312" s="29" t="s">
        <v>389</v>
      </c>
      <c r="AA312" s="29" t="s">
        <v>6322</v>
      </c>
      <c r="AB312" s="29"/>
      <c r="AC312" s="29"/>
      <c r="AD312" s="29"/>
      <c r="AE312" s="29"/>
      <c r="AF312" s="29"/>
      <c r="AG312" s="29"/>
      <c r="AH312" s="29"/>
      <c r="AI312" s="29"/>
      <c r="AJ312" s="29"/>
      <c r="AK312" s="29"/>
      <c r="AL312" s="29"/>
      <c r="AM312" s="29"/>
      <c r="AN312" s="29"/>
      <c r="AO312" s="29"/>
      <c r="AP312" s="29"/>
      <c r="AQ312" s="29"/>
      <c r="AR312" s="29"/>
      <c r="AS312" s="29"/>
      <c r="AT312" s="29"/>
      <c r="AU312" s="29"/>
      <c r="AV312" s="29" t="s">
        <v>504</v>
      </c>
      <c r="AW312" s="29" t="s">
        <v>391</v>
      </c>
      <c r="AX312" s="29">
        <v>2.0</v>
      </c>
      <c r="AY312" s="29" t="s">
        <v>391</v>
      </c>
      <c r="AZ312" s="29">
        <v>2.0</v>
      </c>
      <c r="BA312" s="29" t="s">
        <v>429</v>
      </c>
      <c r="BB312" s="29" t="s">
        <v>429</v>
      </c>
      <c r="BC312" s="29" t="s">
        <v>6323</v>
      </c>
      <c r="BD312" s="29" t="s">
        <v>6324</v>
      </c>
      <c r="BE312" s="29" t="s">
        <v>432</v>
      </c>
      <c r="BF312" s="29" t="s">
        <v>433</v>
      </c>
      <c r="BG312" s="29" t="s">
        <v>725</v>
      </c>
      <c r="BH312" s="29"/>
      <c r="BI312" s="29" t="s">
        <v>435</v>
      </c>
      <c r="BJ312" s="29" t="s">
        <v>6325</v>
      </c>
      <c r="BK312" s="29" t="s">
        <v>437</v>
      </c>
      <c r="BL312" s="29" t="s">
        <v>603</v>
      </c>
      <c r="BM312" s="29" t="s">
        <v>549</v>
      </c>
      <c r="BN312" s="29" t="s">
        <v>440</v>
      </c>
      <c r="BO312" s="29"/>
      <c r="BP312" s="29"/>
      <c r="BQ312" s="29"/>
      <c r="BR312" s="29"/>
      <c r="BS312" s="29"/>
      <c r="BT312" s="29"/>
      <c r="BU312" s="29"/>
      <c r="BV312" s="29"/>
      <c r="BW312" s="29"/>
      <c r="BX312" s="29"/>
      <c r="BY312" s="29"/>
      <c r="BZ312" s="29"/>
      <c r="CA312" s="29"/>
      <c r="CB312" s="29"/>
      <c r="CC312" s="29"/>
      <c r="CD312" s="29"/>
      <c r="CE312" s="29"/>
      <c r="CF312" s="29"/>
      <c r="CG312" s="29"/>
      <c r="CH312" s="29"/>
      <c r="CI312" s="29"/>
      <c r="CJ312" s="29"/>
      <c r="CK312" s="29"/>
      <c r="CL312" s="29" t="s">
        <v>441</v>
      </c>
      <c r="CM312" s="29" t="s">
        <v>551</v>
      </c>
      <c r="CN312" s="29" t="s">
        <v>6326</v>
      </c>
      <c r="CO312" s="29" t="s">
        <v>6327</v>
      </c>
      <c r="CP312" s="29" t="s">
        <v>685</v>
      </c>
      <c r="CQ312" s="29" t="s">
        <v>6328</v>
      </c>
      <c r="CR312" s="29" t="s">
        <v>447</v>
      </c>
      <c r="CS312" s="29" t="s">
        <v>448</v>
      </c>
      <c r="CT312" s="29" t="s">
        <v>6329</v>
      </c>
      <c r="CU312" s="29" t="s">
        <v>450</v>
      </c>
      <c r="CV312" s="29" t="s">
        <v>451</v>
      </c>
      <c r="CW312" s="29" t="s">
        <v>6330</v>
      </c>
      <c r="CX312" s="29" t="s">
        <v>455</v>
      </c>
      <c r="CY312" s="29" t="s">
        <v>6331</v>
      </c>
      <c r="CZ312" s="29" t="s">
        <v>453</v>
      </c>
      <c r="DA312" s="29" t="s">
        <v>6332</v>
      </c>
      <c r="DB312" s="29" t="s">
        <v>455</v>
      </c>
      <c r="DC312" s="29" t="s">
        <v>6333</v>
      </c>
      <c r="DD312" s="29" t="s">
        <v>457</v>
      </c>
      <c r="DE312" s="29"/>
      <c r="DF312" s="29" t="s">
        <v>6334</v>
      </c>
      <c r="DG312" s="29" t="s">
        <v>524</v>
      </c>
      <c r="DH312" s="29" t="s">
        <v>410</v>
      </c>
      <c r="DI312" s="29" t="s">
        <v>459</v>
      </c>
      <c r="DJ312" s="29" t="s">
        <v>460</v>
      </c>
      <c r="DK312" s="29" t="s">
        <v>6335</v>
      </c>
      <c r="DL312" s="29"/>
      <c r="DM312" s="29" t="s">
        <v>6336</v>
      </c>
      <c r="DN312" s="29" t="s">
        <v>6337</v>
      </c>
      <c r="DO312" s="29" t="s">
        <v>1063</v>
      </c>
      <c r="DP312" s="29" t="s">
        <v>6338</v>
      </c>
      <c r="DQ312" s="29" t="s">
        <v>466</v>
      </c>
      <c r="DR312" s="29" t="s">
        <v>6339</v>
      </c>
      <c r="DS312" s="29" t="s">
        <v>468</v>
      </c>
      <c r="DT312" s="29" t="s">
        <v>740</v>
      </c>
      <c r="DU312" s="29" t="s">
        <v>6340</v>
      </c>
      <c r="DV312" s="29" t="s">
        <v>741</v>
      </c>
      <c r="DW312" s="29" t="s">
        <v>573</v>
      </c>
      <c r="DX312" s="29" t="s">
        <v>6341</v>
      </c>
      <c r="DY312" s="29" t="s">
        <v>6342</v>
      </c>
      <c r="DZ312" s="29" t="s">
        <v>6343</v>
      </c>
      <c r="EA312" s="29" t="s">
        <v>475</v>
      </c>
      <c r="EB312" s="29" t="s">
        <v>626</v>
      </c>
      <c r="EC312" s="29" t="s">
        <v>6344</v>
      </c>
      <c r="ED312" s="29"/>
      <c r="EE312" s="29"/>
      <c r="EF312" s="29"/>
      <c r="EG312" s="29"/>
      <c r="EH312" s="29"/>
      <c r="EI312" s="29"/>
      <c r="EJ312" s="29"/>
      <c r="EK312" s="29"/>
      <c r="EL312" s="29"/>
      <c r="EM312" s="29"/>
      <c r="EN312" s="29"/>
      <c r="EO312" s="29"/>
      <c r="EP312" s="29"/>
      <c r="EQ312" s="29"/>
      <c r="ER312" s="29"/>
      <c r="ES312" s="29"/>
      <c r="ET312" s="29" t="s">
        <v>526</v>
      </c>
      <c r="EU312" s="29" t="s">
        <v>579</v>
      </c>
      <c r="EV312" s="29" t="s">
        <v>778</v>
      </c>
      <c r="EW312" s="29" t="s">
        <v>6345</v>
      </c>
      <c r="EX312" s="29" t="s">
        <v>6346</v>
      </c>
      <c r="EY312" s="29" t="s">
        <v>6347</v>
      </c>
      <c r="EZ312" s="29" t="s">
        <v>413</v>
      </c>
      <c r="FA312" s="29" t="s">
        <v>413</v>
      </c>
      <c r="FB312" s="29" t="s">
        <v>413</v>
      </c>
      <c r="FC312" s="29" t="s">
        <v>413</v>
      </c>
      <c r="FD312" s="29" t="s">
        <v>413</v>
      </c>
      <c r="FE312" s="29" t="s">
        <v>415</v>
      </c>
      <c r="FF312" s="29" t="s">
        <v>413</v>
      </c>
      <c r="FG312" s="29" t="s">
        <v>415</v>
      </c>
      <c r="FH312" s="29" t="s">
        <v>415</v>
      </c>
      <c r="FI312" s="29" t="s">
        <v>413</v>
      </c>
      <c r="FJ312" s="29" t="s">
        <v>413</v>
      </c>
      <c r="FK312" s="29" t="s">
        <v>415</v>
      </c>
      <c r="FL312" s="29" t="s">
        <v>415</v>
      </c>
      <c r="FM312" s="29" t="s">
        <v>415</v>
      </c>
      <c r="FN312" s="29" t="s">
        <v>415</v>
      </c>
      <c r="FO312" s="29" t="s">
        <v>485</v>
      </c>
      <c r="FP312" s="29" t="s">
        <v>418</v>
      </c>
      <c r="FQ312" s="29" t="s">
        <v>1039</v>
      </c>
      <c r="FR312" s="29" t="s">
        <v>6348</v>
      </c>
      <c r="FS312" s="29" t="s">
        <v>420</v>
      </c>
      <c r="FT312" s="29" t="s">
        <v>488</v>
      </c>
      <c r="FU312" s="29" t="s">
        <v>1235</v>
      </c>
      <c r="FV312" s="29" t="s">
        <v>490</v>
      </c>
      <c r="FW312" s="29" t="s">
        <v>491</v>
      </c>
      <c r="FX312" s="29" t="s">
        <v>6349</v>
      </c>
      <c r="FY312" s="29" t="s">
        <v>1020</v>
      </c>
      <c r="FZ312" s="29" t="s">
        <v>6350</v>
      </c>
      <c r="GA312" s="29"/>
      <c r="GB312" s="29" t="s">
        <v>408</v>
      </c>
      <c r="GC312" s="29"/>
      <c r="GD312" s="29"/>
      <c r="GE312" s="29"/>
      <c r="GF312" s="29"/>
      <c r="GG312" s="29" t="s">
        <v>755</v>
      </c>
      <c r="GH312" s="29" t="s">
        <v>755</v>
      </c>
      <c r="GI312" s="29" t="s">
        <v>946</v>
      </c>
      <c r="GJ312" s="29"/>
      <c r="GK312" s="29"/>
      <c r="GL312" s="29"/>
      <c r="GM312" s="29" t="s">
        <v>1079</v>
      </c>
      <c r="GN312" s="29"/>
      <c r="GO312" s="29" t="s">
        <v>3576</v>
      </c>
      <c r="GP312" s="29"/>
      <c r="GQ312" s="29"/>
      <c r="GR312" s="29"/>
      <c r="GS312" s="29"/>
      <c r="GT312" s="29" t="s">
        <v>5170</v>
      </c>
      <c r="GU312" s="29" t="s">
        <v>4660</v>
      </c>
      <c r="HP312" s="31"/>
      <c r="MX312" s="29" t="s">
        <v>10402</v>
      </c>
      <c r="MY312" s="29" t="str">
        <f>IFERROR(__xludf.DUMMYFUNCTION("""COMPUTED_VALUE"""),"California")</f>
        <v>California</v>
      </c>
    </row>
    <row r="313" ht="16.5" customHeight="1">
      <c r="A313" s="33">
        <v>45912.48665707176</v>
      </c>
      <c r="B313" s="29" t="s">
        <v>368</v>
      </c>
      <c r="C313" s="29" t="s">
        <v>370</v>
      </c>
      <c r="D313" s="29" t="s">
        <v>370</v>
      </c>
      <c r="E313" s="29" t="s">
        <v>371</v>
      </c>
      <c r="F313" s="29" t="s">
        <v>1421</v>
      </c>
      <c r="G313" s="29" t="s">
        <v>422</v>
      </c>
      <c r="H313" s="29" t="s">
        <v>373</v>
      </c>
      <c r="I313" s="29" t="s">
        <v>374</v>
      </c>
      <c r="J313" s="29" t="s">
        <v>375</v>
      </c>
      <c r="K313" s="29" t="s">
        <v>376</v>
      </c>
      <c r="L313" s="29" t="s">
        <v>591</v>
      </c>
      <c r="M313" s="29" t="s">
        <v>378</v>
      </c>
      <c r="N313" s="29" t="s">
        <v>591</v>
      </c>
      <c r="O313" s="29" t="s">
        <v>4228</v>
      </c>
      <c r="P313" s="29" t="s">
        <v>498</v>
      </c>
      <c r="Q313" s="29" t="s">
        <v>862</v>
      </c>
      <c r="R313" s="29" t="s">
        <v>1704</v>
      </c>
      <c r="S313" s="29" t="s">
        <v>1785</v>
      </c>
      <c r="T313" s="29" t="s">
        <v>1786</v>
      </c>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c r="BU313" s="29"/>
      <c r="BV313" s="29"/>
      <c r="BW313" s="29"/>
      <c r="BX313" s="29"/>
      <c r="BY313" s="29"/>
      <c r="BZ313" s="29"/>
      <c r="CA313" s="29"/>
      <c r="CB313" s="29"/>
      <c r="CC313" s="29"/>
      <c r="CD313" s="29"/>
      <c r="CE313" s="29"/>
      <c r="CF313" s="29"/>
      <c r="CG313" s="29"/>
      <c r="CH313" s="29"/>
      <c r="CI313" s="29"/>
      <c r="CJ313" s="29"/>
      <c r="CK313" s="29"/>
      <c r="CL313" s="29"/>
      <c r="CM313" s="29"/>
      <c r="CN313" s="29"/>
      <c r="CO313" s="29"/>
      <c r="CP313" s="29"/>
      <c r="CQ313" s="29"/>
      <c r="CR313" s="29"/>
      <c r="CS313" s="29"/>
      <c r="CT313" s="29"/>
      <c r="CU313" s="29"/>
      <c r="CV313" s="29"/>
      <c r="CW313" s="29"/>
      <c r="CX313" s="29"/>
      <c r="CY313" s="29"/>
      <c r="CZ313" s="29"/>
      <c r="DA313" s="29"/>
      <c r="DB313" s="29"/>
      <c r="DC313" s="29"/>
      <c r="DD313" s="29"/>
      <c r="DE313" s="29"/>
      <c r="DF313" s="29"/>
      <c r="DG313" s="29"/>
      <c r="DH313" s="29"/>
      <c r="DI313" s="29"/>
      <c r="DJ313" s="29"/>
      <c r="DK313" s="29"/>
      <c r="DL313" s="29"/>
      <c r="DM313" s="29"/>
      <c r="DN313" s="29"/>
      <c r="DO313" s="29"/>
      <c r="DP313" s="29"/>
      <c r="DQ313" s="29"/>
      <c r="DR313" s="29"/>
      <c r="DS313" s="29"/>
      <c r="DT313" s="29"/>
      <c r="DU313" s="29"/>
      <c r="DV313" s="29"/>
      <c r="DW313" s="29"/>
      <c r="DX313" s="29"/>
      <c r="DY313" s="29"/>
      <c r="DZ313" s="29"/>
      <c r="EA313" s="29"/>
      <c r="EB313" s="29"/>
      <c r="EC313" s="29"/>
      <c r="ED313" s="29" t="s">
        <v>6356</v>
      </c>
      <c r="EE313" s="29" t="s">
        <v>6357</v>
      </c>
      <c r="EF313" s="29"/>
      <c r="EG313" s="29"/>
      <c r="EH313" s="29"/>
      <c r="EI313" s="29"/>
      <c r="EJ313" s="29"/>
      <c r="EK313" s="29" t="s">
        <v>6358</v>
      </c>
      <c r="EL313" s="29" t="s">
        <v>6359</v>
      </c>
      <c r="EM313" s="29" t="s">
        <v>6360</v>
      </c>
      <c r="EN313" s="29" t="s">
        <v>6361</v>
      </c>
      <c r="EO313" s="29"/>
      <c r="EP313" s="29"/>
      <c r="EQ313" s="29"/>
      <c r="ER313" s="29" t="s">
        <v>6362</v>
      </c>
      <c r="ES313" s="29" t="s">
        <v>6363</v>
      </c>
      <c r="ET313" s="29" t="s">
        <v>478</v>
      </c>
      <c r="EU313" s="29" t="s">
        <v>887</v>
      </c>
      <c r="EV313" s="29" t="s">
        <v>778</v>
      </c>
      <c r="EW313" s="29" t="s">
        <v>6364</v>
      </c>
      <c r="EX313" s="29" t="s">
        <v>6365</v>
      </c>
      <c r="EY313" s="29" t="s">
        <v>6366</v>
      </c>
      <c r="EZ313" s="29" t="s">
        <v>415</v>
      </c>
      <c r="FA313" s="29" t="s">
        <v>414</v>
      </c>
      <c r="FB313" s="29" t="s">
        <v>415</v>
      </c>
      <c r="FC313" s="29" t="s">
        <v>415</v>
      </c>
      <c r="FD313" s="29" t="s">
        <v>416</v>
      </c>
      <c r="FE313" s="29" t="s">
        <v>414</v>
      </c>
      <c r="FF313" s="29" t="s">
        <v>415</v>
      </c>
      <c r="FG313" s="29" t="s">
        <v>415</v>
      </c>
      <c r="FH313" s="29" t="s">
        <v>415</v>
      </c>
      <c r="FI313" s="29" t="s">
        <v>414</v>
      </c>
      <c r="FJ313" s="29" t="s">
        <v>415</v>
      </c>
      <c r="FK313" s="29" t="s">
        <v>415</v>
      </c>
      <c r="FL313" s="29" t="s">
        <v>415</v>
      </c>
      <c r="FM313" s="29" t="s">
        <v>415</v>
      </c>
      <c r="FN313" s="29" t="s">
        <v>415</v>
      </c>
      <c r="FO313" s="29" t="s">
        <v>850</v>
      </c>
      <c r="FP313" s="29" t="s">
        <v>486</v>
      </c>
      <c r="FQ313" s="29" t="s">
        <v>712</v>
      </c>
      <c r="FR313" s="29" t="s">
        <v>733</v>
      </c>
      <c r="FS313" s="29" t="s">
        <v>995</v>
      </c>
      <c r="FT313" s="29" t="s">
        <v>421</v>
      </c>
      <c r="FU313" s="29" t="s">
        <v>489</v>
      </c>
      <c r="FV313" s="29" t="s">
        <v>2136</v>
      </c>
      <c r="FW313" s="29" t="s">
        <v>491</v>
      </c>
      <c r="FX313" s="29" t="s">
        <v>6367</v>
      </c>
      <c r="FY313" s="29" t="s">
        <v>1854</v>
      </c>
      <c r="FZ313" s="29" t="s">
        <v>6368</v>
      </c>
      <c r="GA313" s="29"/>
      <c r="GB313" s="29" t="s">
        <v>408</v>
      </c>
      <c r="GC313" s="29"/>
      <c r="GD313" s="29"/>
      <c r="GE313" s="29"/>
      <c r="GF313" s="29"/>
      <c r="GG313" s="29"/>
      <c r="GH313" s="29"/>
      <c r="GI313" s="29"/>
      <c r="GJ313" s="29"/>
      <c r="GK313" s="29"/>
      <c r="GL313" s="29"/>
      <c r="GM313" s="29"/>
      <c r="GN313" s="29"/>
      <c r="GO313" s="29"/>
      <c r="GP313" s="29"/>
      <c r="GQ313" s="29" t="s">
        <v>3306</v>
      </c>
      <c r="GR313" s="29"/>
      <c r="GS313" s="29"/>
      <c r="GT313" s="29"/>
      <c r="GU313" s="29"/>
      <c r="HP313" s="31"/>
      <c r="MX313" s="29" t="s">
        <v>10402</v>
      </c>
      <c r="MY313" s="29" t="str">
        <f>IFERROR(__xludf.DUMMYFUNCTION("""COMPUTED_VALUE"""),"Arizona")</f>
        <v>Arizona</v>
      </c>
    </row>
    <row r="314" ht="16.5" customHeight="1">
      <c r="A314" s="33">
        <v>45915.3204787963</v>
      </c>
      <c r="B314" s="29" t="s">
        <v>368</v>
      </c>
      <c r="C314" s="29" t="s">
        <v>370</v>
      </c>
      <c r="D314" s="29" t="s">
        <v>370</v>
      </c>
      <c r="E314" s="29" t="s">
        <v>2559</v>
      </c>
      <c r="F314" s="29" t="s">
        <v>371</v>
      </c>
      <c r="G314" s="29" t="s">
        <v>422</v>
      </c>
      <c r="H314" s="29" t="s">
        <v>496</v>
      </c>
      <c r="I314" s="29" t="s">
        <v>1022</v>
      </c>
      <c r="J314" s="29" t="s">
        <v>425</v>
      </c>
      <c r="K314" s="29" t="s">
        <v>376</v>
      </c>
      <c r="L314" s="29" t="s">
        <v>426</v>
      </c>
      <c r="M314" s="29" t="s">
        <v>378</v>
      </c>
      <c r="N314" s="29" t="s">
        <v>793</v>
      </c>
      <c r="O314" s="29" t="s">
        <v>719</v>
      </c>
      <c r="P314" s="29" t="s">
        <v>498</v>
      </c>
      <c r="Q314" s="29" t="s">
        <v>862</v>
      </c>
      <c r="R314" s="29" t="s">
        <v>6384</v>
      </c>
      <c r="S314" s="29" t="s">
        <v>6384</v>
      </c>
      <c r="T314" s="29" t="s">
        <v>385</v>
      </c>
      <c r="U314" s="29"/>
      <c r="V314" s="29"/>
      <c r="W314" s="29" t="s">
        <v>593</v>
      </c>
      <c r="X314" s="29" t="s">
        <v>387</v>
      </c>
      <c r="Y314" s="29" t="s">
        <v>1966</v>
      </c>
      <c r="Z314" s="29" t="s">
        <v>543</v>
      </c>
      <c r="AA314" s="29" t="s">
        <v>408</v>
      </c>
      <c r="AB314" s="29" t="s">
        <v>6385</v>
      </c>
      <c r="AC314" s="29"/>
      <c r="AD314" s="29"/>
      <c r="AE314" s="29"/>
      <c r="AF314" s="29"/>
      <c r="AG314" s="29"/>
      <c r="AH314" s="29"/>
      <c r="AI314" s="29"/>
      <c r="AJ314" s="29"/>
      <c r="AK314" s="29"/>
      <c r="AL314" s="29"/>
      <c r="AM314" s="29"/>
      <c r="AN314" s="29"/>
      <c r="AO314" s="29"/>
      <c r="AP314" s="29"/>
      <c r="AQ314" s="29"/>
      <c r="AR314" s="29"/>
      <c r="AS314" s="29"/>
      <c r="AT314" s="29"/>
      <c r="AU314" s="29"/>
      <c r="AV314" s="29" t="s">
        <v>504</v>
      </c>
      <c r="AW314" s="29" t="s">
        <v>429</v>
      </c>
      <c r="AX314" s="29" t="s">
        <v>429</v>
      </c>
      <c r="AY314" s="29">
        <v>2.0</v>
      </c>
      <c r="AZ314" s="29" t="s">
        <v>429</v>
      </c>
      <c r="BA314" s="29" t="s">
        <v>429</v>
      </c>
      <c r="BB314" s="29" t="s">
        <v>429</v>
      </c>
      <c r="BC314" s="29" t="s">
        <v>6386</v>
      </c>
      <c r="BD314" s="29" t="s">
        <v>6387</v>
      </c>
      <c r="BE314" s="29" t="s">
        <v>392</v>
      </c>
      <c r="BF314" s="29" t="s">
        <v>433</v>
      </c>
      <c r="BG314" s="29" t="s">
        <v>678</v>
      </c>
      <c r="BH314" s="29"/>
      <c r="BI314" s="29" t="s">
        <v>976</v>
      </c>
      <c r="BJ314" s="29"/>
      <c r="BK314" s="29" t="s">
        <v>395</v>
      </c>
      <c r="BL314" s="29" t="s">
        <v>603</v>
      </c>
      <c r="BM314" s="29" t="s">
        <v>439</v>
      </c>
      <c r="BN314" s="29" t="s">
        <v>440</v>
      </c>
      <c r="BO314" s="29"/>
      <c r="BP314" s="29"/>
      <c r="BQ314" s="29"/>
      <c r="BR314" s="29"/>
      <c r="BS314" s="29"/>
      <c r="BT314" s="29"/>
      <c r="BU314" s="29"/>
      <c r="BV314" s="29"/>
      <c r="BW314" s="29"/>
      <c r="BX314" s="29"/>
      <c r="BY314" s="29"/>
      <c r="BZ314" s="29"/>
      <c r="CA314" s="29"/>
      <c r="CB314" s="29"/>
      <c r="CC314" s="29"/>
      <c r="CD314" s="29"/>
      <c r="CE314" s="29"/>
      <c r="CF314" s="29"/>
      <c r="CG314" s="29"/>
      <c r="CH314" s="29"/>
      <c r="CI314" s="29"/>
      <c r="CJ314" s="29"/>
      <c r="CK314" s="29"/>
      <c r="CL314" s="29" t="s">
        <v>441</v>
      </c>
      <c r="CM314" s="29" t="s">
        <v>401</v>
      </c>
      <c r="CN314" s="29" t="s">
        <v>552</v>
      </c>
      <c r="CO314" s="29" t="s">
        <v>6388</v>
      </c>
      <c r="CP314" s="29" t="s">
        <v>1008</v>
      </c>
      <c r="CQ314" s="29" t="s">
        <v>6389</v>
      </c>
      <c r="CR314" s="29" t="s">
        <v>447</v>
      </c>
      <c r="CS314" s="29" t="s">
        <v>1626</v>
      </c>
      <c r="CT314" s="29" t="s">
        <v>6390</v>
      </c>
      <c r="CU314" s="29" t="s">
        <v>450</v>
      </c>
      <c r="CV314" s="29" t="s">
        <v>451</v>
      </c>
      <c r="CW314" s="29"/>
      <c r="CX314" s="29" t="s">
        <v>408</v>
      </c>
      <c r="CY314" s="29"/>
      <c r="CZ314" s="29" t="s">
        <v>453</v>
      </c>
      <c r="DA314" s="29" t="s">
        <v>6391</v>
      </c>
      <c r="DB314" s="29" t="s">
        <v>455</v>
      </c>
      <c r="DC314" s="29" t="s">
        <v>6392</v>
      </c>
      <c r="DD314" s="29" t="s">
        <v>988</v>
      </c>
      <c r="DE314" s="29"/>
      <c r="DF314" s="29" t="s">
        <v>6393</v>
      </c>
      <c r="DG314" s="29" t="s">
        <v>561</v>
      </c>
      <c r="DH314" s="29" t="s">
        <v>410</v>
      </c>
      <c r="DI314" s="29" t="s">
        <v>459</v>
      </c>
      <c r="DJ314" s="29" t="s">
        <v>613</v>
      </c>
      <c r="DK314" s="29"/>
      <c r="DL314" s="29"/>
      <c r="DM314" s="29" t="s">
        <v>6394</v>
      </c>
      <c r="DN314" s="29" t="s">
        <v>6395</v>
      </c>
      <c r="DO314" s="29" t="s">
        <v>464</v>
      </c>
      <c r="DP314" s="29" t="s">
        <v>6396</v>
      </c>
      <c r="DQ314" s="29" t="s">
        <v>466</v>
      </c>
      <c r="DR314" s="29" t="s">
        <v>6290</v>
      </c>
      <c r="DS314" s="29" t="s">
        <v>468</v>
      </c>
      <c r="DT314" s="29" t="s">
        <v>740</v>
      </c>
      <c r="DU314" s="29" t="s">
        <v>741</v>
      </c>
      <c r="DV314" s="29" t="s">
        <v>408</v>
      </c>
      <c r="DW314" s="29" t="s">
        <v>573</v>
      </c>
      <c r="DX314" s="29" t="s">
        <v>6397</v>
      </c>
      <c r="DY314" s="29"/>
      <c r="DZ314" s="29"/>
      <c r="EA314" s="29" t="s">
        <v>475</v>
      </c>
      <c r="EB314" s="29" t="s">
        <v>626</v>
      </c>
      <c r="EC314" s="29" t="s">
        <v>6398</v>
      </c>
      <c r="ED314" s="29"/>
      <c r="EE314" s="29"/>
      <c r="EF314" s="29"/>
      <c r="EG314" s="29"/>
      <c r="EH314" s="29"/>
      <c r="EI314" s="29"/>
      <c r="EJ314" s="29"/>
      <c r="EK314" s="29"/>
      <c r="EL314" s="29"/>
      <c r="EM314" s="29"/>
      <c r="EN314" s="29"/>
      <c r="EO314" s="29"/>
      <c r="EP314" s="29"/>
      <c r="EQ314" s="29"/>
      <c r="ER314" s="29"/>
      <c r="ES314" s="29"/>
      <c r="ET314" s="29" t="s">
        <v>526</v>
      </c>
      <c r="EU314" s="29" t="s">
        <v>887</v>
      </c>
      <c r="EV314" s="29" t="s">
        <v>480</v>
      </c>
      <c r="EW314" s="29"/>
      <c r="EX314" s="29"/>
      <c r="EY314" s="29"/>
      <c r="EZ314" s="29" t="s">
        <v>413</v>
      </c>
      <c r="FA314" s="29" t="s">
        <v>415</v>
      </c>
      <c r="FB314" s="29" t="s">
        <v>413</v>
      </c>
      <c r="FC314" s="29" t="s">
        <v>413</v>
      </c>
      <c r="FD314" s="29" t="s">
        <v>413</v>
      </c>
      <c r="FE314" s="29" t="s">
        <v>413</v>
      </c>
      <c r="FF314" s="29" t="s">
        <v>413</v>
      </c>
      <c r="FG314" s="29" t="s">
        <v>413</v>
      </c>
      <c r="FH314" s="29" t="s">
        <v>413</v>
      </c>
      <c r="FI314" s="29" t="s">
        <v>583</v>
      </c>
      <c r="FJ314" s="29" t="s">
        <v>484</v>
      </c>
      <c r="FK314" s="29" t="s">
        <v>413</v>
      </c>
      <c r="FL314" s="29" t="s">
        <v>484</v>
      </c>
      <c r="FM314" s="29" t="s">
        <v>484</v>
      </c>
      <c r="FN314" s="29" t="s">
        <v>484</v>
      </c>
      <c r="FO314" s="29" t="s">
        <v>417</v>
      </c>
      <c r="FP314" s="29" t="s">
        <v>418</v>
      </c>
      <c r="FQ314" s="29" t="s">
        <v>419</v>
      </c>
      <c r="FR314" s="29"/>
      <c r="FS314" s="29" t="s">
        <v>420</v>
      </c>
      <c r="FT314" s="29" t="s">
        <v>488</v>
      </c>
      <c r="FU314" s="29" t="s">
        <v>533</v>
      </c>
      <c r="FV314" s="29" t="s">
        <v>490</v>
      </c>
      <c r="FW314" s="29" t="s">
        <v>491</v>
      </c>
      <c r="FX314" s="29" t="s">
        <v>6399</v>
      </c>
      <c r="FY314" s="29" t="s">
        <v>535</v>
      </c>
      <c r="FZ314" s="29" t="s">
        <v>6400</v>
      </c>
      <c r="GA314" s="29"/>
      <c r="GB314" s="29" t="s">
        <v>408</v>
      </c>
      <c r="GC314" s="29"/>
      <c r="GD314" s="29"/>
      <c r="GE314" s="29"/>
      <c r="GF314" s="29"/>
      <c r="GG314" s="29" t="s">
        <v>755</v>
      </c>
      <c r="GH314" s="29" t="s">
        <v>755</v>
      </c>
      <c r="GI314" s="29" t="s">
        <v>946</v>
      </c>
      <c r="GJ314" s="29"/>
      <c r="GK314" s="29"/>
      <c r="GL314" s="29"/>
      <c r="GM314" s="29" t="s">
        <v>1079</v>
      </c>
      <c r="GN314" s="29"/>
      <c r="GO314" s="29"/>
      <c r="GP314" s="29"/>
      <c r="GQ314" s="29" t="s">
        <v>3208</v>
      </c>
      <c r="GR314" s="29"/>
      <c r="GS314" s="29"/>
      <c r="GT314" s="29" t="s">
        <v>4774</v>
      </c>
      <c r="GU314" s="29"/>
      <c r="HP314" s="31"/>
      <c r="MX314" s="29" t="s">
        <v>10402</v>
      </c>
      <c r="MY314" s="29" t="str">
        <f>IFERROR(__xludf.DUMMYFUNCTION("""COMPUTED_VALUE"""),"Tennessee")</f>
        <v>Tennessee</v>
      </c>
    </row>
    <row r="315" ht="16.5" customHeight="1">
      <c r="A315" s="33">
        <v>45917.67038480324</v>
      </c>
      <c r="B315" s="29" t="s">
        <v>368</v>
      </c>
      <c r="C315" s="29" t="s">
        <v>370</v>
      </c>
      <c r="D315" s="29" t="s">
        <v>370</v>
      </c>
      <c r="E315" s="29" t="s">
        <v>1562</v>
      </c>
      <c r="F315" s="29" t="s">
        <v>5384</v>
      </c>
      <c r="G315" s="29" t="s">
        <v>422</v>
      </c>
      <c r="H315" s="29" t="s">
        <v>373</v>
      </c>
      <c r="I315" s="29" t="s">
        <v>374</v>
      </c>
      <c r="J315" s="29" t="s">
        <v>375</v>
      </c>
      <c r="K315" s="29" t="s">
        <v>376</v>
      </c>
      <c r="L315" s="29" t="s">
        <v>426</v>
      </c>
      <c r="M315" s="29" t="s">
        <v>720</v>
      </c>
      <c r="N315" s="29" t="s">
        <v>426</v>
      </c>
      <c r="O315" s="29" t="s">
        <v>1024</v>
      </c>
      <c r="P315" s="29" t="s">
        <v>498</v>
      </c>
      <c r="Q315" s="29" t="s">
        <v>499</v>
      </c>
      <c r="R315" s="29" t="s">
        <v>427</v>
      </c>
      <c r="S315" s="29" t="s">
        <v>384</v>
      </c>
      <c r="T315" s="29" t="s">
        <v>385</v>
      </c>
      <c r="U315" s="29"/>
      <c r="V315" s="29"/>
      <c r="W315" s="29" t="s">
        <v>593</v>
      </c>
      <c r="X315" s="29" t="s">
        <v>387</v>
      </c>
      <c r="Y315" s="29" t="s">
        <v>897</v>
      </c>
      <c r="Z315" s="29" t="s">
        <v>502</v>
      </c>
      <c r="AA315" s="29" t="s">
        <v>6406</v>
      </c>
      <c r="AB315" s="29"/>
      <c r="AC315" s="29"/>
      <c r="AD315" s="29"/>
      <c r="AE315" s="29"/>
      <c r="AF315" s="29"/>
      <c r="AG315" s="29"/>
      <c r="AH315" s="29"/>
      <c r="AI315" s="29"/>
      <c r="AJ315" s="29"/>
      <c r="AK315" s="29"/>
      <c r="AL315" s="29"/>
      <c r="AM315" s="29"/>
      <c r="AN315" s="29"/>
      <c r="AO315" s="29"/>
      <c r="AP315" s="29"/>
      <c r="AQ315" s="29"/>
      <c r="AR315" s="29"/>
      <c r="AS315" s="29"/>
      <c r="AT315" s="29"/>
      <c r="AU315" s="29"/>
      <c r="AV315" s="29" t="s">
        <v>1310</v>
      </c>
      <c r="AW315" s="29" t="s">
        <v>391</v>
      </c>
      <c r="AX315" s="29" t="s">
        <v>391</v>
      </c>
      <c r="AY315" s="29">
        <v>2.0</v>
      </c>
      <c r="AZ315" s="29" t="s">
        <v>429</v>
      </c>
      <c r="BA315" s="29" t="s">
        <v>429</v>
      </c>
      <c r="BB315" s="29" t="s">
        <v>429</v>
      </c>
      <c r="BC315" s="29" t="s">
        <v>6407</v>
      </c>
      <c r="BD315" s="29" t="s">
        <v>6408</v>
      </c>
      <c r="BE315" s="29" t="s">
        <v>2379</v>
      </c>
      <c r="BF315" s="29" t="s">
        <v>433</v>
      </c>
      <c r="BG315" s="29" t="s">
        <v>434</v>
      </c>
      <c r="BH315" s="29" t="s">
        <v>6409</v>
      </c>
      <c r="BI315" s="29" t="s">
        <v>824</v>
      </c>
      <c r="BJ315" s="29" t="s">
        <v>1211</v>
      </c>
      <c r="BK315" s="29" t="s">
        <v>681</v>
      </c>
      <c r="BL315" s="29" t="s">
        <v>396</v>
      </c>
      <c r="BM315" s="29" t="s">
        <v>549</v>
      </c>
      <c r="BN315" s="29" t="s">
        <v>440</v>
      </c>
      <c r="BO315" s="29"/>
      <c r="BP315" s="29"/>
      <c r="BQ315" s="29"/>
      <c r="BR315" s="29"/>
      <c r="BS315" s="29"/>
      <c r="BT315" s="29"/>
      <c r="BU315" s="29"/>
      <c r="BV315" s="29"/>
      <c r="BW315" s="29"/>
      <c r="BX315" s="29"/>
      <c r="BY315" s="29"/>
      <c r="BZ315" s="29"/>
      <c r="CA315" s="29"/>
      <c r="CB315" s="29"/>
      <c r="CC315" s="29"/>
      <c r="CD315" s="29"/>
      <c r="CE315" s="29"/>
      <c r="CF315" s="29"/>
      <c r="CG315" s="29"/>
      <c r="CH315" s="29"/>
      <c r="CI315" s="29"/>
      <c r="CJ315" s="29"/>
      <c r="CK315" s="29"/>
      <c r="CL315" s="29" t="s">
        <v>441</v>
      </c>
      <c r="CM315" s="29" t="s">
        <v>401</v>
      </c>
      <c r="CN315" s="29" t="s">
        <v>1315</v>
      </c>
      <c r="CO315" s="29" t="s">
        <v>6410</v>
      </c>
      <c r="CP315" s="29" t="s">
        <v>445</v>
      </c>
      <c r="CQ315" s="29" t="s">
        <v>4908</v>
      </c>
      <c r="CR315" s="29" t="s">
        <v>447</v>
      </c>
      <c r="CS315" s="29" t="s">
        <v>6081</v>
      </c>
      <c r="CT315" s="29" t="s">
        <v>6411</v>
      </c>
      <c r="CU315" s="29" t="s">
        <v>450</v>
      </c>
      <c r="CV315" s="29" t="s">
        <v>451</v>
      </c>
      <c r="CW315" s="29" t="s">
        <v>6412</v>
      </c>
      <c r="CX315" s="29" t="s">
        <v>408</v>
      </c>
      <c r="CY315" s="29"/>
      <c r="CZ315" s="29" t="s">
        <v>453</v>
      </c>
      <c r="DA315" s="29" t="s">
        <v>6413</v>
      </c>
      <c r="DB315" s="29" t="s">
        <v>455</v>
      </c>
      <c r="DC315" s="29" t="s">
        <v>6414</v>
      </c>
      <c r="DD315" s="29" t="s">
        <v>457</v>
      </c>
      <c r="DE315" s="29"/>
      <c r="DF315" s="29" t="s">
        <v>6415</v>
      </c>
      <c r="DG315" s="29" t="s">
        <v>524</v>
      </c>
      <c r="DH315" s="29" t="s">
        <v>410</v>
      </c>
      <c r="DI315" s="29" t="s">
        <v>459</v>
      </c>
      <c r="DJ315" s="29" t="s">
        <v>613</v>
      </c>
      <c r="DK315" s="29"/>
      <c r="DL315" s="29"/>
      <c r="DM315" s="29" t="s">
        <v>6416</v>
      </c>
      <c r="DN315" s="29" t="s">
        <v>6417</v>
      </c>
      <c r="DO315" s="29" t="s">
        <v>464</v>
      </c>
      <c r="DP315" s="29" t="s">
        <v>6418</v>
      </c>
      <c r="DQ315" s="29" t="s">
        <v>466</v>
      </c>
      <c r="DR315" s="29" t="s">
        <v>6419</v>
      </c>
      <c r="DS315" s="29" t="s">
        <v>839</v>
      </c>
      <c r="DT315" s="29" t="s">
        <v>703</v>
      </c>
      <c r="DU315" s="29" t="s">
        <v>6420</v>
      </c>
      <c r="DV315" s="29" t="s">
        <v>6421</v>
      </c>
      <c r="DW315" s="29" t="s">
        <v>622</v>
      </c>
      <c r="DX315" s="29" t="s">
        <v>6422</v>
      </c>
      <c r="DY315" s="29" t="s">
        <v>6423</v>
      </c>
      <c r="DZ315" s="29" t="s">
        <v>6424</v>
      </c>
      <c r="EA315" s="29" t="s">
        <v>475</v>
      </c>
      <c r="EB315" s="29" t="s">
        <v>626</v>
      </c>
      <c r="EC315" s="29" t="s">
        <v>6425</v>
      </c>
      <c r="ED315" s="29"/>
      <c r="EE315" s="29"/>
      <c r="EF315" s="29"/>
      <c r="EG315" s="29"/>
      <c r="EH315" s="29"/>
      <c r="EI315" s="29"/>
      <c r="EJ315" s="29"/>
      <c r="EK315" s="29"/>
      <c r="EL315" s="29"/>
      <c r="EM315" s="29"/>
      <c r="EN315" s="29"/>
      <c r="EO315" s="29"/>
      <c r="EP315" s="29"/>
      <c r="EQ315" s="29"/>
      <c r="ER315" s="29"/>
      <c r="ES315" s="29"/>
      <c r="ET315" s="29" t="s">
        <v>526</v>
      </c>
      <c r="EU315" s="29" t="s">
        <v>479</v>
      </c>
      <c r="EV315" s="29" t="s">
        <v>480</v>
      </c>
      <c r="EW315" s="29" t="s">
        <v>6426</v>
      </c>
      <c r="EX315" s="29" t="s">
        <v>6427</v>
      </c>
      <c r="EY315" s="29" t="s">
        <v>6427</v>
      </c>
      <c r="EZ315" s="29" t="s">
        <v>416</v>
      </c>
      <c r="FA315" s="29" t="s">
        <v>415</v>
      </c>
      <c r="FB315" s="29" t="s">
        <v>413</v>
      </c>
      <c r="FC315" s="29" t="s">
        <v>413</v>
      </c>
      <c r="FD315" s="29" t="s">
        <v>413</v>
      </c>
      <c r="FE315" s="29" t="s">
        <v>416</v>
      </c>
      <c r="FF315" s="29" t="s">
        <v>413</v>
      </c>
      <c r="FG315" s="29" t="s">
        <v>484</v>
      </c>
      <c r="FH315" s="29" t="s">
        <v>484</v>
      </c>
      <c r="FI315" s="29" t="s">
        <v>484</v>
      </c>
      <c r="FJ315" s="29" t="s">
        <v>484</v>
      </c>
      <c r="FK315" s="29" t="s">
        <v>484</v>
      </c>
      <c r="FL315" s="29" t="s">
        <v>484</v>
      </c>
      <c r="FM315" s="29" t="s">
        <v>484</v>
      </c>
      <c r="FN315" s="29" t="s">
        <v>414</v>
      </c>
      <c r="FO315" s="29" t="s">
        <v>417</v>
      </c>
      <c r="FP315" s="29" t="s">
        <v>418</v>
      </c>
      <c r="FQ315" s="29" t="s">
        <v>712</v>
      </c>
      <c r="FR315" s="29" t="s">
        <v>6428</v>
      </c>
      <c r="FS315" s="29" t="s">
        <v>420</v>
      </c>
      <c r="FT315" s="29" t="s">
        <v>488</v>
      </c>
      <c r="FU315" s="29" t="s">
        <v>533</v>
      </c>
      <c r="FV315" s="29" t="s">
        <v>490</v>
      </c>
      <c r="FW315" s="29" t="s">
        <v>491</v>
      </c>
      <c r="FX315" s="29" t="s">
        <v>6429</v>
      </c>
      <c r="FY315" s="29" t="s">
        <v>535</v>
      </c>
      <c r="FZ315" s="29" t="s">
        <v>6430</v>
      </c>
      <c r="GA315" s="29" t="s">
        <v>6431</v>
      </c>
      <c r="GB315" s="29" t="s">
        <v>455</v>
      </c>
      <c r="GC315" s="29"/>
      <c r="GD315" s="29"/>
      <c r="GE315" s="29" t="s">
        <v>753</v>
      </c>
      <c r="GF315" s="29" t="s">
        <v>6432</v>
      </c>
      <c r="GG315" s="29" t="s">
        <v>857</v>
      </c>
      <c r="GH315" s="29" t="s">
        <v>857</v>
      </c>
      <c r="GI315" s="29" t="s">
        <v>790</v>
      </c>
      <c r="GJ315" s="29"/>
      <c r="GK315" s="29"/>
      <c r="GL315" s="29"/>
      <c r="GM315" s="29" t="s">
        <v>1079</v>
      </c>
      <c r="GN315" s="29"/>
      <c r="GO315" s="29"/>
      <c r="GP315" s="29"/>
      <c r="GQ315" s="29" t="s">
        <v>6433</v>
      </c>
      <c r="GR315" s="29"/>
      <c r="GS315" s="29"/>
      <c r="GT315" s="29" t="s">
        <v>4774</v>
      </c>
      <c r="GU315" s="29"/>
      <c r="HP315" s="31"/>
      <c r="MX315" s="29" t="s">
        <v>10402</v>
      </c>
      <c r="MY315" s="29" t="str">
        <f>IFERROR(__xludf.DUMMYFUNCTION("""COMPUTED_VALUE"""),"Texas")</f>
        <v>Texas</v>
      </c>
    </row>
    <row r="316" ht="16.5" customHeight="1">
      <c r="A316" s="33">
        <v>45917.73239077546</v>
      </c>
      <c r="B316" s="29" t="s">
        <v>368</v>
      </c>
      <c r="C316" s="29" t="s">
        <v>370</v>
      </c>
      <c r="D316" s="29" t="s">
        <v>370</v>
      </c>
      <c r="E316" s="29" t="s">
        <v>1510</v>
      </c>
      <c r="F316" s="29" t="s">
        <v>1510</v>
      </c>
      <c r="G316" s="29" t="s">
        <v>422</v>
      </c>
      <c r="H316" s="29" t="s">
        <v>1203</v>
      </c>
      <c r="I316" s="29" t="s">
        <v>638</v>
      </c>
      <c r="J316" s="29" t="s">
        <v>1204</v>
      </c>
      <c r="K316" s="29" t="s">
        <v>376</v>
      </c>
      <c r="L316" s="29" t="s">
        <v>379</v>
      </c>
      <c r="M316" s="29" t="s">
        <v>2998</v>
      </c>
      <c r="N316" s="29" t="s">
        <v>670</v>
      </c>
      <c r="O316" s="29" t="s">
        <v>720</v>
      </c>
      <c r="P316" s="29" t="s">
        <v>498</v>
      </c>
      <c r="Q316" s="29" t="s">
        <v>499</v>
      </c>
      <c r="R316" s="29" t="s">
        <v>500</v>
      </c>
      <c r="S316" s="29" t="s">
        <v>384</v>
      </c>
      <c r="T316" s="29" t="s">
        <v>385</v>
      </c>
      <c r="U316" s="29"/>
      <c r="V316" s="29"/>
      <c r="W316" s="29" t="s">
        <v>3231</v>
      </c>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t="s">
        <v>390</v>
      </c>
      <c r="AW316" s="29" t="s">
        <v>391</v>
      </c>
      <c r="AX316" s="29">
        <v>2.0</v>
      </c>
      <c r="AY316" s="29" t="s">
        <v>391</v>
      </c>
      <c r="AZ316" s="29" t="s">
        <v>429</v>
      </c>
      <c r="BA316" s="29">
        <v>2.0</v>
      </c>
      <c r="BB316" s="29" t="s">
        <v>391</v>
      </c>
      <c r="BC316" s="29" t="s">
        <v>6438</v>
      </c>
      <c r="BD316" s="29" t="s">
        <v>6439</v>
      </c>
      <c r="BE316" s="29" t="s">
        <v>432</v>
      </c>
      <c r="BF316" s="29" t="s">
        <v>393</v>
      </c>
      <c r="BG316" s="29" t="s">
        <v>507</v>
      </c>
      <c r="BH316" s="29" t="s">
        <v>6440</v>
      </c>
      <c r="BI316" s="29" t="s">
        <v>824</v>
      </c>
      <c r="BJ316" s="29"/>
      <c r="BK316" s="29" t="s">
        <v>681</v>
      </c>
      <c r="BL316" s="29" t="s">
        <v>396</v>
      </c>
      <c r="BM316" s="29" t="s">
        <v>549</v>
      </c>
      <c r="BN316" s="29" t="s">
        <v>513</v>
      </c>
      <c r="BO316" s="29"/>
      <c r="BP316" s="29"/>
      <c r="BQ316" s="29"/>
      <c r="BR316" s="29"/>
      <c r="BS316" s="29"/>
      <c r="BT316" s="29"/>
      <c r="BU316" s="29"/>
      <c r="BV316" s="29"/>
      <c r="BW316" s="29"/>
      <c r="BX316" s="29"/>
      <c r="BY316" s="29"/>
      <c r="BZ316" s="29"/>
      <c r="CA316" s="29"/>
      <c r="CB316" s="29"/>
      <c r="CC316" s="29"/>
      <c r="CD316" s="29"/>
      <c r="CE316" s="29"/>
      <c r="CF316" s="29"/>
      <c r="CG316" s="29"/>
      <c r="CH316" s="29"/>
      <c r="CI316" s="29"/>
      <c r="CJ316" s="29"/>
      <c r="CK316" s="29"/>
      <c r="CL316" s="29" t="s">
        <v>441</v>
      </c>
      <c r="CM316" s="29" t="s">
        <v>604</v>
      </c>
      <c r="CN316" s="29" t="s">
        <v>6441</v>
      </c>
      <c r="CO316" s="29" t="s">
        <v>6442</v>
      </c>
      <c r="CP316" s="29" t="s">
        <v>445</v>
      </c>
      <c r="CQ316" s="29" t="s">
        <v>6443</v>
      </c>
      <c r="CR316" s="29" t="s">
        <v>447</v>
      </c>
      <c r="CS316" s="29"/>
      <c r="CT316" s="29"/>
      <c r="CU316" s="29" t="s">
        <v>519</v>
      </c>
      <c r="CV316" s="29" t="s">
        <v>451</v>
      </c>
      <c r="CW316" s="29" t="s">
        <v>6444</v>
      </c>
      <c r="CX316" s="29" t="s">
        <v>408</v>
      </c>
      <c r="CY316" s="29"/>
      <c r="CZ316" s="29" t="s">
        <v>985</v>
      </c>
      <c r="DA316" s="29" t="s">
        <v>6445</v>
      </c>
      <c r="DB316" s="29" t="s">
        <v>408</v>
      </c>
      <c r="DC316" s="29"/>
      <c r="DD316" s="29" t="s">
        <v>406</v>
      </c>
      <c r="DE316" s="29" t="s">
        <v>1058</v>
      </c>
      <c r="DF316" s="29"/>
      <c r="DG316" s="29" t="s">
        <v>524</v>
      </c>
      <c r="DH316" s="29" t="s">
        <v>410</v>
      </c>
      <c r="DI316" s="29" t="s">
        <v>459</v>
      </c>
      <c r="DJ316" s="29" t="s">
        <v>460</v>
      </c>
      <c r="DK316" s="29" t="s">
        <v>6335</v>
      </c>
      <c r="DL316" s="29"/>
      <c r="DM316" s="29"/>
      <c r="DN316" s="29"/>
      <c r="DO316" s="29"/>
      <c r="DP316" s="29"/>
      <c r="DQ316" s="29"/>
      <c r="DR316" s="29"/>
      <c r="DS316" s="29"/>
      <c r="DT316" s="29"/>
      <c r="DU316" s="29"/>
      <c r="DV316" s="29"/>
      <c r="DW316" s="29"/>
      <c r="DX316" s="29"/>
      <c r="DY316" s="29"/>
      <c r="DZ316" s="29"/>
      <c r="EA316" s="29"/>
      <c r="EB316" s="29"/>
      <c r="EC316" s="29"/>
      <c r="ED316" s="29"/>
      <c r="EE316" s="29"/>
      <c r="EF316" s="29"/>
      <c r="EG316" s="29"/>
      <c r="EH316" s="29"/>
      <c r="EI316" s="29"/>
      <c r="EJ316" s="29"/>
      <c r="EK316" s="29"/>
      <c r="EL316" s="29"/>
      <c r="EM316" s="29"/>
      <c r="EN316" s="29"/>
      <c r="EO316" s="29"/>
      <c r="EP316" s="29"/>
      <c r="EQ316" s="29"/>
      <c r="ER316" s="29"/>
      <c r="ES316" s="29"/>
      <c r="ET316" s="29" t="s">
        <v>478</v>
      </c>
      <c r="EU316" s="29" t="s">
        <v>479</v>
      </c>
      <c r="EV316" s="29" t="s">
        <v>480</v>
      </c>
      <c r="EW316" s="29"/>
      <c r="EX316" s="29"/>
      <c r="EY316" s="29"/>
      <c r="EZ316" s="29" t="s">
        <v>583</v>
      </c>
      <c r="FA316" s="29" t="s">
        <v>583</v>
      </c>
      <c r="FB316" s="29" t="s">
        <v>583</v>
      </c>
      <c r="FC316" s="29" t="s">
        <v>583</v>
      </c>
      <c r="FD316" s="29" t="s">
        <v>413</v>
      </c>
      <c r="FE316" s="29" t="s">
        <v>583</v>
      </c>
      <c r="FF316" s="29" t="s">
        <v>484</v>
      </c>
      <c r="FG316" s="29" t="s">
        <v>413</v>
      </c>
      <c r="FH316" s="29" t="s">
        <v>583</v>
      </c>
      <c r="FI316" s="29" t="s">
        <v>583</v>
      </c>
      <c r="FJ316" s="29" t="s">
        <v>484</v>
      </c>
      <c r="FK316" s="29" t="s">
        <v>484</v>
      </c>
      <c r="FL316" s="29" t="s">
        <v>484</v>
      </c>
      <c r="FM316" s="29" t="s">
        <v>413</v>
      </c>
      <c r="FN316" s="29" t="s">
        <v>583</v>
      </c>
      <c r="FO316" s="29" t="s">
        <v>3396</v>
      </c>
      <c r="FP316" s="29" t="s">
        <v>418</v>
      </c>
      <c r="FQ316" s="29" t="s">
        <v>712</v>
      </c>
      <c r="FR316" s="29"/>
      <c r="FS316" s="29" t="s">
        <v>420</v>
      </c>
      <c r="FT316" s="29" t="s">
        <v>488</v>
      </c>
      <c r="FU316" s="29" t="s">
        <v>489</v>
      </c>
      <c r="FV316" s="29" t="s">
        <v>490</v>
      </c>
      <c r="FW316" s="29" t="s">
        <v>491</v>
      </c>
      <c r="FX316" s="29"/>
      <c r="FY316" s="29" t="s">
        <v>493</v>
      </c>
      <c r="FZ316" s="29"/>
      <c r="GA316" s="29"/>
      <c r="GB316" s="29" t="s">
        <v>455</v>
      </c>
      <c r="GC316" s="29"/>
      <c r="GD316" s="29"/>
      <c r="GE316" s="29" t="s">
        <v>753</v>
      </c>
      <c r="GF316" s="29"/>
      <c r="GG316" s="29" t="s">
        <v>788</v>
      </c>
      <c r="GH316" s="29" t="s">
        <v>788</v>
      </c>
      <c r="GI316" s="29" t="s">
        <v>946</v>
      </c>
      <c r="GJ316" s="29"/>
      <c r="GK316" s="29"/>
      <c r="GL316" s="29"/>
      <c r="GM316" s="29"/>
      <c r="GN316" s="29"/>
      <c r="GO316" s="29"/>
      <c r="GP316" s="29" t="s">
        <v>387</v>
      </c>
      <c r="GQ316" s="29" t="s">
        <v>5656</v>
      </c>
      <c r="GR316" s="29"/>
      <c r="GS316" s="29"/>
      <c r="GT316" s="29" t="s">
        <v>4774</v>
      </c>
      <c r="GU316" s="29"/>
      <c r="HP316" s="31"/>
      <c r="MX316" s="29" t="s">
        <v>894</v>
      </c>
      <c r="MY316" s="29" t="str">
        <f>IFERROR(__xludf.DUMMYFUNCTION("""COMPUTED_VALUE"""),"New Brunswick")</f>
        <v>New Brunswick</v>
      </c>
    </row>
    <row r="317" ht="16.5" customHeight="1">
      <c r="A317" s="33">
        <v>45918.237352870376</v>
      </c>
      <c r="B317" s="29" t="s">
        <v>368</v>
      </c>
      <c r="C317" s="29" t="s">
        <v>894</v>
      </c>
      <c r="D317" s="29" t="s">
        <v>894</v>
      </c>
      <c r="E317" s="29"/>
      <c r="F317" s="29"/>
      <c r="G317" s="29" t="s">
        <v>3187</v>
      </c>
      <c r="H317" s="29" t="s">
        <v>496</v>
      </c>
      <c r="I317" s="29" t="s">
        <v>2578</v>
      </c>
      <c r="J317" s="29" t="s">
        <v>1240</v>
      </c>
      <c r="K317" s="29" t="s">
        <v>376</v>
      </c>
      <c r="L317" s="29" t="s">
        <v>426</v>
      </c>
      <c r="M317" s="29" t="s">
        <v>2998</v>
      </c>
      <c r="N317" s="29" t="s">
        <v>379</v>
      </c>
      <c r="O317" s="29" t="s">
        <v>6446</v>
      </c>
      <c r="P317" s="29" t="s">
        <v>381</v>
      </c>
      <c r="Q317" s="29" t="s">
        <v>862</v>
      </c>
      <c r="R317" s="29" t="s">
        <v>427</v>
      </c>
      <c r="S317" s="29" t="s">
        <v>384</v>
      </c>
      <c r="T317" s="29" t="s">
        <v>385</v>
      </c>
      <c r="U317" s="29" t="s">
        <v>1823</v>
      </c>
      <c r="V317" s="29" t="s">
        <v>1241</v>
      </c>
      <c r="W317" s="29" t="s">
        <v>386</v>
      </c>
      <c r="X317" s="29" t="s">
        <v>387</v>
      </c>
      <c r="Y317" s="29" t="s">
        <v>388</v>
      </c>
      <c r="Z317" s="29" t="s">
        <v>543</v>
      </c>
      <c r="AA317" s="29" t="s">
        <v>408</v>
      </c>
      <c r="AB317" s="29" t="s">
        <v>408</v>
      </c>
      <c r="AC317" s="29"/>
      <c r="AD317" s="29"/>
      <c r="AE317" s="29"/>
      <c r="AF317" s="29"/>
      <c r="AG317" s="29"/>
      <c r="AH317" s="29"/>
      <c r="AI317" s="29"/>
      <c r="AJ317" s="29"/>
      <c r="AK317" s="29"/>
      <c r="AL317" s="29"/>
      <c r="AM317" s="29"/>
      <c r="AN317" s="29"/>
      <c r="AO317" s="29"/>
      <c r="AP317" s="29"/>
      <c r="AQ317" s="29"/>
      <c r="AR317" s="29"/>
      <c r="AS317" s="29"/>
      <c r="AT317" s="29"/>
      <c r="AU317" s="29"/>
      <c r="AV317" s="29" t="s">
        <v>1242</v>
      </c>
      <c r="AW317" s="29" t="s">
        <v>675</v>
      </c>
      <c r="AX317" s="29" t="s">
        <v>675</v>
      </c>
      <c r="AY317" s="29">
        <v>4.0</v>
      </c>
      <c r="AZ317" s="29" t="s">
        <v>391</v>
      </c>
      <c r="BA317" s="29" t="s">
        <v>391</v>
      </c>
      <c r="BB317" s="29" t="s">
        <v>675</v>
      </c>
      <c r="BC317" s="29" t="s">
        <v>6447</v>
      </c>
      <c r="BD317" s="29" t="s">
        <v>6448</v>
      </c>
      <c r="BE317" s="29" t="s">
        <v>432</v>
      </c>
      <c r="BF317" s="29" t="s">
        <v>1095</v>
      </c>
      <c r="BG317" s="29" t="s">
        <v>434</v>
      </c>
      <c r="BH317" s="29" t="s">
        <v>6449</v>
      </c>
      <c r="BI317" s="29" t="s">
        <v>435</v>
      </c>
      <c r="BJ317" s="29" t="s">
        <v>6450</v>
      </c>
      <c r="BK317" s="29" t="s">
        <v>395</v>
      </c>
      <c r="BL317" s="29" t="s">
        <v>904</v>
      </c>
      <c r="BM317" s="29" t="s">
        <v>1314</v>
      </c>
      <c r="BN317" s="29" t="s">
        <v>513</v>
      </c>
      <c r="BO317" s="29"/>
      <c r="BP317" s="29"/>
      <c r="BQ317" s="29"/>
      <c r="BR317" s="29"/>
      <c r="BS317" s="29"/>
      <c r="BT317" s="29"/>
      <c r="BU317" s="29"/>
      <c r="BV317" s="29"/>
      <c r="BW317" s="29"/>
      <c r="BX317" s="29"/>
      <c r="BY317" s="29"/>
      <c r="BZ317" s="29"/>
      <c r="CA317" s="29"/>
      <c r="CB317" s="29"/>
      <c r="CC317" s="29"/>
      <c r="CD317" s="29"/>
      <c r="CE317" s="29"/>
      <c r="CF317" s="29"/>
      <c r="CG317" s="29"/>
      <c r="CH317" s="29"/>
      <c r="CI317" s="29"/>
      <c r="CJ317" s="29"/>
      <c r="CK317" s="29"/>
      <c r="CL317" s="29" t="s">
        <v>682</v>
      </c>
      <c r="CM317" s="29" t="s">
        <v>604</v>
      </c>
      <c r="CN317" s="29" t="s">
        <v>6451</v>
      </c>
      <c r="CO317" s="29" t="s">
        <v>6452</v>
      </c>
      <c r="CP317" s="29"/>
      <c r="CQ317" s="29"/>
      <c r="CR317" s="29"/>
      <c r="CS317" s="29"/>
      <c r="CT317" s="29" t="s">
        <v>6453</v>
      </c>
      <c r="CU317" s="29" t="s">
        <v>1961</v>
      </c>
      <c r="CV317" s="29" t="s">
        <v>959</v>
      </c>
      <c r="CW317" s="29" t="s">
        <v>6454</v>
      </c>
      <c r="CX317" s="29" t="s">
        <v>455</v>
      </c>
      <c r="CY317" s="29" t="s">
        <v>6455</v>
      </c>
      <c r="CZ317" s="29" t="s">
        <v>1962</v>
      </c>
      <c r="DA317" s="29" t="s">
        <v>6456</v>
      </c>
      <c r="DB317" s="29" t="s">
        <v>455</v>
      </c>
      <c r="DC317" s="29" t="s">
        <v>6457</v>
      </c>
      <c r="DD317" s="29"/>
      <c r="DE317" s="29"/>
      <c r="DF317" s="29"/>
      <c r="DG317" s="29" t="s">
        <v>990</v>
      </c>
      <c r="DH317" s="29" t="s">
        <v>1220</v>
      </c>
      <c r="DI317" s="29" t="s">
        <v>777</v>
      </c>
      <c r="DJ317" s="29" t="s">
        <v>460</v>
      </c>
      <c r="DK317" s="29" t="s">
        <v>6319</v>
      </c>
      <c r="DL317" s="29"/>
      <c r="DM317" s="29"/>
      <c r="DN317" s="29"/>
      <c r="DO317" s="29"/>
      <c r="DP317" s="29"/>
      <c r="DQ317" s="29"/>
      <c r="DR317" s="29"/>
      <c r="DS317" s="29"/>
      <c r="DT317" s="29"/>
      <c r="DU317" s="29"/>
      <c r="DV317" s="29"/>
      <c r="DW317" s="29"/>
      <c r="DX317" s="29"/>
      <c r="DY317" s="29"/>
      <c r="DZ317" s="29"/>
      <c r="EA317" s="29"/>
      <c r="EB317" s="29"/>
      <c r="EC317" s="29"/>
      <c r="ED317" s="29"/>
      <c r="EE317" s="29"/>
      <c r="EF317" s="29"/>
      <c r="EG317" s="29"/>
      <c r="EH317" s="29"/>
      <c r="EI317" s="29"/>
      <c r="EJ317" s="29"/>
      <c r="EK317" s="29"/>
      <c r="EL317" s="29"/>
      <c r="EM317" s="29"/>
      <c r="EN317" s="29"/>
      <c r="EO317" s="29"/>
      <c r="EP317" s="29"/>
      <c r="EQ317" s="29"/>
      <c r="ER317" s="29"/>
      <c r="ES317" s="29"/>
      <c r="ET317" s="29" t="s">
        <v>2747</v>
      </c>
      <c r="EU317" s="29" t="s">
        <v>887</v>
      </c>
      <c r="EV317" s="29" t="s">
        <v>1262</v>
      </c>
      <c r="EW317" s="29" t="s">
        <v>6458</v>
      </c>
      <c r="EX317" s="29" t="s">
        <v>6459</v>
      </c>
      <c r="EY317" s="29" t="s">
        <v>6460</v>
      </c>
      <c r="EZ317" s="29" t="s">
        <v>414</v>
      </c>
      <c r="FA317" s="29" t="s">
        <v>583</v>
      </c>
      <c r="FB317" s="29" t="s">
        <v>414</v>
      </c>
      <c r="FC317" s="29" t="s">
        <v>583</v>
      </c>
      <c r="FD317" s="29" t="s">
        <v>415</v>
      </c>
      <c r="FE317" s="29" t="s">
        <v>414</v>
      </c>
      <c r="FF317" s="29" t="s">
        <v>583</v>
      </c>
      <c r="FG317" s="29" t="s">
        <v>414</v>
      </c>
      <c r="FH317" s="29" t="s">
        <v>416</v>
      </c>
      <c r="FI317" s="29" t="s">
        <v>583</v>
      </c>
      <c r="FJ317" s="29" t="s">
        <v>583</v>
      </c>
      <c r="FK317" s="29" t="s">
        <v>414</v>
      </c>
      <c r="FL317" s="29" t="s">
        <v>583</v>
      </c>
      <c r="FM317" s="29" t="s">
        <v>416</v>
      </c>
      <c r="FN317" s="29" t="s">
        <v>415</v>
      </c>
      <c r="FO317" s="29" t="s">
        <v>1537</v>
      </c>
      <c r="FP317" s="29" t="s">
        <v>3218</v>
      </c>
      <c r="FQ317" s="29" t="s">
        <v>630</v>
      </c>
      <c r="FR317" s="29" t="s">
        <v>6461</v>
      </c>
      <c r="FS317" s="29" t="s">
        <v>1871</v>
      </c>
      <c r="FT317" s="29" t="s">
        <v>2750</v>
      </c>
      <c r="FU317" s="29" t="s">
        <v>533</v>
      </c>
      <c r="FV317" s="29" t="s">
        <v>490</v>
      </c>
      <c r="FW317" s="29" t="s">
        <v>491</v>
      </c>
      <c r="FX317" s="29" t="s">
        <v>6462</v>
      </c>
      <c r="FY317" s="29" t="s">
        <v>1020</v>
      </c>
      <c r="FZ317" s="29"/>
      <c r="GA317" s="29"/>
      <c r="GB317" s="29" t="s">
        <v>408</v>
      </c>
      <c r="GC317" s="29"/>
      <c r="GD317" s="29"/>
      <c r="GE317" s="29"/>
      <c r="GF317" s="29"/>
      <c r="GG317" s="29" t="s">
        <v>1000</v>
      </c>
      <c r="GH317" s="29" t="s">
        <v>1000</v>
      </c>
      <c r="GI317" s="29" t="s">
        <v>817</v>
      </c>
      <c r="GJ317" s="29"/>
      <c r="GK317" s="29"/>
      <c r="GL317" s="29"/>
      <c r="GM317" s="29"/>
      <c r="GN317" s="29"/>
      <c r="GO317" s="29"/>
      <c r="GP317" s="29"/>
      <c r="GQ317" s="29" t="s">
        <v>3208</v>
      </c>
      <c r="GR317" s="29"/>
      <c r="GS317" s="29"/>
      <c r="GT317" s="29" t="s">
        <v>4774</v>
      </c>
      <c r="GU317" s="29" t="s">
        <v>6463</v>
      </c>
      <c r="HP317" s="31"/>
      <c r="MX317" s="29" t="s">
        <v>10402</v>
      </c>
      <c r="MY317" s="29" t="str">
        <f>IFERROR(__xludf.DUMMYFUNCTION("""COMPUTED_VALUE"""),"California")</f>
        <v>California</v>
      </c>
    </row>
    <row r="318" ht="16.5" customHeight="1">
      <c r="A318" s="33">
        <v>45920.635895983796</v>
      </c>
      <c r="B318" s="29" t="s">
        <v>368</v>
      </c>
      <c r="C318" s="29" t="s">
        <v>370</v>
      </c>
      <c r="D318" s="29" t="s">
        <v>370</v>
      </c>
      <c r="E318" s="29" t="s">
        <v>371</v>
      </c>
      <c r="F318" s="29" t="s">
        <v>371</v>
      </c>
      <c r="G318" s="29" t="s">
        <v>422</v>
      </c>
      <c r="H318" s="29" t="s">
        <v>373</v>
      </c>
      <c r="I318" s="29" t="s">
        <v>374</v>
      </c>
      <c r="J318" s="29" t="s">
        <v>375</v>
      </c>
      <c r="K318" s="29" t="s">
        <v>376</v>
      </c>
      <c r="L318" s="29" t="s">
        <v>379</v>
      </c>
      <c r="M318" s="29" t="s">
        <v>378</v>
      </c>
      <c r="N318" s="29" t="s">
        <v>591</v>
      </c>
      <c r="O318" s="29" t="s">
        <v>719</v>
      </c>
      <c r="P318" s="29" t="s">
        <v>592</v>
      </c>
      <c r="Q318" s="29" t="s">
        <v>382</v>
      </c>
      <c r="R318" s="29" t="s">
        <v>427</v>
      </c>
      <c r="S318" s="29" t="s">
        <v>384</v>
      </c>
      <c r="T318" s="29" t="s">
        <v>385</v>
      </c>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c r="BG318" s="29"/>
      <c r="BH318" s="29"/>
      <c r="BI318" s="29"/>
      <c r="BJ318" s="29"/>
      <c r="BK318" s="29"/>
      <c r="BL318" s="29"/>
      <c r="BM318" s="29"/>
      <c r="BN318" s="29"/>
      <c r="BO318" s="29"/>
      <c r="BP318" s="29"/>
      <c r="BQ318" s="29"/>
      <c r="BR318" s="29"/>
      <c r="BS318" s="29"/>
      <c r="BT318" s="29"/>
      <c r="BU318" s="29"/>
      <c r="BV318" s="29"/>
      <c r="BW318" s="29"/>
      <c r="BX318" s="29"/>
      <c r="BY318" s="29"/>
      <c r="BZ318" s="29"/>
      <c r="CA318" s="29"/>
      <c r="CB318" s="29"/>
      <c r="CC318" s="29"/>
      <c r="CD318" s="29"/>
      <c r="CE318" s="29"/>
      <c r="CF318" s="29"/>
      <c r="CG318" s="29"/>
      <c r="CH318" s="29"/>
      <c r="CI318" s="29"/>
      <c r="CJ318" s="29"/>
      <c r="CK318" s="29"/>
      <c r="CL318" s="29"/>
      <c r="CM318" s="29"/>
      <c r="CN318" s="29"/>
      <c r="CO318" s="29"/>
      <c r="CP318" s="29"/>
      <c r="CQ318" s="29"/>
      <c r="CR318" s="29"/>
      <c r="CS318" s="29"/>
      <c r="CT318" s="29"/>
      <c r="CU318" s="29"/>
      <c r="CV318" s="29"/>
      <c r="CW318" s="29"/>
      <c r="CX318" s="29"/>
      <c r="CY318" s="29"/>
      <c r="CZ318" s="29"/>
      <c r="DA318" s="29"/>
      <c r="DB318" s="29"/>
      <c r="DC318" s="29"/>
      <c r="DD318" s="29"/>
      <c r="DE318" s="29"/>
      <c r="DF318" s="29"/>
      <c r="DG318" s="29"/>
      <c r="DH318" s="29"/>
      <c r="DI318" s="29"/>
      <c r="DJ318" s="29"/>
      <c r="DK318" s="29"/>
      <c r="DL318" s="29"/>
      <c r="DM318" s="29"/>
      <c r="DN318" s="29"/>
      <c r="DO318" s="29"/>
      <c r="DP318" s="29"/>
      <c r="DQ318" s="29"/>
      <c r="DR318" s="29"/>
      <c r="DS318" s="29"/>
      <c r="DT318" s="29"/>
      <c r="DU318" s="29"/>
      <c r="DV318" s="29"/>
      <c r="DW318" s="29"/>
      <c r="DX318" s="29"/>
      <c r="DY318" s="29"/>
      <c r="DZ318" s="29"/>
      <c r="EA318" s="29"/>
      <c r="EB318" s="29"/>
      <c r="EC318" s="29"/>
      <c r="ED318" s="29" t="s">
        <v>6468</v>
      </c>
      <c r="EE318" s="29"/>
      <c r="EF318" s="29"/>
      <c r="EG318" s="29"/>
      <c r="EH318" s="29"/>
      <c r="EI318" s="29"/>
      <c r="EJ318" s="29"/>
      <c r="EK318" s="29"/>
      <c r="EL318" s="29"/>
      <c r="EM318" s="29"/>
      <c r="EN318" s="29"/>
      <c r="EO318" s="29"/>
      <c r="EP318" s="29"/>
      <c r="EQ318" s="29"/>
      <c r="ER318" s="29" t="s">
        <v>6469</v>
      </c>
      <c r="ES318" s="29" t="s">
        <v>6170</v>
      </c>
      <c r="ET318" s="29" t="s">
        <v>526</v>
      </c>
      <c r="EU318" s="29" t="s">
        <v>479</v>
      </c>
      <c r="EV318" s="29" t="s">
        <v>527</v>
      </c>
      <c r="EW318" s="29" t="s">
        <v>6470</v>
      </c>
      <c r="EX318" s="29" t="s">
        <v>6471</v>
      </c>
      <c r="EY318" s="29" t="s">
        <v>6472</v>
      </c>
      <c r="EZ318" s="29" t="s">
        <v>414</v>
      </c>
      <c r="FA318" s="29" t="s">
        <v>414</v>
      </c>
      <c r="FB318" s="29" t="s">
        <v>414</v>
      </c>
      <c r="FC318" s="29" t="s">
        <v>414</v>
      </c>
      <c r="FD318" s="29" t="s">
        <v>415</v>
      </c>
      <c r="FE318" s="29" t="s">
        <v>583</v>
      </c>
      <c r="FF318" s="29" t="s">
        <v>414</v>
      </c>
      <c r="FG318" s="29" t="s">
        <v>414</v>
      </c>
      <c r="FH318" s="29" t="s">
        <v>414</v>
      </c>
      <c r="FI318" s="29" t="s">
        <v>414</v>
      </c>
      <c r="FJ318" s="29" t="s">
        <v>583</v>
      </c>
      <c r="FK318" s="29" t="s">
        <v>414</v>
      </c>
      <c r="FL318" s="29" t="s">
        <v>414</v>
      </c>
      <c r="FM318" s="29" t="s">
        <v>415</v>
      </c>
      <c r="FN318" s="29" t="s">
        <v>415</v>
      </c>
      <c r="FO318" s="29" t="s">
        <v>850</v>
      </c>
      <c r="FP318" s="29" t="s">
        <v>418</v>
      </c>
      <c r="FQ318" s="29" t="s">
        <v>749</v>
      </c>
      <c r="FR318" s="29" t="s">
        <v>6473</v>
      </c>
      <c r="FS318" s="29" t="s">
        <v>420</v>
      </c>
      <c r="FT318" s="29" t="s">
        <v>488</v>
      </c>
      <c r="FU318" s="29" t="s">
        <v>1235</v>
      </c>
      <c r="FV318" s="29" t="s">
        <v>490</v>
      </c>
      <c r="FW318" s="29" t="s">
        <v>491</v>
      </c>
      <c r="FX318" s="29" t="s">
        <v>6474</v>
      </c>
      <c r="FY318" s="29" t="s">
        <v>535</v>
      </c>
      <c r="FZ318" s="29" t="s">
        <v>6475</v>
      </c>
      <c r="GA318" s="29" t="s">
        <v>6170</v>
      </c>
      <c r="GB318" s="29" t="s">
        <v>455</v>
      </c>
      <c r="GC318" s="29"/>
      <c r="GD318" s="29"/>
      <c r="GE318" s="29" t="s">
        <v>855</v>
      </c>
      <c r="GF318" s="29" t="s">
        <v>754</v>
      </c>
      <c r="GG318" s="29"/>
      <c r="GH318" s="29"/>
      <c r="GI318" s="29"/>
      <c r="GJ318" s="29"/>
      <c r="GK318" s="29"/>
      <c r="GL318" s="29"/>
      <c r="GM318" s="29"/>
      <c r="GN318" s="29"/>
      <c r="GO318" s="29"/>
      <c r="GP318" s="29"/>
      <c r="GQ318" s="29" t="s">
        <v>3208</v>
      </c>
      <c r="GR318" s="29"/>
      <c r="GS318" s="29"/>
      <c r="GT318" s="29"/>
      <c r="GU318" s="29"/>
      <c r="HP318" s="31"/>
      <c r="MX318" s="29" t="s">
        <v>894</v>
      </c>
      <c r="MY318" s="29" t="str">
        <f>IFERROR(__xludf.DUMMYFUNCTION("""COMPUTED_VALUE"""),"Quebec")</f>
        <v>Quebec</v>
      </c>
    </row>
    <row r="319" ht="16.5" customHeight="1">
      <c r="A319" s="33">
        <v>45920.67861195602</v>
      </c>
      <c r="B319" s="29" t="s">
        <v>368</v>
      </c>
      <c r="C319" s="29" t="s">
        <v>894</v>
      </c>
      <c r="D319" s="29" t="s">
        <v>894</v>
      </c>
      <c r="E319" s="29"/>
      <c r="F319" s="29"/>
      <c r="G319" s="29" t="s">
        <v>422</v>
      </c>
      <c r="H319" s="29" t="s">
        <v>637</v>
      </c>
      <c r="I319" s="29" t="s">
        <v>638</v>
      </c>
      <c r="J319" s="29" t="s">
        <v>1204</v>
      </c>
      <c r="K319" s="29" t="s">
        <v>376</v>
      </c>
      <c r="L319" s="29" t="s">
        <v>793</v>
      </c>
      <c r="M319" s="29" t="s">
        <v>720</v>
      </c>
      <c r="N319" s="29" t="s">
        <v>379</v>
      </c>
      <c r="O319" s="29" t="s">
        <v>1385</v>
      </c>
      <c r="P319" s="29" t="s">
        <v>381</v>
      </c>
      <c r="Q319" s="29" t="s">
        <v>382</v>
      </c>
      <c r="R319" s="29" t="s">
        <v>949</v>
      </c>
      <c r="S319" s="29" t="s">
        <v>384</v>
      </c>
      <c r="T319" s="29" t="s">
        <v>385</v>
      </c>
      <c r="U319" s="29" t="s">
        <v>1045</v>
      </c>
      <c r="V319" s="29" t="s">
        <v>1045</v>
      </c>
      <c r="W319" s="29" t="s">
        <v>386</v>
      </c>
      <c r="X319" s="29" t="s">
        <v>387</v>
      </c>
      <c r="Y319" s="29" t="s">
        <v>3353</v>
      </c>
      <c r="Z319" s="29" t="s">
        <v>389</v>
      </c>
      <c r="AA319" s="29" t="s">
        <v>6477</v>
      </c>
      <c r="AB319" s="29" t="s">
        <v>552</v>
      </c>
      <c r="AC319" s="29"/>
      <c r="AD319" s="29"/>
      <c r="AE319" s="29"/>
      <c r="AF319" s="29"/>
      <c r="AG319" s="29"/>
      <c r="AH319" s="29"/>
      <c r="AI319" s="29"/>
      <c r="AJ319" s="29"/>
      <c r="AK319" s="29"/>
      <c r="AL319" s="29"/>
      <c r="AM319" s="29"/>
      <c r="AN319" s="29"/>
      <c r="AO319" s="29"/>
      <c r="AP319" s="29"/>
      <c r="AQ319" s="29"/>
      <c r="AR319" s="29"/>
      <c r="AS319" s="29"/>
      <c r="AT319" s="29"/>
      <c r="AU319" s="29"/>
      <c r="AV319" s="29" t="s">
        <v>597</v>
      </c>
      <c r="AW319" s="29">
        <v>2.0</v>
      </c>
      <c r="AX319" s="29" t="s">
        <v>429</v>
      </c>
      <c r="AY319" s="29">
        <v>4.0</v>
      </c>
      <c r="AZ319" s="29" t="s">
        <v>391</v>
      </c>
      <c r="BA319" s="29" t="s">
        <v>429</v>
      </c>
      <c r="BB319" s="29" t="s">
        <v>391</v>
      </c>
      <c r="BC319" s="29" t="s">
        <v>6478</v>
      </c>
      <c r="BD319" s="29" t="s">
        <v>6479</v>
      </c>
      <c r="BE319" s="29" t="s">
        <v>432</v>
      </c>
      <c r="BF319" s="29" t="s">
        <v>433</v>
      </c>
      <c r="BG319" s="29" t="s">
        <v>394</v>
      </c>
      <c r="BH319" s="29" t="s">
        <v>6480</v>
      </c>
      <c r="BI319" s="29" t="s">
        <v>824</v>
      </c>
      <c r="BJ319" s="29"/>
      <c r="BK319" s="29" t="s">
        <v>3700</v>
      </c>
      <c r="BL319" s="29" t="s">
        <v>438</v>
      </c>
      <c r="BM319" s="29" t="s">
        <v>549</v>
      </c>
      <c r="BN319" s="29" t="s">
        <v>398</v>
      </c>
      <c r="BO319" s="29" t="s">
        <v>6481</v>
      </c>
      <c r="BP319" s="29" t="s">
        <v>6482</v>
      </c>
      <c r="BQ319" s="29" t="s">
        <v>604</v>
      </c>
      <c r="BR319" s="29" t="s">
        <v>6483</v>
      </c>
      <c r="BS319" s="29" t="s">
        <v>1671</v>
      </c>
      <c r="BT319" s="29" t="s">
        <v>1994</v>
      </c>
      <c r="BU319" s="29" t="s">
        <v>405</v>
      </c>
      <c r="BV319" s="29"/>
      <c r="BW319" s="29" t="s">
        <v>457</v>
      </c>
      <c r="BX319" s="29"/>
      <c r="BY319" s="29" t="s">
        <v>733</v>
      </c>
      <c r="BZ319" s="29" t="s">
        <v>6484</v>
      </c>
      <c r="CA319" s="29" t="s">
        <v>6485</v>
      </c>
      <c r="CB319" s="29" t="s">
        <v>6486</v>
      </c>
      <c r="CC319" s="29" t="s">
        <v>6487</v>
      </c>
      <c r="CD319" s="29" t="s">
        <v>409</v>
      </c>
      <c r="CE319" s="29" t="s">
        <v>6488</v>
      </c>
      <c r="CF319" s="29" t="s">
        <v>2233</v>
      </c>
      <c r="CG319" s="29"/>
      <c r="CH319" s="29" t="s">
        <v>1751</v>
      </c>
      <c r="CI319" s="29" t="s">
        <v>833</v>
      </c>
      <c r="CJ319" s="29" t="s">
        <v>6489</v>
      </c>
      <c r="CK319" s="29" t="s">
        <v>6490</v>
      </c>
      <c r="CL319" s="29"/>
      <c r="CM319" s="29"/>
      <c r="CN319" s="29"/>
      <c r="CO319" s="29"/>
      <c r="CP319" s="29"/>
      <c r="CQ319" s="29"/>
      <c r="CR319" s="29"/>
      <c r="CS319" s="29"/>
      <c r="CT319" s="29"/>
      <c r="CU319" s="29"/>
      <c r="CV319" s="29"/>
      <c r="CW319" s="29"/>
      <c r="CX319" s="29"/>
      <c r="CY319" s="29"/>
      <c r="CZ319" s="29"/>
      <c r="DA319" s="29"/>
      <c r="DB319" s="29"/>
      <c r="DC319" s="29"/>
      <c r="DD319" s="29"/>
      <c r="DE319" s="29"/>
      <c r="DF319" s="29"/>
      <c r="DG319" s="29"/>
      <c r="DH319" s="29"/>
      <c r="DI319" s="29" t="s">
        <v>963</v>
      </c>
      <c r="DJ319" s="29" t="s">
        <v>460</v>
      </c>
      <c r="DK319" s="29" t="s">
        <v>6319</v>
      </c>
      <c r="DL319" s="29"/>
      <c r="DM319" s="29"/>
      <c r="DN319" s="29"/>
      <c r="DO319" s="29"/>
      <c r="DP319" s="29"/>
      <c r="DQ319" s="29"/>
      <c r="DR319" s="29"/>
      <c r="DS319" s="29"/>
      <c r="DT319" s="29"/>
      <c r="DU319" s="29"/>
      <c r="DV319" s="29"/>
      <c r="DW319" s="29"/>
      <c r="DX319" s="29"/>
      <c r="DY319" s="29"/>
      <c r="DZ319" s="29"/>
      <c r="EA319" s="29"/>
      <c r="EB319" s="29"/>
      <c r="EC319" s="29"/>
      <c r="ED319" s="29"/>
      <c r="EE319" s="29"/>
      <c r="EF319" s="29"/>
      <c r="EG319" s="29"/>
      <c r="EH319" s="29"/>
      <c r="EI319" s="29"/>
      <c r="EJ319" s="29"/>
      <c r="EK319" s="29"/>
      <c r="EL319" s="29"/>
      <c r="EM319" s="29"/>
      <c r="EN319" s="29"/>
      <c r="EO319" s="29"/>
      <c r="EP319" s="29"/>
      <c r="EQ319" s="29"/>
      <c r="ER319" s="29"/>
      <c r="ES319" s="29"/>
      <c r="ET319" s="29" t="s">
        <v>526</v>
      </c>
      <c r="EU319" s="29" t="s">
        <v>579</v>
      </c>
      <c r="EV319" s="29"/>
      <c r="EW319" s="29"/>
      <c r="EX319" s="29" t="s">
        <v>6491</v>
      </c>
      <c r="EY319" s="29" t="s">
        <v>6492</v>
      </c>
      <c r="EZ319" s="29" t="s">
        <v>414</v>
      </c>
      <c r="FA319" s="29" t="s">
        <v>583</v>
      </c>
      <c r="FB319" s="29" t="s">
        <v>416</v>
      </c>
      <c r="FC319" s="29" t="s">
        <v>413</v>
      </c>
      <c r="FD319" s="29" t="s">
        <v>413</v>
      </c>
      <c r="FE319" s="29" t="s">
        <v>583</v>
      </c>
      <c r="FF319" s="29" t="s">
        <v>416</v>
      </c>
      <c r="FG319" s="29" t="s">
        <v>484</v>
      </c>
      <c r="FH319" s="29" t="s">
        <v>583</v>
      </c>
      <c r="FI319" s="29" t="s">
        <v>413</v>
      </c>
      <c r="FJ319" s="29" t="s">
        <v>413</v>
      </c>
      <c r="FK319" s="29" t="s">
        <v>484</v>
      </c>
      <c r="FL319" s="29" t="s">
        <v>484</v>
      </c>
      <c r="FM319" s="29" t="s">
        <v>416</v>
      </c>
      <c r="FN319" s="29" t="s">
        <v>414</v>
      </c>
      <c r="FO319" s="29" t="s">
        <v>417</v>
      </c>
      <c r="FP319" s="29" t="s">
        <v>418</v>
      </c>
      <c r="FQ319" s="29" t="s">
        <v>712</v>
      </c>
      <c r="FR319" s="29"/>
      <c r="FS319" s="29" t="s">
        <v>420</v>
      </c>
      <c r="FT319" s="29" t="s">
        <v>488</v>
      </c>
      <c r="FU319" s="29" t="s">
        <v>1235</v>
      </c>
      <c r="FV319" s="29" t="s">
        <v>490</v>
      </c>
      <c r="FW319" s="29" t="s">
        <v>491</v>
      </c>
      <c r="FX319" s="29" t="s">
        <v>6493</v>
      </c>
      <c r="FY319" s="29" t="s">
        <v>493</v>
      </c>
      <c r="FZ319" s="29" t="s">
        <v>6494</v>
      </c>
      <c r="GA319" s="29" t="s">
        <v>6495</v>
      </c>
      <c r="GB319" s="29" t="s">
        <v>455</v>
      </c>
      <c r="GC319" s="29"/>
      <c r="GD319" s="29"/>
      <c r="GE319" s="29" t="s">
        <v>855</v>
      </c>
      <c r="GF319" s="29" t="s">
        <v>6496</v>
      </c>
      <c r="GG319" s="29"/>
      <c r="GH319" s="29"/>
      <c r="GI319" s="29"/>
      <c r="GJ319" s="29" t="s">
        <v>857</v>
      </c>
      <c r="GK319" s="29" t="s">
        <v>857</v>
      </c>
      <c r="GL319" s="29" t="s">
        <v>858</v>
      </c>
      <c r="GM319" s="29"/>
      <c r="GN319" s="29"/>
      <c r="GO319" s="29"/>
      <c r="GP319" s="29"/>
      <c r="GQ319" s="29" t="s">
        <v>3208</v>
      </c>
      <c r="GR319" s="29" t="s">
        <v>5318</v>
      </c>
      <c r="GS319" s="29"/>
      <c r="GT319" s="29"/>
      <c r="GU319" s="29"/>
      <c r="HP319" s="31"/>
      <c r="MX319" s="29" t="s">
        <v>10402</v>
      </c>
      <c r="MY319" s="29" t="str">
        <f>IFERROR(__xludf.DUMMYFUNCTION("""COMPUTED_VALUE"""),"North Carolina")</f>
        <v>North Carolina</v>
      </c>
    </row>
    <row r="320" ht="16.5" customHeight="1">
      <c r="A320" s="33">
        <v>45920.839198912035</v>
      </c>
      <c r="B320" s="29" t="s">
        <v>368</v>
      </c>
      <c r="C320" s="29" t="s">
        <v>370</v>
      </c>
      <c r="D320" s="29" t="s">
        <v>370</v>
      </c>
      <c r="E320" s="29" t="s">
        <v>3955</v>
      </c>
      <c r="F320" s="29" t="s">
        <v>6500</v>
      </c>
      <c r="G320" s="29" t="s">
        <v>422</v>
      </c>
      <c r="H320" s="29" t="s">
        <v>373</v>
      </c>
      <c r="I320" s="29" t="s">
        <v>374</v>
      </c>
      <c r="J320" s="29" t="s">
        <v>375</v>
      </c>
      <c r="K320" s="29" t="s">
        <v>376</v>
      </c>
      <c r="L320" s="29" t="s">
        <v>591</v>
      </c>
      <c r="M320" s="29" t="s">
        <v>378</v>
      </c>
      <c r="N320" s="29" t="s">
        <v>793</v>
      </c>
      <c r="O320" s="29" t="s">
        <v>719</v>
      </c>
      <c r="P320" s="29" t="s">
        <v>592</v>
      </c>
      <c r="Q320" s="29" t="s">
        <v>499</v>
      </c>
      <c r="R320" s="29" t="s">
        <v>427</v>
      </c>
      <c r="S320" s="29" t="s">
        <v>1785</v>
      </c>
      <c r="T320" s="29" t="s">
        <v>1786</v>
      </c>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c r="BG320" s="29"/>
      <c r="BH320" s="29"/>
      <c r="BI320" s="29"/>
      <c r="BJ320" s="29"/>
      <c r="BK320" s="29"/>
      <c r="BL320" s="29"/>
      <c r="BM320" s="29"/>
      <c r="BN320" s="29"/>
      <c r="BO320" s="29"/>
      <c r="BP320" s="29"/>
      <c r="BQ320" s="29"/>
      <c r="BR320" s="29"/>
      <c r="BS320" s="29"/>
      <c r="BT320" s="29"/>
      <c r="BU320" s="29"/>
      <c r="BV320" s="29"/>
      <c r="BW320" s="29"/>
      <c r="BX320" s="29"/>
      <c r="BY320" s="29"/>
      <c r="BZ320" s="29"/>
      <c r="CA320" s="29"/>
      <c r="CB320" s="29"/>
      <c r="CC320" s="29"/>
      <c r="CD320" s="29"/>
      <c r="CE320" s="29"/>
      <c r="CF320" s="29"/>
      <c r="CG320" s="29"/>
      <c r="CH320" s="29"/>
      <c r="CI320" s="29"/>
      <c r="CJ320" s="29"/>
      <c r="CK320" s="29"/>
      <c r="CL320" s="29"/>
      <c r="CM320" s="29"/>
      <c r="CN320" s="29"/>
      <c r="CO320" s="29"/>
      <c r="CP320" s="29"/>
      <c r="CQ320" s="29"/>
      <c r="CR320" s="29"/>
      <c r="CS320" s="29"/>
      <c r="CT320" s="29"/>
      <c r="CU320" s="29"/>
      <c r="CV320" s="29"/>
      <c r="CW320" s="29"/>
      <c r="CX320" s="29"/>
      <c r="CY320" s="29"/>
      <c r="CZ320" s="29"/>
      <c r="DA320" s="29"/>
      <c r="DB320" s="29"/>
      <c r="DC320" s="29"/>
      <c r="DD320" s="29"/>
      <c r="DE320" s="29"/>
      <c r="DF320" s="29"/>
      <c r="DG320" s="29"/>
      <c r="DH320" s="29"/>
      <c r="DI320" s="29"/>
      <c r="DJ320" s="29"/>
      <c r="DK320" s="29"/>
      <c r="DL320" s="29"/>
      <c r="DM320" s="29"/>
      <c r="DN320" s="29"/>
      <c r="DO320" s="29"/>
      <c r="DP320" s="29"/>
      <c r="DQ320" s="29"/>
      <c r="DR320" s="29"/>
      <c r="DS320" s="29"/>
      <c r="DT320" s="29"/>
      <c r="DU320" s="29"/>
      <c r="DV320" s="29"/>
      <c r="DW320" s="29"/>
      <c r="DX320" s="29"/>
      <c r="DY320" s="29"/>
      <c r="DZ320" s="29"/>
      <c r="EA320" s="29"/>
      <c r="EB320" s="29"/>
      <c r="EC320" s="29"/>
      <c r="ED320" s="29" t="s">
        <v>5662</v>
      </c>
      <c r="EE320" s="29"/>
      <c r="EF320" s="29"/>
      <c r="EG320" s="29"/>
      <c r="EH320" s="29" t="s">
        <v>6501</v>
      </c>
      <c r="EI320" s="29" t="s">
        <v>5664</v>
      </c>
      <c r="EJ320" s="29"/>
      <c r="EK320" s="29"/>
      <c r="EL320" s="29"/>
      <c r="EM320" s="29"/>
      <c r="EN320" s="29"/>
      <c r="EO320" s="29"/>
      <c r="EP320" s="29"/>
      <c r="EQ320" s="29"/>
      <c r="ER320" s="29" t="s">
        <v>6502</v>
      </c>
      <c r="ES320" s="29" t="s">
        <v>6503</v>
      </c>
      <c r="ET320" s="29" t="s">
        <v>578</v>
      </c>
      <c r="EU320" s="29" t="s">
        <v>479</v>
      </c>
      <c r="EV320" s="29" t="s">
        <v>527</v>
      </c>
      <c r="EW320" s="29" t="s">
        <v>6504</v>
      </c>
      <c r="EX320" s="29" t="s">
        <v>6505</v>
      </c>
      <c r="EY320" s="29" t="s">
        <v>6506</v>
      </c>
      <c r="EZ320" s="29" t="s">
        <v>414</v>
      </c>
      <c r="FA320" s="29" t="s">
        <v>583</v>
      </c>
      <c r="FB320" s="29" t="s">
        <v>416</v>
      </c>
      <c r="FC320" s="29" t="s">
        <v>583</v>
      </c>
      <c r="FD320" s="29" t="s">
        <v>413</v>
      </c>
      <c r="FE320" s="29" t="s">
        <v>583</v>
      </c>
      <c r="FF320" s="29" t="s">
        <v>415</v>
      </c>
      <c r="FG320" s="29" t="s">
        <v>416</v>
      </c>
      <c r="FH320" s="29" t="s">
        <v>583</v>
      </c>
      <c r="FI320" s="29" t="s">
        <v>583</v>
      </c>
      <c r="FJ320" s="29" t="s">
        <v>414</v>
      </c>
      <c r="FK320" s="29" t="s">
        <v>414</v>
      </c>
      <c r="FL320" s="29" t="s">
        <v>583</v>
      </c>
      <c r="FM320" s="29" t="s">
        <v>416</v>
      </c>
      <c r="FN320" s="29" t="s">
        <v>583</v>
      </c>
      <c r="FO320" s="29" t="s">
        <v>417</v>
      </c>
      <c r="FP320" s="29" t="s">
        <v>486</v>
      </c>
      <c r="FQ320" s="29" t="s">
        <v>419</v>
      </c>
      <c r="FR320" s="29" t="s">
        <v>6507</v>
      </c>
      <c r="FS320" s="29" t="s">
        <v>1189</v>
      </c>
      <c r="FT320" s="29" t="s">
        <v>1462</v>
      </c>
      <c r="FU320" s="29" t="s">
        <v>489</v>
      </c>
      <c r="FV320" s="29" t="s">
        <v>490</v>
      </c>
      <c r="FW320" s="29" t="s">
        <v>491</v>
      </c>
      <c r="FX320" s="29" t="s">
        <v>6508</v>
      </c>
      <c r="FY320" s="29" t="s">
        <v>535</v>
      </c>
      <c r="FZ320" s="29" t="s">
        <v>6509</v>
      </c>
      <c r="GA320" s="29"/>
      <c r="GB320" s="29" t="s">
        <v>455</v>
      </c>
      <c r="GC320" s="29"/>
      <c r="GD320" s="29"/>
      <c r="GE320" s="29" t="s">
        <v>1420</v>
      </c>
      <c r="GF320" s="29" t="s">
        <v>408</v>
      </c>
      <c r="GG320" s="29"/>
      <c r="GH320" s="29"/>
      <c r="GI320" s="29"/>
      <c r="GJ320" s="29"/>
      <c r="GK320" s="29"/>
      <c r="GL320" s="29"/>
      <c r="GM320" s="29"/>
      <c r="GN320" s="29"/>
      <c r="GO320" s="29"/>
      <c r="GP320" s="29"/>
      <c r="GQ320" s="29" t="s">
        <v>3208</v>
      </c>
      <c r="GR320" s="29"/>
      <c r="GS320" s="29"/>
      <c r="GT320" s="29"/>
      <c r="GU320" s="29"/>
      <c r="HP320" s="31"/>
      <c r="MX320" s="29" t="s">
        <v>1201</v>
      </c>
      <c r="MY320" s="29" t="str">
        <f>IFERROR(__xludf.DUMMYFUNCTION("""COMPUTED_VALUE"""),"Australia")</f>
        <v>Australia</v>
      </c>
    </row>
    <row r="321" ht="16.5" customHeight="1">
      <c r="A321" s="33">
        <v>45920.97316596065</v>
      </c>
      <c r="B321" s="29" t="s">
        <v>368</v>
      </c>
      <c r="C321" s="29" t="s">
        <v>1201</v>
      </c>
      <c r="D321" s="29" t="s">
        <v>1201</v>
      </c>
      <c r="E321" s="29"/>
      <c r="F321" s="29"/>
      <c r="G321" s="29" t="s">
        <v>422</v>
      </c>
      <c r="H321" s="29" t="s">
        <v>373</v>
      </c>
      <c r="I321" s="29" t="s">
        <v>374</v>
      </c>
      <c r="J321" s="29" t="s">
        <v>669</v>
      </c>
      <c r="K321" s="29" t="s">
        <v>376</v>
      </c>
      <c r="L321" s="29" t="s">
        <v>670</v>
      </c>
      <c r="M321" s="29" t="s">
        <v>720</v>
      </c>
      <c r="N321" s="29" t="s">
        <v>591</v>
      </c>
      <c r="O321" s="29" t="s">
        <v>497</v>
      </c>
      <c r="P321" s="29" t="s">
        <v>592</v>
      </c>
      <c r="Q321" s="29" t="s">
        <v>1156</v>
      </c>
      <c r="R321" s="29" t="s">
        <v>427</v>
      </c>
      <c r="S321" s="29" t="s">
        <v>384</v>
      </c>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t="s">
        <v>1242</v>
      </c>
      <c r="AW321" s="29"/>
      <c r="AX321" s="29"/>
      <c r="AY321" s="29"/>
      <c r="AZ321" s="29"/>
      <c r="BA321" s="29"/>
      <c r="BB321" s="29"/>
      <c r="BC321" s="29"/>
      <c r="BD321" s="29"/>
      <c r="BE321" s="29"/>
      <c r="BF321" s="29"/>
      <c r="BG321" s="29" t="s">
        <v>765</v>
      </c>
      <c r="BH321" s="29"/>
      <c r="BI321" s="29"/>
      <c r="BJ321" s="29"/>
      <c r="BK321" s="29"/>
      <c r="BL321" s="29"/>
      <c r="BM321" s="29" t="s">
        <v>1247</v>
      </c>
      <c r="BN321" s="29" t="s">
        <v>513</v>
      </c>
      <c r="BO321" s="29"/>
      <c r="BP321" s="29"/>
      <c r="BQ321" s="29"/>
      <c r="BR321" s="29"/>
      <c r="BS321" s="29"/>
      <c r="BT321" s="29"/>
      <c r="BU321" s="29"/>
      <c r="BV321" s="29"/>
      <c r="BW321" s="29"/>
      <c r="BX321" s="29"/>
      <c r="BY321" s="29"/>
      <c r="BZ321" s="29"/>
      <c r="CA321" s="29"/>
      <c r="CB321" s="29"/>
      <c r="CC321" s="29"/>
      <c r="CD321" s="29"/>
      <c r="CE321" s="29"/>
      <c r="CF321" s="29"/>
      <c r="CG321" s="29"/>
      <c r="CH321" s="29"/>
      <c r="CI321" s="29"/>
      <c r="CJ321" s="29"/>
      <c r="CK321" s="29"/>
      <c r="CL321" s="29" t="s">
        <v>953</v>
      </c>
      <c r="CM321" s="29" t="s">
        <v>401</v>
      </c>
      <c r="CN321" s="29"/>
      <c r="CO321" s="29"/>
      <c r="CP321" s="29"/>
      <c r="CQ321" s="29"/>
      <c r="CR321" s="29"/>
      <c r="CS321" s="29"/>
      <c r="CT321" s="29"/>
      <c r="CU321" s="29" t="s">
        <v>519</v>
      </c>
      <c r="CV321" s="29" t="s">
        <v>959</v>
      </c>
      <c r="CW321" s="29"/>
      <c r="CX321" s="29" t="s">
        <v>455</v>
      </c>
      <c r="CY321" s="29"/>
      <c r="CZ321" s="29" t="s">
        <v>985</v>
      </c>
      <c r="DA321" s="29"/>
      <c r="DB321" s="29" t="s">
        <v>455</v>
      </c>
      <c r="DC321" s="29"/>
      <c r="DD321" s="29"/>
      <c r="DE321" s="29"/>
      <c r="DF321" s="29"/>
      <c r="DG321" s="29" t="s">
        <v>990</v>
      </c>
      <c r="DH321" s="29" t="s">
        <v>410</v>
      </c>
      <c r="DI321" s="29" t="s">
        <v>459</v>
      </c>
      <c r="DJ321" s="29" t="s">
        <v>460</v>
      </c>
      <c r="DK321" s="29" t="s">
        <v>6335</v>
      </c>
      <c r="DL321" s="29"/>
      <c r="DM321" s="29"/>
      <c r="DN321" s="29"/>
      <c r="DO321" s="29"/>
      <c r="DP321" s="29"/>
      <c r="DQ321" s="29"/>
      <c r="DR321" s="29"/>
      <c r="DS321" s="29"/>
      <c r="DT321" s="29"/>
      <c r="DU321" s="29"/>
      <c r="DV321" s="29"/>
      <c r="DW321" s="29"/>
      <c r="DX321" s="29"/>
      <c r="DY321" s="29"/>
      <c r="DZ321" s="29"/>
      <c r="EA321" s="29"/>
      <c r="EB321" s="29"/>
      <c r="EC321" s="29"/>
      <c r="ED321" s="29"/>
      <c r="EE321" s="29"/>
      <c r="EF321" s="29"/>
      <c r="EG321" s="29"/>
      <c r="EH321" s="29"/>
      <c r="EI321" s="29"/>
      <c r="EJ321" s="29"/>
      <c r="EK321" s="29"/>
      <c r="EL321" s="29"/>
      <c r="EM321" s="29"/>
      <c r="EN321" s="29"/>
      <c r="EO321" s="29"/>
      <c r="EP321" s="29"/>
      <c r="EQ321" s="29"/>
      <c r="ER321" s="29"/>
      <c r="ES321" s="29"/>
      <c r="ET321" s="29" t="s">
        <v>2747</v>
      </c>
      <c r="EU321" s="29" t="s">
        <v>887</v>
      </c>
      <c r="EV321" s="29" t="s">
        <v>1262</v>
      </c>
      <c r="EW321" s="29"/>
      <c r="EX321" s="29"/>
      <c r="EY321" s="29"/>
      <c r="EZ321" s="29"/>
      <c r="FA321" s="29"/>
      <c r="FB321" s="29"/>
      <c r="FC321" s="29"/>
      <c r="FD321" s="29"/>
      <c r="FE321" s="29"/>
      <c r="FF321" s="29"/>
      <c r="FG321" s="29"/>
      <c r="FH321" s="29"/>
      <c r="FI321" s="29"/>
      <c r="FJ321" s="29"/>
      <c r="FK321" s="29"/>
      <c r="FL321" s="29"/>
      <c r="FM321" s="29"/>
      <c r="FN321" s="29"/>
      <c r="FO321" s="29"/>
      <c r="FP321" s="29"/>
      <c r="FQ321" s="29"/>
      <c r="FR321" s="29"/>
      <c r="FS321" s="29"/>
      <c r="FT321" s="29" t="s">
        <v>2398</v>
      </c>
      <c r="FU321" s="29" t="s">
        <v>533</v>
      </c>
      <c r="FV321" s="29"/>
      <c r="FW321" s="29"/>
      <c r="FX321" s="29"/>
      <c r="FY321" s="29"/>
      <c r="FZ321" s="29"/>
      <c r="GA321" s="29"/>
      <c r="GB321" s="29"/>
      <c r="GC321" s="29"/>
      <c r="GD321" s="29"/>
      <c r="GE321" s="29"/>
      <c r="GF321" s="29"/>
      <c r="GG321" s="29" t="s">
        <v>755</v>
      </c>
      <c r="GH321" s="29" t="s">
        <v>755</v>
      </c>
      <c r="GI321" s="29" t="s">
        <v>946</v>
      </c>
      <c r="GJ321" s="29"/>
      <c r="GK321" s="29"/>
      <c r="GL321" s="29"/>
      <c r="GM321" s="29"/>
      <c r="GN321" s="29" t="s">
        <v>6520</v>
      </c>
      <c r="GO321" s="29" t="s">
        <v>6520</v>
      </c>
      <c r="GP321" s="29"/>
      <c r="GQ321" s="29"/>
      <c r="GR321" s="29"/>
      <c r="GS321" s="29"/>
      <c r="GT321" s="29" t="s">
        <v>4774</v>
      </c>
      <c r="GU321" s="29"/>
      <c r="HP321" s="31"/>
      <c r="MX321" s="29" t="s">
        <v>538</v>
      </c>
      <c r="MY321" s="29" t="str">
        <f>IFERROR(__xludf.DUMMYFUNCTION("""COMPUTED_VALUE"""),"United Kingdom")</f>
        <v>United Kingdom</v>
      </c>
    </row>
    <row r="322" ht="16.5" customHeight="1">
      <c r="A322" s="33">
        <v>45921.55637546296</v>
      </c>
      <c r="B322" s="29" t="s">
        <v>368</v>
      </c>
      <c r="C322" s="29" t="s">
        <v>538</v>
      </c>
      <c r="D322" s="29" t="s">
        <v>538</v>
      </c>
      <c r="E322" s="29"/>
      <c r="F322" s="29"/>
      <c r="G322" s="29" t="s">
        <v>422</v>
      </c>
      <c r="H322" s="29" t="s">
        <v>496</v>
      </c>
      <c r="I322" s="29" t="s">
        <v>374</v>
      </c>
      <c r="J322" s="29" t="s">
        <v>375</v>
      </c>
      <c r="K322" s="29" t="s">
        <v>376</v>
      </c>
      <c r="L322" s="29" t="s">
        <v>379</v>
      </c>
      <c r="M322" s="29" t="s">
        <v>380</v>
      </c>
      <c r="N322" s="29" t="s">
        <v>379</v>
      </c>
      <c r="O322" s="29" t="s">
        <v>380</v>
      </c>
      <c r="P322" s="29" t="s">
        <v>381</v>
      </c>
      <c r="Q322" s="29" t="s">
        <v>382</v>
      </c>
      <c r="R322" s="29" t="s">
        <v>500</v>
      </c>
      <c r="S322" s="29" t="s">
        <v>384</v>
      </c>
      <c r="T322" s="29" t="s">
        <v>385</v>
      </c>
      <c r="U322" s="29"/>
      <c r="V322" s="29"/>
      <c r="W322" s="29" t="s">
        <v>3014</v>
      </c>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t="s">
        <v>1242</v>
      </c>
      <c r="AW322" s="29">
        <v>4.0</v>
      </c>
      <c r="AX322" s="29">
        <v>4.0</v>
      </c>
      <c r="AY322" s="29" t="s">
        <v>391</v>
      </c>
      <c r="AZ322" s="29" t="s">
        <v>429</v>
      </c>
      <c r="BA322" s="29" t="s">
        <v>429</v>
      </c>
      <c r="BB322" s="29" t="s">
        <v>391</v>
      </c>
      <c r="BC322" s="29" t="s">
        <v>6524</v>
      </c>
      <c r="BD322" s="29" t="s">
        <v>6525</v>
      </c>
      <c r="BE322" s="29" t="s">
        <v>432</v>
      </c>
      <c r="BF322" s="29" t="s">
        <v>393</v>
      </c>
      <c r="BG322" s="29" t="s">
        <v>678</v>
      </c>
      <c r="BH322" s="29"/>
      <c r="BI322" s="29" t="s">
        <v>727</v>
      </c>
      <c r="BJ322" s="29"/>
      <c r="BK322" s="29" t="s">
        <v>602</v>
      </c>
      <c r="BL322" s="29" t="s">
        <v>904</v>
      </c>
      <c r="BM322" s="29" t="s">
        <v>1314</v>
      </c>
      <c r="BN322" s="29" t="s">
        <v>513</v>
      </c>
      <c r="BO322" s="29"/>
      <c r="BP322" s="29"/>
      <c r="BQ322" s="29"/>
      <c r="BR322" s="29"/>
      <c r="BS322" s="29"/>
      <c r="BT322" s="29"/>
      <c r="BU322" s="29"/>
      <c r="BV322" s="29"/>
      <c r="BW322" s="29"/>
      <c r="BX322" s="29"/>
      <c r="BY322" s="29"/>
      <c r="BZ322" s="29"/>
      <c r="CA322" s="29"/>
      <c r="CB322" s="29"/>
      <c r="CC322" s="29"/>
      <c r="CD322" s="29"/>
      <c r="CE322" s="29"/>
      <c r="CF322" s="29"/>
      <c r="CG322" s="29"/>
      <c r="CH322" s="29"/>
      <c r="CI322" s="29"/>
      <c r="CJ322" s="29"/>
      <c r="CK322" s="29"/>
      <c r="CL322" s="29" t="s">
        <v>682</v>
      </c>
      <c r="CM322" s="29" t="s">
        <v>442</v>
      </c>
      <c r="CN322" s="29" t="s">
        <v>6526</v>
      </c>
      <c r="CO322" s="29" t="s">
        <v>2675</v>
      </c>
      <c r="CP322" s="29"/>
      <c r="CQ322" s="29"/>
      <c r="CR322" s="29"/>
      <c r="CS322" s="29"/>
      <c r="CT322" s="29" t="s">
        <v>6527</v>
      </c>
      <c r="CU322" s="29" t="s">
        <v>1961</v>
      </c>
      <c r="CV322" s="29" t="s">
        <v>2248</v>
      </c>
      <c r="CW322" s="29"/>
      <c r="CX322" s="29" t="s">
        <v>408</v>
      </c>
      <c r="CY322" s="29" t="s">
        <v>6528</v>
      </c>
      <c r="CZ322" s="29" t="s">
        <v>1962</v>
      </c>
      <c r="DA322" s="29"/>
      <c r="DB322" s="29" t="s">
        <v>408</v>
      </c>
      <c r="DC322" s="29"/>
      <c r="DD322" s="29"/>
      <c r="DE322" s="29"/>
      <c r="DF322" s="29"/>
      <c r="DG322" s="29" t="s">
        <v>990</v>
      </c>
      <c r="DH322" s="29" t="s">
        <v>410</v>
      </c>
      <c r="DI322" s="29" t="s">
        <v>963</v>
      </c>
      <c r="DJ322" s="29" t="s">
        <v>613</v>
      </c>
      <c r="DK322" s="29"/>
      <c r="DL322" s="29"/>
      <c r="DM322" s="29"/>
      <c r="DN322" s="29"/>
      <c r="DO322" s="29"/>
      <c r="DP322" s="29"/>
      <c r="DQ322" s="29"/>
      <c r="DR322" s="29"/>
      <c r="DS322" s="29"/>
      <c r="DT322" s="29"/>
      <c r="DU322" s="29"/>
      <c r="DV322" s="29"/>
      <c r="DW322" s="29"/>
      <c r="DX322" s="29"/>
      <c r="DY322" s="29"/>
      <c r="DZ322" s="29"/>
      <c r="EA322" s="29"/>
      <c r="EB322" s="29"/>
      <c r="EC322" s="29"/>
      <c r="ED322" s="29"/>
      <c r="EE322" s="29"/>
      <c r="EF322" s="29"/>
      <c r="EG322" s="29"/>
      <c r="EH322" s="29"/>
      <c r="EI322" s="29"/>
      <c r="EJ322" s="29"/>
      <c r="EK322" s="29"/>
      <c r="EL322" s="29"/>
      <c r="EM322" s="29"/>
      <c r="EN322" s="29"/>
      <c r="EO322" s="29"/>
      <c r="EP322" s="29"/>
      <c r="EQ322" s="29"/>
      <c r="ER322" s="29"/>
      <c r="ES322" s="29"/>
      <c r="ET322" s="29" t="s">
        <v>578</v>
      </c>
      <c r="EU322" s="29" t="s">
        <v>579</v>
      </c>
      <c r="EV322" s="29" t="s">
        <v>1534</v>
      </c>
      <c r="EW322" s="29"/>
      <c r="EX322" s="29" t="s">
        <v>6529</v>
      </c>
      <c r="EY322" s="29" t="s">
        <v>6530</v>
      </c>
      <c r="EZ322" s="29" t="s">
        <v>583</v>
      </c>
      <c r="FA322" s="29"/>
      <c r="FB322" s="29" t="s">
        <v>415</v>
      </c>
      <c r="FC322" s="29" t="s">
        <v>583</v>
      </c>
      <c r="FD322" s="29" t="s">
        <v>414</v>
      </c>
      <c r="FE322" s="29" t="s">
        <v>583</v>
      </c>
      <c r="FF322" s="29" t="s">
        <v>583</v>
      </c>
      <c r="FG322" s="29" t="s">
        <v>583</v>
      </c>
      <c r="FH322" s="29" t="s">
        <v>413</v>
      </c>
      <c r="FI322" s="29" t="s">
        <v>415</v>
      </c>
      <c r="FJ322" s="29" t="s">
        <v>583</v>
      </c>
      <c r="FK322" s="29" t="s">
        <v>583</v>
      </c>
      <c r="FL322" s="29" t="s">
        <v>583</v>
      </c>
      <c r="FM322" s="29" t="s">
        <v>414</v>
      </c>
      <c r="FN322" s="29" t="s">
        <v>583</v>
      </c>
      <c r="FO322" s="29" t="s">
        <v>1537</v>
      </c>
      <c r="FP322" s="29" t="s">
        <v>2524</v>
      </c>
      <c r="FQ322" s="29" t="s">
        <v>749</v>
      </c>
      <c r="FR322" s="29" t="s">
        <v>2386</v>
      </c>
      <c r="FS322" s="29" t="s">
        <v>1871</v>
      </c>
      <c r="FT322" s="29" t="s">
        <v>2750</v>
      </c>
      <c r="FU322" s="29" t="s">
        <v>1235</v>
      </c>
      <c r="FV322" s="29" t="s">
        <v>2399</v>
      </c>
      <c r="FW322" s="29" t="s">
        <v>1853</v>
      </c>
      <c r="FX322" s="29" t="s">
        <v>6531</v>
      </c>
      <c r="FY322" s="29" t="s">
        <v>1854</v>
      </c>
      <c r="FZ322" s="29" t="s">
        <v>6532</v>
      </c>
      <c r="GA322" s="29"/>
      <c r="GB322" s="29" t="s">
        <v>455</v>
      </c>
      <c r="GC322" s="29"/>
      <c r="GD322" s="29"/>
      <c r="GE322" s="29" t="s">
        <v>753</v>
      </c>
      <c r="GF322" s="29" t="s">
        <v>6533</v>
      </c>
      <c r="GG322" s="29" t="s">
        <v>755</v>
      </c>
      <c r="GH322" s="29" t="s">
        <v>755</v>
      </c>
      <c r="GI322" s="29" t="s">
        <v>946</v>
      </c>
      <c r="GJ322" s="29"/>
      <c r="GK322" s="29"/>
      <c r="GL322" s="29"/>
      <c r="GM322" s="29"/>
      <c r="GN322" s="29" t="s">
        <v>3012</v>
      </c>
      <c r="GO322" s="29" t="s">
        <v>3012</v>
      </c>
      <c r="GP322" s="29"/>
      <c r="GQ322" s="29" t="s">
        <v>5656</v>
      </c>
      <c r="GR322" s="29"/>
      <c r="GS322" s="29"/>
      <c r="GT322" s="29" t="s">
        <v>4774</v>
      </c>
      <c r="GU322" s="29"/>
      <c r="HP322" s="31"/>
      <c r="MX322" s="29" t="s">
        <v>10402</v>
      </c>
      <c r="MY322" s="29" t="str">
        <f>IFERROR(__xludf.DUMMYFUNCTION("""COMPUTED_VALUE"""),"Nebraska")</f>
        <v>Nebraska</v>
      </c>
    </row>
    <row r="323" ht="16.5" customHeight="1">
      <c r="A323" s="33">
        <v>45921.55864135417</v>
      </c>
      <c r="B323" s="29" t="s">
        <v>368</v>
      </c>
      <c r="C323" s="29" t="s">
        <v>370</v>
      </c>
      <c r="D323" s="29" t="s">
        <v>370</v>
      </c>
      <c r="E323" s="29" t="s">
        <v>1798</v>
      </c>
      <c r="F323" s="29" t="s">
        <v>2388</v>
      </c>
      <c r="G323" s="29" t="s">
        <v>422</v>
      </c>
      <c r="H323" s="29" t="s">
        <v>373</v>
      </c>
      <c r="I323" s="29" t="s">
        <v>374</v>
      </c>
      <c r="J323" s="29" t="s">
        <v>540</v>
      </c>
      <c r="K323" s="29" t="s">
        <v>376</v>
      </c>
      <c r="L323" s="29" t="s">
        <v>426</v>
      </c>
      <c r="M323" s="29" t="s">
        <v>6538</v>
      </c>
      <c r="N323" s="29" t="s">
        <v>793</v>
      </c>
      <c r="O323" s="29" t="s">
        <v>6539</v>
      </c>
      <c r="P323" s="29" t="s">
        <v>592</v>
      </c>
      <c r="Q323" s="29" t="s">
        <v>382</v>
      </c>
      <c r="R323" s="29" t="s">
        <v>795</v>
      </c>
      <c r="S323" s="29" t="s">
        <v>384</v>
      </c>
      <c r="T323" s="29" t="s">
        <v>385</v>
      </c>
      <c r="U323" s="29"/>
      <c r="V323" s="29"/>
      <c r="W323" s="29" t="s">
        <v>3231</v>
      </c>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t="s">
        <v>1310</v>
      </c>
      <c r="AW323" s="29">
        <v>4.0</v>
      </c>
      <c r="AX323" s="29">
        <v>4.0</v>
      </c>
      <c r="AY323" s="29">
        <v>4.0</v>
      </c>
      <c r="AZ323" s="29">
        <v>4.0</v>
      </c>
      <c r="BA323" s="29">
        <v>4.0</v>
      </c>
      <c r="BB323" s="29">
        <v>4.0</v>
      </c>
      <c r="BC323" s="29"/>
      <c r="BD323" s="29"/>
      <c r="BE323" s="29" t="s">
        <v>902</v>
      </c>
      <c r="BF323" s="29" t="s">
        <v>393</v>
      </c>
      <c r="BG323" s="29" t="s">
        <v>678</v>
      </c>
      <c r="BH323" s="29"/>
      <c r="BI323" s="29" t="s">
        <v>435</v>
      </c>
      <c r="BJ323" s="29"/>
      <c r="BK323" s="29" t="s">
        <v>681</v>
      </c>
      <c r="BL323" s="29" t="s">
        <v>438</v>
      </c>
      <c r="BM323" s="29" t="s">
        <v>1314</v>
      </c>
      <c r="BN323" s="29" t="s">
        <v>398</v>
      </c>
      <c r="BO323" s="29" t="s">
        <v>6540</v>
      </c>
      <c r="BP323" s="29" t="s">
        <v>6541</v>
      </c>
      <c r="BQ323" s="29" t="s">
        <v>401</v>
      </c>
      <c r="BR323" s="29" t="s">
        <v>913</v>
      </c>
      <c r="BS323" s="29" t="s">
        <v>1692</v>
      </c>
      <c r="BT323" s="29" t="s">
        <v>404</v>
      </c>
      <c r="BU323" s="29" t="s">
        <v>405</v>
      </c>
      <c r="BV323" s="29"/>
      <c r="BW323" s="29" t="s">
        <v>406</v>
      </c>
      <c r="BX323" s="29" t="s">
        <v>407</v>
      </c>
      <c r="BY323" s="29" t="s">
        <v>408</v>
      </c>
      <c r="BZ323" s="29"/>
      <c r="CA323" s="29"/>
      <c r="CB323" s="29" t="s">
        <v>6542</v>
      </c>
      <c r="CC323" s="29" t="s">
        <v>6543</v>
      </c>
      <c r="CD323" s="29" t="s">
        <v>1931</v>
      </c>
      <c r="CE323" s="29"/>
      <c r="CF323" s="29" t="s">
        <v>1697</v>
      </c>
      <c r="CG323" s="29"/>
      <c r="CH323" s="29" t="s">
        <v>1259</v>
      </c>
      <c r="CI323" s="29" t="s">
        <v>1964</v>
      </c>
      <c r="CJ323" s="29" t="s">
        <v>6544</v>
      </c>
      <c r="CK323" s="29"/>
      <c r="CL323" s="29"/>
      <c r="CM323" s="29"/>
      <c r="CN323" s="29"/>
      <c r="CO323" s="29"/>
      <c r="CP323" s="29"/>
      <c r="CQ323" s="29"/>
      <c r="CR323" s="29"/>
      <c r="CS323" s="29"/>
      <c r="CT323" s="29"/>
      <c r="CU323" s="29"/>
      <c r="CV323" s="29"/>
      <c r="CW323" s="29"/>
      <c r="CX323" s="29"/>
      <c r="CY323" s="29"/>
      <c r="CZ323" s="29"/>
      <c r="DA323" s="29"/>
      <c r="DB323" s="29"/>
      <c r="DC323" s="29"/>
      <c r="DD323" s="29"/>
      <c r="DE323" s="29"/>
      <c r="DF323" s="29"/>
      <c r="DG323" s="29"/>
      <c r="DH323" s="29"/>
      <c r="DI323" s="29" t="s">
        <v>459</v>
      </c>
      <c r="DJ323" s="29" t="s">
        <v>460</v>
      </c>
      <c r="DK323" s="29" t="s">
        <v>6319</v>
      </c>
      <c r="DL323" s="29"/>
      <c r="DM323" s="29"/>
      <c r="DN323" s="29"/>
      <c r="DO323" s="29"/>
      <c r="DP323" s="29"/>
      <c r="DQ323" s="29"/>
      <c r="DR323" s="29"/>
      <c r="DS323" s="29"/>
      <c r="DT323" s="29"/>
      <c r="DU323" s="29"/>
      <c r="DV323" s="29"/>
      <c r="DW323" s="29"/>
      <c r="DX323" s="29"/>
      <c r="DY323" s="29"/>
      <c r="DZ323" s="29"/>
      <c r="EA323" s="29"/>
      <c r="EB323" s="29"/>
      <c r="EC323" s="29"/>
      <c r="ED323" s="29"/>
      <c r="EE323" s="29"/>
      <c r="EF323" s="29"/>
      <c r="EG323" s="29"/>
      <c r="EH323" s="29"/>
      <c r="EI323" s="29"/>
      <c r="EJ323" s="29"/>
      <c r="EK323" s="29"/>
      <c r="EL323" s="29"/>
      <c r="EM323" s="29"/>
      <c r="EN323" s="29"/>
      <c r="EO323" s="29"/>
      <c r="EP323" s="29"/>
      <c r="EQ323" s="29"/>
      <c r="ER323" s="29"/>
      <c r="ES323" s="29"/>
      <c r="ET323" s="29" t="s">
        <v>478</v>
      </c>
      <c r="EU323" s="29" t="s">
        <v>1037</v>
      </c>
      <c r="EV323" s="29" t="s">
        <v>1262</v>
      </c>
      <c r="EW323" s="29"/>
      <c r="EX323" s="29"/>
      <c r="EY323" s="29"/>
      <c r="EZ323" s="29" t="s">
        <v>416</v>
      </c>
      <c r="FA323" s="29" t="s">
        <v>416</v>
      </c>
      <c r="FB323" s="29" t="s">
        <v>413</v>
      </c>
      <c r="FC323" s="29" t="s">
        <v>413</v>
      </c>
      <c r="FD323" s="29" t="s">
        <v>413</v>
      </c>
      <c r="FE323" s="29" t="s">
        <v>416</v>
      </c>
      <c r="FF323" s="29" t="s">
        <v>413</v>
      </c>
      <c r="FG323" s="29" t="s">
        <v>413</v>
      </c>
      <c r="FH323" s="29" t="s">
        <v>413</v>
      </c>
      <c r="FI323" s="29" t="s">
        <v>413</v>
      </c>
      <c r="FJ323" s="29" t="s">
        <v>413</v>
      </c>
      <c r="FK323" s="29" t="s">
        <v>413</v>
      </c>
      <c r="FL323" s="29" t="s">
        <v>413</v>
      </c>
      <c r="FM323" s="29" t="s">
        <v>416</v>
      </c>
      <c r="FN323" s="29" t="s">
        <v>415</v>
      </c>
      <c r="FO323" s="29" t="s">
        <v>417</v>
      </c>
      <c r="FP323" s="29" t="s">
        <v>418</v>
      </c>
      <c r="FQ323" s="29" t="s">
        <v>712</v>
      </c>
      <c r="FR323" s="29"/>
      <c r="FS323" s="29" t="s">
        <v>420</v>
      </c>
      <c r="FT323" s="29" t="s">
        <v>488</v>
      </c>
      <c r="FU323" s="29" t="s">
        <v>918</v>
      </c>
      <c r="FV323" s="29" t="s">
        <v>1101</v>
      </c>
      <c r="FW323" s="29" t="s">
        <v>491</v>
      </c>
      <c r="FX323" s="29" t="s">
        <v>6545</v>
      </c>
      <c r="FY323" s="29" t="s">
        <v>535</v>
      </c>
      <c r="FZ323" s="29" t="s">
        <v>6546</v>
      </c>
      <c r="GA323" s="29"/>
      <c r="GB323" s="29" t="s">
        <v>455</v>
      </c>
      <c r="GC323" s="29"/>
      <c r="GD323" s="29"/>
      <c r="GE323" s="29" t="s">
        <v>944</v>
      </c>
      <c r="GF323" s="29"/>
      <c r="GG323" s="29"/>
      <c r="GH323" s="29"/>
      <c r="GI323" s="29"/>
      <c r="GJ323" s="29" t="s">
        <v>857</v>
      </c>
      <c r="GK323" s="29" t="s">
        <v>920</v>
      </c>
      <c r="GL323" s="29" t="s">
        <v>756</v>
      </c>
      <c r="GM323" s="29"/>
      <c r="GN323" s="29"/>
      <c r="GO323" s="29"/>
      <c r="GP323" s="29" t="s">
        <v>387</v>
      </c>
      <c r="GQ323" s="29" t="s">
        <v>3208</v>
      </c>
      <c r="GR323" s="29" t="s">
        <v>4774</v>
      </c>
      <c r="GS323" s="29"/>
      <c r="GT323" s="29"/>
      <c r="GU323" s="29"/>
      <c r="HP323" s="31"/>
      <c r="MX323" s="29" t="s">
        <v>10402</v>
      </c>
      <c r="MY323" s="29" t="str">
        <f>IFERROR(__xludf.DUMMYFUNCTION("""COMPUTED_VALUE"""),"Massachusetts")</f>
        <v>Massachusetts</v>
      </c>
    </row>
    <row r="324" ht="16.5" customHeight="1">
      <c r="A324" s="33">
        <v>45921.571817627315</v>
      </c>
      <c r="B324" s="29" t="s">
        <v>368</v>
      </c>
      <c r="C324" s="29" t="s">
        <v>370</v>
      </c>
      <c r="D324" s="29" t="s">
        <v>370</v>
      </c>
      <c r="E324" s="29" t="s">
        <v>1001</v>
      </c>
      <c r="F324" s="29" t="s">
        <v>1001</v>
      </c>
      <c r="G324" s="29" t="s">
        <v>422</v>
      </c>
      <c r="H324" s="29" t="s">
        <v>373</v>
      </c>
      <c r="I324" s="29" t="s">
        <v>638</v>
      </c>
      <c r="J324" s="29" t="s">
        <v>425</v>
      </c>
      <c r="K324" s="29" t="s">
        <v>376</v>
      </c>
      <c r="L324" s="29" t="s">
        <v>793</v>
      </c>
      <c r="M324" s="29" t="s">
        <v>2998</v>
      </c>
      <c r="N324" s="29" t="s">
        <v>793</v>
      </c>
      <c r="O324" s="29" t="s">
        <v>6548</v>
      </c>
      <c r="P324" s="29" t="s">
        <v>381</v>
      </c>
      <c r="Q324" s="29" t="s">
        <v>382</v>
      </c>
      <c r="R324" s="29" t="s">
        <v>6549</v>
      </c>
      <c r="S324" s="29" t="s">
        <v>3728</v>
      </c>
      <c r="T324" s="29" t="s">
        <v>385</v>
      </c>
      <c r="U324" s="29"/>
      <c r="V324" s="29"/>
      <c r="W324" s="29" t="s">
        <v>386</v>
      </c>
      <c r="X324" s="29" t="s">
        <v>387</v>
      </c>
      <c r="Y324" s="29" t="s">
        <v>388</v>
      </c>
      <c r="Z324" s="29" t="s">
        <v>543</v>
      </c>
      <c r="AA324" s="29" t="s">
        <v>6550</v>
      </c>
      <c r="AB324" s="29"/>
      <c r="AC324" s="29"/>
      <c r="AD324" s="29"/>
      <c r="AE324" s="29"/>
      <c r="AF324" s="29"/>
      <c r="AG324" s="29"/>
      <c r="AH324" s="29"/>
      <c r="AI324" s="29"/>
      <c r="AJ324" s="29"/>
      <c r="AK324" s="29"/>
      <c r="AL324" s="29"/>
      <c r="AM324" s="29"/>
      <c r="AN324" s="29"/>
      <c r="AO324" s="29"/>
      <c r="AP324" s="29"/>
      <c r="AQ324" s="29"/>
      <c r="AR324" s="29"/>
      <c r="AS324" s="29"/>
      <c r="AT324" s="29"/>
      <c r="AU324" s="29"/>
      <c r="AV324" s="29" t="s">
        <v>597</v>
      </c>
      <c r="AW324" s="29" t="s">
        <v>391</v>
      </c>
      <c r="AX324" s="29">
        <v>2.0</v>
      </c>
      <c r="AY324" s="29">
        <v>2.0</v>
      </c>
      <c r="AZ324" s="29">
        <v>2.0</v>
      </c>
      <c r="BA324" s="29">
        <v>2.0</v>
      </c>
      <c r="BB324" s="29" t="s">
        <v>391</v>
      </c>
      <c r="BC324" s="29"/>
      <c r="BD324" s="29"/>
      <c r="BE324" s="29" t="s">
        <v>432</v>
      </c>
      <c r="BF324" s="29" t="s">
        <v>433</v>
      </c>
      <c r="BG324" s="29" t="s">
        <v>725</v>
      </c>
      <c r="BH324" s="29"/>
      <c r="BI324" s="29" t="s">
        <v>727</v>
      </c>
      <c r="BJ324" s="29"/>
      <c r="BK324" s="29" t="s">
        <v>395</v>
      </c>
      <c r="BL324" s="29" t="s">
        <v>904</v>
      </c>
      <c r="BM324" s="29" t="s">
        <v>549</v>
      </c>
      <c r="BN324" s="29" t="s">
        <v>440</v>
      </c>
      <c r="BO324" s="29"/>
      <c r="BP324" s="29"/>
      <c r="BQ324" s="29"/>
      <c r="BR324" s="29"/>
      <c r="BS324" s="29"/>
      <c r="BT324" s="29"/>
      <c r="BU324" s="29"/>
      <c r="BV324" s="29"/>
      <c r="BW324" s="29"/>
      <c r="BX324" s="29"/>
      <c r="BY324" s="29"/>
      <c r="BZ324" s="29"/>
      <c r="CA324" s="29"/>
      <c r="CB324" s="29"/>
      <c r="CC324" s="29"/>
      <c r="CD324" s="29"/>
      <c r="CE324" s="29"/>
      <c r="CF324" s="29"/>
      <c r="CG324" s="29"/>
      <c r="CH324" s="29"/>
      <c r="CI324" s="29"/>
      <c r="CJ324" s="29"/>
      <c r="CK324" s="29"/>
      <c r="CL324" s="29" t="s">
        <v>441</v>
      </c>
      <c r="CM324" s="29" t="s">
        <v>604</v>
      </c>
      <c r="CN324" s="29" t="s">
        <v>6551</v>
      </c>
      <c r="CO324" s="29" t="s">
        <v>6552</v>
      </c>
      <c r="CP324" s="29" t="s">
        <v>403</v>
      </c>
      <c r="CQ324" s="29" t="s">
        <v>6553</v>
      </c>
      <c r="CR324" s="29" t="s">
        <v>447</v>
      </c>
      <c r="CS324" s="29" t="s">
        <v>6554</v>
      </c>
      <c r="CT324" s="29"/>
      <c r="CU324" s="29" t="s">
        <v>450</v>
      </c>
      <c r="CV324" s="29" t="s">
        <v>451</v>
      </c>
      <c r="CW324" s="29" t="s">
        <v>6555</v>
      </c>
      <c r="CX324" s="29" t="s">
        <v>408</v>
      </c>
      <c r="CY324" s="29"/>
      <c r="CZ324" s="29" t="s">
        <v>453</v>
      </c>
      <c r="DA324" s="29" t="s">
        <v>6556</v>
      </c>
      <c r="DB324" s="29" t="s">
        <v>455</v>
      </c>
      <c r="DC324" s="29" t="s">
        <v>6557</v>
      </c>
      <c r="DD324" s="29" t="s">
        <v>662</v>
      </c>
      <c r="DE324" s="29" t="s">
        <v>691</v>
      </c>
      <c r="DF324" s="29" t="s">
        <v>6558</v>
      </c>
      <c r="DG324" s="29" t="s">
        <v>524</v>
      </c>
      <c r="DH324" s="29" t="s">
        <v>410</v>
      </c>
      <c r="DI324" s="29" t="s">
        <v>459</v>
      </c>
      <c r="DJ324" s="29" t="s">
        <v>460</v>
      </c>
      <c r="DK324" s="29" t="s">
        <v>6335</v>
      </c>
      <c r="DL324" s="29"/>
      <c r="DM324" s="29" t="s">
        <v>6559</v>
      </c>
      <c r="DN324" s="29" t="s">
        <v>6560</v>
      </c>
      <c r="DO324" s="29" t="s">
        <v>464</v>
      </c>
      <c r="DP324" s="29" t="s">
        <v>6561</v>
      </c>
      <c r="DQ324" s="29" t="s">
        <v>466</v>
      </c>
      <c r="DR324" s="29" t="s">
        <v>6562</v>
      </c>
      <c r="DS324" s="29" t="s">
        <v>702</v>
      </c>
      <c r="DT324" s="29" t="s">
        <v>740</v>
      </c>
      <c r="DU324" s="29"/>
      <c r="DV324" s="29"/>
      <c r="DW324" s="29" t="s">
        <v>622</v>
      </c>
      <c r="DX324" s="29" t="s">
        <v>6563</v>
      </c>
      <c r="DY324" s="29" t="s">
        <v>6564</v>
      </c>
      <c r="DZ324" s="29" t="s">
        <v>6565</v>
      </c>
      <c r="EA324" s="29" t="s">
        <v>475</v>
      </c>
      <c r="EB324" s="29"/>
      <c r="EC324" s="29"/>
      <c r="ED324" s="29"/>
      <c r="EE324" s="29"/>
      <c r="EF324" s="29"/>
      <c r="EG324" s="29"/>
      <c r="EH324" s="29"/>
      <c r="EI324" s="29"/>
      <c r="EJ324" s="29"/>
      <c r="EK324" s="29"/>
      <c r="EL324" s="29"/>
      <c r="EM324" s="29"/>
      <c r="EN324" s="29"/>
      <c r="EO324" s="29"/>
      <c r="EP324" s="29"/>
      <c r="EQ324" s="29"/>
      <c r="ER324" s="29"/>
      <c r="ES324" s="29"/>
      <c r="ET324" s="29" t="s">
        <v>478</v>
      </c>
      <c r="EU324" s="29" t="s">
        <v>1037</v>
      </c>
      <c r="EV324" s="29" t="s">
        <v>480</v>
      </c>
      <c r="EW324" s="29"/>
      <c r="EX324" s="29" t="s">
        <v>6566</v>
      </c>
      <c r="EY324" s="29" t="s">
        <v>6567</v>
      </c>
      <c r="EZ324" s="29" t="s">
        <v>414</v>
      </c>
      <c r="FA324" s="29" t="s">
        <v>414</v>
      </c>
      <c r="FB324" s="29" t="s">
        <v>484</v>
      </c>
      <c r="FC324" s="29" t="s">
        <v>484</v>
      </c>
      <c r="FD324" s="29" t="s">
        <v>484</v>
      </c>
      <c r="FE324" s="29" t="s">
        <v>583</v>
      </c>
      <c r="FF324" s="29" t="s">
        <v>484</v>
      </c>
      <c r="FG324" s="29" t="s">
        <v>484</v>
      </c>
      <c r="FH324" s="29" t="s">
        <v>484</v>
      </c>
      <c r="FI324" s="29" t="s">
        <v>484</v>
      </c>
      <c r="FJ324" s="29" t="s">
        <v>414</v>
      </c>
      <c r="FK324" s="29" t="s">
        <v>484</v>
      </c>
      <c r="FL324" s="29" t="s">
        <v>484</v>
      </c>
      <c r="FM324" s="29" t="s">
        <v>484</v>
      </c>
      <c r="FN324" s="29" t="s">
        <v>484</v>
      </c>
      <c r="FO324" s="29" t="s">
        <v>417</v>
      </c>
      <c r="FP324" s="29" t="s">
        <v>418</v>
      </c>
      <c r="FQ324" s="29" t="s">
        <v>419</v>
      </c>
      <c r="FR324" s="29"/>
      <c r="FS324" s="29" t="s">
        <v>420</v>
      </c>
      <c r="FT324" s="29" t="s">
        <v>488</v>
      </c>
      <c r="FU324" s="29" t="s">
        <v>489</v>
      </c>
      <c r="FV324" s="29" t="s">
        <v>490</v>
      </c>
      <c r="FW324" s="29" t="s">
        <v>491</v>
      </c>
      <c r="FX324" s="29" t="s">
        <v>6568</v>
      </c>
      <c r="FY324" s="29" t="s">
        <v>535</v>
      </c>
      <c r="FZ324" s="29"/>
      <c r="GA324" s="29"/>
      <c r="GB324" s="29" t="s">
        <v>455</v>
      </c>
      <c r="GC324" s="29"/>
      <c r="GD324" s="29"/>
      <c r="GE324" s="29" t="s">
        <v>1339</v>
      </c>
      <c r="GF324" s="29" t="s">
        <v>6569</v>
      </c>
      <c r="GG324" s="29" t="s">
        <v>789</v>
      </c>
      <c r="GH324" s="29" t="s">
        <v>789</v>
      </c>
      <c r="GI324" s="29" t="s">
        <v>817</v>
      </c>
      <c r="GJ324" s="29"/>
      <c r="GK324" s="29"/>
      <c r="GL324" s="29"/>
      <c r="GM324" s="29" t="s">
        <v>1079</v>
      </c>
      <c r="GN324" s="29"/>
      <c r="GO324" s="29"/>
      <c r="GP324" s="29"/>
      <c r="GQ324" s="29" t="s">
        <v>3208</v>
      </c>
      <c r="GR324" s="29"/>
      <c r="GS324" s="29"/>
      <c r="GT324" s="29" t="s">
        <v>4774</v>
      </c>
      <c r="GU324" s="29"/>
      <c r="HP324" s="31"/>
      <c r="MX324" s="29" t="s">
        <v>10402</v>
      </c>
      <c r="MY324" s="29" t="str">
        <f>IFERROR(__xludf.DUMMYFUNCTION("""COMPUTED_VALUE"""),"West Virginia")</f>
        <v>West Virginia</v>
      </c>
    </row>
    <row r="325" ht="16.5" customHeight="1">
      <c r="A325" s="33">
        <v>45921.58873783565</v>
      </c>
      <c r="B325" s="29" t="s">
        <v>368</v>
      </c>
      <c r="C325" s="29" t="s">
        <v>370</v>
      </c>
      <c r="D325" s="29"/>
      <c r="E325" s="29" t="s">
        <v>3172</v>
      </c>
      <c r="F325" s="29"/>
      <c r="G325" s="29" t="s">
        <v>422</v>
      </c>
      <c r="H325" s="29" t="s">
        <v>1921</v>
      </c>
      <c r="I325" s="29" t="s">
        <v>668</v>
      </c>
      <c r="J325" s="29" t="s">
        <v>425</v>
      </c>
      <c r="K325" s="29" t="s">
        <v>376</v>
      </c>
      <c r="L325" s="29" t="s">
        <v>426</v>
      </c>
      <c r="M325" s="29" t="s">
        <v>639</v>
      </c>
      <c r="N325" s="29" t="s">
        <v>379</v>
      </c>
      <c r="O325" s="29" t="s">
        <v>6572</v>
      </c>
      <c r="P325" s="29" t="s">
        <v>592</v>
      </c>
      <c r="Q325" s="29" t="s">
        <v>862</v>
      </c>
      <c r="R325" s="29" t="s">
        <v>500</v>
      </c>
      <c r="S325" s="29" t="s">
        <v>384</v>
      </c>
      <c r="T325" s="29" t="s">
        <v>385</v>
      </c>
      <c r="U325" s="29"/>
      <c r="V325" s="29"/>
      <c r="W325" s="29" t="s">
        <v>3014</v>
      </c>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t="s">
        <v>597</v>
      </c>
      <c r="AW325" s="29" t="s">
        <v>391</v>
      </c>
      <c r="AX325" s="29"/>
      <c r="AY325" s="29"/>
      <c r="AZ325" s="29"/>
      <c r="BA325" s="29"/>
      <c r="BB325" s="29"/>
      <c r="BC325" s="29" t="s">
        <v>6573</v>
      </c>
      <c r="BD325" s="29" t="s">
        <v>6574</v>
      </c>
      <c r="BE325" s="29" t="s">
        <v>432</v>
      </c>
      <c r="BF325" s="29" t="s">
        <v>433</v>
      </c>
      <c r="BG325" s="29" t="s">
        <v>765</v>
      </c>
      <c r="BH325" s="29" t="s">
        <v>6575</v>
      </c>
      <c r="BI325" s="29" t="s">
        <v>435</v>
      </c>
      <c r="BJ325" s="29" t="s">
        <v>6576</v>
      </c>
      <c r="BK325" s="29" t="s">
        <v>437</v>
      </c>
      <c r="BL325" s="29" t="s">
        <v>904</v>
      </c>
      <c r="BM325" s="29" t="s">
        <v>1247</v>
      </c>
      <c r="BN325" s="29" t="s">
        <v>513</v>
      </c>
      <c r="BO325" s="29"/>
      <c r="BP325" s="29"/>
      <c r="BQ325" s="29"/>
      <c r="BR325" s="29"/>
      <c r="BS325" s="29"/>
      <c r="BT325" s="29"/>
      <c r="BU325" s="29"/>
      <c r="BV325" s="29"/>
      <c r="BW325" s="29"/>
      <c r="BX325" s="29"/>
      <c r="BY325" s="29"/>
      <c r="BZ325" s="29"/>
      <c r="CA325" s="29"/>
      <c r="CB325" s="29"/>
      <c r="CC325" s="29"/>
      <c r="CD325" s="29"/>
      <c r="CE325" s="29"/>
      <c r="CF325" s="29"/>
      <c r="CG325" s="29"/>
      <c r="CH325" s="29"/>
      <c r="CI325" s="29"/>
      <c r="CJ325" s="29"/>
      <c r="CK325" s="29"/>
      <c r="CL325" s="29" t="s">
        <v>441</v>
      </c>
      <c r="CM325" s="29" t="s">
        <v>604</v>
      </c>
      <c r="CN325" s="29" t="s">
        <v>6577</v>
      </c>
      <c r="CO325" s="29" t="s">
        <v>6578</v>
      </c>
      <c r="CP325" s="29" t="s">
        <v>1008</v>
      </c>
      <c r="CQ325" s="29" t="s">
        <v>6579</v>
      </c>
      <c r="CR325" s="29" t="s">
        <v>447</v>
      </c>
      <c r="CS325" s="29" t="s">
        <v>871</v>
      </c>
      <c r="CT325" s="29" t="s">
        <v>6580</v>
      </c>
      <c r="CU325" s="29" t="s">
        <v>519</v>
      </c>
      <c r="CV325" s="29" t="s">
        <v>451</v>
      </c>
      <c r="CW325" s="29" t="s">
        <v>6581</v>
      </c>
      <c r="CX325" s="29" t="s">
        <v>408</v>
      </c>
      <c r="CY325" s="29"/>
      <c r="CZ325" s="29" t="s">
        <v>1398</v>
      </c>
      <c r="DA325" s="29" t="s">
        <v>6582</v>
      </c>
      <c r="DB325" s="29" t="s">
        <v>408</v>
      </c>
      <c r="DC325" s="29"/>
      <c r="DD325" s="29" t="s">
        <v>457</v>
      </c>
      <c r="DE325" s="29"/>
      <c r="DF325" s="29" t="s">
        <v>6583</v>
      </c>
      <c r="DG325" s="29" t="s">
        <v>776</v>
      </c>
      <c r="DH325" s="29" t="s">
        <v>833</v>
      </c>
      <c r="DI325" s="29" t="s">
        <v>777</v>
      </c>
      <c r="DJ325" s="29" t="s">
        <v>613</v>
      </c>
      <c r="DK325" s="29"/>
      <c r="DL325" s="29"/>
      <c r="DM325" s="29"/>
      <c r="DN325" s="29"/>
      <c r="DO325" s="29"/>
      <c r="DP325" s="29"/>
      <c r="DQ325" s="29"/>
      <c r="DR325" s="29"/>
      <c r="DS325" s="29"/>
      <c r="DT325" s="29"/>
      <c r="DU325" s="29"/>
      <c r="DV325" s="29"/>
      <c r="DW325" s="29"/>
      <c r="DX325" s="29"/>
      <c r="DY325" s="29"/>
      <c r="DZ325" s="29"/>
      <c r="EA325" s="29"/>
      <c r="EB325" s="29"/>
      <c r="EC325" s="29"/>
      <c r="ED325" s="29"/>
      <c r="EE325" s="29"/>
      <c r="EF325" s="29"/>
      <c r="EG325" s="29"/>
      <c r="EH325" s="29"/>
      <c r="EI325" s="29"/>
      <c r="EJ325" s="29"/>
      <c r="EK325" s="29"/>
      <c r="EL325" s="29"/>
      <c r="EM325" s="29"/>
      <c r="EN325" s="29"/>
      <c r="EO325" s="29"/>
      <c r="EP325" s="29"/>
      <c r="EQ325" s="29"/>
      <c r="ER325" s="29"/>
      <c r="ES325" s="29"/>
      <c r="ET325" s="29" t="s">
        <v>578</v>
      </c>
      <c r="EU325" s="29"/>
      <c r="EV325" s="29" t="s">
        <v>1262</v>
      </c>
      <c r="EW325" s="29" t="s">
        <v>6584</v>
      </c>
      <c r="EX325" s="29" t="s">
        <v>6585</v>
      </c>
      <c r="EY325" s="29" t="s">
        <v>6586</v>
      </c>
      <c r="EZ325" s="29" t="s">
        <v>413</v>
      </c>
      <c r="FA325" s="29" t="s">
        <v>413</v>
      </c>
      <c r="FB325" s="29" t="s">
        <v>413</v>
      </c>
      <c r="FC325" s="29" t="s">
        <v>413</v>
      </c>
      <c r="FD325" s="29" t="s">
        <v>413</v>
      </c>
      <c r="FE325" s="29" t="s">
        <v>413</v>
      </c>
      <c r="FF325" s="29" t="s">
        <v>413</v>
      </c>
      <c r="FG325" s="29" t="s">
        <v>413</v>
      </c>
      <c r="FH325" s="29" t="s">
        <v>413</v>
      </c>
      <c r="FI325" s="29" t="s">
        <v>413</v>
      </c>
      <c r="FJ325" s="29" t="s">
        <v>413</v>
      </c>
      <c r="FK325" s="29" t="s">
        <v>583</v>
      </c>
      <c r="FL325" s="29" t="s">
        <v>484</v>
      </c>
      <c r="FM325" s="29" t="s">
        <v>414</v>
      </c>
      <c r="FN325" s="29" t="s">
        <v>415</v>
      </c>
      <c r="FO325" s="29" t="s">
        <v>485</v>
      </c>
      <c r="FP325" s="29" t="s">
        <v>486</v>
      </c>
      <c r="FQ325" s="29" t="s">
        <v>1039</v>
      </c>
      <c r="FR325" s="29" t="s">
        <v>6587</v>
      </c>
      <c r="FS325" s="29" t="s">
        <v>420</v>
      </c>
      <c r="FT325" s="29" t="s">
        <v>488</v>
      </c>
      <c r="FU325" s="29" t="s">
        <v>585</v>
      </c>
      <c r="FV325" s="29" t="s">
        <v>490</v>
      </c>
      <c r="FW325" s="29" t="s">
        <v>491</v>
      </c>
      <c r="FX325" s="29" t="s">
        <v>6588</v>
      </c>
      <c r="FY325" s="29" t="s">
        <v>535</v>
      </c>
      <c r="FZ325" s="29" t="s">
        <v>6589</v>
      </c>
      <c r="GA325" s="29" t="s">
        <v>6590</v>
      </c>
      <c r="GB325" s="29" t="s">
        <v>455</v>
      </c>
      <c r="GC325" s="29"/>
      <c r="GD325" s="29"/>
      <c r="GE325" s="29" t="s">
        <v>753</v>
      </c>
      <c r="GF325" s="29" t="s">
        <v>6591</v>
      </c>
      <c r="GG325" s="29" t="s">
        <v>755</v>
      </c>
      <c r="GH325" s="29" t="s">
        <v>755</v>
      </c>
      <c r="GI325" s="29" t="s">
        <v>817</v>
      </c>
      <c r="GJ325" s="29"/>
      <c r="GK325" s="29"/>
      <c r="GL325" s="29"/>
      <c r="GM325" s="29"/>
      <c r="GN325" s="29"/>
      <c r="GO325" s="29"/>
      <c r="GP325" s="29"/>
      <c r="GQ325" s="29" t="s">
        <v>3208</v>
      </c>
      <c r="GR325" s="29"/>
      <c r="GS325" s="29"/>
      <c r="GT325" s="29" t="s">
        <v>4741</v>
      </c>
      <c r="GU325" s="29" t="s">
        <v>6592</v>
      </c>
      <c r="HP325" s="31"/>
      <c r="MX325" s="29" t="s">
        <v>10402</v>
      </c>
      <c r="MY325" s="29" t="str">
        <f>IFERROR(__xludf.DUMMYFUNCTION("""COMPUTED_VALUE"""),"North Carolina")</f>
        <v>North Carolina</v>
      </c>
    </row>
    <row r="326" ht="16.5" customHeight="1">
      <c r="A326" s="33">
        <v>45922.126089375</v>
      </c>
      <c r="B326" s="29" t="s">
        <v>368</v>
      </c>
      <c r="C326" s="29" t="s">
        <v>370</v>
      </c>
      <c r="D326" s="29" t="s">
        <v>370</v>
      </c>
      <c r="E326" s="29" t="s">
        <v>3955</v>
      </c>
      <c r="F326" s="29" t="s">
        <v>667</v>
      </c>
      <c r="G326" s="29" t="s">
        <v>422</v>
      </c>
      <c r="H326" s="29" t="s">
        <v>637</v>
      </c>
      <c r="I326" s="29" t="s">
        <v>638</v>
      </c>
      <c r="J326" s="29" t="s">
        <v>375</v>
      </c>
      <c r="K326" s="29" t="s">
        <v>376</v>
      </c>
      <c r="L326" s="29" t="s">
        <v>793</v>
      </c>
      <c r="M326" s="29" t="s">
        <v>639</v>
      </c>
      <c r="N326" s="29" t="s">
        <v>591</v>
      </c>
      <c r="O326" s="29" t="s">
        <v>719</v>
      </c>
      <c r="P326" s="29" t="s">
        <v>592</v>
      </c>
      <c r="Q326" s="29" t="s">
        <v>862</v>
      </c>
      <c r="R326" s="29" t="s">
        <v>500</v>
      </c>
      <c r="S326" s="29" t="s">
        <v>384</v>
      </c>
      <c r="T326" s="29" t="s">
        <v>385</v>
      </c>
      <c r="U326" s="29"/>
      <c r="V326" s="29"/>
      <c r="W326" s="29" t="s">
        <v>386</v>
      </c>
      <c r="X326" s="29" t="s">
        <v>387</v>
      </c>
      <c r="Y326" s="29" t="s">
        <v>1966</v>
      </c>
      <c r="Z326" s="29" t="s">
        <v>543</v>
      </c>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t="s">
        <v>1310</v>
      </c>
      <c r="AW326" s="29" t="s">
        <v>675</v>
      </c>
      <c r="AX326" s="29" t="s">
        <v>675</v>
      </c>
      <c r="AY326" s="29" t="s">
        <v>675</v>
      </c>
      <c r="AZ326" s="29">
        <v>4.0</v>
      </c>
      <c r="BA326" s="29" t="s">
        <v>675</v>
      </c>
      <c r="BB326" s="29" t="s">
        <v>675</v>
      </c>
      <c r="BC326" s="29"/>
      <c r="BD326" s="29"/>
      <c r="BE326" s="29" t="s">
        <v>432</v>
      </c>
      <c r="BF326" s="29" t="s">
        <v>1245</v>
      </c>
      <c r="BG326" s="29" t="s">
        <v>765</v>
      </c>
      <c r="BH326" s="29"/>
      <c r="BI326" s="29" t="s">
        <v>976</v>
      </c>
      <c r="BJ326" s="29"/>
      <c r="BK326" s="29"/>
      <c r="BL326" s="29" t="s">
        <v>904</v>
      </c>
      <c r="BM326" s="29" t="s">
        <v>1247</v>
      </c>
      <c r="BN326" s="29" t="s">
        <v>513</v>
      </c>
      <c r="BO326" s="29"/>
      <c r="BP326" s="29"/>
      <c r="BQ326" s="29"/>
      <c r="BR326" s="29"/>
      <c r="BS326" s="29"/>
      <c r="BT326" s="29"/>
      <c r="BU326" s="29"/>
      <c r="BV326" s="29"/>
      <c r="BW326" s="29"/>
      <c r="BX326" s="29"/>
      <c r="BY326" s="29"/>
      <c r="BZ326" s="29"/>
      <c r="CA326" s="29"/>
      <c r="CB326" s="29"/>
      <c r="CC326" s="29"/>
      <c r="CD326" s="29"/>
      <c r="CE326" s="29"/>
      <c r="CF326" s="29"/>
      <c r="CG326" s="29"/>
      <c r="CH326" s="29"/>
      <c r="CI326" s="29"/>
      <c r="CJ326" s="29"/>
      <c r="CK326" s="29"/>
      <c r="CL326" s="29" t="s">
        <v>682</v>
      </c>
      <c r="CM326" s="29" t="s">
        <v>401</v>
      </c>
      <c r="CN326" s="29" t="s">
        <v>6593</v>
      </c>
      <c r="CO326" s="29"/>
      <c r="CP326" s="29"/>
      <c r="CQ326" s="29"/>
      <c r="CR326" s="29"/>
      <c r="CS326" s="29"/>
      <c r="CT326" s="29"/>
      <c r="CU326" s="29" t="s">
        <v>1852</v>
      </c>
      <c r="CV326" s="29" t="s">
        <v>959</v>
      </c>
      <c r="CW326" s="29"/>
      <c r="CX326" s="29" t="s">
        <v>455</v>
      </c>
      <c r="CY326" s="29" t="s">
        <v>6594</v>
      </c>
      <c r="CZ326" s="29" t="s">
        <v>1962</v>
      </c>
      <c r="DA326" s="29"/>
      <c r="DB326" s="29" t="s">
        <v>408</v>
      </c>
      <c r="DC326" s="29"/>
      <c r="DD326" s="29"/>
      <c r="DE326" s="29"/>
      <c r="DF326" s="29"/>
      <c r="DG326" s="29" t="s">
        <v>693</v>
      </c>
      <c r="DH326" s="29" t="s">
        <v>1220</v>
      </c>
      <c r="DI326" s="29" t="s">
        <v>459</v>
      </c>
      <c r="DJ326" s="29" t="s">
        <v>460</v>
      </c>
      <c r="DK326" s="29" t="s">
        <v>6319</v>
      </c>
      <c r="DL326" s="29"/>
      <c r="DM326" s="29"/>
      <c r="DN326" s="29"/>
      <c r="DO326" s="29"/>
      <c r="DP326" s="29"/>
      <c r="DQ326" s="29"/>
      <c r="DR326" s="29"/>
      <c r="DS326" s="29"/>
      <c r="DT326" s="29"/>
      <c r="DU326" s="29"/>
      <c r="DV326" s="29"/>
      <c r="DW326" s="29"/>
      <c r="DX326" s="29"/>
      <c r="DY326" s="29"/>
      <c r="DZ326" s="29"/>
      <c r="EA326" s="29"/>
      <c r="EB326" s="29"/>
      <c r="EC326" s="29"/>
      <c r="ED326" s="29"/>
      <c r="EE326" s="29"/>
      <c r="EF326" s="29"/>
      <c r="EG326" s="29"/>
      <c r="EH326" s="29"/>
      <c r="EI326" s="29"/>
      <c r="EJ326" s="29"/>
      <c r="EK326" s="29"/>
      <c r="EL326" s="29"/>
      <c r="EM326" s="29"/>
      <c r="EN326" s="29"/>
      <c r="EO326" s="29"/>
      <c r="EP326" s="29"/>
      <c r="EQ326" s="29"/>
      <c r="ER326" s="29"/>
      <c r="ES326" s="29"/>
      <c r="ET326" s="29" t="s">
        <v>478</v>
      </c>
      <c r="EU326" s="29" t="s">
        <v>479</v>
      </c>
      <c r="EV326" s="29" t="s">
        <v>527</v>
      </c>
      <c r="EW326" s="29"/>
      <c r="EX326" s="29"/>
      <c r="EY326" s="29"/>
      <c r="EZ326" s="29" t="s">
        <v>414</v>
      </c>
      <c r="FA326" s="29" t="s">
        <v>583</v>
      </c>
      <c r="FB326" s="29" t="s">
        <v>413</v>
      </c>
      <c r="FC326" s="29" t="s">
        <v>583</v>
      </c>
      <c r="FD326" s="29" t="s">
        <v>416</v>
      </c>
      <c r="FE326" s="29" t="s">
        <v>583</v>
      </c>
      <c r="FF326" s="29" t="s">
        <v>583</v>
      </c>
      <c r="FG326" s="29" t="s">
        <v>484</v>
      </c>
      <c r="FH326" s="29" t="s">
        <v>484</v>
      </c>
      <c r="FI326" s="29" t="s">
        <v>414</v>
      </c>
      <c r="FJ326" s="29" t="s">
        <v>583</v>
      </c>
      <c r="FK326" s="29" t="s">
        <v>414</v>
      </c>
      <c r="FL326" s="29" t="s">
        <v>414</v>
      </c>
      <c r="FM326" s="29" t="s">
        <v>416</v>
      </c>
      <c r="FN326" s="29" t="s">
        <v>414</v>
      </c>
      <c r="FO326" s="29" t="s">
        <v>1074</v>
      </c>
      <c r="FP326" s="29" t="s">
        <v>486</v>
      </c>
      <c r="FQ326" s="29" t="s">
        <v>712</v>
      </c>
      <c r="FR326" s="29"/>
      <c r="FS326" s="29" t="s">
        <v>1871</v>
      </c>
      <c r="FT326" s="29" t="s">
        <v>421</v>
      </c>
      <c r="FU326" s="29" t="s">
        <v>533</v>
      </c>
      <c r="FV326" s="29" t="s">
        <v>2399</v>
      </c>
      <c r="FW326" s="29" t="s">
        <v>1853</v>
      </c>
      <c r="FX326" s="29"/>
      <c r="FY326" s="29" t="s">
        <v>1854</v>
      </c>
      <c r="FZ326" s="29"/>
      <c r="GA326" s="29"/>
      <c r="GB326" s="29" t="s">
        <v>408</v>
      </c>
      <c r="GC326" s="29"/>
      <c r="GD326" s="29"/>
      <c r="GE326" s="29"/>
      <c r="GF326" s="29"/>
      <c r="GG326" s="29" t="s">
        <v>1000</v>
      </c>
      <c r="GH326" s="29" t="s">
        <v>1000</v>
      </c>
      <c r="GI326" s="29" t="s">
        <v>756</v>
      </c>
      <c r="GJ326" s="29"/>
      <c r="GK326" s="29"/>
      <c r="GL326" s="29"/>
      <c r="GM326" s="29"/>
      <c r="GN326" s="29"/>
      <c r="GO326" s="29"/>
      <c r="GP326" s="29"/>
      <c r="GQ326" s="29" t="s">
        <v>3208</v>
      </c>
      <c r="GR326" s="29"/>
      <c r="GS326" s="29"/>
      <c r="GT326" s="29" t="s">
        <v>4774</v>
      </c>
      <c r="GU326" s="29"/>
      <c r="HP326" s="31"/>
      <c r="MX326" s="29" t="s">
        <v>10402</v>
      </c>
      <c r="MY326" s="29" t="str">
        <f>IFERROR(__xludf.DUMMYFUNCTION("""COMPUTED_VALUE"""),"Indiana")</f>
        <v>Indiana</v>
      </c>
    </row>
    <row r="327" ht="16.5" customHeight="1">
      <c r="A327" s="33">
        <v>45922.53526744213</v>
      </c>
      <c r="B327" s="29" t="s">
        <v>368</v>
      </c>
      <c r="C327" s="29" t="s">
        <v>370</v>
      </c>
      <c r="D327" s="29" t="s">
        <v>370</v>
      </c>
      <c r="E327" s="29" t="s">
        <v>757</v>
      </c>
      <c r="F327" s="29" t="s">
        <v>757</v>
      </c>
      <c r="G327" s="29" t="s">
        <v>422</v>
      </c>
      <c r="H327" s="29" t="s">
        <v>1921</v>
      </c>
      <c r="I327" s="29" t="s">
        <v>668</v>
      </c>
      <c r="J327" s="29" t="s">
        <v>375</v>
      </c>
      <c r="K327" s="29" t="s">
        <v>376</v>
      </c>
      <c r="L327" s="29" t="s">
        <v>379</v>
      </c>
      <c r="M327" s="29" t="s">
        <v>860</v>
      </c>
      <c r="N327" s="29" t="s">
        <v>379</v>
      </c>
      <c r="O327" s="29" t="s">
        <v>671</v>
      </c>
      <c r="P327" s="29" t="s">
        <v>1760</v>
      </c>
      <c r="Q327" s="29" t="s">
        <v>499</v>
      </c>
      <c r="R327" s="29" t="s">
        <v>427</v>
      </c>
      <c r="S327" s="29" t="s">
        <v>384</v>
      </c>
      <c r="T327" s="29" t="s">
        <v>385</v>
      </c>
      <c r="U327" s="29"/>
      <c r="V327" s="29"/>
      <c r="W327" s="29" t="s">
        <v>3014</v>
      </c>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t="s">
        <v>1310</v>
      </c>
      <c r="AW327" s="29" t="s">
        <v>391</v>
      </c>
      <c r="AX327" s="29" t="s">
        <v>391</v>
      </c>
      <c r="AY327" s="29" t="s">
        <v>391</v>
      </c>
      <c r="AZ327" s="29">
        <v>2.0</v>
      </c>
      <c r="BA327" s="29" t="s">
        <v>429</v>
      </c>
      <c r="BB327" s="29">
        <v>2.0</v>
      </c>
      <c r="BC327" s="29" t="s">
        <v>6595</v>
      </c>
      <c r="BD327" s="29" t="s">
        <v>6596</v>
      </c>
      <c r="BE327" s="29" t="s">
        <v>392</v>
      </c>
      <c r="BF327" s="29" t="s">
        <v>393</v>
      </c>
      <c r="BG327" s="29" t="s">
        <v>678</v>
      </c>
      <c r="BH327" s="29" t="s">
        <v>2675</v>
      </c>
      <c r="BI327" s="29" t="s">
        <v>435</v>
      </c>
      <c r="BJ327" s="29" t="s">
        <v>6597</v>
      </c>
      <c r="BK327" s="29" t="s">
        <v>511</v>
      </c>
      <c r="BL327" s="29" t="s">
        <v>512</v>
      </c>
      <c r="BM327" s="29" t="s">
        <v>549</v>
      </c>
      <c r="BN327" s="29" t="s">
        <v>513</v>
      </c>
      <c r="BO327" s="29"/>
      <c r="BP327" s="29"/>
      <c r="BQ327" s="29"/>
      <c r="BR327" s="29"/>
      <c r="BS327" s="29"/>
      <c r="BT327" s="29"/>
      <c r="BU327" s="29"/>
      <c r="BV327" s="29"/>
      <c r="BW327" s="29"/>
      <c r="BX327" s="29"/>
      <c r="BY327" s="29"/>
      <c r="BZ327" s="29"/>
      <c r="CA327" s="29"/>
      <c r="CB327" s="29"/>
      <c r="CC327" s="29"/>
      <c r="CD327" s="29"/>
      <c r="CE327" s="29"/>
      <c r="CF327" s="29"/>
      <c r="CG327" s="29"/>
      <c r="CH327" s="29"/>
      <c r="CI327" s="29"/>
      <c r="CJ327" s="29"/>
      <c r="CK327" s="29"/>
      <c r="CL327" s="29" t="s">
        <v>441</v>
      </c>
      <c r="CM327" s="29" t="s">
        <v>442</v>
      </c>
      <c r="CN327" s="29" t="s">
        <v>1313</v>
      </c>
      <c r="CO327" s="29" t="s">
        <v>6598</v>
      </c>
      <c r="CP327" s="29" t="s">
        <v>685</v>
      </c>
      <c r="CQ327" s="29" t="s">
        <v>956</v>
      </c>
      <c r="CR327" s="29" t="s">
        <v>555</v>
      </c>
      <c r="CS327" s="29" t="s">
        <v>1346</v>
      </c>
      <c r="CT327" s="29" t="s">
        <v>6599</v>
      </c>
      <c r="CU327" s="29" t="s">
        <v>450</v>
      </c>
      <c r="CV327" s="29" t="s">
        <v>451</v>
      </c>
      <c r="CW327" s="29" t="s">
        <v>6600</v>
      </c>
      <c r="CX327" s="29" t="s">
        <v>408</v>
      </c>
      <c r="CY327" s="29"/>
      <c r="CZ327" s="29" t="s">
        <v>985</v>
      </c>
      <c r="DA327" s="29" t="s">
        <v>6601</v>
      </c>
      <c r="DB327" s="29" t="s">
        <v>408</v>
      </c>
      <c r="DC327" s="29"/>
      <c r="DD327" s="29" t="s">
        <v>988</v>
      </c>
      <c r="DE327" s="29" t="s">
        <v>1867</v>
      </c>
      <c r="DF327" s="29" t="s">
        <v>6602</v>
      </c>
      <c r="DG327" s="29" t="s">
        <v>776</v>
      </c>
      <c r="DH327" s="29" t="s">
        <v>1964</v>
      </c>
      <c r="DI327" s="29" t="s">
        <v>963</v>
      </c>
      <c r="DJ327" s="29" t="s">
        <v>1148</v>
      </c>
      <c r="DK327" s="29" t="s">
        <v>6603</v>
      </c>
      <c r="DL327" s="29" t="s">
        <v>6604</v>
      </c>
      <c r="DM327" s="29"/>
      <c r="DN327" s="29"/>
      <c r="DO327" s="29"/>
      <c r="DP327" s="29"/>
      <c r="DQ327" s="29"/>
      <c r="DR327" s="29"/>
      <c r="DS327" s="29"/>
      <c r="DT327" s="29"/>
      <c r="DU327" s="29"/>
      <c r="DV327" s="29"/>
      <c r="DW327" s="29"/>
      <c r="DX327" s="29"/>
      <c r="DY327" s="29"/>
      <c r="DZ327" s="29"/>
      <c r="EA327" s="29"/>
      <c r="EB327" s="29"/>
      <c r="EC327" s="29"/>
      <c r="ED327" s="29"/>
      <c r="EE327" s="29"/>
      <c r="EF327" s="29"/>
      <c r="EG327" s="29"/>
      <c r="EH327" s="29"/>
      <c r="EI327" s="29"/>
      <c r="EJ327" s="29"/>
      <c r="EK327" s="29"/>
      <c r="EL327" s="29"/>
      <c r="EM327" s="29"/>
      <c r="EN327" s="29"/>
      <c r="EO327" s="29"/>
      <c r="EP327" s="29"/>
      <c r="EQ327" s="29"/>
      <c r="ER327" s="29"/>
      <c r="ES327" s="29"/>
      <c r="ET327" s="29" t="s">
        <v>526</v>
      </c>
      <c r="EU327" s="29" t="s">
        <v>479</v>
      </c>
      <c r="EV327" s="29" t="s">
        <v>480</v>
      </c>
      <c r="EW327" s="29"/>
      <c r="EX327" s="29" t="s">
        <v>6605</v>
      </c>
      <c r="EY327" s="29" t="s">
        <v>6606</v>
      </c>
      <c r="EZ327" s="29" t="s">
        <v>415</v>
      </c>
      <c r="FA327" s="29" t="s">
        <v>415</v>
      </c>
      <c r="FB327" s="29" t="s">
        <v>413</v>
      </c>
      <c r="FC327" s="29" t="s">
        <v>413</v>
      </c>
      <c r="FD327" s="29" t="s">
        <v>413</v>
      </c>
      <c r="FE327" s="29" t="s">
        <v>415</v>
      </c>
      <c r="FF327" s="29" t="s">
        <v>413</v>
      </c>
      <c r="FG327" s="29" t="s">
        <v>413</v>
      </c>
      <c r="FH327" s="29" t="s">
        <v>416</v>
      </c>
      <c r="FI327" s="29" t="s">
        <v>414</v>
      </c>
      <c r="FJ327" s="29" t="s">
        <v>414</v>
      </c>
      <c r="FK327" s="29" t="s">
        <v>414</v>
      </c>
      <c r="FL327" s="29" t="s">
        <v>415</v>
      </c>
      <c r="FM327" s="29" t="s">
        <v>415</v>
      </c>
      <c r="FN327" s="29" t="s">
        <v>414</v>
      </c>
      <c r="FO327" s="29" t="s">
        <v>485</v>
      </c>
      <c r="FP327" s="29" t="s">
        <v>418</v>
      </c>
      <c r="FQ327" s="29" t="s">
        <v>419</v>
      </c>
      <c r="FR327" s="29"/>
      <c r="FS327" s="29" t="s">
        <v>1189</v>
      </c>
      <c r="FT327" s="29" t="s">
        <v>488</v>
      </c>
      <c r="FU327" s="29" t="s">
        <v>585</v>
      </c>
      <c r="FV327" s="29" t="s">
        <v>490</v>
      </c>
      <c r="FW327" s="29" t="s">
        <v>491</v>
      </c>
      <c r="FX327" s="29" t="s">
        <v>6607</v>
      </c>
      <c r="FY327" s="29" t="s">
        <v>493</v>
      </c>
      <c r="FZ327" s="29"/>
      <c r="GA327" s="29"/>
      <c r="GB327" s="29" t="s">
        <v>408</v>
      </c>
      <c r="GC327" s="29"/>
      <c r="GD327" s="29"/>
      <c r="GE327" s="29"/>
      <c r="GF327" s="29"/>
      <c r="GG327" s="29" t="s">
        <v>920</v>
      </c>
      <c r="GH327" s="29" t="s">
        <v>920</v>
      </c>
      <c r="GI327" s="29" t="s">
        <v>756</v>
      </c>
      <c r="GJ327" s="29"/>
      <c r="GK327" s="29"/>
      <c r="GL327" s="29"/>
      <c r="GM327" s="29"/>
      <c r="GN327" s="29"/>
      <c r="GO327" s="29"/>
      <c r="GP327" s="29"/>
      <c r="GQ327" s="29" t="s">
        <v>3273</v>
      </c>
      <c r="GR327" s="29"/>
      <c r="GS327" s="29"/>
      <c r="GT327" s="29" t="s">
        <v>4774</v>
      </c>
      <c r="GU327" s="29"/>
      <c r="HP327" s="31"/>
      <c r="MX327" s="29" t="s">
        <v>10402</v>
      </c>
      <c r="MY327" s="29" t="str">
        <f>IFERROR(__xludf.DUMMYFUNCTION("""COMPUTED_VALUE"""),"Missouri")</f>
        <v>Missouri</v>
      </c>
    </row>
    <row r="328" ht="16.5" customHeight="1">
      <c r="A328" s="33">
        <v>45922.54085658565</v>
      </c>
      <c r="B328" s="29" t="s">
        <v>368</v>
      </c>
      <c r="C328" s="29" t="s">
        <v>370</v>
      </c>
      <c r="D328" s="29" t="s">
        <v>370</v>
      </c>
      <c r="E328" s="29" t="s">
        <v>922</v>
      </c>
      <c r="F328" s="29" t="s">
        <v>922</v>
      </c>
      <c r="G328" s="29" t="s">
        <v>422</v>
      </c>
      <c r="H328" s="29" t="s">
        <v>637</v>
      </c>
      <c r="I328" s="29" t="s">
        <v>638</v>
      </c>
      <c r="J328" s="29" t="s">
        <v>590</v>
      </c>
      <c r="K328" s="29" t="s">
        <v>376</v>
      </c>
      <c r="L328" s="29" t="s">
        <v>377</v>
      </c>
      <c r="M328" s="29" t="s">
        <v>1442</v>
      </c>
      <c r="N328" s="29" t="s">
        <v>379</v>
      </c>
      <c r="O328" s="29" t="s">
        <v>6608</v>
      </c>
      <c r="P328" s="29" t="s">
        <v>1760</v>
      </c>
      <c r="Q328" s="29" t="s">
        <v>499</v>
      </c>
      <c r="R328" s="29" t="s">
        <v>6609</v>
      </c>
      <c r="S328" s="29" t="s">
        <v>384</v>
      </c>
      <c r="T328" s="29" t="s">
        <v>385</v>
      </c>
      <c r="U328" s="29"/>
      <c r="V328" s="29"/>
      <c r="W328" s="29" t="s">
        <v>1023</v>
      </c>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t="s">
        <v>504</v>
      </c>
      <c r="AW328" s="29">
        <v>2.0</v>
      </c>
      <c r="AX328" s="29" t="s">
        <v>429</v>
      </c>
      <c r="AY328" s="29">
        <v>2.0</v>
      </c>
      <c r="AZ328" s="29" t="s">
        <v>429</v>
      </c>
      <c r="BA328" s="29" t="s">
        <v>429</v>
      </c>
      <c r="BB328" s="29" t="s">
        <v>429</v>
      </c>
      <c r="BC328" s="29" t="s">
        <v>6610</v>
      </c>
      <c r="BD328" s="29" t="s">
        <v>6611</v>
      </c>
      <c r="BE328" s="29" t="s">
        <v>392</v>
      </c>
      <c r="BF328" s="29" t="s">
        <v>433</v>
      </c>
      <c r="BG328" s="29" t="s">
        <v>678</v>
      </c>
      <c r="BH328" s="29"/>
      <c r="BI328" s="29" t="s">
        <v>509</v>
      </c>
      <c r="BJ328" s="29" t="s">
        <v>6612</v>
      </c>
      <c r="BK328" s="29" t="s">
        <v>602</v>
      </c>
      <c r="BL328" s="29" t="s">
        <v>904</v>
      </c>
      <c r="BM328" s="29" t="s">
        <v>439</v>
      </c>
      <c r="BN328" s="29" t="s">
        <v>440</v>
      </c>
      <c r="BO328" s="29"/>
      <c r="BP328" s="29"/>
      <c r="BQ328" s="29"/>
      <c r="BR328" s="29"/>
      <c r="BS328" s="29"/>
      <c r="BT328" s="29"/>
      <c r="BU328" s="29"/>
      <c r="BV328" s="29"/>
      <c r="BW328" s="29"/>
      <c r="BX328" s="29"/>
      <c r="BY328" s="29"/>
      <c r="BZ328" s="29"/>
      <c r="CA328" s="29"/>
      <c r="CB328" s="29"/>
      <c r="CC328" s="29"/>
      <c r="CD328" s="29"/>
      <c r="CE328" s="29"/>
      <c r="CF328" s="29"/>
      <c r="CG328" s="29"/>
      <c r="CH328" s="29"/>
      <c r="CI328" s="29"/>
      <c r="CJ328" s="29"/>
      <c r="CK328" s="29"/>
      <c r="CL328" s="29"/>
      <c r="CM328" s="29"/>
      <c r="CN328" s="29"/>
      <c r="CO328" s="29"/>
      <c r="CP328" s="29"/>
      <c r="CQ328" s="29"/>
      <c r="CR328" s="29"/>
      <c r="CS328" s="29"/>
      <c r="CT328" s="29"/>
      <c r="CU328" s="29"/>
      <c r="CV328" s="29"/>
      <c r="CW328" s="29"/>
      <c r="CX328" s="29"/>
      <c r="CY328" s="29"/>
      <c r="CZ328" s="29"/>
      <c r="DA328" s="29"/>
      <c r="DB328" s="29"/>
      <c r="DC328" s="29"/>
      <c r="DD328" s="29"/>
      <c r="DE328" s="29"/>
      <c r="DF328" s="29"/>
      <c r="DG328" s="29"/>
      <c r="DH328" s="29"/>
      <c r="DI328" s="29" t="s">
        <v>777</v>
      </c>
      <c r="DJ328" s="29" t="s">
        <v>613</v>
      </c>
      <c r="DK328" s="29"/>
      <c r="DL328" s="29"/>
      <c r="DM328" s="29" t="s">
        <v>6613</v>
      </c>
      <c r="DN328" s="29" t="s">
        <v>6614</v>
      </c>
      <c r="DO328" s="29" t="s">
        <v>464</v>
      </c>
      <c r="DP328" s="29" t="s">
        <v>6615</v>
      </c>
      <c r="DQ328" s="29" t="s">
        <v>1291</v>
      </c>
      <c r="DR328" s="29" t="s">
        <v>6616</v>
      </c>
      <c r="DS328" s="29" t="s">
        <v>6617</v>
      </c>
      <c r="DT328" s="29" t="s">
        <v>6618</v>
      </c>
      <c r="DU328" s="29" t="s">
        <v>6619</v>
      </c>
      <c r="DV328" s="29" t="s">
        <v>6620</v>
      </c>
      <c r="DW328" s="29" t="s">
        <v>622</v>
      </c>
      <c r="DX328" s="29" t="s">
        <v>6621</v>
      </c>
      <c r="DY328" s="29" t="s">
        <v>6622</v>
      </c>
      <c r="DZ328" s="29" t="s">
        <v>6623</v>
      </c>
      <c r="EA328" s="29" t="s">
        <v>475</v>
      </c>
      <c r="EB328" s="29" t="s">
        <v>845</v>
      </c>
      <c r="EC328" s="29"/>
      <c r="ED328" s="29"/>
      <c r="EE328" s="29"/>
      <c r="EF328" s="29"/>
      <c r="EG328" s="29"/>
      <c r="EH328" s="29"/>
      <c r="EI328" s="29"/>
      <c r="EJ328" s="29"/>
      <c r="EK328" s="29"/>
      <c r="EL328" s="29"/>
      <c r="EM328" s="29"/>
      <c r="EN328" s="29"/>
      <c r="EO328" s="29"/>
      <c r="EP328" s="29"/>
      <c r="EQ328" s="29"/>
      <c r="ER328" s="29"/>
      <c r="ES328" s="29"/>
      <c r="ET328" s="29" t="s">
        <v>526</v>
      </c>
      <c r="EU328" s="29" t="s">
        <v>479</v>
      </c>
      <c r="EV328" s="29" t="s">
        <v>663</v>
      </c>
      <c r="EW328" s="29"/>
      <c r="EX328" s="29" t="s">
        <v>6624</v>
      </c>
      <c r="EY328" s="29" t="s">
        <v>6625</v>
      </c>
      <c r="EZ328" s="29" t="s">
        <v>583</v>
      </c>
      <c r="FA328" s="29" t="s">
        <v>583</v>
      </c>
      <c r="FB328" s="29" t="s">
        <v>413</v>
      </c>
      <c r="FC328" s="29" t="s">
        <v>414</v>
      </c>
      <c r="FD328" s="29" t="s">
        <v>484</v>
      </c>
      <c r="FE328" s="29" t="s">
        <v>414</v>
      </c>
      <c r="FF328" s="29" t="s">
        <v>414</v>
      </c>
      <c r="FG328" s="29" t="s">
        <v>415</v>
      </c>
      <c r="FH328" s="29" t="s">
        <v>484</v>
      </c>
      <c r="FI328" s="29" t="s">
        <v>414</v>
      </c>
      <c r="FJ328" s="29" t="s">
        <v>415</v>
      </c>
      <c r="FK328" s="29" t="s">
        <v>414</v>
      </c>
      <c r="FL328" s="29" t="s">
        <v>414</v>
      </c>
      <c r="FM328" s="29" t="s">
        <v>484</v>
      </c>
      <c r="FN328" s="29" t="s">
        <v>414</v>
      </c>
      <c r="FO328" s="29" t="s">
        <v>485</v>
      </c>
      <c r="FP328" s="29" t="s">
        <v>486</v>
      </c>
      <c r="FQ328" s="29" t="s">
        <v>419</v>
      </c>
      <c r="FR328" s="29" t="s">
        <v>6626</v>
      </c>
      <c r="FS328" s="29" t="s">
        <v>420</v>
      </c>
      <c r="FT328" s="29" t="s">
        <v>488</v>
      </c>
      <c r="FU328" s="29" t="s">
        <v>585</v>
      </c>
      <c r="FV328" s="29" t="s">
        <v>490</v>
      </c>
      <c r="FW328" s="29" t="s">
        <v>491</v>
      </c>
      <c r="FX328" s="29" t="s">
        <v>6627</v>
      </c>
      <c r="FY328" s="29" t="s">
        <v>535</v>
      </c>
      <c r="FZ328" s="29" t="s">
        <v>6628</v>
      </c>
      <c r="GA328" s="29"/>
      <c r="GB328" s="29" t="s">
        <v>455</v>
      </c>
      <c r="GC328" s="29"/>
      <c r="GD328" s="29"/>
      <c r="GE328" s="29" t="s">
        <v>753</v>
      </c>
      <c r="GF328" s="29"/>
      <c r="GG328" s="29"/>
      <c r="GH328" s="29"/>
      <c r="GI328" s="29"/>
      <c r="GJ328" s="29"/>
      <c r="GK328" s="29"/>
      <c r="GL328" s="29"/>
      <c r="GM328" s="29" t="s">
        <v>6629</v>
      </c>
      <c r="GN328" s="29"/>
      <c r="GO328" s="29"/>
      <c r="GP328" s="29"/>
      <c r="GQ328" s="29" t="s">
        <v>3208</v>
      </c>
      <c r="GR328" s="29"/>
      <c r="GS328" s="29"/>
      <c r="GT328" s="29"/>
      <c r="GU328" s="29"/>
      <c r="HP328" s="31"/>
      <c r="MX328" s="29" t="s">
        <v>10402</v>
      </c>
      <c r="MY328" s="29" t="str">
        <f>IFERROR(__xludf.DUMMYFUNCTION("""COMPUTED_VALUE"""),"Vermont")</f>
        <v>Vermont</v>
      </c>
    </row>
    <row r="329" ht="16.5" customHeight="1">
      <c r="A329" s="33">
        <v>45922.60076869213</v>
      </c>
      <c r="B329" s="29" t="s">
        <v>368</v>
      </c>
      <c r="C329" s="29" t="s">
        <v>370</v>
      </c>
      <c r="D329" s="29" t="s">
        <v>370</v>
      </c>
      <c r="E329" s="29" t="s">
        <v>5221</v>
      </c>
      <c r="F329" s="29" t="s">
        <v>6634</v>
      </c>
      <c r="G329" s="29" t="s">
        <v>422</v>
      </c>
      <c r="H329" s="29" t="s">
        <v>1921</v>
      </c>
      <c r="I329" s="29" t="s">
        <v>1022</v>
      </c>
      <c r="J329" s="29" t="s">
        <v>718</v>
      </c>
      <c r="K329" s="29" t="s">
        <v>376</v>
      </c>
      <c r="L329" s="29" t="s">
        <v>793</v>
      </c>
      <c r="M329" s="29" t="s">
        <v>639</v>
      </c>
      <c r="N329" s="29" t="s">
        <v>591</v>
      </c>
      <c r="O329" s="29" t="s">
        <v>2464</v>
      </c>
      <c r="P329" s="29" t="s">
        <v>498</v>
      </c>
      <c r="Q329" s="29" t="s">
        <v>759</v>
      </c>
      <c r="R329" s="29" t="s">
        <v>949</v>
      </c>
      <c r="S329" s="29" t="s">
        <v>384</v>
      </c>
      <c r="T329" s="29" t="s">
        <v>1023</v>
      </c>
      <c r="U329" s="29"/>
      <c r="V329" s="29"/>
      <c r="W329" s="29" t="s">
        <v>1023</v>
      </c>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t="s">
        <v>597</v>
      </c>
      <c r="AW329" s="29" t="s">
        <v>675</v>
      </c>
      <c r="AX329" s="29">
        <v>4.0</v>
      </c>
      <c r="AY329" s="29">
        <v>4.0</v>
      </c>
      <c r="AZ329" s="29" t="s">
        <v>675</v>
      </c>
      <c r="BA329" s="29" t="s">
        <v>675</v>
      </c>
      <c r="BB329" s="29" t="s">
        <v>675</v>
      </c>
      <c r="BC329" s="29" t="s">
        <v>6635</v>
      </c>
      <c r="BD329" s="29" t="s">
        <v>6636</v>
      </c>
      <c r="BE329" s="29" t="s">
        <v>392</v>
      </c>
      <c r="BF329" s="29" t="s">
        <v>393</v>
      </c>
      <c r="BG329" s="29" t="s">
        <v>394</v>
      </c>
      <c r="BH329" s="29"/>
      <c r="BI329" s="29" t="s">
        <v>824</v>
      </c>
      <c r="BJ329" s="29"/>
      <c r="BK329" s="29" t="s">
        <v>437</v>
      </c>
      <c r="BL329" s="29" t="s">
        <v>396</v>
      </c>
      <c r="BM329" s="29" t="s">
        <v>397</v>
      </c>
      <c r="BN329" s="29" t="s">
        <v>398</v>
      </c>
      <c r="BO329" s="29" t="s">
        <v>6637</v>
      </c>
      <c r="BP329" s="29" t="s">
        <v>6638</v>
      </c>
      <c r="BQ329" s="29" t="s">
        <v>604</v>
      </c>
      <c r="BR329" s="29" t="s">
        <v>1928</v>
      </c>
      <c r="BS329" s="29" t="s">
        <v>403</v>
      </c>
      <c r="BT329" s="29" t="s">
        <v>5175</v>
      </c>
      <c r="BU329" s="29" t="s">
        <v>405</v>
      </c>
      <c r="BV329" s="29"/>
      <c r="BW329" s="29" t="s">
        <v>406</v>
      </c>
      <c r="BX329" s="29"/>
      <c r="BY329" s="29" t="s">
        <v>408</v>
      </c>
      <c r="BZ329" s="29"/>
      <c r="CA329" s="29"/>
      <c r="CB329" s="29" t="s">
        <v>6639</v>
      </c>
      <c r="CC329" s="29" t="s">
        <v>6640</v>
      </c>
      <c r="CD329" s="29" t="s">
        <v>1257</v>
      </c>
      <c r="CE329" s="29"/>
      <c r="CF329" s="29" t="s">
        <v>1258</v>
      </c>
      <c r="CG329" s="29"/>
      <c r="CH329" s="29" t="s">
        <v>1698</v>
      </c>
      <c r="CI329" s="29" t="s">
        <v>1220</v>
      </c>
      <c r="CJ329" s="29" t="s">
        <v>6641</v>
      </c>
      <c r="CK329" s="29" t="s">
        <v>6642</v>
      </c>
      <c r="CL329" s="29"/>
      <c r="CM329" s="29"/>
      <c r="CN329" s="29"/>
      <c r="CO329" s="29"/>
      <c r="CP329" s="29"/>
      <c r="CQ329" s="29"/>
      <c r="CR329" s="29"/>
      <c r="CS329" s="29"/>
      <c r="CT329" s="29"/>
      <c r="CU329" s="29"/>
      <c r="CV329" s="29"/>
      <c r="CW329" s="29"/>
      <c r="CX329" s="29"/>
      <c r="CY329" s="29"/>
      <c r="CZ329" s="29"/>
      <c r="DA329" s="29"/>
      <c r="DB329" s="29"/>
      <c r="DC329" s="29"/>
      <c r="DD329" s="29"/>
      <c r="DE329" s="29"/>
      <c r="DF329" s="29"/>
      <c r="DG329" s="29"/>
      <c r="DH329" s="29"/>
      <c r="DI329" s="29" t="s">
        <v>963</v>
      </c>
      <c r="DJ329" s="29" t="s">
        <v>562</v>
      </c>
      <c r="DK329" s="29" t="s">
        <v>6335</v>
      </c>
      <c r="DL329" s="29"/>
      <c r="DM329" s="29"/>
      <c r="DN329" s="29"/>
      <c r="DO329" s="29"/>
      <c r="DP329" s="29"/>
      <c r="DQ329" s="29"/>
      <c r="DR329" s="29"/>
      <c r="DS329" s="29"/>
      <c r="DT329" s="29"/>
      <c r="DU329" s="29"/>
      <c r="DV329" s="29"/>
      <c r="DW329" s="29"/>
      <c r="DX329" s="29"/>
      <c r="DY329" s="29"/>
      <c r="DZ329" s="29"/>
      <c r="EA329" s="29"/>
      <c r="EB329" s="29"/>
      <c r="EC329" s="29"/>
      <c r="ED329" s="29"/>
      <c r="EE329" s="29"/>
      <c r="EF329" s="29"/>
      <c r="EG329" s="29"/>
      <c r="EH329" s="29"/>
      <c r="EI329" s="29"/>
      <c r="EJ329" s="29"/>
      <c r="EK329" s="29"/>
      <c r="EL329" s="29"/>
      <c r="EM329" s="29"/>
      <c r="EN329" s="29"/>
      <c r="EO329" s="29"/>
      <c r="EP329" s="29"/>
      <c r="EQ329" s="29"/>
      <c r="ER329" s="29"/>
      <c r="ES329" s="29"/>
      <c r="ET329" s="29" t="s">
        <v>526</v>
      </c>
      <c r="EU329" s="29" t="s">
        <v>887</v>
      </c>
      <c r="EV329" s="29" t="s">
        <v>1262</v>
      </c>
      <c r="EW329" s="29"/>
      <c r="EX329" s="29" t="s">
        <v>6643</v>
      </c>
      <c r="EY329" s="29"/>
      <c r="EZ329" s="29" t="s">
        <v>414</v>
      </c>
      <c r="FA329" s="29" t="s">
        <v>583</v>
      </c>
      <c r="FB329" s="29" t="s">
        <v>414</v>
      </c>
      <c r="FC329" s="29" t="s">
        <v>414</v>
      </c>
      <c r="FD329" s="29" t="s">
        <v>415</v>
      </c>
      <c r="FE329" s="29" t="s">
        <v>415</v>
      </c>
      <c r="FF329" s="29" t="s">
        <v>414</v>
      </c>
      <c r="FG329" s="29" t="s">
        <v>416</v>
      </c>
      <c r="FH329" s="29" t="s">
        <v>416</v>
      </c>
      <c r="FI329" s="29" t="s">
        <v>414</v>
      </c>
      <c r="FJ329" s="29" t="s">
        <v>414</v>
      </c>
      <c r="FK329" s="29" t="s">
        <v>415</v>
      </c>
      <c r="FL329" s="29" t="s">
        <v>415</v>
      </c>
      <c r="FM329" s="29" t="s">
        <v>415</v>
      </c>
      <c r="FN329" s="29" t="s">
        <v>415</v>
      </c>
      <c r="FO329" s="29" t="s">
        <v>417</v>
      </c>
      <c r="FP329" s="29" t="s">
        <v>486</v>
      </c>
      <c r="FQ329" s="29" t="s">
        <v>712</v>
      </c>
      <c r="FR329" s="29"/>
      <c r="FS329" s="29" t="s">
        <v>995</v>
      </c>
      <c r="FT329" s="29" t="s">
        <v>421</v>
      </c>
      <c r="FU329" s="29" t="s">
        <v>533</v>
      </c>
      <c r="FV329" s="29" t="s">
        <v>490</v>
      </c>
      <c r="FW329" s="29" t="s">
        <v>491</v>
      </c>
      <c r="FX329" s="29" t="s">
        <v>6644</v>
      </c>
      <c r="FY329" s="29" t="s">
        <v>535</v>
      </c>
      <c r="FZ329" s="29"/>
      <c r="GA329" s="29"/>
      <c r="GB329" s="29" t="s">
        <v>455</v>
      </c>
      <c r="GC329" s="29"/>
      <c r="GD329" s="29"/>
      <c r="GE329" s="29" t="s">
        <v>753</v>
      </c>
      <c r="GF329" s="29"/>
      <c r="GG329" s="29"/>
      <c r="GH329" s="29"/>
      <c r="GI329" s="29"/>
      <c r="GJ329" s="29" t="s">
        <v>755</v>
      </c>
      <c r="GK329" s="29" t="s">
        <v>755</v>
      </c>
      <c r="GL329" s="29" t="s">
        <v>946</v>
      </c>
      <c r="GM329" s="29"/>
      <c r="GN329" s="29"/>
      <c r="GO329" s="29"/>
      <c r="GP329" s="29"/>
      <c r="GQ329" s="29" t="s">
        <v>4653</v>
      </c>
      <c r="GR329" s="29" t="s">
        <v>4774</v>
      </c>
      <c r="GS329" s="29"/>
      <c r="GT329" s="29"/>
      <c r="GU329" s="29"/>
      <c r="HP329" s="31"/>
      <c r="MX329" s="29" t="s">
        <v>6645</v>
      </c>
      <c r="MY329" s="29" t="str">
        <f>IFERROR(__xludf.DUMMYFUNCTION("""COMPUTED_VALUE"""),"Iran")</f>
        <v>Iran</v>
      </c>
    </row>
    <row r="330" ht="16.5" customHeight="1">
      <c r="A330" s="33">
        <v>45922.616364236106</v>
      </c>
      <c r="B330" s="29" t="s">
        <v>368</v>
      </c>
      <c r="C330" s="29" t="s">
        <v>6645</v>
      </c>
      <c r="D330" s="29" t="s">
        <v>6645</v>
      </c>
      <c r="E330" s="29"/>
      <c r="F330" s="29"/>
      <c r="G330" s="29" t="s">
        <v>1140</v>
      </c>
      <c r="H330" s="29" t="s">
        <v>637</v>
      </c>
      <c r="I330" s="29" t="s">
        <v>638</v>
      </c>
      <c r="J330" s="29" t="s">
        <v>590</v>
      </c>
      <c r="K330" s="29" t="s">
        <v>376</v>
      </c>
      <c r="L330" s="29" t="s">
        <v>426</v>
      </c>
      <c r="M330" s="29" t="s">
        <v>720</v>
      </c>
      <c r="N330" s="29" t="s">
        <v>591</v>
      </c>
      <c r="O330" s="29" t="s">
        <v>639</v>
      </c>
      <c r="P330" s="29" t="s">
        <v>592</v>
      </c>
      <c r="Q330" s="29" t="s">
        <v>1156</v>
      </c>
      <c r="R330" s="29" t="s">
        <v>427</v>
      </c>
      <c r="S330" s="29" t="s">
        <v>384</v>
      </c>
      <c r="T330" s="29" t="s">
        <v>385</v>
      </c>
      <c r="U330" s="29"/>
      <c r="V330" s="29"/>
      <c r="W330" s="29" t="s">
        <v>593</v>
      </c>
      <c r="X330" s="29" t="s">
        <v>642</v>
      </c>
      <c r="Y330" s="29"/>
      <c r="Z330" s="29"/>
      <c r="AA330" s="29"/>
      <c r="AB330" s="29"/>
      <c r="AC330" s="29"/>
      <c r="AD330" s="29"/>
      <c r="AE330" s="29"/>
      <c r="AF330" s="29"/>
      <c r="AG330" s="29"/>
      <c r="AH330" s="29"/>
      <c r="AI330" s="29"/>
      <c r="AJ330" s="29"/>
      <c r="AK330" s="29"/>
      <c r="AL330" s="29" t="s">
        <v>6646</v>
      </c>
      <c r="AM330" s="29" t="s">
        <v>644</v>
      </c>
      <c r="AN330" s="29" t="s">
        <v>455</v>
      </c>
      <c r="AO330" s="29" t="s">
        <v>6647</v>
      </c>
      <c r="AP330" s="29" t="s">
        <v>1144</v>
      </c>
      <c r="AQ330" s="29">
        <v>5.0</v>
      </c>
      <c r="AR330" s="29" t="s">
        <v>1145</v>
      </c>
      <c r="AS330" s="29" t="s">
        <v>6648</v>
      </c>
      <c r="AT330" s="29" t="s">
        <v>6649</v>
      </c>
      <c r="AU330" s="29" t="s">
        <v>6650</v>
      </c>
      <c r="AV330" s="29" t="s">
        <v>390</v>
      </c>
      <c r="AW330" s="29" t="s">
        <v>391</v>
      </c>
      <c r="AX330" s="29" t="s">
        <v>391</v>
      </c>
      <c r="AY330" s="29" t="s">
        <v>675</v>
      </c>
      <c r="AZ330" s="29">
        <v>2.0</v>
      </c>
      <c r="BA330" s="29" t="s">
        <v>391</v>
      </c>
      <c r="BB330" s="29" t="s">
        <v>675</v>
      </c>
      <c r="BC330" s="29" t="s">
        <v>6651</v>
      </c>
      <c r="BD330" s="29" t="s">
        <v>6652</v>
      </c>
      <c r="BE330" s="29" t="s">
        <v>392</v>
      </c>
      <c r="BF330" s="29" t="s">
        <v>433</v>
      </c>
      <c r="BG330" s="29" t="s">
        <v>678</v>
      </c>
      <c r="BH330" s="29" t="s">
        <v>6653</v>
      </c>
      <c r="BI330" s="29" t="s">
        <v>976</v>
      </c>
      <c r="BJ330" s="29"/>
      <c r="BK330" s="29" t="s">
        <v>681</v>
      </c>
      <c r="BL330" s="29" t="s">
        <v>438</v>
      </c>
      <c r="BM330" s="29" t="s">
        <v>397</v>
      </c>
      <c r="BN330" s="29" t="s">
        <v>513</v>
      </c>
      <c r="BO330" s="29"/>
      <c r="BP330" s="29"/>
      <c r="BQ330" s="29"/>
      <c r="BR330" s="29"/>
      <c r="BS330" s="29"/>
      <c r="BT330" s="29"/>
      <c r="BU330" s="29"/>
      <c r="BV330" s="29"/>
      <c r="BW330" s="29"/>
      <c r="BX330" s="29"/>
      <c r="BY330" s="29"/>
      <c r="BZ330" s="29"/>
      <c r="CA330" s="29"/>
      <c r="CB330" s="29"/>
      <c r="CC330" s="29"/>
      <c r="CD330" s="29"/>
      <c r="CE330" s="29"/>
      <c r="CF330" s="29"/>
      <c r="CG330" s="29"/>
      <c r="CH330" s="29"/>
      <c r="CI330" s="29"/>
      <c r="CJ330" s="29"/>
      <c r="CK330" s="29"/>
      <c r="CL330" s="29" t="s">
        <v>550</v>
      </c>
      <c r="CM330" s="29" t="s">
        <v>604</v>
      </c>
      <c r="CN330" s="29" t="s">
        <v>6654</v>
      </c>
      <c r="CO330" s="29" t="s">
        <v>6655</v>
      </c>
      <c r="CP330" s="29" t="s">
        <v>445</v>
      </c>
      <c r="CQ330" s="29" t="s">
        <v>6656</v>
      </c>
      <c r="CR330" s="29" t="s">
        <v>447</v>
      </c>
      <c r="CS330" s="29" t="s">
        <v>656</v>
      </c>
      <c r="CT330" s="29" t="s">
        <v>6657</v>
      </c>
      <c r="CU330" s="29" t="s">
        <v>450</v>
      </c>
      <c r="CV330" s="29" t="s">
        <v>451</v>
      </c>
      <c r="CW330" s="29" t="s">
        <v>6658</v>
      </c>
      <c r="CX330" s="29" t="s">
        <v>408</v>
      </c>
      <c r="CY330" s="29" t="s">
        <v>6659</v>
      </c>
      <c r="CZ330" s="29" t="s">
        <v>453</v>
      </c>
      <c r="DA330" s="29" t="s">
        <v>6660</v>
      </c>
      <c r="DB330" s="29" t="s">
        <v>408</v>
      </c>
      <c r="DC330" s="29"/>
      <c r="DD330" s="29" t="s">
        <v>457</v>
      </c>
      <c r="DE330" s="29"/>
      <c r="DF330" s="29" t="s">
        <v>6661</v>
      </c>
      <c r="DG330" s="29" t="s">
        <v>561</v>
      </c>
      <c r="DH330" s="29" t="s">
        <v>410</v>
      </c>
      <c r="DI330" s="29" t="s">
        <v>459</v>
      </c>
      <c r="DJ330" s="29" t="s">
        <v>562</v>
      </c>
      <c r="DK330" s="29" t="s">
        <v>6319</v>
      </c>
      <c r="DL330" s="29"/>
      <c r="DM330" s="29"/>
      <c r="DN330" s="29"/>
      <c r="DO330" s="29"/>
      <c r="DP330" s="29"/>
      <c r="DQ330" s="29"/>
      <c r="DR330" s="29"/>
      <c r="DS330" s="29"/>
      <c r="DT330" s="29"/>
      <c r="DU330" s="29"/>
      <c r="DV330" s="29"/>
      <c r="DW330" s="29"/>
      <c r="DX330" s="29"/>
      <c r="DY330" s="29"/>
      <c r="DZ330" s="29"/>
      <c r="EA330" s="29"/>
      <c r="EB330" s="29"/>
      <c r="EC330" s="29"/>
      <c r="ED330" s="29"/>
      <c r="EE330" s="29"/>
      <c r="EF330" s="29"/>
      <c r="EG330" s="29"/>
      <c r="EH330" s="29"/>
      <c r="EI330" s="29"/>
      <c r="EJ330" s="29"/>
      <c r="EK330" s="29"/>
      <c r="EL330" s="29"/>
      <c r="EM330" s="29"/>
      <c r="EN330" s="29"/>
      <c r="EO330" s="29"/>
      <c r="EP330" s="29"/>
      <c r="EQ330" s="29"/>
      <c r="ER330" s="29"/>
      <c r="ES330" s="29"/>
      <c r="ET330" s="29" t="s">
        <v>526</v>
      </c>
      <c r="EU330" s="29" t="s">
        <v>479</v>
      </c>
      <c r="EV330" s="29" t="s">
        <v>480</v>
      </c>
      <c r="EW330" s="29" t="s">
        <v>6662</v>
      </c>
      <c r="EX330" s="29" t="s">
        <v>6663</v>
      </c>
      <c r="EY330" s="29" t="s">
        <v>6664</v>
      </c>
      <c r="EZ330" s="29" t="s">
        <v>583</v>
      </c>
      <c r="FA330" s="29" t="s">
        <v>583</v>
      </c>
      <c r="FB330" s="29" t="s">
        <v>583</v>
      </c>
      <c r="FC330" s="29" t="s">
        <v>583</v>
      </c>
      <c r="FD330" s="29" t="s">
        <v>415</v>
      </c>
      <c r="FE330" s="29" t="s">
        <v>583</v>
      </c>
      <c r="FF330" s="29" t="s">
        <v>583</v>
      </c>
      <c r="FG330" s="29" t="s">
        <v>484</v>
      </c>
      <c r="FH330" s="29" t="s">
        <v>484</v>
      </c>
      <c r="FI330" s="29" t="s">
        <v>583</v>
      </c>
      <c r="FJ330" s="29" t="s">
        <v>414</v>
      </c>
      <c r="FK330" s="29" t="s">
        <v>484</v>
      </c>
      <c r="FL330" s="29" t="s">
        <v>484</v>
      </c>
      <c r="FM330" s="29" t="s">
        <v>484</v>
      </c>
      <c r="FN330" s="29" t="s">
        <v>583</v>
      </c>
      <c r="FO330" s="29" t="s">
        <v>417</v>
      </c>
      <c r="FP330" s="29" t="s">
        <v>418</v>
      </c>
      <c r="FQ330" s="29" t="s">
        <v>419</v>
      </c>
      <c r="FR330" s="29" t="s">
        <v>6665</v>
      </c>
      <c r="FS330" s="29" t="s">
        <v>995</v>
      </c>
      <c r="FT330" s="29" t="s">
        <v>488</v>
      </c>
      <c r="FU330" s="29" t="s">
        <v>533</v>
      </c>
      <c r="FV330" s="29" t="s">
        <v>490</v>
      </c>
      <c r="FW330" s="29" t="s">
        <v>491</v>
      </c>
      <c r="FX330" s="29" t="s">
        <v>6666</v>
      </c>
      <c r="FY330" s="29" t="s">
        <v>535</v>
      </c>
      <c r="FZ330" s="29" t="s">
        <v>6667</v>
      </c>
      <c r="GA330" s="29" t="s">
        <v>6668</v>
      </c>
      <c r="GB330" s="29" t="s">
        <v>455</v>
      </c>
      <c r="GC330" s="29"/>
      <c r="GD330" s="29"/>
      <c r="GE330" s="29" t="s">
        <v>753</v>
      </c>
      <c r="GF330" s="29" t="s">
        <v>6669</v>
      </c>
      <c r="GG330" s="29" t="s">
        <v>857</v>
      </c>
      <c r="GH330" s="29" t="s">
        <v>857</v>
      </c>
      <c r="GI330" s="29" t="s">
        <v>790</v>
      </c>
      <c r="GJ330" s="29"/>
      <c r="GK330" s="29"/>
      <c r="GL330" s="29"/>
      <c r="GM330" s="29"/>
      <c r="GN330" s="29" t="s">
        <v>6645</v>
      </c>
      <c r="GO330" s="29" t="s">
        <v>6645</v>
      </c>
      <c r="GP330" s="29"/>
      <c r="GQ330" s="29" t="s">
        <v>3273</v>
      </c>
      <c r="GR330" s="29"/>
      <c r="GS330" s="29"/>
      <c r="GT330" s="29" t="s">
        <v>5081</v>
      </c>
      <c r="GU330" s="29" t="s">
        <v>6670</v>
      </c>
      <c r="HP330" s="31"/>
      <c r="MX330" s="29" t="s">
        <v>894</v>
      </c>
      <c r="MY330" s="29" t="str">
        <f>IFERROR(__xludf.DUMMYFUNCTION("""COMPUTED_VALUE"""),"Ontario")</f>
        <v>Ontario</v>
      </c>
    </row>
    <row r="331" ht="16.5" customHeight="1">
      <c r="A331" s="33">
        <v>45923.83860096065</v>
      </c>
      <c r="B331" s="29" t="s">
        <v>368</v>
      </c>
      <c r="C331" s="29" t="s">
        <v>894</v>
      </c>
      <c r="D331" s="29" t="s">
        <v>894</v>
      </c>
      <c r="E331" s="29"/>
      <c r="F331" s="29"/>
      <c r="G331" s="29" t="s">
        <v>422</v>
      </c>
      <c r="H331" s="29" t="s">
        <v>496</v>
      </c>
      <c r="I331" s="29" t="s">
        <v>2578</v>
      </c>
      <c r="J331" s="29" t="s">
        <v>1240</v>
      </c>
      <c r="K331" s="29" t="s">
        <v>376</v>
      </c>
      <c r="L331" s="29" t="s">
        <v>591</v>
      </c>
      <c r="M331" s="29" t="s">
        <v>860</v>
      </c>
      <c r="N331" s="29" t="s">
        <v>591</v>
      </c>
      <c r="O331" s="29" t="s">
        <v>719</v>
      </c>
      <c r="P331" s="29" t="s">
        <v>592</v>
      </c>
      <c r="Q331" s="29" t="s">
        <v>499</v>
      </c>
      <c r="R331" s="29" t="s">
        <v>949</v>
      </c>
      <c r="S331" s="29" t="s">
        <v>384</v>
      </c>
      <c r="T331" s="29" t="s">
        <v>385</v>
      </c>
      <c r="U331" s="29" t="s">
        <v>896</v>
      </c>
      <c r="V331" s="29" t="s">
        <v>896</v>
      </c>
      <c r="W331" s="29" t="s">
        <v>3231</v>
      </c>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t="s">
        <v>1310</v>
      </c>
      <c r="AW331" s="29" t="s">
        <v>675</v>
      </c>
      <c r="AX331" s="29">
        <v>4.0</v>
      </c>
      <c r="AY331" s="29" t="s">
        <v>675</v>
      </c>
      <c r="AZ331" s="29" t="s">
        <v>675</v>
      </c>
      <c r="BA331" s="29" t="s">
        <v>675</v>
      </c>
      <c r="BB331" s="29" t="s">
        <v>675</v>
      </c>
      <c r="BC331" s="29"/>
      <c r="BD331" s="29"/>
      <c r="BE331" s="29" t="s">
        <v>432</v>
      </c>
      <c r="BF331" s="29" t="s">
        <v>1047</v>
      </c>
      <c r="BG331" s="29" t="s">
        <v>394</v>
      </c>
      <c r="BH331" s="29"/>
      <c r="BI331" s="29" t="s">
        <v>976</v>
      </c>
      <c r="BJ331" s="29"/>
      <c r="BK331" s="29" t="s">
        <v>681</v>
      </c>
      <c r="BL331" s="29" t="s">
        <v>603</v>
      </c>
      <c r="BM331" s="29" t="s">
        <v>1247</v>
      </c>
      <c r="BN331" s="29" t="s">
        <v>398</v>
      </c>
      <c r="BO331" s="29" t="s">
        <v>6671</v>
      </c>
      <c r="BP331" s="29" t="s">
        <v>408</v>
      </c>
      <c r="BQ331" s="29" t="s">
        <v>604</v>
      </c>
      <c r="BR331" s="29" t="s">
        <v>1740</v>
      </c>
      <c r="BS331" s="29" t="s">
        <v>403</v>
      </c>
      <c r="BT331" s="29" t="s">
        <v>1994</v>
      </c>
      <c r="BU331" s="29" t="s">
        <v>1772</v>
      </c>
      <c r="BV331" s="29" t="s">
        <v>6672</v>
      </c>
      <c r="BW331" s="29" t="s">
        <v>406</v>
      </c>
      <c r="BX331" s="29" t="s">
        <v>2503</v>
      </c>
      <c r="BY331" s="29" t="s">
        <v>408</v>
      </c>
      <c r="BZ331" s="29"/>
      <c r="CA331" s="29"/>
      <c r="CB331" s="29" t="s">
        <v>6673</v>
      </c>
      <c r="CC331" s="29" t="s">
        <v>6674</v>
      </c>
      <c r="CD331" s="29" t="s">
        <v>409</v>
      </c>
      <c r="CE331" s="29" t="s">
        <v>6675</v>
      </c>
      <c r="CF331" s="29" t="s">
        <v>1749</v>
      </c>
      <c r="CG331" s="29" t="s">
        <v>6676</v>
      </c>
      <c r="CH331" s="29" t="s">
        <v>1259</v>
      </c>
      <c r="CI331" s="29" t="s">
        <v>833</v>
      </c>
      <c r="CJ331" s="29" t="s">
        <v>6677</v>
      </c>
      <c r="CK331" s="29" t="s">
        <v>6678</v>
      </c>
      <c r="CL331" s="29"/>
      <c r="CM331" s="29"/>
      <c r="CN331" s="29"/>
      <c r="CO331" s="29"/>
      <c r="CP331" s="29"/>
      <c r="CQ331" s="29"/>
      <c r="CR331" s="29"/>
      <c r="CS331" s="29"/>
      <c r="CT331" s="29"/>
      <c r="CU331" s="29"/>
      <c r="CV331" s="29"/>
      <c r="CW331" s="29"/>
      <c r="CX331" s="29"/>
      <c r="CY331" s="29"/>
      <c r="CZ331" s="29"/>
      <c r="DA331" s="29"/>
      <c r="DB331" s="29"/>
      <c r="DC331" s="29"/>
      <c r="DD331" s="29"/>
      <c r="DE331" s="29"/>
      <c r="DF331" s="29"/>
      <c r="DG331" s="29"/>
      <c r="DH331" s="29"/>
      <c r="DI331" s="29" t="s">
        <v>963</v>
      </c>
      <c r="DJ331" s="29" t="s">
        <v>613</v>
      </c>
      <c r="DK331" s="29"/>
      <c r="DL331" s="29"/>
      <c r="DM331" s="29"/>
      <c r="DN331" s="29"/>
      <c r="DO331" s="29"/>
      <c r="DP331" s="29"/>
      <c r="DQ331" s="29"/>
      <c r="DR331" s="29"/>
      <c r="DS331" s="29"/>
      <c r="DT331" s="29"/>
      <c r="DU331" s="29"/>
      <c r="DV331" s="29"/>
      <c r="DW331" s="29"/>
      <c r="DX331" s="29"/>
      <c r="DY331" s="29"/>
      <c r="DZ331" s="29"/>
      <c r="EA331" s="29"/>
      <c r="EB331" s="29"/>
      <c r="EC331" s="29"/>
      <c r="ED331" s="29"/>
      <c r="EE331" s="29"/>
      <c r="EF331" s="29"/>
      <c r="EG331" s="29"/>
      <c r="EH331" s="29"/>
      <c r="EI331" s="29"/>
      <c r="EJ331" s="29"/>
      <c r="EK331" s="29"/>
      <c r="EL331" s="29"/>
      <c r="EM331" s="29"/>
      <c r="EN331" s="29"/>
      <c r="EO331" s="29"/>
      <c r="EP331" s="29"/>
      <c r="EQ331" s="29"/>
      <c r="ER331" s="29"/>
      <c r="ES331" s="29"/>
      <c r="ET331" s="29" t="s">
        <v>578</v>
      </c>
      <c r="EU331" s="29" t="s">
        <v>579</v>
      </c>
      <c r="EV331" s="29" t="s">
        <v>1262</v>
      </c>
      <c r="EW331" s="29"/>
      <c r="EX331" s="29" t="s">
        <v>6679</v>
      </c>
      <c r="EY331" s="29" t="s">
        <v>6680</v>
      </c>
      <c r="EZ331" s="29" t="s">
        <v>413</v>
      </c>
      <c r="FA331" s="29" t="s">
        <v>415</v>
      </c>
      <c r="FB331" s="29" t="s">
        <v>413</v>
      </c>
      <c r="FC331" s="29" t="s">
        <v>413</v>
      </c>
      <c r="FD331" s="29" t="s">
        <v>413</v>
      </c>
      <c r="FE331" s="29" t="s">
        <v>415</v>
      </c>
      <c r="FF331" s="29" t="s">
        <v>415</v>
      </c>
      <c r="FG331" s="29" t="s">
        <v>413</v>
      </c>
      <c r="FH331" s="29" t="s">
        <v>583</v>
      </c>
      <c r="FI331" s="29" t="s">
        <v>415</v>
      </c>
      <c r="FJ331" s="29" t="s">
        <v>415</v>
      </c>
      <c r="FK331" s="29" t="s">
        <v>415</v>
      </c>
      <c r="FL331" s="29" t="s">
        <v>415</v>
      </c>
      <c r="FM331" s="29" t="s">
        <v>415</v>
      </c>
      <c r="FN331" s="29" t="s">
        <v>415</v>
      </c>
      <c r="FO331" s="29" t="s">
        <v>417</v>
      </c>
      <c r="FP331" s="29" t="s">
        <v>418</v>
      </c>
      <c r="FQ331" s="29" t="s">
        <v>749</v>
      </c>
      <c r="FR331" s="29"/>
      <c r="FS331" s="29" t="s">
        <v>420</v>
      </c>
      <c r="FT331" s="29" t="s">
        <v>488</v>
      </c>
      <c r="FU331" s="29" t="s">
        <v>585</v>
      </c>
      <c r="FV331" s="29" t="s">
        <v>490</v>
      </c>
      <c r="FW331" s="29" t="s">
        <v>491</v>
      </c>
      <c r="FX331" s="29"/>
      <c r="FY331" s="29" t="s">
        <v>535</v>
      </c>
      <c r="FZ331" s="29" t="s">
        <v>6681</v>
      </c>
      <c r="GA331" s="29"/>
      <c r="GB331" s="29" t="s">
        <v>455</v>
      </c>
      <c r="GC331" s="29"/>
      <c r="GD331" s="29"/>
      <c r="GE331" s="29" t="s">
        <v>1420</v>
      </c>
      <c r="GF331" s="29"/>
      <c r="GG331" s="29"/>
      <c r="GH331" s="29"/>
      <c r="GI331" s="29"/>
      <c r="GJ331" s="29" t="s">
        <v>1000</v>
      </c>
      <c r="GK331" s="29" t="s">
        <v>1000</v>
      </c>
      <c r="GL331" s="29" t="s">
        <v>817</v>
      </c>
      <c r="GM331" s="29"/>
      <c r="GN331" s="29"/>
      <c r="GO331" s="29"/>
      <c r="GP331" s="29" t="s">
        <v>387</v>
      </c>
      <c r="GQ331" s="29" t="s">
        <v>4653</v>
      </c>
      <c r="GR331" s="29" t="s">
        <v>4741</v>
      </c>
      <c r="GS331" s="29" t="s">
        <v>408</v>
      </c>
      <c r="GT331" s="29"/>
      <c r="GU331" s="29"/>
      <c r="HP331" s="31"/>
      <c r="MX331" s="29" t="s">
        <v>10402</v>
      </c>
      <c r="MY331" s="29" t="str">
        <f>IFERROR(__xludf.DUMMYFUNCTION("""COMPUTED_VALUE"""),"New York")</f>
        <v>New York</v>
      </c>
    </row>
    <row r="332" ht="16.5" customHeight="1">
      <c r="A332" s="33">
        <v>45923.88815709491</v>
      </c>
      <c r="B332" s="29" t="s">
        <v>368</v>
      </c>
      <c r="C332" s="29" t="s">
        <v>370</v>
      </c>
      <c r="D332" s="29" t="s">
        <v>370</v>
      </c>
      <c r="E332" s="29" t="s">
        <v>667</v>
      </c>
      <c r="F332" s="29" t="s">
        <v>3082</v>
      </c>
      <c r="G332" s="29" t="s">
        <v>422</v>
      </c>
      <c r="H332" s="29" t="s">
        <v>373</v>
      </c>
      <c r="I332" s="29" t="s">
        <v>638</v>
      </c>
      <c r="J332" s="29" t="s">
        <v>425</v>
      </c>
      <c r="K332" s="29" t="s">
        <v>376</v>
      </c>
      <c r="L332" s="29"/>
      <c r="M332" s="29" t="s">
        <v>1270</v>
      </c>
      <c r="N332" s="29" t="s">
        <v>793</v>
      </c>
      <c r="O332" s="29" t="s">
        <v>1270</v>
      </c>
      <c r="P332" s="29" t="s">
        <v>381</v>
      </c>
      <c r="Q332" s="29" t="s">
        <v>499</v>
      </c>
      <c r="R332" s="29" t="s">
        <v>500</v>
      </c>
      <c r="S332" s="29" t="s">
        <v>384</v>
      </c>
      <c r="T332" s="29" t="s">
        <v>385</v>
      </c>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29"/>
      <c r="BG332" s="29"/>
      <c r="BH332" s="29"/>
      <c r="BI332" s="29"/>
      <c r="BJ332" s="29"/>
      <c r="BK332" s="29"/>
      <c r="BL332" s="29"/>
      <c r="BM332" s="29"/>
      <c r="BN332" s="29"/>
      <c r="BO332" s="29"/>
      <c r="BP332" s="29"/>
      <c r="BQ332" s="29"/>
      <c r="BR332" s="29"/>
      <c r="BS332" s="29"/>
      <c r="BT332" s="29"/>
      <c r="BU332" s="29"/>
      <c r="BV332" s="29"/>
      <c r="BW332" s="29"/>
      <c r="BX332" s="29"/>
      <c r="BY332" s="29"/>
      <c r="BZ332" s="29"/>
      <c r="CA332" s="29"/>
      <c r="CB332" s="29"/>
      <c r="CC332" s="29"/>
      <c r="CD332" s="29"/>
      <c r="CE332" s="29"/>
      <c r="CF332" s="29"/>
      <c r="CG332" s="29"/>
      <c r="CH332" s="29"/>
      <c r="CI332" s="29"/>
      <c r="CJ332" s="29"/>
      <c r="CK332" s="29"/>
      <c r="CL332" s="29"/>
      <c r="CM332" s="29"/>
      <c r="CN332" s="29"/>
      <c r="CO332" s="29"/>
      <c r="CP332" s="29"/>
      <c r="CQ332" s="29"/>
      <c r="CR332" s="29"/>
      <c r="CS332" s="29"/>
      <c r="CT332" s="29"/>
      <c r="CU332" s="29"/>
      <c r="CV332" s="29"/>
      <c r="CW332" s="29"/>
      <c r="CX332" s="29"/>
      <c r="CY332" s="29"/>
      <c r="CZ332" s="29"/>
      <c r="DA332" s="29"/>
      <c r="DB332" s="29"/>
      <c r="DC332" s="29"/>
      <c r="DD332" s="29"/>
      <c r="DE332" s="29"/>
      <c r="DF332" s="29"/>
      <c r="DG332" s="29"/>
      <c r="DH332" s="29"/>
      <c r="DI332" s="29"/>
      <c r="DJ332" s="29"/>
      <c r="DK332" s="29"/>
      <c r="DL332" s="29"/>
      <c r="DM332" s="29"/>
      <c r="DN332" s="29"/>
      <c r="DO332" s="29"/>
      <c r="DP332" s="29"/>
      <c r="DQ332" s="29"/>
      <c r="DR332" s="29"/>
      <c r="DS332" s="29"/>
      <c r="DT332" s="29"/>
      <c r="DU332" s="29"/>
      <c r="DV332" s="29"/>
      <c r="DW332" s="29"/>
      <c r="DX332" s="29"/>
      <c r="DY332" s="29"/>
      <c r="DZ332" s="29"/>
      <c r="EA332" s="29"/>
      <c r="EB332" s="29"/>
      <c r="EC332" s="29"/>
      <c r="ED332" s="29" t="s">
        <v>6356</v>
      </c>
      <c r="EE332" s="29"/>
      <c r="EF332" s="29"/>
      <c r="EG332" s="29"/>
      <c r="EH332" s="29"/>
      <c r="EI332" s="29"/>
      <c r="EJ332" s="29"/>
      <c r="EK332" s="29" t="s">
        <v>6682</v>
      </c>
      <c r="EL332" s="29" t="s">
        <v>6683</v>
      </c>
      <c r="EM332" s="29" t="s">
        <v>6684</v>
      </c>
      <c r="EN332" s="29" t="s">
        <v>6685</v>
      </c>
      <c r="EO332" s="29"/>
      <c r="EP332" s="29"/>
      <c r="EQ332" s="29"/>
      <c r="ER332" s="29" t="s">
        <v>6686</v>
      </c>
      <c r="ES332" s="29"/>
      <c r="ET332" s="29" t="s">
        <v>526</v>
      </c>
      <c r="EU332" s="29" t="s">
        <v>887</v>
      </c>
      <c r="EV332" s="29" t="s">
        <v>527</v>
      </c>
      <c r="EW332" s="29" t="s">
        <v>6687</v>
      </c>
      <c r="EX332" s="29"/>
      <c r="EY332" s="29"/>
      <c r="EZ332" s="29"/>
      <c r="FA332" s="29"/>
      <c r="FB332" s="29"/>
      <c r="FC332" s="29"/>
      <c r="FD332" s="29"/>
      <c r="FE332" s="29"/>
      <c r="FF332" s="29"/>
      <c r="FG332" s="29"/>
      <c r="FH332" s="29"/>
      <c r="FI332" s="29"/>
      <c r="FJ332" s="29"/>
      <c r="FK332" s="29"/>
      <c r="FL332" s="29"/>
      <c r="FM332" s="29"/>
      <c r="FN332" s="29"/>
      <c r="FO332" s="29"/>
      <c r="FP332" s="29"/>
      <c r="FQ332" s="29"/>
      <c r="FR332" s="29"/>
      <c r="FS332" s="29"/>
      <c r="FT332" s="29"/>
      <c r="FU332" s="29"/>
      <c r="FV332" s="29"/>
      <c r="FW332" s="29"/>
      <c r="FX332" s="29"/>
      <c r="FY332" s="29"/>
      <c r="FZ332" s="29"/>
      <c r="GA332" s="29" t="s">
        <v>6688</v>
      </c>
      <c r="GB332" s="29" t="s">
        <v>455</v>
      </c>
      <c r="GC332" s="29"/>
      <c r="GD332" s="29"/>
      <c r="GE332" s="29" t="s">
        <v>753</v>
      </c>
      <c r="GF332" s="29"/>
      <c r="GG332" s="29"/>
      <c r="GH332" s="29"/>
      <c r="GI332" s="29"/>
      <c r="GJ332" s="29"/>
      <c r="GK332" s="29"/>
      <c r="GL332" s="29"/>
      <c r="GM332" s="29"/>
      <c r="GN332" s="29"/>
      <c r="GO332" s="29"/>
      <c r="GP332" s="29"/>
      <c r="GQ332" s="29" t="s">
        <v>5015</v>
      </c>
      <c r="GR332" s="29"/>
      <c r="GS332" s="29"/>
      <c r="GT332" s="29"/>
      <c r="GU332" s="29"/>
      <c r="HP332" s="31"/>
      <c r="MX332" s="29" t="s">
        <v>10402</v>
      </c>
      <c r="MY332" s="29" t="str">
        <f>IFERROR(__xludf.DUMMYFUNCTION("""COMPUTED_VALUE"""),"New York")</f>
        <v>New York</v>
      </c>
    </row>
    <row r="333" ht="16.5" customHeight="1">
      <c r="A333" s="33">
        <v>45924.3610935301</v>
      </c>
      <c r="B333" s="29" t="s">
        <v>368</v>
      </c>
      <c r="C333" s="29" t="s">
        <v>370</v>
      </c>
      <c r="D333" s="29" t="s">
        <v>370</v>
      </c>
      <c r="E333" s="29" t="s">
        <v>667</v>
      </c>
      <c r="F333" s="29" t="s">
        <v>667</v>
      </c>
      <c r="G333" s="29" t="s">
        <v>422</v>
      </c>
      <c r="H333" s="29" t="s">
        <v>373</v>
      </c>
      <c r="I333" s="29" t="s">
        <v>374</v>
      </c>
      <c r="J333" s="29" t="s">
        <v>540</v>
      </c>
      <c r="K333" s="29" t="s">
        <v>376</v>
      </c>
      <c r="L333" s="29" t="s">
        <v>426</v>
      </c>
      <c r="M333" s="29" t="s">
        <v>720</v>
      </c>
      <c r="N333" s="29" t="s">
        <v>793</v>
      </c>
      <c r="O333" s="29" t="s">
        <v>6696</v>
      </c>
      <c r="P333" s="29" t="s">
        <v>381</v>
      </c>
      <c r="Q333" s="29" t="s">
        <v>382</v>
      </c>
      <c r="R333" s="29" t="s">
        <v>427</v>
      </c>
      <c r="S333" s="29" t="s">
        <v>384</v>
      </c>
      <c r="T333" s="29" t="s">
        <v>385</v>
      </c>
      <c r="U333" s="29"/>
      <c r="V333" s="29"/>
      <c r="W333" s="29" t="s">
        <v>386</v>
      </c>
      <c r="X333" s="29" t="s">
        <v>387</v>
      </c>
      <c r="Y333" s="29" t="s">
        <v>388</v>
      </c>
      <c r="Z333" s="29" t="s">
        <v>543</v>
      </c>
      <c r="AA333" s="29" t="s">
        <v>6697</v>
      </c>
      <c r="AB333" s="29"/>
      <c r="AC333" s="29"/>
      <c r="AD333" s="29"/>
      <c r="AE333" s="29"/>
      <c r="AF333" s="29"/>
      <c r="AG333" s="29"/>
      <c r="AH333" s="29"/>
      <c r="AI333" s="29"/>
      <c r="AJ333" s="29"/>
      <c r="AK333" s="29"/>
      <c r="AL333" s="29"/>
      <c r="AM333" s="29"/>
      <c r="AN333" s="29"/>
      <c r="AO333" s="29"/>
      <c r="AP333" s="29"/>
      <c r="AQ333" s="29"/>
      <c r="AR333" s="29"/>
      <c r="AS333" s="29"/>
      <c r="AT333" s="29"/>
      <c r="AU333" s="29"/>
      <c r="AV333" s="29" t="s">
        <v>597</v>
      </c>
      <c r="AW333" s="29" t="s">
        <v>391</v>
      </c>
      <c r="AX333" s="29">
        <v>2.0</v>
      </c>
      <c r="AY333" s="29" t="s">
        <v>391</v>
      </c>
      <c r="AZ333" s="29" t="s">
        <v>391</v>
      </c>
      <c r="BA333" s="29" t="s">
        <v>429</v>
      </c>
      <c r="BB333" s="29">
        <v>2.0</v>
      </c>
      <c r="BC333" s="29" t="s">
        <v>6698</v>
      </c>
      <c r="BD333" s="29" t="s">
        <v>6699</v>
      </c>
      <c r="BE333" s="29" t="s">
        <v>392</v>
      </c>
      <c r="BF333" s="29" t="s">
        <v>393</v>
      </c>
      <c r="BG333" s="29" t="s">
        <v>765</v>
      </c>
      <c r="BH333" s="29" t="s">
        <v>6700</v>
      </c>
      <c r="BI333" s="29" t="s">
        <v>727</v>
      </c>
      <c r="BJ333" s="29"/>
      <c r="BK333" s="29" t="s">
        <v>437</v>
      </c>
      <c r="BL333" s="29" t="s">
        <v>603</v>
      </c>
      <c r="BM333" s="29" t="s">
        <v>549</v>
      </c>
      <c r="BN333" s="29" t="s">
        <v>513</v>
      </c>
      <c r="BO333" s="29"/>
      <c r="BP333" s="29"/>
      <c r="BQ333" s="29"/>
      <c r="BR333" s="29"/>
      <c r="BS333" s="29"/>
      <c r="BT333" s="29"/>
      <c r="BU333" s="29"/>
      <c r="BV333" s="29"/>
      <c r="BW333" s="29"/>
      <c r="BX333" s="29"/>
      <c r="BY333" s="29"/>
      <c r="BZ333" s="29"/>
      <c r="CA333" s="29"/>
      <c r="CB333" s="29"/>
      <c r="CC333" s="29"/>
      <c r="CD333" s="29"/>
      <c r="CE333" s="29"/>
      <c r="CF333" s="29"/>
      <c r="CG333" s="29"/>
      <c r="CH333" s="29"/>
      <c r="CI333" s="29"/>
      <c r="CJ333" s="29"/>
      <c r="CK333" s="29"/>
      <c r="CL333" s="29" t="s">
        <v>550</v>
      </c>
      <c r="CM333" s="29" t="s">
        <v>604</v>
      </c>
      <c r="CN333" s="29" t="s">
        <v>6701</v>
      </c>
      <c r="CO333" s="29" t="s">
        <v>6702</v>
      </c>
      <c r="CP333" s="29" t="s">
        <v>1008</v>
      </c>
      <c r="CQ333" s="29" t="s">
        <v>6703</v>
      </c>
      <c r="CR333" s="29" t="s">
        <v>404</v>
      </c>
      <c r="CS333" s="29" t="s">
        <v>5702</v>
      </c>
      <c r="CT333" s="29" t="s">
        <v>6704</v>
      </c>
      <c r="CU333" s="29" t="s">
        <v>519</v>
      </c>
      <c r="CV333" s="29" t="s">
        <v>451</v>
      </c>
      <c r="CW333" s="29" t="s">
        <v>6705</v>
      </c>
      <c r="CX333" s="29" t="s">
        <v>408</v>
      </c>
      <c r="CY333" s="29"/>
      <c r="CZ333" s="29" t="s">
        <v>453</v>
      </c>
      <c r="DA333" s="29" t="s">
        <v>6706</v>
      </c>
      <c r="DB333" s="29" t="s">
        <v>455</v>
      </c>
      <c r="DC333" s="29" t="s">
        <v>6707</v>
      </c>
      <c r="DD333" s="29" t="s">
        <v>662</v>
      </c>
      <c r="DE333" s="29"/>
      <c r="DF333" s="29" t="s">
        <v>6708</v>
      </c>
      <c r="DG333" s="29" t="s">
        <v>776</v>
      </c>
      <c r="DH333" s="29" t="s">
        <v>410</v>
      </c>
      <c r="DI333" s="29" t="s">
        <v>459</v>
      </c>
      <c r="DJ333" s="29" t="s">
        <v>562</v>
      </c>
      <c r="DK333" s="29" t="s">
        <v>6335</v>
      </c>
      <c r="DL333" s="29"/>
      <c r="DM333" s="29"/>
      <c r="DN333" s="29"/>
      <c r="DO333" s="29"/>
      <c r="DP333" s="29"/>
      <c r="DQ333" s="29"/>
      <c r="DR333" s="29"/>
      <c r="DS333" s="29"/>
      <c r="DT333" s="29"/>
      <c r="DU333" s="29"/>
      <c r="DV333" s="29"/>
      <c r="DW333" s="29"/>
      <c r="DX333" s="29"/>
      <c r="DY333" s="29"/>
      <c r="DZ333" s="29"/>
      <c r="EA333" s="29"/>
      <c r="EB333" s="29"/>
      <c r="EC333" s="29"/>
      <c r="ED333" s="29"/>
      <c r="EE333" s="29"/>
      <c r="EF333" s="29"/>
      <c r="EG333" s="29"/>
      <c r="EH333" s="29"/>
      <c r="EI333" s="29"/>
      <c r="EJ333" s="29"/>
      <c r="EK333" s="29"/>
      <c r="EL333" s="29"/>
      <c r="EM333" s="29"/>
      <c r="EN333" s="29"/>
      <c r="EO333" s="29"/>
      <c r="EP333" s="29"/>
      <c r="EQ333" s="29"/>
      <c r="ER333" s="29"/>
      <c r="ES333" s="29"/>
      <c r="ET333" s="29" t="s">
        <v>526</v>
      </c>
      <c r="EU333" s="29" t="s">
        <v>479</v>
      </c>
      <c r="EV333" s="29" t="s">
        <v>480</v>
      </c>
      <c r="EW333" s="29" t="s">
        <v>6709</v>
      </c>
      <c r="EX333" s="29" t="s">
        <v>6710</v>
      </c>
      <c r="EY333" s="29" t="s">
        <v>6711</v>
      </c>
      <c r="EZ333" s="29" t="s">
        <v>583</v>
      </c>
      <c r="FA333" s="29" t="s">
        <v>583</v>
      </c>
      <c r="FB333" s="29" t="s">
        <v>414</v>
      </c>
      <c r="FC333" s="29" t="s">
        <v>583</v>
      </c>
      <c r="FD333" s="29" t="s">
        <v>416</v>
      </c>
      <c r="FE333" s="29" t="s">
        <v>583</v>
      </c>
      <c r="FF333" s="29" t="s">
        <v>484</v>
      </c>
      <c r="FG333" s="29" t="s">
        <v>413</v>
      </c>
      <c r="FH333" s="29" t="s">
        <v>583</v>
      </c>
      <c r="FI333" s="29" t="s">
        <v>583</v>
      </c>
      <c r="FJ333" s="29" t="s">
        <v>583</v>
      </c>
      <c r="FK333" s="29" t="s">
        <v>583</v>
      </c>
      <c r="FL333" s="29" t="s">
        <v>583</v>
      </c>
      <c r="FM333" s="29" t="s">
        <v>484</v>
      </c>
      <c r="FN333" s="29" t="s">
        <v>484</v>
      </c>
      <c r="FO333" s="29" t="s">
        <v>850</v>
      </c>
      <c r="FP333" s="29" t="s">
        <v>418</v>
      </c>
      <c r="FQ333" s="29" t="s">
        <v>419</v>
      </c>
      <c r="FR333" s="29" t="s">
        <v>6712</v>
      </c>
      <c r="FS333" s="29" t="s">
        <v>420</v>
      </c>
      <c r="FT333" s="29" t="s">
        <v>488</v>
      </c>
      <c r="FU333" s="29" t="s">
        <v>533</v>
      </c>
      <c r="FV333" s="29" t="s">
        <v>490</v>
      </c>
      <c r="FW333" s="29" t="s">
        <v>491</v>
      </c>
      <c r="FX333" s="29" t="s">
        <v>6713</v>
      </c>
      <c r="FY333" s="29" t="s">
        <v>1020</v>
      </c>
      <c r="FZ333" s="29"/>
      <c r="GA333" s="29" t="s">
        <v>6714</v>
      </c>
      <c r="GB333" s="29" t="s">
        <v>455</v>
      </c>
      <c r="GC333" s="29"/>
      <c r="GD333" s="29"/>
      <c r="GE333" s="29" t="s">
        <v>753</v>
      </c>
      <c r="GF333" s="29"/>
      <c r="GG333" s="29" t="s">
        <v>789</v>
      </c>
      <c r="GH333" s="29" t="s">
        <v>857</v>
      </c>
      <c r="GI333" s="29" t="s">
        <v>790</v>
      </c>
      <c r="GJ333" s="29"/>
      <c r="GK333" s="29"/>
      <c r="GL333" s="29"/>
      <c r="GM333" s="29"/>
      <c r="GN333" s="29"/>
      <c r="GO333" s="29"/>
      <c r="GP333" s="29"/>
      <c r="GQ333" s="29" t="s">
        <v>3208</v>
      </c>
      <c r="GR333" s="29"/>
      <c r="GS333" s="29"/>
      <c r="GT333" s="29"/>
      <c r="GU333" s="29" t="s">
        <v>6170</v>
      </c>
      <c r="HP333" s="31"/>
      <c r="MX333" s="29" t="s">
        <v>10402</v>
      </c>
      <c r="MY333" s="29" t="str">
        <f>IFERROR(__xludf.DUMMYFUNCTION("""COMPUTED_VALUE"""),"Arkansas")</f>
        <v>Arkansas</v>
      </c>
    </row>
    <row r="334" ht="16.5" customHeight="1">
      <c r="A334" s="33">
        <v>45924.626566273146</v>
      </c>
      <c r="B334" s="29" t="s">
        <v>368</v>
      </c>
      <c r="C334" s="29" t="s">
        <v>370</v>
      </c>
      <c r="D334" s="29" t="s">
        <v>370</v>
      </c>
      <c r="E334" s="29" t="s">
        <v>6716</v>
      </c>
      <c r="F334" s="29" t="s">
        <v>1421</v>
      </c>
      <c r="G334" s="29" t="s">
        <v>2295</v>
      </c>
      <c r="H334" s="29" t="s">
        <v>373</v>
      </c>
      <c r="I334" s="29" t="s">
        <v>374</v>
      </c>
      <c r="J334" s="29" t="s">
        <v>425</v>
      </c>
      <c r="K334" s="29" t="s">
        <v>376</v>
      </c>
      <c r="L334" s="29" t="s">
        <v>426</v>
      </c>
      <c r="M334" s="29" t="s">
        <v>720</v>
      </c>
      <c r="N334" s="29" t="s">
        <v>426</v>
      </c>
      <c r="O334" s="29" t="s">
        <v>380</v>
      </c>
      <c r="P334" s="29" t="s">
        <v>498</v>
      </c>
      <c r="Q334" s="29" t="s">
        <v>382</v>
      </c>
      <c r="R334" s="29" t="s">
        <v>949</v>
      </c>
      <c r="S334" s="29" t="s">
        <v>384</v>
      </c>
      <c r="T334" s="29" t="s">
        <v>385</v>
      </c>
      <c r="U334" s="29"/>
      <c r="V334" s="29"/>
      <c r="W334" s="29" t="s">
        <v>3231</v>
      </c>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t="s">
        <v>1310</v>
      </c>
      <c r="AW334" s="29">
        <v>4.0</v>
      </c>
      <c r="AX334" s="29">
        <v>4.0</v>
      </c>
      <c r="AY334" s="29" t="s">
        <v>391</v>
      </c>
      <c r="AZ334" s="29">
        <v>2.0</v>
      </c>
      <c r="BA334" s="29" t="s">
        <v>391</v>
      </c>
      <c r="BB334" s="29" t="s">
        <v>391</v>
      </c>
      <c r="BC334" s="29" t="s">
        <v>6717</v>
      </c>
      <c r="BD334" s="29" t="s">
        <v>6718</v>
      </c>
      <c r="BE334" s="29" t="s">
        <v>902</v>
      </c>
      <c r="BF334" s="29" t="s">
        <v>393</v>
      </c>
      <c r="BG334" s="29" t="s">
        <v>678</v>
      </c>
      <c r="BH334" s="29" t="s">
        <v>6719</v>
      </c>
      <c r="BI334" s="29" t="s">
        <v>509</v>
      </c>
      <c r="BJ334" s="29" t="s">
        <v>6720</v>
      </c>
      <c r="BK334" s="29" t="s">
        <v>602</v>
      </c>
      <c r="BL334" s="29" t="s">
        <v>438</v>
      </c>
      <c r="BM334" s="29" t="s">
        <v>1247</v>
      </c>
      <c r="BN334" s="29" t="s">
        <v>440</v>
      </c>
      <c r="BO334" s="29"/>
      <c r="BP334" s="29"/>
      <c r="BQ334" s="29"/>
      <c r="BR334" s="29"/>
      <c r="BS334" s="29"/>
      <c r="BT334" s="29"/>
      <c r="BU334" s="29"/>
      <c r="BV334" s="29"/>
      <c r="BW334" s="29"/>
      <c r="BX334" s="29"/>
      <c r="BY334" s="29"/>
      <c r="BZ334" s="29"/>
      <c r="CA334" s="29"/>
      <c r="CB334" s="29"/>
      <c r="CC334" s="29"/>
      <c r="CD334" s="29"/>
      <c r="CE334" s="29"/>
      <c r="CF334" s="29"/>
      <c r="CG334" s="29"/>
      <c r="CH334" s="29"/>
      <c r="CI334" s="29"/>
      <c r="CJ334" s="29"/>
      <c r="CK334" s="29"/>
      <c r="CL334" s="29"/>
      <c r="CM334" s="29"/>
      <c r="CN334" s="29"/>
      <c r="CO334" s="29"/>
      <c r="CP334" s="29"/>
      <c r="CQ334" s="29"/>
      <c r="CR334" s="29"/>
      <c r="CS334" s="29"/>
      <c r="CT334" s="29"/>
      <c r="CU334" s="29"/>
      <c r="CV334" s="29"/>
      <c r="CW334" s="29"/>
      <c r="CX334" s="29"/>
      <c r="CY334" s="29"/>
      <c r="CZ334" s="29"/>
      <c r="DA334" s="29"/>
      <c r="DB334" s="29"/>
      <c r="DC334" s="29"/>
      <c r="DD334" s="29"/>
      <c r="DE334" s="29"/>
      <c r="DF334" s="29"/>
      <c r="DG334" s="29"/>
      <c r="DH334" s="29"/>
      <c r="DI334" s="29" t="s">
        <v>777</v>
      </c>
      <c r="DJ334" s="29" t="s">
        <v>460</v>
      </c>
      <c r="DK334" s="29" t="s">
        <v>6335</v>
      </c>
      <c r="DL334" s="29"/>
      <c r="DM334" s="29" t="s">
        <v>3494</v>
      </c>
      <c r="DN334" s="29" t="s">
        <v>6721</v>
      </c>
      <c r="DO334" s="29" t="s">
        <v>567</v>
      </c>
      <c r="DP334" s="29" t="s">
        <v>6722</v>
      </c>
      <c r="DQ334" s="29" t="s">
        <v>1291</v>
      </c>
      <c r="DR334" s="29" t="s">
        <v>6723</v>
      </c>
      <c r="DS334" s="29" t="s">
        <v>702</v>
      </c>
      <c r="DT334" s="29" t="s">
        <v>570</v>
      </c>
      <c r="DU334" s="29" t="s">
        <v>6724</v>
      </c>
      <c r="DV334" s="29" t="s">
        <v>6725</v>
      </c>
      <c r="DW334" s="29" t="s">
        <v>622</v>
      </c>
      <c r="DX334" s="29" t="s">
        <v>6726</v>
      </c>
      <c r="DY334" s="29" t="s">
        <v>6727</v>
      </c>
      <c r="DZ334" s="29" t="s">
        <v>6728</v>
      </c>
      <c r="EA334" s="29" t="s">
        <v>475</v>
      </c>
      <c r="EB334" s="29" t="s">
        <v>845</v>
      </c>
      <c r="EC334" s="29" t="s">
        <v>6729</v>
      </c>
      <c r="ED334" s="29"/>
      <c r="EE334" s="29"/>
      <c r="EF334" s="29"/>
      <c r="EG334" s="29"/>
      <c r="EH334" s="29"/>
      <c r="EI334" s="29"/>
      <c r="EJ334" s="29"/>
      <c r="EK334" s="29"/>
      <c r="EL334" s="29"/>
      <c r="EM334" s="29"/>
      <c r="EN334" s="29"/>
      <c r="EO334" s="29"/>
      <c r="EP334" s="29"/>
      <c r="EQ334" s="29"/>
      <c r="ER334" s="29"/>
      <c r="ES334" s="29"/>
      <c r="ET334" s="29" t="s">
        <v>526</v>
      </c>
      <c r="EU334" s="29" t="s">
        <v>479</v>
      </c>
      <c r="EV334" s="29" t="s">
        <v>527</v>
      </c>
      <c r="EW334" s="29" t="s">
        <v>6730</v>
      </c>
      <c r="EX334" s="29" t="s">
        <v>5339</v>
      </c>
      <c r="EY334" s="29" t="s">
        <v>6731</v>
      </c>
      <c r="EZ334" s="29" t="s">
        <v>415</v>
      </c>
      <c r="FA334" s="29" t="s">
        <v>415</v>
      </c>
      <c r="FB334" s="29" t="s">
        <v>413</v>
      </c>
      <c r="FC334" s="29" t="s">
        <v>413</v>
      </c>
      <c r="FD334" s="29" t="s">
        <v>413</v>
      </c>
      <c r="FE334" s="29" t="s">
        <v>414</v>
      </c>
      <c r="FF334" s="29" t="s">
        <v>416</v>
      </c>
      <c r="FG334" s="29" t="s">
        <v>416</v>
      </c>
      <c r="FH334" s="29" t="s">
        <v>583</v>
      </c>
      <c r="FI334" s="29" t="s">
        <v>583</v>
      </c>
      <c r="FJ334" s="29" t="s">
        <v>415</v>
      </c>
      <c r="FK334" s="29" t="s">
        <v>415</v>
      </c>
      <c r="FL334" s="29" t="s">
        <v>415</v>
      </c>
      <c r="FM334" s="29" t="s">
        <v>416</v>
      </c>
      <c r="FN334" s="29" t="s">
        <v>414</v>
      </c>
      <c r="FO334" s="29" t="s">
        <v>850</v>
      </c>
      <c r="FP334" s="29" t="s">
        <v>418</v>
      </c>
      <c r="FQ334" s="29" t="s">
        <v>749</v>
      </c>
      <c r="FR334" s="29" t="s">
        <v>6732</v>
      </c>
      <c r="FS334" s="29" t="s">
        <v>420</v>
      </c>
      <c r="FT334" s="29" t="s">
        <v>488</v>
      </c>
      <c r="FU334" s="29" t="s">
        <v>533</v>
      </c>
      <c r="FV334" s="29" t="s">
        <v>490</v>
      </c>
      <c r="FW334" s="29" t="s">
        <v>491</v>
      </c>
      <c r="FX334" s="29" t="s">
        <v>6733</v>
      </c>
      <c r="FY334" s="29" t="s">
        <v>493</v>
      </c>
      <c r="FZ334" s="29" t="s">
        <v>6734</v>
      </c>
      <c r="GA334" s="29"/>
      <c r="GB334" s="29" t="s">
        <v>455</v>
      </c>
      <c r="GC334" s="29"/>
      <c r="GD334" s="29"/>
      <c r="GE334" s="29" t="s">
        <v>1339</v>
      </c>
      <c r="GF334" s="29" t="s">
        <v>6735</v>
      </c>
      <c r="GG334" s="29"/>
      <c r="GH334" s="29"/>
      <c r="GI334" s="29"/>
      <c r="GJ334" s="29"/>
      <c r="GK334" s="29"/>
      <c r="GL334" s="29"/>
      <c r="GM334" s="29" t="s">
        <v>6629</v>
      </c>
      <c r="GN334" s="29"/>
      <c r="GO334" s="29"/>
      <c r="GP334" s="29" t="s">
        <v>387</v>
      </c>
      <c r="GQ334" s="29" t="s">
        <v>6736</v>
      </c>
      <c r="GR334" s="29"/>
      <c r="GS334" s="29"/>
      <c r="GT334" s="29"/>
      <c r="GU334" s="29"/>
      <c r="HP334" s="31"/>
      <c r="MX334" s="29" t="s">
        <v>894</v>
      </c>
      <c r="MY334" s="29" t="str">
        <f>IFERROR(__xludf.DUMMYFUNCTION("""COMPUTED_VALUE"""),"Quebec")</f>
        <v>Quebec</v>
      </c>
    </row>
    <row r="335" ht="16.5" customHeight="1">
      <c r="A335" s="33">
        <v>45926.09634458333</v>
      </c>
      <c r="B335" s="29" t="s">
        <v>368</v>
      </c>
      <c r="C335" s="29" t="s">
        <v>894</v>
      </c>
      <c r="D335" s="29" t="s">
        <v>894</v>
      </c>
      <c r="E335" s="29"/>
      <c r="F335" s="29"/>
      <c r="G335" s="29" t="s">
        <v>2295</v>
      </c>
      <c r="H335" s="29" t="s">
        <v>637</v>
      </c>
      <c r="I335" s="29" t="s">
        <v>638</v>
      </c>
      <c r="J335" s="29" t="s">
        <v>425</v>
      </c>
      <c r="K335" s="29" t="s">
        <v>376</v>
      </c>
      <c r="L335" s="29" t="s">
        <v>1526</v>
      </c>
      <c r="M335" s="29" t="s">
        <v>2464</v>
      </c>
      <c r="N335" s="29" t="s">
        <v>1526</v>
      </c>
      <c r="O335" s="29" t="s">
        <v>6740</v>
      </c>
      <c r="P335" s="29" t="s">
        <v>381</v>
      </c>
      <c r="Q335" s="29" t="s">
        <v>818</v>
      </c>
      <c r="R335" s="29" t="s">
        <v>500</v>
      </c>
      <c r="S335" s="29" t="s">
        <v>6741</v>
      </c>
      <c r="T335" s="29" t="s">
        <v>385</v>
      </c>
      <c r="U335" s="29" t="s">
        <v>1045</v>
      </c>
      <c r="V335" s="29" t="s">
        <v>1045</v>
      </c>
      <c r="W335" s="29" t="s">
        <v>593</v>
      </c>
      <c r="X335" s="29" t="s">
        <v>387</v>
      </c>
      <c r="Y335" s="29" t="s">
        <v>2115</v>
      </c>
      <c r="Z335" s="29"/>
      <c r="AA335" s="29" t="s">
        <v>6742</v>
      </c>
      <c r="AB335" s="29" t="s">
        <v>6743</v>
      </c>
      <c r="AC335" s="29"/>
      <c r="AD335" s="29"/>
      <c r="AE335" s="29"/>
      <c r="AF335" s="29"/>
      <c r="AG335" s="29"/>
      <c r="AH335" s="29"/>
      <c r="AI335" s="29"/>
      <c r="AJ335" s="29"/>
      <c r="AK335" s="29"/>
      <c r="AL335" s="29"/>
      <c r="AM335" s="29"/>
      <c r="AN335" s="29"/>
      <c r="AO335" s="29"/>
      <c r="AP335" s="29"/>
      <c r="AQ335" s="29"/>
      <c r="AR335" s="29"/>
      <c r="AS335" s="29"/>
      <c r="AT335" s="29"/>
      <c r="AU335" s="29"/>
      <c r="AV335" s="29" t="s">
        <v>390</v>
      </c>
      <c r="AW335" s="29">
        <v>2.0</v>
      </c>
      <c r="AX335" s="29" t="s">
        <v>429</v>
      </c>
      <c r="AY335" s="29" t="s">
        <v>429</v>
      </c>
      <c r="AZ335" s="29"/>
      <c r="BA335" s="29" t="s">
        <v>429</v>
      </c>
      <c r="BB335" s="29" t="s">
        <v>429</v>
      </c>
      <c r="BC335" s="29" t="s">
        <v>6744</v>
      </c>
      <c r="BD335" s="29" t="s">
        <v>6745</v>
      </c>
      <c r="BE335" s="29" t="s">
        <v>1094</v>
      </c>
      <c r="BF335" s="29" t="s">
        <v>433</v>
      </c>
      <c r="BG335" s="29" t="s">
        <v>434</v>
      </c>
      <c r="BH335" s="29" t="s">
        <v>6746</v>
      </c>
      <c r="BI335" s="29" t="s">
        <v>435</v>
      </c>
      <c r="BJ335" s="29"/>
      <c r="BK335" s="29" t="s">
        <v>511</v>
      </c>
      <c r="BL335" s="29" t="s">
        <v>396</v>
      </c>
      <c r="BM335" s="29" t="s">
        <v>439</v>
      </c>
      <c r="BN335" s="29" t="s">
        <v>513</v>
      </c>
      <c r="BO335" s="29"/>
      <c r="BP335" s="29"/>
      <c r="BQ335" s="29"/>
      <c r="BR335" s="29"/>
      <c r="BS335" s="29"/>
      <c r="BT335" s="29"/>
      <c r="BU335" s="29"/>
      <c r="BV335" s="29"/>
      <c r="BW335" s="29"/>
      <c r="BX335" s="29"/>
      <c r="BY335" s="29"/>
      <c r="BZ335" s="29"/>
      <c r="CA335" s="29"/>
      <c r="CB335" s="29"/>
      <c r="CC335" s="29"/>
      <c r="CD335" s="29"/>
      <c r="CE335" s="29"/>
      <c r="CF335" s="29"/>
      <c r="CG335" s="29"/>
      <c r="CH335" s="29"/>
      <c r="CI335" s="29"/>
      <c r="CJ335" s="29"/>
      <c r="CK335" s="29"/>
      <c r="CL335" s="29" t="s">
        <v>441</v>
      </c>
      <c r="CM335" s="29" t="s">
        <v>401</v>
      </c>
      <c r="CN335" s="29" t="s">
        <v>6747</v>
      </c>
      <c r="CO335" s="29" t="s">
        <v>6748</v>
      </c>
      <c r="CP335" s="29" t="s">
        <v>1008</v>
      </c>
      <c r="CQ335" s="29" t="s">
        <v>6749</v>
      </c>
      <c r="CR335" s="29" t="s">
        <v>447</v>
      </c>
      <c r="CS335" s="29" t="s">
        <v>6750</v>
      </c>
      <c r="CT335" s="29" t="s">
        <v>6751</v>
      </c>
      <c r="CU335" s="29" t="s">
        <v>450</v>
      </c>
      <c r="CV335" s="29" t="s">
        <v>451</v>
      </c>
      <c r="CW335" s="29" t="s">
        <v>6752</v>
      </c>
      <c r="CX335" s="29" t="s">
        <v>733</v>
      </c>
      <c r="CY335" s="29"/>
      <c r="CZ335" s="29" t="s">
        <v>453</v>
      </c>
      <c r="DA335" s="29" t="s">
        <v>6753</v>
      </c>
      <c r="DB335" s="29" t="s">
        <v>913</v>
      </c>
      <c r="DC335" s="29"/>
      <c r="DD335" s="29" t="s">
        <v>457</v>
      </c>
      <c r="DE335" s="29"/>
      <c r="DF335" s="29"/>
      <c r="DG335" s="29" t="s">
        <v>776</v>
      </c>
      <c r="DH335" s="29" t="s">
        <v>410</v>
      </c>
      <c r="DI335" s="29" t="s">
        <v>459</v>
      </c>
      <c r="DJ335" s="29" t="s">
        <v>1403</v>
      </c>
      <c r="DK335" s="29" t="s">
        <v>6603</v>
      </c>
      <c r="DL335" s="29" t="s">
        <v>6754</v>
      </c>
      <c r="DM335" s="29"/>
      <c r="DN335" s="29"/>
      <c r="DO335" s="29"/>
      <c r="DP335" s="29"/>
      <c r="DQ335" s="29"/>
      <c r="DR335" s="29"/>
      <c r="DS335" s="29"/>
      <c r="DT335" s="29"/>
      <c r="DU335" s="29"/>
      <c r="DV335" s="29"/>
      <c r="DW335" s="29"/>
      <c r="DX335" s="29"/>
      <c r="DY335" s="29"/>
      <c r="DZ335" s="29"/>
      <c r="EA335" s="29"/>
      <c r="EB335" s="29"/>
      <c r="EC335" s="29"/>
      <c r="ED335" s="29"/>
      <c r="EE335" s="29"/>
      <c r="EF335" s="29"/>
      <c r="EG335" s="29"/>
      <c r="EH335" s="29"/>
      <c r="EI335" s="29"/>
      <c r="EJ335" s="29"/>
      <c r="EK335" s="29"/>
      <c r="EL335" s="29"/>
      <c r="EM335" s="29"/>
      <c r="EN335" s="29"/>
      <c r="EO335" s="29"/>
      <c r="EP335" s="29"/>
      <c r="EQ335" s="29"/>
      <c r="ER335" s="29"/>
      <c r="ES335" s="29"/>
      <c r="ET335" s="29" t="s">
        <v>526</v>
      </c>
      <c r="EU335" s="29" t="s">
        <v>1037</v>
      </c>
      <c r="EV335" s="29" t="s">
        <v>527</v>
      </c>
      <c r="EW335" s="29"/>
      <c r="EX335" s="29" t="s">
        <v>6755</v>
      </c>
      <c r="EY335" s="29"/>
      <c r="EZ335" s="29" t="s">
        <v>414</v>
      </c>
      <c r="FA335" s="29" t="s">
        <v>414</v>
      </c>
      <c r="FB335" s="29" t="s">
        <v>415</v>
      </c>
      <c r="FC335" s="29" t="s">
        <v>414</v>
      </c>
      <c r="FD335" s="29" t="s">
        <v>415</v>
      </c>
      <c r="FE335" s="29" t="s">
        <v>414</v>
      </c>
      <c r="FF335" s="29" t="s">
        <v>415</v>
      </c>
      <c r="FG335" s="29" t="s">
        <v>415</v>
      </c>
      <c r="FH335" s="29" t="s">
        <v>583</v>
      </c>
      <c r="FI335" s="29" t="s">
        <v>414</v>
      </c>
      <c r="FJ335" s="29" t="s">
        <v>583</v>
      </c>
      <c r="FK335" s="29" t="s">
        <v>484</v>
      </c>
      <c r="FL335" s="29" t="s">
        <v>484</v>
      </c>
      <c r="FM335" s="29" t="s">
        <v>484</v>
      </c>
      <c r="FN335" s="29" t="s">
        <v>484</v>
      </c>
      <c r="FO335" s="29" t="s">
        <v>417</v>
      </c>
      <c r="FP335" s="29" t="s">
        <v>418</v>
      </c>
      <c r="FQ335" s="29" t="s">
        <v>712</v>
      </c>
      <c r="FR335" s="29"/>
      <c r="FS335" s="29" t="s">
        <v>420</v>
      </c>
      <c r="FT335" s="29" t="s">
        <v>488</v>
      </c>
      <c r="FU335" s="29" t="s">
        <v>918</v>
      </c>
      <c r="FV335" s="29" t="s">
        <v>1101</v>
      </c>
      <c r="FW335" s="29" t="s">
        <v>491</v>
      </c>
      <c r="FX335" s="29" t="s">
        <v>6756</v>
      </c>
      <c r="FY335" s="29" t="s">
        <v>535</v>
      </c>
      <c r="FZ335" s="29" t="s">
        <v>6757</v>
      </c>
      <c r="GA335" s="29"/>
      <c r="GB335" s="29" t="s">
        <v>455</v>
      </c>
      <c r="GC335" s="29"/>
      <c r="GD335" s="29"/>
      <c r="GE335" s="29" t="s">
        <v>753</v>
      </c>
      <c r="GF335" s="29" t="s">
        <v>6758</v>
      </c>
      <c r="GG335" s="29" t="s">
        <v>920</v>
      </c>
      <c r="GH335" s="29" t="s">
        <v>755</v>
      </c>
      <c r="GI335" s="29" t="s">
        <v>946</v>
      </c>
      <c r="GJ335" s="29"/>
      <c r="GK335" s="29"/>
      <c r="GL335" s="29"/>
      <c r="GM335" s="29"/>
      <c r="GN335" s="29"/>
      <c r="GO335" s="29"/>
      <c r="GP335" s="29"/>
      <c r="GQ335" s="29" t="s">
        <v>3208</v>
      </c>
      <c r="GR335" s="29"/>
      <c r="GS335" s="29"/>
      <c r="GT335" s="29" t="s">
        <v>4774</v>
      </c>
      <c r="GU335" s="29"/>
      <c r="HP335" s="31"/>
      <c r="MX335" s="29" t="s">
        <v>10402</v>
      </c>
      <c r="MY335" s="29" t="str">
        <f>IFERROR(__xludf.DUMMYFUNCTION("""COMPUTED_VALUE"""),"Oregon")</f>
        <v>Oregon</v>
      </c>
    </row>
    <row r="336" ht="16.5" customHeight="1">
      <c r="A336" s="33">
        <v>45926.12340616898</v>
      </c>
      <c r="B336" s="29" t="s">
        <v>368</v>
      </c>
      <c r="C336" s="29" t="s">
        <v>370</v>
      </c>
      <c r="D336" s="29" t="s">
        <v>370</v>
      </c>
      <c r="E336" s="29" t="s">
        <v>2400</v>
      </c>
      <c r="F336" s="29" t="s">
        <v>2400</v>
      </c>
      <c r="G336" s="29" t="s">
        <v>422</v>
      </c>
      <c r="H336" s="29" t="s">
        <v>423</v>
      </c>
      <c r="I336" s="29" t="s">
        <v>668</v>
      </c>
      <c r="J336" s="29" t="s">
        <v>590</v>
      </c>
      <c r="K336" s="29" t="s">
        <v>376</v>
      </c>
      <c r="L336" s="29" t="s">
        <v>379</v>
      </c>
      <c r="M336" s="29" t="s">
        <v>6761</v>
      </c>
      <c r="N336" s="29" t="s">
        <v>379</v>
      </c>
      <c r="O336" s="29" t="s">
        <v>6762</v>
      </c>
      <c r="P336" s="29" t="s">
        <v>381</v>
      </c>
      <c r="Q336" s="29" t="s">
        <v>1156</v>
      </c>
      <c r="R336" s="29" t="s">
        <v>427</v>
      </c>
      <c r="S336" s="29" t="s">
        <v>384</v>
      </c>
      <c r="T336" s="29" t="s">
        <v>385</v>
      </c>
      <c r="U336" s="29"/>
      <c r="V336" s="29"/>
      <c r="W336" s="29" t="s">
        <v>593</v>
      </c>
      <c r="X336" s="29" t="s">
        <v>387</v>
      </c>
      <c r="Y336" s="29" t="s">
        <v>1157</v>
      </c>
      <c r="Z336" s="29" t="s">
        <v>502</v>
      </c>
      <c r="AA336" s="29" t="s">
        <v>408</v>
      </c>
      <c r="AB336" s="29"/>
      <c r="AC336" s="29"/>
      <c r="AD336" s="29"/>
      <c r="AE336" s="29"/>
      <c r="AF336" s="29"/>
      <c r="AG336" s="29"/>
      <c r="AH336" s="29"/>
      <c r="AI336" s="29"/>
      <c r="AJ336" s="29"/>
      <c r="AK336" s="29"/>
      <c r="AL336" s="29"/>
      <c r="AM336" s="29"/>
      <c r="AN336" s="29"/>
      <c r="AO336" s="29"/>
      <c r="AP336" s="29"/>
      <c r="AQ336" s="29"/>
      <c r="AR336" s="29"/>
      <c r="AS336" s="29"/>
      <c r="AT336" s="29"/>
      <c r="AU336" s="29"/>
      <c r="AV336" s="29" t="s">
        <v>597</v>
      </c>
      <c r="AW336" s="29" t="s">
        <v>675</v>
      </c>
      <c r="AX336" s="29" t="s">
        <v>391</v>
      </c>
      <c r="AY336" s="29" t="s">
        <v>429</v>
      </c>
      <c r="AZ336" s="29">
        <v>2.0</v>
      </c>
      <c r="BA336" s="29">
        <v>4.0</v>
      </c>
      <c r="BB336" s="29">
        <v>4.0</v>
      </c>
      <c r="BC336" s="29" t="s">
        <v>6763</v>
      </c>
      <c r="BD336" s="29" t="s">
        <v>6764</v>
      </c>
      <c r="BE336" s="29" t="s">
        <v>3114</v>
      </c>
      <c r="BF336" s="29" t="s">
        <v>1095</v>
      </c>
      <c r="BG336" s="29" t="s">
        <v>678</v>
      </c>
      <c r="BH336" s="29" t="s">
        <v>6765</v>
      </c>
      <c r="BI336" s="29" t="s">
        <v>435</v>
      </c>
      <c r="BJ336" s="29"/>
      <c r="BK336" s="29" t="s">
        <v>681</v>
      </c>
      <c r="BL336" s="29" t="s">
        <v>603</v>
      </c>
      <c r="BM336" s="29" t="s">
        <v>549</v>
      </c>
      <c r="BN336" s="29" t="s">
        <v>513</v>
      </c>
      <c r="BO336" s="29"/>
      <c r="BP336" s="29"/>
      <c r="BQ336" s="29"/>
      <c r="BR336" s="29"/>
      <c r="BS336" s="29"/>
      <c r="BT336" s="29"/>
      <c r="BU336" s="29"/>
      <c r="BV336" s="29"/>
      <c r="BW336" s="29"/>
      <c r="BX336" s="29"/>
      <c r="BY336" s="29"/>
      <c r="BZ336" s="29"/>
      <c r="CA336" s="29"/>
      <c r="CB336" s="29"/>
      <c r="CC336" s="29"/>
      <c r="CD336" s="29"/>
      <c r="CE336" s="29"/>
      <c r="CF336" s="29"/>
      <c r="CG336" s="29"/>
      <c r="CH336" s="29"/>
      <c r="CI336" s="29"/>
      <c r="CJ336" s="29"/>
      <c r="CK336" s="29"/>
      <c r="CL336" s="29" t="s">
        <v>441</v>
      </c>
      <c r="CM336" s="29" t="s">
        <v>401</v>
      </c>
      <c r="CN336" s="29" t="s">
        <v>6766</v>
      </c>
      <c r="CO336" s="29" t="s">
        <v>6767</v>
      </c>
      <c r="CP336" s="29" t="s">
        <v>445</v>
      </c>
      <c r="CQ336" s="29" t="s">
        <v>3090</v>
      </c>
      <c r="CR336" s="29" t="s">
        <v>804</v>
      </c>
      <c r="CS336" s="29" t="s">
        <v>1569</v>
      </c>
      <c r="CT336" s="29" t="s">
        <v>6768</v>
      </c>
      <c r="CU336" s="29" t="s">
        <v>1961</v>
      </c>
      <c r="CV336" s="29" t="s">
        <v>1931</v>
      </c>
      <c r="CW336" s="29" t="s">
        <v>6769</v>
      </c>
      <c r="CX336" s="29" t="s">
        <v>408</v>
      </c>
      <c r="CY336" s="29"/>
      <c r="CZ336" s="29" t="s">
        <v>1962</v>
      </c>
      <c r="DA336" s="29"/>
      <c r="DB336" s="29" t="s">
        <v>408</v>
      </c>
      <c r="DC336" s="29"/>
      <c r="DD336" s="29" t="s">
        <v>406</v>
      </c>
      <c r="DE336" s="29" t="s">
        <v>1058</v>
      </c>
      <c r="DF336" s="29" t="s">
        <v>6770</v>
      </c>
      <c r="DG336" s="29" t="s">
        <v>990</v>
      </c>
      <c r="DH336" s="29" t="s">
        <v>694</v>
      </c>
      <c r="DI336" s="29" t="s">
        <v>459</v>
      </c>
      <c r="DJ336" s="29" t="s">
        <v>613</v>
      </c>
      <c r="DK336" s="29"/>
      <c r="DL336" s="29"/>
      <c r="DM336" s="29"/>
      <c r="DN336" s="29"/>
      <c r="DO336" s="29"/>
      <c r="DP336" s="29"/>
      <c r="DQ336" s="29"/>
      <c r="DR336" s="29"/>
      <c r="DS336" s="29"/>
      <c r="DT336" s="29"/>
      <c r="DU336" s="29"/>
      <c r="DV336" s="29"/>
      <c r="DW336" s="29"/>
      <c r="DX336" s="29"/>
      <c r="DY336" s="29"/>
      <c r="DZ336" s="29"/>
      <c r="EA336" s="29"/>
      <c r="EB336" s="29"/>
      <c r="EC336" s="29"/>
      <c r="ED336" s="29"/>
      <c r="EE336" s="29"/>
      <c r="EF336" s="29"/>
      <c r="EG336" s="29"/>
      <c r="EH336" s="29"/>
      <c r="EI336" s="29"/>
      <c r="EJ336" s="29"/>
      <c r="EK336" s="29"/>
      <c r="EL336" s="29"/>
      <c r="EM336" s="29"/>
      <c r="EN336" s="29"/>
      <c r="EO336" s="29"/>
      <c r="EP336" s="29"/>
      <c r="EQ336" s="29"/>
      <c r="ER336" s="29"/>
      <c r="ES336" s="29"/>
      <c r="ET336" s="29" t="s">
        <v>2747</v>
      </c>
      <c r="EU336" s="29" t="s">
        <v>479</v>
      </c>
      <c r="EV336" s="29" t="s">
        <v>480</v>
      </c>
      <c r="EW336" s="29"/>
      <c r="EX336" s="29" t="s">
        <v>6771</v>
      </c>
      <c r="EY336" s="29" t="s">
        <v>6772</v>
      </c>
      <c r="EZ336" s="29"/>
      <c r="FA336" s="29"/>
      <c r="FB336" s="29"/>
      <c r="FC336" s="29"/>
      <c r="FD336" s="29"/>
      <c r="FE336" s="29"/>
      <c r="FF336" s="29"/>
      <c r="FG336" s="29"/>
      <c r="FH336" s="29"/>
      <c r="FI336" s="29"/>
      <c r="FJ336" s="29"/>
      <c r="FK336" s="29"/>
      <c r="FL336" s="29"/>
      <c r="FM336" s="29"/>
      <c r="FN336" s="29"/>
      <c r="FO336" s="29" t="s">
        <v>1074</v>
      </c>
      <c r="FP336" s="29" t="s">
        <v>2524</v>
      </c>
      <c r="FQ336" s="29" t="s">
        <v>630</v>
      </c>
      <c r="FR336" s="29"/>
      <c r="FS336" s="29" t="s">
        <v>1871</v>
      </c>
      <c r="FT336" s="29" t="s">
        <v>2750</v>
      </c>
      <c r="FU336" s="29" t="s">
        <v>533</v>
      </c>
      <c r="FV336" s="29" t="s">
        <v>2399</v>
      </c>
      <c r="FW336" s="29" t="s">
        <v>1853</v>
      </c>
      <c r="FX336" s="29"/>
      <c r="FY336" s="29" t="s">
        <v>1854</v>
      </c>
      <c r="FZ336" s="29"/>
      <c r="GA336" s="29" t="s">
        <v>2675</v>
      </c>
      <c r="GB336" s="29" t="s">
        <v>408</v>
      </c>
      <c r="GC336" s="29"/>
      <c r="GD336" s="29"/>
      <c r="GE336" s="29"/>
      <c r="GF336" s="29"/>
      <c r="GG336" s="29" t="s">
        <v>857</v>
      </c>
      <c r="GH336" s="29" t="s">
        <v>857</v>
      </c>
      <c r="GI336" s="29" t="s">
        <v>921</v>
      </c>
      <c r="GJ336" s="29"/>
      <c r="GK336" s="29"/>
      <c r="GL336" s="29"/>
      <c r="GM336" s="29"/>
      <c r="GN336" s="29"/>
      <c r="GO336" s="29"/>
      <c r="GP336" s="29"/>
      <c r="GQ336" s="29" t="s">
        <v>3208</v>
      </c>
      <c r="GR336" s="29"/>
      <c r="GS336" s="29"/>
      <c r="GT336" s="29" t="s">
        <v>4774</v>
      </c>
      <c r="GU336" s="29"/>
      <c r="HP336" s="31"/>
      <c r="MX336" s="29" t="s">
        <v>1341</v>
      </c>
      <c r="MY336" s="29" t="str">
        <f>IFERROR(__xludf.DUMMYFUNCTION("""COMPUTED_VALUE"""),"Germany")</f>
        <v>Germany</v>
      </c>
    </row>
    <row r="337" ht="16.5" customHeight="1">
      <c r="A337" s="33">
        <v>45927.602613229166</v>
      </c>
      <c r="B337" s="29" t="s">
        <v>368</v>
      </c>
      <c r="C337" s="29" t="s">
        <v>1341</v>
      </c>
      <c r="D337" s="29" t="s">
        <v>1341</v>
      </c>
      <c r="E337" s="29"/>
      <c r="F337" s="29"/>
      <c r="G337" s="29" t="s">
        <v>422</v>
      </c>
      <c r="H337" s="29" t="s">
        <v>1921</v>
      </c>
      <c r="I337" s="29" t="s">
        <v>668</v>
      </c>
      <c r="J337" s="29" t="s">
        <v>375</v>
      </c>
      <c r="K337" s="29" t="s">
        <v>1784</v>
      </c>
      <c r="L337" s="29" t="s">
        <v>377</v>
      </c>
      <c r="M337" s="29" t="s">
        <v>378</v>
      </c>
      <c r="N337" s="29"/>
      <c r="O337" s="29" t="s">
        <v>497</v>
      </c>
      <c r="P337" s="29" t="s">
        <v>381</v>
      </c>
      <c r="Q337" s="29" t="s">
        <v>1156</v>
      </c>
      <c r="R337" s="29" t="s">
        <v>427</v>
      </c>
      <c r="S337" s="29" t="s">
        <v>384</v>
      </c>
      <c r="T337" s="29" t="s">
        <v>385</v>
      </c>
      <c r="U337" s="29"/>
      <c r="V337" s="29"/>
      <c r="W337" s="29" t="s">
        <v>593</v>
      </c>
      <c r="X337" s="29" t="s">
        <v>387</v>
      </c>
      <c r="Y337" s="29" t="s">
        <v>388</v>
      </c>
      <c r="Z337" s="29" t="s">
        <v>502</v>
      </c>
      <c r="AA337" s="29" t="s">
        <v>6773</v>
      </c>
      <c r="AB337" s="29"/>
      <c r="AC337" s="29"/>
      <c r="AD337" s="29"/>
      <c r="AE337" s="29"/>
      <c r="AF337" s="29"/>
      <c r="AG337" s="29"/>
      <c r="AH337" s="29"/>
      <c r="AI337" s="29"/>
      <c r="AJ337" s="29"/>
      <c r="AK337" s="29"/>
      <c r="AL337" s="29"/>
      <c r="AM337" s="29"/>
      <c r="AN337" s="29"/>
      <c r="AO337" s="29"/>
      <c r="AP337" s="29"/>
      <c r="AQ337" s="29"/>
      <c r="AR337" s="29"/>
      <c r="AS337" s="29"/>
      <c r="AT337" s="29"/>
      <c r="AU337" s="29"/>
      <c r="AV337" s="29" t="s">
        <v>597</v>
      </c>
      <c r="AW337" s="29" t="s">
        <v>391</v>
      </c>
      <c r="AX337" s="29">
        <v>4.0</v>
      </c>
      <c r="AY337" s="29">
        <v>4.0</v>
      </c>
      <c r="AZ337" s="29">
        <v>2.0</v>
      </c>
      <c r="BA337" s="29" t="s">
        <v>429</v>
      </c>
      <c r="BB337" s="29" t="s">
        <v>391</v>
      </c>
      <c r="BC337" s="29" t="s">
        <v>6774</v>
      </c>
      <c r="BD337" s="29" t="s">
        <v>6775</v>
      </c>
      <c r="BE337" s="29" t="s">
        <v>432</v>
      </c>
      <c r="BF337" s="29" t="s">
        <v>433</v>
      </c>
      <c r="BG337" s="29" t="s">
        <v>678</v>
      </c>
      <c r="BH337" s="29"/>
      <c r="BI337" s="29" t="s">
        <v>509</v>
      </c>
      <c r="BJ337" s="29"/>
      <c r="BK337" s="29" t="s">
        <v>511</v>
      </c>
      <c r="BL337" s="29" t="s">
        <v>512</v>
      </c>
      <c r="BM337" s="29" t="s">
        <v>397</v>
      </c>
      <c r="BN337" s="29" t="s">
        <v>513</v>
      </c>
      <c r="BO337" s="29"/>
      <c r="BP337" s="29"/>
      <c r="BQ337" s="29"/>
      <c r="BR337" s="29"/>
      <c r="BS337" s="29"/>
      <c r="BT337" s="29"/>
      <c r="BU337" s="29"/>
      <c r="BV337" s="29"/>
      <c r="BW337" s="29"/>
      <c r="BX337" s="29"/>
      <c r="BY337" s="29"/>
      <c r="BZ337" s="29"/>
      <c r="CA337" s="29"/>
      <c r="CB337" s="29"/>
      <c r="CC337" s="29"/>
      <c r="CD337" s="29"/>
      <c r="CE337" s="29"/>
      <c r="CF337" s="29"/>
      <c r="CG337" s="29"/>
      <c r="CH337" s="29"/>
      <c r="CI337" s="29"/>
      <c r="CJ337" s="29"/>
      <c r="CK337" s="29"/>
      <c r="CL337" s="29" t="s">
        <v>550</v>
      </c>
      <c r="CM337" s="29" t="s">
        <v>604</v>
      </c>
      <c r="CN337" s="29" t="s">
        <v>6776</v>
      </c>
      <c r="CO337" s="29" t="s">
        <v>6777</v>
      </c>
      <c r="CP337" s="29" t="s">
        <v>1008</v>
      </c>
      <c r="CQ337" s="29" t="s">
        <v>6778</v>
      </c>
      <c r="CR337" s="29" t="s">
        <v>404</v>
      </c>
      <c r="CS337" s="29" t="s">
        <v>6779</v>
      </c>
      <c r="CT337" s="29" t="s">
        <v>6780</v>
      </c>
      <c r="CU337" s="29" t="s">
        <v>450</v>
      </c>
      <c r="CV337" s="29" t="s">
        <v>451</v>
      </c>
      <c r="CW337" s="29" t="s">
        <v>6781</v>
      </c>
      <c r="CX337" s="29" t="s">
        <v>455</v>
      </c>
      <c r="CY337" s="29" t="s">
        <v>6782</v>
      </c>
      <c r="CZ337" s="29" t="s">
        <v>453</v>
      </c>
      <c r="DA337" s="29" t="s">
        <v>6783</v>
      </c>
      <c r="DB337" s="29" t="s">
        <v>455</v>
      </c>
      <c r="DC337" s="29"/>
      <c r="DD337" s="29" t="s">
        <v>662</v>
      </c>
      <c r="DE337" s="29"/>
      <c r="DF337" s="29" t="s">
        <v>6784</v>
      </c>
      <c r="DG337" s="29" t="s">
        <v>693</v>
      </c>
      <c r="DH337" s="29" t="s">
        <v>410</v>
      </c>
      <c r="DI337" s="29" t="s">
        <v>459</v>
      </c>
      <c r="DJ337" s="29" t="s">
        <v>1148</v>
      </c>
      <c r="DK337" s="29" t="s">
        <v>6335</v>
      </c>
      <c r="DL337" s="29"/>
      <c r="DM337" s="29"/>
      <c r="DN337" s="29"/>
      <c r="DO337" s="29"/>
      <c r="DP337" s="29"/>
      <c r="DQ337" s="29"/>
      <c r="DR337" s="29"/>
      <c r="DS337" s="29"/>
      <c r="DT337" s="29"/>
      <c r="DU337" s="29"/>
      <c r="DV337" s="29"/>
      <c r="DW337" s="29"/>
      <c r="DX337" s="29"/>
      <c r="DY337" s="29"/>
      <c r="DZ337" s="29"/>
      <c r="EA337" s="29"/>
      <c r="EB337" s="29"/>
      <c r="EC337" s="29"/>
      <c r="ED337" s="29"/>
      <c r="EE337" s="29"/>
      <c r="EF337" s="29"/>
      <c r="EG337" s="29"/>
      <c r="EH337" s="29"/>
      <c r="EI337" s="29"/>
      <c r="EJ337" s="29"/>
      <c r="EK337" s="29"/>
      <c r="EL337" s="29"/>
      <c r="EM337" s="29"/>
      <c r="EN337" s="29"/>
      <c r="EO337" s="29"/>
      <c r="EP337" s="29"/>
      <c r="EQ337" s="29"/>
      <c r="ER337" s="29"/>
      <c r="ES337" s="29"/>
      <c r="ET337" s="29" t="s">
        <v>578</v>
      </c>
      <c r="EU337" s="29" t="s">
        <v>579</v>
      </c>
      <c r="EV337" s="29" t="s">
        <v>580</v>
      </c>
      <c r="EW337" s="29"/>
      <c r="EX337" s="29" t="s">
        <v>6785</v>
      </c>
      <c r="EY337" s="29" t="s">
        <v>6786</v>
      </c>
      <c r="EZ337" s="29" t="s">
        <v>415</v>
      </c>
      <c r="FA337" s="29" t="s">
        <v>583</v>
      </c>
      <c r="FB337" s="29" t="s">
        <v>413</v>
      </c>
      <c r="FC337" s="29" t="s">
        <v>413</v>
      </c>
      <c r="FD337" s="29" t="s">
        <v>413</v>
      </c>
      <c r="FE337" s="29" t="s">
        <v>415</v>
      </c>
      <c r="FF337" s="29" t="s">
        <v>413</v>
      </c>
      <c r="FG337" s="29" t="s">
        <v>413</v>
      </c>
      <c r="FH337" s="29" t="s">
        <v>413</v>
      </c>
      <c r="FI337" s="29" t="s">
        <v>413</v>
      </c>
      <c r="FJ337" s="29" t="s">
        <v>416</v>
      </c>
      <c r="FK337" s="29" t="s">
        <v>415</v>
      </c>
      <c r="FL337" s="29" t="s">
        <v>415</v>
      </c>
      <c r="FM337" s="29" t="s">
        <v>415</v>
      </c>
      <c r="FN337" s="29" t="s">
        <v>414</v>
      </c>
      <c r="FO337" s="29" t="s">
        <v>850</v>
      </c>
      <c r="FP337" s="29" t="s">
        <v>486</v>
      </c>
      <c r="FQ337" s="29" t="s">
        <v>531</v>
      </c>
      <c r="FR337" s="29" t="s">
        <v>6787</v>
      </c>
      <c r="FS337" s="29" t="s">
        <v>420</v>
      </c>
      <c r="FT337" s="29" t="s">
        <v>488</v>
      </c>
      <c r="FU337" s="29" t="s">
        <v>1235</v>
      </c>
      <c r="FV337" s="29" t="s">
        <v>490</v>
      </c>
      <c r="FW337" s="29" t="s">
        <v>491</v>
      </c>
      <c r="FX337" s="29"/>
      <c r="FY337" s="29" t="s">
        <v>535</v>
      </c>
      <c r="FZ337" s="29"/>
      <c r="GA337" s="29"/>
      <c r="GB337" s="29" t="s">
        <v>408</v>
      </c>
      <c r="GC337" s="29"/>
      <c r="GD337" s="29"/>
      <c r="GE337" s="29"/>
      <c r="GF337" s="29"/>
      <c r="GG337" s="29" t="s">
        <v>755</v>
      </c>
      <c r="GH337" s="29" t="s">
        <v>755</v>
      </c>
      <c r="GI337" s="29" t="s">
        <v>946</v>
      </c>
      <c r="GJ337" s="29"/>
      <c r="GK337" s="29"/>
      <c r="GL337" s="29"/>
      <c r="GM337" s="29"/>
      <c r="GN337" s="29" t="s">
        <v>3220</v>
      </c>
      <c r="GO337" s="29" t="s">
        <v>6788</v>
      </c>
      <c r="GP337" s="29"/>
      <c r="GQ337" s="29" t="s">
        <v>3208</v>
      </c>
      <c r="GR337" s="29"/>
      <c r="GS337" s="29"/>
      <c r="GT337" s="29" t="s">
        <v>4774</v>
      </c>
      <c r="GU337" s="29"/>
      <c r="HP337" s="31"/>
      <c r="MX337" s="29" t="s">
        <v>10402</v>
      </c>
      <c r="MY337" s="29" t="str">
        <f>IFERROR(__xludf.DUMMYFUNCTION("""COMPUTED_VALUE"""),"Louisiana")</f>
        <v>Louisiana</v>
      </c>
    </row>
    <row r="338" ht="16.5" customHeight="1">
      <c r="A338" s="33">
        <v>45929.419320416666</v>
      </c>
      <c r="B338" s="29" t="s">
        <v>368</v>
      </c>
      <c r="C338" s="29" t="s">
        <v>370</v>
      </c>
      <c r="D338" s="29" t="s">
        <v>370</v>
      </c>
      <c r="E338" s="29" t="s">
        <v>1464</v>
      </c>
      <c r="F338" s="29" t="s">
        <v>2400</v>
      </c>
      <c r="G338" s="29" t="s">
        <v>422</v>
      </c>
      <c r="H338" s="29" t="s">
        <v>1307</v>
      </c>
      <c r="I338" s="29" t="s">
        <v>668</v>
      </c>
      <c r="J338" s="29" t="s">
        <v>718</v>
      </c>
      <c r="K338" s="29" t="s">
        <v>376</v>
      </c>
      <c r="L338" s="29" t="s">
        <v>379</v>
      </c>
      <c r="M338" s="29" t="s">
        <v>541</v>
      </c>
      <c r="N338" s="29" t="s">
        <v>426</v>
      </c>
      <c r="O338" s="29" t="s">
        <v>497</v>
      </c>
      <c r="P338" s="29" t="s">
        <v>498</v>
      </c>
      <c r="Q338" s="29" t="s">
        <v>382</v>
      </c>
      <c r="R338" s="29" t="s">
        <v>427</v>
      </c>
      <c r="S338" s="29" t="s">
        <v>384</v>
      </c>
      <c r="T338" s="29" t="s">
        <v>385</v>
      </c>
      <c r="U338" s="29"/>
      <c r="V338" s="29"/>
      <c r="W338" s="29" t="s">
        <v>593</v>
      </c>
      <c r="X338" s="29" t="s">
        <v>387</v>
      </c>
      <c r="Y338" s="29" t="s">
        <v>897</v>
      </c>
      <c r="Z338" s="29" t="s">
        <v>672</v>
      </c>
      <c r="AA338" s="29" t="s">
        <v>408</v>
      </c>
      <c r="AB338" s="29"/>
      <c r="AC338" s="29"/>
      <c r="AD338" s="29"/>
      <c r="AE338" s="29"/>
      <c r="AF338" s="29"/>
      <c r="AG338" s="29"/>
      <c r="AH338" s="29"/>
      <c r="AI338" s="29"/>
      <c r="AJ338" s="29"/>
      <c r="AK338" s="29"/>
      <c r="AL338" s="29"/>
      <c r="AM338" s="29"/>
      <c r="AN338" s="29"/>
      <c r="AO338" s="29"/>
      <c r="AP338" s="29"/>
      <c r="AQ338" s="29"/>
      <c r="AR338" s="29"/>
      <c r="AS338" s="29"/>
      <c r="AT338" s="29"/>
      <c r="AU338" s="29"/>
      <c r="AV338" s="29" t="s">
        <v>1242</v>
      </c>
      <c r="AW338" s="29" t="s">
        <v>391</v>
      </c>
      <c r="AX338" s="29" t="s">
        <v>391</v>
      </c>
      <c r="AY338" s="29">
        <v>2.0</v>
      </c>
      <c r="AZ338" s="29" t="s">
        <v>429</v>
      </c>
      <c r="BA338" s="29" t="s">
        <v>429</v>
      </c>
      <c r="BB338" s="29" t="s">
        <v>429</v>
      </c>
      <c r="BC338" s="29" t="s">
        <v>6790</v>
      </c>
      <c r="BD338" s="29"/>
      <c r="BE338" s="29" t="s">
        <v>432</v>
      </c>
      <c r="BF338" s="29" t="s">
        <v>433</v>
      </c>
      <c r="BG338" s="29" t="s">
        <v>678</v>
      </c>
      <c r="BH338" s="29"/>
      <c r="BI338" s="29" t="s">
        <v>509</v>
      </c>
      <c r="BJ338" s="29"/>
      <c r="BK338" s="29" t="s">
        <v>511</v>
      </c>
      <c r="BL338" s="29" t="s">
        <v>438</v>
      </c>
      <c r="BM338" s="29" t="s">
        <v>439</v>
      </c>
      <c r="BN338" s="29" t="s">
        <v>513</v>
      </c>
      <c r="BO338" s="29"/>
      <c r="BP338" s="29"/>
      <c r="BQ338" s="29"/>
      <c r="BR338" s="29"/>
      <c r="BS338" s="29"/>
      <c r="BT338" s="29"/>
      <c r="BU338" s="29"/>
      <c r="BV338" s="29"/>
      <c r="BW338" s="29"/>
      <c r="BX338" s="29"/>
      <c r="BY338" s="29"/>
      <c r="BZ338" s="29"/>
      <c r="CA338" s="29"/>
      <c r="CB338" s="29"/>
      <c r="CC338" s="29"/>
      <c r="CD338" s="29"/>
      <c r="CE338" s="29"/>
      <c r="CF338" s="29"/>
      <c r="CG338" s="29"/>
      <c r="CH338" s="29"/>
      <c r="CI338" s="29"/>
      <c r="CJ338" s="29"/>
      <c r="CK338" s="29"/>
      <c r="CL338" s="29" t="s">
        <v>441</v>
      </c>
      <c r="CM338" s="29" t="s">
        <v>442</v>
      </c>
      <c r="CN338" s="29" t="s">
        <v>6791</v>
      </c>
      <c r="CO338" s="29" t="s">
        <v>6792</v>
      </c>
      <c r="CP338" s="29"/>
      <c r="CQ338" s="29" t="s">
        <v>6793</v>
      </c>
      <c r="CR338" s="29" t="s">
        <v>447</v>
      </c>
      <c r="CS338" s="29" t="s">
        <v>6794</v>
      </c>
      <c r="CT338" s="29" t="s">
        <v>6795</v>
      </c>
      <c r="CU338" s="29" t="s">
        <v>982</v>
      </c>
      <c r="CV338" s="29" t="s">
        <v>451</v>
      </c>
      <c r="CW338" s="29" t="s">
        <v>6796</v>
      </c>
      <c r="CX338" s="29" t="s">
        <v>408</v>
      </c>
      <c r="CY338" s="29"/>
      <c r="CZ338" s="29" t="s">
        <v>453</v>
      </c>
      <c r="DA338" s="29" t="s">
        <v>6797</v>
      </c>
      <c r="DB338" s="29" t="s">
        <v>408</v>
      </c>
      <c r="DC338" s="29"/>
      <c r="DD338" s="29" t="s">
        <v>406</v>
      </c>
      <c r="DE338" s="29" t="s">
        <v>1058</v>
      </c>
      <c r="DF338" s="29" t="s">
        <v>6798</v>
      </c>
      <c r="DG338" s="29" t="s">
        <v>776</v>
      </c>
      <c r="DH338" s="29" t="s">
        <v>410</v>
      </c>
      <c r="DI338" s="29" t="s">
        <v>459</v>
      </c>
      <c r="DJ338" s="29" t="s">
        <v>460</v>
      </c>
      <c r="DK338" s="29" t="s">
        <v>6335</v>
      </c>
      <c r="DL338" s="29"/>
      <c r="DM338" s="29"/>
      <c r="DN338" s="29"/>
      <c r="DO338" s="29"/>
      <c r="DP338" s="29"/>
      <c r="DQ338" s="29"/>
      <c r="DR338" s="29"/>
      <c r="DS338" s="29"/>
      <c r="DT338" s="29"/>
      <c r="DU338" s="29"/>
      <c r="DV338" s="29"/>
      <c r="DW338" s="29"/>
      <c r="DX338" s="29"/>
      <c r="DY338" s="29"/>
      <c r="DZ338" s="29"/>
      <c r="EA338" s="29"/>
      <c r="EB338" s="29"/>
      <c r="EC338" s="29"/>
      <c r="ED338" s="29"/>
      <c r="EE338" s="29"/>
      <c r="EF338" s="29"/>
      <c r="EG338" s="29"/>
      <c r="EH338" s="29"/>
      <c r="EI338" s="29"/>
      <c r="EJ338" s="29"/>
      <c r="EK338" s="29"/>
      <c r="EL338" s="29"/>
      <c r="EM338" s="29"/>
      <c r="EN338" s="29"/>
      <c r="EO338" s="29"/>
      <c r="EP338" s="29"/>
      <c r="EQ338" s="29"/>
      <c r="ER338" s="29"/>
      <c r="ES338" s="29"/>
      <c r="ET338" s="29"/>
      <c r="EU338" s="29" t="s">
        <v>479</v>
      </c>
      <c r="EV338" s="29" t="s">
        <v>480</v>
      </c>
      <c r="EW338" s="29"/>
      <c r="EX338" s="29"/>
      <c r="EY338" s="29"/>
      <c r="EZ338" s="29" t="s">
        <v>414</v>
      </c>
      <c r="FA338" s="29" t="s">
        <v>414</v>
      </c>
      <c r="FB338" s="29" t="s">
        <v>413</v>
      </c>
      <c r="FC338" s="29" t="s">
        <v>414</v>
      </c>
      <c r="FD338" s="29" t="s">
        <v>415</v>
      </c>
      <c r="FE338" s="29" t="s">
        <v>414</v>
      </c>
      <c r="FF338" s="29" t="s">
        <v>484</v>
      </c>
      <c r="FG338" s="29" t="s">
        <v>484</v>
      </c>
      <c r="FH338" s="29" t="s">
        <v>413</v>
      </c>
      <c r="FI338" s="29" t="s">
        <v>414</v>
      </c>
      <c r="FJ338" s="29" t="s">
        <v>415</v>
      </c>
      <c r="FK338" s="29" t="s">
        <v>414</v>
      </c>
      <c r="FL338" s="29" t="s">
        <v>415</v>
      </c>
      <c r="FM338" s="29" t="s">
        <v>415</v>
      </c>
      <c r="FN338" s="29" t="s">
        <v>415</v>
      </c>
      <c r="FO338" s="29" t="s">
        <v>485</v>
      </c>
      <c r="FP338" s="29" t="s">
        <v>418</v>
      </c>
      <c r="FQ338" s="29" t="s">
        <v>712</v>
      </c>
      <c r="FR338" s="29"/>
      <c r="FS338" s="29" t="s">
        <v>420</v>
      </c>
      <c r="FT338" s="29" t="s">
        <v>488</v>
      </c>
      <c r="FU338" s="29" t="s">
        <v>533</v>
      </c>
      <c r="FV338" s="29" t="s">
        <v>490</v>
      </c>
      <c r="FW338" s="29" t="s">
        <v>491</v>
      </c>
      <c r="FX338" s="29" t="s">
        <v>6799</v>
      </c>
      <c r="FY338" s="29" t="s">
        <v>535</v>
      </c>
      <c r="FZ338" s="29" t="s">
        <v>6800</v>
      </c>
      <c r="GA338" s="29" t="s">
        <v>6801</v>
      </c>
      <c r="GB338" s="29" t="s">
        <v>455</v>
      </c>
      <c r="GC338" s="29"/>
      <c r="GD338" s="29"/>
      <c r="GE338" s="29" t="s">
        <v>1420</v>
      </c>
      <c r="GF338" s="29"/>
      <c r="GG338" s="29" t="s">
        <v>755</v>
      </c>
      <c r="GH338" s="29" t="s">
        <v>755</v>
      </c>
      <c r="GI338" s="29" t="s">
        <v>946</v>
      </c>
      <c r="GJ338" s="29"/>
      <c r="GK338" s="29"/>
      <c r="GL338" s="29"/>
      <c r="GM338" s="29"/>
      <c r="GN338" s="29"/>
      <c r="GO338" s="29"/>
      <c r="GP338" s="29"/>
      <c r="GQ338" s="29" t="s">
        <v>4653</v>
      </c>
      <c r="GR338" s="29"/>
      <c r="GS338" s="29"/>
      <c r="GT338" s="29" t="s">
        <v>4774</v>
      </c>
      <c r="GU338" s="29"/>
      <c r="HP338" s="31"/>
      <c r="MX338" s="29" t="s">
        <v>635</v>
      </c>
      <c r="MY338" s="29" t="str">
        <f>IFERROR(__xludf.DUMMYFUNCTION("""COMPUTED_VALUE"""),"Italy")</f>
        <v>Italy</v>
      </c>
    </row>
    <row r="339" ht="16.5" customHeight="1">
      <c r="A339" s="33">
        <v>45929.53502336805</v>
      </c>
      <c r="B339" s="29" t="s">
        <v>368</v>
      </c>
      <c r="C339" s="29" t="s">
        <v>635</v>
      </c>
      <c r="D339" s="29" t="s">
        <v>635</v>
      </c>
      <c r="E339" s="29"/>
      <c r="F339" s="29"/>
      <c r="G339" s="29" t="s">
        <v>422</v>
      </c>
      <c r="H339" s="29" t="s">
        <v>637</v>
      </c>
      <c r="I339" s="29" t="s">
        <v>638</v>
      </c>
      <c r="J339" s="29" t="s">
        <v>375</v>
      </c>
      <c r="K339" s="29" t="s">
        <v>376</v>
      </c>
      <c r="L339" s="29" t="s">
        <v>793</v>
      </c>
      <c r="M339" s="29" t="s">
        <v>720</v>
      </c>
      <c r="N339" s="29" t="s">
        <v>793</v>
      </c>
      <c r="O339" s="29" t="s">
        <v>380</v>
      </c>
      <c r="P339" s="29" t="s">
        <v>592</v>
      </c>
      <c r="Q339" s="29" t="s">
        <v>382</v>
      </c>
      <c r="R339" s="29" t="s">
        <v>500</v>
      </c>
      <c r="S339" s="29" t="s">
        <v>384</v>
      </c>
      <c r="T339" s="29" t="s">
        <v>385</v>
      </c>
      <c r="U339" s="29"/>
      <c r="V339" s="29"/>
      <c r="W339" s="29" t="s">
        <v>386</v>
      </c>
      <c r="X339" s="29" t="s">
        <v>387</v>
      </c>
      <c r="Y339" s="29" t="s">
        <v>388</v>
      </c>
      <c r="Z339" s="29" t="s">
        <v>543</v>
      </c>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t="s">
        <v>1242</v>
      </c>
      <c r="AW339" s="29" t="s">
        <v>675</v>
      </c>
      <c r="AX339" s="29" t="s">
        <v>675</v>
      </c>
      <c r="AY339" s="29" t="s">
        <v>675</v>
      </c>
      <c r="AZ339" s="29" t="s">
        <v>675</v>
      </c>
      <c r="BA339" s="29" t="s">
        <v>675</v>
      </c>
      <c r="BB339" s="29" t="s">
        <v>675</v>
      </c>
      <c r="BC339" s="29"/>
      <c r="BD339" s="29"/>
      <c r="BE339" s="29" t="s">
        <v>432</v>
      </c>
      <c r="BF339" s="29" t="s">
        <v>1245</v>
      </c>
      <c r="BG339" s="29" t="s">
        <v>394</v>
      </c>
      <c r="BH339" s="29"/>
      <c r="BI339" s="29" t="s">
        <v>976</v>
      </c>
      <c r="BJ339" s="29"/>
      <c r="BK339" s="29" t="s">
        <v>437</v>
      </c>
      <c r="BL339" s="29" t="s">
        <v>904</v>
      </c>
      <c r="BM339" s="29" t="s">
        <v>1314</v>
      </c>
      <c r="BN339" s="29" t="s">
        <v>398</v>
      </c>
      <c r="BO339" s="29"/>
      <c r="BP339" s="29"/>
      <c r="BQ339" s="29" t="s">
        <v>401</v>
      </c>
      <c r="BR339" s="29" t="s">
        <v>1740</v>
      </c>
      <c r="BS339" s="29" t="s">
        <v>1741</v>
      </c>
      <c r="BT339" s="29" t="s">
        <v>4072</v>
      </c>
      <c r="BU339" s="29" t="s">
        <v>405</v>
      </c>
      <c r="BV339" s="29"/>
      <c r="BW339" s="29" t="s">
        <v>406</v>
      </c>
      <c r="BX339" s="29" t="s">
        <v>1867</v>
      </c>
      <c r="BY339" s="29" t="s">
        <v>408</v>
      </c>
      <c r="BZ339" s="29"/>
      <c r="CA339" s="29"/>
      <c r="CB339" s="29"/>
      <c r="CC339" s="29"/>
      <c r="CD339" s="29" t="s">
        <v>451</v>
      </c>
      <c r="CE339" s="29"/>
      <c r="CF339" s="29" t="s">
        <v>1697</v>
      </c>
      <c r="CG339" s="29"/>
      <c r="CH339" s="29" t="s">
        <v>1259</v>
      </c>
      <c r="CI339" s="29" t="s">
        <v>833</v>
      </c>
      <c r="CJ339" s="29"/>
      <c r="CK339" s="29"/>
      <c r="CL339" s="29"/>
      <c r="CM339" s="29"/>
      <c r="CN339" s="29"/>
      <c r="CO339" s="29"/>
      <c r="CP339" s="29"/>
      <c r="CQ339" s="29"/>
      <c r="CR339" s="29"/>
      <c r="CS339" s="29"/>
      <c r="CT339" s="29"/>
      <c r="CU339" s="29"/>
      <c r="CV339" s="29"/>
      <c r="CW339" s="29"/>
      <c r="CX339" s="29"/>
      <c r="CY339" s="29"/>
      <c r="CZ339" s="29"/>
      <c r="DA339" s="29"/>
      <c r="DB339" s="29"/>
      <c r="DC339" s="29"/>
      <c r="DD339" s="29"/>
      <c r="DE339" s="29"/>
      <c r="DF339" s="29"/>
      <c r="DG339" s="29"/>
      <c r="DH339" s="29"/>
      <c r="DI339" s="29" t="s">
        <v>963</v>
      </c>
      <c r="DJ339" s="29" t="s">
        <v>460</v>
      </c>
      <c r="DK339" s="29" t="s">
        <v>6319</v>
      </c>
      <c r="DL339" s="29"/>
      <c r="DM339" s="29"/>
      <c r="DN339" s="29"/>
      <c r="DO339" s="29"/>
      <c r="DP339" s="29"/>
      <c r="DQ339" s="29"/>
      <c r="DR339" s="29"/>
      <c r="DS339" s="29"/>
      <c r="DT339" s="29"/>
      <c r="DU339" s="29"/>
      <c r="DV339" s="29"/>
      <c r="DW339" s="29"/>
      <c r="DX339" s="29"/>
      <c r="DY339" s="29"/>
      <c r="DZ339" s="29"/>
      <c r="EA339" s="29"/>
      <c r="EB339" s="29"/>
      <c r="EC339" s="29"/>
      <c r="ED339" s="29"/>
      <c r="EE339" s="29"/>
      <c r="EF339" s="29"/>
      <c r="EG339" s="29"/>
      <c r="EH339" s="29"/>
      <c r="EI339" s="29"/>
      <c r="EJ339" s="29"/>
      <c r="EK339" s="29"/>
      <c r="EL339" s="29"/>
      <c r="EM339" s="29"/>
      <c r="EN339" s="29"/>
      <c r="EO339" s="29"/>
      <c r="EP339" s="29"/>
      <c r="EQ339" s="29"/>
      <c r="ER339" s="29"/>
      <c r="ES339" s="29"/>
      <c r="ET339" s="29" t="s">
        <v>526</v>
      </c>
      <c r="EU339" s="29" t="s">
        <v>579</v>
      </c>
      <c r="EV339" s="29" t="s">
        <v>480</v>
      </c>
      <c r="EW339" s="29"/>
      <c r="EX339" s="29"/>
      <c r="EY339" s="29"/>
      <c r="EZ339" s="29" t="s">
        <v>413</v>
      </c>
      <c r="FA339" s="29" t="s">
        <v>415</v>
      </c>
      <c r="FB339" s="29" t="s">
        <v>413</v>
      </c>
      <c r="FC339" s="29" t="s">
        <v>413</v>
      </c>
      <c r="FD339" s="29" t="s">
        <v>413</v>
      </c>
      <c r="FE339" s="29" t="s">
        <v>413</v>
      </c>
      <c r="FF339" s="29" t="s">
        <v>413</v>
      </c>
      <c r="FG339" s="29" t="s">
        <v>413</v>
      </c>
      <c r="FH339" s="29" t="s">
        <v>415</v>
      </c>
      <c r="FI339" s="29" t="s">
        <v>413</v>
      </c>
      <c r="FJ339" s="29" t="s">
        <v>413</v>
      </c>
      <c r="FK339" s="29" t="s">
        <v>413</v>
      </c>
      <c r="FL339" s="29" t="s">
        <v>413</v>
      </c>
      <c r="FM339" s="29" t="s">
        <v>413</v>
      </c>
      <c r="FN339" s="29" t="s">
        <v>583</v>
      </c>
      <c r="FO339" s="29" t="s">
        <v>485</v>
      </c>
      <c r="FP339" s="29" t="s">
        <v>418</v>
      </c>
      <c r="FQ339" s="29" t="s">
        <v>1039</v>
      </c>
      <c r="FR339" s="29"/>
      <c r="FS339" s="29" t="s">
        <v>420</v>
      </c>
      <c r="FT339" s="29" t="s">
        <v>488</v>
      </c>
      <c r="FU339" s="29" t="s">
        <v>1235</v>
      </c>
      <c r="FV339" s="29" t="s">
        <v>490</v>
      </c>
      <c r="FW339" s="29" t="s">
        <v>491</v>
      </c>
      <c r="FX339" s="29"/>
      <c r="FY339" s="29" t="s">
        <v>535</v>
      </c>
      <c r="FZ339" s="29"/>
      <c r="GA339" s="29"/>
      <c r="GB339" s="29" t="s">
        <v>408</v>
      </c>
      <c r="GC339" s="29"/>
      <c r="GD339" s="29"/>
      <c r="GE339" s="29"/>
      <c r="GF339" s="29"/>
      <c r="GG339" s="29"/>
      <c r="GH339" s="29"/>
      <c r="GI339" s="29"/>
      <c r="GJ339" s="29" t="s">
        <v>920</v>
      </c>
      <c r="GK339" s="29" t="s">
        <v>755</v>
      </c>
      <c r="GL339" s="29" t="s">
        <v>817</v>
      </c>
      <c r="GM339" s="29"/>
      <c r="GN339" s="29" t="s">
        <v>6802</v>
      </c>
      <c r="GO339" s="29" t="s">
        <v>6802</v>
      </c>
      <c r="GP339" s="29"/>
      <c r="GQ339" s="29" t="s">
        <v>5656</v>
      </c>
      <c r="GR339" s="29" t="s">
        <v>4774</v>
      </c>
      <c r="GS339" s="29"/>
      <c r="GT339" s="29"/>
      <c r="GU339" s="29"/>
      <c r="HP339" s="31"/>
      <c r="MX339" s="29" t="s">
        <v>10402</v>
      </c>
      <c r="MY339" s="29" t="str">
        <f>IFERROR(__xludf.DUMMYFUNCTION("""COMPUTED_VALUE"""),"South Carolina")</f>
        <v>South Carolina</v>
      </c>
    </row>
    <row r="340" ht="16.5" customHeight="1">
      <c r="A340" s="33">
        <v>45929.659956793985</v>
      </c>
      <c r="B340" s="29" t="s">
        <v>368</v>
      </c>
      <c r="C340" s="29" t="s">
        <v>370</v>
      </c>
      <c r="D340" s="29" t="s">
        <v>370</v>
      </c>
      <c r="E340" s="29" t="s">
        <v>6634</v>
      </c>
      <c r="F340" s="29" t="s">
        <v>3955</v>
      </c>
      <c r="G340" s="29" t="s">
        <v>422</v>
      </c>
      <c r="H340" s="29" t="s">
        <v>1203</v>
      </c>
      <c r="I340" s="29" t="s">
        <v>6803</v>
      </c>
      <c r="J340" s="29" t="s">
        <v>590</v>
      </c>
      <c r="K340" s="29" t="s">
        <v>376</v>
      </c>
      <c r="L340" s="29" t="s">
        <v>379</v>
      </c>
      <c r="M340" s="29" t="s">
        <v>6804</v>
      </c>
      <c r="N340" s="29" t="s">
        <v>379</v>
      </c>
      <c r="O340" s="29" t="s">
        <v>2966</v>
      </c>
      <c r="P340" s="29" t="s">
        <v>498</v>
      </c>
      <c r="Q340" s="29" t="s">
        <v>1156</v>
      </c>
      <c r="R340" s="29" t="s">
        <v>427</v>
      </c>
      <c r="S340" s="29" t="s">
        <v>384</v>
      </c>
      <c r="T340" s="29" t="s">
        <v>385</v>
      </c>
      <c r="U340" s="29"/>
      <c r="V340" s="29"/>
      <c r="W340" s="29" t="s">
        <v>3231</v>
      </c>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t="s">
        <v>390</v>
      </c>
      <c r="AW340" s="29">
        <v>2.0</v>
      </c>
      <c r="AX340" s="29" t="s">
        <v>391</v>
      </c>
      <c r="AY340" s="29">
        <v>4.0</v>
      </c>
      <c r="AZ340" s="29">
        <v>2.0</v>
      </c>
      <c r="BA340" s="29">
        <v>2.0</v>
      </c>
      <c r="BB340" s="29">
        <v>2.0</v>
      </c>
      <c r="BC340" s="29"/>
      <c r="BD340" s="29"/>
      <c r="BE340" s="29"/>
      <c r="BF340" s="29"/>
      <c r="BG340" s="29" t="s">
        <v>507</v>
      </c>
      <c r="BH340" s="29"/>
      <c r="BI340" s="29"/>
      <c r="BJ340" s="29"/>
      <c r="BK340" s="29" t="s">
        <v>511</v>
      </c>
      <c r="BL340" s="29"/>
      <c r="BM340" s="29" t="s">
        <v>549</v>
      </c>
      <c r="BN340" s="29" t="s">
        <v>513</v>
      </c>
      <c r="BO340" s="29"/>
      <c r="BP340" s="29"/>
      <c r="BQ340" s="29"/>
      <c r="BR340" s="29"/>
      <c r="BS340" s="29"/>
      <c r="BT340" s="29"/>
      <c r="BU340" s="29"/>
      <c r="BV340" s="29"/>
      <c r="BW340" s="29"/>
      <c r="BX340" s="29"/>
      <c r="BY340" s="29"/>
      <c r="BZ340" s="29"/>
      <c r="CA340" s="29"/>
      <c r="CB340" s="29"/>
      <c r="CC340" s="29"/>
      <c r="CD340" s="29"/>
      <c r="CE340" s="29"/>
      <c r="CF340" s="29"/>
      <c r="CG340" s="29"/>
      <c r="CH340" s="29"/>
      <c r="CI340" s="29"/>
      <c r="CJ340" s="29"/>
      <c r="CK340" s="29"/>
      <c r="CL340" s="29" t="s">
        <v>441</v>
      </c>
      <c r="CM340" s="29" t="s">
        <v>401</v>
      </c>
      <c r="CN340" s="29" t="s">
        <v>6805</v>
      </c>
      <c r="CO340" s="29" t="s">
        <v>6806</v>
      </c>
      <c r="CP340" s="29" t="s">
        <v>445</v>
      </c>
      <c r="CQ340" s="29" t="s">
        <v>6807</v>
      </c>
      <c r="CR340" s="29"/>
      <c r="CS340" s="29" t="s">
        <v>6808</v>
      </c>
      <c r="CT340" s="29" t="s">
        <v>6809</v>
      </c>
      <c r="CU340" s="29" t="s">
        <v>1863</v>
      </c>
      <c r="CV340" s="29" t="s">
        <v>451</v>
      </c>
      <c r="CW340" s="29" t="s">
        <v>6810</v>
      </c>
      <c r="CX340" s="29" t="s">
        <v>733</v>
      </c>
      <c r="CY340" s="29"/>
      <c r="CZ340" s="29" t="s">
        <v>453</v>
      </c>
      <c r="DA340" s="29" t="s">
        <v>6811</v>
      </c>
      <c r="DB340" s="29" t="s">
        <v>913</v>
      </c>
      <c r="DC340" s="29"/>
      <c r="DD340" s="29" t="s">
        <v>406</v>
      </c>
      <c r="DE340" s="29" t="s">
        <v>407</v>
      </c>
      <c r="DF340" s="29" t="s">
        <v>6812</v>
      </c>
      <c r="DG340" s="29" t="s">
        <v>524</v>
      </c>
      <c r="DH340" s="29" t="s">
        <v>694</v>
      </c>
      <c r="DI340" s="29" t="s">
        <v>963</v>
      </c>
      <c r="DJ340" s="29" t="s">
        <v>562</v>
      </c>
      <c r="DK340" s="29" t="s">
        <v>6335</v>
      </c>
      <c r="DL340" s="29"/>
      <c r="DM340" s="29"/>
      <c r="DN340" s="29"/>
      <c r="DO340" s="29"/>
      <c r="DP340" s="29"/>
      <c r="DQ340" s="29"/>
      <c r="DR340" s="29"/>
      <c r="DS340" s="29"/>
      <c r="DT340" s="29"/>
      <c r="DU340" s="29"/>
      <c r="DV340" s="29"/>
      <c r="DW340" s="29"/>
      <c r="DX340" s="29"/>
      <c r="DY340" s="29"/>
      <c r="DZ340" s="29"/>
      <c r="EA340" s="29"/>
      <c r="EB340" s="29"/>
      <c r="EC340" s="29"/>
      <c r="ED340" s="29"/>
      <c r="EE340" s="29"/>
      <c r="EF340" s="29"/>
      <c r="EG340" s="29"/>
      <c r="EH340" s="29"/>
      <c r="EI340" s="29"/>
      <c r="EJ340" s="29"/>
      <c r="EK340" s="29"/>
      <c r="EL340" s="29"/>
      <c r="EM340" s="29"/>
      <c r="EN340" s="29"/>
      <c r="EO340" s="29"/>
      <c r="EP340" s="29"/>
      <c r="EQ340" s="29"/>
      <c r="ER340" s="29"/>
      <c r="ES340" s="29"/>
      <c r="ET340" s="29" t="s">
        <v>526</v>
      </c>
      <c r="EU340" s="29" t="s">
        <v>479</v>
      </c>
      <c r="EV340" s="29" t="s">
        <v>480</v>
      </c>
      <c r="EW340" s="29"/>
      <c r="EX340" s="29" t="s">
        <v>6813</v>
      </c>
      <c r="EY340" s="29" t="s">
        <v>6814</v>
      </c>
      <c r="EZ340" s="29" t="s">
        <v>583</v>
      </c>
      <c r="FA340" s="29" t="s">
        <v>583</v>
      </c>
      <c r="FB340" s="29" t="s">
        <v>415</v>
      </c>
      <c r="FC340" s="29" t="s">
        <v>583</v>
      </c>
      <c r="FD340" s="29" t="s">
        <v>414</v>
      </c>
      <c r="FE340" s="29" t="s">
        <v>583</v>
      </c>
      <c r="FF340" s="29" t="s">
        <v>583</v>
      </c>
      <c r="FG340" s="29" t="s">
        <v>583</v>
      </c>
      <c r="FH340" s="29" t="s">
        <v>414</v>
      </c>
      <c r="FI340" s="29" t="s">
        <v>583</v>
      </c>
      <c r="FJ340" s="29" t="s">
        <v>414</v>
      </c>
      <c r="FK340" s="29" t="s">
        <v>414</v>
      </c>
      <c r="FL340" s="29" t="s">
        <v>414</v>
      </c>
      <c r="FM340" s="29" t="s">
        <v>414</v>
      </c>
      <c r="FN340" s="29" t="s">
        <v>414</v>
      </c>
      <c r="FO340" s="29" t="s">
        <v>850</v>
      </c>
      <c r="FP340" s="29" t="s">
        <v>418</v>
      </c>
      <c r="FQ340" s="29" t="s">
        <v>630</v>
      </c>
      <c r="FR340" s="29" t="s">
        <v>6815</v>
      </c>
      <c r="FS340" s="29" t="s">
        <v>995</v>
      </c>
      <c r="FT340" s="29" t="s">
        <v>488</v>
      </c>
      <c r="FU340" s="29" t="s">
        <v>533</v>
      </c>
      <c r="FV340" s="29" t="s">
        <v>490</v>
      </c>
      <c r="FW340" s="29" t="s">
        <v>491</v>
      </c>
      <c r="FX340" s="29" t="s">
        <v>6816</v>
      </c>
      <c r="FY340" s="29" t="s">
        <v>535</v>
      </c>
      <c r="FZ340" s="29" t="s">
        <v>6817</v>
      </c>
      <c r="GA340" s="29" t="s">
        <v>6818</v>
      </c>
      <c r="GB340" s="29" t="s">
        <v>408</v>
      </c>
      <c r="GC340" s="29"/>
      <c r="GD340" s="29"/>
      <c r="GE340" s="29"/>
      <c r="GF340" s="29"/>
      <c r="GG340" s="29" t="s">
        <v>789</v>
      </c>
      <c r="GH340" s="29" t="s">
        <v>755</v>
      </c>
      <c r="GI340" s="29" t="s">
        <v>946</v>
      </c>
      <c r="GJ340" s="29"/>
      <c r="GK340" s="29"/>
      <c r="GL340" s="29"/>
      <c r="GM340" s="29"/>
      <c r="GN340" s="29"/>
      <c r="GO340" s="29"/>
      <c r="GP340" s="29" t="s">
        <v>387</v>
      </c>
      <c r="GQ340" s="29" t="s">
        <v>3208</v>
      </c>
      <c r="GR340" s="29"/>
      <c r="GS340" s="29"/>
      <c r="GT340" s="29" t="s">
        <v>4774</v>
      </c>
      <c r="GU340" s="29"/>
      <c r="HP340" s="31"/>
      <c r="MX340" s="29" t="s">
        <v>10402</v>
      </c>
      <c r="MY340" s="29" t="str">
        <f>IFERROR(__xludf.DUMMYFUNCTION("""COMPUTED_VALUE"""),"Oregon")</f>
        <v>Oregon</v>
      </c>
    </row>
    <row r="341" ht="16.5" customHeight="1">
      <c r="A341" s="33">
        <v>45929.82908622685</v>
      </c>
      <c r="B341" s="29" t="s">
        <v>368</v>
      </c>
      <c r="C341" s="29" t="s">
        <v>370</v>
      </c>
      <c r="D341" s="29" t="s">
        <v>370</v>
      </c>
      <c r="E341" s="29" t="s">
        <v>2400</v>
      </c>
      <c r="F341" s="29" t="s">
        <v>2400</v>
      </c>
      <c r="G341" s="29" t="s">
        <v>6821</v>
      </c>
      <c r="H341" s="29" t="s">
        <v>373</v>
      </c>
      <c r="I341" s="29" t="s">
        <v>374</v>
      </c>
      <c r="J341" s="29" t="s">
        <v>590</v>
      </c>
      <c r="K341" s="29" t="s">
        <v>376</v>
      </c>
      <c r="L341" s="29" t="s">
        <v>379</v>
      </c>
      <c r="M341" s="29" t="s">
        <v>2464</v>
      </c>
      <c r="N341" s="29" t="s">
        <v>591</v>
      </c>
      <c r="O341" s="29" t="s">
        <v>497</v>
      </c>
      <c r="P341" s="29" t="s">
        <v>1760</v>
      </c>
      <c r="Q341" s="29" t="s">
        <v>862</v>
      </c>
      <c r="R341" s="29" t="s">
        <v>1704</v>
      </c>
      <c r="S341" s="29" t="s">
        <v>1512</v>
      </c>
      <c r="T341" s="29" t="s">
        <v>385</v>
      </c>
      <c r="U341" s="29"/>
      <c r="V341" s="29"/>
      <c r="W341" s="29" t="s">
        <v>386</v>
      </c>
      <c r="X341" s="29" t="s">
        <v>387</v>
      </c>
      <c r="Y341" s="29" t="s">
        <v>6822</v>
      </c>
      <c r="Z341" s="29" t="s">
        <v>672</v>
      </c>
      <c r="AA341" s="29" t="s">
        <v>6823</v>
      </c>
      <c r="AB341" s="29"/>
      <c r="AC341" s="29"/>
      <c r="AD341" s="29"/>
      <c r="AE341" s="29"/>
      <c r="AF341" s="29"/>
      <c r="AG341" s="29"/>
      <c r="AH341" s="29"/>
      <c r="AI341" s="29"/>
      <c r="AJ341" s="29"/>
      <c r="AK341" s="29"/>
      <c r="AL341" s="29"/>
      <c r="AM341" s="29"/>
      <c r="AN341" s="29"/>
      <c r="AO341" s="29"/>
      <c r="AP341" s="29"/>
      <c r="AQ341" s="29"/>
      <c r="AR341" s="29"/>
      <c r="AS341" s="29"/>
      <c r="AT341" s="29"/>
      <c r="AU341" s="29"/>
      <c r="AV341" s="29" t="s">
        <v>504</v>
      </c>
      <c r="AW341" s="29" t="s">
        <v>429</v>
      </c>
      <c r="AX341" s="29" t="s">
        <v>429</v>
      </c>
      <c r="AY341" s="29" t="s">
        <v>429</v>
      </c>
      <c r="AZ341" s="29" t="s">
        <v>429</v>
      </c>
      <c r="BA341" s="29" t="s">
        <v>429</v>
      </c>
      <c r="BB341" s="29" t="s">
        <v>429</v>
      </c>
      <c r="BC341" s="29" t="s">
        <v>6824</v>
      </c>
      <c r="BD341" s="29" t="s">
        <v>6825</v>
      </c>
      <c r="BE341" s="29" t="s">
        <v>392</v>
      </c>
      <c r="BF341" s="29" t="s">
        <v>433</v>
      </c>
      <c r="BG341" s="29" t="s">
        <v>678</v>
      </c>
      <c r="BH341" s="29" t="s">
        <v>6826</v>
      </c>
      <c r="BI341" s="29" t="s">
        <v>509</v>
      </c>
      <c r="BJ341" s="29" t="s">
        <v>6827</v>
      </c>
      <c r="BK341" s="29" t="s">
        <v>681</v>
      </c>
      <c r="BL341" s="29" t="s">
        <v>512</v>
      </c>
      <c r="BM341" s="29" t="s">
        <v>439</v>
      </c>
      <c r="BN341" s="29" t="s">
        <v>513</v>
      </c>
      <c r="BO341" s="29"/>
      <c r="BP341" s="29"/>
      <c r="BQ341" s="29"/>
      <c r="BR341" s="29"/>
      <c r="BS341" s="29"/>
      <c r="BT341" s="29"/>
      <c r="BU341" s="29"/>
      <c r="BV341" s="29"/>
      <c r="BW341" s="29"/>
      <c r="BX341" s="29"/>
      <c r="BY341" s="29"/>
      <c r="BZ341" s="29"/>
      <c r="CA341" s="29"/>
      <c r="CB341" s="29"/>
      <c r="CC341" s="29"/>
      <c r="CD341" s="29"/>
      <c r="CE341" s="29"/>
      <c r="CF341" s="29"/>
      <c r="CG341" s="29"/>
      <c r="CH341" s="29"/>
      <c r="CI341" s="29"/>
      <c r="CJ341" s="29"/>
      <c r="CK341" s="29"/>
      <c r="CL341" s="29" t="s">
        <v>441</v>
      </c>
      <c r="CM341" s="29" t="s">
        <v>604</v>
      </c>
      <c r="CN341" s="29" t="s">
        <v>6828</v>
      </c>
      <c r="CO341" s="29" t="s">
        <v>6829</v>
      </c>
      <c r="CP341" s="29" t="s">
        <v>1948</v>
      </c>
      <c r="CQ341" s="29" t="s">
        <v>6830</v>
      </c>
      <c r="CR341" s="29" t="s">
        <v>804</v>
      </c>
      <c r="CS341" s="29" t="s">
        <v>6831</v>
      </c>
      <c r="CT341" s="29" t="s">
        <v>6832</v>
      </c>
      <c r="CU341" s="29" t="s">
        <v>450</v>
      </c>
      <c r="CV341" s="29" t="s">
        <v>451</v>
      </c>
      <c r="CW341" s="29" t="s">
        <v>6833</v>
      </c>
      <c r="CX341" s="29" t="s">
        <v>408</v>
      </c>
      <c r="CY341" s="29"/>
      <c r="CZ341" s="29" t="s">
        <v>453</v>
      </c>
      <c r="DA341" s="29" t="s">
        <v>6834</v>
      </c>
      <c r="DB341" s="29" t="s">
        <v>455</v>
      </c>
      <c r="DC341" s="29" t="s">
        <v>6835</v>
      </c>
      <c r="DD341" s="29" t="s">
        <v>457</v>
      </c>
      <c r="DE341" s="29"/>
      <c r="DF341" s="29" t="s">
        <v>6836</v>
      </c>
      <c r="DG341" s="29" t="s">
        <v>524</v>
      </c>
      <c r="DH341" s="29" t="s">
        <v>410</v>
      </c>
      <c r="DI341" s="29" t="s">
        <v>459</v>
      </c>
      <c r="DJ341" s="29" t="s">
        <v>613</v>
      </c>
      <c r="DK341" s="29"/>
      <c r="DL341" s="29"/>
      <c r="DM341" s="29"/>
      <c r="DN341" s="29"/>
      <c r="DO341" s="29"/>
      <c r="DP341" s="29"/>
      <c r="DQ341" s="29"/>
      <c r="DR341" s="29"/>
      <c r="DS341" s="29"/>
      <c r="DT341" s="29"/>
      <c r="DU341" s="29"/>
      <c r="DV341" s="29"/>
      <c r="DW341" s="29"/>
      <c r="DX341" s="29"/>
      <c r="DY341" s="29"/>
      <c r="DZ341" s="29"/>
      <c r="EA341" s="29"/>
      <c r="EB341" s="29"/>
      <c r="EC341" s="29"/>
      <c r="ED341" s="29"/>
      <c r="EE341" s="29"/>
      <c r="EF341" s="29"/>
      <c r="EG341" s="29"/>
      <c r="EH341" s="29"/>
      <c r="EI341" s="29"/>
      <c r="EJ341" s="29"/>
      <c r="EK341" s="29"/>
      <c r="EL341" s="29"/>
      <c r="EM341" s="29"/>
      <c r="EN341" s="29"/>
      <c r="EO341" s="29"/>
      <c r="EP341" s="29"/>
      <c r="EQ341" s="29"/>
      <c r="ER341" s="29"/>
      <c r="ES341" s="29"/>
      <c r="ET341" s="29" t="s">
        <v>478</v>
      </c>
      <c r="EU341" s="29" t="s">
        <v>1127</v>
      </c>
      <c r="EV341" s="29" t="s">
        <v>480</v>
      </c>
      <c r="EW341" s="29" t="s">
        <v>6837</v>
      </c>
      <c r="EX341" s="29" t="s">
        <v>6838</v>
      </c>
      <c r="EY341" s="29" t="s">
        <v>2963</v>
      </c>
      <c r="EZ341" s="29" t="s">
        <v>484</v>
      </c>
      <c r="FA341" s="29" t="s">
        <v>484</v>
      </c>
      <c r="FB341" s="29" t="s">
        <v>484</v>
      </c>
      <c r="FC341" s="29" t="s">
        <v>484</v>
      </c>
      <c r="FD341" s="29" t="s">
        <v>484</v>
      </c>
      <c r="FE341" s="29" t="s">
        <v>484</v>
      </c>
      <c r="FF341" s="29" t="s">
        <v>484</v>
      </c>
      <c r="FG341" s="29" t="s">
        <v>484</v>
      </c>
      <c r="FH341" s="29" t="s">
        <v>484</v>
      </c>
      <c r="FI341" s="29" t="s">
        <v>484</v>
      </c>
      <c r="FJ341" s="29" t="s">
        <v>484</v>
      </c>
      <c r="FK341" s="29" t="s">
        <v>484</v>
      </c>
      <c r="FL341" s="29" t="s">
        <v>484</v>
      </c>
      <c r="FM341" s="29" t="s">
        <v>484</v>
      </c>
      <c r="FN341" s="29" t="s">
        <v>484</v>
      </c>
      <c r="FO341" s="29" t="s">
        <v>417</v>
      </c>
      <c r="FP341" s="29" t="s">
        <v>418</v>
      </c>
      <c r="FQ341" s="29" t="s">
        <v>419</v>
      </c>
      <c r="FR341" s="29" t="s">
        <v>6839</v>
      </c>
      <c r="FS341" s="29" t="s">
        <v>420</v>
      </c>
      <c r="FT341" s="29" t="s">
        <v>488</v>
      </c>
      <c r="FU341" s="29" t="s">
        <v>489</v>
      </c>
      <c r="FV341" s="29" t="s">
        <v>490</v>
      </c>
      <c r="FW341" s="29" t="s">
        <v>491</v>
      </c>
      <c r="FX341" s="29" t="s">
        <v>6840</v>
      </c>
      <c r="FY341" s="29" t="s">
        <v>535</v>
      </c>
      <c r="FZ341" s="29" t="s">
        <v>6841</v>
      </c>
      <c r="GA341" s="29"/>
      <c r="GB341" s="29" t="s">
        <v>455</v>
      </c>
      <c r="GC341" s="29"/>
      <c r="GD341" s="29"/>
      <c r="GE341" s="29" t="s">
        <v>753</v>
      </c>
      <c r="GF341" s="29" t="s">
        <v>455</v>
      </c>
      <c r="GG341" s="29" t="s">
        <v>755</v>
      </c>
      <c r="GH341" s="29" t="s">
        <v>755</v>
      </c>
      <c r="GI341" s="29" t="s">
        <v>858</v>
      </c>
      <c r="GJ341" s="29"/>
      <c r="GK341" s="29"/>
      <c r="GL341" s="29"/>
      <c r="GM341" s="29"/>
      <c r="GN341" s="29"/>
      <c r="GO341" s="29"/>
      <c r="GP341" s="29"/>
      <c r="GQ341" s="29" t="s">
        <v>4653</v>
      </c>
      <c r="GR341" s="29"/>
      <c r="GS341" s="29"/>
      <c r="GT341" s="29"/>
      <c r="GU341" s="29"/>
      <c r="HP341" s="31"/>
      <c r="MX341" s="29" t="s">
        <v>10402</v>
      </c>
      <c r="MY341" s="29" t="str">
        <f>IFERROR(__xludf.DUMMYFUNCTION("""COMPUTED_VALUE"""),"Florida")</f>
        <v>Florida</v>
      </c>
    </row>
    <row r="342" ht="16.5" customHeight="1">
      <c r="A342" s="33">
        <v>45931.496851261574</v>
      </c>
      <c r="B342" s="29" t="s">
        <v>368</v>
      </c>
      <c r="C342" s="29" t="s">
        <v>370</v>
      </c>
      <c r="D342" s="29" t="s">
        <v>370</v>
      </c>
      <c r="E342" s="29" t="s">
        <v>2114</v>
      </c>
      <c r="F342" s="29" t="s">
        <v>371</v>
      </c>
      <c r="G342" s="29" t="s">
        <v>1002</v>
      </c>
      <c r="H342" s="29" t="s">
        <v>496</v>
      </c>
      <c r="I342" s="29" t="s">
        <v>374</v>
      </c>
      <c r="J342" s="29" t="s">
        <v>375</v>
      </c>
      <c r="K342" s="29" t="s">
        <v>376</v>
      </c>
      <c r="L342" s="29" t="s">
        <v>591</v>
      </c>
      <c r="M342" s="29" t="s">
        <v>541</v>
      </c>
      <c r="N342" s="29" t="s">
        <v>379</v>
      </c>
      <c r="O342" s="29" t="s">
        <v>497</v>
      </c>
      <c r="P342" s="29" t="s">
        <v>498</v>
      </c>
      <c r="Q342" s="29" t="s">
        <v>818</v>
      </c>
      <c r="R342" s="29" t="s">
        <v>427</v>
      </c>
      <c r="S342" s="29" t="s">
        <v>1443</v>
      </c>
      <c r="T342" s="29" t="s">
        <v>385</v>
      </c>
      <c r="U342" s="29"/>
      <c r="V342" s="29"/>
      <c r="W342" s="29" t="s">
        <v>3014</v>
      </c>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t="s">
        <v>504</v>
      </c>
      <c r="AW342" s="29" t="s">
        <v>429</v>
      </c>
      <c r="AX342" s="29" t="s">
        <v>429</v>
      </c>
      <c r="AY342" s="29" t="s">
        <v>429</v>
      </c>
      <c r="AZ342" s="29">
        <v>2.0</v>
      </c>
      <c r="BA342" s="29" t="s">
        <v>429</v>
      </c>
      <c r="BB342" s="29">
        <v>2.0</v>
      </c>
      <c r="BC342" s="29" t="s">
        <v>6842</v>
      </c>
      <c r="BD342" s="29" t="s">
        <v>6843</v>
      </c>
      <c r="BE342" s="29" t="s">
        <v>392</v>
      </c>
      <c r="BF342" s="29" t="s">
        <v>433</v>
      </c>
      <c r="BG342" s="29" t="s">
        <v>678</v>
      </c>
      <c r="BH342" s="29" t="s">
        <v>6844</v>
      </c>
      <c r="BI342" s="29" t="s">
        <v>509</v>
      </c>
      <c r="BJ342" s="29" t="s">
        <v>6845</v>
      </c>
      <c r="BK342" s="29" t="s">
        <v>437</v>
      </c>
      <c r="BL342" s="29" t="s">
        <v>512</v>
      </c>
      <c r="BM342" s="29" t="s">
        <v>439</v>
      </c>
      <c r="BN342" s="29" t="s">
        <v>513</v>
      </c>
      <c r="BO342" s="29"/>
      <c r="BP342" s="29"/>
      <c r="BQ342" s="29"/>
      <c r="BR342" s="29"/>
      <c r="BS342" s="29"/>
      <c r="BT342" s="29"/>
      <c r="BU342" s="29"/>
      <c r="BV342" s="29"/>
      <c r="BW342" s="29"/>
      <c r="BX342" s="29"/>
      <c r="BY342" s="29"/>
      <c r="BZ342" s="29"/>
      <c r="CA342" s="29"/>
      <c r="CB342" s="29"/>
      <c r="CC342" s="29"/>
      <c r="CD342" s="29"/>
      <c r="CE342" s="29"/>
      <c r="CF342" s="29"/>
      <c r="CG342" s="29"/>
      <c r="CH342" s="29"/>
      <c r="CI342" s="29"/>
      <c r="CJ342" s="29"/>
      <c r="CK342" s="29"/>
      <c r="CL342" s="29" t="s">
        <v>441</v>
      </c>
      <c r="CM342" s="29" t="s">
        <v>442</v>
      </c>
      <c r="CN342" s="29" t="s">
        <v>6846</v>
      </c>
      <c r="CO342" s="29" t="s">
        <v>6847</v>
      </c>
      <c r="CP342" s="29" t="s">
        <v>685</v>
      </c>
      <c r="CQ342" s="29" t="s">
        <v>516</v>
      </c>
      <c r="CR342" s="29" t="s">
        <v>447</v>
      </c>
      <c r="CS342" s="29" t="s">
        <v>6848</v>
      </c>
      <c r="CT342" s="29" t="s">
        <v>6849</v>
      </c>
      <c r="CU342" s="29" t="s">
        <v>450</v>
      </c>
      <c r="CV342" s="29" t="s">
        <v>451</v>
      </c>
      <c r="CW342" s="29" t="s">
        <v>6850</v>
      </c>
      <c r="CX342" s="29" t="s">
        <v>408</v>
      </c>
      <c r="CY342" s="29"/>
      <c r="CZ342" s="29" t="s">
        <v>453</v>
      </c>
      <c r="DA342" s="29" t="s">
        <v>6851</v>
      </c>
      <c r="DB342" s="29" t="s">
        <v>455</v>
      </c>
      <c r="DC342" s="29" t="s">
        <v>6852</v>
      </c>
      <c r="DD342" s="29" t="s">
        <v>457</v>
      </c>
      <c r="DE342" s="29"/>
      <c r="DF342" s="29" t="s">
        <v>6853</v>
      </c>
      <c r="DG342" s="29" t="s">
        <v>561</v>
      </c>
      <c r="DH342" s="29" t="s">
        <v>410</v>
      </c>
      <c r="DI342" s="29" t="s">
        <v>459</v>
      </c>
      <c r="DJ342" s="29" t="s">
        <v>460</v>
      </c>
      <c r="DK342" s="29" t="s">
        <v>6335</v>
      </c>
      <c r="DL342" s="29"/>
      <c r="DM342" s="29"/>
      <c r="DN342" s="29"/>
      <c r="DO342" s="29"/>
      <c r="DP342" s="29"/>
      <c r="DQ342" s="29"/>
      <c r="DR342" s="29"/>
      <c r="DS342" s="29"/>
      <c r="DT342" s="29"/>
      <c r="DU342" s="29"/>
      <c r="DV342" s="29"/>
      <c r="DW342" s="29"/>
      <c r="DX342" s="29"/>
      <c r="DY342" s="29"/>
      <c r="DZ342" s="29"/>
      <c r="EA342" s="29"/>
      <c r="EB342" s="29"/>
      <c r="EC342" s="29"/>
      <c r="ED342" s="29"/>
      <c r="EE342" s="29"/>
      <c r="EF342" s="29"/>
      <c r="EG342" s="29"/>
      <c r="EH342" s="29"/>
      <c r="EI342" s="29"/>
      <c r="EJ342" s="29"/>
      <c r="EK342" s="29"/>
      <c r="EL342" s="29"/>
      <c r="EM342" s="29"/>
      <c r="EN342" s="29"/>
      <c r="EO342" s="29"/>
      <c r="EP342" s="29"/>
      <c r="EQ342" s="29"/>
      <c r="ER342" s="29"/>
      <c r="ES342" s="29"/>
      <c r="ET342" s="29" t="s">
        <v>478</v>
      </c>
      <c r="EU342" s="29" t="s">
        <v>479</v>
      </c>
      <c r="EV342" s="29" t="s">
        <v>663</v>
      </c>
      <c r="EW342" s="29"/>
      <c r="EX342" s="29" t="s">
        <v>6854</v>
      </c>
      <c r="EY342" s="29" t="s">
        <v>4254</v>
      </c>
      <c r="EZ342" s="29" t="s">
        <v>413</v>
      </c>
      <c r="FA342" s="29" t="s">
        <v>415</v>
      </c>
      <c r="FB342" s="29" t="s">
        <v>413</v>
      </c>
      <c r="FC342" s="29" t="s">
        <v>413</v>
      </c>
      <c r="FD342" s="29" t="s">
        <v>413</v>
      </c>
      <c r="FE342" s="29" t="s">
        <v>415</v>
      </c>
      <c r="FF342" s="29" t="s">
        <v>415</v>
      </c>
      <c r="FG342" s="29" t="s">
        <v>413</v>
      </c>
      <c r="FH342" s="29" t="s">
        <v>583</v>
      </c>
      <c r="FI342" s="29" t="s">
        <v>415</v>
      </c>
      <c r="FJ342" s="29" t="s">
        <v>413</v>
      </c>
      <c r="FK342" s="29" t="s">
        <v>413</v>
      </c>
      <c r="FL342" s="29" t="s">
        <v>413</v>
      </c>
      <c r="FM342" s="29" t="s">
        <v>413</v>
      </c>
      <c r="FN342" s="29" t="s">
        <v>583</v>
      </c>
      <c r="FO342" s="29" t="s">
        <v>417</v>
      </c>
      <c r="FP342" s="29" t="s">
        <v>418</v>
      </c>
      <c r="FQ342" s="29" t="s">
        <v>749</v>
      </c>
      <c r="FR342" s="29" t="s">
        <v>6855</v>
      </c>
      <c r="FS342" s="29" t="s">
        <v>420</v>
      </c>
      <c r="FT342" s="29" t="s">
        <v>488</v>
      </c>
      <c r="FU342" s="29" t="s">
        <v>918</v>
      </c>
      <c r="FV342" s="29" t="s">
        <v>490</v>
      </c>
      <c r="FW342" s="29" t="s">
        <v>491</v>
      </c>
      <c r="FX342" s="29" t="s">
        <v>6856</v>
      </c>
      <c r="FY342" s="29" t="s">
        <v>535</v>
      </c>
      <c r="FZ342" s="29" t="s">
        <v>6857</v>
      </c>
      <c r="GA342" s="29" t="s">
        <v>6858</v>
      </c>
      <c r="GB342" s="29" t="s">
        <v>455</v>
      </c>
      <c r="GC342" s="29"/>
      <c r="GD342" s="29"/>
      <c r="GE342" s="29" t="s">
        <v>1339</v>
      </c>
      <c r="GF342" s="29"/>
      <c r="GG342" s="29" t="s">
        <v>788</v>
      </c>
      <c r="GH342" s="29" t="s">
        <v>788</v>
      </c>
      <c r="GI342" s="29" t="s">
        <v>921</v>
      </c>
      <c r="GJ342" s="29"/>
      <c r="GK342" s="29"/>
      <c r="GL342" s="29"/>
      <c r="GM342" s="29"/>
      <c r="GN342" s="29"/>
      <c r="GO342" s="29"/>
      <c r="GP342" s="29"/>
      <c r="GQ342" s="29" t="s">
        <v>3208</v>
      </c>
      <c r="GR342" s="29"/>
      <c r="GS342" s="29"/>
      <c r="GT342" s="29" t="s">
        <v>4774</v>
      </c>
      <c r="GU342" s="29"/>
      <c r="HP342" s="31"/>
      <c r="MX342" s="29" t="s">
        <v>10402</v>
      </c>
      <c r="MY342" s="29" t="str">
        <f>IFERROR(__xludf.DUMMYFUNCTION("""COMPUTED_VALUE"""),"Washington")</f>
        <v>Washington</v>
      </c>
    </row>
    <row r="343" ht="16.5" customHeight="1">
      <c r="A343" s="33">
        <v>45933.70498268519</v>
      </c>
      <c r="B343" s="29" t="s">
        <v>368</v>
      </c>
      <c r="C343" s="29" t="s">
        <v>370</v>
      </c>
      <c r="D343" s="29" t="s">
        <v>370</v>
      </c>
      <c r="E343" s="29" t="s">
        <v>1421</v>
      </c>
      <c r="F343" s="29" t="s">
        <v>1421</v>
      </c>
      <c r="G343" s="29" t="s">
        <v>422</v>
      </c>
      <c r="H343" s="29" t="s">
        <v>373</v>
      </c>
      <c r="I343" s="29" t="s">
        <v>638</v>
      </c>
      <c r="J343" s="29" t="s">
        <v>590</v>
      </c>
      <c r="K343" s="29" t="s">
        <v>376</v>
      </c>
      <c r="L343" s="29" t="s">
        <v>379</v>
      </c>
      <c r="M343" s="29" t="s">
        <v>2464</v>
      </c>
      <c r="N343" s="29" t="s">
        <v>377</v>
      </c>
      <c r="O343" s="29" t="s">
        <v>1024</v>
      </c>
      <c r="P343" s="29" t="s">
        <v>381</v>
      </c>
      <c r="Q343" s="29" t="s">
        <v>759</v>
      </c>
      <c r="R343" s="29" t="s">
        <v>1704</v>
      </c>
      <c r="S343" s="29" t="s">
        <v>3798</v>
      </c>
      <c r="T343" s="29" t="s">
        <v>385</v>
      </c>
      <c r="U343" s="29"/>
      <c r="V343" s="29"/>
      <c r="W343" s="29" t="s">
        <v>3014</v>
      </c>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t="s">
        <v>390</v>
      </c>
      <c r="AW343" s="29" t="s">
        <v>391</v>
      </c>
      <c r="AX343" s="29">
        <v>2.0</v>
      </c>
      <c r="AY343" s="29">
        <v>4.0</v>
      </c>
      <c r="AZ343" s="29">
        <v>4.0</v>
      </c>
      <c r="BA343" s="29">
        <v>2.0</v>
      </c>
      <c r="BB343" s="29" t="s">
        <v>391</v>
      </c>
      <c r="BC343" s="29"/>
      <c r="BD343" s="29"/>
      <c r="BE343" s="29" t="s">
        <v>2259</v>
      </c>
      <c r="BF343" s="29" t="s">
        <v>1047</v>
      </c>
      <c r="BG343" s="29" t="s">
        <v>765</v>
      </c>
      <c r="BH343" s="29"/>
      <c r="BI343" s="29" t="s">
        <v>976</v>
      </c>
      <c r="BJ343" s="29"/>
      <c r="BK343" s="29" t="s">
        <v>437</v>
      </c>
      <c r="BL343" s="29" t="s">
        <v>438</v>
      </c>
      <c r="BM343" s="29" t="s">
        <v>397</v>
      </c>
      <c r="BN343" s="29" t="s">
        <v>513</v>
      </c>
      <c r="BO343" s="29"/>
      <c r="BP343" s="29"/>
      <c r="BQ343" s="29"/>
      <c r="BR343" s="29"/>
      <c r="BS343" s="29"/>
      <c r="BT343" s="29"/>
      <c r="BU343" s="29"/>
      <c r="BV343" s="29"/>
      <c r="BW343" s="29"/>
      <c r="BX343" s="29"/>
      <c r="BY343" s="29"/>
      <c r="BZ343" s="29"/>
      <c r="CA343" s="29"/>
      <c r="CB343" s="29"/>
      <c r="CC343" s="29"/>
      <c r="CD343" s="29"/>
      <c r="CE343" s="29"/>
      <c r="CF343" s="29"/>
      <c r="CG343" s="29"/>
      <c r="CH343" s="29"/>
      <c r="CI343" s="29"/>
      <c r="CJ343" s="29"/>
      <c r="CK343" s="29"/>
      <c r="CL343" s="29" t="s">
        <v>441</v>
      </c>
      <c r="CM343" s="29" t="s">
        <v>604</v>
      </c>
      <c r="CN343" s="29" t="s">
        <v>552</v>
      </c>
      <c r="CO343" s="29"/>
      <c r="CP343" s="29" t="s">
        <v>979</v>
      </c>
      <c r="CQ343" s="29" t="s">
        <v>1427</v>
      </c>
      <c r="CR343" s="29" t="s">
        <v>404</v>
      </c>
      <c r="CS343" s="29" t="s">
        <v>6860</v>
      </c>
      <c r="CT343" s="29"/>
      <c r="CU343" s="29" t="s">
        <v>450</v>
      </c>
      <c r="CV343" s="29" t="s">
        <v>451</v>
      </c>
      <c r="CW343" s="29"/>
      <c r="CX343" s="29" t="s">
        <v>408</v>
      </c>
      <c r="CY343" s="29"/>
      <c r="CZ343" s="29" t="s">
        <v>1398</v>
      </c>
      <c r="DA343" s="29"/>
      <c r="DB343" s="29" t="s">
        <v>408</v>
      </c>
      <c r="DC343" s="29"/>
      <c r="DD343" s="29" t="s">
        <v>662</v>
      </c>
      <c r="DE343" s="29" t="s">
        <v>407</v>
      </c>
      <c r="DF343" s="29"/>
      <c r="DG343" s="29" t="s">
        <v>561</v>
      </c>
      <c r="DH343" s="29" t="s">
        <v>833</v>
      </c>
      <c r="DI343" s="29" t="s">
        <v>777</v>
      </c>
      <c r="DJ343" s="29" t="s">
        <v>562</v>
      </c>
      <c r="DK343" s="29" t="s">
        <v>1434</v>
      </c>
      <c r="DL343" s="29"/>
      <c r="DM343" s="29"/>
      <c r="DN343" s="29"/>
      <c r="DO343" s="29"/>
      <c r="DP343" s="29"/>
      <c r="DQ343" s="29"/>
      <c r="DR343" s="29"/>
      <c r="DS343" s="29"/>
      <c r="DT343" s="29"/>
      <c r="DU343" s="29"/>
      <c r="DV343" s="29"/>
      <c r="DW343" s="29"/>
      <c r="DX343" s="29"/>
      <c r="DY343" s="29"/>
      <c r="DZ343" s="29"/>
      <c r="EA343" s="29"/>
      <c r="EB343" s="29"/>
      <c r="EC343" s="29"/>
      <c r="ED343" s="29"/>
      <c r="EE343" s="29"/>
      <c r="EF343" s="29"/>
      <c r="EG343" s="29"/>
      <c r="EH343" s="29"/>
      <c r="EI343" s="29"/>
      <c r="EJ343" s="29"/>
      <c r="EK343" s="29"/>
      <c r="EL343" s="29"/>
      <c r="EM343" s="29"/>
      <c r="EN343" s="29"/>
      <c r="EO343" s="29"/>
      <c r="EP343" s="29"/>
      <c r="EQ343" s="29"/>
      <c r="ER343" s="29"/>
      <c r="ES343" s="29"/>
      <c r="ET343" s="29" t="s">
        <v>578</v>
      </c>
      <c r="EU343" s="29" t="s">
        <v>1037</v>
      </c>
      <c r="EV343" s="29" t="s">
        <v>663</v>
      </c>
      <c r="EW343" s="29"/>
      <c r="EX343" s="29"/>
      <c r="EY343" s="29"/>
      <c r="EZ343" s="29"/>
      <c r="FA343" s="29"/>
      <c r="FB343" s="29" t="s">
        <v>413</v>
      </c>
      <c r="FC343" s="29" t="s">
        <v>413</v>
      </c>
      <c r="FD343" s="29" t="s">
        <v>413</v>
      </c>
      <c r="FE343" s="29" t="s">
        <v>415</v>
      </c>
      <c r="FF343" s="29" t="s">
        <v>415</v>
      </c>
      <c r="FG343" s="29" t="s">
        <v>415</v>
      </c>
      <c r="FH343" s="29" t="s">
        <v>583</v>
      </c>
      <c r="FI343" s="29" t="s">
        <v>583</v>
      </c>
      <c r="FJ343" s="29" t="s">
        <v>415</v>
      </c>
      <c r="FK343" s="29" t="s">
        <v>484</v>
      </c>
      <c r="FL343" s="29" t="s">
        <v>484</v>
      </c>
      <c r="FM343" s="29" t="s">
        <v>415</v>
      </c>
      <c r="FN343" s="29" t="s">
        <v>583</v>
      </c>
      <c r="FO343" s="29" t="s">
        <v>3396</v>
      </c>
      <c r="FP343" s="29" t="s">
        <v>2524</v>
      </c>
      <c r="FQ343" s="29" t="s">
        <v>712</v>
      </c>
      <c r="FR343" s="29"/>
      <c r="FS343" s="29" t="s">
        <v>420</v>
      </c>
      <c r="FT343" s="29" t="s">
        <v>1476</v>
      </c>
      <c r="FU343" s="29" t="s">
        <v>489</v>
      </c>
      <c r="FV343" s="29" t="s">
        <v>490</v>
      </c>
      <c r="FW343" s="29" t="s">
        <v>491</v>
      </c>
      <c r="FX343" s="29"/>
      <c r="FY343" s="29" t="s">
        <v>535</v>
      </c>
      <c r="FZ343" s="29"/>
      <c r="GA343" s="29"/>
      <c r="GB343" s="29" t="s">
        <v>408</v>
      </c>
      <c r="GC343" s="29"/>
      <c r="GD343" s="29"/>
      <c r="GE343" s="29"/>
      <c r="GF343" s="29"/>
      <c r="GG343" s="29" t="s">
        <v>788</v>
      </c>
      <c r="GH343" s="29" t="s">
        <v>1000</v>
      </c>
      <c r="GI343" s="29" t="s">
        <v>756</v>
      </c>
      <c r="GJ343" s="29"/>
      <c r="GK343" s="29"/>
      <c r="GL343" s="29"/>
      <c r="GM343" s="29"/>
      <c r="GN343" s="29"/>
      <c r="GO343" s="29"/>
      <c r="GP343" s="29"/>
      <c r="GQ343" s="29" t="s">
        <v>3306</v>
      </c>
      <c r="GR343" s="29"/>
      <c r="GS343" s="29"/>
      <c r="GT343" s="29" t="s">
        <v>4774</v>
      </c>
      <c r="GU343" s="29"/>
      <c r="HP343" s="31"/>
      <c r="MX343" s="29" t="s">
        <v>10402</v>
      </c>
      <c r="MY343" s="29" t="str">
        <f>IFERROR(__xludf.DUMMYFUNCTION("""COMPUTED_VALUE"""),"California")</f>
        <v>California</v>
      </c>
    </row>
    <row r="344" ht="16.5" customHeight="1">
      <c r="A344" s="33">
        <v>45937.01626369213</v>
      </c>
      <c r="B344" s="29" t="s">
        <v>368</v>
      </c>
      <c r="C344" s="29" t="s">
        <v>370</v>
      </c>
      <c r="D344" s="29" t="s">
        <v>370</v>
      </c>
      <c r="E344" s="29" t="s">
        <v>371</v>
      </c>
      <c r="F344" s="29" t="s">
        <v>371</v>
      </c>
      <c r="G344" s="29" t="s">
        <v>1093</v>
      </c>
      <c r="H344" s="29" t="s">
        <v>539</v>
      </c>
      <c r="I344" s="29" t="s">
        <v>2578</v>
      </c>
      <c r="J344" s="29" t="s">
        <v>540</v>
      </c>
      <c r="K344" s="29" t="s">
        <v>376</v>
      </c>
      <c r="L344" s="29" t="s">
        <v>426</v>
      </c>
      <c r="M344" s="29" t="s">
        <v>720</v>
      </c>
      <c r="N344" s="29" t="s">
        <v>591</v>
      </c>
      <c r="O344" s="29" t="s">
        <v>719</v>
      </c>
      <c r="P344" s="29" t="s">
        <v>498</v>
      </c>
      <c r="Q344" s="29" t="s">
        <v>818</v>
      </c>
      <c r="R344" s="29" t="s">
        <v>1704</v>
      </c>
      <c r="S344" s="29" t="s">
        <v>384</v>
      </c>
      <c r="T344" s="29" t="s">
        <v>385</v>
      </c>
      <c r="U344" s="29"/>
      <c r="V344" s="29"/>
      <c r="W344" s="29" t="s">
        <v>386</v>
      </c>
      <c r="X344" s="29" t="s">
        <v>387</v>
      </c>
      <c r="Y344" s="29" t="s">
        <v>388</v>
      </c>
      <c r="Z344" s="29" t="s">
        <v>672</v>
      </c>
      <c r="AA344" s="29" t="s">
        <v>408</v>
      </c>
      <c r="AB344" s="29"/>
      <c r="AC344" s="29"/>
      <c r="AD344" s="29"/>
      <c r="AE344" s="29"/>
      <c r="AF344" s="29"/>
      <c r="AG344" s="29"/>
      <c r="AH344" s="29"/>
      <c r="AI344" s="29"/>
      <c r="AJ344" s="29"/>
      <c r="AK344" s="29"/>
      <c r="AL344" s="29"/>
      <c r="AM344" s="29"/>
      <c r="AN344" s="29"/>
      <c r="AO344" s="29"/>
      <c r="AP344" s="29"/>
      <c r="AQ344" s="29"/>
      <c r="AR344" s="29"/>
      <c r="AS344" s="29"/>
      <c r="AT344" s="29"/>
      <c r="AU344" s="29"/>
      <c r="AV344" s="29" t="s">
        <v>597</v>
      </c>
      <c r="AW344" s="29" t="s">
        <v>391</v>
      </c>
      <c r="AX344" s="29" t="s">
        <v>391</v>
      </c>
      <c r="AY344" s="29" t="s">
        <v>391</v>
      </c>
      <c r="AZ344" s="29" t="s">
        <v>391</v>
      </c>
      <c r="BA344" s="29" t="s">
        <v>429</v>
      </c>
      <c r="BB344" s="29">
        <v>2.0</v>
      </c>
      <c r="BC344" s="29" t="s">
        <v>6861</v>
      </c>
      <c r="BD344" s="29" t="s">
        <v>6862</v>
      </c>
      <c r="BE344" s="29" t="s">
        <v>392</v>
      </c>
      <c r="BF344" s="29" t="s">
        <v>393</v>
      </c>
      <c r="BG344" s="29" t="s">
        <v>765</v>
      </c>
      <c r="BH344" s="29" t="s">
        <v>6863</v>
      </c>
      <c r="BI344" s="29" t="s">
        <v>509</v>
      </c>
      <c r="BJ344" s="29" t="s">
        <v>6864</v>
      </c>
      <c r="BK344" s="29" t="s">
        <v>437</v>
      </c>
      <c r="BL344" s="29" t="s">
        <v>438</v>
      </c>
      <c r="BM344" s="29" t="s">
        <v>397</v>
      </c>
      <c r="BN344" s="29" t="s">
        <v>440</v>
      </c>
      <c r="BO344" s="29"/>
      <c r="BP344" s="29"/>
      <c r="BQ344" s="29"/>
      <c r="BR344" s="29"/>
      <c r="BS344" s="29"/>
      <c r="BT344" s="29"/>
      <c r="BU344" s="29"/>
      <c r="BV344" s="29"/>
      <c r="BW344" s="29"/>
      <c r="BX344" s="29"/>
      <c r="BY344" s="29"/>
      <c r="BZ344" s="29"/>
      <c r="CA344" s="29"/>
      <c r="CB344" s="29"/>
      <c r="CC344" s="29"/>
      <c r="CD344" s="29"/>
      <c r="CE344" s="29"/>
      <c r="CF344" s="29"/>
      <c r="CG344" s="29"/>
      <c r="CH344" s="29"/>
      <c r="CI344" s="29"/>
      <c r="CJ344" s="29"/>
      <c r="CK344" s="29"/>
      <c r="CL344" s="29" t="s">
        <v>441</v>
      </c>
      <c r="CM344" s="29" t="s">
        <v>401</v>
      </c>
      <c r="CN344" s="29" t="s">
        <v>6865</v>
      </c>
      <c r="CO344" s="29" t="s">
        <v>6866</v>
      </c>
      <c r="CP344" s="29" t="s">
        <v>979</v>
      </c>
      <c r="CQ344" s="29" t="s">
        <v>1136</v>
      </c>
      <c r="CR344" s="29" t="s">
        <v>447</v>
      </c>
      <c r="CS344" s="29" t="s">
        <v>871</v>
      </c>
      <c r="CT344" s="29" t="s">
        <v>6867</v>
      </c>
      <c r="CU344" s="29" t="s">
        <v>450</v>
      </c>
      <c r="CV344" s="29" t="s">
        <v>451</v>
      </c>
      <c r="CW344" s="29" t="s">
        <v>6868</v>
      </c>
      <c r="CX344" s="29" t="s">
        <v>408</v>
      </c>
      <c r="CY344" s="29"/>
      <c r="CZ344" s="29" t="s">
        <v>985</v>
      </c>
      <c r="DA344" s="29" t="s">
        <v>6869</v>
      </c>
      <c r="DB344" s="29" t="s">
        <v>408</v>
      </c>
      <c r="DC344" s="29"/>
      <c r="DD344" s="29" t="s">
        <v>406</v>
      </c>
      <c r="DE344" s="29" t="s">
        <v>691</v>
      </c>
      <c r="DF344" s="29" t="s">
        <v>6870</v>
      </c>
      <c r="DG344" s="29" t="s">
        <v>561</v>
      </c>
      <c r="DH344" s="29" t="s">
        <v>410</v>
      </c>
      <c r="DI344" s="29" t="s">
        <v>459</v>
      </c>
      <c r="DJ344" s="29" t="s">
        <v>460</v>
      </c>
      <c r="DK344" s="29" t="s">
        <v>6335</v>
      </c>
      <c r="DL344" s="29"/>
      <c r="DM344" s="29" t="s">
        <v>6871</v>
      </c>
      <c r="DN344" s="29" t="s">
        <v>6872</v>
      </c>
      <c r="DO344" s="29" t="s">
        <v>464</v>
      </c>
      <c r="DP344" s="29" t="s">
        <v>6873</v>
      </c>
      <c r="DQ344" s="29" t="s">
        <v>466</v>
      </c>
      <c r="DR344" s="29" t="s">
        <v>408</v>
      </c>
      <c r="DS344" s="29" t="s">
        <v>839</v>
      </c>
      <c r="DT344" s="29" t="s">
        <v>1580</v>
      </c>
      <c r="DU344" s="29" t="s">
        <v>6874</v>
      </c>
      <c r="DV344" s="29" t="s">
        <v>6875</v>
      </c>
      <c r="DW344" s="29" t="s">
        <v>573</v>
      </c>
      <c r="DX344" s="29" t="s">
        <v>6876</v>
      </c>
      <c r="DY344" s="29" t="s">
        <v>6877</v>
      </c>
      <c r="DZ344" s="29" t="s">
        <v>6878</v>
      </c>
      <c r="EA344" s="29" t="s">
        <v>475</v>
      </c>
      <c r="EB344" s="29" t="s">
        <v>626</v>
      </c>
      <c r="EC344" s="29" t="s">
        <v>6879</v>
      </c>
      <c r="ED344" s="29"/>
      <c r="EE344" s="29"/>
      <c r="EF344" s="29"/>
      <c r="EG344" s="29"/>
      <c r="EH344" s="29"/>
      <c r="EI344" s="29"/>
      <c r="EJ344" s="29"/>
      <c r="EK344" s="29"/>
      <c r="EL344" s="29"/>
      <c r="EM344" s="29"/>
      <c r="EN344" s="29"/>
      <c r="EO344" s="29"/>
      <c r="EP344" s="29"/>
      <c r="EQ344" s="29"/>
      <c r="ER344" s="29"/>
      <c r="ES344" s="29"/>
      <c r="ET344" s="29" t="s">
        <v>578</v>
      </c>
      <c r="EU344" s="29" t="s">
        <v>479</v>
      </c>
      <c r="EV344" s="29" t="s">
        <v>1262</v>
      </c>
      <c r="EW344" s="29"/>
      <c r="EX344" s="29" t="s">
        <v>6880</v>
      </c>
      <c r="EY344" s="29" t="s">
        <v>6881</v>
      </c>
      <c r="EZ344" s="29" t="s">
        <v>414</v>
      </c>
      <c r="FA344" s="29" t="s">
        <v>583</v>
      </c>
      <c r="FB344" s="29" t="s">
        <v>583</v>
      </c>
      <c r="FC344" s="29" t="s">
        <v>414</v>
      </c>
      <c r="FD344" s="29" t="s">
        <v>415</v>
      </c>
      <c r="FE344" s="29" t="s">
        <v>583</v>
      </c>
      <c r="FF344" s="29" t="s">
        <v>583</v>
      </c>
      <c r="FG344" s="29" t="s">
        <v>583</v>
      </c>
      <c r="FH344" s="29" t="s">
        <v>583</v>
      </c>
      <c r="FI344" s="29" t="s">
        <v>583</v>
      </c>
      <c r="FJ344" s="29" t="s">
        <v>583</v>
      </c>
      <c r="FK344" s="29" t="s">
        <v>583</v>
      </c>
      <c r="FL344" s="29" t="s">
        <v>583</v>
      </c>
      <c r="FM344" s="29" t="s">
        <v>583</v>
      </c>
      <c r="FN344" s="29" t="s">
        <v>583</v>
      </c>
      <c r="FO344" s="29" t="s">
        <v>1537</v>
      </c>
      <c r="FP344" s="29" t="s">
        <v>1200</v>
      </c>
      <c r="FQ344" s="29" t="s">
        <v>630</v>
      </c>
      <c r="FR344" s="29" t="s">
        <v>6882</v>
      </c>
      <c r="FS344" s="29" t="s">
        <v>1871</v>
      </c>
      <c r="FT344" s="29" t="s">
        <v>421</v>
      </c>
      <c r="FU344" s="29" t="s">
        <v>533</v>
      </c>
      <c r="FV344" s="29" t="s">
        <v>490</v>
      </c>
      <c r="FW344" s="29" t="s">
        <v>491</v>
      </c>
      <c r="FX344" s="29" t="s">
        <v>6883</v>
      </c>
      <c r="FY344" s="29" t="s">
        <v>1337</v>
      </c>
      <c r="FZ344" s="29" t="s">
        <v>6884</v>
      </c>
      <c r="GA344" s="29"/>
      <c r="GB344" s="29" t="s">
        <v>455</v>
      </c>
      <c r="GC344" s="29"/>
      <c r="GD344" s="29"/>
      <c r="GE344" s="29" t="s">
        <v>944</v>
      </c>
      <c r="GF344" s="29" t="s">
        <v>6885</v>
      </c>
      <c r="GG344" s="29" t="s">
        <v>755</v>
      </c>
      <c r="GH344" s="29" t="s">
        <v>755</v>
      </c>
      <c r="GI344" s="29" t="s">
        <v>946</v>
      </c>
      <c r="GJ344" s="29"/>
      <c r="GK344" s="29"/>
      <c r="GL344" s="29"/>
      <c r="GM344" s="29" t="s">
        <v>1079</v>
      </c>
      <c r="GN344" s="29"/>
      <c r="GO344" s="29"/>
      <c r="GP344" s="29"/>
      <c r="GQ344" s="29" t="s">
        <v>4653</v>
      </c>
      <c r="GR344" s="29"/>
      <c r="GS344" s="29"/>
      <c r="GT344" s="29" t="s">
        <v>4774</v>
      </c>
      <c r="GU344" s="29" t="s">
        <v>6886</v>
      </c>
      <c r="HP344" s="31"/>
      <c r="MX344" s="29" t="s">
        <v>5153</v>
      </c>
      <c r="MY344" s="29" t="str">
        <f>IFERROR(__xludf.DUMMYFUNCTION("""COMPUTED_VALUE"""),"Sweden")</f>
        <v>Sweden</v>
      </c>
    </row>
    <row r="345" ht="16.5" customHeight="1">
      <c r="A345" s="33">
        <v>45937.46064668981</v>
      </c>
      <c r="B345" s="29" t="s">
        <v>368</v>
      </c>
      <c r="C345" s="29" t="s">
        <v>5153</v>
      </c>
      <c r="D345" s="29" t="s">
        <v>5153</v>
      </c>
      <c r="E345" s="29"/>
      <c r="F345" s="29"/>
      <c r="G345" s="29" t="s">
        <v>422</v>
      </c>
      <c r="H345" s="29" t="s">
        <v>637</v>
      </c>
      <c r="I345" s="29" t="s">
        <v>638</v>
      </c>
      <c r="J345" s="29" t="s">
        <v>375</v>
      </c>
      <c r="K345" s="29" t="s">
        <v>376</v>
      </c>
      <c r="L345" s="29" t="s">
        <v>1526</v>
      </c>
      <c r="M345" s="29" t="s">
        <v>720</v>
      </c>
      <c r="N345" s="29" t="s">
        <v>1526</v>
      </c>
      <c r="O345" s="29" t="s">
        <v>497</v>
      </c>
      <c r="P345" s="29" t="s">
        <v>381</v>
      </c>
      <c r="Q345" s="29" t="s">
        <v>759</v>
      </c>
      <c r="R345" s="29" t="s">
        <v>427</v>
      </c>
      <c r="S345" s="29" t="s">
        <v>384</v>
      </c>
      <c r="T345" s="29" t="s">
        <v>385</v>
      </c>
      <c r="U345" s="29"/>
      <c r="V345" s="29"/>
      <c r="W345" s="29" t="s">
        <v>3014</v>
      </c>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t="s">
        <v>1242</v>
      </c>
      <c r="AW345" s="29" t="s">
        <v>391</v>
      </c>
      <c r="AX345" s="29" t="s">
        <v>429</v>
      </c>
      <c r="AY345" s="29" t="s">
        <v>391</v>
      </c>
      <c r="AZ345" s="29" t="s">
        <v>429</v>
      </c>
      <c r="BA345" s="29" t="s">
        <v>429</v>
      </c>
      <c r="BB345" s="29" t="s">
        <v>429</v>
      </c>
      <c r="BC345" s="29"/>
      <c r="BD345" s="29"/>
      <c r="BE345" s="29" t="s">
        <v>392</v>
      </c>
      <c r="BF345" s="29" t="s">
        <v>433</v>
      </c>
      <c r="BG345" s="29" t="s">
        <v>394</v>
      </c>
      <c r="BH345" s="29"/>
      <c r="BI345" s="29" t="s">
        <v>976</v>
      </c>
      <c r="BJ345" s="29"/>
      <c r="BK345" s="29" t="s">
        <v>681</v>
      </c>
      <c r="BL345" s="29" t="s">
        <v>603</v>
      </c>
      <c r="BM345" s="29" t="s">
        <v>1314</v>
      </c>
      <c r="BN345" s="29" t="s">
        <v>513</v>
      </c>
      <c r="BO345" s="29"/>
      <c r="BP345" s="29"/>
      <c r="BQ345" s="29"/>
      <c r="BR345" s="29"/>
      <c r="BS345" s="29"/>
      <c r="BT345" s="29"/>
      <c r="BU345" s="29"/>
      <c r="BV345" s="29"/>
      <c r="BW345" s="29"/>
      <c r="BX345" s="29"/>
      <c r="BY345" s="29"/>
      <c r="BZ345" s="29"/>
      <c r="CA345" s="29"/>
      <c r="CB345" s="29"/>
      <c r="CC345" s="29"/>
      <c r="CD345" s="29"/>
      <c r="CE345" s="29"/>
      <c r="CF345" s="29"/>
      <c r="CG345" s="29"/>
      <c r="CH345" s="29"/>
      <c r="CI345" s="29"/>
      <c r="CJ345" s="29"/>
      <c r="CK345" s="29"/>
      <c r="CL345" s="29" t="s">
        <v>682</v>
      </c>
      <c r="CM345" s="29" t="s">
        <v>604</v>
      </c>
      <c r="CN345" s="29"/>
      <c r="CO345" s="29"/>
      <c r="CP345" s="29"/>
      <c r="CQ345" s="29"/>
      <c r="CR345" s="29"/>
      <c r="CS345" s="29"/>
      <c r="CT345" s="29" t="s">
        <v>6890</v>
      </c>
      <c r="CU345" s="29" t="s">
        <v>1852</v>
      </c>
      <c r="CV345" s="29" t="s">
        <v>959</v>
      </c>
      <c r="CW345" s="29"/>
      <c r="CX345" s="29" t="s">
        <v>408</v>
      </c>
      <c r="CY345" s="29"/>
      <c r="CZ345" s="29" t="s">
        <v>1962</v>
      </c>
      <c r="DA345" s="29"/>
      <c r="DB345" s="29" t="s">
        <v>455</v>
      </c>
      <c r="DC345" s="29"/>
      <c r="DD345" s="29"/>
      <c r="DE345" s="29"/>
      <c r="DF345" s="29"/>
      <c r="DG345" s="29" t="s">
        <v>693</v>
      </c>
      <c r="DH345" s="29" t="s">
        <v>833</v>
      </c>
      <c r="DI345" s="29" t="s">
        <v>963</v>
      </c>
      <c r="DJ345" s="29" t="s">
        <v>613</v>
      </c>
      <c r="DK345" s="29"/>
      <c r="DL345" s="29"/>
      <c r="DM345" s="29"/>
      <c r="DN345" s="29"/>
      <c r="DO345" s="29"/>
      <c r="DP345" s="29"/>
      <c r="DQ345" s="29"/>
      <c r="DR345" s="29"/>
      <c r="DS345" s="29"/>
      <c r="DT345" s="29"/>
      <c r="DU345" s="29"/>
      <c r="DV345" s="29"/>
      <c r="DW345" s="29"/>
      <c r="DX345" s="29"/>
      <c r="DY345" s="29"/>
      <c r="DZ345" s="29"/>
      <c r="EA345" s="29"/>
      <c r="EB345" s="29"/>
      <c r="EC345" s="29"/>
      <c r="ED345" s="29"/>
      <c r="EE345" s="29"/>
      <c r="EF345" s="29"/>
      <c r="EG345" s="29"/>
      <c r="EH345" s="29"/>
      <c r="EI345" s="29"/>
      <c r="EJ345" s="29"/>
      <c r="EK345" s="29"/>
      <c r="EL345" s="29"/>
      <c r="EM345" s="29"/>
      <c r="EN345" s="29"/>
      <c r="EO345" s="29"/>
      <c r="EP345" s="29"/>
      <c r="EQ345" s="29"/>
      <c r="ER345" s="29"/>
      <c r="ES345" s="29"/>
      <c r="ET345" s="29"/>
      <c r="EU345" s="29" t="s">
        <v>579</v>
      </c>
      <c r="EV345" s="29" t="s">
        <v>1262</v>
      </c>
      <c r="EW345" s="29"/>
      <c r="EX345" s="29"/>
      <c r="EY345" s="29"/>
      <c r="EZ345" s="29" t="s">
        <v>413</v>
      </c>
      <c r="FA345" s="29" t="s">
        <v>416</v>
      </c>
      <c r="FB345" s="29" t="s">
        <v>413</v>
      </c>
      <c r="FC345" s="29" t="s">
        <v>413</v>
      </c>
      <c r="FD345" s="29" t="s">
        <v>413</v>
      </c>
      <c r="FE345" s="29" t="s">
        <v>416</v>
      </c>
      <c r="FF345" s="29" t="s">
        <v>413</v>
      </c>
      <c r="FG345" s="29" t="s">
        <v>413</v>
      </c>
      <c r="FH345" s="29" t="s">
        <v>413</v>
      </c>
      <c r="FI345" s="29" t="s">
        <v>413</v>
      </c>
      <c r="FJ345" s="29" t="s">
        <v>413</v>
      </c>
      <c r="FK345" s="29" t="s">
        <v>413</v>
      </c>
      <c r="FL345" s="29" t="s">
        <v>413</v>
      </c>
      <c r="FM345" s="29" t="s">
        <v>413</v>
      </c>
      <c r="FN345" s="29" t="s">
        <v>413</v>
      </c>
      <c r="FO345" s="29" t="s">
        <v>1537</v>
      </c>
      <c r="FP345" s="29" t="s">
        <v>2524</v>
      </c>
      <c r="FQ345" s="29" t="s">
        <v>1039</v>
      </c>
      <c r="FR345" s="29"/>
      <c r="FS345" s="29" t="s">
        <v>420</v>
      </c>
      <c r="FT345" s="29"/>
      <c r="FU345" s="29"/>
      <c r="FV345" s="29"/>
      <c r="FW345" s="29"/>
      <c r="FX345" s="29"/>
      <c r="FY345" s="29"/>
      <c r="FZ345" s="29"/>
      <c r="GA345" s="29"/>
      <c r="GB345" s="29" t="s">
        <v>408</v>
      </c>
      <c r="GC345" s="29"/>
      <c r="GD345" s="29"/>
      <c r="GE345" s="29"/>
      <c r="GF345" s="29"/>
      <c r="GG345" s="29" t="s">
        <v>755</v>
      </c>
      <c r="GH345" s="29" t="s">
        <v>755</v>
      </c>
      <c r="GI345" s="29" t="s">
        <v>756</v>
      </c>
      <c r="GJ345" s="29"/>
      <c r="GK345" s="29"/>
      <c r="GL345" s="29"/>
      <c r="GM345" s="29"/>
      <c r="GN345" s="29" t="s">
        <v>6891</v>
      </c>
      <c r="GO345" s="29" t="s">
        <v>6891</v>
      </c>
      <c r="GP345" s="29"/>
      <c r="GQ345" s="29"/>
      <c r="GR345" s="29"/>
      <c r="GS345" s="29"/>
      <c r="GT345" s="29" t="s">
        <v>5170</v>
      </c>
      <c r="GU345" s="29"/>
      <c r="HP345" s="31"/>
      <c r="MX345" s="29" t="s">
        <v>3570</v>
      </c>
      <c r="MY345" s="29" t="str">
        <f>IFERROR(__xludf.DUMMYFUNCTION("""COMPUTED_VALUE"""),"Colombia")</f>
        <v>Colombia</v>
      </c>
    </row>
    <row r="346" ht="16.5" customHeight="1">
      <c r="A346" s="33">
        <v>45938.7871534838</v>
      </c>
      <c r="B346" s="29" t="s">
        <v>368</v>
      </c>
      <c r="C346" s="29" t="s">
        <v>3570</v>
      </c>
      <c r="D346" s="29" t="s">
        <v>3570</v>
      </c>
      <c r="E346" s="29"/>
      <c r="F346" s="29"/>
      <c r="G346" s="29" t="s">
        <v>1783</v>
      </c>
      <c r="H346" s="29" t="s">
        <v>637</v>
      </c>
      <c r="I346" s="29" t="s">
        <v>638</v>
      </c>
      <c r="J346" s="29" t="s">
        <v>590</v>
      </c>
      <c r="K346" s="29" t="s">
        <v>376</v>
      </c>
      <c r="L346" s="29" t="s">
        <v>426</v>
      </c>
      <c r="M346" s="29" t="s">
        <v>719</v>
      </c>
      <c r="N346" s="29" t="s">
        <v>591</v>
      </c>
      <c r="O346" s="29" t="s">
        <v>719</v>
      </c>
      <c r="P346" s="29" t="s">
        <v>381</v>
      </c>
      <c r="Q346" s="29" t="s">
        <v>759</v>
      </c>
      <c r="R346" s="29" t="s">
        <v>427</v>
      </c>
      <c r="S346" s="29" t="s">
        <v>384</v>
      </c>
      <c r="T346" s="29" t="s">
        <v>385</v>
      </c>
      <c r="U346" s="29"/>
      <c r="V346" s="29"/>
      <c r="W346" s="29" t="s">
        <v>3014</v>
      </c>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t="s">
        <v>504</v>
      </c>
      <c r="AW346" s="29" t="s">
        <v>429</v>
      </c>
      <c r="AX346" s="29" t="s">
        <v>429</v>
      </c>
      <c r="AY346" s="29" t="s">
        <v>429</v>
      </c>
      <c r="AZ346" s="29" t="s">
        <v>429</v>
      </c>
      <c r="BA346" s="29" t="s">
        <v>429</v>
      </c>
      <c r="BB346" s="29" t="s">
        <v>429</v>
      </c>
      <c r="BC346" s="29" t="s">
        <v>6892</v>
      </c>
      <c r="BD346" s="29"/>
      <c r="BE346" s="29" t="s">
        <v>392</v>
      </c>
      <c r="BF346" s="29" t="s">
        <v>433</v>
      </c>
      <c r="BG346" s="29" t="s">
        <v>678</v>
      </c>
      <c r="BH346" s="29"/>
      <c r="BI346" s="29" t="s">
        <v>509</v>
      </c>
      <c r="BJ346" s="29"/>
      <c r="BK346" s="29" t="s">
        <v>511</v>
      </c>
      <c r="BL346" s="29" t="s">
        <v>512</v>
      </c>
      <c r="BM346" s="29" t="s">
        <v>439</v>
      </c>
      <c r="BN346" s="29" t="s">
        <v>513</v>
      </c>
      <c r="BO346" s="29"/>
      <c r="BP346" s="29"/>
      <c r="BQ346" s="29"/>
      <c r="BR346" s="29"/>
      <c r="BS346" s="29"/>
      <c r="BT346" s="29"/>
      <c r="BU346" s="29"/>
      <c r="BV346" s="29"/>
      <c r="BW346" s="29"/>
      <c r="BX346" s="29"/>
      <c r="BY346" s="29"/>
      <c r="BZ346" s="29"/>
      <c r="CA346" s="29"/>
      <c r="CB346" s="29"/>
      <c r="CC346" s="29"/>
      <c r="CD346" s="29"/>
      <c r="CE346" s="29"/>
      <c r="CF346" s="29"/>
      <c r="CG346" s="29"/>
      <c r="CH346" s="29"/>
      <c r="CI346" s="29"/>
      <c r="CJ346" s="29"/>
      <c r="CK346" s="29"/>
      <c r="CL346" s="29" t="s">
        <v>441</v>
      </c>
      <c r="CM346" s="29" t="s">
        <v>401</v>
      </c>
      <c r="CN346" s="29" t="s">
        <v>6893</v>
      </c>
      <c r="CO346" s="29" t="s">
        <v>6894</v>
      </c>
      <c r="CP346" s="29" t="s">
        <v>685</v>
      </c>
      <c r="CQ346" s="29" t="s">
        <v>6895</v>
      </c>
      <c r="CR346" s="29" t="s">
        <v>404</v>
      </c>
      <c r="CS346" s="29" t="s">
        <v>1137</v>
      </c>
      <c r="CT346" s="29" t="s">
        <v>6896</v>
      </c>
      <c r="CU346" s="29" t="s">
        <v>450</v>
      </c>
      <c r="CV346" s="29" t="s">
        <v>451</v>
      </c>
      <c r="CW346" s="29" t="s">
        <v>6897</v>
      </c>
      <c r="CX346" s="29" t="s">
        <v>408</v>
      </c>
      <c r="CY346" s="29"/>
      <c r="CZ346" s="29" t="s">
        <v>453</v>
      </c>
      <c r="DA346" s="29" t="s">
        <v>6898</v>
      </c>
      <c r="DB346" s="29" t="s">
        <v>455</v>
      </c>
      <c r="DC346" s="29" t="s">
        <v>6899</v>
      </c>
      <c r="DD346" s="29" t="s">
        <v>988</v>
      </c>
      <c r="DE346" s="29"/>
      <c r="DF346" s="29" t="s">
        <v>6900</v>
      </c>
      <c r="DG346" s="29" t="s">
        <v>524</v>
      </c>
      <c r="DH346" s="29" t="s">
        <v>410</v>
      </c>
      <c r="DI346" s="29" t="s">
        <v>963</v>
      </c>
      <c r="DJ346" s="29" t="s">
        <v>613</v>
      </c>
      <c r="DK346" s="29"/>
      <c r="DL346" s="29"/>
      <c r="DM346" s="29"/>
      <c r="DN346" s="29"/>
      <c r="DO346" s="29"/>
      <c r="DP346" s="29"/>
      <c r="DQ346" s="29"/>
      <c r="DR346" s="29"/>
      <c r="DS346" s="29"/>
      <c r="DT346" s="29"/>
      <c r="DU346" s="29"/>
      <c r="DV346" s="29"/>
      <c r="DW346" s="29"/>
      <c r="DX346" s="29"/>
      <c r="DY346" s="29"/>
      <c r="DZ346" s="29"/>
      <c r="EA346" s="29"/>
      <c r="EB346" s="29"/>
      <c r="EC346" s="29"/>
      <c r="ED346" s="29"/>
      <c r="EE346" s="29"/>
      <c r="EF346" s="29"/>
      <c r="EG346" s="29"/>
      <c r="EH346" s="29"/>
      <c r="EI346" s="29"/>
      <c r="EJ346" s="29"/>
      <c r="EK346" s="29"/>
      <c r="EL346" s="29"/>
      <c r="EM346" s="29"/>
      <c r="EN346" s="29"/>
      <c r="EO346" s="29"/>
      <c r="EP346" s="29"/>
      <c r="EQ346" s="29"/>
      <c r="ER346" s="29"/>
      <c r="ES346" s="29"/>
      <c r="ET346" s="29" t="s">
        <v>578</v>
      </c>
      <c r="EU346" s="29" t="s">
        <v>579</v>
      </c>
      <c r="EV346" s="29" t="s">
        <v>580</v>
      </c>
      <c r="EW346" s="29"/>
      <c r="EX346" s="29" t="s">
        <v>6901</v>
      </c>
      <c r="EY346" s="29" t="s">
        <v>6902</v>
      </c>
      <c r="EZ346" s="29" t="s">
        <v>413</v>
      </c>
      <c r="FA346" s="29" t="s">
        <v>415</v>
      </c>
      <c r="FB346" s="29" t="s">
        <v>413</v>
      </c>
      <c r="FC346" s="29" t="s">
        <v>413</v>
      </c>
      <c r="FD346" s="29" t="s">
        <v>413</v>
      </c>
      <c r="FE346" s="29" t="s">
        <v>415</v>
      </c>
      <c r="FF346" s="29" t="s">
        <v>416</v>
      </c>
      <c r="FG346" s="29" t="s">
        <v>415</v>
      </c>
      <c r="FH346" s="29" t="s">
        <v>415</v>
      </c>
      <c r="FI346" s="29" t="s">
        <v>413</v>
      </c>
      <c r="FJ346" s="29" t="s">
        <v>413</v>
      </c>
      <c r="FK346" s="29" t="s">
        <v>413</v>
      </c>
      <c r="FL346" s="29" t="s">
        <v>413</v>
      </c>
      <c r="FM346" s="29" t="s">
        <v>415</v>
      </c>
      <c r="FN346" s="29" t="s">
        <v>415</v>
      </c>
      <c r="FO346" s="29" t="s">
        <v>850</v>
      </c>
      <c r="FP346" s="29" t="s">
        <v>418</v>
      </c>
      <c r="FQ346" s="29" t="s">
        <v>531</v>
      </c>
      <c r="FR346" s="29" t="s">
        <v>6903</v>
      </c>
      <c r="FS346" s="29" t="s">
        <v>420</v>
      </c>
      <c r="FT346" s="29" t="s">
        <v>488</v>
      </c>
      <c r="FU346" s="29" t="s">
        <v>1235</v>
      </c>
      <c r="FV346" s="29" t="s">
        <v>490</v>
      </c>
      <c r="FW346" s="29" t="s">
        <v>491</v>
      </c>
      <c r="FX346" s="29" t="s">
        <v>6904</v>
      </c>
      <c r="FY346" s="29" t="s">
        <v>535</v>
      </c>
      <c r="FZ346" s="29" t="s">
        <v>6905</v>
      </c>
      <c r="GA346" s="29" t="s">
        <v>6906</v>
      </c>
      <c r="GB346" s="29" t="s">
        <v>455</v>
      </c>
      <c r="GC346" s="29"/>
      <c r="GD346" s="29"/>
      <c r="GE346" s="29" t="s">
        <v>944</v>
      </c>
      <c r="GF346" s="29" t="s">
        <v>6907</v>
      </c>
      <c r="GG346" s="29" t="s">
        <v>755</v>
      </c>
      <c r="GH346" s="29" t="s">
        <v>755</v>
      </c>
      <c r="GI346" s="29" t="s">
        <v>946</v>
      </c>
      <c r="GJ346" s="29"/>
      <c r="GK346" s="29"/>
      <c r="GL346" s="29"/>
      <c r="GM346" s="29"/>
      <c r="GN346" s="29" t="s">
        <v>6908</v>
      </c>
      <c r="GO346" s="29" t="s">
        <v>6909</v>
      </c>
      <c r="GP346" s="29"/>
      <c r="GQ346" s="29" t="s">
        <v>3208</v>
      </c>
      <c r="GR346" s="29"/>
      <c r="GS346" s="29"/>
      <c r="GT346" s="29" t="s">
        <v>4774</v>
      </c>
      <c r="GU346" s="29"/>
      <c r="HP346" s="31"/>
      <c r="MX346" s="29" t="s">
        <v>10402</v>
      </c>
      <c r="MY346" s="29" t="str">
        <f>IFERROR(__xludf.DUMMYFUNCTION("""COMPUTED_VALUE"""),"Michigan")</f>
        <v>Michigan</v>
      </c>
    </row>
    <row r="347" ht="16.5" customHeight="1">
      <c r="A347" s="33">
        <v>45939.365505891205</v>
      </c>
      <c r="B347" s="29" t="s">
        <v>368</v>
      </c>
      <c r="C347" s="29" t="s">
        <v>370</v>
      </c>
      <c r="D347" s="29" t="s">
        <v>370</v>
      </c>
      <c r="E347" s="29" t="s">
        <v>1480</v>
      </c>
      <c r="F347" s="29" t="s">
        <v>1875</v>
      </c>
      <c r="G347" s="29" t="s">
        <v>636</v>
      </c>
      <c r="H347" s="29" t="s">
        <v>373</v>
      </c>
      <c r="I347" s="29" t="s">
        <v>374</v>
      </c>
      <c r="J347" s="29" t="s">
        <v>425</v>
      </c>
      <c r="K347" s="29" t="s">
        <v>376</v>
      </c>
      <c r="L347" s="29" t="s">
        <v>426</v>
      </c>
      <c r="M347" s="29" t="s">
        <v>541</v>
      </c>
      <c r="N347" s="29" t="s">
        <v>793</v>
      </c>
      <c r="O347" s="29" t="s">
        <v>671</v>
      </c>
      <c r="P347" s="29" t="s">
        <v>498</v>
      </c>
      <c r="Q347" s="29" t="s">
        <v>862</v>
      </c>
      <c r="R347" s="29" t="s">
        <v>500</v>
      </c>
      <c r="S347" s="29" t="s">
        <v>384</v>
      </c>
      <c r="T347" s="29" t="s">
        <v>385</v>
      </c>
      <c r="U347" s="29"/>
      <c r="V347" s="29"/>
      <c r="W347" s="29" t="s">
        <v>386</v>
      </c>
      <c r="X347" s="29" t="s">
        <v>387</v>
      </c>
      <c r="Y347" s="29" t="s">
        <v>1444</v>
      </c>
      <c r="Z347" s="29" t="s">
        <v>502</v>
      </c>
      <c r="AA347" s="29" t="s">
        <v>408</v>
      </c>
      <c r="AB347" s="29" t="s">
        <v>408</v>
      </c>
      <c r="AC347" s="29"/>
      <c r="AD347" s="29"/>
      <c r="AE347" s="29"/>
      <c r="AF347" s="29"/>
      <c r="AG347" s="29"/>
      <c r="AH347" s="29"/>
      <c r="AI347" s="29"/>
      <c r="AJ347" s="29"/>
      <c r="AK347" s="29"/>
      <c r="AL347" s="29"/>
      <c r="AM347" s="29"/>
      <c r="AN347" s="29"/>
      <c r="AO347" s="29"/>
      <c r="AP347" s="29"/>
      <c r="AQ347" s="29"/>
      <c r="AR347" s="29"/>
      <c r="AS347" s="29"/>
      <c r="AT347" s="29"/>
      <c r="AU347" s="29"/>
      <c r="AV347" s="29" t="s">
        <v>1310</v>
      </c>
      <c r="AW347" s="29">
        <v>4.0</v>
      </c>
      <c r="AX347" s="29">
        <v>4.0</v>
      </c>
      <c r="AY347" s="29" t="s">
        <v>391</v>
      </c>
      <c r="AZ347" s="29">
        <v>4.0</v>
      </c>
      <c r="BA347" s="29">
        <v>4.0</v>
      </c>
      <c r="BB347" s="29">
        <v>4.0</v>
      </c>
      <c r="BC347" s="29" t="s">
        <v>6910</v>
      </c>
      <c r="BD347" s="29" t="s">
        <v>6911</v>
      </c>
      <c r="BE347" s="29" t="s">
        <v>2379</v>
      </c>
      <c r="BF347" s="29" t="s">
        <v>393</v>
      </c>
      <c r="BG347" s="29" t="s">
        <v>434</v>
      </c>
      <c r="BH347" s="29" t="s">
        <v>6912</v>
      </c>
      <c r="BI347" s="29" t="s">
        <v>976</v>
      </c>
      <c r="BJ347" s="29" t="s">
        <v>6170</v>
      </c>
      <c r="BK347" s="29" t="s">
        <v>437</v>
      </c>
      <c r="BL347" s="29" t="s">
        <v>603</v>
      </c>
      <c r="BM347" s="29" t="s">
        <v>1247</v>
      </c>
      <c r="BN347" s="29" t="s">
        <v>513</v>
      </c>
      <c r="BO347" s="29"/>
      <c r="BP347" s="29"/>
      <c r="BQ347" s="29"/>
      <c r="BR347" s="29"/>
      <c r="BS347" s="29"/>
      <c r="BT347" s="29"/>
      <c r="BU347" s="29"/>
      <c r="BV347" s="29"/>
      <c r="BW347" s="29"/>
      <c r="BX347" s="29"/>
      <c r="BY347" s="29"/>
      <c r="BZ347" s="29"/>
      <c r="CA347" s="29"/>
      <c r="CB347" s="29"/>
      <c r="CC347" s="29"/>
      <c r="CD347" s="29"/>
      <c r="CE347" s="29"/>
      <c r="CF347" s="29"/>
      <c r="CG347" s="29"/>
      <c r="CH347" s="29"/>
      <c r="CI347" s="29"/>
      <c r="CJ347" s="29"/>
      <c r="CK347" s="29"/>
      <c r="CL347" s="29" t="s">
        <v>441</v>
      </c>
      <c r="CM347" s="29" t="s">
        <v>401</v>
      </c>
      <c r="CN347" s="29" t="s">
        <v>6913</v>
      </c>
      <c r="CO347" s="29" t="s">
        <v>6914</v>
      </c>
      <c r="CP347" s="29" t="s">
        <v>979</v>
      </c>
      <c r="CQ347" s="29" t="s">
        <v>6915</v>
      </c>
      <c r="CR347" s="29" t="s">
        <v>447</v>
      </c>
      <c r="CS347" s="29" t="s">
        <v>6916</v>
      </c>
      <c r="CT347" s="29" t="s">
        <v>6917</v>
      </c>
      <c r="CU347" s="29" t="s">
        <v>982</v>
      </c>
      <c r="CV347" s="29" t="s">
        <v>451</v>
      </c>
      <c r="CW347" s="29" t="s">
        <v>6918</v>
      </c>
      <c r="CX347" s="29" t="s">
        <v>408</v>
      </c>
      <c r="CY347" s="29"/>
      <c r="CZ347" s="29" t="s">
        <v>985</v>
      </c>
      <c r="DA347" s="29" t="s">
        <v>6919</v>
      </c>
      <c r="DB347" s="29" t="s">
        <v>408</v>
      </c>
      <c r="DC347" s="29"/>
      <c r="DD347" s="29" t="s">
        <v>406</v>
      </c>
      <c r="DE347" s="29" t="s">
        <v>691</v>
      </c>
      <c r="DF347" s="29" t="s">
        <v>6920</v>
      </c>
      <c r="DG347" s="29" t="s">
        <v>776</v>
      </c>
      <c r="DH347" s="29" t="s">
        <v>1220</v>
      </c>
      <c r="DI347" s="29" t="s">
        <v>459</v>
      </c>
      <c r="DJ347" s="29" t="s">
        <v>460</v>
      </c>
      <c r="DK347" s="29" t="s">
        <v>6335</v>
      </c>
      <c r="DL347" s="29"/>
      <c r="DM347" s="29"/>
      <c r="DN347" s="29"/>
      <c r="DO347" s="29"/>
      <c r="DP347" s="29"/>
      <c r="DQ347" s="29"/>
      <c r="DR347" s="29"/>
      <c r="DS347" s="29"/>
      <c r="DT347" s="29"/>
      <c r="DU347" s="29"/>
      <c r="DV347" s="29"/>
      <c r="DW347" s="29"/>
      <c r="DX347" s="29"/>
      <c r="DY347" s="29"/>
      <c r="DZ347" s="29"/>
      <c r="EA347" s="29"/>
      <c r="EB347" s="29"/>
      <c r="EC347" s="29"/>
      <c r="ED347" s="29"/>
      <c r="EE347" s="29"/>
      <c r="EF347" s="29"/>
      <c r="EG347" s="29"/>
      <c r="EH347" s="29"/>
      <c r="EI347" s="29"/>
      <c r="EJ347" s="29"/>
      <c r="EK347" s="29"/>
      <c r="EL347" s="29"/>
      <c r="EM347" s="29"/>
      <c r="EN347" s="29"/>
      <c r="EO347" s="29"/>
      <c r="EP347" s="29"/>
      <c r="EQ347" s="29"/>
      <c r="ER347" s="29"/>
      <c r="ES347" s="29"/>
      <c r="ET347" s="29" t="s">
        <v>526</v>
      </c>
      <c r="EU347" s="29" t="s">
        <v>887</v>
      </c>
      <c r="EV347" s="29" t="s">
        <v>527</v>
      </c>
      <c r="EW347" s="29" t="s">
        <v>6921</v>
      </c>
      <c r="EX347" s="29" t="s">
        <v>6922</v>
      </c>
      <c r="EY347" s="29"/>
      <c r="EZ347" s="29" t="s">
        <v>413</v>
      </c>
      <c r="FA347" s="29" t="s">
        <v>415</v>
      </c>
      <c r="FB347" s="29" t="s">
        <v>413</v>
      </c>
      <c r="FC347" s="29" t="s">
        <v>413</v>
      </c>
      <c r="FD347" s="29" t="s">
        <v>413</v>
      </c>
      <c r="FE347" s="29" t="s">
        <v>415</v>
      </c>
      <c r="FF347" s="29" t="s">
        <v>413</v>
      </c>
      <c r="FG347" s="29" t="s">
        <v>413</v>
      </c>
      <c r="FH347" s="29" t="s">
        <v>583</v>
      </c>
      <c r="FI347" s="29" t="s">
        <v>415</v>
      </c>
      <c r="FJ347" s="29" t="s">
        <v>413</v>
      </c>
      <c r="FK347" s="29" t="s">
        <v>413</v>
      </c>
      <c r="FL347" s="29" t="s">
        <v>416</v>
      </c>
      <c r="FM347" s="29" t="s">
        <v>413</v>
      </c>
      <c r="FN347" s="29" t="s">
        <v>414</v>
      </c>
      <c r="FO347" s="29" t="s">
        <v>850</v>
      </c>
      <c r="FP347" s="29" t="s">
        <v>486</v>
      </c>
      <c r="FQ347" s="29" t="s">
        <v>749</v>
      </c>
      <c r="FR347" s="29"/>
      <c r="FS347" s="29" t="s">
        <v>420</v>
      </c>
      <c r="FT347" s="29" t="s">
        <v>488</v>
      </c>
      <c r="FU347" s="29" t="s">
        <v>489</v>
      </c>
      <c r="FV347" s="29" t="s">
        <v>490</v>
      </c>
      <c r="FW347" s="29" t="s">
        <v>491</v>
      </c>
      <c r="FX347" s="29"/>
      <c r="FY347" s="29" t="s">
        <v>535</v>
      </c>
      <c r="FZ347" s="29"/>
      <c r="GA347" s="29" t="s">
        <v>6923</v>
      </c>
      <c r="GB347" s="29" t="s">
        <v>408</v>
      </c>
      <c r="GC347" s="29"/>
      <c r="GD347" s="29"/>
      <c r="GE347" s="29"/>
      <c r="GF347" s="29"/>
      <c r="GG347" s="29" t="s">
        <v>755</v>
      </c>
      <c r="GH347" s="29" t="s">
        <v>755</v>
      </c>
      <c r="GI347" s="29" t="s">
        <v>756</v>
      </c>
      <c r="GJ347" s="29"/>
      <c r="GK347" s="29"/>
      <c r="GL347" s="29"/>
      <c r="GM347" s="29"/>
      <c r="GN347" s="29"/>
      <c r="GO347" s="29"/>
      <c r="GP347" s="29"/>
      <c r="GQ347" s="29" t="s">
        <v>3208</v>
      </c>
      <c r="GR347" s="29"/>
      <c r="GS347" s="29"/>
      <c r="GT347" s="29" t="s">
        <v>4774</v>
      </c>
      <c r="GU347" s="29"/>
      <c r="HP347" s="31"/>
      <c r="MX347" s="29" t="s">
        <v>6924</v>
      </c>
      <c r="MY347" s="29" t="str">
        <f>IFERROR(__xludf.DUMMYFUNCTION("""COMPUTED_VALUE"""),"Taiwan (Republic of China)")</f>
        <v>Taiwan (Republic of China)</v>
      </c>
    </row>
    <row r="348" ht="16.5" customHeight="1">
      <c r="A348" s="33">
        <v>45939.628821273145</v>
      </c>
      <c r="B348" s="29" t="s">
        <v>368</v>
      </c>
      <c r="C348" s="29" t="s">
        <v>6924</v>
      </c>
      <c r="D348" s="29" t="s">
        <v>370</v>
      </c>
      <c r="E348" s="29"/>
      <c r="F348" s="29" t="s">
        <v>371</v>
      </c>
      <c r="G348" s="29" t="s">
        <v>1093</v>
      </c>
      <c r="H348" s="29" t="s">
        <v>496</v>
      </c>
      <c r="I348" s="29" t="s">
        <v>374</v>
      </c>
      <c r="J348" s="29" t="s">
        <v>375</v>
      </c>
      <c r="K348" s="29" t="s">
        <v>376</v>
      </c>
      <c r="L348" s="29" t="s">
        <v>793</v>
      </c>
      <c r="M348" s="29" t="s">
        <v>6925</v>
      </c>
      <c r="N348" s="29" t="s">
        <v>670</v>
      </c>
      <c r="O348" s="29" t="s">
        <v>639</v>
      </c>
      <c r="P348" s="29" t="s">
        <v>498</v>
      </c>
      <c r="Q348" s="29" t="s">
        <v>862</v>
      </c>
      <c r="R348" s="29" t="s">
        <v>427</v>
      </c>
      <c r="S348" s="29" t="s">
        <v>384</v>
      </c>
      <c r="T348" s="29" t="s">
        <v>385</v>
      </c>
      <c r="U348" s="29"/>
      <c r="V348" s="29"/>
      <c r="W348" s="29" t="s">
        <v>3014</v>
      </c>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t="s">
        <v>1310</v>
      </c>
      <c r="AW348" s="29" t="s">
        <v>675</v>
      </c>
      <c r="AX348" s="29" t="s">
        <v>675</v>
      </c>
      <c r="AY348" s="29" t="s">
        <v>429</v>
      </c>
      <c r="AZ348" s="29" t="s">
        <v>675</v>
      </c>
      <c r="BA348" s="29" t="s">
        <v>429</v>
      </c>
      <c r="BB348" s="29" t="s">
        <v>675</v>
      </c>
      <c r="BC348" s="29" t="s">
        <v>6926</v>
      </c>
      <c r="BD348" s="29" t="s">
        <v>6927</v>
      </c>
      <c r="BE348" s="29" t="s">
        <v>432</v>
      </c>
      <c r="BF348" s="29" t="s">
        <v>1245</v>
      </c>
      <c r="BG348" s="29"/>
      <c r="BH348" s="29" t="s">
        <v>6928</v>
      </c>
      <c r="BI348" s="29" t="s">
        <v>727</v>
      </c>
      <c r="BJ348" s="29"/>
      <c r="BK348" s="29" t="s">
        <v>681</v>
      </c>
      <c r="BL348" s="29" t="s">
        <v>603</v>
      </c>
      <c r="BM348" s="29" t="s">
        <v>397</v>
      </c>
      <c r="BN348" s="29" t="s">
        <v>513</v>
      </c>
      <c r="BO348" s="29"/>
      <c r="BP348" s="29"/>
      <c r="BQ348" s="29"/>
      <c r="BR348" s="29"/>
      <c r="BS348" s="29"/>
      <c r="BT348" s="29"/>
      <c r="BU348" s="29"/>
      <c r="BV348" s="29"/>
      <c r="BW348" s="29"/>
      <c r="BX348" s="29"/>
      <c r="BY348" s="29"/>
      <c r="BZ348" s="29"/>
      <c r="CA348" s="29"/>
      <c r="CB348" s="29"/>
      <c r="CC348" s="29"/>
      <c r="CD348" s="29"/>
      <c r="CE348" s="29"/>
      <c r="CF348" s="29"/>
      <c r="CG348" s="29"/>
      <c r="CH348" s="29"/>
      <c r="CI348" s="29"/>
      <c r="CJ348" s="29"/>
      <c r="CK348" s="29"/>
      <c r="CL348" s="29" t="s">
        <v>682</v>
      </c>
      <c r="CM348" s="29" t="s">
        <v>442</v>
      </c>
      <c r="CN348" s="29" t="s">
        <v>6929</v>
      </c>
      <c r="CO348" s="29" t="s">
        <v>6930</v>
      </c>
      <c r="CP348" s="29"/>
      <c r="CQ348" s="29"/>
      <c r="CR348" s="29"/>
      <c r="CS348" s="29"/>
      <c r="CT348" s="29" t="s">
        <v>6931</v>
      </c>
      <c r="CU348" s="29" t="s">
        <v>450</v>
      </c>
      <c r="CV348" s="29" t="s">
        <v>959</v>
      </c>
      <c r="CW348" s="29"/>
      <c r="CX348" s="29" t="s">
        <v>408</v>
      </c>
      <c r="CY348" s="29"/>
      <c r="CZ348" s="29" t="s">
        <v>1962</v>
      </c>
      <c r="DA348" s="29"/>
      <c r="DB348" s="29" t="s">
        <v>408</v>
      </c>
      <c r="DC348" s="29"/>
      <c r="DD348" s="29"/>
      <c r="DE348" s="29"/>
      <c r="DF348" s="29"/>
      <c r="DG348" s="29"/>
      <c r="DH348" s="29" t="s">
        <v>410</v>
      </c>
      <c r="DI348" s="29" t="s">
        <v>963</v>
      </c>
      <c r="DJ348" s="29" t="s">
        <v>460</v>
      </c>
      <c r="DK348" s="29" t="s">
        <v>6319</v>
      </c>
      <c r="DL348" s="29"/>
      <c r="DM348" s="29"/>
      <c r="DN348" s="29"/>
      <c r="DO348" s="29"/>
      <c r="DP348" s="29"/>
      <c r="DQ348" s="29"/>
      <c r="DR348" s="29"/>
      <c r="DS348" s="29"/>
      <c r="DT348" s="29"/>
      <c r="DU348" s="29"/>
      <c r="DV348" s="29"/>
      <c r="DW348" s="29"/>
      <c r="DX348" s="29"/>
      <c r="DY348" s="29"/>
      <c r="DZ348" s="29"/>
      <c r="EA348" s="29"/>
      <c r="EB348" s="29"/>
      <c r="EC348" s="29"/>
      <c r="ED348" s="29"/>
      <c r="EE348" s="29"/>
      <c r="EF348" s="29"/>
      <c r="EG348" s="29"/>
      <c r="EH348" s="29"/>
      <c r="EI348" s="29"/>
      <c r="EJ348" s="29"/>
      <c r="EK348" s="29"/>
      <c r="EL348" s="29"/>
      <c r="EM348" s="29"/>
      <c r="EN348" s="29"/>
      <c r="EO348" s="29"/>
      <c r="EP348" s="29"/>
      <c r="EQ348" s="29"/>
      <c r="ER348" s="29"/>
      <c r="ES348" s="29"/>
      <c r="ET348" s="29" t="s">
        <v>578</v>
      </c>
      <c r="EU348" s="29" t="s">
        <v>479</v>
      </c>
      <c r="EV348" s="29" t="s">
        <v>480</v>
      </c>
      <c r="EW348" s="29"/>
      <c r="EX348" s="29" t="s">
        <v>6932</v>
      </c>
      <c r="EY348" s="29" t="s">
        <v>6933</v>
      </c>
      <c r="EZ348" s="29" t="s">
        <v>415</v>
      </c>
      <c r="FA348" s="29" t="s">
        <v>583</v>
      </c>
      <c r="FB348" s="29" t="s">
        <v>413</v>
      </c>
      <c r="FC348" s="29" t="s">
        <v>583</v>
      </c>
      <c r="FD348" s="29" t="s">
        <v>583</v>
      </c>
      <c r="FE348" s="29" t="s">
        <v>583</v>
      </c>
      <c r="FF348" s="29" t="s">
        <v>583</v>
      </c>
      <c r="FG348" s="29" t="s">
        <v>583</v>
      </c>
      <c r="FH348" s="29" t="s">
        <v>413</v>
      </c>
      <c r="FI348" s="29" t="s">
        <v>583</v>
      </c>
      <c r="FJ348" s="29" t="s">
        <v>583</v>
      </c>
      <c r="FK348" s="29" t="s">
        <v>415</v>
      </c>
      <c r="FL348" s="29" t="s">
        <v>415</v>
      </c>
      <c r="FM348" s="29" t="s">
        <v>415</v>
      </c>
      <c r="FN348" s="29" t="s">
        <v>415</v>
      </c>
      <c r="FO348" s="29" t="s">
        <v>1537</v>
      </c>
      <c r="FP348" s="29" t="s">
        <v>2524</v>
      </c>
      <c r="FQ348" s="29" t="s">
        <v>630</v>
      </c>
      <c r="FR348" s="29" t="s">
        <v>6934</v>
      </c>
      <c r="FS348" s="29" t="s">
        <v>1871</v>
      </c>
      <c r="FT348" s="29" t="s">
        <v>421</v>
      </c>
      <c r="FU348" s="29" t="s">
        <v>533</v>
      </c>
      <c r="FV348" s="29" t="s">
        <v>490</v>
      </c>
      <c r="FW348" s="29" t="s">
        <v>491</v>
      </c>
      <c r="FX348" s="29" t="s">
        <v>6935</v>
      </c>
      <c r="FY348" s="29" t="s">
        <v>493</v>
      </c>
      <c r="FZ348" s="29"/>
      <c r="GA348" s="29"/>
      <c r="GB348" s="29" t="s">
        <v>455</v>
      </c>
      <c r="GC348" s="29"/>
      <c r="GD348" s="29"/>
      <c r="GE348" s="29" t="s">
        <v>753</v>
      </c>
      <c r="GF348" s="29"/>
      <c r="GG348" s="29" t="s">
        <v>755</v>
      </c>
      <c r="GH348" s="29" t="s">
        <v>755</v>
      </c>
      <c r="GI348" s="29" t="s">
        <v>946</v>
      </c>
      <c r="GJ348" s="29"/>
      <c r="GK348" s="29"/>
      <c r="GL348" s="29"/>
      <c r="GM348" s="29"/>
      <c r="GN348" s="29" t="s">
        <v>6936</v>
      </c>
      <c r="GO348" s="29"/>
      <c r="GP348" s="29"/>
      <c r="GQ348" s="29" t="s">
        <v>3208</v>
      </c>
      <c r="GR348" s="29"/>
      <c r="GS348" s="29"/>
      <c r="GT348" s="29" t="s">
        <v>4741</v>
      </c>
      <c r="GU348" s="29" t="s">
        <v>6937</v>
      </c>
      <c r="HP348" s="31"/>
      <c r="MX348" s="29" t="s">
        <v>10402</v>
      </c>
      <c r="MY348" s="29" t="str">
        <f>IFERROR(__xludf.DUMMYFUNCTION("""COMPUTED_VALUE"""),"Pennsylvania")</f>
        <v>Pennsylvania</v>
      </c>
    </row>
    <row r="349" ht="16.5" customHeight="1">
      <c r="A349" s="33">
        <v>45939.66269103009</v>
      </c>
      <c r="B349" s="29" t="s">
        <v>368</v>
      </c>
      <c r="C349" s="29" t="s">
        <v>370</v>
      </c>
      <c r="D349" s="29" t="s">
        <v>370</v>
      </c>
      <c r="E349" s="29" t="s">
        <v>791</v>
      </c>
      <c r="F349" s="29" t="s">
        <v>791</v>
      </c>
      <c r="G349" s="29" t="s">
        <v>422</v>
      </c>
      <c r="H349" s="29" t="s">
        <v>373</v>
      </c>
      <c r="I349" s="29" t="s">
        <v>374</v>
      </c>
      <c r="J349" s="29" t="s">
        <v>375</v>
      </c>
      <c r="K349" s="29" t="s">
        <v>376</v>
      </c>
      <c r="L349" s="29" t="s">
        <v>591</v>
      </c>
      <c r="M349" s="29" t="s">
        <v>6941</v>
      </c>
      <c r="N349" s="29" t="s">
        <v>591</v>
      </c>
      <c r="O349" s="29" t="s">
        <v>6942</v>
      </c>
      <c r="P349" s="29" t="s">
        <v>498</v>
      </c>
      <c r="Q349" s="29" t="s">
        <v>382</v>
      </c>
      <c r="R349" s="29" t="s">
        <v>1704</v>
      </c>
      <c r="S349" s="29" t="s">
        <v>6943</v>
      </c>
      <c r="T349" s="29" t="s">
        <v>385</v>
      </c>
      <c r="U349" s="29"/>
      <c r="V349" s="29"/>
      <c r="W349" s="29" t="s">
        <v>386</v>
      </c>
      <c r="X349" s="29" t="s">
        <v>387</v>
      </c>
      <c r="Y349" s="29" t="s">
        <v>388</v>
      </c>
      <c r="Z349" s="29" t="s">
        <v>543</v>
      </c>
      <c r="AA349" s="29" t="s">
        <v>408</v>
      </c>
      <c r="AB349" s="29"/>
      <c r="AC349" s="29"/>
      <c r="AD349" s="29"/>
      <c r="AE349" s="29"/>
      <c r="AF349" s="29"/>
      <c r="AG349" s="29"/>
      <c r="AH349" s="29"/>
      <c r="AI349" s="29"/>
      <c r="AJ349" s="29"/>
      <c r="AK349" s="29"/>
      <c r="AL349" s="29"/>
      <c r="AM349" s="29"/>
      <c r="AN349" s="29"/>
      <c r="AO349" s="29"/>
      <c r="AP349" s="29"/>
      <c r="AQ349" s="29"/>
      <c r="AR349" s="29"/>
      <c r="AS349" s="29"/>
      <c r="AT349" s="29"/>
      <c r="AU349" s="29"/>
      <c r="AV349" s="29" t="s">
        <v>504</v>
      </c>
      <c r="AW349" s="29" t="s">
        <v>429</v>
      </c>
      <c r="AX349" s="29" t="s">
        <v>429</v>
      </c>
      <c r="AY349" s="29">
        <v>2.0</v>
      </c>
      <c r="AZ349" s="29" t="s">
        <v>429</v>
      </c>
      <c r="BA349" s="29" t="s">
        <v>429</v>
      </c>
      <c r="BB349" s="29" t="s">
        <v>429</v>
      </c>
      <c r="BC349" s="29" t="s">
        <v>6944</v>
      </c>
      <c r="BD349" s="29" t="s">
        <v>6945</v>
      </c>
      <c r="BE349" s="29" t="s">
        <v>392</v>
      </c>
      <c r="BF349" s="29" t="s">
        <v>433</v>
      </c>
      <c r="BG349" s="29" t="s">
        <v>678</v>
      </c>
      <c r="BH349" s="29" t="s">
        <v>6946</v>
      </c>
      <c r="BI349" s="29" t="s">
        <v>509</v>
      </c>
      <c r="BJ349" s="29" t="s">
        <v>6947</v>
      </c>
      <c r="BK349" s="29" t="s">
        <v>437</v>
      </c>
      <c r="BL349" s="29" t="s">
        <v>438</v>
      </c>
      <c r="BM349" s="29" t="s">
        <v>439</v>
      </c>
      <c r="BN349" s="29" t="s">
        <v>513</v>
      </c>
      <c r="BO349" s="29"/>
      <c r="BP349" s="29"/>
      <c r="BQ349" s="29"/>
      <c r="BR349" s="29"/>
      <c r="BS349" s="29"/>
      <c r="BT349" s="29"/>
      <c r="BU349" s="29"/>
      <c r="BV349" s="29"/>
      <c r="BW349" s="29"/>
      <c r="BX349" s="29"/>
      <c r="BY349" s="29"/>
      <c r="BZ349" s="29"/>
      <c r="CA349" s="29"/>
      <c r="CB349" s="29"/>
      <c r="CC349" s="29"/>
      <c r="CD349" s="29"/>
      <c r="CE349" s="29"/>
      <c r="CF349" s="29"/>
      <c r="CG349" s="29"/>
      <c r="CH349" s="29"/>
      <c r="CI349" s="29"/>
      <c r="CJ349" s="29"/>
      <c r="CK349" s="29"/>
      <c r="CL349" s="29" t="s">
        <v>441</v>
      </c>
      <c r="CM349" s="29" t="s">
        <v>401</v>
      </c>
      <c r="CN349" s="29" t="s">
        <v>552</v>
      </c>
      <c r="CO349" s="29" t="s">
        <v>6948</v>
      </c>
      <c r="CP349" s="29" t="s">
        <v>445</v>
      </c>
      <c r="CQ349" s="29" t="s">
        <v>6949</v>
      </c>
      <c r="CR349" s="29" t="s">
        <v>447</v>
      </c>
      <c r="CS349" s="29" t="s">
        <v>6950</v>
      </c>
      <c r="CT349" s="29" t="s">
        <v>6951</v>
      </c>
      <c r="CU349" s="29" t="s">
        <v>450</v>
      </c>
      <c r="CV349" s="29" t="s">
        <v>451</v>
      </c>
      <c r="CW349" s="29" t="s">
        <v>6952</v>
      </c>
      <c r="CX349" s="29" t="s">
        <v>408</v>
      </c>
      <c r="CY349" s="29"/>
      <c r="CZ349" s="29" t="s">
        <v>453</v>
      </c>
      <c r="DA349" s="29" t="s">
        <v>6953</v>
      </c>
      <c r="DB349" s="29" t="s">
        <v>913</v>
      </c>
      <c r="DC349" s="29"/>
      <c r="DD349" s="29" t="s">
        <v>457</v>
      </c>
      <c r="DE349" s="29"/>
      <c r="DF349" s="29" t="s">
        <v>3463</v>
      </c>
      <c r="DG349" s="29" t="s">
        <v>524</v>
      </c>
      <c r="DH349" s="29" t="s">
        <v>410</v>
      </c>
      <c r="DI349" s="29" t="s">
        <v>459</v>
      </c>
      <c r="DJ349" s="29" t="s">
        <v>613</v>
      </c>
      <c r="DK349" s="29"/>
      <c r="DL349" s="29"/>
      <c r="DM349" s="29"/>
      <c r="DN349" s="29"/>
      <c r="DO349" s="29"/>
      <c r="DP349" s="29"/>
      <c r="DQ349" s="29"/>
      <c r="DR349" s="29"/>
      <c r="DS349" s="29"/>
      <c r="DT349" s="29"/>
      <c r="DU349" s="29"/>
      <c r="DV349" s="29"/>
      <c r="DW349" s="29"/>
      <c r="DX349" s="29"/>
      <c r="DY349" s="29"/>
      <c r="DZ349" s="29"/>
      <c r="EA349" s="29"/>
      <c r="EB349" s="29"/>
      <c r="EC349" s="29"/>
      <c r="ED349" s="29"/>
      <c r="EE349" s="29"/>
      <c r="EF349" s="29"/>
      <c r="EG349" s="29"/>
      <c r="EH349" s="29"/>
      <c r="EI349" s="29"/>
      <c r="EJ349" s="29"/>
      <c r="EK349" s="29"/>
      <c r="EL349" s="29"/>
      <c r="EM349" s="29"/>
      <c r="EN349" s="29"/>
      <c r="EO349" s="29"/>
      <c r="EP349" s="29"/>
      <c r="EQ349" s="29"/>
      <c r="ER349" s="29"/>
      <c r="ES349" s="29"/>
      <c r="ET349" s="29" t="s">
        <v>526</v>
      </c>
      <c r="EU349" s="29" t="s">
        <v>479</v>
      </c>
      <c r="EV349" s="29" t="s">
        <v>778</v>
      </c>
      <c r="EW349" s="29" t="s">
        <v>6954</v>
      </c>
      <c r="EX349" s="29" t="s">
        <v>6955</v>
      </c>
      <c r="EY349" s="29" t="s">
        <v>6956</v>
      </c>
      <c r="EZ349" s="29" t="s">
        <v>413</v>
      </c>
      <c r="FA349" s="29" t="s">
        <v>413</v>
      </c>
      <c r="FB349" s="29" t="s">
        <v>413</v>
      </c>
      <c r="FC349" s="29" t="s">
        <v>413</v>
      </c>
      <c r="FD349" s="29" t="s">
        <v>413</v>
      </c>
      <c r="FE349" s="29" t="s">
        <v>413</v>
      </c>
      <c r="FF349" s="29" t="s">
        <v>413</v>
      </c>
      <c r="FG349" s="29" t="s">
        <v>413</v>
      </c>
      <c r="FH349" s="29" t="s">
        <v>484</v>
      </c>
      <c r="FI349" s="29" t="s">
        <v>413</v>
      </c>
      <c r="FJ349" s="29" t="s">
        <v>413</v>
      </c>
      <c r="FK349" s="29" t="s">
        <v>413</v>
      </c>
      <c r="FL349" s="29" t="s">
        <v>413</v>
      </c>
      <c r="FM349" s="29" t="s">
        <v>413</v>
      </c>
      <c r="FN349" s="29" t="s">
        <v>484</v>
      </c>
      <c r="FO349" s="29" t="s">
        <v>417</v>
      </c>
      <c r="FP349" s="29" t="s">
        <v>418</v>
      </c>
      <c r="FQ349" s="29" t="s">
        <v>531</v>
      </c>
      <c r="FR349" s="29" t="s">
        <v>6957</v>
      </c>
      <c r="FS349" s="29" t="s">
        <v>420</v>
      </c>
      <c r="FT349" s="29" t="s">
        <v>488</v>
      </c>
      <c r="FU349" s="29" t="s">
        <v>489</v>
      </c>
      <c r="FV349" s="29" t="s">
        <v>490</v>
      </c>
      <c r="FW349" s="29" t="s">
        <v>491</v>
      </c>
      <c r="FX349" s="29" t="s">
        <v>6958</v>
      </c>
      <c r="FY349" s="29" t="s">
        <v>535</v>
      </c>
      <c r="FZ349" s="29" t="s">
        <v>6959</v>
      </c>
      <c r="GA349" s="29" t="s">
        <v>6960</v>
      </c>
      <c r="GB349" s="29" t="s">
        <v>455</v>
      </c>
      <c r="GC349" s="29"/>
      <c r="GD349" s="29"/>
      <c r="GE349" s="29" t="s">
        <v>1339</v>
      </c>
      <c r="GF349" s="29" t="s">
        <v>6961</v>
      </c>
      <c r="GG349" s="29" t="s">
        <v>1000</v>
      </c>
      <c r="GH349" s="29" t="s">
        <v>920</v>
      </c>
      <c r="GI349" s="29" t="s">
        <v>946</v>
      </c>
      <c r="GJ349" s="29"/>
      <c r="GK349" s="29"/>
      <c r="GL349" s="29"/>
      <c r="GM349" s="29"/>
      <c r="GN349" s="29"/>
      <c r="GO349" s="29"/>
      <c r="GP349" s="29"/>
      <c r="GQ349" s="29" t="s">
        <v>3208</v>
      </c>
      <c r="GR349" s="29"/>
      <c r="GS349" s="29"/>
      <c r="GT349" s="29" t="s">
        <v>4774</v>
      </c>
      <c r="GU349" s="29"/>
      <c r="HP349" s="31"/>
      <c r="MX349" s="29" t="s">
        <v>10402</v>
      </c>
      <c r="MY349" s="29" t="str">
        <f>IFERROR(__xludf.DUMMYFUNCTION("""COMPUTED_VALUE"""),"California")</f>
        <v>California</v>
      </c>
    </row>
    <row r="350" ht="16.5" customHeight="1">
      <c r="A350" s="33">
        <v>45939.87349773148</v>
      </c>
      <c r="B350" s="29" t="s">
        <v>368</v>
      </c>
      <c r="C350" s="29" t="s">
        <v>370</v>
      </c>
      <c r="D350" s="29" t="s">
        <v>370</v>
      </c>
      <c r="E350" s="29" t="s">
        <v>371</v>
      </c>
      <c r="F350" s="29" t="s">
        <v>371</v>
      </c>
      <c r="G350" s="29" t="s">
        <v>1093</v>
      </c>
      <c r="H350" s="29" t="s">
        <v>637</v>
      </c>
      <c r="I350" s="29" t="s">
        <v>638</v>
      </c>
      <c r="J350" s="29" t="s">
        <v>590</v>
      </c>
      <c r="K350" s="29" t="s">
        <v>376</v>
      </c>
      <c r="L350" s="29" t="s">
        <v>591</v>
      </c>
      <c r="M350" s="29" t="s">
        <v>2464</v>
      </c>
      <c r="N350" s="29" t="s">
        <v>379</v>
      </c>
      <c r="O350" s="29" t="s">
        <v>2464</v>
      </c>
      <c r="P350" s="29" t="s">
        <v>498</v>
      </c>
      <c r="Q350" s="29" t="s">
        <v>818</v>
      </c>
      <c r="R350" s="29" t="s">
        <v>949</v>
      </c>
      <c r="S350" s="29" t="s">
        <v>384</v>
      </c>
      <c r="T350" s="29" t="s">
        <v>385</v>
      </c>
      <c r="U350" s="29"/>
      <c r="V350" s="29"/>
      <c r="W350" s="29" t="s">
        <v>593</v>
      </c>
      <c r="X350" s="29" t="s">
        <v>387</v>
      </c>
      <c r="Y350" s="29" t="s">
        <v>2115</v>
      </c>
      <c r="Z350" s="29" t="s">
        <v>672</v>
      </c>
      <c r="AA350" s="29" t="s">
        <v>6962</v>
      </c>
      <c r="AB350" s="29" t="s">
        <v>6963</v>
      </c>
      <c r="AC350" s="29"/>
      <c r="AD350" s="29"/>
      <c r="AE350" s="29"/>
      <c r="AF350" s="29"/>
      <c r="AG350" s="29"/>
      <c r="AH350" s="29"/>
      <c r="AI350" s="29"/>
      <c r="AJ350" s="29"/>
      <c r="AK350" s="29"/>
      <c r="AL350" s="29"/>
      <c r="AM350" s="29"/>
      <c r="AN350" s="29"/>
      <c r="AO350" s="29"/>
      <c r="AP350" s="29"/>
      <c r="AQ350" s="29"/>
      <c r="AR350" s="29"/>
      <c r="AS350" s="29"/>
      <c r="AT350" s="29"/>
      <c r="AU350" s="29"/>
      <c r="AV350" s="29" t="s">
        <v>390</v>
      </c>
      <c r="AW350" s="29" t="s">
        <v>429</v>
      </c>
      <c r="AX350" s="29" t="s">
        <v>429</v>
      </c>
      <c r="AY350" s="29" t="s">
        <v>675</v>
      </c>
      <c r="AZ350" s="29" t="s">
        <v>391</v>
      </c>
      <c r="BA350" s="29">
        <v>2.0</v>
      </c>
      <c r="BB350" s="29" t="s">
        <v>429</v>
      </c>
      <c r="BC350" s="29" t="s">
        <v>6964</v>
      </c>
      <c r="BD350" s="29" t="s">
        <v>6965</v>
      </c>
      <c r="BE350" s="29" t="s">
        <v>392</v>
      </c>
      <c r="BF350" s="29" t="s">
        <v>433</v>
      </c>
      <c r="BG350" s="29" t="s">
        <v>678</v>
      </c>
      <c r="BH350" s="29"/>
      <c r="BI350" s="29" t="s">
        <v>824</v>
      </c>
      <c r="BJ350" s="29"/>
      <c r="BK350" s="29" t="s">
        <v>681</v>
      </c>
      <c r="BL350" s="29" t="s">
        <v>904</v>
      </c>
      <c r="BM350" s="29" t="s">
        <v>439</v>
      </c>
      <c r="BN350" s="29" t="s">
        <v>513</v>
      </c>
      <c r="BO350" s="29"/>
      <c r="BP350" s="29"/>
      <c r="BQ350" s="29"/>
      <c r="BR350" s="29"/>
      <c r="BS350" s="29"/>
      <c r="BT350" s="29"/>
      <c r="BU350" s="29"/>
      <c r="BV350" s="29"/>
      <c r="BW350" s="29"/>
      <c r="BX350" s="29"/>
      <c r="BY350" s="29"/>
      <c r="BZ350" s="29"/>
      <c r="CA350" s="29"/>
      <c r="CB350" s="29"/>
      <c r="CC350" s="29"/>
      <c r="CD350" s="29"/>
      <c r="CE350" s="29"/>
      <c r="CF350" s="29"/>
      <c r="CG350" s="29"/>
      <c r="CH350" s="29"/>
      <c r="CI350" s="29"/>
      <c r="CJ350" s="29"/>
      <c r="CK350" s="29"/>
      <c r="CL350" s="29" t="s">
        <v>441</v>
      </c>
      <c r="CM350" s="29" t="s">
        <v>682</v>
      </c>
      <c r="CN350" s="29" t="s">
        <v>552</v>
      </c>
      <c r="CO350" s="29" t="s">
        <v>6966</v>
      </c>
      <c r="CP350" s="29" t="s">
        <v>1008</v>
      </c>
      <c r="CQ350" s="29" t="s">
        <v>2383</v>
      </c>
      <c r="CR350" s="29" t="s">
        <v>447</v>
      </c>
      <c r="CS350" s="29" t="s">
        <v>6967</v>
      </c>
      <c r="CT350" s="29" t="s">
        <v>6968</v>
      </c>
      <c r="CU350" s="29" t="s">
        <v>450</v>
      </c>
      <c r="CV350" s="29" t="s">
        <v>451</v>
      </c>
      <c r="CW350" s="29" t="s">
        <v>6969</v>
      </c>
      <c r="CX350" s="29" t="s">
        <v>408</v>
      </c>
      <c r="CY350" s="29"/>
      <c r="CZ350" s="29" t="s">
        <v>985</v>
      </c>
      <c r="DA350" s="29" t="s">
        <v>6970</v>
      </c>
      <c r="DB350" s="29" t="s">
        <v>455</v>
      </c>
      <c r="DC350" s="29" t="s">
        <v>6971</v>
      </c>
      <c r="DD350" s="29" t="s">
        <v>988</v>
      </c>
      <c r="DE350" s="29"/>
      <c r="DF350" s="29" t="s">
        <v>6972</v>
      </c>
      <c r="DG350" s="29" t="s">
        <v>561</v>
      </c>
      <c r="DH350" s="29" t="s">
        <v>694</v>
      </c>
      <c r="DI350" s="29" t="s">
        <v>459</v>
      </c>
      <c r="DJ350" s="29" t="s">
        <v>460</v>
      </c>
      <c r="DK350" s="29" t="s">
        <v>6335</v>
      </c>
      <c r="DL350" s="29"/>
      <c r="DM350" s="29"/>
      <c r="DN350" s="29"/>
      <c r="DO350" s="29"/>
      <c r="DP350" s="29"/>
      <c r="DQ350" s="29"/>
      <c r="DR350" s="29"/>
      <c r="DS350" s="29"/>
      <c r="DT350" s="29"/>
      <c r="DU350" s="29"/>
      <c r="DV350" s="29"/>
      <c r="DW350" s="29"/>
      <c r="DX350" s="29"/>
      <c r="DY350" s="29"/>
      <c r="DZ350" s="29"/>
      <c r="EA350" s="29"/>
      <c r="EB350" s="29"/>
      <c r="EC350" s="29"/>
      <c r="ED350" s="29"/>
      <c r="EE350" s="29"/>
      <c r="EF350" s="29"/>
      <c r="EG350" s="29"/>
      <c r="EH350" s="29"/>
      <c r="EI350" s="29"/>
      <c r="EJ350" s="29"/>
      <c r="EK350" s="29"/>
      <c r="EL350" s="29"/>
      <c r="EM350" s="29"/>
      <c r="EN350" s="29"/>
      <c r="EO350" s="29"/>
      <c r="EP350" s="29"/>
      <c r="EQ350" s="29"/>
      <c r="ER350" s="29"/>
      <c r="ES350" s="29"/>
      <c r="ET350" s="29" t="s">
        <v>526</v>
      </c>
      <c r="EU350" s="29" t="s">
        <v>479</v>
      </c>
      <c r="EV350" s="29" t="s">
        <v>527</v>
      </c>
      <c r="EW350" s="29" t="s">
        <v>6973</v>
      </c>
      <c r="EX350" s="29" t="s">
        <v>6974</v>
      </c>
      <c r="EY350" s="29" t="s">
        <v>6975</v>
      </c>
      <c r="EZ350" s="29" t="s">
        <v>414</v>
      </c>
      <c r="FA350" s="29" t="s">
        <v>414</v>
      </c>
      <c r="FB350" s="29" t="s">
        <v>414</v>
      </c>
      <c r="FC350" s="29" t="s">
        <v>414</v>
      </c>
      <c r="FD350" s="29" t="s">
        <v>414</v>
      </c>
      <c r="FE350" s="29" t="s">
        <v>414</v>
      </c>
      <c r="FF350" s="29" t="s">
        <v>414</v>
      </c>
      <c r="FG350" s="29" t="s">
        <v>414</v>
      </c>
      <c r="FH350" s="29" t="s">
        <v>414</v>
      </c>
      <c r="FI350" s="29" t="s">
        <v>414</v>
      </c>
      <c r="FJ350" s="29" t="s">
        <v>414</v>
      </c>
      <c r="FK350" s="29" t="s">
        <v>414</v>
      </c>
      <c r="FL350" s="29" t="s">
        <v>414</v>
      </c>
      <c r="FM350" s="29" t="s">
        <v>414</v>
      </c>
      <c r="FN350" s="29" t="s">
        <v>414</v>
      </c>
      <c r="FO350" s="29" t="s">
        <v>850</v>
      </c>
      <c r="FP350" s="29" t="s">
        <v>486</v>
      </c>
      <c r="FQ350" s="29" t="s">
        <v>419</v>
      </c>
      <c r="FR350" s="29" t="s">
        <v>6976</v>
      </c>
      <c r="FS350" s="29" t="s">
        <v>1189</v>
      </c>
      <c r="FT350" s="29" t="s">
        <v>488</v>
      </c>
      <c r="FU350" s="29" t="s">
        <v>489</v>
      </c>
      <c r="FV350" s="29" t="s">
        <v>490</v>
      </c>
      <c r="FW350" s="29" t="s">
        <v>491</v>
      </c>
      <c r="FX350" s="29" t="s">
        <v>6977</v>
      </c>
      <c r="FY350" s="29" t="s">
        <v>535</v>
      </c>
      <c r="FZ350" s="29" t="s">
        <v>6978</v>
      </c>
      <c r="GA350" s="29" t="s">
        <v>6979</v>
      </c>
      <c r="GB350" s="29" t="s">
        <v>455</v>
      </c>
      <c r="GC350" s="29"/>
      <c r="GD350" s="29"/>
      <c r="GE350" s="29" t="s">
        <v>855</v>
      </c>
      <c r="GF350" s="29" t="s">
        <v>6980</v>
      </c>
      <c r="GG350" s="29" t="s">
        <v>1000</v>
      </c>
      <c r="GH350" s="29" t="s">
        <v>1000</v>
      </c>
      <c r="GI350" s="29" t="s">
        <v>817</v>
      </c>
      <c r="GJ350" s="29"/>
      <c r="GK350" s="29"/>
      <c r="GL350" s="29"/>
      <c r="GM350" s="29"/>
      <c r="GN350" s="29"/>
      <c r="GO350" s="29"/>
      <c r="GP350" s="29"/>
      <c r="GQ350" s="29" t="s">
        <v>3208</v>
      </c>
      <c r="GR350" s="29"/>
      <c r="GS350" s="29"/>
      <c r="GT350" s="29" t="s">
        <v>5170</v>
      </c>
      <c r="GU350" s="29" t="s">
        <v>6981</v>
      </c>
      <c r="HP350" s="31"/>
      <c r="MX350" s="29" t="s">
        <v>538</v>
      </c>
      <c r="MY350" s="29" t="str">
        <f>IFERROR(__xludf.DUMMYFUNCTION("""COMPUTED_VALUE"""),"United Kingdom")</f>
        <v>United Kingdom</v>
      </c>
    </row>
    <row r="351" ht="16.5" customHeight="1">
      <c r="A351" s="33">
        <v>45940.273669965274</v>
      </c>
      <c r="B351" s="29" t="s">
        <v>368</v>
      </c>
      <c r="C351" s="29" t="s">
        <v>538</v>
      </c>
      <c r="D351" s="29" t="s">
        <v>538</v>
      </c>
      <c r="E351" s="29"/>
      <c r="F351" s="29"/>
      <c r="G351" s="29" t="s">
        <v>422</v>
      </c>
      <c r="H351" s="29" t="s">
        <v>539</v>
      </c>
      <c r="I351" s="29" t="s">
        <v>424</v>
      </c>
      <c r="J351" s="29"/>
      <c r="K351" s="29" t="s">
        <v>376</v>
      </c>
      <c r="L351" s="29" t="s">
        <v>379</v>
      </c>
      <c r="M351" s="29" t="s">
        <v>720</v>
      </c>
      <c r="N351" s="29" t="s">
        <v>591</v>
      </c>
      <c r="O351" s="29" t="s">
        <v>671</v>
      </c>
      <c r="P351" s="29" t="s">
        <v>592</v>
      </c>
      <c r="Q351" s="29" t="s">
        <v>499</v>
      </c>
      <c r="R351" s="29" t="s">
        <v>427</v>
      </c>
      <c r="S351" s="29" t="s">
        <v>384</v>
      </c>
      <c r="T351" s="29" t="s">
        <v>385</v>
      </c>
      <c r="U351" s="29"/>
      <c r="V351" s="29"/>
      <c r="W351" s="29" t="s">
        <v>3231</v>
      </c>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t="s">
        <v>1310</v>
      </c>
      <c r="AW351" s="29">
        <v>4.0</v>
      </c>
      <c r="AX351" s="29">
        <v>4.0</v>
      </c>
      <c r="AY351" s="29">
        <v>4.0</v>
      </c>
      <c r="AZ351" s="29" t="s">
        <v>675</v>
      </c>
      <c r="BA351" s="29" t="s">
        <v>675</v>
      </c>
      <c r="BB351" s="29">
        <v>4.0</v>
      </c>
      <c r="BC351" s="29" t="s">
        <v>6982</v>
      </c>
      <c r="BD351" s="29" t="s">
        <v>6983</v>
      </c>
      <c r="BE351" s="29" t="s">
        <v>2259</v>
      </c>
      <c r="BF351" s="29" t="s">
        <v>1095</v>
      </c>
      <c r="BG351" s="29" t="s">
        <v>394</v>
      </c>
      <c r="BH351" s="29" t="s">
        <v>6984</v>
      </c>
      <c r="BI351" s="29" t="s">
        <v>435</v>
      </c>
      <c r="BJ351" s="29" t="s">
        <v>6985</v>
      </c>
      <c r="BK351" s="29" t="s">
        <v>602</v>
      </c>
      <c r="BL351" s="29" t="s">
        <v>603</v>
      </c>
      <c r="BM351" s="29" t="s">
        <v>1247</v>
      </c>
      <c r="BN351" s="29" t="s">
        <v>398</v>
      </c>
      <c r="BO351" s="29" t="s">
        <v>6986</v>
      </c>
      <c r="BP351" s="29" t="s">
        <v>6987</v>
      </c>
      <c r="BQ351" s="29" t="s">
        <v>442</v>
      </c>
      <c r="BR351" s="29" t="s">
        <v>6988</v>
      </c>
      <c r="BS351" s="29" t="s">
        <v>1671</v>
      </c>
      <c r="BT351" s="29"/>
      <c r="BU351" s="29" t="s">
        <v>1693</v>
      </c>
      <c r="BV351" s="29" t="s">
        <v>6989</v>
      </c>
      <c r="BW351" s="29" t="s">
        <v>457</v>
      </c>
      <c r="BX351" s="29"/>
      <c r="BY351" s="29" t="s">
        <v>455</v>
      </c>
      <c r="BZ351" s="29" t="s">
        <v>6990</v>
      </c>
      <c r="CA351" s="29" t="s">
        <v>6991</v>
      </c>
      <c r="CB351" s="29" t="s">
        <v>6992</v>
      </c>
      <c r="CC351" s="29" t="s">
        <v>6993</v>
      </c>
      <c r="CD351" s="29" t="s">
        <v>409</v>
      </c>
      <c r="CE351" s="29" t="s">
        <v>6994</v>
      </c>
      <c r="CF351" s="29" t="s">
        <v>1749</v>
      </c>
      <c r="CG351" s="29" t="s">
        <v>6995</v>
      </c>
      <c r="CH351" s="29" t="s">
        <v>1679</v>
      </c>
      <c r="CI351" s="29" t="s">
        <v>833</v>
      </c>
      <c r="CJ351" s="29" t="s">
        <v>6996</v>
      </c>
      <c r="CK351" s="29" t="s">
        <v>6997</v>
      </c>
      <c r="CL351" s="29"/>
      <c r="CM351" s="29"/>
      <c r="CN351" s="29"/>
      <c r="CO351" s="29"/>
      <c r="CP351" s="29"/>
      <c r="CQ351" s="29"/>
      <c r="CR351" s="29"/>
      <c r="CS351" s="29"/>
      <c r="CT351" s="29"/>
      <c r="CU351" s="29"/>
      <c r="CV351" s="29"/>
      <c r="CW351" s="29"/>
      <c r="CX351" s="29"/>
      <c r="CY351" s="29"/>
      <c r="CZ351" s="29"/>
      <c r="DA351" s="29"/>
      <c r="DB351" s="29"/>
      <c r="DC351" s="29"/>
      <c r="DD351" s="29"/>
      <c r="DE351" s="29"/>
      <c r="DF351" s="29"/>
      <c r="DG351" s="29"/>
      <c r="DH351" s="29"/>
      <c r="DI351" s="29" t="s">
        <v>459</v>
      </c>
      <c r="DJ351" s="29" t="s">
        <v>613</v>
      </c>
      <c r="DK351" s="29"/>
      <c r="DL351" s="29"/>
      <c r="DM351" s="29"/>
      <c r="DN351" s="29"/>
      <c r="DO351" s="29"/>
      <c r="DP351" s="29"/>
      <c r="DQ351" s="29"/>
      <c r="DR351" s="29"/>
      <c r="DS351" s="29"/>
      <c r="DT351" s="29"/>
      <c r="DU351" s="29"/>
      <c r="DV351" s="29"/>
      <c r="DW351" s="29"/>
      <c r="DX351" s="29"/>
      <c r="DY351" s="29"/>
      <c r="DZ351" s="29"/>
      <c r="EA351" s="29"/>
      <c r="EB351" s="29"/>
      <c r="EC351" s="29"/>
      <c r="ED351" s="29"/>
      <c r="EE351" s="29"/>
      <c r="EF351" s="29"/>
      <c r="EG351" s="29"/>
      <c r="EH351" s="29"/>
      <c r="EI351" s="29"/>
      <c r="EJ351" s="29"/>
      <c r="EK351" s="29"/>
      <c r="EL351" s="29"/>
      <c r="EM351" s="29"/>
      <c r="EN351" s="29"/>
      <c r="EO351" s="29"/>
      <c r="EP351" s="29"/>
      <c r="EQ351" s="29"/>
      <c r="ER351" s="29"/>
      <c r="ES351" s="29"/>
      <c r="ET351" s="29" t="s">
        <v>578</v>
      </c>
      <c r="EU351" s="29" t="s">
        <v>579</v>
      </c>
      <c r="EV351" s="29" t="s">
        <v>527</v>
      </c>
      <c r="EW351" s="29" t="s">
        <v>6998</v>
      </c>
      <c r="EX351" s="29" t="s">
        <v>6999</v>
      </c>
      <c r="EY351" s="29" t="s">
        <v>7000</v>
      </c>
      <c r="EZ351" s="29" t="s">
        <v>415</v>
      </c>
      <c r="FA351" s="29" t="s">
        <v>415</v>
      </c>
      <c r="FB351" s="29" t="s">
        <v>413</v>
      </c>
      <c r="FC351" s="29" t="s">
        <v>415</v>
      </c>
      <c r="FD351" s="29" t="s">
        <v>416</v>
      </c>
      <c r="FE351" s="29" t="s">
        <v>415</v>
      </c>
      <c r="FF351" s="29" t="s">
        <v>416</v>
      </c>
      <c r="FG351" s="29" t="s">
        <v>415</v>
      </c>
      <c r="FH351" s="29" t="s">
        <v>415</v>
      </c>
      <c r="FI351" s="29" t="s">
        <v>416</v>
      </c>
      <c r="FJ351" s="29" t="s">
        <v>415</v>
      </c>
      <c r="FK351" s="29" t="s">
        <v>415</v>
      </c>
      <c r="FL351" s="29" t="s">
        <v>415</v>
      </c>
      <c r="FM351" s="29" t="s">
        <v>415</v>
      </c>
      <c r="FN351" s="29" t="s">
        <v>415</v>
      </c>
      <c r="FO351" s="29" t="s">
        <v>485</v>
      </c>
      <c r="FP351" s="29" t="s">
        <v>418</v>
      </c>
      <c r="FQ351" s="29" t="s">
        <v>749</v>
      </c>
      <c r="FR351" s="29" t="s">
        <v>7001</v>
      </c>
      <c r="FS351" s="29" t="s">
        <v>1189</v>
      </c>
      <c r="FT351" s="29" t="s">
        <v>1462</v>
      </c>
      <c r="FU351" s="29" t="s">
        <v>585</v>
      </c>
      <c r="FV351" s="29"/>
      <c r="FW351" s="29" t="s">
        <v>491</v>
      </c>
      <c r="FX351" s="29" t="s">
        <v>7002</v>
      </c>
      <c r="FY351" s="29" t="s">
        <v>535</v>
      </c>
      <c r="FZ351" s="29" t="s">
        <v>7003</v>
      </c>
      <c r="GA351" s="29" t="s">
        <v>7004</v>
      </c>
      <c r="GB351" s="29" t="s">
        <v>455</v>
      </c>
      <c r="GC351" s="29"/>
      <c r="GD351" s="29"/>
      <c r="GE351" s="29" t="s">
        <v>753</v>
      </c>
      <c r="GF351" s="29" t="s">
        <v>7005</v>
      </c>
      <c r="GG351" s="29"/>
      <c r="GH351" s="29"/>
      <c r="GI351" s="29"/>
      <c r="GJ351" s="29" t="s">
        <v>1000</v>
      </c>
      <c r="GK351" s="29" t="s">
        <v>1000</v>
      </c>
      <c r="GL351" s="29" t="s">
        <v>817</v>
      </c>
      <c r="GM351" s="29"/>
      <c r="GN351" s="29" t="s">
        <v>7006</v>
      </c>
      <c r="GO351" s="29"/>
      <c r="GP351" s="29" t="s">
        <v>387</v>
      </c>
      <c r="GQ351" s="29" t="s">
        <v>3208</v>
      </c>
      <c r="GR351" s="29" t="s">
        <v>4774</v>
      </c>
      <c r="GS351" s="29"/>
      <c r="GT351" s="29"/>
      <c r="GU351" s="29"/>
      <c r="HP351" s="31"/>
      <c r="MX351" s="29" t="s">
        <v>538</v>
      </c>
      <c r="MY351" s="29" t="str">
        <f>IFERROR(__xludf.DUMMYFUNCTION("""COMPUTED_VALUE"""),"United Kingdom")</f>
        <v>United Kingdom</v>
      </c>
    </row>
    <row r="352" ht="16.5" customHeight="1">
      <c r="A352" s="33">
        <v>45940.32423372685</v>
      </c>
      <c r="B352" s="29" t="s">
        <v>368</v>
      </c>
      <c r="C352" s="29" t="s">
        <v>538</v>
      </c>
      <c r="D352" s="29" t="s">
        <v>538</v>
      </c>
      <c r="E352" s="29"/>
      <c r="F352" s="29"/>
      <c r="G352" s="29" t="s">
        <v>422</v>
      </c>
      <c r="H352" s="29" t="s">
        <v>637</v>
      </c>
      <c r="I352" s="29" t="s">
        <v>638</v>
      </c>
      <c r="J352" s="29" t="s">
        <v>590</v>
      </c>
      <c r="K352" s="29" t="s">
        <v>376</v>
      </c>
      <c r="L352" s="29" t="s">
        <v>793</v>
      </c>
      <c r="M352" s="29" t="s">
        <v>2539</v>
      </c>
      <c r="N352" s="29" t="s">
        <v>591</v>
      </c>
      <c r="O352" s="29" t="s">
        <v>6033</v>
      </c>
      <c r="P352" s="29" t="s">
        <v>498</v>
      </c>
      <c r="Q352" s="29" t="s">
        <v>862</v>
      </c>
      <c r="R352" s="29" t="s">
        <v>500</v>
      </c>
      <c r="S352" s="29" t="s">
        <v>1443</v>
      </c>
      <c r="T352" s="29" t="s">
        <v>385</v>
      </c>
      <c r="U352" s="29"/>
      <c r="V352" s="29"/>
      <c r="W352" s="29" t="s">
        <v>3014</v>
      </c>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t="s">
        <v>597</v>
      </c>
      <c r="AW352" s="29">
        <v>4.0</v>
      </c>
      <c r="AX352" s="29" t="s">
        <v>391</v>
      </c>
      <c r="AY352" s="29" t="s">
        <v>675</v>
      </c>
      <c r="AZ352" s="29">
        <v>4.0</v>
      </c>
      <c r="BA352" s="29" t="s">
        <v>675</v>
      </c>
      <c r="BB352" s="29">
        <v>4.0</v>
      </c>
      <c r="BC352" s="29" t="s">
        <v>7009</v>
      </c>
      <c r="BD352" s="29" t="s">
        <v>7010</v>
      </c>
      <c r="BE352" s="29" t="s">
        <v>432</v>
      </c>
      <c r="BF352" s="29" t="s">
        <v>1095</v>
      </c>
      <c r="BG352" s="29" t="s">
        <v>765</v>
      </c>
      <c r="BH352" s="29" t="s">
        <v>7011</v>
      </c>
      <c r="BI352" s="29" t="s">
        <v>727</v>
      </c>
      <c r="BJ352" s="29"/>
      <c r="BK352" s="29" t="s">
        <v>395</v>
      </c>
      <c r="BL352" s="29"/>
      <c r="BM352" s="29" t="s">
        <v>1247</v>
      </c>
      <c r="BN352" s="29" t="s">
        <v>398</v>
      </c>
      <c r="BO352" s="29" t="s">
        <v>7012</v>
      </c>
      <c r="BP352" s="29" t="s">
        <v>741</v>
      </c>
      <c r="BQ352" s="29" t="s">
        <v>401</v>
      </c>
      <c r="BR352" s="29" t="s">
        <v>4070</v>
      </c>
      <c r="BS352" s="29" t="s">
        <v>4071</v>
      </c>
      <c r="BT352" s="29" t="s">
        <v>1994</v>
      </c>
      <c r="BU352" s="29" t="s">
        <v>405</v>
      </c>
      <c r="BV352" s="29"/>
      <c r="BW352" s="29" t="s">
        <v>406</v>
      </c>
      <c r="BX352" s="29" t="s">
        <v>2503</v>
      </c>
      <c r="BY352" s="29" t="s">
        <v>455</v>
      </c>
      <c r="BZ352" s="29" t="s">
        <v>7013</v>
      </c>
      <c r="CA352" s="29"/>
      <c r="CB352" s="29" t="s">
        <v>7014</v>
      </c>
      <c r="CC352" s="29" t="s">
        <v>7015</v>
      </c>
      <c r="CD352" s="29" t="s">
        <v>451</v>
      </c>
      <c r="CE352" s="29" t="s">
        <v>7016</v>
      </c>
      <c r="CF352" s="29"/>
      <c r="CG352" s="29"/>
      <c r="CH352" s="29" t="s">
        <v>1751</v>
      </c>
      <c r="CI352" s="29" t="s">
        <v>410</v>
      </c>
      <c r="CJ352" s="29" t="s">
        <v>7017</v>
      </c>
      <c r="CK352" s="29" t="s">
        <v>7018</v>
      </c>
      <c r="CL352" s="29"/>
      <c r="CM352" s="29"/>
      <c r="CN352" s="29"/>
      <c r="CO352" s="29"/>
      <c r="CP352" s="29"/>
      <c r="CQ352" s="29"/>
      <c r="CR352" s="29"/>
      <c r="CS352" s="29"/>
      <c r="CT352" s="29"/>
      <c r="CU352" s="29"/>
      <c r="CV352" s="29"/>
      <c r="CW352" s="29"/>
      <c r="CX352" s="29"/>
      <c r="CY352" s="29"/>
      <c r="CZ352" s="29"/>
      <c r="DA352" s="29"/>
      <c r="DB352" s="29"/>
      <c r="DC352" s="29"/>
      <c r="DD352" s="29"/>
      <c r="DE352" s="29"/>
      <c r="DF352" s="29"/>
      <c r="DG352" s="29"/>
      <c r="DH352" s="29"/>
      <c r="DI352" s="29" t="s">
        <v>963</v>
      </c>
      <c r="DJ352" s="29" t="s">
        <v>460</v>
      </c>
      <c r="DK352" s="29" t="s">
        <v>6319</v>
      </c>
      <c r="DL352" s="29"/>
      <c r="DM352" s="29"/>
      <c r="DN352" s="29"/>
      <c r="DO352" s="29"/>
      <c r="DP352" s="29"/>
      <c r="DQ352" s="29"/>
      <c r="DR352" s="29"/>
      <c r="DS352" s="29"/>
      <c r="DT352" s="29"/>
      <c r="DU352" s="29"/>
      <c r="DV352" s="29"/>
      <c r="DW352" s="29"/>
      <c r="DX352" s="29"/>
      <c r="DY352" s="29"/>
      <c r="DZ352" s="29"/>
      <c r="EA352" s="29"/>
      <c r="EB352" s="29"/>
      <c r="EC352" s="29"/>
      <c r="ED352" s="29"/>
      <c r="EE352" s="29"/>
      <c r="EF352" s="29"/>
      <c r="EG352" s="29"/>
      <c r="EH352" s="29"/>
      <c r="EI352" s="29"/>
      <c r="EJ352" s="29"/>
      <c r="EK352" s="29"/>
      <c r="EL352" s="29"/>
      <c r="EM352" s="29"/>
      <c r="EN352" s="29"/>
      <c r="EO352" s="29"/>
      <c r="EP352" s="29"/>
      <c r="EQ352" s="29"/>
      <c r="ER352" s="29"/>
      <c r="ES352" s="29"/>
      <c r="ET352" s="29" t="s">
        <v>526</v>
      </c>
      <c r="EU352" s="29" t="s">
        <v>579</v>
      </c>
      <c r="EV352" s="29" t="s">
        <v>1534</v>
      </c>
      <c r="EW352" s="29"/>
      <c r="EX352" s="29"/>
      <c r="EY352" s="29"/>
      <c r="EZ352" s="29" t="s">
        <v>415</v>
      </c>
      <c r="FA352" s="29" t="s">
        <v>414</v>
      </c>
      <c r="FB352" s="29" t="s">
        <v>413</v>
      </c>
      <c r="FC352" s="29" t="s">
        <v>416</v>
      </c>
      <c r="FD352" s="29" t="s">
        <v>413</v>
      </c>
      <c r="FE352" s="29" t="s">
        <v>583</v>
      </c>
      <c r="FF352" s="29" t="s">
        <v>416</v>
      </c>
      <c r="FG352" s="29" t="s">
        <v>413</v>
      </c>
      <c r="FH352" s="29" t="s">
        <v>583</v>
      </c>
      <c r="FI352" s="29" t="s">
        <v>413</v>
      </c>
      <c r="FJ352" s="29" t="s">
        <v>413</v>
      </c>
      <c r="FK352" s="29" t="s">
        <v>484</v>
      </c>
      <c r="FL352" s="29" t="s">
        <v>414</v>
      </c>
      <c r="FM352" s="29" t="s">
        <v>413</v>
      </c>
      <c r="FN352" s="29" t="s">
        <v>583</v>
      </c>
      <c r="FO352" s="29" t="s">
        <v>417</v>
      </c>
      <c r="FP352" s="29" t="s">
        <v>486</v>
      </c>
      <c r="FQ352" s="29" t="s">
        <v>1039</v>
      </c>
      <c r="FR352" s="29"/>
      <c r="FS352" s="29" t="s">
        <v>420</v>
      </c>
      <c r="FT352" s="29" t="s">
        <v>488</v>
      </c>
      <c r="FU352" s="29" t="s">
        <v>1235</v>
      </c>
      <c r="FV352" s="29" t="s">
        <v>490</v>
      </c>
      <c r="FW352" s="29" t="s">
        <v>491</v>
      </c>
      <c r="FX352" s="29" t="s">
        <v>7019</v>
      </c>
      <c r="FY352" s="29" t="s">
        <v>493</v>
      </c>
      <c r="FZ352" s="29"/>
      <c r="GA352" s="29"/>
      <c r="GB352" s="29" t="s">
        <v>455</v>
      </c>
      <c r="GC352" s="29"/>
      <c r="GD352" s="29" t="s">
        <v>7020</v>
      </c>
      <c r="GE352" s="29" t="s">
        <v>855</v>
      </c>
      <c r="GF352" s="29" t="s">
        <v>7021</v>
      </c>
      <c r="GG352" s="29"/>
      <c r="GH352" s="29"/>
      <c r="GI352" s="29"/>
      <c r="GJ352" s="29" t="s">
        <v>857</v>
      </c>
      <c r="GK352" s="29"/>
      <c r="GL352" s="29" t="s">
        <v>946</v>
      </c>
      <c r="GM352" s="29"/>
      <c r="GN352" s="29" t="s">
        <v>3012</v>
      </c>
      <c r="GO352" s="29" t="s">
        <v>3012</v>
      </c>
      <c r="GP352" s="29"/>
      <c r="GQ352" s="29" t="s">
        <v>3208</v>
      </c>
      <c r="GR352" s="29" t="s">
        <v>5318</v>
      </c>
      <c r="GS352" s="29"/>
      <c r="GT352" s="29"/>
      <c r="GU352" s="29"/>
      <c r="HP352" s="31"/>
      <c r="MX352" s="29" t="s">
        <v>947</v>
      </c>
      <c r="MY352" s="29" t="str">
        <f>IFERROR(__xludf.DUMMYFUNCTION("""COMPUTED_VALUE"""),"France")</f>
        <v>France</v>
      </c>
    </row>
    <row r="353" ht="16.5" customHeight="1">
      <c r="A353" s="33">
        <v>45940.5685471412</v>
      </c>
      <c r="B353" s="29" t="s">
        <v>368</v>
      </c>
      <c r="C353" s="29" t="s">
        <v>947</v>
      </c>
      <c r="D353" s="29" t="s">
        <v>370</v>
      </c>
      <c r="E353" s="29"/>
      <c r="F353" s="29" t="s">
        <v>371</v>
      </c>
      <c r="G353" s="29" t="s">
        <v>422</v>
      </c>
      <c r="H353" s="29" t="s">
        <v>539</v>
      </c>
      <c r="I353" s="29" t="s">
        <v>424</v>
      </c>
      <c r="J353" s="29" t="s">
        <v>718</v>
      </c>
      <c r="K353" s="29" t="s">
        <v>376</v>
      </c>
      <c r="L353" s="29" t="s">
        <v>379</v>
      </c>
      <c r="M353" s="29" t="s">
        <v>541</v>
      </c>
      <c r="N353" s="29" t="s">
        <v>377</v>
      </c>
      <c r="O353" s="29" t="s">
        <v>497</v>
      </c>
      <c r="P353" s="29" t="s">
        <v>592</v>
      </c>
      <c r="Q353" s="29" t="s">
        <v>382</v>
      </c>
      <c r="R353" s="29" t="s">
        <v>427</v>
      </c>
      <c r="S353" s="29" t="s">
        <v>384</v>
      </c>
      <c r="T353" s="29" t="s">
        <v>385</v>
      </c>
      <c r="U353" s="29"/>
      <c r="V353" s="29"/>
      <c r="W353" s="29" t="s">
        <v>3014</v>
      </c>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t="s">
        <v>390</v>
      </c>
      <c r="AW353" s="29">
        <v>2.0</v>
      </c>
      <c r="AX353" s="29">
        <v>2.0</v>
      </c>
      <c r="AY353" s="29" t="s">
        <v>429</v>
      </c>
      <c r="AZ353" s="29" t="s">
        <v>429</v>
      </c>
      <c r="BA353" s="29" t="s">
        <v>391</v>
      </c>
      <c r="BB353" s="29" t="s">
        <v>429</v>
      </c>
      <c r="BC353" s="29" t="s">
        <v>7023</v>
      </c>
      <c r="BD353" s="29" t="s">
        <v>7024</v>
      </c>
      <c r="BE353" s="29" t="s">
        <v>432</v>
      </c>
      <c r="BF353" s="29" t="s">
        <v>433</v>
      </c>
      <c r="BG353" s="29" t="s">
        <v>765</v>
      </c>
      <c r="BH353" s="29" t="s">
        <v>7025</v>
      </c>
      <c r="BI353" s="29" t="s">
        <v>509</v>
      </c>
      <c r="BJ353" s="29"/>
      <c r="BK353" s="29" t="s">
        <v>511</v>
      </c>
      <c r="BL353" s="29" t="s">
        <v>512</v>
      </c>
      <c r="BM353" s="29" t="s">
        <v>549</v>
      </c>
      <c r="BN353" s="29" t="s">
        <v>440</v>
      </c>
      <c r="BO353" s="29"/>
      <c r="BP353" s="29"/>
      <c r="BQ353" s="29"/>
      <c r="BR353" s="29"/>
      <c r="BS353" s="29"/>
      <c r="BT353" s="29"/>
      <c r="BU353" s="29"/>
      <c r="BV353" s="29"/>
      <c r="BW353" s="29"/>
      <c r="BX353" s="29"/>
      <c r="BY353" s="29"/>
      <c r="BZ353" s="29"/>
      <c r="CA353" s="29"/>
      <c r="CB353" s="29"/>
      <c r="CC353" s="29"/>
      <c r="CD353" s="29"/>
      <c r="CE353" s="29"/>
      <c r="CF353" s="29"/>
      <c r="CG353" s="29"/>
      <c r="CH353" s="29"/>
      <c r="CI353" s="29"/>
      <c r="CJ353" s="29"/>
      <c r="CK353" s="29"/>
      <c r="CL353" s="29" t="s">
        <v>550</v>
      </c>
      <c r="CM353" s="29" t="s">
        <v>682</v>
      </c>
      <c r="CN353" s="29" t="s">
        <v>7026</v>
      </c>
      <c r="CO353" s="29" t="s">
        <v>7027</v>
      </c>
      <c r="CP353" s="29" t="s">
        <v>685</v>
      </c>
      <c r="CQ353" s="29" t="s">
        <v>956</v>
      </c>
      <c r="CR353" s="29" t="s">
        <v>804</v>
      </c>
      <c r="CS353" s="29" t="s">
        <v>7028</v>
      </c>
      <c r="CT353" s="29" t="s">
        <v>7029</v>
      </c>
      <c r="CU353" s="29" t="s">
        <v>519</v>
      </c>
      <c r="CV353" s="29" t="s">
        <v>451</v>
      </c>
      <c r="CW353" s="29" t="s">
        <v>7030</v>
      </c>
      <c r="CX353" s="29" t="s">
        <v>408</v>
      </c>
      <c r="CY353" s="29"/>
      <c r="CZ353" s="29" t="s">
        <v>453</v>
      </c>
      <c r="DA353" s="29" t="s">
        <v>7031</v>
      </c>
      <c r="DB353" s="29" t="s">
        <v>455</v>
      </c>
      <c r="DC353" s="29" t="s">
        <v>7032</v>
      </c>
      <c r="DD353" s="29" t="s">
        <v>457</v>
      </c>
      <c r="DE353" s="29"/>
      <c r="DF353" s="29" t="s">
        <v>7033</v>
      </c>
      <c r="DG353" s="29" t="s">
        <v>524</v>
      </c>
      <c r="DH353" s="29" t="s">
        <v>410</v>
      </c>
      <c r="DI353" s="29" t="s">
        <v>963</v>
      </c>
      <c r="DJ353" s="29" t="s">
        <v>613</v>
      </c>
      <c r="DK353" s="29"/>
      <c r="DL353" s="29"/>
      <c r="DM353" s="29" t="s">
        <v>7034</v>
      </c>
      <c r="DN353" s="29" t="s">
        <v>7035</v>
      </c>
      <c r="DO353" s="29" t="s">
        <v>3496</v>
      </c>
      <c r="DP353" s="29" t="s">
        <v>7036</v>
      </c>
      <c r="DQ353" s="29" t="s">
        <v>837</v>
      </c>
      <c r="DR353" s="29" t="s">
        <v>7037</v>
      </c>
      <c r="DS353" s="29" t="s">
        <v>468</v>
      </c>
      <c r="DT353" s="29" t="s">
        <v>703</v>
      </c>
      <c r="DU353" s="29" t="s">
        <v>7038</v>
      </c>
      <c r="DV353" s="29" t="s">
        <v>7039</v>
      </c>
      <c r="DW353" s="29" t="s">
        <v>1328</v>
      </c>
      <c r="DX353" s="29" t="s">
        <v>7040</v>
      </c>
      <c r="DY353" s="29" t="s">
        <v>7041</v>
      </c>
      <c r="DZ353" s="29" t="s">
        <v>7042</v>
      </c>
      <c r="EA353" s="29" t="s">
        <v>475</v>
      </c>
      <c r="EB353" s="29" t="s">
        <v>845</v>
      </c>
      <c r="EC353" s="29" t="s">
        <v>7043</v>
      </c>
      <c r="ED353" s="29"/>
      <c r="EE353" s="29"/>
      <c r="EF353" s="29"/>
      <c r="EG353" s="29"/>
      <c r="EH353" s="29"/>
      <c r="EI353" s="29"/>
      <c r="EJ353" s="29"/>
      <c r="EK353" s="29"/>
      <c r="EL353" s="29"/>
      <c r="EM353" s="29"/>
      <c r="EN353" s="29"/>
      <c r="EO353" s="29"/>
      <c r="EP353" s="29"/>
      <c r="EQ353" s="29"/>
      <c r="ER353" s="29"/>
      <c r="ES353" s="29"/>
      <c r="ET353" s="29" t="s">
        <v>526</v>
      </c>
      <c r="EU353" s="29" t="s">
        <v>579</v>
      </c>
      <c r="EV353" s="29" t="s">
        <v>480</v>
      </c>
      <c r="EW353" s="29"/>
      <c r="EX353" s="29" t="s">
        <v>7044</v>
      </c>
      <c r="EY353" s="29" t="s">
        <v>7045</v>
      </c>
      <c r="EZ353" s="29" t="s">
        <v>583</v>
      </c>
      <c r="FA353" s="29" t="s">
        <v>583</v>
      </c>
      <c r="FB353" s="29" t="s">
        <v>413</v>
      </c>
      <c r="FC353" s="29" t="s">
        <v>583</v>
      </c>
      <c r="FD353" s="29" t="s">
        <v>413</v>
      </c>
      <c r="FE353" s="29" t="s">
        <v>484</v>
      </c>
      <c r="FF353" s="29" t="s">
        <v>414</v>
      </c>
      <c r="FG353" s="29" t="s">
        <v>414</v>
      </c>
      <c r="FH353" s="29" t="s">
        <v>414</v>
      </c>
      <c r="FI353" s="29" t="s">
        <v>414</v>
      </c>
      <c r="FJ353" s="29" t="s">
        <v>583</v>
      </c>
      <c r="FK353" s="29" t="s">
        <v>414</v>
      </c>
      <c r="FL353" s="29" t="s">
        <v>414</v>
      </c>
      <c r="FM353" s="29" t="s">
        <v>414</v>
      </c>
      <c r="FN353" s="29" t="s">
        <v>414</v>
      </c>
      <c r="FO353" s="29" t="s">
        <v>417</v>
      </c>
      <c r="FP353" s="29" t="s">
        <v>418</v>
      </c>
      <c r="FQ353" s="29" t="s">
        <v>630</v>
      </c>
      <c r="FR353" s="29" t="s">
        <v>7046</v>
      </c>
      <c r="FS353" s="29" t="s">
        <v>420</v>
      </c>
      <c r="FT353" s="29" t="s">
        <v>488</v>
      </c>
      <c r="FU353" s="29" t="s">
        <v>533</v>
      </c>
      <c r="FV353" s="29" t="s">
        <v>490</v>
      </c>
      <c r="FW353" s="29" t="s">
        <v>491</v>
      </c>
      <c r="FX353" s="29" t="s">
        <v>7047</v>
      </c>
      <c r="FY353" s="29" t="s">
        <v>535</v>
      </c>
      <c r="FZ353" s="29" t="s">
        <v>7048</v>
      </c>
      <c r="GA353" s="29" t="s">
        <v>7049</v>
      </c>
      <c r="GB353" s="29" t="s">
        <v>455</v>
      </c>
      <c r="GC353" s="29"/>
      <c r="GD353" s="29"/>
      <c r="GE353" s="29" t="s">
        <v>1339</v>
      </c>
      <c r="GF353" s="29" t="s">
        <v>7050</v>
      </c>
      <c r="GG353" s="29" t="s">
        <v>755</v>
      </c>
      <c r="GH353" s="29" t="s">
        <v>755</v>
      </c>
      <c r="GI353" s="29" t="s">
        <v>946</v>
      </c>
      <c r="GJ353" s="29"/>
      <c r="GK353" s="29"/>
      <c r="GL353" s="29"/>
      <c r="GM353" s="29" t="s">
        <v>1079</v>
      </c>
      <c r="GN353" s="29"/>
      <c r="GO353" s="29"/>
      <c r="GP353" s="29"/>
      <c r="GQ353" s="29" t="s">
        <v>3208</v>
      </c>
      <c r="GR353" s="29"/>
      <c r="GS353" s="29"/>
      <c r="GT353" s="29" t="s">
        <v>4774</v>
      </c>
      <c r="GU353" s="29"/>
      <c r="HP353" s="31"/>
      <c r="MX353" s="29" t="s">
        <v>10402</v>
      </c>
      <c r="MY353" s="29" t="str">
        <f>IFERROR(__xludf.DUMMYFUNCTION("""COMPUTED_VALUE"""),"New Hampshire")</f>
        <v>New Hampshire</v>
      </c>
    </row>
    <row r="354" ht="16.5" customHeight="1">
      <c r="A354" s="33">
        <v>45941.29232648148</v>
      </c>
      <c r="B354" s="29" t="s">
        <v>368</v>
      </c>
      <c r="C354" s="29" t="s">
        <v>370</v>
      </c>
      <c r="D354" s="29" t="s">
        <v>5694</v>
      </c>
      <c r="E354" s="29" t="s">
        <v>1592</v>
      </c>
      <c r="F354" s="29"/>
      <c r="G354" s="29" t="s">
        <v>422</v>
      </c>
      <c r="H354" s="29" t="s">
        <v>373</v>
      </c>
      <c r="I354" s="29" t="s">
        <v>638</v>
      </c>
      <c r="J354" s="29" t="s">
        <v>375</v>
      </c>
      <c r="K354" s="29" t="s">
        <v>376</v>
      </c>
      <c r="L354" s="29" t="s">
        <v>591</v>
      </c>
      <c r="M354" s="29" t="s">
        <v>7054</v>
      </c>
      <c r="N354" s="29" t="s">
        <v>793</v>
      </c>
      <c r="O354" s="29" t="s">
        <v>7055</v>
      </c>
      <c r="P354" s="29" t="s">
        <v>592</v>
      </c>
      <c r="Q354" s="29" t="s">
        <v>862</v>
      </c>
      <c r="R354" s="29" t="s">
        <v>500</v>
      </c>
      <c r="S354" s="29" t="s">
        <v>7056</v>
      </c>
      <c r="T354" s="29" t="s">
        <v>385</v>
      </c>
      <c r="U354" s="29"/>
      <c r="V354" s="29"/>
      <c r="W354" s="29" t="s">
        <v>386</v>
      </c>
      <c r="X354" s="29" t="s">
        <v>387</v>
      </c>
      <c r="Y354" s="29" t="s">
        <v>388</v>
      </c>
      <c r="Z354" s="29" t="s">
        <v>543</v>
      </c>
      <c r="AA354" s="29" t="s">
        <v>7057</v>
      </c>
      <c r="AB354" s="29" t="s">
        <v>7058</v>
      </c>
      <c r="AC354" s="29"/>
      <c r="AD354" s="29"/>
      <c r="AE354" s="29"/>
      <c r="AF354" s="29"/>
      <c r="AG354" s="29"/>
      <c r="AH354" s="29"/>
      <c r="AI354" s="29"/>
      <c r="AJ354" s="29"/>
      <c r="AK354" s="29"/>
      <c r="AL354" s="29"/>
      <c r="AM354" s="29"/>
      <c r="AN354" s="29"/>
      <c r="AO354" s="29"/>
      <c r="AP354" s="29"/>
      <c r="AQ354" s="29"/>
      <c r="AR354" s="29"/>
      <c r="AS354" s="29"/>
      <c r="AT354" s="29"/>
      <c r="AU354" s="29"/>
      <c r="AV354" s="29" t="s">
        <v>504</v>
      </c>
      <c r="AW354" s="29" t="s">
        <v>391</v>
      </c>
      <c r="AX354" s="29" t="s">
        <v>391</v>
      </c>
      <c r="AY354" s="29" t="s">
        <v>391</v>
      </c>
      <c r="AZ354" s="29">
        <v>2.0</v>
      </c>
      <c r="BA354" s="29" t="s">
        <v>429</v>
      </c>
      <c r="BB354" s="29" t="s">
        <v>429</v>
      </c>
      <c r="BC354" s="29" t="s">
        <v>7059</v>
      </c>
      <c r="BD354" s="29" t="s">
        <v>7060</v>
      </c>
      <c r="BE354" s="29" t="s">
        <v>392</v>
      </c>
      <c r="BF354" s="29" t="s">
        <v>433</v>
      </c>
      <c r="BG354" s="29" t="s">
        <v>434</v>
      </c>
      <c r="BH354" s="29" t="s">
        <v>7061</v>
      </c>
      <c r="BI354" s="29" t="s">
        <v>509</v>
      </c>
      <c r="BJ354" s="29" t="s">
        <v>7062</v>
      </c>
      <c r="BK354" s="29" t="s">
        <v>511</v>
      </c>
      <c r="BL354" s="29" t="s">
        <v>438</v>
      </c>
      <c r="BM354" s="29" t="s">
        <v>439</v>
      </c>
      <c r="BN354" s="29" t="s">
        <v>513</v>
      </c>
      <c r="BO354" s="29"/>
      <c r="BP354" s="29"/>
      <c r="BQ354" s="29"/>
      <c r="BR354" s="29"/>
      <c r="BS354" s="29"/>
      <c r="BT354" s="29"/>
      <c r="BU354" s="29"/>
      <c r="BV354" s="29"/>
      <c r="BW354" s="29"/>
      <c r="BX354" s="29"/>
      <c r="BY354" s="29"/>
      <c r="BZ354" s="29"/>
      <c r="CA354" s="29"/>
      <c r="CB354" s="29"/>
      <c r="CC354" s="29"/>
      <c r="CD354" s="29"/>
      <c r="CE354" s="29"/>
      <c r="CF354" s="29"/>
      <c r="CG354" s="29"/>
      <c r="CH354" s="29"/>
      <c r="CI354" s="29"/>
      <c r="CJ354" s="29"/>
      <c r="CK354" s="29"/>
      <c r="CL354" s="29" t="s">
        <v>441</v>
      </c>
      <c r="CM354" s="29" t="s">
        <v>401</v>
      </c>
      <c r="CN354" s="29" t="s">
        <v>7063</v>
      </c>
      <c r="CO354" s="29" t="s">
        <v>7064</v>
      </c>
      <c r="CP354" s="29" t="s">
        <v>979</v>
      </c>
      <c r="CQ354" s="29" t="s">
        <v>7065</v>
      </c>
      <c r="CR354" s="29" t="s">
        <v>828</v>
      </c>
      <c r="CS354" s="29" t="s">
        <v>1626</v>
      </c>
      <c r="CT354" s="29" t="s">
        <v>7066</v>
      </c>
      <c r="CU354" s="29" t="s">
        <v>450</v>
      </c>
      <c r="CV354" s="29" t="s">
        <v>451</v>
      </c>
      <c r="CW354" s="29" t="s">
        <v>7067</v>
      </c>
      <c r="CX354" s="29" t="s">
        <v>408</v>
      </c>
      <c r="CY354" s="29"/>
      <c r="CZ354" s="29" t="s">
        <v>453</v>
      </c>
      <c r="DA354" s="29" t="s">
        <v>7068</v>
      </c>
      <c r="DB354" s="29" t="s">
        <v>455</v>
      </c>
      <c r="DC354" s="29" t="s">
        <v>7069</v>
      </c>
      <c r="DD354" s="29" t="s">
        <v>457</v>
      </c>
      <c r="DE354" s="29"/>
      <c r="DF354" s="29" t="s">
        <v>7070</v>
      </c>
      <c r="DG354" s="29" t="s">
        <v>524</v>
      </c>
      <c r="DH354" s="29" t="s">
        <v>410</v>
      </c>
      <c r="DI354" s="29" t="s">
        <v>459</v>
      </c>
      <c r="DJ354" s="29" t="s">
        <v>613</v>
      </c>
      <c r="DK354" s="29"/>
      <c r="DL354" s="29"/>
      <c r="DM354" s="29"/>
      <c r="DN354" s="29"/>
      <c r="DO354" s="29"/>
      <c r="DP354" s="29"/>
      <c r="DQ354" s="29"/>
      <c r="DR354" s="29"/>
      <c r="DS354" s="29"/>
      <c r="DT354" s="29"/>
      <c r="DU354" s="29"/>
      <c r="DV354" s="29"/>
      <c r="DW354" s="29"/>
      <c r="DX354" s="29"/>
      <c r="DY354" s="29"/>
      <c r="DZ354" s="29"/>
      <c r="EA354" s="29"/>
      <c r="EB354" s="29"/>
      <c r="EC354" s="29"/>
      <c r="ED354" s="29"/>
      <c r="EE354" s="29"/>
      <c r="EF354" s="29"/>
      <c r="EG354" s="29"/>
      <c r="EH354" s="29"/>
      <c r="EI354" s="29"/>
      <c r="EJ354" s="29"/>
      <c r="EK354" s="29"/>
      <c r="EL354" s="29"/>
      <c r="EM354" s="29"/>
      <c r="EN354" s="29"/>
      <c r="EO354" s="29"/>
      <c r="EP354" s="29"/>
      <c r="EQ354" s="29"/>
      <c r="ER354" s="29"/>
      <c r="ES354" s="29"/>
      <c r="ET354" s="29" t="s">
        <v>478</v>
      </c>
      <c r="EU354" s="29" t="s">
        <v>887</v>
      </c>
      <c r="EV354" s="29" t="s">
        <v>480</v>
      </c>
      <c r="EW354" s="29"/>
      <c r="EX354" s="29" t="s">
        <v>7071</v>
      </c>
      <c r="EY354" s="29" t="s">
        <v>7072</v>
      </c>
      <c r="EZ354" s="29" t="s">
        <v>414</v>
      </c>
      <c r="FA354" s="29" t="s">
        <v>583</v>
      </c>
      <c r="FB354" s="29" t="s">
        <v>416</v>
      </c>
      <c r="FC354" s="29" t="s">
        <v>414</v>
      </c>
      <c r="FD354" s="29" t="s">
        <v>484</v>
      </c>
      <c r="FE354" s="29" t="s">
        <v>583</v>
      </c>
      <c r="FF354" s="29" t="s">
        <v>414</v>
      </c>
      <c r="FG354" s="29" t="s">
        <v>413</v>
      </c>
      <c r="FH354" s="29" t="s">
        <v>414</v>
      </c>
      <c r="FI354" s="29" t="s">
        <v>414</v>
      </c>
      <c r="FJ354" s="29" t="s">
        <v>414</v>
      </c>
      <c r="FK354" s="29" t="s">
        <v>484</v>
      </c>
      <c r="FL354" s="29" t="s">
        <v>484</v>
      </c>
      <c r="FM354" s="29" t="s">
        <v>413</v>
      </c>
      <c r="FN354" s="29" t="s">
        <v>583</v>
      </c>
      <c r="FO354" s="29" t="s">
        <v>485</v>
      </c>
      <c r="FP354" s="29" t="s">
        <v>486</v>
      </c>
      <c r="FQ354" s="29" t="s">
        <v>712</v>
      </c>
      <c r="FR354" s="29"/>
      <c r="FS354" s="29" t="s">
        <v>420</v>
      </c>
      <c r="FT354" s="29" t="s">
        <v>488</v>
      </c>
      <c r="FU354" s="29" t="s">
        <v>918</v>
      </c>
      <c r="FV354" s="29" t="s">
        <v>490</v>
      </c>
      <c r="FW354" s="29" t="s">
        <v>491</v>
      </c>
      <c r="FX354" s="29" t="s">
        <v>7073</v>
      </c>
      <c r="FY354" s="29" t="s">
        <v>535</v>
      </c>
      <c r="FZ354" s="29" t="s">
        <v>7074</v>
      </c>
      <c r="GA354" s="29" t="s">
        <v>7075</v>
      </c>
      <c r="GB354" s="29" t="s">
        <v>455</v>
      </c>
      <c r="GC354" s="29"/>
      <c r="GD354" s="29"/>
      <c r="GE354" s="29" t="s">
        <v>753</v>
      </c>
      <c r="GF354" s="29"/>
      <c r="GG354" s="29" t="s">
        <v>1000</v>
      </c>
      <c r="GH354" s="29" t="s">
        <v>755</v>
      </c>
      <c r="GI354" s="29" t="s">
        <v>817</v>
      </c>
      <c r="GJ354" s="29"/>
      <c r="GK354" s="29"/>
      <c r="GL354" s="29"/>
      <c r="GM354" s="29"/>
      <c r="GN354" s="29"/>
      <c r="GO354" s="29" t="s">
        <v>7076</v>
      </c>
      <c r="GP354" s="29"/>
      <c r="GQ354" s="29" t="s">
        <v>3208</v>
      </c>
      <c r="GR354" s="29"/>
      <c r="GS354" s="29"/>
      <c r="GT354" s="29" t="s">
        <v>4774</v>
      </c>
      <c r="GU354" s="29"/>
      <c r="HP354" s="31"/>
      <c r="MX354" s="29" t="s">
        <v>10402</v>
      </c>
      <c r="MY354" s="29" t="str">
        <f>IFERROR(__xludf.DUMMYFUNCTION("""COMPUTED_VALUE"""),"Florida")</f>
        <v>Florida</v>
      </c>
    </row>
    <row r="355" ht="16.5" customHeight="1">
      <c r="A355" s="33">
        <v>45941.37621672454</v>
      </c>
      <c r="B355" s="29" t="s">
        <v>368</v>
      </c>
      <c r="C355" s="29" t="s">
        <v>370</v>
      </c>
      <c r="D355" s="29" t="s">
        <v>370</v>
      </c>
      <c r="E355" s="29" t="s">
        <v>2114</v>
      </c>
      <c r="F355" s="29" t="s">
        <v>6634</v>
      </c>
      <c r="G355" s="29" t="s">
        <v>422</v>
      </c>
      <c r="H355" s="29" t="s">
        <v>496</v>
      </c>
      <c r="I355" s="29" t="s">
        <v>424</v>
      </c>
      <c r="J355" s="29" t="s">
        <v>375</v>
      </c>
      <c r="K355" s="29" t="s">
        <v>1383</v>
      </c>
      <c r="L355" s="29" t="s">
        <v>670</v>
      </c>
      <c r="M355" s="29" t="s">
        <v>720</v>
      </c>
      <c r="N355" s="29" t="s">
        <v>591</v>
      </c>
      <c r="O355" s="29" t="s">
        <v>719</v>
      </c>
      <c r="P355" s="29" t="s">
        <v>498</v>
      </c>
      <c r="Q355" s="29" t="s">
        <v>499</v>
      </c>
      <c r="R355" s="29" t="s">
        <v>500</v>
      </c>
      <c r="S355" s="29" t="s">
        <v>384</v>
      </c>
      <c r="T355" s="29" t="s">
        <v>385</v>
      </c>
      <c r="U355" s="29"/>
      <c r="V355" s="29"/>
      <c r="W355" s="29" t="s">
        <v>593</v>
      </c>
      <c r="X355" s="29" t="s">
        <v>387</v>
      </c>
      <c r="Y355" s="29" t="s">
        <v>897</v>
      </c>
      <c r="Z355" s="29" t="s">
        <v>672</v>
      </c>
      <c r="AA355" s="29" t="s">
        <v>7078</v>
      </c>
      <c r="AB355" s="29" t="s">
        <v>7079</v>
      </c>
      <c r="AC355" s="29"/>
      <c r="AD355" s="29"/>
      <c r="AE355" s="29"/>
      <c r="AF355" s="29"/>
      <c r="AG355" s="29"/>
      <c r="AH355" s="29"/>
      <c r="AI355" s="29"/>
      <c r="AJ355" s="29"/>
      <c r="AK355" s="29"/>
      <c r="AL355" s="29"/>
      <c r="AM355" s="29"/>
      <c r="AN355" s="29"/>
      <c r="AO355" s="29"/>
      <c r="AP355" s="29"/>
      <c r="AQ355" s="29"/>
      <c r="AR355" s="29"/>
      <c r="AS355" s="29"/>
      <c r="AT355" s="29"/>
      <c r="AU355" s="29"/>
      <c r="AV355" s="29" t="s">
        <v>504</v>
      </c>
      <c r="AW355" s="29" t="s">
        <v>429</v>
      </c>
      <c r="AX355" s="29" t="s">
        <v>429</v>
      </c>
      <c r="AY355" s="29" t="s">
        <v>429</v>
      </c>
      <c r="AZ355" s="29" t="s">
        <v>429</v>
      </c>
      <c r="BA355" s="29" t="s">
        <v>429</v>
      </c>
      <c r="BB355" s="29" t="s">
        <v>429</v>
      </c>
      <c r="BC355" s="29" t="s">
        <v>7080</v>
      </c>
      <c r="BD355" s="29" t="s">
        <v>7081</v>
      </c>
      <c r="BE355" s="29" t="s">
        <v>392</v>
      </c>
      <c r="BF355" s="29" t="s">
        <v>433</v>
      </c>
      <c r="BG355" s="29" t="s">
        <v>678</v>
      </c>
      <c r="BH355" s="29"/>
      <c r="BI355" s="29" t="s">
        <v>509</v>
      </c>
      <c r="BJ355" s="29" t="s">
        <v>7082</v>
      </c>
      <c r="BK355" s="29" t="s">
        <v>511</v>
      </c>
      <c r="BL355" s="29" t="s">
        <v>396</v>
      </c>
      <c r="BM355" s="29" t="s">
        <v>439</v>
      </c>
      <c r="BN355" s="29" t="s">
        <v>440</v>
      </c>
      <c r="BO355" s="29"/>
      <c r="BP355" s="29"/>
      <c r="BQ355" s="29"/>
      <c r="BR355" s="29"/>
      <c r="BS355" s="29"/>
      <c r="BT355" s="29"/>
      <c r="BU355" s="29"/>
      <c r="BV355" s="29"/>
      <c r="BW355" s="29"/>
      <c r="BX355" s="29"/>
      <c r="BY355" s="29"/>
      <c r="BZ355" s="29"/>
      <c r="CA355" s="29"/>
      <c r="CB355" s="29"/>
      <c r="CC355" s="29"/>
      <c r="CD355" s="29"/>
      <c r="CE355" s="29"/>
      <c r="CF355" s="29"/>
      <c r="CG355" s="29"/>
      <c r="CH355" s="29"/>
      <c r="CI355" s="29"/>
      <c r="CJ355" s="29"/>
      <c r="CK355" s="29"/>
      <c r="CL355" s="29" t="s">
        <v>441</v>
      </c>
      <c r="CM355" s="29" t="s">
        <v>604</v>
      </c>
      <c r="CN355" s="29" t="s">
        <v>552</v>
      </c>
      <c r="CO355" s="29" t="s">
        <v>7083</v>
      </c>
      <c r="CP355" s="29" t="s">
        <v>979</v>
      </c>
      <c r="CQ355" s="29" t="s">
        <v>7084</v>
      </c>
      <c r="CR355" s="29" t="s">
        <v>447</v>
      </c>
      <c r="CS355" s="29" t="s">
        <v>448</v>
      </c>
      <c r="CT355" s="29" t="s">
        <v>7085</v>
      </c>
      <c r="CU355" s="29" t="s">
        <v>519</v>
      </c>
      <c r="CV355" s="29" t="s">
        <v>451</v>
      </c>
      <c r="CW355" s="29" t="s">
        <v>7086</v>
      </c>
      <c r="CX355" s="29" t="s">
        <v>408</v>
      </c>
      <c r="CY355" s="29"/>
      <c r="CZ355" s="29" t="s">
        <v>453</v>
      </c>
      <c r="DA355" s="29" t="s">
        <v>7087</v>
      </c>
      <c r="DB355" s="29" t="s">
        <v>455</v>
      </c>
      <c r="DC355" s="29" t="s">
        <v>7088</v>
      </c>
      <c r="DD355" s="29" t="s">
        <v>457</v>
      </c>
      <c r="DE355" s="29"/>
      <c r="DF355" s="29" t="s">
        <v>7089</v>
      </c>
      <c r="DG355" s="29" t="s">
        <v>561</v>
      </c>
      <c r="DH355" s="29" t="s">
        <v>410</v>
      </c>
      <c r="DI355" s="29" t="s">
        <v>459</v>
      </c>
      <c r="DJ355" s="29" t="s">
        <v>460</v>
      </c>
      <c r="DK355" s="29" t="s">
        <v>6335</v>
      </c>
      <c r="DL355" s="29"/>
      <c r="DM355" s="29" t="s">
        <v>7090</v>
      </c>
      <c r="DN355" s="29" t="s">
        <v>7091</v>
      </c>
      <c r="DO355" s="29" t="s">
        <v>2956</v>
      </c>
      <c r="DP355" s="29" t="s">
        <v>7092</v>
      </c>
      <c r="DQ355" s="29" t="s">
        <v>837</v>
      </c>
      <c r="DR355" s="29" t="s">
        <v>7093</v>
      </c>
      <c r="DS355" s="29" t="s">
        <v>702</v>
      </c>
      <c r="DT355" s="29" t="s">
        <v>570</v>
      </c>
      <c r="DU355" s="29" t="s">
        <v>7094</v>
      </c>
      <c r="DV355" s="29" t="s">
        <v>3613</v>
      </c>
      <c r="DW355" s="29" t="s">
        <v>1328</v>
      </c>
      <c r="DX355" s="29" t="s">
        <v>7095</v>
      </c>
      <c r="DY355" s="29" t="s">
        <v>7096</v>
      </c>
      <c r="DZ355" s="29" t="s">
        <v>7097</v>
      </c>
      <c r="EA355" s="29" t="s">
        <v>475</v>
      </c>
      <c r="EB355" s="29" t="s">
        <v>626</v>
      </c>
      <c r="EC355" s="29" t="s">
        <v>7098</v>
      </c>
      <c r="ED355" s="29"/>
      <c r="EE355" s="29"/>
      <c r="EF355" s="29"/>
      <c r="EG355" s="29"/>
      <c r="EH355" s="29"/>
      <c r="EI355" s="29"/>
      <c r="EJ355" s="29"/>
      <c r="EK355" s="29"/>
      <c r="EL355" s="29"/>
      <c r="EM355" s="29"/>
      <c r="EN355" s="29"/>
      <c r="EO355" s="29"/>
      <c r="EP355" s="29"/>
      <c r="EQ355" s="29"/>
      <c r="ER355" s="29"/>
      <c r="ES355" s="29"/>
      <c r="ET355" s="29" t="s">
        <v>526</v>
      </c>
      <c r="EU355" s="29" t="s">
        <v>479</v>
      </c>
      <c r="EV355" s="29" t="s">
        <v>663</v>
      </c>
      <c r="EW355" s="29" t="s">
        <v>7099</v>
      </c>
      <c r="EX355" s="29" t="s">
        <v>7100</v>
      </c>
      <c r="EY355" s="29" t="s">
        <v>7101</v>
      </c>
      <c r="EZ355" s="29" t="s">
        <v>583</v>
      </c>
      <c r="FA355" s="29" t="s">
        <v>583</v>
      </c>
      <c r="FB355" s="29" t="s">
        <v>413</v>
      </c>
      <c r="FC355" s="29" t="s">
        <v>415</v>
      </c>
      <c r="FD355" s="29" t="s">
        <v>413</v>
      </c>
      <c r="FE355" s="29" t="s">
        <v>414</v>
      </c>
      <c r="FF355" s="29" t="s">
        <v>484</v>
      </c>
      <c r="FG355" s="29" t="s">
        <v>484</v>
      </c>
      <c r="FH355" s="29" t="s">
        <v>484</v>
      </c>
      <c r="FI355" s="29" t="s">
        <v>583</v>
      </c>
      <c r="FJ355" s="29" t="s">
        <v>583</v>
      </c>
      <c r="FK355" s="29" t="s">
        <v>484</v>
      </c>
      <c r="FL355" s="29" t="s">
        <v>484</v>
      </c>
      <c r="FM355" s="29" t="s">
        <v>484</v>
      </c>
      <c r="FN355" s="29" t="s">
        <v>583</v>
      </c>
      <c r="FO355" s="29" t="s">
        <v>417</v>
      </c>
      <c r="FP355" s="29" t="s">
        <v>486</v>
      </c>
      <c r="FQ355" s="29" t="s">
        <v>712</v>
      </c>
      <c r="FR355" s="29" t="s">
        <v>7102</v>
      </c>
      <c r="FS355" s="29" t="s">
        <v>420</v>
      </c>
      <c r="FT355" s="29" t="s">
        <v>488</v>
      </c>
      <c r="FU355" s="29" t="s">
        <v>533</v>
      </c>
      <c r="FV355" s="29" t="s">
        <v>490</v>
      </c>
      <c r="FW355" s="29" t="s">
        <v>491</v>
      </c>
      <c r="FX355" s="29" t="s">
        <v>7103</v>
      </c>
      <c r="FY355" s="29" t="s">
        <v>535</v>
      </c>
      <c r="FZ355" s="29" t="s">
        <v>7104</v>
      </c>
      <c r="GA355" s="29"/>
      <c r="GB355" s="29" t="s">
        <v>455</v>
      </c>
      <c r="GC355" s="29"/>
      <c r="GD355" s="29"/>
      <c r="GE355" s="29" t="s">
        <v>1339</v>
      </c>
      <c r="GF355" s="29" t="s">
        <v>7105</v>
      </c>
      <c r="GG355" s="29" t="s">
        <v>755</v>
      </c>
      <c r="GH355" s="29" t="s">
        <v>755</v>
      </c>
      <c r="GI355" s="29" t="s">
        <v>817</v>
      </c>
      <c r="GJ355" s="29"/>
      <c r="GK355" s="29"/>
      <c r="GL355" s="29"/>
      <c r="GM355" s="29" t="s">
        <v>1079</v>
      </c>
      <c r="GN355" s="29"/>
      <c r="GO355" s="29"/>
      <c r="GP355" s="29"/>
      <c r="GQ355" s="29" t="s">
        <v>3273</v>
      </c>
      <c r="GR355" s="29"/>
      <c r="GS355" s="29"/>
      <c r="GT355" s="29" t="s">
        <v>5170</v>
      </c>
      <c r="GU355" s="29" t="s">
        <v>408</v>
      </c>
      <c r="HP355" s="31"/>
      <c r="MX355" s="29" t="s">
        <v>3013</v>
      </c>
      <c r="MY355" s="29" t="str">
        <f>IFERROR(__xludf.DUMMYFUNCTION("""COMPUTED_VALUE"""),"Other / Not listed (please specify)")</f>
        <v>Other / Not listed (please specify)</v>
      </c>
    </row>
    <row r="356" ht="16.5" customHeight="1">
      <c r="A356" s="33">
        <v>45945.13833958333</v>
      </c>
      <c r="B356" s="29" t="s">
        <v>368</v>
      </c>
      <c r="C356" s="29" t="s">
        <v>3013</v>
      </c>
      <c r="D356" s="29" t="s">
        <v>370</v>
      </c>
      <c r="E356" s="29"/>
      <c r="F356" s="29" t="s">
        <v>371</v>
      </c>
      <c r="G356" s="29" t="s">
        <v>1093</v>
      </c>
      <c r="H356" s="29" t="s">
        <v>496</v>
      </c>
      <c r="I356" s="29" t="s">
        <v>374</v>
      </c>
      <c r="J356" s="29" t="s">
        <v>375</v>
      </c>
      <c r="K356" s="29" t="s">
        <v>376</v>
      </c>
      <c r="L356" s="29" t="s">
        <v>377</v>
      </c>
      <c r="M356" s="29" t="s">
        <v>2966</v>
      </c>
      <c r="N356" s="29" t="s">
        <v>379</v>
      </c>
      <c r="O356" s="29" t="s">
        <v>541</v>
      </c>
      <c r="P356" s="29" t="s">
        <v>381</v>
      </c>
      <c r="Q356" s="29" t="s">
        <v>382</v>
      </c>
      <c r="R356" s="29" t="s">
        <v>500</v>
      </c>
      <c r="S356" s="29" t="s">
        <v>384</v>
      </c>
      <c r="T356" s="29" t="s">
        <v>385</v>
      </c>
      <c r="U356" s="29"/>
      <c r="V356" s="29"/>
      <c r="W356" s="29" t="s">
        <v>593</v>
      </c>
      <c r="X356" s="29" t="s">
        <v>387</v>
      </c>
      <c r="Y356" s="29" t="s">
        <v>4171</v>
      </c>
      <c r="Z356" s="29" t="s">
        <v>502</v>
      </c>
      <c r="AA356" s="29" t="s">
        <v>7110</v>
      </c>
      <c r="AB356" s="29"/>
      <c r="AC356" s="29"/>
      <c r="AD356" s="29"/>
      <c r="AE356" s="29"/>
      <c r="AF356" s="29"/>
      <c r="AG356" s="29"/>
      <c r="AH356" s="29"/>
      <c r="AI356" s="29"/>
      <c r="AJ356" s="29"/>
      <c r="AK356" s="29"/>
      <c r="AL356" s="29"/>
      <c r="AM356" s="29"/>
      <c r="AN356" s="29"/>
      <c r="AO356" s="29"/>
      <c r="AP356" s="29"/>
      <c r="AQ356" s="29"/>
      <c r="AR356" s="29"/>
      <c r="AS356" s="29"/>
      <c r="AT356" s="29"/>
      <c r="AU356" s="29"/>
      <c r="AV356" s="29" t="s">
        <v>1310</v>
      </c>
      <c r="AW356" s="29">
        <v>4.0</v>
      </c>
      <c r="AX356" s="29" t="s">
        <v>391</v>
      </c>
      <c r="AY356" s="29">
        <v>2.0</v>
      </c>
      <c r="AZ356" s="29">
        <v>2.0</v>
      </c>
      <c r="BA356" s="29" t="s">
        <v>429</v>
      </c>
      <c r="BB356" s="29" t="s">
        <v>429</v>
      </c>
      <c r="BC356" s="29" t="s">
        <v>7111</v>
      </c>
      <c r="BD356" s="29" t="s">
        <v>7112</v>
      </c>
      <c r="BE356" s="29" t="s">
        <v>432</v>
      </c>
      <c r="BF356" s="29" t="s">
        <v>393</v>
      </c>
      <c r="BG356" s="29" t="s">
        <v>678</v>
      </c>
      <c r="BH356" s="29" t="s">
        <v>7113</v>
      </c>
      <c r="BI356" s="29" t="s">
        <v>509</v>
      </c>
      <c r="BJ356" s="29" t="s">
        <v>7114</v>
      </c>
      <c r="BK356" s="29" t="s">
        <v>681</v>
      </c>
      <c r="BL356" s="29" t="s">
        <v>438</v>
      </c>
      <c r="BM356" s="29" t="s">
        <v>1247</v>
      </c>
      <c r="BN356" s="29" t="s">
        <v>513</v>
      </c>
      <c r="BO356" s="29"/>
      <c r="BP356" s="29"/>
      <c r="BQ356" s="29"/>
      <c r="BR356" s="29"/>
      <c r="BS356" s="29"/>
      <c r="BT356" s="29"/>
      <c r="BU356" s="29"/>
      <c r="BV356" s="29"/>
      <c r="BW356" s="29"/>
      <c r="BX356" s="29"/>
      <c r="BY356" s="29"/>
      <c r="BZ356" s="29"/>
      <c r="CA356" s="29"/>
      <c r="CB356" s="29"/>
      <c r="CC356" s="29"/>
      <c r="CD356" s="29"/>
      <c r="CE356" s="29"/>
      <c r="CF356" s="29"/>
      <c r="CG356" s="29"/>
      <c r="CH356" s="29"/>
      <c r="CI356" s="29"/>
      <c r="CJ356" s="29"/>
      <c r="CK356" s="29"/>
      <c r="CL356" s="29" t="s">
        <v>682</v>
      </c>
      <c r="CM356" s="29" t="s">
        <v>604</v>
      </c>
      <c r="CN356" s="29" t="s">
        <v>7115</v>
      </c>
      <c r="CO356" s="29" t="s">
        <v>7116</v>
      </c>
      <c r="CP356" s="29"/>
      <c r="CQ356" s="29"/>
      <c r="CR356" s="29"/>
      <c r="CS356" s="29"/>
      <c r="CT356" s="29" t="s">
        <v>7117</v>
      </c>
      <c r="CU356" s="29" t="s">
        <v>450</v>
      </c>
      <c r="CV356" s="29" t="s">
        <v>959</v>
      </c>
      <c r="CW356" s="29"/>
      <c r="CX356" s="29" t="s">
        <v>455</v>
      </c>
      <c r="CY356" s="29" t="s">
        <v>7118</v>
      </c>
      <c r="CZ356" s="29" t="s">
        <v>1398</v>
      </c>
      <c r="DA356" s="29" t="s">
        <v>7119</v>
      </c>
      <c r="DB356" s="29" t="s">
        <v>408</v>
      </c>
      <c r="DC356" s="29"/>
      <c r="DD356" s="29"/>
      <c r="DE356" s="29"/>
      <c r="DF356" s="29"/>
      <c r="DG356" s="29" t="s">
        <v>776</v>
      </c>
      <c r="DH356" s="29" t="s">
        <v>410</v>
      </c>
      <c r="DI356" s="29" t="s">
        <v>459</v>
      </c>
      <c r="DJ356" s="29" t="s">
        <v>460</v>
      </c>
      <c r="DK356" s="29" t="s">
        <v>6319</v>
      </c>
      <c r="DL356" s="29"/>
      <c r="DM356" s="29"/>
      <c r="DN356" s="29"/>
      <c r="DO356" s="29"/>
      <c r="DP356" s="29"/>
      <c r="DQ356" s="29"/>
      <c r="DR356" s="29"/>
      <c r="DS356" s="29"/>
      <c r="DT356" s="29"/>
      <c r="DU356" s="29"/>
      <c r="DV356" s="29"/>
      <c r="DW356" s="29"/>
      <c r="DX356" s="29"/>
      <c r="DY356" s="29"/>
      <c r="DZ356" s="29"/>
      <c r="EA356" s="29"/>
      <c r="EB356" s="29"/>
      <c r="EC356" s="29"/>
      <c r="ED356" s="29"/>
      <c r="EE356" s="29"/>
      <c r="EF356" s="29"/>
      <c r="EG356" s="29"/>
      <c r="EH356" s="29"/>
      <c r="EI356" s="29"/>
      <c r="EJ356" s="29"/>
      <c r="EK356" s="29"/>
      <c r="EL356" s="29"/>
      <c r="EM356" s="29"/>
      <c r="EN356" s="29"/>
      <c r="EO356" s="29"/>
      <c r="EP356" s="29"/>
      <c r="EQ356" s="29"/>
      <c r="ER356" s="29"/>
      <c r="ES356" s="29"/>
      <c r="ET356" s="29" t="s">
        <v>478</v>
      </c>
      <c r="EU356" s="29" t="s">
        <v>579</v>
      </c>
      <c r="EV356" s="29" t="s">
        <v>480</v>
      </c>
      <c r="EW356" s="29"/>
      <c r="EX356" s="29" t="s">
        <v>7120</v>
      </c>
      <c r="EY356" s="29" t="s">
        <v>7121</v>
      </c>
      <c r="EZ356" s="29" t="s">
        <v>415</v>
      </c>
      <c r="FA356" s="29" t="s">
        <v>583</v>
      </c>
      <c r="FB356" s="29" t="s">
        <v>413</v>
      </c>
      <c r="FC356" s="29" t="s">
        <v>415</v>
      </c>
      <c r="FD356" s="29" t="s">
        <v>413</v>
      </c>
      <c r="FE356" s="29" t="s">
        <v>583</v>
      </c>
      <c r="FF356" s="29" t="s">
        <v>415</v>
      </c>
      <c r="FG356" s="29" t="s">
        <v>415</v>
      </c>
      <c r="FH356" s="29" t="s">
        <v>583</v>
      </c>
      <c r="FI356" s="29" t="s">
        <v>413</v>
      </c>
      <c r="FJ356" s="29" t="s">
        <v>583</v>
      </c>
      <c r="FK356" s="29" t="s">
        <v>583</v>
      </c>
      <c r="FL356" s="29" t="s">
        <v>583</v>
      </c>
      <c r="FM356" s="29" t="s">
        <v>413</v>
      </c>
      <c r="FN356" s="29" t="s">
        <v>583</v>
      </c>
      <c r="FO356" s="29" t="s">
        <v>850</v>
      </c>
      <c r="FP356" s="29"/>
      <c r="FQ356" s="29" t="s">
        <v>630</v>
      </c>
      <c r="FR356" s="29" t="s">
        <v>4416</v>
      </c>
      <c r="FS356" s="29" t="s">
        <v>1871</v>
      </c>
      <c r="FT356" s="29" t="s">
        <v>1462</v>
      </c>
      <c r="FU356" s="29" t="s">
        <v>489</v>
      </c>
      <c r="FV356" s="29" t="s">
        <v>490</v>
      </c>
      <c r="FW356" s="29" t="s">
        <v>491</v>
      </c>
      <c r="FX356" s="29" t="s">
        <v>7122</v>
      </c>
      <c r="FY356" s="29" t="s">
        <v>493</v>
      </c>
      <c r="FZ356" s="29" t="s">
        <v>7123</v>
      </c>
      <c r="GA356" s="29"/>
      <c r="GB356" s="29" t="s">
        <v>455</v>
      </c>
      <c r="GC356" s="29"/>
      <c r="GD356" s="29"/>
      <c r="GE356" s="29" t="s">
        <v>855</v>
      </c>
      <c r="GF356" s="29"/>
      <c r="GG356" s="29" t="s">
        <v>755</v>
      </c>
      <c r="GH356" s="29" t="s">
        <v>755</v>
      </c>
      <c r="GI356" s="29" t="s">
        <v>817</v>
      </c>
      <c r="GJ356" s="29"/>
      <c r="GK356" s="29"/>
      <c r="GL356" s="29"/>
      <c r="GM356" s="29"/>
      <c r="GN356" s="29" t="s">
        <v>7124</v>
      </c>
      <c r="GO356" s="29"/>
      <c r="GP356" s="29"/>
      <c r="GQ356" s="29" t="s">
        <v>3208</v>
      </c>
      <c r="GR356" s="29"/>
      <c r="GS356" s="29"/>
      <c r="GT356" s="29" t="s">
        <v>4774</v>
      </c>
      <c r="GU356" s="29"/>
      <c r="HP356" s="31"/>
      <c r="MX356" s="29" t="s">
        <v>10402</v>
      </c>
      <c r="MY356" s="29" t="str">
        <f>IFERROR(__xludf.DUMMYFUNCTION("""COMPUTED_VALUE"""),"Georgia")</f>
        <v>Georgia</v>
      </c>
    </row>
    <row r="357" ht="16.5" customHeight="1">
      <c r="A357" s="33">
        <v>45945.52582347222</v>
      </c>
      <c r="B357" s="29" t="s">
        <v>368</v>
      </c>
      <c r="C357" s="29" t="s">
        <v>370</v>
      </c>
      <c r="D357" s="29" t="s">
        <v>370</v>
      </c>
      <c r="E357" s="29" t="s">
        <v>589</v>
      </c>
      <c r="F357" s="29" t="s">
        <v>589</v>
      </c>
      <c r="G357" s="29" t="s">
        <v>422</v>
      </c>
      <c r="H357" s="29" t="s">
        <v>423</v>
      </c>
      <c r="I357" s="29" t="s">
        <v>424</v>
      </c>
      <c r="J357" s="29" t="s">
        <v>425</v>
      </c>
      <c r="K357" s="29" t="s">
        <v>376</v>
      </c>
      <c r="L357" s="29" t="s">
        <v>379</v>
      </c>
      <c r="M357" s="29" t="s">
        <v>7129</v>
      </c>
      <c r="N357" s="29" t="s">
        <v>377</v>
      </c>
      <c r="O357" s="29" t="s">
        <v>7130</v>
      </c>
      <c r="P357" s="29" t="s">
        <v>381</v>
      </c>
      <c r="Q357" s="29" t="s">
        <v>499</v>
      </c>
      <c r="R357" s="29" t="s">
        <v>949</v>
      </c>
      <c r="S357" s="29" t="s">
        <v>384</v>
      </c>
      <c r="T357" s="29" t="s">
        <v>385</v>
      </c>
      <c r="U357" s="29"/>
      <c r="V357" s="29"/>
      <c r="W357" s="29" t="s">
        <v>386</v>
      </c>
      <c r="X357" s="29" t="s">
        <v>387</v>
      </c>
      <c r="Y357" s="29" t="s">
        <v>897</v>
      </c>
      <c r="Z357" s="29" t="s">
        <v>502</v>
      </c>
      <c r="AA357" s="29" t="s">
        <v>7131</v>
      </c>
      <c r="AB357" s="29" t="s">
        <v>7132</v>
      </c>
      <c r="AC357" s="29"/>
      <c r="AD357" s="29"/>
      <c r="AE357" s="29"/>
      <c r="AF357" s="29"/>
      <c r="AG357" s="29"/>
      <c r="AH357" s="29"/>
      <c r="AI357" s="29"/>
      <c r="AJ357" s="29"/>
      <c r="AK357" s="29"/>
      <c r="AL357" s="29"/>
      <c r="AM357" s="29"/>
      <c r="AN357" s="29"/>
      <c r="AO357" s="29"/>
      <c r="AP357" s="29"/>
      <c r="AQ357" s="29"/>
      <c r="AR357" s="29"/>
      <c r="AS357" s="29"/>
      <c r="AT357" s="29"/>
      <c r="AU357" s="29"/>
      <c r="AV357" s="29" t="s">
        <v>1242</v>
      </c>
      <c r="AW357" s="29">
        <v>4.0</v>
      </c>
      <c r="AX357" s="29">
        <v>4.0</v>
      </c>
      <c r="AY357" s="29">
        <v>4.0</v>
      </c>
      <c r="AZ357" s="29">
        <v>4.0</v>
      </c>
      <c r="BA357" s="29">
        <v>4.0</v>
      </c>
      <c r="BB357" s="29">
        <v>4.0</v>
      </c>
      <c r="BC357" s="29" t="s">
        <v>7133</v>
      </c>
      <c r="BD357" s="29" t="s">
        <v>7134</v>
      </c>
      <c r="BE357" s="29" t="s">
        <v>902</v>
      </c>
      <c r="BF357" s="29" t="s">
        <v>1095</v>
      </c>
      <c r="BG357" s="29" t="s">
        <v>394</v>
      </c>
      <c r="BH357" s="29" t="s">
        <v>7135</v>
      </c>
      <c r="BI357" s="29" t="s">
        <v>976</v>
      </c>
      <c r="BJ357" s="29" t="s">
        <v>2675</v>
      </c>
      <c r="BK357" s="29" t="s">
        <v>602</v>
      </c>
      <c r="BL357" s="29" t="s">
        <v>603</v>
      </c>
      <c r="BM357" s="29" t="s">
        <v>1314</v>
      </c>
      <c r="BN357" s="29" t="s">
        <v>398</v>
      </c>
      <c r="BO357" s="29" t="s">
        <v>7136</v>
      </c>
      <c r="BP357" s="29" t="s">
        <v>7137</v>
      </c>
      <c r="BQ357" s="29" t="s">
        <v>604</v>
      </c>
      <c r="BR357" s="29" t="s">
        <v>7138</v>
      </c>
      <c r="BS357" s="29" t="s">
        <v>403</v>
      </c>
      <c r="BT357" s="29" t="s">
        <v>4368</v>
      </c>
      <c r="BU357" s="29" t="s">
        <v>1772</v>
      </c>
      <c r="BV357" s="29" t="s">
        <v>7139</v>
      </c>
      <c r="BW357" s="29" t="s">
        <v>988</v>
      </c>
      <c r="BX357" s="29" t="s">
        <v>407</v>
      </c>
      <c r="BY357" s="29" t="s">
        <v>408</v>
      </c>
      <c r="BZ357" s="29" t="s">
        <v>7140</v>
      </c>
      <c r="CA357" s="29" t="s">
        <v>7141</v>
      </c>
      <c r="CB357" s="29" t="s">
        <v>7142</v>
      </c>
      <c r="CC357" s="29" t="s">
        <v>7143</v>
      </c>
      <c r="CD357" s="29" t="s">
        <v>409</v>
      </c>
      <c r="CE357" s="29" t="s">
        <v>7144</v>
      </c>
      <c r="CF357" s="29" t="s">
        <v>1749</v>
      </c>
      <c r="CG357" s="29" t="s">
        <v>7145</v>
      </c>
      <c r="CH357" s="29" t="s">
        <v>1679</v>
      </c>
      <c r="CI357" s="29" t="s">
        <v>410</v>
      </c>
      <c r="CJ357" s="29" t="s">
        <v>7146</v>
      </c>
      <c r="CK357" s="29" t="s">
        <v>7147</v>
      </c>
      <c r="CL357" s="29"/>
      <c r="CM357" s="29"/>
      <c r="CN357" s="29"/>
      <c r="CO357" s="29"/>
      <c r="CP357" s="29"/>
      <c r="CQ357" s="29"/>
      <c r="CR357" s="29"/>
      <c r="CS357" s="29"/>
      <c r="CT357" s="29"/>
      <c r="CU357" s="29"/>
      <c r="CV357" s="29"/>
      <c r="CW357" s="29"/>
      <c r="CX357" s="29"/>
      <c r="CY357" s="29"/>
      <c r="CZ357" s="29"/>
      <c r="DA357" s="29"/>
      <c r="DB357" s="29"/>
      <c r="DC357" s="29"/>
      <c r="DD357" s="29"/>
      <c r="DE357" s="29"/>
      <c r="DF357" s="29"/>
      <c r="DG357" s="29"/>
      <c r="DH357" s="29"/>
      <c r="DI357" s="29" t="s">
        <v>963</v>
      </c>
      <c r="DJ357" s="29" t="s">
        <v>562</v>
      </c>
      <c r="DK357" s="29" t="s">
        <v>6335</v>
      </c>
      <c r="DL357" s="29"/>
      <c r="DM357" s="29"/>
      <c r="DN357" s="29"/>
      <c r="DO357" s="29"/>
      <c r="DP357" s="29"/>
      <c r="DQ357" s="29"/>
      <c r="DR357" s="29"/>
      <c r="DS357" s="29"/>
      <c r="DT357" s="29"/>
      <c r="DU357" s="29"/>
      <c r="DV357" s="29"/>
      <c r="DW357" s="29"/>
      <c r="DX357" s="29"/>
      <c r="DY357" s="29"/>
      <c r="DZ357" s="29"/>
      <c r="EA357" s="29"/>
      <c r="EB357" s="29"/>
      <c r="EC357" s="29"/>
      <c r="ED357" s="29"/>
      <c r="EE357" s="29"/>
      <c r="EF357" s="29"/>
      <c r="EG357" s="29"/>
      <c r="EH357" s="29"/>
      <c r="EI357" s="29"/>
      <c r="EJ357" s="29"/>
      <c r="EK357" s="29"/>
      <c r="EL357" s="29"/>
      <c r="EM357" s="29"/>
      <c r="EN357" s="29"/>
      <c r="EO357" s="29"/>
      <c r="EP357" s="29"/>
      <c r="EQ357" s="29"/>
      <c r="ER357" s="29"/>
      <c r="ES357" s="29"/>
      <c r="ET357" s="29" t="s">
        <v>526</v>
      </c>
      <c r="EU357" s="29" t="s">
        <v>479</v>
      </c>
      <c r="EV357" s="29" t="s">
        <v>527</v>
      </c>
      <c r="EW357" s="29"/>
      <c r="EX357" s="29" t="s">
        <v>7148</v>
      </c>
      <c r="EY357" s="29" t="s">
        <v>7149</v>
      </c>
      <c r="EZ357" s="29" t="s">
        <v>415</v>
      </c>
      <c r="FA357" s="29" t="s">
        <v>415</v>
      </c>
      <c r="FB357" s="29" t="s">
        <v>413</v>
      </c>
      <c r="FC357" s="29" t="s">
        <v>413</v>
      </c>
      <c r="FD357" s="29" t="s">
        <v>413</v>
      </c>
      <c r="FE357" s="29" t="s">
        <v>415</v>
      </c>
      <c r="FF357" s="29" t="s">
        <v>415</v>
      </c>
      <c r="FG357" s="29" t="s">
        <v>413</v>
      </c>
      <c r="FH357" s="29" t="s">
        <v>413</v>
      </c>
      <c r="FI357" s="29" t="s">
        <v>414</v>
      </c>
      <c r="FJ357" s="29" t="s">
        <v>414</v>
      </c>
      <c r="FK357" s="29" t="s">
        <v>413</v>
      </c>
      <c r="FL357" s="29" t="s">
        <v>413</v>
      </c>
      <c r="FM357" s="29" t="s">
        <v>413</v>
      </c>
      <c r="FN357" s="29" t="s">
        <v>414</v>
      </c>
      <c r="FO357" s="29" t="s">
        <v>485</v>
      </c>
      <c r="FP357" s="29" t="s">
        <v>418</v>
      </c>
      <c r="FQ357" s="29" t="s">
        <v>419</v>
      </c>
      <c r="FR357" s="29" t="s">
        <v>7150</v>
      </c>
      <c r="FS357" s="29" t="s">
        <v>420</v>
      </c>
      <c r="FT357" s="29" t="s">
        <v>488</v>
      </c>
      <c r="FU357" s="29" t="s">
        <v>533</v>
      </c>
      <c r="FV357" s="29" t="s">
        <v>490</v>
      </c>
      <c r="FW357" s="29" t="s">
        <v>491</v>
      </c>
      <c r="FX357" s="29" t="s">
        <v>7151</v>
      </c>
      <c r="FY357" s="29" t="s">
        <v>535</v>
      </c>
      <c r="FZ357" s="29"/>
      <c r="GA357" s="29"/>
      <c r="GB357" s="29" t="s">
        <v>455</v>
      </c>
      <c r="GC357" s="29"/>
      <c r="GD357" s="29"/>
      <c r="GE357" s="29" t="s">
        <v>753</v>
      </c>
      <c r="GF357" s="29" t="s">
        <v>7152</v>
      </c>
      <c r="GG357" s="29"/>
      <c r="GH357" s="29"/>
      <c r="GI357" s="29"/>
      <c r="GJ357" s="29" t="s">
        <v>755</v>
      </c>
      <c r="GK357" s="29" t="s">
        <v>755</v>
      </c>
      <c r="GL357" s="29" t="s">
        <v>946</v>
      </c>
      <c r="GM357" s="29"/>
      <c r="GN357" s="29"/>
      <c r="GO357" s="29"/>
      <c r="GP357" s="29"/>
      <c r="GQ357" s="29" t="s">
        <v>3208</v>
      </c>
      <c r="GR357" s="29" t="s">
        <v>4741</v>
      </c>
      <c r="GS357" s="29" t="s">
        <v>7153</v>
      </c>
      <c r="GT357" s="29"/>
      <c r="GU357" s="29"/>
      <c r="HP357" s="31"/>
      <c r="MX357" s="29" t="s">
        <v>10402</v>
      </c>
      <c r="MY357" s="29" t="str">
        <f>IFERROR(__xludf.DUMMYFUNCTION("""COMPUTED_VALUE"""),"Michigan")</f>
        <v>Michigan</v>
      </c>
    </row>
    <row r="358" ht="16.5" customHeight="1">
      <c r="A358" s="33">
        <v>45947.59925792824</v>
      </c>
      <c r="B358" s="29" t="s">
        <v>368</v>
      </c>
      <c r="C358" s="29" t="s">
        <v>370</v>
      </c>
      <c r="D358" s="29" t="s">
        <v>370</v>
      </c>
      <c r="E358" s="29" t="s">
        <v>1480</v>
      </c>
      <c r="F358" s="29" t="s">
        <v>1480</v>
      </c>
      <c r="G358" s="29" t="s">
        <v>422</v>
      </c>
      <c r="H358" s="29" t="s">
        <v>496</v>
      </c>
      <c r="I358" s="29" t="s">
        <v>374</v>
      </c>
      <c r="J358" s="29" t="s">
        <v>375</v>
      </c>
      <c r="K358" s="29" t="s">
        <v>376</v>
      </c>
      <c r="L358" s="29" t="s">
        <v>591</v>
      </c>
      <c r="M358" s="29" t="s">
        <v>719</v>
      </c>
      <c r="N358" s="29" t="s">
        <v>591</v>
      </c>
      <c r="O358" s="29" t="s">
        <v>671</v>
      </c>
      <c r="P358" s="29" t="s">
        <v>1504</v>
      </c>
      <c r="Q358" s="29" t="s">
        <v>1156</v>
      </c>
      <c r="R358" s="29" t="s">
        <v>427</v>
      </c>
      <c r="S358" s="29" t="s">
        <v>384</v>
      </c>
      <c r="T358" s="29" t="s">
        <v>385</v>
      </c>
      <c r="U358" s="29"/>
      <c r="V358" s="29"/>
      <c r="W358" s="29" t="s">
        <v>593</v>
      </c>
      <c r="X358" s="29" t="s">
        <v>387</v>
      </c>
      <c r="Y358" s="29" t="s">
        <v>1444</v>
      </c>
      <c r="Z358" s="29"/>
      <c r="AA358" s="29" t="s">
        <v>7154</v>
      </c>
      <c r="AB358" s="29"/>
      <c r="AC358" s="29"/>
      <c r="AD358" s="29"/>
      <c r="AE358" s="29"/>
      <c r="AF358" s="29"/>
      <c r="AG358" s="29"/>
      <c r="AH358" s="29"/>
      <c r="AI358" s="29"/>
      <c r="AJ358" s="29"/>
      <c r="AK358" s="29"/>
      <c r="AL358" s="29"/>
      <c r="AM358" s="29"/>
      <c r="AN358" s="29"/>
      <c r="AO358" s="29"/>
      <c r="AP358" s="29"/>
      <c r="AQ358" s="29"/>
      <c r="AR358" s="29"/>
      <c r="AS358" s="29"/>
      <c r="AT358" s="29"/>
      <c r="AU358" s="29"/>
      <c r="AV358" s="29" t="s">
        <v>1310</v>
      </c>
      <c r="AW358" s="29">
        <v>4.0</v>
      </c>
      <c r="AX358" s="29">
        <v>4.0</v>
      </c>
      <c r="AY358" s="29">
        <v>4.0</v>
      </c>
      <c r="AZ358" s="29">
        <v>4.0</v>
      </c>
      <c r="BA358" s="29">
        <v>4.0</v>
      </c>
      <c r="BB358" s="29">
        <v>4.0</v>
      </c>
      <c r="BC358" s="29" t="s">
        <v>7155</v>
      </c>
      <c r="BD358" s="29" t="s">
        <v>7156</v>
      </c>
      <c r="BE358" s="29" t="s">
        <v>902</v>
      </c>
      <c r="BF358" s="29" t="s">
        <v>433</v>
      </c>
      <c r="BG358" s="29" t="s">
        <v>765</v>
      </c>
      <c r="BH358" s="29"/>
      <c r="BI358" s="29" t="s">
        <v>509</v>
      </c>
      <c r="BJ358" s="29"/>
      <c r="BK358" s="29" t="s">
        <v>395</v>
      </c>
      <c r="BL358" s="29" t="s">
        <v>438</v>
      </c>
      <c r="BM358" s="29" t="s">
        <v>1314</v>
      </c>
      <c r="BN358" s="29" t="s">
        <v>440</v>
      </c>
      <c r="BO358" s="29"/>
      <c r="BP358" s="29"/>
      <c r="BQ358" s="29"/>
      <c r="BR358" s="29"/>
      <c r="BS358" s="29"/>
      <c r="BT358" s="29"/>
      <c r="BU358" s="29"/>
      <c r="BV358" s="29"/>
      <c r="BW358" s="29"/>
      <c r="BX358" s="29"/>
      <c r="BY358" s="29"/>
      <c r="BZ358" s="29"/>
      <c r="CA358" s="29"/>
      <c r="CB358" s="29"/>
      <c r="CC358" s="29"/>
      <c r="CD358" s="29"/>
      <c r="CE358" s="29"/>
      <c r="CF358" s="29"/>
      <c r="CG358" s="29"/>
      <c r="CH358" s="29"/>
      <c r="CI358" s="29"/>
      <c r="CJ358" s="29"/>
      <c r="CK358" s="29"/>
      <c r="CL358" s="29" t="s">
        <v>441</v>
      </c>
      <c r="CM358" s="29" t="s">
        <v>442</v>
      </c>
      <c r="CN358" s="29"/>
      <c r="CO358" s="29" t="s">
        <v>7157</v>
      </c>
      <c r="CP358" s="29" t="s">
        <v>445</v>
      </c>
      <c r="CQ358" s="29" t="s">
        <v>7158</v>
      </c>
      <c r="CR358" s="29" t="s">
        <v>447</v>
      </c>
      <c r="CS358" s="29" t="s">
        <v>1137</v>
      </c>
      <c r="CT358" s="29" t="s">
        <v>7159</v>
      </c>
      <c r="CU358" s="29" t="s">
        <v>450</v>
      </c>
      <c r="CV358" s="29" t="s">
        <v>451</v>
      </c>
      <c r="CW358" s="29" t="s">
        <v>7160</v>
      </c>
      <c r="CX358" s="29" t="s">
        <v>408</v>
      </c>
      <c r="CY358" s="29"/>
      <c r="CZ358" s="29" t="s">
        <v>453</v>
      </c>
      <c r="DA358" s="29" t="s">
        <v>7161</v>
      </c>
      <c r="DB358" s="29" t="s">
        <v>455</v>
      </c>
      <c r="DC358" s="29" t="s">
        <v>7162</v>
      </c>
      <c r="DD358" s="29" t="s">
        <v>662</v>
      </c>
      <c r="DE358" s="29"/>
      <c r="DF358" s="29" t="s">
        <v>1549</v>
      </c>
      <c r="DG358" s="29" t="s">
        <v>524</v>
      </c>
      <c r="DH358" s="29" t="s">
        <v>410</v>
      </c>
      <c r="DI358" s="29" t="s">
        <v>459</v>
      </c>
      <c r="DJ358" s="29" t="s">
        <v>613</v>
      </c>
      <c r="DK358" s="29"/>
      <c r="DL358" s="29"/>
      <c r="DM358" s="29" t="s">
        <v>7163</v>
      </c>
      <c r="DN358" s="29" t="s">
        <v>7164</v>
      </c>
      <c r="DO358" s="29" t="s">
        <v>464</v>
      </c>
      <c r="DP358" s="29" t="s">
        <v>7165</v>
      </c>
      <c r="DQ358" s="29" t="s">
        <v>466</v>
      </c>
      <c r="DR358" s="29" t="s">
        <v>7166</v>
      </c>
      <c r="DS358" s="29" t="s">
        <v>6617</v>
      </c>
      <c r="DT358" s="29" t="s">
        <v>469</v>
      </c>
      <c r="DU358" s="29" t="s">
        <v>455</v>
      </c>
      <c r="DV358" s="29"/>
      <c r="DW358" s="29" t="s">
        <v>622</v>
      </c>
      <c r="DX358" s="29"/>
      <c r="DY358" s="29"/>
      <c r="DZ358" s="29" t="s">
        <v>7167</v>
      </c>
      <c r="EA358" s="29" t="s">
        <v>475</v>
      </c>
      <c r="EB358" s="29" t="s">
        <v>845</v>
      </c>
      <c r="EC358" s="29"/>
      <c r="ED358" s="29"/>
      <c r="EE358" s="29"/>
      <c r="EF358" s="29"/>
      <c r="EG358" s="29"/>
      <c r="EH358" s="29"/>
      <c r="EI358" s="29"/>
      <c r="EJ358" s="29"/>
      <c r="EK358" s="29"/>
      <c r="EL358" s="29"/>
      <c r="EM358" s="29"/>
      <c r="EN358" s="29"/>
      <c r="EO358" s="29"/>
      <c r="EP358" s="29"/>
      <c r="EQ358" s="29"/>
      <c r="ER358" s="29"/>
      <c r="ES358" s="29"/>
      <c r="ET358" s="29" t="s">
        <v>478</v>
      </c>
      <c r="EU358" s="29" t="s">
        <v>479</v>
      </c>
      <c r="EV358" s="29" t="s">
        <v>480</v>
      </c>
      <c r="EW358" s="29"/>
      <c r="EX358" s="29"/>
      <c r="EY358" s="29"/>
      <c r="EZ358" s="29" t="s">
        <v>414</v>
      </c>
      <c r="FA358" s="29" t="s">
        <v>583</v>
      </c>
      <c r="FB358" s="29" t="s">
        <v>484</v>
      </c>
      <c r="FC358" s="29" t="s">
        <v>414</v>
      </c>
      <c r="FD358" s="29" t="s">
        <v>484</v>
      </c>
      <c r="FE358" s="29" t="s">
        <v>583</v>
      </c>
      <c r="FF358" s="29" t="s">
        <v>484</v>
      </c>
      <c r="FG358" s="29" t="s">
        <v>484</v>
      </c>
      <c r="FH358" s="29" t="s">
        <v>484</v>
      </c>
      <c r="FI358" s="29" t="s">
        <v>414</v>
      </c>
      <c r="FJ358" s="29" t="s">
        <v>414</v>
      </c>
      <c r="FK358" s="29" t="s">
        <v>414</v>
      </c>
      <c r="FL358" s="29" t="s">
        <v>414</v>
      </c>
      <c r="FM358" s="29" t="s">
        <v>484</v>
      </c>
      <c r="FN358" s="29" t="s">
        <v>414</v>
      </c>
      <c r="FO358" s="29" t="s">
        <v>417</v>
      </c>
      <c r="FP358" s="29" t="s">
        <v>418</v>
      </c>
      <c r="FQ358" s="29" t="s">
        <v>419</v>
      </c>
      <c r="FR358" s="29" t="s">
        <v>4416</v>
      </c>
      <c r="FS358" s="29" t="s">
        <v>420</v>
      </c>
      <c r="FT358" s="29" t="s">
        <v>488</v>
      </c>
      <c r="FU358" s="29" t="s">
        <v>489</v>
      </c>
      <c r="FV358" s="29" t="s">
        <v>490</v>
      </c>
      <c r="FW358" s="29" t="s">
        <v>491</v>
      </c>
      <c r="FX358" s="29" t="s">
        <v>7168</v>
      </c>
      <c r="FY358" s="29" t="s">
        <v>535</v>
      </c>
      <c r="FZ358" s="29" t="s">
        <v>7169</v>
      </c>
      <c r="GA358" s="29" t="s">
        <v>7170</v>
      </c>
      <c r="GB358" s="29" t="s">
        <v>455</v>
      </c>
      <c r="GC358" s="29"/>
      <c r="GD358" s="29"/>
      <c r="GE358" s="29" t="s">
        <v>753</v>
      </c>
      <c r="GF358" s="29"/>
      <c r="GG358" s="29" t="s">
        <v>755</v>
      </c>
      <c r="GH358" s="29" t="s">
        <v>755</v>
      </c>
      <c r="GI358" s="29" t="s">
        <v>946</v>
      </c>
      <c r="GJ358" s="29"/>
      <c r="GK358" s="29"/>
      <c r="GL358" s="29"/>
      <c r="GM358" s="29" t="s">
        <v>1079</v>
      </c>
      <c r="GN358" s="29"/>
      <c r="GO358" s="29"/>
      <c r="GP358" s="29"/>
      <c r="GQ358" s="29" t="s">
        <v>3208</v>
      </c>
      <c r="GR358" s="29"/>
      <c r="GS358" s="29"/>
      <c r="GT358" s="29" t="s">
        <v>5170</v>
      </c>
      <c r="GU358" s="29" t="s">
        <v>408</v>
      </c>
      <c r="HP358" s="31"/>
      <c r="MX358" s="29" t="s">
        <v>1201</v>
      </c>
      <c r="MY358" s="29" t="str">
        <f>IFERROR(__xludf.DUMMYFUNCTION("""COMPUTED_VALUE"""),"Australia")</f>
        <v>Australia</v>
      </c>
    </row>
    <row r="359" ht="16.5" customHeight="1">
      <c r="A359" s="33">
        <v>45948.43710914352</v>
      </c>
      <c r="B359" s="29" t="s">
        <v>368</v>
      </c>
      <c r="C359" s="29" t="s">
        <v>1201</v>
      </c>
      <c r="D359" s="29" t="s">
        <v>1201</v>
      </c>
      <c r="E359" s="29"/>
      <c r="F359" s="29"/>
      <c r="G359" s="29" t="s">
        <v>422</v>
      </c>
      <c r="H359" s="29" t="s">
        <v>373</v>
      </c>
      <c r="I359" s="29" t="s">
        <v>374</v>
      </c>
      <c r="J359" s="29" t="s">
        <v>718</v>
      </c>
      <c r="K359" s="29" t="s">
        <v>376</v>
      </c>
      <c r="L359" s="29" t="s">
        <v>1526</v>
      </c>
      <c r="M359" s="29" t="s">
        <v>541</v>
      </c>
      <c r="N359" s="29" t="s">
        <v>1526</v>
      </c>
      <c r="O359" s="29" t="s">
        <v>380</v>
      </c>
      <c r="P359" s="29" t="s">
        <v>381</v>
      </c>
      <c r="Q359" s="29" t="s">
        <v>499</v>
      </c>
      <c r="R359" s="29" t="s">
        <v>427</v>
      </c>
      <c r="S359" s="29" t="s">
        <v>384</v>
      </c>
      <c r="T359" s="29" t="s">
        <v>385</v>
      </c>
      <c r="U359" s="29"/>
      <c r="V359" s="29"/>
      <c r="W359" s="29" t="s">
        <v>3231</v>
      </c>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t="s">
        <v>1242</v>
      </c>
      <c r="AW359" s="29" t="s">
        <v>675</v>
      </c>
      <c r="AX359" s="29" t="s">
        <v>675</v>
      </c>
      <c r="AY359" s="29" t="s">
        <v>675</v>
      </c>
      <c r="AZ359" s="29" t="s">
        <v>675</v>
      </c>
      <c r="BA359" s="29" t="s">
        <v>429</v>
      </c>
      <c r="BB359" s="29" t="s">
        <v>675</v>
      </c>
      <c r="BC359" s="29"/>
      <c r="BD359" s="29" t="s">
        <v>7173</v>
      </c>
      <c r="BE359" s="29" t="s">
        <v>902</v>
      </c>
      <c r="BF359" s="29" t="s">
        <v>1245</v>
      </c>
      <c r="BG359" s="29" t="s">
        <v>678</v>
      </c>
      <c r="BH359" s="29" t="s">
        <v>7174</v>
      </c>
      <c r="BI359" s="29" t="s">
        <v>976</v>
      </c>
      <c r="BJ359" s="29"/>
      <c r="BK359" s="29" t="s">
        <v>681</v>
      </c>
      <c r="BL359" s="29" t="s">
        <v>603</v>
      </c>
      <c r="BM359" s="29" t="s">
        <v>1247</v>
      </c>
      <c r="BN359" s="29" t="s">
        <v>513</v>
      </c>
      <c r="BO359" s="29"/>
      <c r="BP359" s="29"/>
      <c r="BQ359" s="29"/>
      <c r="BR359" s="29"/>
      <c r="BS359" s="29"/>
      <c r="BT359" s="29"/>
      <c r="BU359" s="29"/>
      <c r="BV359" s="29"/>
      <c r="BW359" s="29"/>
      <c r="BX359" s="29"/>
      <c r="BY359" s="29"/>
      <c r="BZ359" s="29"/>
      <c r="CA359" s="29"/>
      <c r="CB359" s="29"/>
      <c r="CC359" s="29"/>
      <c r="CD359" s="29"/>
      <c r="CE359" s="29"/>
      <c r="CF359" s="29"/>
      <c r="CG359" s="29"/>
      <c r="CH359" s="29"/>
      <c r="CI359" s="29"/>
      <c r="CJ359" s="29"/>
      <c r="CK359" s="29"/>
      <c r="CL359" s="29" t="s">
        <v>682</v>
      </c>
      <c r="CM359" s="29" t="s">
        <v>442</v>
      </c>
      <c r="CN359" s="29" t="s">
        <v>7175</v>
      </c>
      <c r="CO359" s="29" t="s">
        <v>7176</v>
      </c>
      <c r="CP359" s="29"/>
      <c r="CQ359" s="29"/>
      <c r="CR359" s="29"/>
      <c r="CS359" s="29"/>
      <c r="CT359" s="29" t="s">
        <v>7177</v>
      </c>
      <c r="CU359" s="29" t="s">
        <v>1863</v>
      </c>
      <c r="CV359" s="29" t="s">
        <v>959</v>
      </c>
      <c r="CW359" s="29"/>
      <c r="CX359" s="29" t="s">
        <v>408</v>
      </c>
      <c r="CY359" s="29"/>
      <c r="CZ359" s="29" t="s">
        <v>1962</v>
      </c>
      <c r="DA359" s="29"/>
      <c r="DB359" s="29" t="s">
        <v>913</v>
      </c>
      <c r="DC359" s="29" t="s">
        <v>7178</v>
      </c>
      <c r="DD359" s="29"/>
      <c r="DE359" s="29"/>
      <c r="DF359" s="29"/>
      <c r="DG359" s="29" t="s">
        <v>990</v>
      </c>
      <c r="DH359" s="29" t="s">
        <v>1220</v>
      </c>
      <c r="DI359" s="29" t="s">
        <v>777</v>
      </c>
      <c r="DJ359" s="29" t="s">
        <v>460</v>
      </c>
      <c r="DK359" s="29" t="s">
        <v>6319</v>
      </c>
      <c r="DL359" s="29"/>
      <c r="DM359" s="29"/>
      <c r="DN359" s="29"/>
      <c r="DO359" s="29"/>
      <c r="DP359" s="29"/>
      <c r="DQ359" s="29"/>
      <c r="DR359" s="29"/>
      <c r="DS359" s="29"/>
      <c r="DT359" s="29"/>
      <c r="DU359" s="29"/>
      <c r="DV359" s="29"/>
      <c r="DW359" s="29"/>
      <c r="DX359" s="29"/>
      <c r="DY359" s="29"/>
      <c r="DZ359" s="29"/>
      <c r="EA359" s="29"/>
      <c r="EB359" s="29"/>
      <c r="EC359" s="29"/>
      <c r="ED359" s="29"/>
      <c r="EE359" s="29"/>
      <c r="EF359" s="29"/>
      <c r="EG359" s="29"/>
      <c r="EH359" s="29"/>
      <c r="EI359" s="29"/>
      <c r="EJ359" s="29"/>
      <c r="EK359" s="29"/>
      <c r="EL359" s="29"/>
      <c r="EM359" s="29"/>
      <c r="EN359" s="29"/>
      <c r="EO359" s="29"/>
      <c r="EP359" s="29"/>
      <c r="EQ359" s="29"/>
      <c r="ER359" s="29"/>
      <c r="ES359" s="29"/>
      <c r="ET359" s="29" t="s">
        <v>478</v>
      </c>
      <c r="EU359" s="29" t="s">
        <v>1127</v>
      </c>
      <c r="EV359" s="29" t="s">
        <v>527</v>
      </c>
      <c r="EW359" s="29"/>
      <c r="EX359" s="29" t="s">
        <v>7179</v>
      </c>
      <c r="EY359" s="29"/>
      <c r="EZ359" s="29" t="s">
        <v>583</v>
      </c>
      <c r="FA359" s="29" t="s">
        <v>583</v>
      </c>
      <c r="FB359" s="29" t="s">
        <v>583</v>
      </c>
      <c r="FC359" s="29" t="s">
        <v>583</v>
      </c>
      <c r="FD359" s="29" t="s">
        <v>484</v>
      </c>
      <c r="FE359" s="29" t="s">
        <v>583</v>
      </c>
      <c r="FF359" s="29" t="s">
        <v>583</v>
      </c>
      <c r="FG359" s="29" t="s">
        <v>583</v>
      </c>
      <c r="FH359" s="29" t="s">
        <v>583</v>
      </c>
      <c r="FI359" s="29" t="s">
        <v>484</v>
      </c>
      <c r="FJ359" s="29" t="s">
        <v>583</v>
      </c>
      <c r="FK359" s="29" t="s">
        <v>484</v>
      </c>
      <c r="FL359" s="29" t="s">
        <v>484</v>
      </c>
      <c r="FM359" s="29" t="s">
        <v>484</v>
      </c>
      <c r="FN359" s="29" t="s">
        <v>484</v>
      </c>
      <c r="FO359" s="29" t="s">
        <v>1074</v>
      </c>
      <c r="FP359" s="29" t="s">
        <v>1200</v>
      </c>
      <c r="FQ359" s="29" t="s">
        <v>419</v>
      </c>
      <c r="FR359" s="29" t="s">
        <v>7180</v>
      </c>
      <c r="FS359" s="29" t="s">
        <v>1871</v>
      </c>
      <c r="FT359" s="29" t="s">
        <v>421</v>
      </c>
      <c r="FU359" s="29" t="s">
        <v>918</v>
      </c>
      <c r="FV359" s="29" t="s">
        <v>2399</v>
      </c>
      <c r="FW359" s="29" t="s">
        <v>1853</v>
      </c>
      <c r="FX359" s="29"/>
      <c r="FY359" s="29" t="s">
        <v>1020</v>
      </c>
      <c r="FZ359" s="29" t="s">
        <v>7181</v>
      </c>
      <c r="GA359" s="29"/>
      <c r="GB359" s="29"/>
      <c r="GC359" s="29"/>
      <c r="GD359" s="29"/>
      <c r="GE359" s="29"/>
      <c r="GF359" s="29"/>
      <c r="GG359" s="29" t="s">
        <v>920</v>
      </c>
      <c r="GH359" s="29" t="s">
        <v>920</v>
      </c>
      <c r="GI359" s="29" t="s">
        <v>790</v>
      </c>
      <c r="GJ359" s="29"/>
      <c r="GK359" s="29"/>
      <c r="GL359" s="29"/>
      <c r="GM359" s="29"/>
      <c r="GN359" s="29" t="s">
        <v>7182</v>
      </c>
      <c r="GO359" s="29" t="s">
        <v>7182</v>
      </c>
      <c r="GP359" s="29" t="s">
        <v>387</v>
      </c>
      <c r="GQ359" s="29" t="s">
        <v>3208</v>
      </c>
      <c r="GR359" s="29"/>
      <c r="GS359" s="29"/>
      <c r="GT359" s="29"/>
      <c r="GU359" s="29" t="s">
        <v>1252</v>
      </c>
      <c r="HP359" s="31"/>
      <c r="MX359" s="29" t="s">
        <v>538</v>
      </c>
      <c r="MY359" s="29" t="str">
        <f>IFERROR(__xludf.DUMMYFUNCTION("""COMPUTED_VALUE"""),"United Kingdom")</f>
        <v>United Kingdom</v>
      </c>
    </row>
    <row r="360" ht="16.5" customHeight="1">
      <c r="A360" s="33">
        <v>45951.28084502315</v>
      </c>
      <c r="B360" s="29" t="s">
        <v>368</v>
      </c>
      <c r="C360" s="29" t="s">
        <v>538</v>
      </c>
      <c r="D360" s="29" t="s">
        <v>538</v>
      </c>
      <c r="E360" s="29"/>
      <c r="F360" s="29"/>
      <c r="G360" s="29" t="s">
        <v>422</v>
      </c>
      <c r="H360" s="29" t="s">
        <v>637</v>
      </c>
      <c r="I360" s="29" t="s">
        <v>638</v>
      </c>
      <c r="J360" s="29" t="s">
        <v>425</v>
      </c>
      <c r="K360" s="29" t="s">
        <v>376</v>
      </c>
      <c r="L360" s="29" t="s">
        <v>793</v>
      </c>
      <c r="M360" s="29" t="s">
        <v>639</v>
      </c>
      <c r="N360" s="29" t="s">
        <v>793</v>
      </c>
      <c r="O360" s="29" t="s">
        <v>2579</v>
      </c>
      <c r="P360" s="29" t="s">
        <v>381</v>
      </c>
      <c r="Q360" s="29" t="s">
        <v>862</v>
      </c>
      <c r="R360" s="29" t="s">
        <v>2360</v>
      </c>
      <c r="S360" s="29" t="s">
        <v>1512</v>
      </c>
      <c r="T360" s="29" t="s">
        <v>385</v>
      </c>
      <c r="U360" s="29"/>
      <c r="V360" s="29"/>
      <c r="W360" s="29" t="s">
        <v>3014</v>
      </c>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t="s">
        <v>390</v>
      </c>
      <c r="AW360" s="29" t="s">
        <v>391</v>
      </c>
      <c r="AX360" s="29" t="s">
        <v>429</v>
      </c>
      <c r="AY360" s="29">
        <v>2.0</v>
      </c>
      <c r="AZ360" s="29" t="s">
        <v>429</v>
      </c>
      <c r="BA360" s="29" t="s">
        <v>429</v>
      </c>
      <c r="BB360" s="29" t="s">
        <v>391</v>
      </c>
      <c r="BC360" s="29" t="s">
        <v>7185</v>
      </c>
      <c r="BD360" s="29" t="s">
        <v>7186</v>
      </c>
      <c r="BE360" s="29" t="s">
        <v>432</v>
      </c>
      <c r="BF360" s="29" t="s">
        <v>433</v>
      </c>
      <c r="BG360" s="29" t="s">
        <v>678</v>
      </c>
      <c r="BH360" s="29" t="s">
        <v>7187</v>
      </c>
      <c r="BI360" s="29" t="s">
        <v>509</v>
      </c>
      <c r="BJ360" s="29" t="s">
        <v>7188</v>
      </c>
      <c r="BK360" s="29" t="s">
        <v>437</v>
      </c>
      <c r="BL360" s="29" t="s">
        <v>603</v>
      </c>
      <c r="BM360" s="29" t="s">
        <v>439</v>
      </c>
      <c r="BN360" s="29" t="s">
        <v>513</v>
      </c>
      <c r="BO360" s="29"/>
      <c r="BP360" s="29"/>
      <c r="BQ360" s="29"/>
      <c r="BR360" s="29"/>
      <c r="BS360" s="29"/>
      <c r="BT360" s="29"/>
      <c r="BU360" s="29"/>
      <c r="BV360" s="29"/>
      <c r="BW360" s="29"/>
      <c r="BX360" s="29"/>
      <c r="BY360" s="29"/>
      <c r="BZ360" s="29"/>
      <c r="CA360" s="29"/>
      <c r="CB360" s="29"/>
      <c r="CC360" s="29"/>
      <c r="CD360" s="29"/>
      <c r="CE360" s="29"/>
      <c r="CF360" s="29"/>
      <c r="CG360" s="29"/>
      <c r="CH360" s="29"/>
      <c r="CI360" s="29"/>
      <c r="CJ360" s="29"/>
      <c r="CK360" s="29"/>
      <c r="CL360" s="29" t="s">
        <v>550</v>
      </c>
      <c r="CM360" s="29" t="s">
        <v>604</v>
      </c>
      <c r="CN360" s="29" t="s">
        <v>7189</v>
      </c>
      <c r="CO360" s="29" t="s">
        <v>7190</v>
      </c>
      <c r="CP360" s="29" t="s">
        <v>685</v>
      </c>
      <c r="CQ360" s="29" t="s">
        <v>7191</v>
      </c>
      <c r="CR360" s="29" t="s">
        <v>804</v>
      </c>
      <c r="CS360" s="29" t="s">
        <v>7192</v>
      </c>
      <c r="CT360" s="29" t="s">
        <v>7193</v>
      </c>
      <c r="CU360" s="29" t="s">
        <v>450</v>
      </c>
      <c r="CV360" s="29" t="s">
        <v>451</v>
      </c>
      <c r="CW360" s="29" t="s">
        <v>7194</v>
      </c>
      <c r="CX360" s="29" t="s">
        <v>408</v>
      </c>
      <c r="CY360" s="29"/>
      <c r="CZ360" s="29" t="s">
        <v>453</v>
      </c>
      <c r="DA360" s="29" t="s">
        <v>7195</v>
      </c>
      <c r="DB360" s="29" t="s">
        <v>455</v>
      </c>
      <c r="DC360" s="29" t="s">
        <v>7196</v>
      </c>
      <c r="DD360" s="29" t="s">
        <v>988</v>
      </c>
      <c r="DE360" s="29"/>
      <c r="DF360" s="29" t="s">
        <v>7197</v>
      </c>
      <c r="DG360" s="29" t="s">
        <v>524</v>
      </c>
      <c r="DH360" s="29" t="s">
        <v>410</v>
      </c>
      <c r="DI360" s="29" t="s">
        <v>963</v>
      </c>
      <c r="DJ360" s="29" t="s">
        <v>613</v>
      </c>
      <c r="DK360" s="29"/>
      <c r="DL360" s="29"/>
      <c r="DM360" s="29"/>
      <c r="DN360" s="29"/>
      <c r="DO360" s="29"/>
      <c r="DP360" s="29"/>
      <c r="DQ360" s="29"/>
      <c r="DR360" s="29"/>
      <c r="DS360" s="29"/>
      <c r="DT360" s="29"/>
      <c r="DU360" s="29"/>
      <c r="DV360" s="29"/>
      <c r="DW360" s="29"/>
      <c r="DX360" s="29"/>
      <c r="DY360" s="29"/>
      <c r="DZ360" s="29"/>
      <c r="EA360" s="29"/>
      <c r="EB360" s="29"/>
      <c r="EC360" s="29"/>
      <c r="ED360" s="29"/>
      <c r="EE360" s="29"/>
      <c r="EF360" s="29"/>
      <c r="EG360" s="29"/>
      <c r="EH360" s="29"/>
      <c r="EI360" s="29"/>
      <c r="EJ360" s="29"/>
      <c r="EK360" s="29"/>
      <c r="EL360" s="29"/>
      <c r="EM360" s="29"/>
      <c r="EN360" s="29"/>
      <c r="EO360" s="29"/>
      <c r="EP360" s="29"/>
      <c r="EQ360" s="29"/>
      <c r="ER360" s="29"/>
      <c r="ES360" s="29"/>
      <c r="ET360" s="29" t="s">
        <v>526</v>
      </c>
      <c r="EU360" s="29" t="s">
        <v>579</v>
      </c>
      <c r="EV360" s="29" t="s">
        <v>527</v>
      </c>
      <c r="EW360" s="29" t="s">
        <v>7198</v>
      </c>
      <c r="EX360" s="29" t="s">
        <v>7199</v>
      </c>
      <c r="EY360" s="29" t="s">
        <v>7200</v>
      </c>
      <c r="EZ360" s="29" t="s">
        <v>416</v>
      </c>
      <c r="FA360" s="29" t="s">
        <v>414</v>
      </c>
      <c r="FB360" s="29" t="s">
        <v>413</v>
      </c>
      <c r="FC360" s="29" t="s">
        <v>414</v>
      </c>
      <c r="FD360" s="29" t="s">
        <v>413</v>
      </c>
      <c r="FE360" s="29" t="s">
        <v>583</v>
      </c>
      <c r="FF360" s="29" t="s">
        <v>415</v>
      </c>
      <c r="FG360" s="29" t="s">
        <v>414</v>
      </c>
      <c r="FH360" s="29" t="s">
        <v>413</v>
      </c>
      <c r="FI360" s="29" t="s">
        <v>415</v>
      </c>
      <c r="FJ360" s="29" t="s">
        <v>414</v>
      </c>
      <c r="FK360" s="29" t="s">
        <v>415</v>
      </c>
      <c r="FL360" s="29" t="s">
        <v>415</v>
      </c>
      <c r="FM360" s="29" t="s">
        <v>415</v>
      </c>
      <c r="FN360" s="29" t="s">
        <v>415</v>
      </c>
      <c r="FO360" s="29" t="s">
        <v>417</v>
      </c>
      <c r="FP360" s="29" t="s">
        <v>418</v>
      </c>
      <c r="FQ360" s="29" t="s">
        <v>749</v>
      </c>
      <c r="FR360" s="29" t="s">
        <v>7201</v>
      </c>
      <c r="FS360" s="29" t="s">
        <v>420</v>
      </c>
      <c r="FT360" s="29" t="s">
        <v>488</v>
      </c>
      <c r="FU360" s="29" t="s">
        <v>585</v>
      </c>
      <c r="FV360" s="29" t="s">
        <v>490</v>
      </c>
      <c r="FW360" s="29" t="s">
        <v>491</v>
      </c>
      <c r="FX360" s="29" t="s">
        <v>7202</v>
      </c>
      <c r="FY360" s="29" t="s">
        <v>493</v>
      </c>
      <c r="FZ360" s="29" t="s">
        <v>7203</v>
      </c>
      <c r="GA360" s="29" t="s">
        <v>7204</v>
      </c>
      <c r="GB360" s="29" t="s">
        <v>408</v>
      </c>
      <c r="GC360" s="29"/>
      <c r="GD360" s="29"/>
      <c r="GE360" s="29"/>
      <c r="GF360" s="29"/>
      <c r="GG360" s="29" t="s">
        <v>857</v>
      </c>
      <c r="GH360" s="29" t="s">
        <v>1000</v>
      </c>
      <c r="GI360" s="29" t="s">
        <v>946</v>
      </c>
      <c r="GJ360" s="29"/>
      <c r="GK360" s="29"/>
      <c r="GL360" s="29"/>
      <c r="GM360" s="29"/>
      <c r="GN360" s="29" t="s">
        <v>3012</v>
      </c>
      <c r="GO360" s="29" t="s">
        <v>3012</v>
      </c>
      <c r="GP360" s="29"/>
      <c r="GQ360" s="29" t="s">
        <v>5656</v>
      </c>
      <c r="GR360" s="29"/>
      <c r="GS360" s="29"/>
      <c r="GT360" s="29" t="s">
        <v>4774</v>
      </c>
      <c r="GU360" s="29"/>
      <c r="HP360" s="31"/>
      <c r="MX360" s="29" t="s">
        <v>10402</v>
      </c>
      <c r="MY360" s="29" t="str">
        <f>IFERROR(__xludf.DUMMYFUNCTION("""COMPUTED_VALUE"""),"Alaska")</f>
        <v>Alaska</v>
      </c>
    </row>
    <row r="361" ht="16.5" customHeight="1">
      <c r="A361" s="33">
        <v>45953.03296401621</v>
      </c>
      <c r="B361" s="29" t="s">
        <v>368</v>
      </c>
      <c r="C361" s="29" t="s">
        <v>370</v>
      </c>
      <c r="D361" s="29" t="s">
        <v>370</v>
      </c>
      <c r="E361" s="29" t="s">
        <v>1849</v>
      </c>
      <c r="F361" s="29" t="s">
        <v>1421</v>
      </c>
      <c r="G361" s="29" t="s">
        <v>1269</v>
      </c>
      <c r="H361" s="29" t="s">
        <v>496</v>
      </c>
      <c r="I361" s="29" t="s">
        <v>2578</v>
      </c>
      <c r="J361" s="29" t="s">
        <v>425</v>
      </c>
      <c r="K361" s="29" t="s">
        <v>376</v>
      </c>
      <c r="L361" s="29" t="s">
        <v>379</v>
      </c>
      <c r="M361" s="29" t="s">
        <v>378</v>
      </c>
      <c r="N361" s="29" t="s">
        <v>379</v>
      </c>
      <c r="O361" s="29" t="s">
        <v>497</v>
      </c>
      <c r="P361" s="29" t="s">
        <v>592</v>
      </c>
      <c r="Q361" s="29" t="s">
        <v>499</v>
      </c>
      <c r="R361" s="29" t="s">
        <v>500</v>
      </c>
      <c r="S361" s="29" t="s">
        <v>7206</v>
      </c>
      <c r="T361" s="29" t="s">
        <v>385</v>
      </c>
      <c r="U361" s="29"/>
      <c r="V361" s="29"/>
      <c r="W361" s="29" t="s">
        <v>386</v>
      </c>
      <c r="X361" s="29" t="s">
        <v>387</v>
      </c>
      <c r="Y361" s="29" t="s">
        <v>2115</v>
      </c>
      <c r="Z361" s="29" t="s">
        <v>543</v>
      </c>
      <c r="AA361" s="29" t="s">
        <v>7207</v>
      </c>
      <c r="AB361" s="29" t="s">
        <v>7208</v>
      </c>
      <c r="AC361" s="29"/>
      <c r="AD361" s="29"/>
      <c r="AE361" s="29"/>
      <c r="AF361" s="29"/>
      <c r="AG361" s="29"/>
      <c r="AH361" s="29"/>
      <c r="AI361" s="29"/>
      <c r="AJ361" s="29"/>
      <c r="AK361" s="29"/>
      <c r="AL361" s="29"/>
      <c r="AM361" s="29"/>
      <c r="AN361" s="29"/>
      <c r="AO361" s="29"/>
      <c r="AP361" s="29"/>
      <c r="AQ361" s="29"/>
      <c r="AR361" s="29"/>
      <c r="AS361" s="29"/>
      <c r="AT361" s="29"/>
      <c r="AU361" s="29"/>
      <c r="AV361" s="29" t="s">
        <v>1242</v>
      </c>
      <c r="AW361" s="29" t="s">
        <v>391</v>
      </c>
      <c r="AX361" s="29" t="s">
        <v>391</v>
      </c>
      <c r="AY361" s="29" t="s">
        <v>391</v>
      </c>
      <c r="AZ361" s="29" t="s">
        <v>391</v>
      </c>
      <c r="BA361" s="29" t="s">
        <v>391</v>
      </c>
      <c r="BB361" s="29" t="s">
        <v>391</v>
      </c>
      <c r="BC361" s="29" t="s">
        <v>3584</v>
      </c>
      <c r="BD361" s="29" t="s">
        <v>7209</v>
      </c>
      <c r="BE361" s="29" t="s">
        <v>392</v>
      </c>
      <c r="BF361" s="29" t="s">
        <v>1047</v>
      </c>
      <c r="BG361" s="29" t="s">
        <v>434</v>
      </c>
      <c r="BH361" s="29"/>
      <c r="BI361" s="29" t="s">
        <v>976</v>
      </c>
      <c r="BJ361" s="29"/>
      <c r="BK361" s="29" t="s">
        <v>511</v>
      </c>
      <c r="BL361" s="29" t="s">
        <v>438</v>
      </c>
      <c r="BM361" s="29" t="s">
        <v>1247</v>
      </c>
      <c r="BN361" s="29" t="s">
        <v>398</v>
      </c>
      <c r="BO361" s="29" t="s">
        <v>7210</v>
      </c>
      <c r="BP361" s="29"/>
      <c r="BQ361" s="29" t="s">
        <v>401</v>
      </c>
      <c r="BR361" s="29" t="s">
        <v>7211</v>
      </c>
      <c r="BS361" s="29" t="s">
        <v>403</v>
      </c>
      <c r="BT361" s="29" t="s">
        <v>404</v>
      </c>
      <c r="BU361" s="29" t="s">
        <v>405</v>
      </c>
      <c r="BV361" s="29"/>
      <c r="BW361" s="29" t="s">
        <v>406</v>
      </c>
      <c r="BX361" s="29" t="s">
        <v>1867</v>
      </c>
      <c r="BY361" s="29" t="s">
        <v>408</v>
      </c>
      <c r="BZ361" s="29"/>
      <c r="CA361" s="29" t="s">
        <v>7212</v>
      </c>
      <c r="CB361" s="29" t="s">
        <v>7213</v>
      </c>
      <c r="CC361" s="29" t="s">
        <v>7214</v>
      </c>
      <c r="CD361" s="29" t="s">
        <v>1931</v>
      </c>
      <c r="CE361" s="29" t="s">
        <v>7215</v>
      </c>
      <c r="CF361" s="29" t="s">
        <v>1749</v>
      </c>
      <c r="CG361" s="29" t="s">
        <v>7216</v>
      </c>
      <c r="CH361" s="29" t="s">
        <v>1259</v>
      </c>
      <c r="CI361" s="29" t="s">
        <v>833</v>
      </c>
      <c r="CJ361" s="29" t="s">
        <v>7217</v>
      </c>
      <c r="CK361" s="29" t="s">
        <v>7218</v>
      </c>
      <c r="CL361" s="29"/>
      <c r="CM361" s="29"/>
      <c r="CN361" s="29"/>
      <c r="CO361" s="29"/>
      <c r="CP361" s="29"/>
      <c r="CQ361" s="29"/>
      <c r="CR361" s="29"/>
      <c r="CS361" s="29"/>
      <c r="CT361" s="29"/>
      <c r="CU361" s="29"/>
      <c r="CV361" s="29"/>
      <c r="CW361" s="29"/>
      <c r="CX361" s="29"/>
      <c r="CY361" s="29"/>
      <c r="CZ361" s="29"/>
      <c r="DA361" s="29"/>
      <c r="DB361" s="29"/>
      <c r="DC361" s="29"/>
      <c r="DD361" s="29"/>
      <c r="DE361" s="29"/>
      <c r="DF361" s="29"/>
      <c r="DG361" s="29"/>
      <c r="DH361" s="29"/>
      <c r="DI361" s="29" t="s">
        <v>963</v>
      </c>
      <c r="DJ361" s="29" t="s">
        <v>460</v>
      </c>
      <c r="DK361" s="29" t="s">
        <v>6319</v>
      </c>
      <c r="DL361" s="29"/>
      <c r="DM361" s="29"/>
      <c r="DN361" s="29"/>
      <c r="DO361" s="29"/>
      <c r="DP361" s="29"/>
      <c r="DQ361" s="29"/>
      <c r="DR361" s="29"/>
      <c r="DS361" s="29"/>
      <c r="DT361" s="29"/>
      <c r="DU361" s="29"/>
      <c r="DV361" s="29"/>
      <c r="DW361" s="29"/>
      <c r="DX361" s="29"/>
      <c r="DY361" s="29"/>
      <c r="DZ361" s="29"/>
      <c r="EA361" s="29"/>
      <c r="EB361" s="29"/>
      <c r="EC361" s="29"/>
      <c r="ED361" s="29"/>
      <c r="EE361" s="29"/>
      <c r="EF361" s="29"/>
      <c r="EG361" s="29"/>
      <c r="EH361" s="29"/>
      <c r="EI361" s="29"/>
      <c r="EJ361" s="29"/>
      <c r="EK361" s="29"/>
      <c r="EL361" s="29"/>
      <c r="EM361" s="29"/>
      <c r="EN361" s="29"/>
      <c r="EO361" s="29"/>
      <c r="EP361" s="29"/>
      <c r="EQ361" s="29"/>
      <c r="ER361" s="29"/>
      <c r="ES361" s="29"/>
      <c r="ET361" s="29" t="s">
        <v>526</v>
      </c>
      <c r="EU361" s="29" t="s">
        <v>579</v>
      </c>
      <c r="EV361" s="29" t="s">
        <v>663</v>
      </c>
      <c r="EW361" s="29" t="s">
        <v>7219</v>
      </c>
      <c r="EX361" s="29" t="s">
        <v>7220</v>
      </c>
      <c r="EY361" s="29" t="s">
        <v>7221</v>
      </c>
      <c r="EZ361" s="29" t="s">
        <v>415</v>
      </c>
      <c r="FA361" s="29" t="s">
        <v>414</v>
      </c>
      <c r="FB361" s="29" t="s">
        <v>413</v>
      </c>
      <c r="FC361" s="29" t="s">
        <v>415</v>
      </c>
      <c r="FD361" s="29" t="s">
        <v>413</v>
      </c>
      <c r="FE361" s="29" t="s">
        <v>414</v>
      </c>
      <c r="FF361" s="29" t="s">
        <v>415</v>
      </c>
      <c r="FG361" s="29" t="s">
        <v>413</v>
      </c>
      <c r="FH361" s="29" t="s">
        <v>415</v>
      </c>
      <c r="FI361" s="29" t="s">
        <v>415</v>
      </c>
      <c r="FJ361" s="29" t="s">
        <v>415</v>
      </c>
      <c r="FK361" s="29" t="s">
        <v>416</v>
      </c>
      <c r="FL361" s="29" t="s">
        <v>416</v>
      </c>
      <c r="FM361" s="29" t="s">
        <v>413</v>
      </c>
      <c r="FN361" s="29" t="s">
        <v>583</v>
      </c>
      <c r="FO361" s="29" t="s">
        <v>850</v>
      </c>
      <c r="FP361" s="29" t="s">
        <v>418</v>
      </c>
      <c r="FQ361" s="29" t="s">
        <v>749</v>
      </c>
      <c r="FR361" s="29" t="s">
        <v>7222</v>
      </c>
      <c r="FS361" s="29" t="s">
        <v>1189</v>
      </c>
      <c r="FT361" s="29" t="s">
        <v>488</v>
      </c>
      <c r="FU361" s="29" t="s">
        <v>918</v>
      </c>
      <c r="FV361" s="29" t="s">
        <v>490</v>
      </c>
      <c r="FW361" s="29" t="s">
        <v>491</v>
      </c>
      <c r="FX361" s="29" t="s">
        <v>7223</v>
      </c>
      <c r="FY361" s="29" t="s">
        <v>535</v>
      </c>
      <c r="FZ361" s="29"/>
      <c r="GA361" s="29" t="s">
        <v>7224</v>
      </c>
      <c r="GB361" s="29" t="s">
        <v>408</v>
      </c>
      <c r="GC361" s="29"/>
      <c r="GD361" s="29"/>
      <c r="GE361" s="29"/>
      <c r="GF361" s="29"/>
      <c r="GG361" s="29"/>
      <c r="GH361" s="29"/>
      <c r="GI361" s="29"/>
      <c r="GJ361" s="29" t="s">
        <v>755</v>
      </c>
      <c r="GK361" s="29" t="s">
        <v>755</v>
      </c>
      <c r="GL361" s="29" t="s">
        <v>756</v>
      </c>
      <c r="GM361" s="29"/>
      <c r="GN361" s="29"/>
      <c r="GO361" s="29"/>
      <c r="GP361" s="29"/>
      <c r="GQ361" s="29" t="s">
        <v>3306</v>
      </c>
      <c r="GR361" s="29" t="s">
        <v>4741</v>
      </c>
      <c r="GS361" s="29" t="s">
        <v>408</v>
      </c>
      <c r="GT361" s="29"/>
      <c r="GU361" s="29"/>
      <c r="HP361" s="31"/>
      <c r="MX361" s="29" t="s">
        <v>10402</v>
      </c>
      <c r="MY361" s="29" t="str">
        <f>IFERROR(__xludf.DUMMYFUNCTION("""COMPUTED_VALUE"""),"Utah")</f>
        <v>Utah</v>
      </c>
    </row>
    <row r="362" ht="16.5" customHeight="1">
      <c r="A362" s="33">
        <v>45953.438401666666</v>
      </c>
      <c r="B362" s="29" t="s">
        <v>368</v>
      </c>
      <c r="C362" s="29" t="s">
        <v>370</v>
      </c>
      <c r="D362" s="29" t="s">
        <v>370</v>
      </c>
      <c r="E362" s="29" t="s">
        <v>4170</v>
      </c>
      <c r="F362" s="29" t="s">
        <v>1421</v>
      </c>
      <c r="G362" s="29" t="s">
        <v>422</v>
      </c>
      <c r="H362" s="29" t="s">
        <v>373</v>
      </c>
      <c r="I362" s="29" t="s">
        <v>374</v>
      </c>
      <c r="J362" s="29" t="s">
        <v>718</v>
      </c>
      <c r="K362" s="29" t="s">
        <v>376</v>
      </c>
      <c r="L362" s="29" t="s">
        <v>670</v>
      </c>
      <c r="M362" s="29" t="s">
        <v>1270</v>
      </c>
      <c r="N362" s="29" t="s">
        <v>793</v>
      </c>
      <c r="O362" s="29" t="s">
        <v>1270</v>
      </c>
      <c r="P362" s="29" t="s">
        <v>381</v>
      </c>
      <c r="Q362" s="29" t="s">
        <v>862</v>
      </c>
      <c r="R362" s="29" t="s">
        <v>427</v>
      </c>
      <c r="S362" s="29" t="s">
        <v>384</v>
      </c>
      <c r="T362" s="29" t="s">
        <v>385</v>
      </c>
      <c r="U362" s="29"/>
      <c r="V362" s="29"/>
      <c r="W362" s="29" t="s">
        <v>386</v>
      </c>
      <c r="X362" s="29" t="s">
        <v>1706</v>
      </c>
      <c r="Y362" s="29"/>
      <c r="Z362" s="29"/>
      <c r="AA362" s="29"/>
      <c r="AB362" s="29"/>
      <c r="AC362" s="29" t="s">
        <v>2055</v>
      </c>
      <c r="AD362" s="29" t="s">
        <v>7225</v>
      </c>
      <c r="AE362" s="29" t="s">
        <v>408</v>
      </c>
      <c r="AF362" s="29"/>
      <c r="AG362" s="29">
        <v>5.0</v>
      </c>
      <c r="AH362" s="29" t="s">
        <v>7226</v>
      </c>
      <c r="AI362" s="29"/>
      <c r="AJ362" s="29" t="s">
        <v>7227</v>
      </c>
      <c r="AK362" s="29" t="s">
        <v>7228</v>
      </c>
      <c r="AL362" s="29"/>
      <c r="AM362" s="29"/>
      <c r="AN362" s="29"/>
      <c r="AO362" s="29"/>
      <c r="AP362" s="29"/>
      <c r="AQ362" s="29"/>
      <c r="AR362" s="29"/>
      <c r="AS362" s="29"/>
      <c r="AT362" s="29"/>
      <c r="AU362" s="29"/>
      <c r="AV362" s="29" t="s">
        <v>390</v>
      </c>
      <c r="AW362" s="29" t="s">
        <v>391</v>
      </c>
      <c r="AX362" s="29" t="s">
        <v>391</v>
      </c>
      <c r="AY362" s="29" t="s">
        <v>675</v>
      </c>
      <c r="AZ362" s="29" t="s">
        <v>675</v>
      </c>
      <c r="BA362" s="29">
        <v>4.0</v>
      </c>
      <c r="BB362" s="29" t="s">
        <v>391</v>
      </c>
      <c r="BC362" s="29" t="s">
        <v>7229</v>
      </c>
      <c r="BD362" s="29" t="s">
        <v>7230</v>
      </c>
      <c r="BE362" s="29" t="s">
        <v>392</v>
      </c>
      <c r="BF362" s="29" t="s">
        <v>1047</v>
      </c>
      <c r="BG362" s="29" t="s">
        <v>434</v>
      </c>
      <c r="BH362" s="29" t="s">
        <v>7231</v>
      </c>
      <c r="BI362" s="29" t="s">
        <v>509</v>
      </c>
      <c r="BJ362" s="29" t="s">
        <v>7232</v>
      </c>
      <c r="BK362" s="29" t="s">
        <v>511</v>
      </c>
      <c r="BL362" s="29" t="s">
        <v>512</v>
      </c>
      <c r="BM362" s="29" t="s">
        <v>549</v>
      </c>
      <c r="BN362" s="29" t="s">
        <v>398</v>
      </c>
      <c r="BO362" s="29" t="s">
        <v>7233</v>
      </c>
      <c r="BP362" s="29" t="s">
        <v>7234</v>
      </c>
      <c r="BQ362" s="29" t="s">
        <v>401</v>
      </c>
      <c r="BR362" s="29" t="s">
        <v>7235</v>
      </c>
      <c r="BS362" s="29" t="s">
        <v>1671</v>
      </c>
      <c r="BT362" s="29" t="s">
        <v>1771</v>
      </c>
      <c r="BU362" s="29" t="s">
        <v>1831</v>
      </c>
      <c r="BV362" s="29" t="s">
        <v>7236</v>
      </c>
      <c r="BW362" s="29" t="s">
        <v>406</v>
      </c>
      <c r="BX362" s="29" t="s">
        <v>407</v>
      </c>
      <c r="BY362" s="29" t="s">
        <v>408</v>
      </c>
      <c r="BZ362" s="29"/>
      <c r="CA362" s="29" t="s">
        <v>7237</v>
      </c>
      <c r="CB362" s="29" t="s">
        <v>7238</v>
      </c>
      <c r="CC362" s="29" t="s">
        <v>7239</v>
      </c>
      <c r="CD362" s="29" t="s">
        <v>451</v>
      </c>
      <c r="CE362" s="29" t="s">
        <v>7240</v>
      </c>
      <c r="CF362" s="29" t="s">
        <v>1258</v>
      </c>
      <c r="CG362" s="29"/>
      <c r="CH362" s="29" t="s">
        <v>1679</v>
      </c>
      <c r="CI362" s="29" t="s">
        <v>410</v>
      </c>
      <c r="CJ362" s="29" t="s">
        <v>7241</v>
      </c>
      <c r="CK362" s="29" t="s">
        <v>7242</v>
      </c>
      <c r="CL362" s="29"/>
      <c r="CM362" s="29"/>
      <c r="CN362" s="29"/>
      <c r="CO362" s="29"/>
      <c r="CP362" s="29"/>
      <c r="CQ362" s="29"/>
      <c r="CR362" s="29"/>
      <c r="CS362" s="29"/>
      <c r="CT362" s="29"/>
      <c r="CU362" s="29"/>
      <c r="CV362" s="29"/>
      <c r="CW362" s="29"/>
      <c r="CX362" s="29"/>
      <c r="CY362" s="29"/>
      <c r="CZ362" s="29"/>
      <c r="DA362" s="29"/>
      <c r="DB362" s="29"/>
      <c r="DC362" s="29"/>
      <c r="DD362" s="29"/>
      <c r="DE362" s="29"/>
      <c r="DF362" s="29"/>
      <c r="DG362" s="29"/>
      <c r="DH362" s="29"/>
      <c r="DI362" s="29" t="s">
        <v>459</v>
      </c>
      <c r="DJ362" s="29" t="s">
        <v>562</v>
      </c>
      <c r="DK362" s="29" t="s">
        <v>1434</v>
      </c>
      <c r="DL362" s="29"/>
      <c r="DM362" s="29"/>
      <c r="DN362" s="29"/>
      <c r="DO362" s="29"/>
      <c r="DP362" s="29"/>
      <c r="DQ362" s="29"/>
      <c r="DR362" s="29"/>
      <c r="DS362" s="29"/>
      <c r="DT362" s="29"/>
      <c r="DU362" s="29"/>
      <c r="DV362" s="29"/>
      <c r="DW362" s="29"/>
      <c r="DX362" s="29"/>
      <c r="DY362" s="29"/>
      <c r="DZ362" s="29"/>
      <c r="EA362" s="29"/>
      <c r="EB362" s="29"/>
      <c r="EC362" s="29"/>
      <c r="ED362" s="29"/>
      <c r="EE362" s="29"/>
      <c r="EF362" s="29"/>
      <c r="EG362" s="29"/>
      <c r="EH362" s="29"/>
      <c r="EI362" s="29"/>
      <c r="EJ362" s="29"/>
      <c r="EK362" s="29"/>
      <c r="EL362" s="29"/>
      <c r="EM362" s="29"/>
      <c r="EN362" s="29"/>
      <c r="EO362" s="29"/>
      <c r="EP362" s="29"/>
      <c r="EQ362" s="29"/>
      <c r="ER362" s="29"/>
      <c r="ES362" s="29"/>
      <c r="ET362" s="29" t="s">
        <v>526</v>
      </c>
      <c r="EU362" s="29" t="s">
        <v>479</v>
      </c>
      <c r="EV362" s="29" t="s">
        <v>1534</v>
      </c>
      <c r="EW362" s="29"/>
      <c r="EX362" s="29" t="s">
        <v>7243</v>
      </c>
      <c r="EY362" s="29" t="s">
        <v>7244</v>
      </c>
      <c r="EZ362" s="29" t="s">
        <v>413</v>
      </c>
      <c r="FA362" s="29" t="s">
        <v>583</v>
      </c>
      <c r="FB362" s="29" t="s">
        <v>583</v>
      </c>
      <c r="FC362" s="29" t="s">
        <v>583</v>
      </c>
      <c r="FD362" s="29" t="s">
        <v>583</v>
      </c>
      <c r="FE362" s="29" t="s">
        <v>583</v>
      </c>
      <c r="FF362" s="29" t="s">
        <v>583</v>
      </c>
      <c r="FG362" s="29" t="s">
        <v>413</v>
      </c>
      <c r="FH362" s="29" t="s">
        <v>583</v>
      </c>
      <c r="FI362" s="29" t="s">
        <v>583</v>
      </c>
      <c r="FJ362" s="29" t="s">
        <v>583</v>
      </c>
      <c r="FK362" s="29" t="s">
        <v>415</v>
      </c>
      <c r="FL362" s="29" t="s">
        <v>583</v>
      </c>
      <c r="FM362" s="29" t="s">
        <v>416</v>
      </c>
      <c r="FN362" s="29" t="s">
        <v>583</v>
      </c>
      <c r="FO362" s="29" t="s">
        <v>485</v>
      </c>
      <c r="FP362" s="29" t="s">
        <v>2651</v>
      </c>
      <c r="FQ362" s="29" t="s">
        <v>630</v>
      </c>
      <c r="FR362" s="29" t="s">
        <v>7245</v>
      </c>
      <c r="FS362" s="29" t="s">
        <v>1871</v>
      </c>
      <c r="FT362" s="29" t="s">
        <v>1462</v>
      </c>
      <c r="FU362" s="29" t="s">
        <v>533</v>
      </c>
      <c r="FV362" s="29" t="s">
        <v>490</v>
      </c>
      <c r="FW362" s="29" t="s">
        <v>491</v>
      </c>
      <c r="FX362" s="29" t="s">
        <v>7246</v>
      </c>
      <c r="FY362" s="29" t="s">
        <v>493</v>
      </c>
      <c r="FZ362" s="29" t="s">
        <v>7247</v>
      </c>
      <c r="GA362" s="29" t="s">
        <v>7248</v>
      </c>
      <c r="GB362" s="29" t="s">
        <v>408</v>
      </c>
      <c r="GC362" s="29"/>
      <c r="GD362" s="29"/>
      <c r="GE362" s="29"/>
      <c r="GF362" s="29"/>
      <c r="GG362" s="29"/>
      <c r="GH362" s="29"/>
      <c r="GI362" s="29"/>
      <c r="GJ362" s="29" t="s">
        <v>789</v>
      </c>
      <c r="GK362" s="29" t="s">
        <v>789</v>
      </c>
      <c r="GL362" s="29" t="s">
        <v>858</v>
      </c>
      <c r="GM362" s="29"/>
      <c r="GN362" s="29"/>
      <c r="GO362" s="29"/>
      <c r="GP362" s="29"/>
      <c r="GQ362" s="29" t="s">
        <v>3208</v>
      </c>
      <c r="GR362" s="29" t="s">
        <v>4840</v>
      </c>
      <c r="GS362" s="29" t="s">
        <v>7249</v>
      </c>
      <c r="GT362" s="29"/>
      <c r="GU362" s="29"/>
      <c r="HP362" s="31"/>
      <c r="MX362" s="29" t="s">
        <v>10402</v>
      </c>
      <c r="MY362" s="29" t="str">
        <f>IFERROR(__xludf.DUMMYFUNCTION("""COMPUTED_VALUE"""),"District of Columbia")</f>
        <v>District of Columbia</v>
      </c>
    </row>
    <row r="363" ht="16.5" customHeight="1">
      <c r="A363" s="33">
        <v>45956.00984539352</v>
      </c>
      <c r="B363" s="29" t="s">
        <v>368</v>
      </c>
      <c r="C363" s="29" t="s">
        <v>370</v>
      </c>
      <c r="D363" s="29" t="s">
        <v>370</v>
      </c>
      <c r="E363" s="29" t="s">
        <v>6500</v>
      </c>
      <c r="F363" s="29" t="s">
        <v>2559</v>
      </c>
      <c r="G363" s="29" t="s">
        <v>422</v>
      </c>
      <c r="H363" s="29" t="s">
        <v>539</v>
      </c>
      <c r="I363" s="29" t="s">
        <v>424</v>
      </c>
      <c r="J363" s="29" t="s">
        <v>718</v>
      </c>
      <c r="K363" s="29" t="s">
        <v>376</v>
      </c>
      <c r="L363" s="29" t="s">
        <v>591</v>
      </c>
      <c r="M363" s="29" t="s">
        <v>860</v>
      </c>
      <c r="N363" s="29" t="s">
        <v>591</v>
      </c>
      <c r="O363" s="29" t="s">
        <v>671</v>
      </c>
      <c r="P363" s="29" t="s">
        <v>498</v>
      </c>
      <c r="Q363" s="29" t="s">
        <v>499</v>
      </c>
      <c r="R363" s="29" t="s">
        <v>949</v>
      </c>
      <c r="S363" s="29" t="s">
        <v>384</v>
      </c>
      <c r="T363" s="29" t="s">
        <v>385</v>
      </c>
      <c r="U363" s="29"/>
      <c r="V363" s="29"/>
      <c r="W363" s="29" t="s">
        <v>593</v>
      </c>
      <c r="X363" s="29" t="s">
        <v>387</v>
      </c>
      <c r="Y363" s="29" t="s">
        <v>2115</v>
      </c>
      <c r="Z363" s="29" t="s">
        <v>672</v>
      </c>
      <c r="AA363" s="29" t="s">
        <v>7252</v>
      </c>
      <c r="AB363" s="29" t="s">
        <v>7253</v>
      </c>
      <c r="AC363" s="29"/>
      <c r="AD363" s="29"/>
      <c r="AE363" s="29"/>
      <c r="AF363" s="29"/>
      <c r="AG363" s="29"/>
      <c r="AH363" s="29"/>
      <c r="AI363" s="29"/>
      <c r="AJ363" s="29"/>
      <c r="AK363" s="29"/>
      <c r="AL363" s="29"/>
      <c r="AM363" s="29"/>
      <c r="AN363" s="29"/>
      <c r="AO363" s="29"/>
      <c r="AP363" s="29"/>
      <c r="AQ363" s="29"/>
      <c r="AR363" s="29"/>
      <c r="AS363" s="29"/>
      <c r="AT363" s="29"/>
      <c r="AU363" s="29"/>
      <c r="AV363" s="29" t="s">
        <v>1310</v>
      </c>
      <c r="AW363" s="29" t="s">
        <v>391</v>
      </c>
      <c r="AX363" s="29">
        <v>2.0</v>
      </c>
      <c r="AY363" s="29" t="s">
        <v>429</v>
      </c>
      <c r="AZ363" s="29">
        <v>2.0</v>
      </c>
      <c r="BA363" s="29">
        <v>2.0</v>
      </c>
      <c r="BB363" s="29" t="s">
        <v>429</v>
      </c>
      <c r="BC363" s="29" t="s">
        <v>7254</v>
      </c>
      <c r="BD363" s="29" t="s">
        <v>7255</v>
      </c>
      <c r="BE363" s="29" t="s">
        <v>392</v>
      </c>
      <c r="BF363" s="29" t="s">
        <v>433</v>
      </c>
      <c r="BG363" s="29" t="s">
        <v>725</v>
      </c>
      <c r="BH363" s="29" t="s">
        <v>7256</v>
      </c>
      <c r="BI363" s="29" t="s">
        <v>509</v>
      </c>
      <c r="BJ363" s="29" t="s">
        <v>7257</v>
      </c>
      <c r="BK363" s="29" t="s">
        <v>602</v>
      </c>
      <c r="BL363" s="29" t="s">
        <v>512</v>
      </c>
      <c r="BM363" s="29" t="s">
        <v>1247</v>
      </c>
      <c r="BN363" s="29" t="s">
        <v>513</v>
      </c>
      <c r="BO363" s="29"/>
      <c r="BP363" s="29"/>
      <c r="BQ363" s="29"/>
      <c r="BR363" s="29"/>
      <c r="BS363" s="29"/>
      <c r="BT363" s="29"/>
      <c r="BU363" s="29"/>
      <c r="BV363" s="29"/>
      <c r="BW363" s="29"/>
      <c r="BX363" s="29"/>
      <c r="BY363" s="29"/>
      <c r="BZ363" s="29"/>
      <c r="CA363" s="29"/>
      <c r="CB363" s="29"/>
      <c r="CC363" s="29"/>
      <c r="CD363" s="29"/>
      <c r="CE363" s="29"/>
      <c r="CF363" s="29"/>
      <c r="CG363" s="29"/>
      <c r="CH363" s="29"/>
      <c r="CI363" s="29"/>
      <c r="CJ363" s="29"/>
      <c r="CK363" s="29"/>
      <c r="CL363" s="29" t="s">
        <v>441</v>
      </c>
      <c r="CM363" s="29" t="s">
        <v>682</v>
      </c>
      <c r="CN363" s="29" t="s">
        <v>7258</v>
      </c>
      <c r="CO363" s="29" t="s">
        <v>7259</v>
      </c>
      <c r="CP363" s="29" t="s">
        <v>979</v>
      </c>
      <c r="CQ363" s="29" t="s">
        <v>7260</v>
      </c>
      <c r="CR363" s="29" t="s">
        <v>804</v>
      </c>
      <c r="CS363" s="29" t="s">
        <v>1346</v>
      </c>
      <c r="CT363" s="29" t="s">
        <v>7261</v>
      </c>
      <c r="CU363" s="29" t="s">
        <v>982</v>
      </c>
      <c r="CV363" s="29" t="s">
        <v>409</v>
      </c>
      <c r="CW363" s="29" t="s">
        <v>7262</v>
      </c>
      <c r="CX363" s="29" t="s">
        <v>408</v>
      </c>
      <c r="CY363" s="29"/>
      <c r="CZ363" s="29" t="s">
        <v>1398</v>
      </c>
      <c r="DA363" s="29" t="s">
        <v>7263</v>
      </c>
      <c r="DB363" s="29" t="s">
        <v>408</v>
      </c>
      <c r="DC363" s="29"/>
      <c r="DD363" s="29" t="s">
        <v>406</v>
      </c>
      <c r="DE363" s="29" t="s">
        <v>407</v>
      </c>
      <c r="DF363" s="29" t="s">
        <v>7264</v>
      </c>
      <c r="DG363" s="29" t="s">
        <v>4899</v>
      </c>
      <c r="DH363" s="29" t="s">
        <v>1964</v>
      </c>
      <c r="DI363" s="29" t="s">
        <v>459</v>
      </c>
      <c r="DJ363" s="29" t="s">
        <v>613</v>
      </c>
      <c r="DK363" s="29"/>
      <c r="DL363" s="29"/>
      <c r="DM363" s="29"/>
      <c r="DN363" s="29"/>
      <c r="DO363" s="29"/>
      <c r="DP363" s="29"/>
      <c r="DQ363" s="29"/>
      <c r="DR363" s="29"/>
      <c r="DS363" s="29"/>
      <c r="DT363" s="29"/>
      <c r="DU363" s="29"/>
      <c r="DV363" s="29"/>
      <c r="DW363" s="29"/>
      <c r="DX363" s="29"/>
      <c r="DY363" s="29"/>
      <c r="DZ363" s="29"/>
      <c r="EA363" s="29"/>
      <c r="EB363" s="29"/>
      <c r="EC363" s="29"/>
      <c r="ED363" s="29"/>
      <c r="EE363" s="29"/>
      <c r="EF363" s="29"/>
      <c r="EG363" s="29"/>
      <c r="EH363" s="29"/>
      <c r="EI363" s="29"/>
      <c r="EJ363" s="29"/>
      <c r="EK363" s="29"/>
      <c r="EL363" s="29"/>
      <c r="EM363" s="29"/>
      <c r="EN363" s="29"/>
      <c r="EO363" s="29"/>
      <c r="EP363" s="29"/>
      <c r="EQ363" s="29"/>
      <c r="ER363" s="29"/>
      <c r="ES363" s="29"/>
      <c r="ET363" s="29" t="s">
        <v>526</v>
      </c>
      <c r="EU363" s="29" t="s">
        <v>579</v>
      </c>
      <c r="EV363" s="29" t="s">
        <v>480</v>
      </c>
      <c r="EW363" s="29" t="s">
        <v>7265</v>
      </c>
      <c r="EX363" s="29" t="s">
        <v>7266</v>
      </c>
      <c r="EY363" s="29" t="s">
        <v>7267</v>
      </c>
      <c r="EZ363" s="29" t="s">
        <v>583</v>
      </c>
      <c r="FA363" s="29" t="s">
        <v>583</v>
      </c>
      <c r="FB363" s="29" t="s">
        <v>416</v>
      </c>
      <c r="FC363" s="29" t="s">
        <v>583</v>
      </c>
      <c r="FD363" s="29" t="s">
        <v>484</v>
      </c>
      <c r="FE363" s="29" t="s">
        <v>583</v>
      </c>
      <c r="FF363" s="29" t="s">
        <v>484</v>
      </c>
      <c r="FG363" s="29" t="s">
        <v>583</v>
      </c>
      <c r="FH363" s="29" t="s">
        <v>484</v>
      </c>
      <c r="FI363" s="29" t="s">
        <v>583</v>
      </c>
      <c r="FJ363" s="29" t="s">
        <v>583</v>
      </c>
      <c r="FK363" s="29" t="s">
        <v>583</v>
      </c>
      <c r="FL363" s="29" t="s">
        <v>583</v>
      </c>
      <c r="FM363" s="29" t="s">
        <v>484</v>
      </c>
      <c r="FN363" s="29" t="s">
        <v>583</v>
      </c>
      <c r="FO363" s="29" t="s">
        <v>1537</v>
      </c>
      <c r="FP363" s="29" t="s">
        <v>2651</v>
      </c>
      <c r="FQ363" s="29" t="s">
        <v>419</v>
      </c>
      <c r="FR363" s="29" t="s">
        <v>6934</v>
      </c>
      <c r="FS363" s="29" t="s">
        <v>1871</v>
      </c>
      <c r="FT363" s="29" t="s">
        <v>1476</v>
      </c>
      <c r="FU363" s="29" t="s">
        <v>533</v>
      </c>
      <c r="FV363" s="29" t="s">
        <v>2399</v>
      </c>
      <c r="FW363" s="29" t="s">
        <v>1853</v>
      </c>
      <c r="FX363" s="29" t="s">
        <v>7268</v>
      </c>
      <c r="FY363" s="29" t="s">
        <v>1020</v>
      </c>
      <c r="FZ363" s="29" t="s">
        <v>7269</v>
      </c>
      <c r="GA363" s="29" t="s">
        <v>7270</v>
      </c>
      <c r="GB363" s="29" t="s">
        <v>455</v>
      </c>
      <c r="GC363" s="29"/>
      <c r="GD363" s="29"/>
      <c r="GE363" s="29" t="s">
        <v>944</v>
      </c>
      <c r="GF363" s="29" t="s">
        <v>7271</v>
      </c>
      <c r="GG363" s="29" t="s">
        <v>755</v>
      </c>
      <c r="GH363" s="29" t="s">
        <v>1000</v>
      </c>
      <c r="GI363" s="29" t="s">
        <v>817</v>
      </c>
      <c r="GJ363" s="29"/>
      <c r="GK363" s="29"/>
      <c r="GL363" s="29"/>
      <c r="GM363" s="29"/>
      <c r="GN363" s="29"/>
      <c r="GO363" s="29"/>
      <c r="GP363" s="29"/>
      <c r="GQ363" s="29" t="s">
        <v>5656</v>
      </c>
      <c r="GR363" s="29"/>
      <c r="GS363" s="29"/>
      <c r="GT363" s="29" t="s">
        <v>5081</v>
      </c>
      <c r="GU363" s="29" t="s">
        <v>7272</v>
      </c>
      <c r="HP363" s="31"/>
      <c r="MX363" s="29" t="s">
        <v>10402</v>
      </c>
      <c r="MY363" s="29" t="str">
        <f>IFERROR(__xludf.DUMMYFUNCTION("""COMPUTED_VALUE"""),"Massachusetts")</f>
        <v>Massachusetts</v>
      </c>
    </row>
    <row r="364" ht="16.5" customHeight="1">
      <c r="A364" s="33">
        <v>45956.86146025463</v>
      </c>
      <c r="B364" s="29" t="s">
        <v>368</v>
      </c>
      <c r="C364" s="29" t="s">
        <v>370</v>
      </c>
      <c r="D364" s="29" t="s">
        <v>370</v>
      </c>
      <c r="E364" s="29" t="s">
        <v>1001</v>
      </c>
      <c r="F364" s="29" t="s">
        <v>371</v>
      </c>
      <c r="G364" s="29" t="s">
        <v>422</v>
      </c>
      <c r="H364" s="29" t="s">
        <v>373</v>
      </c>
      <c r="I364" s="29" t="s">
        <v>374</v>
      </c>
      <c r="J364" s="29" t="s">
        <v>375</v>
      </c>
      <c r="K364" s="29" t="s">
        <v>376</v>
      </c>
      <c r="L364" s="29" t="s">
        <v>591</v>
      </c>
      <c r="M364" s="29" t="s">
        <v>1270</v>
      </c>
      <c r="N364" s="29" t="s">
        <v>591</v>
      </c>
      <c r="O364" s="29" t="s">
        <v>1270</v>
      </c>
      <c r="P364" s="29" t="s">
        <v>592</v>
      </c>
      <c r="Q364" s="29" t="s">
        <v>382</v>
      </c>
      <c r="R364" s="29" t="s">
        <v>500</v>
      </c>
      <c r="S364" s="29" t="s">
        <v>384</v>
      </c>
      <c r="T364" s="29" t="s">
        <v>385</v>
      </c>
      <c r="U364" s="29"/>
      <c r="V364" s="29"/>
      <c r="W364" s="29" t="s">
        <v>3014</v>
      </c>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t="s">
        <v>504</v>
      </c>
      <c r="AW364" s="29" t="s">
        <v>391</v>
      </c>
      <c r="AX364" s="29" t="s">
        <v>391</v>
      </c>
      <c r="AY364" s="29" t="s">
        <v>391</v>
      </c>
      <c r="AZ364" s="29" t="s">
        <v>429</v>
      </c>
      <c r="BA364" s="29">
        <v>2.0</v>
      </c>
      <c r="BB364" s="29">
        <v>2.0</v>
      </c>
      <c r="BC364" s="29"/>
      <c r="BD364" s="29"/>
      <c r="BE364" s="29" t="s">
        <v>392</v>
      </c>
      <c r="BF364" s="29" t="s">
        <v>433</v>
      </c>
      <c r="BG364" s="29" t="s">
        <v>725</v>
      </c>
      <c r="BH364" s="29"/>
      <c r="BI364" s="29" t="s">
        <v>509</v>
      </c>
      <c r="BJ364" s="29"/>
      <c r="BK364" s="29" t="s">
        <v>395</v>
      </c>
      <c r="BL364" s="29" t="s">
        <v>438</v>
      </c>
      <c r="BM364" s="29" t="s">
        <v>439</v>
      </c>
      <c r="BN364" s="29" t="s">
        <v>513</v>
      </c>
      <c r="BO364" s="29"/>
      <c r="BP364" s="29"/>
      <c r="BQ364" s="29"/>
      <c r="BR364" s="29"/>
      <c r="BS364" s="29"/>
      <c r="BT364" s="29"/>
      <c r="BU364" s="29"/>
      <c r="BV364" s="29"/>
      <c r="BW364" s="29"/>
      <c r="BX364" s="29"/>
      <c r="BY364" s="29"/>
      <c r="BZ364" s="29"/>
      <c r="CA364" s="29"/>
      <c r="CB364" s="29"/>
      <c r="CC364" s="29"/>
      <c r="CD364" s="29"/>
      <c r="CE364" s="29"/>
      <c r="CF364" s="29"/>
      <c r="CG364" s="29"/>
      <c r="CH364" s="29"/>
      <c r="CI364" s="29"/>
      <c r="CJ364" s="29"/>
      <c r="CK364" s="29"/>
      <c r="CL364" s="29" t="s">
        <v>441</v>
      </c>
      <c r="CM364" s="29" t="s">
        <v>401</v>
      </c>
      <c r="CN364" s="29"/>
      <c r="CO364" s="29"/>
      <c r="CP364" s="29" t="s">
        <v>403</v>
      </c>
      <c r="CQ364" s="29" t="s">
        <v>7273</v>
      </c>
      <c r="CR364" s="29" t="s">
        <v>447</v>
      </c>
      <c r="CS364" s="29" t="s">
        <v>1137</v>
      </c>
      <c r="CT364" s="29"/>
      <c r="CU364" s="29" t="s">
        <v>450</v>
      </c>
      <c r="CV364" s="29" t="s">
        <v>451</v>
      </c>
      <c r="CW364" s="29"/>
      <c r="CX364" s="29" t="s">
        <v>408</v>
      </c>
      <c r="CY364" s="29"/>
      <c r="CZ364" s="29" t="s">
        <v>453</v>
      </c>
      <c r="DA364" s="29"/>
      <c r="DB364" s="29" t="s">
        <v>913</v>
      </c>
      <c r="DC364" s="29"/>
      <c r="DD364" s="29" t="s">
        <v>406</v>
      </c>
      <c r="DE364" s="29" t="s">
        <v>407</v>
      </c>
      <c r="DF364" s="29"/>
      <c r="DG364" s="29" t="s">
        <v>561</v>
      </c>
      <c r="DH364" s="29" t="s">
        <v>410</v>
      </c>
      <c r="DI364" s="29" t="s">
        <v>459</v>
      </c>
      <c r="DJ364" s="29" t="s">
        <v>613</v>
      </c>
      <c r="DK364" s="29"/>
      <c r="DL364" s="29"/>
      <c r="DM364" s="29"/>
      <c r="DN364" s="29"/>
      <c r="DO364" s="29"/>
      <c r="DP364" s="29"/>
      <c r="DQ364" s="29"/>
      <c r="DR364" s="29"/>
      <c r="DS364" s="29"/>
      <c r="DT364" s="29"/>
      <c r="DU364" s="29"/>
      <c r="DV364" s="29"/>
      <c r="DW364" s="29"/>
      <c r="DX364" s="29"/>
      <c r="DY364" s="29"/>
      <c r="DZ364" s="29"/>
      <c r="EA364" s="29"/>
      <c r="EB364" s="29"/>
      <c r="EC364" s="29"/>
      <c r="ED364" s="29"/>
      <c r="EE364" s="29"/>
      <c r="EF364" s="29"/>
      <c r="EG364" s="29"/>
      <c r="EH364" s="29"/>
      <c r="EI364" s="29"/>
      <c r="EJ364" s="29"/>
      <c r="EK364" s="29"/>
      <c r="EL364" s="29"/>
      <c r="EM364" s="29"/>
      <c r="EN364" s="29"/>
      <c r="EO364" s="29"/>
      <c r="EP364" s="29"/>
      <c r="EQ364" s="29"/>
      <c r="ER364" s="29"/>
      <c r="ES364" s="29"/>
      <c r="ET364" s="29" t="s">
        <v>526</v>
      </c>
      <c r="EU364" s="29" t="s">
        <v>479</v>
      </c>
      <c r="EV364" s="29" t="s">
        <v>480</v>
      </c>
      <c r="EW364" s="29"/>
      <c r="EX364" s="29"/>
      <c r="EY364" s="29"/>
      <c r="EZ364" s="29" t="s">
        <v>415</v>
      </c>
      <c r="FA364" s="29" t="s">
        <v>415</v>
      </c>
      <c r="FB364" s="29" t="s">
        <v>413</v>
      </c>
      <c r="FC364" s="29" t="s">
        <v>413</v>
      </c>
      <c r="FD364" s="29" t="s">
        <v>413</v>
      </c>
      <c r="FE364" s="29" t="s">
        <v>415</v>
      </c>
      <c r="FF364" s="29" t="s">
        <v>415</v>
      </c>
      <c r="FG364" s="29" t="s">
        <v>413</v>
      </c>
      <c r="FH364" s="29" t="s">
        <v>583</v>
      </c>
      <c r="FI364" s="29" t="s">
        <v>415</v>
      </c>
      <c r="FJ364" s="29" t="s">
        <v>413</v>
      </c>
      <c r="FK364" s="29" t="s">
        <v>415</v>
      </c>
      <c r="FL364" s="29" t="s">
        <v>415</v>
      </c>
      <c r="FM364" s="29" t="s">
        <v>413</v>
      </c>
      <c r="FN364" s="29" t="s">
        <v>583</v>
      </c>
      <c r="FO364" s="29" t="s">
        <v>850</v>
      </c>
      <c r="FP364" s="29" t="s">
        <v>418</v>
      </c>
      <c r="FQ364" s="29" t="s">
        <v>1039</v>
      </c>
      <c r="FR364" s="29"/>
      <c r="FS364" s="29" t="s">
        <v>420</v>
      </c>
      <c r="FT364" s="29" t="s">
        <v>488</v>
      </c>
      <c r="FU364" s="29" t="s">
        <v>533</v>
      </c>
      <c r="FV364" s="29" t="s">
        <v>490</v>
      </c>
      <c r="FW364" s="29" t="s">
        <v>491</v>
      </c>
      <c r="FX364" s="29"/>
      <c r="FY364" s="29" t="s">
        <v>535</v>
      </c>
      <c r="FZ364" s="29"/>
      <c r="GA364" s="29"/>
      <c r="GB364" s="29" t="s">
        <v>408</v>
      </c>
      <c r="GC364" s="29"/>
      <c r="GD364" s="29"/>
      <c r="GE364" s="29"/>
      <c r="GF364" s="29"/>
      <c r="GG364" s="29" t="s">
        <v>755</v>
      </c>
      <c r="GH364" s="29" t="s">
        <v>755</v>
      </c>
      <c r="GI364" s="29" t="s">
        <v>946</v>
      </c>
      <c r="GJ364" s="29"/>
      <c r="GK364" s="29"/>
      <c r="GL364" s="29"/>
      <c r="GM364" s="29"/>
      <c r="GN364" s="29"/>
      <c r="GO364" s="29"/>
      <c r="GP364" s="29"/>
      <c r="GQ364" s="29" t="s">
        <v>3208</v>
      </c>
      <c r="GR364" s="29"/>
      <c r="GS364" s="29"/>
      <c r="GT364" s="29" t="s">
        <v>4774</v>
      </c>
      <c r="GU364" s="29"/>
      <c r="HP364" s="31"/>
      <c r="MX364" s="29" t="s">
        <v>894</v>
      </c>
      <c r="MY364" s="29" t="str">
        <f>IFERROR(__xludf.DUMMYFUNCTION("""COMPUTED_VALUE"""),"Ontario")</f>
        <v>Ontario</v>
      </c>
    </row>
    <row r="365" ht="16.5" customHeight="1">
      <c r="A365" s="33">
        <v>45956.90730827546</v>
      </c>
      <c r="B365" s="29" t="s">
        <v>368</v>
      </c>
      <c r="C365" s="29" t="s">
        <v>894</v>
      </c>
      <c r="D365" s="29" t="s">
        <v>894</v>
      </c>
      <c r="E365" s="29"/>
      <c r="F365" s="29"/>
      <c r="G365" s="29" t="s">
        <v>422</v>
      </c>
      <c r="H365" s="29" t="s">
        <v>373</v>
      </c>
      <c r="I365" s="29" t="s">
        <v>374</v>
      </c>
      <c r="J365" s="29" t="s">
        <v>375</v>
      </c>
      <c r="K365" s="29" t="s">
        <v>376</v>
      </c>
      <c r="L365" s="29" t="s">
        <v>793</v>
      </c>
      <c r="M365" s="29" t="s">
        <v>7274</v>
      </c>
      <c r="N365" s="29" t="s">
        <v>793</v>
      </c>
      <c r="O365" s="29" t="s">
        <v>719</v>
      </c>
      <c r="P365" s="29" t="s">
        <v>592</v>
      </c>
      <c r="Q365" s="29" t="s">
        <v>499</v>
      </c>
      <c r="R365" s="29" t="s">
        <v>500</v>
      </c>
      <c r="S365" s="29" t="s">
        <v>384</v>
      </c>
      <c r="T365" s="29" t="s">
        <v>385</v>
      </c>
      <c r="U365" s="29" t="s">
        <v>896</v>
      </c>
      <c r="V365" s="29" t="s">
        <v>896</v>
      </c>
      <c r="W365" s="29" t="s">
        <v>3231</v>
      </c>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t="s">
        <v>390</v>
      </c>
      <c r="AW365" s="29" t="s">
        <v>391</v>
      </c>
      <c r="AX365" s="29" t="s">
        <v>391</v>
      </c>
      <c r="AY365" s="29">
        <v>2.0</v>
      </c>
      <c r="AZ365" s="29" t="s">
        <v>429</v>
      </c>
      <c r="BA365" s="29" t="s">
        <v>429</v>
      </c>
      <c r="BB365" s="29" t="s">
        <v>391</v>
      </c>
      <c r="BC365" s="29" t="s">
        <v>7275</v>
      </c>
      <c r="BD365" s="29" t="s">
        <v>7276</v>
      </c>
      <c r="BE365" s="29" t="s">
        <v>902</v>
      </c>
      <c r="BF365" s="29" t="s">
        <v>1047</v>
      </c>
      <c r="BG365" s="29" t="s">
        <v>678</v>
      </c>
      <c r="BH365" s="29" t="s">
        <v>7277</v>
      </c>
      <c r="BI365" s="29" t="s">
        <v>509</v>
      </c>
      <c r="BJ365" s="29" t="s">
        <v>7278</v>
      </c>
      <c r="BK365" s="29" t="s">
        <v>437</v>
      </c>
      <c r="BL365" s="29" t="s">
        <v>603</v>
      </c>
      <c r="BM365" s="29" t="s">
        <v>549</v>
      </c>
      <c r="BN365" s="29" t="s">
        <v>513</v>
      </c>
      <c r="BO365" s="29"/>
      <c r="BP365" s="29"/>
      <c r="BQ365" s="29"/>
      <c r="BR365" s="29"/>
      <c r="BS365" s="29"/>
      <c r="BT365" s="29"/>
      <c r="BU365" s="29"/>
      <c r="BV365" s="29"/>
      <c r="BW365" s="29"/>
      <c r="BX365" s="29"/>
      <c r="BY365" s="29"/>
      <c r="BZ365" s="29"/>
      <c r="CA365" s="29"/>
      <c r="CB365" s="29"/>
      <c r="CC365" s="29"/>
      <c r="CD365" s="29"/>
      <c r="CE365" s="29"/>
      <c r="CF365" s="29"/>
      <c r="CG365" s="29"/>
      <c r="CH365" s="29"/>
      <c r="CI365" s="29"/>
      <c r="CJ365" s="29"/>
      <c r="CK365" s="29"/>
      <c r="CL365" s="29" t="s">
        <v>441</v>
      </c>
      <c r="CM365" s="29" t="s">
        <v>604</v>
      </c>
      <c r="CN365" s="29" t="s">
        <v>552</v>
      </c>
      <c r="CO365" s="29" t="s">
        <v>7279</v>
      </c>
      <c r="CP365" s="29" t="s">
        <v>685</v>
      </c>
      <c r="CQ365" s="29" t="s">
        <v>7280</v>
      </c>
      <c r="CR365" s="29" t="s">
        <v>447</v>
      </c>
      <c r="CS365" s="29" t="s">
        <v>6848</v>
      </c>
      <c r="CT365" s="29" t="s">
        <v>7281</v>
      </c>
      <c r="CU365" s="29" t="s">
        <v>519</v>
      </c>
      <c r="CV365" s="29" t="s">
        <v>451</v>
      </c>
      <c r="CW365" s="29" t="s">
        <v>7282</v>
      </c>
      <c r="CX365" s="29" t="s">
        <v>408</v>
      </c>
      <c r="CY365" s="29"/>
      <c r="CZ365" s="29" t="s">
        <v>453</v>
      </c>
      <c r="DA365" s="29" t="s">
        <v>7283</v>
      </c>
      <c r="DB365" s="29" t="s">
        <v>455</v>
      </c>
      <c r="DC365" s="29" t="s">
        <v>7284</v>
      </c>
      <c r="DD365" s="29" t="s">
        <v>457</v>
      </c>
      <c r="DE365" s="29"/>
      <c r="DF365" s="29" t="s">
        <v>7285</v>
      </c>
      <c r="DG365" s="29" t="s">
        <v>561</v>
      </c>
      <c r="DH365" s="29" t="s">
        <v>410</v>
      </c>
      <c r="DI365" s="29" t="s">
        <v>459</v>
      </c>
      <c r="DJ365" s="29" t="s">
        <v>460</v>
      </c>
      <c r="DK365" s="29" t="s">
        <v>6335</v>
      </c>
      <c r="DL365" s="29"/>
      <c r="DM365" s="29"/>
      <c r="DN365" s="29"/>
      <c r="DO365" s="29"/>
      <c r="DP365" s="29"/>
      <c r="DQ365" s="29"/>
      <c r="DR365" s="29"/>
      <c r="DS365" s="29"/>
      <c r="DT365" s="29"/>
      <c r="DU365" s="29"/>
      <c r="DV365" s="29"/>
      <c r="DW365" s="29"/>
      <c r="DX365" s="29"/>
      <c r="DY365" s="29"/>
      <c r="DZ365" s="29"/>
      <c r="EA365" s="29"/>
      <c r="EB365" s="29"/>
      <c r="EC365" s="29"/>
      <c r="ED365" s="29"/>
      <c r="EE365" s="29"/>
      <c r="EF365" s="29"/>
      <c r="EG365" s="29"/>
      <c r="EH365" s="29"/>
      <c r="EI365" s="29"/>
      <c r="EJ365" s="29"/>
      <c r="EK365" s="29"/>
      <c r="EL365" s="29"/>
      <c r="EM365" s="29"/>
      <c r="EN365" s="29"/>
      <c r="EO365" s="29"/>
      <c r="EP365" s="29"/>
      <c r="EQ365" s="29"/>
      <c r="ER365" s="29"/>
      <c r="ES365" s="29"/>
      <c r="ET365" s="29" t="s">
        <v>526</v>
      </c>
      <c r="EU365" s="29" t="s">
        <v>887</v>
      </c>
      <c r="EV365" s="29" t="s">
        <v>1262</v>
      </c>
      <c r="EW365" s="29"/>
      <c r="EX365" s="29" t="s">
        <v>7286</v>
      </c>
      <c r="EY365" s="29"/>
      <c r="EZ365" s="29" t="s">
        <v>415</v>
      </c>
      <c r="FA365" s="29" t="s">
        <v>415</v>
      </c>
      <c r="FB365" s="29" t="s">
        <v>413</v>
      </c>
      <c r="FC365" s="29" t="s">
        <v>413</v>
      </c>
      <c r="FD365" s="29" t="s">
        <v>413</v>
      </c>
      <c r="FE365" s="29" t="s">
        <v>415</v>
      </c>
      <c r="FF365" s="29" t="s">
        <v>413</v>
      </c>
      <c r="FG365" s="29" t="s">
        <v>413</v>
      </c>
      <c r="FH365" s="29" t="s">
        <v>583</v>
      </c>
      <c r="FI365" s="29" t="s">
        <v>416</v>
      </c>
      <c r="FJ365" s="29" t="s">
        <v>416</v>
      </c>
      <c r="FK365" s="29" t="s">
        <v>413</v>
      </c>
      <c r="FL365" s="29" t="s">
        <v>415</v>
      </c>
      <c r="FM365" s="29" t="s">
        <v>413</v>
      </c>
      <c r="FN365" s="29" t="s">
        <v>583</v>
      </c>
      <c r="FO365" s="29" t="s">
        <v>485</v>
      </c>
      <c r="FP365" s="29" t="s">
        <v>486</v>
      </c>
      <c r="FQ365" s="29" t="s">
        <v>531</v>
      </c>
      <c r="FR365" s="29" t="s">
        <v>7287</v>
      </c>
      <c r="FS365" s="29" t="s">
        <v>420</v>
      </c>
      <c r="FT365" s="29" t="s">
        <v>488</v>
      </c>
      <c r="FU365" s="29" t="s">
        <v>918</v>
      </c>
      <c r="FV365" s="29" t="s">
        <v>490</v>
      </c>
      <c r="FW365" s="29" t="s">
        <v>491</v>
      </c>
      <c r="FX365" s="29" t="s">
        <v>7288</v>
      </c>
      <c r="FY365" s="29" t="s">
        <v>535</v>
      </c>
      <c r="FZ365" s="29"/>
      <c r="GA365" s="29"/>
      <c r="GB365" s="29" t="s">
        <v>408</v>
      </c>
      <c r="GC365" s="29"/>
      <c r="GD365" s="29"/>
      <c r="GE365" s="29"/>
      <c r="GF365" s="29"/>
      <c r="GG365" s="29" t="s">
        <v>755</v>
      </c>
      <c r="GH365" s="29" t="s">
        <v>755</v>
      </c>
      <c r="GI365" s="29" t="s">
        <v>946</v>
      </c>
      <c r="GJ365" s="29"/>
      <c r="GK365" s="29"/>
      <c r="GL365" s="29"/>
      <c r="GM365" s="29"/>
      <c r="GN365" s="29"/>
      <c r="GO365" s="29"/>
      <c r="GP365" s="29" t="s">
        <v>387</v>
      </c>
      <c r="GQ365" s="29" t="s">
        <v>3208</v>
      </c>
      <c r="GR365" s="29"/>
      <c r="GS365" s="29"/>
      <c r="GT365" s="29" t="s">
        <v>4774</v>
      </c>
      <c r="GU365" s="29"/>
      <c r="HP365" s="31"/>
      <c r="MX365" s="29" t="s">
        <v>10402</v>
      </c>
      <c r="MY365" s="29" t="str">
        <f>IFERROR(__xludf.DUMMYFUNCTION("""COMPUTED_VALUE"""),"New Jersey")</f>
        <v>New Jersey</v>
      </c>
    </row>
    <row r="366" ht="16.5" customHeight="1">
      <c r="A366" s="33">
        <v>45956.91186146991</v>
      </c>
      <c r="B366" s="29" t="s">
        <v>368</v>
      </c>
      <c r="C366" s="29" t="s">
        <v>370</v>
      </c>
      <c r="D366" s="29" t="s">
        <v>370</v>
      </c>
      <c r="E366" s="29" t="s">
        <v>2359</v>
      </c>
      <c r="F366" s="29" t="s">
        <v>4905</v>
      </c>
      <c r="G366" s="29" t="s">
        <v>2657</v>
      </c>
      <c r="H366" s="29" t="s">
        <v>373</v>
      </c>
      <c r="I366" s="29" t="s">
        <v>638</v>
      </c>
      <c r="J366" s="29" t="s">
        <v>718</v>
      </c>
      <c r="K366" s="29" t="s">
        <v>376</v>
      </c>
      <c r="L366" s="29" t="s">
        <v>591</v>
      </c>
      <c r="M366" s="29" t="s">
        <v>378</v>
      </c>
      <c r="N366" s="29" t="s">
        <v>591</v>
      </c>
      <c r="O366" s="29" t="s">
        <v>497</v>
      </c>
      <c r="P366" s="29" t="s">
        <v>498</v>
      </c>
      <c r="Q366" s="29" t="s">
        <v>1004</v>
      </c>
      <c r="R366" s="29" t="s">
        <v>949</v>
      </c>
      <c r="S366" s="29" t="s">
        <v>7289</v>
      </c>
      <c r="T366" s="29" t="s">
        <v>385</v>
      </c>
      <c r="U366" s="29"/>
      <c r="V366" s="29"/>
      <c r="W366" s="29" t="s">
        <v>3014</v>
      </c>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t="s">
        <v>390</v>
      </c>
      <c r="AW366" s="29" t="s">
        <v>391</v>
      </c>
      <c r="AX366" s="29">
        <v>2.0</v>
      </c>
      <c r="AY366" s="29" t="s">
        <v>391</v>
      </c>
      <c r="AZ366" s="29">
        <v>2.0</v>
      </c>
      <c r="BA366" s="29" t="s">
        <v>391</v>
      </c>
      <c r="BB366" s="29">
        <v>2.0</v>
      </c>
      <c r="BC366" s="29" t="s">
        <v>7290</v>
      </c>
      <c r="BD366" s="29" t="s">
        <v>7291</v>
      </c>
      <c r="BE366" s="29" t="s">
        <v>392</v>
      </c>
      <c r="BF366" s="29" t="s">
        <v>433</v>
      </c>
      <c r="BG366" s="29" t="s">
        <v>725</v>
      </c>
      <c r="BH366" s="29" t="s">
        <v>7292</v>
      </c>
      <c r="BI366" s="29" t="s">
        <v>824</v>
      </c>
      <c r="BJ366" s="29"/>
      <c r="BK366" s="29" t="s">
        <v>511</v>
      </c>
      <c r="BL366" s="29" t="s">
        <v>396</v>
      </c>
      <c r="BM366" s="29" t="s">
        <v>439</v>
      </c>
      <c r="BN366" s="29" t="s">
        <v>440</v>
      </c>
      <c r="BO366" s="29"/>
      <c r="BP366" s="29"/>
      <c r="BQ366" s="29"/>
      <c r="BR366" s="29"/>
      <c r="BS366" s="29"/>
      <c r="BT366" s="29"/>
      <c r="BU366" s="29"/>
      <c r="BV366" s="29"/>
      <c r="BW366" s="29"/>
      <c r="BX366" s="29"/>
      <c r="BY366" s="29"/>
      <c r="BZ366" s="29"/>
      <c r="CA366" s="29"/>
      <c r="CB366" s="29"/>
      <c r="CC366" s="29"/>
      <c r="CD366" s="29"/>
      <c r="CE366" s="29"/>
      <c r="CF366" s="29"/>
      <c r="CG366" s="29"/>
      <c r="CH366" s="29"/>
      <c r="CI366" s="29"/>
      <c r="CJ366" s="29"/>
      <c r="CK366" s="29"/>
      <c r="CL366" s="29" t="s">
        <v>441</v>
      </c>
      <c r="CM366" s="29" t="s">
        <v>401</v>
      </c>
      <c r="CN366" s="29" t="s">
        <v>552</v>
      </c>
      <c r="CO366" s="29" t="s">
        <v>7293</v>
      </c>
      <c r="CP366" s="29" t="s">
        <v>685</v>
      </c>
      <c r="CQ366" s="29" t="s">
        <v>3703</v>
      </c>
      <c r="CR366" s="29" t="s">
        <v>447</v>
      </c>
      <c r="CS366" s="29" t="s">
        <v>5348</v>
      </c>
      <c r="CT366" s="29" t="s">
        <v>7294</v>
      </c>
      <c r="CU366" s="29" t="s">
        <v>450</v>
      </c>
      <c r="CV366" s="29" t="s">
        <v>451</v>
      </c>
      <c r="CW366" s="29" t="s">
        <v>7295</v>
      </c>
      <c r="CX366" s="29" t="s">
        <v>408</v>
      </c>
      <c r="CY366" s="29"/>
      <c r="CZ366" s="29" t="s">
        <v>453</v>
      </c>
      <c r="DA366" s="29" t="s">
        <v>7296</v>
      </c>
      <c r="DB366" s="29" t="s">
        <v>408</v>
      </c>
      <c r="DC366" s="29"/>
      <c r="DD366" s="29" t="s">
        <v>457</v>
      </c>
      <c r="DE366" s="29"/>
      <c r="DF366" s="29" t="s">
        <v>7297</v>
      </c>
      <c r="DG366" s="29" t="s">
        <v>561</v>
      </c>
      <c r="DH366" s="29" t="s">
        <v>1964</v>
      </c>
      <c r="DI366" s="29" t="s">
        <v>459</v>
      </c>
      <c r="DJ366" s="29" t="s">
        <v>562</v>
      </c>
      <c r="DK366" s="29" t="s">
        <v>6603</v>
      </c>
      <c r="DL366" s="29" t="s">
        <v>7298</v>
      </c>
      <c r="DM366" s="29" t="s">
        <v>7299</v>
      </c>
      <c r="DN366" s="29" t="s">
        <v>3469</v>
      </c>
      <c r="DO366" s="29" t="s">
        <v>464</v>
      </c>
      <c r="DP366" s="29" t="s">
        <v>7300</v>
      </c>
      <c r="DQ366" s="29" t="s">
        <v>1578</v>
      </c>
      <c r="DR366" s="29" t="s">
        <v>7301</v>
      </c>
      <c r="DS366" s="29" t="s">
        <v>839</v>
      </c>
      <c r="DT366" s="29" t="s">
        <v>619</v>
      </c>
      <c r="DU366" s="29" t="s">
        <v>7302</v>
      </c>
      <c r="DV366" s="29" t="s">
        <v>7303</v>
      </c>
      <c r="DW366" s="29" t="s">
        <v>1328</v>
      </c>
      <c r="DX366" s="29" t="s">
        <v>7304</v>
      </c>
      <c r="DY366" s="29" t="s">
        <v>7305</v>
      </c>
      <c r="DZ366" s="29" t="s">
        <v>7306</v>
      </c>
      <c r="EA366" s="29" t="s">
        <v>475</v>
      </c>
      <c r="EB366" s="29" t="s">
        <v>626</v>
      </c>
      <c r="EC366" s="29" t="s">
        <v>7307</v>
      </c>
      <c r="ED366" s="29"/>
      <c r="EE366" s="29"/>
      <c r="EF366" s="29"/>
      <c r="EG366" s="29"/>
      <c r="EH366" s="29"/>
      <c r="EI366" s="29"/>
      <c r="EJ366" s="29"/>
      <c r="EK366" s="29"/>
      <c r="EL366" s="29"/>
      <c r="EM366" s="29"/>
      <c r="EN366" s="29"/>
      <c r="EO366" s="29"/>
      <c r="EP366" s="29"/>
      <c r="EQ366" s="29"/>
      <c r="ER366" s="29"/>
      <c r="ES366" s="29"/>
      <c r="ET366" s="29" t="s">
        <v>526</v>
      </c>
      <c r="EU366" s="29" t="s">
        <v>479</v>
      </c>
      <c r="EV366" s="29" t="s">
        <v>480</v>
      </c>
      <c r="EW366" s="29"/>
      <c r="EX366" s="29" t="s">
        <v>7308</v>
      </c>
      <c r="EY366" s="29" t="s">
        <v>7309</v>
      </c>
      <c r="EZ366" s="29" t="s">
        <v>413</v>
      </c>
      <c r="FA366" s="29" t="s">
        <v>415</v>
      </c>
      <c r="FB366" s="29" t="s">
        <v>413</v>
      </c>
      <c r="FC366" s="29" t="s">
        <v>484</v>
      </c>
      <c r="FD366" s="29" t="s">
        <v>413</v>
      </c>
      <c r="FE366" s="29" t="s">
        <v>415</v>
      </c>
      <c r="FF366" s="29" t="s">
        <v>484</v>
      </c>
      <c r="FG366" s="29" t="s">
        <v>484</v>
      </c>
      <c r="FH366" s="29" t="s">
        <v>484</v>
      </c>
      <c r="FI366" s="29" t="s">
        <v>484</v>
      </c>
      <c r="FJ366" s="29" t="s">
        <v>484</v>
      </c>
      <c r="FK366" s="29" t="s">
        <v>484</v>
      </c>
      <c r="FL366" s="29" t="s">
        <v>484</v>
      </c>
      <c r="FM366" s="29" t="s">
        <v>484</v>
      </c>
      <c r="FN366" s="29" t="s">
        <v>484</v>
      </c>
      <c r="FO366" s="29" t="s">
        <v>417</v>
      </c>
      <c r="FP366" s="29" t="s">
        <v>418</v>
      </c>
      <c r="FQ366" s="29" t="s">
        <v>712</v>
      </c>
      <c r="FR366" s="29" t="s">
        <v>7310</v>
      </c>
      <c r="FS366" s="29" t="s">
        <v>420</v>
      </c>
      <c r="FT366" s="29" t="s">
        <v>488</v>
      </c>
      <c r="FU366" s="29" t="s">
        <v>489</v>
      </c>
      <c r="FV366" s="29" t="s">
        <v>490</v>
      </c>
      <c r="FW366" s="29" t="s">
        <v>491</v>
      </c>
      <c r="FX366" s="29" t="s">
        <v>7311</v>
      </c>
      <c r="FY366" s="29" t="s">
        <v>535</v>
      </c>
      <c r="FZ366" s="29" t="s">
        <v>7312</v>
      </c>
      <c r="GA366" s="29" t="s">
        <v>7313</v>
      </c>
      <c r="GB366" s="29" t="s">
        <v>455</v>
      </c>
      <c r="GC366" s="29"/>
      <c r="GD366" s="29"/>
      <c r="GE366" s="29" t="s">
        <v>753</v>
      </c>
      <c r="GF366" s="29" t="s">
        <v>7314</v>
      </c>
      <c r="GG366" s="29" t="s">
        <v>857</v>
      </c>
      <c r="GH366" s="29" t="s">
        <v>857</v>
      </c>
      <c r="GI366" s="29" t="s">
        <v>946</v>
      </c>
      <c r="GJ366" s="29"/>
      <c r="GK366" s="29"/>
      <c r="GL366" s="29"/>
      <c r="GM366" s="29" t="s">
        <v>1079</v>
      </c>
      <c r="GN366" s="29"/>
      <c r="GO366" s="29"/>
      <c r="GP366" s="29"/>
      <c r="GQ366" s="29" t="s">
        <v>3208</v>
      </c>
      <c r="GR366" s="29"/>
      <c r="GS366" s="29"/>
      <c r="GT366" s="29" t="s">
        <v>5318</v>
      </c>
      <c r="GU366" s="29" t="s">
        <v>408</v>
      </c>
      <c r="HP366" s="31"/>
      <c r="MX366" s="29" t="s">
        <v>10402</v>
      </c>
      <c r="MY366" s="29" t="str">
        <f>IFERROR(__xludf.DUMMYFUNCTION("""COMPUTED_VALUE"""),"California")</f>
        <v>California</v>
      </c>
    </row>
    <row r="367" ht="16.5" customHeight="1">
      <c r="A367" s="33">
        <v>45957.408709270836</v>
      </c>
      <c r="B367" s="29" t="s">
        <v>368</v>
      </c>
      <c r="C367" s="29" t="s">
        <v>370</v>
      </c>
      <c r="D367" s="29" t="s">
        <v>370</v>
      </c>
      <c r="E367" s="29" t="s">
        <v>371</v>
      </c>
      <c r="F367" s="29" t="s">
        <v>7318</v>
      </c>
      <c r="G367" s="29" t="s">
        <v>422</v>
      </c>
      <c r="H367" s="29" t="s">
        <v>637</v>
      </c>
      <c r="I367" s="29" t="s">
        <v>638</v>
      </c>
      <c r="J367" s="29" t="s">
        <v>590</v>
      </c>
      <c r="K367" s="29" t="s">
        <v>376</v>
      </c>
      <c r="L367" s="29" t="s">
        <v>591</v>
      </c>
      <c r="M367" s="29" t="s">
        <v>860</v>
      </c>
      <c r="N367" s="29" t="s">
        <v>591</v>
      </c>
      <c r="O367" s="29" t="s">
        <v>671</v>
      </c>
      <c r="P367" s="29" t="s">
        <v>592</v>
      </c>
      <c r="Q367" s="29" t="s">
        <v>1004</v>
      </c>
      <c r="R367" s="29" t="s">
        <v>500</v>
      </c>
      <c r="S367" s="29" t="s">
        <v>384</v>
      </c>
      <c r="T367" s="29" t="s">
        <v>385</v>
      </c>
      <c r="U367" s="29"/>
      <c r="V367" s="29"/>
      <c r="W367" s="29" t="s">
        <v>3014</v>
      </c>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t="s">
        <v>1242</v>
      </c>
      <c r="AW367" s="29" t="s">
        <v>675</v>
      </c>
      <c r="AX367" s="29" t="s">
        <v>675</v>
      </c>
      <c r="AY367" s="29" t="s">
        <v>675</v>
      </c>
      <c r="AZ367" s="29" t="s">
        <v>675</v>
      </c>
      <c r="BA367" s="29" t="s">
        <v>675</v>
      </c>
      <c r="BB367" s="29" t="s">
        <v>675</v>
      </c>
      <c r="BC367" s="29" t="s">
        <v>7319</v>
      </c>
      <c r="BD367" s="29" t="s">
        <v>7320</v>
      </c>
      <c r="BE367" s="29" t="s">
        <v>2379</v>
      </c>
      <c r="BF367" s="29" t="s">
        <v>1245</v>
      </c>
      <c r="BG367" s="29" t="s">
        <v>394</v>
      </c>
      <c r="BH367" s="29" t="s">
        <v>7321</v>
      </c>
      <c r="BI367" s="29" t="s">
        <v>976</v>
      </c>
      <c r="BJ367" s="29"/>
      <c r="BK367" s="29" t="s">
        <v>602</v>
      </c>
      <c r="BL367" s="29" t="s">
        <v>904</v>
      </c>
      <c r="BM367" s="29" t="s">
        <v>1314</v>
      </c>
      <c r="BN367" s="29" t="s">
        <v>398</v>
      </c>
      <c r="BO367" s="29" t="s">
        <v>7322</v>
      </c>
      <c r="BP367" s="29" t="s">
        <v>7323</v>
      </c>
      <c r="BQ367" s="29" t="s">
        <v>401</v>
      </c>
      <c r="BR367" s="29" t="s">
        <v>7324</v>
      </c>
      <c r="BS367" s="29" t="s">
        <v>1741</v>
      </c>
      <c r="BT367" s="29" t="s">
        <v>4368</v>
      </c>
      <c r="BU367" s="29" t="s">
        <v>405</v>
      </c>
      <c r="BV367" s="29"/>
      <c r="BW367" s="29" t="s">
        <v>457</v>
      </c>
      <c r="BX367" s="29"/>
      <c r="BY367" s="29" t="s">
        <v>408</v>
      </c>
      <c r="BZ367" s="29"/>
      <c r="CA367" s="29" t="s">
        <v>7325</v>
      </c>
      <c r="CB367" s="29" t="s">
        <v>7326</v>
      </c>
      <c r="CC367" s="29" t="s">
        <v>7327</v>
      </c>
      <c r="CD367" s="29" t="s">
        <v>451</v>
      </c>
      <c r="CE367" s="29" t="s">
        <v>7328</v>
      </c>
      <c r="CF367" s="29" t="s">
        <v>1722</v>
      </c>
      <c r="CG367" s="29" t="s">
        <v>7329</v>
      </c>
      <c r="CH367" s="29" t="s">
        <v>1259</v>
      </c>
      <c r="CI367" s="29" t="s">
        <v>833</v>
      </c>
      <c r="CJ367" s="29" t="s">
        <v>7330</v>
      </c>
      <c r="CK367" s="29" t="s">
        <v>7331</v>
      </c>
      <c r="CL367" s="29"/>
      <c r="CM367" s="29"/>
      <c r="CN367" s="29"/>
      <c r="CO367" s="29"/>
      <c r="CP367" s="29"/>
      <c r="CQ367" s="29"/>
      <c r="CR367" s="29"/>
      <c r="CS367" s="29"/>
      <c r="CT367" s="29"/>
      <c r="CU367" s="29"/>
      <c r="CV367" s="29"/>
      <c r="CW367" s="29"/>
      <c r="CX367" s="29"/>
      <c r="CY367" s="29"/>
      <c r="CZ367" s="29"/>
      <c r="DA367" s="29"/>
      <c r="DB367" s="29"/>
      <c r="DC367" s="29"/>
      <c r="DD367" s="29"/>
      <c r="DE367" s="29"/>
      <c r="DF367" s="29"/>
      <c r="DG367" s="29"/>
      <c r="DH367" s="29"/>
      <c r="DI367" s="29" t="s">
        <v>459</v>
      </c>
      <c r="DJ367" s="29" t="s">
        <v>460</v>
      </c>
      <c r="DK367" s="29" t="s">
        <v>6319</v>
      </c>
      <c r="DL367" s="29"/>
      <c r="DM367" s="29"/>
      <c r="DN367" s="29"/>
      <c r="DO367" s="29"/>
      <c r="DP367" s="29"/>
      <c r="DQ367" s="29"/>
      <c r="DR367" s="29"/>
      <c r="DS367" s="29"/>
      <c r="DT367" s="29"/>
      <c r="DU367" s="29"/>
      <c r="DV367" s="29"/>
      <c r="DW367" s="29"/>
      <c r="DX367" s="29"/>
      <c r="DY367" s="29"/>
      <c r="DZ367" s="29"/>
      <c r="EA367" s="29"/>
      <c r="EB367" s="29"/>
      <c r="EC367" s="29"/>
      <c r="ED367" s="29"/>
      <c r="EE367" s="29"/>
      <c r="EF367" s="29"/>
      <c r="EG367" s="29"/>
      <c r="EH367" s="29"/>
      <c r="EI367" s="29"/>
      <c r="EJ367" s="29"/>
      <c r="EK367" s="29"/>
      <c r="EL367" s="29"/>
      <c r="EM367" s="29"/>
      <c r="EN367" s="29"/>
      <c r="EO367" s="29"/>
      <c r="EP367" s="29"/>
      <c r="EQ367" s="29"/>
      <c r="ER367" s="29"/>
      <c r="ES367" s="29"/>
      <c r="ET367" s="29" t="s">
        <v>578</v>
      </c>
      <c r="EU367" s="29" t="s">
        <v>479</v>
      </c>
      <c r="EV367" s="29" t="s">
        <v>778</v>
      </c>
      <c r="EW367" s="29" t="s">
        <v>7332</v>
      </c>
      <c r="EX367" s="29" t="s">
        <v>7333</v>
      </c>
      <c r="EY367" s="29" t="s">
        <v>7334</v>
      </c>
      <c r="EZ367" s="29" t="s">
        <v>413</v>
      </c>
      <c r="FA367" s="29" t="s">
        <v>415</v>
      </c>
      <c r="FB367" s="29" t="s">
        <v>413</v>
      </c>
      <c r="FC367" s="29" t="s">
        <v>413</v>
      </c>
      <c r="FD367" s="29" t="s">
        <v>413</v>
      </c>
      <c r="FE367" s="29" t="s">
        <v>416</v>
      </c>
      <c r="FF367" s="29" t="s">
        <v>413</v>
      </c>
      <c r="FG367" s="29" t="s">
        <v>413</v>
      </c>
      <c r="FH367" s="29" t="s">
        <v>484</v>
      </c>
      <c r="FI367" s="29" t="s">
        <v>583</v>
      </c>
      <c r="FJ367" s="29" t="s">
        <v>416</v>
      </c>
      <c r="FK367" s="29" t="s">
        <v>413</v>
      </c>
      <c r="FL367" s="29" t="s">
        <v>415</v>
      </c>
      <c r="FM367" s="29" t="s">
        <v>415</v>
      </c>
      <c r="FN367" s="29" t="s">
        <v>415</v>
      </c>
      <c r="FO367" s="29" t="s">
        <v>417</v>
      </c>
      <c r="FP367" s="29" t="s">
        <v>486</v>
      </c>
      <c r="FQ367" s="29" t="s">
        <v>749</v>
      </c>
      <c r="FR367" s="29" t="s">
        <v>7335</v>
      </c>
      <c r="FS367" s="29" t="s">
        <v>420</v>
      </c>
      <c r="FT367" s="29" t="s">
        <v>488</v>
      </c>
      <c r="FU367" s="29" t="s">
        <v>489</v>
      </c>
      <c r="FV367" s="29" t="s">
        <v>490</v>
      </c>
      <c r="FW367" s="29" t="s">
        <v>491</v>
      </c>
      <c r="FX367" s="29" t="s">
        <v>7336</v>
      </c>
      <c r="FY367" s="29" t="s">
        <v>535</v>
      </c>
      <c r="FZ367" s="29" t="s">
        <v>7337</v>
      </c>
      <c r="GA367" s="29"/>
      <c r="GB367" s="29"/>
      <c r="GC367" s="29"/>
      <c r="GD367" s="29"/>
      <c r="GE367" s="29"/>
      <c r="GF367" s="29"/>
      <c r="GG367" s="29"/>
      <c r="GH367" s="29"/>
      <c r="GI367" s="29"/>
      <c r="GJ367" s="29" t="s">
        <v>755</v>
      </c>
      <c r="GK367" s="29" t="s">
        <v>755</v>
      </c>
      <c r="GL367" s="29" t="s">
        <v>946</v>
      </c>
      <c r="GM367" s="29"/>
      <c r="GN367" s="29"/>
      <c r="GO367" s="29"/>
      <c r="GP367" s="29"/>
      <c r="GQ367" s="29" t="s">
        <v>3208</v>
      </c>
      <c r="GR367" s="29" t="s">
        <v>4774</v>
      </c>
      <c r="GS367" s="29"/>
      <c r="GT367" s="29"/>
      <c r="GU367" s="29"/>
      <c r="HP367" s="31"/>
      <c r="MX367" s="29" t="s">
        <v>10402</v>
      </c>
      <c r="MY367" s="29" t="str">
        <f>IFERROR(__xludf.DUMMYFUNCTION("""COMPUTED_VALUE"""),"Michigan")</f>
        <v>Michigan</v>
      </c>
    </row>
    <row r="368" ht="16.5" customHeight="1">
      <c r="A368" s="33">
        <v>45957.66729241898</v>
      </c>
      <c r="B368" s="29" t="s">
        <v>368</v>
      </c>
      <c r="C368" s="29" t="s">
        <v>370</v>
      </c>
      <c r="D368" s="29" t="s">
        <v>370</v>
      </c>
      <c r="E368" s="29" t="s">
        <v>1480</v>
      </c>
      <c r="F368" s="29" t="s">
        <v>4170</v>
      </c>
      <c r="G368" s="29" t="s">
        <v>422</v>
      </c>
      <c r="H368" s="29" t="s">
        <v>539</v>
      </c>
      <c r="I368" s="29" t="s">
        <v>424</v>
      </c>
      <c r="J368" s="29" t="s">
        <v>375</v>
      </c>
      <c r="K368" s="29" t="s">
        <v>376</v>
      </c>
      <c r="L368" s="29" t="s">
        <v>591</v>
      </c>
      <c r="M368" s="29" t="s">
        <v>1690</v>
      </c>
      <c r="N368" s="29" t="s">
        <v>793</v>
      </c>
      <c r="O368" s="29" t="s">
        <v>719</v>
      </c>
      <c r="P368" s="29" t="s">
        <v>498</v>
      </c>
      <c r="Q368" s="29" t="s">
        <v>1156</v>
      </c>
      <c r="R368" s="29" t="s">
        <v>949</v>
      </c>
      <c r="S368" s="29" t="s">
        <v>384</v>
      </c>
      <c r="T368" s="29" t="s">
        <v>385</v>
      </c>
      <c r="U368" s="29"/>
      <c r="V368" s="29"/>
      <c r="W368" s="29" t="s">
        <v>593</v>
      </c>
      <c r="X368" s="29" t="s">
        <v>387</v>
      </c>
      <c r="Y368" s="29" t="s">
        <v>4171</v>
      </c>
      <c r="Z368" s="29" t="s">
        <v>672</v>
      </c>
      <c r="AA368" s="29" t="s">
        <v>7339</v>
      </c>
      <c r="AB368" s="29" t="s">
        <v>7340</v>
      </c>
      <c r="AC368" s="29"/>
      <c r="AD368" s="29"/>
      <c r="AE368" s="29"/>
      <c r="AF368" s="29"/>
      <c r="AG368" s="29"/>
      <c r="AH368" s="29"/>
      <c r="AI368" s="29"/>
      <c r="AJ368" s="29"/>
      <c r="AK368" s="29"/>
      <c r="AL368" s="29"/>
      <c r="AM368" s="29"/>
      <c r="AN368" s="29"/>
      <c r="AO368" s="29"/>
      <c r="AP368" s="29"/>
      <c r="AQ368" s="29"/>
      <c r="AR368" s="29"/>
      <c r="AS368" s="29"/>
      <c r="AT368" s="29"/>
      <c r="AU368" s="29"/>
      <c r="AV368" s="29" t="s">
        <v>1310</v>
      </c>
      <c r="AW368" s="29">
        <v>2.0</v>
      </c>
      <c r="AX368" s="29">
        <v>2.0</v>
      </c>
      <c r="AY368" s="29" t="s">
        <v>429</v>
      </c>
      <c r="AZ368" s="29" t="s">
        <v>429</v>
      </c>
      <c r="BA368" s="29" t="s">
        <v>429</v>
      </c>
      <c r="BB368" s="29" t="s">
        <v>429</v>
      </c>
      <c r="BC368" s="29" t="s">
        <v>7341</v>
      </c>
      <c r="BD368" s="29" t="s">
        <v>7342</v>
      </c>
      <c r="BE368" s="29" t="s">
        <v>902</v>
      </c>
      <c r="BF368" s="29" t="s">
        <v>393</v>
      </c>
      <c r="BG368" s="29" t="s">
        <v>678</v>
      </c>
      <c r="BH368" s="29" t="s">
        <v>7343</v>
      </c>
      <c r="BI368" s="29" t="s">
        <v>509</v>
      </c>
      <c r="BJ368" s="29" t="s">
        <v>7344</v>
      </c>
      <c r="BK368" s="29" t="s">
        <v>602</v>
      </c>
      <c r="BL368" s="29" t="s">
        <v>438</v>
      </c>
      <c r="BM368" s="29" t="s">
        <v>1247</v>
      </c>
      <c r="BN368" s="29" t="s">
        <v>440</v>
      </c>
      <c r="BO368" s="29"/>
      <c r="BP368" s="29"/>
      <c r="BQ368" s="29"/>
      <c r="BR368" s="29"/>
      <c r="BS368" s="29"/>
      <c r="BT368" s="29"/>
      <c r="BU368" s="29"/>
      <c r="BV368" s="29"/>
      <c r="BW368" s="29"/>
      <c r="BX368" s="29"/>
      <c r="BY368" s="29"/>
      <c r="BZ368" s="29"/>
      <c r="CA368" s="29"/>
      <c r="CB368" s="29"/>
      <c r="CC368" s="29"/>
      <c r="CD368" s="29"/>
      <c r="CE368" s="29"/>
      <c r="CF368" s="29"/>
      <c r="CG368" s="29"/>
      <c r="CH368" s="29"/>
      <c r="CI368" s="29"/>
      <c r="CJ368" s="29"/>
      <c r="CK368" s="29"/>
      <c r="CL368" s="29"/>
      <c r="CM368" s="29"/>
      <c r="CN368" s="29"/>
      <c r="CO368" s="29"/>
      <c r="CP368" s="29"/>
      <c r="CQ368" s="29"/>
      <c r="CR368" s="29"/>
      <c r="CS368" s="29"/>
      <c r="CT368" s="29"/>
      <c r="CU368" s="29"/>
      <c r="CV368" s="29"/>
      <c r="CW368" s="29"/>
      <c r="CX368" s="29"/>
      <c r="CY368" s="29"/>
      <c r="CZ368" s="29"/>
      <c r="DA368" s="29"/>
      <c r="DB368" s="29"/>
      <c r="DC368" s="29"/>
      <c r="DD368" s="29"/>
      <c r="DE368" s="29"/>
      <c r="DF368" s="29"/>
      <c r="DG368" s="29"/>
      <c r="DH368" s="29"/>
      <c r="DI368" s="29" t="s">
        <v>459</v>
      </c>
      <c r="DJ368" s="29" t="s">
        <v>1148</v>
      </c>
      <c r="DK368" s="29" t="s">
        <v>6335</v>
      </c>
      <c r="DL368" s="29"/>
      <c r="DM368" s="29" t="s">
        <v>7345</v>
      </c>
      <c r="DN368" s="29" t="s">
        <v>7346</v>
      </c>
      <c r="DO368" s="29" t="s">
        <v>567</v>
      </c>
      <c r="DP368" s="29" t="s">
        <v>7347</v>
      </c>
      <c r="DQ368" s="29" t="s">
        <v>466</v>
      </c>
      <c r="DR368" s="29" t="s">
        <v>7348</v>
      </c>
      <c r="DS368" s="29" t="s">
        <v>468</v>
      </c>
      <c r="DT368" s="29" t="s">
        <v>570</v>
      </c>
      <c r="DU368" s="29" t="s">
        <v>7349</v>
      </c>
      <c r="DV368" s="29" t="s">
        <v>7350</v>
      </c>
      <c r="DW368" s="29" t="s">
        <v>622</v>
      </c>
      <c r="DX368" s="29" t="s">
        <v>7351</v>
      </c>
      <c r="DY368" s="29" t="s">
        <v>7352</v>
      </c>
      <c r="DZ368" s="29" t="s">
        <v>7353</v>
      </c>
      <c r="EA368" s="29" t="s">
        <v>475</v>
      </c>
      <c r="EB368" s="29" t="s">
        <v>626</v>
      </c>
      <c r="EC368" s="29"/>
      <c r="ED368" s="29"/>
      <c r="EE368" s="29"/>
      <c r="EF368" s="29"/>
      <c r="EG368" s="29"/>
      <c r="EH368" s="29"/>
      <c r="EI368" s="29"/>
      <c r="EJ368" s="29"/>
      <c r="EK368" s="29"/>
      <c r="EL368" s="29"/>
      <c r="EM368" s="29"/>
      <c r="EN368" s="29"/>
      <c r="EO368" s="29"/>
      <c r="EP368" s="29"/>
      <c r="EQ368" s="29"/>
      <c r="ER368" s="29"/>
      <c r="ES368" s="29"/>
      <c r="ET368" s="29" t="s">
        <v>526</v>
      </c>
      <c r="EU368" s="29" t="s">
        <v>479</v>
      </c>
      <c r="EV368" s="29" t="s">
        <v>527</v>
      </c>
      <c r="EW368" s="29" t="s">
        <v>7354</v>
      </c>
      <c r="EX368" s="29" t="s">
        <v>7355</v>
      </c>
      <c r="EY368" s="29" t="s">
        <v>7356</v>
      </c>
      <c r="EZ368" s="29" t="s">
        <v>414</v>
      </c>
      <c r="FA368" s="29" t="s">
        <v>583</v>
      </c>
      <c r="FB368" s="29" t="s">
        <v>414</v>
      </c>
      <c r="FC368" s="29" t="s">
        <v>414</v>
      </c>
      <c r="FD368" s="29" t="s">
        <v>413</v>
      </c>
      <c r="FE368" s="29" t="s">
        <v>583</v>
      </c>
      <c r="FF368" s="29" t="s">
        <v>414</v>
      </c>
      <c r="FG368" s="29" t="s">
        <v>416</v>
      </c>
      <c r="FH368" s="29" t="s">
        <v>414</v>
      </c>
      <c r="FI368" s="29" t="s">
        <v>414</v>
      </c>
      <c r="FJ368" s="29" t="s">
        <v>416</v>
      </c>
      <c r="FK368" s="29" t="s">
        <v>414</v>
      </c>
      <c r="FL368" s="29" t="s">
        <v>414</v>
      </c>
      <c r="FM368" s="29" t="s">
        <v>416</v>
      </c>
      <c r="FN368" s="29" t="s">
        <v>414</v>
      </c>
      <c r="FO368" s="29" t="s">
        <v>417</v>
      </c>
      <c r="FP368" s="29" t="s">
        <v>418</v>
      </c>
      <c r="FQ368" s="29" t="s">
        <v>419</v>
      </c>
      <c r="FR368" s="29" t="s">
        <v>7357</v>
      </c>
      <c r="FS368" s="29" t="s">
        <v>420</v>
      </c>
      <c r="FT368" s="29" t="s">
        <v>1462</v>
      </c>
      <c r="FU368" s="29" t="s">
        <v>489</v>
      </c>
      <c r="FV368" s="29" t="s">
        <v>490</v>
      </c>
      <c r="FW368" s="29" t="s">
        <v>491</v>
      </c>
      <c r="FX368" s="29" t="s">
        <v>7358</v>
      </c>
      <c r="FY368" s="29" t="s">
        <v>535</v>
      </c>
      <c r="FZ368" s="29"/>
      <c r="GA368" s="29"/>
      <c r="GB368" s="29" t="s">
        <v>455</v>
      </c>
      <c r="GC368" s="29"/>
      <c r="GD368" s="29"/>
      <c r="GE368" s="29" t="s">
        <v>944</v>
      </c>
      <c r="GF368" s="29"/>
      <c r="GG368" s="29"/>
      <c r="GH368" s="29"/>
      <c r="GI368" s="29"/>
      <c r="GJ368" s="29"/>
      <c r="GK368" s="29"/>
      <c r="GL368" s="29"/>
      <c r="GM368" s="29" t="s">
        <v>6629</v>
      </c>
      <c r="GN368" s="29"/>
      <c r="GO368" s="29"/>
      <c r="GP368" s="29"/>
      <c r="GQ368" s="29" t="s">
        <v>3208</v>
      </c>
      <c r="GR368" s="29"/>
      <c r="GS368" s="29"/>
      <c r="GT368" s="29"/>
      <c r="GU368" s="29"/>
      <c r="HP368" s="31"/>
      <c r="MX368" s="29" t="s">
        <v>1023</v>
      </c>
      <c r="MY368" s="29" t="str">
        <f>IFERROR(__xludf.DUMMYFUNCTION("""COMPUTED_VALUE"""),"Prefer not to say")</f>
        <v>Prefer not to say</v>
      </c>
    </row>
    <row r="369" ht="16.5" customHeight="1">
      <c r="A369" s="33">
        <v>45958.85487414352</v>
      </c>
      <c r="B369" s="29" t="s">
        <v>368</v>
      </c>
      <c r="C369" s="29" t="s">
        <v>1023</v>
      </c>
      <c r="D369" s="29" t="s">
        <v>1023</v>
      </c>
      <c r="E369" s="29"/>
      <c r="F369" s="29"/>
      <c r="G369" s="29" t="s">
        <v>1783</v>
      </c>
      <c r="H369" s="29" t="s">
        <v>637</v>
      </c>
      <c r="I369" s="29" t="s">
        <v>374</v>
      </c>
      <c r="J369" s="29" t="s">
        <v>425</v>
      </c>
      <c r="K369" s="29" t="s">
        <v>376</v>
      </c>
      <c r="L369" s="29" t="s">
        <v>426</v>
      </c>
      <c r="M369" s="29" t="s">
        <v>1024</v>
      </c>
      <c r="N369" s="29" t="s">
        <v>426</v>
      </c>
      <c r="O369" s="29" t="s">
        <v>1024</v>
      </c>
      <c r="P369" s="29" t="s">
        <v>381</v>
      </c>
      <c r="Q369" s="29" t="s">
        <v>818</v>
      </c>
      <c r="R369" s="29" t="s">
        <v>3976</v>
      </c>
      <c r="S369" s="29" t="s">
        <v>501</v>
      </c>
      <c r="T369" s="29" t="s">
        <v>385</v>
      </c>
      <c r="U369" s="29"/>
      <c r="V369" s="29"/>
      <c r="W369" s="29" t="s">
        <v>3014</v>
      </c>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t="s">
        <v>504</v>
      </c>
      <c r="AW369" s="29"/>
      <c r="AX369" s="29"/>
      <c r="AY369" s="29"/>
      <c r="AZ369" s="29" t="s">
        <v>429</v>
      </c>
      <c r="BA369" s="29"/>
      <c r="BB369" s="29"/>
      <c r="BC369" s="29" t="s">
        <v>7362</v>
      </c>
      <c r="BD369" s="29"/>
      <c r="BE369" s="29"/>
      <c r="BF369" s="29"/>
      <c r="BG369" s="29"/>
      <c r="BH369" s="29"/>
      <c r="BI369" s="29"/>
      <c r="BJ369" s="29"/>
      <c r="BK369" s="29"/>
      <c r="BL369" s="29"/>
      <c r="BM369" s="29" t="s">
        <v>439</v>
      </c>
      <c r="BN369" s="29" t="s">
        <v>440</v>
      </c>
      <c r="BO369" s="29"/>
      <c r="BP369" s="29"/>
      <c r="BQ369" s="29"/>
      <c r="BR369" s="29"/>
      <c r="BS369" s="29"/>
      <c r="BT369" s="29"/>
      <c r="BU369" s="29"/>
      <c r="BV369" s="29"/>
      <c r="BW369" s="29"/>
      <c r="BX369" s="29"/>
      <c r="BY369" s="29"/>
      <c r="BZ369" s="29"/>
      <c r="CA369" s="29"/>
      <c r="CB369" s="29"/>
      <c r="CC369" s="29"/>
      <c r="CD369" s="29"/>
      <c r="CE369" s="29"/>
      <c r="CF369" s="29"/>
      <c r="CG369" s="29"/>
      <c r="CH369" s="29"/>
      <c r="CI369" s="29"/>
      <c r="CJ369" s="29"/>
      <c r="CK369" s="29"/>
      <c r="CL369" s="29" t="s">
        <v>441</v>
      </c>
      <c r="CM369" s="29" t="s">
        <v>442</v>
      </c>
      <c r="CN369" s="29" t="s">
        <v>3117</v>
      </c>
      <c r="CO369" s="29" t="s">
        <v>7363</v>
      </c>
      <c r="CP369" s="29" t="s">
        <v>1008</v>
      </c>
      <c r="CQ369" s="29" t="s">
        <v>7364</v>
      </c>
      <c r="CR369" s="29" t="s">
        <v>828</v>
      </c>
      <c r="CS369" s="29" t="s">
        <v>1861</v>
      </c>
      <c r="CT369" s="29" t="s">
        <v>7365</v>
      </c>
      <c r="CU369" s="29" t="s">
        <v>519</v>
      </c>
      <c r="CV369" s="29" t="s">
        <v>409</v>
      </c>
      <c r="CW369" s="29" t="s">
        <v>7366</v>
      </c>
      <c r="CX369" s="29" t="s">
        <v>408</v>
      </c>
      <c r="CY369" s="29"/>
      <c r="CZ369" s="29" t="s">
        <v>453</v>
      </c>
      <c r="DA369" s="29" t="s">
        <v>7367</v>
      </c>
      <c r="DB369" s="29" t="s">
        <v>408</v>
      </c>
      <c r="DC369" s="29"/>
      <c r="DD369" s="29" t="s">
        <v>406</v>
      </c>
      <c r="DE369" s="29"/>
      <c r="DF369" s="29" t="s">
        <v>7368</v>
      </c>
      <c r="DG369" s="29" t="s">
        <v>561</v>
      </c>
      <c r="DH369" s="29" t="s">
        <v>410</v>
      </c>
      <c r="DI369" s="29" t="s">
        <v>459</v>
      </c>
      <c r="DJ369" s="29" t="s">
        <v>460</v>
      </c>
      <c r="DK369" s="29" t="s">
        <v>6335</v>
      </c>
      <c r="DL369" s="29"/>
      <c r="DM369" s="29" t="s">
        <v>3169</v>
      </c>
      <c r="DN369" s="29" t="s">
        <v>7369</v>
      </c>
      <c r="DO369" s="29" t="s">
        <v>464</v>
      </c>
      <c r="DP369" s="29" t="s">
        <v>7370</v>
      </c>
      <c r="DQ369" s="29" t="s">
        <v>1553</v>
      </c>
      <c r="DR369" s="29" t="s">
        <v>2927</v>
      </c>
      <c r="DS369" s="29" t="s">
        <v>618</v>
      </c>
      <c r="DT369" s="29" t="s">
        <v>740</v>
      </c>
      <c r="DU369" s="29" t="s">
        <v>7371</v>
      </c>
      <c r="DV369" s="29"/>
      <c r="DW369" s="29"/>
      <c r="DX369" s="29" t="s">
        <v>7372</v>
      </c>
      <c r="DY369" s="29" t="s">
        <v>7373</v>
      </c>
      <c r="DZ369" s="29" t="s">
        <v>7374</v>
      </c>
      <c r="EA369" s="29" t="s">
        <v>475</v>
      </c>
      <c r="EB369" s="29" t="s">
        <v>626</v>
      </c>
      <c r="EC369" s="29" t="s">
        <v>7375</v>
      </c>
      <c r="ED369" s="29"/>
      <c r="EE369" s="29"/>
      <c r="EF369" s="29"/>
      <c r="EG369" s="29"/>
      <c r="EH369" s="29"/>
      <c r="EI369" s="29"/>
      <c r="EJ369" s="29"/>
      <c r="EK369" s="29"/>
      <c r="EL369" s="29"/>
      <c r="EM369" s="29"/>
      <c r="EN369" s="29"/>
      <c r="EO369" s="29"/>
      <c r="EP369" s="29"/>
      <c r="EQ369" s="29"/>
      <c r="ER369" s="29"/>
      <c r="ES369" s="29"/>
      <c r="ET369" s="29" t="s">
        <v>526</v>
      </c>
      <c r="EU369" s="29" t="s">
        <v>1037</v>
      </c>
      <c r="EV369" s="29" t="s">
        <v>580</v>
      </c>
      <c r="EW369" s="29"/>
      <c r="EX369" s="29" t="s">
        <v>7376</v>
      </c>
      <c r="EY369" s="29" t="s">
        <v>7377</v>
      </c>
      <c r="EZ369" s="29" t="s">
        <v>484</v>
      </c>
      <c r="FA369" s="29" t="s">
        <v>484</v>
      </c>
      <c r="FB369" s="29" t="s">
        <v>484</v>
      </c>
      <c r="FC369" s="29" t="s">
        <v>484</v>
      </c>
      <c r="FD369" s="29" t="s">
        <v>484</v>
      </c>
      <c r="FE369" s="29" t="s">
        <v>484</v>
      </c>
      <c r="FF369" s="29" t="s">
        <v>484</v>
      </c>
      <c r="FG369" s="29" t="s">
        <v>484</v>
      </c>
      <c r="FH369" s="29" t="s">
        <v>484</v>
      </c>
      <c r="FI369" s="29" t="s">
        <v>484</v>
      </c>
      <c r="FJ369" s="29" t="s">
        <v>484</v>
      </c>
      <c r="FK369" s="29" t="s">
        <v>484</v>
      </c>
      <c r="FL369" s="29" t="s">
        <v>484</v>
      </c>
      <c r="FM369" s="29" t="s">
        <v>484</v>
      </c>
      <c r="FN369" s="29" t="s">
        <v>484</v>
      </c>
      <c r="FO369" s="29" t="s">
        <v>850</v>
      </c>
      <c r="FP369" s="29" t="s">
        <v>418</v>
      </c>
      <c r="FQ369" s="29" t="s">
        <v>630</v>
      </c>
      <c r="FR369" s="29" t="s">
        <v>7378</v>
      </c>
      <c r="FS369" s="29" t="s">
        <v>420</v>
      </c>
      <c r="FT369" s="29" t="s">
        <v>1476</v>
      </c>
      <c r="FU369" s="29" t="s">
        <v>918</v>
      </c>
      <c r="FV369" s="29" t="s">
        <v>490</v>
      </c>
      <c r="FW369" s="29" t="s">
        <v>491</v>
      </c>
      <c r="FX369" s="29" t="s">
        <v>7379</v>
      </c>
      <c r="FY369" s="29" t="s">
        <v>535</v>
      </c>
      <c r="FZ369" s="29" t="s">
        <v>7380</v>
      </c>
      <c r="GA369" s="29"/>
      <c r="GB369" s="29" t="s">
        <v>455</v>
      </c>
      <c r="GC369" s="29"/>
      <c r="GD369" s="29"/>
      <c r="GE369" s="29" t="s">
        <v>1339</v>
      </c>
      <c r="GF369" s="29"/>
      <c r="GG369" s="29" t="s">
        <v>857</v>
      </c>
      <c r="GH369" s="29" t="s">
        <v>857</v>
      </c>
      <c r="GI369" s="29" t="s">
        <v>790</v>
      </c>
      <c r="GJ369" s="29"/>
      <c r="GK369" s="29"/>
      <c r="GL369" s="29"/>
      <c r="GM369" s="29" t="s">
        <v>1079</v>
      </c>
      <c r="GN369" s="29"/>
      <c r="GO369" s="29"/>
      <c r="GP369" s="29"/>
      <c r="GQ369" s="29" t="s">
        <v>3306</v>
      </c>
      <c r="GR369" s="29"/>
      <c r="GS369" s="29"/>
      <c r="GT369" s="29" t="s">
        <v>4774</v>
      </c>
      <c r="GU369" s="29"/>
      <c r="HP369" s="31"/>
      <c r="MX369" s="29" t="s">
        <v>10402</v>
      </c>
      <c r="MY369" s="29" t="str">
        <f>IFERROR(__xludf.DUMMYFUNCTION("""COMPUTED_VALUE"""),"New Jersey")</f>
        <v>New Jersey</v>
      </c>
    </row>
    <row r="370" ht="16.5" customHeight="1">
      <c r="A370" s="33">
        <v>45959.10253167824</v>
      </c>
      <c r="B370" s="29" t="s">
        <v>368</v>
      </c>
      <c r="C370" s="29" t="s">
        <v>370</v>
      </c>
      <c r="D370" s="29" t="s">
        <v>370</v>
      </c>
      <c r="E370" s="29" t="s">
        <v>2359</v>
      </c>
      <c r="F370" s="29" t="s">
        <v>2359</v>
      </c>
      <c r="G370" s="29" t="s">
        <v>422</v>
      </c>
      <c r="H370" s="29" t="s">
        <v>496</v>
      </c>
      <c r="I370" s="29" t="s">
        <v>374</v>
      </c>
      <c r="J370" s="29" t="s">
        <v>375</v>
      </c>
      <c r="K370" s="29" t="s">
        <v>376</v>
      </c>
      <c r="L370" s="29" t="s">
        <v>426</v>
      </c>
      <c r="M370" s="29" t="s">
        <v>719</v>
      </c>
      <c r="N370" s="29" t="s">
        <v>426</v>
      </c>
      <c r="O370" s="29" t="s">
        <v>497</v>
      </c>
      <c r="P370" s="29" t="s">
        <v>498</v>
      </c>
      <c r="Q370" s="29" t="s">
        <v>382</v>
      </c>
      <c r="R370" s="29" t="s">
        <v>500</v>
      </c>
      <c r="S370" s="29" t="s">
        <v>384</v>
      </c>
      <c r="T370" s="29" t="s">
        <v>385</v>
      </c>
      <c r="U370" s="29"/>
      <c r="V370" s="29"/>
      <c r="W370" s="29" t="s">
        <v>386</v>
      </c>
      <c r="X370" s="29" t="s">
        <v>387</v>
      </c>
      <c r="Y370" s="29" t="s">
        <v>388</v>
      </c>
      <c r="Z370" s="29" t="s">
        <v>502</v>
      </c>
      <c r="AA370" s="29" t="s">
        <v>408</v>
      </c>
      <c r="AB370" s="29" t="s">
        <v>7384</v>
      </c>
      <c r="AC370" s="29"/>
      <c r="AD370" s="29"/>
      <c r="AE370" s="29"/>
      <c r="AF370" s="29"/>
      <c r="AG370" s="29"/>
      <c r="AH370" s="29"/>
      <c r="AI370" s="29"/>
      <c r="AJ370" s="29"/>
      <c r="AK370" s="29"/>
      <c r="AL370" s="29"/>
      <c r="AM370" s="29"/>
      <c r="AN370" s="29"/>
      <c r="AO370" s="29"/>
      <c r="AP370" s="29"/>
      <c r="AQ370" s="29"/>
      <c r="AR370" s="29"/>
      <c r="AS370" s="29"/>
      <c r="AT370" s="29"/>
      <c r="AU370" s="29"/>
      <c r="AV370" s="29" t="s">
        <v>504</v>
      </c>
      <c r="AW370" s="29" t="s">
        <v>429</v>
      </c>
      <c r="AX370" s="29" t="s">
        <v>429</v>
      </c>
      <c r="AY370" s="29">
        <v>2.0</v>
      </c>
      <c r="AZ370" s="29">
        <v>2.0</v>
      </c>
      <c r="BA370" s="29">
        <v>2.0</v>
      </c>
      <c r="BB370" s="29" t="s">
        <v>429</v>
      </c>
      <c r="BC370" s="29"/>
      <c r="BD370" s="29" t="s">
        <v>7385</v>
      </c>
      <c r="BE370" s="29" t="s">
        <v>392</v>
      </c>
      <c r="BF370" s="29" t="s">
        <v>433</v>
      </c>
      <c r="BG370" s="29" t="s">
        <v>678</v>
      </c>
      <c r="BH370" s="29" t="s">
        <v>7386</v>
      </c>
      <c r="BI370" s="29" t="s">
        <v>509</v>
      </c>
      <c r="BJ370" s="29" t="s">
        <v>7387</v>
      </c>
      <c r="BK370" s="29" t="s">
        <v>395</v>
      </c>
      <c r="BL370" s="29" t="s">
        <v>603</v>
      </c>
      <c r="BM370" s="29" t="s">
        <v>439</v>
      </c>
      <c r="BN370" s="29" t="s">
        <v>513</v>
      </c>
      <c r="BO370" s="29"/>
      <c r="BP370" s="29"/>
      <c r="BQ370" s="29"/>
      <c r="BR370" s="29"/>
      <c r="BS370" s="29"/>
      <c r="BT370" s="29"/>
      <c r="BU370" s="29"/>
      <c r="BV370" s="29"/>
      <c r="BW370" s="29"/>
      <c r="BX370" s="29"/>
      <c r="BY370" s="29"/>
      <c r="BZ370" s="29"/>
      <c r="CA370" s="29"/>
      <c r="CB370" s="29"/>
      <c r="CC370" s="29"/>
      <c r="CD370" s="29"/>
      <c r="CE370" s="29"/>
      <c r="CF370" s="29"/>
      <c r="CG370" s="29"/>
      <c r="CH370" s="29"/>
      <c r="CI370" s="29"/>
      <c r="CJ370" s="29"/>
      <c r="CK370" s="29"/>
      <c r="CL370" s="29" t="s">
        <v>441</v>
      </c>
      <c r="CM370" s="29" t="s">
        <v>604</v>
      </c>
      <c r="CN370" s="29" t="s">
        <v>7388</v>
      </c>
      <c r="CO370" s="29" t="s">
        <v>7389</v>
      </c>
      <c r="CP370" s="29" t="s">
        <v>979</v>
      </c>
      <c r="CQ370" s="29" t="s">
        <v>7390</v>
      </c>
      <c r="CR370" s="29" t="s">
        <v>447</v>
      </c>
      <c r="CS370" s="29" t="s">
        <v>7391</v>
      </c>
      <c r="CT370" s="29"/>
      <c r="CU370" s="29" t="s">
        <v>450</v>
      </c>
      <c r="CV370" s="29" t="s">
        <v>451</v>
      </c>
      <c r="CW370" s="29" t="s">
        <v>7392</v>
      </c>
      <c r="CX370" s="29" t="s">
        <v>733</v>
      </c>
      <c r="CY370" s="29"/>
      <c r="CZ370" s="29" t="s">
        <v>453</v>
      </c>
      <c r="DA370" s="29" t="s">
        <v>7393</v>
      </c>
      <c r="DB370" s="29" t="s">
        <v>455</v>
      </c>
      <c r="DC370" s="29" t="s">
        <v>7394</v>
      </c>
      <c r="DD370" s="29" t="s">
        <v>662</v>
      </c>
      <c r="DE370" s="29" t="s">
        <v>407</v>
      </c>
      <c r="DF370" s="29" t="s">
        <v>7395</v>
      </c>
      <c r="DG370" s="29" t="s">
        <v>524</v>
      </c>
      <c r="DH370" s="29" t="s">
        <v>410</v>
      </c>
      <c r="DI370" s="29" t="s">
        <v>459</v>
      </c>
      <c r="DJ370" s="29" t="s">
        <v>613</v>
      </c>
      <c r="DK370" s="29"/>
      <c r="DL370" s="29"/>
      <c r="DM370" s="29"/>
      <c r="DN370" s="29"/>
      <c r="DO370" s="29"/>
      <c r="DP370" s="29"/>
      <c r="DQ370" s="29"/>
      <c r="DR370" s="29"/>
      <c r="DS370" s="29"/>
      <c r="DT370" s="29"/>
      <c r="DU370" s="29"/>
      <c r="DV370" s="29"/>
      <c r="DW370" s="29"/>
      <c r="DX370" s="29"/>
      <c r="DY370" s="29"/>
      <c r="DZ370" s="29"/>
      <c r="EA370" s="29"/>
      <c r="EB370" s="29"/>
      <c r="EC370" s="29"/>
      <c r="ED370" s="29"/>
      <c r="EE370" s="29"/>
      <c r="EF370" s="29"/>
      <c r="EG370" s="29"/>
      <c r="EH370" s="29"/>
      <c r="EI370" s="29"/>
      <c r="EJ370" s="29"/>
      <c r="EK370" s="29"/>
      <c r="EL370" s="29"/>
      <c r="EM370" s="29"/>
      <c r="EN370" s="29"/>
      <c r="EO370" s="29"/>
      <c r="EP370" s="29"/>
      <c r="EQ370" s="29"/>
      <c r="ER370" s="29"/>
      <c r="ES370" s="29"/>
      <c r="ET370" s="29" t="s">
        <v>526</v>
      </c>
      <c r="EU370" s="29" t="s">
        <v>479</v>
      </c>
      <c r="EV370" s="29" t="s">
        <v>663</v>
      </c>
      <c r="EW370" s="29"/>
      <c r="EX370" s="29"/>
      <c r="EY370" s="29"/>
      <c r="EZ370" s="29" t="s">
        <v>413</v>
      </c>
      <c r="FA370" s="29" t="s">
        <v>413</v>
      </c>
      <c r="FB370" s="29" t="s">
        <v>413</v>
      </c>
      <c r="FC370" s="29" t="s">
        <v>413</v>
      </c>
      <c r="FD370" s="29" t="s">
        <v>413</v>
      </c>
      <c r="FE370" s="29" t="s">
        <v>413</v>
      </c>
      <c r="FF370" s="29" t="s">
        <v>413</v>
      </c>
      <c r="FG370" s="29" t="s">
        <v>413</v>
      </c>
      <c r="FH370" s="29" t="s">
        <v>413</v>
      </c>
      <c r="FI370" s="29" t="s">
        <v>415</v>
      </c>
      <c r="FJ370" s="29" t="s">
        <v>413</v>
      </c>
      <c r="FK370" s="29" t="s">
        <v>413</v>
      </c>
      <c r="FL370" s="29" t="s">
        <v>413</v>
      </c>
      <c r="FM370" s="29" t="s">
        <v>413</v>
      </c>
      <c r="FN370" s="29" t="s">
        <v>414</v>
      </c>
      <c r="FO370" s="29" t="s">
        <v>417</v>
      </c>
      <c r="FP370" s="29" t="s">
        <v>486</v>
      </c>
      <c r="FQ370" s="29" t="s">
        <v>531</v>
      </c>
      <c r="FR370" s="29" t="s">
        <v>7396</v>
      </c>
      <c r="FS370" s="29" t="s">
        <v>420</v>
      </c>
      <c r="FT370" s="29" t="s">
        <v>488</v>
      </c>
      <c r="FU370" s="29" t="s">
        <v>918</v>
      </c>
      <c r="FV370" s="29" t="s">
        <v>490</v>
      </c>
      <c r="FW370" s="29" t="s">
        <v>491</v>
      </c>
      <c r="FX370" s="29"/>
      <c r="FY370" s="29" t="s">
        <v>535</v>
      </c>
      <c r="FZ370" s="29" t="s">
        <v>7397</v>
      </c>
      <c r="GA370" s="29"/>
      <c r="GB370" s="29" t="s">
        <v>455</v>
      </c>
      <c r="GC370" s="29"/>
      <c r="GD370" s="29"/>
      <c r="GE370" s="29" t="s">
        <v>753</v>
      </c>
      <c r="GF370" s="29" t="s">
        <v>7398</v>
      </c>
      <c r="GG370" s="29" t="s">
        <v>1000</v>
      </c>
      <c r="GH370" s="29" t="s">
        <v>1000</v>
      </c>
      <c r="GI370" s="29" t="s">
        <v>946</v>
      </c>
      <c r="GJ370" s="29"/>
      <c r="GK370" s="29"/>
      <c r="GL370" s="29"/>
      <c r="GM370" s="29"/>
      <c r="GN370" s="29"/>
      <c r="GO370" s="29"/>
      <c r="GP370" s="29"/>
      <c r="GQ370" s="29" t="s">
        <v>4653</v>
      </c>
      <c r="GR370" s="29"/>
      <c r="GS370" s="29"/>
      <c r="GT370" s="29" t="s">
        <v>4741</v>
      </c>
      <c r="GU370" s="29" t="s">
        <v>7399</v>
      </c>
      <c r="HP370" s="31"/>
      <c r="MX370" s="29" t="s">
        <v>10402</v>
      </c>
      <c r="MY370" s="29" t="str">
        <f>IFERROR(__xludf.DUMMYFUNCTION("""COMPUTED_VALUE"""),"Maryland")</f>
        <v>Maryland</v>
      </c>
    </row>
    <row r="371" ht="16.5" customHeight="1">
      <c r="A371" s="33">
        <v>45959.17554484954</v>
      </c>
      <c r="B371" s="29" t="s">
        <v>368</v>
      </c>
      <c r="C371" s="29" t="s">
        <v>370</v>
      </c>
      <c r="D371" s="29" t="s">
        <v>370</v>
      </c>
      <c r="E371" s="29" t="s">
        <v>859</v>
      </c>
      <c r="F371" s="29" t="s">
        <v>859</v>
      </c>
      <c r="G371" s="29" t="s">
        <v>422</v>
      </c>
      <c r="H371" s="29" t="s">
        <v>637</v>
      </c>
      <c r="I371" s="29" t="s">
        <v>638</v>
      </c>
      <c r="J371" s="29" t="s">
        <v>425</v>
      </c>
      <c r="K371" s="29" t="s">
        <v>376</v>
      </c>
      <c r="L371" s="29" t="s">
        <v>793</v>
      </c>
      <c r="M371" s="29" t="s">
        <v>639</v>
      </c>
      <c r="N371" s="29" t="s">
        <v>793</v>
      </c>
      <c r="O371" s="29" t="s">
        <v>719</v>
      </c>
      <c r="P371" s="29" t="s">
        <v>592</v>
      </c>
      <c r="Q371" s="29" t="s">
        <v>862</v>
      </c>
      <c r="R371" s="29" t="s">
        <v>500</v>
      </c>
      <c r="S371" s="29" t="s">
        <v>384</v>
      </c>
      <c r="T371" s="29" t="s">
        <v>385</v>
      </c>
      <c r="U371" s="29"/>
      <c r="V371" s="29"/>
      <c r="W371" s="29" t="s">
        <v>3014</v>
      </c>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t="s">
        <v>504</v>
      </c>
      <c r="AW371" s="29">
        <v>2.0</v>
      </c>
      <c r="AX371" s="29">
        <v>2.0</v>
      </c>
      <c r="AY371" s="29" t="s">
        <v>429</v>
      </c>
      <c r="AZ371" s="29" t="s">
        <v>429</v>
      </c>
      <c r="BA371" s="29" t="s">
        <v>391</v>
      </c>
      <c r="BB371" s="29">
        <v>2.0</v>
      </c>
      <c r="BC371" s="29" t="s">
        <v>7401</v>
      </c>
      <c r="BD371" s="29"/>
      <c r="BE371" s="29" t="s">
        <v>432</v>
      </c>
      <c r="BF371" s="29" t="s">
        <v>433</v>
      </c>
      <c r="BG371" s="29" t="s">
        <v>507</v>
      </c>
      <c r="BH371" s="29" t="s">
        <v>7402</v>
      </c>
      <c r="BI371" s="29" t="s">
        <v>509</v>
      </c>
      <c r="BJ371" s="29" t="s">
        <v>7403</v>
      </c>
      <c r="BK371" s="29" t="s">
        <v>437</v>
      </c>
      <c r="BL371" s="29" t="s">
        <v>396</v>
      </c>
      <c r="BM371" s="29" t="s">
        <v>439</v>
      </c>
      <c r="BN371" s="29" t="s">
        <v>513</v>
      </c>
      <c r="BO371" s="29"/>
      <c r="BP371" s="29"/>
      <c r="BQ371" s="29"/>
      <c r="BR371" s="29"/>
      <c r="BS371" s="29"/>
      <c r="BT371" s="29"/>
      <c r="BU371" s="29"/>
      <c r="BV371" s="29"/>
      <c r="BW371" s="29"/>
      <c r="BX371" s="29"/>
      <c r="BY371" s="29"/>
      <c r="BZ371" s="29"/>
      <c r="CA371" s="29"/>
      <c r="CB371" s="29"/>
      <c r="CC371" s="29"/>
      <c r="CD371" s="29"/>
      <c r="CE371" s="29"/>
      <c r="CF371" s="29"/>
      <c r="CG371" s="29"/>
      <c r="CH371" s="29"/>
      <c r="CI371" s="29"/>
      <c r="CJ371" s="29"/>
      <c r="CK371" s="29"/>
      <c r="CL371" s="29" t="s">
        <v>441</v>
      </c>
      <c r="CM371" s="29" t="s">
        <v>401</v>
      </c>
      <c r="CN371" s="29" t="s">
        <v>552</v>
      </c>
      <c r="CO371" s="29" t="s">
        <v>7404</v>
      </c>
      <c r="CP371" s="29" t="s">
        <v>979</v>
      </c>
      <c r="CQ371" s="29" t="s">
        <v>7405</v>
      </c>
      <c r="CR371" s="29" t="s">
        <v>447</v>
      </c>
      <c r="CS371" s="29" t="s">
        <v>3479</v>
      </c>
      <c r="CT371" s="29" t="s">
        <v>7406</v>
      </c>
      <c r="CU371" s="29" t="s">
        <v>450</v>
      </c>
      <c r="CV371" s="29" t="s">
        <v>451</v>
      </c>
      <c r="CW371" s="29" t="s">
        <v>7407</v>
      </c>
      <c r="CX371" s="29" t="s">
        <v>408</v>
      </c>
      <c r="CY371" s="29"/>
      <c r="CZ371" s="29" t="s">
        <v>453</v>
      </c>
      <c r="DA371" s="29" t="s">
        <v>7408</v>
      </c>
      <c r="DB371" s="29" t="s">
        <v>408</v>
      </c>
      <c r="DC371" s="29"/>
      <c r="DD371" s="29" t="s">
        <v>457</v>
      </c>
      <c r="DE371" s="29"/>
      <c r="DF371" s="29"/>
      <c r="DG371" s="29" t="s">
        <v>561</v>
      </c>
      <c r="DH371" s="29" t="s">
        <v>1220</v>
      </c>
      <c r="DI371" s="29" t="s">
        <v>459</v>
      </c>
      <c r="DJ371" s="29" t="s">
        <v>613</v>
      </c>
      <c r="DK371" s="29"/>
      <c r="DL371" s="29"/>
      <c r="DM371" s="29"/>
      <c r="DN371" s="29"/>
      <c r="DO371" s="29"/>
      <c r="DP371" s="29"/>
      <c r="DQ371" s="29"/>
      <c r="DR371" s="29"/>
      <c r="DS371" s="29"/>
      <c r="DT371" s="29"/>
      <c r="DU371" s="29"/>
      <c r="DV371" s="29"/>
      <c r="DW371" s="29"/>
      <c r="DX371" s="29"/>
      <c r="DY371" s="29"/>
      <c r="DZ371" s="29"/>
      <c r="EA371" s="29"/>
      <c r="EB371" s="29"/>
      <c r="EC371" s="29"/>
      <c r="ED371" s="29"/>
      <c r="EE371" s="29"/>
      <c r="EF371" s="29"/>
      <c r="EG371" s="29"/>
      <c r="EH371" s="29"/>
      <c r="EI371" s="29"/>
      <c r="EJ371" s="29"/>
      <c r="EK371" s="29"/>
      <c r="EL371" s="29"/>
      <c r="EM371" s="29"/>
      <c r="EN371" s="29"/>
      <c r="EO371" s="29"/>
      <c r="EP371" s="29"/>
      <c r="EQ371" s="29"/>
      <c r="ER371" s="29"/>
      <c r="ES371" s="29"/>
      <c r="ET371" s="29" t="s">
        <v>478</v>
      </c>
      <c r="EU371" s="29" t="s">
        <v>479</v>
      </c>
      <c r="EV371" s="29" t="s">
        <v>527</v>
      </c>
      <c r="EW371" s="29" t="s">
        <v>7409</v>
      </c>
      <c r="EX371" s="29"/>
      <c r="EY371" s="29"/>
      <c r="EZ371" s="29" t="s">
        <v>583</v>
      </c>
      <c r="FA371" s="29" t="s">
        <v>583</v>
      </c>
      <c r="FB371" s="29" t="s">
        <v>583</v>
      </c>
      <c r="FC371" s="29" t="s">
        <v>583</v>
      </c>
      <c r="FD371" s="29" t="s">
        <v>416</v>
      </c>
      <c r="FE371" s="29" t="s">
        <v>583</v>
      </c>
      <c r="FF371" s="29" t="s">
        <v>484</v>
      </c>
      <c r="FG371" s="29" t="s">
        <v>416</v>
      </c>
      <c r="FH371" s="29" t="s">
        <v>583</v>
      </c>
      <c r="FI371" s="29" t="s">
        <v>414</v>
      </c>
      <c r="FJ371" s="29" t="s">
        <v>414</v>
      </c>
      <c r="FK371" s="29" t="s">
        <v>484</v>
      </c>
      <c r="FL371" s="29" t="s">
        <v>484</v>
      </c>
      <c r="FM371" s="29" t="s">
        <v>484</v>
      </c>
      <c r="FN371" s="29" t="s">
        <v>484</v>
      </c>
      <c r="FO371" s="29" t="s">
        <v>850</v>
      </c>
      <c r="FP371" s="29" t="s">
        <v>418</v>
      </c>
      <c r="FQ371" s="29" t="s">
        <v>419</v>
      </c>
      <c r="FR371" s="29" t="s">
        <v>627</v>
      </c>
      <c r="FS371" s="29" t="s">
        <v>420</v>
      </c>
      <c r="FT371" s="29" t="s">
        <v>488</v>
      </c>
      <c r="FU371" s="29" t="s">
        <v>533</v>
      </c>
      <c r="FV371" s="29" t="s">
        <v>490</v>
      </c>
      <c r="FW371" s="29" t="s">
        <v>491</v>
      </c>
      <c r="FX371" s="29" t="s">
        <v>7410</v>
      </c>
      <c r="FY371" s="29" t="s">
        <v>535</v>
      </c>
      <c r="FZ371" s="29" t="s">
        <v>7411</v>
      </c>
      <c r="GA371" s="29"/>
      <c r="GB371" s="29" t="s">
        <v>408</v>
      </c>
      <c r="GC371" s="29"/>
      <c r="GD371" s="29"/>
      <c r="GE371" s="29"/>
      <c r="GF371" s="29"/>
      <c r="GG371" s="29" t="s">
        <v>920</v>
      </c>
      <c r="GH371" s="29" t="s">
        <v>920</v>
      </c>
      <c r="GI371" s="29" t="s">
        <v>817</v>
      </c>
      <c r="GJ371" s="29"/>
      <c r="GK371" s="29"/>
      <c r="GL371" s="29"/>
      <c r="GM371" s="29"/>
      <c r="GN371" s="29"/>
      <c r="GO371" s="29"/>
      <c r="GP371" s="29"/>
      <c r="GQ371" s="29" t="s">
        <v>3208</v>
      </c>
      <c r="GR371" s="29"/>
      <c r="GS371" s="29"/>
      <c r="GT371" s="29" t="s">
        <v>4774</v>
      </c>
      <c r="GU371" s="29"/>
      <c r="HP371" s="31"/>
      <c r="MX371" s="29" t="s">
        <v>10402</v>
      </c>
      <c r="MY371" s="29" t="str">
        <f>IFERROR(__xludf.DUMMYFUNCTION("""COMPUTED_VALUE"""),"California")</f>
        <v>California</v>
      </c>
    </row>
    <row r="372" ht="16.5" customHeight="1">
      <c r="A372" s="33">
        <v>45959.82985317129</v>
      </c>
      <c r="B372" s="29" t="s">
        <v>368</v>
      </c>
      <c r="C372" s="29" t="s">
        <v>370</v>
      </c>
      <c r="D372" s="29" t="s">
        <v>370</v>
      </c>
      <c r="E372" s="29" t="s">
        <v>371</v>
      </c>
      <c r="F372" s="29" t="s">
        <v>371</v>
      </c>
      <c r="G372" s="29" t="s">
        <v>1269</v>
      </c>
      <c r="H372" s="29" t="s">
        <v>373</v>
      </c>
      <c r="I372" s="29" t="s">
        <v>374</v>
      </c>
      <c r="J372" s="29" t="s">
        <v>590</v>
      </c>
      <c r="K372" s="29" t="s">
        <v>376</v>
      </c>
      <c r="L372" s="29" t="s">
        <v>591</v>
      </c>
      <c r="M372" s="29" t="s">
        <v>1024</v>
      </c>
      <c r="N372" s="29" t="s">
        <v>426</v>
      </c>
      <c r="O372" s="29" t="s">
        <v>1270</v>
      </c>
      <c r="P372" s="29" t="s">
        <v>1760</v>
      </c>
      <c r="Q372" s="29" t="s">
        <v>499</v>
      </c>
      <c r="R372" s="29" t="s">
        <v>7412</v>
      </c>
      <c r="S372" s="29" t="s">
        <v>384</v>
      </c>
      <c r="T372" s="29" t="s">
        <v>385</v>
      </c>
      <c r="U372" s="29"/>
      <c r="V372" s="29"/>
      <c r="W372" s="29" t="s">
        <v>386</v>
      </c>
      <c r="X372" s="29" t="s">
        <v>387</v>
      </c>
      <c r="Y372" s="29" t="s">
        <v>1966</v>
      </c>
      <c r="Z372" s="29" t="s">
        <v>543</v>
      </c>
      <c r="AA372" s="29" t="s">
        <v>7413</v>
      </c>
      <c r="AB372" s="29" t="s">
        <v>7414</v>
      </c>
      <c r="AC372" s="29"/>
      <c r="AD372" s="29"/>
      <c r="AE372" s="29"/>
      <c r="AF372" s="29"/>
      <c r="AG372" s="29"/>
      <c r="AH372" s="29"/>
      <c r="AI372" s="29"/>
      <c r="AJ372" s="29"/>
      <c r="AK372" s="29"/>
      <c r="AL372" s="29"/>
      <c r="AM372" s="29"/>
      <c r="AN372" s="29"/>
      <c r="AO372" s="29"/>
      <c r="AP372" s="29"/>
      <c r="AQ372" s="29"/>
      <c r="AR372" s="29"/>
      <c r="AS372" s="29"/>
      <c r="AT372" s="29"/>
      <c r="AU372" s="29"/>
      <c r="AV372" s="29" t="s">
        <v>1310</v>
      </c>
      <c r="AW372" s="29" t="s">
        <v>429</v>
      </c>
      <c r="AX372" s="29">
        <v>4.0</v>
      </c>
      <c r="AY372" s="29" t="s">
        <v>429</v>
      </c>
      <c r="AZ372" s="29" t="s">
        <v>675</v>
      </c>
      <c r="BA372" s="29" t="s">
        <v>675</v>
      </c>
      <c r="BB372" s="29" t="s">
        <v>391</v>
      </c>
      <c r="BC372" s="29" t="s">
        <v>7415</v>
      </c>
      <c r="BD372" s="29" t="s">
        <v>7416</v>
      </c>
      <c r="BE372" s="29" t="s">
        <v>432</v>
      </c>
      <c r="BF372" s="29" t="s">
        <v>433</v>
      </c>
      <c r="BG372" s="29" t="s">
        <v>725</v>
      </c>
      <c r="BH372" s="29" t="s">
        <v>7417</v>
      </c>
      <c r="BI372" s="29" t="s">
        <v>509</v>
      </c>
      <c r="BJ372" s="29" t="s">
        <v>7418</v>
      </c>
      <c r="BK372" s="29" t="s">
        <v>681</v>
      </c>
      <c r="BL372" s="29" t="s">
        <v>904</v>
      </c>
      <c r="BM372" s="29" t="s">
        <v>439</v>
      </c>
      <c r="BN372" s="29" t="s">
        <v>440</v>
      </c>
      <c r="BO372" s="29"/>
      <c r="BP372" s="29"/>
      <c r="BQ372" s="29"/>
      <c r="BR372" s="29"/>
      <c r="BS372" s="29"/>
      <c r="BT372" s="29"/>
      <c r="BU372" s="29"/>
      <c r="BV372" s="29"/>
      <c r="BW372" s="29"/>
      <c r="BX372" s="29"/>
      <c r="BY372" s="29"/>
      <c r="BZ372" s="29"/>
      <c r="CA372" s="29"/>
      <c r="CB372" s="29"/>
      <c r="CC372" s="29"/>
      <c r="CD372" s="29"/>
      <c r="CE372" s="29"/>
      <c r="CF372" s="29"/>
      <c r="CG372" s="29"/>
      <c r="CH372" s="29"/>
      <c r="CI372" s="29"/>
      <c r="CJ372" s="29"/>
      <c r="CK372" s="29"/>
      <c r="CL372" s="29" t="s">
        <v>441</v>
      </c>
      <c r="CM372" s="29" t="s">
        <v>604</v>
      </c>
      <c r="CN372" s="29" t="s">
        <v>7419</v>
      </c>
      <c r="CO372" s="29" t="s">
        <v>7420</v>
      </c>
      <c r="CP372" s="29" t="s">
        <v>979</v>
      </c>
      <c r="CQ372" s="29" t="s">
        <v>7421</v>
      </c>
      <c r="CR372" s="29" t="s">
        <v>447</v>
      </c>
      <c r="CS372" s="29" t="s">
        <v>7422</v>
      </c>
      <c r="CT372" s="29" t="s">
        <v>7423</v>
      </c>
      <c r="CU372" s="29" t="s">
        <v>450</v>
      </c>
      <c r="CV372" s="29" t="s">
        <v>451</v>
      </c>
      <c r="CW372" s="29" t="s">
        <v>7424</v>
      </c>
      <c r="CX372" s="29" t="s">
        <v>408</v>
      </c>
      <c r="CY372" s="29"/>
      <c r="CZ372" s="29" t="s">
        <v>453</v>
      </c>
      <c r="DA372" s="29" t="s">
        <v>7425</v>
      </c>
      <c r="DB372" s="29" t="s">
        <v>455</v>
      </c>
      <c r="DC372" s="29" t="s">
        <v>7426</v>
      </c>
      <c r="DD372" s="29" t="s">
        <v>457</v>
      </c>
      <c r="DE372" s="29"/>
      <c r="DF372" s="29" t="s">
        <v>7427</v>
      </c>
      <c r="DG372" s="29" t="s">
        <v>524</v>
      </c>
      <c r="DH372" s="29" t="s">
        <v>410</v>
      </c>
      <c r="DI372" s="29" t="s">
        <v>459</v>
      </c>
      <c r="DJ372" s="29" t="s">
        <v>613</v>
      </c>
      <c r="DK372" s="29"/>
      <c r="DL372" s="29"/>
      <c r="DM372" s="29" t="s">
        <v>7428</v>
      </c>
      <c r="DN372" s="29" t="s">
        <v>7429</v>
      </c>
      <c r="DO372" s="29" t="s">
        <v>567</v>
      </c>
      <c r="DP372" s="29" t="s">
        <v>7430</v>
      </c>
      <c r="DQ372" s="29" t="s">
        <v>1553</v>
      </c>
      <c r="DR372" s="29" t="s">
        <v>7431</v>
      </c>
      <c r="DS372" s="29" t="s">
        <v>839</v>
      </c>
      <c r="DT372" s="29" t="s">
        <v>619</v>
      </c>
      <c r="DU372" s="29" t="s">
        <v>7432</v>
      </c>
      <c r="DV372" s="29" t="s">
        <v>7433</v>
      </c>
      <c r="DW372" s="29" t="s">
        <v>573</v>
      </c>
      <c r="DX372" s="29" t="s">
        <v>7434</v>
      </c>
      <c r="DY372" s="29" t="s">
        <v>7435</v>
      </c>
      <c r="DZ372" s="29" t="s">
        <v>7436</v>
      </c>
      <c r="EA372" s="29" t="s">
        <v>475</v>
      </c>
      <c r="EB372" s="29" t="s">
        <v>626</v>
      </c>
      <c r="EC372" s="29" t="s">
        <v>7437</v>
      </c>
      <c r="ED372" s="29"/>
      <c r="EE372" s="29"/>
      <c r="EF372" s="29"/>
      <c r="EG372" s="29"/>
      <c r="EH372" s="29"/>
      <c r="EI372" s="29"/>
      <c r="EJ372" s="29"/>
      <c r="EK372" s="29"/>
      <c r="EL372" s="29"/>
      <c r="EM372" s="29"/>
      <c r="EN372" s="29"/>
      <c r="EO372" s="29"/>
      <c r="EP372" s="29"/>
      <c r="EQ372" s="29"/>
      <c r="ER372" s="29"/>
      <c r="ES372" s="29"/>
      <c r="ET372" s="29" t="s">
        <v>478</v>
      </c>
      <c r="EU372" s="29" t="s">
        <v>479</v>
      </c>
      <c r="EV372" s="29" t="s">
        <v>480</v>
      </c>
      <c r="EW372" s="29" t="s">
        <v>7438</v>
      </c>
      <c r="EX372" s="29" t="s">
        <v>7439</v>
      </c>
      <c r="EY372" s="29" t="s">
        <v>7440</v>
      </c>
      <c r="EZ372" s="29" t="s">
        <v>583</v>
      </c>
      <c r="FA372" s="29" t="s">
        <v>583</v>
      </c>
      <c r="FB372" s="29" t="s">
        <v>583</v>
      </c>
      <c r="FC372" s="29" t="s">
        <v>583</v>
      </c>
      <c r="FD372" s="29" t="s">
        <v>416</v>
      </c>
      <c r="FE372" s="29" t="s">
        <v>583</v>
      </c>
      <c r="FF372" s="29" t="s">
        <v>583</v>
      </c>
      <c r="FG372" s="29" t="s">
        <v>583</v>
      </c>
      <c r="FH372" s="29" t="s">
        <v>415</v>
      </c>
      <c r="FI372" s="29" t="s">
        <v>583</v>
      </c>
      <c r="FJ372" s="29" t="s">
        <v>583</v>
      </c>
      <c r="FK372" s="29" t="s">
        <v>415</v>
      </c>
      <c r="FL372" s="29" t="s">
        <v>415</v>
      </c>
      <c r="FM372" s="29" t="s">
        <v>413</v>
      </c>
      <c r="FN372" s="29" t="s">
        <v>583</v>
      </c>
      <c r="FO372" s="29" t="s">
        <v>485</v>
      </c>
      <c r="FP372" s="29" t="s">
        <v>486</v>
      </c>
      <c r="FQ372" s="29" t="s">
        <v>419</v>
      </c>
      <c r="FR372" s="29" t="s">
        <v>7441</v>
      </c>
      <c r="FS372" s="29" t="s">
        <v>420</v>
      </c>
      <c r="FT372" s="29" t="s">
        <v>488</v>
      </c>
      <c r="FU372" s="29" t="s">
        <v>533</v>
      </c>
      <c r="FV372" s="29" t="s">
        <v>490</v>
      </c>
      <c r="FW372" s="29" t="s">
        <v>491</v>
      </c>
      <c r="FX372" s="29" t="s">
        <v>7442</v>
      </c>
      <c r="FY372" s="29" t="s">
        <v>535</v>
      </c>
      <c r="FZ372" s="29" t="s">
        <v>7443</v>
      </c>
      <c r="GA372" s="29" t="s">
        <v>7444</v>
      </c>
      <c r="GB372" s="29" t="s">
        <v>455</v>
      </c>
      <c r="GC372" s="29"/>
      <c r="GD372" s="29"/>
      <c r="GE372" s="29" t="s">
        <v>753</v>
      </c>
      <c r="GF372" s="29" t="s">
        <v>7445</v>
      </c>
      <c r="GG372" s="29" t="s">
        <v>920</v>
      </c>
      <c r="GH372" s="29" t="s">
        <v>755</v>
      </c>
      <c r="GI372" s="29" t="s">
        <v>946</v>
      </c>
      <c r="GJ372" s="29"/>
      <c r="GK372" s="29"/>
      <c r="GL372" s="29"/>
      <c r="GM372" s="29" t="s">
        <v>1079</v>
      </c>
      <c r="GN372" s="29"/>
      <c r="GO372" s="29"/>
      <c r="GP372" s="29"/>
      <c r="GQ372" s="29" t="s">
        <v>3273</v>
      </c>
      <c r="GR372" s="29"/>
      <c r="GS372" s="29"/>
      <c r="GT372" s="29" t="s">
        <v>5170</v>
      </c>
      <c r="GU372" s="29" t="s">
        <v>7446</v>
      </c>
      <c r="HP372" s="31"/>
      <c r="MX372" s="29" t="s">
        <v>10402</v>
      </c>
      <c r="MY372" s="29" t="str">
        <f>IFERROR(__xludf.DUMMYFUNCTION("""COMPUTED_VALUE"""),"Oklahoma")</f>
        <v>Oklahoma</v>
      </c>
    </row>
    <row r="373" ht="16.5" customHeight="1">
      <c r="A373" s="33">
        <v>45960.6216075</v>
      </c>
      <c r="B373" s="29" t="s">
        <v>368</v>
      </c>
      <c r="C373" s="29" t="s">
        <v>370</v>
      </c>
      <c r="D373" s="29" t="s">
        <v>370</v>
      </c>
      <c r="E373" s="29" t="s">
        <v>2195</v>
      </c>
      <c r="F373" s="29" t="s">
        <v>2195</v>
      </c>
      <c r="G373" s="29" t="s">
        <v>422</v>
      </c>
      <c r="H373" s="29" t="s">
        <v>373</v>
      </c>
      <c r="I373" s="29" t="s">
        <v>638</v>
      </c>
      <c r="J373" s="29" t="s">
        <v>590</v>
      </c>
      <c r="K373" s="29" t="s">
        <v>376</v>
      </c>
      <c r="L373" s="29" t="s">
        <v>379</v>
      </c>
      <c r="M373" s="29" t="s">
        <v>378</v>
      </c>
      <c r="N373" s="29" t="s">
        <v>591</v>
      </c>
      <c r="O373" s="29" t="s">
        <v>1385</v>
      </c>
      <c r="P373" s="29" t="s">
        <v>498</v>
      </c>
      <c r="Q373" s="29" t="s">
        <v>499</v>
      </c>
      <c r="R373" s="29" t="s">
        <v>1704</v>
      </c>
      <c r="S373" s="29" t="s">
        <v>384</v>
      </c>
      <c r="T373" s="29" t="s">
        <v>385</v>
      </c>
      <c r="U373" s="29"/>
      <c r="V373" s="29"/>
      <c r="W373" s="29" t="s">
        <v>386</v>
      </c>
      <c r="X373" s="29" t="s">
        <v>387</v>
      </c>
      <c r="Y373" s="29" t="s">
        <v>897</v>
      </c>
      <c r="Z373" s="29" t="s">
        <v>502</v>
      </c>
      <c r="AA373" s="29" t="s">
        <v>7451</v>
      </c>
      <c r="AB373" s="29"/>
      <c r="AC373" s="29"/>
      <c r="AD373" s="29"/>
      <c r="AE373" s="29"/>
      <c r="AF373" s="29"/>
      <c r="AG373" s="29"/>
      <c r="AH373" s="29"/>
      <c r="AI373" s="29"/>
      <c r="AJ373" s="29"/>
      <c r="AK373" s="29"/>
      <c r="AL373" s="29"/>
      <c r="AM373" s="29"/>
      <c r="AN373" s="29"/>
      <c r="AO373" s="29"/>
      <c r="AP373" s="29"/>
      <c r="AQ373" s="29"/>
      <c r="AR373" s="29"/>
      <c r="AS373" s="29"/>
      <c r="AT373" s="29"/>
      <c r="AU373" s="29"/>
      <c r="AV373" s="29" t="s">
        <v>597</v>
      </c>
      <c r="AW373" s="29" t="s">
        <v>391</v>
      </c>
      <c r="AX373" s="29" t="s">
        <v>391</v>
      </c>
      <c r="AY373" s="29" t="s">
        <v>391</v>
      </c>
      <c r="AZ373" s="29" t="s">
        <v>391</v>
      </c>
      <c r="BA373" s="29" t="s">
        <v>391</v>
      </c>
      <c r="BB373" s="29" t="s">
        <v>391</v>
      </c>
      <c r="BC373" s="29"/>
      <c r="BD373" s="29"/>
      <c r="BE373" s="29" t="s">
        <v>432</v>
      </c>
      <c r="BF373" s="29" t="s">
        <v>393</v>
      </c>
      <c r="BG373" s="29" t="s">
        <v>434</v>
      </c>
      <c r="BH373" s="29"/>
      <c r="BI373" s="29" t="s">
        <v>435</v>
      </c>
      <c r="BJ373" s="29"/>
      <c r="BK373" s="29" t="s">
        <v>437</v>
      </c>
      <c r="BL373" s="29" t="s">
        <v>438</v>
      </c>
      <c r="BM373" s="29" t="s">
        <v>397</v>
      </c>
      <c r="BN373" s="29" t="s">
        <v>513</v>
      </c>
      <c r="BO373" s="29"/>
      <c r="BP373" s="29"/>
      <c r="BQ373" s="29"/>
      <c r="BR373" s="29"/>
      <c r="BS373" s="29"/>
      <c r="BT373" s="29"/>
      <c r="BU373" s="29"/>
      <c r="BV373" s="29"/>
      <c r="BW373" s="29"/>
      <c r="BX373" s="29"/>
      <c r="BY373" s="29"/>
      <c r="BZ373" s="29"/>
      <c r="CA373" s="29"/>
      <c r="CB373" s="29"/>
      <c r="CC373" s="29"/>
      <c r="CD373" s="29"/>
      <c r="CE373" s="29"/>
      <c r="CF373" s="29"/>
      <c r="CG373" s="29"/>
      <c r="CH373" s="29"/>
      <c r="CI373" s="29"/>
      <c r="CJ373" s="29"/>
      <c r="CK373" s="29"/>
      <c r="CL373" s="29" t="s">
        <v>441</v>
      </c>
      <c r="CM373" s="29" t="s">
        <v>401</v>
      </c>
      <c r="CN373" s="29" t="s">
        <v>7452</v>
      </c>
      <c r="CO373" s="29" t="s">
        <v>7453</v>
      </c>
      <c r="CP373" s="29" t="s">
        <v>403</v>
      </c>
      <c r="CQ373" s="29" t="s">
        <v>7454</v>
      </c>
      <c r="CR373" s="29" t="s">
        <v>404</v>
      </c>
      <c r="CS373" s="29" t="s">
        <v>7455</v>
      </c>
      <c r="CT373" s="29" t="s">
        <v>7456</v>
      </c>
      <c r="CU373" s="29" t="s">
        <v>450</v>
      </c>
      <c r="CV373" s="29" t="s">
        <v>451</v>
      </c>
      <c r="CW373" s="29" t="s">
        <v>7457</v>
      </c>
      <c r="CX373" s="29" t="s">
        <v>733</v>
      </c>
      <c r="CY373" s="29"/>
      <c r="CZ373" s="29" t="s">
        <v>453</v>
      </c>
      <c r="DA373" s="29" t="s">
        <v>7458</v>
      </c>
      <c r="DB373" s="29" t="s">
        <v>913</v>
      </c>
      <c r="DC373" s="29"/>
      <c r="DD373" s="29" t="s">
        <v>662</v>
      </c>
      <c r="DE373" s="29" t="s">
        <v>1867</v>
      </c>
      <c r="DF373" s="29"/>
      <c r="DG373" s="29" t="s">
        <v>524</v>
      </c>
      <c r="DH373" s="29" t="s">
        <v>833</v>
      </c>
      <c r="DI373" s="29" t="s">
        <v>459</v>
      </c>
      <c r="DJ373" s="29" t="s">
        <v>562</v>
      </c>
      <c r="DK373" s="29" t="s">
        <v>6335</v>
      </c>
      <c r="DL373" s="29"/>
      <c r="DM373" s="29"/>
      <c r="DN373" s="29"/>
      <c r="DO373" s="29"/>
      <c r="DP373" s="29"/>
      <c r="DQ373" s="29"/>
      <c r="DR373" s="29"/>
      <c r="DS373" s="29"/>
      <c r="DT373" s="29"/>
      <c r="DU373" s="29"/>
      <c r="DV373" s="29"/>
      <c r="DW373" s="29"/>
      <c r="DX373" s="29"/>
      <c r="DY373" s="29"/>
      <c r="DZ373" s="29"/>
      <c r="EA373" s="29"/>
      <c r="EB373" s="29"/>
      <c r="EC373" s="29"/>
      <c r="ED373" s="29"/>
      <c r="EE373" s="29"/>
      <c r="EF373" s="29"/>
      <c r="EG373" s="29"/>
      <c r="EH373" s="29"/>
      <c r="EI373" s="29"/>
      <c r="EJ373" s="29"/>
      <c r="EK373" s="29"/>
      <c r="EL373" s="29"/>
      <c r="EM373" s="29"/>
      <c r="EN373" s="29"/>
      <c r="EO373" s="29"/>
      <c r="EP373" s="29"/>
      <c r="EQ373" s="29"/>
      <c r="ER373" s="29"/>
      <c r="ES373" s="29"/>
      <c r="ET373" s="29" t="s">
        <v>526</v>
      </c>
      <c r="EU373" s="29" t="s">
        <v>479</v>
      </c>
      <c r="EV373" s="29" t="s">
        <v>1534</v>
      </c>
      <c r="EW373" s="29"/>
      <c r="EX373" s="29" t="s">
        <v>7459</v>
      </c>
      <c r="EY373" s="29" t="s">
        <v>7460</v>
      </c>
      <c r="EZ373" s="29" t="s">
        <v>413</v>
      </c>
      <c r="FA373" s="29" t="s">
        <v>416</v>
      </c>
      <c r="FB373" s="29" t="s">
        <v>415</v>
      </c>
      <c r="FC373" s="29" t="s">
        <v>414</v>
      </c>
      <c r="FD373" s="29" t="s">
        <v>413</v>
      </c>
      <c r="FE373" s="29" t="s">
        <v>415</v>
      </c>
      <c r="FF373" s="29" t="s">
        <v>415</v>
      </c>
      <c r="FG373" s="29" t="s">
        <v>416</v>
      </c>
      <c r="FH373" s="29" t="s">
        <v>583</v>
      </c>
      <c r="FI373" s="29" t="s">
        <v>414</v>
      </c>
      <c r="FJ373" s="29" t="s">
        <v>415</v>
      </c>
      <c r="FK373" s="29" t="s">
        <v>416</v>
      </c>
      <c r="FL373" s="29" t="s">
        <v>415</v>
      </c>
      <c r="FM373" s="29" t="s">
        <v>416</v>
      </c>
      <c r="FN373" s="29" t="s">
        <v>583</v>
      </c>
      <c r="FO373" s="29" t="s">
        <v>417</v>
      </c>
      <c r="FP373" s="29" t="s">
        <v>418</v>
      </c>
      <c r="FQ373" s="29" t="s">
        <v>712</v>
      </c>
      <c r="FR373" s="29"/>
      <c r="FS373" s="29" t="s">
        <v>420</v>
      </c>
      <c r="FT373" s="29" t="s">
        <v>488</v>
      </c>
      <c r="FU373" s="29" t="s">
        <v>489</v>
      </c>
      <c r="FV373" s="29" t="s">
        <v>490</v>
      </c>
      <c r="FW373" s="29" t="s">
        <v>491</v>
      </c>
      <c r="FX373" s="29" t="s">
        <v>7461</v>
      </c>
      <c r="FY373" s="29" t="s">
        <v>535</v>
      </c>
      <c r="FZ373" s="29" t="s">
        <v>7462</v>
      </c>
      <c r="GA373" s="29"/>
      <c r="GB373" s="29" t="s">
        <v>408</v>
      </c>
      <c r="GC373" s="29"/>
      <c r="GD373" s="29"/>
      <c r="GE373" s="29"/>
      <c r="GF373" s="29"/>
      <c r="GG373" s="29" t="s">
        <v>788</v>
      </c>
      <c r="GH373" s="29" t="s">
        <v>1000</v>
      </c>
      <c r="GI373" s="29" t="s">
        <v>817</v>
      </c>
      <c r="GJ373" s="29"/>
      <c r="GK373" s="29"/>
      <c r="GL373" s="29"/>
      <c r="GM373" s="29"/>
      <c r="GN373" s="29"/>
      <c r="GO373" s="29"/>
      <c r="GP373" s="29"/>
      <c r="GQ373" s="29" t="s">
        <v>3306</v>
      </c>
      <c r="GR373" s="29"/>
      <c r="GS373" s="29"/>
      <c r="GT373" s="29" t="s">
        <v>5318</v>
      </c>
      <c r="GU373" s="29"/>
      <c r="HP373" s="31"/>
      <c r="MX373" s="29" t="s">
        <v>10402</v>
      </c>
      <c r="MY373" s="29" t="str">
        <f>IFERROR(__xludf.DUMMYFUNCTION("""COMPUTED_VALUE"""),"Kentucky")</f>
        <v>Kentucky</v>
      </c>
    </row>
    <row r="374" ht="16.5" customHeight="1">
      <c r="A374" s="33">
        <v>45960.99731127315</v>
      </c>
      <c r="B374" s="29" t="s">
        <v>368</v>
      </c>
      <c r="C374" s="29" t="s">
        <v>370</v>
      </c>
      <c r="D374" s="29" t="s">
        <v>370</v>
      </c>
      <c r="E374" s="29" t="s">
        <v>5384</v>
      </c>
      <c r="F374" s="29" t="s">
        <v>495</v>
      </c>
      <c r="G374" s="29" t="s">
        <v>422</v>
      </c>
      <c r="H374" s="29" t="s">
        <v>373</v>
      </c>
      <c r="I374" s="29" t="s">
        <v>374</v>
      </c>
      <c r="J374" s="29" t="s">
        <v>375</v>
      </c>
      <c r="K374" s="29" t="s">
        <v>376</v>
      </c>
      <c r="L374" s="29" t="s">
        <v>591</v>
      </c>
      <c r="M374" s="29" t="s">
        <v>639</v>
      </c>
      <c r="N374" s="29" t="s">
        <v>793</v>
      </c>
      <c r="O374" s="29" t="s">
        <v>1270</v>
      </c>
      <c r="P374" s="29" t="s">
        <v>498</v>
      </c>
      <c r="Q374" s="29" t="s">
        <v>499</v>
      </c>
      <c r="R374" s="29" t="s">
        <v>500</v>
      </c>
      <c r="S374" s="29" t="s">
        <v>384</v>
      </c>
      <c r="T374" s="29" t="s">
        <v>385</v>
      </c>
      <c r="U374" s="29"/>
      <c r="V374" s="29"/>
      <c r="W374" s="29" t="s">
        <v>593</v>
      </c>
      <c r="X374" s="29" t="s">
        <v>387</v>
      </c>
      <c r="Y374" s="29" t="s">
        <v>388</v>
      </c>
      <c r="Z374" s="29" t="s">
        <v>502</v>
      </c>
      <c r="AA374" s="29" t="s">
        <v>7464</v>
      </c>
      <c r="AB374" s="29" t="s">
        <v>7465</v>
      </c>
      <c r="AC374" s="29"/>
      <c r="AD374" s="29"/>
      <c r="AE374" s="29"/>
      <c r="AF374" s="29"/>
      <c r="AG374" s="29"/>
      <c r="AH374" s="29"/>
      <c r="AI374" s="29"/>
      <c r="AJ374" s="29"/>
      <c r="AK374" s="29"/>
      <c r="AL374" s="29"/>
      <c r="AM374" s="29"/>
      <c r="AN374" s="29"/>
      <c r="AO374" s="29"/>
      <c r="AP374" s="29"/>
      <c r="AQ374" s="29"/>
      <c r="AR374" s="29"/>
      <c r="AS374" s="29"/>
      <c r="AT374" s="29"/>
      <c r="AU374" s="29"/>
      <c r="AV374" s="29" t="s">
        <v>504</v>
      </c>
      <c r="AW374" s="29" t="s">
        <v>391</v>
      </c>
      <c r="AX374" s="29" t="s">
        <v>391</v>
      </c>
      <c r="AY374" s="29">
        <v>2.0</v>
      </c>
      <c r="AZ374" s="29">
        <v>4.0</v>
      </c>
      <c r="BA374" s="29">
        <v>2.0</v>
      </c>
      <c r="BB374" s="29">
        <v>2.0</v>
      </c>
      <c r="BC374" s="29" t="s">
        <v>7466</v>
      </c>
      <c r="BD374" s="29" t="s">
        <v>7467</v>
      </c>
      <c r="BE374" s="29" t="s">
        <v>902</v>
      </c>
      <c r="BF374" s="29" t="s">
        <v>393</v>
      </c>
      <c r="BG374" s="29" t="s">
        <v>765</v>
      </c>
      <c r="BH374" s="29" t="s">
        <v>7468</v>
      </c>
      <c r="BI374" s="29" t="s">
        <v>824</v>
      </c>
      <c r="BJ374" s="29" t="s">
        <v>1211</v>
      </c>
      <c r="BK374" s="29" t="s">
        <v>437</v>
      </c>
      <c r="BL374" s="29" t="s">
        <v>396</v>
      </c>
      <c r="BM374" s="29" t="s">
        <v>439</v>
      </c>
      <c r="BN374" s="29" t="s">
        <v>440</v>
      </c>
      <c r="BO374" s="29"/>
      <c r="BP374" s="29"/>
      <c r="BQ374" s="29"/>
      <c r="BR374" s="29"/>
      <c r="BS374" s="29"/>
      <c r="BT374" s="29"/>
      <c r="BU374" s="29"/>
      <c r="BV374" s="29"/>
      <c r="BW374" s="29"/>
      <c r="BX374" s="29"/>
      <c r="BY374" s="29"/>
      <c r="BZ374" s="29"/>
      <c r="CA374" s="29"/>
      <c r="CB374" s="29"/>
      <c r="CC374" s="29"/>
      <c r="CD374" s="29"/>
      <c r="CE374" s="29"/>
      <c r="CF374" s="29"/>
      <c r="CG374" s="29"/>
      <c r="CH374" s="29"/>
      <c r="CI374" s="29"/>
      <c r="CJ374" s="29"/>
      <c r="CK374" s="29"/>
      <c r="CL374" s="29" t="s">
        <v>441</v>
      </c>
      <c r="CM374" s="29" t="s">
        <v>401</v>
      </c>
      <c r="CN374" s="29" t="s">
        <v>7469</v>
      </c>
      <c r="CO374" s="29" t="s">
        <v>7470</v>
      </c>
      <c r="CP374" s="29" t="s">
        <v>1008</v>
      </c>
      <c r="CQ374" s="29" t="s">
        <v>7471</v>
      </c>
      <c r="CR374" s="29" t="s">
        <v>804</v>
      </c>
      <c r="CS374" s="29" t="s">
        <v>5192</v>
      </c>
      <c r="CT374" s="29" t="s">
        <v>7472</v>
      </c>
      <c r="CU374" s="29" t="s">
        <v>519</v>
      </c>
      <c r="CV374" s="29" t="s">
        <v>451</v>
      </c>
      <c r="CW374" s="29" t="s">
        <v>7473</v>
      </c>
      <c r="CX374" s="29" t="s">
        <v>455</v>
      </c>
      <c r="CY374" s="29" t="s">
        <v>7474</v>
      </c>
      <c r="CZ374" s="29" t="s">
        <v>453</v>
      </c>
      <c r="DA374" s="29" t="s">
        <v>7475</v>
      </c>
      <c r="DB374" s="29" t="s">
        <v>455</v>
      </c>
      <c r="DC374" s="29" t="s">
        <v>7476</v>
      </c>
      <c r="DD374" s="29" t="s">
        <v>662</v>
      </c>
      <c r="DE374" s="29"/>
      <c r="DF374" s="29" t="s">
        <v>7477</v>
      </c>
      <c r="DG374" s="29" t="s">
        <v>524</v>
      </c>
      <c r="DH374" s="29" t="s">
        <v>410</v>
      </c>
      <c r="DI374" s="29" t="s">
        <v>459</v>
      </c>
      <c r="DJ374" s="29" t="s">
        <v>460</v>
      </c>
      <c r="DK374" s="29" t="s">
        <v>6335</v>
      </c>
      <c r="DL374" s="29"/>
      <c r="DM374" s="29" t="s">
        <v>7478</v>
      </c>
      <c r="DN374" s="29" t="s">
        <v>7479</v>
      </c>
      <c r="DO374" s="29" t="s">
        <v>464</v>
      </c>
      <c r="DP374" s="29" t="s">
        <v>7480</v>
      </c>
      <c r="DQ374" s="29" t="s">
        <v>466</v>
      </c>
      <c r="DR374" s="29" t="s">
        <v>7481</v>
      </c>
      <c r="DS374" s="29" t="s">
        <v>468</v>
      </c>
      <c r="DT374" s="29" t="s">
        <v>703</v>
      </c>
      <c r="DU374" s="29" t="s">
        <v>7482</v>
      </c>
      <c r="DV374" s="29" t="s">
        <v>7483</v>
      </c>
      <c r="DW374" s="29" t="s">
        <v>622</v>
      </c>
      <c r="DX374" s="29" t="s">
        <v>7484</v>
      </c>
      <c r="DY374" s="29" t="s">
        <v>7485</v>
      </c>
      <c r="DZ374" s="29" t="s">
        <v>7486</v>
      </c>
      <c r="EA374" s="29" t="s">
        <v>475</v>
      </c>
      <c r="EB374" s="29" t="s">
        <v>845</v>
      </c>
      <c r="EC374" s="29" t="s">
        <v>7487</v>
      </c>
      <c r="ED374" s="29"/>
      <c r="EE374" s="29"/>
      <c r="EF374" s="29"/>
      <c r="EG374" s="29"/>
      <c r="EH374" s="29"/>
      <c r="EI374" s="29"/>
      <c r="EJ374" s="29"/>
      <c r="EK374" s="29"/>
      <c r="EL374" s="29"/>
      <c r="EM374" s="29"/>
      <c r="EN374" s="29"/>
      <c r="EO374" s="29"/>
      <c r="EP374" s="29"/>
      <c r="EQ374" s="29"/>
      <c r="ER374" s="29"/>
      <c r="ES374" s="29"/>
      <c r="ET374" s="29" t="s">
        <v>526</v>
      </c>
      <c r="EU374" s="29" t="s">
        <v>479</v>
      </c>
      <c r="EV374" s="29" t="s">
        <v>527</v>
      </c>
      <c r="EW374" s="29" t="s">
        <v>7488</v>
      </c>
      <c r="EX374" s="29" t="s">
        <v>7489</v>
      </c>
      <c r="EY374" s="29" t="s">
        <v>7490</v>
      </c>
      <c r="EZ374" s="29" t="s">
        <v>414</v>
      </c>
      <c r="FA374" s="29" t="s">
        <v>414</v>
      </c>
      <c r="FB374" s="29" t="s">
        <v>415</v>
      </c>
      <c r="FC374" s="29" t="s">
        <v>414</v>
      </c>
      <c r="FD374" s="29" t="s">
        <v>415</v>
      </c>
      <c r="FE374" s="29" t="s">
        <v>414</v>
      </c>
      <c r="FF374" s="29" t="s">
        <v>414</v>
      </c>
      <c r="FG374" s="29" t="s">
        <v>415</v>
      </c>
      <c r="FH374" s="29" t="s">
        <v>415</v>
      </c>
      <c r="FI374" s="29" t="s">
        <v>414</v>
      </c>
      <c r="FJ374" s="29" t="s">
        <v>414</v>
      </c>
      <c r="FK374" s="29" t="s">
        <v>415</v>
      </c>
      <c r="FL374" s="29" t="s">
        <v>415</v>
      </c>
      <c r="FM374" s="29" t="s">
        <v>415</v>
      </c>
      <c r="FN374" s="29" t="s">
        <v>415</v>
      </c>
      <c r="FO374" s="29" t="s">
        <v>417</v>
      </c>
      <c r="FP374" s="29" t="s">
        <v>418</v>
      </c>
      <c r="FQ374" s="29" t="s">
        <v>630</v>
      </c>
      <c r="FR374" s="29" t="s">
        <v>7491</v>
      </c>
      <c r="FS374" s="29" t="s">
        <v>420</v>
      </c>
      <c r="FT374" s="29" t="s">
        <v>488</v>
      </c>
      <c r="FU374" s="29" t="s">
        <v>533</v>
      </c>
      <c r="FV374" s="29" t="s">
        <v>490</v>
      </c>
      <c r="FW374" s="29" t="s">
        <v>491</v>
      </c>
      <c r="FX374" s="29" t="s">
        <v>7492</v>
      </c>
      <c r="FY374" s="29" t="s">
        <v>535</v>
      </c>
      <c r="FZ374" s="29" t="s">
        <v>7493</v>
      </c>
      <c r="GA374" s="29"/>
      <c r="GB374" s="29" t="s">
        <v>455</v>
      </c>
      <c r="GC374" s="29"/>
      <c r="GD374" s="29"/>
      <c r="GE374" s="29" t="s">
        <v>753</v>
      </c>
      <c r="GF374" s="29"/>
      <c r="GG374" s="29" t="s">
        <v>857</v>
      </c>
      <c r="GH374" s="29" t="s">
        <v>857</v>
      </c>
      <c r="GI374" s="29" t="s">
        <v>790</v>
      </c>
      <c r="GJ374" s="29"/>
      <c r="GK374" s="29"/>
      <c r="GL374" s="29"/>
      <c r="GM374" s="29" t="s">
        <v>1079</v>
      </c>
      <c r="GN374" s="29"/>
      <c r="GO374" s="29"/>
      <c r="GP374" s="29"/>
      <c r="GQ374" s="29" t="s">
        <v>5656</v>
      </c>
      <c r="GR374" s="29"/>
      <c r="GS374" s="29"/>
      <c r="GT374" s="29" t="s">
        <v>4774</v>
      </c>
      <c r="GU374" s="29" t="s">
        <v>1211</v>
      </c>
      <c r="HP374" s="31"/>
      <c r="MX374" s="29" t="s">
        <v>10402</v>
      </c>
      <c r="MY374" s="29" t="str">
        <f>IFERROR(__xludf.DUMMYFUNCTION("""COMPUTED_VALUE"""),"California")</f>
        <v>California</v>
      </c>
    </row>
    <row r="375" ht="16.5" customHeight="1">
      <c r="A375" s="33">
        <v>45963.67673798611</v>
      </c>
      <c r="B375" s="29" t="s">
        <v>368</v>
      </c>
      <c r="C375" s="29" t="s">
        <v>370</v>
      </c>
      <c r="D375" s="29" t="s">
        <v>370</v>
      </c>
      <c r="E375" s="29" t="s">
        <v>371</v>
      </c>
      <c r="F375" s="29" t="s">
        <v>371</v>
      </c>
      <c r="G375" s="29" t="s">
        <v>422</v>
      </c>
      <c r="H375" s="29" t="s">
        <v>539</v>
      </c>
      <c r="I375" s="29" t="s">
        <v>374</v>
      </c>
      <c r="J375" s="29" t="s">
        <v>425</v>
      </c>
      <c r="K375" s="29" t="s">
        <v>376</v>
      </c>
      <c r="L375" s="29" t="s">
        <v>591</v>
      </c>
      <c r="M375" s="29" t="s">
        <v>3109</v>
      </c>
      <c r="N375" s="29" t="s">
        <v>426</v>
      </c>
      <c r="O375" s="29" t="s">
        <v>2464</v>
      </c>
      <c r="P375" s="29" t="s">
        <v>381</v>
      </c>
      <c r="Q375" s="29" t="s">
        <v>862</v>
      </c>
      <c r="R375" s="29" t="s">
        <v>427</v>
      </c>
      <c r="S375" s="29" t="s">
        <v>384</v>
      </c>
      <c r="T375" s="29" t="s">
        <v>385</v>
      </c>
      <c r="U375" s="29"/>
      <c r="V375" s="29"/>
      <c r="W375" s="29" t="s">
        <v>3231</v>
      </c>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t="s">
        <v>390</v>
      </c>
      <c r="AW375" s="29" t="s">
        <v>391</v>
      </c>
      <c r="AX375" s="29" t="s">
        <v>391</v>
      </c>
      <c r="AY375" s="29" t="s">
        <v>429</v>
      </c>
      <c r="AZ375" s="29" t="s">
        <v>429</v>
      </c>
      <c r="BA375" s="29" t="s">
        <v>429</v>
      </c>
      <c r="BB375" s="29">
        <v>2.0</v>
      </c>
      <c r="BC375" s="29" t="s">
        <v>7497</v>
      </c>
      <c r="BD375" s="29" t="s">
        <v>7498</v>
      </c>
      <c r="BE375" s="29" t="s">
        <v>392</v>
      </c>
      <c r="BF375" s="29" t="s">
        <v>433</v>
      </c>
      <c r="BG375" s="29" t="s">
        <v>678</v>
      </c>
      <c r="BH375" s="29"/>
      <c r="BI375" s="29" t="s">
        <v>435</v>
      </c>
      <c r="BJ375" s="29" t="s">
        <v>7499</v>
      </c>
      <c r="BK375" s="29" t="s">
        <v>511</v>
      </c>
      <c r="BL375" s="29" t="s">
        <v>904</v>
      </c>
      <c r="BM375" s="29" t="s">
        <v>439</v>
      </c>
      <c r="BN375" s="29" t="s">
        <v>440</v>
      </c>
      <c r="BO375" s="29"/>
      <c r="BP375" s="29"/>
      <c r="BQ375" s="29"/>
      <c r="BR375" s="29"/>
      <c r="BS375" s="29"/>
      <c r="BT375" s="29"/>
      <c r="BU375" s="29"/>
      <c r="BV375" s="29"/>
      <c r="BW375" s="29"/>
      <c r="BX375" s="29"/>
      <c r="BY375" s="29"/>
      <c r="BZ375" s="29"/>
      <c r="CA375" s="29"/>
      <c r="CB375" s="29"/>
      <c r="CC375" s="29"/>
      <c r="CD375" s="29"/>
      <c r="CE375" s="29"/>
      <c r="CF375" s="29"/>
      <c r="CG375" s="29"/>
      <c r="CH375" s="29"/>
      <c r="CI375" s="29"/>
      <c r="CJ375" s="29"/>
      <c r="CK375" s="29"/>
      <c r="CL375" s="29" t="s">
        <v>441</v>
      </c>
      <c r="CM375" s="29" t="s">
        <v>442</v>
      </c>
      <c r="CN375" s="29" t="s">
        <v>552</v>
      </c>
      <c r="CO375" s="29" t="s">
        <v>7500</v>
      </c>
      <c r="CP375" s="29" t="s">
        <v>685</v>
      </c>
      <c r="CQ375" s="29" t="s">
        <v>956</v>
      </c>
      <c r="CR375" s="29" t="s">
        <v>447</v>
      </c>
      <c r="CS375" s="29" t="s">
        <v>1881</v>
      </c>
      <c r="CT375" s="29" t="s">
        <v>7501</v>
      </c>
      <c r="CU375" s="29" t="s">
        <v>450</v>
      </c>
      <c r="CV375" s="29" t="s">
        <v>451</v>
      </c>
      <c r="CW375" s="29" t="s">
        <v>7502</v>
      </c>
      <c r="CX375" s="29" t="s">
        <v>408</v>
      </c>
      <c r="CY375" s="29"/>
      <c r="CZ375" s="29" t="s">
        <v>453</v>
      </c>
      <c r="DA375" s="29" t="s">
        <v>7503</v>
      </c>
      <c r="DB375" s="29" t="s">
        <v>455</v>
      </c>
      <c r="DC375" s="29" t="s">
        <v>7504</v>
      </c>
      <c r="DD375" s="29" t="s">
        <v>406</v>
      </c>
      <c r="DE375" s="29" t="s">
        <v>407</v>
      </c>
      <c r="DF375" s="29" t="s">
        <v>7505</v>
      </c>
      <c r="DG375" s="29" t="s">
        <v>524</v>
      </c>
      <c r="DH375" s="29" t="s">
        <v>410</v>
      </c>
      <c r="DI375" s="29" t="s">
        <v>459</v>
      </c>
      <c r="DJ375" s="29" t="s">
        <v>460</v>
      </c>
      <c r="DK375" s="29" t="s">
        <v>6319</v>
      </c>
      <c r="DL375" s="29"/>
      <c r="DM375" s="29" t="s">
        <v>5483</v>
      </c>
      <c r="DN375" s="29" t="s">
        <v>7506</v>
      </c>
      <c r="DO375" s="29" t="s">
        <v>1063</v>
      </c>
      <c r="DP375" s="29" t="s">
        <v>4445</v>
      </c>
      <c r="DQ375" s="29" t="s">
        <v>1176</v>
      </c>
      <c r="DR375" s="29" t="s">
        <v>7507</v>
      </c>
      <c r="DS375" s="29" t="s">
        <v>702</v>
      </c>
      <c r="DT375" s="29" t="s">
        <v>703</v>
      </c>
      <c r="DU375" s="29" t="s">
        <v>7508</v>
      </c>
      <c r="DV375" s="29" t="s">
        <v>7509</v>
      </c>
      <c r="DW375" s="29" t="s">
        <v>573</v>
      </c>
      <c r="DX375" s="29" t="s">
        <v>7510</v>
      </c>
      <c r="DY375" s="29" t="s">
        <v>7511</v>
      </c>
      <c r="DZ375" s="29" t="s">
        <v>7512</v>
      </c>
      <c r="EA375" s="29" t="s">
        <v>475</v>
      </c>
      <c r="EB375" s="29" t="s">
        <v>845</v>
      </c>
      <c r="EC375" s="29" t="s">
        <v>7513</v>
      </c>
      <c r="ED375" s="29"/>
      <c r="EE375" s="29"/>
      <c r="EF375" s="29"/>
      <c r="EG375" s="29"/>
      <c r="EH375" s="29"/>
      <c r="EI375" s="29"/>
      <c r="EJ375" s="29"/>
      <c r="EK375" s="29"/>
      <c r="EL375" s="29"/>
      <c r="EM375" s="29"/>
      <c r="EN375" s="29"/>
      <c r="EO375" s="29"/>
      <c r="EP375" s="29"/>
      <c r="EQ375" s="29"/>
      <c r="ER375" s="29"/>
      <c r="ES375" s="29"/>
      <c r="ET375" s="29" t="s">
        <v>578</v>
      </c>
      <c r="EU375" s="29" t="s">
        <v>479</v>
      </c>
      <c r="EV375" s="29" t="s">
        <v>480</v>
      </c>
      <c r="EW375" s="29"/>
      <c r="EX375" s="29" t="s">
        <v>7514</v>
      </c>
      <c r="EY375" s="29" t="s">
        <v>7515</v>
      </c>
      <c r="EZ375" s="29" t="s">
        <v>413</v>
      </c>
      <c r="FA375" s="29" t="s">
        <v>413</v>
      </c>
      <c r="FB375" s="29" t="s">
        <v>413</v>
      </c>
      <c r="FC375" s="29" t="s">
        <v>413</v>
      </c>
      <c r="FD375" s="29" t="s">
        <v>413</v>
      </c>
      <c r="FE375" s="29" t="s">
        <v>415</v>
      </c>
      <c r="FF375" s="29" t="s">
        <v>415</v>
      </c>
      <c r="FG375" s="29" t="s">
        <v>415</v>
      </c>
      <c r="FH375" s="29" t="s">
        <v>415</v>
      </c>
      <c r="FI375" s="29" t="s">
        <v>415</v>
      </c>
      <c r="FJ375" s="29" t="s">
        <v>415</v>
      </c>
      <c r="FK375" s="29" t="s">
        <v>415</v>
      </c>
      <c r="FL375" s="29" t="s">
        <v>415</v>
      </c>
      <c r="FM375" s="29" t="s">
        <v>415</v>
      </c>
      <c r="FN375" s="29" t="s">
        <v>415</v>
      </c>
      <c r="FO375" s="29" t="s">
        <v>417</v>
      </c>
      <c r="FP375" s="29" t="s">
        <v>418</v>
      </c>
      <c r="FQ375" s="29" t="s">
        <v>419</v>
      </c>
      <c r="FR375" s="29" t="s">
        <v>7516</v>
      </c>
      <c r="FS375" s="29" t="s">
        <v>995</v>
      </c>
      <c r="FT375" s="29" t="s">
        <v>488</v>
      </c>
      <c r="FU375" s="29" t="s">
        <v>533</v>
      </c>
      <c r="FV375" s="29" t="s">
        <v>490</v>
      </c>
      <c r="FW375" s="29" t="s">
        <v>491</v>
      </c>
      <c r="FX375" s="29" t="s">
        <v>7517</v>
      </c>
      <c r="FY375" s="29" t="s">
        <v>535</v>
      </c>
      <c r="FZ375" s="29"/>
      <c r="GA375" s="29" t="s">
        <v>7518</v>
      </c>
      <c r="GB375" s="29" t="s">
        <v>455</v>
      </c>
      <c r="GC375" s="29"/>
      <c r="GD375" s="29"/>
      <c r="GE375" s="29" t="s">
        <v>753</v>
      </c>
      <c r="GF375" s="29" t="s">
        <v>7519</v>
      </c>
      <c r="GG375" s="29" t="s">
        <v>788</v>
      </c>
      <c r="GH375" s="29" t="s">
        <v>788</v>
      </c>
      <c r="GI375" s="29" t="s">
        <v>858</v>
      </c>
      <c r="GJ375" s="29"/>
      <c r="GK375" s="29"/>
      <c r="GL375" s="29"/>
      <c r="GM375" s="29" t="s">
        <v>1079</v>
      </c>
      <c r="GN375" s="29"/>
      <c r="GO375" s="29"/>
      <c r="GP375" s="29" t="s">
        <v>1706</v>
      </c>
      <c r="GQ375" s="29" t="s">
        <v>3208</v>
      </c>
      <c r="GR375" s="29"/>
      <c r="GS375" s="29"/>
      <c r="GT375" s="29" t="s">
        <v>4774</v>
      </c>
      <c r="GU375" s="29"/>
      <c r="HP375" s="31"/>
      <c r="MX375" s="29" t="s">
        <v>1201</v>
      </c>
      <c r="MY375" s="29" t="str">
        <f>IFERROR(__xludf.DUMMYFUNCTION("""COMPUTED_VALUE"""),"Australia")</f>
        <v>Australia</v>
      </c>
    </row>
    <row r="376" ht="16.5" customHeight="1">
      <c r="A376" s="33">
        <v>45969.3909524537</v>
      </c>
      <c r="B376" s="29" t="s">
        <v>368</v>
      </c>
      <c r="C376" s="29" t="s">
        <v>1201</v>
      </c>
      <c r="D376" s="29" t="s">
        <v>1201</v>
      </c>
      <c r="E376" s="29"/>
      <c r="F376" s="29"/>
      <c r="G376" s="29" t="s">
        <v>422</v>
      </c>
      <c r="H376" s="29" t="s">
        <v>637</v>
      </c>
      <c r="I376" s="29" t="s">
        <v>638</v>
      </c>
      <c r="J376" s="29" t="s">
        <v>590</v>
      </c>
      <c r="K376" s="29" t="s">
        <v>376</v>
      </c>
      <c r="L376" s="29" t="s">
        <v>591</v>
      </c>
      <c r="M376" s="29" t="s">
        <v>720</v>
      </c>
      <c r="N376" s="29" t="s">
        <v>591</v>
      </c>
      <c r="O376" s="29" t="s">
        <v>639</v>
      </c>
      <c r="P376" s="29" t="s">
        <v>498</v>
      </c>
      <c r="Q376" s="29" t="s">
        <v>862</v>
      </c>
      <c r="R376" s="29" t="s">
        <v>949</v>
      </c>
      <c r="S376" s="29" t="s">
        <v>384</v>
      </c>
      <c r="T376" s="29" t="s">
        <v>385</v>
      </c>
      <c r="U376" s="29"/>
      <c r="V376" s="29"/>
      <c r="W376" s="29" t="s">
        <v>3014</v>
      </c>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t="s">
        <v>1310</v>
      </c>
      <c r="AW376" s="29" t="s">
        <v>675</v>
      </c>
      <c r="AX376" s="29" t="s">
        <v>675</v>
      </c>
      <c r="AY376" s="29" t="s">
        <v>675</v>
      </c>
      <c r="AZ376" s="29" t="s">
        <v>675</v>
      </c>
      <c r="BA376" s="29">
        <v>4.0</v>
      </c>
      <c r="BB376" s="29" t="s">
        <v>675</v>
      </c>
      <c r="BC376" s="29" t="s">
        <v>7523</v>
      </c>
      <c r="BD376" s="29" t="s">
        <v>7524</v>
      </c>
      <c r="BE376" s="29" t="s">
        <v>432</v>
      </c>
      <c r="BF376" s="29" t="s">
        <v>1245</v>
      </c>
      <c r="BG376" s="29" t="s">
        <v>434</v>
      </c>
      <c r="BH376" s="29" t="s">
        <v>7525</v>
      </c>
      <c r="BI376" s="29" t="s">
        <v>976</v>
      </c>
      <c r="BJ376" s="29"/>
      <c r="BK376" s="29" t="s">
        <v>602</v>
      </c>
      <c r="BL376" s="29" t="s">
        <v>904</v>
      </c>
      <c r="BM376" s="29" t="s">
        <v>1314</v>
      </c>
      <c r="BN376" s="29" t="s">
        <v>513</v>
      </c>
      <c r="BO376" s="29"/>
      <c r="BP376" s="29"/>
      <c r="BQ376" s="29"/>
      <c r="BR376" s="29"/>
      <c r="BS376" s="29"/>
      <c r="BT376" s="29"/>
      <c r="BU376" s="29"/>
      <c r="BV376" s="29"/>
      <c r="BW376" s="29"/>
      <c r="BX376" s="29"/>
      <c r="BY376" s="29"/>
      <c r="BZ376" s="29"/>
      <c r="CA376" s="29"/>
      <c r="CB376" s="29"/>
      <c r="CC376" s="29"/>
      <c r="CD376" s="29"/>
      <c r="CE376" s="29"/>
      <c r="CF376" s="29"/>
      <c r="CG376" s="29"/>
      <c r="CH376" s="29"/>
      <c r="CI376" s="29"/>
      <c r="CJ376" s="29"/>
      <c r="CK376" s="29"/>
      <c r="CL376" s="29" t="s">
        <v>441</v>
      </c>
      <c r="CM376" s="29" t="s">
        <v>604</v>
      </c>
      <c r="CN376" s="29" t="s">
        <v>7526</v>
      </c>
      <c r="CO376" s="29" t="s">
        <v>7527</v>
      </c>
      <c r="CP376" s="29" t="s">
        <v>1008</v>
      </c>
      <c r="CQ376" s="29" t="s">
        <v>7528</v>
      </c>
      <c r="CR376" s="29" t="s">
        <v>828</v>
      </c>
      <c r="CS376" s="29" t="s">
        <v>1851</v>
      </c>
      <c r="CT376" s="29" t="s">
        <v>7529</v>
      </c>
      <c r="CU376" s="29" t="s">
        <v>1961</v>
      </c>
      <c r="CV376" s="29" t="s">
        <v>409</v>
      </c>
      <c r="CW376" s="29" t="s">
        <v>7530</v>
      </c>
      <c r="CX376" s="29" t="s">
        <v>408</v>
      </c>
      <c r="CY376" s="29"/>
      <c r="CZ376" s="29" t="s">
        <v>1962</v>
      </c>
      <c r="DA376" s="29"/>
      <c r="DB376" s="29" t="s">
        <v>408</v>
      </c>
      <c r="DC376" s="29"/>
      <c r="DD376" s="29" t="s">
        <v>457</v>
      </c>
      <c r="DE376" s="29"/>
      <c r="DF376" s="29" t="s">
        <v>7531</v>
      </c>
      <c r="DG376" s="29" t="s">
        <v>990</v>
      </c>
      <c r="DH376" s="29" t="s">
        <v>833</v>
      </c>
      <c r="DI376" s="29" t="s">
        <v>963</v>
      </c>
      <c r="DJ376" s="29" t="s">
        <v>613</v>
      </c>
      <c r="DK376" s="29"/>
      <c r="DL376" s="29"/>
      <c r="DM376" s="29"/>
      <c r="DN376" s="29"/>
      <c r="DO376" s="29"/>
      <c r="DP376" s="29"/>
      <c r="DQ376" s="29"/>
      <c r="DR376" s="29"/>
      <c r="DS376" s="29"/>
      <c r="DT376" s="29"/>
      <c r="DU376" s="29"/>
      <c r="DV376" s="29"/>
      <c r="DW376" s="29"/>
      <c r="DX376" s="29"/>
      <c r="DY376" s="29"/>
      <c r="DZ376" s="29"/>
      <c r="EA376" s="29"/>
      <c r="EB376" s="29"/>
      <c r="EC376" s="29"/>
      <c r="ED376" s="29"/>
      <c r="EE376" s="29"/>
      <c r="EF376" s="29"/>
      <c r="EG376" s="29"/>
      <c r="EH376" s="29"/>
      <c r="EI376" s="29"/>
      <c r="EJ376" s="29"/>
      <c r="EK376" s="29"/>
      <c r="EL376" s="29"/>
      <c r="EM376" s="29"/>
      <c r="EN376" s="29"/>
      <c r="EO376" s="29"/>
      <c r="EP376" s="29"/>
      <c r="EQ376" s="29"/>
      <c r="ER376" s="29"/>
      <c r="ES376" s="29"/>
      <c r="ET376" s="29" t="s">
        <v>2747</v>
      </c>
      <c r="EU376" s="29" t="s">
        <v>1127</v>
      </c>
      <c r="EV376" s="29" t="s">
        <v>527</v>
      </c>
      <c r="EW376" s="29" t="s">
        <v>7532</v>
      </c>
      <c r="EX376" s="29" t="s">
        <v>7533</v>
      </c>
      <c r="EY376" s="29" t="s">
        <v>7534</v>
      </c>
      <c r="EZ376" s="29" t="s">
        <v>414</v>
      </c>
      <c r="FA376" s="29" t="s">
        <v>414</v>
      </c>
      <c r="FB376" s="29" t="s">
        <v>416</v>
      </c>
      <c r="FC376" s="29" t="s">
        <v>583</v>
      </c>
      <c r="FD376" s="29" t="s">
        <v>415</v>
      </c>
      <c r="FE376" s="29" t="s">
        <v>583</v>
      </c>
      <c r="FF376" s="29" t="s">
        <v>414</v>
      </c>
      <c r="FG376" s="29" t="s">
        <v>415</v>
      </c>
      <c r="FH376" s="29" t="s">
        <v>414</v>
      </c>
      <c r="FI376" s="29" t="s">
        <v>415</v>
      </c>
      <c r="FJ376" s="29" t="s">
        <v>583</v>
      </c>
      <c r="FK376" s="29" t="s">
        <v>415</v>
      </c>
      <c r="FL376" s="29" t="s">
        <v>414</v>
      </c>
      <c r="FM376" s="29" t="s">
        <v>415</v>
      </c>
      <c r="FN376" s="29" t="s">
        <v>414</v>
      </c>
      <c r="FO376" s="29" t="s">
        <v>1074</v>
      </c>
      <c r="FP376" s="29" t="s">
        <v>1200</v>
      </c>
      <c r="FQ376" s="29" t="s">
        <v>419</v>
      </c>
      <c r="FR376" s="29" t="s">
        <v>7535</v>
      </c>
      <c r="FS376" s="29" t="s">
        <v>1871</v>
      </c>
      <c r="FT376" s="29" t="s">
        <v>421</v>
      </c>
      <c r="FU376" s="29" t="s">
        <v>918</v>
      </c>
      <c r="FV376" s="29" t="s">
        <v>2136</v>
      </c>
      <c r="FW376" s="29" t="s">
        <v>491</v>
      </c>
      <c r="FX376" s="29" t="s">
        <v>7536</v>
      </c>
      <c r="FY376" s="29" t="s">
        <v>1854</v>
      </c>
      <c r="FZ376" s="29" t="s">
        <v>7537</v>
      </c>
      <c r="GA376" s="29"/>
      <c r="GB376" s="29" t="s">
        <v>408</v>
      </c>
      <c r="GC376" s="29"/>
      <c r="GD376" s="29"/>
      <c r="GE376" s="29"/>
      <c r="GF376" s="29"/>
      <c r="GG376" s="29" t="s">
        <v>920</v>
      </c>
      <c r="GH376" s="29" t="s">
        <v>1000</v>
      </c>
      <c r="GI376" s="29" t="s">
        <v>756</v>
      </c>
      <c r="GJ376" s="29"/>
      <c r="GK376" s="29"/>
      <c r="GL376" s="29"/>
      <c r="GM376" s="29"/>
      <c r="GN376" s="29" t="s">
        <v>4084</v>
      </c>
      <c r="GO376" s="29" t="s">
        <v>4084</v>
      </c>
      <c r="GP376" s="29"/>
      <c r="GQ376" s="29" t="s">
        <v>3273</v>
      </c>
      <c r="GR376" s="29"/>
      <c r="GS376" s="29"/>
      <c r="GT376" s="29" t="s">
        <v>4774</v>
      </c>
      <c r="GU376" s="29"/>
      <c r="HP376" s="31"/>
      <c r="MX376" s="29" t="s">
        <v>10402</v>
      </c>
      <c r="MY376" s="29" t="str">
        <f>IFERROR(__xludf.DUMMYFUNCTION("""COMPUTED_VALUE"""),"Washington")</f>
        <v>Washington</v>
      </c>
    </row>
    <row r="377" ht="16.5" customHeight="1">
      <c r="A377" s="33">
        <v>45969.767506539356</v>
      </c>
      <c r="B377" s="29" t="s">
        <v>368</v>
      </c>
      <c r="C377" s="29" t="s">
        <v>370</v>
      </c>
      <c r="D377" s="29" t="s">
        <v>370</v>
      </c>
      <c r="E377" s="29" t="s">
        <v>1421</v>
      </c>
      <c r="F377" s="29" t="s">
        <v>1421</v>
      </c>
      <c r="G377" s="29" t="s">
        <v>422</v>
      </c>
      <c r="H377" s="29" t="s">
        <v>539</v>
      </c>
      <c r="I377" s="29" t="s">
        <v>424</v>
      </c>
      <c r="J377" s="29" t="s">
        <v>425</v>
      </c>
      <c r="K377" s="29" t="s">
        <v>376</v>
      </c>
      <c r="L377" s="29" t="s">
        <v>379</v>
      </c>
      <c r="M377" s="29" t="s">
        <v>378</v>
      </c>
      <c r="N377" s="29" t="s">
        <v>379</v>
      </c>
      <c r="O377" s="29" t="s">
        <v>497</v>
      </c>
      <c r="P377" s="29" t="s">
        <v>498</v>
      </c>
      <c r="Q377" s="29" t="s">
        <v>499</v>
      </c>
      <c r="R377" s="29" t="s">
        <v>427</v>
      </c>
      <c r="S377" s="29" t="s">
        <v>7539</v>
      </c>
      <c r="T377" s="29" t="s">
        <v>385</v>
      </c>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BV377" s="29"/>
      <c r="BW377" s="29"/>
      <c r="BX377" s="29"/>
      <c r="BY377" s="29"/>
      <c r="BZ377" s="29"/>
      <c r="CA377" s="29"/>
      <c r="CB377" s="29"/>
      <c r="CC377" s="29"/>
      <c r="CD377" s="29"/>
      <c r="CE377" s="29"/>
      <c r="CF377" s="29"/>
      <c r="CG377" s="29"/>
      <c r="CH377" s="29"/>
      <c r="CI377" s="29"/>
      <c r="CJ377" s="29"/>
      <c r="CK377" s="29"/>
      <c r="CL377" s="29"/>
      <c r="CM377" s="29"/>
      <c r="CN377" s="29"/>
      <c r="CO377" s="29"/>
      <c r="CP377" s="29"/>
      <c r="CQ377" s="29"/>
      <c r="CR377" s="29"/>
      <c r="CS377" s="29"/>
      <c r="CT377" s="29"/>
      <c r="CU377" s="29"/>
      <c r="CV377" s="29"/>
      <c r="CW377" s="29"/>
      <c r="CX377" s="29"/>
      <c r="CY377" s="29"/>
      <c r="CZ377" s="29"/>
      <c r="DA377" s="29"/>
      <c r="DB377" s="29"/>
      <c r="DC377" s="29"/>
      <c r="DD377" s="29"/>
      <c r="DE377" s="29"/>
      <c r="DF377" s="29"/>
      <c r="DG377" s="29"/>
      <c r="DH377" s="29"/>
      <c r="DI377" s="29"/>
      <c r="DJ377" s="29"/>
      <c r="DK377" s="29"/>
      <c r="DL377" s="29"/>
      <c r="DM377" s="29"/>
      <c r="DN377" s="29"/>
      <c r="DO377" s="29"/>
      <c r="DP377" s="29"/>
      <c r="DQ377" s="29"/>
      <c r="DR377" s="29"/>
      <c r="DS377" s="29"/>
      <c r="DT377" s="29"/>
      <c r="DU377" s="29"/>
      <c r="DV377" s="29"/>
      <c r="DW377" s="29"/>
      <c r="DX377" s="29"/>
      <c r="DY377" s="29"/>
      <c r="DZ377" s="29"/>
      <c r="EA377" s="29"/>
      <c r="EB377" s="29"/>
      <c r="EC377" s="29"/>
      <c r="ED377" s="29" t="s">
        <v>5662</v>
      </c>
      <c r="EE377" s="29"/>
      <c r="EF377" s="29"/>
      <c r="EG377" s="29"/>
      <c r="EH377" s="29" t="s">
        <v>7540</v>
      </c>
      <c r="EI377" s="29" t="s">
        <v>7541</v>
      </c>
      <c r="EJ377" s="29"/>
      <c r="EK377" s="29"/>
      <c r="EL377" s="29"/>
      <c r="EM377" s="29"/>
      <c r="EN377" s="29"/>
      <c r="EO377" s="29"/>
      <c r="EP377" s="29"/>
      <c r="EQ377" s="29"/>
      <c r="ER377" s="29" t="s">
        <v>7542</v>
      </c>
      <c r="ES377" s="29" t="s">
        <v>7543</v>
      </c>
      <c r="ET377" s="29" t="s">
        <v>578</v>
      </c>
      <c r="EU377" s="29" t="s">
        <v>479</v>
      </c>
      <c r="EV377" s="29" t="s">
        <v>527</v>
      </c>
      <c r="EW377" s="29" t="s">
        <v>7544</v>
      </c>
      <c r="EX377" s="29" t="s">
        <v>7545</v>
      </c>
      <c r="EY377" s="29" t="s">
        <v>7546</v>
      </c>
      <c r="EZ377" s="29" t="s">
        <v>413</v>
      </c>
      <c r="FA377" s="29" t="s">
        <v>415</v>
      </c>
      <c r="FB377" s="29" t="s">
        <v>413</v>
      </c>
      <c r="FC377" s="29" t="s">
        <v>413</v>
      </c>
      <c r="FD377" s="29" t="s">
        <v>413</v>
      </c>
      <c r="FE377" s="29" t="s">
        <v>415</v>
      </c>
      <c r="FF377" s="29" t="s">
        <v>413</v>
      </c>
      <c r="FG377" s="29" t="s">
        <v>413</v>
      </c>
      <c r="FH377" s="29" t="s">
        <v>415</v>
      </c>
      <c r="FI377" s="29" t="s">
        <v>583</v>
      </c>
      <c r="FJ377" s="29" t="s">
        <v>414</v>
      </c>
      <c r="FK377" s="29" t="s">
        <v>415</v>
      </c>
      <c r="FL377" s="29" t="s">
        <v>415</v>
      </c>
      <c r="FM377" s="29" t="s">
        <v>415</v>
      </c>
      <c r="FN377" s="29" t="s">
        <v>415</v>
      </c>
      <c r="FO377" s="29" t="s">
        <v>417</v>
      </c>
      <c r="FP377" s="29" t="s">
        <v>418</v>
      </c>
      <c r="FQ377" s="29" t="s">
        <v>630</v>
      </c>
      <c r="FR377" s="29" t="s">
        <v>7547</v>
      </c>
      <c r="FS377" s="29" t="s">
        <v>420</v>
      </c>
      <c r="FT377" s="29" t="s">
        <v>488</v>
      </c>
      <c r="FU377" s="29" t="s">
        <v>489</v>
      </c>
      <c r="FV377" s="29" t="s">
        <v>490</v>
      </c>
      <c r="FW377" s="29" t="s">
        <v>491</v>
      </c>
      <c r="FX377" s="29" t="s">
        <v>7548</v>
      </c>
      <c r="FY377" s="29" t="s">
        <v>535</v>
      </c>
      <c r="FZ377" s="29" t="s">
        <v>7549</v>
      </c>
      <c r="GA377" s="29" t="s">
        <v>7550</v>
      </c>
      <c r="GB377" s="29" t="s">
        <v>455</v>
      </c>
      <c r="GC377" s="29"/>
      <c r="GD377" s="29"/>
      <c r="GE377" s="29" t="s">
        <v>1339</v>
      </c>
      <c r="GF377" s="29" t="s">
        <v>7551</v>
      </c>
      <c r="GG377" s="29"/>
      <c r="GH377" s="29"/>
      <c r="GI377" s="29"/>
      <c r="GJ377" s="29"/>
      <c r="GK377" s="29"/>
      <c r="GL377" s="29"/>
      <c r="GM377" s="29"/>
      <c r="GN377" s="29"/>
      <c r="GO377" s="29"/>
      <c r="GP377" s="29"/>
      <c r="GQ377" s="29" t="s">
        <v>7552</v>
      </c>
      <c r="GR377" s="29"/>
      <c r="GS377" s="29"/>
      <c r="GT377" s="29"/>
      <c r="GU377" s="29"/>
      <c r="HP377" s="31"/>
      <c r="MX377" s="29" t="s">
        <v>10402</v>
      </c>
      <c r="MY377" s="29" t="str">
        <f>IFERROR(__xludf.DUMMYFUNCTION("""COMPUTED_VALUE"""),"Louisiana")</f>
        <v>Louisiana</v>
      </c>
    </row>
    <row r="378" ht="16.5" customHeight="1">
      <c r="A378" s="33">
        <v>45969.84953577546</v>
      </c>
      <c r="B378" s="29" t="s">
        <v>368</v>
      </c>
      <c r="C378" s="29" t="s">
        <v>370</v>
      </c>
      <c r="D378" s="29" t="s">
        <v>370</v>
      </c>
      <c r="E378" s="29" t="s">
        <v>1464</v>
      </c>
      <c r="F378" s="29" t="s">
        <v>4905</v>
      </c>
      <c r="G378" s="29" t="s">
        <v>422</v>
      </c>
      <c r="H378" s="29"/>
      <c r="I378" s="29" t="s">
        <v>7561</v>
      </c>
      <c r="J378" s="29" t="s">
        <v>425</v>
      </c>
      <c r="K378" s="29" t="s">
        <v>376</v>
      </c>
      <c r="L378" s="29" t="s">
        <v>379</v>
      </c>
      <c r="M378" s="29" t="s">
        <v>378</v>
      </c>
      <c r="N378" s="29" t="s">
        <v>379</v>
      </c>
      <c r="O378" s="29" t="s">
        <v>2464</v>
      </c>
      <c r="P378" s="29" t="s">
        <v>498</v>
      </c>
      <c r="Q378" s="29" t="s">
        <v>818</v>
      </c>
      <c r="R378" s="29" t="s">
        <v>500</v>
      </c>
      <c r="S378" s="29" t="s">
        <v>384</v>
      </c>
      <c r="T378" s="29"/>
      <c r="U378" s="29"/>
      <c r="V378" s="29"/>
      <c r="W378" s="29" t="s">
        <v>386</v>
      </c>
      <c r="X378" s="29" t="s">
        <v>387</v>
      </c>
      <c r="Y378" s="29" t="s">
        <v>388</v>
      </c>
      <c r="Z378" s="29" t="s">
        <v>672</v>
      </c>
      <c r="AA378" s="29" t="s">
        <v>7562</v>
      </c>
      <c r="AB378" s="29" t="s">
        <v>7563</v>
      </c>
      <c r="AC378" s="29"/>
      <c r="AD378" s="29"/>
      <c r="AE378" s="29"/>
      <c r="AF378" s="29"/>
      <c r="AG378" s="29"/>
      <c r="AH378" s="29"/>
      <c r="AI378" s="29"/>
      <c r="AJ378" s="29"/>
      <c r="AK378" s="29"/>
      <c r="AL378" s="29"/>
      <c r="AM378" s="29"/>
      <c r="AN378" s="29"/>
      <c r="AO378" s="29"/>
      <c r="AP378" s="29"/>
      <c r="AQ378" s="29"/>
      <c r="AR378" s="29"/>
      <c r="AS378" s="29"/>
      <c r="AT378" s="29"/>
      <c r="AU378" s="29"/>
      <c r="AV378" s="29" t="s">
        <v>1310</v>
      </c>
      <c r="AW378" s="29">
        <v>4.0</v>
      </c>
      <c r="AX378" s="29" t="s">
        <v>391</v>
      </c>
      <c r="AY378" s="29" t="s">
        <v>391</v>
      </c>
      <c r="AZ378" s="29" t="s">
        <v>391</v>
      </c>
      <c r="BA378" s="29">
        <v>4.0</v>
      </c>
      <c r="BB378" s="29" t="s">
        <v>391</v>
      </c>
      <c r="BC378" s="29"/>
      <c r="BD378" s="29" t="s">
        <v>7564</v>
      </c>
      <c r="BE378" s="29" t="s">
        <v>392</v>
      </c>
      <c r="BF378" s="29" t="s">
        <v>433</v>
      </c>
      <c r="BG378" s="29" t="s">
        <v>434</v>
      </c>
      <c r="BH378" s="29" t="s">
        <v>7565</v>
      </c>
      <c r="BI378" s="29" t="s">
        <v>824</v>
      </c>
      <c r="BJ378" s="29" t="s">
        <v>7566</v>
      </c>
      <c r="BK378" s="29" t="s">
        <v>395</v>
      </c>
      <c r="BL378" s="29" t="s">
        <v>512</v>
      </c>
      <c r="BM378" s="29" t="s">
        <v>397</v>
      </c>
      <c r="BN378" s="29" t="s">
        <v>440</v>
      </c>
      <c r="BO378" s="29"/>
      <c r="BP378" s="29"/>
      <c r="BQ378" s="29"/>
      <c r="BR378" s="29"/>
      <c r="BS378" s="29"/>
      <c r="BT378" s="29"/>
      <c r="BU378" s="29"/>
      <c r="BV378" s="29"/>
      <c r="BW378" s="29"/>
      <c r="BX378" s="29"/>
      <c r="BY378" s="29"/>
      <c r="BZ378" s="29"/>
      <c r="CA378" s="29"/>
      <c r="CB378" s="29"/>
      <c r="CC378" s="29"/>
      <c r="CD378" s="29"/>
      <c r="CE378" s="29"/>
      <c r="CF378" s="29"/>
      <c r="CG378" s="29"/>
      <c r="CH378" s="29"/>
      <c r="CI378" s="29"/>
      <c r="CJ378" s="29"/>
      <c r="CK378" s="29"/>
      <c r="CL378" s="29" t="s">
        <v>441</v>
      </c>
      <c r="CM378" s="29" t="s">
        <v>604</v>
      </c>
      <c r="CN378" s="29" t="s">
        <v>7567</v>
      </c>
      <c r="CO378" s="29" t="s">
        <v>7568</v>
      </c>
      <c r="CP378" s="29" t="s">
        <v>445</v>
      </c>
      <c r="CQ378" s="29" t="s">
        <v>7569</v>
      </c>
      <c r="CR378" s="29" t="s">
        <v>447</v>
      </c>
      <c r="CS378" s="29" t="s">
        <v>1137</v>
      </c>
      <c r="CT378" s="29" t="s">
        <v>7570</v>
      </c>
      <c r="CU378" s="29" t="s">
        <v>450</v>
      </c>
      <c r="CV378" s="29" t="s">
        <v>409</v>
      </c>
      <c r="CW378" s="29" t="s">
        <v>7571</v>
      </c>
      <c r="CX378" s="29" t="s">
        <v>408</v>
      </c>
      <c r="CY378" s="29"/>
      <c r="CZ378" s="29" t="s">
        <v>453</v>
      </c>
      <c r="DA378" s="29" t="s">
        <v>7572</v>
      </c>
      <c r="DB378" s="29" t="s">
        <v>408</v>
      </c>
      <c r="DC378" s="29"/>
      <c r="DD378" s="29" t="s">
        <v>406</v>
      </c>
      <c r="DE378" s="29" t="s">
        <v>407</v>
      </c>
      <c r="DF378" s="29" t="s">
        <v>7573</v>
      </c>
      <c r="DG378" s="29" t="s">
        <v>524</v>
      </c>
      <c r="DH378" s="29" t="s">
        <v>410</v>
      </c>
      <c r="DI378" s="29" t="s">
        <v>459</v>
      </c>
      <c r="DJ378" s="29" t="s">
        <v>460</v>
      </c>
      <c r="DK378" s="29" t="s">
        <v>6335</v>
      </c>
      <c r="DL378" s="29"/>
      <c r="DM378" s="29" t="s">
        <v>7574</v>
      </c>
      <c r="DN378" s="29" t="s">
        <v>7575</v>
      </c>
      <c r="DO378" s="29" t="s">
        <v>2956</v>
      </c>
      <c r="DP378" s="29" t="s">
        <v>7576</v>
      </c>
      <c r="DQ378" s="29" t="s">
        <v>1324</v>
      </c>
      <c r="DR378" s="29" t="s">
        <v>796</v>
      </c>
      <c r="DS378" s="29" t="s">
        <v>618</v>
      </c>
      <c r="DT378" s="29" t="s">
        <v>7577</v>
      </c>
      <c r="DU378" s="29" t="s">
        <v>7578</v>
      </c>
      <c r="DV378" s="29"/>
      <c r="DW378" s="29" t="s">
        <v>573</v>
      </c>
      <c r="DX378" s="29" t="s">
        <v>7579</v>
      </c>
      <c r="DY378" s="29" t="s">
        <v>7580</v>
      </c>
      <c r="DZ378" s="29" t="s">
        <v>7581</v>
      </c>
      <c r="EA378" s="29" t="s">
        <v>475</v>
      </c>
      <c r="EB378" s="29" t="s">
        <v>626</v>
      </c>
      <c r="EC378" s="29" t="s">
        <v>7582</v>
      </c>
      <c r="ED378" s="29"/>
      <c r="EE378" s="29"/>
      <c r="EF378" s="29"/>
      <c r="EG378" s="29"/>
      <c r="EH378" s="29"/>
      <c r="EI378" s="29"/>
      <c r="EJ378" s="29"/>
      <c r="EK378" s="29"/>
      <c r="EL378" s="29"/>
      <c r="EM378" s="29"/>
      <c r="EN378" s="29"/>
      <c r="EO378" s="29"/>
      <c r="EP378" s="29"/>
      <c r="EQ378" s="29"/>
      <c r="ER378" s="29"/>
      <c r="ES378" s="29"/>
      <c r="ET378" s="29" t="s">
        <v>526</v>
      </c>
      <c r="EU378" s="29" t="s">
        <v>479</v>
      </c>
      <c r="EV378" s="29" t="s">
        <v>527</v>
      </c>
      <c r="EW378" s="29" t="s">
        <v>7583</v>
      </c>
      <c r="EX378" s="29" t="s">
        <v>7584</v>
      </c>
      <c r="EY378" s="29" t="s">
        <v>7585</v>
      </c>
      <c r="EZ378" s="29" t="s">
        <v>413</v>
      </c>
      <c r="FA378" s="29" t="s">
        <v>413</v>
      </c>
      <c r="FB378" s="29" t="s">
        <v>413</v>
      </c>
      <c r="FC378" s="29" t="s">
        <v>413</v>
      </c>
      <c r="FD378" s="29" t="s">
        <v>413</v>
      </c>
      <c r="FE378" s="29" t="s">
        <v>416</v>
      </c>
      <c r="FF378" s="29" t="s">
        <v>413</v>
      </c>
      <c r="FG378" s="29" t="s">
        <v>413</v>
      </c>
      <c r="FH378" s="29" t="s">
        <v>413</v>
      </c>
      <c r="FI378" s="29" t="s">
        <v>583</v>
      </c>
      <c r="FJ378" s="29" t="s">
        <v>414</v>
      </c>
      <c r="FK378" s="29" t="s">
        <v>413</v>
      </c>
      <c r="FL378" s="29" t="s">
        <v>415</v>
      </c>
      <c r="FM378" s="29" t="s">
        <v>416</v>
      </c>
      <c r="FN378" s="29" t="s">
        <v>583</v>
      </c>
      <c r="FO378" s="29" t="s">
        <v>1537</v>
      </c>
      <c r="FP378" s="29" t="s">
        <v>418</v>
      </c>
      <c r="FQ378" s="29" t="s">
        <v>712</v>
      </c>
      <c r="FR378" s="29" t="s">
        <v>7586</v>
      </c>
      <c r="FS378" s="29" t="s">
        <v>420</v>
      </c>
      <c r="FT378" s="29" t="s">
        <v>488</v>
      </c>
      <c r="FU378" s="29" t="s">
        <v>489</v>
      </c>
      <c r="FV378" s="29" t="s">
        <v>490</v>
      </c>
      <c r="FW378" s="29" t="s">
        <v>491</v>
      </c>
      <c r="FX378" s="29" t="s">
        <v>7587</v>
      </c>
      <c r="FY378" s="29" t="s">
        <v>535</v>
      </c>
      <c r="FZ378" s="29" t="s">
        <v>7588</v>
      </c>
      <c r="GA378" s="29"/>
      <c r="GB378" s="29" t="s">
        <v>455</v>
      </c>
      <c r="GC378" s="29"/>
      <c r="GD378" s="29"/>
      <c r="GE378" s="29" t="s">
        <v>1339</v>
      </c>
      <c r="GF378" s="29"/>
      <c r="GG378" s="29" t="s">
        <v>755</v>
      </c>
      <c r="GH378" s="29" t="s">
        <v>755</v>
      </c>
      <c r="GI378" s="29" t="s">
        <v>946</v>
      </c>
      <c r="GJ378" s="29"/>
      <c r="GK378" s="29"/>
      <c r="GL378" s="29"/>
      <c r="GM378" s="29" t="s">
        <v>1079</v>
      </c>
      <c r="GN378" s="29"/>
      <c r="GO378" s="29"/>
      <c r="GP378" s="29"/>
      <c r="GQ378" s="29" t="s">
        <v>7589</v>
      </c>
      <c r="GR378" s="29"/>
      <c r="GS378" s="29"/>
      <c r="GT378" s="29" t="s">
        <v>4774</v>
      </c>
      <c r="GU378" s="29" t="s">
        <v>7590</v>
      </c>
      <c r="HP378" s="31"/>
      <c r="MX378" s="29" t="s">
        <v>10402</v>
      </c>
      <c r="MY378" s="29" t="str">
        <f>IFERROR(__xludf.DUMMYFUNCTION("""COMPUTED_VALUE"""),"California")</f>
        <v>California</v>
      </c>
    </row>
    <row r="379" ht="16.5" customHeight="1">
      <c r="A379" s="33">
        <v>45969.8978412963</v>
      </c>
      <c r="B379" s="29" t="s">
        <v>368</v>
      </c>
      <c r="C379" s="29" t="s">
        <v>370</v>
      </c>
      <c r="D379" s="29" t="s">
        <v>370</v>
      </c>
      <c r="E379" s="29" t="s">
        <v>371</v>
      </c>
      <c r="F379" s="29" t="s">
        <v>6014</v>
      </c>
      <c r="G379" s="29" t="s">
        <v>422</v>
      </c>
      <c r="H379" s="29" t="s">
        <v>496</v>
      </c>
      <c r="I379" s="29" t="s">
        <v>374</v>
      </c>
      <c r="J379" s="29" t="s">
        <v>375</v>
      </c>
      <c r="K379" s="29" t="s">
        <v>376</v>
      </c>
      <c r="L379" s="29" t="s">
        <v>793</v>
      </c>
      <c r="M379" s="29" t="s">
        <v>719</v>
      </c>
      <c r="N379" s="29" t="s">
        <v>1526</v>
      </c>
      <c r="O379" s="29" t="s">
        <v>7594</v>
      </c>
      <c r="P379" s="29" t="s">
        <v>498</v>
      </c>
      <c r="Q379" s="29" t="s">
        <v>382</v>
      </c>
      <c r="R379" s="29" t="s">
        <v>500</v>
      </c>
      <c r="S379" s="29" t="s">
        <v>384</v>
      </c>
      <c r="T379" s="29" t="s">
        <v>385</v>
      </c>
      <c r="U379" s="29"/>
      <c r="V379" s="29"/>
      <c r="W379" s="29" t="s">
        <v>386</v>
      </c>
      <c r="X379" s="29" t="s">
        <v>387</v>
      </c>
      <c r="Y379" s="29" t="s">
        <v>1966</v>
      </c>
      <c r="Z379" s="29" t="s">
        <v>672</v>
      </c>
      <c r="AA379" s="29" t="s">
        <v>7595</v>
      </c>
      <c r="AB379" s="29" t="s">
        <v>7596</v>
      </c>
      <c r="AC379" s="29"/>
      <c r="AD379" s="29"/>
      <c r="AE379" s="29"/>
      <c r="AF379" s="29"/>
      <c r="AG379" s="29"/>
      <c r="AH379" s="29"/>
      <c r="AI379" s="29"/>
      <c r="AJ379" s="29"/>
      <c r="AK379" s="29"/>
      <c r="AL379" s="29"/>
      <c r="AM379" s="29"/>
      <c r="AN379" s="29"/>
      <c r="AO379" s="29"/>
      <c r="AP379" s="29"/>
      <c r="AQ379" s="29"/>
      <c r="AR379" s="29"/>
      <c r="AS379" s="29"/>
      <c r="AT379" s="29"/>
      <c r="AU379" s="29"/>
      <c r="AV379" s="29" t="s">
        <v>504</v>
      </c>
      <c r="AW379" s="29" t="s">
        <v>429</v>
      </c>
      <c r="AX379" s="29" t="s">
        <v>429</v>
      </c>
      <c r="AY379" s="29" t="s">
        <v>429</v>
      </c>
      <c r="AZ379" s="29">
        <v>2.0</v>
      </c>
      <c r="BA379" s="29">
        <v>2.0</v>
      </c>
      <c r="BB379" s="29">
        <v>2.0</v>
      </c>
      <c r="BC379" s="29" t="s">
        <v>7597</v>
      </c>
      <c r="BD379" s="29" t="s">
        <v>7598</v>
      </c>
      <c r="BE379" s="29" t="s">
        <v>432</v>
      </c>
      <c r="BF379" s="29" t="s">
        <v>433</v>
      </c>
      <c r="BG379" s="29" t="s">
        <v>678</v>
      </c>
      <c r="BH379" s="29"/>
      <c r="BI379" s="29" t="s">
        <v>509</v>
      </c>
      <c r="BJ379" s="29" t="s">
        <v>7599</v>
      </c>
      <c r="BK379" s="29" t="s">
        <v>511</v>
      </c>
      <c r="BL379" s="29" t="s">
        <v>512</v>
      </c>
      <c r="BM379" s="29" t="s">
        <v>439</v>
      </c>
      <c r="BN379" s="29" t="s">
        <v>440</v>
      </c>
      <c r="BO379" s="29"/>
      <c r="BP379" s="29"/>
      <c r="BQ379" s="29"/>
      <c r="BR379" s="29"/>
      <c r="BS379" s="29"/>
      <c r="BT379" s="29"/>
      <c r="BU379" s="29"/>
      <c r="BV379" s="29"/>
      <c r="BW379" s="29"/>
      <c r="BX379" s="29"/>
      <c r="BY379" s="29"/>
      <c r="BZ379" s="29"/>
      <c r="CA379" s="29"/>
      <c r="CB379" s="29"/>
      <c r="CC379" s="29"/>
      <c r="CD379" s="29"/>
      <c r="CE379" s="29"/>
      <c r="CF379" s="29"/>
      <c r="CG379" s="29"/>
      <c r="CH379" s="29"/>
      <c r="CI379" s="29"/>
      <c r="CJ379" s="29"/>
      <c r="CK379" s="29"/>
      <c r="CL379" s="29" t="s">
        <v>441</v>
      </c>
      <c r="CM379" s="29" t="s">
        <v>401</v>
      </c>
      <c r="CN379" s="29" t="s">
        <v>7600</v>
      </c>
      <c r="CO379" s="29" t="s">
        <v>7601</v>
      </c>
      <c r="CP379" s="29" t="s">
        <v>1008</v>
      </c>
      <c r="CQ379" s="29" t="s">
        <v>7602</v>
      </c>
      <c r="CR379" s="29" t="s">
        <v>447</v>
      </c>
      <c r="CS379" s="29" t="s">
        <v>7603</v>
      </c>
      <c r="CT379" s="29" t="s">
        <v>7604</v>
      </c>
      <c r="CU379" s="29" t="s">
        <v>450</v>
      </c>
      <c r="CV379" s="29" t="s">
        <v>451</v>
      </c>
      <c r="CW379" s="29" t="s">
        <v>7605</v>
      </c>
      <c r="CX379" s="29" t="s">
        <v>408</v>
      </c>
      <c r="CY379" s="29" t="s">
        <v>7606</v>
      </c>
      <c r="CZ379" s="29" t="s">
        <v>453</v>
      </c>
      <c r="DA379" s="29" t="s">
        <v>7607</v>
      </c>
      <c r="DB379" s="29" t="s">
        <v>455</v>
      </c>
      <c r="DC379" s="29" t="s">
        <v>7608</v>
      </c>
      <c r="DD379" s="29" t="s">
        <v>457</v>
      </c>
      <c r="DE379" s="29"/>
      <c r="DF379" s="29" t="s">
        <v>7609</v>
      </c>
      <c r="DG379" s="29" t="s">
        <v>524</v>
      </c>
      <c r="DH379" s="29" t="s">
        <v>833</v>
      </c>
      <c r="DI379" s="29" t="s">
        <v>777</v>
      </c>
      <c r="DJ379" s="29" t="s">
        <v>613</v>
      </c>
      <c r="DK379" s="29"/>
      <c r="DL379" s="29"/>
      <c r="DM379" s="29" t="s">
        <v>7610</v>
      </c>
      <c r="DN379" s="29" t="s">
        <v>7611</v>
      </c>
      <c r="DO379" s="29" t="s">
        <v>1063</v>
      </c>
      <c r="DP379" s="29" t="s">
        <v>7612</v>
      </c>
      <c r="DQ379" s="29" t="s">
        <v>837</v>
      </c>
      <c r="DR379" s="29" t="s">
        <v>7613</v>
      </c>
      <c r="DS379" s="29" t="s">
        <v>839</v>
      </c>
      <c r="DT379" s="29" t="s">
        <v>570</v>
      </c>
      <c r="DU379" s="29" t="s">
        <v>7614</v>
      </c>
      <c r="DV379" s="29" t="s">
        <v>7615</v>
      </c>
      <c r="DW379" s="29" t="s">
        <v>573</v>
      </c>
      <c r="DX379" s="29" t="s">
        <v>7616</v>
      </c>
      <c r="DY379" s="29" t="s">
        <v>7617</v>
      </c>
      <c r="DZ379" s="29" t="s">
        <v>7618</v>
      </c>
      <c r="EA379" s="29" t="s">
        <v>475</v>
      </c>
      <c r="EB379" s="29" t="s">
        <v>476</v>
      </c>
      <c r="EC379" s="29" t="s">
        <v>7619</v>
      </c>
      <c r="ED379" s="29"/>
      <c r="EE379" s="29"/>
      <c r="EF379" s="29"/>
      <c r="EG379" s="29"/>
      <c r="EH379" s="29"/>
      <c r="EI379" s="29"/>
      <c r="EJ379" s="29"/>
      <c r="EK379" s="29"/>
      <c r="EL379" s="29"/>
      <c r="EM379" s="29"/>
      <c r="EN379" s="29"/>
      <c r="EO379" s="29"/>
      <c r="EP379" s="29"/>
      <c r="EQ379" s="29"/>
      <c r="ER379" s="29"/>
      <c r="ES379" s="29"/>
      <c r="ET379" s="29" t="s">
        <v>526</v>
      </c>
      <c r="EU379" s="29" t="s">
        <v>887</v>
      </c>
      <c r="EV379" s="29" t="s">
        <v>527</v>
      </c>
      <c r="EW379" s="29" t="s">
        <v>7620</v>
      </c>
      <c r="EX379" s="29" t="s">
        <v>7621</v>
      </c>
      <c r="EY379" s="29" t="s">
        <v>813</v>
      </c>
      <c r="EZ379" s="29" t="s">
        <v>414</v>
      </c>
      <c r="FA379" s="29" t="s">
        <v>414</v>
      </c>
      <c r="FB379" s="29" t="s">
        <v>413</v>
      </c>
      <c r="FC379" s="29" t="s">
        <v>414</v>
      </c>
      <c r="FD379" s="29" t="s">
        <v>416</v>
      </c>
      <c r="FE379" s="29" t="s">
        <v>414</v>
      </c>
      <c r="FF379" s="29" t="s">
        <v>484</v>
      </c>
      <c r="FG379" s="29" t="s">
        <v>484</v>
      </c>
      <c r="FH379" s="29" t="s">
        <v>583</v>
      </c>
      <c r="FI379" s="29" t="s">
        <v>414</v>
      </c>
      <c r="FJ379" s="29" t="s">
        <v>414</v>
      </c>
      <c r="FK379" s="29" t="s">
        <v>484</v>
      </c>
      <c r="FL379" s="29" t="s">
        <v>484</v>
      </c>
      <c r="FM379" s="29" t="s">
        <v>416</v>
      </c>
      <c r="FN379" s="29" t="s">
        <v>583</v>
      </c>
      <c r="FO379" s="29" t="s">
        <v>485</v>
      </c>
      <c r="FP379" s="29" t="s">
        <v>418</v>
      </c>
      <c r="FQ379" s="29" t="s">
        <v>419</v>
      </c>
      <c r="FR379" s="29" t="s">
        <v>7622</v>
      </c>
      <c r="FS379" s="29" t="s">
        <v>420</v>
      </c>
      <c r="FT379" s="29" t="s">
        <v>488</v>
      </c>
      <c r="FU379" s="29" t="s">
        <v>489</v>
      </c>
      <c r="FV379" s="29" t="s">
        <v>490</v>
      </c>
      <c r="FW379" s="29" t="s">
        <v>491</v>
      </c>
      <c r="FX379" s="29" t="s">
        <v>7623</v>
      </c>
      <c r="FY379" s="29" t="s">
        <v>535</v>
      </c>
      <c r="FZ379" s="29" t="s">
        <v>7624</v>
      </c>
      <c r="GA379" s="29" t="s">
        <v>7625</v>
      </c>
      <c r="GB379" s="29" t="s">
        <v>455</v>
      </c>
      <c r="GC379" s="29"/>
      <c r="GD379" s="29"/>
      <c r="GE379" s="29" t="s">
        <v>1339</v>
      </c>
      <c r="GF379" s="29" t="s">
        <v>7626</v>
      </c>
      <c r="GG379" s="29" t="s">
        <v>920</v>
      </c>
      <c r="GH379" s="29" t="s">
        <v>920</v>
      </c>
      <c r="GI379" s="29" t="s">
        <v>756</v>
      </c>
      <c r="GJ379" s="29"/>
      <c r="GK379" s="29"/>
      <c r="GL379" s="29"/>
      <c r="GM379" s="29" t="s">
        <v>1079</v>
      </c>
      <c r="GN379" s="29"/>
      <c r="GO379" s="29"/>
      <c r="GP379" s="29"/>
      <c r="GQ379" s="29" t="s">
        <v>3208</v>
      </c>
      <c r="GR379" s="29"/>
      <c r="GS379" s="29"/>
      <c r="GT379" s="29" t="s">
        <v>4774</v>
      </c>
      <c r="GU379" s="29"/>
      <c r="HP379" s="31"/>
      <c r="MX379" s="29" t="s">
        <v>10402</v>
      </c>
      <c r="MY379" s="29" t="str">
        <f>IFERROR(__xludf.DUMMYFUNCTION("""COMPUTED_VALUE"""),"Tennessee")</f>
        <v>Tennessee</v>
      </c>
    </row>
    <row r="380" ht="16.5" customHeight="1">
      <c r="A380" s="33">
        <v>45969.90605799769</v>
      </c>
      <c r="B380" s="29" t="s">
        <v>368</v>
      </c>
      <c r="C380" s="29" t="s">
        <v>370</v>
      </c>
      <c r="D380" s="29" t="s">
        <v>370</v>
      </c>
      <c r="E380" s="29" t="s">
        <v>1562</v>
      </c>
      <c r="F380" s="29" t="s">
        <v>1562</v>
      </c>
      <c r="G380" s="29" t="s">
        <v>422</v>
      </c>
      <c r="H380" s="29" t="s">
        <v>637</v>
      </c>
      <c r="I380" s="29" t="s">
        <v>638</v>
      </c>
      <c r="J380" s="29" t="s">
        <v>590</v>
      </c>
      <c r="K380" s="29" t="s">
        <v>376</v>
      </c>
      <c r="L380" s="29" t="s">
        <v>426</v>
      </c>
      <c r="M380" s="29" t="s">
        <v>3109</v>
      </c>
      <c r="N380" s="29" t="s">
        <v>426</v>
      </c>
      <c r="O380" s="29" t="s">
        <v>719</v>
      </c>
      <c r="P380" s="29" t="s">
        <v>381</v>
      </c>
      <c r="Q380" s="29" t="s">
        <v>1342</v>
      </c>
      <c r="R380" s="29" t="s">
        <v>3976</v>
      </c>
      <c r="S380" s="29" t="s">
        <v>1594</v>
      </c>
      <c r="T380" s="29" t="s">
        <v>385</v>
      </c>
      <c r="U380" s="29"/>
      <c r="V380" s="29"/>
      <c r="W380" s="29" t="s">
        <v>3014</v>
      </c>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t="s">
        <v>504</v>
      </c>
      <c r="AW380" s="29">
        <v>2.0</v>
      </c>
      <c r="AX380" s="29" t="s">
        <v>429</v>
      </c>
      <c r="AY380" s="29" t="s">
        <v>429</v>
      </c>
      <c r="AZ380" s="29" t="s">
        <v>429</v>
      </c>
      <c r="BA380" s="29">
        <v>2.0</v>
      </c>
      <c r="BB380" s="29">
        <v>2.0</v>
      </c>
      <c r="BC380" s="29" t="s">
        <v>7632</v>
      </c>
      <c r="BD380" s="29" t="s">
        <v>7633</v>
      </c>
      <c r="BE380" s="29" t="s">
        <v>392</v>
      </c>
      <c r="BF380" s="29" t="s">
        <v>433</v>
      </c>
      <c r="BG380" s="29" t="s">
        <v>678</v>
      </c>
      <c r="BH380" s="29" t="s">
        <v>7634</v>
      </c>
      <c r="BI380" s="29" t="s">
        <v>727</v>
      </c>
      <c r="BJ380" s="29" t="s">
        <v>7635</v>
      </c>
      <c r="BK380" s="29" t="s">
        <v>437</v>
      </c>
      <c r="BL380" s="29" t="s">
        <v>396</v>
      </c>
      <c r="BM380" s="29" t="s">
        <v>439</v>
      </c>
      <c r="BN380" s="29" t="s">
        <v>513</v>
      </c>
      <c r="BO380" s="29"/>
      <c r="BP380" s="29"/>
      <c r="BQ380" s="29"/>
      <c r="BR380" s="29"/>
      <c r="BS380" s="29"/>
      <c r="BT380" s="29"/>
      <c r="BU380" s="29"/>
      <c r="BV380" s="29"/>
      <c r="BW380" s="29"/>
      <c r="BX380" s="29"/>
      <c r="BY380" s="29"/>
      <c r="BZ380" s="29"/>
      <c r="CA380" s="29"/>
      <c r="CB380" s="29"/>
      <c r="CC380" s="29"/>
      <c r="CD380" s="29"/>
      <c r="CE380" s="29"/>
      <c r="CF380" s="29"/>
      <c r="CG380" s="29"/>
      <c r="CH380" s="29"/>
      <c r="CI380" s="29"/>
      <c r="CJ380" s="29"/>
      <c r="CK380" s="29"/>
      <c r="CL380" s="29" t="s">
        <v>441</v>
      </c>
      <c r="CM380" s="29" t="s">
        <v>604</v>
      </c>
      <c r="CN380" s="29" t="s">
        <v>7636</v>
      </c>
      <c r="CO380" s="29" t="s">
        <v>7637</v>
      </c>
      <c r="CP380" s="29" t="s">
        <v>445</v>
      </c>
      <c r="CQ380" s="29" t="s">
        <v>7638</v>
      </c>
      <c r="CR380" s="29" t="s">
        <v>804</v>
      </c>
      <c r="CS380" s="29" t="s">
        <v>3194</v>
      </c>
      <c r="CT380" s="29" t="s">
        <v>7639</v>
      </c>
      <c r="CU380" s="29" t="s">
        <v>519</v>
      </c>
      <c r="CV380" s="29" t="s">
        <v>409</v>
      </c>
      <c r="CW380" s="29" t="s">
        <v>7640</v>
      </c>
      <c r="CX380" s="29" t="s">
        <v>408</v>
      </c>
      <c r="CY380" s="29" t="s">
        <v>7641</v>
      </c>
      <c r="CZ380" s="29" t="s">
        <v>453</v>
      </c>
      <c r="DA380" s="29" t="s">
        <v>7642</v>
      </c>
      <c r="DB380" s="29" t="s">
        <v>455</v>
      </c>
      <c r="DC380" s="29" t="s">
        <v>7643</v>
      </c>
      <c r="DD380" s="29" t="s">
        <v>457</v>
      </c>
      <c r="DE380" s="29"/>
      <c r="DF380" s="29" t="s">
        <v>7644</v>
      </c>
      <c r="DG380" s="29" t="s">
        <v>524</v>
      </c>
      <c r="DH380" s="29" t="s">
        <v>410</v>
      </c>
      <c r="DI380" s="29" t="s">
        <v>459</v>
      </c>
      <c r="DJ380" s="29" t="s">
        <v>562</v>
      </c>
      <c r="DK380" s="29" t="s">
        <v>1434</v>
      </c>
      <c r="DL380" s="29"/>
      <c r="DM380" s="29"/>
      <c r="DN380" s="29"/>
      <c r="DO380" s="29"/>
      <c r="DP380" s="29"/>
      <c r="DQ380" s="29"/>
      <c r="DR380" s="29"/>
      <c r="DS380" s="29"/>
      <c r="DT380" s="29"/>
      <c r="DU380" s="29"/>
      <c r="DV380" s="29"/>
      <c r="DW380" s="29"/>
      <c r="DX380" s="29"/>
      <c r="DY380" s="29"/>
      <c r="DZ380" s="29"/>
      <c r="EA380" s="29"/>
      <c r="EB380" s="29"/>
      <c r="EC380" s="29"/>
      <c r="ED380" s="29"/>
      <c r="EE380" s="29"/>
      <c r="EF380" s="29"/>
      <c r="EG380" s="29"/>
      <c r="EH380" s="29"/>
      <c r="EI380" s="29"/>
      <c r="EJ380" s="29"/>
      <c r="EK380" s="29"/>
      <c r="EL380" s="29"/>
      <c r="EM380" s="29"/>
      <c r="EN380" s="29"/>
      <c r="EO380" s="29"/>
      <c r="EP380" s="29"/>
      <c r="EQ380" s="29"/>
      <c r="ER380" s="29"/>
      <c r="ES380" s="29"/>
      <c r="ET380" s="29" t="s">
        <v>478</v>
      </c>
      <c r="EU380" s="29" t="s">
        <v>479</v>
      </c>
      <c r="EV380" s="29" t="s">
        <v>1262</v>
      </c>
      <c r="EW380" s="29" t="s">
        <v>7645</v>
      </c>
      <c r="EX380" s="29" t="s">
        <v>7646</v>
      </c>
      <c r="EY380" s="29" t="s">
        <v>7647</v>
      </c>
      <c r="EZ380" s="29" t="s">
        <v>414</v>
      </c>
      <c r="FA380" s="29" t="s">
        <v>583</v>
      </c>
      <c r="FB380" s="29" t="s">
        <v>416</v>
      </c>
      <c r="FC380" s="29" t="s">
        <v>583</v>
      </c>
      <c r="FD380" s="29" t="s">
        <v>415</v>
      </c>
      <c r="FE380" s="29" t="s">
        <v>583</v>
      </c>
      <c r="FF380" s="29" t="s">
        <v>583</v>
      </c>
      <c r="FG380" s="29" t="s">
        <v>416</v>
      </c>
      <c r="FH380" s="29" t="s">
        <v>583</v>
      </c>
      <c r="FI380" s="29" t="s">
        <v>414</v>
      </c>
      <c r="FJ380" s="29" t="s">
        <v>414</v>
      </c>
      <c r="FK380" s="29" t="s">
        <v>415</v>
      </c>
      <c r="FL380" s="29" t="s">
        <v>415</v>
      </c>
      <c r="FM380" s="29" t="s">
        <v>413</v>
      </c>
      <c r="FN380" s="29" t="s">
        <v>414</v>
      </c>
      <c r="FO380" s="29" t="s">
        <v>417</v>
      </c>
      <c r="FP380" s="29" t="s">
        <v>418</v>
      </c>
      <c r="FQ380" s="29" t="s">
        <v>630</v>
      </c>
      <c r="FR380" s="29" t="s">
        <v>7648</v>
      </c>
      <c r="FS380" s="29" t="s">
        <v>420</v>
      </c>
      <c r="FT380" s="29" t="s">
        <v>488</v>
      </c>
      <c r="FU380" s="29" t="s">
        <v>533</v>
      </c>
      <c r="FV380" s="29" t="s">
        <v>1101</v>
      </c>
      <c r="FW380" s="29" t="s">
        <v>491</v>
      </c>
      <c r="FX380" s="29" t="s">
        <v>7649</v>
      </c>
      <c r="FY380" s="29" t="s">
        <v>535</v>
      </c>
      <c r="FZ380" s="29"/>
      <c r="GA380" s="29" t="s">
        <v>7650</v>
      </c>
      <c r="GB380" s="29" t="s">
        <v>455</v>
      </c>
      <c r="GC380" s="29" t="s">
        <v>7651</v>
      </c>
      <c r="GD380" s="29" t="s">
        <v>7652</v>
      </c>
      <c r="GE380" s="29" t="s">
        <v>1339</v>
      </c>
      <c r="GF380" s="29" t="s">
        <v>7653</v>
      </c>
      <c r="GG380" s="29" t="s">
        <v>857</v>
      </c>
      <c r="GH380" s="29" t="s">
        <v>788</v>
      </c>
      <c r="GI380" s="29" t="s">
        <v>858</v>
      </c>
      <c r="GJ380" s="29"/>
      <c r="GK380" s="29"/>
      <c r="GL380" s="29"/>
      <c r="GM380" s="29"/>
      <c r="GN380" s="29"/>
      <c r="GO380" s="29"/>
      <c r="GP380" s="29"/>
      <c r="GQ380" s="29" t="s">
        <v>3273</v>
      </c>
      <c r="GR380" s="29"/>
      <c r="GS380" s="29"/>
      <c r="GT380" s="29" t="s">
        <v>4774</v>
      </c>
      <c r="GU380" s="29"/>
      <c r="HP380" s="31"/>
      <c r="MX380" s="29" t="s">
        <v>1341</v>
      </c>
      <c r="MY380" s="29" t="str">
        <f>IFERROR(__xludf.DUMMYFUNCTION("""COMPUTED_VALUE"""),"Germany")</f>
        <v>Germany</v>
      </c>
    </row>
    <row r="381" ht="16.5" customHeight="1">
      <c r="A381" s="33">
        <v>45970.06699965278</v>
      </c>
      <c r="B381" s="29" t="s">
        <v>368</v>
      </c>
      <c r="C381" s="29" t="s">
        <v>1341</v>
      </c>
      <c r="D381" s="29" t="s">
        <v>1341</v>
      </c>
      <c r="E381" s="29"/>
      <c r="F381" s="29"/>
      <c r="G381" s="29" t="s">
        <v>422</v>
      </c>
      <c r="H381" s="29" t="s">
        <v>373</v>
      </c>
      <c r="I381" s="29" t="s">
        <v>638</v>
      </c>
      <c r="J381" s="29" t="s">
        <v>718</v>
      </c>
      <c r="K381" s="29" t="s">
        <v>376</v>
      </c>
      <c r="L381" s="29" t="s">
        <v>591</v>
      </c>
      <c r="M381" s="29" t="s">
        <v>378</v>
      </c>
      <c r="N381" s="29" t="s">
        <v>793</v>
      </c>
      <c r="O381" s="29" t="s">
        <v>671</v>
      </c>
      <c r="P381" s="29"/>
      <c r="Q381" s="29" t="s">
        <v>862</v>
      </c>
      <c r="R381" s="29" t="s">
        <v>427</v>
      </c>
      <c r="S381" s="29" t="s">
        <v>384</v>
      </c>
      <c r="T381" s="29" t="s">
        <v>385</v>
      </c>
      <c r="U381" s="29"/>
      <c r="V381" s="29"/>
      <c r="W381" s="29" t="s">
        <v>3014</v>
      </c>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t="s">
        <v>1310</v>
      </c>
      <c r="AW381" s="29">
        <v>4.0</v>
      </c>
      <c r="AX381" s="29">
        <v>4.0</v>
      </c>
      <c r="AY381" s="29" t="s">
        <v>391</v>
      </c>
      <c r="AZ381" s="29">
        <v>2.0</v>
      </c>
      <c r="BA381" s="29">
        <v>2.0</v>
      </c>
      <c r="BB381" s="29">
        <v>4.0</v>
      </c>
      <c r="BC381" s="29" t="s">
        <v>7654</v>
      </c>
      <c r="BD381" s="29" t="s">
        <v>7655</v>
      </c>
      <c r="BE381" s="29" t="s">
        <v>902</v>
      </c>
      <c r="BF381" s="29"/>
      <c r="BG381" s="29" t="s">
        <v>765</v>
      </c>
      <c r="BH381" s="29" t="s">
        <v>7656</v>
      </c>
      <c r="BI381" s="29" t="s">
        <v>976</v>
      </c>
      <c r="BJ381" s="29"/>
      <c r="BK381" s="29" t="s">
        <v>681</v>
      </c>
      <c r="BL381" s="29" t="s">
        <v>603</v>
      </c>
      <c r="BM381" s="29" t="s">
        <v>1247</v>
      </c>
      <c r="BN381" s="29" t="s">
        <v>513</v>
      </c>
      <c r="BO381" s="29"/>
      <c r="BP381" s="29"/>
      <c r="BQ381" s="29"/>
      <c r="BR381" s="29"/>
      <c r="BS381" s="29"/>
      <c r="BT381" s="29"/>
      <c r="BU381" s="29"/>
      <c r="BV381" s="29"/>
      <c r="BW381" s="29"/>
      <c r="BX381" s="29"/>
      <c r="BY381" s="29"/>
      <c r="BZ381" s="29"/>
      <c r="CA381" s="29"/>
      <c r="CB381" s="29"/>
      <c r="CC381" s="29"/>
      <c r="CD381" s="29"/>
      <c r="CE381" s="29"/>
      <c r="CF381" s="29"/>
      <c r="CG381" s="29"/>
      <c r="CH381" s="29"/>
      <c r="CI381" s="29"/>
      <c r="CJ381" s="29"/>
      <c r="CK381" s="29"/>
      <c r="CL381" s="29" t="s">
        <v>682</v>
      </c>
      <c r="CM381" s="29" t="s">
        <v>401</v>
      </c>
      <c r="CN381" s="29" t="s">
        <v>7657</v>
      </c>
      <c r="CO381" s="29" t="s">
        <v>7658</v>
      </c>
      <c r="CP381" s="29"/>
      <c r="CQ381" s="29"/>
      <c r="CR381" s="29"/>
      <c r="CS381" s="29"/>
      <c r="CT381" s="29" t="s">
        <v>7659</v>
      </c>
      <c r="CU381" s="29" t="s">
        <v>1852</v>
      </c>
      <c r="CV381" s="29" t="s">
        <v>959</v>
      </c>
      <c r="CW381" s="29"/>
      <c r="CX381" s="29" t="s">
        <v>408</v>
      </c>
      <c r="CY381" s="29"/>
      <c r="CZ381" s="29" t="s">
        <v>1962</v>
      </c>
      <c r="DA381" s="29"/>
      <c r="DB381" s="29" t="s">
        <v>408</v>
      </c>
      <c r="DC381" s="29"/>
      <c r="DD381" s="29"/>
      <c r="DE381" s="29"/>
      <c r="DF381" s="29"/>
      <c r="DG381" s="29" t="s">
        <v>990</v>
      </c>
      <c r="DH381" s="29" t="s">
        <v>410</v>
      </c>
      <c r="DI381" s="29" t="s">
        <v>963</v>
      </c>
      <c r="DJ381" s="29" t="s">
        <v>460</v>
      </c>
      <c r="DK381" s="29" t="s">
        <v>6603</v>
      </c>
      <c r="DL381" s="29"/>
      <c r="DM381" s="29"/>
      <c r="DN381" s="29"/>
      <c r="DO381" s="29"/>
      <c r="DP381" s="29"/>
      <c r="DQ381" s="29"/>
      <c r="DR381" s="29"/>
      <c r="DS381" s="29"/>
      <c r="DT381" s="29"/>
      <c r="DU381" s="29"/>
      <c r="DV381" s="29"/>
      <c r="DW381" s="29"/>
      <c r="DX381" s="29"/>
      <c r="DY381" s="29"/>
      <c r="DZ381" s="29"/>
      <c r="EA381" s="29"/>
      <c r="EB381" s="29"/>
      <c r="EC381" s="29"/>
      <c r="ED381" s="29"/>
      <c r="EE381" s="29"/>
      <c r="EF381" s="29"/>
      <c r="EG381" s="29"/>
      <c r="EH381" s="29"/>
      <c r="EI381" s="29"/>
      <c r="EJ381" s="29"/>
      <c r="EK381" s="29"/>
      <c r="EL381" s="29"/>
      <c r="EM381" s="29"/>
      <c r="EN381" s="29"/>
      <c r="EO381" s="29"/>
      <c r="EP381" s="29"/>
      <c r="EQ381" s="29"/>
      <c r="ER381" s="29"/>
      <c r="ES381" s="29"/>
      <c r="ET381" s="29" t="s">
        <v>478</v>
      </c>
      <c r="EU381" s="29" t="s">
        <v>579</v>
      </c>
      <c r="EV381" s="29" t="s">
        <v>480</v>
      </c>
      <c r="EW381" s="29"/>
      <c r="EX381" s="29" t="s">
        <v>7660</v>
      </c>
      <c r="EY381" s="29" t="s">
        <v>7661</v>
      </c>
      <c r="EZ381" s="29" t="s">
        <v>583</v>
      </c>
      <c r="FA381" s="29" t="s">
        <v>583</v>
      </c>
      <c r="FB381" s="29" t="s">
        <v>413</v>
      </c>
      <c r="FC381" s="29" t="s">
        <v>414</v>
      </c>
      <c r="FD381" s="29" t="s">
        <v>413</v>
      </c>
      <c r="FE381" s="29" t="s">
        <v>414</v>
      </c>
      <c r="FF381" s="29" t="s">
        <v>583</v>
      </c>
      <c r="FG381" s="29" t="s">
        <v>583</v>
      </c>
      <c r="FH381" s="29" t="s">
        <v>416</v>
      </c>
      <c r="FI381" s="29" t="s">
        <v>413</v>
      </c>
      <c r="FJ381" s="29" t="s">
        <v>414</v>
      </c>
      <c r="FK381" s="29" t="s">
        <v>583</v>
      </c>
      <c r="FL381" s="29" t="s">
        <v>583</v>
      </c>
      <c r="FM381" s="29" t="s">
        <v>414</v>
      </c>
      <c r="FN381" s="29" t="s">
        <v>413</v>
      </c>
      <c r="FO381" s="29" t="s">
        <v>1074</v>
      </c>
      <c r="FP381" s="29" t="s">
        <v>486</v>
      </c>
      <c r="FQ381" s="29" t="s">
        <v>749</v>
      </c>
      <c r="FR381" s="29"/>
      <c r="FS381" s="29" t="s">
        <v>1076</v>
      </c>
      <c r="FT381" s="29" t="s">
        <v>2398</v>
      </c>
      <c r="FU381" s="29" t="s">
        <v>1235</v>
      </c>
      <c r="FV381" s="29" t="s">
        <v>2399</v>
      </c>
      <c r="FW381" s="29" t="s">
        <v>1853</v>
      </c>
      <c r="FX381" s="29"/>
      <c r="FY381" s="29" t="s">
        <v>1854</v>
      </c>
      <c r="FZ381" s="29"/>
      <c r="GA381" s="29"/>
      <c r="GB381" s="29" t="s">
        <v>455</v>
      </c>
      <c r="GC381" s="29"/>
      <c r="GD381" s="29"/>
      <c r="GE381" s="29" t="s">
        <v>1339</v>
      </c>
      <c r="GF381" s="29" t="s">
        <v>7662</v>
      </c>
      <c r="GG381" s="29" t="s">
        <v>1000</v>
      </c>
      <c r="GH381" s="29" t="s">
        <v>755</v>
      </c>
      <c r="GI381" s="29" t="s">
        <v>946</v>
      </c>
      <c r="GJ381" s="29"/>
      <c r="GK381" s="29"/>
      <c r="GL381" s="29"/>
      <c r="GM381" s="29"/>
      <c r="GN381" s="29" t="s">
        <v>7663</v>
      </c>
      <c r="GO381" s="29" t="s">
        <v>7663</v>
      </c>
      <c r="GP381" s="29"/>
      <c r="GQ381" s="29" t="s">
        <v>3208</v>
      </c>
      <c r="GR381" s="29"/>
      <c r="GS381" s="29"/>
      <c r="GT381" s="29" t="s">
        <v>4774</v>
      </c>
      <c r="GU381" s="29"/>
      <c r="HP381" s="31"/>
      <c r="MX381" s="29" t="s">
        <v>10402</v>
      </c>
      <c r="MY381" s="29" t="str">
        <f>IFERROR(__xludf.DUMMYFUNCTION("""COMPUTED_VALUE"""),"Missouri")</f>
        <v>Missouri</v>
      </c>
    </row>
    <row r="382" ht="16.5" customHeight="1">
      <c r="A382" s="33">
        <v>45970.38046627315</v>
      </c>
      <c r="B382" s="29" t="s">
        <v>368</v>
      </c>
      <c r="C382" s="29" t="s">
        <v>370</v>
      </c>
      <c r="D382" s="29" t="s">
        <v>370</v>
      </c>
      <c r="E382" s="29" t="s">
        <v>922</v>
      </c>
      <c r="F382" s="29" t="s">
        <v>922</v>
      </c>
      <c r="G382" s="29" t="s">
        <v>422</v>
      </c>
      <c r="H382" s="29" t="s">
        <v>637</v>
      </c>
      <c r="I382" s="29" t="s">
        <v>638</v>
      </c>
      <c r="J382" s="29" t="s">
        <v>1204</v>
      </c>
      <c r="K382" s="29" t="s">
        <v>2560</v>
      </c>
      <c r="L382" s="29" t="s">
        <v>379</v>
      </c>
      <c r="M382" s="29" t="s">
        <v>1442</v>
      </c>
      <c r="N382" s="29" t="s">
        <v>377</v>
      </c>
      <c r="O382" s="29" t="s">
        <v>1024</v>
      </c>
      <c r="P382" s="29" t="s">
        <v>381</v>
      </c>
      <c r="Q382" s="29" t="s">
        <v>818</v>
      </c>
      <c r="R382" s="29" t="s">
        <v>427</v>
      </c>
      <c r="S382" s="29" t="s">
        <v>384</v>
      </c>
      <c r="T382" s="29" t="s">
        <v>385</v>
      </c>
      <c r="U382" s="29"/>
      <c r="V382" s="29"/>
      <c r="W382" s="29" t="s">
        <v>386</v>
      </c>
      <c r="X382" s="29" t="s">
        <v>387</v>
      </c>
      <c r="Y382" s="29" t="s">
        <v>6822</v>
      </c>
      <c r="Z382" s="29" t="s">
        <v>543</v>
      </c>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t="s">
        <v>597</v>
      </c>
      <c r="AW382" s="29" t="s">
        <v>391</v>
      </c>
      <c r="AX382" s="29" t="s">
        <v>429</v>
      </c>
      <c r="AY382" s="29" t="s">
        <v>429</v>
      </c>
      <c r="AZ382" s="29" t="s">
        <v>429</v>
      </c>
      <c r="BA382" s="29" t="s">
        <v>429</v>
      </c>
      <c r="BB382" s="29" t="s">
        <v>391</v>
      </c>
      <c r="BC382" s="29" t="s">
        <v>7667</v>
      </c>
      <c r="BD382" s="29" t="s">
        <v>7668</v>
      </c>
      <c r="BE382" s="29" t="s">
        <v>392</v>
      </c>
      <c r="BF382" s="29" t="s">
        <v>433</v>
      </c>
      <c r="BG382" s="29" t="s">
        <v>678</v>
      </c>
      <c r="BH382" s="29" t="s">
        <v>7669</v>
      </c>
      <c r="BI382" s="29" t="s">
        <v>727</v>
      </c>
      <c r="BJ382" s="29"/>
      <c r="BK382" s="29" t="s">
        <v>437</v>
      </c>
      <c r="BL382" s="29" t="s">
        <v>396</v>
      </c>
      <c r="BM382" s="29" t="s">
        <v>549</v>
      </c>
      <c r="BN382" s="29" t="s">
        <v>513</v>
      </c>
      <c r="BO382" s="29"/>
      <c r="BP382" s="29"/>
      <c r="BQ382" s="29"/>
      <c r="BR382" s="29"/>
      <c r="BS382" s="29"/>
      <c r="BT382" s="29"/>
      <c r="BU382" s="29"/>
      <c r="BV382" s="29"/>
      <c r="BW382" s="29"/>
      <c r="BX382" s="29"/>
      <c r="BY382" s="29"/>
      <c r="BZ382" s="29"/>
      <c r="CA382" s="29"/>
      <c r="CB382" s="29"/>
      <c r="CC382" s="29"/>
      <c r="CD382" s="29"/>
      <c r="CE382" s="29"/>
      <c r="CF382" s="29"/>
      <c r="CG382" s="29"/>
      <c r="CH382" s="29"/>
      <c r="CI382" s="29"/>
      <c r="CJ382" s="29"/>
      <c r="CK382" s="29"/>
      <c r="CL382" s="29" t="s">
        <v>441</v>
      </c>
      <c r="CM382" s="29" t="s">
        <v>442</v>
      </c>
      <c r="CN382" s="29" t="s">
        <v>552</v>
      </c>
      <c r="CO382" s="29" t="s">
        <v>7670</v>
      </c>
      <c r="CP382" s="29" t="s">
        <v>403</v>
      </c>
      <c r="CQ382" s="29" t="s">
        <v>7671</v>
      </c>
      <c r="CR382" s="29" t="s">
        <v>447</v>
      </c>
      <c r="CS382" s="29" t="s">
        <v>448</v>
      </c>
      <c r="CT382" s="29" t="s">
        <v>7672</v>
      </c>
      <c r="CU382" s="29" t="s">
        <v>450</v>
      </c>
      <c r="CV382" s="29" t="s">
        <v>451</v>
      </c>
      <c r="CW382" s="29" t="s">
        <v>7673</v>
      </c>
      <c r="CX382" s="29" t="s">
        <v>408</v>
      </c>
      <c r="CY382" s="29"/>
      <c r="CZ382" s="29" t="s">
        <v>453</v>
      </c>
      <c r="DA382" s="29" t="s">
        <v>7674</v>
      </c>
      <c r="DB382" s="29" t="s">
        <v>913</v>
      </c>
      <c r="DC382" s="29"/>
      <c r="DD382" s="29" t="s">
        <v>457</v>
      </c>
      <c r="DE382" s="29"/>
      <c r="DF382" s="29" t="s">
        <v>7675</v>
      </c>
      <c r="DG382" s="29" t="s">
        <v>524</v>
      </c>
      <c r="DH382" s="29" t="s">
        <v>410</v>
      </c>
      <c r="DI382" s="29" t="s">
        <v>777</v>
      </c>
      <c r="DJ382" s="29" t="s">
        <v>562</v>
      </c>
      <c r="DK382" s="29" t="s">
        <v>6335</v>
      </c>
      <c r="DL382" s="29"/>
      <c r="DM382" s="29"/>
      <c r="DN382" s="29"/>
      <c r="DO382" s="29"/>
      <c r="DP382" s="29"/>
      <c r="DQ382" s="29"/>
      <c r="DR382" s="29"/>
      <c r="DS382" s="29"/>
      <c r="DT382" s="29"/>
      <c r="DU382" s="29"/>
      <c r="DV382" s="29"/>
      <c r="DW382" s="29"/>
      <c r="DX382" s="29"/>
      <c r="DY382" s="29"/>
      <c r="DZ382" s="29"/>
      <c r="EA382" s="29"/>
      <c r="EB382" s="29"/>
      <c r="EC382" s="29"/>
      <c r="ED382" s="29"/>
      <c r="EE382" s="29"/>
      <c r="EF382" s="29"/>
      <c r="EG382" s="29"/>
      <c r="EH382" s="29"/>
      <c r="EI382" s="29"/>
      <c r="EJ382" s="29"/>
      <c r="EK382" s="29"/>
      <c r="EL382" s="29"/>
      <c r="EM382" s="29"/>
      <c r="EN382" s="29"/>
      <c r="EO382" s="29"/>
      <c r="EP382" s="29"/>
      <c r="EQ382" s="29"/>
      <c r="ER382" s="29"/>
      <c r="ES382" s="29"/>
      <c r="ET382" s="29" t="s">
        <v>526</v>
      </c>
      <c r="EU382" s="29" t="s">
        <v>479</v>
      </c>
      <c r="EV382" s="29" t="s">
        <v>480</v>
      </c>
      <c r="EW382" s="29"/>
      <c r="EX382" s="29"/>
      <c r="EY382" s="29"/>
      <c r="EZ382" s="29"/>
      <c r="FA382" s="29"/>
      <c r="FB382" s="29"/>
      <c r="FC382" s="29"/>
      <c r="FD382" s="29"/>
      <c r="FE382" s="29"/>
      <c r="FF382" s="29"/>
      <c r="FG382" s="29"/>
      <c r="FH382" s="29"/>
      <c r="FI382" s="29"/>
      <c r="FJ382" s="29"/>
      <c r="FK382" s="29"/>
      <c r="FL382" s="29"/>
      <c r="FM382" s="29"/>
      <c r="FN382" s="29"/>
      <c r="FO382" s="29" t="s">
        <v>417</v>
      </c>
      <c r="FP382" s="29" t="s">
        <v>486</v>
      </c>
      <c r="FQ382" s="29" t="s">
        <v>419</v>
      </c>
      <c r="FR382" s="29" t="s">
        <v>7676</v>
      </c>
      <c r="FS382" s="29" t="s">
        <v>420</v>
      </c>
      <c r="FT382" s="29" t="s">
        <v>488</v>
      </c>
      <c r="FU382" s="29" t="s">
        <v>533</v>
      </c>
      <c r="FV382" s="29" t="s">
        <v>490</v>
      </c>
      <c r="FW382" s="29" t="s">
        <v>491</v>
      </c>
      <c r="FX382" s="29" t="s">
        <v>7677</v>
      </c>
      <c r="FY382" s="29" t="s">
        <v>535</v>
      </c>
      <c r="FZ382" s="29"/>
      <c r="GA382" s="29"/>
      <c r="GB382" s="29" t="s">
        <v>455</v>
      </c>
      <c r="GC382" s="29"/>
      <c r="GD382" s="29"/>
      <c r="GE382" s="29" t="s">
        <v>753</v>
      </c>
      <c r="GF382" s="29" t="s">
        <v>7678</v>
      </c>
      <c r="GG382" s="29" t="s">
        <v>857</v>
      </c>
      <c r="GH382" s="29" t="s">
        <v>857</v>
      </c>
      <c r="GI382" s="29" t="s">
        <v>790</v>
      </c>
      <c r="GJ382" s="29"/>
      <c r="GK382" s="29"/>
      <c r="GL382" s="29"/>
      <c r="GM382" s="29"/>
      <c r="GN382" s="29"/>
      <c r="GO382" s="29"/>
      <c r="GP382" s="29"/>
      <c r="GQ382" s="29" t="s">
        <v>3208</v>
      </c>
      <c r="GR382" s="29"/>
      <c r="GS382" s="29"/>
      <c r="GT382" s="29" t="s">
        <v>4774</v>
      </c>
      <c r="GU382" s="29"/>
      <c r="HP382" s="31"/>
      <c r="MX382" s="29" t="s">
        <v>10402</v>
      </c>
      <c r="MY382" s="29" t="str">
        <f>IFERROR(__xludf.DUMMYFUNCTION("""COMPUTED_VALUE"""),"Oregon")</f>
        <v>Oregon</v>
      </c>
    </row>
    <row r="383" ht="16.5" customHeight="1">
      <c r="A383" s="33">
        <v>45970.48485820602</v>
      </c>
      <c r="B383" s="29" t="s">
        <v>368</v>
      </c>
      <c r="C383" s="29" t="s">
        <v>370</v>
      </c>
      <c r="D383" s="29" t="s">
        <v>370</v>
      </c>
      <c r="E383" s="29" t="s">
        <v>2400</v>
      </c>
      <c r="F383" s="29" t="s">
        <v>2400</v>
      </c>
      <c r="G383" s="29" t="s">
        <v>422</v>
      </c>
      <c r="H383" s="29" t="s">
        <v>373</v>
      </c>
      <c r="I383" s="29" t="s">
        <v>638</v>
      </c>
      <c r="J383" s="29" t="s">
        <v>375</v>
      </c>
      <c r="K383" s="29" t="s">
        <v>376</v>
      </c>
      <c r="L383" s="29" t="s">
        <v>591</v>
      </c>
      <c r="M383" s="29" t="s">
        <v>3109</v>
      </c>
      <c r="N383" s="29" t="s">
        <v>793</v>
      </c>
      <c r="O383" s="29" t="s">
        <v>3453</v>
      </c>
      <c r="P383" s="29" t="s">
        <v>498</v>
      </c>
      <c r="Q383" s="29" t="s">
        <v>499</v>
      </c>
      <c r="R383" s="29" t="s">
        <v>427</v>
      </c>
      <c r="S383" s="29" t="s">
        <v>384</v>
      </c>
      <c r="T383" s="29" t="s">
        <v>385</v>
      </c>
      <c r="U383" s="29"/>
      <c r="V383" s="29"/>
      <c r="W383" s="29" t="s">
        <v>593</v>
      </c>
      <c r="X383" s="29" t="s">
        <v>387</v>
      </c>
      <c r="Y383" s="29" t="s">
        <v>594</v>
      </c>
      <c r="Z383" s="29" t="s">
        <v>543</v>
      </c>
      <c r="AA383" s="29" t="s">
        <v>7679</v>
      </c>
      <c r="AB383" s="29"/>
      <c r="AC383" s="29"/>
      <c r="AD383" s="29"/>
      <c r="AE383" s="29"/>
      <c r="AF383" s="29"/>
      <c r="AG383" s="29"/>
      <c r="AH383" s="29"/>
      <c r="AI383" s="29"/>
      <c r="AJ383" s="29"/>
      <c r="AK383" s="29"/>
      <c r="AL383" s="29"/>
      <c r="AM383" s="29"/>
      <c r="AN383" s="29"/>
      <c r="AO383" s="29"/>
      <c r="AP383" s="29"/>
      <c r="AQ383" s="29"/>
      <c r="AR383" s="29"/>
      <c r="AS383" s="29"/>
      <c r="AT383" s="29"/>
      <c r="AU383" s="29"/>
      <c r="AV383" s="29" t="s">
        <v>1242</v>
      </c>
      <c r="AW383" s="29" t="s">
        <v>675</v>
      </c>
      <c r="AX383" s="29">
        <v>4.0</v>
      </c>
      <c r="AY383" s="29" t="s">
        <v>675</v>
      </c>
      <c r="AZ383" s="29" t="s">
        <v>675</v>
      </c>
      <c r="BA383" s="29" t="s">
        <v>675</v>
      </c>
      <c r="BB383" s="29" t="s">
        <v>675</v>
      </c>
      <c r="BC383" s="29"/>
      <c r="BD383" s="29"/>
      <c r="BE383" s="29" t="s">
        <v>1094</v>
      </c>
      <c r="BF383" s="29" t="s">
        <v>1095</v>
      </c>
      <c r="BG383" s="29" t="s">
        <v>394</v>
      </c>
      <c r="BH383" s="29"/>
      <c r="BI383" s="29" t="s">
        <v>824</v>
      </c>
      <c r="BJ383" s="29"/>
      <c r="BK383" s="29" t="s">
        <v>602</v>
      </c>
      <c r="BL383" s="29" t="s">
        <v>396</v>
      </c>
      <c r="BM383" s="29" t="s">
        <v>1314</v>
      </c>
      <c r="BN383" s="29" t="s">
        <v>398</v>
      </c>
      <c r="BO383" s="29" t="s">
        <v>7680</v>
      </c>
      <c r="BP383" s="29" t="s">
        <v>7681</v>
      </c>
      <c r="BQ383" s="29" t="s">
        <v>604</v>
      </c>
      <c r="BR383" s="29" t="s">
        <v>6313</v>
      </c>
      <c r="BS383" s="29" t="s">
        <v>403</v>
      </c>
      <c r="BT383" s="29" t="s">
        <v>404</v>
      </c>
      <c r="BU383" s="29" t="s">
        <v>405</v>
      </c>
      <c r="BV383" s="29"/>
      <c r="BW383" s="29" t="s">
        <v>406</v>
      </c>
      <c r="BX383" s="29" t="s">
        <v>2503</v>
      </c>
      <c r="BY383" s="29" t="s">
        <v>408</v>
      </c>
      <c r="BZ383" s="29"/>
      <c r="CA383" s="29"/>
      <c r="CB383" s="29" t="s">
        <v>7682</v>
      </c>
      <c r="CC383" s="29" t="s">
        <v>7683</v>
      </c>
      <c r="CD383" s="29" t="s">
        <v>409</v>
      </c>
      <c r="CE383" s="29" t="s">
        <v>7684</v>
      </c>
      <c r="CF383" s="29" t="s">
        <v>1258</v>
      </c>
      <c r="CG383" s="29"/>
      <c r="CH383" s="29" t="s">
        <v>1751</v>
      </c>
      <c r="CI383" s="29" t="s">
        <v>833</v>
      </c>
      <c r="CJ383" s="29" t="s">
        <v>7685</v>
      </c>
      <c r="CK383" s="29" t="s">
        <v>7686</v>
      </c>
      <c r="CL383" s="29"/>
      <c r="CM383" s="29"/>
      <c r="CN383" s="29"/>
      <c r="CO383" s="29"/>
      <c r="CP383" s="29"/>
      <c r="CQ383" s="29"/>
      <c r="CR383" s="29"/>
      <c r="CS383" s="29"/>
      <c r="CT383" s="29"/>
      <c r="CU383" s="29"/>
      <c r="CV383" s="29"/>
      <c r="CW383" s="29"/>
      <c r="CX383" s="29"/>
      <c r="CY383" s="29"/>
      <c r="CZ383" s="29"/>
      <c r="DA383" s="29"/>
      <c r="DB383" s="29"/>
      <c r="DC383" s="29"/>
      <c r="DD383" s="29"/>
      <c r="DE383" s="29"/>
      <c r="DF383" s="29"/>
      <c r="DG383" s="29"/>
      <c r="DH383" s="29"/>
      <c r="DI383" s="29" t="s">
        <v>963</v>
      </c>
      <c r="DJ383" s="29" t="s">
        <v>460</v>
      </c>
      <c r="DK383" s="29" t="s">
        <v>6319</v>
      </c>
      <c r="DL383" s="29"/>
      <c r="DM383" s="29"/>
      <c r="DN383" s="29"/>
      <c r="DO383" s="29"/>
      <c r="DP383" s="29"/>
      <c r="DQ383" s="29"/>
      <c r="DR383" s="29"/>
      <c r="DS383" s="29"/>
      <c r="DT383" s="29"/>
      <c r="DU383" s="29"/>
      <c r="DV383" s="29"/>
      <c r="DW383" s="29"/>
      <c r="DX383" s="29"/>
      <c r="DY383" s="29"/>
      <c r="DZ383" s="29"/>
      <c r="EA383" s="29"/>
      <c r="EB383" s="29"/>
      <c r="EC383" s="29"/>
      <c r="ED383" s="29"/>
      <c r="EE383" s="29"/>
      <c r="EF383" s="29"/>
      <c r="EG383" s="29"/>
      <c r="EH383" s="29"/>
      <c r="EI383" s="29"/>
      <c r="EJ383" s="29"/>
      <c r="EK383" s="29"/>
      <c r="EL383" s="29"/>
      <c r="EM383" s="29"/>
      <c r="EN383" s="29"/>
      <c r="EO383" s="29"/>
      <c r="EP383" s="29"/>
      <c r="EQ383" s="29"/>
      <c r="ER383" s="29"/>
      <c r="ES383" s="29"/>
      <c r="ET383" s="29" t="s">
        <v>526</v>
      </c>
      <c r="EU383" s="29" t="s">
        <v>1037</v>
      </c>
      <c r="EV383" s="29" t="s">
        <v>527</v>
      </c>
      <c r="EW383" s="29" t="s">
        <v>7687</v>
      </c>
      <c r="EX383" s="29"/>
      <c r="EY383" s="29"/>
      <c r="EZ383" s="29" t="s">
        <v>413</v>
      </c>
      <c r="FA383" s="29" t="s">
        <v>415</v>
      </c>
      <c r="FB383" s="29" t="s">
        <v>413</v>
      </c>
      <c r="FC383" s="29" t="s">
        <v>413</v>
      </c>
      <c r="FD383" s="29" t="s">
        <v>413</v>
      </c>
      <c r="FE383" s="29" t="s">
        <v>414</v>
      </c>
      <c r="FF383" s="29" t="s">
        <v>413</v>
      </c>
      <c r="FG383" s="29" t="s">
        <v>413</v>
      </c>
      <c r="FH383" s="29" t="s">
        <v>413</v>
      </c>
      <c r="FI383" s="29" t="s">
        <v>415</v>
      </c>
      <c r="FJ383" s="29" t="s">
        <v>415</v>
      </c>
      <c r="FK383" s="29" t="s">
        <v>413</v>
      </c>
      <c r="FL383" s="29" t="s">
        <v>413</v>
      </c>
      <c r="FM383" s="29" t="s">
        <v>415</v>
      </c>
      <c r="FN383" s="29" t="s">
        <v>415</v>
      </c>
      <c r="FO383" s="29" t="s">
        <v>485</v>
      </c>
      <c r="FP383" s="29" t="s">
        <v>418</v>
      </c>
      <c r="FQ383" s="29" t="s">
        <v>749</v>
      </c>
      <c r="FR383" s="29"/>
      <c r="FS383" s="29" t="s">
        <v>420</v>
      </c>
      <c r="FT383" s="29" t="s">
        <v>488</v>
      </c>
      <c r="FU383" s="29" t="s">
        <v>489</v>
      </c>
      <c r="FV383" s="29" t="s">
        <v>490</v>
      </c>
      <c r="FW383" s="29" t="s">
        <v>491</v>
      </c>
      <c r="FX383" s="29"/>
      <c r="FY383" s="29" t="s">
        <v>493</v>
      </c>
      <c r="FZ383" s="29"/>
      <c r="GA383" s="29"/>
      <c r="GB383" s="29" t="s">
        <v>408</v>
      </c>
      <c r="GC383" s="29"/>
      <c r="GD383" s="29"/>
      <c r="GE383" s="29"/>
      <c r="GF383" s="29"/>
      <c r="GG383" s="29"/>
      <c r="GH383" s="29"/>
      <c r="GI383" s="29"/>
      <c r="GJ383" s="29" t="s">
        <v>857</v>
      </c>
      <c r="GK383" s="29" t="s">
        <v>857</v>
      </c>
      <c r="GL383" s="29" t="s">
        <v>790</v>
      </c>
      <c r="GM383" s="29"/>
      <c r="GN383" s="29"/>
      <c r="GO383" s="29"/>
      <c r="GP383" s="29"/>
      <c r="GQ383" s="29" t="s">
        <v>5656</v>
      </c>
      <c r="GR383" s="29" t="s">
        <v>4774</v>
      </c>
      <c r="GS383" s="29"/>
      <c r="GT383" s="29"/>
      <c r="GU383" s="29"/>
      <c r="HP383" s="31"/>
      <c r="MX383" s="29" t="s">
        <v>10402</v>
      </c>
      <c r="MY383" s="29" t="str">
        <f>IFERROR(__xludf.DUMMYFUNCTION("""COMPUTED_VALUE"""),"Missouri")</f>
        <v>Missouri</v>
      </c>
    </row>
    <row r="384" ht="16.5" customHeight="1">
      <c r="A384" s="33">
        <v>45970.66629606481</v>
      </c>
      <c r="B384" s="29" t="s">
        <v>368</v>
      </c>
      <c r="C384" s="29" t="s">
        <v>370</v>
      </c>
      <c r="D384" s="29" t="s">
        <v>370</v>
      </c>
      <c r="E384" s="29" t="s">
        <v>922</v>
      </c>
      <c r="F384" s="29" t="s">
        <v>2114</v>
      </c>
      <c r="G384" s="29" t="s">
        <v>422</v>
      </c>
      <c r="H384" s="29" t="s">
        <v>496</v>
      </c>
      <c r="I384" s="29" t="s">
        <v>374</v>
      </c>
      <c r="J384" s="29" t="s">
        <v>758</v>
      </c>
      <c r="K384" s="29" t="s">
        <v>376</v>
      </c>
      <c r="L384" s="29" t="s">
        <v>793</v>
      </c>
      <c r="M384" s="29" t="s">
        <v>720</v>
      </c>
      <c r="N384" s="29" t="s">
        <v>793</v>
      </c>
      <c r="O384" s="29" t="s">
        <v>720</v>
      </c>
      <c r="P384" s="29" t="s">
        <v>498</v>
      </c>
      <c r="Q384" s="29" t="s">
        <v>382</v>
      </c>
      <c r="R384" s="29" t="s">
        <v>500</v>
      </c>
      <c r="S384" s="29" t="s">
        <v>384</v>
      </c>
      <c r="T384" s="29" t="s">
        <v>385</v>
      </c>
      <c r="U384" s="29"/>
      <c r="V384" s="29"/>
      <c r="W384" s="29" t="s">
        <v>3231</v>
      </c>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t="s">
        <v>390</v>
      </c>
      <c r="AW384" s="29">
        <v>2.0</v>
      </c>
      <c r="AX384" s="29">
        <v>2.0</v>
      </c>
      <c r="AY384" s="29" t="s">
        <v>391</v>
      </c>
      <c r="AZ384" s="29">
        <v>2.0</v>
      </c>
      <c r="BA384" s="29" t="s">
        <v>391</v>
      </c>
      <c r="BB384" s="29" t="s">
        <v>391</v>
      </c>
      <c r="BC384" s="29"/>
      <c r="BD384" s="29"/>
      <c r="BE384" s="29" t="s">
        <v>432</v>
      </c>
      <c r="BF384" s="29" t="s">
        <v>433</v>
      </c>
      <c r="BG384" s="29" t="s">
        <v>678</v>
      </c>
      <c r="BH384" s="29"/>
      <c r="BI384" s="29" t="s">
        <v>435</v>
      </c>
      <c r="BJ384" s="29"/>
      <c r="BK384" s="29" t="s">
        <v>437</v>
      </c>
      <c r="BL384" s="29" t="s">
        <v>603</v>
      </c>
      <c r="BM384" s="29" t="s">
        <v>549</v>
      </c>
      <c r="BN384" s="29" t="s">
        <v>513</v>
      </c>
      <c r="BO384" s="29"/>
      <c r="BP384" s="29"/>
      <c r="BQ384" s="29"/>
      <c r="BR384" s="29"/>
      <c r="BS384" s="29"/>
      <c r="BT384" s="29"/>
      <c r="BU384" s="29"/>
      <c r="BV384" s="29"/>
      <c r="BW384" s="29"/>
      <c r="BX384" s="29"/>
      <c r="BY384" s="29"/>
      <c r="BZ384" s="29"/>
      <c r="CA384" s="29"/>
      <c r="CB384" s="29"/>
      <c r="CC384" s="29"/>
      <c r="CD384" s="29"/>
      <c r="CE384" s="29"/>
      <c r="CF384" s="29"/>
      <c r="CG384" s="29"/>
      <c r="CH384" s="29"/>
      <c r="CI384" s="29"/>
      <c r="CJ384" s="29"/>
      <c r="CK384" s="29"/>
      <c r="CL384" s="29" t="s">
        <v>441</v>
      </c>
      <c r="CM384" s="29" t="s">
        <v>682</v>
      </c>
      <c r="CN384" s="29" t="s">
        <v>7688</v>
      </c>
      <c r="CO384" s="29" t="s">
        <v>7689</v>
      </c>
      <c r="CP384" s="29" t="s">
        <v>445</v>
      </c>
      <c r="CQ384" s="29" t="s">
        <v>2064</v>
      </c>
      <c r="CR384" s="29" t="s">
        <v>447</v>
      </c>
      <c r="CS384" s="29" t="s">
        <v>1509</v>
      </c>
      <c r="CT384" s="29"/>
      <c r="CU384" s="29" t="s">
        <v>1863</v>
      </c>
      <c r="CV384" s="29" t="s">
        <v>451</v>
      </c>
      <c r="CW384" s="29"/>
      <c r="CX384" s="29" t="s">
        <v>408</v>
      </c>
      <c r="CY384" s="29"/>
      <c r="CZ384" s="29" t="s">
        <v>453</v>
      </c>
      <c r="DA384" s="29"/>
      <c r="DB384" s="29" t="s">
        <v>913</v>
      </c>
      <c r="DC384" s="29"/>
      <c r="DD384" s="29" t="s">
        <v>988</v>
      </c>
      <c r="DE384" s="29"/>
      <c r="DF384" s="29"/>
      <c r="DG384" s="29" t="s">
        <v>561</v>
      </c>
      <c r="DH384" s="29" t="s">
        <v>410</v>
      </c>
      <c r="DI384" s="29" t="s">
        <v>459</v>
      </c>
      <c r="DJ384" s="29" t="s">
        <v>460</v>
      </c>
      <c r="DK384" s="29" t="s">
        <v>6335</v>
      </c>
      <c r="DL384" s="29"/>
      <c r="DM384" s="29"/>
      <c r="DN384" s="29"/>
      <c r="DO384" s="29"/>
      <c r="DP384" s="29"/>
      <c r="DQ384" s="29"/>
      <c r="DR384" s="29"/>
      <c r="DS384" s="29"/>
      <c r="DT384" s="29"/>
      <c r="DU384" s="29"/>
      <c r="DV384" s="29"/>
      <c r="DW384" s="29"/>
      <c r="DX384" s="29"/>
      <c r="DY384" s="29"/>
      <c r="DZ384" s="29"/>
      <c r="EA384" s="29"/>
      <c r="EB384" s="29"/>
      <c r="EC384" s="29"/>
      <c r="ED384" s="29"/>
      <c r="EE384" s="29"/>
      <c r="EF384" s="29"/>
      <c r="EG384" s="29"/>
      <c r="EH384" s="29"/>
      <c r="EI384" s="29"/>
      <c r="EJ384" s="29"/>
      <c r="EK384" s="29"/>
      <c r="EL384" s="29"/>
      <c r="EM384" s="29"/>
      <c r="EN384" s="29"/>
      <c r="EO384" s="29"/>
      <c r="EP384" s="29"/>
      <c r="EQ384" s="29"/>
      <c r="ER384" s="29"/>
      <c r="ES384" s="29"/>
      <c r="ET384" s="29" t="s">
        <v>478</v>
      </c>
      <c r="EU384" s="29" t="s">
        <v>479</v>
      </c>
      <c r="EV384" s="29" t="s">
        <v>480</v>
      </c>
      <c r="EW384" s="29"/>
      <c r="EX384" s="29"/>
      <c r="EY384" s="29"/>
      <c r="EZ384" s="29" t="s">
        <v>416</v>
      </c>
      <c r="FA384" s="29" t="s">
        <v>414</v>
      </c>
      <c r="FB384" s="29" t="s">
        <v>413</v>
      </c>
      <c r="FC384" s="29" t="s">
        <v>414</v>
      </c>
      <c r="FD384" s="29" t="s">
        <v>413</v>
      </c>
      <c r="FE384" s="29" t="s">
        <v>414</v>
      </c>
      <c r="FF384" s="29" t="s">
        <v>484</v>
      </c>
      <c r="FG384" s="29" t="s">
        <v>414</v>
      </c>
      <c r="FH384" s="29" t="s">
        <v>583</v>
      </c>
      <c r="FI384" s="29" t="s">
        <v>414</v>
      </c>
      <c r="FJ384" s="29" t="s">
        <v>484</v>
      </c>
      <c r="FK384" s="29" t="s">
        <v>484</v>
      </c>
      <c r="FL384" s="29" t="s">
        <v>484</v>
      </c>
      <c r="FM384" s="29" t="s">
        <v>416</v>
      </c>
      <c r="FN384" s="29" t="s">
        <v>583</v>
      </c>
      <c r="FO384" s="29" t="s">
        <v>417</v>
      </c>
      <c r="FP384" s="29" t="s">
        <v>418</v>
      </c>
      <c r="FQ384" s="29" t="s">
        <v>712</v>
      </c>
      <c r="FR384" s="29"/>
      <c r="FS384" s="29" t="s">
        <v>995</v>
      </c>
      <c r="FT384" s="29" t="s">
        <v>488</v>
      </c>
      <c r="FU384" s="29" t="s">
        <v>489</v>
      </c>
      <c r="FV384" s="29" t="s">
        <v>490</v>
      </c>
      <c r="FW384" s="29" t="s">
        <v>491</v>
      </c>
      <c r="FX384" s="29"/>
      <c r="FY384" s="29" t="s">
        <v>535</v>
      </c>
      <c r="FZ384" s="29"/>
      <c r="GA384" s="29"/>
      <c r="GB384" s="29" t="s">
        <v>408</v>
      </c>
      <c r="GC384" s="29"/>
      <c r="GD384" s="29"/>
      <c r="GE384" s="29"/>
      <c r="GF384" s="29"/>
      <c r="GG384" s="29" t="s">
        <v>788</v>
      </c>
      <c r="GH384" s="29" t="s">
        <v>788</v>
      </c>
      <c r="GI384" s="29" t="s">
        <v>858</v>
      </c>
      <c r="GJ384" s="29"/>
      <c r="GK384" s="29"/>
      <c r="GL384" s="29"/>
      <c r="GM384" s="29"/>
      <c r="GN384" s="29"/>
      <c r="GO384" s="29"/>
      <c r="GP384" s="29" t="s">
        <v>7690</v>
      </c>
      <c r="GQ384" s="29" t="s">
        <v>5656</v>
      </c>
      <c r="GR384" s="29"/>
      <c r="GS384" s="29"/>
      <c r="GT384" s="29" t="s">
        <v>4774</v>
      </c>
      <c r="GU384" s="29"/>
      <c r="HP384" s="31"/>
      <c r="MX384" s="29" t="s">
        <v>10402</v>
      </c>
      <c r="MY384" s="29" t="str">
        <f>IFERROR(__xludf.DUMMYFUNCTION("""COMPUTED_VALUE"""),"Georgia")</f>
        <v>Georgia</v>
      </c>
    </row>
    <row r="385" ht="16.5" customHeight="1">
      <c r="A385" s="33">
        <v>45971.329971886575</v>
      </c>
      <c r="B385" s="29" t="s">
        <v>368</v>
      </c>
      <c r="C385" s="29" t="s">
        <v>370</v>
      </c>
      <c r="D385" s="29" t="s">
        <v>370</v>
      </c>
      <c r="E385" s="29" t="s">
        <v>589</v>
      </c>
      <c r="F385" s="29" t="s">
        <v>589</v>
      </c>
      <c r="G385" s="29" t="s">
        <v>422</v>
      </c>
      <c r="H385" s="29" t="s">
        <v>373</v>
      </c>
      <c r="I385" s="29" t="s">
        <v>374</v>
      </c>
      <c r="J385" s="29" t="s">
        <v>425</v>
      </c>
      <c r="K385" s="29" t="s">
        <v>376</v>
      </c>
      <c r="L385" s="29" t="s">
        <v>426</v>
      </c>
      <c r="M385" s="29" t="s">
        <v>719</v>
      </c>
      <c r="N385" s="29" t="s">
        <v>426</v>
      </c>
      <c r="O385" s="29" t="s">
        <v>497</v>
      </c>
      <c r="P385" s="29" t="s">
        <v>498</v>
      </c>
      <c r="Q385" s="29" t="s">
        <v>1342</v>
      </c>
      <c r="R385" s="29" t="s">
        <v>427</v>
      </c>
      <c r="S385" s="29" t="s">
        <v>1785</v>
      </c>
      <c r="T385" s="29" t="s">
        <v>1786</v>
      </c>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c r="BO385" s="29"/>
      <c r="BP385" s="29"/>
      <c r="BQ385" s="29"/>
      <c r="BR385" s="29"/>
      <c r="BS385" s="29"/>
      <c r="BT385" s="29"/>
      <c r="BU385" s="29"/>
      <c r="BV385" s="29"/>
      <c r="BW385" s="29"/>
      <c r="BX385" s="29"/>
      <c r="BY385" s="29"/>
      <c r="BZ385" s="29"/>
      <c r="CA385" s="29"/>
      <c r="CB385" s="29"/>
      <c r="CC385" s="29"/>
      <c r="CD385" s="29"/>
      <c r="CE385" s="29"/>
      <c r="CF385" s="29"/>
      <c r="CG385" s="29"/>
      <c r="CH385" s="29"/>
      <c r="CI385" s="29"/>
      <c r="CJ385" s="29"/>
      <c r="CK385" s="29"/>
      <c r="CL385" s="29"/>
      <c r="CM385" s="29"/>
      <c r="CN385" s="29"/>
      <c r="CO385" s="29"/>
      <c r="CP385" s="29"/>
      <c r="CQ385" s="29"/>
      <c r="CR385" s="29"/>
      <c r="CS385" s="29"/>
      <c r="CT385" s="29"/>
      <c r="CU385" s="29"/>
      <c r="CV385" s="29"/>
      <c r="CW385" s="29"/>
      <c r="CX385" s="29"/>
      <c r="CY385" s="29"/>
      <c r="CZ385" s="29"/>
      <c r="DA385" s="29"/>
      <c r="DB385" s="29"/>
      <c r="DC385" s="29"/>
      <c r="DD385" s="29"/>
      <c r="DE385" s="29"/>
      <c r="DF385" s="29"/>
      <c r="DG385" s="29"/>
      <c r="DH385" s="29"/>
      <c r="DI385" s="29"/>
      <c r="DJ385" s="29"/>
      <c r="DK385" s="29"/>
      <c r="DL385" s="29"/>
      <c r="DM385" s="29"/>
      <c r="DN385" s="29"/>
      <c r="DO385" s="29"/>
      <c r="DP385" s="29"/>
      <c r="DQ385" s="29"/>
      <c r="DR385" s="29"/>
      <c r="DS385" s="29"/>
      <c r="DT385" s="29"/>
      <c r="DU385" s="29"/>
      <c r="DV385" s="29"/>
      <c r="DW385" s="29"/>
      <c r="DX385" s="29"/>
      <c r="DY385" s="29"/>
      <c r="DZ385" s="29"/>
      <c r="EA385" s="29"/>
      <c r="EB385" s="29"/>
      <c r="EC385" s="29"/>
      <c r="ED385" s="29" t="s">
        <v>6205</v>
      </c>
      <c r="EE385" s="29" t="s">
        <v>7691</v>
      </c>
      <c r="EF385" s="29"/>
      <c r="EG385" s="29"/>
      <c r="EH385" s="29"/>
      <c r="EI385" s="29"/>
      <c r="EJ385" s="29"/>
      <c r="EK385" s="29"/>
      <c r="EL385" s="29"/>
      <c r="EM385" s="29"/>
      <c r="EN385" s="29"/>
      <c r="EO385" s="29" t="s">
        <v>7692</v>
      </c>
      <c r="EP385" s="29" t="s">
        <v>7693</v>
      </c>
      <c r="EQ385" s="29"/>
      <c r="ER385" s="29" t="s">
        <v>7694</v>
      </c>
      <c r="ES385" s="29" t="s">
        <v>7695</v>
      </c>
      <c r="ET385" s="29" t="s">
        <v>526</v>
      </c>
      <c r="EU385" s="29" t="s">
        <v>479</v>
      </c>
      <c r="EV385" s="29" t="s">
        <v>527</v>
      </c>
      <c r="EW385" s="29" t="s">
        <v>7696</v>
      </c>
      <c r="EX385" s="29" t="s">
        <v>7697</v>
      </c>
      <c r="EY385" s="29" t="s">
        <v>7698</v>
      </c>
      <c r="EZ385" s="29" t="s">
        <v>413</v>
      </c>
      <c r="FA385" s="29" t="s">
        <v>413</v>
      </c>
      <c r="FB385" s="29" t="s">
        <v>413</v>
      </c>
      <c r="FC385" s="29" t="s">
        <v>413</v>
      </c>
      <c r="FD385" s="29" t="s">
        <v>413</v>
      </c>
      <c r="FE385" s="29" t="s">
        <v>413</v>
      </c>
      <c r="FF385" s="29" t="s">
        <v>413</v>
      </c>
      <c r="FG385" s="29" t="s">
        <v>484</v>
      </c>
      <c r="FH385" s="29" t="s">
        <v>484</v>
      </c>
      <c r="FI385" s="29" t="s">
        <v>583</v>
      </c>
      <c r="FJ385" s="29" t="s">
        <v>414</v>
      </c>
      <c r="FK385" s="29" t="s">
        <v>413</v>
      </c>
      <c r="FL385" s="29" t="s">
        <v>413</v>
      </c>
      <c r="FM385" s="29" t="s">
        <v>484</v>
      </c>
      <c r="FN385" s="29" t="s">
        <v>416</v>
      </c>
      <c r="FO385" s="29" t="s">
        <v>417</v>
      </c>
      <c r="FP385" s="29" t="s">
        <v>486</v>
      </c>
      <c r="FQ385" s="29" t="s">
        <v>419</v>
      </c>
      <c r="FR385" s="29" t="s">
        <v>7699</v>
      </c>
      <c r="FS385" s="29" t="s">
        <v>1189</v>
      </c>
      <c r="FT385" s="29" t="s">
        <v>1476</v>
      </c>
      <c r="FU385" s="29" t="s">
        <v>533</v>
      </c>
      <c r="FV385" s="29" t="s">
        <v>490</v>
      </c>
      <c r="FW385" s="29" t="s">
        <v>491</v>
      </c>
      <c r="FX385" s="29" t="s">
        <v>7700</v>
      </c>
      <c r="FY385" s="29" t="s">
        <v>535</v>
      </c>
      <c r="FZ385" s="29" t="s">
        <v>7701</v>
      </c>
      <c r="GA385" s="29" t="s">
        <v>7702</v>
      </c>
      <c r="GB385" s="29" t="s">
        <v>408</v>
      </c>
      <c r="GC385" s="29"/>
      <c r="GD385" s="29"/>
      <c r="GE385" s="29"/>
      <c r="GF385" s="29"/>
      <c r="GG385" s="29"/>
      <c r="GH385" s="29"/>
      <c r="GI385" s="29"/>
      <c r="GJ385" s="29"/>
      <c r="GK385" s="29"/>
      <c r="GL385" s="29"/>
      <c r="GM385" s="29"/>
      <c r="GN385" s="29"/>
      <c r="GO385" s="29"/>
      <c r="GP385" s="29"/>
      <c r="GQ385" s="29" t="s">
        <v>4653</v>
      </c>
      <c r="GR385" s="29"/>
      <c r="GS385" s="29"/>
      <c r="GT385" s="29"/>
      <c r="GU385" s="29"/>
      <c r="HP385" s="31"/>
      <c r="MX385" s="29" t="s">
        <v>10402</v>
      </c>
      <c r="MY385" s="29" t="str">
        <f>IFERROR(__xludf.DUMMYFUNCTION("""COMPUTED_VALUE"""),"Indiana")</f>
        <v>Indiana</v>
      </c>
    </row>
    <row r="386" ht="16.5" customHeight="1">
      <c r="A386" s="33">
        <v>45971.65164621528</v>
      </c>
      <c r="B386" s="29" t="s">
        <v>368</v>
      </c>
      <c r="C386" s="29" t="s">
        <v>370</v>
      </c>
      <c r="D386" s="29" t="s">
        <v>370</v>
      </c>
      <c r="E386" s="29" t="s">
        <v>757</v>
      </c>
      <c r="F386" s="29" t="s">
        <v>1562</v>
      </c>
      <c r="G386" s="29" t="s">
        <v>422</v>
      </c>
      <c r="H386" s="29" t="s">
        <v>373</v>
      </c>
      <c r="I386" s="29" t="s">
        <v>638</v>
      </c>
      <c r="J386" s="29" t="s">
        <v>425</v>
      </c>
      <c r="K386" s="29" t="s">
        <v>376</v>
      </c>
      <c r="L386" s="29" t="s">
        <v>591</v>
      </c>
      <c r="M386" s="29" t="s">
        <v>7711</v>
      </c>
      <c r="N386" s="29" t="s">
        <v>591</v>
      </c>
      <c r="O386" s="29" t="s">
        <v>7712</v>
      </c>
      <c r="P386" s="29" t="s">
        <v>592</v>
      </c>
      <c r="Q386" s="29" t="s">
        <v>1342</v>
      </c>
      <c r="R386" s="29" t="s">
        <v>427</v>
      </c>
      <c r="S386" s="29" t="s">
        <v>384</v>
      </c>
      <c r="T386" s="29" t="s">
        <v>385</v>
      </c>
      <c r="U386" s="29"/>
      <c r="V386" s="29"/>
      <c r="W386" s="29" t="s">
        <v>593</v>
      </c>
      <c r="X386" s="29" t="s">
        <v>387</v>
      </c>
      <c r="Y386" s="29" t="s">
        <v>594</v>
      </c>
      <c r="Z386" s="29" t="s">
        <v>672</v>
      </c>
      <c r="AA386" s="29" t="s">
        <v>7713</v>
      </c>
      <c r="AB386" s="29" t="s">
        <v>7714</v>
      </c>
      <c r="AC386" s="29"/>
      <c r="AD386" s="29"/>
      <c r="AE386" s="29"/>
      <c r="AF386" s="29"/>
      <c r="AG386" s="29"/>
      <c r="AH386" s="29"/>
      <c r="AI386" s="29"/>
      <c r="AJ386" s="29"/>
      <c r="AK386" s="29"/>
      <c r="AL386" s="29"/>
      <c r="AM386" s="29"/>
      <c r="AN386" s="29"/>
      <c r="AO386" s="29"/>
      <c r="AP386" s="29"/>
      <c r="AQ386" s="29"/>
      <c r="AR386" s="29"/>
      <c r="AS386" s="29"/>
      <c r="AT386" s="29"/>
      <c r="AU386" s="29"/>
      <c r="AV386" s="29" t="s">
        <v>1310</v>
      </c>
      <c r="AW386" s="29" t="s">
        <v>391</v>
      </c>
      <c r="AX386" s="29" t="s">
        <v>391</v>
      </c>
      <c r="AY386" s="29">
        <v>4.0</v>
      </c>
      <c r="AZ386" s="29">
        <v>2.0</v>
      </c>
      <c r="BA386" s="29">
        <v>2.0</v>
      </c>
      <c r="BB386" s="29" t="s">
        <v>391</v>
      </c>
      <c r="BC386" s="29" t="s">
        <v>7715</v>
      </c>
      <c r="BD386" s="29" t="s">
        <v>7716</v>
      </c>
      <c r="BE386" s="29" t="s">
        <v>432</v>
      </c>
      <c r="BF386" s="29" t="s">
        <v>1047</v>
      </c>
      <c r="BG386" s="29" t="s">
        <v>725</v>
      </c>
      <c r="BH386" s="29" t="s">
        <v>5169</v>
      </c>
      <c r="BI386" s="29" t="s">
        <v>976</v>
      </c>
      <c r="BJ386" s="29" t="s">
        <v>1211</v>
      </c>
      <c r="BK386" s="29" t="s">
        <v>437</v>
      </c>
      <c r="BL386" s="29" t="s">
        <v>904</v>
      </c>
      <c r="BM386" s="29" t="s">
        <v>1247</v>
      </c>
      <c r="BN386" s="29" t="s">
        <v>513</v>
      </c>
      <c r="BO386" s="29"/>
      <c r="BP386" s="29"/>
      <c r="BQ386" s="29"/>
      <c r="BR386" s="29"/>
      <c r="BS386" s="29"/>
      <c r="BT386" s="29"/>
      <c r="BU386" s="29"/>
      <c r="BV386" s="29"/>
      <c r="BW386" s="29"/>
      <c r="BX386" s="29"/>
      <c r="BY386" s="29"/>
      <c r="BZ386" s="29"/>
      <c r="CA386" s="29"/>
      <c r="CB386" s="29"/>
      <c r="CC386" s="29"/>
      <c r="CD386" s="29"/>
      <c r="CE386" s="29"/>
      <c r="CF386" s="29"/>
      <c r="CG386" s="29"/>
      <c r="CH386" s="29"/>
      <c r="CI386" s="29"/>
      <c r="CJ386" s="29"/>
      <c r="CK386" s="29"/>
      <c r="CL386" s="29" t="s">
        <v>441</v>
      </c>
      <c r="CM386" s="29" t="s">
        <v>551</v>
      </c>
      <c r="CN386" s="29" t="s">
        <v>7717</v>
      </c>
      <c r="CO386" s="29" t="s">
        <v>408</v>
      </c>
      <c r="CP386" s="29" t="s">
        <v>445</v>
      </c>
      <c r="CQ386" s="29" t="s">
        <v>1467</v>
      </c>
      <c r="CR386" s="29" t="s">
        <v>828</v>
      </c>
      <c r="CS386" s="29" t="s">
        <v>1626</v>
      </c>
      <c r="CT386" s="29" t="s">
        <v>7718</v>
      </c>
      <c r="CU386" s="29" t="s">
        <v>1863</v>
      </c>
      <c r="CV386" s="29" t="s">
        <v>1931</v>
      </c>
      <c r="CW386" s="29" t="s">
        <v>1211</v>
      </c>
      <c r="CX386" s="29" t="s">
        <v>408</v>
      </c>
      <c r="CY386" s="29" t="s">
        <v>1211</v>
      </c>
      <c r="CZ386" s="29" t="s">
        <v>1962</v>
      </c>
      <c r="DA386" s="29" t="s">
        <v>1211</v>
      </c>
      <c r="DB386" s="29" t="s">
        <v>408</v>
      </c>
      <c r="DC386" s="29" t="s">
        <v>1211</v>
      </c>
      <c r="DD386" s="29" t="s">
        <v>406</v>
      </c>
      <c r="DE386" s="29" t="s">
        <v>1867</v>
      </c>
      <c r="DF386" s="29" t="s">
        <v>7719</v>
      </c>
      <c r="DG386" s="29" t="s">
        <v>990</v>
      </c>
      <c r="DH386" s="29" t="s">
        <v>1220</v>
      </c>
      <c r="DI386" s="29" t="s">
        <v>777</v>
      </c>
      <c r="DJ386" s="29" t="s">
        <v>613</v>
      </c>
      <c r="DK386" s="29"/>
      <c r="DL386" s="29"/>
      <c r="DM386" s="29"/>
      <c r="DN386" s="29"/>
      <c r="DO386" s="29"/>
      <c r="DP386" s="29"/>
      <c r="DQ386" s="29"/>
      <c r="DR386" s="29"/>
      <c r="DS386" s="29"/>
      <c r="DT386" s="29"/>
      <c r="DU386" s="29"/>
      <c r="DV386" s="29"/>
      <c r="DW386" s="29"/>
      <c r="DX386" s="29"/>
      <c r="DY386" s="29"/>
      <c r="DZ386" s="29"/>
      <c r="EA386" s="29"/>
      <c r="EB386" s="29"/>
      <c r="EC386" s="29"/>
      <c r="ED386" s="29"/>
      <c r="EE386" s="29"/>
      <c r="EF386" s="29"/>
      <c r="EG386" s="29"/>
      <c r="EH386" s="29"/>
      <c r="EI386" s="29"/>
      <c r="EJ386" s="29"/>
      <c r="EK386" s="29"/>
      <c r="EL386" s="29"/>
      <c r="EM386" s="29"/>
      <c r="EN386" s="29"/>
      <c r="EO386" s="29"/>
      <c r="EP386" s="29"/>
      <c r="EQ386" s="29"/>
      <c r="ER386" s="29"/>
      <c r="ES386" s="29"/>
      <c r="ET386" s="29" t="s">
        <v>2747</v>
      </c>
      <c r="EU386" s="29" t="s">
        <v>1037</v>
      </c>
      <c r="EV386" s="29" t="s">
        <v>580</v>
      </c>
      <c r="EW386" s="29"/>
      <c r="EX386" s="29" t="s">
        <v>7720</v>
      </c>
      <c r="EY386" s="29" t="s">
        <v>7721</v>
      </c>
      <c r="EZ386" s="29" t="s">
        <v>414</v>
      </c>
      <c r="FA386" s="29" t="s">
        <v>583</v>
      </c>
      <c r="FB386" s="29" t="s">
        <v>416</v>
      </c>
      <c r="FC386" s="29" t="s">
        <v>414</v>
      </c>
      <c r="FD386" s="29" t="s">
        <v>413</v>
      </c>
      <c r="FE386" s="29" t="s">
        <v>583</v>
      </c>
      <c r="FF386" s="29" t="s">
        <v>416</v>
      </c>
      <c r="FG386" s="29" t="s">
        <v>416</v>
      </c>
      <c r="FH386" s="29" t="s">
        <v>583</v>
      </c>
      <c r="FI386" s="29" t="s">
        <v>414</v>
      </c>
      <c r="FJ386" s="29" t="s">
        <v>416</v>
      </c>
      <c r="FK386" s="29" t="s">
        <v>415</v>
      </c>
      <c r="FL386" s="29" t="s">
        <v>583</v>
      </c>
      <c r="FM386" s="29" t="s">
        <v>413</v>
      </c>
      <c r="FN386" s="29" t="s">
        <v>583</v>
      </c>
      <c r="FO386" s="29" t="s">
        <v>1074</v>
      </c>
      <c r="FP386" s="29" t="s">
        <v>418</v>
      </c>
      <c r="FQ386" s="29" t="s">
        <v>712</v>
      </c>
      <c r="FR386" s="29" t="s">
        <v>1211</v>
      </c>
      <c r="FS386" s="29" t="s">
        <v>1871</v>
      </c>
      <c r="FT386" s="29" t="s">
        <v>1462</v>
      </c>
      <c r="FU386" s="29" t="s">
        <v>918</v>
      </c>
      <c r="FV386" s="29" t="s">
        <v>2387</v>
      </c>
      <c r="FW386" s="29" t="s">
        <v>1853</v>
      </c>
      <c r="FX386" s="29" t="s">
        <v>7722</v>
      </c>
      <c r="FY386" s="29" t="s">
        <v>1020</v>
      </c>
      <c r="FZ386" s="29" t="s">
        <v>7723</v>
      </c>
      <c r="GA386" s="29"/>
      <c r="GB386" s="29" t="s">
        <v>408</v>
      </c>
      <c r="GC386" s="29"/>
      <c r="GD386" s="29"/>
      <c r="GE386" s="29"/>
      <c r="GF386" s="29"/>
      <c r="GG386" s="29" t="s">
        <v>789</v>
      </c>
      <c r="GH386" s="29" t="s">
        <v>789</v>
      </c>
      <c r="GI386" s="29" t="s">
        <v>921</v>
      </c>
      <c r="GJ386" s="29"/>
      <c r="GK386" s="29"/>
      <c r="GL386" s="29"/>
      <c r="GM386" s="29"/>
      <c r="GN386" s="29"/>
      <c r="GO386" s="29"/>
      <c r="GP386" s="29"/>
      <c r="GQ386" s="29" t="s">
        <v>3306</v>
      </c>
      <c r="GR386" s="29"/>
      <c r="GS386" s="29"/>
      <c r="GT386" s="29" t="s">
        <v>4774</v>
      </c>
      <c r="GU386" s="29" t="s">
        <v>1211</v>
      </c>
      <c r="HP386" s="31"/>
      <c r="MX386" s="29" t="s">
        <v>10402</v>
      </c>
      <c r="MY386" s="29" t="str">
        <f>IFERROR(__xludf.DUMMYFUNCTION("""COMPUTED_VALUE"""),"Ohio")</f>
        <v>Ohio</v>
      </c>
    </row>
    <row r="387" ht="16.5" customHeight="1">
      <c r="A387" s="33">
        <v>45971.66754105324</v>
      </c>
      <c r="B387" s="29" t="s">
        <v>368</v>
      </c>
      <c r="C387" s="29" t="s">
        <v>370</v>
      </c>
      <c r="D387" s="29" t="s">
        <v>370</v>
      </c>
      <c r="E387" s="29" t="s">
        <v>495</v>
      </c>
      <c r="F387" s="29" t="s">
        <v>495</v>
      </c>
      <c r="G387" s="29" t="s">
        <v>422</v>
      </c>
      <c r="H387" s="29" t="s">
        <v>496</v>
      </c>
      <c r="I387" s="29" t="s">
        <v>2578</v>
      </c>
      <c r="J387" s="29" t="s">
        <v>590</v>
      </c>
      <c r="K387" s="29" t="s">
        <v>376</v>
      </c>
      <c r="L387" s="29" t="s">
        <v>591</v>
      </c>
      <c r="M387" s="29" t="s">
        <v>541</v>
      </c>
      <c r="N387" s="29" t="s">
        <v>793</v>
      </c>
      <c r="O387" s="29" t="s">
        <v>719</v>
      </c>
      <c r="P387" s="29" t="s">
        <v>592</v>
      </c>
      <c r="Q387" s="29" t="s">
        <v>862</v>
      </c>
      <c r="R387" s="29" t="s">
        <v>427</v>
      </c>
      <c r="S387" s="29" t="s">
        <v>384</v>
      </c>
      <c r="T387" s="29" t="s">
        <v>385</v>
      </c>
      <c r="U387" s="29"/>
      <c r="V387" s="29"/>
      <c r="W387" s="29" t="s">
        <v>3014</v>
      </c>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t="s">
        <v>1242</v>
      </c>
      <c r="AW387" s="29" t="s">
        <v>675</v>
      </c>
      <c r="AX387" s="29" t="s">
        <v>675</v>
      </c>
      <c r="AY387" s="29" t="s">
        <v>675</v>
      </c>
      <c r="AZ387" s="29" t="s">
        <v>675</v>
      </c>
      <c r="BA387" s="29" t="s">
        <v>675</v>
      </c>
      <c r="BB387" s="29" t="s">
        <v>675</v>
      </c>
      <c r="BC387" s="29" t="s">
        <v>7724</v>
      </c>
      <c r="BD387" s="29" t="s">
        <v>7725</v>
      </c>
      <c r="BE387" s="29" t="s">
        <v>902</v>
      </c>
      <c r="BF387" s="29" t="s">
        <v>1095</v>
      </c>
      <c r="BG387" s="29" t="s">
        <v>394</v>
      </c>
      <c r="BH387" s="29" t="s">
        <v>7726</v>
      </c>
      <c r="BI387" s="29" t="s">
        <v>976</v>
      </c>
      <c r="BJ387" s="29" t="s">
        <v>1211</v>
      </c>
      <c r="BK387" s="29" t="s">
        <v>602</v>
      </c>
      <c r="BL387" s="29" t="s">
        <v>904</v>
      </c>
      <c r="BM387" s="29" t="s">
        <v>1314</v>
      </c>
      <c r="BN387" s="29" t="s">
        <v>398</v>
      </c>
      <c r="BO387" s="29" t="s">
        <v>7727</v>
      </c>
      <c r="BP387" s="29" t="s">
        <v>796</v>
      </c>
      <c r="BQ387" s="29" t="s">
        <v>604</v>
      </c>
      <c r="BR387" s="29" t="s">
        <v>2662</v>
      </c>
      <c r="BS387" s="29" t="s">
        <v>1741</v>
      </c>
      <c r="BT387" s="29" t="s">
        <v>4368</v>
      </c>
      <c r="BU387" s="29" t="s">
        <v>405</v>
      </c>
      <c r="BV387" s="29" t="s">
        <v>1211</v>
      </c>
      <c r="BW387" s="29" t="s">
        <v>406</v>
      </c>
      <c r="BX387" s="29" t="s">
        <v>2503</v>
      </c>
      <c r="BY387" s="29" t="s">
        <v>408</v>
      </c>
      <c r="BZ387" s="29" t="s">
        <v>1211</v>
      </c>
      <c r="CA387" s="29" t="s">
        <v>7728</v>
      </c>
      <c r="CB387" s="29" t="s">
        <v>7729</v>
      </c>
      <c r="CC387" s="29" t="s">
        <v>7730</v>
      </c>
      <c r="CD387" s="29" t="s">
        <v>1257</v>
      </c>
      <c r="CE387" s="29" t="s">
        <v>1211</v>
      </c>
      <c r="CF387" s="29" t="s">
        <v>1258</v>
      </c>
      <c r="CG387" s="29" t="s">
        <v>1211</v>
      </c>
      <c r="CH387" s="29" t="s">
        <v>1259</v>
      </c>
      <c r="CI387" s="29" t="s">
        <v>410</v>
      </c>
      <c r="CJ387" s="29" t="s">
        <v>7731</v>
      </c>
      <c r="CK387" s="29" t="s">
        <v>7732</v>
      </c>
      <c r="CL387" s="29"/>
      <c r="CM387" s="29"/>
      <c r="CN387" s="29"/>
      <c r="CO387" s="29"/>
      <c r="CP387" s="29"/>
      <c r="CQ387" s="29"/>
      <c r="CR387" s="29"/>
      <c r="CS387" s="29"/>
      <c r="CT387" s="29"/>
      <c r="CU387" s="29"/>
      <c r="CV387" s="29"/>
      <c r="CW387" s="29"/>
      <c r="CX387" s="29"/>
      <c r="CY387" s="29"/>
      <c r="CZ387" s="29"/>
      <c r="DA387" s="29"/>
      <c r="DB387" s="29"/>
      <c r="DC387" s="29"/>
      <c r="DD387" s="29"/>
      <c r="DE387" s="29"/>
      <c r="DF387" s="29"/>
      <c r="DG387" s="29"/>
      <c r="DH387" s="29"/>
      <c r="DI387" s="29" t="s">
        <v>459</v>
      </c>
      <c r="DJ387" s="29" t="s">
        <v>460</v>
      </c>
      <c r="DK387" s="29" t="s">
        <v>6319</v>
      </c>
      <c r="DL387" s="29"/>
      <c r="DM387" s="29"/>
      <c r="DN387" s="29"/>
      <c r="DO387" s="29"/>
      <c r="DP387" s="29"/>
      <c r="DQ387" s="29"/>
      <c r="DR387" s="29"/>
      <c r="DS387" s="29"/>
      <c r="DT387" s="29"/>
      <c r="DU387" s="29"/>
      <c r="DV387" s="29"/>
      <c r="DW387" s="29"/>
      <c r="DX387" s="29"/>
      <c r="DY387" s="29"/>
      <c r="DZ387" s="29"/>
      <c r="EA387" s="29"/>
      <c r="EB387" s="29"/>
      <c r="EC387" s="29"/>
      <c r="ED387" s="29"/>
      <c r="EE387" s="29"/>
      <c r="EF387" s="29"/>
      <c r="EG387" s="29"/>
      <c r="EH387" s="29"/>
      <c r="EI387" s="29"/>
      <c r="EJ387" s="29"/>
      <c r="EK387" s="29"/>
      <c r="EL387" s="29"/>
      <c r="EM387" s="29"/>
      <c r="EN387" s="29"/>
      <c r="EO387" s="29"/>
      <c r="EP387" s="29"/>
      <c r="EQ387" s="29"/>
      <c r="ER387" s="29"/>
      <c r="ES387" s="29"/>
      <c r="ET387" s="29" t="s">
        <v>478</v>
      </c>
      <c r="EU387" s="29" t="s">
        <v>479</v>
      </c>
      <c r="EV387" s="29" t="s">
        <v>580</v>
      </c>
      <c r="EW387" s="29" t="s">
        <v>7733</v>
      </c>
      <c r="EX387" s="29" t="s">
        <v>7734</v>
      </c>
      <c r="EY387" s="29" t="s">
        <v>7735</v>
      </c>
      <c r="EZ387" s="29" t="s">
        <v>414</v>
      </c>
      <c r="FA387" s="29" t="s">
        <v>414</v>
      </c>
      <c r="FB387" s="29" t="s">
        <v>416</v>
      </c>
      <c r="FC387" s="29" t="s">
        <v>414</v>
      </c>
      <c r="FD387" s="29" t="s">
        <v>416</v>
      </c>
      <c r="FE387" s="29" t="s">
        <v>414</v>
      </c>
      <c r="FF387" s="29" t="s">
        <v>415</v>
      </c>
      <c r="FG387" s="29" t="s">
        <v>416</v>
      </c>
      <c r="FH387" s="29" t="s">
        <v>414</v>
      </c>
      <c r="FI387" s="29" t="s">
        <v>414</v>
      </c>
      <c r="FJ387" s="29" t="s">
        <v>414</v>
      </c>
      <c r="FK387" s="29" t="s">
        <v>416</v>
      </c>
      <c r="FL387" s="29" t="s">
        <v>416</v>
      </c>
      <c r="FM387" s="29" t="s">
        <v>416</v>
      </c>
      <c r="FN387" s="29" t="s">
        <v>414</v>
      </c>
      <c r="FO387" s="29" t="s">
        <v>417</v>
      </c>
      <c r="FP387" s="29" t="s">
        <v>418</v>
      </c>
      <c r="FQ387" s="29" t="s">
        <v>749</v>
      </c>
      <c r="FR387" s="29" t="s">
        <v>7736</v>
      </c>
      <c r="FS387" s="29" t="s">
        <v>420</v>
      </c>
      <c r="FT387" s="29" t="s">
        <v>2750</v>
      </c>
      <c r="FU387" s="29" t="s">
        <v>918</v>
      </c>
      <c r="FV387" s="29" t="s">
        <v>490</v>
      </c>
      <c r="FW387" s="29" t="s">
        <v>491</v>
      </c>
      <c r="FX387" s="29" t="s">
        <v>7737</v>
      </c>
      <c r="FY387" s="29" t="s">
        <v>535</v>
      </c>
      <c r="FZ387" s="29"/>
      <c r="GA387" s="29"/>
      <c r="GB387" s="29" t="s">
        <v>455</v>
      </c>
      <c r="GC387" s="29"/>
      <c r="GD387" s="29"/>
      <c r="GE387" s="29" t="s">
        <v>753</v>
      </c>
      <c r="GF387" s="29" t="s">
        <v>7738</v>
      </c>
      <c r="GG387" s="29"/>
      <c r="GH387" s="29"/>
      <c r="GI387" s="29"/>
      <c r="GJ387" s="29" t="s">
        <v>755</v>
      </c>
      <c r="GK387" s="29" t="s">
        <v>755</v>
      </c>
      <c r="GL387" s="29" t="s">
        <v>946</v>
      </c>
      <c r="GM387" s="29"/>
      <c r="GN387" s="29"/>
      <c r="GO387" s="29"/>
      <c r="GP387" s="29"/>
      <c r="GQ387" s="29" t="s">
        <v>3208</v>
      </c>
      <c r="GR387" s="29" t="s">
        <v>4741</v>
      </c>
      <c r="GS387" s="29" t="s">
        <v>7739</v>
      </c>
      <c r="GT387" s="29"/>
      <c r="GU387" s="29"/>
      <c r="HP387" s="31"/>
      <c r="MX387" s="29" t="s">
        <v>10402</v>
      </c>
      <c r="MY387" s="29" t="str">
        <f>IFERROR(__xludf.DUMMYFUNCTION("""COMPUTED_VALUE"""),"South Carolina")</f>
        <v>South Carolina</v>
      </c>
    </row>
    <row r="388" ht="16.5" customHeight="1">
      <c r="A388" s="33">
        <v>45972.193447893515</v>
      </c>
      <c r="B388" s="29"/>
      <c r="C388" s="29" t="s">
        <v>370</v>
      </c>
      <c r="D388" s="29" t="s">
        <v>370</v>
      </c>
      <c r="E388" s="29" t="s">
        <v>6634</v>
      </c>
      <c r="F388" s="29" t="s">
        <v>371</v>
      </c>
      <c r="G388" s="29" t="s">
        <v>422</v>
      </c>
      <c r="H388" s="29" t="s">
        <v>373</v>
      </c>
      <c r="I388" s="29" t="s">
        <v>638</v>
      </c>
      <c r="J388" s="29" t="s">
        <v>375</v>
      </c>
      <c r="K388" s="29" t="s">
        <v>376</v>
      </c>
      <c r="L388" s="29" t="s">
        <v>426</v>
      </c>
      <c r="M388" s="29" t="s">
        <v>2464</v>
      </c>
      <c r="N388" s="29" t="s">
        <v>591</v>
      </c>
      <c r="O388" s="29" t="s">
        <v>719</v>
      </c>
      <c r="P388" s="29" t="s">
        <v>498</v>
      </c>
      <c r="Q388" s="29" t="s">
        <v>499</v>
      </c>
      <c r="R388" s="29" t="s">
        <v>949</v>
      </c>
      <c r="S388" s="29" t="s">
        <v>384</v>
      </c>
      <c r="T388" s="29" t="s">
        <v>385</v>
      </c>
      <c r="U388" s="29"/>
      <c r="V388" s="29"/>
      <c r="W388" s="29" t="s">
        <v>3014</v>
      </c>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t="s">
        <v>1242</v>
      </c>
      <c r="AW388" s="29" t="s">
        <v>675</v>
      </c>
      <c r="AX388" s="29" t="s">
        <v>675</v>
      </c>
      <c r="AY388" s="29">
        <v>2.0</v>
      </c>
      <c r="AZ388" s="29">
        <v>4.0</v>
      </c>
      <c r="BA388" s="29" t="s">
        <v>675</v>
      </c>
      <c r="BB388" s="29" t="s">
        <v>675</v>
      </c>
      <c r="BC388" s="29"/>
      <c r="BD388" s="29" t="s">
        <v>7742</v>
      </c>
      <c r="BE388" s="29" t="s">
        <v>2379</v>
      </c>
      <c r="BF388" s="29" t="s">
        <v>1095</v>
      </c>
      <c r="BG388" s="29" t="s">
        <v>434</v>
      </c>
      <c r="BH388" s="29"/>
      <c r="BI388" s="29" t="s">
        <v>976</v>
      </c>
      <c r="BJ388" s="29"/>
      <c r="BK388" s="29" t="s">
        <v>681</v>
      </c>
      <c r="BL388" s="29" t="s">
        <v>904</v>
      </c>
      <c r="BM388" s="29" t="s">
        <v>1314</v>
      </c>
      <c r="BN388" s="29" t="s">
        <v>398</v>
      </c>
      <c r="BO388" s="29" t="s">
        <v>7743</v>
      </c>
      <c r="BP388" s="29" t="s">
        <v>7744</v>
      </c>
      <c r="BQ388" s="29" t="s">
        <v>401</v>
      </c>
      <c r="BR388" s="29" t="s">
        <v>3763</v>
      </c>
      <c r="BS388" s="29" t="s">
        <v>1741</v>
      </c>
      <c r="BT388" s="29" t="s">
        <v>1771</v>
      </c>
      <c r="BU388" s="29" t="s">
        <v>405</v>
      </c>
      <c r="BV388" s="29"/>
      <c r="BW388" s="29" t="s">
        <v>406</v>
      </c>
      <c r="BX388" s="29" t="s">
        <v>2503</v>
      </c>
      <c r="BY388" s="29" t="s">
        <v>408</v>
      </c>
      <c r="BZ388" s="29"/>
      <c r="CA388" s="29"/>
      <c r="CB388" s="29" t="s">
        <v>7745</v>
      </c>
      <c r="CC388" s="29" t="s">
        <v>2586</v>
      </c>
      <c r="CD388" s="29" t="s">
        <v>1257</v>
      </c>
      <c r="CE388" s="29"/>
      <c r="CF388" s="29" t="s">
        <v>1258</v>
      </c>
      <c r="CG388" s="29"/>
      <c r="CH388" s="29" t="s">
        <v>1751</v>
      </c>
      <c r="CI388" s="29" t="s">
        <v>1964</v>
      </c>
      <c r="CJ388" s="29" t="s">
        <v>7746</v>
      </c>
      <c r="CK388" s="29" t="s">
        <v>7747</v>
      </c>
      <c r="CL388" s="29"/>
      <c r="CM388" s="29"/>
      <c r="CN388" s="29"/>
      <c r="CO388" s="29"/>
      <c r="CP388" s="29"/>
      <c r="CQ388" s="29"/>
      <c r="CR388" s="29"/>
      <c r="CS388" s="29"/>
      <c r="CT388" s="29"/>
      <c r="CU388" s="29"/>
      <c r="CV388" s="29"/>
      <c r="CW388" s="29"/>
      <c r="CX388" s="29"/>
      <c r="CY388" s="29"/>
      <c r="CZ388" s="29"/>
      <c r="DA388" s="29"/>
      <c r="DB388" s="29"/>
      <c r="DC388" s="29"/>
      <c r="DD388" s="29"/>
      <c r="DE388" s="29"/>
      <c r="DF388" s="29"/>
      <c r="DG388" s="29"/>
      <c r="DH388" s="29"/>
      <c r="DI388" s="29" t="s">
        <v>963</v>
      </c>
      <c r="DJ388" s="29" t="s">
        <v>460</v>
      </c>
      <c r="DK388" s="29" t="s">
        <v>6319</v>
      </c>
      <c r="DL388" s="29"/>
      <c r="DM388" s="29"/>
      <c r="DN388" s="29"/>
      <c r="DO388" s="29"/>
      <c r="DP388" s="29"/>
      <c r="DQ388" s="29"/>
      <c r="DR388" s="29"/>
      <c r="DS388" s="29"/>
      <c r="DT388" s="29"/>
      <c r="DU388" s="29"/>
      <c r="DV388" s="29"/>
      <c r="DW388" s="29"/>
      <c r="DX388" s="29"/>
      <c r="DY388" s="29"/>
      <c r="DZ388" s="29"/>
      <c r="EA388" s="29"/>
      <c r="EB388" s="29"/>
      <c r="EC388" s="29"/>
      <c r="ED388" s="29"/>
      <c r="EE388" s="29"/>
      <c r="EF388" s="29"/>
      <c r="EG388" s="29"/>
      <c r="EH388" s="29"/>
      <c r="EI388" s="29"/>
      <c r="EJ388" s="29"/>
      <c r="EK388" s="29"/>
      <c r="EL388" s="29"/>
      <c r="EM388" s="29"/>
      <c r="EN388" s="29"/>
      <c r="EO388" s="29"/>
      <c r="EP388" s="29"/>
      <c r="EQ388" s="29"/>
      <c r="ER388" s="29"/>
      <c r="ES388" s="29"/>
      <c r="ET388" s="29" t="s">
        <v>478</v>
      </c>
      <c r="EU388" s="29" t="s">
        <v>1127</v>
      </c>
      <c r="EV388" s="29" t="s">
        <v>580</v>
      </c>
      <c r="EW388" s="29"/>
      <c r="EX388" s="29" t="s">
        <v>7748</v>
      </c>
      <c r="EY388" s="29" t="s">
        <v>7749</v>
      </c>
      <c r="EZ388" s="29" t="s">
        <v>415</v>
      </c>
      <c r="FA388" s="29" t="s">
        <v>415</v>
      </c>
      <c r="FB388" s="29" t="s">
        <v>413</v>
      </c>
      <c r="FC388" s="29" t="s">
        <v>413</v>
      </c>
      <c r="FD388" s="29" t="s">
        <v>413</v>
      </c>
      <c r="FE388" s="29" t="s">
        <v>415</v>
      </c>
      <c r="FF388" s="29" t="s">
        <v>415</v>
      </c>
      <c r="FG388" s="29" t="s">
        <v>413</v>
      </c>
      <c r="FH388" s="29" t="s">
        <v>413</v>
      </c>
      <c r="FI388" s="29" t="s">
        <v>413</v>
      </c>
      <c r="FJ388" s="29" t="s">
        <v>413</v>
      </c>
      <c r="FK388" s="29" t="s">
        <v>413</v>
      </c>
      <c r="FL388" s="29" t="s">
        <v>413</v>
      </c>
      <c r="FM388" s="29" t="s">
        <v>415</v>
      </c>
      <c r="FN388" s="29" t="s">
        <v>415</v>
      </c>
      <c r="FO388" s="29" t="s">
        <v>485</v>
      </c>
      <c r="FP388" s="29" t="s">
        <v>418</v>
      </c>
      <c r="FQ388" s="29" t="s">
        <v>749</v>
      </c>
      <c r="FR388" s="29" t="s">
        <v>7750</v>
      </c>
      <c r="FS388" s="29" t="s">
        <v>420</v>
      </c>
      <c r="FT388" s="29" t="s">
        <v>488</v>
      </c>
      <c r="FU388" s="29" t="s">
        <v>918</v>
      </c>
      <c r="FV388" s="29" t="s">
        <v>1101</v>
      </c>
      <c r="FW388" s="29" t="s">
        <v>491</v>
      </c>
      <c r="FX388" s="29" t="s">
        <v>7751</v>
      </c>
      <c r="FY388" s="29" t="s">
        <v>535</v>
      </c>
      <c r="FZ388" s="29" t="s">
        <v>7752</v>
      </c>
      <c r="GA388" s="29"/>
      <c r="GB388" s="29" t="s">
        <v>408</v>
      </c>
      <c r="GC388" s="29"/>
      <c r="GD388" s="29"/>
      <c r="GE388" s="29"/>
      <c r="GF388" s="29"/>
      <c r="GG388" s="29"/>
      <c r="GH388" s="29"/>
      <c r="GI388" s="29"/>
      <c r="GJ388" s="29" t="s">
        <v>857</v>
      </c>
      <c r="GK388" s="29" t="s">
        <v>789</v>
      </c>
      <c r="GL388" s="29" t="s">
        <v>921</v>
      </c>
      <c r="GM388" s="29"/>
      <c r="GN388" s="29"/>
      <c r="GO388" s="29"/>
      <c r="GP388" s="29"/>
      <c r="GQ388" s="29" t="s">
        <v>7753</v>
      </c>
      <c r="GR388" s="29" t="s">
        <v>4774</v>
      </c>
      <c r="GS388" s="29"/>
      <c r="GT388" s="29"/>
      <c r="GU388" s="29"/>
      <c r="HP388" s="31"/>
      <c r="MX388" s="29" t="s">
        <v>10402</v>
      </c>
      <c r="MY388" s="29" t="str">
        <f>IFERROR(__xludf.DUMMYFUNCTION("""COMPUTED_VALUE"""),"Tennessee")</f>
        <v>Tennessee</v>
      </c>
    </row>
    <row r="389" ht="16.5" customHeight="1">
      <c r="A389" s="33">
        <v>45972.51577721065</v>
      </c>
      <c r="B389" s="29" t="s">
        <v>368</v>
      </c>
      <c r="C389" s="29" t="s">
        <v>370</v>
      </c>
      <c r="D389" s="29" t="s">
        <v>370</v>
      </c>
      <c r="E389" s="29" t="s">
        <v>1562</v>
      </c>
      <c r="F389" s="29" t="s">
        <v>1562</v>
      </c>
      <c r="G389" s="29" t="s">
        <v>422</v>
      </c>
      <c r="H389" s="29" t="s">
        <v>637</v>
      </c>
      <c r="I389" s="29" t="s">
        <v>638</v>
      </c>
      <c r="J389" s="29" t="s">
        <v>590</v>
      </c>
      <c r="K389" s="29" t="s">
        <v>7755</v>
      </c>
      <c r="L389" s="29" t="s">
        <v>591</v>
      </c>
      <c r="M389" s="29" t="s">
        <v>7756</v>
      </c>
      <c r="N389" s="29" t="s">
        <v>426</v>
      </c>
      <c r="O389" s="29" t="s">
        <v>497</v>
      </c>
      <c r="P389" s="29" t="s">
        <v>498</v>
      </c>
      <c r="Q389" s="29" t="s">
        <v>382</v>
      </c>
      <c r="R389" s="29" t="s">
        <v>795</v>
      </c>
      <c r="S389" s="29" t="s">
        <v>7757</v>
      </c>
      <c r="T389" s="29" t="s">
        <v>1786</v>
      </c>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c r="BR389" s="29"/>
      <c r="BS389" s="29"/>
      <c r="BT389" s="29"/>
      <c r="BU389" s="29"/>
      <c r="BV389" s="29"/>
      <c r="BW389" s="29"/>
      <c r="BX389" s="29"/>
      <c r="BY389" s="29"/>
      <c r="BZ389" s="29"/>
      <c r="CA389" s="29"/>
      <c r="CB389" s="29"/>
      <c r="CC389" s="29"/>
      <c r="CD389" s="29"/>
      <c r="CE389" s="29"/>
      <c r="CF389" s="29"/>
      <c r="CG389" s="29"/>
      <c r="CH389" s="29"/>
      <c r="CI389" s="29"/>
      <c r="CJ389" s="29"/>
      <c r="CK389" s="29"/>
      <c r="CL389" s="29"/>
      <c r="CM389" s="29"/>
      <c r="CN389" s="29"/>
      <c r="CO389" s="29"/>
      <c r="CP389" s="29"/>
      <c r="CQ389" s="29"/>
      <c r="CR389" s="29"/>
      <c r="CS389" s="29"/>
      <c r="CT389" s="29"/>
      <c r="CU389" s="29"/>
      <c r="CV389" s="29"/>
      <c r="CW389" s="29"/>
      <c r="CX389" s="29"/>
      <c r="CY389" s="29"/>
      <c r="CZ389" s="29"/>
      <c r="DA389" s="29"/>
      <c r="DB389" s="29"/>
      <c r="DC389" s="29"/>
      <c r="DD389" s="29"/>
      <c r="DE389" s="29"/>
      <c r="DF389" s="29"/>
      <c r="DG389" s="29"/>
      <c r="DH389" s="29"/>
      <c r="DI389" s="29"/>
      <c r="DJ389" s="29"/>
      <c r="DK389" s="29"/>
      <c r="DL389" s="29"/>
      <c r="DM389" s="29"/>
      <c r="DN389" s="29"/>
      <c r="DO389" s="29"/>
      <c r="DP389" s="29"/>
      <c r="DQ389" s="29"/>
      <c r="DR389" s="29"/>
      <c r="DS389" s="29"/>
      <c r="DT389" s="29"/>
      <c r="DU389" s="29"/>
      <c r="DV389" s="29"/>
      <c r="DW389" s="29"/>
      <c r="DX389" s="29"/>
      <c r="DY389" s="29"/>
      <c r="DZ389" s="29"/>
      <c r="EA389" s="29"/>
      <c r="EB389" s="29"/>
      <c r="EC389" s="29"/>
      <c r="ED389" s="29" t="s">
        <v>5723</v>
      </c>
      <c r="EE389" s="29"/>
      <c r="EF389" s="29"/>
      <c r="EG389" s="29"/>
      <c r="EH389" s="29"/>
      <c r="EI389" s="29"/>
      <c r="EJ389" s="29"/>
      <c r="EK389" s="29"/>
      <c r="EL389" s="29"/>
      <c r="EM389" s="29"/>
      <c r="EN389" s="29"/>
      <c r="EO389" s="29" t="s">
        <v>7758</v>
      </c>
      <c r="EP389" s="29" t="s">
        <v>7759</v>
      </c>
      <c r="EQ389" s="29"/>
      <c r="ER389" s="29" t="s">
        <v>7760</v>
      </c>
      <c r="ES389" s="29"/>
      <c r="ET389" s="29" t="s">
        <v>526</v>
      </c>
      <c r="EU389" s="29" t="s">
        <v>479</v>
      </c>
      <c r="EV389" s="29" t="s">
        <v>663</v>
      </c>
      <c r="EW389" s="29"/>
      <c r="EX389" s="29" t="s">
        <v>7761</v>
      </c>
      <c r="EY389" s="29" t="s">
        <v>7762</v>
      </c>
      <c r="EZ389" s="29" t="s">
        <v>583</v>
      </c>
      <c r="FA389" s="29" t="s">
        <v>583</v>
      </c>
      <c r="FB389" s="29" t="s">
        <v>583</v>
      </c>
      <c r="FC389" s="29" t="s">
        <v>583</v>
      </c>
      <c r="FD389" s="29" t="s">
        <v>416</v>
      </c>
      <c r="FE389" s="29" t="s">
        <v>583</v>
      </c>
      <c r="FF389" s="29" t="s">
        <v>583</v>
      </c>
      <c r="FG389" s="29" t="s">
        <v>414</v>
      </c>
      <c r="FH389" s="29" t="s">
        <v>413</v>
      </c>
      <c r="FI389" s="29" t="s">
        <v>413</v>
      </c>
      <c r="FJ389" s="29" t="s">
        <v>416</v>
      </c>
      <c r="FK389" s="29" t="s">
        <v>583</v>
      </c>
      <c r="FL389" s="29" t="s">
        <v>583</v>
      </c>
      <c r="FM389" s="29" t="s">
        <v>583</v>
      </c>
      <c r="FN389" s="29" t="s">
        <v>583</v>
      </c>
      <c r="FO389" s="29" t="s">
        <v>3396</v>
      </c>
      <c r="FP389" s="29" t="s">
        <v>418</v>
      </c>
      <c r="FQ389" s="29" t="s">
        <v>419</v>
      </c>
      <c r="FR389" s="29" t="s">
        <v>7763</v>
      </c>
      <c r="FS389" s="29" t="s">
        <v>1076</v>
      </c>
      <c r="FT389" s="29" t="s">
        <v>1462</v>
      </c>
      <c r="FU389" s="29" t="s">
        <v>533</v>
      </c>
      <c r="FV389" s="29" t="s">
        <v>490</v>
      </c>
      <c r="FW389" s="29" t="s">
        <v>491</v>
      </c>
      <c r="FX389" s="29" t="s">
        <v>7764</v>
      </c>
      <c r="FY389" s="29" t="s">
        <v>493</v>
      </c>
      <c r="FZ389" s="29"/>
      <c r="GA389" s="29"/>
      <c r="GB389" s="29" t="s">
        <v>408</v>
      </c>
      <c r="GC389" s="29"/>
      <c r="GD389" s="29"/>
      <c r="GE389" s="29"/>
      <c r="GF389" s="29"/>
      <c r="GG389" s="29"/>
      <c r="GH389" s="29"/>
      <c r="GI389" s="29"/>
      <c r="GJ389" s="29"/>
      <c r="GK389" s="29"/>
      <c r="GL389" s="29"/>
      <c r="GM389" s="29"/>
      <c r="GN389" s="29"/>
      <c r="GO389" s="29"/>
      <c r="GP389" s="29"/>
      <c r="GQ389" s="29" t="s">
        <v>3306</v>
      </c>
      <c r="GR389" s="29"/>
      <c r="GS389" s="29"/>
      <c r="GT389" s="29"/>
      <c r="GU389" s="29"/>
      <c r="HP389" s="31"/>
      <c r="MX389" s="29" t="s">
        <v>10402</v>
      </c>
      <c r="MY389" s="29" t="str">
        <f>IFERROR(__xludf.DUMMYFUNCTION("""COMPUTED_VALUE"""),"Indiana")</f>
        <v>Indiana</v>
      </c>
    </row>
    <row r="390" ht="16.5" customHeight="1">
      <c r="A390" s="33">
        <v>45972.63994190972</v>
      </c>
      <c r="B390" s="29" t="s">
        <v>368</v>
      </c>
      <c r="C390" s="29" t="s">
        <v>370</v>
      </c>
      <c r="D390" s="29" t="s">
        <v>370</v>
      </c>
      <c r="E390" s="29" t="s">
        <v>757</v>
      </c>
      <c r="F390" s="29" t="s">
        <v>2708</v>
      </c>
      <c r="G390" s="29" t="s">
        <v>422</v>
      </c>
      <c r="H390" s="29" t="s">
        <v>373</v>
      </c>
      <c r="I390" s="29" t="s">
        <v>374</v>
      </c>
      <c r="J390" s="29" t="s">
        <v>669</v>
      </c>
      <c r="K390" s="29" t="s">
        <v>376</v>
      </c>
      <c r="L390" s="29" t="s">
        <v>591</v>
      </c>
      <c r="M390" s="29" t="s">
        <v>639</v>
      </c>
      <c r="N390" s="29" t="s">
        <v>793</v>
      </c>
      <c r="O390" s="29" t="s">
        <v>719</v>
      </c>
      <c r="P390" s="29" t="s">
        <v>1504</v>
      </c>
      <c r="Q390" s="29" t="s">
        <v>499</v>
      </c>
      <c r="R390" s="29" t="s">
        <v>427</v>
      </c>
      <c r="S390" s="29" t="s">
        <v>384</v>
      </c>
      <c r="T390" s="29" t="s">
        <v>385</v>
      </c>
      <c r="U390" s="29"/>
      <c r="V390" s="29"/>
      <c r="W390" s="29" t="s">
        <v>386</v>
      </c>
      <c r="X390" s="29" t="s">
        <v>387</v>
      </c>
      <c r="Y390" s="29" t="s">
        <v>897</v>
      </c>
      <c r="Z390" s="29" t="s">
        <v>672</v>
      </c>
      <c r="AA390" s="29" t="s">
        <v>7769</v>
      </c>
      <c r="AB390" s="29" t="s">
        <v>7770</v>
      </c>
      <c r="AC390" s="29"/>
      <c r="AD390" s="29"/>
      <c r="AE390" s="29"/>
      <c r="AF390" s="29"/>
      <c r="AG390" s="29"/>
      <c r="AH390" s="29"/>
      <c r="AI390" s="29"/>
      <c r="AJ390" s="29"/>
      <c r="AK390" s="29"/>
      <c r="AL390" s="29"/>
      <c r="AM390" s="29"/>
      <c r="AN390" s="29"/>
      <c r="AO390" s="29"/>
      <c r="AP390" s="29"/>
      <c r="AQ390" s="29"/>
      <c r="AR390" s="29"/>
      <c r="AS390" s="29"/>
      <c r="AT390" s="29"/>
      <c r="AU390" s="29"/>
      <c r="AV390" s="29" t="s">
        <v>1242</v>
      </c>
      <c r="AW390" s="29" t="s">
        <v>675</v>
      </c>
      <c r="AX390" s="29" t="s">
        <v>675</v>
      </c>
      <c r="AY390" s="29" t="s">
        <v>675</v>
      </c>
      <c r="AZ390" s="29" t="s">
        <v>675</v>
      </c>
      <c r="BA390" s="29" t="s">
        <v>391</v>
      </c>
      <c r="BB390" s="29" t="s">
        <v>675</v>
      </c>
      <c r="BC390" s="29" t="s">
        <v>7771</v>
      </c>
      <c r="BD390" s="29" t="s">
        <v>7772</v>
      </c>
      <c r="BE390" s="29" t="s">
        <v>902</v>
      </c>
      <c r="BF390" s="29" t="s">
        <v>1245</v>
      </c>
      <c r="BG390" s="29" t="s">
        <v>434</v>
      </c>
      <c r="BH390" s="29" t="s">
        <v>7773</v>
      </c>
      <c r="BI390" s="29" t="s">
        <v>976</v>
      </c>
      <c r="BJ390" s="29" t="s">
        <v>6791</v>
      </c>
      <c r="BK390" s="29" t="s">
        <v>681</v>
      </c>
      <c r="BL390" s="29" t="s">
        <v>904</v>
      </c>
      <c r="BM390" s="29" t="s">
        <v>1314</v>
      </c>
      <c r="BN390" s="29" t="s">
        <v>513</v>
      </c>
      <c r="BO390" s="29"/>
      <c r="BP390" s="29"/>
      <c r="BQ390" s="29"/>
      <c r="BR390" s="29"/>
      <c r="BS390" s="29"/>
      <c r="BT390" s="29"/>
      <c r="BU390" s="29"/>
      <c r="BV390" s="29"/>
      <c r="BW390" s="29"/>
      <c r="BX390" s="29"/>
      <c r="BY390" s="29"/>
      <c r="BZ390" s="29"/>
      <c r="CA390" s="29"/>
      <c r="CB390" s="29"/>
      <c r="CC390" s="29"/>
      <c r="CD390" s="29"/>
      <c r="CE390" s="29"/>
      <c r="CF390" s="29"/>
      <c r="CG390" s="29"/>
      <c r="CH390" s="29"/>
      <c r="CI390" s="29"/>
      <c r="CJ390" s="29"/>
      <c r="CK390" s="29"/>
      <c r="CL390" s="29" t="s">
        <v>441</v>
      </c>
      <c r="CM390" s="29" t="s">
        <v>442</v>
      </c>
      <c r="CN390" s="29" t="s">
        <v>7774</v>
      </c>
      <c r="CO390" s="29" t="s">
        <v>7775</v>
      </c>
      <c r="CP390" s="29" t="s">
        <v>445</v>
      </c>
      <c r="CQ390" s="29" t="s">
        <v>7776</v>
      </c>
      <c r="CR390" s="29" t="s">
        <v>447</v>
      </c>
      <c r="CS390" s="29" t="s">
        <v>7777</v>
      </c>
      <c r="CT390" s="29" t="s">
        <v>7778</v>
      </c>
      <c r="CU390" s="29" t="s">
        <v>1961</v>
      </c>
      <c r="CV390" s="29" t="s">
        <v>2393</v>
      </c>
      <c r="CW390" s="29" t="s">
        <v>7779</v>
      </c>
      <c r="CX390" s="29" t="s">
        <v>455</v>
      </c>
      <c r="CY390" s="29" t="s">
        <v>7780</v>
      </c>
      <c r="CZ390" s="29" t="s">
        <v>1962</v>
      </c>
      <c r="DA390" s="29" t="s">
        <v>7781</v>
      </c>
      <c r="DB390" s="29" t="s">
        <v>408</v>
      </c>
      <c r="DC390" s="29" t="s">
        <v>7782</v>
      </c>
      <c r="DD390" s="29" t="s">
        <v>406</v>
      </c>
      <c r="DE390" s="29" t="s">
        <v>1058</v>
      </c>
      <c r="DF390" s="29" t="s">
        <v>7783</v>
      </c>
      <c r="DG390" s="29" t="s">
        <v>693</v>
      </c>
      <c r="DH390" s="29" t="s">
        <v>694</v>
      </c>
      <c r="DI390" s="29" t="s">
        <v>459</v>
      </c>
      <c r="DJ390" s="29" t="s">
        <v>1403</v>
      </c>
      <c r="DK390" s="29" t="s">
        <v>6335</v>
      </c>
      <c r="DL390" s="29"/>
      <c r="DM390" s="29"/>
      <c r="DN390" s="29"/>
      <c r="DO390" s="29"/>
      <c r="DP390" s="29"/>
      <c r="DQ390" s="29"/>
      <c r="DR390" s="29"/>
      <c r="DS390" s="29"/>
      <c r="DT390" s="29"/>
      <c r="DU390" s="29"/>
      <c r="DV390" s="29"/>
      <c r="DW390" s="29"/>
      <c r="DX390" s="29"/>
      <c r="DY390" s="29"/>
      <c r="DZ390" s="29"/>
      <c r="EA390" s="29"/>
      <c r="EB390" s="29"/>
      <c r="EC390" s="29"/>
      <c r="ED390" s="29"/>
      <c r="EE390" s="29"/>
      <c r="EF390" s="29"/>
      <c r="EG390" s="29"/>
      <c r="EH390" s="29"/>
      <c r="EI390" s="29"/>
      <c r="EJ390" s="29"/>
      <c r="EK390" s="29"/>
      <c r="EL390" s="29"/>
      <c r="EM390" s="29"/>
      <c r="EN390" s="29"/>
      <c r="EO390" s="29"/>
      <c r="EP390" s="29"/>
      <c r="EQ390" s="29"/>
      <c r="ER390" s="29"/>
      <c r="ES390" s="29"/>
      <c r="ET390" s="29" t="s">
        <v>2747</v>
      </c>
      <c r="EU390" s="29" t="s">
        <v>479</v>
      </c>
      <c r="EV390" s="29" t="s">
        <v>527</v>
      </c>
      <c r="EW390" s="29" t="s">
        <v>7784</v>
      </c>
      <c r="EX390" s="29" t="s">
        <v>7785</v>
      </c>
      <c r="EY390" s="29" t="s">
        <v>455</v>
      </c>
      <c r="EZ390" s="29" t="s">
        <v>583</v>
      </c>
      <c r="FA390" s="29" t="s">
        <v>583</v>
      </c>
      <c r="FB390" s="29" t="s">
        <v>414</v>
      </c>
      <c r="FC390" s="29" t="s">
        <v>583</v>
      </c>
      <c r="FD390" s="29" t="s">
        <v>583</v>
      </c>
      <c r="FE390" s="29" t="s">
        <v>583</v>
      </c>
      <c r="FF390" s="29" t="s">
        <v>583</v>
      </c>
      <c r="FG390" s="29" t="s">
        <v>484</v>
      </c>
      <c r="FH390" s="29" t="s">
        <v>583</v>
      </c>
      <c r="FI390" s="29" t="s">
        <v>583</v>
      </c>
      <c r="FJ390" s="29" t="s">
        <v>583</v>
      </c>
      <c r="FK390" s="29" t="s">
        <v>583</v>
      </c>
      <c r="FL390" s="29" t="s">
        <v>583</v>
      </c>
      <c r="FM390" s="29" t="s">
        <v>484</v>
      </c>
      <c r="FN390" s="29" t="s">
        <v>583</v>
      </c>
      <c r="FO390" s="29" t="s">
        <v>1537</v>
      </c>
      <c r="FP390" s="29" t="s">
        <v>2524</v>
      </c>
      <c r="FQ390" s="29" t="s">
        <v>630</v>
      </c>
      <c r="FR390" s="29" t="s">
        <v>7786</v>
      </c>
      <c r="FS390" s="29" t="s">
        <v>1871</v>
      </c>
      <c r="FT390" s="29" t="s">
        <v>2750</v>
      </c>
      <c r="FU390" s="29" t="s">
        <v>533</v>
      </c>
      <c r="FV390" s="29" t="s">
        <v>2399</v>
      </c>
      <c r="FW390" s="29" t="s">
        <v>1853</v>
      </c>
      <c r="FX390" s="29" t="s">
        <v>7787</v>
      </c>
      <c r="FY390" s="29" t="s">
        <v>1854</v>
      </c>
      <c r="FZ390" s="29" t="s">
        <v>7788</v>
      </c>
      <c r="GA390" s="29" t="s">
        <v>7789</v>
      </c>
      <c r="GB390" s="29" t="s">
        <v>455</v>
      </c>
      <c r="GC390" s="29"/>
      <c r="GD390" s="29"/>
      <c r="GE390" s="29" t="s">
        <v>944</v>
      </c>
      <c r="GF390" s="29" t="s">
        <v>7790</v>
      </c>
      <c r="GG390" s="29" t="s">
        <v>920</v>
      </c>
      <c r="GH390" s="29" t="s">
        <v>920</v>
      </c>
      <c r="GI390" s="29" t="s">
        <v>756</v>
      </c>
      <c r="GJ390" s="29"/>
      <c r="GK390" s="29"/>
      <c r="GL390" s="29"/>
      <c r="GM390" s="29"/>
      <c r="GN390" s="29"/>
      <c r="GO390" s="29"/>
      <c r="GP390" s="29"/>
      <c r="GQ390" s="29" t="s">
        <v>3208</v>
      </c>
      <c r="GR390" s="29"/>
      <c r="GS390" s="29"/>
      <c r="GT390" s="29" t="s">
        <v>4774</v>
      </c>
      <c r="GU390" s="29" t="s">
        <v>7791</v>
      </c>
      <c r="HP390" s="31"/>
      <c r="MX390" s="29" t="s">
        <v>10402</v>
      </c>
      <c r="MY390" s="29" t="str">
        <f>IFERROR(__xludf.DUMMYFUNCTION("""COMPUTED_VALUE"""),"Iowa")</f>
        <v>Iowa</v>
      </c>
    </row>
    <row r="391" ht="16.5" customHeight="1">
      <c r="A391" s="33">
        <v>45978.17339207176</v>
      </c>
      <c r="B391" s="29" t="s">
        <v>368</v>
      </c>
      <c r="C391" s="29" t="s">
        <v>370</v>
      </c>
      <c r="D391" s="29" t="s">
        <v>370</v>
      </c>
      <c r="E391" s="29" t="s">
        <v>2388</v>
      </c>
      <c r="F391" s="29" t="s">
        <v>2388</v>
      </c>
      <c r="G391" s="29" t="s">
        <v>422</v>
      </c>
      <c r="H391" s="29" t="s">
        <v>496</v>
      </c>
      <c r="I391" s="29" t="s">
        <v>2578</v>
      </c>
      <c r="J391" s="29" t="s">
        <v>375</v>
      </c>
      <c r="K391" s="29" t="s">
        <v>376</v>
      </c>
      <c r="L391" s="29" t="s">
        <v>793</v>
      </c>
      <c r="M391" s="29" t="s">
        <v>639</v>
      </c>
      <c r="N391" s="29" t="s">
        <v>793</v>
      </c>
      <c r="O391" s="29" t="s">
        <v>639</v>
      </c>
      <c r="P391" s="29" t="s">
        <v>498</v>
      </c>
      <c r="Q391" s="29" t="s">
        <v>862</v>
      </c>
      <c r="R391" s="29" t="s">
        <v>1197</v>
      </c>
      <c r="S391" s="29" t="s">
        <v>384</v>
      </c>
      <c r="T391" s="29" t="s">
        <v>385</v>
      </c>
      <c r="U391" s="29"/>
      <c r="V391" s="29"/>
      <c r="W391" s="29" t="s">
        <v>3231</v>
      </c>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t="s">
        <v>1242</v>
      </c>
      <c r="AW391" s="29" t="s">
        <v>675</v>
      </c>
      <c r="AX391" s="29" t="s">
        <v>675</v>
      </c>
      <c r="AY391" s="29" t="s">
        <v>391</v>
      </c>
      <c r="AZ391" s="29" t="s">
        <v>391</v>
      </c>
      <c r="BA391" s="29" t="s">
        <v>675</v>
      </c>
      <c r="BB391" s="29" t="s">
        <v>391</v>
      </c>
      <c r="BC391" s="29" t="s">
        <v>7792</v>
      </c>
      <c r="BD391" s="29" t="s">
        <v>7793</v>
      </c>
      <c r="BE391" s="29" t="s">
        <v>432</v>
      </c>
      <c r="BF391" s="29" t="s">
        <v>1047</v>
      </c>
      <c r="BG391" s="29" t="s">
        <v>765</v>
      </c>
      <c r="BH391" s="29" t="s">
        <v>7794</v>
      </c>
      <c r="BI391" s="29" t="s">
        <v>435</v>
      </c>
      <c r="BJ391" s="29" t="s">
        <v>7795</v>
      </c>
      <c r="BK391" s="29" t="s">
        <v>511</v>
      </c>
      <c r="BL391" s="29" t="s">
        <v>438</v>
      </c>
      <c r="BM391" s="29" t="s">
        <v>1314</v>
      </c>
      <c r="BN391" s="29" t="s">
        <v>398</v>
      </c>
      <c r="BO391" s="29" t="s">
        <v>7796</v>
      </c>
      <c r="BP391" s="29" t="s">
        <v>7797</v>
      </c>
      <c r="BQ391" s="29" t="s">
        <v>401</v>
      </c>
      <c r="BR391" s="29" t="s">
        <v>1691</v>
      </c>
      <c r="BS391" s="29" t="s">
        <v>403</v>
      </c>
      <c r="BT391" s="29" t="s">
        <v>4368</v>
      </c>
      <c r="BU391" s="29" t="s">
        <v>405</v>
      </c>
      <c r="BV391" s="29"/>
      <c r="BW391" s="29" t="s">
        <v>406</v>
      </c>
      <c r="BX391" s="29" t="s">
        <v>407</v>
      </c>
      <c r="BY391" s="29" t="s">
        <v>408</v>
      </c>
      <c r="BZ391" s="29"/>
      <c r="CA391" s="29" t="s">
        <v>7798</v>
      </c>
      <c r="CB391" s="29" t="s">
        <v>7799</v>
      </c>
      <c r="CC391" s="29" t="s">
        <v>7800</v>
      </c>
      <c r="CD391" s="29" t="s">
        <v>409</v>
      </c>
      <c r="CE391" s="29" t="s">
        <v>7801</v>
      </c>
      <c r="CF391" s="29" t="s">
        <v>1749</v>
      </c>
      <c r="CG391" s="29" t="s">
        <v>7802</v>
      </c>
      <c r="CH391" s="29" t="s">
        <v>1259</v>
      </c>
      <c r="CI391" s="29" t="s">
        <v>833</v>
      </c>
      <c r="CJ391" s="29" t="s">
        <v>7803</v>
      </c>
      <c r="CK391" s="29" t="s">
        <v>7804</v>
      </c>
      <c r="CL391" s="29"/>
      <c r="CM391" s="29"/>
      <c r="CN391" s="29"/>
      <c r="CO391" s="29"/>
      <c r="CP391" s="29"/>
      <c r="CQ391" s="29"/>
      <c r="CR391" s="29"/>
      <c r="CS391" s="29"/>
      <c r="CT391" s="29"/>
      <c r="CU391" s="29"/>
      <c r="CV391" s="29"/>
      <c r="CW391" s="29"/>
      <c r="CX391" s="29"/>
      <c r="CY391" s="29"/>
      <c r="CZ391" s="29"/>
      <c r="DA391" s="29"/>
      <c r="DB391" s="29"/>
      <c r="DC391" s="29"/>
      <c r="DD391" s="29"/>
      <c r="DE391" s="29"/>
      <c r="DF391" s="29"/>
      <c r="DG391" s="29"/>
      <c r="DH391" s="29"/>
      <c r="DI391" s="29" t="s">
        <v>459</v>
      </c>
      <c r="DJ391" s="29" t="s">
        <v>562</v>
      </c>
      <c r="DK391" s="29" t="s">
        <v>7805</v>
      </c>
      <c r="DL391" s="29" t="s">
        <v>7806</v>
      </c>
      <c r="DM391" s="29"/>
      <c r="DN391" s="29"/>
      <c r="DO391" s="29"/>
      <c r="DP391" s="29"/>
      <c r="DQ391" s="29"/>
      <c r="DR391" s="29"/>
      <c r="DS391" s="29"/>
      <c r="DT391" s="29"/>
      <c r="DU391" s="29"/>
      <c r="DV391" s="29"/>
      <c r="DW391" s="29"/>
      <c r="DX391" s="29"/>
      <c r="DY391" s="29"/>
      <c r="DZ391" s="29"/>
      <c r="EA391" s="29"/>
      <c r="EB391" s="29"/>
      <c r="EC391" s="29"/>
      <c r="ED391" s="29"/>
      <c r="EE391" s="29"/>
      <c r="EF391" s="29"/>
      <c r="EG391" s="29"/>
      <c r="EH391" s="29"/>
      <c r="EI391" s="29"/>
      <c r="EJ391" s="29"/>
      <c r="EK391" s="29"/>
      <c r="EL391" s="29"/>
      <c r="EM391" s="29"/>
      <c r="EN391" s="29"/>
      <c r="EO391" s="29"/>
      <c r="EP391" s="29"/>
      <c r="EQ391" s="29"/>
      <c r="ER391" s="29"/>
      <c r="ES391" s="29"/>
      <c r="ET391" s="29" t="s">
        <v>478</v>
      </c>
      <c r="EU391" s="29" t="s">
        <v>887</v>
      </c>
      <c r="EV391" s="29" t="s">
        <v>527</v>
      </c>
      <c r="EW391" s="29" t="s">
        <v>7807</v>
      </c>
      <c r="EX391" s="29" t="s">
        <v>7808</v>
      </c>
      <c r="EY391" s="29" t="s">
        <v>7808</v>
      </c>
      <c r="EZ391" s="29" t="s">
        <v>415</v>
      </c>
      <c r="FA391" s="29" t="s">
        <v>415</v>
      </c>
      <c r="FB391" s="29" t="s">
        <v>413</v>
      </c>
      <c r="FC391" s="29" t="s">
        <v>414</v>
      </c>
      <c r="FD391" s="29" t="s">
        <v>413</v>
      </c>
      <c r="FE391" s="29" t="s">
        <v>414</v>
      </c>
      <c r="FF391" s="29" t="s">
        <v>415</v>
      </c>
      <c r="FG391" s="29" t="s">
        <v>413</v>
      </c>
      <c r="FH391" s="29" t="s">
        <v>583</v>
      </c>
      <c r="FI391" s="29" t="s">
        <v>415</v>
      </c>
      <c r="FJ391" s="29" t="s">
        <v>415</v>
      </c>
      <c r="FK391" s="29" t="s">
        <v>416</v>
      </c>
      <c r="FL391" s="29" t="s">
        <v>415</v>
      </c>
      <c r="FM391" s="29" t="s">
        <v>413</v>
      </c>
      <c r="FN391" s="29" t="s">
        <v>583</v>
      </c>
      <c r="FO391" s="29" t="s">
        <v>485</v>
      </c>
      <c r="FP391" s="29" t="s">
        <v>486</v>
      </c>
      <c r="FQ391" s="29" t="s">
        <v>749</v>
      </c>
      <c r="FR391" s="29" t="s">
        <v>7809</v>
      </c>
      <c r="FS391" s="29" t="s">
        <v>420</v>
      </c>
      <c r="FT391" s="29" t="s">
        <v>1462</v>
      </c>
      <c r="FU391" s="29" t="s">
        <v>489</v>
      </c>
      <c r="FV391" s="29" t="s">
        <v>490</v>
      </c>
      <c r="FW391" s="29" t="s">
        <v>491</v>
      </c>
      <c r="FX391" s="29" t="s">
        <v>7810</v>
      </c>
      <c r="FY391" s="29" t="s">
        <v>535</v>
      </c>
      <c r="FZ391" s="29" t="s">
        <v>7811</v>
      </c>
      <c r="GA391" s="29"/>
      <c r="GB391" s="29" t="s">
        <v>455</v>
      </c>
      <c r="GC391" s="29"/>
      <c r="GD391" s="29"/>
      <c r="GE391" s="29" t="s">
        <v>855</v>
      </c>
      <c r="GF391" s="29" t="s">
        <v>7812</v>
      </c>
      <c r="GG391" s="29"/>
      <c r="GH391" s="29"/>
      <c r="GI391" s="29"/>
      <c r="GJ391" s="29" t="s">
        <v>755</v>
      </c>
      <c r="GK391" s="29" t="s">
        <v>755</v>
      </c>
      <c r="GL391" s="29" t="s">
        <v>946</v>
      </c>
      <c r="GM391" s="29"/>
      <c r="GN391" s="29"/>
      <c r="GO391" s="29"/>
      <c r="GP391" s="29" t="s">
        <v>387</v>
      </c>
      <c r="GQ391" s="29" t="s">
        <v>3208</v>
      </c>
      <c r="GR391" s="29" t="s">
        <v>4774</v>
      </c>
      <c r="GS391" s="29"/>
      <c r="GT391" s="29"/>
      <c r="GU391" s="29"/>
      <c r="HP391" s="31"/>
      <c r="MX391" s="29" t="s">
        <v>10402</v>
      </c>
      <c r="MY391" s="29" t="str">
        <f>IFERROR(__xludf.DUMMYFUNCTION("""COMPUTED_VALUE"""),"Iowa")</f>
        <v>Iowa</v>
      </c>
    </row>
    <row r="392" ht="16.5" customHeight="1">
      <c r="A392" s="33">
        <v>45979.000607615744</v>
      </c>
      <c r="B392" s="29" t="s">
        <v>368</v>
      </c>
      <c r="C392" s="29" t="s">
        <v>370</v>
      </c>
      <c r="D392" s="29" t="s">
        <v>370</v>
      </c>
      <c r="E392" s="29" t="s">
        <v>2388</v>
      </c>
      <c r="F392" s="29" t="s">
        <v>2388</v>
      </c>
      <c r="G392" s="29" t="s">
        <v>422</v>
      </c>
      <c r="H392" s="29" t="s">
        <v>496</v>
      </c>
      <c r="I392" s="29" t="s">
        <v>424</v>
      </c>
      <c r="J392" s="29" t="s">
        <v>425</v>
      </c>
      <c r="K392" s="29" t="s">
        <v>376</v>
      </c>
      <c r="L392" s="29" t="s">
        <v>379</v>
      </c>
      <c r="M392" s="29" t="s">
        <v>378</v>
      </c>
      <c r="N392" s="29" t="s">
        <v>379</v>
      </c>
      <c r="O392" s="29" t="s">
        <v>380</v>
      </c>
      <c r="P392" s="29" t="s">
        <v>381</v>
      </c>
      <c r="Q392" s="29" t="s">
        <v>382</v>
      </c>
      <c r="R392" s="29" t="s">
        <v>949</v>
      </c>
      <c r="S392" s="29" t="s">
        <v>384</v>
      </c>
      <c r="T392" s="29" t="s">
        <v>385</v>
      </c>
      <c r="U392" s="29"/>
      <c r="V392" s="29"/>
      <c r="W392" s="29" t="s">
        <v>593</v>
      </c>
      <c r="X392" s="29" t="s">
        <v>387</v>
      </c>
      <c r="Y392" s="29" t="s">
        <v>388</v>
      </c>
      <c r="Z392" s="29" t="s">
        <v>502</v>
      </c>
      <c r="AA392" s="29" t="s">
        <v>7813</v>
      </c>
      <c r="AB392" s="29" t="s">
        <v>7814</v>
      </c>
      <c r="AC392" s="29"/>
      <c r="AD392" s="29"/>
      <c r="AE392" s="29"/>
      <c r="AF392" s="29"/>
      <c r="AG392" s="29"/>
      <c r="AH392" s="29"/>
      <c r="AI392" s="29"/>
      <c r="AJ392" s="29"/>
      <c r="AK392" s="29"/>
      <c r="AL392" s="29"/>
      <c r="AM392" s="29"/>
      <c r="AN392" s="29"/>
      <c r="AO392" s="29"/>
      <c r="AP392" s="29"/>
      <c r="AQ392" s="29"/>
      <c r="AR392" s="29"/>
      <c r="AS392" s="29"/>
      <c r="AT392" s="29"/>
      <c r="AU392" s="29"/>
      <c r="AV392" s="29" t="s">
        <v>504</v>
      </c>
      <c r="AW392" s="29" t="s">
        <v>429</v>
      </c>
      <c r="AX392" s="29" t="s">
        <v>429</v>
      </c>
      <c r="AY392" s="29">
        <v>2.0</v>
      </c>
      <c r="AZ392" s="29" t="s">
        <v>429</v>
      </c>
      <c r="BA392" s="29" t="s">
        <v>429</v>
      </c>
      <c r="BB392" s="29" t="s">
        <v>429</v>
      </c>
      <c r="BC392" s="29" t="s">
        <v>7815</v>
      </c>
      <c r="BD392" s="29" t="s">
        <v>7816</v>
      </c>
      <c r="BE392" s="29" t="s">
        <v>432</v>
      </c>
      <c r="BF392" s="29" t="s">
        <v>433</v>
      </c>
      <c r="BG392" s="29" t="s">
        <v>678</v>
      </c>
      <c r="BH392" s="29"/>
      <c r="BI392" s="29" t="s">
        <v>509</v>
      </c>
      <c r="BJ392" s="29" t="s">
        <v>7817</v>
      </c>
      <c r="BK392" s="29" t="s">
        <v>511</v>
      </c>
      <c r="BL392" s="29" t="s">
        <v>512</v>
      </c>
      <c r="BM392" s="29" t="s">
        <v>549</v>
      </c>
      <c r="BN392" s="29" t="s">
        <v>513</v>
      </c>
      <c r="BO392" s="29"/>
      <c r="BP392" s="29"/>
      <c r="BQ392" s="29"/>
      <c r="BR392" s="29"/>
      <c r="BS392" s="29"/>
      <c r="BT392" s="29"/>
      <c r="BU392" s="29"/>
      <c r="BV392" s="29"/>
      <c r="BW392" s="29"/>
      <c r="BX392" s="29"/>
      <c r="BY392" s="29"/>
      <c r="BZ392" s="29"/>
      <c r="CA392" s="29"/>
      <c r="CB392" s="29"/>
      <c r="CC392" s="29"/>
      <c r="CD392" s="29"/>
      <c r="CE392" s="29"/>
      <c r="CF392" s="29"/>
      <c r="CG392" s="29"/>
      <c r="CH392" s="29"/>
      <c r="CI392" s="29"/>
      <c r="CJ392" s="29"/>
      <c r="CK392" s="29"/>
      <c r="CL392" s="29" t="s">
        <v>441</v>
      </c>
      <c r="CM392" s="29" t="s">
        <v>604</v>
      </c>
      <c r="CN392" s="29" t="s">
        <v>7818</v>
      </c>
      <c r="CO392" s="29" t="s">
        <v>7819</v>
      </c>
      <c r="CP392" s="29" t="s">
        <v>445</v>
      </c>
      <c r="CQ392" s="29" t="s">
        <v>7820</v>
      </c>
      <c r="CR392" s="29" t="s">
        <v>447</v>
      </c>
      <c r="CS392" s="29" t="s">
        <v>7821</v>
      </c>
      <c r="CT392" s="29" t="s">
        <v>7822</v>
      </c>
      <c r="CU392" s="29" t="s">
        <v>519</v>
      </c>
      <c r="CV392" s="29" t="s">
        <v>451</v>
      </c>
      <c r="CW392" s="29" t="s">
        <v>7823</v>
      </c>
      <c r="CX392" s="29" t="s">
        <v>408</v>
      </c>
      <c r="CY392" s="29"/>
      <c r="CZ392" s="29" t="s">
        <v>453</v>
      </c>
      <c r="DA392" s="29" t="s">
        <v>7824</v>
      </c>
      <c r="DB392" s="29" t="s">
        <v>455</v>
      </c>
      <c r="DC392" s="29" t="s">
        <v>7825</v>
      </c>
      <c r="DD392" s="29" t="s">
        <v>662</v>
      </c>
      <c r="DE392" s="29"/>
      <c r="DF392" s="29" t="s">
        <v>7826</v>
      </c>
      <c r="DG392" s="29" t="s">
        <v>776</v>
      </c>
      <c r="DH392" s="29" t="s">
        <v>410</v>
      </c>
      <c r="DI392" s="29" t="s">
        <v>459</v>
      </c>
      <c r="DJ392" s="29" t="s">
        <v>460</v>
      </c>
      <c r="DK392" s="29" t="s">
        <v>6335</v>
      </c>
      <c r="DL392" s="29"/>
      <c r="DM392" s="29"/>
      <c r="DN392" s="29"/>
      <c r="DO392" s="29"/>
      <c r="DP392" s="29"/>
      <c r="DQ392" s="29"/>
      <c r="DR392" s="29"/>
      <c r="DS392" s="29"/>
      <c r="DT392" s="29"/>
      <c r="DU392" s="29"/>
      <c r="DV392" s="29"/>
      <c r="DW392" s="29"/>
      <c r="DX392" s="29"/>
      <c r="DY392" s="29"/>
      <c r="DZ392" s="29"/>
      <c r="EA392" s="29"/>
      <c r="EB392" s="29"/>
      <c r="EC392" s="29"/>
      <c r="ED392" s="29"/>
      <c r="EE392" s="29"/>
      <c r="EF392" s="29"/>
      <c r="EG392" s="29"/>
      <c r="EH392" s="29"/>
      <c r="EI392" s="29"/>
      <c r="EJ392" s="29"/>
      <c r="EK392" s="29"/>
      <c r="EL392" s="29"/>
      <c r="EM392" s="29"/>
      <c r="EN392" s="29"/>
      <c r="EO392" s="29"/>
      <c r="EP392" s="29"/>
      <c r="EQ392" s="29"/>
      <c r="ER392" s="29"/>
      <c r="ES392" s="29"/>
      <c r="ET392" s="29" t="s">
        <v>578</v>
      </c>
      <c r="EU392" s="29" t="s">
        <v>479</v>
      </c>
      <c r="EV392" s="29" t="s">
        <v>527</v>
      </c>
      <c r="EW392" s="29" t="s">
        <v>7827</v>
      </c>
      <c r="EX392" s="29" t="s">
        <v>4414</v>
      </c>
      <c r="EY392" s="29" t="s">
        <v>7828</v>
      </c>
      <c r="EZ392" s="29" t="s">
        <v>583</v>
      </c>
      <c r="FA392" s="29" t="s">
        <v>415</v>
      </c>
      <c r="FB392" s="29" t="s">
        <v>415</v>
      </c>
      <c r="FC392" s="29" t="s">
        <v>583</v>
      </c>
      <c r="FD392" s="29" t="s">
        <v>414</v>
      </c>
      <c r="FE392" s="29" t="s">
        <v>583</v>
      </c>
      <c r="FF392" s="29" t="s">
        <v>583</v>
      </c>
      <c r="FG392" s="29" t="s">
        <v>413</v>
      </c>
      <c r="FH392" s="29" t="s">
        <v>583</v>
      </c>
      <c r="FI392" s="29" t="s">
        <v>583</v>
      </c>
      <c r="FJ392" s="29" t="s">
        <v>583</v>
      </c>
      <c r="FK392" s="29" t="s">
        <v>414</v>
      </c>
      <c r="FL392" s="29" t="s">
        <v>583</v>
      </c>
      <c r="FM392" s="29" t="s">
        <v>413</v>
      </c>
      <c r="FN392" s="29" t="s">
        <v>583</v>
      </c>
      <c r="FO392" s="29" t="s">
        <v>850</v>
      </c>
      <c r="FP392" s="29" t="s">
        <v>486</v>
      </c>
      <c r="FQ392" s="29" t="s">
        <v>630</v>
      </c>
      <c r="FR392" s="29" t="s">
        <v>7829</v>
      </c>
      <c r="FS392" s="29" t="s">
        <v>1189</v>
      </c>
      <c r="FT392" s="29" t="s">
        <v>488</v>
      </c>
      <c r="FU392" s="29" t="s">
        <v>533</v>
      </c>
      <c r="FV392" s="29" t="s">
        <v>490</v>
      </c>
      <c r="FW392" s="29" t="s">
        <v>491</v>
      </c>
      <c r="FX392" s="29" t="s">
        <v>7830</v>
      </c>
      <c r="FY392" s="29" t="s">
        <v>535</v>
      </c>
      <c r="FZ392" s="29" t="s">
        <v>7831</v>
      </c>
      <c r="GA392" s="29"/>
      <c r="GB392" s="29" t="s">
        <v>455</v>
      </c>
      <c r="GC392" s="29"/>
      <c r="GD392" s="29"/>
      <c r="GE392" s="29" t="s">
        <v>1339</v>
      </c>
      <c r="GF392" s="29" t="s">
        <v>7832</v>
      </c>
      <c r="GG392" s="29" t="s">
        <v>788</v>
      </c>
      <c r="GH392" s="29" t="s">
        <v>788</v>
      </c>
      <c r="GI392" s="29" t="s">
        <v>790</v>
      </c>
      <c r="GJ392" s="29"/>
      <c r="GK392" s="29"/>
      <c r="GL392" s="29"/>
      <c r="GM392" s="29"/>
      <c r="GN392" s="29"/>
      <c r="GO392" s="29"/>
      <c r="GP392" s="29"/>
      <c r="GQ392" s="29" t="s">
        <v>4653</v>
      </c>
      <c r="GR392" s="29"/>
      <c r="GS392" s="29"/>
      <c r="GT392" s="29" t="s">
        <v>5039</v>
      </c>
      <c r="GU392" s="29" t="s">
        <v>7833</v>
      </c>
      <c r="HP392" s="31"/>
      <c r="MX392" s="29" t="s">
        <v>10402</v>
      </c>
      <c r="MY392" s="29" t="str">
        <f>IFERROR(__xludf.DUMMYFUNCTION("""COMPUTED_VALUE"""),"Michigan")</f>
        <v>Michigan</v>
      </c>
    </row>
    <row r="393" ht="16.5" customHeight="1">
      <c r="A393" s="33">
        <v>45979.79978149306</v>
      </c>
      <c r="B393" s="29" t="s">
        <v>368</v>
      </c>
      <c r="C393" s="29" t="s">
        <v>370</v>
      </c>
      <c r="D393" s="29" t="s">
        <v>370</v>
      </c>
      <c r="E393" s="29" t="s">
        <v>1480</v>
      </c>
      <c r="F393" s="29" t="s">
        <v>1480</v>
      </c>
      <c r="G393" s="29" t="s">
        <v>422</v>
      </c>
      <c r="H393" s="29" t="s">
        <v>373</v>
      </c>
      <c r="I393" s="29" t="s">
        <v>374</v>
      </c>
      <c r="J393" s="29" t="s">
        <v>718</v>
      </c>
      <c r="K393" s="29" t="s">
        <v>376</v>
      </c>
      <c r="L393" s="29" t="s">
        <v>591</v>
      </c>
      <c r="M393" s="29" t="s">
        <v>541</v>
      </c>
      <c r="N393" s="29" t="s">
        <v>591</v>
      </c>
      <c r="O393" s="29" t="s">
        <v>2464</v>
      </c>
      <c r="P393" s="29" t="s">
        <v>498</v>
      </c>
      <c r="Q393" s="29" t="s">
        <v>382</v>
      </c>
      <c r="R393" s="29" t="s">
        <v>427</v>
      </c>
      <c r="S393" s="29" t="s">
        <v>384</v>
      </c>
      <c r="T393" s="29" t="s">
        <v>385</v>
      </c>
      <c r="U393" s="29"/>
      <c r="V393" s="29"/>
      <c r="W393" s="29" t="s">
        <v>3231</v>
      </c>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t="s">
        <v>1242</v>
      </c>
      <c r="AW393" s="29" t="s">
        <v>675</v>
      </c>
      <c r="AX393" s="29" t="s">
        <v>675</v>
      </c>
      <c r="AY393" s="29" t="s">
        <v>675</v>
      </c>
      <c r="AZ393" s="29" t="s">
        <v>675</v>
      </c>
      <c r="BA393" s="29" t="s">
        <v>675</v>
      </c>
      <c r="BB393" s="29" t="s">
        <v>675</v>
      </c>
      <c r="BC393" s="29"/>
      <c r="BD393" s="29"/>
      <c r="BE393" s="29" t="s">
        <v>902</v>
      </c>
      <c r="BF393" s="29" t="s">
        <v>1245</v>
      </c>
      <c r="BG393" s="29" t="s">
        <v>394</v>
      </c>
      <c r="BH393" s="29"/>
      <c r="BI393" s="29" t="s">
        <v>435</v>
      </c>
      <c r="BJ393" s="29"/>
      <c r="BK393" s="29"/>
      <c r="BL393" s="29" t="s">
        <v>438</v>
      </c>
      <c r="BM393" s="29" t="s">
        <v>1314</v>
      </c>
      <c r="BN393" s="29" t="s">
        <v>440</v>
      </c>
      <c r="BO393" s="29"/>
      <c r="BP393" s="29"/>
      <c r="BQ393" s="29"/>
      <c r="BR393" s="29"/>
      <c r="BS393" s="29"/>
      <c r="BT393" s="29"/>
      <c r="BU393" s="29"/>
      <c r="BV393" s="29"/>
      <c r="BW393" s="29"/>
      <c r="BX393" s="29"/>
      <c r="BY393" s="29"/>
      <c r="BZ393" s="29"/>
      <c r="CA393" s="29"/>
      <c r="CB393" s="29"/>
      <c r="CC393" s="29"/>
      <c r="CD393" s="29"/>
      <c r="CE393" s="29"/>
      <c r="CF393" s="29"/>
      <c r="CG393" s="29"/>
      <c r="CH393" s="29"/>
      <c r="CI393" s="29"/>
      <c r="CJ393" s="29"/>
      <c r="CK393" s="29"/>
      <c r="CL393" s="29" t="s">
        <v>441</v>
      </c>
      <c r="CM393" s="29" t="s">
        <v>401</v>
      </c>
      <c r="CN393" s="29" t="s">
        <v>7836</v>
      </c>
      <c r="CO393" s="29" t="s">
        <v>7837</v>
      </c>
      <c r="CP393" s="29" t="s">
        <v>445</v>
      </c>
      <c r="CQ393" s="29" t="s">
        <v>1427</v>
      </c>
      <c r="CR393" s="29" t="s">
        <v>447</v>
      </c>
      <c r="CS393" s="29" t="s">
        <v>7838</v>
      </c>
      <c r="CT393" s="29"/>
      <c r="CU393" s="29" t="s">
        <v>519</v>
      </c>
      <c r="CV393" s="29" t="s">
        <v>451</v>
      </c>
      <c r="CW393" s="29"/>
      <c r="CX393" s="29" t="s">
        <v>455</v>
      </c>
      <c r="CY393" s="29" t="s">
        <v>7839</v>
      </c>
      <c r="CZ393" s="29" t="s">
        <v>453</v>
      </c>
      <c r="DA393" s="29" t="s">
        <v>7840</v>
      </c>
      <c r="DB393" s="29" t="s">
        <v>455</v>
      </c>
      <c r="DC393" s="29" t="s">
        <v>7841</v>
      </c>
      <c r="DD393" s="29" t="s">
        <v>406</v>
      </c>
      <c r="DE393" s="29" t="s">
        <v>691</v>
      </c>
      <c r="DF393" s="29" t="s">
        <v>7842</v>
      </c>
      <c r="DG393" s="29" t="s">
        <v>524</v>
      </c>
      <c r="DH393" s="29" t="s">
        <v>410</v>
      </c>
      <c r="DI393" s="29" t="s">
        <v>459</v>
      </c>
      <c r="DJ393" s="29" t="s">
        <v>613</v>
      </c>
      <c r="DK393" s="29"/>
      <c r="DL393" s="29"/>
      <c r="DM393" s="29" t="s">
        <v>7843</v>
      </c>
      <c r="DN393" s="29" t="s">
        <v>7844</v>
      </c>
      <c r="DO393" s="29" t="s">
        <v>567</v>
      </c>
      <c r="DP393" s="29" t="s">
        <v>7845</v>
      </c>
      <c r="DQ393" s="29" t="s">
        <v>1553</v>
      </c>
      <c r="DR393" s="29" t="s">
        <v>7846</v>
      </c>
      <c r="DS393" s="29" t="s">
        <v>618</v>
      </c>
      <c r="DT393" s="29" t="s">
        <v>1580</v>
      </c>
      <c r="DU393" s="29" t="s">
        <v>7847</v>
      </c>
      <c r="DV393" s="29" t="s">
        <v>7848</v>
      </c>
      <c r="DW393" s="29" t="s">
        <v>1328</v>
      </c>
      <c r="DX393" s="29" t="s">
        <v>7849</v>
      </c>
      <c r="DY393" s="29"/>
      <c r="DZ393" s="29" t="s">
        <v>7850</v>
      </c>
      <c r="EA393" s="29" t="s">
        <v>1413</v>
      </c>
      <c r="EB393" s="29" t="s">
        <v>626</v>
      </c>
      <c r="EC393" s="29"/>
      <c r="ED393" s="29"/>
      <c r="EE393" s="29"/>
      <c r="EF393" s="29"/>
      <c r="EG393" s="29"/>
      <c r="EH393" s="29"/>
      <c r="EI393" s="29"/>
      <c r="EJ393" s="29"/>
      <c r="EK393" s="29"/>
      <c r="EL393" s="29"/>
      <c r="EM393" s="29"/>
      <c r="EN393" s="29"/>
      <c r="EO393" s="29"/>
      <c r="EP393" s="29"/>
      <c r="EQ393" s="29"/>
      <c r="ER393" s="29"/>
      <c r="ES393" s="29"/>
      <c r="ET393" s="29" t="s">
        <v>526</v>
      </c>
      <c r="EU393" s="29" t="s">
        <v>479</v>
      </c>
      <c r="EV393" s="29" t="s">
        <v>480</v>
      </c>
      <c r="EW393" s="29"/>
      <c r="EX393" s="29" t="s">
        <v>7851</v>
      </c>
      <c r="EY393" s="29" t="s">
        <v>7852</v>
      </c>
      <c r="EZ393" s="29" t="s">
        <v>413</v>
      </c>
      <c r="FA393" s="29" t="s">
        <v>415</v>
      </c>
      <c r="FB393" s="29" t="s">
        <v>413</v>
      </c>
      <c r="FC393" s="29" t="s">
        <v>415</v>
      </c>
      <c r="FD393" s="29" t="s">
        <v>413</v>
      </c>
      <c r="FE393" s="29" t="s">
        <v>415</v>
      </c>
      <c r="FF393" s="29"/>
      <c r="FG393" s="29" t="s">
        <v>413</v>
      </c>
      <c r="FH393" s="29" t="s">
        <v>583</v>
      </c>
      <c r="FI393" s="29" t="s">
        <v>583</v>
      </c>
      <c r="FJ393" s="29" t="s">
        <v>415</v>
      </c>
      <c r="FK393" s="29" t="s">
        <v>415</v>
      </c>
      <c r="FL393" s="29" t="s">
        <v>583</v>
      </c>
      <c r="FM393" s="29" t="s">
        <v>413</v>
      </c>
      <c r="FN393" s="29" t="s">
        <v>415</v>
      </c>
      <c r="FO393" s="29" t="s">
        <v>417</v>
      </c>
      <c r="FP393" s="29" t="s">
        <v>418</v>
      </c>
      <c r="FQ393" s="29" t="s">
        <v>749</v>
      </c>
      <c r="FR393" s="29" t="s">
        <v>7853</v>
      </c>
      <c r="FS393" s="29" t="s">
        <v>420</v>
      </c>
      <c r="FT393" s="29" t="s">
        <v>488</v>
      </c>
      <c r="FU393" s="29" t="s">
        <v>533</v>
      </c>
      <c r="FV393" s="29" t="s">
        <v>490</v>
      </c>
      <c r="FW393" s="29" t="s">
        <v>491</v>
      </c>
      <c r="FX393" s="29" t="s">
        <v>7854</v>
      </c>
      <c r="FY393" s="29" t="s">
        <v>535</v>
      </c>
      <c r="FZ393" s="29" t="s">
        <v>7855</v>
      </c>
      <c r="GA393" s="29"/>
      <c r="GB393" s="29" t="s">
        <v>455</v>
      </c>
      <c r="GC393" s="29"/>
      <c r="GD393" s="29"/>
      <c r="GE393" s="29" t="s">
        <v>944</v>
      </c>
      <c r="GF393" s="29"/>
      <c r="GG393" s="29" t="s">
        <v>755</v>
      </c>
      <c r="GH393" s="29" t="s">
        <v>1000</v>
      </c>
      <c r="GI393" s="29" t="s">
        <v>946</v>
      </c>
      <c r="GJ393" s="29"/>
      <c r="GK393" s="29"/>
      <c r="GL393" s="29"/>
      <c r="GM393" s="29" t="s">
        <v>1079</v>
      </c>
      <c r="GN393" s="29"/>
      <c r="GO393" s="29"/>
      <c r="GP393" s="29" t="s">
        <v>387</v>
      </c>
      <c r="GQ393" s="29" t="s">
        <v>3208</v>
      </c>
      <c r="GR393" s="29"/>
      <c r="GS393" s="29"/>
      <c r="GT393" s="29" t="s">
        <v>4774</v>
      </c>
      <c r="GU393" s="29"/>
      <c r="HP393" s="31"/>
      <c r="MX393" s="29" t="s">
        <v>1703</v>
      </c>
      <c r="MY393" s="29" t="str">
        <f>IFERROR(__xludf.DUMMYFUNCTION("""COMPUTED_VALUE"""),"Israel")</f>
        <v>Israel</v>
      </c>
    </row>
    <row r="394" ht="16.5" customHeight="1">
      <c r="A394" s="33">
        <v>45979.966553935184</v>
      </c>
      <c r="B394" s="29" t="s">
        <v>368</v>
      </c>
      <c r="C394" s="29" t="s">
        <v>1703</v>
      </c>
      <c r="D394" s="29" t="s">
        <v>370</v>
      </c>
      <c r="E394" s="29"/>
      <c r="F394" s="29" t="s">
        <v>1421</v>
      </c>
      <c r="G394" s="29" t="s">
        <v>422</v>
      </c>
      <c r="H394" s="29" t="s">
        <v>373</v>
      </c>
      <c r="I394" s="29" t="s">
        <v>374</v>
      </c>
      <c r="J394" s="29" t="s">
        <v>375</v>
      </c>
      <c r="K394" s="29" t="s">
        <v>376</v>
      </c>
      <c r="L394" s="29" t="s">
        <v>670</v>
      </c>
      <c r="M394" s="29" t="s">
        <v>378</v>
      </c>
      <c r="N394" s="29" t="s">
        <v>670</v>
      </c>
      <c r="O394" s="29" t="s">
        <v>1270</v>
      </c>
      <c r="P394" s="29" t="s">
        <v>498</v>
      </c>
      <c r="Q394" s="29" t="s">
        <v>1004</v>
      </c>
      <c r="R394" s="29" t="s">
        <v>500</v>
      </c>
      <c r="S394" s="29" t="s">
        <v>1705</v>
      </c>
      <c r="T394" s="29" t="s">
        <v>385</v>
      </c>
      <c r="U394" s="29"/>
      <c r="V394" s="29"/>
      <c r="W394" s="29" t="s">
        <v>3231</v>
      </c>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t="s">
        <v>1310</v>
      </c>
      <c r="AW394" s="29" t="s">
        <v>675</v>
      </c>
      <c r="AX394" s="29" t="s">
        <v>675</v>
      </c>
      <c r="AY394" s="29" t="s">
        <v>675</v>
      </c>
      <c r="AZ394" s="29" t="s">
        <v>391</v>
      </c>
      <c r="BA394" s="29">
        <v>4.0</v>
      </c>
      <c r="BB394" s="29" t="s">
        <v>675</v>
      </c>
      <c r="BC394" s="29"/>
      <c r="BD394" s="29"/>
      <c r="BE394" s="29" t="s">
        <v>432</v>
      </c>
      <c r="BF394" s="29" t="s">
        <v>1095</v>
      </c>
      <c r="BG394" s="29" t="s">
        <v>765</v>
      </c>
      <c r="BH394" s="29" t="s">
        <v>7859</v>
      </c>
      <c r="BI394" s="29" t="s">
        <v>976</v>
      </c>
      <c r="BJ394" s="29"/>
      <c r="BK394" s="29" t="s">
        <v>681</v>
      </c>
      <c r="BL394" s="29" t="s">
        <v>603</v>
      </c>
      <c r="BM394" s="29" t="s">
        <v>1247</v>
      </c>
      <c r="BN394" s="29" t="s">
        <v>513</v>
      </c>
      <c r="BO394" s="29"/>
      <c r="BP394" s="29"/>
      <c r="BQ394" s="29"/>
      <c r="BR394" s="29"/>
      <c r="BS394" s="29"/>
      <c r="BT394" s="29"/>
      <c r="BU394" s="29"/>
      <c r="BV394" s="29"/>
      <c r="BW394" s="29"/>
      <c r="BX394" s="29"/>
      <c r="BY394" s="29"/>
      <c r="BZ394" s="29"/>
      <c r="CA394" s="29"/>
      <c r="CB394" s="29"/>
      <c r="CC394" s="29"/>
      <c r="CD394" s="29"/>
      <c r="CE394" s="29"/>
      <c r="CF394" s="29"/>
      <c r="CG394" s="29"/>
      <c r="CH394" s="29"/>
      <c r="CI394" s="29"/>
      <c r="CJ394" s="29"/>
      <c r="CK394" s="29"/>
      <c r="CL394" s="29" t="s">
        <v>441</v>
      </c>
      <c r="CM394" s="29" t="s">
        <v>604</v>
      </c>
      <c r="CN394" s="29" t="s">
        <v>1313</v>
      </c>
      <c r="CO394" s="29" t="s">
        <v>7860</v>
      </c>
      <c r="CP394" s="29" t="s">
        <v>1008</v>
      </c>
      <c r="CQ394" s="29" t="s">
        <v>1649</v>
      </c>
      <c r="CR394" s="29" t="s">
        <v>404</v>
      </c>
      <c r="CS394" s="29" t="s">
        <v>1147</v>
      </c>
      <c r="CT394" s="29" t="s">
        <v>7861</v>
      </c>
      <c r="CU394" s="29" t="s">
        <v>1852</v>
      </c>
      <c r="CV394" s="29" t="s">
        <v>1931</v>
      </c>
      <c r="CW394" s="29"/>
      <c r="CX394" s="29" t="s">
        <v>408</v>
      </c>
      <c r="CY394" s="29"/>
      <c r="CZ394" s="29" t="s">
        <v>1962</v>
      </c>
      <c r="DA394" s="29"/>
      <c r="DB394" s="29" t="s">
        <v>408</v>
      </c>
      <c r="DC394" s="29"/>
      <c r="DD394" s="29" t="s">
        <v>406</v>
      </c>
      <c r="DE394" s="29"/>
      <c r="DF394" s="29" t="s">
        <v>7862</v>
      </c>
      <c r="DG394" s="29" t="s">
        <v>693</v>
      </c>
      <c r="DH394" s="29" t="s">
        <v>833</v>
      </c>
      <c r="DI394" s="29" t="s">
        <v>459</v>
      </c>
      <c r="DJ394" s="29" t="s">
        <v>613</v>
      </c>
      <c r="DK394" s="29"/>
      <c r="DL394" s="29"/>
      <c r="DM394" s="29"/>
      <c r="DN394" s="29"/>
      <c r="DO394" s="29"/>
      <c r="DP394" s="29"/>
      <c r="DQ394" s="29"/>
      <c r="DR394" s="29"/>
      <c r="DS394" s="29"/>
      <c r="DT394" s="29"/>
      <c r="DU394" s="29"/>
      <c r="DV394" s="29"/>
      <c r="DW394" s="29"/>
      <c r="DX394" s="29"/>
      <c r="DY394" s="29"/>
      <c r="DZ394" s="29"/>
      <c r="EA394" s="29"/>
      <c r="EB394" s="29"/>
      <c r="EC394" s="29"/>
      <c r="ED394" s="29"/>
      <c r="EE394" s="29"/>
      <c r="EF394" s="29"/>
      <c r="EG394" s="29"/>
      <c r="EH394" s="29"/>
      <c r="EI394" s="29"/>
      <c r="EJ394" s="29"/>
      <c r="EK394" s="29"/>
      <c r="EL394" s="29"/>
      <c r="EM394" s="29"/>
      <c r="EN394" s="29"/>
      <c r="EO394" s="29"/>
      <c r="EP394" s="29"/>
      <c r="EQ394" s="29"/>
      <c r="ER394" s="29"/>
      <c r="ES394" s="29"/>
      <c r="ET394" s="29" t="s">
        <v>578</v>
      </c>
      <c r="EU394" s="29" t="s">
        <v>479</v>
      </c>
      <c r="EV394" s="29" t="s">
        <v>1534</v>
      </c>
      <c r="EW394" s="29"/>
      <c r="EX394" s="29" t="s">
        <v>1313</v>
      </c>
      <c r="EY394" s="29" t="s">
        <v>1313</v>
      </c>
      <c r="EZ394" s="29" t="s">
        <v>416</v>
      </c>
      <c r="FA394" s="29" t="s">
        <v>415</v>
      </c>
      <c r="FB394" s="29" t="s">
        <v>415</v>
      </c>
      <c r="FC394" s="29" t="s">
        <v>415</v>
      </c>
      <c r="FD394" s="29" t="s">
        <v>416</v>
      </c>
      <c r="FE394" s="29" t="s">
        <v>414</v>
      </c>
      <c r="FF394" s="29" t="s">
        <v>415</v>
      </c>
      <c r="FG394" s="29" t="s">
        <v>413</v>
      </c>
      <c r="FH394" s="29" t="s">
        <v>583</v>
      </c>
      <c r="FI394" s="29" t="s">
        <v>583</v>
      </c>
      <c r="FJ394" s="29" t="s">
        <v>415</v>
      </c>
      <c r="FK394" s="29" t="s">
        <v>415</v>
      </c>
      <c r="FL394" s="29" t="s">
        <v>415</v>
      </c>
      <c r="FM394" s="29" t="s">
        <v>416</v>
      </c>
      <c r="FN394" s="29" t="s">
        <v>414</v>
      </c>
      <c r="FO394" s="29" t="s">
        <v>850</v>
      </c>
      <c r="FP394" s="29" t="s">
        <v>418</v>
      </c>
      <c r="FQ394" s="29" t="s">
        <v>749</v>
      </c>
      <c r="FR394" s="29"/>
      <c r="FS394" s="29" t="s">
        <v>995</v>
      </c>
      <c r="FT394" s="29" t="s">
        <v>1462</v>
      </c>
      <c r="FU394" s="29" t="s">
        <v>918</v>
      </c>
      <c r="FV394" s="29" t="s">
        <v>490</v>
      </c>
      <c r="FW394" s="29" t="s">
        <v>1853</v>
      </c>
      <c r="FX394" s="29"/>
      <c r="FY394" s="29" t="s">
        <v>493</v>
      </c>
      <c r="FZ394" s="29"/>
      <c r="GA394" s="29"/>
      <c r="GB394" s="29" t="s">
        <v>408</v>
      </c>
      <c r="GC394" s="29"/>
      <c r="GD394" s="29"/>
      <c r="GE394" s="29"/>
      <c r="GF394" s="29"/>
      <c r="GG394" s="29" t="s">
        <v>788</v>
      </c>
      <c r="GH394" s="29" t="s">
        <v>920</v>
      </c>
      <c r="GI394" s="29" t="s">
        <v>858</v>
      </c>
      <c r="GJ394" s="29"/>
      <c r="GK394" s="29"/>
      <c r="GL394" s="29"/>
      <c r="GM394" s="29"/>
      <c r="GN394" s="29"/>
      <c r="GO394" s="29"/>
      <c r="GP394" s="29" t="s">
        <v>1706</v>
      </c>
      <c r="GQ394" s="29" t="s">
        <v>3306</v>
      </c>
      <c r="GR394" s="29"/>
      <c r="GS394" s="29"/>
      <c r="GT394" s="29" t="s">
        <v>4774</v>
      </c>
      <c r="GU394" s="29"/>
      <c r="HP394" s="31"/>
      <c r="MX394" s="29" t="s">
        <v>10402</v>
      </c>
      <c r="MY394" s="29" t="str">
        <f>IFERROR(__xludf.DUMMYFUNCTION("""COMPUTED_VALUE"""),"North Carolina")</f>
        <v>North Carolina</v>
      </c>
    </row>
    <row r="395" ht="16.5" customHeight="1">
      <c r="A395" s="33">
        <v>45980.70007561342</v>
      </c>
      <c r="B395" s="29" t="s">
        <v>368</v>
      </c>
      <c r="C395" s="29" t="s">
        <v>370</v>
      </c>
      <c r="D395" s="29" t="s">
        <v>370</v>
      </c>
      <c r="E395" s="29" t="s">
        <v>3955</v>
      </c>
      <c r="F395" s="29" t="s">
        <v>1480</v>
      </c>
      <c r="G395" s="29" t="s">
        <v>422</v>
      </c>
      <c r="H395" s="29" t="s">
        <v>373</v>
      </c>
      <c r="I395" s="29" t="s">
        <v>374</v>
      </c>
      <c r="J395" s="29" t="s">
        <v>375</v>
      </c>
      <c r="K395" s="29" t="s">
        <v>376</v>
      </c>
      <c r="L395" s="29" t="s">
        <v>793</v>
      </c>
      <c r="M395" s="29" t="s">
        <v>719</v>
      </c>
      <c r="N395" s="29" t="s">
        <v>793</v>
      </c>
      <c r="O395" s="29" t="s">
        <v>719</v>
      </c>
      <c r="P395" s="29" t="s">
        <v>592</v>
      </c>
      <c r="Q395" s="29" t="s">
        <v>382</v>
      </c>
      <c r="R395" s="29" t="s">
        <v>427</v>
      </c>
      <c r="S395" s="29" t="s">
        <v>384</v>
      </c>
      <c r="T395" s="29" t="s">
        <v>385</v>
      </c>
      <c r="U395" s="29"/>
      <c r="V395" s="29"/>
      <c r="W395" s="29" t="s">
        <v>1023</v>
      </c>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t="s">
        <v>597</v>
      </c>
      <c r="AW395" s="29">
        <v>4.0</v>
      </c>
      <c r="AX395" s="29">
        <v>2.0</v>
      </c>
      <c r="AY395" s="29" t="s">
        <v>391</v>
      </c>
      <c r="AZ395" s="29" t="s">
        <v>391</v>
      </c>
      <c r="BA395" s="29">
        <v>2.0</v>
      </c>
      <c r="BB395" s="29" t="s">
        <v>391</v>
      </c>
      <c r="BC395" s="29" t="s">
        <v>7863</v>
      </c>
      <c r="BD395" s="29" t="s">
        <v>7864</v>
      </c>
      <c r="BE395" s="29" t="s">
        <v>432</v>
      </c>
      <c r="BF395" s="29" t="s">
        <v>393</v>
      </c>
      <c r="BG395" s="29" t="s">
        <v>765</v>
      </c>
      <c r="BH395" s="29" t="s">
        <v>7865</v>
      </c>
      <c r="BI395" s="29" t="s">
        <v>509</v>
      </c>
      <c r="BJ395" s="29" t="s">
        <v>7866</v>
      </c>
      <c r="BK395" s="29" t="s">
        <v>681</v>
      </c>
      <c r="BL395" s="29" t="s">
        <v>438</v>
      </c>
      <c r="BM395" s="29" t="s">
        <v>397</v>
      </c>
      <c r="BN395" s="29" t="s">
        <v>440</v>
      </c>
      <c r="BO395" s="29"/>
      <c r="BP395" s="29"/>
      <c r="BQ395" s="29"/>
      <c r="BR395" s="29"/>
      <c r="BS395" s="29"/>
      <c r="BT395" s="29"/>
      <c r="BU395" s="29"/>
      <c r="BV395" s="29"/>
      <c r="BW395" s="29"/>
      <c r="BX395" s="29"/>
      <c r="BY395" s="29"/>
      <c r="BZ395" s="29"/>
      <c r="CA395" s="29"/>
      <c r="CB395" s="29"/>
      <c r="CC395" s="29"/>
      <c r="CD395" s="29"/>
      <c r="CE395" s="29"/>
      <c r="CF395" s="29"/>
      <c r="CG395" s="29"/>
      <c r="CH395" s="29"/>
      <c r="CI395" s="29"/>
      <c r="CJ395" s="29"/>
      <c r="CK395" s="29"/>
      <c r="CL395" s="29" t="s">
        <v>441</v>
      </c>
      <c r="CM395" s="29" t="s">
        <v>401</v>
      </c>
      <c r="CN395" s="29" t="s">
        <v>7867</v>
      </c>
      <c r="CO395" s="29" t="s">
        <v>7868</v>
      </c>
      <c r="CP395" s="29" t="s">
        <v>403</v>
      </c>
      <c r="CQ395" s="29" t="s">
        <v>1427</v>
      </c>
      <c r="CR395" s="29" t="s">
        <v>447</v>
      </c>
      <c r="CS395" s="29" t="s">
        <v>1137</v>
      </c>
      <c r="CT395" s="29" t="s">
        <v>7869</v>
      </c>
      <c r="CU395" s="29" t="s">
        <v>519</v>
      </c>
      <c r="CV395" s="29" t="s">
        <v>451</v>
      </c>
      <c r="CW395" s="29" t="s">
        <v>7870</v>
      </c>
      <c r="CX395" s="29" t="s">
        <v>408</v>
      </c>
      <c r="CY395" s="29"/>
      <c r="CZ395" s="29" t="s">
        <v>453</v>
      </c>
      <c r="DA395" s="29" t="s">
        <v>7871</v>
      </c>
      <c r="DB395" s="29" t="s">
        <v>455</v>
      </c>
      <c r="DC395" s="29" t="s">
        <v>7872</v>
      </c>
      <c r="DD395" s="29" t="s">
        <v>406</v>
      </c>
      <c r="DE395" s="29" t="s">
        <v>691</v>
      </c>
      <c r="DF395" s="29" t="s">
        <v>7873</v>
      </c>
      <c r="DG395" s="29" t="s">
        <v>524</v>
      </c>
      <c r="DH395" s="29" t="s">
        <v>1964</v>
      </c>
      <c r="DI395" s="29" t="s">
        <v>459</v>
      </c>
      <c r="DJ395" s="29" t="s">
        <v>613</v>
      </c>
      <c r="DK395" s="29"/>
      <c r="DL395" s="29"/>
      <c r="DM395" s="29" t="s">
        <v>7874</v>
      </c>
      <c r="DN395" s="29" t="s">
        <v>7875</v>
      </c>
      <c r="DO395" s="29" t="s">
        <v>567</v>
      </c>
      <c r="DP395" s="29" t="s">
        <v>7876</v>
      </c>
      <c r="DQ395" s="29" t="s">
        <v>1291</v>
      </c>
      <c r="DR395" s="29" t="s">
        <v>7877</v>
      </c>
      <c r="DS395" s="29" t="s">
        <v>702</v>
      </c>
      <c r="DT395" s="29" t="s">
        <v>570</v>
      </c>
      <c r="DU395" s="29" t="s">
        <v>7878</v>
      </c>
      <c r="DV395" s="29" t="s">
        <v>7879</v>
      </c>
      <c r="DW395" s="29" t="s">
        <v>622</v>
      </c>
      <c r="DX395" s="29" t="s">
        <v>7880</v>
      </c>
      <c r="DY395" s="29" t="s">
        <v>7881</v>
      </c>
      <c r="DZ395" s="29" t="s">
        <v>7882</v>
      </c>
      <c r="EA395" s="29" t="s">
        <v>475</v>
      </c>
      <c r="EB395" s="29" t="s">
        <v>845</v>
      </c>
      <c r="EC395" s="29" t="s">
        <v>7883</v>
      </c>
      <c r="ED395" s="29"/>
      <c r="EE395" s="29"/>
      <c r="EF395" s="29"/>
      <c r="EG395" s="29"/>
      <c r="EH395" s="29"/>
      <c r="EI395" s="29"/>
      <c r="EJ395" s="29"/>
      <c r="EK395" s="29"/>
      <c r="EL395" s="29"/>
      <c r="EM395" s="29"/>
      <c r="EN395" s="29"/>
      <c r="EO395" s="29"/>
      <c r="EP395" s="29"/>
      <c r="EQ395" s="29"/>
      <c r="ER395" s="29"/>
      <c r="ES395" s="29"/>
      <c r="ET395" s="29" t="s">
        <v>526</v>
      </c>
      <c r="EU395" s="29" t="s">
        <v>479</v>
      </c>
      <c r="EV395" s="29" t="s">
        <v>663</v>
      </c>
      <c r="EW395" s="29"/>
      <c r="EX395" s="29" t="s">
        <v>7884</v>
      </c>
      <c r="EY395" s="29"/>
      <c r="EZ395" s="29" t="s">
        <v>413</v>
      </c>
      <c r="FA395" s="29" t="s">
        <v>413</v>
      </c>
      <c r="FB395" s="29" t="s">
        <v>413</v>
      </c>
      <c r="FC395" s="29" t="s">
        <v>413</v>
      </c>
      <c r="FD395" s="29" t="s">
        <v>413</v>
      </c>
      <c r="FE395" s="29" t="s">
        <v>413</v>
      </c>
      <c r="FF395" s="29" t="s">
        <v>413</v>
      </c>
      <c r="FG395" s="29" t="s">
        <v>415</v>
      </c>
      <c r="FH395" s="29" t="s">
        <v>583</v>
      </c>
      <c r="FI395" s="29" t="s">
        <v>583</v>
      </c>
      <c r="FJ395" s="29" t="s">
        <v>484</v>
      </c>
      <c r="FK395" s="29" t="s">
        <v>484</v>
      </c>
      <c r="FL395" s="29" t="s">
        <v>484</v>
      </c>
      <c r="FM395" s="29" t="s">
        <v>484</v>
      </c>
      <c r="FN395" s="29" t="s">
        <v>484</v>
      </c>
      <c r="FO395" s="29" t="s">
        <v>417</v>
      </c>
      <c r="FP395" s="29" t="s">
        <v>418</v>
      </c>
      <c r="FQ395" s="29" t="s">
        <v>712</v>
      </c>
      <c r="FR395" s="29"/>
      <c r="FS395" s="29" t="s">
        <v>420</v>
      </c>
      <c r="FT395" s="29" t="s">
        <v>488</v>
      </c>
      <c r="FU395" s="29" t="s">
        <v>918</v>
      </c>
      <c r="FV395" s="29" t="s">
        <v>490</v>
      </c>
      <c r="FW395" s="29" t="s">
        <v>491</v>
      </c>
      <c r="FX395" s="29" t="s">
        <v>7885</v>
      </c>
      <c r="FY395" s="29" t="s">
        <v>493</v>
      </c>
      <c r="FZ395" s="29"/>
      <c r="GA395" s="29"/>
      <c r="GB395" s="29" t="s">
        <v>408</v>
      </c>
      <c r="GC395" s="29"/>
      <c r="GD395" s="29"/>
      <c r="GE395" s="29"/>
      <c r="GF395" s="29"/>
      <c r="GG395" s="29" t="s">
        <v>857</v>
      </c>
      <c r="GH395" s="29" t="s">
        <v>857</v>
      </c>
      <c r="GI395" s="29" t="s">
        <v>756</v>
      </c>
      <c r="GJ395" s="29"/>
      <c r="GK395" s="29"/>
      <c r="GL395" s="29"/>
      <c r="GM395" s="29" t="s">
        <v>1079</v>
      </c>
      <c r="GN395" s="29"/>
      <c r="GO395" s="29"/>
      <c r="GP395" s="29"/>
      <c r="GQ395" s="29" t="s">
        <v>3208</v>
      </c>
      <c r="GR395" s="29"/>
      <c r="GS395" s="29"/>
      <c r="GT395" s="29" t="s">
        <v>4774</v>
      </c>
      <c r="GU395" s="29" t="s">
        <v>7886</v>
      </c>
      <c r="HP395" s="31"/>
      <c r="MX395" s="29" t="s">
        <v>2025</v>
      </c>
      <c r="MY395" s="29" t="str">
        <f>IFERROR(__xludf.DUMMYFUNCTION("""COMPUTED_VALUE"""),"South Africa")</f>
        <v>South Africa</v>
      </c>
    </row>
    <row r="396" ht="16.5" customHeight="1">
      <c r="A396" s="33">
        <v>45983.2148534375</v>
      </c>
      <c r="B396" s="29" t="s">
        <v>368</v>
      </c>
      <c r="C396" s="29" t="s">
        <v>2025</v>
      </c>
      <c r="D396" s="29" t="s">
        <v>2025</v>
      </c>
      <c r="E396" s="29"/>
      <c r="F396" s="29"/>
      <c r="G396" s="29" t="s">
        <v>422</v>
      </c>
      <c r="H396" s="29" t="s">
        <v>423</v>
      </c>
      <c r="I396" s="29" t="s">
        <v>668</v>
      </c>
      <c r="J396" s="29" t="s">
        <v>1240</v>
      </c>
      <c r="K396" s="29" t="s">
        <v>376</v>
      </c>
      <c r="L396" s="29" t="s">
        <v>426</v>
      </c>
      <c r="M396" s="29" t="s">
        <v>378</v>
      </c>
      <c r="N396" s="29" t="s">
        <v>591</v>
      </c>
      <c r="O396" s="29" t="s">
        <v>541</v>
      </c>
      <c r="P396" s="29" t="s">
        <v>498</v>
      </c>
      <c r="Q396" s="29" t="s">
        <v>818</v>
      </c>
      <c r="R396" s="29" t="s">
        <v>427</v>
      </c>
      <c r="S396" s="29" t="s">
        <v>384</v>
      </c>
      <c r="T396" s="29" t="s">
        <v>385</v>
      </c>
      <c r="U396" s="29"/>
      <c r="V396" s="29"/>
      <c r="W396" s="29" t="s">
        <v>593</v>
      </c>
      <c r="X396" s="29" t="s">
        <v>387</v>
      </c>
      <c r="Y396" s="29" t="s">
        <v>388</v>
      </c>
      <c r="Z396" s="29" t="s">
        <v>543</v>
      </c>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t="s">
        <v>390</v>
      </c>
      <c r="AW396" s="29">
        <v>2.0</v>
      </c>
      <c r="AX396" s="29">
        <v>2.0</v>
      </c>
      <c r="AY396" s="29">
        <v>2.0</v>
      </c>
      <c r="AZ396" s="29">
        <v>2.0</v>
      </c>
      <c r="BA396" s="29" t="s">
        <v>429</v>
      </c>
      <c r="BB396" s="29" t="s">
        <v>429</v>
      </c>
      <c r="BC396" s="29"/>
      <c r="BD396" s="29"/>
      <c r="BE396" s="29" t="s">
        <v>392</v>
      </c>
      <c r="BF396" s="29" t="s">
        <v>433</v>
      </c>
      <c r="BG396" s="29" t="s">
        <v>725</v>
      </c>
      <c r="BH396" s="29"/>
      <c r="BI396" s="29" t="s">
        <v>727</v>
      </c>
      <c r="BJ396" s="29"/>
      <c r="BK396" s="29" t="s">
        <v>437</v>
      </c>
      <c r="BL396" s="29" t="s">
        <v>512</v>
      </c>
      <c r="BM396" s="29" t="s">
        <v>549</v>
      </c>
      <c r="BN396" s="29" t="s">
        <v>513</v>
      </c>
      <c r="BO396" s="29"/>
      <c r="BP396" s="29"/>
      <c r="BQ396" s="29"/>
      <c r="BR396" s="29"/>
      <c r="BS396" s="29"/>
      <c r="BT396" s="29"/>
      <c r="BU396" s="29"/>
      <c r="BV396" s="29"/>
      <c r="BW396" s="29"/>
      <c r="BX396" s="29"/>
      <c r="BY396" s="29"/>
      <c r="BZ396" s="29"/>
      <c r="CA396" s="29"/>
      <c r="CB396" s="29"/>
      <c r="CC396" s="29"/>
      <c r="CD396" s="29"/>
      <c r="CE396" s="29"/>
      <c r="CF396" s="29"/>
      <c r="CG396" s="29"/>
      <c r="CH396" s="29"/>
      <c r="CI396" s="29"/>
      <c r="CJ396" s="29"/>
      <c r="CK396" s="29"/>
      <c r="CL396" s="29" t="s">
        <v>441</v>
      </c>
      <c r="CM396" s="29" t="s">
        <v>401</v>
      </c>
      <c r="CN396" s="29" t="s">
        <v>552</v>
      </c>
      <c r="CO396" s="29" t="s">
        <v>7890</v>
      </c>
      <c r="CP396" s="29" t="s">
        <v>979</v>
      </c>
      <c r="CQ396" s="29" t="s">
        <v>7891</v>
      </c>
      <c r="CR396" s="29" t="s">
        <v>804</v>
      </c>
      <c r="CS396" s="29" t="s">
        <v>7892</v>
      </c>
      <c r="CT396" s="29" t="s">
        <v>7893</v>
      </c>
      <c r="CU396" s="29" t="s">
        <v>519</v>
      </c>
      <c r="CV396" s="29" t="s">
        <v>451</v>
      </c>
      <c r="CW396" s="29"/>
      <c r="CX396" s="29" t="s">
        <v>408</v>
      </c>
      <c r="CY396" s="29"/>
      <c r="CZ396" s="29" t="s">
        <v>453</v>
      </c>
      <c r="DA396" s="29"/>
      <c r="DB396" s="29" t="s">
        <v>455</v>
      </c>
      <c r="DC396" s="29" t="s">
        <v>7894</v>
      </c>
      <c r="DD396" s="29" t="s">
        <v>406</v>
      </c>
      <c r="DE396" s="29" t="s">
        <v>407</v>
      </c>
      <c r="DF396" s="29" t="s">
        <v>7895</v>
      </c>
      <c r="DG396" s="29" t="s">
        <v>524</v>
      </c>
      <c r="DH396" s="29" t="s">
        <v>410</v>
      </c>
      <c r="DI396" s="29" t="s">
        <v>459</v>
      </c>
      <c r="DJ396" s="29" t="s">
        <v>613</v>
      </c>
      <c r="DK396" s="29"/>
      <c r="DL396" s="29"/>
      <c r="DM396" s="29"/>
      <c r="DN396" s="29"/>
      <c r="DO396" s="29"/>
      <c r="DP396" s="29"/>
      <c r="DQ396" s="29"/>
      <c r="DR396" s="29"/>
      <c r="DS396" s="29"/>
      <c r="DT396" s="29"/>
      <c r="DU396" s="29"/>
      <c r="DV396" s="29"/>
      <c r="DW396" s="29"/>
      <c r="DX396" s="29"/>
      <c r="DY396" s="29"/>
      <c r="DZ396" s="29"/>
      <c r="EA396" s="29"/>
      <c r="EB396" s="29"/>
      <c r="EC396" s="29"/>
      <c r="ED396" s="29"/>
      <c r="EE396" s="29"/>
      <c r="EF396" s="29"/>
      <c r="EG396" s="29"/>
      <c r="EH396" s="29"/>
      <c r="EI396" s="29"/>
      <c r="EJ396" s="29"/>
      <c r="EK396" s="29"/>
      <c r="EL396" s="29"/>
      <c r="EM396" s="29"/>
      <c r="EN396" s="29"/>
      <c r="EO396" s="29"/>
      <c r="EP396" s="29"/>
      <c r="EQ396" s="29"/>
      <c r="ER396" s="29"/>
      <c r="ES396" s="29"/>
      <c r="ET396" s="29" t="s">
        <v>526</v>
      </c>
      <c r="EU396" s="29" t="s">
        <v>579</v>
      </c>
      <c r="EV396" s="29" t="s">
        <v>480</v>
      </c>
      <c r="EW396" s="29"/>
      <c r="EX396" s="29"/>
      <c r="EY396" s="29"/>
      <c r="EZ396" s="29" t="s">
        <v>413</v>
      </c>
      <c r="FA396" s="29" t="s">
        <v>414</v>
      </c>
      <c r="FB396" s="29" t="s">
        <v>413</v>
      </c>
      <c r="FC396" s="29" t="s">
        <v>413</v>
      </c>
      <c r="FD396" s="29" t="s">
        <v>413</v>
      </c>
      <c r="FE396" s="29" t="s">
        <v>414</v>
      </c>
      <c r="FF396" s="29" t="s">
        <v>416</v>
      </c>
      <c r="FG396" s="29" t="s">
        <v>416</v>
      </c>
      <c r="FH396" s="29" t="s">
        <v>583</v>
      </c>
      <c r="FI396" s="29" t="s">
        <v>416</v>
      </c>
      <c r="FJ396" s="29" t="s">
        <v>414</v>
      </c>
      <c r="FK396" s="29" t="s">
        <v>414</v>
      </c>
      <c r="FL396" s="29" t="s">
        <v>583</v>
      </c>
      <c r="FM396" s="29" t="s">
        <v>414</v>
      </c>
      <c r="FN396" s="29" t="s">
        <v>414</v>
      </c>
      <c r="FO396" s="29" t="s">
        <v>417</v>
      </c>
      <c r="FP396" s="29" t="s">
        <v>486</v>
      </c>
      <c r="FQ396" s="29" t="s">
        <v>712</v>
      </c>
      <c r="FR396" s="29"/>
      <c r="FS396" s="29" t="s">
        <v>420</v>
      </c>
      <c r="FT396" s="29" t="s">
        <v>488</v>
      </c>
      <c r="FU396" s="29" t="s">
        <v>1235</v>
      </c>
      <c r="FV396" s="29" t="s">
        <v>490</v>
      </c>
      <c r="FW396" s="29"/>
      <c r="FX396" s="29"/>
      <c r="FY396" s="29" t="s">
        <v>493</v>
      </c>
      <c r="FZ396" s="29"/>
      <c r="GA396" s="29"/>
      <c r="GB396" s="29" t="s">
        <v>408</v>
      </c>
      <c r="GC396" s="29"/>
      <c r="GD396" s="29"/>
      <c r="GE396" s="29"/>
      <c r="GF396" s="29"/>
      <c r="GG396" s="29" t="s">
        <v>755</v>
      </c>
      <c r="GH396" s="29" t="s">
        <v>755</v>
      </c>
      <c r="GI396" s="29" t="s">
        <v>946</v>
      </c>
      <c r="GJ396" s="29"/>
      <c r="GK396" s="29"/>
      <c r="GL396" s="29"/>
      <c r="GM396" s="29"/>
      <c r="GN396" s="29"/>
      <c r="GO396" s="29"/>
      <c r="GP396" s="29"/>
      <c r="GQ396" s="29" t="s">
        <v>3208</v>
      </c>
      <c r="GR396" s="29"/>
      <c r="GS396" s="29"/>
      <c r="GT396" s="29"/>
      <c r="GU396" s="29"/>
      <c r="HP396" s="31"/>
      <c r="MX396" s="29" t="s">
        <v>10402</v>
      </c>
      <c r="MY396" s="29" t="str">
        <f>IFERROR(__xludf.DUMMYFUNCTION("""COMPUTED_VALUE"""),"Oregon")</f>
        <v>Oregon</v>
      </c>
    </row>
    <row r="397" ht="16.5" customHeight="1">
      <c r="A397" s="33">
        <v>45983.6917247338</v>
      </c>
      <c r="B397" s="29" t="s">
        <v>368</v>
      </c>
      <c r="C397" s="29" t="s">
        <v>370</v>
      </c>
      <c r="D397" s="29" t="s">
        <v>370</v>
      </c>
      <c r="E397" s="29" t="s">
        <v>2400</v>
      </c>
      <c r="F397" s="29" t="s">
        <v>2400</v>
      </c>
      <c r="G397" s="29" t="s">
        <v>422</v>
      </c>
      <c r="H397" s="29" t="s">
        <v>373</v>
      </c>
      <c r="I397" s="29" t="s">
        <v>374</v>
      </c>
      <c r="J397" s="29" t="s">
        <v>375</v>
      </c>
      <c r="K397" s="29" t="s">
        <v>376</v>
      </c>
      <c r="L397" s="29" t="s">
        <v>426</v>
      </c>
      <c r="M397" s="29" t="s">
        <v>541</v>
      </c>
      <c r="N397" s="29" t="s">
        <v>379</v>
      </c>
      <c r="O397" s="29" t="s">
        <v>497</v>
      </c>
      <c r="P397" s="29" t="s">
        <v>381</v>
      </c>
      <c r="Q397" s="29" t="s">
        <v>862</v>
      </c>
      <c r="R397" s="29" t="s">
        <v>949</v>
      </c>
      <c r="S397" s="29" t="s">
        <v>384</v>
      </c>
      <c r="T397" s="29" t="s">
        <v>385</v>
      </c>
      <c r="U397" s="29"/>
      <c r="V397" s="29"/>
      <c r="W397" s="29" t="s">
        <v>3014</v>
      </c>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t="s">
        <v>504</v>
      </c>
      <c r="AW397" s="29" t="s">
        <v>391</v>
      </c>
      <c r="AX397" s="29" t="s">
        <v>391</v>
      </c>
      <c r="AY397" s="29" t="s">
        <v>391</v>
      </c>
      <c r="AZ397" s="29" t="s">
        <v>429</v>
      </c>
      <c r="BA397" s="29" t="s">
        <v>429</v>
      </c>
      <c r="BB397" s="29">
        <v>2.0</v>
      </c>
      <c r="BC397" s="29" t="s">
        <v>7896</v>
      </c>
      <c r="BD397" s="29"/>
      <c r="BE397" s="29" t="s">
        <v>392</v>
      </c>
      <c r="BF397" s="29" t="s">
        <v>433</v>
      </c>
      <c r="BG397" s="29" t="s">
        <v>678</v>
      </c>
      <c r="BH397" s="29"/>
      <c r="BI397" s="29" t="s">
        <v>435</v>
      </c>
      <c r="BJ397" s="29"/>
      <c r="BK397" s="29" t="s">
        <v>511</v>
      </c>
      <c r="BL397" s="29" t="s">
        <v>438</v>
      </c>
      <c r="BM397" s="29" t="s">
        <v>549</v>
      </c>
      <c r="BN397" s="29" t="s">
        <v>440</v>
      </c>
      <c r="BO397" s="29"/>
      <c r="BP397" s="29"/>
      <c r="BQ397" s="29"/>
      <c r="BR397" s="29"/>
      <c r="BS397" s="29"/>
      <c r="BT397" s="29"/>
      <c r="BU397" s="29"/>
      <c r="BV397" s="29"/>
      <c r="BW397" s="29"/>
      <c r="BX397" s="29"/>
      <c r="BY397" s="29"/>
      <c r="BZ397" s="29"/>
      <c r="CA397" s="29"/>
      <c r="CB397" s="29"/>
      <c r="CC397" s="29"/>
      <c r="CD397" s="29"/>
      <c r="CE397" s="29"/>
      <c r="CF397" s="29"/>
      <c r="CG397" s="29"/>
      <c r="CH397" s="29"/>
      <c r="CI397" s="29"/>
      <c r="CJ397" s="29"/>
      <c r="CK397" s="29"/>
      <c r="CL397" s="29" t="s">
        <v>441</v>
      </c>
      <c r="CM397" s="29" t="s">
        <v>604</v>
      </c>
      <c r="CN397" s="29" t="s">
        <v>7897</v>
      </c>
      <c r="CO397" s="29" t="s">
        <v>7898</v>
      </c>
      <c r="CP397" s="29" t="s">
        <v>979</v>
      </c>
      <c r="CQ397" s="29" t="s">
        <v>7899</v>
      </c>
      <c r="CR397" s="29" t="s">
        <v>447</v>
      </c>
      <c r="CS397" s="29" t="s">
        <v>7900</v>
      </c>
      <c r="CT397" s="29" t="s">
        <v>7901</v>
      </c>
      <c r="CU397" s="29" t="s">
        <v>450</v>
      </c>
      <c r="CV397" s="29" t="s">
        <v>451</v>
      </c>
      <c r="CW397" s="29" t="s">
        <v>7902</v>
      </c>
      <c r="CX397" s="29" t="s">
        <v>408</v>
      </c>
      <c r="CY397" s="29"/>
      <c r="CZ397" s="29" t="s">
        <v>453</v>
      </c>
      <c r="DA397" s="29" t="s">
        <v>7903</v>
      </c>
      <c r="DB397" s="29"/>
      <c r="DC397" s="29"/>
      <c r="DD397" s="29" t="s">
        <v>988</v>
      </c>
      <c r="DE397" s="29"/>
      <c r="DF397" s="29"/>
      <c r="DG397" s="29" t="s">
        <v>524</v>
      </c>
      <c r="DH397" s="29" t="s">
        <v>410</v>
      </c>
      <c r="DI397" s="29" t="s">
        <v>459</v>
      </c>
      <c r="DJ397" s="29" t="s">
        <v>460</v>
      </c>
      <c r="DK397" s="29" t="s">
        <v>6335</v>
      </c>
      <c r="DL397" s="29"/>
      <c r="DM397" s="29" t="s">
        <v>7904</v>
      </c>
      <c r="DN397" s="29" t="s">
        <v>7905</v>
      </c>
      <c r="DO397" s="29" t="s">
        <v>567</v>
      </c>
      <c r="DP397" s="29" t="s">
        <v>7906</v>
      </c>
      <c r="DQ397" s="29" t="s">
        <v>1578</v>
      </c>
      <c r="DR397" s="29"/>
      <c r="DS397" s="29" t="s">
        <v>702</v>
      </c>
      <c r="DT397" s="29" t="s">
        <v>703</v>
      </c>
      <c r="DU397" s="29" t="s">
        <v>7907</v>
      </c>
      <c r="DV397" s="29"/>
      <c r="DW397" s="29" t="s">
        <v>622</v>
      </c>
      <c r="DX397" s="29" t="s">
        <v>7908</v>
      </c>
      <c r="DY397" s="29" t="s">
        <v>7909</v>
      </c>
      <c r="DZ397" s="29" t="s">
        <v>7910</v>
      </c>
      <c r="EA397" s="29" t="s">
        <v>1413</v>
      </c>
      <c r="EB397" s="29" t="s">
        <v>1183</v>
      </c>
      <c r="EC397" s="29"/>
      <c r="ED397" s="29"/>
      <c r="EE397" s="29"/>
      <c r="EF397" s="29"/>
      <c r="EG397" s="29"/>
      <c r="EH397" s="29"/>
      <c r="EI397" s="29"/>
      <c r="EJ397" s="29"/>
      <c r="EK397" s="29"/>
      <c r="EL397" s="29"/>
      <c r="EM397" s="29"/>
      <c r="EN397" s="29"/>
      <c r="EO397" s="29"/>
      <c r="EP397" s="29"/>
      <c r="EQ397" s="29"/>
      <c r="ER397" s="29"/>
      <c r="ES397" s="29"/>
      <c r="ET397" s="29" t="s">
        <v>526</v>
      </c>
      <c r="EU397" s="29" t="s">
        <v>479</v>
      </c>
      <c r="EV397" s="29" t="s">
        <v>527</v>
      </c>
      <c r="EW397" s="29" t="s">
        <v>7911</v>
      </c>
      <c r="EX397" s="29" t="s">
        <v>7912</v>
      </c>
      <c r="EY397" s="29" t="s">
        <v>7913</v>
      </c>
      <c r="EZ397" s="29" t="s">
        <v>413</v>
      </c>
      <c r="FA397" s="29" t="s">
        <v>415</v>
      </c>
      <c r="FB397" s="29" t="s">
        <v>413</v>
      </c>
      <c r="FC397" s="29" t="s">
        <v>413</v>
      </c>
      <c r="FD397" s="29" t="s">
        <v>413</v>
      </c>
      <c r="FE397" s="29" t="s">
        <v>415</v>
      </c>
      <c r="FF397" s="29" t="s">
        <v>413</v>
      </c>
      <c r="FG397" s="29" t="s">
        <v>413</v>
      </c>
      <c r="FH397" s="29" t="s">
        <v>583</v>
      </c>
      <c r="FI397" s="29" t="s">
        <v>416</v>
      </c>
      <c r="FJ397" s="29" t="s">
        <v>416</v>
      </c>
      <c r="FK397" s="29" t="s">
        <v>413</v>
      </c>
      <c r="FL397" s="29" t="s">
        <v>416</v>
      </c>
      <c r="FM397" s="29" t="s">
        <v>413</v>
      </c>
      <c r="FN397" s="29" t="s">
        <v>583</v>
      </c>
      <c r="FO397" s="29" t="s">
        <v>417</v>
      </c>
      <c r="FP397" s="29" t="s">
        <v>418</v>
      </c>
      <c r="FQ397" s="29" t="s">
        <v>531</v>
      </c>
      <c r="FR397" s="29" t="s">
        <v>7914</v>
      </c>
      <c r="FS397" s="29" t="s">
        <v>420</v>
      </c>
      <c r="FT397" s="29" t="s">
        <v>488</v>
      </c>
      <c r="FU397" s="29" t="s">
        <v>489</v>
      </c>
      <c r="FV397" s="29" t="s">
        <v>490</v>
      </c>
      <c r="FW397" s="29" t="s">
        <v>491</v>
      </c>
      <c r="FX397" s="29" t="s">
        <v>7915</v>
      </c>
      <c r="FY397" s="29" t="s">
        <v>535</v>
      </c>
      <c r="FZ397" s="29" t="s">
        <v>7916</v>
      </c>
      <c r="GA397" s="29" t="s">
        <v>7917</v>
      </c>
      <c r="GB397" s="29" t="s">
        <v>408</v>
      </c>
      <c r="GC397" s="29"/>
      <c r="GD397" s="29"/>
      <c r="GE397" s="29"/>
      <c r="GF397" s="29"/>
      <c r="GG397" s="29" t="s">
        <v>755</v>
      </c>
      <c r="GH397" s="29" t="s">
        <v>755</v>
      </c>
      <c r="GI397" s="29" t="s">
        <v>946</v>
      </c>
      <c r="GJ397" s="29"/>
      <c r="GK397" s="29"/>
      <c r="GL397" s="29"/>
      <c r="GM397" s="29" t="s">
        <v>1079</v>
      </c>
      <c r="GN397" s="29"/>
      <c r="GO397" s="29"/>
      <c r="GP397" s="29"/>
      <c r="GQ397" s="29" t="s">
        <v>5656</v>
      </c>
      <c r="GR397" s="29"/>
      <c r="GS397" s="29"/>
      <c r="GT397" s="29" t="s">
        <v>4774</v>
      </c>
      <c r="GU397" s="29"/>
      <c r="HP397" s="31"/>
      <c r="MX397" s="29" t="s">
        <v>7920</v>
      </c>
      <c r="MY397" s="29" t="str">
        <f>IFERROR(__xludf.DUMMYFUNCTION("""COMPUTED_VALUE"""),"Singapore")</f>
        <v>Singapore</v>
      </c>
    </row>
    <row r="398" ht="16.5" customHeight="1">
      <c r="A398" s="33">
        <v>45983.925561076394</v>
      </c>
      <c r="B398" s="29" t="s">
        <v>368</v>
      </c>
      <c r="C398" s="29" t="s">
        <v>7920</v>
      </c>
      <c r="D398" s="29" t="s">
        <v>7920</v>
      </c>
      <c r="E398" s="29"/>
      <c r="F398" s="29"/>
      <c r="G398" s="29" t="s">
        <v>1093</v>
      </c>
      <c r="H398" s="29" t="s">
        <v>637</v>
      </c>
      <c r="I398" s="29" t="s">
        <v>638</v>
      </c>
      <c r="J398" s="29" t="s">
        <v>590</v>
      </c>
      <c r="K398" s="29" t="s">
        <v>376</v>
      </c>
      <c r="L398" s="29" t="s">
        <v>379</v>
      </c>
      <c r="M398" s="29" t="s">
        <v>1024</v>
      </c>
      <c r="N398" s="29" t="s">
        <v>793</v>
      </c>
      <c r="O398" s="29" t="s">
        <v>1024</v>
      </c>
      <c r="P398" s="29" t="s">
        <v>759</v>
      </c>
      <c r="Q398" s="29" t="s">
        <v>759</v>
      </c>
      <c r="R398" s="29" t="s">
        <v>949</v>
      </c>
      <c r="S398" s="29" t="s">
        <v>384</v>
      </c>
      <c r="T398" s="29" t="s">
        <v>385</v>
      </c>
      <c r="U398" s="29"/>
      <c r="V398" s="29"/>
      <c r="W398" s="29" t="s">
        <v>3231</v>
      </c>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t="s">
        <v>1310</v>
      </c>
      <c r="AW398" s="29">
        <v>4.0</v>
      </c>
      <c r="AX398" s="29" t="s">
        <v>675</v>
      </c>
      <c r="AY398" s="29">
        <v>4.0</v>
      </c>
      <c r="AZ398" s="29" t="s">
        <v>675</v>
      </c>
      <c r="BA398" s="29" t="s">
        <v>675</v>
      </c>
      <c r="BB398" s="29" t="s">
        <v>675</v>
      </c>
      <c r="BC398" s="29" t="s">
        <v>7921</v>
      </c>
      <c r="BD398" s="29" t="s">
        <v>7922</v>
      </c>
      <c r="BE398" s="29" t="s">
        <v>432</v>
      </c>
      <c r="BF398" s="29" t="s">
        <v>1095</v>
      </c>
      <c r="BG398" s="29" t="s">
        <v>394</v>
      </c>
      <c r="BH398" s="29"/>
      <c r="BI398" s="29" t="s">
        <v>824</v>
      </c>
      <c r="BJ398" s="29"/>
      <c r="BK398" s="29" t="s">
        <v>602</v>
      </c>
      <c r="BL398" s="29" t="s">
        <v>396</v>
      </c>
      <c r="BM398" s="29" t="s">
        <v>1247</v>
      </c>
      <c r="BN398" s="29" t="s">
        <v>398</v>
      </c>
      <c r="BO398" s="29" t="s">
        <v>7923</v>
      </c>
      <c r="BP398" s="29" t="s">
        <v>408</v>
      </c>
      <c r="BQ398" s="29" t="s">
        <v>7924</v>
      </c>
      <c r="BR398" s="29" t="s">
        <v>7925</v>
      </c>
      <c r="BS398" s="29" t="s">
        <v>4071</v>
      </c>
      <c r="BT398" s="29" t="s">
        <v>1994</v>
      </c>
      <c r="BU398" s="29" t="s">
        <v>405</v>
      </c>
      <c r="BV398" s="29"/>
      <c r="BW398" s="29" t="s">
        <v>406</v>
      </c>
      <c r="BX398" s="29" t="s">
        <v>1867</v>
      </c>
      <c r="BY398" s="29" t="s">
        <v>733</v>
      </c>
      <c r="BZ398" s="29"/>
      <c r="CA398" s="29"/>
      <c r="CB398" s="29" t="s">
        <v>7926</v>
      </c>
      <c r="CC398" s="29" t="s">
        <v>7927</v>
      </c>
      <c r="CD398" s="29" t="s">
        <v>409</v>
      </c>
      <c r="CE398" s="29" t="s">
        <v>7928</v>
      </c>
      <c r="CF398" s="29" t="s">
        <v>1258</v>
      </c>
      <c r="CG398" s="29"/>
      <c r="CH398" s="29" t="s">
        <v>1751</v>
      </c>
      <c r="CI398" s="29" t="s">
        <v>833</v>
      </c>
      <c r="CJ398" s="29"/>
      <c r="CK398" s="29" t="s">
        <v>7929</v>
      </c>
      <c r="CL398" s="29"/>
      <c r="CM398" s="29"/>
      <c r="CN398" s="29"/>
      <c r="CO398" s="29"/>
      <c r="CP398" s="29"/>
      <c r="CQ398" s="29"/>
      <c r="CR398" s="29"/>
      <c r="CS398" s="29"/>
      <c r="CT398" s="29"/>
      <c r="CU398" s="29"/>
      <c r="CV398" s="29"/>
      <c r="CW398" s="29"/>
      <c r="CX398" s="29"/>
      <c r="CY398" s="29"/>
      <c r="CZ398" s="29"/>
      <c r="DA398" s="29"/>
      <c r="DB398" s="29"/>
      <c r="DC398" s="29"/>
      <c r="DD398" s="29"/>
      <c r="DE398" s="29"/>
      <c r="DF398" s="29"/>
      <c r="DG398" s="29"/>
      <c r="DH398" s="29"/>
      <c r="DI398" s="29" t="s">
        <v>777</v>
      </c>
      <c r="DJ398" s="29" t="s">
        <v>613</v>
      </c>
      <c r="DK398" s="29"/>
      <c r="DL398" s="29"/>
      <c r="DM398" s="29"/>
      <c r="DN398" s="29"/>
      <c r="DO398" s="29"/>
      <c r="DP398" s="29"/>
      <c r="DQ398" s="29"/>
      <c r="DR398" s="29"/>
      <c r="DS398" s="29"/>
      <c r="DT398" s="29"/>
      <c r="DU398" s="29"/>
      <c r="DV398" s="29"/>
      <c r="DW398" s="29"/>
      <c r="DX398" s="29"/>
      <c r="DY398" s="29"/>
      <c r="DZ398" s="29"/>
      <c r="EA398" s="29"/>
      <c r="EB398" s="29"/>
      <c r="EC398" s="29"/>
      <c r="ED398" s="29"/>
      <c r="EE398" s="29"/>
      <c r="EF398" s="29"/>
      <c r="EG398" s="29"/>
      <c r="EH398" s="29"/>
      <c r="EI398" s="29"/>
      <c r="EJ398" s="29"/>
      <c r="EK398" s="29"/>
      <c r="EL398" s="29"/>
      <c r="EM398" s="29"/>
      <c r="EN398" s="29"/>
      <c r="EO398" s="29"/>
      <c r="EP398" s="29"/>
      <c r="EQ398" s="29"/>
      <c r="ER398" s="29"/>
      <c r="ES398" s="29"/>
      <c r="ET398" s="29" t="s">
        <v>478</v>
      </c>
      <c r="EU398" s="29" t="s">
        <v>579</v>
      </c>
      <c r="EV398" s="29" t="s">
        <v>1262</v>
      </c>
      <c r="EW398" s="29" t="s">
        <v>7930</v>
      </c>
      <c r="EX398" s="29" t="s">
        <v>7931</v>
      </c>
      <c r="EY398" s="29" t="s">
        <v>7932</v>
      </c>
      <c r="EZ398" s="29" t="s">
        <v>416</v>
      </c>
      <c r="FA398" s="29" t="s">
        <v>415</v>
      </c>
      <c r="FB398" s="29" t="s">
        <v>413</v>
      </c>
      <c r="FC398" s="29" t="s">
        <v>413</v>
      </c>
      <c r="FD398" s="29" t="s">
        <v>413</v>
      </c>
      <c r="FE398" s="29" t="s">
        <v>416</v>
      </c>
      <c r="FF398" s="29" t="s">
        <v>415</v>
      </c>
      <c r="FG398" s="29" t="s">
        <v>484</v>
      </c>
      <c r="FH398" s="29" t="s">
        <v>484</v>
      </c>
      <c r="FI398" s="29" t="s">
        <v>413</v>
      </c>
      <c r="FJ398" s="29" t="s">
        <v>484</v>
      </c>
      <c r="FK398" s="29" t="s">
        <v>484</v>
      </c>
      <c r="FL398" s="29" t="s">
        <v>484</v>
      </c>
      <c r="FM398" s="29" t="s">
        <v>484</v>
      </c>
      <c r="FN398" s="29" t="s">
        <v>484</v>
      </c>
      <c r="FO398" s="29" t="s">
        <v>3396</v>
      </c>
      <c r="FP398" s="29" t="s">
        <v>418</v>
      </c>
      <c r="FQ398" s="29" t="s">
        <v>712</v>
      </c>
      <c r="FR398" s="29" t="s">
        <v>7933</v>
      </c>
      <c r="FS398" s="29" t="s">
        <v>420</v>
      </c>
      <c r="FT398" s="29" t="s">
        <v>1462</v>
      </c>
      <c r="FU398" s="29" t="s">
        <v>1235</v>
      </c>
      <c r="FV398" s="29" t="s">
        <v>490</v>
      </c>
      <c r="FW398" s="29" t="s">
        <v>491</v>
      </c>
      <c r="FX398" s="29" t="s">
        <v>7934</v>
      </c>
      <c r="FY398" s="29" t="s">
        <v>535</v>
      </c>
      <c r="FZ398" s="29" t="s">
        <v>7935</v>
      </c>
      <c r="GA398" s="29"/>
      <c r="GB398" s="29" t="s">
        <v>408</v>
      </c>
      <c r="GC398" s="29"/>
      <c r="GD398" s="29"/>
      <c r="GE398" s="29"/>
      <c r="GF398" s="29"/>
      <c r="GG398" s="29"/>
      <c r="GH398" s="29"/>
      <c r="GI398" s="29"/>
      <c r="GJ398" s="29" t="s">
        <v>857</v>
      </c>
      <c r="GK398" s="29" t="s">
        <v>857</v>
      </c>
      <c r="GL398" s="29" t="s">
        <v>858</v>
      </c>
      <c r="GM398" s="29"/>
      <c r="GN398" s="29" t="s">
        <v>7920</v>
      </c>
      <c r="GO398" s="29" t="s">
        <v>7936</v>
      </c>
      <c r="GP398" s="29" t="s">
        <v>2729</v>
      </c>
      <c r="GQ398" s="29" t="s">
        <v>3208</v>
      </c>
      <c r="GR398" s="29" t="s">
        <v>4774</v>
      </c>
      <c r="GS398" s="29"/>
      <c r="GT398" s="29"/>
      <c r="GU398" s="29"/>
      <c r="HP398" s="31"/>
      <c r="MX398" s="29" t="s">
        <v>7937</v>
      </c>
      <c r="MY398" s="29" t="str">
        <f>IFERROR(__xludf.DUMMYFUNCTION("""COMPUTED_VALUE"""),"China")</f>
        <v>China</v>
      </c>
    </row>
    <row r="399" ht="16.5" customHeight="1">
      <c r="A399" s="33">
        <v>45983.95113446759</v>
      </c>
      <c r="B399" s="29" t="s">
        <v>368</v>
      </c>
      <c r="C399" s="29" t="s">
        <v>7937</v>
      </c>
      <c r="D399" s="29" t="s">
        <v>7937</v>
      </c>
      <c r="E399" s="29"/>
      <c r="F399" s="29"/>
      <c r="G399" s="29" t="s">
        <v>1093</v>
      </c>
      <c r="H399" s="29" t="s">
        <v>373</v>
      </c>
      <c r="I399" s="29" t="s">
        <v>374</v>
      </c>
      <c r="J399" s="29" t="s">
        <v>375</v>
      </c>
      <c r="K399" s="29" t="s">
        <v>376</v>
      </c>
      <c r="L399" s="29" t="s">
        <v>379</v>
      </c>
      <c r="M399" s="29" t="s">
        <v>497</v>
      </c>
      <c r="N399" s="29" t="s">
        <v>591</v>
      </c>
      <c r="O399" s="29" t="s">
        <v>671</v>
      </c>
      <c r="P399" s="29" t="s">
        <v>592</v>
      </c>
      <c r="Q399" s="29" t="s">
        <v>818</v>
      </c>
      <c r="R399" s="29" t="s">
        <v>427</v>
      </c>
      <c r="S399" s="29" t="s">
        <v>384</v>
      </c>
      <c r="T399" s="29" t="s">
        <v>385</v>
      </c>
      <c r="U399" s="29"/>
      <c r="V399" s="29"/>
      <c r="W399" s="29" t="s">
        <v>3231</v>
      </c>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t="s">
        <v>1310</v>
      </c>
      <c r="AW399" s="29" t="s">
        <v>675</v>
      </c>
      <c r="AX399" s="29" t="s">
        <v>675</v>
      </c>
      <c r="AY399" s="29" t="s">
        <v>675</v>
      </c>
      <c r="AZ399" s="29" t="s">
        <v>675</v>
      </c>
      <c r="BA399" s="29" t="s">
        <v>675</v>
      </c>
      <c r="BB399" s="29" t="s">
        <v>675</v>
      </c>
      <c r="BC399" s="29" t="s">
        <v>7938</v>
      </c>
      <c r="BD399" s="29"/>
      <c r="BE399" s="29" t="s">
        <v>902</v>
      </c>
      <c r="BF399" s="29" t="s">
        <v>1245</v>
      </c>
      <c r="BG399" s="29" t="s">
        <v>394</v>
      </c>
      <c r="BH399" s="29"/>
      <c r="BI399" s="29" t="s">
        <v>976</v>
      </c>
      <c r="BJ399" s="29"/>
      <c r="BK399" s="29" t="s">
        <v>602</v>
      </c>
      <c r="BL399" s="29" t="s">
        <v>603</v>
      </c>
      <c r="BM399" s="29"/>
      <c r="BN399" s="29" t="s">
        <v>398</v>
      </c>
      <c r="BO399" s="29" t="s">
        <v>7939</v>
      </c>
      <c r="BP399" s="29" t="s">
        <v>7940</v>
      </c>
      <c r="BQ399" s="29" t="s">
        <v>682</v>
      </c>
      <c r="BR399" s="29" t="s">
        <v>7925</v>
      </c>
      <c r="BS399" s="29" t="s">
        <v>4071</v>
      </c>
      <c r="BT399" s="29" t="s">
        <v>4072</v>
      </c>
      <c r="BU399" s="29" t="s">
        <v>405</v>
      </c>
      <c r="BV399" s="29"/>
      <c r="BW399" s="29" t="s">
        <v>406</v>
      </c>
      <c r="BX399" s="29" t="s">
        <v>2503</v>
      </c>
      <c r="BY399" s="29" t="s">
        <v>455</v>
      </c>
      <c r="BZ399" s="29" t="s">
        <v>7941</v>
      </c>
      <c r="CA399" s="29"/>
      <c r="CB399" s="29" t="s">
        <v>7942</v>
      </c>
      <c r="CC399" s="29" t="s">
        <v>7943</v>
      </c>
      <c r="CD399" s="29" t="s">
        <v>1931</v>
      </c>
      <c r="CE399" s="29" t="s">
        <v>7944</v>
      </c>
      <c r="CF399" s="29" t="s">
        <v>1258</v>
      </c>
      <c r="CG399" s="29"/>
      <c r="CH399" s="29" t="s">
        <v>1259</v>
      </c>
      <c r="CI399" s="29" t="s">
        <v>1964</v>
      </c>
      <c r="CJ399" s="29"/>
      <c r="CK399" s="29" t="s">
        <v>7945</v>
      </c>
      <c r="CL399" s="29"/>
      <c r="CM399" s="29"/>
      <c r="CN399" s="29"/>
      <c r="CO399" s="29"/>
      <c r="CP399" s="29"/>
      <c r="CQ399" s="29"/>
      <c r="CR399" s="29"/>
      <c r="CS399" s="29"/>
      <c r="CT399" s="29"/>
      <c r="CU399" s="29"/>
      <c r="CV399" s="29"/>
      <c r="CW399" s="29"/>
      <c r="CX399" s="29"/>
      <c r="CY399" s="29"/>
      <c r="CZ399" s="29"/>
      <c r="DA399" s="29"/>
      <c r="DB399" s="29"/>
      <c r="DC399" s="29"/>
      <c r="DD399" s="29"/>
      <c r="DE399" s="29"/>
      <c r="DF399" s="29"/>
      <c r="DG399" s="29"/>
      <c r="DH399" s="29"/>
      <c r="DI399" s="29" t="s">
        <v>963</v>
      </c>
      <c r="DJ399" s="29" t="s">
        <v>1148</v>
      </c>
      <c r="DK399" s="29" t="s">
        <v>6319</v>
      </c>
      <c r="DL399" s="29"/>
      <c r="DM399" s="29"/>
      <c r="DN399" s="29"/>
      <c r="DO399" s="29"/>
      <c r="DP399" s="29"/>
      <c r="DQ399" s="29"/>
      <c r="DR399" s="29"/>
      <c r="DS399" s="29"/>
      <c r="DT399" s="29"/>
      <c r="DU399" s="29"/>
      <c r="DV399" s="29"/>
      <c r="DW399" s="29"/>
      <c r="DX399" s="29"/>
      <c r="DY399" s="29"/>
      <c r="DZ399" s="29"/>
      <c r="EA399" s="29"/>
      <c r="EB399" s="29"/>
      <c r="EC399" s="29"/>
      <c r="ED399" s="29"/>
      <c r="EE399" s="29"/>
      <c r="EF399" s="29"/>
      <c r="EG399" s="29"/>
      <c r="EH399" s="29"/>
      <c r="EI399" s="29"/>
      <c r="EJ399" s="29"/>
      <c r="EK399" s="29"/>
      <c r="EL399" s="29"/>
      <c r="EM399" s="29"/>
      <c r="EN399" s="29"/>
      <c r="EO399" s="29"/>
      <c r="EP399" s="29"/>
      <c r="EQ399" s="29"/>
      <c r="ER399" s="29"/>
      <c r="ES399" s="29"/>
      <c r="ET399" s="29" t="s">
        <v>526</v>
      </c>
      <c r="EU399" s="29" t="s">
        <v>579</v>
      </c>
      <c r="EV399" s="29" t="s">
        <v>778</v>
      </c>
      <c r="EW399" s="29" t="s">
        <v>7946</v>
      </c>
      <c r="EX399" s="29" t="s">
        <v>7947</v>
      </c>
      <c r="EY399" s="29" t="s">
        <v>7948</v>
      </c>
      <c r="EZ399" s="29" t="s">
        <v>416</v>
      </c>
      <c r="FA399" s="29" t="s">
        <v>415</v>
      </c>
      <c r="FB399" s="29" t="s">
        <v>413</v>
      </c>
      <c r="FC399" s="29" t="s">
        <v>413</v>
      </c>
      <c r="FD399" s="29" t="s">
        <v>413</v>
      </c>
      <c r="FE399" s="29" t="s">
        <v>413</v>
      </c>
      <c r="FF399" s="29" t="s">
        <v>415</v>
      </c>
      <c r="FG399" s="29"/>
      <c r="FH399" s="29" t="s">
        <v>413</v>
      </c>
      <c r="FI399" s="29" t="s">
        <v>413</v>
      </c>
      <c r="FJ399" s="29" t="s">
        <v>414</v>
      </c>
      <c r="FK399" s="29" t="s">
        <v>415</v>
      </c>
      <c r="FL399" s="29" t="s">
        <v>415</v>
      </c>
      <c r="FM399" s="29" t="s">
        <v>415</v>
      </c>
      <c r="FN399" s="29" t="s">
        <v>413</v>
      </c>
      <c r="FO399" s="29" t="s">
        <v>485</v>
      </c>
      <c r="FP399" s="29" t="s">
        <v>418</v>
      </c>
      <c r="FQ399" s="29" t="s">
        <v>419</v>
      </c>
      <c r="FR399" s="29" t="s">
        <v>7949</v>
      </c>
      <c r="FS399" s="29" t="s">
        <v>420</v>
      </c>
      <c r="FT399" s="29" t="s">
        <v>488</v>
      </c>
      <c r="FU399" s="29" t="s">
        <v>1235</v>
      </c>
      <c r="FV399" s="29" t="s">
        <v>490</v>
      </c>
      <c r="FW399" s="29" t="s">
        <v>491</v>
      </c>
      <c r="FX399" s="29"/>
      <c r="FY399" s="29" t="s">
        <v>535</v>
      </c>
      <c r="FZ399" s="29"/>
      <c r="GA399" s="29" t="s">
        <v>7950</v>
      </c>
      <c r="GB399" s="29" t="s">
        <v>408</v>
      </c>
      <c r="GC399" s="29"/>
      <c r="GD399" s="29"/>
      <c r="GE399" s="29"/>
      <c r="GF399" s="29"/>
      <c r="GG399" s="29"/>
      <c r="GH399" s="29"/>
      <c r="GI399" s="29"/>
      <c r="GJ399" s="29" t="s">
        <v>788</v>
      </c>
      <c r="GK399" s="29" t="s">
        <v>789</v>
      </c>
      <c r="GL399" s="29" t="s">
        <v>858</v>
      </c>
      <c r="GM399" s="29"/>
      <c r="GN399" s="29" t="s">
        <v>7951</v>
      </c>
      <c r="GO399" s="29" t="s">
        <v>7952</v>
      </c>
      <c r="GP399" s="29" t="s">
        <v>7953</v>
      </c>
      <c r="GQ399" s="29" t="s">
        <v>3208</v>
      </c>
      <c r="GR399" s="29" t="s">
        <v>4774</v>
      </c>
      <c r="GS399" s="29"/>
      <c r="GT399" s="29"/>
      <c r="GU399" s="29"/>
      <c r="HP399" s="31"/>
      <c r="MX399" s="29" t="s">
        <v>7954</v>
      </c>
      <c r="MY399" s="29" t="str">
        <f>IFERROR(__xludf.DUMMYFUNCTION("""COMPUTED_VALUE"""),"Latvia")</f>
        <v>Latvia</v>
      </c>
    </row>
    <row r="400" ht="16.5" customHeight="1">
      <c r="A400" s="33">
        <v>45992.05210868055</v>
      </c>
      <c r="B400" s="29" t="s">
        <v>368</v>
      </c>
      <c r="C400" s="29" t="s">
        <v>7954</v>
      </c>
      <c r="D400" s="29" t="s">
        <v>1201</v>
      </c>
      <c r="E400" s="29"/>
      <c r="F400" s="29"/>
      <c r="G400" s="29" t="s">
        <v>422</v>
      </c>
      <c r="H400" s="29" t="s">
        <v>637</v>
      </c>
      <c r="I400" s="29" t="s">
        <v>638</v>
      </c>
      <c r="J400" s="29" t="s">
        <v>590</v>
      </c>
      <c r="K400" s="29" t="s">
        <v>1784</v>
      </c>
      <c r="L400" s="29" t="s">
        <v>1526</v>
      </c>
      <c r="M400" s="29" t="s">
        <v>1024</v>
      </c>
      <c r="N400" s="29" t="s">
        <v>1526</v>
      </c>
      <c r="O400" s="29" t="s">
        <v>1024</v>
      </c>
      <c r="P400" s="29" t="s">
        <v>1760</v>
      </c>
      <c r="Q400" s="29" t="s">
        <v>818</v>
      </c>
      <c r="R400" s="29" t="s">
        <v>1704</v>
      </c>
      <c r="S400" s="29" t="s">
        <v>2837</v>
      </c>
      <c r="T400" s="29" t="s">
        <v>385</v>
      </c>
      <c r="U400" s="29"/>
      <c r="V400" s="29"/>
      <c r="W400" s="29" t="s">
        <v>3014</v>
      </c>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t="s">
        <v>1310</v>
      </c>
      <c r="AW400" s="29">
        <v>2.0</v>
      </c>
      <c r="AX400" s="29">
        <v>2.0</v>
      </c>
      <c r="AY400" s="29" t="s">
        <v>391</v>
      </c>
      <c r="AZ400" s="29">
        <v>4.0</v>
      </c>
      <c r="BA400" s="29" t="s">
        <v>429</v>
      </c>
      <c r="BB400" s="29">
        <v>4.0</v>
      </c>
      <c r="BC400" s="29"/>
      <c r="BD400" s="29"/>
      <c r="BE400" s="29"/>
      <c r="BF400" s="29"/>
      <c r="BG400" s="29"/>
      <c r="BH400" s="29"/>
      <c r="BI400" s="29"/>
      <c r="BJ400" s="29"/>
      <c r="BK400" s="29"/>
      <c r="BL400" s="29"/>
      <c r="BM400" s="29" t="s">
        <v>1247</v>
      </c>
      <c r="BN400" s="29" t="s">
        <v>513</v>
      </c>
      <c r="BO400" s="29"/>
      <c r="BP400" s="29"/>
      <c r="BQ400" s="29"/>
      <c r="BR400" s="29"/>
      <c r="BS400" s="29"/>
      <c r="BT400" s="29"/>
      <c r="BU400" s="29"/>
      <c r="BV400" s="29"/>
      <c r="BW400" s="29"/>
      <c r="BX400" s="29"/>
      <c r="BY400" s="29"/>
      <c r="BZ400" s="29"/>
      <c r="CA400" s="29"/>
      <c r="CB400" s="29"/>
      <c r="CC400" s="29"/>
      <c r="CD400" s="29"/>
      <c r="CE400" s="29"/>
      <c r="CF400" s="29"/>
      <c r="CG400" s="29"/>
      <c r="CH400" s="29"/>
      <c r="CI400" s="29"/>
      <c r="CJ400" s="29"/>
      <c r="CK400" s="29"/>
      <c r="CL400" s="29" t="s">
        <v>953</v>
      </c>
      <c r="CM400" s="29" t="s">
        <v>551</v>
      </c>
      <c r="CN400" s="29"/>
      <c r="CO400" s="29" t="s">
        <v>408</v>
      </c>
      <c r="CP400" s="29"/>
      <c r="CQ400" s="29"/>
      <c r="CR400" s="29"/>
      <c r="CS400" s="29"/>
      <c r="CT400" s="29"/>
      <c r="CU400" s="29" t="s">
        <v>1852</v>
      </c>
      <c r="CV400" s="29" t="s">
        <v>2393</v>
      </c>
      <c r="CW400" s="29"/>
      <c r="CX400" s="29" t="s">
        <v>408</v>
      </c>
      <c r="CY400" s="29"/>
      <c r="CZ400" s="29" t="s">
        <v>1962</v>
      </c>
      <c r="DA400" s="29"/>
      <c r="DB400" s="29" t="s">
        <v>408</v>
      </c>
      <c r="DC400" s="29"/>
      <c r="DD400" s="29"/>
      <c r="DE400" s="29"/>
      <c r="DF400" s="29"/>
      <c r="DG400" s="29" t="s">
        <v>990</v>
      </c>
      <c r="DH400" s="29" t="s">
        <v>1220</v>
      </c>
      <c r="DI400" s="29" t="s">
        <v>963</v>
      </c>
      <c r="DJ400" s="29" t="s">
        <v>460</v>
      </c>
      <c r="DK400" s="29" t="s">
        <v>6603</v>
      </c>
      <c r="DL400" s="29"/>
      <c r="DM400" s="29"/>
      <c r="DN400" s="29"/>
      <c r="DO400" s="29"/>
      <c r="DP400" s="29"/>
      <c r="DQ400" s="29"/>
      <c r="DR400" s="29"/>
      <c r="DS400" s="29"/>
      <c r="DT400" s="29"/>
      <c r="DU400" s="29"/>
      <c r="DV400" s="29"/>
      <c r="DW400" s="29"/>
      <c r="DX400" s="29"/>
      <c r="DY400" s="29"/>
      <c r="DZ400" s="29"/>
      <c r="EA400" s="29"/>
      <c r="EB400" s="29"/>
      <c r="EC400" s="29"/>
      <c r="ED400" s="29"/>
      <c r="EE400" s="29"/>
      <c r="EF400" s="29"/>
      <c r="EG400" s="29"/>
      <c r="EH400" s="29"/>
      <c r="EI400" s="29"/>
      <c r="EJ400" s="29"/>
      <c r="EK400" s="29"/>
      <c r="EL400" s="29"/>
      <c r="EM400" s="29"/>
      <c r="EN400" s="29"/>
      <c r="EO400" s="29"/>
      <c r="EP400" s="29"/>
      <c r="EQ400" s="29"/>
      <c r="ER400" s="29"/>
      <c r="ES400" s="29"/>
      <c r="ET400" s="29" t="s">
        <v>2747</v>
      </c>
      <c r="EU400" s="29" t="s">
        <v>579</v>
      </c>
      <c r="EV400" s="29" t="s">
        <v>580</v>
      </c>
      <c r="EW400" s="29"/>
      <c r="EX400" s="29"/>
      <c r="EY400" s="29"/>
      <c r="EZ400" s="29" t="s">
        <v>414</v>
      </c>
      <c r="FA400" s="29" t="s">
        <v>414</v>
      </c>
      <c r="FB400" s="29" t="s">
        <v>416</v>
      </c>
      <c r="FC400" s="29" t="s">
        <v>583</v>
      </c>
      <c r="FD400" s="29" t="s">
        <v>415</v>
      </c>
      <c r="FE400" s="29" t="s">
        <v>414</v>
      </c>
      <c r="FF400" s="29" t="s">
        <v>414</v>
      </c>
      <c r="FG400" s="29" t="s">
        <v>414</v>
      </c>
      <c r="FH400" s="29" t="s">
        <v>414</v>
      </c>
      <c r="FI400" s="29" t="s">
        <v>413</v>
      </c>
      <c r="FJ400" s="29" t="s">
        <v>414</v>
      </c>
      <c r="FK400" s="29" t="s">
        <v>415</v>
      </c>
      <c r="FL400" s="29" t="s">
        <v>415</v>
      </c>
      <c r="FM400" s="29" t="s">
        <v>415</v>
      </c>
      <c r="FN400" s="29" t="s">
        <v>415</v>
      </c>
      <c r="FO400" s="29" t="s">
        <v>1074</v>
      </c>
      <c r="FP400" s="29" t="s">
        <v>2651</v>
      </c>
      <c r="FQ400" s="29" t="s">
        <v>749</v>
      </c>
      <c r="FR400" s="29"/>
      <c r="FS400" s="29" t="s">
        <v>1871</v>
      </c>
      <c r="FT400" s="29" t="s">
        <v>1476</v>
      </c>
      <c r="FU400" s="29" t="s">
        <v>1235</v>
      </c>
      <c r="FV400" s="29" t="s">
        <v>1101</v>
      </c>
      <c r="FW400" s="29" t="s">
        <v>1853</v>
      </c>
      <c r="FX400" s="29"/>
      <c r="FY400" s="29" t="s">
        <v>1020</v>
      </c>
      <c r="FZ400" s="29"/>
      <c r="GA400" s="29"/>
      <c r="GB400" s="29" t="s">
        <v>408</v>
      </c>
      <c r="GC400" s="29"/>
      <c r="GD400" s="29"/>
      <c r="GE400" s="29"/>
      <c r="GF400" s="29"/>
      <c r="GG400" s="29" t="s">
        <v>920</v>
      </c>
      <c r="GH400" s="29" t="s">
        <v>920</v>
      </c>
      <c r="GI400" s="29" t="s">
        <v>756</v>
      </c>
      <c r="GJ400" s="29"/>
      <c r="GK400" s="29"/>
      <c r="GL400" s="29"/>
      <c r="GM400" s="29"/>
      <c r="GN400" s="29"/>
      <c r="GO400" s="29"/>
      <c r="GP400" s="29"/>
      <c r="GQ400" s="29" t="s">
        <v>3208</v>
      </c>
      <c r="GR400" s="29"/>
      <c r="GS400" s="29"/>
      <c r="GT400" s="29" t="s">
        <v>5039</v>
      </c>
      <c r="GU400" s="29"/>
      <c r="HP400" s="31"/>
      <c r="MX400" s="29" t="s">
        <v>6924</v>
      </c>
      <c r="MY400" s="29" t="str">
        <f>IFERROR(__xludf.DUMMYFUNCTION("""COMPUTED_VALUE"""),"Taiwan (Republic of China)")</f>
        <v>Taiwan (Republic of China)</v>
      </c>
    </row>
    <row r="401" ht="16.5" customHeight="1">
      <c r="A401" s="33">
        <v>45992.67591680556</v>
      </c>
      <c r="B401" s="29" t="s">
        <v>368</v>
      </c>
      <c r="C401" s="29" t="s">
        <v>6924</v>
      </c>
      <c r="D401" s="29" t="s">
        <v>370</v>
      </c>
      <c r="E401" s="29"/>
      <c r="F401" s="29" t="s">
        <v>371</v>
      </c>
      <c r="G401" s="29" t="s">
        <v>1093</v>
      </c>
      <c r="H401" s="29" t="s">
        <v>496</v>
      </c>
      <c r="I401" s="29" t="s">
        <v>374</v>
      </c>
      <c r="J401" s="29" t="s">
        <v>375</v>
      </c>
      <c r="K401" s="29" t="s">
        <v>376</v>
      </c>
      <c r="L401" s="29" t="s">
        <v>793</v>
      </c>
      <c r="M401" s="29" t="s">
        <v>7956</v>
      </c>
      <c r="N401" s="29" t="s">
        <v>670</v>
      </c>
      <c r="O401" s="29" t="s">
        <v>1270</v>
      </c>
      <c r="P401" s="29" t="s">
        <v>498</v>
      </c>
      <c r="Q401" s="29" t="s">
        <v>862</v>
      </c>
      <c r="R401" s="29" t="s">
        <v>427</v>
      </c>
      <c r="S401" s="29" t="s">
        <v>384</v>
      </c>
      <c r="T401" s="29" t="s">
        <v>385</v>
      </c>
      <c r="U401" s="29"/>
      <c r="V401" s="29"/>
      <c r="W401" s="29" t="s">
        <v>3014</v>
      </c>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t="s">
        <v>1310</v>
      </c>
      <c r="AW401" s="29" t="s">
        <v>675</v>
      </c>
      <c r="AX401" s="29" t="s">
        <v>675</v>
      </c>
      <c r="AY401" s="29" t="s">
        <v>391</v>
      </c>
      <c r="AZ401" s="29" t="s">
        <v>675</v>
      </c>
      <c r="BA401" s="29" t="s">
        <v>429</v>
      </c>
      <c r="BB401" s="29" t="s">
        <v>675</v>
      </c>
      <c r="BC401" s="29" t="s">
        <v>7957</v>
      </c>
      <c r="BD401" s="29" t="s">
        <v>7958</v>
      </c>
      <c r="BE401" s="29" t="s">
        <v>432</v>
      </c>
      <c r="BF401" s="29" t="s">
        <v>1245</v>
      </c>
      <c r="BG401" s="29" t="s">
        <v>394</v>
      </c>
      <c r="BH401" s="29" t="s">
        <v>7959</v>
      </c>
      <c r="BI401" s="29" t="s">
        <v>727</v>
      </c>
      <c r="BJ401" s="29"/>
      <c r="BK401" s="29" t="s">
        <v>681</v>
      </c>
      <c r="BL401" s="29" t="s">
        <v>438</v>
      </c>
      <c r="BM401" s="29" t="s">
        <v>397</v>
      </c>
      <c r="BN401" s="29" t="s">
        <v>513</v>
      </c>
      <c r="BO401" s="29"/>
      <c r="BP401" s="29"/>
      <c r="BQ401" s="29"/>
      <c r="BR401" s="29"/>
      <c r="BS401" s="29"/>
      <c r="BT401" s="29"/>
      <c r="BU401" s="29"/>
      <c r="BV401" s="29"/>
      <c r="BW401" s="29"/>
      <c r="BX401" s="29"/>
      <c r="BY401" s="29"/>
      <c r="BZ401" s="29"/>
      <c r="CA401" s="29"/>
      <c r="CB401" s="29"/>
      <c r="CC401" s="29"/>
      <c r="CD401" s="29"/>
      <c r="CE401" s="29"/>
      <c r="CF401" s="29"/>
      <c r="CG401" s="29"/>
      <c r="CH401" s="29"/>
      <c r="CI401" s="29"/>
      <c r="CJ401" s="29"/>
      <c r="CK401" s="29"/>
      <c r="CL401" s="29" t="s">
        <v>682</v>
      </c>
      <c r="CM401" s="29" t="s">
        <v>604</v>
      </c>
      <c r="CN401" s="29" t="s">
        <v>7960</v>
      </c>
      <c r="CO401" s="29" t="s">
        <v>7961</v>
      </c>
      <c r="CP401" s="29"/>
      <c r="CQ401" s="29"/>
      <c r="CR401" s="29"/>
      <c r="CS401" s="29"/>
      <c r="CT401" s="29" t="s">
        <v>7962</v>
      </c>
      <c r="CU401" s="29" t="s">
        <v>450</v>
      </c>
      <c r="CV401" s="29" t="s">
        <v>959</v>
      </c>
      <c r="CW401" s="29"/>
      <c r="CX401" s="29" t="s">
        <v>408</v>
      </c>
      <c r="CY401" s="29"/>
      <c r="CZ401" s="29" t="s">
        <v>1962</v>
      </c>
      <c r="DA401" s="29"/>
      <c r="DB401" s="29"/>
      <c r="DC401" s="29"/>
      <c r="DD401" s="29"/>
      <c r="DE401" s="29"/>
      <c r="DF401" s="29"/>
      <c r="DG401" s="29" t="s">
        <v>990</v>
      </c>
      <c r="DH401" s="29" t="s">
        <v>410</v>
      </c>
      <c r="DI401" s="29" t="s">
        <v>963</v>
      </c>
      <c r="DJ401" s="29" t="s">
        <v>460</v>
      </c>
      <c r="DK401" s="29" t="s">
        <v>6319</v>
      </c>
      <c r="DL401" s="29"/>
      <c r="DM401" s="29"/>
      <c r="DN401" s="29"/>
      <c r="DO401" s="29"/>
      <c r="DP401" s="29"/>
      <c r="DQ401" s="29"/>
      <c r="DR401" s="29"/>
      <c r="DS401" s="29"/>
      <c r="DT401" s="29"/>
      <c r="DU401" s="29"/>
      <c r="DV401" s="29"/>
      <c r="DW401" s="29"/>
      <c r="DX401" s="29"/>
      <c r="DY401" s="29"/>
      <c r="DZ401" s="29"/>
      <c r="EA401" s="29"/>
      <c r="EB401" s="29"/>
      <c r="EC401" s="29"/>
      <c r="ED401" s="29"/>
      <c r="EE401" s="29"/>
      <c r="EF401" s="29"/>
      <c r="EG401" s="29"/>
      <c r="EH401" s="29"/>
      <c r="EI401" s="29"/>
      <c r="EJ401" s="29"/>
      <c r="EK401" s="29"/>
      <c r="EL401" s="29"/>
      <c r="EM401" s="29"/>
      <c r="EN401" s="29"/>
      <c r="EO401" s="29"/>
      <c r="EP401" s="29"/>
      <c r="EQ401" s="29"/>
      <c r="ER401" s="29"/>
      <c r="ES401" s="29"/>
      <c r="ET401" s="29" t="s">
        <v>578</v>
      </c>
      <c r="EU401" s="29" t="s">
        <v>1127</v>
      </c>
      <c r="EV401" s="29" t="s">
        <v>1262</v>
      </c>
      <c r="EW401" s="29"/>
      <c r="EX401" s="29" t="s">
        <v>7963</v>
      </c>
      <c r="EY401" s="29" t="s">
        <v>7964</v>
      </c>
      <c r="EZ401" s="29" t="s">
        <v>583</v>
      </c>
      <c r="FA401" s="29" t="s">
        <v>583</v>
      </c>
      <c r="FB401" s="29" t="s">
        <v>413</v>
      </c>
      <c r="FC401" s="29" t="s">
        <v>583</v>
      </c>
      <c r="FD401" s="29" t="s">
        <v>583</v>
      </c>
      <c r="FE401" s="29" t="s">
        <v>583</v>
      </c>
      <c r="FF401" s="29" t="s">
        <v>583</v>
      </c>
      <c r="FG401" s="29" t="s">
        <v>414</v>
      </c>
      <c r="FH401" s="29" t="s">
        <v>416</v>
      </c>
      <c r="FI401" s="29" t="s">
        <v>583</v>
      </c>
      <c r="FJ401" s="29" t="s">
        <v>583</v>
      </c>
      <c r="FK401" s="29" t="s">
        <v>414</v>
      </c>
      <c r="FL401" s="29" t="s">
        <v>414</v>
      </c>
      <c r="FM401" s="29" t="s">
        <v>413</v>
      </c>
      <c r="FN401" s="29" t="s">
        <v>583</v>
      </c>
      <c r="FO401" s="29" t="s">
        <v>1537</v>
      </c>
      <c r="FP401" s="29" t="s">
        <v>2524</v>
      </c>
      <c r="FQ401" s="29" t="s">
        <v>419</v>
      </c>
      <c r="FR401" s="29" t="s">
        <v>7965</v>
      </c>
      <c r="FS401" s="29" t="s">
        <v>1871</v>
      </c>
      <c r="FT401" s="29" t="s">
        <v>2750</v>
      </c>
      <c r="FU401" s="29" t="s">
        <v>489</v>
      </c>
      <c r="FV401" s="29" t="s">
        <v>490</v>
      </c>
      <c r="FW401" s="29" t="s">
        <v>491</v>
      </c>
      <c r="FX401" s="29" t="s">
        <v>7966</v>
      </c>
      <c r="FY401" s="29" t="s">
        <v>1020</v>
      </c>
      <c r="FZ401" s="29" t="s">
        <v>7967</v>
      </c>
      <c r="GA401" s="29"/>
      <c r="GB401" s="29" t="s">
        <v>455</v>
      </c>
      <c r="GC401" s="29"/>
      <c r="GD401" s="29"/>
      <c r="GE401" s="29" t="s">
        <v>753</v>
      </c>
      <c r="GF401" s="29" t="s">
        <v>7968</v>
      </c>
      <c r="GG401" s="29" t="s">
        <v>755</v>
      </c>
      <c r="GH401" s="29" t="s">
        <v>755</v>
      </c>
      <c r="GI401" s="29" t="s">
        <v>946</v>
      </c>
      <c r="GJ401" s="29"/>
      <c r="GK401" s="29"/>
      <c r="GL401" s="29"/>
      <c r="GM401" s="29"/>
      <c r="GN401" s="29" t="s">
        <v>7969</v>
      </c>
      <c r="GO401" s="29"/>
      <c r="GP401" s="29"/>
      <c r="GQ401" s="29" t="s">
        <v>3208</v>
      </c>
      <c r="GR401" s="29"/>
      <c r="GS401" s="29"/>
      <c r="GT401" s="29" t="s">
        <v>4741</v>
      </c>
      <c r="GU401" s="29" t="s">
        <v>7970</v>
      </c>
      <c r="HP401" s="31"/>
      <c r="MX401" s="29" t="s">
        <v>4958</v>
      </c>
      <c r="MY401" s="29" t="str">
        <f>IFERROR(__xludf.DUMMYFUNCTION("""COMPUTED_VALUE"""),"Belgium")</f>
        <v>Belgium</v>
      </c>
    </row>
    <row r="402" ht="16.5" customHeight="1">
      <c r="A402" s="33">
        <v>45996.37980859954</v>
      </c>
      <c r="B402" s="29" t="s">
        <v>368</v>
      </c>
      <c r="C402" s="29" t="s">
        <v>4958</v>
      </c>
      <c r="D402" s="29" t="s">
        <v>1267</v>
      </c>
      <c r="E402" s="29"/>
      <c r="F402" s="29"/>
      <c r="G402" s="29" t="s">
        <v>422</v>
      </c>
      <c r="H402" s="29" t="s">
        <v>423</v>
      </c>
      <c r="I402" s="29" t="s">
        <v>668</v>
      </c>
      <c r="J402" s="29" t="s">
        <v>718</v>
      </c>
      <c r="K402" s="29" t="s">
        <v>376</v>
      </c>
      <c r="L402" s="29" t="s">
        <v>670</v>
      </c>
      <c r="M402" s="29" t="s">
        <v>639</v>
      </c>
      <c r="N402" s="29" t="s">
        <v>670</v>
      </c>
      <c r="O402" s="29" t="s">
        <v>720</v>
      </c>
      <c r="P402" s="29" t="s">
        <v>1504</v>
      </c>
      <c r="Q402" s="29" t="s">
        <v>1342</v>
      </c>
      <c r="R402" s="29" t="s">
        <v>427</v>
      </c>
      <c r="S402" s="29" t="s">
        <v>1512</v>
      </c>
      <c r="T402" s="29" t="s">
        <v>385</v>
      </c>
      <c r="U402" s="29"/>
      <c r="V402" s="29"/>
      <c r="W402" s="29" t="s">
        <v>3014</v>
      </c>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t="s">
        <v>597</v>
      </c>
      <c r="AW402" s="29" t="s">
        <v>391</v>
      </c>
      <c r="AX402" s="29" t="s">
        <v>391</v>
      </c>
      <c r="AY402" s="29" t="s">
        <v>391</v>
      </c>
      <c r="AZ402" s="29">
        <v>2.0</v>
      </c>
      <c r="BA402" s="29">
        <v>2.0</v>
      </c>
      <c r="BB402" s="29" t="s">
        <v>391</v>
      </c>
      <c r="BC402" s="29" t="s">
        <v>7974</v>
      </c>
      <c r="BD402" s="29" t="s">
        <v>7975</v>
      </c>
      <c r="BE402" s="29" t="s">
        <v>1094</v>
      </c>
      <c r="BF402" s="29" t="s">
        <v>433</v>
      </c>
      <c r="BG402" s="29" t="s">
        <v>678</v>
      </c>
      <c r="BH402" s="29" t="s">
        <v>7976</v>
      </c>
      <c r="BI402" s="29" t="s">
        <v>509</v>
      </c>
      <c r="BJ402" s="29" t="s">
        <v>7977</v>
      </c>
      <c r="BK402" s="29" t="s">
        <v>511</v>
      </c>
      <c r="BL402" s="29" t="s">
        <v>512</v>
      </c>
      <c r="BM402" s="29" t="s">
        <v>549</v>
      </c>
      <c r="BN402" s="29" t="s">
        <v>513</v>
      </c>
      <c r="BO402" s="29"/>
      <c r="BP402" s="29"/>
      <c r="BQ402" s="29"/>
      <c r="BR402" s="29"/>
      <c r="BS402" s="29"/>
      <c r="BT402" s="29"/>
      <c r="BU402" s="29"/>
      <c r="BV402" s="29"/>
      <c r="BW402" s="29"/>
      <c r="BX402" s="29"/>
      <c r="BY402" s="29"/>
      <c r="BZ402" s="29"/>
      <c r="CA402" s="29"/>
      <c r="CB402" s="29"/>
      <c r="CC402" s="29"/>
      <c r="CD402" s="29"/>
      <c r="CE402" s="29"/>
      <c r="CF402" s="29"/>
      <c r="CG402" s="29"/>
      <c r="CH402" s="29"/>
      <c r="CI402" s="29"/>
      <c r="CJ402" s="29"/>
      <c r="CK402" s="29"/>
      <c r="CL402" s="29" t="s">
        <v>953</v>
      </c>
      <c r="CM402" s="29" t="s">
        <v>401</v>
      </c>
      <c r="CN402" s="29" t="s">
        <v>7978</v>
      </c>
      <c r="CO402" s="29" t="s">
        <v>552</v>
      </c>
      <c r="CP402" s="29"/>
      <c r="CQ402" s="29"/>
      <c r="CR402" s="29"/>
      <c r="CS402" s="29"/>
      <c r="CT402" s="29" t="s">
        <v>7979</v>
      </c>
      <c r="CU402" s="29" t="s">
        <v>1852</v>
      </c>
      <c r="CV402" s="29" t="s">
        <v>959</v>
      </c>
      <c r="CW402" s="29" t="s">
        <v>552</v>
      </c>
      <c r="CX402" s="29" t="s">
        <v>455</v>
      </c>
      <c r="CY402" s="29" t="s">
        <v>7980</v>
      </c>
      <c r="CZ402" s="29" t="s">
        <v>453</v>
      </c>
      <c r="DA402" s="29" t="s">
        <v>7981</v>
      </c>
      <c r="DB402" s="29" t="s">
        <v>408</v>
      </c>
      <c r="DC402" s="29" t="s">
        <v>7982</v>
      </c>
      <c r="DD402" s="29"/>
      <c r="DE402" s="29"/>
      <c r="DF402" s="29"/>
      <c r="DG402" s="29" t="s">
        <v>990</v>
      </c>
      <c r="DH402" s="29" t="s">
        <v>410</v>
      </c>
      <c r="DI402" s="29" t="s">
        <v>459</v>
      </c>
      <c r="DJ402" s="29" t="s">
        <v>460</v>
      </c>
      <c r="DK402" s="29" t="s">
        <v>6319</v>
      </c>
      <c r="DL402" s="29"/>
      <c r="DM402" s="29"/>
      <c r="DN402" s="29"/>
      <c r="DO402" s="29"/>
      <c r="DP402" s="29"/>
      <c r="DQ402" s="29"/>
      <c r="DR402" s="29"/>
      <c r="DS402" s="29"/>
      <c r="DT402" s="29"/>
      <c r="DU402" s="29"/>
      <c r="DV402" s="29"/>
      <c r="DW402" s="29"/>
      <c r="DX402" s="29"/>
      <c r="DY402" s="29"/>
      <c r="DZ402" s="29"/>
      <c r="EA402" s="29"/>
      <c r="EB402" s="29"/>
      <c r="EC402" s="29"/>
      <c r="ED402" s="29"/>
      <c r="EE402" s="29"/>
      <c r="EF402" s="29"/>
      <c r="EG402" s="29"/>
      <c r="EH402" s="29"/>
      <c r="EI402" s="29"/>
      <c r="EJ402" s="29"/>
      <c r="EK402" s="29"/>
      <c r="EL402" s="29"/>
      <c r="EM402" s="29"/>
      <c r="EN402" s="29"/>
      <c r="EO402" s="29"/>
      <c r="EP402" s="29"/>
      <c r="EQ402" s="29"/>
      <c r="ER402" s="29"/>
      <c r="ES402" s="29"/>
      <c r="ET402" s="29" t="s">
        <v>478</v>
      </c>
      <c r="EU402" s="29" t="s">
        <v>579</v>
      </c>
      <c r="EV402" s="29" t="s">
        <v>580</v>
      </c>
      <c r="EW402" s="29" t="s">
        <v>7982</v>
      </c>
      <c r="EX402" s="29" t="s">
        <v>7982</v>
      </c>
      <c r="EY402" s="29" t="s">
        <v>7982</v>
      </c>
      <c r="EZ402" s="29" t="s">
        <v>415</v>
      </c>
      <c r="FA402" s="29" t="s">
        <v>583</v>
      </c>
      <c r="FB402" s="29" t="s">
        <v>413</v>
      </c>
      <c r="FC402" s="29" t="s">
        <v>413</v>
      </c>
      <c r="FD402" s="29" t="s">
        <v>413</v>
      </c>
      <c r="FE402" s="29" t="s">
        <v>583</v>
      </c>
      <c r="FF402" s="29" t="s">
        <v>413</v>
      </c>
      <c r="FG402" s="29" t="s">
        <v>413</v>
      </c>
      <c r="FH402" s="29" t="s">
        <v>413</v>
      </c>
      <c r="FI402" s="29" t="s">
        <v>413</v>
      </c>
      <c r="FJ402" s="29" t="s">
        <v>413</v>
      </c>
      <c r="FK402" s="29" t="s">
        <v>413</v>
      </c>
      <c r="FL402" s="29" t="s">
        <v>413</v>
      </c>
      <c r="FM402" s="29" t="s">
        <v>413</v>
      </c>
      <c r="FN402" s="29" t="s">
        <v>413</v>
      </c>
      <c r="FO402" s="29" t="s">
        <v>485</v>
      </c>
      <c r="FP402" s="29" t="s">
        <v>418</v>
      </c>
      <c r="FQ402" s="29" t="s">
        <v>1039</v>
      </c>
      <c r="FR402" s="29" t="s">
        <v>7982</v>
      </c>
      <c r="FS402" s="29" t="s">
        <v>1076</v>
      </c>
      <c r="FT402" s="29" t="s">
        <v>488</v>
      </c>
      <c r="FU402" s="29" t="s">
        <v>585</v>
      </c>
      <c r="FV402" s="29" t="s">
        <v>490</v>
      </c>
      <c r="FW402" s="29" t="s">
        <v>491</v>
      </c>
      <c r="FX402" s="29" t="s">
        <v>7982</v>
      </c>
      <c r="FY402" s="29" t="s">
        <v>535</v>
      </c>
      <c r="FZ402" s="29" t="s">
        <v>7983</v>
      </c>
      <c r="GA402" s="29" t="s">
        <v>7982</v>
      </c>
      <c r="GB402" s="29" t="s">
        <v>455</v>
      </c>
      <c r="GC402" s="29"/>
      <c r="GD402" s="29"/>
      <c r="GE402" s="29" t="s">
        <v>1339</v>
      </c>
      <c r="GF402" s="29" t="s">
        <v>7984</v>
      </c>
      <c r="GG402" s="29" t="s">
        <v>857</v>
      </c>
      <c r="GH402" s="29" t="s">
        <v>789</v>
      </c>
      <c r="GI402" s="29" t="s">
        <v>921</v>
      </c>
      <c r="GJ402" s="29"/>
      <c r="GK402" s="29"/>
      <c r="GL402" s="29"/>
      <c r="GM402" s="29"/>
      <c r="GN402" s="29" t="s">
        <v>4958</v>
      </c>
      <c r="GO402" s="29" t="s">
        <v>7985</v>
      </c>
      <c r="GP402" s="29"/>
      <c r="GQ402" s="29" t="s">
        <v>3208</v>
      </c>
      <c r="GR402" s="29"/>
      <c r="GS402" s="29"/>
      <c r="GT402" s="29" t="s">
        <v>4774</v>
      </c>
      <c r="GU402" s="29" t="s">
        <v>7986</v>
      </c>
      <c r="HP402" s="31"/>
      <c r="MX402" s="29" t="s">
        <v>10402</v>
      </c>
      <c r="MY402" s="29" t="str">
        <f>IFERROR(__xludf.DUMMYFUNCTION("""COMPUTED_VALUE"""),"Washington")</f>
        <v>Washington</v>
      </c>
    </row>
    <row r="403" ht="16.5" customHeight="1">
      <c r="A403" s="33">
        <v>45996.56378877314</v>
      </c>
      <c r="B403" s="29" t="s">
        <v>368</v>
      </c>
      <c r="C403" s="29" t="s">
        <v>370</v>
      </c>
      <c r="D403" s="29" t="s">
        <v>370</v>
      </c>
      <c r="E403" s="29" t="s">
        <v>1421</v>
      </c>
      <c r="F403" s="29" t="s">
        <v>1421</v>
      </c>
      <c r="G403" s="29" t="s">
        <v>422</v>
      </c>
      <c r="H403" s="29" t="s">
        <v>373</v>
      </c>
      <c r="I403" s="29" t="s">
        <v>374</v>
      </c>
      <c r="J403" s="29" t="s">
        <v>669</v>
      </c>
      <c r="K403" s="29" t="s">
        <v>376</v>
      </c>
      <c r="L403" s="29" t="s">
        <v>591</v>
      </c>
      <c r="M403" s="29" t="s">
        <v>3453</v>
      </c>
      <c r="N403" s="29" t="s">
        <v>793</v>
      </c>
      <c r="O403" s="29" t="s">
        <v>7992</v>
      </c>
      <c r="P403" s="29" t="s">
        <v>592</v>
      </c>
      <c r="Q403" s="29" t="s">
        <v>382</v>
      </c>
      <c r="R403" s="29" t="s">
        <v>1197</v>
      </c>
      <c r="S403" s="29" t="s">
        <v>384</v>
      </c>
      <c r="T403" s="29" t="s">
        <v>385</v>
      </c>
      <c r="U403" s="29"/>
      <c r="V403" s="29"/>
      <c r="W403" s="29" t="s">
        <v>386</v>
      </c>
      <c r="X403" s="29" t="s">
        <v>387</v>
      </c>
      <c r="Y403" s="29" t="s">
        <v>388</v>
      </c>
      <c r="Z403" s="29" t="s">
        <v>543</v>
      </c>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t="s">
        <v>1242</v>
      </c>
      <c r="AW403" s="29" t="s">
        <v>675</v>
      </c>
      <c r="AX403" s="29" t="s">
        <v>675</v>
      </c>
      <c r="AY403" s="29" t="s">
        <v>391</v>
      </c>
      <c r="AZ403" s="29">
        <v>4.0</v>
      </c>
      <c r="BA403" s="29">
        <v>4.0</v>
      </c>
      <c r="BB403" s="29" t="s">
        <v>675</v>
      </c>
      <c r="BC403" s="29"/>
      <c r="BD403" s="29"/>
      <c r="BE403" s="29" t="s">
        <v>432</v>
      </c>
      <c r="BF403" s="29" t="s">
        <v>1047</v>
      </c>
      <c r="BG403" s="29" t="s">
        <v>434</v>
      </c>
      <c r="BH403" s="29"/>
      <c r="BI403" s="29" t="s">
        <v>976</v>
      </c>
      <c r="BJ403" s="29"/>
      <c r="BK403" s="29" t="s">
        <v>395</v>
      </c>
      <c r="BL403" s="29" t="s">
        <v>904</v>
      </c>
      <c r="BM403" s="29" t="s">
        <v>1314</v>
      </c>
      <c r="BN403" s="29" t="s">
        <v>513</v>
      </c>
      <c r="BO403" s="29"/>
      <c r="BP403" s="29"/>
      <c r="BQ403" s="29"/>
      <c r="BR403" s="29"/>
      <c r="BS403" s="29"/>
      <c r="BT403" s="29"/>
      <c r="BU403" s="29"/>
      <c r="BV403" s="29"/>
      <c r="BW403" s="29"/>
      <c r="BX403" s="29"/>
      <c r="BY403" s="29"/>
      <c r="BZ403" s="29"/>
      <c r="CA403" s="29"/>
      <c r="CB403" s="29"/>
      <c r="CC403" s="29"/>
      <c r="CD403" s="29"/>
      <c r="CE403" s="29"/>
      <c r="CF403" s="29"/>
      <c r="CG403" s="29"/>
      <c r="CH403" s="29"/>
      <c r="CI403" s="29"/>
      <c r="CJ403" s="29"/>
      <c r="CK403" s="29"/>
      <c r="CL403" s="29" t="s">
        <v>441</v>
      </c>
      <c r="CM403" s="29" t="s">
        <v>604</v>
      </c>
      <c r="CN403" s="29"/>
      <c r="CO403" s="29"/>
      <c r="CP403" s="29" t="s">
        <v>445</v>
      </c>
      <c r="CQ403" s="29" t="s">
        <v>6915</v>
      </c>
      <c r="CR403" s="29" t="s">
        <v>404</v>
      </c>
      <c r="CS403" s="29" t="s">
        <v>7993</v>
      </c>
      <c r="CT403" s="29"/>
      <c r="CU403" s="29" t="s">
        <v>982</v>
      </c>
      <c r="CV403" s="29" t="s">
        <v>409</v>
      </c>
      <c r="CW403" s="29"/>
      <c r="CX403" s="29" t="s">
        <v>408</v>
      </c>
      <c r="CY403" s="29"/>
      <c r="CZ403" s="29" t="s">
        <v>1398</v>
      </c>
      <c r="DA403" s="29"/>
      <c r="DB403" s="29" t="s">
        <v>408</v>
      </c>
      <c r="DC403" s="29"/>
      <c r="DD403" s="29" t="s">
        <v>988</v>
      </c>
      <c r="DE403" s="29"/>
      <c r="DF403" s="29"/>
      <c r="DG403" s="29" t="s">
        <v>776</v>
      </c>
      <c r="DH403" s="29" t="s">
        <v>1220</v>
      </c>
      <c r="DI403" s="29" t="s">
        <v>459</v>
      </c>
      <c r="DJ403" s="29" t="s">
        <v>460</v>
      </c>
      <c r="DK403" s="29" t="s">
        <v>6335</v>
      </c>
      <c r="DL403" s="29"/>
      <c r="DM403" s="29"/>
      <c r="DN403" s="29"/>
      <c r="DO403" s="29"/>
      <c r="DP403" s="29"/>
      <c r="DQ403" s="29"/>
      <c r="DR403" s="29"/>
      <c r="DS403" s="29"/>
      <c r="DT403" s="29"/>
      <c r="DU403" s="29"/>
      <c r="DV403" s="29"/>
      <c r="DW403" s="29"/>
      <c r="DX403" s="29"/>
      <c r="DY403" s="29"/>
      <c r="DZ403" s="29"/>
      <c r="EA403" s="29"/>
      <c r="EB403" s="29"/>
      <c r="EC403" s="29"/>
      <c r="ED403" s="29"/>
      <c r="EE403" s="29"/>
      <c r="EF403" s="29"/>
      <c r="EG403" s="29"/>
      <c r="EH403" s="29"/>
      <c r="EI403" s="29"/>
      <c r="EJ403" s="29"/>
      <c r="EK403" s="29"/>
      <c r="EL403" s="29"/>
      <c r="EM403" s="29"/>
      <c r="EN403" s="29"/>
      <c r="EO403" s="29"/>
      <c r="EP403" s="29"/>
      <c r="EQ403" s="29"/>
      <c r="ER403" s="29"/>
      <c r="ES403" s="29"/>
      <c r="ET403" s="29" t="s">
        <v>478</v>
      </c>
      <c r="EU403" s="29" t="s">
        <v>887</v>
      </c>
      <c r="EV403" s="29" t="s">
        <v>580</v>
      </c>
      <c r="EW403" s="29"/>
      <c r="EX403" s="29"/>
      <c r="EY403" s="29"/>
      <c r="EZ403" s="29" t="s">
        <v>414</v>
      </c>
      <c r="FA403" s="29" t="s">
        <v>414</v>
      </c>
      <c r="FB403" s="29" t="s">
        <v>414</v>
      </c>
      <c r="FC403" s="29" t="s">
        <v>414</v>
      </c>
      <c r="FD403" s="29" t="s">
        <v>415</v>
      </c>
      <c r="FE403" s="29" t="s">
        <v>414</v>
      </c>
      <c r="FF403" s="29" t="s">
        <v>414</v>
      </c>
      <c r="FG403" s="29" t="s">
        <v>415</v>
      </c>
      <c r="FH403" s="29" t="s">
        <v>415</v>
      </c>
      <c r="FI403" s="29" t="s">
        <v>414</v>
      </c>
      <c r="FJ403" s="29" t="s">
        <v>414</v>
      </c>
      <c r="FK403" s="29" t="s">
        <v>583</v>
      </c>
      <c r="FL403" s="29" t="s">
        <v>583</v>
      </c>
      <c r="FM403" s="29" t="s">
        <v>416</v>
      </c>
      <c r="FN403" s="29" t="s">
        <v>414</v>
      </c>
      <c r="FO403" s="29" t="s">
        <v>1074</v>
      </c>
      <c r="FP403" s="29" t="s">
        <v>1200</v>
      </c>
      <c r="FQ403" s="29" t="s">
        <v>419</v>
      </c>
      <c r="FR403" s="29"/>
      <c r="FS403" s="29" t="s">
        <v>1076</v>
      </c>
      <c r="FT403" s="29" t="s">
        <v>421</v>
      </c>
      <c r="FU403" s="29" t="s">
        <v>489</v>
      </c>
      <c r="FV403" s="29" t="s">
        <v>2387</v>
      </c>
      <c r="FW403" s="29" t="s">
        <v>1853</v>
      </c>
      <c r="FX403" s="29"/>
      <c r="FY403" s="29" t="s">
        <v>1854</v>
      </c>
      <c r="FZ403" s="29"/>
      <c r="GA403" s="29"/>
      <c r="GB403" s="29" t="s">
        <v>408</v>
      </c>
      <c r="GC403" s="29"/>
      <c r="GD403" s="29"/>
      <c r="GE403" s="29"/>
      <c r="GF403" s="29"/>
      <c r="GG403" s="29" t="s">
        <v>1000</v>
      </c>
      <c r="GH403" s="29" t="s">
        <v>1000</v>
      </c>
      <c r="GI403" s="29" t="s">
        <v>756</v>
      </c>
      <c r="GJ403" s="29"/>
      <c r="GK403" s="29"/>
      <c r="GL403" s="29"/>
      <c r="GM403" s="29"/>
      <c r="GN403" s="29"/>
      <c r="GO403" s="29"/>
      <c r="GP403" s="29"/>
      <c r="GQ403" s="29" t="s">
        <v>3208</v>
      </c>
      <c r="GR403" s="29"/>
      <c r="GS403" s="29"/>
      <c r="GT403" s="29" t="s">
        <v>4774</v>
      </c>
      <c r="GU403" s="29"/>
      <c r="HP403" s="31"/>
      <c r="MX403" s="29" t="s">
        <v>10402</v>
      </c>
      <c r="MY403" s="29" t="str">
        <f>IFERROR(__xludf.DUMMYFUNCTION("""COMPUTED_VALUE"""),"California")</f>
        <v>California</v>
      </c>
    </row>
    <row r="404" ht="16.5" customHeight="1">
      <c r="A404" s="33">
        <v>45999.3960019213</v>
      </c>
      <c r="B404" s="29" t="s">
        <v>368</v>
      </c>
      <c r="C404" s="29" t="s">
        <v>370</v>
      </c>
      <c r="D404" s="29" t="s">
        <v>370</v>
      </c>
      <c r="E404" s="29" t="s">
        <v>371</v>
      </c>
      <c r="F404" s="29" t="s">
        <v>371</v>
      </c>
      <c r="G404" s="29" t="s">
        <v>1783</v>
      </c>
      <c r="H404" s="29" t="s">
        <v>373</v>
      </c>
      <c r="I404" s="29" t="s">
        <v>374</v>
      </c>
      <c r="J404" s="29" t="s">
        <v>718</v>
      </c>
      <c r="K404" s="29" t="s">
        <v>376</v>
      </c>
      <c r="L404" s="29" t="s">
        <v>379</v>
      </c>
      <c r="M404" s="29" t="s">
        <v>1442</v>
      </c>
      <c r="N404" s="29" t="s">
        <v>379</v>
      </c>
      <c r="O404" s="29" t="s">
        <v>497</v>
      </c>
      <c r="P404" s="29" t="s">
        <v>381</v>
      </c>
      <c r="Q404" s="29" t="s">
        <v>499</v>
      </c>
      <c r="R404" s="29" t="s">
        <v>427</v>
      </c>
      <c r="S404" s="29" t="s">
        <v>384</v>
      </c>
      <c r="T404" s="29" t="s">
        <v>385</v>
      </c>
      <c r="U404" s="29"/>
      <c r="V404" s="29"/>
      <c r="W404" s="29" t="s">
        <v>386</v>
      </c>
      <c r="X404" s="29" t="s">
        <v>387</v>
      </c>
      <c r="Y404" s="29" t="s">
        <v>388</v>
      </c>
      <c r="Z404" s="29" t="s">
        <v>672</v>
      </c>
      <c r="AA404" s="29" t="s">
        <v>7994</v>
      </c>
      <c r="AB404" s="29" t="s">
        <v>4148</v>
      </c>
      <c r="AC404" s="29"/>
      <c r="AD404" s="29"/>
      <c r="AE404" s="29"/>
      <c r="AF404" s="29"/>
      <c r="AG404" s="29"/>
      <c r="AH404" s="29"/>
      <c r="AI404" s="29"/>
      <c r="AJ404" s="29"/>
      <c r="AK404" s="29"/>
      <c r="AL404" s="29"/>
      <c r="AM404" s="29"/>
      <c r="AN404" s="29"/>
      <c r="AO404" s="29"/>
      <c r="AP404" s="29"/>
      <c r="AQ404" s="29"/>
      <c r="AR404" s="29"/>
      <c r="AS404" s="29"/>
      <c r="AT404" s="29"/>
      <c r="AU404" s="29"/>
      <c r="AV404" s="29" t="s">
        <v>1310</v>
      </c>
      <c r="AW404" s="29">
        <v>4.0</v>
      </c>
      <c r="AX404" s="29">
        <v>4.0</v>
      </c>
      <c r="AY404" s="29">
        <v>4.0</v>
      </c>
      <c r="AZ404" s="29" t="s">
        <v>391</v>
      </c>
      <c r="BA404" s="29">
        <v>2.0</v>
      </c>
      <c r="BB404" s="29" t="s">
        <v>391</v>
      </c>
      <c r="BC404" s="29" t="s">
        <v>7995</v>
      </c>
      <c r="BD404" s="29" t="s">
        <v>7996</v>
      </c>
      <c r="BE404" s="29" t="s">
        <v>432</v>
      </c>
      <c r="BF404" s="29" t="s">
        <v>393</v>
      </c>
      <c r="BG404" s="29" t="s">
        <v>434</v>
      </c>
      <c r="BH404" s="29" t="s">
        <v>7997</v>
      </c>
      <c r="BI404" s="29" t="s">
        <v>509</v>
      </c>
      <c r="BJ404" s="29" t="s">
        <v>7998</v>
      </c>
      <c r="BK404" s="29" t="s">
        <v>681</v>
      </c>
      <c r="BL404" s="29" t="s">
        <v>438</v>
      </c>
      <c r="BM404" s="29" t="s">
        <v>1247</v>
      </c>
      <c r="BN404" s="29" t="s">
        <v>513</v>
      </c>
      <c r="BO404" s="29"/>
      <c r="BP404" s="29"/>
      <c r="BQ404" s="29"/>
      <c r="BR404" s="29"/>
      <c r="BS404" s="29"/>
      <c r="BT404" s="29"/>
      <c r="BU404" s="29"/>
      <c r="BV404" s="29"/>
      <c r="BW404" s="29"/>
      <c r="BX404" s="29"/>
      <c r="BY404" s="29"/>
      <c r="BZ404" s="29"/>
      <c r="CA404" s="29"/>
      <c r="CB404" s="29"/>
      <c r="CC404" s="29"/>
      <c r="CD404" s="29"/>
      <c r="CE404" s="29"/>
      <c r="CF404" s="29"/>
      <c r="CG404" s="29"/>
      <c r="CH404" s="29"/>
      <c r="CI404" s="29"/>
      <c r="CJ404" s="29"/>
      <c r="CK404" s="29"/>
      <c r="CL404" s="29" t="s">
        <v>441</v>
      </c>
      <c r="CM404" s="29" t="s">
        <v>442</v>
      </c>
      <c r="CN404" s="29" t="s">
        <v>7999</v>
      </c>
      <c r="CO404" s="29" t="s">
        <v>8000</v>
      </c>
      <c r="CP404" s="29" t="s">
        <v>445</v>
      </c>
      <c r="CQ404" s="29" t="s">
        <v>8001</v>
      </c>
      <c r="CR404" s="29" t="s">
        <v>447</v>
      </c>
      <c r="CS404" s="29" t="s">
        <v>8002</v>
      </c>
      <c r="CT404" s="29" t="s">
        <v>8003</v>
      </c>
      <c r="CU404" s="29" t="s">
        <v>519</v>
      </c>
      <c r="CV404" s="29" t="s">
        <v>451</v>
      </c>
      <c r="CW404" s="29" t="s">
        <v>8004</v>
      </c>
      <c r="CX404" s="29" t="s">
        <v>455</v>
      </c>
      <c r="CY404" s="29" t="s">
        <v>8005</v>
      </c>
      <c r="CZ404" s="29" t="s">
        <v>985</v>
      </c>
      <c r="DA404" s="29" t="s">
        <v>8006</v>
      </c>
      <c r="DB404" s="29" t="s">
        <v>455</v>
      </c>
      <c r="DC404" s="29" t="s">
        <v>8007</v>
      </c>
      <c r="DD404" s="29" t="s">
        <v>988</v>
      </c>
      <c r="DE404" s="29"/>
      <c r="DF404" s="29"/>
      <c r="DG404" s="29" t="s">
        <v>776</v>
      </c>
      <c r="DH404" s="29" t="s">
        <v>410</v>
      </c>
      <c r="DI404" s="29" t="s">
        <v>459</v>
      </c>
      <c r="DJ404" s="29" t="s">
        <v>460</v>
      </c>
      <c r="DK404" s="29" t="s">
        <v>6335</v>
      </c>
      <c r="DL404" s="29"/>
      <c r="DM404" s="29"/>
      <c r="DN404" s="29"/>
      <c r="DO404" s="29"/>
      <c r="DP404" s="29"/>
      <c r="DQ404" s="29"/>
      <c r="DR404" s="29"/>
      <c r="DS404" s="29"/>
      <c r="DT404" s="29"/>
      <c r="DU404" s="29"/>
      <c r="DV404" s="29"/>
      <c r="DW404" s="29"/>
      <c r="DX404" s="29"/>
      <c r="DY404" s="29"/>
      <c r="DZ404" s="29"/>
      <c r="EA404" s="29"/>
      <c r="EB404" s="29"/>
      <c r="EC404" s="29"/>
      <c r="ED404" s="29"/>
      <c r="EE404" s="29"/>
      <c r="EF404" s="29"/>
      <c r="EG404" s="29"/>
      <c r="EH404" s="29"/>
      <c r="EI404" s="29"/>
      <c r="EJ404" s="29"/>
      <c r="EK404" s="29"/>
      <c r="EL404" s="29"/>
      <c r="EM404" s="29"/>
      <c r="EN404" s="29"/>
      <c r="EO404" s="29"/>
      <c r="EP404" s="29"/>
      <c r="EQ404" s="29"/>
      <c r="ER404" s="29"/>
      <c r="ES404" s="29"/>
      <c r="ET404" s="29" t="s">
        <v>578</v>
      </c>
      <c r="EU404" s="29" t="s">
        <v>887</v>
      </c>
      <c r="EV404" s="29" t="s">
        <v>527</v>
      </c>
      <c r="EW404" s="29"/>
      <c r="EX404" s="29"/>
      <c r="EY404" s="29"/>
      <c r="EZ404" s="29" t="s">
        <v>583</v>
      </c>
      <c r="FA404" s="29" t="s">
        <v>583</v>
      </c>
      <c r="FB404" s="29" t="s">
        <v>416</v>
      </c>
      <c r="FC404" s="29" t="s">
        <v>583</v>
      </c>
      <c r="FD404" s="29" t="s">
        <v>416</v>
      </c>
      <c r="FE404" s="29" t="s">
        <v>583</v>
      </c>
      <c r="FF404" s="29" t="s">
        <v>583</v>
      </c>
      <c r="FG404" s="29" t="s">
        <v>413</v>
      </c>
      <c r="FH404" s="29" t="s">
        <v>583</v>
      </c>
      <c r="FI404" s="29" t="s">
        <v>583</v>
      </c>
      <c r="FJ404" s="29" t="s">
        <v>583</v>
      </c>
      <c r="FK404" s="29" t="s">
        <v>416</v>
      </c>
      <c r="FL404" s="29" t="s">
        <v>416</v>
      </c>
      <c r="FM404" s="29" t="s">
        <v>416</v>
      </c>
      <c r="FN404" s="29" t="s">
        <v>583</v>
      </c>
      <c r="FO404" s="29" t="s">
        <v>3396</v>
      </c>
      <c r="FP404" s="29" t="s">
        <v>418</v>
      </c>
      <c r="FQ404" s="29" t="s">
        <v>531</v>
      </c>
      <c r="FR404" s="29"/>
      <c r="FS404" s="29" t="s">
        <v>995</v>
      </c>
      <c r="FT404" s="29" t="s">
        <v>488</v>
      </c>
      <c r="FU404" s="29" t="s">
        <v>489</v>
      </c>
      <c r="FV404" s="29" t="s">
        <v>490</v>
      </c>
      <c r="FW404" s="29" t="s">
        <v>1853</v>
      </c>
      <c r="FX404" s="29"/>
      <c r="FY404" s="29"/>
      <c r="FZ404" s="29"/>
      <c r="GA404" s="29"/>
      <c r="GB404" s="29" t="s">
        <v>455</v>
      </c>
      <c r="GC404" s="29"/>
      <c r="GD404" s="29"/>
      <c r="GE404" s="29"/>
      <c r="GF404" s="29"/>
      <c r="GG404" s="29" t="s">
        <v>755</v>
      </c>
      <c r="GH404" s="29" t="s">
        <v>755</v>
      </c>
      <c r="GI404" s="29" t="s">
        <v>946</v>
      </c>
      <c r="GJ404" s="29"/>
      <c r="GK404" s="29"/>
      <c r="GL404" s="29"/>
      <c r="GM404" s="29"/>
      <c r="GN404" s="29"/>
      <c r="GO404" s="29"/>
      <c r="GP404" s="29"/>
      <c r="GQ404" s="29" t="s">
        <v>3208</v>
      </c>
      <c r="GR404" s="29"/>
      <c r="GS404" s="29"/>
      <c r="GT404" s="29" t="s">
        <v>4774</v>
      </c>
      <c r="GU404" s="29"/>
      <c r="HP404" s="31"/>
      <c r="MX404" s="29" t="s">
        <v>1341</v>
      </c>
      <c r="MY404" s="29" t="str">
        <f>IFERROR(__xludf.DUMMYFUNCTION("""COMPUTED_VALUE"""),"Germany")</f>
        <v>Germany</v>
      </c>
    </row>
    <row r="405" ht="16.5" customHeight="1">
      <c r="A405" s="33">
        <v>46001.23924292824</v>
      </c>
      <c r="B405" s="29" t="s">
        <v>368</v>
      </c>
      <c r="C405" s="29" t="s">
        <v>1341</v>
      </c>
      <c r="D405" s="29" t="s">
        <v>1341</v>
      </c>
      <c r="E405" s="29"/>
      <c r="F405" s="29"/>
      <c r="G405" s="29" t="s">
        <v>422</v>
      </c>
      <c r="H405" s="29" t="s">
        <v>496</v>
      </c>
      <c r="I405" s="29" t="s">
        <v>374</v>
      </c>
      <c r="J405" s="29" t="s">
        <v>375</v>
      </c>
      <c r="K405" s="29" t="s">
        <v>376</v>
      </c>
      <c r="L405" s="29" t="s">
        <v>377</v>
      </c>
      <c r="M405" s="29" t="s">
        <v>541</v>
      </c>
      <c r="N405" s="29" t="s">
        <v>379</v>
      </c>
      <c r="O405" s="29" t="s">
        <v>1024</v>
      </c>
      <c r="P405" s="29" t="s">
        <v>1760</v>
      </c>
      <c r="Q405" s="29" t="s">
        <v>499</v>
      </c>
      <c r="R405" s="29" t="s">
        <v>427</v>
      </c>
      <c r="S405" s="29" t="s">
        <v>384</v>
      </c>
      <c r="T405" s="29"/>
      <c r="U405" s="29"/>
      <c r="V405" s="29"/>
      <c r="W405" s="29" t="s">
        <v>386</v>
      </c>
      <c r="X405" s="29" t="s">
        <v>387</v>
      </c>
      <c r="Y405" s="29" t="s">
        <v>1444</v>
      </c>
      <c r="Z405" s="29" t="s">
        <v>389</v>
      </c>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t="s">
        <v>390</v>
      </c>
      <c r="AW405" s="29" t="s">
        <v>391</v>
      </c>
      <c r="AX405" s="29" t="s">
        <v>391</v>
      </c>
      <c r="AY405" s="29">
        <v>2.0</v>
      </c>
      <c r="AZ405" s="29" t="s">
        <v>429</v>
      </c>
      <c r="BA405" s="29" t="s">
        <v>429</v>
      </c>
      <c r="BB405" s="29">
        <v>2.0</v>
      </c>
      <c r="BC405" s="29" t="s">
        <v>8008</v>
      </c>
      <c r="BD405" s="29" t="s">
        <v>8009</v>
      </c>
      <c r="BE405" s="29" t="s">
        <v>392</v>
      </c>
      <c r="BF405" s="29" t="s">
        <v>393</v>
      </c>
      <c r="BG405" s="29" t="s">
        <v>434</v>
      </c>
      <c r="BH405" s="29" t="s">
        <v>8010</v>
      </c>
      <c r="BI405" s="29" t="s">
        <v>509</v>
      </c>
      <c r="BJ405" s="29"/>
      <c r="BK405" s="29" t="s">
        <v>437</v>
      </c>
      <c r="BL405" s="29" t="s">
        <v>512</v>
      </c>
      <c r="BM405" s="29" t="s">
        <v>549</v>
      </c>
      <c r="BN405" s="29" t="s">
        <v>513</v>
      </c>
      <c r="BO405" s="29"/>
      <c r="BP405" s="29"/>
      <c r="BQ405" s="29"/>
      <c r="BR405" s="29"/>
      <c r="BS405" s="29"/>
      <c r="BT405" s="29"/>
      <c r="BU405" s="29"/>
      <c r="BV405" s="29"/>
      <c r="BW405" s="29"/>
      <c r="BX405" s="29"/>
      <c r="BY405" s="29"/>
      <c r="BZ405" s="29"/>
      <c r="CA405" s="29"/>
      <c r="CB405" s="29"/>
      <c r="CC405" s="29"/>
      <c r="CD405" s="29"/>
      <c r="CE405" s="29"/>
      <c r="CF405" s="29"/>
      <c r="CG405" s="29"/>
      <c r="CH405" s="29"/>
      <c r="CI405" s="29"/>
      <c r="CJ405" s="29"/>
      <c r="CK405" s="29"/>
      <c r="CL405" s="29" t="s">
        <v>682</v>
      </c>
      <c r="CM405" s="29" t="s">
        <v>401</v>
      </c>
      <c r="CN405" s="29" t="s">
        <v>8011</v>
      </c>
      <c r="CO405" s="29" t="s">
        <v>8012</v>
      </c>
      <c r="CP405" s="29"/>
      <c r="CQ405" s="29"/>
      <c r="CR405" s="29"/>
      <c r="CS405" s="29"/>
      <c r="CT405" s="29" t="s">
        <v>8013</v>
      </c>
      <c r="CU405" s="29" t="s">
        <v>450</v>
      </c>
      <c r="CV405" s="29" t="s">
        <v>959</v>
      </c>
      <c r="CW405" s="29"/>
      <c r="CX405" s="29" t="s">
        <v>408</v>
      </c>
      <c r="CY405" s="29"/>
      <c r="CZ405" s="29" t="s">
        <v>985</v>
      </c>
      <c r="DA405" s="29" t="s">
        <v>8014</v>
      </c>
      <c r="DB405" s="29" t="s">
        <v>455</v>
      </c>
      <c r="DC405" s="29"/>
      <c r="DD405" s="29"/>
      <c r="DE405" s="29"/>
      <c r="DF405" s="29"/>
      <c r="DG405" s="29" t="s">
        <v>4899</v>
      </c>
      <c r="DH405" s="29" t="s">
        <v>1220</v>
      </c>
      <c r="DI405" s="29" t="s">
        <v>1402</v>
      </c>
      <c r="DJ405" s="29" t="s">
        <v>613</v>
      </c>
      <c r="DK405" s="29"/>
      <c r="DL405" s="29"/>
      <c r="DM405" s="29"/>
      <c r="DN405" s="29"/>
      <c r="DO405" s="29"/>
      <c r="DP405" s="29"/>
      <c r="DQ405" s="29"/>
      <c r="DR405" s="29"/>
      <c r="DS405" s="29"/>
      <c r="DT405" s="29"/>
      <c r="DU405" s="29"/>
      <c r="DV405" s="29"/>
      <c r="DW405" s="29"/>
      <c r="DX405" s="29"/>
      <c r="DY405" s="29"/>
      <c r="DZ405" s="29"/>
      <c r="EA405" s="29"/>
      <c r="EB405" s="29"/>
      <c r="EC405" s="29"/>
      <c r="ED405" s="29"/>
      <c r="EE405" s="29"/>
      <c r="EF405" s="29"/>
      <c r="EG405" s="29"/>
      <c r="EH405" s="29"/>
      <c r="EI405" s="29"/>
      <c r="EJ405" s="29"/>
      <c r="EK405" s="29"/>
      <c r="EL405" s="29"/>
      <c r="EM405" s="29"/>
      <c r="EN405" s="29"/>
      <c r="EO405" s="29"/>
      <c r="EP405" s="29"/>
      <c r="EQ405" s="29"/>
      <c r="ER405" s="29"/>
      <c r="ES405" s="29"/>
      <c r="ET405" s="29" t="s">
        <v>578</v>
      </c>
      <c r="EU405" s="29" t="s">
        <v>579</v>
      </c>
      <c r="EV405" s="29" t="s">
        <v>580</v>
      </c>
      <c r="EW405" s="29"/>
      <c r="EX405" s="29" t="s">
        <v>8015</v>
      </c>
      <c r="EY405" s="29" t="s">
        <v>8016</v>
      </c>
      <c r="EZ405" s="29" t="s">
        <v>414</v>
      </c>
      <c r="FA405" s="29" t="s">
        <v>414</v>
      </c>
      <c r="FB405" s="29" t="s">
        <v>413</v>
      </c>
      <c r="FC405" s="29" t="s">
        <v>414</v>
      </c>
      <c r="FD405" s="29" t="s">
        <v>416</v>
      </c>
      <c r="FE405" s="29" t="s">
        <v>414</v>
      </c>
      <c r="FF405" s="29" t="s">
        <v>414</v>
      </c>
      <c r="FG405" s="29" t="s">
        <v>414</v>
      </c>
      <c r="FH405" s="29" t="s">
        <v>416</v>
      </c>
      <c r="FI405" s="29" t="s">
        <v>415</v>
      </c>
      <c r="FJ405" s="29" t="s">
        <v>414</v>
      </c>
      <c r="FK405" s="29" t="s">
        <v>415</v>
      </c>
      <c r="FL405" s="29" t="s">
        <v>415</v>
      </c>
      <c r="FM405" s="29" t="s">
        <v>415</v>
      </c>
      <c r="FN405" s="29" t="s">
        <v>415</v>
      </c>
      <c r="FO405" s="29" t="s">
        <v>417</v>
      </c>
      <c r="FP405" s="29" t="s">
        <v>486</v>
      </c>
      <c r="FQ405" s="29" t="s">
        <v>419</v>
      </c>
      <c r="FR405" s="29" t="s">
        <v>8017</v>
      </c>
      <c r="FS405" s="29" t="s">
        <v>1076</v>
      </c>
      <c r="FT405" s="29" t="s">
        <v>1462</v>
      </c>
      <c r="FU405" s="29" t="s">
        <v>918</v>
      </c>
      <c r="FV405" s="29" t="s">
        <v>490</v>
      </c>
      <c r="FW405" s="29" t="s">
        <v>491</v>
      </c>
      <c r="FX405" s="29"/>
      <c r="FY405" s="29" t="s">
        <v>493</v>
      </c>
      <c r="FZ405" s="29" t="s">
        <v>8018</v>
      </c>
      <c r="GA405" s="29"/>
      <c r="GB405" s="29" t="s">
        <v>408</v>
      </c>
      <c r="GC405" s="29"/>
      <c r="GD405" s="29"/>
      <c r="GE405" s="29"/>
      <c r="GF405" s="29"/>
      <c r="GG405" s="29" t="s">
        <v>789</v>
      </c>
      <c r="GH405" s="29"/>
      <c r="GI405" s="29" t="s">
        <v>921</v>
      </c>
      <c r="GJ405" s="29"/>
      <c r="GK405" s="29"/>
      <c r="GL405" s="29"/>
      <c r="GM405" s="29"/>
      <c r="GN405" s="29"/>
      <c r="GO405" s="29"/>
      <c r="GP405" s="29"/>
      <c r="GQ405" s="29" t="s">
        <v>3208</v>
      </c>
      <c r="GR405" s="29"/>
      <c r="GS405" s="29"/>
      <c r="GT405" s="29" t="s">
        <v>5039</v>
      </c>
      <c r="GU405" s="29"/>
      <c r="HP405" s="31"/>
      <c r="MX405" s="29" t="s">
        <v>10402</v>
      </c>
      <c r="MY405" s="29" t="str">
        <f>IFERROR(__xludf.DUMMYFUNCTION("""COMPUTED_VALUE"""),"Nevada")</f>
        <v>Nevada</v>
      </c>
    </row>
    <row r="406" ht="16.5" customHeight="1">
      <c r="A406" s="33">
        <v>46003.78513780092</v>
      </c>
      <c r="B406" s="29" t="s">
        <v>368</v>
      </c>
      <c r="C406" s="29" t="s">
        <v>370</v>
      </c>
      <c r="D406" s="29" t="s">
        <v>370</v>
      </c>
      <c r="E406" s="29" t="s">
        <v>6014</v>
      </c>
      <c r="F406" s="29" t="s">
        <v>371</v>
      </c>
      <c r="G406" s="29" t="s">
        <v>422</v>
      </c>
      <c r="H406" s="29" t="s">
        <v>373</v>
      </c>
      <c r="I406" s="29" t="s">
        <v>374</v>
      </c>
      <c r="J406" s="29" t="s">
        <v>425</v>
      </c>
      <c r="K406" s="29" t="s">
        <v>376</v>
      </c>
      <c r="L406" s="29" t="s">
        <v>793</v>
      </c>
      <c r="M406" s="29" t="s">
        <v>639</v>
      </c>
      <c r="N406" s="29" t="s">
        <v>426</v>
      </c>
      <c r="O406" s="29" t="s">
        <v>2464</v>
      </c>
      <c r="P406" s="29" t="s">
        <v>592</v>
      </c>
      <c r="Q406" s="29" t="s">
        <v>382</v>
      </c>
      <c r="R406" s="29" t="s">
        <v>427</v>
      </c>
      <c r="S406" s="29" t="s">
        <v>384</v>
      </c>
      <c r="T406" s="29" t="s">
        <v>385</v>
      </c>
      <c r="U406" s="29"/>
      <c r="V406" s="29"/>
      <c r="W406" s="29" t="s">
        <v>3231</v>
      </c>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t="s">
        <v>504</v>
      </c>
      <c r="AW406" s="29" t="s">
        <v>429</v>
      </c>
      <c r="AX406" s="29" t="s">
        <v>429</v>
      </c>
      <c r="AY406" s="29" t="s">
        <v>429</v>
      </c>
      <c r="AZ406" s="29" t="s">
        <v>429</v>
      </c>
      <c r="BA406" s="29" t="s">
        <v>429</v>
      </c>
      <c r="BB406" s="29" t="s">
        <v>429</v>
      </c>
      <c r="BC406" s="29" t="s">
        <v>8022</v>
      </c>
      <c r="BD406" s="29" t="s">
        <v>8023</v>
      </c>
      <c r="BE406" s="29" t="s">
        <v>392</v>
      </c>
      <c r="BF406" s="29" t="s">
        <v>433</v>
      </c>
      <c r="BG406" s="29" t="s">
        <v>434</v>
      </c>
      <c r="BH406" s="29" t="s">
        <v>8024</v>
      </c>
      <c r="BI406" s="29" t="s">
        <v>435</v>
      </c>
      <c r="BJ406" s="29"/>
      <c r="BK406" s="29" t="s">
        <v>437</v>
      </c>
      <c r="BL406" s="29" t="s">
        <v>904</v>
      </c>
      <c r="BM406" s="29" t="s">
        <v>439</v>
      </c>
      <c r="BN406" s="29" t="s">
        <v>513</v>
      </c>
      <c r="BO406" s="29"/>
      <c r="BP406" s="29"/>
      <c r="BQ406" s="29"/>
      <c r="BR406" s="29"/>
      <c r="BS406" s="29"/>
      <c r="BT406" s="29"/>
      <c r="BU406" s="29"/>
      <c r="BV406" s="29"/>
      <c r="BW406" s="29"/>
      <c r="BX406" s="29"/>
      <c r="BY406" s="29"/>
      <c r="BZ406" s="29"/>
      <c r="CA406" s="29"/>
      <c r="CB406" s="29"/>
      <c r="CC406" s="29"/>
      <c r="CD406" s="29"/>
      <c r="CE406" s="29"/>
      <c r="CF406" s="29"/>
      <c r="CG406" s="29"/>
      <c r="CH406" s="29"/>
      <c r="CI406" s="29"/>
      <c r="CJ406" s="29"/>
      <c r="CK406" s="29"/>
      <c r="CL406" s="29" t="s">
        <v>441</v>
      </c>
      <c r="CM406" s="29" t="s">
        <v>682</v>
      </c>
      <c r="CN406" s="29" t="s">
        <v>8025</v>
      </c>
      <c r="CO406" s="29" t="s">
        <v>8026</v>
      </c>
      <c r="CP406" s="29" t="s">
        <v>445</v>
      </c>
      <c r="CQ406" s="29" t="s">
        <v>8027</v>
      </c>
      <c r="CR406" s="29" t="s">
        <v>447</v>
      </c>
      <c r="CS406" s="29" t="s">
        <v>8028</v>
      </c>
      <c r="CT406" s="29" t="s">
        <v>8029</v>
      </c>
      <c r="CU406" s="29" t="s">
        <v>450</v>
      </c>
      <c r="CV406" s="29" t="s">
        <v>451</v>
      </c>
      <c r="CW406" s="29" t="s">
        <v>1604</v>
      </c>
      <c r="CX406" s="29" t="s">
        <v>408</v>
      </c>
      <c r="CY406" s="29"/>
      <c r="CZ406" s="29" t="s">
        <v>453</v>
      </c>
      <c r="DA406" s="29" t="s">
        <v>8030</v>
      </c>
      <c r="DB406" s="29" t="s">
        <v>455</v>
      </c>
      <c r="DC406" s="29"/>
      <c r="DD406" s="29" t="s">
        <v>662</v>
      </c>
      <c r="DE406" s="29"/>
      <c r="DF406" s="29" t="s">
        <v>8031</v>
      </c>
      <c r="DG406" s="29" t="s">
        <v>524</v>
      </c>
      <c r="DH406" s="29" t="s">
        <v>410</v>
      </c>
      <c r="DI406" s="29" t="s">
        <v>777</v>
      </c>
      <c r="DJ406" s="29" t="s">
        <v>460</v>
      </c>
      <c r="DK406" s="29" t="s">
        <v>1434</v>
      </c>
      <c r="DL406" s="29"/>
      <c r="DM406" s="29"/>
      <c r="DN406" s="29"/>
      <c r="DO406" s="29"/>
      <c r="DP406" s="29"/>
      <c r="DQ406" s="29"/>
      <c r="DR406" s="29"/>
      <c r="DS406" s="29"/>
      <c r="DT406" s="29"/>
      <c r="DU406" s="29"/>
      <c r="DV406" s="29"/>
      <c r="DW406" s="29"/>
      <c r="DX406" s="29"/>
      <c r="DY406" s="29"/>
      <c r="DZ406" s="29"/>
      <c r="EA406" s="29"/>
      <c r="EB406" s="29"/>
      <c r="EC406" s="29"/>
      <c r="ED406" s="29"/>
      <c r="EE406" s="29"/>
      <c r="EF406" s="29"/>
      <c r="EG406" s="29"/>
      <c r="EH406" s="29"/>
      <c r="EI406" s="29"/>
      <c r="EJ406" s="29"/>
      <c r="EK406" s="29"/>
      <c r="EL406" s="29"/>
      <c r="EM406" s="29"/>
      <c r="EN406" s="29"/>
      <c r="EO406" s="29"/>
      <c r="EP406" s="29"/>
      <c r="EQ406" s="29"/>
      <c r="ER406" s="29"/>
      <c r="ES406" s="29"/>
      <c r="ET406" s="29" t="s">
        <v>526</v>
      </c>
      <c r="EU406" s="29" t="s">
        <v>579</v>
      </c>
      <c r="EV406" s="29" t="s">
        <v>778</v>
      </c>
      <c r="EW406" s="29" t="s">
        <v>8032</v>
      </c>
      <c r="EX406" s="29" t="s">
        <v>8033</v>
      </c>
      <c r="EY406" s="29" t="s">
        <v>8034</v>
      </c>
      <c r="EZ406" s="29" t="s">
        <v>413</v>
      </c>
      <c r="FA406" s="29" t="s">
        <v>413</v>
      </c>
      <c r="FB406" s="29" t="s">
        <v>413</v>
      </c>
      <c r="FC406" s="29" t="s">
        <v>413</v>
      </c>
      <c r="FD406" s="29" t="s">
        <v>413</v>
      </c>
      <c r="FE406" s="29" t="s">
        <v>413</v>
      </c>
      <c r="FF406" s="29" t="s">
        <v>413</v>
      </c>
      <c r="FG406" s="29" t="s">
        <v>413</v>
      </c>
      <c r="FH406" s="29" t="s">
        <v>413</v>
      </c>
      <c r="FI406" s="29" t="s">
        <v>413</v>
      </c>
      <c r="FJ406" s="29" t="s">
        <v>413</v>
      </c>
      <c r="FK406" s="29" t="s">
        <v>413</v>
      </c>
      <c r="FL406" s="29" t="s">
        <v>413</v>
      </c>
      <c r="FM406" s="29" t="s">
        <v>583</v>
      </c>
      <c r="FN406" s="29" t="s">
        <v>413</v>
      </c>
      <c r="FO406" s="29" t="s">
        <v>417</v>
      </c>
      <c r="FP406" s="29" t="s">
        <v>418</v>
      </c>
      <c r="FQ406" s="29" t="s">
        <v>531</v>
      </c>
      <c r="FR406" s="29" t="s">
        <v>8035</v>
      </c>
      <c r="FS406" s="29" t="s">
        <v>420</v>
      </c>
      <c r="FT406" s="29" t="s">
        <v>488</v>
      </c>
      <c r="FU406" s="29" t="s">
        <v>585</v>
      </c>
      <c r="FV406" s="29" t="s">
        <v>490</v>
      </c>
      <c r="FW406" s="29" t="s">
        <v>491</v>
      </c>
      <c r="FX406" s="29" t="s">
        <v>8036</v>
      </c>
      <c r="FY406" s="29" t="s">
        <v>535</v>
      </c>
      <c r="FZ406" s="29" t="s">
        <v>8037</v>
      </c>
      <c r="GA406" s="29"/>
      <c r="GB406" s="29" t="s">
        <v>455</v>
      </c>
      <c r="GC406" s="29"/>
      <c r="GD406" s="29"/>
      <c r="GE406" s="29"/>
      <c r="GF406" s="29"/>
      <c r="GG406" s="29" t="s">
        <v>755</v>
      </c>
      <c r="GH406" s="29" t="s">
        <v>755</v>
      </c>
      <c r="GI406" s="29" t="s">
        <v>946</v>
      </c>
      <c r="GJ406" s="29"/>
      <c r="GK406" s="29"/>
      <c r="GL406" s="29"/>
      <c r="GM406" s="29"/>
      <c r="GN406" s="29"/>
      <c r="GO406" s="29"/>
      <c r="GP406" s="29" t="s">
        <v>387</v>
      </c>
      <c r="GQ406" s="29" t="s">
        <v>3273</v>
      </c>
      <c r="GR406" s="29"/>
      <c r="GS406" s="29"/>
      <c r="GT406" s="29" t="s">
        <v>5318</v>
      </c>
      <c r="GU406" s="29"/>
      <c r="HP406" s="31"/>
      <c r="MX406" s="29" t="s">
        <v>10402</v>
      </c>
      <c r="MY406" s="29" t="str">
        <f>IFERROR(__xludf.DUMMYFUNCTION("""COMPUTED_VALUE"""),"Texas")</f>
        <v>Texas</v>
      </c>
    </row>
    <row r="407" ht="16.5" customHeight="1">
      <c r="A407" s="33">
        <v>46009.5123213426</v>
      </c>
      <c r="B407" s="29" t="s">
        <v>368</v>
      </c>
      <c r="C407" s="29" t="s">
        <v>370</v>
      </c>
      <c r="D407" s="29" t="s">
        <v>370</v>
      </c>
      <c r="E407" s="29" t="s">
        <v>1510</v>
      </c>
      <c r="F407" s="29" t="s">
        <v>6716</v>
      </c>
      <c r="G407" s="29" t="s">
        <v>422</v>
      </c>
      <c r="H407" s="29" t="s">
        <v>1307</v>
      </c>
      <c r="I407" s="29" t="s">
        <v>668</v>
      </c>
      <c r="J407" s="29" t="s">
        <v>375</v>
      </c>
      <c r="K407" s="29" t="s">
        <v>376</v>
      </c>
      <c r="L407" s="29" t="s">
        <v>379</v>
      </c>
      <c r="M407" s="29" t="s">
        <v>378</v>
      </c>
      <c r="N407" s="29" t="s">
        <v>426</v>
      </c>
      <c r="O407" s="29" t="s">
        <v>497</v>
      </c>
      <c r="P407" s="29" t="s">
        <v>592</v>
      </c>
      <c r="Q407" s="29" t="s">
        <v>1156</v>
      </c>
      <c r="R407" s="29" t="s">
        <v>427</v>
      </c>
      <c r="S407" s="29" t="s">
        <v>384</v>
      </c>
      <c r="T407" s="29" t="s">
        <v>385</v>
      </c>
      <c r="U407" s="29"/>
      <c r="V407" s="29"/>
      <c r="W407" s="29" t="s">
        <v>593</v>
      </c>
      <c r="X407" s="29" t="s">
        <v>387</v>
      </c>
      <c r="Y407" s="29" t="s">
        <v>761</v>
      </c>
      <c r="Z407" s="29" t="s">
        <v>543</v>
      </c>
      <c r="AA407" s="29" t="s">
        <v>8040</v>
      </c>
      <c r="AB407" s="29" t="s">
        <v>8041</v>
      </c>
      <c r="AC407" s="29"/>
      <c r="AD407" s="29"/>
      <c r="AE407" s="29"/>
      <c r="AF407" s="29"/>
      <c r="AG407" s="29"/>
      <c r="AH407" s="29"/>
      <c r="AI407" s="29"/>
      <c r="AJ407" s="29"/>
      <c r="AK407" s="29"/>
      <c r="AL407" s="29"/>
      <c r="AM407" s="29"/>
      <c r="AN407" s="29"/>
      <c r="AO407" s="29"/>
      <c r="AP407" s="29"/>
      <c r="AQ407" s="29"/>
      <c r="AR407" s="29"/>
      <c r="AS407" s="29"/>
      <c r="AT407" s="29"/>
      <c r="AU407" s="29"/>
      <c r="AV407" s="29" t="s">
        <v>390</v>
      </c>
      <c r="AW407" s="29" t="s">
        <v>391</v>
      </c>
      <c r="AX407" s="29" t="s">
        <v>391</v>
      </c>
      <c r="AY407" s="29" t="s">
        <v>391</v>
      </c>
      <c r="AZ407" s="29">
        <v>4.0</v>
      </c>
      <c r="BA407" s="29">
        <v>2.0</v>
      </c>
      <c r="BB407" s="29">
        <v>2.0</v>
      </c>
      <c r="BC407" s="29" t="s">
        <v>8042</v>
      </c>
      <c r="BD407" s="29" t="s">
        <v>8043</v>
      </c>
      <c r="BE407" s="29" t="s">
        <v>2259</v>
      </c>
      <c r="BF407" s="29" t="s">
        <v>433</v>
      </c>
      <c r="BG407" s="29" t="s">
        <v>725</v>
      </c>
      <c r="BH407" s="29" t="s">
        <v>8044</v>
      </c>
      <c r="BI407" s="29" t="s">
        <v>509</v>
      </c>
      <c r="BJ407" s="29" t="s">
        <v>8045</v>
      </c>
      <c r="BK407" s="29" t="s">
        <v>511</v>
      </c>
      <c r="BL407" s="29" t="s">
        <v>512</v>
      </c>
      <c r="BM407" s="29" t="s">
        <v>549</v>
      </c>
      <c r="BN407" s="29" t="s">
        <v>513</v>
      </c>
      <c r="BO407" s="29"/>
      <c r="BP407" s="29"/>
      <c r="BQ407" s="29"/>
      <c r="BR407" s="29"/>
      <c r="BS407" s="29"/>
      <c r="BT407" s="29"/>
      <c r="BU407" s="29"/>
      <c r="BV407" s="29"/>
      <c r="BW407" s="29"/>
      <c r="BX407" s="29"/>
      <c r="BY407" s="29"/>
      <c r="BZ407" s="29"/>
      <c r="CA407" s="29"/>
      <c r="CB407" s="29"/>
      <c r="CC407" s="29"/>
      <c r="CD407" s="29"/>
      <c r="CE407" s="29"/>
      <c r="CF407" s="29"/>
      <c r="CG407" s="29"/>
      <c r="CH407" s="29"/>
      <c r="CI407" s="29"/>
      <c r="CJ407" s="29"/>
      <c r="CK407" s="29"/>
      <c r="CL407" s="29" t="s">
        <v>441</v>
      </c>
      <c r="CM407" s="29" t="s">
        <v>442</v>
      </c>
      <c r="CN407" s="29" t="s">
        <v>8046</v>
      </c>
      <c r="CO407" s="29" t="s">
        <v>8047</v>
      </c>
      <c r="CP407" s="29" t="s">
        <v>1008</v>
      </c>
      <c r="CQ407" s="29" t="s">
        <v>5701</v>
      </c>
      <c r="CR407" s="29" t="s">
        <v>804</v>
      </c>
      <c r="CS407" s="29" t="s">
        <v>6081</v>
      </c>
      <c r="CT407" s="29" t="s">
        <v>8048</v>
      </c>
      <c r="CU407" s="29" t="s">
        <v>519</v>
      </c>
      <c r="CV407" s="29" t="s">
        <v>451</v>
      </c>
      <c r="CW407" s="29" t="s">
        <v>8049</v>
      </c>
      <c r="CX407" s="29" t="s">
        <v>408</v>
      </c>
      <c r="CY407" s="29"/>
      <c r="CZ407" s="29" t="s">
        <v>453</v>
      </c>
      <c r="DA407" s="29" t="s">
        <v>8050</v>
      </c>
      <c r="DB407" s="29" t="s">
        <v>408</v>
      </c>
      <c r="DC407" s="29"/>
      <c r="DD407" s="29" t="s">
        <v>988</v>
      </c>
      <c r="DE407" s="29" t="s">
        <v>1368</v>
      </c>
      <c r="DF407" s="29" t="s">
        <v>8051</v>
      </c>
      <c r="DG407" s="29" t="s">
        <v>561</v>
      </c>
      <c r="DH407" s="29" t="s">
        <v>410</v>
      </c>
      <c r="DI407" s="29" t="s">
        <v>963</v>
      </c>
      <c r="DJ407" s="29" t="s">
        <v>460</v>
      </c>
      <c r="DK407" s="29" t="s">
        <v>6335</v>
      </c>
      <c r="DL407" s="29"/>
      <c r="DM407" s="29"/>
      <c r="DN407" s="29"/>
      <c r="DO407" s="29"/>
      <c r="DP407" s="29"/>
      <c r="DQ407" s="29"/>
      <c r="DR407" s="29"/>
      <c r="DS407" s="29"/>
      <c r="DT407" s="29"/>
      <c r="DU407" s="29"/>
      <c r="DV407" s="29"/>
      <c r="DW407" s="29"/>
      <c r="DX407" s="29"/>
      <c r="DY407" s="29"/>
      <c r="DZ407" s="29"/>
      <c r="EA407" s="29"/>
      <c r="EB407" s="29"/>
      <c r="EC407" s="29"/>
      <c r="ED407" s="29"/>
      <c r="EE407" s="29"/>
      <c r="EF407" s="29"/>
      <c r="EG407" s="29"/>
      <c r="EH407" s="29"/>
      <c r="EI407" s="29"/>
      <c r="EJ407" s="29"/>
      <c r="EK407" s="29"/>
      <c r="EL407" s="29"/>
      <c r="EM407" s="29"/>
      <c r="EN407" s="29"/>
      <c r="EO407" s="29"/>
      <c r="EP407" s="29"/>
      <c r="EQ407" s="29"/>
      <c r="ER407" s="29"/>
      <c r="ES407" s="29"/>
      <c r="ET407" s="29" t="s">
        <v>526</v>
      </c>
      <c r="EU407" s="29" t="s">
        <v>887</v>
      </c>
      <c r="EV407" s="29" t="s">
        <v>527</v>
      </c>
      <c r="EW407" s="29" t="s">
        <v>8052</v>
      </c>
      <c r="EX407" s="29" t="s">
        <v>8053</v>
      </c>
      <c r="EY407" s="29" t="s">
        <v>8054</v>
      </c>
      <c r="EZ407" s="29" t="s">
        <v>413</v>
      </c>
      <c r="FA407" s="29" t="s">
        <v>415</v>
      </c>
      <c r="FB407" s="29" t="s">
        <v>413</v>
      </c>
      <c r="FC407" s="29" t="s">
        <v>413</v>
      </c>
      <c r="FD407" s="29" t="s">
        <v>415</v>
      </c>
      <c r="FE407" s="29" t="s">
        <v>415</v>
      </c>
      <c r="FF407" s="29" t="s">
        <v>413</v>
      </c>
      <c r="FG407" s="29" t="s">
        <v>413</v>
      </c>
      <c r="FH407" s="29" t="s">
        <v>413</v>
      </c>
      <c r="FI407" s="29" t="s">
        <v>415</v>
      </c>
      <c r="FJ407" s="29" t="s">
        <v>415</v>
      </c>
      <c r="FK407" s="29" t="s">
        <v>413</v>
      </c>
      <c r="FL407" s="29" t="s">
        <v>413</v>
      </c>
      <c r="FM407" s="29" t="s">
        <v>413</v>
      </c>
      <c r="FN407" s="29" t="s">
        <v>413</v>
      </c>
      <c r="FO407" s="29" t="s">
        <v>485</v>
      </c>
      <c r="FP407" s="29" t="s">
        <v>418</v>
      </c>
      <c r="FQ407" s="29" t="s">
        <v>419</v>
      </c>
      <c r="FR407" s="29" t="s">
        <v>8055</v>
      </c>
      <c r="FS407" s="29" t="s">
        <v>420</v>
      </c>
      <c r="FT407" s="29" t="s">
        <v>488</v>
      </c>
      <c r="FU407" s="29" t="s">
        <v>918</v>
      </c>
      <c r="FV407" s="29" t="s">
        <v>490</v>
      </c>
      <c r="FW407" s="29" t="s">
        <v>491</v>
      </c>
      <c r="FX407" s="29" t="s">
        <v>8056</v>
      </c>
      <c r="FY407" s="29" t="s">
        <v>535</v>
      </c>
      <c r="FZ407" s="29" t="s">
        <v>8057</v>
      </c>
      <c r="GA407" s="29"/>
      <c r="GB407" s="29" t="s">
        <v>408</v>
      </c>
      <c r="GC407" s="29"/>
      <c r="GD407" s="29"/>
      <c r="GE407" s="29"/>
      <c r="GF407" s="29"/>
      <c r="GG407" s="29" t="s">
        <v>1000</v>
      </c>
      <c r="GH407" s="29" t="s">
        <v>755</v>
      </c>
      <c r="GI407" s="29" t="s">
        <v>817</v>
      </c>
      <c r="GJ407" s="29"/>
      <c r="GK407" s="29"/>
      <c r="GL407" s="29"/>
      <c r="GM407" s="29"/>
      <c r="GN407" s="29"/>
      <c r="GO407" s="29"/>
      <c r="GP407" s="29"/>
      <c r="GQ407" s="29" t="s">
        <v>5656</v>
      </c>
      <c r="GR407" s="29"/>
      <c r="GS407" s="29"/>
      <c r="GT407" s="29" t="s">
        <v>4774</v>
      </c>
      <c r="GU407" s="29"/>
      <c r="HP407" s="31"/>
      <c r="MX407" s="29" t="s">
        <v>10402</v>
      </c>
      <c r="MY407" s="29" t="str">
        <f>IFERROR(__xludf.DUMMYFUNCTION("""COMPUTED_VALUE"""),"Georgia")</f>
        <v>Georgia</v>
      </c>
    </row>
    <row r="408" ht="16.5" customHeight="1">
      <c r="A408" s="33">
        <v>46012.8221040162</v>
      </c>
      <c r="B408" s="29" t="s">
        <v>368</v>
      </c>
      <c r="C408" s="29" t="s">
        <v>370</v>
      </c>
      <c r="D408" s="29" t="s">
        <v>370</v>
      </c>
      <c r="E408" s="29" t="s">
        <v>589</v>
      </c>
      <c r="F408" s="29" t="s">
        <v>589</v>
      </c>
      <c r="G408" s="29" t="s">
        <v>422</v>
      </c>
      <c r="H408" s="29" t="s">
        <v>373</v>
      </c>
      <c r="I408" s="29" t="s">
        <v>374</v>
      </c>
      <c r="J408" s="29" t="s">
        <v>425</v>
      </c>
      <c r="K408" s="29" t="s">
        <v>376</v>
      </c>
      <c r="L408" s="29" t="s">
        <v>379</v>
      </c>
      <c r="M408" s="29" t="s">
        <v>2464</v>
      </c>
      <c r="N408" s="29" t="s">
        <v>377</v>
      </c>
      <c r="O408" s="29" t="s">
        <v>497</v>
      </c>
      <c r="P408" s="29" t="s">
        <v>1760</v>
      </c>
      <c r="Q408" s="29" t="s">
        <v>862</v>
      </c>
      <c r="R408" s="29" t="s">
        <v>949</v>
      </c>
      <c r="S408" s="29" t="s">
        <v>4742</v>
      </c>
      <c r="T408" s="29" t="s">
        <v>385</v>
      </c>
      <c r="U408" s="29"/>
      <c r="V408" s="29"/>
      <c r="W408" s="29" t="s">
        <v>3231</v>
      </c>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t="s">
        <v>1242</v>
      </c>
      <c r="AW408" s="29" t="s">
        <v>675</v>
      </c>
      <c r="AX408" s="29" t="s">
        <v>675</v>
      </c>
      <c r="AY408" s="29" t="s">
        <v>675</v>
      </c>
      <c r="AZ408" s="29" t="s">
        <v>675</v>
      </c>
      <c r="BA408" s="29" t="s">
        <v>675</v>
      </c>
      <c r="BB408" s="29" t="s">
        <v>675</v>
      </c>
      <c r="BC408" s="29" t="s">
        <v>8058</v>
      </c>
      <c r="BD408" s="29" t="s">
        <v>8059</v>
      </c>
      <c r="BE408" s="29" t="s">
        <v>2379</v>
      </c>
      <c r="BF408" s="29" t="s">
        <v>393</v>
      </c>
      <c r="BG408" s="29" t="s">
        <v>678</v>
      </c>
      <c r="BH408" s="29" t="s">
        <v>8060</v>
      </c>
      <c r="BI408" s="29" t="s">
        <v>976</v>
      </c>
      <c r="BJ408" s="29" t="s">
        <v>8061</v>
      </c>
      <c r="BK408" s="29" t="s">
        <v>395</v>
      </c>
      <c r="BL408" s="29" t="s">
        <v>904</v>
      </c>
      <c r="BM408" s="29" t="s">
        <v>1314</v>
      </c>
      <c r="BN408" s="29" t="s">
        <v>440</v>
      </c>
      <c r="BO408" s="29"/>
      <c r="BP408" s="29"/>
      <c r="BQ408" s="29"/>
      <c r="BR408" s="29"/>
      <c r="BS408" s="29"/>
      <c r="BT408" s="29"/>
      <c r="BU408" s="29"/>
      <c r="BV408" s="29"/>
      <c r="BW408" s="29"/>
      <c r="BX408" s="29"/>
      <c r="BY408" s="29"/>
      <c r="BZ408" s="29"/>
      <c r="CA408" s="29"/>
      <c r="CB408" s="29"/>
      <c r="CC408" s="29"/>
      <c r="CD408" s="29"/>
      <c r="CE408" s="29"/>
      <c r="CF408" s="29"/>
      <c r="CG408" s="29"/>
      <c r="CH408" s="29"/>
      <c r="CI408" s="29"/>
      <c r="CJ408" s="29"/>
      <c r="CK408" s="29"/>
      <c r="CL408" s="29" t="s">
        <v>441</v>
      </c>
      <c r="CM408" s="29" t="s">
        <v>682</v>
      </c>
      <c r="CN408" s="29" t="s">
        <v>6791</v>
      </c>
      <c r="CO408" s="29" t="s">
        <v>8062</v>
      </c>
      <c r="CP408" s="29" t="s">
        <v>445</v>
      </c>
      <c r="CQ408" s="29" t="s">
        <v>8063</v>
      </c>
      <c r="CR408" s="29"/>
      <c r="CS408" s="29" t="s">
        <v>8064</v>
      </c>
      <c r="CT408" s="29" t="s">
        <v>8065</v>
      </c>
      <c r="CU408" s="29" t="s">
        <v>519</v>
      </c>
      <c r="CV408" s="29" t="s">
        <v>451</v>
      </c>
      <c r="CW408" s="29" t="s">
        <v>8066</v>
      </c>
      <c r="CX408" s="29" t="s">
        <v>455</v>
      </c>
      <c r="CY408" s="29" t="s">
        <v>8067</v>
      </c>
      <c r="CZ408" s="29" t="s">
        <v>453</v>
      </c>
      <c r="DA408" s="29" t="s">
        <v>8068</v>
      </c>
      <c r="DB408" s="29" t="s">
        <v>455</v>
      </c>
      <c r="DC408" s="29" t="s">
        <v>8069</v>
      </c>
      <c r="DD408" s="29" t="s">
        <v>457</v>
      </c>
      <c r="DE408" s="29"/>
      <c r="DF408" s="29" t="s">
        <v>8070</v>
      </c>
      <c r="DG408" s="29" t="s">
        <v>524</v>
      </c>
      <c r="DH408" s="29" t="s">
        <v>694</v>
      </c>
      <c r="DI408" s="29" t="s">
        <v>459</v>
      </c>
      <c r="DJ408" s="29" t="s">
        <v>460</v>
      </c>
      <c r="DK408" s="29" t="s">
        <v>6335</v>
      </c>
      <c r="DL408" s="29"/>
      <c r="DM408" s="29" t="s">
        <v>8071</v>
      </c>
      <c r="DN408" s="29" t="s">
        <v>8072</v>
      </c>
      <c r="DO408" s="29" t="s">
        <v>567</v>
      </c>
      <c r="DP408" s="29" t="s">
        <v>8073</v>
      </c>
      <c r="DQ408" s="29" t="s">
        <v>1152</v>
      </c>
      <c r="DR408" s="29" t="s">
        <v>455</v>
      </c>
      <c r="DS408" s="29" t="s">
        <v>839</v>
      </c>
      <c r="DT408" s="29" t="s">
        <v>619</v>
      </c>
      <c r="DU408" s="29" t="s">
        <v>8074</v>
      </c>
      <c r="DV408" s="29" t="s">
        <v>8075</v>
      </c>
      <c r="DW408" s="29" t="s">
        <v>1328</v>
      </c>
      <c r="DX408" s="29" t="s">
        <v>8076</v>
      </c>
      <c r="DY408" s="29" t="s">
        <v>8077</v>
      </c>
      <c r="DZ408" s="29" t="s">
        <v>8078</v>
      </c>
      <c r="EA408" s="29" t="s">
        <v>475</v>
      </c>
      <c r="EB408" s="29" t="s">
        <v>845</v>
      </c>
      <c r="EC408" s="29" t="s">
        <v>8079</v>
      </c>
      <c r="ED408" s="29"/>
      <c r="EE408" s="29"/>
      <c r="EF408" s="29"/>
      <c r="EG408" s="29"/>
      <c r="EH408" s="29"/>
      <c r="EI408" s="29"/>
      <c r="EJ408" s="29"/>
      <c r="EK408" s="29"/>
      <c r="EL408" s="29"/>
      <c r="EM408" s="29"/>
      <c r="EN408" s="29"/>
      <c r="EO408" s="29"/>
      <c r="EP408" s="29"/>
      <c r="EQ408" s="29"/>
      <c r="ER408" s="29"/>
      <c r="ES408" s="29"/>
      <c r="ET408" s="29" t="s">
        <v>526</v>
      </c>
      <c r="EU408" s="29" t="s">
        <v>887</v>
      </c>
      <c r="EV408" s="29" t="s">
        <v>527</v>
      </c>
      <c r="EW408" s="29" t="s">
        <v>8080</v>
      </c>
      <c r="EX408" s="29" t="s">
        <v>8081</v>
      </c>
      <c r="EY408" s="29" t="s">
        <v>8082</v>
      </c>
      <c r="EZ408" s="29" t="s">
        <v>413</v>
      </c>
      <c r="FA408" s="29" t="s">
        <v>413</v>
      </c>
      <c r="FB408" s="29" t="s">
        <v>413</v>
      </c>
      <c r="FC408" s="29" t="s">
        <v>413</v>
      </c>
      <c r="FD408" s="29" t="s">
        <v>413</v>
      </c>
      <c r="FE408" s="29" t="s">
        <v>413</v>
      </c>
      <c r="FF408" s="29" t="s">
        <v>413</v>
      </c>
      <c r="FG408" s="29" t="s">
        <v>413</v>
      </c>
      <c r="FH408" s="29" t="s">
        <v>413</v>
      </c>
      <c r="FI408" s="29" t="s">
        <v>413</v>
      </c>
      <c r="FJ408" s="29" t="s">
        <v>413</v>
      </c>
      <c r="FK408" s="29" t="s">
        <v>413</v>
      </c>
      <c r="FL408" s="29" t="s">
        <v>413</v>
      </c>
      <c r="FM408" s="29" t="s">
        <v>413</v>
      </c>
      <c r="FN408" s="29" t="s">
        <v>583</v>
      </c>
      <c r="FO408" s="29" t="s">
        <v>850</v>
      </c>
      <c r="FP408" s="29" t="s">
        <v>1200</v>
      </c>
      <c r="FQ408" s="29" t="s">
        <v>419</v>
      </c>
      <c r="FR408" s="29" t="s">
        <v>8083</v>
      </c>
      <c r="FS408" s="29" t="s">
        <v>420</v>
      </c>
      <c r="FT408" s="29" t="s">
        <v>488</v>
      </c>
      <c r="FU408" s="29" t="s">
        <v>489</v>
      </c>
      <c r="FV408" s="29" t="s">
        <v>490</v>
      </c>
      <c r="FW408" s="29" t="s">
        <v>491</v>
      </c>
      <c r="FX408" s="29" t="s">
        <v>8084</v>
      </c>
      <c r="FY408" s="29" t="s">
        <v>535</v>
      </c>
      <c r="FZ408" s="29" t="s">
        <v>8085</v>
      </c>
      <c r="GA408" s="29" t="s">
        <v>8086</v>
      </c>
      <c r="GB408" s="29" t="s">
        <v>455</v>
      </c>
      <c r="GC408" s="29"/>
      <c r="GD408" s="29"/>
      <c r="GE408" s="29" t="s">
        <v>786</v>
      </c>
      <c r="GF408" s="29" t="s">
        <v>8087</v>
      </c>
      <c r="GG408" s="29" t="s">
        <v>755</v>
      </c>
      <c r="GH408" s="29" t="s">
        <v>755</v>
      </c>
      <c r="GI408" s="29" t="s">
        <v>946</v>
      </c>
      <c r="GJ408" s="29"/>
      <c r="GK408" s="29"/>
      <c r="GL408" s="29"/>
      <c r="GM408" s="29" t="s">
        <v>1079</v>
      </c>
      <c r="GN408" s="29"/>
      <c r="GO408" s="29"/>
      <c r="GP408" s="29" t="s">
        <v>387</v>
      </c>
      <c r="GQ408" s="29" t="s">
        <v>3306</v>
      </c>
      <c r="GR408" s="29"/>
      <c r="GS408" s="29"/>
      <c r="GT408" s="29" t="s">
        <v>5170</v>
      </c>
      <c r="GU408" s="29" t="s">
        <v>8088</v>
      </c>
      <c r="HP408" s="31"/>
      <c r="MX408" s="29" t="s">
        <v>10402</v>
      </c>
      <c r="MY408" s="29" t="str">
        <f>IFERROR(__xludf.DUMMYFUNCTION("""COMPUTED_VALUE"""),"Hawaii")</f>
        <v>Hawaii</v>
      </c>
    </row>
    <row r="409" ht="16.5" customHeight="1">
      <c r="A409" s="33">
        <v>46012.99766703704</v>
      </c>
      <c r="B409" s="29" t="s">
        <v>368</v>
      </c>
      <c r="C409" s="29" t="s">
        <v>370</v>
      </c>
      <c r="D409" s="29" t="s">
        <v>370</v>
      </c>
      <c r="E409" s="29" t="s">
        <v>2620</v>
      </c>
      <c r="F409" s="29" t="s">
        <v>371</v>
      </c>
      <c r="G409" s="29" t="s">
        <v>422</v>
      </c>
      <c r="H409" s="29" t="s">
        <v>496</v>
      </c>
      <c r="I409" s="29" t="s">
        <v>374</v>
      </c>
      <c r="J409" s="29" t="s">
        <v>375</v>
      </c>
      <c r="K409" s="29" t="s">
        <v>376</v>
      </c>
      <c r="L409" s="29" t="s">
        <v>379</v>
      </c>
      <c r="M409" s="29" t="s">
        <v>378</v>
      </c>
      <c r="N409" s="29" t="s">
        <v>426</v>
      </c>
      <c r="O409" s="29" t="s">
        <v>640</v>
      </c>
      <c r="P409" s="29" t="s">
        <v>592</v>
      </c>
      <c r="Q409" s="29" t="s">
        <v>382</v>
      </c>
      <c r="R409" s="29" t="s">
        <v>427</v>
      </c>
      <c r="S409" s="29" t="s">
        <v>384</v>
      </c>
      <c r="T409" s="29" t="s">
        <v>385</v>
      </c>
      <c r="U409" s="29"/>
      <c r="V409" s="29"/>
      <c r="W409" s="29" t="s">
        <v>3014</v>
      </c>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t="s">
        <v>390</v>
      </c>
      <c r="AW409" s="29">
        <v>2.0</v>
      </c>
      <c r="AX409" s="29">
        <v>2.0</v>
      </c>
      <c r="AY409" s="29">
        <v>2.0</v>
      </c>
      <c r="AZ409" s="29">
        <v>2.0</v>
      </c>
      <c r="BA409" s="29">
        <v>2.0</v>
      </c>
      <c r="BB409" s="29">
        <v>2.0</v>
      </c>
      <c r="BC409" s="29" t="s">
        <v>8093</v>
      </c>
      <c r="BD409" s="29" t="s">
        <v>8094</v>
      </c>
      <c r="BE409" s="29" t="s">
        <v>392</v>
      </c>
      <c r="BF409" s="29" t="s">
        <v>433</v>
      </c>
      <c r="BG409" s="29" t="s">
        <v>394</v>
      </c>
      <c r="BH409" s="29" t="s">
        <v>2675</v>
      </c>
      <c r="BI409" s="29" t="s">
        <v>976</v>
      </c>
      <c r="BJ409" s="29" t="s">
        <v>8095</v>
      </c>
      <c r="BK409" s="29" t="s">
        <v>437</v>
      </c>
      <c r="BL409" s="29" t="s">
        <v>603</v>
      </c>
      <c r="BM409" s="29" t="s">
        <v>549</v>
      </c>
      <c r="BN409" s="29" t="s">
        <v>513</v>
      </c>
      <c r="BO409" s="29"/>
      <c r="BP409" s="29"/>
      <c r="BQ409" s="29"/>
      <c r="BR409" s="29"/>
      <c r="BS409" s="29"/>
      <c r="BT409" s="29"/>
      <c r="BU409" s="29"/>
      <c r="BV409" s="29"/>
      <c r="BW409" s="29"/>
      <c r="BX409" s="29"/>
      <c r="BY409" s="29"/>
      <c r="BZ409" s="29"/>
      <c r="CA409" s="29"/>
      <c r="CB409" s="29"/>
      <c r="CC409" s="29"/>
      <c r="CD409" s="29"/>
      <c r="CE409" s="29"/>
      <c r="CF409" s="29"/>
      <c r="CG409" s="29"/>
      <c r="CH409" s="29"/>
      <c r="CI409" s="29"/>
      <c r="CJ409" s="29"/>
      <c r="CK409" s="29"/>
      <c r="CL409" s="29" t="s">
        <v>441</v>
      </c>
      <c r="CM409" s="29" t="s">
        <v>682</v>
      </c>
      <c r="CN409" s="29" t="s">
        <v>6270</v>
      </c>
      <c r="CO409" s="29" t="s">
        <v>8096</v>
      </c>
      <c r="CP409" s="29" t="s">
        <v>685</v>
      </c>
      <c r="CQ409" s="29" t="s">
        <v>8097</v>
      </c>
      <c r="CR409" s="29" t="s">
        <v>804</v>
      </c>
      <c r="CS409" s="29" t="s">
        <v>8098</v>
      </c>
      <c r="CT409" s="29" t="s">
        <v>8099</v>
      </c>
      <c r="CU409" s="29" t="s">
        <v>450</v>
      </c>
      <c r="CV409" s="29" t="s">
        <v>451</v>
      </c>
      <c r="CW409" s="29" t="s">
        <v>8100</v>
      </c>
      <c r="CX409" s="29" t="s">
        <v>408</v>
      </c>
      <c r="CY409" s="29"/>
      <c r="CZ409" s="29" t="s">
        <v>985</v>
      </c>
      <c r="DA409" s="29" t="s">
        <v>8101</v>
      </c>
      <c r="DB409" s="29" t="s">
        <v>913</v>
      </c>
      <c r="DC409" s="29" t="s">
        <v>8102</v>
      </c>
      <c r="DD409" s="29" t="s">
        <v>457</v>
      </c>
      <c r="DE409" s="29"/>
      <c r="DF409" s="29" t="s">
        <v>8103</v>
      </c>
      <c r="DG409" s="29" t="s">
        <v>524</v>
      </c>
      <c r="DH409" s="29" t="s">
        <v>1220</v>
      </c>
      <c r="DI409" s="29" t="s">
        <v>459</v>
      </c>
      <c r="DJ409" s="29" t="s">
        <v>460</v>
      </c>
      <c r="DK409" s="29" t="s">
        <v>6335</v>
      </c>
      <c r="DL409" s="29"/>
      <c r="DM409" s="29"/>
      <c r="DN409" s="29"/>
      <c r="DO409" s="29"/>
      <c r="DP409" s="29"/>
      <c r="DQ409" s="29"/>
      <c r="DR409" s="29"/>
      <c r="DS409" s="29"/>
      <c r="DT409" s="29"/>
      <c r="DU409" s="29"/>
      <c r="DV409" s="29"/>
      <c r="DW409" s="29"/>
      <c r="DX409" s="29"/>
      <c r="DY409" s="29"/>
      <c r="DZ409" s="29"/>
      <c r="EA409" s="29"/>
      <c r="EB409" s="29"/>
      <c r="EC409" s="29"/>
      <c r="ED409" s="29"/>
      <c r="EE409" s="29"/>
      <c r="EF409" s="29"/>
      <c r="EG409" s="29"/>
      <c r="EH409" s="29"/>
      <c r="EI409" s="29"/>
      <c r="EJ409" s="29"/>
      <c r="EK409" s="29"/>
      <c r="EL409" s="29"/>
      <c r="EM409" s="29"/>
      <c r="EN409" s="29"/>
      <c r="EO409" s="29"/>
      <c r="EP409" s="29"/>
      <c r="EQ409" s="29"/>
      <c r="ER409" s="29"/>
      <c r="ES409" s="29"/>
      <c r="ET409" s="29" t="s">
        <v>478</v>
      </c>
      <c r="EU409" s="29" t="s">
        <v>887</v>
      </c>
      <c r="EV409" s="29" t="s">
        <v>527</v>
      </c>
      <c r="EW409" s="29" t="s">
        <v>8104</v>
      </c>
      <c r="EX409" s="29" t="s">
        <v>8105</v>
      </c>
      <c r="EY409" s="29" t="s">
        <v>8106</v>
      </c>
      <c r="EZ409" s="29" t="s">
        <v>414</v>
      </c>
      <c r="FA409" s="29" t="s">
        <v>414</v>
      </c>
      <c r="FB409" s="29" t="s">
        <v>415</v>
      </c>
      <c r="FC409" s="29" t="s">
        <v>414</v>
      </c>
      <c r="FD409" s="29" t="s">
        <v>416</v>
      </c>
      <c r="FE409" s="29" t="s">
        <v>583</v>
      </c>
      <c r="FF409" s="29" t="s">
        <v>484</v>
      </c>
      <c r="FG409" s="29" t="s">
        <v>484</v>
      </c>
      <c r="FH409" s="29" t="s">
        <v>414</v>
      </c>
      <c r="FI409" s="29" t="s">
        <v>414</v>
      </c>
      <c r="FJ409" s="29" t="s">
        <v>414</v>
      </c>
      <c r="FK409" s="29" t="s">
        <v>484</v>
      </c>
      <c r="FL409" s="29" t="s">
        <v>414</v>
      </c>
      <c r="FM409" s="29" t="s">
        <v>416</v>
      </c>
      <c r="FN409" s="29" t="s">
        <v>415</v>
      </c>
      <c r="FO409" s="29" t="s">
        <v>850</v>
      </c>
      <c r="FP409" s="29" t="s">
        <v>418</v>
      </c>
      <c r="FQ409" s="29" t="s">
        <v>419</v>
      </c>
      <c r="FR409" s="29" t="s">
        <v>8107</v>
      </c>
      <c r="FS409" s="29" t="s">
        <v>420</v>
      </c>
      <c r="FT409" s="29" t="s">
        <v>488</v>
      </c>
      <c r="FU409" s="29" t="s">
        <v>489</v>
      </c>
      <c r="FV409" s="29" t="s">
        <v>490</v>
      </c>
      <c r="FW409" s="29" t="s">
        <v>491</v>
      </c>
      <c r="FX409" s="29" t="s">
        <v>8108</v>
      </c>
      <c r="FY409" s="29" t="s">
        <v>535</v>
      </c>
      <c r="FZ409" s="29" t="s">
        <v>8109</v>
      </c>
      <c r="GA409" s="29" t="s">
        <v>8110</v>
      </c>
      <c r="GB409" s="29" t="s">
        <v>455</v>
      </c>
      <c r="GC409" s="29"/>
      <c r="GD409" s="34" t="s">
        <v>8111</v>
      </c>
      <c r="GE409" s="29" t="s">
        <v>1339</v>
      </c>
      <c r="GF409" s="29" t="s">
        <v>8112</v>
      </c>
      <c r="GG409" s="29" t="s">
        <v>857</v>
      </c>
      <c r="GH409" s="29" t="s">
        <v>857</v>
      </c>
      <c r="GI409" s="29" t="s">
        <v>756</v>
      </c>
      <c r="GJ409" s="29"/>
      <c r="GK409" s="29"/>
      <c r="GL409" s="29"/>
      <c r="GM409" s="29"/>
      <c r="GN409" s="29"/>
      <c r="GO409" s="29"/>
      <c r="GP409" s="29"/>
      <c r="GQ409" s="29" t="s">
        <v>8113</v>
      </c>
      <c r="GR409" s="29"/>
      <c r="GS409" s="29"/>
      <c r="GT409" s="29" t="s">
        <v>4774</v>
      </c>
      <c r="GU409" s="29"/>
      <c r="HP409" s="31"/>
      <c r="MX409" s="29" t="s">
        <v>10402</v>
      </c>
      <c r="MY409" s="29" t="str">
        <f>IFERROR(__xludf.DUMMYFUNCTION("""COMPUTED_VALUE"""),"Virginia")</f>
        <v>Virginia</v>
      </c>
    </row>
    <row r="410" ht="16.5" customHeight="1">
      <c r="A410" s="33">
        <v>46019.43110707176</v>
      </c>
      <c r="B410" s="29" t="s">
        <v>368</v>
      </c>
      <c r="C410" s="29" t="s">
        <v>370</v>
      </c>
      <c r="D410" s="29" t="s">
        <v>370</v>
      </c>
      <c r="E410" s="29" t="s">
        <v>1875</v>
      </c>
      <c r="F410" s="29" t="s">
        <v>1023</v>
      </c>
      <c r="G410" s="29" t="s">
        <v>422</v>
      </c>
      <c r="H410" s="29" t="s">
        <v>373</v>
      </c>
      <c r="I410" s="29" t="s">
        <v>374</v>
      </c>
      <c r="J410" s="29" t="s">
        <v>375</v>
      </c>
      <c r="K410" s="29" t="s">
        <v>376</v>
      </c>
      <c r="L410" s="29" t="s">
        <v>379</v>
      </c>
      <c r="M410" s="29" t="s">
        <v>541</v>
      </c>
      <c r="N410" s="29" t="s">
        <v>426</v>
      </c>
      <c r="O410" s="29" t="s">
        <v>497</v>
      </c>
      <c r="P410" s="29" t="s">
        <v>381</v>
      </c>
      <c r="Q410" s="29" t="s">
        <v>382</v>
      </c>
      <c r="R410" s="29" t="s">
        <v>427</v>
      </c>
      <c r="S410" s="29" t="s">
        <v>384</v>
      </c>
      <c r="T410" s="29" t="s">
        <v>385</v>
      </c>
      <c r="U410" s="29"/>
      <c r="V410" s="29"/>
      <c r="W410" s="29" t="s">
        <v>386</v>
      </c>
      <c r="X410" s="29" t="s">
        <v>387</v>
      </c>
      <c r="Y410" s="29" t="s">
        <v>594</v>
      </c>
      <c r="Z410" s="29" t="s">
        <v>543</v>
      </c>
      <c r="AA410" s="29"/>
      <c r="AB410" s="29" t="s">
        <v>8114</v>
      </c>
      <c r="AC410" s="29"/>
      <c r="AD410" s="29"/>
      <c r="AE410" s="29"/>
      <c r="AF410" s="29"/>
      <c r="AG410" s="29"/>
      <c r="AH410" s="29"/>
      <c r="AI410" s="29"/>
      <c r="AJ410" s="29"/>
      <c r="AK410" s="29"/>
      <c r="AL410" s="29"/>
      <c r="AM410" s="29"/>
      <c r="AN410" s="29"/>
      <c r="AO410" s="29"/>
      <c r="AP410" s="29"/>
      <c r="AQ410" s="29"/>
      <c r="AR410" s="29"/>
      <c r="AS410" s="29"/>
      <c r="AT410" s="29"/>
      <c r="AU410" s="29"/>
      <c r="AV410" s="29" t="s">
        <v>504</v>
      </c>
      <c r="AW410" s="29" t="s">
        <v>429</v>
      </c>
      <c r="AX410" s="29" t="s">
        <v>429</v>
      </c>
      <c r="AY410" s="29" t="s">
        <v>429</v>
      </c>
      <c r="AZ410" s="29" t="s">
        <v>429</v>
      </c>
      <c r="BA410" s="29" t="s">
        <v>429</v>
      </c>
      <c r="BB410" s="29" t="s">
        <v>429</v>
      </c>
      <c r="BC410" s="29" t="s">
        <v>8115</v>
      </c>
      <c r="BD410" s="29" t="s">
        <v>8116</v>
      </c>
      <c r="BE410" s="29" t="s">
        <v>392</v>
      </c>
      <c r="BF410" s="29" t="s">
        <v>433</v>
      </c>
      <c r="BG410" s="29" t="s">
        <v>678</v>
      </c>
      <c r="BH410" s="29"/>
      <c r="BI410" s="29" t="s">
        <v>509</v>
      </c>
      <c r="BJ410" s="29"/>
      <c r="BK410" s="29" t="s">
        <v>511</v>
      </c>
      <c r="BL410" s="29" t="s">
        <v>438</v>
      </c>
      <c r="BM410" s="29" t="s">
        <v>439</v>
      </c>
      <c r="BN410" s="29" t="s">
        <v>513</v>
      </c>
      <c r="BO410" s="29"/>
      <c r="BP410" s="29"/>
      <c r="BQ410" s="29"/>
      <c r="BR410" s="29"/>
      <c r="BS410" s="29"/>
      <c r="BT410" s="29"/>
      <c r="BU410" s="29"/>
      <c r="BV410" s="29"/>
      <c r="BW410" s="29"/>
      <c r="BX410" s="29"/>
      <c r="BY410" s="29"/>
      <c r="BZ410" s="29"/>
      <c r="CA410" s="29"/>
      <c r="CB410" s="29"/>
      <c r="CC410" s="29"/>
      <c r="CD410" s="29"/>
      <c r="CE410" s="29"/>
      <c r="CF410" s="29"/>
      <c r="CG410" s="29"/>
      <c r="CH410" s="29"/>
      <c r="CI410" s="29"/>
      <c r="CJ410" s="29"/>
      <c r="CK410" s="29"/>
      <c r="CL410" s="29" t="s">
        <v>441</v>
      </c>
      <c r="CM410" s="29" t="s">
        <v>401</v>
      </c>
      <c r="CN410" s="29" t="s">
        <v>552</v>
      </c>
      <c r="CO410" s="29" t="s">
        <v>8117</v>
      </c>
      <c r="CP410" s="29" t="s">
        <v>1008</v>
      </c>
      <c r="CQ410" s="29" t="s">
        <v>8118</v>
      </c>
      <c r="CR410" s="29" t="s">
        <v>404</v>
      </c>
      <c r="CS410" s="29" t="s">
        <v>8119</v>
      </c>
      <c r="CT410" s="29" t="s">
        <v>8120</v>
      </c>
      <c r="CU410" s="29" t="s">
        <v>450</v>
      </c>
      <c r="CV410" s="29" t="s">
        <v>451</v>
      </c>
      <c r="CW410" s="29" t="s">
        <v>8121</v>
      </c>
      <c r="CX410" s="29" t="s">
        <v>733</v>
      </c>
      <c r="CY410" s="29"/>
      <c r="CZ410" s="29" t="s">
        <v>453</v>
      </c>
      <c r="DA410" s="29" t="s">
        <v>8122</v>
      </c>
      <c r="DB410" s="29" t="s">
        <v>455</v>
      </c>
      <c r="DC410" s="29" t="s">
        <v>8123</v>
      </c>
      <c r="DD410" s="29" t="s">
        <v>988</v>
      </c>
      <c r="DE410" s="29" t="s">
        <v>407</v>
      </c>
      <c r="DF410" s="29" t="s">
        <v>8124</v>
      </c>
      <c r="DG410" s="29" t="s">
        <v>524</v>
      </c>
      <c r="DH410" s="29" t="s">
        <v>410</v>
      </c>
      <c r="DI410" s="29" t="s">
        <v>459</v>
      </c>
      <c r="DJ410" s="29" t="s">
        <v>460</v>
      </c>
      <c r="DK410" s="29" t="s">
        <v>6335</v>
      </c>
      <c r="DL410" s="29"/>
      <c r="DM410" s="29"/>
      <c r="DN410" s="29"/>
      <c r="DO410" s="29"/>
      <c r="DP410" s="29"/>
      <c r="DQ410" s="29"/>
      <c r="DR410" s="29"/>
      <c r="DS410" s="29"/>
      <c r="DT410" s="29"/>
      <c r="DU410" s="29"/>
      <c r="DV410" s="29"/>
      <c r="DW410" s="29"/>
      <c r="DX410" s="29"/>
      <c r="DY410" s="29"/>
      <c r="DZ410" s="29"/>
      <c r="EA410" s="29"/>
      <c r="EB410" s="29"/>
      <c r="EC410" s="29"/>
      <c r="ED410" s="29"/>
      <c r="EE410" s="29"/>
      <c r="EF410" s="29"/>
      <c r="EG410" s="29"/>
      <c r="EH410" s="29"/>
      <c r="EI410" s="29"/>
      <c r="EJ410" s="29"/>
      <c r="EK410" s="29"/>
      <c r="EL410" s="29"/>
      <c r="EM410" s="29"/>
      <c r="EN410" s="29"/>
      <c r="EO410" s="29"/>
      <c r="EP410" s="29"/>
      <c r="EQ410" s="29"/>
      <c r="ER410" s="29"/>
      <c r="ES410" s="29"/>
      <c r="ET410" s="29" t="s">
        <v>526</v>
      </c>
      <c r="EU410" s="29" t="s">
        <v>1037</v>
      </c>
      <c r="EV410" s="29" t="s">
        <v>580</v>
      </c>
      <c r="EW410" s="29"/>
      <c r="EX410" s="29"/>
      <c r="EY410" s="29"/>
      <c r="EZ410" s="29" t="s">
        <v>413</v>
      </c>
      <c r="FA410" s="29" t="s">
        <v>415</v>
      </c>
      <c r="FB410" s="29" t="s">
        <v>413</v>
      </c>
      <c r="FC410" s="29" t="s">
        <v>413</v>
      </c>
      <c r="FD410" s="29" t="s">
        <v>413</v>
      </c>
      <c r="FE410" s="29" t="s">
        <v>414</v>
      </c>
      <c r="FF410" s="29" t="s">
        <v>413</v>
      </c>
      <c r="FG410" s="29" t="s">
        <v>413</v>
      </c>
      <c r="FH410" s="29" t="s">
        <v>583</v>
      </c>
      <c r="FI410" s="29" t="s">
        <v>415</v>
      </c>
      <c r="FJ410" s="29" t="s">
        <v>413</v>
      </c>
      <c r="FK410" s="29" t="s">
        <v>413</v>
      </c>
      <c r="FL410" s="29" t="s">
        <v>413</v>
      </c>
      <c r="FM410" s="29" t="s">
        <v>413</v>
      </c>
      <c r="FN410" s="29" t="s">
        <v>583</v>
      </c>
      <c r="FO410" s="29" t="s">
        <v>417</v>
      </c>
      <c r="FP410" s="29" t="s">
        <v>486</v>
      </c>
      <c r="FQ410" s="29" t="s">
        <v>712</v>
      </c>
      <c r="FR410" s="29"/>
      <c r="FS410" s="29" t="s">
        <v>420</v>
      </c>
      <c r="FT410" s="29" t="s">
        <v>488</v>
      </c>
      <c r="FU410" s="29" t="s">
        <v>918</v>
      </c>
      <c r="FV410" s="29" t="s">
        <v>490</v>
      </c>
      <c r="FW410" s="29" t="s">
        <v>491</v>
      </c>
      <c r="FX410" s="29" t="s">
        <v>8125</v>
      </c>
      <c r="FY410" s="29" t="s">
        <v>535</v>
      </c>
      <c r="FZ410" s="29"/>
      <c r="GA410" s="29"/>
      <c r="GB410" s="29" t="s">
        <v>408</v>
      </c>
      <c r="GC410" s="29"/>
      <c r="GD410" s="29"/>
      <c r="GE410" s="29"/>
      <c r="GF410" s="29"/>
      <c r="GG410" s="29" t="s">
        <v>857</v>
      </c>
      <c r="GH410" s="29" t="s">
        <v>857</v>
      </c>
      <c r="GI410" s="29" t="s">
        <v>790</v>
      </c>
      <c r="GJ410" s="29"/>
      <c r="GK410" s="29"/>
      <c r="GL410" s="29"/>
      <c r="GM410" s="29"/>
      <c r="GN410" s="29"/>
      <c r="GO410" s="29"/>
      <c r="GP410" s="29"/>
      <c r="GQ410" s="29" t="s">
        <v>3208</v>
      </c>
      <c r="GR410" s="29"/>
      <c r="GS410" s="29"/>
      <c r="GT410" s="29" t="s">
        <v>4774</v>
      </c>
      <c r="GU410" s="29"/>
      <c r="HP410" s="31"/>
      <c r="MX410" s="29" t="s">
        <v>10402</v>
      </c>
      <c r="MY410" s="29" t="str">
        <f>IFERROR(__xludf.DUMMYFUNCTION("""COMPUTED_VALUE"""),"Oklahoma")</f>
        <v>Oklahoma</v>
      </c>
    </row>
    <row r="411" ht="16.5" customHeight="1">
      <c r="A411" s="33">
        <v>46019.70274966436</v>
      </c>
      <c r="B411" s="29" t="s">
        <v>368</v>
      </c>
      <c r="C411" s="29" t="s">
        <v>370</v>
      </c>
      <c r="D411" s="29" t="s">
        <v>370</v>
      </c>
      <c r="E411" s="29" t="s">
        <v>2195</v>
      </c>
      <c r="F411" s="29" t="s">
        <v>1510</v>
      </c>
      <c r="G411" s="29" t="s">
        <v>1023</v>
      </c>
      <c r="H411" s="29" t="s">
        <v>496</v>
      </c>
      <c r="I411" s="29" t="s">
        <v>2578</v>
      </c>
      <c r="J411" s="29" t="s">
        <v>375</v>
      </c>
      <c r="K411" s="29" t="s">
        <v>376</v>
      </c>
      <c r="L411" s="29" t="s">
        <v>379</v>
      </c>
      <c r="M411" s="29" t="s">
        <v>541</v>
      </c>
      <c r="N411" s="29" t="s">
        <v>591</v>
      </c>
      <c r="O411" s="29" t="s">
        <v>719</v>
      </c>
      <c r="P411" s="29" t="s">
        <v>498</v>
      </c>
      <c r="Q411" s="29" t="s">
        <v>499</v>
      </c>
      <c r="R411" s="29" t="s">
        <v>427</v>
      </c>
      <c r="S411" s="29" t="s">
        <v>384</v>
      </c>
      <c r="T411" s="29" t="s">
        <v>385</v>
      </c>
      <c r="U411" s="29"/>
      <c r="V411" s="29"/>
      <c r="W411" s="29" t="s">
        <v>3231</v>
      </c>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t="s">
        <v>1310</v>
      </c>
      <c r="AW411" s="29">
        <v>4.0</v>
      </c>
      <c r="AX411" s="29">
        <v>4.0</v>
      </c>
      <c r="AY411" s="29">
        <v>4.0</v>
      </c>
      <c r="AZ411" s="29">
        <v>4.0</v>
      </c>
      <c r="BA411" s="29" t="s">
        <v>391</v>
      </c>
      <c r="BB411" s="29">
        <v>4.0</v>
      </c>
      <c r="BC411" s="29" t="s">
        <v>8126</v>
      </c>
      <c r="BD411" s="29" t="s">
        <v>8127</v>
      </c>
      <c r="BE411" s="29" t="s">
        <v>432</v>
      </c>
      <c r="BF411" s="29" t="s">
        <v>1095</v>
      </c>
      <c r="BG411" s="29" t="s">
        <v>765</v>
      </c>
      <c r="BH411" s="29" t="s">
        <v>8128</v>
      </c>
      <c r="BI411" s="29" t="s">
        <v>976</v>
      </c>
      <c r="BJ411" s="29"/>
      <c r="BK411" s="29" t="s">
        <v>395</v>
      </c>
      <c r="BL411" s="29" t="s">
        <v>603</v>
      </c>
      <c r="BM411" s="29" t="s">
        <v>1247</v>
      </c>
      <c r="BN411" s="29" t="s">
        <v>513</v>
      </c>
      <c r="BO411" s="29"/>
      <c r="BP411" s="29"/>
      <c r="BQ411" s="29"/>
      <c r="BR411" s="29"/>
      <c r="BS411" s="29"/>
      <c r="BT411" s="29"/>
      <c r="BU411" s="29"/>
      <c r="BV411" s="29"/>
      <c r="BW411" s="29"/>
      <c r="BX411" s="29"/>
      <c r="BY411" s="29"/>
      <c r="BZ411" s="29"/>
      <c r="CA411" s="29"/>
      <c r="CB411" s="29"/>
      <c r="CC411" s="29"/>
      <c r="CD411" s="29"/>
      <c r="CE411" s="29"/>
      <c r="CF411" s="29"/>
      <c r="CG411" s="29"/>
      <c r="CH411" s="29"/>
      <c r="CI411" s="29"/>
      <c r="CJ411" s="29"/>
      <c r="CK411" s="29"/>
      <c r="CL411" s="29" t="s">
        <v>441</v>
      </c>
      <c r="CM411" s="29" t="s">
        <v>401</v>
      </c>
      <c r="CN411" s="29" t="s">
        <v>8129</v>
      </c>
      <c r="CO411" s="29" t="s">
        <v>8130</v>
      </c>
      <c r="CP411" s="29" t="s">
        <v>403</v>
      </c>
      <c r="CQ411" s="29" t="s">
        <v>2519</v>
      </c>
      <c r="CR411" s="29" t="s">
        <v>447</v>
      </c>
      <c r="CS411" s="29" t="s">
        <v>2104</v>
      </c>
      <c r="CT411" s="29" t="s">
        <v>8131</v>
      </c>
      <c r="CU411" s="29" t="s">
        <v>1852</v>
      </c>
      <c r="CV411" s="29" t="s">
        <v>451</v>
      </c>
      <c r="CW411" s="29" t="s">
        <v>8132</v>
      </c>
      <c r="CX411" s="29" t="s">
        <v>408</v>
      </c>
      <c r="CY411" s="29"/>
      <c r="CZ411" s="29" t="s">
        <v>453</v>
      </c>
      <c r="DA411" s="29" t="s">
        <v>8133</v>
      </c>
      <c r="DB411" s="29" t="s">
        <v>408</v>
      </c>
      <c r="DC411" s="29"/>
      <c r="DD411" s="29" t="s">
        <v>406</v>
      </c>
      <c r="DE411" s="29" t="s">
        <v>691</v>
      </c>
      <c r="DF411" s="29" t="s">
        <v>8134</v>
      </c>
      <c r="DG411" s="29" t="s">
        <v>776</v>
      </c>
      <c r="DH411" s="29" t="s">
        <v>410</v>
      </c>
      <c r="DI411" s="29" t="s">
        <v>459</v>
      </c>
      <c r="DJ411" s="29" t="s">
        <v>613</v>
      </c>
      <c r="DK411" s="29"/>
      <c r="DL411" s="29"/>
      <c r="DM411" s="29"/>
      <c r="DN411" s="29"/>
      <c r="DO411" s="29"/>
      <c r="DP411" s="29"/>
      <c r="DQ411" s="29"/>
      <c r="DR411" s="29"/>
      <c r="DS411" s="29"/>
      <c r="DT411" s="29"/>
      <c r="DU411" s="29"/>
      <c r="DV411" s="29"/>
      <c r="DW411" s="29"/>
      <c r="DX411" s="29"/>
      <c r="DY411" s="29"/>
      <c r="DZ411" s="29"/>
      <c r="EA411" s="29"/>
      <c r="EB411" s="29"/>
      <c r="EC411" s="29"/>
      <c r="ED411" s="29"/>
      <c r="EE411" s="29"/>
      <c r="EF411" s="29"/>
      <c r="EG411" s="29"/>
      <c r="EH411" s="29"/>
      <c r="EI411" s="29"/>
      <c r="EJ411" s="29"/>
      <c r="EK411" s="29"/>
      <c r="EL411" s="29"/>
      <c r="EM411" s="29"/>
      <c r="EN411" s="29"/>
      <c r="EO411" s="29"/>
      <c r="EP411" s="29"/>
      <c r="EQ411" s="29"/>
      <c r="ER411" s="29"/>
      <c r="ES411" s="29"/>
      <c r="ET411" s="29" t="s">
        <v>526</v>
      </c>
      <c r="EU411" s="29" t="s">
        <v>1037</v>
      </c>
      <c r="EV411" s="29" t="s">
        <v>527</v>
      </c>
      <c r="EW411" s="29"/>
      <c r="EX411" s="29" t="s">
        <v>8135</v>
      </c>
      <c r="EY411" s="29" t="s">
        <v>8136</v>
      </c>
      <c r="EZ411" s="29" t="s">
        <v>414</v>
      </c>
      <c r="FA411" s="29" t="s">
        <v>583</v>
      </c>
      <c r="FB411" s="29" t="s">
        <v>413</v>
      </c>
      <c r="FC411" s="29" t="s">
        <v>414</v>
      </c>
      <c r="FD411" s="29" t="s">
        <v>416</v>
      </c>
      <c r="FE411" s="29" t="s">
        <v>583</v>
      </c>
      <c r="FF411" s="29" t="s">
        <v>414</v>
      </c>
      <c r="FG411" s="29" t="s">
        <v>415</v>
      </c>
      <c r="FH411" s="29" t="s">
        <v>583</v>
      </c>
      <c r="FI411" s="29" t="s">
        <v>414</v>
      </c>
      <c r="FJ411" s="29" t="s">
        <v>414</v>
      </c>
      <c r="FK411" s="29" t="s">
        <v>415</v>
      </c>
      <c r="FL411" s="29" t="s">
        <v>414</v>
      </c>
      <c r="FM411" s="29" t="s">
        <v>415</v>
      </c>
      <c r="FN411" s="29" t="s">
        <v>414</v>
      </c>
      <c r="FO411" s="29" t="s">
        <v>485</v>
      </c>
      <c r="FP411" s="29" t="s">
        <v>1200</v>
      </c>
      <c r="FQ411" s="29" t="s">
        <v>419</v>
      </c>
      <c r="FR411" s="29" t="s">
        <v>8137</v>
      </c>
      <c r="FS411" s="29" t="s">
        <v>1189</v>
      </c>
      <c r="FT411" s="29" t="s">
        <v>421</v>
      </c>
      <c r="FU411" s="29" t="s">
        <v>585</v>
      </c>
      <c r="FV411" s="29" t="s">
        <v>490</v>
      </c>
      <c r="FW411" s="29" t="s">
        <v>491</v>
      </c>
      <c r="FX411" s="29" t="s">
        <v>8138</v>
      </c>
      <c r="FY411" s="29" t="s">
        <v>535</v>
      </c>
      <c r="FZ411" s="29" t="s">
        <v>8139</v>
      </c>
      <c r="GA411" s="29" t="s">
        <v>8140</v>
      </c>
      <c r="GB411" s="29" t="s">
        <v>408</v>
      </c>
      <c r="GC411" s="29"/>
      <c r="GD411" s="29"/>
      <c r="GE411" s="29"/>
      <c r="GF411" s="29"/>
      <c r="GG411" s="29" t="s">
        <v>755</v>
      </c>
      <c r="GH411" s="29" t="s">
        <v>755</v>
      </c>
      <c r="GI411" s="29" t="s">
        <v>946</v>
      </c>
      <c r="GJ411" s="29"/>
      <c r="GK411" s="29"/>
      <c r="GL411" s="29"/>
      <c r="GM411" s="29"/>
      <c r="GN411" s="29"/>
      <c r="GO411" s="29"/>
      <c r="GP411" s="29" t="s">
        <v>387</v>
      </c>
      <c r="GQ411" s="29" t="s">
        <v>3208</v>
      </c>
      <c r="GR411" s="29"/>
      <c r="GS411" s="29"/>
      <c r="GT411" s="29" t="s">
        <v>4774</v>
      </c>
      <c r="GU411" s="29"/>
      <c r="HP411" s="31"/>
      <c r="MX411" s="29" t="s">
        <v>10402</v>
      </c>
      <c r="MY411" s="29" t="str">
        <f>IFERROR(__xludf.DUMMYFUNCTION("""COMPUTED_VALUE"""),"California")</f>
        <v>California</v>
      </c>
    </row>
    <row r="412" ht="16.5" customHeight="1">
      <c r="A412" s="33">
        <v>46025.157875034725</v>
      </c>
      <c r="B412" s="29" t="s">
        <v>368</v>
      </c>
      <c r="C412" s="29" t="s">
        <v>370</v>
      </c>
      <c r="D412" s="29" t="s">
        <v>370</v>
      </c>
      <c r="E412" s="29" t="s">
        <v>371</v>
      </c>
      <c r="F412" s="29" t="s">
        <v>371</v>
      </c>
      <c r="G412" s="29" t="s">
        <v>372</v>
      </c>
      <c r="H412" s="29" t="s">
        <v>373</v>
      </c>
      <c r="I412" s="29" t="s">
        <v>374</v>
      </c>
      <c r="J412" s="29"/>
      <c r="K412" s="29"/>
      <c r="L412" s="29"/>
      <c r="M412" s="29"/>
      <c r="N412" s="29"/>
      <c r="O412" s="29"/>
      <c r="P412" s="29"/>
      <c r="Q412" s="29"/>
      <c r="R412" s="29" t="s">
        <v>427</v>
      </c>
      <c r="S412" s="29" t="s">
        <v>384</v>
      </c>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t="s">
        <v>390</v>
      </c>
      <c r="AW412" s="29">
        <v>4.0</v>
      </c>
      <c r="AX412" s="29" t="s">
        <v>391</v>
      </c>
      <c r="AY412" s="29">
        <v>2.0</v>
      </c>
      <c r="AZ412" s="29">
        <v>2.0</v>
      </c>
      <c r="BA412" s="29" t="s">
        <v>391</v>
      </c>
      <c r="BB412" s="29" t="s">
        <v>391</v>
      </c>
      <c r="BC412" s="29"/>
      <c r="BD412" s="29"/>
      <c r="BE412" s="29" t="s">
        <v>2379</v>
      </c>
      <c r="BF412" s="29" t="s">
        <v>1095</v>
      </c>
      <c r="BG412" s="29" t="s">
        <v>725</v>
      </c>
      <c r="BH412" s="29"/>
      <c r="BI412" s="29" t="s">
        <v>435</v>
      </c>
      <c r="BJ412" s="29"/>
      <c r="BK412" s="29" t="s">
        <v>437</v>
      </c>
      <c r="BL412" s="29" t="s">
        <v>438</v>
      </c>
      <c r="BM412" s="29" t="s">
        <v>549</v>
      </c>
      <c r="BN412" s="29" t="s">
        <v>513</v>
      </c>
      <c r="BO412" s="29"/>
      <c r="BP412" s="29"/>
      <c r="BQ412" s="29"/>
      <c r="BR412" s="29"/>
      <c r="BS412" s="29"/>
      <c r="BT412" s="29"/>
      <c r="BU412" s="29"/>
      <c r="BV412" s="29"/>
      <c r="BW412" s="29"/>
      <c r="BX412" s="29"/>
      <c r="BY412" s="29"/>
      <c r="BZ412" s="29"/>
      <c r="CA412" s="29"/>
      <c r="CB412" s="29"/>
      <c r="CC412" s="29"/>
      <c r="CD412" s="29"/>
      <c r="CE412" s="29"/>
      <c r="CF412" s="29"/>
      <c r="CG412" s="29"/>
      <c r="CH412" s="29"/>
      <c r="CI412" s="29"/>
      <c r="CJ412" s="29"/>
      <c r="CK412" s="29"/>
      <c r="CL412" s="29" t="s">
        <v>441</v>
      </c>
      <c r="CM412" s="29" t="s">
        <v>442</v>
      </c>
      <c r="CN412" s="29"/>
      <c r="CO412" s="29"/>
      <c r="CP412" s="29" t="s">
        <v>403</v>
      </c>
      <c r="CQ412" s="29" t="s">
        <v>1467</v>
      </c>
      <c r="CR412" s="29"/>
      <c r="CS412" s="29" t="s">
        <v>1137</v>
      </c>
      <c r="CT412" s="29"/>
      <c r="CU412" s="29" t="s">
        <v>1852</v>
      </c>
      <c r="CV412" s="29" t="s">
        <v>409</v>
      </c>
      <c r="CW412" s="29"/>
      <c r="CX412" s="29" t="s">
        <v>408</v>
      </c>
      <c r="CY412" s="29"/>
      <c r="CZ412" s="29" t="s">
        <v>453</v>
      </c>
      <c r="DA412" s="29"/>
      <c r="DB412" s="29"/>
      <c r="DC412" s="29"/>
      <c r="DD412" s="29" t="s">
        <v>988</v>
      </c>
      <c r="DE412" s="29"/>
      <c r="DF412" s="29"/>
      <c r="DG412" s="29"/>
      <c r="DH412" s="29" t="s">
        <v>410</v>
      </c>
      <c r="DI412" s="29"/>
      <c r="DJ412" s="29"/>
      <c r="DK412" s="29"/>
      <c r="DL412" s="29"/>
      <c r="DM412" s="29"/>
      <c r="DN412" s="29"/>
      <c r="DO412" s="29"/>
      <c r="DP412" s="29"/>
      <c r="DQ412" s="29"/>
      <c r="DR412" s="29"/>
      <c r="DS412" s="29"/>
      <c r="DT412" s="29"/>
      <c r="DU412" s="29"/>
      <c r="DV412" s="29"/>
      <c r="DW412" s="29"/>
      <c r="DX412" s="29"/>
      <c r="DY412" s="29"/>
      <c r="DZ412" s="29"/>
      <c r="EA412" s="29"/>
      <c r="EB412" s="29"/>
      <c r="EC412" s="29"/>
      <c r="ED412" s="29"/>
      <c r="EE412" s="29"/>
      <c r="EF412" s="29"/>
      <c r="EG412" s="29"/>
      <c r="EH412" s="29"/>
      <c r="EI412" s="29"/>
      <c r="EJ412" s="29"/>
      <c r="EK412" s="29"/>
      <c r="EL412" s="29"/>
      <c r="EM412" s="29"/>
      <c r="EN412" s="29"/>
      <c r="EO412" s="29"/>
      <c r="EP412" s="29"/>
      <c r="EQ412" s="29"/>
      <c r="ER412" s="29"/>
      <c r="ES412" s="29"/>
      <c r="ET412" s="29"/>
      <c r="EU412" s="29"/>
      <c r="EV412" s="29" t="s">
        <v>1262</v>
      </c>
      <c r="EW412" s="29"/>
      <c r="EX412" s="29"/>
      <c r="EY412" s="29"/>
      <c r="EZ412" s="29" t="s">
        <v>413</v>
      </c>
      <c r="FA412" s="29" t="s">
        <v>583</v>
      </c>
      <c r="FB412" s="29" t="s">
        <v>413</v>
      </c>
      <c r="FC412" s="29" t="s">
        <v>413</v>
      </c>
      <c r="FD412" s="29" t="s">
        <v>413</v>
      </c>
      <c r="FE412" s="29" t="s">
        <v>484</v>
      </c>
      <c r="FF412" s="29" t="s">
        <v>413</v>
      </c>
      <c r="FG412" s="29" t="s">
        <v>413</v>
      </c>
      <c r="FH412" s="29" t="s">
        <v>484</v>
      </c>
      <c r="FI412" s="29" t="s">
        <v>413</v>
      </c>
      <c r="FJ412" s="29" t="s">
        <v>413</v>
      </c>
      <c r="FK412" s="29" t="s">
        <v>413</v>
      </c>
      <c r="FL412" s="29" t="s">
        <v>413</v>
      </c>
      <c r="FM412" s="29" t="s">
        <v>413</v>
      </c>
      <c r="FN412" s="29"/>
      <c r="FO412" s="29"/>
      <c r="FP412" s="29"/>
      <c r="FQ412" s="29"/>
      <c r="FR412" s="29"/>
      <c r="FS412" s="29"/>
      <c r="FT412" s="29"/>
      <c r="FU412" s="29"/>
      <c r="FV412" s="29"/>
      <c r="FW412" s="29"/>
      <c r="FX412" s="29"/>
      <c r="FY412" s="29"/>
      <c r="FZ412" s="29"/>
      <c r="GA412" s="29"/>
      <c r="GB412" s="29"/>
      <c r="GC412" s="29"/>
      <c r="GD412" s="29"/>
      <c r="GE412" s="29"/>
      <c r="GF412" s="29"/>
      <c r="GG412" s="29" t="s">
        <v>755</v>
      </c>
      <c r="GH412" s="29" t="s">
        <v>755</v>
      </c>
      <c r="GI412" s="29" t="s">
        <v>946</v>
      </c>
      <c r="GJ412" s="29"/>
      <c r="GK412" s="29"/>
      <c r="GL412" s="29"/>
      <c r="GM412" s="29"/>
      <c r="GN412" s="29"/>
      <c r="GO412" s="29"/>
      <c r="GP412" s="29"/>
      <c r="GQ412" s="29"/>
      <c r="GR412" s="29"/>
      <c r="GS412" s="29"/>
      <c r="GT412" s="29" t="s">
        <v>5039</v>
      </c>
      <c r="GU412" s="29"/>
      <c r="HP412" s="31"/>
      <c r="MX412" s="29" t="s">
        <v>8141</v>
      </c>
      <c r="MY412" s="29" t="str">
        <f>IFERROR(__xludf.DUMMYFUNCTION("""COMPUTED_VALUE"""),"Russian Federation")</f>
        <v>Russian Federation</v>
      </c>
    </row>
    <row r="413" ht="16.5" customHeight="1">
      <c r="A413" s="33">
        <v>46025.18449309027</v>
      </c>
      <c r="B413" s="29" t="s">
        <v>368</v>
      </c>
      <c r="C413" s="29" t="s">
        <v>8141</v>
      </c>
      <c r="D413" s="29" t="s">
        <v>8141</v>
      </c>
      <c r="E413" s="29"/>
      <c r="F413" s="29"/>
      <c r="G413" s="29" t="s">
        <v>422</v>
      </c>
      <c r="H413" s="29" t="s">
        <v>373</v>
      </c>
      <c r="I413" s="29" t="s">
        <v>374</v>
      </c>
      <c r="J413" s="29" t="s">
        <v>590</v>
      </c>
      <c r="K413" s="29" t="s">
        <v>376</v>
      </c>
      <c r="L413" s="29" t="s">
        <v>426</v>
      </c>
      <c r="M413" s="29" t="s">
        <v>8142</v>
      </c>
      <c r="N413" s="29" t="s">
        <v>793</v>
      </c>
      <c r="O413" s="29" t="s">
        <v>2579</v>
      </c>
      <c r="P413" s="29" t="s">
        <v>1760</v>
      </c>
      <c r="Q413" s="29" t="s">
        <v>499</v>
      </c>
      <c r="R413" s="29" t="s">
        <v>500</v>
      </c>
      <c r="S413" s="29" t="s">
        <v>384</v>
      </c>
      <c r="T413" s="29" t="s">
        <v>385</v>
      </c>
      <c r="U413" s="29"/>
      <c r="V413" s="29"/>
      <c r="W413" s="29" t="s">
        <v>3231</v>
      </c>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t="s">
        <v>1310</v>
      </c>
      <c r="AW413" s="29" t="s">
        <v>675</v>
      </c>
      <c r="AX413" s="29" t="s">
        <v>675</v>
      </c>
      <c r="AY413" s="29" t="s">
        <v>675</v>
      </c>
      <c r="AZ413" s="29" t="s">
        <v>675</v>
      </c>
      <c r="BA413" s="29" t="s">
        <v>675</v>
      </c>
      <c r="BB413" s="29" t="s">
        <v>675</v>
      </c>
      <c r="BC413" s="29" t="s">
        <v>8143</v>
      </c>
      <c r="BD413" s="29" t="s">
        <v>8144</v>
      </c>
      <c r="BE413" s="29" t="s">
        <v>432</v>
      </c>
      <c r="BF413" s="29" t="s">
        <v>1095</v>
      </c>
      <c r="BG413" s="29" t="s">
        <v>394</v>
      </c>
      <c r="BH413" s="29" t="s">
        <v>8145</v>
      </c>
      <c r="BI413" s="29" t="s">
        <v>435</v>
      </c>
      <c r="BJ413" s="29" t="s">
        <v>8146</v>
      </c>
      <c r="BK413" s="29" t="s">
        <v>681</v>
      </c>
      <c r="BL413" s="29" t="s">
        <v>603</v>
      </c>
      <c r="BM413" s="29" t="s">
        <v>1247</v>
      </c>
      <c r="BN413" s="29" t="s">
        <v>398</v>
      </c>
      <c r="BO413" s="29" t="s">
        <v>8147</v>
      </c>
      <c r="BP413" s="29" t="s">
        <v>8148</v>
      </c>
      <c r="BQ413" s="29" t="s">
        <v>401</v>
      </c>
      <c r="BR413" s="29" t="s">
        <v>5999</v>
      </c>
      <c r="BS413" s="29" t="s">
        <v>1671</v>
      </c>
      <c r="BT413" s="29" t="s">
        <v>1771</v>
      </c>
      <c r="BU413" s="29" t="s">
        <v>405</v>
      </c>
      <c r="BV413" s="29" t="s">
        <v>8149</v>
      </c>
      <c r="BW413" s="29" t="s">
        <v>988</v>
      </c>
      <c r="BX413" s="29" t="s">
        <v>2503</v>
      </c>
      <c r="BY413" s="29" t="s">
        <v>408</v>
      </c>
      <c r="BZ413" s="29" t="s">
        <v>8150</v>
      </c>
      <c r="CA413" s="29" t="s">
        <v>8151</v>
      </c>
      <c r="CB413" s="29" t="s">
        <v>8152</v>
      </c>
      <c r="CC413" s="29" t="s">
        <v>8153</v>
      </c>
      <c r="CD413" s="29" t="s">
        <v>451</v>
      </c>
      <c r="CE413" s="29" t="s">
        <v>8154</v>
      </c>
      <c r="CF413" s="29" t="s">
        <v>1722</v>
      </c>
      <c r="CG413" s="29" t="s">
        <v>8155</v>
      </c>
      <c r="CH413" s="29" t="s">
        <v>1751</v>
      </c>
      <c r="CI413" s="29" t="s">
        <v>1220</v>
      </c>
      <c r="CJ413" s="29" t="s">
        <v>8156</v>
      </c>
      <c r="CK413" s="29" t="s">
        <v>8157</v>
      </c>
      <c r="CL413" s="29"/>
      <c r="CM413" s="29"/>
      <c r="CN413" s="29"/>
      <c r="CO413" s="29"/>
      <c r="CP413" s="29"/>
      <c r="CQ413" s="29"/>
      <c r="CR413" s="29"/>
      <c r="CS413" s="29"/>
      <c r="CT413" s="29"/>
      <c r="CU413" s="29"/>
      <c r="CV413" s="29"/>
      <c r="CW413" s="29"/>
      <c r="CX413" s="29"/>
      <c r="CY413" s="29"/>
      <c r="CZ413" s="29"/>
      <c r="DA413" s="29"/>
      <c r="DB413" s="29"/>
      <c r="DC413" s="29"/>
      <c r="DD413" s="29"/>
      <c r="DE413" s="29"/>
      <c r="DF413" s="29"/>
      <c r="DG413" s="29"/>
      <c r="DH413" s="29"/>
      <c r="DI413" s="29" t="s">
        <v>963</v>
      </c>
      <c r="DJ413" s="29" t="s">
        <v>562</v>
      </c>
      <c r="DK413" s="29" t="s">
        <v>6319</v>
      </c>
      <c r="DL413" s="29"/>
      <c r="DM413" s="29"/>
      <c r="DN413" s="29"/>
      <c r="DO413" s="29"/>
      <c r="DP413" s="29"/>
      <c r="DQ413" s="29"/>
      <c r="DR413" s="29"/>
      <c r="DS413" s="29"/>
      <c r="DT413" s="29"/>
      <c r="DU413" s="29"/>
      <c r="DV413" s="29"/>
      <c r="DW413" s="29"/>
      <c r="DX413" s="29"/>
      <c r="DY413" s="29"/>
      <c r="DZ413" s="29"/>
      <c r="EA413" s="29"/>
      <c r="EB413" s="29"/>
      <c r="EC413" s="29"/>
      <c r="ED413" s="29"/>
      <c r="EE413" s="29"/>
      <c r="EF413" s="29"/>
      <c r="EG413" s="29"/>
      <c r="EH413" s="29"/>
      <c r="EI413" s="29"/>
      <c r="EJ413" s="29"/>
      <c r="EK413" s="29"/>
      <c r="EL413" s="29"/>
      <c r="EM413" s="29"/>
      <c r="EN413" s="29"/>
      <c r="EO413" s="29"/>
      <c r="EP413" s="29"/>
      <c r="EQ413" s="29"/>
      <c r="ER413" s="29"/>
      <c r="ES413" s="29"/>
      <c r="ET413" s="29" t="s">
        <v>526</v>
      </c>
      <c r="EU413" s="29" t="s">
        <v>579</v>
      </c>
      <c r="EV413" s="29" t="s">
        <v>480</v>
      </c>
      <c r="EW413" s="29" t="s">
        <v>8158</v>
      </c>
      <c r="EX413" s="29" t="s">
        <v>8159</v>
      </c>
      <c r="EY413" s="29" t="s">
        <v>8160</v>
      </c>
      <c r="EZ413" s="29" t="s">
        <v>415</v>
      </c>
      <c r="FA413" s="29" t="s">
        <v>414</v>
      </c>
      <c r="FB413" s="29" t="s">
        <v>413</v>
      </c>
      <c r="FC413" s="29" t="s">
        <v>414</v>
      </c>
      <c r="FD413" s="29" t="s">
        <v>416</v>
      </c>
      <c r="FE413" s="29" t="s">
        <v>583</v>
      </c>
      <c r="FF413" s="29" t="s">
        <v>583</v>
      </c>
      <c r="FG413" s="29" t="s">
        <v>415</v>
      </c>
      <c r="FH413" s="29" t="s">
        <v>414</v>
      </c>
      <c r="FI413" s="29" t="s">
        <v>413</v>
      </c>
      <c r="FJ413" s="29" t="s">
        <v>414</v>
      </c>
      <c r="FK413" s="29" t="s">
        <v>413</v>
      </c>
      <c r="FL413" s="29" t="s">
        <v>415</v>
      </c>
      <c r="FM413" s="29" t="s">
        <v>413</v>
      </c>
      <c r="FN413" s="29" t="s">
        <v>415</v>
      </c>
      <c r="FO413" s="29" t="s">
        <v>485</v>
      </c>
      <c r="FP413" s="29" t="s">
        <v>486</v>
      </c>
      <c r="FQ413" s="29" t="s">
        <v>1039</v>
      </c>
      <c r="FR413" s="29" t="s">
        <v>8161</v>
      </c>
      <c r="FS413" s="29" t="s">
        <v>1871</v>
      </c>
      <c r="FT413" s="29" t="s">
        <v>1462</v>
      </c>
      <c r="FU413" s="29" t="s">
        <v>1235</v>
      </c>
      <c r="FV413" s="29" t="s">
        <v>490</v>
      </c>
      <c r="FW413" s="29" t="s">
        <v>491</v>
      </c>
      <c r="FX413" s="29" t="s">
        <v>8162</v>
      </c>
      <c r="FY413" s="29" t="s">
        <v>535</v>
      </c>
      <c r="FZ413" s="29" t="s">
        <v>8163</v>
      </c>
      <c r="GA413" s="29" t="s">
        <v>8164</v>
      </c>
      <c r="GB413" s="29" t="s">
        <v>455</v>
      </c>
      <c r="GC413" s="29"/>
      <c r="GD413" s="29"/>
      <c r="GE413" s="29" t="s">
        <v>753</v>
      </c>
      <c r="GF413" s="29" t="s">
        <v>8165</v>
      </c>
      <c r="GG413" s="29"/>
      <c r="GH413" s="29"/>
      <c r="GI413" s="29"/>
      <c r="GJ413" s="29" t="s">
        <v>755</v>
      </c>
      <c r="GK413" s="29" t="s">
        <v>755</v>
      </c>
      <c r="GL413" s="29" t="s">
        <v>946</v>
      </c>
      <c r="GM413" s="29"/>
      <c r="GN413" s="29" t="s">
        <v>8166</v>
      </c>
      <c r="GO413" s="29" t="s">
        <v>8166</v>
      </c>
      <c r="GP413" s="29" t="s">
        <v>387</v>
      </c>
      <c r="GQ413" s="29" t="s">
        <v>3208</v>
      </c>
      <c r="GR413" s="29" t="s">
        <v>4774</v>
      </c>
      <c r="GS413" s="29" t="s">
        <v>8167</v>
      </c>
      <c r="GT413" s="29"/>
      <c r="GU413" s="29"/>
      <c r="HP413" s="31"/>
      <c r="MX413" s="29" t="s">
        <v>1341</v>
      </c>
      <c r="MY413" s="29" t="str">
        <f>IFERROR(__xludf.DUMMYFUNCTION("""COMPUTED_VALUE"""),"Germany")</f>
        <v>Germany</v>
      </c>
    </row>
    <row r="414" ht="16.5" customHeight="1">
      <c r="A414" s="33">
        <v>46026.3173584375</v>
      </c>
      <c r="B414" s="29" t="s">
        <v>368</v>
      </c>
      <c r="C414" s="29" t="s">
        <v>1341</v>
      </c>
      <c r="D414" s="29" t="s">
        <v>635</v>
      </c>
      <c r="E414" s="29"/>
      <c r="F414" s="29"/>
      <c r="G414" s="29" t="s">
        <v>422</v>
      </c>
      <c r="H414" s="29" t="s">
        <v>423</v>
      </c>
      <c r="I414" s="29" t="s">
        <v>424</v>
      </c>
      <c r="J414" s="29" t="s">
        <v>669</v>
      </c>
      <c r="K414" s="29" t="s">
        <v>376</v>
      </c>
      <c r="L414" s="29" t="s">
        <v>379</v>
      </c>
      <c r="M414" s="29" t="s">
        <v>720</v>
      </c>
      <c r="N414" s="29" t="s">
        <v>793</v>
      </c>
      <c r="O414" s="29" t="s">
        <v>380</v>
      </c>
      <c r="P414" s="29" t="s">
        <v>592</v>
      </c>
      <c r="Q414" s="29" t="s">
        <v>499</v>
      </c>
      <c r="R414" s="29" t="s">
        <v>427</v>
      </c>
      <c r="S414" s="29" t="s">
        <v>384</v>
      </c>
      <c r="T414" s="29" t="s">
        <v>385</v>
      </c>
      <c r="U414" s="29"/>
      <c r="V414" s="29"/>
      <c r="W414" s="29" t="s">
        <v>3231</v>
      </c>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t="s">
        <v>1310</v>
      </c>
      <c r="AW414" s="29" t="s">
        <v>391</v>
      </c>
      <c r="AX414" s="29" t="s">
        <v>391</v>
      </c>
      <c r="AY414" s="29" t="s">
        <v>391</v>
      </c>
      <c r="AZ414" s="29" t="s">
        <v>391</v>
      </c>
      <c r="BA414" s="29" t="s">
        <v>391</v>
      </c>
      <c r="BB414" s="29" t="s">
        <v>391</v>
      </c>
      <c r="BC414" s="29" t="s">
        <v>8169</v>
      </c>
      <c r="BD414" s="29" t="s">
        <v>8170</v>
      </c>
      <c r="BE414" s="29" t="s">
        <v>392</v>
      </c>
      <c r="BF414" s="29" t="s">
        <v>393</v>
      </c>
      <c r="BG414" s="29" t="s">
        <v>725</v>
      </c>
      <c r="BH414" s="29"/>
      <c r="BI414" s="29" t="s">
        <v>976</v>
      </c>
      <c r="BJ414" s="29"/>
      <c r="BK414" s="29" t="s">
        <v>437</v>
      </c>
      <c r="BL414" s="29" t="s">
        <v>603</v>
      </c>
      <c r="BM414" s="29" t="s">
        <v>1247</v>
      </c>
      <c r="BN414" s="29" t="s">
        <v>440</v>
      </c>
      <c r="BO414" s="29"/>
      <c r="BP414" s="29"/>
      <c r="BQ414" s="29"/>
      <c r="BR414" s="29"/>
      <c r="BS414" s="29"/>
      <c r="BT414" s="29"/>
      <c r="BU414" s="29"/>
      <c r="BV414" s="29"/>
      <c r="BW414" s="29"/>
      <c r="BX414" s="29"/>
      <c r="BY414" s="29"/>
      <c r="BZ414" s="29"/>
      <c r="CA414" s="29"/>
      <c r="CB414" s="29"/>
      <c r="CC414" s="29"/>
      <c r="CD414" s="29"/>
      <c r="CE414" s="29"/>
      <c r="CF414" s="29"/>
      <c r="CG414" s="29"/>
      <c r="CH414" s="29"/>
      <c r="CI414" s="29"/>
      <c r="CJ414" s="29"/>
      <c r="CK414" s="29"/>
      <c r="CL414" s="29" t="s">
        <v>550</v>
      </c>
      <c r="CM414" s="29" t="s">
        <v>604</v>
      </c>
      <c r="CN414" s="29" t="s">
        <v>1315</v>
      </c>
      <c r="CO414" s="29" t="s">
        <v>8171</v>
      </c>
      <c r="CP414" s="29" t="s">
        <v>403</v>
      </c>
      <c r="CQ414" s="29" t="s">
        <v>8172</v>
      </c>
      <c r="CR414" s="29" t="s">
        <v>404</v>
      </c>
      <c r="CS414" s="29" t="s">
        <v>1346</v>
      </c>
      <c r="CT414" s="29" t="s">
        <v>8173</v>
      </c>
      <c r="CU414" s="29" t="s">
        <v>450</v>
      </c>
      <c r="CV414" s="29" t="s">
        <v>409</v>
      </c>
      <c r="CW414" s="29" t="s">
        <v>8174</v>
      </c>
      <c r="CX414" s="29" t="s">
        <v>408</v>
      </c>
      <c r="CY414" s="29"/>
      <c r="CZ414" s="29" t="s">
        <v>1398</v>
      </c>
      <c r="DA414" s="29" t="s">
        <v>8175</v>
      </c>
      <c r="DB414" s="29" t="s">
        <v>455</v>
      </c>
      <c r="DC414" s="29" t="s">
        <v>8176</v>
      </c>
      <c r="DD414" s="29" t="s">
        <v>988</v>
      </c>
      <c r="DE414" s="29"/>
      <c r="DF414" s="29" t="s">
        <v>8177</v>
      </c>
      <c r="DG414" s="29" t="s">
        <v>524</v>
      </c>
      <c r="DH414" s="29" t="s">
        <v>410</v>
      </c>
      <c r="DI414" s="29" t="s">
        <v>963</v>
      </c>
      <c r="DJ414" s="29" t="s">
        <v>460</v>
      </c>
      <c r="DK414" s="29" t="s">
        <v>6319</v>
      </c>
      <c r="DL414" s="29"/>
      <c r="DM414" s="29" t="s">
        <v>3096</v>
      </c>
      <c r="DN414" s="29" t="s">
        <v>8178</v>
      </c>
      <c r="DO414" s="29" t="s">
        <v>3496</v>
      </c>
      <c r="DP414" s="29" t="s">
        <v>8179</v>
      </c>
      <c r="DQ414" s="29" t="s">
        <v>1291</v>
      </c>
      <c r="DR414" s="29" t="s">
        <v>597</v>
      </c>
      <c r="DS414" s="29" t="s">
        <v>839</v>
      </c>
      <c r="DT414" s="29" t="s">
        <v>469</v>
      </c>
      <c r="DU414" s="29" t="s">
        <v>8180</v>
      </c>
      <c r="DV414" s="29" t="s">
        <v>8181</v>
      </c>
      <c r="DW414" s="29" t="s">
        <v>573</v>
      </c>
      <c r="DX414" s="29" t="s">
        <v>8182</v>
      </c>
      <c r="DY414" s="29" t="s">
        <v>8183</v>
      </c>
      <c r="DZ414" s="29" t="s">
        <v>8184</v>
      </c>
      <c r="EA414" s="29" t="s">
        <v>475</v>
      </c>
      <c r="EB414" s="29" t="s">
        <v>626</v>
      </c>
      <c r="EC414" s="29" t="s">
        <v>8185</v>
      </c>
      <c r="ED414" s="29"/>
      <c r="EE414" s="29"/>
      <c r="EF414" s="29"/>
      <c r="EG414" s="29"/>
      <c r="EH414" s="29"/>
      <c r="EI414" s="29"/>
      <c r="EJ414" s="29"/>
      <c r="EK414" s="29"/>
      <c r="EL414" s="29"/>
      <c r="EM414" s="29"/>
      <c r="EN414" s="29"/>
      <c r="EO414" s="29"/>
      <c r="EP414" s="29"/>
      <c r="EQ414" s="29"/>
      <c r="ER414" s="29"/>
      <c r="ES414" s="29"/>
      <c r="ET414" s="29" t="s">
        <v>526</v>
      </c>
      <c r="EU414" s="29" t="s">
        <v>579</v>
      </c>
      <c r="EV414" s="29" t="s">
        <v>778</v>
      </c>
      <c r="EW414" s="29" t="s">
        <v>8186</v>
      </c>
      <c r="EX414" s="29" t="s">
        <v>8187</v>
      </c>
      <c r="EY414" s="29" t="s">
        <v>8188</v>
      </c>
      <c r="EZ414" s="29" t="s">
        <v>413</v>
      </c>
      <c r="FA414" s="29" t="s">
        <v>415</v>
      </c>
      <c r="FB414" s="29" t="s">
        <v>413</v>
      </c>
      <c r="FC414" s="29" t="s">
        <v>413</v>
      </c>
      <c r="FD414" s="29" t="s">
        <v>413</v>
      </c>
      <c r="FE414" s="29" t="s">
        <v>415</v>
      </c>
      <c r="FF414" s="29" t="s">
        <v>413</v>
      </c>
      <c r="FG414" s="29" t="s">
        <v>413</v>
      </c>
      <c r="FH414" s="29" t="s">
        <v>413</v>
      </c>
      <c r="FI414" s="29" t="s">
        <v>413</v>
      </c>
      <c r="FJ414" s="29" t="s">
        <v>413</v>
      </c>
      <c r="FK414" s="29" t="s">
        <v>415</v>
      </c>
      <c r="FL414" s="29" t="s">
        <v>415</v>
      </c>
      <c r="FM414" s="29" t="s">
        <v>415</v>
      </c>
      <c r="FN414" s="29" t="s">
        <v>415</v>
      </c>
      <c r="FO414" s="29" t="s">
        <v>850</v>
      </c>
      <c r="FP414" s="29" t="s">
        <v>418</v>
      </c>
      <c r="FQ414" s="29" t="s">
        <v>712</v>
      </c>
      <c r="FR414" s="29" t="s">
        <v>8189</v>
      </c>
      <c r="FS414" s="29" t="s">
        <v>420</v>
      </c>
      <c r="FT414" s="29" t="s">
        <v>488</v>
      </c>
      <c r="FU414" s="29" t="s">
        <v>918</v>
      </c>
      <c r="FV414" s="29" t="s">
        <v>490</v>
      </c>
      <c r="FW414" s="29" t="s">
        <v>491</v>
      </c>
      <c r="FX414" s="29" t="s">
        <v>8190</v>
      </c>
      <c r="FY414" s="29" t="s">
        <v>535</v>
      </c>
      <c r="FZ414" s="29" t="s">
        <v>8191</v>
      </c>
      <c r="GA414" s="29" t="s">
        <v>8192</v>
      </c>
      <c r="GB414" s="29" t="s">
        <v>408</v>
      </c>
      <c r="GC414" s="29"/>
      <c r="GD414" s="29"/>
      <c r="GE414" s="29"/>
      <c r="GF414" s="29"/>
      <c r="GG414" s="29" t="s">
        <v>755</v>
      </c>
      <c r="GH414" s="29" t="s">
        <v>755</v>
      </c>
      <c r="GI414" s="29" t="s">
        <v>756</v>
      </c>
      <c r="GJ414" s="29"/>
      <c r="GK414" s="29"/>
      <c r="GL414" s="29"/>
      <c r="GM414" s="29" t="s">
        <v>1079</v>
      </c>
      <c r="GN414" s="29" t="s">
        <v>8193</v>
      </c>
      <c r="GO414" s="29" t="s">
        <v>8194</v>
      </c>
      <c r="GP414" s="29" t="s">
        <v>387</v>
      </c>
      <c r="GQ414" s="29" t="s">
        <v>8195</v>
      </c>
      <c r="GR414" s="29"/>
      <c r="GS414" s="29"/>
      <c r="GT414" s="29"/>
      <c r="GU414" s="29" t="s">
        <v>597</v>
      </c>
      <c r="HP414" s="31"/>
      <c r="MX414" s="29" t="s">
        <v>10402</v>
      </c>
      <c r="MY414" s="29" t="str">
        <f>IFERROR(__xludf.DUMMYFUNCTION("""COMPUTED_VALUE"""),"Pennsylvania")</f>
        <v>Pennsylvania</v>
      </c>
    </row>
    <row r="415" ht="16.5" customHeight="1">
      <c r="A415" s="33">
        <v>46028.958640625</v>
      </c>
      <c r="B415" s="29" t="s">
        <v>368</v>
      </c>
      <c r="C415" s="29" t="s">
        <v>370</v>
      </c>
      <c r="D415" s="29" t="s">
        <v>370</v>
      </c>
      <c r="E415" s="29" t="s">
        <v>791</v>
      </c>
      <c r="F415" s="29"/>
      <c r="G415" s="29" t="s">
        <v>422</v>
      </c>
      <c r="H415" s="29" t="s">
        <v>373</v>
      </c>
      <c r="I415" s="29" t="s">
        <v>374</v>
      </c>
      <c r="J415" s="29" t="s">
        <v>590</v>
      </c>
      <c r="K415" s="29" t="s">
        <v>1383</v>
      </c>
      <c r="L415" s="29" t="s">
        <v>1526</v>
      </c>
      <c r="M415" s="29" t="s">
        <v>1024</v>
      </c>
      <c r="N415" s="29" t="s">
        <v>1526</v>
      </c>
      <c r="O415" s="29" t="s">
        <v>1024</v>
      </c>
      <c r="P415" s="29" t="s">
        <v>498</v>
      </c>
      <c r="Q415" s="29" t="s">
        <v>382</v>
      </c>
      <c r="R415" s="29" t="s">
        <v>427</v>
      </c>
      <c r="S415" s="29" t="s">
        <v>384</v>
      </c>
      <c r="T415" s="29" t="s">
        <v>385</v>
      </c>
      <c r="U415" s="29"/>
      <c r="V415" s="29"/>
      <c r="W415" s="29" t="s">
        <v>593</v>
      </c>
      <c r="X415" s="29" t="s">
        <v>387</v>
      </c>
      <c r="Y415" s="29" t="s">
        <v>1444</v>
      </c>
      <c r="Z415" s="29" t="s">
        <v>672</v>
      </c>
      <c r="AA415" s="29" t="s">
        <v>408</v>
      </c>
      <c r="AB415" s="29"/>
      <c r="AC415" s="29"/>
      <c r="AD415" s="29"/>
      <c r="AE415" s="29"/>
      <c r="AF415" s="29"/>
      <c r="AG415" s="29"/>
      <c r="AH415" s="29"/>
      <c r="AI415" s="29"/>
      <c r="AJ415" s="29"/>
      <c r="AK415" s="29"/>
      <c r="AL415" s="29"/>
      <c r="AM415" s="29"/>
      <c r="AN415" s="29"/>
      <c r="AO415" s="29"/>
      <c r="AP415" s="29"/>
      <c r="AQ415" s="29"/>
      <c r="AR415" s="29"/>
      <c r="AS415" s="29"/>
      <c r="AT415" s="29"/>
      <c r="AU415" s="29"/>
      <c r="AV415" s="29" t="s">
        <v>597</v>
      </c>
      <c r="AW415" s="29">
        <v>2.0</v>
      </c>
      <c r="AX415" s="29" t="s">
        <v>429</v>
      </c>
      <c r="AY415" s="29" t="s">
        <v>429</v>
      </c>
      <c r="AZ415" s="29" t="s">
        <v>429</v>
      </c>
      <c r="BA415" s="29" t="s">
        <v>429</v>
      </c>
      <c r="BB415" s="29" t="s">
        <v>429</v>
      </c>
      <c r="BC415" s="29" t="s">
        <v>8199</v>
      </c>
      <c r="BD415" s="29" t="s">
        <v>8200</v>
      </c>
      <c r="BE415" s="29" t="s">
        <v>432</v>
      </c>
      <c r="BF415" s="29" t="s">
        <v>433</v>
      </c>
      <c r="BG415" s="29" t="s">
        <v>678</v>
      </c>
      <c r="BH415" s="29" t="s">
        <v>8201</v>
      </c>
      <c r="BI415" s="29" t="s">
        <v>976</v>
      </c>
      <c r="BJ415" s="29"/>
      <c r="BK415" s="29" t="s">
        <v>681</v>
      </c>
      <c r="BL415" s="29" t="s">
        <v>904</v>
      </c>
      <c r="BM415" s="29" t="s">
        <v>549</v>
      </c>
      <c r="BN415" s="29" t="s">
        <v>513</v>
      </c>
      <c r="BO415" s="29"/>
      <c r="BP415" s="29"/>
      <c r="BQ415" s="29"/>
      <c r="BR415" s="29"/>
      <c r="BS415" s="29"/>
      <c r="BT415" s="29"/>
      <c r="BU415" s="29"/>
      <c r="BV415" s="29"/>
      <c r="BW415" s="29"/>
      <c r="BX415" s="29"/>
      <c r="BY415" s="29"/>
      <c r="BZ415" s="29"/>
      <c r="CA415" s="29"/>
      <c r="CB415" s="29"/>
      <c r="CC415" s="29"/>
      <c r="CD415" s="29"/>
      <c r="CE415" s="29"/>
      <c r="CF415" s="29"/>
      <c r="CG415" s="29"/>
      <c r="CH415" s="29"/>
      <c r="CI415" s="29"/>
      <c r="CJ415" s="29"/>
      <c r="CK415" s="29"/>
      <c r="CL415" s="29" t="s">
        <v>441</v>
      </c>
      <c r="CM415" s="29" t="s">
        <v>682</v>
      </c>
      <c r="CN415" s="29" t="s">
        <v>8202</v>
      </c>
      <c r="CO415" s="29" t="s">
        <v>8202</v>
      </c>
      <c r="CP415" s="29" t="s">
        <v>685</v>
      </c>
      <c r="CQ415" s="29" t="s">
        <v>1467</v>
      </c>
      <c r="CR415" s="29" t="s">
        <v>447</v>
      </c>
      <c r="CS415" s="29" t="s">
        <v>8203</v>
      </c>
      <c r="CT415" s="29" t="s">
        <v>8204</v>
      </c>
      <c r="CU415" s="29" t="s">
        <v>450</v>
      </c>
      <c r="CV415" s="29" t="s">
        <v>451</v>
      </c>
      <c r="CW415" s="29" t="s">
        <v>8205</v>
      </c>
      <c r="CX415" s="29" t="s">
        <v>408</v>
      </c>
      <c r="CY415" s="29"/>
      <c r="CZ415" s="29" t="s">
        <v>453</v>
      </c>
      <c r="DA415" s="29" t="s">
        <v>8206</v>
      </c>
      <c r="DB415" s="29" t="s">
        <v>913</v>
      </c>
      <c r="DC415" s="29"/>
      <c r="DD415" s="29" t="s">
        <v>988</v>
      </c>
      <c r="DE415" s="29"/>
      <c r="DF415" s="29"/>
      <c r="DG415" s="29" t="s">
        <v>524</v>
      </c>
      <c r="DH415" s="29" t="s">
        <v>410</v>
      </c>
      <c r="DI415" s="29" t="s">
        <v>459</v>
      </c>
      <c r="DJ415" s="29" t="s">
        <v>460</v>
      </c>
      <c r="DK415" s="29" t="s">
        <v>6319</v>
      </c>
      <c r="DL415" s="29"/>
      <c r="DM415" s="29"/>
      <c r="DN415" s="29"/>
      <c r="DO415" s="29"/>
      <c r="DP415" s="29"/>
      <c r="DQ415" s="29"/>
      <c r="DR415" s="29"/>
      <c r="DS415" s="29"/>
      <c r="DT415" s="29"/>
      <c r="DU415" s="29"/>
      <c r="DV415" s="29"/>
      <c r="DW415" s="29"/>
      <c r="DX415" s="29"/>
      <c r="DY415" s="29"/>
      <c r="DZ415" s="29"/>
      <c r="EA415" s="29"/>
      <c r="EB415" s="29"/>
      <c r="EC415" s="29"/>
      <c r="ED415" s="29"/>
      <c r="EE415" s="29"/>
      <c r="EF415" s="29"/>
      <c r="EG415" s="29"/>
      <c r="EH415" s="29"/>
      <c r="EI415" s="29"/>
      <c r="EJ415" s="29"/>
      <c r="EK415" s="29"/>
      <c r="EL415" s="29"/>
      <c r="EM415" s="29"/>
      <c r="EN415" s="29"/>
      <c r="EO415" s="29"/>
      <c r="EP415" s="29"/>
      <c r="EQ415" s="29"/>
      <c r="ER415" s="29"/>
      <c r="ES415" s="29"/>
      <c r="ET415" s="29" t="s">
        <v>526</v>
      </c>
      <c r="EU415" s="29" t="s">
        <v>887</v>
      </c>
      <c r="EV415" s="29" t="s">
        <v>527</v>
      </c>
      <c r="EW415" s="29" t="s">
        <v>8207</v>
      </c>
      <c r="EX415" s="29" t="s">
        <v>8208</v>
      </c>
      <c r="EY415" s="29" t="s">
        <v>8209</v>
      </c>
      <c r="EZ415" s="29" t="s">
        <v>413</v>
      </c>
      <c r="FA415" s="29" t="s">
        <v>415</v>
      </c>
      <c r="FB415" s="29" t="s">
        <v>413</v>
      </c>
      <c r="FC415" s="29" t="s">
        <v>415</v>
      </c>
      <c r="FD415" s="29" t="s">
        <v>413</v>
      </c>
      <c r="FE415" s="29" t="s">
        <v>415</v>
      </c>
      <c r="FF415" s="29" t="s">
        <v>415</v>
      </c>
      <c r="FG415" s="29" t="s">
        <v>413</v>
      </c>
      <c r="FH415" s="29" t="s">
        <v>413</v>
      </c>
      <c r="FI415" s="29" t="s">
        <v>414</v>
      </c>
      <c r="FJ415" s="29" t="s">
        <v>414</v>
      </c>
      <c r="FK415" s="29" t="s">
        <v>413</v>
      </c>
      <c r="FL415" s="29" t="s">
        <v>413</v>
      </c>
      <c r="FM415" s="29" t="s">
        <v>416</v>
      </c>
      <c r="FN415" s="29" t="s">
        <v>414</v>
      </c>
      <c r="FO415" s="29" t="s">
        <v>417</v>
      </c>
      <c r="FP415" s="29" t="s">
        <v>418</v>
      </c>
      <c r="FQ415" s="29" t="s">
        <v>419</v>
      </c>
      <c r="FR415" s="29" t="s">
        <v>8210</v>
      </c>
      <c r="FS415" s="29" t="s">
        <v>420</v>
      </c>
      <c r="FT415" s="29" t="s">
        <v>488</v>
      </c>
      <c r="FU415" s="29" t="s">
        <v>489</v>
      </c>
      <c r="FV415" s="29" t="s">
        <v>490</v>
      </c>
      <c r="FW415" s="29" t="s">
        <v>491</v>
      </c>
      <c r="FX415" s="29" t="s">
        <v>8211</v>
      </c>
      <c r="FY415" s="29" t="s">
        <v>493</v>
      </c>
      <c r="FZ415" s="29" t="s">
        <v>8212</v>
      </c>
      <c r="GA415" s="29"/>
      <c r="GB415" s="29" t="s">
        <v>408</v>
      </c>
      <c r="GC415" s="29"/>
      <c r="GD415" s="29"/>
      <c r="GE415" s="29"/>
      <c r="GF415" s="29"/>
      <c r="GG415" s="29" t="s">
        <v>1000</v>
      </c>
      <c r="GH415" s="29" t="s">
        <v>1000</v>
      </c>
      <c r="GI415" s="29" t="s">
        <v>817</v>
      </c>
      <c r="GJ415" s="29"/>
      <c r="GK415" s="29"/>
      <c r="GL415" s="29"/>
      <c r="GM415" s="29"/>
      <c r="GN415" s="29"/>
      <c r="GO415" s="29"/>
      <c r="GP415" s="29"/>
      <c r="GQ415" s="29" t="s">
        <v>3273</v>
      </c>
      <c r="GR415" s="29"/>
      <c r="GS415" s="29"/>
      <c r="GT415" s="29" t="s">
        <v>4774</v>
      </c>
      <c r="GU415" s="29"/>
      <c r="HP415" s="31"/>
      <c r="MX415" s="29" t="s">
        <v>2727</v>
      </c>
      <c r="MY415" s="29" t="str">
        <f>IFERROR(__xludf.DUMMYFUNCTION("""COMPUTED_VALUE"""),"Thailand")</f>
        <v>Thailand</v>
      </c>
    </row>
    <row r="416" ht="16.5" customHeight="1">
      <c r="A416" s="33">
        <v>46029.12269635417</v>
      </c>
      <c r="B416" s="29" t="s">
        <v>368</v>
      </c>
      <c r="C416" s="29" t="s">
        <v>2727</v>
      </c>
      <c r="D416" s="29" t="s">
        <v>2727</v>
      </c>
      <c r="E416" s="29"/>
      <c r="F416" s="29"/>
      <c r="G416" s="29" t="s">
        <v>2657</v>
      </c>
      <c r="H416" s="29" t="s">
        <v>373</v>
      </c>
      <c r="I416" s="29" t="s">
        <v>374</v>
      </c>
      <c r="J416" s="29" t="s">
        <v>375</v>
      </c>
      <c r="K416" s="29" t="s">
        <v>376</v>
      </c>
      <c r="L416" s="29" t="s">
        <v>591</v>
      </c>
      <c r="M416" s="29" t="s">
        <v>8214</v>
      </c>
      <c r="N416" s="29" t="s">
        <v>793</v>
      </c>
      <c r="O416" s="29" t="s">
        <v>719</v>
      </c>
      <c r="P416" s="29" t="s">
        <v>592</v>
      </c>
      <c r="Q416" s="29" t="s">
        <v>382</v>
      </c>
      <c r="R416" s="29" t="s">
        <v>500</v>
      </c>
      <c r="S416" s="29" t="s">
        <v>384</v>
      </c>
      <c r="T416" s="29" t="s">
        <v>385</v>
      </c>
      <c r="U416" s="29"/>
      <c r="V416" s="29"/>
      <c r="W416" s="29" t="s">
        <v>3014</v>
      </c>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t="s">
        <v>597</v>
      </c>
      <c r="AW416" s="29">
        <v>4.0</v>
      </c>
      <c r="AX416" s="29">
        <v>4.0</v>
      </c>
      <c r="AY416" s="29">
        <v>4.0</v>
      </c>
      <c r="AZ416" s="29" t="s">
        <v>675</v>
      </c>
      <c r="BA416" s="29" t="s">
        <v>675</v>
      </c>
      <c r="BB416" s="29" t="s">
        <v>675</v>
      </c>
      <c r="BC416" s="29" t="s">
        <v>8215</v>
      </c>
      <c r="BD416" s="29" t="s">
        <v>8216</v>
      </c>
      <c r="BE416" s="29" t="s">
        <v>432</v>
      </c>
      <c r="BF416" s="29" t="s">
        <v>1095</v>
      </c>
      <c r="BG416" s="29" t="s">
        <v>725</v>
      </c>
      <c r="BH416" s="29" t="s">
        <v>8217</v>
      </c>
      <c r="BI416" s="29" t="s">
        <v>435</v>
      </c>
      <c r="BJ416" s="29" t="s">
        <v>8218</v>
      </c>
      <c r="BK416" s="29" t="s">
        <v>511</v>
      </c>
      <c r="BL416" s="29" t="s">
        <v>603</v>
      </c>
      <c r="BM416" s="29" t="s">
        <v>1314</v>
      </c>
      <c r="BN416" s="29" t="s">
        <v>398</v>
      </c>
      <c r="BO416" s="29" t="s">
        <v>8219</v>
      </c>
      <c r="BP416" s="29" t="s">
        <v>8220</v>
      </c>
      <c r="BQ416" s="29" t="s">
        <v>401</v>
      </c>
      <c r="BR416" s="29" t="s">
        <v>8221</v>
      </c>
      <c r="BS416" s="29" t="s">
        <v>4071</v>
      </c>
      <c r="BT416" s="29" t="s">
        <v>1994</v>
      </c>
      <c r="BU416" s="29" t="s">
        <v>405</v>
      </c>
      <c r="BV416" s="29" t="s">
        <v>8222</v>
      </c>
      <c r="BW416" s="29" t="s">
        <v>988</v>
      </c>
      <c r="BX416" s="29"/>
      <c r="BY416" s="29" t="s">
        <v>733</v>
      </c>
      <c r="BZ416" s="29" t="s">
        <v>8223</v>
      </c>
      <c r="CA416" s="29" t="s">
        <v>8224</v>
      </c>
      <c r="CB416" s="29" t="s">
        <v>8225</v>
      </c>
      <c r="CC416" s="29" t="s">
        <v>8226</v>
      </c>
      <c r="CD416" s="29" t="s">
        <v>1257</v>
      </c>
      <c r="CE416" s="29"/>
      <c r="CF416" s="29" t="s">
        <v>1722</v>
      </c>
      <c r="CG416" s="29" t="s">
        <v>8227</v>
      </c>
      <c r="CH416" s="29" t="s">
        <v>1259</v>
      </c>
      <c r="CI416" s="29" t="s">
        <v>410</v>
      </c>
      <c r="CJ416" s="29" t="s">
        <v>8228</v>
      </c>
      <c r="CK416" s="29" t="s">
        <v>8229</v>
      </c>
      <c r="CL416" s="29"/>
      <c r="CM416" s="29"/>
      <c r="CN416" s="29"/>
      <c r="CO416" s="29"/>
      <c r="CP416" s="29"/>
      <c r="CQ416" s="29"/>
      <c r="CR416" s="29"/>
      <c r="CS416" s="29"/>
      <c r="CT416" s="29"/>
      <c r="CU416" s="29"/>
      <c r="CV416" s="29"/>
      <c r="CW416" s="29"/>
      <c r="CX416" s="29"/>
      <c r="CY416" s="29"/>
      <c r="CZ416" s="29"/>
      <c r="DA416" s="29"/>
      <c r="DB416" s="29"/>
      <c r="DC416" s="29"/>
      <c r="DD416" s="29"/>
      <c r="DE416" s="29"/>
      <c r="DF416" s="29"/>
      <c r="DG416" s="29"/>
      <c r="DH416" s="29"/>
      <c r="DI416" s="29" t="s">
        <v>777</v>
      </c>
      <c r="DJ416" s="29" t="s">
        <v>460</v>
      </c>
      <c r="DK416" s="29" t="s">
        <v>6319</v>
      </c>
      <c r="DL416" s="29"/>
      <c r="DM416" s="29"/>
      <c r="DN416" s="29"/>
      <c r="DO416" s="29"/>
      <c r="DP416" s="29"/>
      <c r="DQ416" s="29"/>
      <c r="DR416" s="29"/>
      <c r="DS416" s="29"/>
      <c r="DT416" s="29"/>
      <c r="DU416" s="29"/>
      <c r="DV416" s="29"/>
      <c r="DW416" s="29"/>
      <c r="DX416" s="29"/>
      <c r="DY416" s="29"/>
      <c r="DZ416" s="29"/>
      <c r="EA416" s="29"/>
      <c r="EB416" s="29"/>
      <c r="EC416" s="29"/>
      <c r="ED416" s="29"/>
      <c r="EE416" s="29"/>
      <c r="EF416" s="29"/>
      <c r="EG416" s="29"/>
      <c r="EH416" s="29"/>
      <c r="EI416" s="29"/>
      <c r="EJ416" s="29"/>
      <c r="EK416" s="29"/>
      <c r="EL416" s="29"/>
      <c r="EM416" s="29"/>
      <c r="EN416" s="29"/>
      <c r="EO416" s="29"/>
      <c r="EP416" s="29"/>
      <c r="EQ416" s="29"/>
      <c r="ER416" s="29"/>
      <c r="ES416" s="29"/>
      <c r="ET416" s="29" t="s">
        <v>526</v>
      </c>
      <c r="EU416" s="29" t="s">
        <v>579</v>
      </c>
      <c r="EV416" s="29" t="s">
        <v>1534</v>
      </c>
      <c r="EW416" s="29"/>
      <c r="EX416" s="29" t="s">
        <v>8230</v>
      </c>
      <c r="EY416" s="29" t="s">
        <v>8231</v>
      </c>
      <c r="EZ416" s="29" t="s">
        <v>415</v>
      </c>
      <c r="FA416" s="29" t="s">
        <v>415</v>
      </c>
      <c r="FB416" s="29" t="s">
        <v>413</v>
      </c>
      <c r="FC416" s="29" t="s">
        <v>413</v>
      </c>
      <c r="FD416" s="29" t="s">
        <v>413</v>
      </c>
      <c r="FE416" s="29" t="s">
        <v>414</v>
      </c>
      <c r="FF416" s="29" t="s">
        <v>415</v>
      </c>
      <c r="FG416" s="29" t="s">
        <v>413</v>
      </c>
      <c r="FH416" s="29" t="s">
        <v>414</v>
      </c>
      <c r="FI416" s="29" t="s">
        <v>416</v>
      </c>
      <c r="FJ416" s="29" t="s">
        <v>415</v>
      </c>
      <c r="FK416" s="29" t="s">
        <v>415</v>
      </c>
      <c r="FL416" s="29" t="s">
        <v>415</v>
      </c>
      <c r="FM416" s="29" t="s">
        <v>415</v>
      </c>
      <c r="FN416" s="29" t="s">
        <v>583</v>
      </c>
      <c r="FO416" s="29" t="s">
        <v>485</v>
      </c>
      <c r="FP416" s="29" t="s">
        <v>486</v>
      </c>
      <c r="FQ416" s="29" t="s">
        <v>712</v>
      </c>
      <c r="FR416" s="29" t="s">
        <v>8232</v>
      </c>
      <c r="FS416" s="29" t="s">
        <v>420</v>
      </c>
      <c r="FT416" s="29" t="s">
        <v>1476</v>
      </c>
      <c r="FU416" s="29" t="s">
        <v>1235</v>
      </c>
      <c r="FV416" s="29" t="s">
        <v>490</v>
      </c>
      <c r="FW416" s="29" t="s">
        <v>491</v>
      </c>
      <c r="FX416" s="29" t="s">
        <v>8233</v>
      </c>
      <c r="FY416" s="29" t="s">
        <v>535</v>
      </c>
      <c r="FZ416" s="29"/>
      <c r="GA416" s="29" t="s">
        <v>8234</v>
      </c>
      <c r="GB416" s="29" t="s">
        <v>455</v>
      </c>
      <c r="GC416" s="29"/>
      <c r="GD416" s="29"/>
      <c r="GE416" s="29" t="s">
        <v>855</v>
      </c>
      <c r="GF416" s="29" t="s">
        <v>8235</v>
      </c>
      <c r="GG416" s="29"/>
      <c r="GH416" s="29"/>
      <c r="GI416" s="29"/>
      <c r="GJ416" s="29" t="s">
        <v>755</v>
      </c>
      <c r="GK416" s="29" t="s">
        <v>755</v>
      </c>
      <c r="GL416" s="29" t="s">
        <v>817</v>
      </c>
      <c r="GM416" s="29"/>
      <c r="GN416" s="29" t="s">
        <v>2727</v>
      </c>
      <c r="GO416" s="29" t="s">
        <v>8236</v>
      </c>
      <c r="GP416" s="29"/>
      <c r="GQ416" s="29" t="s">
        <v>8237</v>
      </c>
      <c r="GR416" s="29" t="s">
        <v>4774</v>
      </c>
      <c r="GS416" s="29"/>
      <c r="GT416" s="29"/>
      <c r="GU416" s="29"/>
      <c r="HP416" s="31"/>
      <c r="MX416" s="29" t="s">
        <v>10402</v>
      </c>
      <c r="MY416" s="29" t="str">
        <f>IFERROR(__xludf.DUMMYFUNCTION("""COMPUTED_VALUE"""),"Michigan")</f>
        <v>Michigan</v>
      </c>
    </row>
    <row r="417" ht="16.5" customHeight="1">
      <c r="A417" s="33">
        <v>46032.64016930555</v>
      </c>
      <c r="B417" s="29" t="s">
        <v>368</v>
      </c>
      <c r="C417" s="29" t="s">
        <v>370</v>
      </c>
      <c r="D417" s="29" t="s">
        <v>370</v>
      </c>
      <c r="E417" s="29" t="s">
        <v>1480</v>
      </c>
      <c r="F417" s="29" t="s">
        <v>2708</v>
      </c>
      <c r="G417" s="29" t="s">
        <v>422</v>
      </c>
      <c r="H417" s="29" t="s">
        <v>423</v>
      </c>
      <c r="I417" s="29" t="s">
        <v>668</v>
      </c>
      <c r="J417" s="29"/>
      <c r="K417" s="29" t="s">
        <v>376</v>
      </c>
      <c r="L417" s="29" t="s">
        <v>426</v>
      </c>
      <c r="M417" s="29" t="s">
        <v>8239</v>
      </c>
      <c r="N417" s="29"/>
      <c r="O417" s="29" t="s">
        <v>1270</v>
      </c>
      <c r="P417" s="29" t="s">
        <v>498</v>
      </c>
      <c r="Q417" s="29" t="s">
        <v>382</v>
      </c>
      <c r="R417" s="29" t="s">
        <v>427</v>
      </c>
      <c r="S417" s="29" t="s">
        <v>384</v>
      </c>
      <c r="T417" s="29" t="s">
        <v>385</v>
      </c>
      <c r="U417" s="29"/>
      <c r="V417" s="29"/>
      <c r="W417" s="29" t="s">
        <v>386</v>
      </c>
      <c r="X417" s="29" t="s">
        <v>387</v>
      </c>
      <c r="Y417" s="29" t="s">
        <v>594</v>
      </c>
      <c r="Z417" s="29" t="s">
        <v>543</v>
      </c>
      <c r="AA417" s="29" t="s">
        <v>796</v>
      </c>
      <c r="AB417" s="29" t="s">
        <v>8240</v>
      </c>
      <c r="AC417" s="29"/>
      <c r="AD417" s="29"/>
      <c r="AE417" s="29"/>
      <c r="AF417" s="29"/>
      <c r="AG417" s="29"/>
      <c r="AH417" s="29"/>
      <c r="AI417" s="29"/>
      <c r="AJ417" s="29"/>
      <c r="AK417" s="29"/>
      <c r="AL417" s="29"/>
      <c r="AM417" s="29"/>
      <c r="AN417" s="29"/>
      <c r="AO417" s="29"/>
      <c r="AP417" s="29"/>
      <c r="AQ417" s="29"/>
      <c r="AR417" s="29"/>
      <c r="AS417" s="29"/>
      <c r="AT417" s="29"/>
      <c r="AU417" s="29"/>
      <c r="AV417" s="29" t="s">
        <v>1310</v>
      </c>
      <c r="AW417" s="29">
        <v>4.0</v>
      </c>
      <c r="AX417" s="29">
        <v>4.0</v>
      </c>
      <c r="AY417" s="29">
        <v>4.0</v>
      </c>
      <c r="AZ417" s="29">
        <v>4.0</v>
      </c>
      <c r="BA417" s="29" t="s">
        <v>675</v>
      </c>
      <c r="BB417" s="29">
        <v>4.0</v>
      </c>
      <c r="BC417" s="29" t="s">
        <v>8241</v>
      </c>
      <c r="BD417" s="29" t="s">
        <v>8242</v>
      </c>
      <c r="BE417" s="29" t="s">
        <v>432</v>
      </c>
      <c r="BF417" s="29" t="s">
        <v>433</v>
      </c>
      <c r="BG417" s="29" t="s">
        <v>434</v>
      </c>
      <c r="BH417" s="29" t="s">
        <v>8243</v>
      </c>
      <c r="BI417" s="29" t="s">
        <v>435</v>
      </c>
      <c r="BJ417" s="29" t="s">
        <v>8244</v>
      </c>
      <c r="BK417" s="29" t="s">
        <v>681</v>
      </c>
      <c r="BL417" s="29" t="s">
        <v>904</v>
      </c>
      <c r="BM417" s="29" t="s">
        <v>397</v>
      </c>
      <c r="BN417" s="29" t="s">
        <v>440</v>
      </c>
      <c r="BO417" s="29"/>
      <c r="BP417" s="29"/>
      <c r="BQ417" s="29"/>
      <c r="BR417" s="29"/>
      <c r="BS417" s="29"/>
      <c r="BT417" s="29"/>
      <c r="BU417" s="29"/>
      <c r="BV417" s="29"/>
      <c r="BW417" s="29"/>
      <c r="BX417" s="29"/>
      <c r="BY417" s="29"/>
      <c r="BZ417" s="29"/>
      <c r="CA417" s="29"/>
      <c r="CB417" s="29"/>
      <c r="CC417" s="29"/>
      <c r="CD417" s="29"/>
      <c r="CE417" s="29"/>
      <c r="CF417" s="29"/>
      <c r="CG417" s="29"/>
      <c r="CH417" s="29"/>
      <c r="CI417" s="29"/>
      <c r="CJ417" s="29"/>
      <c r="CK417" s="29"/>
      <c r="CL417" s="29" t="s">
        <v>441</v>
      </c>
      <c r="CM417" s="29" t="s">
        <v>401</v>
      </c>
      <c r="CN417" s="29" t="s">
        <v>552</v>
      </c>
      <c r="CO417" s="29" t="s">
        <v>8245</v>
      </c>
      <c r="CP417" s="29" t="s">
        <v>1008</v>
      </c>
      <c r="CQ417" s="29" t="s">
        <v>2683</v>
      </c>
      <c r="CR417" s="29" t="s">
        <v>447</v>
      </c>
      <c r="CS417" s="29" t="s">
        <v>8246</v>
      </c>
      <c r="CT417" s="29" t="s">
        <v>8247</v>
      </c>
      <c r="CU417" s="29" t="s">
        <v>519</v>
      </c>
      <c r="CV417" s="29"/>
      <c r="CW417" s="29" t="s">
        <v>8248</v>
      </c>
      <c r="CX417" s="29" t="s">
        <v>408</v>
      </c>
      <c r="CY417" s="29"/>
      <c r="CZ417" s="29" t="s">
        <v>985</v>
      </c>
      <c r="DA417" s="29" t="s">
        <v>8249</v>
      </c>
      <c r="DB417" s="29" t="s">
        <v>408</v>
      </c>
      <c r="DC417" s="29"/>
      <c r="DD417" s="29" t="s">
        <v>457</v>
      </c>
      <c r="DE417" s="29"/>
      <c r="DF417" s="29" t="s">
        <v>8250</v>
      </c>
      <c r="DG417" s="29" t="s">
        <v>561</v>
      </c>
      <c r="DH417" s="29" t="s">
        <v>410</v>
      </c>
      <c r="DI417" s="29" t="s">
        <v>963</v>
      </c>
      <c r="DJ417" s="29" t="s">
        <v>613</v>
      </c>
      <c r="DK417" s="29"/>
      <c r="DL417" s="29"/>
      <c r="DM417" s="29" t="s">
        <v>462</v>
      </c>
      <c r="DN417" s="29" t="s">
        <v>8251</v>
      </c>
      <c r="DO417" s="29" t="s">
        <v>1063</v>
      </c>
      <c r="DP417" s="29" t="s">
        <v>8252</v>
      </c>
      <c r="DQ417" s="29" t="s">
        <v>1291</v>
      </c>
      <c r="DR417" s="29" t="s">
        <v>8253</v>
      </c>
      <c r="DS417" s="29" t="s">
        <v>839</v>
      </c>
      <c r="DT417" s="29" t="s">
        <v>469</v>
      </c>
      <c r="DU417" s="29" t="s">
        <v>8254</v>
      </c>
      <c r="DV417" s="29" t="s">
        <v>8255</v>
      </c>
      <c r="DW417" s="29" t="s">
        <v>573</v>
      </c>
      <c r="DX417" s="29" t="s">
        <v>8256</v>
      </c>
      <c r="DY417" s="29" t="s">
        <v>8257</v>
      </c>
      <c r="DZ417" s="29" t="s">
        <v>8258</v>
      </c>
      <c r="EA417" s="29" t="s">
        <v>475</v>
      </c>
      <c r="EB417" s="29" t="s">
        <v>626</v>
      </c>
      <c r="EC417" s="29" t="s">
        <v>8259</v>
      </c>
      <c r="ED417" s="29"/>
      <c r="EE417" s="29"/>
      <c r="EF417" s="29"/>
      <c r="EG417" s="29"/>
      <c r="EH417" s="29"/>
      <c r="EI417" s="29"/>
      <c r="EJ417" s="29"/>
      <c r="EK417" s="29"/>
      <c r="EL417" s="29"/>
      <c r="EM417" s="29"/>
      <c r="EN417" s="29"/>
      <c r="EO417" s="29"/>
      <c r="EP417" s="29"/>
      <c r="EQ417" s="29"/>
      <c r="ER417" s="29"/>
      <c r="ES417" s="29"/>
      <c r="ET417" s="29" t="s">
        <v>526</v>
      </c>
      <c r="EU417" s="29" t="s">
        <v>479</v>
      </c>
      <c r="EV417" s="29" t="s">
        <v>480</v>
      </c>
      <c r="EW417" s="29"/>
      <c r="EX417" s="29" t="s">
        <v>4872</v>
      </c>
      <c r="EY417" s="29" t="s">
        <v>8260</v>
      </c>
      <c r="EZ417" s="29" t="s">
        <v>413</v>
      </c>
      <c r="FA417" s="29" t="s">
        <v>416</v>
      </c>
      <c r="FB417" s="29" t="s">
        <v>413</v>
      </c>
      <c r="FC417" s="29" t="s">
        <v>413</v>
      </c>
      <c r="FD417" s="29" t="s">
        <v>413</v>
      </c>
      <c r="FE417" s="29" t="s">
        <v>415</v>
      </c>
      <c r="FF417" s="29" t="s">
        <v>413</v>
      </c>
      <c r="FG417" s="29" t="s">
        <v>413</v>
      </c>
      <c r="FH417" s="29" t="s">
        <v>413</v>
      </c>
      <c r="FI417" s="29" t="s">
        <v>415</v>
      </c>
      <c r="FJ417" s="29" t="s">
        <v>415</v>
      </c>
      <c r="FK417" s="29" t="s">
        <v>416</v>
      </c>
      <c r="FL417" s="29" t="s">
        <v>416</v>
      </c>
      <c r="FM417" s="29" t="s">
        <v>416</v>
      </c>
      <c r="FN417" s="29" t="s">
        <v>414</v>
      </c>
      <c r="FO417" s="29" t="s">
        <v>417</v>
      </c>
      <c r="FP417" s="29" t="s">
        <v>418</v>
      </c>
      <c r="FQ417" s="29" t="s">
        <v>749</v>
      </c>
      <c r="FR417" s="29"/>
      <c r="FS417" s="29" t="s">
        <v>420</v>
      </c>
      <c r="FT417" s="29" t="s">
        <v>488</v>
      </c>
      <c r="FU417" s="29" t="s">
        <v>918</v>
      </c>
      <c r="FV417" s="29" t="s">
        <v>490</v>
      </c>
      <c r="FW417" s="29" t="s">
        <v>491</v>
      </c>
      <c r="FX417" s="29" t="s">
        <v>8261</v>
      </c>
      <c r="FY417" s="29" t="s">
        <v>1020</v>
      </c>
      <c r="FZ417" s="29" t="s">
        <v>8262</v>
      </c>
      <c r="GA417" s="29" t="s">
        <v>8263</v>
      </c>
      <c r="GB417" s="29" t="s">
        <v>455</v>
      </c>
      <c r="GC417" s="29"/>
      <c r="GD417" s="29"/>
      <c r="GE417" s="29" t="s">
        <v>786</v>
      </c>
      <c r="GF417" s="29" t="s">
        <v>8264</v>
      </c>
      <c r="GG417" s="29" t="s">
        <v>1000</v>
      </c>
      <c r="GH417" s="29" t="s">
        <v>1000</v>
      </c>
      <c r="GI417" s="29" t="s">
        <v>756</v>
      </c>
      <c r="GJ417" s="29"/>
      <c r="GK417" s="29"/>
      <c r="GL417" s="29"/>
      <c r="GM417" s="29" t="s">
        <v>1079</v>
      </c>
      <c r="GN417" s="29"/>
      <c r="GO417" s="29"/>
      <c r="GP417" s="29"/>
      <c r="GQ417" s="29" t="s">
        <v>3273</v>
      </c>
      <c r="GR417" s="29"/>
      <c r="GS417" s="29"/>
      <c r="GT417" s="29" t="s">
        <v>4774</v>
      </c>
      <c r="GU417" s="29"/>
      <c r="HP417" s="31"/>
      <c r="MX417" s="29" t="s">
        <v>10402</v>
      </c>
      <c r="MY417" s="29" t="str">
        <f>IFERROR(__xludf.DUMMYFUNCTION("""COMPUTED_VALUE"""),"Alabama")</f>
        <v>Alabama</v>
      </c>
    </row>
    <row r="418" ht="16.5" customHeight="1">
      <c r="A418" s="33">
        <v>46037.4918693287</v>
      </c>
      <c r="B418" s="29" t="s">
        <v>368</v>
      </c>
      <c r="C418" s="29" t="s">
        <v>370</v>
      </c>
      <c r="D418" s="29" t="s">
        <v>370</v>
      </c>
      <c r="E418" s="29" t="s">
        <v>2294</v>
      </c>
      <c r="F418" s="29" t="s">
        <v>2294</v>
      </c>
      <c r="G418" s="29" t="s">
        <v>422</v>
      </c>
      <c r="H418" s="29" t="s">
        <v>539</v>
      </c>
      <c r="I418" s="29" t="s">
        <v>2578</v>
      </c>
      <c r="J418" s="29" t="s">
        <v>669</v>
      </c>
      <c r="K418" s="29" t="s">
        <v>376</v>
      </c>
      <c r="L418" s="29" t="s">
        <v>426</v>
      </c>
      <c r="M418" s="29" t="s">
        <v>378</v>
      </c>
      <c r="N418" s="29" t="s">
        <v>426</v>
      </c>
      <c r="O418" s="29" t="s">
        <v>380</v>
      </c>
      <c r="P418" s="29" t="s">
        <v>498</v>
      </c>
      <c r="Q418" s="29" t="s">
        <v>1156</v>
      </c>
      <c r="R418" s="29" t="s">
        <v>500</v>
      </c>
      <c r="S418" s="29" t="s">
        <v>384</v>
      </c>
      <c r="T418" s="29" t="s">
        <v>385</v>
      </c>
      <c r="U418" s="29"/>
      <c r="V418" s="29"/>
      <c r="W418" s="29" t="s">
        <v>593</v>
      </c>
      <c r="X418" s="29" t="s">
        <v>387</v>
      </c>
      <c r="Y418" s="29" t="s">
        <v>897</v>
      </c>
      <c r="Z418" s="29" t="s">
        <v>502</v>
      </c>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t="s">
        <v>504</v>
      </c>
      <c r="AW418" s="29">
        <v>2.0</v>
      </c>
      <c r="AX418" s="29">
        <v>2.0</v>
      </c>
      <c r="AY418" s="29" t="s">
        <v>675</v>
      </c>
      <c r="AZ418" s="29" t="s">
        <v>429</v>
      </c>
      <c r="BA418" s="29" t="s">
        <v>429</v>
      </c>
      <c r="BB418" s="29" t="s">
        <v>429</v>
      </c>
      <c r="BC418" s="29"/>
      <c r="BD418" s="29"/>
      <c r="BE418" s="29" t="s">
        <v>392</v>
      </c>
      <c r="BF418" s="29" t="s">
        <v>433</v>
      </c>
      <c r="BG418" s="29" t="s">
        <v>678</v>
      </c>
      <c r="BH418" s="29"/>
      <c r="BI418" s="29" t="s">
        <v>976</v>
      </c>
      <c r="BJ418" s="29"/>
      <c r="BK418" s="29" t="s">
        <v>602</v>
      </c>
      <c r="BL418" s="29" t="s">
        <v>904</v>
      </c>
      <c r="BM418" s="29" t="s">
        <v>549</v>
      </c>
      <c r="BN418" s="29" t="s">
        <v>440</v>
      </c>
      <c r="BO418" s="29"/>
      <c r="BP418" s="29"/>
      <c r="BQ418" s="29"/>
      <c r="BR418" s="29"/>
      <c r="BS418" s="29"/>
      <c r="BT418" s="29"/>
      <c r="BU418" s="29"/>
      <c r="BV418" s="29"/>
      <c r="BW418" s="29"/>
      <c r="BX418" s="29"/>
      <c r="BY418" s="29"/>
      <c r="BZ418" s="29"/>
      <c r="CA418" s="29"/>
      <c r="CB418" s="29"/>
      <c r="CC418" s="29"/>
      <c r="CD418" s="29"/>
      <c r="CE418" s="29"/>
      <c r="CF418" s="29"/>
      <c r="CG418" s="29"/>
      <c r="CH418" s="29"/>
      <c r="CI418" s="29"/>
      <c r="CJ418" s="29"/>
      <c r="CK418" s="29"/>
      <c r="CL418" s="29" t="s">
        <v>441</v>
      </c>
      <c r="CM418" s="29" t="s">
        <v>401</v>
      </c>
      <c r="CN418" s="29"/>
      <c r="CO418" s="29"/>
      <c r="CP418" s="29" t="s">
        <v>445</v>
      </c>
      <c r="CQ418" s="29" t="s">
        <v>2383</v>
      </c>
      <c r="CR418" s="29" t="s">
        <v>447</v>
      </c>
      <c r="CS418" s="29" t="s">
        <v>6081</v>
      </c>
      <c r="CT418" s="29"/>
      <c r="CU418" s="29" t="s">
        <v>450</v>
      </c>
      <c r="CV418" s="29" t="s">
        <v>451</v>
      </c>
      <c r="CW418" s="29"/>
      <c r="CX418" s="29" t="s">
        <v>455</v>
      </c>
      <c r="CY418" s="29" t="s">
        <v>8268</v>
      </c>
      <c r="CZ418" s="29" t="s">
        <v>453</v>
      </c>
      <c r="DA418" s="29"/>
      <c r="DB418" s="29" t="s">
        <v>455</v>
      </c>
      <c r="DC418" s="29" t="s">
        <v>8269</v>
      </c>
      <c r="DD418" s="29" t="s">
        <v>988</v>
      </c>
      <c r="DE418" s="29" t="s">
        <v>1368</v>
      </c>
      <c r="DF418" s="29" t="s">
        <v>6084</v>
      </c>
      <c r="DG418" s="29" t="s">
        <v>524</v>
      </c>
      <c r="DH418" s="29" t="s">
        <v>410</v>
      </c>
      <c r="DI418" s="29" t="s">
        <v>459</v>
      </c>
      <c r="DJ418" s="29" t="s">
        <v>613</v>
      </c>
      <c r="DK418" s="29"/>
      <c r="DL418" s="29"/>
      <c r="DM418" s="29" t="s">
        <v>8270</v>
      </c>
      <c r="DN418" s="29" t="s">
        <v>8271</v>
      </c>
      <c r="DO418" s="29" t="s">
        <v>464</v>
      </c>
      <c r="DP418" s="29" t="s">
        <v>8272</v>
      </c>
      <c r="DQ418" s="29" t="s">
        <v>1152</v>
      </c>
      <c r="DR418" s="29"/>
      <c r="DS418" s="29" t="s">
        <v>468</v>
      </c>
      <c r="DT418" s="29" t="s">
        <v>3171</v>
      </c>
      <c r="DU418" s="29"/>
      <c r="DV418" s="29"/>
      <c r="DW418" s="29" t="s">
        <v>573</v>
      </c>
      <c r="DX418" s="29"/>
      <c r="DY418" s="29"/>
      <c r="DZ418" s="29"/>
      <c r="EA418" s="29" t="s">
        <v>475</v>
      </c>
      <c r="EB418" s="29" t="s">
        <v>845</v>
      </c>
      <c r="EC418" s="29"/>
      <c r="ED418" s="29"/>
      <c r="EE418" s="29"/>
      <c r="EF418" s="29"/>
      <c r="EG418" s="29"/>
      <c r="EH418" s="29"/>
      <c r="EI418" s="29"/>
      <c r="EJ418" s="29"/>
      <c r="EK418" s="29"/>
      <c r="EL418" s="29"/>
      <c r="EM418" s="29"/>
      <c r="EN418" s="29"/>
      <c r="EO418" s="29"/>
      <c r="EP418" s="29"/>
      <c r="EQ418" s="29"/>
      <c r="ER418" s="29"/>
      <c r="ES418" s="29"/>
      <c r="ET418" s="29" t="s">
        <v>2747</v>
      </c>
      <c r="EU418" s="29" t="s">
        <v>479</v>
      </c>
      <c r="EV418" s="29" t="s">
        <v>480</v>
      </c>
      <c r="EW418" s="29"/>
      <c r="EX418" s="29"/>
      <c r="EY418" s="29"/>
      <c r="EZ418" s="29" t="s">
        <v>414</v>
      </c>
      <c r="FA418" s="29" t="s">
        <v>583</v>
      </c>
      <c r="FB418" s="29" t="s">
        <v>583</v>
      </c>
      <c r="FC418" s="29" t="s">
        <v>583</v>
      </c>
      <c r="FD418" s="29" t="s">
        <v>415</v>
      </c>
      <c r="FE418" s="29" t="s">
        <v>583</v>
      </c>
      <c r="FF418" s="29" t="s">
        <v>415</v>
      </c>
      <c r="FG418" s="29" t="s">
        <v>415</v>
      </c>
      <c r="FH418" s="29" t="s">
        <v>415</v>
      </c>
      <c r="FI418" s="29" t="s">
        <v>583</v>
      </c>
      <c r="FJ418" s="29" t="s">
        <v>583</v>
      </c>
      <c r="FK418" s="29" t="s">
        <v>415</v>
      </c>
      <c r="FL418" s="29" t="s">
        <v>415</v>
      </c>
      <c r="FM418" s="29" t="s">
        <v>415</v>
      </c>
      <c r="FN418" s="29" t="s">
        <v>415</v>
      </c>
      <c r="FO418" s="29" t="s">
        <v>417</v>
      </c>
      <c r="FP418" s="29" t="s">
        <v>418</v>
      </c>
      <c r="FQ418" s="29" t="s">
        <v>630</v>
      </c>
      <c r="FR418" s="29"/>
      <c r="FS418" s="29" t="s">
        <v>1076</v>
      </c>
      <c r="FT418" s="29" t="s">
        <v>488</v>
      </c>
      <c r="FU418" s="29" t="s">
        <v>533</v>
      </c>
      <c r="FV418" s="29" t="s">
        <v>490</v>
      </c>
      <c r="FW418" s="29" t="s">
        <v>491</v>
      </c>
      <c r="FX418" s="29"/>
      <c r="FY418" s="29" t="s">
        <v>535</v>
      </c>
      <c r="FZ418" s="29"/>
      <c r="GA418" s="29"/>
      <c r="GB418" s="29" t="s">
        <v>408</v>
      </c>
      <c r="GC418" s="29"/>
      <c r="GD418" s="29"/>
      <c r="GE418" s="29"/>
      <c r="GF418" s="29"/>
      <c r="GG418" s="29" t="s">
        <v>755</v>
      </c>
      <c r="GH418" s="29" t="s">
        <v>755</v>
      </c>
      <c r="GI418" s="29" t="s">
        <v>946</v>
      </c>
      <c r="GJ418" s="29"/>
      <c r="GK418" s="29"/>
      <c r="GL418" s="29"/>
      <c r="GM418" s="29" t="s">
        <v>1079</v>
      </c>
      <c r="GN418" s="29"/>
      <c r="GO418" s="29"/>
      <c r="GP418" s="29"/>
      <c r="GQ418" s="29" t="s">
        <v>5656</v>
      </c>
      <c r="GR418" s="29"/>
      <c r="GS418" s="29"/>
      <c r="GT418" s="29" t="s">
        <v>4774</v>
      </c>
      <c r="GU418" s="29"/>
      <c r="HP418" s="31"/>
      <c r="MX418" s="29" t="s">
        <v>894</v>
      </c>
      <c r="MY418" s="29" t="str">
        <f>IFERROR(__xludf.DUMMYFUNCTION("""COMPUTED_VALUE"""),"Ontario")</f>
        <v>Ontario</v>
      </c>
    </row>
    <row r="419" ht="16.5" customHeight="1">
      <c r="A419" s="33">
        <v>46037.5570009375</v>
      </c>
      <c r="B419" s="29" t="s">
        <v>368</v>
      </c>
      <c r="C419" s="29" t="s">
        <v>894</v>
      </c>
      <c r="D419" s="29" t="s">
        <v>894</v>
      </c>
      <c r="E419" s="29"/>
      <c r="F419" s="29"/>
      <c r="G419" s="29" t="s">
        <v>3187</v>
      </c>
      <c r="H419" s="29" t="s">
        <v>539</v>
      </c>
      <c r="I419" s="29" t="s">
        <v>2578</v>
      </c>
      <c r="J419" s="29" t="s">
        <v>425</v>
      </c>
      <c r="K419" s="29" t="s">
        <v>376</v>
      </c>
      <c r="L419" s="29" t="s">
        <v>379</v>
      </c>
      <c r="M419" s="29" t="s">
        <v>541</v>
      </c>
      <c r="N419" s="29" t="s">
        <v>377</v>
      </c>
      <c r="O419" s="29" t="s">
        <v>497</v>
      </c>
      <c r="P419" s="29" t="s">
        <v>1760</v>
      </c>
      <c r="Q419" s="29" t="s">
        <v>382</v>
      </c>
      <c r="R419" s="29" t="s">
        <v>949</v>
      </c>
      <c r="S419" s="29" t="s">
        <v>384</v>
      </c>
      <c r="T419" s="29" t="s">
        <v>385</v>
      </c>
      <c r="U419" s="29" t="s">
        <v>896</v>
      </c>
      <c r="V419" s="29" t="s">
        <v>896</v>
      </c>
      <c r="W419" s="29" t="s">
        <v>386</v>
      </c>
      <c r="X419" s="29" t="s">
        <v>387</v>
      </c>
      <c r="Y419" s="29" t="s">
        <v>388</v>
      </c>
      <c r="Z419" s="29" t="s">
        <v>502</v>
      </c>
      <c r="AA419" s="29" t="s">
        <v>8274</v>
      </c>
      <c r="AB419" s="29" t="s">
        <v>8275</v>
      </c>
      <c r="AC419" s="29"/>
      <c r="AD419" s="29"/>
      <c r="AE419" s="29"/>
      <c r="AF419" s="29"/>
      <c r="AG419" s="29"/>
      <c r="AH419" s="29"/>
      <c r="AI419" s="29"/>
      <c r="AJ419" s="29"/>
      <c r="AK419" s="29"/>
      <c r="AL419" s="29"/>
      <c r="AM419" s="29"/>
      <c r="AN419" s="29"/>
      <c r="AO419" s="29"/>
      <c r="AP419" s="29"/>
      <c r="AQ419" s="29"/>
      <c r="AR419" s="29"/>
      <c r="AS419" s="29"/>
      <c r="AT419" s="29"/>
      <c r="AU419" s="29"/>
      <c r="AV419" s="29" t="s">
        <v>1310</v>
      </c>
      <c r="AW419" s="29">
        <v>4.0</v>
      </c>
      <c r="AX419" s="29">
        <v>4.0</v>
      </c>
      <c r="AY419" s="29">
        <v>4.0</v>
      </c>
      <c r="AZ419" s="29">
        <v>4.0</v>
      </c>
      <c r="BA419" s="29" t="s">
        <v>675</v>
      </c>
      <c r="BB419" s="29" t="s">
        <v>391</v>
      </c>
      <c r="BC419" s="29" t="s">
        <v>8276</v>
      </c>
      <c r="BD419" s="29" t="s">
        <v>8277</v>
      </c>
      <c r="BE419" s="29" t="s">
        <v>902</v>
      </c>
      <c r="BF419" s="29" t="s">
        <v>1095</v>
      </c>
      <c r="BG419" s="29" t="s">
        <v>434</v>
      </c>
      <c r="BH419" s="29" t="s">
        <v>8278</v>
      </c>
      <c r="BI419" s="29" t="s">
        <v>976</v>
      </c>
      <c r="BJ419" s="29" t="s">
        <v>8279</v>
      </c>
      <c r="BK419" s="29" t="s">
        <v>395</v>
      </c>
      <c r="BL419" s="29" t="s">
        <v>603</v>
      </c>
      <c r="BM419" s="29" t="s">
        <v>1247</v>
      </c>
      <c r="BN419" s="29" t="s">
        <v>398</v>
      </c>
      <c r="BO419" s="29" t="s">
        <v>8280</v>
      </c>
      <c r="BP419" s="29" t="s">
        <v>8281</v>
      </c>
      <c r="BQ419" s="29" t="s">
        <v>604</v>
      </c>
      <c r="BR419" s="29" t="s">
        <v>2203</v>
      </c>
      <c r="BS419" s="29" t="s">
        <v>403</v>
      </c>
      <c r="BT419" s="29" t="s">
        <v>4368</v>
      </c>
      <c r="BU419" s="29" t="s">
        <v>405</v>
      </c>
      <c r="BV419" s="29" t="s">
        <v>8282</v>
      </c>
      <c r="BW419" s="29" t="s">
        <v>988</v>
      </c>
      <c r="BX419" s="29"/>
      <c r="BY419" s="29" t="s">
        <v>455</v>
      </c>
      <c r="BZ419" s="29" t="s">
        <v>8283</v>
      </c>
      <c r="CA419" s="29" t="s">
        <v>8284</v>
      </c>
      <c r="CB419" s="29" t="s">
        <v>8285</v>
      </c>
      <c r="CC419" s="29" t="s">
        <v>8286</v>
      </c>
      <c r="CD419" s="29" t="s">
        <v>409</v>
      </c>
      <c r="CE419" s="29" t="s">
        <v>8287</v>
      </c>
      <c r="CF419" s="29" t="s">
        <v>2233</v>
      </c>
      <c r="CG419" s="29"/>
      <c r="CH419" s="29" t="s">
        <v>1698</v>
      </c>
      <c r="CI419" s="29" t="s">
        <v>410</v>
      </c>
      <c r="CJ419" s="29" t="s">
        <v>8288</v>
      </c>
      <c r="CK419" s="29" t="s">
        <v>8289</v>
      </c>
      <c r="CL419" s="29"/>
      <c r="CM419" s="29"/>
      <c r="CN419" s="29"/>
      <c r="CO419" s="29"/>
      <c r="CP419" s="29"/>
      <c r="CQ419" s="29"/>
      <c r="CR419" s="29"/>
      <c r="CS419" s="29"/>
      <c r="CT419" s="29"/>
      <c r="CU419" s="29"/>
      <c r="CV419" s="29"/>
      <c r="CW419" s="29"/>
      <c r="CX419" s="29"/>
      <c r="CY419" s="29"/>
      <c r="CZ419" s="29"/>
      <c r="DA419" s="29"/>
      <c r="DB419" s="29"/>
      <c r="DC419" s="29"/>
      <c r="DD419" s="29"/>
      <c r="DE419" s="29"/>
      <c r="DF419" s="29"/>
      <c r="DG419" s="29"/>
      <c r="DH419" s="29"/>
      <c r="DI419" s="29" t="s">
        <v>459</v>
      </c>
      <c r="DJ419" s="29" t="s">
        <v>613</v>
      </c>
      <c r="DK419" s="29"/>
      <c r="DL419" s="29"/>
      <c r="DM419" s="29"/>
      <c r="DN419" s="29"/>
      <c r="DO419" s="29"/>
      <c r="DP419" s="29"/>
      <c r="DQ419" s="29"/>
      <c r="DR419" s="29"/>
      <c r="DS419" s="29"/>
      <c r="DT419" s="29"/>
      <c r="DU419" s="29"/>
      <c r="DV419" s="29"/>
      <c r="DW419" s="29"/>
      <c r="DX419" s="29"/>
      <c r="DY419" s="29"/>
      <c r="DZ419" s="29"/>
      <c r="EA419" s="29"/>
      <c r="EB419" s="29"/>
      <c r="EC419" s="29"/>
      <c r="ED419" s="29"/>
      <c r="EE419" s="29"/>
      <c r="EF419" s="29"/>
      <c r="EG419" s="29"/>
      <c r="EH419" s="29"/>
      <c r="EI419" s="29"/>
      <c r="EJ419" s="29"/>
      <c r="EK419" s="29"/>
      <c r="EL419" s="29"/>
      <c r="EM419" s="29"/>
      <c r="EN419" s="29"/>
      <c r="EO419" s="29"/>
      <c r="EP419" s="29"/>
      <c r="EQ419" s="29"/>
      <c r="ER419" s="29"/>
      <c r="ES419" s="29"/>
      <c r="ET419" s="29" t="s">
        <v>578</v>
      </c>
      <c r="EU419" s="29" t="s">
        <v>479</v>
      </c>
      <c r="EV419" s="29" t="s">
        <v>663</v>
      </c>
      <c r="EW419" s="29" t="s">
        <v>8290</v>
      </c>
      <c r="EX419" s="29" t="s">
        <v>8291</v>
      </c>
      <c r="EY419" s="29" t="s">
        <v>8292</v>
      </c>
      <c r="EZ419" s="29" t="s">
        <v>415</v>
      </c>
      <c r="FA419" s="29" t="s">
        <v>415</v>
      </c>
      <c r="FB419" s="29" t="s">
        <v>413</v>
      </c>
      <c r="FC419" s="29" t="s">
        <v>415</v>
      </c>
      <c r="FD419" s="29" t="s">
        <v>413</v>
      </c>
      <c r="FE419" s="29" t="s">
        <v>414</v>
      </c>
      <c r="FF419" s="29" t="s">
        <v>414</v>
      </c>
      <c r="FG419" s="29" t="s">
        <v>415</v>
      </c>
      <c r="FH419" s="29" t="s">
        <v>414</v>
      </c>
      <c r="FI419" s="29" t="s">
        <v>414</v>
      </c>
      <c r="FJ419" s="29" t="s">
        <v>416</v>
      </c>
      <c r="FK419" s="29" t="s">
        <v>415</v>
      </c>
      <c r="FL419" s="29" t="s">
        <v>415</v>
      </c>
      <c r="FM419" s="29" t="s">
        <v>415</v>
      </c>
      <c r="FN419" s="29" t="s">
        <v>414</v>
      </c>
      <c r="FO419" s="29" t="s">
        <v>3396</v>
      </c>
      <c r="FP419" s="29" t="s">
        <v>2524</v>
      </c>
      <c r="FQ419" s="29" t="s">
        <v>531</v>
      </c>
      <c r="FR419" s="29" t="s">
        <v>8293</v>
      </c>
      <c r="FS419" s="29" t="s">
        <v>420</v>
      </c>
      <c r="FT419" s="29" t="s">
        <v>488</v>
      </c>
      <c r="FU419" s="29" t="s">
        <v>489</v>
      </c>
      <c r="FV419" s="29" t="s">
        <v>490</v>
      </c>
      <c r="FW419" s="29" t="s">
        <v>491</v>
      </c>
      <c r="FX419" s="29" t="s">
        <v>8294</v>
      </c>
      <c r="FY419" s="29" t="s">
        <v>493</v>
      </c>
      <c r="FZ419" s="29" t="s">
        <v>8295</v>
      </c>
      <c r="GA419" s="29" t="s">
        <v>8296</v>
      </c>
      <c r="GB419" s="29" t="s">
        <v>455</v>
      </c>
      <c r="GC419" s="29"/>
      <c r="GD419" s="29"/>
      <c r="GE419" s="29" t="s">
        <v>753</v>
      </c>
      <c r="GF419" s="29" t="s">
        <v>8297</v>
      </c>
      <c r="GG419" s="29"/>
      <c r="GH419" s="29"/>
      <c r="GI419" s="29"/>
      <c r="GJ419" s="29" t="s">
        <v>920</v>
      </c>
      <c r="GK419" s="29" t="s">
        <v>920</v>
      </c>
      <c r="GL419" s="29" t="s">
        <v>817</v>
      </c>
      <c r="GM419" s="29"/>
      <c r="GN419" s="29"/>
      <c r="GO419" s="29"/>
      <c r="GP419" s="29"/>
      <c r="GQ419" s="29" t="s">
        <v>3208</v>
      </c>
      <c r="GR419" s="29" t="s">
        <v>4840</v>
      </c>
      <c r="GS419" s="29" t="s">
        <v>8298</v>
      </c>
      <c r="GT419" s="29"/>
      <c r="GU419" s="29"/>
      <c r="HP419" s="31"/>
      <c r="MX419" s="29" t="s">
        <v>2025</v>
      </c>
      <c r="MY419" s="29" t="str">
        <f>IFERROR(__xludf.DUMMYFUNCTION("""COMPUTED_VALUE"""),"South Africa")</f>
        <v>South Africa</v>
      </c>
    </row>
    <row r="420" ht="16.5" customHeight="1">
      <c r="A420" s="33">
        <v>46041.44147427083</v>
      </c>
      <c r="B420" s="29" t="s">
        <v>368</v>
      </c>
      <c r="C420" s="29" t="s">
        <v>2025</v>
      </c>
      <c r="D420" s="29" t="s">
        <v>1201</v>
      </c>
      <c r="E420" s="29"/>
      <c r="F420" s="29"/>
      <c r="G420" s="29" t="s">
        <v>8301</v>
      </c>
      <c r="H420" s="29" t="s">
        <v>1203</v>
      </c>
      <c r="I420" s="29" t="s">
        <v>638</v>
      </c>
      <c r="J420" s="29" t="s">
        <v>1204</v>
      </c>
      <c r="K420" s="29" t="s">
        <v>376</v>
      </c>
      <c r="L420" s="29" t="s">
        <v>793</v>
      </c>
      <c r="M420" s="29" t="s">
        <v>719</v>
      </c>
      <c r="N420" s="29" t="s">
        <v>793</v>
      </c>
      <c r="O420" s="29" t="s">
        <v>719</v>
      </c>
      <c r="P420" s="29" t="s">
        <v>498</v>
      </c>
      <c r="Q420" s="29" t="s">
        <v>1004</v>
      </c>
      <c r="R420" s="29" t="s">
        <v>427</v>
      </c>
      <c r="S420" s="29" t="s">
        <v>384</v>
      </c>
      <c r="T420" s="29" t="s">
        <v>385</v>
      </c>
      <c r="U420" s="29"/>
      <c r="V420" s="29"/>
      <c r="W420" s="29" t="s">
        <v>386</v>
      </c>
      <c r="X420" s="29" t="s">
        <v>5993</v>
      </c>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t="s">
        <v>390</v>
      </c>
      <c r="AW420" s="29"/>
      <c r="AX420" s="29"/>
      <c r="AY420" s="29" t="s">
        <v>429</v>
      </c>
      <c r="AZ420" s="29" t="s">
        <v>429</v>
      </c>
      <c r="BA420" s="29" t="s">
        <v>429</v>
      </c>
      <c r="BB420" s="29"/>
      <c r="BC420" s="29" t="s">
        <v>8302</v>
      </c>
      <c r="BD420" s="29" t="s">
        <v>8303</v>
      </c>
      <c r="BE420" s="29" t="s">
        <v>1094</v>
      </c>
      <c r="BF420" s="29" t="s">
        <v>433</v>
      </c>
      <c r="BG420" s="29" t="s">
        <v>507</v>
      </c>
      <c r="BH420" s="29"/>
      <c r="BI420" s="29" t="s">
        <v>824</v>
      </c>
      <c r="BJ420" s="29"/>
      <c r="BK420" s="29" t="s">
        <v>511</v>
      </c>
      <c r="BL420" s="29" t="s">
        <v>396</v>
      </c>
      <c r="BM420" s="29" t="s">
        <v>549</v>
      </c>
      <c r="BN420" s="29" t="s">
        <v>440</v>
      </c>
      <c r="BO420" s="29"/>
      <c r="BP420" s="29"/>
      <c r="BQ420" s="29"/>
      <c r="BR420" s="29"/>
      <c r="BS420" s="29"/>
      <c r="BT420" s="29"/>
      <c r="BU420" s="29"/>
      <c r="BV420" s="29"/>
      <c r="BW420" s="29"/>
      <c r="BX420" s="29"/>
      <c r="BY420" s="29"/>
      <c r="BZ420" s="29"/>
      <c r="CA420" s="29"/>
      <c r="CB420" s="29"/>
      <c r="CC420" s="29"/>
      <c r="CD420" s="29"/>
      <c r="CE420" s="29"/>
      <c r="CF420" s="29"/>
      <c r="CG420" s="29"/>
      <c r="CH420" s="29"/>
      <c r="CI420" s="29"/>
      <c r="CJ420" s="29"/>
      <c r="CK420" s="29"/>
      <c r="CL420" s="29" t="s">
        <v>441</v>
      </c>
      <c r="CM420" s="29" t="s">
        <v>401</v>
      </c>
      <c r="CN420" s="29" t="s">
        <v>8304</v>
      </c>
      <c r="CO420" s="29" t="s">
        <v>8305</v>
      </c>
      <c r="CP420" s="29" t="s">
        <v>685</v>
      </c>
      <c r="CQ420" s="29" t="s">
        <v>8306</v>
      </c>
      <c r="CR420" s="29" t="s">
        <v>828</v>
      </c>
      <c r="CS420" s="29" t="s">
        <v>8307</v>
      </c>
      <c r="CT420" s="29" t="s">
        <v>8308</v>
      </c>
      <c r="CU420" s="29" t="s">
        <v>450</v>
      </c>
      <c r="CV420" s="29" t="s">
        <v>451</v>
      </c>
      <c r="CW420" s="29" t="s">
        <v>1348</v>
      </c>
      <c r="CX420" s="29" t="s">
        <v>408</v>
      </c>
      <c r="CY420" s="29"/>
      <c r="CZ420" s="29" t="s">
        <v>453</v>
      </c>
      <c r="DA420" s="29" t="s">
        <v>8309</v>
      </c>
      <c r="DB420" s="29" t="s">
        <v>455</v>
      </c>
      <c r="DC420" s="29" t="s">
        <v>8310</v>
      </c>
      <c r="DD420" s="29" t="s">
        <v>988</v>
      </c>
      <c r="DE420" s="29" t="s">
        <v>407</v>
      </c>
      <c r="DF420" s="29" t="s">
        <v>8311</v>
      </c>
      <c r="DG420" s="29" t="s">
        <v>561</v>
      </c>
      <c r="DH420" s="29" t="s">
        <v>410</v>
      </c>
      <c r="DI420" s="29" t="s">
        <v>963</v>
      </c>
      <c r="DJ420" s="29" t="s">
        <v>613</v>
      </c>
      <c r="DK420" s="29"/>
      <c r="DL420" s="29"/>
      <c r="DM420" s="29" t="s">
        <v>8312</v>
      </c>
      <c r="DN420" s="29" t="s">
        <v>8313</v>
      </c>
      <c r="DO420" s="29" t="s">
        <v>464</v>
      </c>
      <c r="DP420" s="29" t="s">
        <v>8314</v>
      </c>
      <c r="DQ420" s="29" t="s">
        <v>1176</v>
      </c>
      <c r="DR420" s="29" t="s">
        <v>8315</v>
      </c>
      <c r="DS420" s="29" t="s">
        <v>702</v>
      </c>
      <c r="DT420" s="29" t="s">
        <v>3611</v>
      </c>
      <c r="DU420" s="29" t="s">
        <v>2675</v>
      </c>
      <c r="DV420" s="29" t="s">
        <v>2675</v>
      </c>
      <c r="DW420" s="29" t="s">
        <v>573</v>
      </c>
      <c r="DX420" s="29" t="s">
        <v>8316</v>
      </c>
      <c r="DY420" s="29" t="s">
        <v>8317</v>
      </c>
      <c r="DZ420" s="29" t="s">
        <v>8318</v>
      </c>
      <c r="EA420" s="29" t="s">
        <v>475</v>
      </c>
      <c r="EB420" s="29" t="s">
        <v>845</v>
      </c>
      <c r="EC420" s="29" t="s">
        <v>8319</v>
      </c>
      <c r="ED420" s="29"/>
      <c r="EE420" s="29"/>
      <c r="EF420" s="29"/>
      <c r="EG420" s="29"/>
      <c r="EH420" s="29"/>
      <c r="EI420" s="29"/>
      <c r="EJ420" s="29"/>
      <c r="EK420" s="29"/>
      <c r="EL420" s="29"/>
      <c r="EM420" s="29"/>
      <c r="EN420" s="29"/>
      <c r="EO420" s="29"/>
      <c r="EP420" s="29"/>
      <c r="EQ420" s="29"/>
      <c r="ER420" s="29"/>
      <c r="ES420" s="29"/>
      <c r="ET420" s="29" t="s">
        <v>526</v>
      </c>
      <c r="EU420" s="29" t="s">
        <v>579</v>
      </c>
      <c r="EV420" s="29" t="s">
        <v>778</v>
      </c>
      <c r="EW420" s="29" t="s">
        <v>8320</v>
      </c>
      <c r="EX420" s="29" t="s">
        <v>8321</v>
      </c>
      <c r="EY420" s="29" t="s">
        <v>8322</v>
      </c>
      <c r="EZ420" s="29" t="s">
        <v>413</v>
      </c>
      <c r="FA420" s="29" t="s">
        <v>416</v>
      </c>
      <c r="FB420" s="29" t="s">
        <v>413</v>
      </c>
      <c r="FC420" s="29" t="s">
        <v>416</v>
      </c>
      <c r="FD420" s="29" t="s">
        <v>413</v>
      </c>
      <c r="FE420" s="29" t="s">
        <v>413</v>
      </c>
      <c r="FF420" s="29" t="s">
        <v>413</v>
      </c>
      <c r="FG420" s="29" t="s">
        <v>414</v>
      </c>
      <c r="FH420" s="29" t="s">
        <v>413</v>
      </c>
      <c r="FI420" s="29" t="s">
        <v>413</v>
      </c>
      <c r="FJ420" s="29" t="s">
        <v>413</v>
      </c>
      <c r="FK420" s="29" t="s">
        <v>484</v>
      </c>
      <c r="FL420" s="29" t="s">
        <v>484</v>
      </c>
      <c r="FM420" s="29" t="s">
        <v>414</v>
      </c>
      <c r="FN420" s="29" t="s">
        <v>416</v>
      </c>
      <c r="FO420" s="29" t="s">
        <v>485</v>
      </c>
      <c r="FP420" s="29" t="s">
        <v>418</v>
      </c>
      <c r="FQ420" s="29" t="s">
        <v>531</v>
      </c>
      <c r="FR420" s="29"/>
      <c r="FS420" s="29" t="s">
        <v>420</v>
      </c>
      <c r="FT420" s="29" t="s">
        <v>488</v>
      </c>
      <c r="FU420" s="29" t="s">
        <v>1235</v>
      </c>
      <c r="FV420" s="29" t="s">
        <v>490</v>
      </c>
      <c r="FW420" s="29" t="s">
        <v>491</v>
      </c>
      <c r="FX420" s="29" t="s">
        <v>8323</v>
      </c>
      <c r="FY420" s="29" t="s">
        <v>535</v>
      </c>
      <c r="FZ420" s="29" t="s">
        <v>8324</v>
      </c>
      <c r="GA420" s="29" t="s">
        <v>8325</v>
      </c>
      <c r="GB420" s="29" t="s">
        <v>408</v>
      </c>
      <c r="GC420" s="29"/>
      <c r="GD420" s="29"/>
      <c r="GE420" s="29"/>
      <c r="GF420" s="29"/>
      <c r="GG420" s="29" t="s">
        <v>789</v>
      </c>
      <c r="GH420" s="29" t="s">
        <v>789</v>
      </c>
      <c r="GI420" s="29" t="s">
        <v>790</v>
      </c>
      <c r="GJ420" s="29"/>
      <c r="GK420" s="29"/>
      <c r="GL420" s="29"/>
      <c r="GM420" s="29" t="s">
        <v>1079</v>
      </c>
      <c r="GN420" s="29" t="s">
        <v>8326</v>
      </c>
      <c r="GO420" s="29" t="s">
        <v>8327</v>
      </c>
      <c r="GP420" s="29"/>
      <c r="GQ420" s="29" t="s">
        <v>3208</v>
      </c>
      <c r="GR420" s="29"/>
      <c r="GS420" s="29"/>
      <c r="GT420" s="29" t="s">
        <v>5081</v>
      </c>
      <c r="GU420" s="29" t="s">
        <v>8328</v>
      </c>
      <c r="HP420" s="31"/>
      <c r="MX420" s="29" t="s">
        <v>10402</v>
      </c>
      <c r="MY420" s="29" t="str">
        <f>IFERROR(__xludf.DUMMYFUNCTION("""COMPUTED_VALUE"""),"California")</f>
        <v>California</v>
      </c>
    </row>
    <row r="421" ht="16.5" customHeight="1">
      <c r="A421" s="33">
        <v>46053.61221619213</v>
      </c>
      <c r="B421" s="29" t="s">
        <v>368</v>
      </c>
      <c r="C421" s="29" t="s">
        <v>370</v>
      </c>
      <c r="D421" s="29" t="s">
        <v>370</v>
      </c>
      <c r="E421" s="29" t="s">
        <v>371</v>
      </c>
      <c r="F421" s="29" t="s">
        <v>371</v>
      </c>
      <c r="G421" s="29" t="s">
        <v>372</v>
      </c>
      <c r="H421" s="29" t="s">
        <v>539</v>
      </c>
      <c r="I421" s="29" t="s">
        <v>424</v>
      </c>
      <c r="J421" s="29" t="s">
        <v>425</v>
      </c>
      <c r="K421" s="29" t="s">
        <v>376</v>
      </c>
      <c r="L421" s="29" t="s">
        <v>591</v>
      </c>
      <c r="M421" s="29" t="s">
        <v>2482</v>
      </c>
      <c r="N421" s="29" t="s">
        <v>793</v>
      </c>
      <c r="O421" s="29" t="s">
        <v>1270</v>
      </c>
      <c r="P421" s="29" t="s">
        <v>498</v>
      </c>
      <c r="Q421" s="29" t="s">
        <v>818</v>
      </c>
      <c r="R421" s="29" t="s">
        <v>500</v>
      </c>
      <c r="S421" s="29" t="s">
        <v>384</v>
      </c>
      <c r="T421" s="29" t="s">
        <v>385</v>
      </c>
      <c r="U421" s="29"/>
      <c r="V421" s="29"/>
      <c r="W421" s="29" t="s">
        <v>593</v>
      </c>
      <c r="X421" s="29" t="s">
        <v>387</v>
      </c>
      <c r="Y421" s="29"/>
      <c r="Z421" s="29" t="s">
        <v>543</v>
      </c>
      <c r="AA421" s="29" t="s">
        <v>8333</v>
      </c>
      <c r="AB421" s="29" t="s">
        <v>8334</v>
      </c>
      <c r="AC421" s="29"/>
      <c r="AD421" s="29"/>
      <c r="AE421" s="29"/>
      <c r="AF421" s="29"/>
      <c r="AG421" s="29"/>
      <c r="AH421" s="29"/>
      <c r="AI421" s="29"/>
      <c r="AJ421" s="29"/>
      <c r="AK421" s="29"/>
      <c r="AL421" s="29"/>
      <c r="AM421" s="29"/>
      <c r="AN421" s="29"/>
      <c r="AO421" s="29"/>
      <c r="AP421" s="29"/>
      <c r="AQ421" s="29"/>
      <c r="AR421" s="29"/>
      <c r="AS421" s="29"/>
      <c r="AT421" s="29"/>
      <c r="AU421" s="29"/>
      <c r="AV421" s="29" t="s">
        <v>1310</v>
      </c>
      <c r="AW421" s="29" t="s">
        <v>675</v>
      </c>
      <c r="AX421" s="29" t="s">
        <v>675</v>
      </c>
      <c r="AY421" s="29">
        <v>4.0</v>
      </c>
      <c r="AZ421" s="29">
        <v>4.0</v>
      </c>
      <c r="BA421" s="29" t="s">
        <v>429</v>
      </c>
      <c r="BB421" s="29">
        <v>4.0</v>
      </c>
      <c r="BC421" s="29" t="s">
        <v>8335</v>
      </c>
      <c r="BD421" s="29" t="s">
        <v>8336</v>
      </c>
      <c r="BE421" s="29" t="s">
        <v>902</v>
      </c>
      <c r="BF421" s="29" t="s">
        <v>1095</v>
      </c>
      <c r="BG421" s="29" t="s">
        <v>725</v>
      </c>
      <c r="BH421" s="29" t="s">
        <v>8337</v>
      </c>
      <c r="BI421" s="29" t="s">
        <v>976</v>
      </c>
      <c r="BJ421" s="29"/>
      <c r="BK421" s="29" t="s">
        <v>395</v>
      </c>
      <c r="BL421" s="29" t="s">
        <v>603</v>
      </c>
      <c r="BM421" s="29" t="s">
        <v>1247</v>
      </c>
      <c r="BN421" s="29" t="s">
        <v>513</v>
      </c>
      <c r="BO421" s="29"/>
      <c r="BP421" s="29"/>
      <c r="BQ421" s="29"/>
      <c r="BR421" s="29"/>
      <c r="BS421" s="29"/>
      <c r="BT421" s="29"/>
      <c r="BU421" s="29"/>
      <c r="BV421" s="29"/>
      <c r="BW421" s="29"/>
      <c r="BX421" s="29"/>
      <c r="BY421" s="29"/>
      <c r="BZ421" s="29"/>
      <c r="CA421" s="29"/>
      <c r="CB421" s="29"/>
      <c r="CC421" s="29"/>
      <c r="CD421" s="29"/>
      <c r="CE421" s="29"/>
      <c r="CF421" s="29"/>
      <c r="CG421" s="29"/>
      <c r="CH421" s="29"/>
      <c r="CI421" s="29"/>
      <c r="CJ421" s="29"/>
      <c r="CK421" s="29"/>
      <c r="CL421" s="29" t="s">
        <v>441</v>
      </c>
      <c r="CM421" s="29" t="s">
        <v>682</v>
      </c>
      <c r="CN421" s="29" t="s">
        <v>8338</v>
      </c>
      <c r="CO421" s="29" t="s">
        <v>8339</v>
      </c>
      <c r="CP421" s="29" t="s">
        <v>1008</v>
      </c>
      <c r="CQ421" s="29" t="s">
        <v>4388</v>
      </c>
      <c r="CR421" s="29" t="s">
        <v>555</v>
      </c>
      <c r="CS421" s="29" t="s">
        <v>2801</v>
      </c>
      <c r="CT421" s="29" t="s">
        <v>8340</v>
      </c>
      <c r="CU421" s="29" t="s">
        <v>982</v>
      </c>
      <c r="CV421" s="29" t="s">
        <v>451</v>
      </c>
      <c r="CW421" s="29" t="s">
        <v>8341</v>
      </c>
      <c r="CX421" s="29" t="s">
        <v>408</v>
      </c>
      <c r="CY421" s="29"/>
      <c r="CZ421" s="29" t="s">
        <v>1398</v>
      </c>
      <c r="DA421" s="29" t="s">
        <v>8342</v>
      </c>
      <c r="DB421" s="29" t="s">
        <v>408</v>
      </c>
      <c r="DC421" s="29"/>
      <c r="DD421" s="29" t="s">
        <v>988</v>
      </c>
      <c r="DE421" s="29"/>
      <c r="DF421" s="29" t="s">
        <v>8343</v>
      </c>
      <c r="DG421" s="29" t="s">
        <v>524</v>
      </c>
      <c r="DH421" s="29" t="s">
        <v>833</v>
      </c>
      <c r="DI421" s="29" t="s">
        <v>459</v>
      </c>
      <c r="DJ421" s="29" t="s">
        <v>460</v>
      </c>
      <c r="DK421" s="29" t="s">
        <v>6335</v>
      </c>
      <c r="DL421" s="29"/>
      <c r="DM421" s="29"/>
      <c r="DN421" s="29"/>
      <c r="DO421" s="29"/>
      <c r="DP421" s="29"/>
      <c r="DQ421" s="29"/>
      <c r="DR421" s="29"/>
      <c r="DS421" s="29"/>
      <c r="DT421" s="29"/>
      <c r="DU421" s="29"/>
      <c r="DV421" s="29"/>
      <c r="DW421" s="29"/>
      <c r="DX421" s="29"/>
      <c r="DY421" s="29"/>
      <c r="DZ421" s="29"/>
      <c r="EA421" s="29"/>
      <c r="EB421" s="29"/>
      <c r="EC421" s="29"/>
      <c r="ED421" s="29"/>
      <c r="EE421" s="29"/>
      <c r="EF421" s="29"/>
      <c r="EG421" s="29"/>
      <c r="EH421" s="29"/>
      <c r="EI421" s="29"/>
      <c r="EJ421" s="29"/>
      <c r="EK421" s="29"/>
      <c r="EL421" s="29"/>
      <c r="EM421" s="29"/>
      <c r="EN421" s="29"/>
      <c r="EO421" s="29"/>
      <c r="EP421" s="29"/>
      <c r="EQ421" s="29"/>
      <c r="ER421" s="29"/>
      <c r="ES421" s="29"/>
      <c r="ET421" s="29" t="s">
        <v>526</v>
      </c>
      <c r="EU421" s="29" t="s">
        <v>887</v>
      </c>
      <c r="EV421" s="29" t="s">
        <v>480</v>
      </c>
      <c r="EW421" s="29" t="s">
        <v>8344</v>
      </c>
      <c r="EX421" s="29" t="s">
        <v>8345</v>
      </c>
      <c r="EY421" s="29" t="s">
        <v>8346</v>
      </c>
      <c r="EZ421" s="29" t="s">
        <v>414</v>
      </c>
      <c r="FA421" s="29" t="s">
        <v>414</v>
      </c>
      <c r="FB421" s="29" t="s">
        <v>416</v>
      </c>
      <c r="FC421" s="29" t="s">
        <v>415</v>
      </c>
      <c r="FD421" s="29" t="s">
        <v>413</v>
      </c>
      <c r="FE421" s="29" t="s">
        <v>583</v>
      </c>
      <c r="FF421" s="29" t="s">
        <v>415</v>
      </c>
      <c r="FG421" s="29" t="s">
        <v>415</v>
      </c>
      <c r="FH421" s="29" t="s">
        <v>413</v>
      </c>
      <c r="FI421" s="29" t="s">
        <v>416</v>
      </c>
      <c r="FJ421" s="29" t="s">
        <v>583</v>
      </c>
      <c r="FK421" s="29" t="s">
        <v>413</v>
      </c>
      <c r="FL421" s="29" t="s">
        <v>484</v>
      </c>
      <c r="FM421" s="29" t="s">
        <v>583</v>
      </c>
      <c r="FN421" s="29" t="s">
        <v>484</v>
      </c>
      <c r="FO421" s="29" t="s">
        <v>1074</v>
      </c>
      <c r="FP421" s="29" t="s">
        <v>2524</v>
      </c>
      <c r="FQ421" s="29" t="s">
        <v>531</v>
      </c>
      <c r="FR421" s="29" t="s">
        <v>8347</v>
      </c>
      <c r="FS421" s="29" t="s">
        <v>1189</v>
      </c>
      <c r="FT421" s="29" t="s">
        <v>488</v>
      </c>
      <c r="FU421" s="29" t="s">
        <v>918</v>
      </c>
      <c r="FV421" s="29" t="s">
        <v>490</v>
      </c>
      <c r="FW421" s="29" t="s">
        <v>491</v>
      </c>
      <c r="FX421" s="29" t="s">
        <v>8348</v>
      </c>
      <c r="FY421" s="29" t="s">
        <v>535</v>
      </c>
      <c r="FZ421" s="29" t="s">
        <v>8349</v>
      </c>
      <c r="GA421" s="29" t="s">
        <v>8350</v>
      </c>
      <c r="GB421" s="29" t="s">
        <v>455</v>
      </c>
      <c r="GC421" s="29"/>
      <c r="GD421" s="29"/>
      <c r="GE421" s="29" t="s">
        <v>1339</v>
      </c>
      <c r="GF421" s="29" t="s">
        <v>8351</v>
      </c>
      <c r="GG421" s="29" t="s">
        <v>1000</v>
      </c>
      <c r="GH421" s="29" t="s">
        <v>1000</v>
      </c>
      <c r="GI421" s="29" t="s">
        <v>946</v>
      </c>
      <c r="GJ421" s="29"/>
      <c r="GK421" s="29"/>
      <c r="GL421" s="29"/>
      <c r="GM421" s="29"/>
      <c r="GN421" s="29"/>
      <c r="GO421" s="29"/>
      <c r="GP421" s="29"/>
      <c r="GQ421" s="29" t="s">
        <v>3208</v>
      </c>
      <c r="GR421" s="29"/>
      <c r="GS421" s="29"/>
      <c r="GT421" s="29" t="s">
        <v>4774</v>
      </c>
      <c r="GU421" s="29"/>
      <c r="HP421" s="31"/>
      <c r="MX421" s="29" t="s">
        <v>10402</v>
      </c>
      <c r="MY421" s="29" t="str">
        <f>IFERROR(__xludf.DUMMYFUNCTION("""COMPUTED_VALUE"""),"Florida")</f>
        <v>Florida</v>
      </c>
    </row>
    <row r="422" ht="16.5" customHeight="1">
      <c r="A422" s="33">
        <v>46053.776607708336</v>
      </c>
      <c r="B422" s="29" t="s">
        <v>368</v>
      </c>
      <c r="C422" s="29" t="s">
        <v>370</v>
      </c>
      <c r="D422" s="29" t="s">
        <v>370</v>
      </c>
      <c r="E422" s="29" t="s">
        <v>2114</v>
      </c>
      <c r="F422" s="29" t="s">
        <v>1421</v>
      </c>
      <c r="G422" s="29" t="s">
        <v>422</v>
      </c>
      <c r="H422" s="29" t="s">
        <v>373</v>
      </c>
      <c r="I422" s="29" t="s">
        <v>638</v>
      </c>
      <c r="J422" s="29" t="s">
        <v>425</v>
      </c>
      <c r="K422" s="29" t="s">
        <v>376</v>
      </c>
      <c r="L422" s="29" t="s">
        <v>426</v>
      </c>
      <c r="M422" s="29" t="s">
        <v>639</v>
      </c>
      <c r="N422" s="29" t="s">
        <v>591</v>
      </c>
      <c r="O422" s="29" t="s">
        <v>639</v>
      </c>
      <c r="P422" s="29" t="s">
        <v>498</v>
      </c>
      <c r="Q422" s="29" t="s">
        <v>862</v>
      </c>
      <c r="R422" s="29" t="s">
        <v>949</v>
      </c>
      <c r="S422" s="29" t="s">
        <v>384</v>
      </c>
      <c r="T422" s="29" t="s">
        <v>385</v>
      </c>
      <c r="U422" s="29"/>
      <c r="V422" s="29"/>
      <c r="W422" s="29" t="s">
        <v>3014</v>
      </c>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t="s">
        <v>1310</v>
      </c>
      <c r="AW422" s="29" t="s">
        <v>675</v>
      </c>
      <c r="AX422" s="29">
        <v>4.0</v>
      </c>
      <c r="AY422" s="29" t="s">
        <v>675</v>
      </c>
      <c r="AZ422" s="29">
        <v>4.0</v>
      </c>
      <c r="BA422" s="29" t="s">
        <v>391</v>
      </c>
      <c r="BB422" s="29" t="s">
        <v>391</v>
      </c>
      <c r="BC422" s="29"/>
      <c r="BD422" s="29"/>
      <c r="BE422" s="29" t="s">
        <v>432</v>
      </c>
      <c r="BF422" s="29" t="s">
        <v>1095</v>
      </c>
      <c r="BG422" s="29" t="s">
        <v>394</v>
      </c>
      <c r="BH422" s="29"/>
      <c r="BI422" s="29" t="s">
        <v>435</v>
      </c>
      <c r="BJ422" s="29" t="s">
        <v>8352</v>
      </c>
      <c r="BK422" s="29" t="s">
        <v>681</v>
      </c>
      <c r="BL422" s="29" t="s">
        <v>603</v>
      </c>
      <c r="BM422" s="29" t="s">
        <v>1247</v>
      </c>
      <c r="BN422" s="29" t="s">
        <v>513</v>
      </c>
      <c r="BO422" s="29"/>
      <c r="BP422" s="29"/>
      <c r="BQ422" s="29"/>
      <c r="BR422" s="29"/>
      <c r="BS422" s="29"/>
      <c r="BT422" s="29"/>
      <c r="BU422" s="29"/>
      <c r="BV422" s="29"/>
      <c r="BW422" s="29"/>
      <c r="BX422" s="29"/>
      <c r="BY422" s="29"/>
      <c r="BZ422" s="29"/>
      <c r="CA422" s="29"/>
      <c r="CB422" s="29"/>
      <c r="CC422" s="29"/>
      <c r="CD422" s="29"/>
      <c r="CE422" s="29"/>
      <c r="CF422" s="29"/>
      <c r="CG422" s="29"/>
      <c r="CH422" s="29"/>
      <c r="CI422" s="29"/>
      <c r="CJ422" s="29"/>
      <c r="CK422" s="29"/>
      <c r="CL422" s="29" t="s">
        <v>441</v>
      </c>
      <c r="CM422" s="29" t="s">
        <v>604</v>
      </c>
      <c r="CN422" s="29" t="s">
        <v>8353</v>
      </c>
      <c r="CO422" s="29" t="s">
        <v>8354</v>
      </c>
      <c r="CP422" s="29" t="s">
        <v>979</v>
      </c>
      <c r="CQ422" s="29" t="s">
        <v>8355</v>
      </c>
      <c r="CR422" s="29" t="s">
        <v>404</v>
      </c>
      <c r="CS422" s="29" t="s">
        <v>8356</v>
      </c>
      <c r="CT422" s="29" t="s">
        <v>8357</v>
      </c>
      <c r="CU422" s="29" t="s">
        <v>1863</v>
      </c>
      <c r="CV422" s="29" t="s">
        <v>409</v>
      </c>
      <c r="CW422" s="29" t="s">
        <v>8358</v>
      </c>
      <c r="CX422" s="29" t="s">
        <v>408</v>
      </c>
      <c r="CY422" s="29"/>
      <c r="CZ422" s="29" t="s">
        <v>1962</v>
      </c>
      <c r="DA422" s="29"/>
      <c r="DB422" s="29" t="s">
        <v>408</v>
      </c>
      <c r="DC422" s="29"/>
      <c r="DD422" s="29" t="s">
        <v>988</v>
      </c>
      <c r="DE422" s="29" t="s">
        <v>1058</v>
      </c>
      <c r="DF422" s="29" t="s">
        <v>8359</v>
      </c>
      <c r="DG422" s="29" t="s">
        <v>990</v>
      </c>
      <c r="DH422" s="29" t="s">
        <v>1964</v>
      </c>
      <c r="DI422" s="29" t="s">
        <v>459</v>
      </c>
      <c r="DJ422" s="29" t="s">
        <v>460</v>
      </c>
      <c r="DK422" s="29" t="s">
        <v>6335</v>
      </c>
      <c r="DL422" s="29"/>
      <c r="DM422" s="29"/>
      <c r="DN422" s="29"/>
      <c r="DO422" s="29"/>
      <c r="DP422" s="29"/>
      <c r="DQ422" s="29"/>
      <c r="DR422" s="29"/>
      <c r="DS422" s="29"/>
      <c r="DT422" s="29"/>
      <c r="DU422" s="29"/>
      <c r="DV422" s="29"/>
      <c r="DW422" s="29"/>
      <c r="DX422" s="29"/>
      <c r="DY422" s="29"/>
      <c r="DZ422" s="29"/>
      <c r="EA422" s="29"/>
      <c r="EB422" s="29"/>
      <c r="EC422" s="29"/>
      <c r="ED422" s="29"/>
      <c r="EE422" s="29"/>
      <c r="EF422" s="29"/>
      <c r="EG422" s="29"/>
      <c r="EH422" s="29"/>
      <c r="EI422" s="29"/>
      <c r="EJ422" s="29"/>
      <c r="EK422" s="29"/>
      <c r="EL422" s="29"/>
      <c r="EM422" s="29"/>
      <c r="EN422" s="29"/>
      <c r="EO422" s="29"/>
      <c r="EP422" s="29"/>
      <c r="EQ422" s="29"/>
      <c r="ER422" s="29"/>
      <c r="ES422" s="29"/>
      <c r="ET422" s="29" t="s">
        <v>478</v>
      </c>
      <c r="EU422" s="29" t="s">
        <v>887</v>
      </c>
      <c r="EV422" s="29" t="s">
        <v>580</v>
      </c>
      <c r="EW422" s="29"/>
      <c r="EX422" s="29"/>
      <c r="EY422" s="29"/>
      <c r="EZ422" s="29" t="s">
        <v>414</v>
      </c>
      <c r="FA422" s="29" t="s">
        <v>414</v>
      </c>
      <c r="FB422" s="29" t="s">
        <v>416</v>
      </c>
      <c r="FC422" s="29" t="s">
        <v>414</v>
      </c>
      <c r="FD422" s="29"/>
      <c r="FE422" s="29"/>
      <c r="FF422" s="29"/>
      <c r="FG422" s="29"/>
      <c r="FH422" s="29" t="s">
        <v>414</v>
      </c>
      <c r="FI422" s="29"/>
      <c r="FJ422" s="29" t="s">
        <v>414</v>
      </c>
      <c r="FK422" s="29"/>
      <c r="FL422" s="29"/>
      <c r="FM422" s="29"/>
      <c r="FN422" s="29"/>
      <c r="FO422" s="29" t="s">
        <v>3396</v>
      </c>
      <c r="FP422" s="29" t="s">
        <v>2651</v>
      </c>
      <c r="FQ422" s="29"/>
      <c r="FR422" s="29"/>
      <c r="FS422" s="29" t="s">
        <v>1076</v>
      </c>
      <c r="FT422" s="29" t="s">
        <v>1476</v>
      </c>
      <c r="FU422" s="29" t="s">
        <v>489</v>
      </c>
      <c r="FV422" s="29" t="s">
        <v>2387</v>
      </c>
      <c r="FW422" s="29" t="s">
        <v>1853</v>
      </c>
      <c r="FX422" s="29"/>
      <c r="FY422" s="29" t="s">
        <v>1854</v>
      </c>
      <c r="FZ422" s="29" t="s">
        <v>8360</v>
      </c>
      <c r="GA422" s="29"/>
      <c r="GB422" s="29" t="s">
        <v>408</v>
      </c>
      <c r="GC422" s="29"/>
      <c r="GD422" s="29"/>
      <c r="GE422" s="29"/>
      <c r="GF422" s="29"/>
      <c r="GG422" s="29" t="s">
        <v>857</v>
      </c>
      <c r="GH422" s="29" t="s">
        <v>857</v>
      </c>
      <c r="GI422" s="29" t="s">
        <v>858</v>
      </c>
      <c r="GJ422" s="29"/>
      <c r="GK422" s="29"/>
      <c r="GL422" s="29"/>
      <c r="GM422" s="29"/>
      <c r="GN422" s="29"/>
      <c r="GO422" s="29"/>
      <c r="GP422" s="29"/>
      <c r="GQ422" s="29" t="s">
        <v>3273</v>
      </c>
      <c r="GR422" s="29"/>
      <c r="GS422" s="29"/>
      <c r="GT422" s="29" t="s">
        <v>4774</v>
      </c>
      <c r="GU422" s="29"/>
      <c r="HP422" s="31"/>
      <c r="MX422" s="29" t="s">
        <v>10402</v>
      </c>
      <c r="MY422" s="29" t="str">
        <f>IFERROR(__xludf.DUMMYFUNCTION("""COMPUTED_VALUE"""),"California")</f>
        <v>California</v>
      </c>
    </row>
    <row r="423" ht="16.5" customHeight="1">
      <c r="A423" s="33">
        <v>46055.72980008102</v>
      </c>
      <c r="B423" s="29" t="s">
        <v>368</v>
      </c>
      <c r="C423" s="29" t="s">
        <v>370</v>
      </c>
      <c r="D423" s="29" t="s">
        <v>370</v>
      </c>
      <c r="E423" s="29" t="s">
        <v>371</v>
      </c>
      <c r="F423" s="29" t="s">
        <v>2114</v>
      </c>
      <c r="G423" s="29" t="s">
        <v>422</v>
      </c>
      <c r="H423" s="29" t="s">
        <v>423</v>
      </c>
      <c r="I423" s="29" t="s">
        <v>668</v>
      </c>
      <c r="J423" s="29" t="s">
        <v>375</v>
      </c>
      <c r="K423" s="29" t="s">
        <v>376</v>
      </c>
      <c r="L423" s="29" t="s">
        <v>379</v>
      </c>
      <c r="M423" s="29" t="s">
        <v>378</v>
      </c>
      <c r="N423" s="29" t="s">
        <v>377</v>
      </c>
      <c r="O423" s="29" t="s">
        <v>1442</v>
      </c>
      <c r="P423" s="29" t="s">
        <v>381</v>
      </c>
      <c r="Q423" s="29" t="s">
        <v>818</v>
      </c>
      <c r="R423" s="29" t="s">
        <v>427</v>
      </c>
      <c r="S423" s="29" t="s">
        <v>384</v>
      </c>
      <c r="T423" s="29" t="s">
        <v>385</v>
      </c>
      <c r="U423" s="29"/>
      <c r="V423" s="29"/>
      <c r="W423" s="29" t="s">
        <v>593</v>
      </c>
      <c r="X423" s="29" t="s">
        <v>387</v>
      </c>
      <c r="Y423" s="29" t="s">
        <v>8361</v>
      </c>
      <c r="Z423" s="29" t="s">
        <v>543</v>
      </c>
      <c r="AA423" s="29" t="s">
        <v>8362</v>
      </c>
      <c r="AB423" s="29" t="s">
        <v>8363</v>
      </c>
      <c r="AC423" s="29"/>
      <c r="AD423" s="29"/>
      <c r="AE423" s="29"/>
      <c r="AF423" s="29"/>
      <c r="AG423" s="29"/>
      <c r="AH423" s="29"/>
      <c r="AI423" s="29"/>
      <c r="AJ423" s="29"/>
      <c r="AK423" s="29"/>
      <c r="AL423" s="29"/>
      <c r="AM423" s="29"/>
      <c r="AN423" s="29"/>
      <c r="AO423" s="29"/>
      <c r="AP423" s="29"/>
      <c r="AQ423" s="29"/>
      <c r="AR423" s="29"/>
      <c r="AS423" s="29"/>
      <c r="AT423" s="29"/>
      <c r="AU423" s="29"/>
      <c r="AV423" s="29" t="s">
        <v>390</v>
      </c>
      <c r="AW423" s="29">
        <v>2.0</v>
      </c>
      <c r="AX423" s="29" t="s">
        <v>429</v>
      </c>
      <c r="AY423" s="29" t="s">
        <v>429</v>
      </c>
      <c r="AZ423" s="29" t="s">
        <v>429</v>
      </c>
      <c r="BA423" s="29" t="s">
        <v>429</v>
      </c>
      <c r="BB423" s="29" t="s">
        <v>429</v>
      </c>
      <c r="BC423" s="29" t="s">
        <v>8364</v>
      </c>
      <c r="BD423" s="29" t="s">
        <v>8365</v>
      </c>
      <c r="BE423" s="29" t="s">
        <v>392</v>
      </c>
      <c r="BF423" s="29" t="s">
        <v>1047</v>
      </c>
      <c r="BG423" s="29" t="s">
        <v>678</v>
      </c>
      <c r="BH423" s="29" t="s">
        <v>8366</v>
      </c>
      <c r="BI423" s="29" t="s">
        <v>509</v>
      </c>
      <c r="BJ423" s="29" t="s">
        <v>8367</v>
      </c>
      <c r="BK423" s="29" t="s">
        <v>395</v>
      </c>
      <c r="BL423" s="29" t="s">
        <v>512</v>
      </c>
      <c r="BM423" s="29" t="s">
        <v>439</v>
      </c>
      <c r="BN423" s="29" t="s">
        <v>513</v>
      </c>
      <c r="BO423" s="29"/>
      <c r="BP423" s="29"/>
      <c r="BQ423" s="29"/>
      <c r="BR423" s="29"/>
      <c r="BS423" s="29"/>
      <c r="BT423" s="29"/>
      <c r="BU423" s="29"/>
      <c r="BV423" s="29"/>
      <c r="BW423" s="29"/>
      <c r="BX423" s="29"/>
      <c r="BY423" s="29"/>
      <c r="BZ423" s="29"/>
      <c r="CA423" s="29"/>
      <c r="CB423" s="29"/>
      <c r="CC423" s="29"/>
      <c r="CD423" s="29"/>
      <c r="CE423" s="29"/>
      <c r="CF423" s="29"/>
      <c r="CG423" s="29"/>
      <c r="CH423" s="29"/>
      <c r="CI423" s="29"/>
      <c r="CJ423" s="29"/>
      <c r="CK423" s="29"/>
      <c r="CL423" s="29" t="s">
        <v>441</v>
      </c>
      <c r="CM423" s="29" t="s">
        <v>682</v>
      </c>
      <c r="CN423" s="29" t="s">
        <v>8368</v>
      </c>
      <c r="CO423" s="29" t="s">
        <v>8369</v>
      </c>
      <c r="CP423" s="29" t="s">
        <v>685</v>
      </c>
      <c r="CQ423" s="29" t="s">
        <v>1427</v>
      </c>
      <c r="CR423" s="29" t="s">
        <v>447</v>
      </c>
      <c r="CS423" s="29" t="s">
        <v>8370</v>
      </c>
      <c r="CT423" s="29" t="s">
        <v>8371</v>
      </c>
      <c r="CU423" s="29" t="s">
        <v>519</v>
      </c>
      <c r="CV423" s="29" t="s">
        <v>451</v>
      </c>
      <c r="CW423" s="29" t="s">
        <v>8372</v>
      </c>
      <c r="CX423" s="29" t="s">
        <v>408</v>
      </c>
      <c r="CY423" s="29"/>
      <c r="CZ423" s="29" t="s">
        <v>985</v>
      </c>
      <c r="DA423" s="29" t="s">
        <v>8373</v>
      </c>
      <c r="DB423" s="29" t="s">
        <v>455</v>
      </c>
      <c r="DC423" s="29" t="s">
        <v>8374</v>
      </c>
      <c r="DD423" s="29" t="s">
        <v>662</v>
      </c>
      <c r="DE423" s="29"/>
      <c r="DF423" s="29" t="s">
        <v>8375</v>
      </c>
      <c r="DG423" s="29" t="s">
        <v>776</v>
      </c>
      <c r="DH423" s="29" t="s">
        <v>410</v>
      </c>
      <c r="DI423" s="29" t="s">
        <v>963</v>
      </c>
      <c r="DJ423" s="29" t="s">
        <v>613</v>
      </c>
      <c r="DK423" s="29"/>
      <c r="DL423" s="29"/>
      <c r="DM423" s="29"/>
      <c r="DN423" s="29"/>
      <c r="DO423" s="29"/>
      <c r="DP423" s="29"/>
      <c r="DQ423" s="29"/>
      <c r="DR423" s="29"/>
      <c r="DS423" s="29"/>
      <c r="DT423" s="29"/>
      <c r="DU423" s="29"/>
      <c r="DV423" s="29"/>
      <c r="DW423" s="29"/>
      <c r="DX423" s="29"/>
      <c r="DY423" s="29"/>
      <c r="DZ423" s="29"/>
      <c r="EA423" s="29"/>
      <c r="EB423" s="29"/>
      <c r="EC423" s="29"/>
      <c r="ED423" s="29"/>
      <c r="EE423" s="29"/>
      <c r="EF423" s="29"/>
      <c r="EG423" s="29"/>
      <c r="EH423" s="29"/>
      <c r="EI423" s="29"/>
      <c r="EJ423" s="29"/>
      <c r="EK423" s="29"/>
      <c r="EL423" s="29"/>
      <c r="EM423" s="29"/>
      <c r="EN423" s="29"/>
      <c r="EO423" s="29"/>
      <c r="EP423" s="29"/>
      <c r="EQ423" s="29"/>
      <c r="ER423" s="29"/>
      <c r="ES423" s="29"/>
      <c r="ET423" s="29" t="s">
        <v>526</v>
      </c>
      <c r="EU423" s="29" t="s">
        <v>479</v>
      </c>
      <c r="EV423" s="29" t="s">
        <v>527</v>
      </c>
      <c r="EW423" s="29" t="s">
        <v>8376</v>
      </c>
      <c r="EX423" s="29" t="s">
        <v>8377</v>
      </c>
      <c r="EY423" s="29" t="s">
        <v>8378</v>
      </c>
      <c r="EZ423" s="29"/>
      <c r="FA423" s="29"/>
      <c r="FB423" s="29"/>
      <c r="FC423" s="29"/>
      <c r="FD423" s="29"/>
      <c r="FE423" s="29"/>
      <c r="FF423" s="29"/>
      <c r="FG423" s="29"/>
      <c r="FH423" s="29"/>
      <c r="FI423" s="29"/>
      <c r="FJ423" s="29"/>
      <c r="FK423" s="29"/>
      <c r="FL423" s="29"/>
      <c r="FM423" s="29"/>
      <c r="FN423" s="29"/>
      <c r="FO423" s="29" t="s">
        <v>485</v>
      </c>
      <c r="FP423" s="29" t="s">
        <v>418</v>
      </c>
      <c r="FQ423" s="29" t="s">
        <v>1039</v>
      </c>
      <c r="FR423" s="29" t="s">
        <v>8379</v>
      </c>
      <c r="FS423" s="29" t="s">
        <v>420</v>
      </c>
      <c r="FT423" s="29" t="s">
        <v>488</v>
      </c>
      <c r="FU423" s="29"/>
      <c r="FV423" s="29" t="s">
        <v>490</v>
      </c>
      <c r="FW423" s="29" t="s">
        <v>491</v>
      </c>
      <c r="FX423" s="29" t="s">
        <v>8380</v>
      </c>
      <c r="FY423" s="29" t="s">
        <v>535</v>
      </c>
      <c r="FZ423" s="29" t="s">
        <v>8381</v>
      </c>
      <c r="GA423" s="29" t="s">
        <v>8382</v>
      </c>
      <c r="GB423" s="29" t="s">
        <v>455</v>
      </c>
      <c r="GC423" s="29"/>
      <c r="GD423" s="29"/>
      <c r="GE423" s="29" t="s">
        <v>786</v>
      </c>
      <c r="GF423" s="29" t="s">
        <v>8383</v>
      </c>
      <c r="GG423" s="29" t="s">
        <v>857</v>
      </c>
      <c r="GH423" s="29" t="s">
        <v>789</v>
      </c>
      <c r="GI423" s="29" t="s">
        <v>858</v>
      </c>
      <c r="GJ423" s="29"/>
      <c r="GK423" s="29"/>
      <c r="GL423" s="29"/>
      <c r="GM423" s="29"/>
      <c r="GN423" s="29"/>
      <c r="GO423" s="29"/>
      <c r="GP423" s="29"/>
      <c r="GQ423" s="29" t="s">
        <v>3273</v>
      </c>
      <c r="GR423" s="29"/>
      <c r="GS423" s="29"/>
      <c r="GT423" s="29" t="s">
        <v>5081</v>
      </c>
      <c r="GU423" s="29" t="s">
        <v>8384</v>
      </c>
      <c r="HP423" s="31"/>
      <c r="MX423" s="29" t="s">
        <v>538</v>
      </c>
      <c r="MY423" s="29" t="str">
        <f>IFERROR(__xludf.DUMMYFUNCTION("""COMPUTED_VALUE"""),"United Kingdom")</f>
        <v>United Kingdom</v>
      </c>
    </row>
    <row r="424" ht="16.5" customHeight="1">
      <c r="A424" s="33">
        <v>46060.45633940972</v>
      </c>
      <c r="B424" s="29" t="s">
        <v>368</v>
      </c>
      <c r="C424" s="29" t="s">
        <v>538</v>
      </c>
      <c r="D424" s="29" t="s">
        <v>538</v>
      </c>
      <c r="E424" s="29"/>
      <c r="F424" s="29"/>
      <c r="G424" s="29" t="s">
        <v>1093</v>
      </c>
      <c r="H424" s="29" t="s">
        <v>1203</v>
      </c>
      <c r="I424" s="29" t="s">
        <v>638</v>
      </c>
      <c r="J424" s="29" t="s">
        <v>1023</v>
      </c>
      <c r="K424" s="29" t="s">
        <v>376</v>
      </c>
      <c r="L424" s="29" t="s">
        <v>793</v>
      </c>
      <c r="M424" s="29" t="s">
        <v>719</v>
      </c>
      <c r="N424" s="29" t="s">
        <v>793</v>
      </c>
      <c r="O424" s="29" t="s">
        <v>720</v>
      </c>
      <c r="P424" s="29" t="s">
        <v>592</v>
      </c>
      <c r="Q424" s="29" t="s">
        <v>382</v>
      </c>
      <c r="R424" s="29" t="s">
        <v>949</v>
      </c>
      <c r="S424" s="29" t="s">
        <v>384</v>
      </c>
      <c r="T424" s="29" t="s">
        <v>385</v>
      </c>
      <c r="U424" s="29"/>
      <c r="V424" s="29"/>
      <c r="W424" s="29" t="s">
        <v>593</v>
      </c>
      <c r="X424" s="29" t="s">
        <v>642</v>
      </c>
      <c r="Y424" s="29"/>
      <c r="Z424" s="29"/>
      <c r="AA424" s="29"/>
      <c r="AB424" s="29"/>
      <c r="AC424" s="29"/>
      <c r="AD424" s="29"/>
      <c r="AE424" s="29"/>
      <c r="AF424" s="29"/>
      <c r="AG424" s="29"/>
      <c r="AH424" s="29"/>
      <c r="AI424" s="29"/>
      <c r="AJ424" s="29"/>
      <c r="AK424" s="29"/>
      <c r="AL424" s="29" t="s">
        <v>1141</v>
      </c>
      <c r="AM424" s="29" t="s">
        <v>1142</v>
      </c>
      <c r="AN424" s="29" t="s">
        <v>408</v>
      </c>
      <c r="AO424" s="29"/>
      <c r="AP424" s="29" t="s">
        <v>913</v>
      </c>
      <c r="AQ424" s="29">
        <v>5.0</v>
      </c>
      <c r="AR424" s="29" t="s">
        <v>1507</v>
      </c>
      <c r="AS424" s="29" t="s">
        <v>8385</v>
      </c>
      <c r="AT424" s="29" t="s">
        <v>8386</v>
      </c>
      <c r="AU424" s="29" t="s">
        <v>8387</v>
      </c>
      <c r="AV424" s="29" t="s">
        <v>390</v>
      </c>
      <c r="AW424" s="29" t="s">
        <v>391</v>
      </c>
      <c r="AX424" s="29" t="s">
        <v>391</v>
      </c>
      <c r="AY424" s="29">
        <v>2.0</v>
      </c>
      <c r="AZ424" s="29">
        <v>2.0</v>
      </c>
      <c r="BA424" s="29">
        <v>2.0</v>
      </c>
      <c r="BB424" s="29">
        <v>2.0</v>
      </c>
      <c r="BC424" s="29" t="s">
        <v>8388</v>
      </c>
      <c r="BD424" s="29" t="s">
        <v>8389</v>
      </c>
      <c r="BE424" s="29" t="s">
        <v>432</v>
      </c>
      <c r="BF424" s="29" t="s">
        <v>393</v>
      </c>
      <c r="BG424" s="29" t="s">
        <v>765</v>
      </c>
      <c r="BH424" s="29" t="s">
        <v>8390</v>
      </c>
      <c r="BI424" s="29" t="s">
        <v>824</v>
      </c>
      <c r="BJ424" s="29"/>
      <c r="BK424" s="29" t="s">
        <v>437</v>
      </c>
      <c r="BL424" s="29" t="s">
        <v>438</v>
      </c>
      <c r="BM424" s="29" t="s">
        <v>549</v>
      </c>
      <c r="BN424" s="29" t="s">
        <v>513</v>
      </c>
      <c r="BO424" s="29"/>
      <c r="BP424" s="29"/>
      <c r="BQ424" s="29"/>
      <c r="BR424" s="29"/>
      <c r="BS424" s="29"/>
      <c r="BT424" s="29"/>
      <c r="BU424" s="29"/>
      <c r="BV424" s="29"/>
      <c r="BW424" s="29"/>
      <c r="BX424" s="29"/>
      <c r="BY424" s="29"/>
      <c r="BZ424" s="29"/>
      <c r="CA424" s="29"/>
      <c r="CB424" s="29"/>
      <c r="CC424" s="29"/>
      <c r="CD424" s="29"/>
      <c r="CE424" s="29"/>
      <c r="CF424" s="29"/>
      <c r="CG424" s="29"/>
      <c r="CH424" s="29"/>
      <c r="CI424" s="29"/>
      <c r="CJ424" s="29"/>
      <c r="CK424" s="29"/>
      <c r="CL424" s="29" t="s">
        <v>441</v>
      </c>
      <c r="CM424" s="29" t="s">
        <v>401</v>
      </c>
      <c r="CN424" s="29" t="s">
        <v>8391</v>
      </c>
      <c r="CO424" s="29" t="s">
        <v>8392</v>
      </c>
      <c r="CP424" s="29" t="s">
        <v>445</v>
      </c>
      <c r="CQ424" s="29" t="s">
        <v>1649</v>
      </c>
      <c r="CR424" s="29" t="s">
        <v>555</v>
      </c>
      <c r="CS424" s="29" t="s">
        <v>8393</v>
      </c>
      <c r="CT424" s="29" t="s">
        <v>8394</v>
      </c>
      <c r="CU424" s="29" t="s">
        <v>450</v>
      </c>
      <c r="CV424" s="29" t="s">
        <v>451</v>
      </c>
      <c r="CW424" s="29" t="s">
        <v>8395</v>
      </c>
      <c r="CX424" s="29" t="s">
        <v>408</v>
      </c>
      <c r="CY424" s="29"/>
      <c r="CZ424" s="29" t="s">
        <v>453</v>
      </c>
      <c r="DA424" s="29" t="s">
        <v>8396</v>
      </c>
      <c r="DB424" s="29" t="s">
        <v>408</v>
      </c>
      <c r="DC424" s="29"/>
      <c r="DD424" s="29" t="s">
        <v>406</v>
      </c>
      <c r="DE424" s="29" t="s">
        <v>691</v>
      </c>
      <c r="DF424" s="29" t="s">
        <v>8397</v>
      </c>
      <c r="DG424" s="29" t="s">
        <v>561</v>
      </c>
      <c r="DH424" s="29" t="s">
        <v>833</v>
      </c>
      <c r="DI424" s="29" t="s">
        <v>459</v>
      </c>
      <c r="DJ424" s="29" t="s">
        <v>613</v>
      </c>
      <c r="DK424" s="29"/>
      <c r="DL424" s="29"/>
      <c r="DM424" s="29"/>
      <c r="DN424" s="29"/>
      <c r="DO424" s="29"/>
      <c r="DP424" s="29"/>
      <c r="DQ424" s="29"/>
      <c r="DR424" s="29"/>
      <c r="DS424" s="29"/>
      <c r="DT424" s="29"/>
      <c r="DU424" s="29"/>
      <c r="DV424" s="29"/>
      <c r="DW424" s="29"/>
      <c r="DX424" s="29"/>
      <c r="DY424" s="29"/>
      <c r="DZ424" s="29"/>
      <c r="EA424" s="29"/>
      <c r="EB424" s="29"/>
      <c r="EC424" s="29"/>
      <c r="ED424" s="29"/>
      <c r="EE424" s="29"/>
      <c r="EF424" s="29"/>
      <c r="EG424" s="29"/>
      <c r="EH424" s="29"/>
      <c r="EI424" s="29"/>
      <c r="EJ424" s="29"/>
      <c r="EK424" s="29"/>
      <c r="EL424" s="29"/>
      <c r="EM424" s="29"/>
      <c r="EN424" s="29"/>
      <c r="EO424" s="29"/>
      <c r="EP424" s="29"/>
      <c r="EQ424" s="29"/>
      <c r="ER424" s="29"/>
      <c r="ES424" s="29"/>
      <c r="ET424" s="29" t="s">
        <v>578</v>
      </c>
      <c r="EU424" s="29" t="s">
        <v>479</v>
      </c>
      <c r="EV424" s="29" t="s">
        <v>1534</v>
      </c>
      <c r="EW424" s="29" t="s">
        <v>8398</v>
      </c>
      <c r="EX424" s="29" t="s">
        <v>8399</v>
      </c>
      <c r="EY424" s="29" t="s">
        <v>8400</v>
      </c>
      <c r="EZ424" s="29" t="s">
        <v>413</v>
      </c>
      <c r="FA424" s="29" t="s">
        <v>413</v>
      </c>
      <c r="FB424" s="29" t="s">
        <v>413</v>
      </c>
      <c r="FC424" s="29" t="s">
        <v>413</v>
      </c>
      <c r="FD424" s="29" t="s">
        <v>413</v>
      </c>
      <c r="FE424" s="29" t="s">
        <v>413</v>
      </c>
      <c r="FF424" s="29" t="s">
        <v>413</v>
      </c>
      <c r="FG424" s="29" t="s">
        <v>413</v>
      </c>
      <c r="FH424" s="29" t="s">
        <v>583</v>
      </c>
      <c r="FI424" s="29" t="s">
        <v>413</v>
      </c>
      <c r="FJ424" s="29" t="s">
        <v>413</v>
      </c>
      <c r="FK424" s="29" t="s">
        <v>413</v>
      </c>
      <c r="FL424" s="29" t="s">
        <v>413</v>
      </c>
      <c r="FM424" s="29" t="s">
        <v>413</v>
      </c>
      <c r="FN424" s="29" t="s">
        <v>583</v>
      </c>
      <c r="FO424" s="29" t="s">
        <v>417</v>
      </c>
      <c r="FP424" s="29" t="s">
        <v>418</v>
      </c>
      <c r="FQ424" s="29" t="s">
        <v>1039</v>
      </c>
      <c r="FR424" s="29" t="s">
        <v>8401</v>
      </c>
      <c r="FS424" s="29" t="s">
        <v>420</v>
      </c>
      <c r="FT424" s="29" t="s">
        <v>488</v>
      </c>
      <c r="FU424" s="29" t="s">
        <v>585</v>
      </c>
      <c r="FV424" s="29" t="s">
        <v>490</v>
      </c>
      <c r="FW424" s="29" t="s">
        <v>491</v>
      </c>
      <c r="FX424" s="29" t="s">
        <v>8402</v>
      </c>
      <c r="FY424" s="29" t="s">
        <v>535</v>
      </c>
      <c r="FZ424" s="29" t="s">
        <v>8403</v>
      </c>
      <c r="GA424" s="29"/>
      <c r="GB424" s="29" t="s">
        <v>408</v>
      </c>
      <c r="GC424" s="29"/>
      <c r="GD424" s="29"/>
      <c r="GE424" s="29"/>
      <c r="GF424" s="29"/>
      <c r="GG424" s="29" t="s">
        <v>857</v>
      </c>
      <c r="GH424" s="29" t="s">
        <v>857</v>
      </c>
      <c r="GI424" s="29" t="s">
        <v>790</v>
      </c>
      <c r="GJ424" s="29"/>
      <c r="GK424" s="29"/>
      <c r="GL424" s="29"/>
      <c r="GM424" s="29"/>
      <c r="GN424" s="29" t="s">
        <v>538</v>
      </c>
      <c r="GO424" s="29" t="s">
        <v>538</v>
      </c>
      <c r="GP424" s="29"/>
      <c r="GQ424" s="29" t="s">
        <v>3208</v>
      </c>
      <c r="GR424" s="29"/>
      <c r="GS424" s="29"/>
      <c r="GT424" s="29" t="s">
        <v>5170</v>
      </c>
      <c r="GU424" s="29" t="s">
        <v>8404</v>
      </c>
      <c r="HP424" s="31"/>
      <c r="MX424" s="29" t="s">
        <v>370</v>
      </c>
      <c r="MY424" s="29" t="str">
        <f>IFERROR(__xludf.DUMMYFUNCTION("""COMPUTED_VALUE"""),"United States of America (USA)")</f>
        <v>United States of America (USA)</v>
      </c>
    </row>
    <row r="425" ht="16.5" customHeight="1">
      <c r="A425" s="33">
        <v>46061.44789758102</v>
      </c>
      <c r="B425" s="29" t="s">
        <v>368</v>
      </c>
      <c r="C425" s="29" t="s">
        <v>370</v>
      </c>
      <c r="D425" s="29" t="s">
        <v>370</v>
      </c>
      <c r="E425" s="29"/>
      <c r="F425" s="29"/>
      <c r="G425" s="29" t="s">
        <v>422</v>
      </c>
      <c r="H425" s="29" t="s">
        <v>496</v>
      </c>
      <c r="I425" s="29" t="s">
        <v>374</v>
      </c>
      <c r="J425" s="29" t="s">
        <v>718</v>
      </c>
      <c r="K425" s="29" t="s">
        <v>376</v>
      </c>
      <c r="L425" s="29" t="s">
        <v>426</v>
      </c>
      <c r="M425" s="29" t="s">
        <v>378</v>
      </c>
      <c r="N425" s="29" t="s">
        <v>426</v>
      </c>
      <c r="O425" s="29" t="s">
        <v>1196</v>
      </c>
      <c r="P425" s="29" t="s">
        <v>381</v>
      </c>
      <c r="Q425" s="29" t="s">
        <v>759</v>
      </c>
      <c r="R425" s="29" t="s">
        <v>949</v>
      </c>
      <c r="S425" s="29" t="s">
        <v>1785</v>
      </c>
      <c r="T425" s="29" t="s">
        <v>1786</v>
      </c>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c r="BO425" s="29"/>
      <c r="BP425" s="29"/>
      <c r="BQ425" s="29"/>
      <c r="BR425" s="29"/>
      <c r="BS425" s="29"/>
      <c r="BT425" s="29"/>
      <c r="BU425" s="29"/>
      <c r="BV425" s="29"/>
      <c r="BW425" s="29"/>
      <c r="BX425" s="29"/>
      <c r="BY425" s="29"/>
      <c r="BZ425" s="29"/>
      <c r="CA425" s="29"/>
      <c r="CB425" s="29"/>
      <c r="CC425" s="29"/>
      <c r="CD425" s="29"/>
      <c r="CE425" s="29"/>
      <c r="CF425" s="29"/>
      <c r="CG425" s="29"/>
      <c r="CH425" s="29"/>
      <c r="CI425" s="29"/>
      <c r="CJ425" s="29"/>
      <c r="CK425" s="29"/>
      <c r="CL425" s="29"/>
      <c r="CM425" s="29"/>
      <c r="CN425" s="29"/>
      <c r="CO425" s="29"/>
      <c r="CP425" s="29"/>
      <c r="CQ425" s="29"/>
      <c r="CR425" s="29"/>
      <c r="CS425" s="29"/>
      <c r="CT425" s="29"/>
      <c r="CU425" s="29"/>
      <c r="CV425" s="29"/>
      <c r="CW425" s="29"/>
      <c r="CX425" s="29"/>
      <c r="CY425" s="29"/>
      <c r="CZ425" s="29"/>
      <c r="DA425" s="29"/>
      <c r="DB425" s="29"/>
      <c r="DC425" s="29"/>
      <c r="DD425" s="29"/>
      <c r="DE425" s="29"/>
      <c r="DF425" s="29"/>
      <c r="DG425" s="29"/>
      <c r="DH425" s="29"/>
      <c r="DI425" s="29"/>
      <c r="DJ425" s="29"/>
      <c r="DK425" s="29"/>
      <c r="DL425" s="29"/>
      <c r="DM425" s="29"/>
      <c r="DN425" s="29"/>
      <c r="DO425" s="29"/>
      <c r="DP425" s="29"/>
      <c r="DQ425" s="29"/>
      <c r="DR425" s="29"/>
      <c r="DS425" s="29"/>
      <c r="DT425" s="29"/>
      <c r="DU425" s="29"/>
      <c r="DV425" s="29"/>
      <c r="DW425" s="29"/>
      <c r="DX425" s="29"/>
      <c r="DY425" s="29"/>
      <c r="DZ425" s="29"/>
      <c r="EA425" s="29"/>
      <c r="EB425" s="29"/>
      <c r="EC425" s="29"/>
      <c r="ED425" s="29" t="s">
        <v>5662</v>
      </c>
      <c r="EE425" s="29"/>
      <c r="EF425" s="29"/>
      <c r="EG425" s="29"/>
      <c r="EH425" s="29" t="s">
        <v>8405</v>
      </c>
      <c r="EI425" s="29" t="s">
        <v>5664</v>
      </c>
      <c r="EJ425" s="29"/>
      <c r="EK425" s="29"/>
      <c r="EL425" s="29"/>
      <c r="EM425" s="29"/>
      <c r="EN425" s="29"/>
      <c r="EO425" s="29"/>
      <c r="EP425" s="29"/>
      <c r="EQ425" s="29"/>
      <c r="ER425" s="29" t="s">
        <v>8406</v>
      </c>
      <c r="ES425" s="29"/>
      <c r="ET425" s="29" t="s">
        <v>578</v>
      </c>
      <c r="EU425" s="29" t="s">
        <v>887</v>
      </c>
      <c r="EV425" s="29" t="s">
        <v>480</v>
      </c>
      <c r="EW425" s="29"/>
      <c r="EX425" s="29" t="s">
        <v>8407</v>
      </c>
      <c r="EY425" s="29" t="s">
        <v>8408</v>
      </c>
      <c r="EZ425" s="29" t="s">
        <v>415</v>
      </c>
      <c r="FA425" s="29" t="s">
        <v>415</v>
      </c>
      <c r="FB425" s="29" t="s">
        <v>416</v>
      </c>
      <c r="FC425" s="29" t="s">
        <v>415</v>
      </c>
      <c r="FD425" s="29" t="s">
        <v>416</v>
      </c>
      <c r="FE425" s="29" t="s">
        <v>414</v>
      </c>
      <c r="FF425" s="29" t="s">
        <v>416</v>
      </c>
      <c r="FG425" s="29" t="s">
        <v>416</v>
      </c>
      <c r="FH425" s="29" t="s">
        <v>414</v>
      </c>
      <c r="FI425" s="29" t="s">
        <v>583</v>
      </c>
      <c r="FJ425" s="29" t="s">
        <v>414</v>
      </c>
      <c r="FK425" s="29" t="s">
        <v>415</v>
      </c>
      <c r="FL425" s="29" t="s">
        <v>484</v>
      </c>
      <c r="FM425" s="29" t="s">
        <v>413</v>
      </c>
      <c r="FN425" s="29" t="s">
        <v>583</v>
      </c>
      <c r="FO425" s="29" t="s">
        <v>850</v>
      </c>
      <c r="FP425" s="29" t="s">
        <v>486</v>
      </c>
      <c r="FQ425" s="29" t="s">
        <v>712</v>
      </c>
      <c r="FR425" s="29"/>
      <c r="FS425" s="29" t="s">
        <v>995</v>
      </c>
      <c r="FT425" s="29" t="s">
        <v>1476</v>
      </c>
      <c r="FU425" s="29" t="s">
        <v>489</v>
      </c>
      <c r="FV425" s="29" t="s">
        <v>490</v>
      </c>
      <c r="FW425" s="29" t="s">
        <v>491</v>
      </c>
      <c r="FX425" s="29"/>
      <c r="FY425" s="29" t="s">
        <v>1854</v>
      </c>
      <c r="FZ425" s="29"/>
      <c r="GA425" s="29"/>
      <c r="GB425" s="29" t="s">
        <v>408</v>
      </c>
      <c r="GC425" s="29"/>
      <c r="GD425" s="29"/>
      <c r="GE425" s="29"/>
      <c r="GF425" s="29"/>
      <c r="GG425" s="29"/>
      <c r="GH425" s="29"/>
      <c r="GI425" s="29"/>
      <c r="GJ425" s="29"/>
      <c r="GK425" s="29"/>
      <c r="GL425" s="29"/>
      <c r="GM425" s="29"/>
      <c r="GN425" s="29"/>
      <c r="GO425" s="29"/>
      <c r="GP425" s="29"/>
      <c r="GQ425" s="29"/>
      <c r="GR425" s="29"/>
      <c r="GS425" s="29"/>
      <c r="GT425" s="29"/>
      <c r="GU425" s="29"/>
      <c r="HP425" s="31"/>
      <c r="MX425" s="29" t="s">
        <v>10402</v>
      </c>
      <c r="MY425" s="29" t="str">
        <f>IFERROR(__xludf.DUMMYFUNCTION("""COMPUTED_VALUE"""),"Pennsylvania")</f>
        <v>Pennsylvania</v>
      </c>
    </row>
    <row r="426" ht="16.5" customHeight="1">
      <c r="A426" s="33">
        <v>46061.530180625</v>
      </c>
      <c r="B426" s="29" t="s">
        <v>368</v>
      </c>
      <c r="C426" s="29" t="s">
        <v>370</v>
      </c>
      <c r="D426" s="29" t="s">
        <v>370</v>
      </c>
      <c r="E426" s="29" t="s">
        <v>791</v>
      </c>
      <c r="F426" s="29" t="s">
        <v>371</v>
      </c>
      <c r="G426" s="29" t="s">
        <v>422</v>
      </c>
      <c r="H426" s="29" t="s">
        <v>373</v>
      </c>
      <c r="I426" s="29" t="s">
        <v>374</v>
      </c>
      <c r="J426" s="29" t="s">
        <v>375</v>
      </c>
      <c r="K426" s="29" t="s">
        <v>376</v>
      </c>
      <c r="L426" s="29" t="s">
        <v>426</v>
      </c>
      <c r="M426" s="29" t="s">
        <v>541</v>
      </c>
      <c r="N426" s="29" t="s">
        <v>670</v>
      </c>
      <c r="O426" s="29" t="s">
        <v>1270</v>
      </c>
      <c r="P426" s="29" t="s">
        <v>381</v>
      </c>
      <c r="Q426" s="29" t="s">
        <v>862</v>
      </c>
      <c r="R426" s="29" t="s">
        <v>427</v>
      </c>
      <c r="S426" s="29" t="s">
        <v>384</v>
      </c>
      <c r="T426" s="29" t="s">
        <v>385</v>
      </c>
      <c r="U426" s="29"/>
      <c r="V426" s="29"/>
      <c r="W426" s="29" t="s">
        <v>3014</v>
      </c>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t="s">
        <v>1242</v>
      </c>
      <c r="AW426" s="29" t="s">
        <v>675</v>
      </c>
      <c r="AX426" s="29" t="s">
        <v>675</v>
      </c>
      <c r="AY426" s="29">
        <v>4.0</v>
      </c>
      <c r="AZ426" s="29" t="s">
        <v>675</v>
      </c>
      <c r="BA426" s="29" t="s">
        <v>675</v>
      </c>
      <c r="BB426" s="29" t="s">
        <v>675</v>
      </c>
      <c r="BC426" s="29" t="s">
        <v>8411</v>
      </c>
      <c r="BD426" s="29" t="s">
        <v>8412</v>
      </c>
      <c r="BE426" s="29" t="s">
        <v>902</v>
      </c>
      <c r="BF426" s="29" t="s">
        <v>1245</v>
      </c>
      <c r="BG426" s="29" t="s">
        <v>725</v>
      </c>
      <c r="BH426" s="29" t="s">
        <v>8413</v>
      </c>
      <c r="BI426" s="29" t="s">
        <v>976</v>
      </c>
      <c r="BJ426" s="29"/>
      <c r="BK426" s="29" t="s">
        <v>437</v>
      </c>
      <c r="BL426" s="29" t="s">
        <v>603</v>
      </c>
      <c r="BM426" s="29" t="s">
        <v>1314</v>
      </c>
      <c r="BN426" s="29" t="s">
        <v>398</v>
      </c>
      <c r="BO426" s="29" t="s">
        <v>8414</v>
      </c>
      <c r="BP426" s="29" t="s">
        <v>8415</v>
      </c>
      <c r="BQ426" s="29" t="s">
        <v>442</v>
      </c>
      <c r="BR426" s="29" t="s">
        <v>8416</v>
      </c>
      <c r="BS426" s="29" t="s">
        <v>1741</v>
      </c>
      <c r="BT426" s="29" t="s">
        <v>4072</v>
      </c>
      <c r="BU426" s="29" t="s">
        <v>1831</v>
      </c>
      <c r="BV426" s="29" t="s">
        <v>8417</v>
      </c>
      <c r="BW426" s="29" t="s">
        <v>457</v>
      </c>
      <c r="BX426" s="29"/>
      <c r="BY426" s="29" t="s">
        <v>408</v>
      </c>
      <c r="BZ426" s="29"/>
      <c r="CA426" s="29" t="s">
        <v>8418</v>
      </c>
      <c r="CB426" s="29" t="s">
        <v>8419</v>
      </c>
      <c r="CC426" s="29" t="s">
        <v>8420</v>
      </c>
      <c r="CD426" s="29" t="s">
        <v>409</v>
      </c>
      <c r="CE426" s="29" t="s">
        <v>8421</v>
      </c>
      <c r="CF426" s="29" t="s">
        <v>1258</v>
      </c>
      <c r="CG426" s="29"/>
      <c r="CH426" s="29" t="s">
        <v>2744</v>
      </c>
      <c r="CI426" s="29" t="s">
        <v>410</v>
      </c>
      <c r="CJ426" s="29" t="s">
        <v>8422</v>
      </c>
      <c r="CK426" s="29" t="s">
        <v>8423</v>
      </c>
      <c r="CL426" s="29"/>
      <c r="CM426" s="29"/>
      <c r="CN426" s="29"/>
      <c r="CO426" s="29"/>
      <c r="CP426" s="29"/>
      <c r="CQ426" s="29"/>
      <c r="CR426" s="29"/>
      <c r="CS426" s="29"/>
      <c r="CT426" s="29"/>
      <c r="CU426" s="29"/>
      <c r="CV426" s="29"/>
      <c r="CW426" s="29"/>
      <c r="CX426" s="29"/>
      <c r="CY426" s="29"/>
      <c r="CZ426" s="29"/>
      <c r="DA426" s="29"/>
      <c r="DB426" s="29"/>
      <c r="DC426" s="29"/>
      <c r="DD426" s="29"/>
      <c r="DE426" s="29"/>
      <c r="DF426" s="29"/>
      <c r="DG426" s="29"/>
      <c r="DH426" s="29"/>
      <c r="DI426" s="29" t="s">
        <v>963</v>
      </c>
      <c r="DJ426" s="29" t="s">
        <v>613</v>
      </c>
      <c r="DK426" s="29"/>
      <c r="DL426" s="29"/>
      <c r="DM426" s="29"/>
      <c r="DN426" s="29"/>
      <c r="DO426" s="29"/>
      <c r="DP426" s="29"/>
      <c r="DQ426" s="29"/>
      <c r="DR426" s="29"/>
      <c r="DS426" s="29"/>
      <c r="DT426" s="29"/>
      <c r="DU426" s="29"/>
      <c r="DV426" s="29"/>
      <c r="DW426" s="29"/>
      <c r="DX426" s="29"/>
      <c r="DY426" s="29"/>
      <c r="DZ426" s="29"/>
      <c r="EA426" s="29"/>
      <c r="EB426" s="29"/>
      <c r="EC426" s="29"/>
      <c r="ED426" s="29"/>
      <c r="EE426" s="29"/>
      <c r="EF426" s="29"/>
      <c r="EG426" s="29"/>
      <c r="EH426" s="29"/>
      <c r="EI426" s="29"/>
      <c r="EJ426" s="29"/>
      <c r="EK426" s="29"/>
      <c r="EL426" s="29"/>
      <c r="EM426" s="29"/>
      <c r="EN426" s="29"/>
      <c r="EO426" s="29"/>
      <c r="EP426" s="29"/>
      <c r="EQ426" s="29"/>
      <c r="ER426" s="29"/>
      <c r="ES426" s="29"/>
      <c r="ET426" s="29" t="s">
        <v>526</v>
      </c>
      <c r="EU426" s="29" t="s">
        <v>479</v>
      </c>
      <c r="EV426" s="29" t="s">
        <v>1262</v>
      </c>
      <c r="EW426" s="29" t="s">
        <v>8424</v>
      </c>
      <c r="EX426" s="29" t="s">
        <v>8425</v>
      </c>
      <c r="EY426" s="29" t="s">
        <v>8426</v>
      </c>
      <c r="EZ426" s="29" t="s">
        <v>415</v>
      </c>
      <c r="FA426" s="29" t="s">
        <v>415</v>
      </c>
      <c r="FB426" s="29" t="s">
        <v>413</v>
      </c>
      <c r="FC426" s="29" t="s">
        <v>416</v>
      </c>
      <c r="FD426" s="29" t="s">
        <v>413</v>
      </c>
      <c r="FE426" s="29" t="s">
        <v>414</v>
      </c>
      <c r="FF426" s="29" t="s">
        <v>414</v>
      </c>
      <c r="FG426" s="29" t="s">
        <v>413</v>
      </c>
      <c r="FH426" s="29" t="s">
        <v>484</v>
      </c>
      <c r="FI426" s="29" t="s">
        <v>484</v>
      </c>
      <c r="FJ426" s="29" t="s">
        <v>583</v>
      </c>
      <c r="FK426" s="29"/>
      <c r="FL426" s="29" t="s">
        <v>415</v>
      </c>
      <c r="FM426" s="29" t="s">
        <v>416</v>
      </c>
      <c r="FN426" s="29" t="s">
        <v>414</v>
      </c>
      <c r="FO426" s="29" t="s">
        <v>485</v>
      </c>
      <c r="FP426" s="29" t="s">
        <v>418</v>
      </c>
      <c r="FQ426" s="29" t="s">
        <v>419</v>
      </c>
      <c r="FR426" s="29" t="s">
        <v>8427</v>
      </c>
      <c r="FS426" s="29" t="s">
        <v>420</v>
      </c>
      <c r="FT426" s="29" t="s">
        <v>488</v>
      </c>
      <c r="FU426" s="29" t="s">
        <v>533</v>
      </c>
      <c r="FV426" s="29" t="s">
        <v>490</v>
      </c>
      <c r="FW426" s="29" t="s">
        <v>491</v>
      </c>
      <c r="FX426" s="29" t="s">
        <v>8428</v>
      </c>
      <c r="FY426" s="29" t="s">
        <v>535</v>
      </c>
      <c r="FZ426" s="29"/>
      <c r="GA426" s="29"/>
      <c r="GB426" s="29" t="s">
        <v>455</v>
      </c>
      <c r="GC426" s="29"/>
      <c r="GD426" s="29"/>
      <c r="GE426" s="29" t="s">
        <v>753</v>
      </c>
      <c r="GF426" s="29" t="s">
        <v>3337</v>
      </c>
      <c r="GG426" s="29"/>
      <c r="GH426" s="29"/>
      <c r="GI426" s="29"/>
      <c r="GJ426" s="29" t="s">
        <v>755</v>
      </c>
      <c r="GK426" s="29" t="s">
        <v>755</v>
      </c>
      <c r="GL426" s="29" t="s">
        <v>946</v>
      </c>
      <c r="GM426" s="29"/>
      <c r="GN426" s="29"/>
      <c r="GO426" s="29"/>
      <c r="GP426" s="29"/>
      <c r="GQ426" s="29" t="s">
        <v>3208</v>
      </c>
      <c r="GR426" s="29" t="s">
        <v>4741</v>
      </c>
      <c r="GS426" s="29" t="s">
        <v>8429</v>
      </c>
      <c r="GT426" s="29"/>
      <c r="GU426" s="29"/>
      <c r="HP426" s="31"/>
      <c r="MX426" s="29" t="s">
        <v>10402</v>
      </c>
      <c r="MY426" s="29" t="str">
        <f>IFERROR(__xludf.DUMMYFUNCTION("""COMPUTED_VALUE"""),"Massachusetts")</f>
        <v>Massachusetts</v>
      </c>
    </row>
    <row r="427" ht="16.5" customHeight="1">
      <c r="A427" s="33">
        <v>46064.86387719907</v>
      </c>
      <c r="B427" s="29" t="s">
        <v>368</v>
      </c>
      <c r="C427" s="29" t="s">
        <v>370</v>
      </c>
      <c r="D427" s="29" t="s">
        <v>370</v>
      </c>
      <c r="E427" s="29" t="s">
        <v>1001</v>
      </c>
      <c r="F427" s="29" t="s">
        <v>1001</v>
      </c>
      <c r="G427" s="29" t="s">
        <v>422</v>
      </c>
      <c r="H427" s="29" t="s">
        <v>496</v>
      </c>
      <c r="I427" s="29" t="s">
        <v>374</v>
      </c>
      <c r="J427" s="29" t="s">
        <v>375</v>
      </c>
      <c r="K427" s="29" t="s">
        <v>376</v>
      </c>
      <c r="L427" s="29" t="s">
        <v>379</v>
      </c>
      <c r="M427" s="29" t="s">
        <v>2966</v>
      </c>
      <c r="N427" s="29" t="s">
        <v>379</v>
      </c>
      <c r="O427" s="29" t="s">
        <v>8430</v>
      </c>
      <c r="P427" s="29" t="s">
        <v>381</v>
      </c>
      <c r="Q427" s="29" t="s">
        <v>382</v>
      </c>
      <c r="R427" s="29" t="s">
        <v>427</v>
      </c>
      <c r="S427" s="29" t="s">
        <v>1785</v>
      </c>
      <c r="T427" s="29" t="s">
        <v>1786</v>
      </c>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c r="BO427" s="29"/>
      <c r="BP427" s="29"/>
      <c r="BQ427" s="29"/>
      <c r="BR427" s="29"/>
      <c r="BS427" s="29"/>
      <c r="BT427" s="29"/>
      <c r="BU427" s="29"/>
      <c r="BV427" s="29"/>
      <c r="BW427" s="29"/>
      <c r="BX427" s="29"/>
      <c r="BY427" s="29"/>
      <c r="BZ427" s="29"/>
      <c r="CA427" s="29"/>
      <c r="CB427" s="29"/>
      <c r="CC427" s="29"/>
      <c r="CD427" s="29"/>
      <c r="CE427" s="29"/>
      <c r="CF427" s="29"/>
      <c r="CG427" s="29"/>
      <c r="CH427" s="29"/>
      <c r="CI427" s="29"/>
      <c r="CJ427" s="29"/>
      <c r="CK427" s="29"/>
      <c r="CL427" s="29"/>
      <c r="CM427" s="29"/>
      <c r="CN427" s="29"/>
      <c r="CO427" s="29"/>
      <c r="CP427" s="29"/>
      <c r="CQ427" s="29"/>
      <c r="CR427" s="29"/>
      <c r="CS427" s="29"/>
      <c r="CT427" s="29"/>
      <c r="CU427" s="29"/>
      <c r="CV427" s="29"/>
      <c r="CW427" s="29"/>
      <c r="CX427" s="29"/>
      <c r="CY427" s="29"/>
      <c r="CZ427" s="29"/>
      <c r="DA427" s="29"/>
      <c r="DB427" s="29"/>
      <c r="DC427" s="29"/>
      <c r="DD427" s="29"/>
      <c r="DE427" s="29"/>
      <c r="DF427" s="29"/>
      <c r="DG427" s="29"/>
      <c r="DH427" s="29"/>
      <c r="DI427" s="29"/>
      <c r="DJ427" s="29"/>
      <c r="DK427" s="29"/>
      <c r="DL427" s="29"/>
      <c r="DM427" s="29"/>
      <c r="DN427" s="29"/>
      <c r="DO427" s="29"/>
      <c r="DP427" s="29"/>
      <c r="DQ427" s="29"/>
      <c r="DR427" s="29"/>
      <c r="DS427" s="29"/>
      <c r="DT427" s="29"/>
      <c r="DU427" s="29"/>
      <c r="DV427" s="29"/>
      <c r="DW427" s="29"/>
      <c r="DX427" s="29"/>
      <c r="DY427" s="29"/>
      <c r="DZ427" s="29"/>
      <c r="EA427" s="29"/>
      <c r="EB427" s="29"/>
      <c r="EC427" s="29"/>
      <c r="ED427" s="29" t="s">
        <v>5723</v>
      </c>
      <c r="EE427" s="29"/>
      <c r="EF427" s="29"/>
      <c r="EG427" s="29"/>
      <c r="EH427" s="29"/>
      <c r="EI427" s="29"/>
      <c r="EJ427" s="29"/>
      <c r="EK427" s="29"/>
      <c r="EL427" s="29"/>
      <c r="EM427" s="29"/>
      <c r="EN427" s="29"/>
      <c r="EO427" s="29" t="s">
        <v>8431</v>
      </c>
      <c r="EP427" s="29" t="s">
        <v>8432</v>
      </c>
      <c r="EQ427" s="29"/>
      <c r="ER427" s="29" t="s">
        <v>8433</v>
      </c>
      <c r="ES427" s="29" t="s">
        <v>8434</v>
      </c>
      <c r="ET427" s="29" t="s">
        <v>526</v>
      </c>
      <c r="EU427" s="29" t="s">
        <v>479</v>
      </c>
      <c r="EV427" s="29" t="s">
        <v>778</v>
      </c>
      <c r="EW427" s="29" t="s">
        <v>8435</v>
      </c>
      <c r="EX427" s="29" t="s">
        <v>8436</v>
      </c>
      <c r="EY427" s="29" t="s">
        <v>8437</v>
      </c>
      <c r="EZ427" s="29" t="s">
        <v>413</v>
      </c>
      <c r="FA427" s="29" t="s">
        <v>413</v>
      </c>
      <c r="FB427" s="29" t="s">
        <v>413</v>
      </c>
      <c r="FC427" s="29" t="s">
        <v>413</v>
      </c>
      <c r="FD427" s="29" t="s">
        <v>413</v>
      </c>
      <c r="FE427" s="29" t="s">
        <v>413</v>
      </c>
      <c r="FF427" s="29" t="s">
        <v>413</v>
      </c>
      <c r="FG427" s="29" t="s">
        <v>413</v>
      </c>
      <c r="FH427" s="29"/>
      <c r="FI427" s="29"/>
      <c r="FJ427" s="29" t="s">
        <v>413</v>
      </c>
      <c r="FK427" s="29" t="s">
        <v>413</v>
      </c>
      <c r="FL427" s="29" t="s">
        <v>413</v>
      </c>
      <c r="FM427" s="29" t="s">
        <v>413</v>
      </c>
      <c r="FN427" s="29"/>
      <c r="FO427" s="29" t="s">
        <v>417</v>
      </c>
      <c r="FP427" s="29" t="s">
        <v>486</v>
      </c>
      <c r="FQ427" s="29" t="s">
        <v>419</v>
      </c>
      <c r="FR427" s="29" t="s">
        <v>8438</v>
      </c>
      <c r="FS427" s="29" t="s">
        <v>420</v>
      </c>
      <c r="FT427" s="29" t="s">
        <v>488</v>
      </c>
      <c r="FU427" s="29" t="s">
        <v>489</v>
      </c>
      <c r="FV427" s="29" t="s">
        <v>490</v>
      </c>
      <c r="FW427" s="29" t="s">
        <v>491</v>
      </c>
      <c r="FX427" s="29" t="s">
        <v>8439</v>
      </c>
      <c r="FY427" s="29" t="s">
        <v>535</v>
      </c>
      <c r="FZ427" s="29" t="s">
        <v>8440</v>
      </c>
      <c r="GA427" s="29" t="s">
        <v>8441</v>
      </c>
      <c r="GB427" s="29" t="s">
        <v>455</v>
      </c>
      <c r="GC427" s="29"/>
      <c r="GD427" s="29"/>
      <c r="GE427" s="29" t="s">
        <v>1339</v>
      </c>
      <c r="GF427" s="29" t="s">
        <v>8442</v>
      </c>
      <c r="GG427" s="29"/>
      <c r="GH427" s="29"/>
      <c r="GI427" s="29"/>
      <c r="GJ427" s="29"/>
      <c r="GK427" s="29"/>
      <c r="GL427" s="29"/>
      <c r="GM427" s="29"/>
      <c r="GN427" s="29"/>
      <c r="GO427" s="29"/>
      <c r="GP427" s="29"/>
      <c r="GQ427" s="29" t="s">
        <v>8443</v>
      </c>
      <c r="GR427" s="29"/>
      <c r="GS427" s="29"/>
      <c r="GT427" s="29"/>
      <c r="GU427" s="29"/>
      <c r="HP427" s="31"/>
      <c r="MX427" s="29" t="s">
        <v>10402</v>
      </c>
      <c r="MY427" s="29" t="str">
        <f>IFERROR(__xludf.DUMMYFUNCTION("""COMPUTED_VALUE"""),"New York")</f>
        <v>New York</v>
      </c>
    </row>
    <row r="428" ht="16.5" customHeight="1">
      <c r="A428" s="33">
        <v>46064.888075104165</v>
      </c>
      <c r="B428" s="29" t="s">
        <v>368</v>
      </c>
      <c r="C428" s="29" t="s">
        <v>370</v>
      </c>
      <c r="D428" s="29" t="s">
        <v>370</v>
      </c>
      <c r="E428" s="29" t="s">
        <v>667</v>
      </c>
      <c r="F428" s="29" t="s">
        <v>371</v>
      </c>
      <c r="G428" s="29" t="s">
        <v>422</v>
      </c>
      <c r="H428" s="29" t="s">
        <v>1307</v>
      </c>
      <c r="I428" s="29" t="s">
        <v>668</v>
      </c>
      <c r="J428" s="29" t="s">
        <v>669</v>
      </c>
      <c r="K428" s="29" t="s">
        <v>376</v>
      </c>
      <c r="L428" s="29" t="s">
        <v>426</v>
      </c>
      <c r="M428" s="29" t="s">
        <v>2539</v>
      </c>
      <c r="N428" s="29" t="s">
        <v>591</v>
      </c>
      <c r="O428" s="29" t="s">
        <v>2579</v>
      </c>
      <c r="P428" s="29" t="s">
        <v>592</v>
      </c>
      <c r="Q428" s="29" t="s">
        <v>862</v>
      </c>
      <c r="R428" s="29" t="s">
        <v>427</v>
      </c>
      <c r="S428" s="29" t="s">
        <v>1785</v>
      </c>
      <c r="T428" s="29" t="s">
        <v>1786</v>
      </c>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c r="BG428" s="29"/>
      <c r="BH428" s="29"/>
      <c r="BI428" s="29"/>
      <c r="BJ428" s="29"/>
      <c r="BK428" s="29"/>
      <c r="BL428" s="29"/>
      <c r="BM428" s="29"/>
      <c r="BN428" s="29"/>
      <c r="BO428" s="29"/>
      <c r="BP428" s="29"/>
      <c r="BQ428" s="29"/>
      <c r="BR428" s="29"/>
      <c r="BS428" s="29"/>
      <c r="BT428" s="29"/>
      <c r="BU428" s="29"/>
      <c r="BV428" s="29"/>
      <c r="BW428" s="29"/>
      <c r="BX428" s="29"/>
      <c r="BY428" s="29"/>
      <c r="BZ428" s="29"/>
      <c r="CA428" s="29"/>
      <c r="CB428" s="29"/>
      <c r="CC428" s="29"/>
      <c r="CD428" s="29"/>
      <c r="CE428" s="29"/>
      <c r="CF428" s="29"/>
      <c r="CG428" s="29"/>
      <c r="CH428" s="29"/>
      <c r="CI428" s="29"/>
      <c r="CJ428" s="29"/>
      <c r="CK428" s="29"/>
      <c r="CL428" s="29"/>
      <c r="CM428" s="29"/>
      <c r="CN428" s="29"/>
      <c r="CO428" s="29"/>
      <c r="CP428" s="29"/>
      <c r="CQ428" s="29"/>
      <c r="CR428" s="29"/>
      <c r="CS428" s="29"/>
      <c r="CT428" s="29"/>
      <c r="CU428" s="29"/>
      <c r="CV428" s="29"/>
      <c r="CW428" s="29"/>
      <c r="CX428" s="29"/>
      <c r="CY428" s="29"/>
      <c r="CZ428" s="29"/>
      <c r="DA428" s="29"/>
      <c r="DB428" s="29"/>
      <c r="DC428" s="29"/>
      <c r="DD428" s="29"/>
      <c r="DE428" s="29"/>
      <c r="DF428" s="29"/>
      <c r="DG428" s="29"/>
      <c r="DH428" s="29"/>
      <c r="DI428" s="29"/>
      <c r="DJ428" s="29"/>
      <c r="DK428" s="29"/>
      <c r="DL428" s="29"/>
      <c r="DM428" s="29"/>
      <c r="DN428" s="29"/>
      <c r="DO428" s="29"/>
      <c r="DP428" s="29"/>
      <c r="DQ428" s="29"/>
      <c r="DR428" s="29"/>
      <c r="DS428" s="29"/>
      <c r="DT428" s="29"/>
      <c r="DU428" s="29"/>
      <c r="DV428" s="29"/>
      <c r="DW428" s="29"/>
      <c r="DX428" s="29"/>
      <c r="DY428" s="29"/>
      <c r="DZ428" s="29"/>
      <c r="EA428" s="29"/>
      <c r="EB428" s="29"/>
      <c r="EC428" s="29"/>
      <c r="ED428" s="29" t="s">
        <v>5723</v>
      </c>
      <c r="EE428" s="29"/>
      <c r="EF428" s="29"/>
      <c r="EG428" s="29"/>
      <c r="EH428" s="29" t="s">
        <v>5663</v>
      </c>
      <c r="EI428" s="29" t="s">
        <v>5664</v>
      </c>
      <c r="EJ428" s="29"/>
      <c r="EK428" s="29"/>
      <c r="EL428" s="29"/>
      <c r="EM428" s="29"/>
      <c r="EN428" s="29"/>
      <c r="EO428" s="29" t="s">
        <v>8449</v>
      </c>
      <c r="EP428" s="29" t="s">
        <v>8450</v>
      </c>
      <c r="EQ428" s="29"/>
      <c r="ER428" s="29" t="s">
        <v>8451</v>
      </c>
      <c r="ES428" s="29" t="s">
        <v>8452</v>
      </c>
      <c r="ET428" s="29" t="s">
        <v>526</v>
      </c>
      <c r="EU428" s="29" t="s">
        <v>479</v>
      </c>
      <c r="EV428" s="29" t="s">
        <v>778</v>
      </c>
      <c r="EW428" s="29" t="s">
        <v>8453</v>
      </c>
      <c r="EX428" s="29" t="s">
        <v>8454</v>
      </c>
      <c r="EY428" s="29" t="s">
        <v>8455</v>
      </c>
      <c r="EZ428" s="29"/>
      <c r="FA428" s="29"/>
      <c r="FB428" s="29"/>
      <c r="FC428" s="29"/>
      <c r="FD428" s="29"/>
      <c r="FE428" s="29"/>
      <c r="FF428" s="29"/>
      <c r="FG428" s="29"/>
      <c r="FH428" s="29"/>
      <c r="FI428" s="29"/>
      <c r="FJ428" s="29"/>
      <c r="FK428" s="29"/>
      <c r="FL428" s="29"/>
      <c r="FM428" s="29"/>
      <c r="FN428" s="29"/>
      <c r="FO428" s="29"/>
      <c r="FP428" s="29"/>
      <c r="FQ428" s="29"/>
      <c r="FR428" s="29"/>
      <c r="FS428" s="29"/>
      <c r="FT428" s="29"/>
      <c r="FU428" s="29"/>
      <c r="FV428" s="29"/>
      <c r="FW428" s="29"/>
      <c r="FX428" s="29"/>
      <c r="FY428" s="29"/>
      <c r="FZ428" s="29"/>
      <c r="GA428" s="29"/>
      <c r="GB428" s="29" t="s">
        <v>455</v>
      </c>
      <c r="GC428" s="29"/>
      <c r="GD428" s="29"/>
      <c r="GE428" s="29" t="s">
        <v>786</v>
      </c>
      <c r="GF428" s="29" t="s">
        <v>8456</v>
      </c>
      <c r="GG428" s="29"/>
      <c r="GH428" s="29"/>
      <c r="GI428" s="29"/>
      <c r="GJ428" s="29"/>
      <c r="GK428" s="29"/>
      <c r="GL428" s="29"/>
      <c r="GM428" s="29"/>
      <c r="GN428" s="29"/>
      <c r="GO428" s="29"/>
      <c r="GP428" s="29"/>
      <c r="GQ428" s="29"/>
      <c r="GR428" s="29"/>
      <c r="GS428" s="29"/>
      <c r="GT428" s="29"/>
      <c r="GU428" s="29"/>
      <c r="HP428" s="31"/>
      <c r="MX428" s="29" t="s">
        <v>1201</v>
      </c>
      <c r="MY428" s="29" t="str">
        <f>IFERROR(__xludf.DUMMYFUNCTION("""COMPUTED_VALUE"""),"Australia")</f>
        <v>Australia</v>
      </c>
    </row>
    <row r="429" ht="16.5" customHeight="1">
      <c r="A429" s="33">
        <v>46064.90010012731</v>
      </c>
      <c r="B429" s="29" t="s">
        <v>368</v>
      </c>
      <c r="C429" s="29" t="s">
        <v>1201</v>
      </c>
      <c r="D429" s="29" t="s">
        <v>1201</v>
      </c>
      <c r="E429" s="29"/>
      <c r="F429" s="29"/>
      <c r="G429" s="29" t="s">
        <v>422</v>
      </c>
      <c r="H429" s="29" t="s">
        <v>373</v>
      </c>
      <c r="I429" s="29" t="s">
        <v>374</v>
      </c>
      <c r="J429" s="29" t="s">
        <v>718</v>
      </c>
      <c r="K429" s="29" t="s">
        <v>376</v>
      </c>
      <c r="L429" s="29" t="s">
        <v>396</v>
      </c>
      <c r="M429" s="29"/>
      <c r="N429" s="29" t="s">
        <v>377</v>
      </c>
      <c r="O429" s="29"/>
      <c r="P429" s="29" t="s">
        <v>759</v>
      </c>
      <c r="Q429" s="29" t="s">
        <v>818</v>
      </c>
      <c r="R429" s="29" t="s">
        <v>427</v>
      </c>
      <c r="S429" s="29" t="s">
        <v>384</v>
      </c>
      <c r="T429" s="29" t="s">
        <v>385</v>
      </c>
      <c r="U429" s="29"/>
      <c r="V429" s="29"/>
      <c r="W429" s="29" t="s">
        <v>3014</v>
      </c>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t="s">
        <v>1242</v>
      </c>
      <c r="AW429" s="29" t="s">
        <v>675</v>
      </c>
      <c r="AX429" s="29" t="s">
        <v>675</v>
      </c>
      <c r="AY429" s="29" t="s">
        <v>675</v>
      </c>
      <c r="AZ429" s="29" t="s">
        <v>675</v>
      </c>
      <c r="BA429" s="29" t="s">
        <v>675</v>
      </c>
      <c r="BB429" s="29" t="s">
        <v>675</v>
      </c>
      <c r="BC429" s="29"/>
      <c r="BD429" s="29"/>
      <c r="BE429" s="29" t="s">
        <v>1094</v>
      </c>
      <c r="BF429" s="29" t="s">
        <v>1245</v>
      </c>
      <c r="BG429" s="29" t="s">
        <v>394</v>
      </c>
      <c r="BH429" s="29"/>
      <c r="BI429" s="29" t="s">
        <v>976</v>
      </c>
      <c r="BJ429" s="29"/>
      <c r="BK429" s="29"/>
      <c r="BL429" s="29" t="s">
        <v>603</v>
      </c>
      <c r="BM429" s="29" t="s">
        <v>1314</v>
      </c>
      <c r="BN429" s="29" t="s">
        <v>398</v>
      </c>
      <c r="BO429" s="29"/>
      <c r="BP429" s="29"/>
      <c r="BQ429" s="29" t="s">
        <v>401</v>
      </c>
      <c r="BR429" s="29"/>
      <c r="BS429" s="29"/>
      <c r="BT429" s="29"/>
      <c r="BU429" s="29" t="s">
        <v>405</v>
      </c>
      <c r="BV429" s="29"/>
      <c r="BW429" s="29" t="s">
        <v>988</v>
      </c>
      <c r="BX429" s="29"/>
      <c r="BY429" s="29" t="s">
        <v>408</v>
      </c>
      <c r="BZ429" s="29"/>
      <c r="CA429" s="29"/>
      <c r="CB429" s="29"/>
      <c r="CC429" s="29"/>
      <c r="CD429" s="29" t="s">
        <v>1257</v>
      </c>
      <c r="CE429" s="29"/>
      <c r="CF429" s="29"/>
      <c r="CG429" s="29"/>
      <c r="CH429" s="29" t="s">
        <v>1259</v>
      </c>
      <c r="CI429" s="29"/>
      <c r="CJ429" s="29"/>
      <c r="CK429" s="29"/>
      <c r="CL429" s="29"/>
      <c r="CM429" s="29"/>
      <c r="CN429" s="29"/>
      <c r="CO429" s="29"/>
      <c r="CP429" s="29"/>
      <c r="CQ429" s="29"/>
      <c r="CR429" s="29"/>
      <c r="CS429" s="29"/>
      <c r="CT429" s="29"/>
      <c r="CU429" s="29"/>
      <c r="CV429" s="29"/>
      <c r="CW429" s="29"/>
      <c r="CX429" s="29"/>
      <c r="CY429" s="29"/>
      <c r="CZ429" s="29"/>
      <c r="DA429" s="29"/>
      <c r="DB429" s="29"/>
      <c r="DC429" s="29"/>
      <c r="DD429" s="29"/>
      <c r="DE429" s="29"/>
      <c r="DF429" s="29"/>
      <c r="DG429" s="29"/>
      <c r="DH429" s="29"/>
      <c r="DI429" s="29" t="s">
        <v>459</v>
      </c>
      <c r="DJ429" s="29" t="s">
        <v>460</v>
      </c>
      <c r="DK429" s="29" t="s">
        <v>6319</v>
      </c>
      <c r="DL429" s="29"/>
      <c r="DM429" s="29"/>
      <c r="DN429" s="29"/>
      <c r="DO429" s="29"/>
      <c r="DP429" s="29"/>
      <c r="DQ429" s="29"/>
      <c r="DR429" s="29"/>
      <c r="DS429" s="29"/>
      <c r="DT429" s="29"/>
      <c r="DU429" s="29"/>
      <c r="DV429" s="29"/>
      <c r="DW429" s="29"/>
      <c r="DX429" s="29"/>
      <c r="DY429" s="29"/>
      <c r="DZ429" s="29"/>
      <c r="EA429" s="29"/>
      <c r="EB429" s="29"/>
      <c r="EC429" s="29"/>
      <c r="ED429" s="29"/>
      <c r="EE429" s="29"/>
      <c r="EF429" s="29"/>
      <c r="EG429" s="29"/>
      <c r="EH429" s="29"/>
      <c r="EI429" s="29"/>
      <c r="EJ429" s="29"/>
      <c r="EK429" s="29"/>
      <c r="EL429" s="29"/>
      <c r="EM429" s="29"/>
      <c r="EN429" s="29"/>
      <c r="EO429" s="29"/>
      <c r="EP429" s="29"/>
      <c r="EQ429" s="29"/>
      <c r="ER429" s="29"/>
      <c r="ES429" s="29"/>
      <c r="ET429" s="29" t="s">
        <v>526</v>
      </c>
      <c r="EU429" s="29" t="s">
        <v>579</v>
      </c>
      <c r="EV429" s="29" t="s">
        <v>778</v>
      </c>
      <c r="EW429" s="29" t="s">
        <v>8469</v>
      </c>
      <c r="EX429" s="29"/>
      <c r="EY429" s="29"/>
      <c r="EZ429" s="29"/>
      <c r="FA429" s="29"/>
      <c r="FB429" s="29"/>
      <c r="FC429" s="29"/>
      <c r="FD429" s="29"/>
      <c r="FE429" s="29"/>
      <c r="FF429" s="29"/>
      <c r="FG429" s="29"/>
      <c r="FH429" s="29"/>
      <c r="FI429" s="29"/>
      <c r="FJ429" s="29"/>
      <c r="FK429" s="29"/>
      <c r="FL429" s="29"/>
      <c r="FM429" s="29"/>
      <c r="FN429" s="29"/>
      <c r="FO429" s="29" t="s">
        <v>417</v>
      </c>
      <c r="FP429" s="29" t="s">
        <v>418</v>
      </c>
      <c r="FQ429" s="29" t="s">
        <v>531</v>
      </c>
      <c r="FR429" s="29"/>
      <c r="FS429" s="29" t="s">
        <v>420</v>
      </c>
      <c r="FT429" s="29"/>
      <c r="FU429" s="29"/>
      <c r="FV429" s="29"/>
      <c r="FW429" s="29"/>
      <c r="FX429" s="29"/>
      <c r="FY429" s="29" t="s">
        <v>535</v>
      </c>
      <c r="FZ429" s="29"/>
      <c r="GA429" s="29"/>
      <c r="GB429" s="29" t="s">
        <v>408</v>
      </c>
      <c r="GC429" s="29"/>
      <c r="GD429" s="29"/>
      <c r="GE429" s="29"/>
      <c r="GF429" s="29"/>
      <c r="GG429" s="29"/>
      <c r="GH429" s="29"/>
      <c r="GI429" s="29"/>
      <c r="GJ429" s="29" t="s">
        <v>755</v>
      </c>
      <c r="GK429" s="29" t="s">
        <v>755</v>
      </c>
      <c r="GL429" s="29"/>
      <c r="GM429" s="29"/>
      <c r="GN429" s="29"/>
      <c r="GO429" s="29" t="s">
        <v>8470</v>
      </c>
      <c r="GP429" s="29"/>
      <c r="GQ429" s="29" t="s">
        <v>8471</v>
      </c>
      <c r="GR429" s="29"/>
      <c r="GS429" s="29"/>
      <c r="GT429" s="29"/>
      <c r="GU429" s="29"/>
      <c r="HP429" s="31"/>
      <c r="MX429" s="29" t="s">
        <v>10402</v>
      </c>
      <c r="MY429" s="29" t="str">
        <f>IFERROR(__xludf.DUMMYFUNCTION("""COMPUTED_VALUE"""),"New York")</f>
        <v>New York</v>
      </c>
    </row>
    <row r="430" ht="16.5" customHeight="1">
      <c r="A430" s="33">
        <v>46064.914614050926</v>
      </c>
      <c r="B430" s="29" t="s">
        <v>368</v>
      </c>
      <c r="C430" s="29" t="s">
        <v>370</v>
      </c>
      <c r="D430" s="29" t="s">
        <v>370</v>
      </c>
      <c r="E430" s="29" t="s">
        <v>667</v>
      </c>
      <c r="F430" s="29" t="s">
        <v>667</v>
      </c>
      <c r="G430" s="29" t="s">
        <v>422</v>
      </c>
      <c r="H430" s="29" t="s">
        <v>373</v>
      </c>
      <c r="I430" s="29" t="s">
        <v>374</v>
      </c>
      <c r="J430" s="29" t="s">
        <v>1240</v>
      </c>
      <c r="K430" s="29" t="s">
        <v>7755</v>
      </c>
      <c r="L430" s="29" t="s">
        <v>379</v>
      </c>
      <c r="M430" s="29" t="s">
        <v>1024</v>
      </c>
      <c r="N430" s="29" t="s">
        <v>591</v>
      </c>
      <c r="O430" s="29" t="s">
        <v>640</v>
      </c>
      <c r="P430" s="29" t="s">
        <v>1760</v>
      </c>
      <c r="Q430" s="29" t="s">
        <v>759</v>
      </c>
      <c r="R430" s="29" t="s">
        <v>949</v>
      </c>
      <c r="S430" s="29" t="s">
        <v>1785</v>
      </c>
      <c r="T430" s="29" t="s">
        <v>1786</v>
      </c>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29"/>
      <c r="BR430" s="29"/>
      <c r="BS430" s="29"/>
      <c r="BT430" s="29"/>
      <c r="BU430" s="29"/>
      <c r="BV430" s="29"/>
      <c r="BW430" s="29"/>
      <c r="BX430" s="29"/>
      <c r="BY430" s="29"/>
      <c r="BZ430" s="29"/>
      <c r="CA430" s="29"/>
      <c r="CB430" s="29"/>
      <c r="CC430" s="29"/>
      <c r="CD430" s="29"/>
      <c r="CE430" s="29"/>
      <c r="CF430" s="29"/>
      <c r="CG430" s="29"/>
      <c r="CH430" s="29"/>
      <c r="CI430" s="29"/>
      <c r="CJ430" s="29"/>
      <c r="CK430" s="29"/>
      <c r="CL430" s="29"/>
      <c r="CM430" s="29"/>
      <c r="CN430" s="29"/>
      <c r="CO430" s="29"/>
      <c r="CP430" s="29"/>
      <c r="CQ430" s="29"/>
      <c r="CR430" s="29"/>
      <c r="CS430" s="29"/>
      <c r="CT430" s="29"/>
      <c r="CU430" s="29"/>
      <c r="CV430" s="29"/>
      <c r="CW430" s="29"/>
      <c r="CX430" s="29"/>
      <c r="CY430" s="29"/>
      <c r="CZ430" s="29"/>
      <c r="DA430" s="29"/>
      <c r="DB430" s="29"/>
      <c r="DC430" s="29"/>
      <c r="DD430" s="29"/>
      <c r="DE430" s="29"/>
      <c r="DF430" s="29"/>
      <c r="DG430" s="29"/>
      <c r="DH430" s="29"/>
      <c r="DI430" s="29"/>
      <c r="DJ430" s="29"/>
      <c r="DK430" s="29"/>
      <c r="DL430" s="29"/>
      <c r="DM430" s="29"/>
      <c r="DN430" s="29"/>
      <c r="DO430" s="29"/>
      <c r="DP430" s="29"/>
      <c r="DQ430" s="29"/>
      <c r="DR430" s="29"/>
      <c r="DS430" s="29"/>
      <c r="DT430" s="29"/>
      <c r="DU430" s="29"/>
      <c r="DV430" s="29"/>
      <c r="DW430" s="29"/>
      <c r="DX430" s="29"/>
      <c r="DY430" s="29"/>
      <c r="DZ430" s="29"/>
      <c r="EA430" s="29"/>
      <c r="EB430" s="29"/>
      <c r="EC430" s="29"/>
      <c r="ED430" s="29" t="s">
        <v>5723</v>
      </c>
      <c r="EE430" s="29"/>
      <c r="EF430" s="29"/>
      <c r="EG430" s="29"/>
      <c r="EH430" s="29" t="s">
        <v>7540</v>
      </c>
      <c r="EI430" s="29" t="s">
        <v>5142</v>
      </c>
      <c r="EJ430" s="29"/>
      <c r="EK430" s="29"/>
      <c r="EL430" s="29"/>
      <c r="EM430" s="29"/>
      <c r="EN430" s="29"/>
      <c r="EO430" s="29" t="s">
        <v>8472</v>
      </c>
      <c r="EP430" s="29" t="s">
        <v>8473</v>
      </c>
      <c r="EQ430" s="29"/>
      <c r="ER430" s="29" t="s">
        <v>8474</v>
      </c>
      <c r="ES430" s="29" t="s">
        <v>8475</v>
      </c>
      <c r="ET430" s="29" t="s">
        <v>478</v>
      </c>
      <c r="EU430" s="29" t="s">
        <v>479</v>
      </c>
      <c r="EV430" s="29" t="s">
        <v>480</v>
      </c>
      <c r="EW430" s="29" t="s">
        <v>8476</v>
      </c>
      <c r="EX430" s="29" t="s">
        <v>8477</v>
      </c>
      <c r="EY430" s="29" t="s">
        <v>8478</v>
      </c>
      <c r="EZ430" s="29" t="s">
        <v>413</v>
      </c>
      <c r="FA430" s="29" t="s">
        <v>413</v>
      </c>
      <c r="FB430" s="29" t="s">
        <v>413</v>
      </c>
      <c r="FC430" s="29" t="s">
        <v>413</v>
      </c>
      <c r="FD430" s="29" t="s">
        <v>413</v>
      </c>
      <c r="FE430" s="29" t="s">
        <v>413</v>
      </c>
      <c r="FF430" s="29" t="s">
        <v>413</v>
      </c>
      <c r="FG430" s="29"/>
      <c r="FH430" s="29" t="s">
        <v>413</v>
      </c>
      <c r="FI430" s="29" t="s">
        <v>583</v>
      </c>
      <c r="FJ430" s="29" t="s">
        <v>583</v>
      </c>
      <c r="FK430" s="29" t="s">
        <v>413</v>
      </c>
      <c r="FL430" s="29" t="s">
        <v>413</v>
      </c>
      <c r="FM430" s="29" t="s">
        <v>413</v>
      </c>
      <c r="FN430" s="29" t="s">
        <v>413</v>
      </c>
      <c r="FO430" s="29" t="s">
        <v>417</v>
      </c>
      <c r="FP430" s="29" t="s">
        <v>418</v>
      </c>
      <c r="FQ430" s="29" t="s">
        <v>630</v>
      </c>
      <c r="FR430" s="29" t="s">
        <v>8479</v>
      </c>
      <c r="FS430" s="29" t="s">
        <v>420</v>
      </c>
      <c r="FT430" s="29" t="s">
        <v>488</v>
      </c>
      <c r="FU430" s="29" t="s">
        <v>533</v>
      </c>
      <c r="FV430" s="29" t="s">
        <v>490</v>
      </c>
      <c r="FW430" s="29" t="s">
        <v>491</v>
      </c>
      <c r="FX430" s="29" t="s">
        <v>8480</v>
      </c>
      <c r="FY430" s="29" t="s">
        <v>535</v>
      </c>
      <c r="FZ430" s="29" t="s">
        <v>8481</v>
      </c>
      <c r="GA430" s="29" t="s">
        <v>8482</v>
      </c>
      <c r="GB430" s="29" t="s">
        <v>455</v>
      </c>
      <c r="GC430" s="29"/>
      <c r="GD430" s="29"/>
      <c r="GE430" s="29" t="s">
        <v>753</v>
      </c>
      <c r="GF430" s="29" t="s">
        <v>8483</v>
      </c>
      <c r="GG430" s="29"/>
      <c r="GH430" s="29"/>
      <c r="GI430" s="29"/>
      <c r="GJ430" s="29"/>
      <c r="GK430" s="29"/>
      <c r="GL430" s="29"/>
      <c r="GM430" s="29"/>
      <c r="GN430" s="29"/>
      <c r="GO430" s="29"/>
      <c r="GP430" s="29"/>
      <c r="GQ430" s="29" t="s">
        <v>3306</v>
      </c>
      <c r="GR430" s="29"/>
      <c r="GS430" s="29"/>
      <c r="GT430" s="29"/>
      <c r="GU430" s="29"/>
      <c r="HP430" s="31"/>
      <c r="MX430" s="29" t="s">
        <v>10402</v>
      </c>
      <c r="MY430" s="29" t="str">
        <f>IFERROR(__xludf.DUMMYFUNCTION("""COMPUTED_VALUE"""),"California")</f>
        <v>California</v>
      </c>
    </row>
    <row r="431" ht="16.5" customHeight="1">
      <c r="A431" s="33">
        <v>46064.99989840278</v>
      </c>
      <c r="B431" s="29" t="s">
        <v>368</v>
      </c>
      <c r="C431" s="29" t="s">
        <v>370</v>
      </c>
      <c r="D431" s="29" t="s">
        <v>8495</v>
      </c>
      <c r="E431" s="29" t="s">
        <v>371</v>
      </c>
      <c r="F431" s="29"/>
      <c r="G431" s="29" t="s">
        <v>1023</v>
      </c>
      <c r="H431" s="29" t="s">
        <v>1921</v>
      </c>
      <c r="I431" s="29" t="s">
        <v>1022</v>
      </c>
      <c r="J431" s="29" t="s">
        <v>718</v>
      </c>
      <c r="K431" s="29" t="s">
        <v>376</v>
      </c>
      <c r="L431" s="29" t="s">
        <v>379</v>
      </c>
      <c r="M431" s="29" t="s">
        <v>541</v>
      </c>
      <c r="N431" s="29" t="s">
        <v>379</v>
      </c>
      <c r="O431" s="29" t="s">
        <v>719</v>
      </c>
      <c r="P431" s="29" t="s">
        <v>498</v>
      </c>
      <c r="Q431" s="29" t="s">
        <v>382</v>
      </c>
      <c r="R431" s="29" t="s">
        <v>427</v>
      </c>
      <c r="S431" s="29" t="s">
        <v>384</v>
      </c>
      <c r="T431" s="29" t="s">
        <v>385</v>
      </c>
      <c r="U431" s="29"/>
      <c r="V431" s="29"/>
      <c r="W431" s="29" t="s">
        <v>386</v>
      </c>
      <c r="X431" s="29" t="s">
        <v>387</v>
      </c>
      <c r="Y431" s="29" t="s">
        <v>388</v>
      </c>
      <c r="Z431" s="29" t="s">
        <v>672</v>
      </c>
      <c r="AA431" s="29" t="s">
        <v>8496</v>
      </c>
      <c r="AB431" s="29"/>
      <c r="AC431" s="29"/>
      <c r="AD431" s="29"/>
      <c r="AE431" s="29"/>
      <c r="AF431" s="29"/>
      <c r="AG431" s="29"/>
      <c r="AH431" s="29"/>
      <c r="AI431" s="29"/>
      <c r="AJ431" s="29"/>
      <c r="AK431" s="29"/>
      <c r="AL431" s="29"/>
      <c r="AM431" s="29"/>
      <c r="AN431" s="29"/>
      <c r="AO431" s="29"/>
      <c r="AP431" s="29"/>
      <c r="AQ431" s="29"/>
      <c r="AR431" s="29"/>
      <c r="AS431" s="29"/>
      <c r="AT431" s="29"/>
      <c r="AU431" s="29"/>
      <c r="AV431" s="29" t="s">
        <v>597</v>
      </c>
      <c r="AW431" s="29">
        <v>2.0</v>
      </c>
      <c r="AX431" s="29">
        <v>4.0</v>
      </c>
      <c r="AY431" s="29">
        <v>2.0</v>
      </c>
      <c r="AZ431" s="29" t="s">
        <v>675</v>
      </c>
      <c r="BA431" s="29" t="s">
        <v>429</v>
      </c>
      <c r="BB431" s="29">
        <v>2.0</v>
      </c>
      <c r="BC431" s="29" t="s">
        <v>8497</v>
      </c>
      <c r="BD431" s="29" t="s">
        <v>8498</v>
      </c>
      <c r="BE431" s="29" t="s">
        <v>2259</v>
      </c>
      <c r="BF431" s="29" t="s">
        <v>1047</v>
      </c>
      <c r="BG431" s="29" t="s">
        <v>434</v>
      </c>
      <c r="BH431" s="29" t="s">
        <v>8499</v>
      </c>
      <c r="BI431" s="29" t="s">
        <v>976</v>
      </c>
      <c r="BJ431" s="29"/>
      <c r="BK431" s="29" t="s">
        <v>395</v>
      </c>
      <c r="BL431" s="29" t="s">
        <v>603</v>
      </c>
      <c r="BM431" s="29" t="s">
        <v>397</v>
      </c>
      <c r="BN431" s="29" t="s">
        <v>513</v>
      </c>
      <c r="BO431" s="29"/>
      <c r="BP431" s="29"/>
      <c r="BQ431" s="29"/>
      <c r="BR431" s="29"/>
      <c r="BS431" s="29"/>
      <c r="BT431" s="29"/>
      <c r="BU431" s="29"/>
      <c r="BV431" s="29"/>
      <c r="BW431" s="29"/>
      <c r="BX431" s="29"/>
      <c r="BY431" s="29"/>
      <c r="BZ431" s="29"/>
      <c r="CA431" s="29"/>
      <c r="CB431" s="29"/>
      <c r="CC431" s="29"/>
      <c r="CD431" s="29"/>
      <c r="CE431" s="29"/>
      <c r="CF431" s="29"/>
      <c r="CG431" s="29"/>
      <c r="CH431" s="29"/>
      <c r="CI431" s="29"/>
      <c r="CJ431" s="29"/>
      <c r="CK431" s="29"/>
      <c r="CL431" s="29" t="s">
        <v>441</v>
      </c>
      <c r="CM431" s="29" t="s">
        <v>401</v>
      </c>
      <c r="CN431" s="29" t="s">
        <v>552</v>
      </c>
      <c r="CO431" s="29" t="s">
        <v>8500</v>
      </c>
      <c r="CP431" s="29" t="s">
        <v>445</v>
      </c>
      <c r="CQ431" s="29" t="s">
        <v>8501</v>
      </c>
      <c r="CR431" s="29" t="s">
        <v>447</v>
      </c>
      <c r="CS431" s="29" t="s">
        <v>8502</v>
      </c>
      <c r="CT431" s="29" t="s">
        <v>8503</v>
      </c>
      <c r="CU431" s="29" t="s">
        <v>519</v>
      </c>
      <c r="CV431" s="29" t="s">
        <v>451</v>
      </c>
      <c r="CW431" s="29" t="s">
        <v>8504</v>
      </c>
      <c r="CX431" s="29" t="s">
        <v>408</v>
      </c>
      <c r="CY431" s="29"/>
      <c r="CZ431" s="29" t="s">
        <v>453</v>
      </c>
      <c r="DA431" s="29" t="s">
        <v>8505</v>
      </c>
      <c r="DB431" s="29" t="s">
        <v>455</v>
      </c>
      <c r="DC431" s="29" t="s">
        <v>8506</v>
      </c>
      <c r="DD431" s="29" t="s">
        <v>457</v>
      </c>
      <c r="DE431" s="29"/>
      <c r="DF431" s="29" t="s">
        <v>8507</v>
      </c>
      <c r="DG431" s="29" t="s">
        <v>776</v>
      </c>
      <c r="DH431" s="29" t="s">
        <v>410</v>
      </c>
      <c r="DI431" s="29" t="s">
        <v>459</v>
      </c>
      <c r="DJ431" s="29" t="s">
        <v>1403</v>
      </c>
      <c r="DK431" s="29" t="s">
        <v>6335</v>
      </c>
      <c r="DL431" s="29"/>
      <c r="DM431" s="29"/>
      <c r="DN431" s="29"/>
      <c r="DO431" s="29"/>
      <c r="DP431" s="29"/>
      <c r="DQ431" s="29"/>
      <c r="DR431" s="29"/>
      <c r="DS431" s="29"/>
      <c r="DT431" s="29"/>
      <c r="DU431" s="29"/>
      <c r="DV431" s="29"/>
      <c r="DW431" s="29"/>
      <c r="DX431" s="29"/>
      <c r="DY431" s="29"/>
      <c r="DZ431" s="29"/>
      <c r="EA431" s="29"/>
      <c r="EB431" s="29"/>
      <c r="EC431" s="29"/>
      <c r="ED431" s="29"/>
      <c r="EE431" s="29"/>
      <c r="EF431" s="29"/>
      <c r="EG431" s="29"/>
      <c r="EH431" s="29"/>
      <c r="EI431" s="29"/>
      <c r="EJ431" s="29"/>
      <c r="EK431" s="29"/>
      <c r="EL431" s="29"/>
      <c r="EM431" s="29"/>
      <c r="EN431" s="29"/>
      <c r="EO431" s="29"/>
      <c r="EP431" s="29"/>
      <c r="EQ431" s="29"/>
      <c r="ER431" s="29"/>
      <c r="ES431" s="29"/>
      <c r="ET431" s="29" t="s">
        <v>526</v>
      </c>
      <c r="EU431" s="29" t="s">
        <v>479</v>
      </c>
      <c r="EV431" s="29" t="s">
        <v>778</v>
      </c>
      <c r="EW431" s="29" t="s">
        <v>8508</v>
      </c>
      <c r="EX431" s="29" t="s">
        <v>8509</v>
      </c>
      <c r="EY431" s="29" t="s">
        <v>8510</v>
      </c>
      <c r="EZ431" s="29" t="s">
        <v>416</v>
      </c>
      <c r="FA431" s="29" t="s">
        <v>416</v>
      </c>
      <c r="FB431" s="29" t="s">
        <v>416</v>
      </c>
      <c r="FC431" s="29" t="s">
        <v>416</v>
      </c>
      <c r="FD431" s="29" t="s">
        <v>416</v>
      </c>
      <c r="FE431" s="29" t="s">
        <v>416</v>
      </c>
      <c r="FF431" s="29" t="s">
        <v>416</v>
      </c>
      <c r="FG431" s="29" t="s">
        <v>416</v>
      </c>
      <c r="FH431" s="29" t="s">
        <v>413</v>
      </c>
      <c r="FI431" s="29" t="s">
        <v>413</v>
      </c>
      <c r="FJ431" s="29" t="s">
        <v>416</v>
      </c>
      <c r="FK431" s="29" t="s">
        <v>416</v>
      </c>
      <c r="FL431" s="29" t="s">
        <v>413</v>
      </c>
      <c r="FM431" s="29" t="s">
        <v>416</v>
      </c>
      <c r="FN431" s="29" t="s">
        <v>413</v>
      </c>
      <c r="FO431" s="29" t="s">
        <v>417</v>
      </c>
      <c r="FP431" s="29" t="s">
        <v>418</v>
      </c>
      <c r="FQ431" s="29" t="s">
        <v>749</v>
      </c>
      <c r="FR431" s="29" t="s">
        <v>8511</v>
      </c>
      <c r="FS431" s="29" t="s">
        <v>1189</v>
      </c>
      <c r="FT431" s="29" t="s">
        <v>488</v>
      </c>
      <c r="FU431" s="29" t="s">
        <v>585</v>
      </c>
      <c r="FV431" s="29" t="s">
        <v>490</v>
      </c>
      <c r="FW431" s="29" t="s">
        <v>491</v>
      </c>
      <c r="FX431" s="29" t="s">
        <v>8512</v>
      </c>
      <c r="FY431" s="29" t="s">
        <v>535</v>
      </c>
      <c r="FZ431" s="29" t="s">
        <v>8513</v>
      </c>
      <c r="GA431" s="29" t="s">
        <v>8514</v>
      </c>
      <c r="GB431" s="29" t="s">
        <v>455</v>
      </c>
      <c r="GC431" s="29"/>
      <c r="GD431" s="29"/>
      <c r="GE431" s="29" t="s">
        <v>786</v>
      </c>
      <c r="GF431" s="29" t="s">
        <v>8515</v>
      </c>
      <c r="GG431" s="29" t="s">
        <v>755</v>
      </c>
      <c r="GH431" s="29" t="s">
        <v>755</v>
      </c>
      <c r="GI431" s="29" t="s">
        <v>946</v>
      </c>
      <c r="GJ431" s="29"/>
      <c r="GK431" s="29"/>
      <c r="GL431" s="29"/>
      <c r="GM431" s="29"/>
      <c r="GN431" s="29"/>
      <c r="GO431" s="29" t="s">
        <v>8495</v>
      </c>
      <c r="GP431" s="29"/>
      <c r="GQ431" s="29" t="s">
        <v>3306</v>
      </c>
      <c r="GR431" s="29"/>
      <c r="GS431" s="29"/>
      <c r="GT431" s="29" t="s">
        <v>5170</v>
      </c>
      <c r="GU431" s="29" t="s">
        <v>8516</v>
      </c>
      <c r="HP431" s="31"/>
      <c r="MX431" s="29" t="s">
        <v>1341</v>
      </c>
      <c r="MY431" s="29" t="str">
        <f>IFERROR(__xludf.DUMMYFUNCTION("""COMPUTED_VALUE"""),"Germany")</f>
        <v>Germany</v>
      </c>
    </row>
    <row r="432" ht="16.5" customHeight="1">
      <c r="A432" s="33">
        <v>46065.31308600694</v>
      </c>
      <c r="B432" s="29" t="s">
        <v>368</v>
      </c>
      <c r="C432" s="29" t="s">
        <v>1341</v>
      </c>
      <c r="D432" s="29" t="s">
        <v>1341</v>
      </c>
      <c r="E432" s="29"/>
      <c r="F432" s="29"/>
      <c r="G432" s="29" t="s">
        <v>422</v>
      </c>
      <c r="H432" s="29" t="s">
        <v>1921</v>
      </c>
      <c r="I432" s="29" t="s">
        <v>668</v>
      </c>
      <c r="J432" s="29" t="s">
        <v>375</v>
      </c>
      <c r="K432" s="29" t="s">
        <v>376</v>
      </c>
      <c r="L432" s="29" t="s">
        <v>591</v>
      </c>
      <c r="M432" s="29" t="s">
        <v>720</v>
      </c>
      <c r="N432" s="29" t="s">
        <v>670</v>
      </c>
      <c r="O432" s="29" t="s">
        <v>720</v>
      </c>
      <c r="P432" s="29" t="s">
        <v>592</v>
      </c>
      <c r="Q432" s="29" t="s">
        <v>862</v>
      </c>
      <c r="R432" s="29" t="s">
        <v>427</v>
      </c>
      <c r="S432" s="29" t="s">
        <v>384</v>
      </c>
      <c r="T432" s="29" t="s">
        <v>385</v>
      </c>
      <c r="U432" s="29"/>
      <c r="V432" s="29"/>
      <c r="W432" s="29" t="s">
        <v>593</v>
      </c>
      <c r="X432" s="29" t="s">
        <v>387</v>
      </c>
      <c r="Y432" s="29" t="s">
        <v>388</v>
      </c>
      <c r="Z432" s="29" t="s">
        <v>543</v>
      </c>
      <c r="AA432" s="29" t="s">
        <v>2675</v>
      </c>
      <c r="AB432" s="29" t="s">
        <v>8517</v>
      </c>
      <c r="AC432" s="29"/>
      <c r="AD432" s="29"/>
      <c r="AE432" s="29"/>
      <c r="AF432" s="29"/>
      <c r="AG432" s="29"/>
      <c r="AH432" s="29"/>
      <c r="AI432" s="29"/>
      <c r="AJ432" s="29"/>
      <c r="AK432" s="29"/>
      <c r="AL432" s="29"/>
      <c r="AM432" s="29"/>
      <c r="AN432" s="29"/>
      <c r="AO432" s="29"/>
      <c r="AP432" s="29"/>
      <c r="AQ432" s="29"/>
      <c r="AR432" s="29"/>
      <c r="AS432" s="29"/>
      <c r="AT432" s="29"/>
      <c r="AU432" s="29"/>
      <c r="AV432" s="29" t="s">
        <v>390</v>
      </c>
      <c r="AW432" s="29" t="s">
        <v>429</v>
      </c>
      <c r="AX432" s="29" t="s">
        <v>429</v>
      </c>
      <c r="AY432" s="29" t="s">
        <v>429</v>
      </c>
      <c r="AZ432" s="29" t="s">
        <v>429</v>
      </c>
      <c r="BA432" s="29" t="s">
        <v>429</v>
      </c>
      <c r="BB432" s="29" t="s">
        <v>429</v>
      </c>
      <c r="BC432" s="29" t="s">
        <v>8518</v>
      </c>
      <c r="BD432" s="29" t="s">
        <v>8519</v>
      </c>
      <c r="BE432" s="29" t="s">
        <v>392</v>
      </c>
      <c r="BF432" s="29" t="s">
        <v>433</v>
      </c>
      <c r="BG432" s="29"/>
      <c r="BH432" s="29" t="s">
        <v>8520</v>
      </c>
      <c r="BI432" s="29" t="s">
        <v>509</v>
      </c>
      <c r="BJ432" s="29" t="s">
        <v>8521</v>
      </c>
      <c r="BK432" s="29" t="s">
        <v>437</v>
      </c>
      <c r="BL432" s="29" t="s">
        <v>512</v>
      </c>
      <c r="BM432" s="29" t="s">
        <v>439</v>
      </c>
      <c r="BN432" s="29" t="s">
        <v>513</v>
      </c>
      <c r="BO432" s="29"/>
      <c r="BP432" s="29"/>
      <c r="BQ432" s="29"/>
      <c r="BR432" s="29"/>
      <c r="BS432" s="29"/>
      <c r="BT432" s="29"/>
      <c r="BU432" s="29"/>
      <c r="BV432" s="29"/>
      <c r="BW432" s="29"/>
      <c r="BX432" s="29"/>
      <c r="BY432" s="29"/>
      <c r="BZ432" s="29"/>
      <c r="CA432" s="29"/>
      <c r="CB432" s="29"/>
      <c r="CC432" s="29"/>
      <c r="CD432" s="29"/>
      <c r="CE432" s="29"/>
      <c r="CF432" s="29"/>
      <c r="CG432" s="29"/>
      <c r="CH432" s="29"/>
      <c r="CI432" s="29"/>
      <c r="CJ432" s="29"/>
      <c r="CK432" s="29"/>
      <c r="CL432" s="29" t="s">
        <v>550</v>
      </c>
      <c r="CM432" s="29" t="s">
        <v>682</v>
      </c>
      <c r="CN432" s="29" t="s">
        <v>8522</v>
      </c>
      <c r="CO432" s="29" t="s">
        <v>8523</v>
      </c>
      <c r="CP432" s="29" t="s">
        <v>685</v>
      </c>
      <c r="CQ432" s="29" t="s">
        <v>8524</v>
      </c>
      <c r="CR432" s="29" t="s">
        <v>804</v>
      </c>
      <c r="CS432" s="29" t="s">
        <v>8525</v>
      </c>
      <c r="CT432" s="29" t="s">
        <v>8526</v>
      </c>
      <c r="CU432" s="29" t="s">
        <v>450</v>
      </c>
      <c r="CV432" s="29" t="s">
        <v>451</v>
      </c>
      <c r="CW432" s="29" t="s">
        <v>8527</v>
      </c>
      <c r="CX432" s="29" t="s">
        <v>455</v>
      </c>
      <c r="CY432" s="29" t="s">
        <v>8528</v>
      </c>
      <c r="CZ432" s="29" t="s">
        <v>453</v>
      </c>
      <c r="DA432" s="29" t="s">
        <v>8529</v>
      </c>
      <c r="DB432" s="29" t="s">
        <v>455</v>
      </c>
      <c r="DC432" s="29" t="s">
        <v>8530</v>
      </c>
      <c r="DD432" s="29" t="s">
        <v>1400</v>
      </c>
      <c r="DE432" s="29"/>
      <c r="DF432" s="29" t="s">
        <v>8531</v>
      </c>
      <c r="DG432" s="29" t="s">
        <v>776</v>
      </c>
      <c r="DH432" s="29" t="s">
        <v>410</v>
      </c>
      <c r="DI432" s="29" t="s">
        <v>459</v>
      </c>
      <c r="DJ432" s="29" t="s">
        <v>460</v>
      </c>
      <c r="DK432" s="29" t="s">
        <v>6319</v>
      </c>
      <c r="DL432" s="29"/>
      <c r="DM432" s="29"/>
      <c r="DN432" s="29"/>
      <c r="DO432" s="29"/>
      <c r="DP432" s="29"/>
      <c r="DQ432" s="29"/>
      <c r="DR432" s="29"/>
      <c r="DS432" s="29"/>
      <c r="DT432" s="29"/>
      <c r="DU432" s="29"/>
      <c r="DV432" s="29"/>
      <c r="DW432" s="29"/>
      <c r="DX432" s="29"/>
      <c r="DY432" s="29"/>
      <c r="DZ432" s="29"/>
      <c r="EA432" s="29"/>
      <c r="EB432" s="29"/>
      <c r="EC432" s="29"/>
      <c r="ED432" s="29"/>
      <c r="EE432" s="29"/>
      <c r="EF432" s="29"/>
      <c r="EG432" s="29"/>
      <c r="EH432" s="29"/>
      <c r="EI432" s="29"/>
      <c r="EJ432" s="29"/>
      <c r="EK432" s="29"/>
      <c r="EL432" s="29"/>
      <c r="EM432" s="29"/>
      <c r="EN432" s="29"/>
      <c r="EO432" s="29"/>
      <c r="EP432" s="29"/>
      <c r="EQ432" s="29"/>
      <c r="ER432" s="29"/>
      <c r="ES432" s="29"/>
      <c r="ET432" s="29" t="s">
        <v>526</v>
      </c>
      <c r="EU432" s="29" t="s">
        <v>579</v>
      </c>
      <c r="EV432" s="29" t="s">
        <v>480</v>
      </c>
      <c r="EW432" s="29" t="s">
        <v>8532</v>
      </c>
      <c r="EX432" s="29" t="s">
        <v>8533</v>
      </c>
      <c r="EY432" s="29" t="s">
        <v>8534</v>
      </c>
      <c r="EZ432" s="29" t="s">
        <v>416</v>
      </c>
      <c r="FA432" s="29" t="s">
        <v>416</v>
      </c>
      <c r="FB432" s="29" t="s">
        <v>413</v>
      </c>
      <c r="FC432" s="29" t="s">
        <v>416</v>
      </c>
      <c r="FD432" s="29" t="s">
        <v>413</v>
      </c>
      <c r="FE432" s="29" t="s">
        <v>416</v>
      </c>
      <c r="FF432" s="29" t="s">
        <v>413</v>
      </c>
      <c r="FG432" s="29" t="s">
        <v>413</v>
      </c>
      <c r="FH432" s="29" t="s">
        <v>413</v>
      </c>
      <c r="FI432" s="29" t="s">
        <v>413</v>
      </c>
      <c r="FJ432" s="29" t="s">
        <v>416</v>
      </c>
      <c r="FK432" s="29" t="s">
        <v>416</v>
      </c>
      <c r="FL432" s="29" t="s">
        <v>416</v>
      </c>
      <c r="FM432" s="29" t="s">
        <v>413</v>
      </c>
      <c r="FN432" s="29" t="s">
        <v>416</v>
      </c>
      <c r="FO432" s="29" t="s">
        <v>417</v>
      </c>
      <c r="FP432" s="29" t="s">
        <v>418</v>
      </c>
      <c r="FQ432" s="29" t="s">
        <v>1039</v>
      </c>
      <c r="FR432" s="29" t="s">
        <v>8535</v>
      </c>
      <c r="FS432" s="29" t="s">
        <v>420</v>
      </c>
      <c r="FT432" s="29" t="s">
        <v>488</v>
      </c>
      <c r="FU432" s="29" t="s">
        <v>1235</v>
      </c>
      <c r="FV432" s="29" t="s">
        <v>490</v>
      </c>
      <c r="FW432" s="29" t="s">
        <v>491</v>
      </c>
      <c r="FX432" s="29" t="s">
        <v>8536</v>
      </c>
      <c r="FY432" s="29" t="s">
        <v>1020</v>
      </c>
      <c r="FZ432" s="29" t="s">
        <v>8537</v>
      </c>
      <c r="GA432" s="29" t="s">
        <v>8538</v>
      </c>
      <c r="GB432" s="29" t="s">
        <v>455</v>
      </c>
      <c r="GC432" s="29"/>
      <c r="GD432" s="29"/>
      <c r="GE432" s="29" t="s">
        <v>855</v>
      </c>
      <c r="GF432" s="29" t="s">
        <v>8539</v>
      </c>
      <c r="GG432" s="29" t="s">
        <v>857</v>
      </c>
      <c r="GH432" s="29" t="s">
        <v>755</v>
      </c>
      <c r="GI432" s="29" t="s">
        <v>946</v>
      </c>
      <c r="GJ432" s="29"/>
      <c r="GK432" s="29"/>
      <c r="GL432" s="29"/>
      <c r="GM432" s="29"/>
      <c r="GN432" s="29" t="s">
        <v>1341</v>
      </c>
      <c r="GO432" s="29" t="s">
        <v>1341</v>
      </c>
      <c r="GP432" s="29"/>
      <c r="GQ432" s="29" t="s">
        <v>8540</v>
      </c>
      <c r="GR432" s="29"/>
      <c r="GS432" s="29"/>
      <c r="GT432" s="29" t="s">
        <v>4774</v>
      </c>
      <c r="GU432" s="29"/>
      <c r="HP432" s="31"/>
      <c r="MX432" s="29" t="s">
        <v>10402</v>
      </c>
      <c r="MY432" s="29" t="str">
        <f>IFERROR(__xludf.DUMMYFUNCTION("""COMPUTED_VALUE"""),"North Carolina")</f>
        <v>North Carolina</v>
      </c>
    </row>
    <row r="433" ht="16.5" customHeight="1">
      <c r="A433" s="33">
        <v>46065.436726342596</v>
      </c>
      <c r="B433" s="29" t="s">
        <v>368</v>
      </c>
      <c r="C433" s="29" t="s">
        <v>370</v>
      </c>
      <c r="D433" s="29" t="s">
        <v>370</v>
      </c>
      <c r="E433" s="29" t="s">
        <v>3955</v>
      </c>
      <c r="F433" s="29" t="s">
        <v>2114</v>
      </c>
      <c r="G433" s="29" t="s">
        <v>422</v>
      </c>
      <c r="H433" s="29"/>
      <c r="I433" s="29" t="s">
        <v>2578</v>
      </c>
      <c r="J433" s="29" t="s">
        <v>375</v>
      </c>
      <c r="K433" s="29" t="s">
        <v>376</v>
      </c>
      <c r="L433" s="29" t="s">
        <v>591</v>
      </c>
      <c r="M433" s="29" t="s">
        <v>378</v>
      </c>
      <c r="N433" s="29" t="s">
        <v>670</v>
      </c>
      <c r="O433" s="29" t="s">
        <v>719</v>
      </c>
      <c r="P433" s="29" t="s">
        <v>1504</v>
      </c>
      <c r="Q433" s="29" t="s">
        <v>499</v>
      </c>
      <c r="R433" s="29" t="s">
        <v>427</v>
      </c>
      <c r="S433" s="29" t="s">
        <v>1785</v>
      </c>
      <c r="T433" s="29" t="s">
        <v>1786</v>
      </c>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c r="BO433" s="29"/>
      <c r="BP433" s="29"/>
      <c r="BQ433" s="29"/>
      <c r="BR433" s="29"/>
      <c r="BS433" s="29"/>
      <c r="BT433" s="29"/>
      <c r="BU433" s="29"/>
      <c r="BV433" s="29"/>
      <c r="BW433" s="29"/>
      <c r="BX433" s="29"/>
      <c r="BY433" s="29"/>
      <c r="BZ433" s="29"/>
      <c r="CA433" s="29"/>
      <c r="CB433" s="29"/>
      <c r="CC433" s="29"/>
      <c r="CD433" s="29"/>
      <c r="CE433" s="29"/>
      <c r="CF433" s="29"/>
      <c r="CG433" s="29"/>
      <c r="CH433" s="29"/>
      <c r="CI433" s="29"/>
      <c r="CJ433" s="29"/>
      <c r="CK433" s="29"/>
      <c r="CL433" s="29"/>
      <c r="CM433" s="29"/>
      <c r="CN433" s="29"/>
      <c r="CO433" s="29"/>
      <c r="CP433" s="29"/>
      <c r="CQ433" s="29"/>
      <c r="CR433" s="29"/>
      <c r="CS433" s="29"/>
      <c r="CT433" s="29"/>
      <c r="CU433" s="29"/>
      <c r="CV433" s="29"/>
      <c r="CW433" s="29"/>
      <c r="CX433" s="29"/>
      <c r="CY433" s="29"/>
      <c r="CZ433" s="29"/>
      <c r="DA433" s="29"/>
      <c r="DB433" s="29"/>
      <c r="DC433" s="29"/>
      <c r="DD433" s="29"/>
      <c r="DE433" s="29"/>
      <c r="DF433" s="29"/>
      <c r="DG433" s="29"/>
      <c r="DH433" s="29"/>
      <c r="DI433" s="29"/>
      <c r="DJ433" s="29"/>
      <c r="DK433" s="29"/>
      <c r="DL433" s="29"/>
      <c r="DM433" s="29"/>
      <c r="DN433" s="29"/>
      <c r="DO433" s="29"/>
      <c r="DP433" s="29"/>
      <c r="DQ433" s="29"/>
      <c r="DR433" s="29"/>
      <c r="DS433" s="29"/>
      <c r="DT433" s="29"/>
      <c r="DU433" s="29"/>
      <c r="DV433" s="29"/>
      <c r="DW433" s="29"/>
      <c r="DX433" s="29"/>
      <c r="DY433" s="29"/>
      <c r="DZ433" s="29"/>
      <c r="EA433" s="29"/>
      <c r="EB433" s="29"/>
      <c r="EC433" s="29"/>
      <c r="ED433" s="29" t="s">
        <v>5662</v>
      </c>
      <c r="EE433" s="29"/>
      <c r="EF433" s="29"/>
      <c r="EG433" s="29"/>
      <c r="EH433" s="29" t="s">
        <v>5663</v>
      </c>
      <c r="EI433" s="29" t="s">
        <v>5664</v>
      </c>
      <c r="EJ433" s="29"/>
      <c r="EK433" s="29"/>
      <c r="EL433" s="29"/>
      <c r="EM433" s="29"/>
      <c r="EN433" s="29"/>
      <c r="EO433" s="29" t="s">
        <v>8543</v>
      </c>
      <c r="EP433" s="29"/>
      <c r="EQ433" s="29"/>
      <c r="ER433" s="29" t="s">
        <v>8544</v>
      </c>
      <c r="ES433" s="29"/>
      <c r="ET433" s="29" t="s">
        <v>526</v>
      </c>
      <c r="EU433" s="29" t="s">
        <v>479</v>
      </c>
      <c r="EV433" s="29" t="s">
        <v>480</v>
      </c>
      <c r="EW433" s="29"/>
      <c r="EX433" s="29" t="s">
        <v>8545</v>
      </c>
      <c r="EY433" s="29" t="s">
        <v>8546</v>
      </c>
      <c r="EZ433" s="29" t="s">
        <v>414</v>
      </c>
      <c r="FA433" s="29" t="s">
        <v>414</v>
      </c>
      <c r="FB433" s="29" t="s">
        <v>416</v>
      </c>
      <c r="FC433" s="29" t="s">
        <v>414</v>
      </c>
      <c r="FD433" s="29" t="s">
        <v>413</v>
      </c>
      <c r="FE433" s="29" t="s">
        <v>583</v>
      </c>
      <c r="FF433" s="29" t="s">
        <v>583</v>
      </c>
      <c r="FG433" s="29" t="s">
        <v>413</v>
      </c>
      <c r="FH433" s="29" t="s">
        <v>414</v>
      </c>
      <c r="FI433" s="29" t="s">
        <v>414</v>
      </c>
      <c r="FJ433" s="29" t="s">
        <v>415</v>
      </c>
      <c r="FK433" s="29" t="s">
        <v>413</v>
      </c>
      <c r="FL433" s="29" t="s">
        <v>413</v>
      </c>
      <c r="FM433" s="29" t="s">
        <v>413</v>
      </c>
      <c r="FN433" s="29" t="s">
        <v>415</v>
      </c>
      <c r="FO433" s="29" t="s">
        <v>417</v>
      </c>
      <c r="FP433" s="29" t="s">
        <v>418</v>
      </c>
      <c r="FQ433" s="29" t="s">
        <v>712</v>
      </c>
      <c r="FR433" s="29" t="s">
        <v>8547</v>
      </c>
      <c r="FS433" s="29" t="s">
        <v>420</v>
      </c>
      <c r="FT433" s="29" t="s">
        <v>488</v>
      </c>
      <c r="FU433" s="29" t="s">
        <v>489</v>
      </c>
      <c r="FV433" s="29" t="s">
        <v>490</v>
      </c>
      <c r="FW433" s="29" t="s">
        <v>491</v>
      </c>
      <c r="FX433" s="29" t="s">
        <v>8548</v>
      </c>
      <c r="FY433" s="29" t="s">
        <v>535</v>
      </c>
      <c r="FZ433" s="29"/>
      <c r="GA433" s="29" t="s">
        <v>8549</v>
      </c>
      <c r="GB433" s="29" t="s">
        <v>455</v>
      </c>
      <c r="GC433" s="29"/>
      <c r="GD433" s="29"/>
      <c r="GE433" s="29" t="s">
        <v>753</v>
      </c>
      <c r="GF433" s="29" t="s">
        <v>455</v>
      </c>
      <c r="GG433" s="29"/>
      <c r="GH433" s="29"/>
      <c r="GI433" s="29"/>
      <c r="GJ433" s="29"/>
      <c r="GK433" s="29"/>
      <c r="GL433" s="29"/>
      <c r="GM433" s="29"/>
      <c r="GN433" s="29"/>
      <c r="GO433" s="29"/>
      <c r="GP433" s="29"/>
      <c r="GQ433" s="29" t="s">
        <v>3306</v>
      </c>
      <c r="GR433" s="29"/>
      <c r="GS433" s="29"/>
      <c r="GT433" s="29"/>
      <c r="GU433" s="29"/>
      <c r="HP433" s="31"/>
      <c r="MX433" s="29" t="s">
        <v>10402</v>
      </c>
      <c r="MY433" s="29" t="str">
        <f>IFERROR(__xludf.DUMMYFUNCTION("""COMPUTED_VALUE"""),"North Carolina")</f>
        <v>North Carolina</v>
      </c>
    </row>
    <row r="434" ht="16.5" customHeight="1">
      <c r="A434" s="33">
        <v>46065.52200550926</v>
      </c>
      <c r="B434" s="29" t="s">
        <v>368</v>
      </c>
      <c r="C434" s="29" t="s">
        <v>370</v>
      </c>
      <c r="D434" s="29" t="s">
        <v>370</v>
      </c>
      <c r="E434" s="29" t="s">
        <v>3955</v>
      </c>
      <c r="F434" s="29" t="s">
        <v>3955</v>
      </c>
      <c r="G434" s="29" t="s">
        <v>422</v>
      </c>
      <c r="H434" s="29" t="s">
        <v>496</v>
      </c>
      <c r="I434" s="29" t="s">
        <v>374</v>
      </c>
      <c r="J434" s="29" t="s">
        <v>425</v>
      </c>
      <c r="K434" s="29" t="s">
        <v>2560</v>
      </c>
      <c r="L434" s="29" t="s">
        <v>591</v>
      </c>
      <c r="M434" s="29" t="s">
        <v>720</v>
      </c>
      <c r="N434" s="29" t="s">
        <v>396</v>
      </c>
      <c r="O434" s="29"/>
      <c r="P434" s="29" t="s">
        <v>498</v>
      </c>
      <c r="Q434" s="29" t="s">
        <v>499</v>
      </c>
      <c r="R434" s="29" t="s">
        <v>427</v>
      </c>
      <c r="S434" s="29" t="s">
        <v>384</v>
      </c>
      <c r="T434" s="29" t="s">
        <v>385</v>
      </c>
      <c r="U434" s="29"/>
      <c r="V434" s="29"/>
      <c r="W434" s="29" t="s">
        <v>593</v>
      </c>
      <c r="X434" s="29" t="s">
        <v>387</v>
      </c>
      <c r="Y434" s="29" t="s">
        <v>897</v>
      </c>
      <c r="Z434" s="29" t="s">
        <v>502</v>
      </c>
      <c r="AA434" s="29" t="s">
        <v>8564</v>
      </c>
      <c r="AB434" s="29" t="s">
        <v>8565</v>
      </c>
      <c r="AC434" s="29"/>
      <c r="AD434" s="29"/>
      <c r="AE434" s="29"/>
      <c r="AF434" s="29"/>
      <c r="AG434" s="29"/>
      <c r="AH434" s="29"/>
      <c r="AI434" s="29"/>
      <c r="AJ434" s="29"/>
      <c r="AK434" s="29"/>
      <c r="AL434" s="29"/>
      <c r="AM434" s="29"/>
      <c r="AN434" s="29"/>
      <c r="AO434" s="29"/>
      <c r="AP434" s="29"/>
      <c r="AQ434" s="29"/>
      <c r="AR434" s="29"/>
      <c r="AS434" s="29"/>
      <c r="AT434" s="29"/>
      <c r="AU434" s="29"/>
      <c r="AV434" s="29" t="s">
        <v>390</v>
      </c>
      <c r="AW434" s="29">
        <v>2.0</v>
      </c>
      <c r="AX434" s="29">
        <v>2.0</v>
      </c>
      <c r="AY434" s="29" t="s">
        <v>429</v>
      </c>
      <c r="AZ434" s="29" t="s">
        <v>429</v>
      </c>
      <c r="BA434" s="29" t="s">
        <v>429</v>
      </c>
      <c r="BB434" s="29" t="s">
        <v>429</v>
      </c>
      <c r="BC434" s="29" t="s">
        <v>8566</v>
      </c>
      <c r="BD434" s="29" t="s">
        <v>8567</v>
      </c>
      <c r="BE434" s="29" t="s">
        <v>392</v>
      </c>
      <c r="BF434" s="29" t="s">
        <v>433</v>
      </c>
      <c r="BG434" s="29" t="s">
        <v>678</v>
      </c>
      <c r="BH434" s="29" t="s">
        <v>8568</v>
      </c>
      <c r="BI434" s="29" t="s">
        <v>509</v>
      </c>
      <c r="BJ434" s="29" t="s">
        <v>8569</v>
      </c>
      <c r="BK434" s="29" t="s">
        <v>511</v>
      </c>
      <c r="BL434" s="29" t="s">
        <v>396</v>
      </c>
      <c r="BM434" s="29" t="s">
        <v>439</v>
      </c>
      <c r="BN434" s="29" t="s">
        <v>513</v>
      </c>
      <c r="BO434" s="29"/>
      <c r="BP434" s="29"/>
      <c r="BQ434" s="29"/>
      <c r="BR434" s="29"/>
      <c r="BS434" s="29"/>
      <c r="BT434" s="29"/>
      <c r="BU434" s="29"/>
      <c r="BV434" s="29"/>
      <c r="BW434" s="29"/>
      <c r="BX434" s="29"/>
      <c r="BY434" s="29"/>
      <c r="BZ434" s="29"/>
      <c r="CA434" s="29"/>
      <c r="CB434" s="29"/>
      <c r="CC434" s="29"/>
      <c r="CD434" s="29"/>
      <c r="CE434" s="29"/>
      <c r="CF434" s="29"/>
      <c r="CG434" s="29"/>
      <c r="CH434" s="29"/>
      <c r="CI434" s="29"/>
      <c r="CJ434" s="29"/>
      <c r="CK434" s="29"/>
      <c r="CL434" s="29" t="s">
        <v>441</v>
      </c>
      <c r="CM434" s="29" t="s">
        <v>682</v>
      </c>
      <c r="CN434" s="29" t="s">
        <v>8570</v>
      </c>
      <c r="CO434" s="29" t="s">
        <v>8571</v>
      </c>
      <c r="CP434" s="29" t="s">
        <v>1008</v>
      </c>
      <c r="CQ434" s="29" t="s">
        <v>8572</v>
      </c>
      <c r="CR434" s="29" t="s">
        <v>447</v>
      </c>
      <c r="CS434" s="29" t="s">
        <v>1147</v>
      </c>
      <c r="CT434" s="29" t="s">
        <v>8573</v>
      </c>
      <c r="CU434" s="29" t="s">
        <v>450</v>
      </c>
      <c r="CV434" s="29" t="s">
        <v>451</v>
      </c>
      <c r="CW434" s="29" t="s">
        <v>8574</v>
      </c>
      <c r="CX434" s="29" t="s">
        <v>455</v>
      </c>
      <c r="CY434" s="29" t="s">
        <v>8575</v>
      </c>
      <c r="CZ434" s="29" t="s">
        <v>453</v>
      </c>
      <c r="DA434" s="29" t="s">
        <v>8576</v>
      </c>
      <c r="DB434" s="29" t="s">
        <v>455</v>
      </c>
      <c r="DC434" s="29" t="s">
        <v>8577</v>
      </c>
      <c r="DD434" s="29" t="s">
        <v>457</v>
      </c>
      <c r="DE434" s="29"/>
      <c r="DF434" s="29" t="s">
        <v>8578</v>
      </c>
      <c r="DG434" s="29" t="s">
        <v>561</v>
      </c>
      <c r="DH434" s="29" t="s">
        <v>410</v>
      </c>
      <c r="DI434" s="29" t="s">
        <v>1402</v>
      </c>
      <c r="DJ434" s="29" t="s">
        <v>613</v>
      </c>
      <c r="DK434" s="29"/>
      <c r="DL434" s="29"/>
      <c r="DM434" s="29"/>
      <c r="DN434" s="29"/>
      <c r="DO434" s="29"/>
      <c r="DP434" s="29"/>
      <c r="DQ434" s="29"/>
      <c r="DR434" s="29"/>
      <c r="DS434" s="29"/>
      <c r="DT434" s="29"/>
      <c r="DU434" s="29"/>
      <c r="DV434" s="29"/>
      <c r="DW434" s="29"/>
      <c r="DX434" s="29"/>
      <c r="DY434" s="29"/>
      <c r="DZ434" s="29"/>
      <c r="EA434" s="29"/>
      <c r="EB434" s="29"/>
      <c r="EC434" s="29"/>
      <c r="ED434" s="29"/>
      <c r="EE434" s="29"/>
      <c r="EF434" s="29"/>
      <c r="EG434" s="29"/>
      <c r="EH434" s="29"/>
      <c r="EI434" s="29"/>
      <c r="EJ434" s="29"/>
      <c r="EK434" s="29"/>
      <c r="EL434" s="29"/>
      <c r="EM434" s="29"/>
      <c r="EN434" s="29"/>
      <c r="EO434" s="29"/>
      <c r="EP434" s="29"/>
      <c r="EQ434" s="29"/>
      <c r="ER434" s="29"/>
      <c r="ES434" s="29"/>
      <c r="ET434" s="29" t="s">
        <v>526</v>
      </c>
      <c r="EU434" s="29" t="s">
        <v>1127</v>
      </c>
      <c r="EV434" s="29" t="s">
        <v>778</v>
      </c>
      <c r="EW434" s="29" t="s">
        <v>8579</v>
      </c>
      <c r="EX434" s="29" t="s">
        <v>8580</v>
      </c>
      <c r="EY434" s="29" t="s">
        <v>8581</v>
      </c>
      <c r="EZ434" s="29" t="s">
        <v>413</v>
      </c>
      <c r="FA434" s="29" t="s">
        <v>413</v>
      </c>
      <c r="FB434" s="29" t="s">
        <v>413</v>
      </c>
      <c r="FC434" s="29" t="s">
        <v>413</v>
      </c>
      <c r="FD434" s="29" t="s">
        <v>413</v>
      </c>
      <c r="FE434" s="29" t="s">
        <v>413</v>
      </c>
      <c r="FF434" s="29" t="s">
        <v>413</v>
      </c>
      <c r="FG434" s="29" t="s">
        <v>484</v>
      </c>
      <c r="FH434" s="29" t="s">
        <v>413</v>
      </c>
      <c r="FI434" s="29" t="s">
        <v>413</v>
      </c>
      <c r="FJ434" s="29" t="s">
        <v>413</v>
      </c>
      <c r="FK434" s="29" t="s">
        <v>413</v>
      </c>
      <c r="FL434" s="29" t="s">
        <v>484</v>
      </c>
      <c r="FM434" s="29" t="s">
        <v>484</v>
      </c>
      <c r="FN434" s="29" t="s">
        <v>484</v>
      </c>
      <c r="FO434" s="29" t="s">
        <v>417</v>
      </c>
      <c r="FP434" s="29" t="s">
        <v>418</v>
      </c>
      <c r="FQ434" s="29" t="s">
        <v>531</v>
      </c>
      <c r="FR434" s="29" t="s">
        <v>8582</v>
      </c>
      <c r="FS434" s="29" t="s">
        <v>420</v>
      </c>
      <c r="FT434" s="29" t="s">
        <v>488</v>
      </c>
      <c r="FU434" s="29" t="s">
        <v>918</v>
      </c>
      <c r="FV434" s="29" t="s">
        <v>490</v>
      </c>
      <c r="FW434" s="29" t="s">
        <v>491</v>
      </c>
      <c r="FX434" s="29" t="s">
        <v>8583</v>
      </c>
      <c r="FY434" s="29" t="s">
        <v>535</v>
      </c>
      <c r="FZ434" s="29" t="s">
        <v>8584</v>
      </c>
      <c r="GA434" s="29" t="s">
        <v>8585</v>
      </c>
      <c r="GB434" s="29" t="s">
        <v>455</v>
      </c>
      <c r="GC434" s="29"/>
      <c r="GD434" s="29"/>
      <c r="GE434" s="29" t="s">
        <v>1339</v>
      </c>
      <c r="GF434" s="29" t="s">
        <v>8586</v>
      </c>
      <c r="GG434" s="29" t="s">
        <v>789</v>
      </c>
      <c r="GH434" s="29" t="s">
        <v>857</v>
      </c>
      <c r="GI434" s="29" t="s">
        <v>790</v>
      </c>
      <c r="GJ434" s="29"/>
      <c r="GK434" s="29"/>
      <c r="GL434" s="29"/>
      <c r="GM434" s="29"/>
      <c r="GN434" s="29"/>
      <c r="GO434" s="29"/>
      <c r="GP434" s="29"/>
      <c r="GQ434" s="29" t="s">
        <v>4653</v>
      </c>
      <c r="GR434" s="29"/>
      <c r="GS434" s="29"/>
      <c r="GT434" s="29" t="s">
        <v>4774</v>
      </c>
      <c r="GU434" s="29"/>
      <c r="HP434" s="31"/>
      <c r="MX434" s="29" t="s">
        <v>894</v>
      </c>
      <c r="MY434" s="29" t="str">
        <f>IFERROR(__xludf.DUMMYFUNCTION("""COMPUTED_VALUE"""),"Ontario")</f>
        <v>Ontario</v>
      </c>
    </row>
    <row r="435" ht="16.5" customHeight="1">
      <c r="A435" s="33">
        <v>46065.61208627315</v>
      </c>
      <c r="B435" s="29" t="s">
        <v>368</v>
      </c>
      <c r="C435" s="29" t="s">
        <v>894</v>
      </c>
      <c r="D435" s="29" t="s">
        <v>894</v>
      </c>
      <c r="E435" s="29"/>
      <c r="F435" s="29"/>
      <c r="G435" s="29" t="s">
        <v>422</v>
      </c>
      <c r="H435" s="29" t="s">
        <v>539</v>
      </c>
      <c r="I435" s="29" t="s">
        <v>374</v>
      </c>
      <c r="J435" s="29" t="s">
        <v>425</v>
      </c>
      <c r="K435" s="29" t="s">
        <v>376</v>
      </c>
      <c r="L435" s="29" t="s">
        <v>426</v>
      </c>
      <c r="M435" s="29" t="s">
        <v>8588</v>
      </c>
      <c r="N435" s="29" t="s">
        <v>426</v>
      </c>
      <c r="O435" s="29" t="s">
        <v>8589</v>
      </c>
      <c r="P435" s="29" t="s">
        <v>592</v>
      </c>
      <c r="Q435" s="29" t="s">
        <v>759</v>
      </c>
      <c r="R435" s="29" t="s">
        <v>8590</v>
      </c>
      <c r="S435" s="29" t="s">
        <v>384</v>
      </c>
      <c r="T435" s="29" t="s">
        <v>385</v>
      </c>
      <c r="U435" s="29" t="s">
        <v>896</v>
      </c>
      <c r="V435" s="29" t="s">
        <v>896</v>
      </c>
      <c r="W435" s="29" t="s">
        <v>593</v>
      </c>
      <c r="X435" s="29" t="s">
        <v>387</v>
      </c>
      <c r="Y435" s="29" t="s">
        <v>2115</v>
      </c>
      <c r="Z435" s="29" t="s">
        <v>543</v>
      </c>
      <c r="AA435" s="29" t="s">
        <v>2675</v>
      </c>
      <c r="AB435" s="29" t="s">
        <v>8591</v>
      </c>
      <c r="AC435" s="29"/>
      <c r="AD435" s="29"/>
      <c r="AE435" s="29"/>
      <c r="AF435" s="29"/>
      <c r="AG435" s="29"/>
      <c r="AH435" s="29"/>
      <c r="AI435" s="29"/>
      <c r="AJ435" s="29"/>
      <c r="AK435" s="29"/>
      <c r="AL435" s="29"/>
      <c r="AM435" s="29"/>
      <c r="AN435" s="29"/>
      <c r="AO435" s="29"/>
      <c r="AP435" s="29"/>
      <c r="AQ435" s="29"/>
      <c r="AR435" s="29"/>
      <c r="AS435" s="29"/>
      <c r="AT435" s="29"/>
      <c r="AU435" s="29"/>
      <c r="AV435" s="29" t="s">
        <v>1242</v>
      </c>
      <c r="AW435" s="29" t="s">
        <v>391</v>
      </c>
      <c r="AX435" s="29" t="s">
        <v>391</v>
      </c>
      <c r="AY435" s="29" t="s">
        <v>391</v>
      </c>
      <c r="AZ435" s="29">
        <v>4.0</v>
      </c>
      <c r="BA435" s="29" t="s">
        <v>391</v>
      </c>
      <c r="BB435" s="29" t="s">
        <v>391</v>
      </c>
      <c r="BC435" s="29" t="s">
        <v>8592</v>
      </c>
      <c r="BD435" s="29" t="s">
        <v>8593</v>
      </c>
      <c r="BE435" s="29" t="s">
        <v>1094</v>
      </c>
      <c r="BF435" s="29" t="s">
        <v>1095</v>
      </c>
      <c r="BG435" s="29" t="s">
        <v>725</v>
      </c>
      <c r="BH435" s="29"/>
      <c r="BI435" s="29" t="s">
        <v>976</v>
      </c>
      <c r="BJ435" s="29"/>
      <c r="BK435" s="29" t="s">
        <v>602</v>
      </c>
      <c r="BL435" s="29" t="s">
        <v>512</v>
      </c>
      <c r="BM435" s="29" t="s">
        <v>1247</v>
      </c>
      <c r="BN435" s="29" t="s">
        <v>398</v>
      </c>
      <c r="BO435" s="29" t="s">
        <v>8594</v>
      </c>
      <c r="BP435" s="29" t="s">
        <v>408</v>
      </c>
      <c r="BQ435" s="29" t="s">
        <v>442</v>
      </c>
      <c r="BR435" s="29" t="s">
        <v>5002</v>
      </c>
      <c r="BS435" s="29" t="s">
        <v>1741</v>
      </c>
      <c r="BT435" s="29" t="s">
        <v>404</v>
      </c>
      <c r="BU435" s="29" t="s">
        <v>405</v>
      </c>
      <c r="BV435" s="29"/>
      <c r="BW435" s="29" t="s">
        <v>406</v>
      </c>
      <c r="BX435" s="29" t="s">
        <v>1867</v>
      </c>
      <c r="BY435" s="29" t="s">
        <v>408</v>
      </c>
      <c r="BZ435" s="29"/>
      <c r="CA435" s="29" t="s">
        <v>2675</v>
      </c>
      <c r="CB435" s="29" t="s">
        <v>8595</v>
      </c>
      <c r="CC435" s="29" t="s">
        <v>8596</v>
      </c>
      <c r="CD435" s="29" t="s">
        <v>1257</v>
      </c>
      <c r="CE435" s="29"/>
      <c r="CF435" s="29" t="s">
        <v>1697</v>
      </c>
      <c r="CG435" s="29"/>
      <c r="CH435" s="29" t="s">
        <v>1751</v>
      </c>
      <c r="CI435" s="29" t="s">
        <v>1220</v>
      </c>
      <c r="CJ435" s="29" t="s">
        <v>4841</v>
      </c>
      <c r="CK435" s="29" t="s">
        <v>8597</v>
      </c>
      <c r="CL435" s="29"/>
      <c r="CM435" s="29"/>
      <c r="CN435" s="29"/>
      <c r="CO435" s="29"/>
      <c r="CP435" s="29"/>
      <c r="CQ435" s="29"/>
      <c r="CR435" s="29"/>
      <c r="CS435" s="29"/>
      <c r="CT435" s="29"/>
      <c r="CU435" s="29"/>
      <c r="CV435" s="29"/>
      <c r="CW435" s="29"/>
      <c r="CX435" s="29"/>
      <c r="CY435" s="29"/>
      <c r="CZ435" s="29"/>
      <c r="DA435" s="29"/>
      <c r="DB435" s="29"/>
      <c r="DC435" s="29"/>
      <c r="DD435" s="29"/>
      <c r="DE435" s="29"/>
      <c r="DF435" s="29"/>
      <c r="DG435" s="29"/>
      <c r="DH435" s="29"/>
      <c r="DI435" s="29" t="s">
        <v>963</v>
      </c>
      <c r="DJ435" s="29" t="s">
        <v>613</v>
      </c>
      <c r="DK435" s="29"/>
      <c r="DL435" s="29"/>
      <c r="DM435" s="29"/>
      <c r="DN435" s="29"/>
      <c r="DO435" s="29"/>
      <c r="DP435" s="29"/>
      <c r="DQ435" s="29"/>
      <c r="DR435" s="29"/>
      <c r="DS435" s="29"/>
      <c r="DT435" s="29"/>
      <c r="DU435" s="29"/>
      <c r="DV435" s="29"/>
      <c r="DW435" s="29"/>
      <c r="DX435" s="29"/>
      <c r="DY435" s="29"/>
      <c r="DZ435" s="29"/>
      <c r="EA435" s="29"/>
      <c r="EB435" s="29"/>
      <c r="EC435" s="29"/>
      <c r="ED435" s="29"/>
      <c r="EE435" s="29"/>
      <c r="EF435" s="29"/>
      <c r="EG435" s="29"/>
      <c r="EH435" s="29"/>
      <c r="EI435" s="29"/>
      <c r="EJ435" s="29"/>
      <c r="EK435" s="29"/>
      <c r="EL435" s="29"/>
      <c r="EM435" s="29"/>
      <c r="EN435" s="29"/>
      <c r="EO435" s="29"/>
      <c r="EP435" s="29"/>
      <c r="EQ435" s="29"/>
      <c r="ER435" s="29"/>
      <c r="ES435" s="29"/>
      <c r="ET435" s="29" t="s">
        <v>578</v>
      </c>
      <c r="EU435" s="29" t="s">
        <v>579</v>
      </c>
      <c r="EV435" s="29" t="s">
        <v>580</v>
      </c>
      <c r="EW435" s="29"/>
      <c r="EX435" s="29" t="s">
        <v>8598</v>
      </c>
      <c r="EY435" s="29" t="s">
        <v>8599</v>
      </c>
      <c r="EZ435" s="29" t="s">
        <v>413</v>
      </c>
      <c r="FA435" s="29" t="s">
        <v>413</v>
      </c>
      <c r="FB435" s="29" t="s">
        <v>413</v>
      </c>
      <c r="FC435" s="29" t="s">
        <v>413</v>
      </c>
      <c r="FD435" s="29" t="s">
        <v>413</v>
      </c>
      <c r="FE435" s="29" t="s">
        <v>413</v>
      </c>
      <c r="FF435" s="29" t="s">
        <v>413</v>
      </c>
      <c r="FG435" s="29" t="s">
        <v>413</v>
      </c>
      <c r="FH435" s="29" t="s">
        <v>413</v>
      </c>
      <c r="FI435" s="29" t="s">
        <v>484</v>
      </c>
      <c r="FJ435" s="29" t="s">
        <v>415</v>
      </c>
      <c r="FK435" s="29" t="s">
        <v>484</v>
      </c>
      <c r="FL435" s="29" t="s">
        <v>484</v>
      </c>
      <c r="FM435" s="29" t="s">
        <v>484</v>
      </c>
      <c r="FN435" s="29" t="s">
        <v>484</v>
      </c>
      <c r="FO435" s="29" t="s">
        <v>417</v>
      </c>
      <c r="FP435" s="29" t="s">
        <v>2524</v>
      </c>
      <c r="FQ435" s="29" t="s">
        <v>712</v>
      </c>
      <c r="FR435" s="29" t="s">
        <v>8599</v>
      </c>
      <c r="FS435" s="29" t="s">
        <v>1076</v>
      </c>
      <c r="FT435" s="29" t="s">
        <v>488</v>
      </c>
      <c r="FU435" s="29" t="s">
        <v>585</v>
      </c>
      <c r="FV435" s="29" t="s">
        <v>490</v>
      </c>
      <c r="FW435" s="29" t="s">
        <v>491</v>
      </c>
      <c r="FX435" s="29" t="s">
        <v>8600</v>
      </c>
      <c r="FY435" s="29" t="s">
        <v>493</v>
      </c>
      <c r="FZ435" s="29" t="s">
        <v>8601</v>
      </c>
      <c r="GA435" s="29" t="s">
        <v>408</v>
      </c>
      <c r="GB435" s="29" t="s">
        <v>455</v>
      </c>
      <c r="GC435" s="29"/>
      <c r="GD435" s="29"/>
      <c r="GE435" s="29" t="s">
        <v>1339</v>
      </c>
      <c r="GF435" s="29"/>
      <c r="GG435" s="29"/>
      <c r="GH435" s="29"/>
      <c r="GI435" s="29"/>
      <c r="GJ435" s="29" t="s">
        <v>920</v>
      </c>
      <c r="GK435" s="29" t="s">
        <v>789</v>
      </c>
      <c r="GL435" s="29" t="s">
        <v>817</v>
      </c>
      <c r="GM435" s="29"/>
      <c r="GN435" s="29"/>
      <c r="GO435" s="29"/>
      <c r="GP435" s="29"/>
      <c r="GQ435" s="29" t="s">
        <v>4653</v>
      </c>
      <c r="GR435" s="29" t="s">
        <v>4774</v>
      </c>
      <c r="GS435" s="29"/>
      <c r="GT435" s="29"/>
      <c r="GU435" s="29"/>
      <c r="HP435" s="31"/>
      <c r="MX435" s="29" t="s">
        <v>10402</v>
      </c>
      <c r="MY435" s="29" t="str">
        <f>IFERROR(__xludf.DUMMYFUNCTION("""COMPUTED_VALUE"""),"New Jersey")</f>
        <v>New Jersey</v>
      </c>
    </row>
    <row r="436" ht="16.5" customHeight="1">
      <c r="A436" s="33">
        <v>46066.35949877315</v>
      </c>
      <c r="B436" s="29" t="s">
        <v>368</v>
      </c>
      <c r="C436" s="29" t="s">
        <v>370</v>
      </c>
      <c r="D436" s="29" t="s">
        <v>370</v>
      </c>
      <c r="E436" s="29" t="s">
        <v>2359</v>
      </c>
      <c r="F436" s="29" t="s">
        <v>2359</v>
      </c>
      <c r="G436" s="29" t="s">
        <v>422</v>
      </c>
      <c r="H436" s="29" t="s">
        <v>496</v>
      </c>
      <c r="I436" s="29" t="s">
        <v>374</v>
      </c>
      <c r="J436" s="29" t="s">
        <v>375</v>
      </c>
      <c r="K436" s="29" t="s">
        <v>376</v>
      </c>
      <c r="L436" s="29" t="s">
        <v>591</v>
      </c>
      <c r="M436" s="29" t="s">
        <v>719</v>
      </c>
      <c r="N436" s="29" t="s">
        <v>591</v>
      </c>
      <c r="O436" s="29" t="s">
        <v>380</v>
      </c>
      <c r="P436" s="29" t="s">
        <v>498</v>
      </c>
      <c r="Q436" s="29" t="s">
        <v>818</v>
      </c>
      <c r="R436" s="29" t="s">
        <v>500</v>
      </c>
      <c r="S436" s="29" t="s">
        <v>384</v>
      </c>
      <c r="T436" s="29" t="s">
        <v>385</v>
      </c>
      <c r="U436" s="29"/>
      <c r="V436" s="29"/>
      <c r="W436" s="29" t="s">
        <v>3231</v>
      </c>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t="s">
        <v>390</v>
      </c>
      <c r="AW436" s="29" t="s">
        <v>429</v>
      </c>
      <c r="AX436" s="29" t="s">
        <v>429</v>
      </c>
      <c r="AY436" s="29">
        <v>2.0</v>
      </c>
      <c r="AZ436" s="29" t="s">
        <v>429</v>
      </c>
      <c r="BA436" s="29" t="s">
        <v>429</v>
      </c>
      <c r="BB436" s="29" t="s">
        <v>429</v>
      </c>
      <c r="BC436" s="29" t="s">
        <v>8602</v>
      </c>
      <c r="BD436" s="29" t="s">
        <v>8603</v>
      </c>
      <c r="BE436" s="29" t="s">
        <v>392</v>
      </c>
      <c r="BF436" s="29" t="s">
        <v>433</v>
      </c>
      <c r="BG436" s="29" t="s">
        <v>678</v>
      </c>
      <c r="BH436" s="29" t="s">
        <v>8604</v>
      </c>
      <c r="BI436" s="29" t="s">
        <v>509</v>
      </c>
      <c r="BJ436" s="29" t="s">
        <v>8605</v>
      </c>
      <c r="BK436" s="29" t="s">
        <v>437</v>
      </c>
      <c r="BL436" s="29" t="s">
        <v>438</v>
      </c>
      <c r="BM436" s="29" t="s">
        <v>439</v>
      </c>
      <c r="BN436" s="29" t="s">
        <v>513</v>
      </c>
      <c r="BO436" s="29"/>
      <c r="BP436" s="29"/>
      <c r="BQ436" s="29"/>
      <c r="BR436" s="29"/>
      <c r="BS436" s="29"/>
      <c r="BT436" s="29"/>
      <c r="BU436" s="29"/>
      <c r="BV436" s="29"/>
      <c r="BW436" s="29"/>
      <c r="BX436" s="29"/>
      <c r="BY436" s="29"/>
      <c r="BZ436" s="29"/>
      <c r="CA436" s="29"/>
      <c r="CB436" s="29"/>
      <c r="CC436" s="29"/>
      <c r="CD436" s="29"/>
      <c r="CE436" s="29"/>
      <c r="CF436" s="29"/>
      <c r="CG436" s="29"/>
      <c r="CH436" s="29"/>
      <c r="CI436" s="29"/>
      <c r="CJ436" s="29"/>
      <c r="CK436" s="29"/>
      <c r="CL436" s="29" t="s">
        <v>441</v>
      </c>
      <c r="CM436" s="29" t="s">
        <v>442</v>
      </c>
      <c r="CN436" s="29" t="s">
        <v>6551</v>
      </c>
      <c r="CO436" s="29" t="s">
        <v>8606</v>
      </c>
      <c r="CP436" s="29" t="s">
        <v>979</v>
      </c>
      <c r="CQ436" s="29" t="s">
        <v>8607</v>
      </c>
      <c r="CR436" s="29" t="s">
        <v>447</v>
      </c>
      <c r="CS436" s="29" t="s">
        <v>8608</v>
      </c>
      <c r="CT436" s="29"/>
      <c r="CU436" s="29" t="s">
        <v>519</v>
      </c>
      <c r="CV436" s="29" t="s">
        <v>451</v>
      </c>
      <c r="CW436" s="29" t="s">
        <v>8609</v>
      </c>
      <c r="CX436" s="29" t="s">
        <v>408</v>
      </c>
      <c r="CY436" s="29"/>
      <c r="CZ436" s="29" t="s">
        <v>453</v>
      </c>
      <c r="DA436" s="29" t="s">
        <v>8610</v>
      </c>
      <c r="DB436" s="29" t="s">
        <v>455</v>
      </c>
      <c r="DC436" s="29" t="s">
        <v>8611</v>
      </c>
      <c r="DD436" s="29" t="s">
        <v>662</v>
      </c>
      <c r="DE436" s="29" t="s">
        <v>691</v>
      </c>
      <c r="DF436" s="29" t="s">
        <v>8612</v>
      </c>
      <c r="DG436" s="29" t="s">
        <v>776</v>
      </c>
      <c r="DH436" s="29" t="s">
        <v>410</v>
      </c>
      <c r="DI436" s="29" t="s">
        <v>459</v>
      </c>
      <c r="DJ436" s="29" t="s">
        <v>613</v>
      </c>
      <c r="DK436" s="29"/>
      <c r="DL436" s="29"/>
      <c r="DM436" s="29"/>
      <c r="DN436" s="29"/>
      <c r="DO436" s="29"/>
      <c r="DP436" s="29"/>
      <c r="DQ436" s="29"/>
      <c r="DR436" s="29"/>
      <c r="DS436" s="29"/>
      <c r="DT436" s="29"/>
      <c r="DU436" s="29"/>
      <c r="DV436" s="29"/>
      <c r="DW436" s="29"/>
      <c r="DX436" s="29"/>
      <c r="DY436" s="29"/>
      <c r="DZ436" s="29"/>
      <c r="EA436" s="29"/>
      <c r="EB436" s="29"/>
      <c r="EC436" s="29"/>
      <c r="ED436" s="29"/>
      <c r="EE436" s="29"/>
      <c r="EF436" s="29"/>
      <c r="EG436" s="29"/>
      <c r="EH436" s="29"/>
      <c r="EI436" s="29"/>
      <c r="EJ436" s="29"/>
      <c r="EK436" s="29"/>
      <c r="EL436" s="29"/>
      <c r="EM436" s="29"/>
      <c r="EN436" s="29"/>
      <c r="EO436" s="29"/>
      <c r="EP436" s="29"/>
      <c r="EQ436" s="29"/>
      <c r="ER436" s="29"/>
      <c r="ES436" s="29"/>
      <c r="ET436" s="29" t="s">
        <v>526</v>
      </c>
      <c r="EU436" s="29" t="s">
        <v>479</v>
      </c>
      <c r="EV436" s="29" t="s">
        <v>663</v>
      </c>
      <c r="EW436" s="29"/>
      <c r="EX436" s="29" t="s">
        <v>8613</v>
      </c>
      <c r="EY436" s="29" t="s">
        <v>8614</v>
      </c>
      <c r="EZ436" s="29" t="s">
        <v>413</v>
      </c>
      <c r="FA436" s="29" t="s">
        <v>413</v>
      </c>
      <c r="FB436" s="29" t="s">
        <v>413</v>
      </c>
      <c r="FC436" s="29" t="s">
        <v>413</v>
      </c>
      <c r="FD436" s="29" t="s">
        <v>413</v>
      </c>
      <c r="FE436" s="29" t="s">
        <v>413</v>
      </c>
      <c r="FF436" s="29" t="s">
        <v>413</v>
      </c>
      <c r="FG436" s="29" t="s">
        <v>413</v>
      </c>
      <c r="FH436" s="29" t="s">
        <v>413</v>
      </c>
      <c r="FI436" s="29" t="s">
        <v>416</v>
      </c>
      <c r="FJ436" s="29" t="s">
        <v>416</v>
      </c>
      <c r="FK436" s="29" t="s">
        <v>583</v>
      </c>
      <c r="FL436" s="29" t="s">
        <v>583</v>
      </c>
      <c r="FM436" s="29" t="s">
        <v>583</v>
      </c>
      <c r="FN436" s="29" t="s">
        <v>583</v>
      </c>
      <c r="FO436" s="29" t="s">
        <v>485</v>
      </c>
      <c r="FP436" s="29" t="s">
        <v>418</v>
      </c>
      <c r="FQ436" s="29" t="s">
        <v>1039</v>
      </c>
      <c r="FR436" s="29" t="s">
        <v>8615</v>
      </c>
      <c r="FS436" s="29" t="s">
        <v>420</v>
      </c>
      <c r="FT436" s="29" t="s">
        <v>488</v>
      </c>
      <c r="FU436" s="29" t="s">
        <v>918</v>
      </c>
      <c r="FV436" s="29" t="s">
        <v>490</v>
      </c>
      <c r="FW436" s="29" t="s">
        <v>491</v>
      </c>
      <c r="FX436" s="29" t="s">
        <v>8616</v>
      </c>
      <c r="FY436" s="29" t="s">
        <v>535</v>
      </c>
      <c r="FZ436" s="29" t="s">
        <v>8617</v>
      </c>
      <c r="GA436" s="29"/>
      <c r="GB436" s="29" t="s">
        <v>408</v>
      </c>
      <c r="GC436" s="29"/>
      <c r="GD436" s="29"/>
      <c r="GE436" s="29"/>
      <c r="GF436" s="29"/>
      <c r="GG436" s="29" t="s">
        <v>1000</v>
      </c>
      <c r="GH436" s="29" t="s">
        <v>1000</v>
      </c>
      <c r="GI436" s="29" t="s">
        <v>946</v>
      </c>
      <c r="GJ436" s="29"/>
      <c r="GK436" s="29"/>
      <c r="GL436" s="29"/>
      <c r="GM436" s="29"/>
      <c r="GN436" s="29"/>
      <c r="GO436" s="29"/>
      <c r="GP436" s="29" t="s">
        <v>387</v>
      </c>
      <c r="GQ436" s="29" t="s">
        <v>3208</v>
      </c>
      <c r="GR436" s="29"/>
      <c r="GS436" s="29"/>
      <c r="GT436" s="29" t="s">
        <v>4741</v>
      </c>
      <c r="GU436" s="29" t="s">
        <v>8618</v>
      </c>
      <c r="HP436" s="31"/>
      <c r="MX436" s="29" t="s">
        <v>10402</v>
      </c>
      <c r="MY436" s="29" t="str">
        <f>IFERROR(__xludf.DUMMYFUNCTION("""COMPUTED_VALUE"""),"California")</f>
        <v>California</v>
      </c>
    </row>
    <row r="437" ht="16.5" customHeight="1">
      <c r="A437" s="33">
        <v>46066.93613185185</v>
      </c>
      <c r="B437" s="29" t="s">
        <v>368</v>
      </c>
      <c r="C437" s="29" t="s">
        <v>370</v>
      </c>
      <c r="D437" s="29" t="s">
        <v>370</v>
      </c>
      <c r="E437" s="29" t="s">
        <v>371</v>
      </c>
      <c r="F437" s="29" t="s">
        <v>371</v>
      </c>
      <c r="G437" s="29" t="s">
        <v>422</v>
      </c>
      <c r="H437" s="29" t="s">
        <v>373</v>
      </c>
      <c r="I437" s="29" t="s">
        <v>374</v>
      </c>
      <c r="J437" s="29" t="s">
        <v>375</v>
      </c>
      <c r="K437" s="29" t="s">
        <v>376</v>
      </c>
      <c r="L437" s="29" t="s">
        <v>793</v>
      </c>
      <c r="M437" s="29" t="s">
        <v>639</v>
      </c>
      <c r="N437" s="29" t="s">
        <v>591</v>
      </c>
      <c r="O437" s="29" t="s">
        <v>671</v>
      </c>
      <c r="P437" s="29" t="s">
        <v>381</v>
      </c>
      <c r="Q437" s="29" t="s">
        <v>499</v>
      </c>
      <c r="R437" s="29" t="s">
        <v>949</v>
      </c>
      <c r="S437" s="29" t="s">
        <v>384</v>
      </c>
      <c r="T437" s="29" t="s">
        <v>385</v>
      </c>
      <c r="U437" s="29"/>
      <c r="V437" s="29"/>
      <c r="W437" s="29" t="s">
        <v>593</v>
      </c>
      <c r="X437" s="29" t="s">
        <v>387</v>
      </c>
      <c r="Y437" s="29" t="s">
        <v>897</v>
      </c>
      <c r="Z437" s="29" t="s">
        <v>502</v>
      </c>
      <c r="AA437" s="29" t="s">
        <v>8620</v>
      </c>
      <c r="AB437" s="29" t="s">
        <v>8621</v>
      </c>
      <c r="AC437" s="29"/>
      <c r="AD437" s="29"/>
      <c r="AE437" s="29"/>
      <c r="AF437" s="29"/>
      <c r="AG437" s="29"/>
      <c r="AH437" s="29"/>
      <c r="AI437" s="29"/>
      <c r="AJ437" s="29"/>
      <c r="AK437" s="29"/>
      <c r="AL437" s="29"/>
      <c r="AM437" s="29"/>
      <c r="AN437" s="29"/>
      <c r="AO437" s="29"/>
      <c r="AP437" s="29"/>
      <c r="AQ437" s="29"/>
      <c r="AR437" s="29"/>
      <c r="AS437" s="29"/>
      <c r="AT437" s="29"/>
      <c r="AU437" s="29"/>
      <c r="AV437" s="29" t="s">
        <v>1310</v>
      </c>
      <c r="AW437" s="29">
        <v>4.0</v>
      </c>
      <c r="AX437" s="29" t="s">
        <v>391</v>
      </c>
      <c r="AY437" s="29">
        <v>4.0</v>
      </c>
      <c r="AZ437" s="29" t="s">
        <v>391</v>
      </c>
      <c r="BA437" s="29" t="s">
        <v>391</v>
      </c>
      <c r="BB437" s="29">
        <v>4.0</v>
      </c>
      <c r="BC437" s="29" t="s">
        <v>8622</v>
      </c>
      <c r="BD437" s="29" t="s">
        <v>8623</v>
      </c>
      <c r="BE437" s="29" t="s">
        <v>2379</v>
      </c>
      <c r="BF437" s="29" t="s">
        <v>393</v>
      </c>
      <c r="BG437" s="29" t="s">
        <v>725</v>
      </c>
      <c r="BH437" s="29" t="s">
        <v>8624</v>
      </c>
      <c r="BI437" s="29" t="s">
        <v>509</v>
      </c>
      <c r="BJ437" s="29" t="s">
        <v>8625</v>
      </c>
      <c r="BK437" s="29" t="s">
        <v>681</v>
      </c>
      <c r="BL437" s="29" t="s">
        <v>512</v>
      </c>
      <c r="BM437" s="29" t="s">
        <v>1247</v>
      </c>
      <c r="BN437" s="29" t="s">
        <v>513</v>
      </c>
      <c r="BO437" s="29"/>
      <c r="BP437" s="29"/>
      <c r="BQ437" s="29"/>
      <c r="BR437" s="29"/>
      <c r="BS437" s="29"/>
      <c r="BT437" s="29"/>
      <c r="BU437" s="29"/>
      <c r="BV437" s="29"/>
      <c r="BW437" s="29"/>
      <c r="BX437" s="29"/>
      <c r="BY437" s="29"/>
      <c r="BZ437" s="29"/>
      <c r="CA437" s="29"/>
      <c r="CB437" s="29"/>
      <c r="CC437" s="29"/>
      <c r="CD437" s="29"/>
      <c r="CE437" s="29"/>
      <c r="CF437" s="29"/>
      <c r="CG437" s="29"/>
      <c r="CH437" s="29"/>
      <c r="CI437" s="29"/>
      <c r="CJ437" s="29"/>
      <c r="CK437" s="29"/>
      <c r="CL437" s="29" t="s">
        <v>441</v>
      </c>
      <c r="CM437" s="29" t="s">
        <v>604</v>
      </c>
      <c r="CN437" s="29" t="s">
        <v>8626</v>
      </c>
      <c r="CO437" s="29" t="s">
        <v>8627</v>
      </c>
      <c r="CP437" s="29" t="s">
        <v>445</v>
      </c>
      <c r="CQ437" s="29" t="s">
        <v>8628</v>
      </c>
      <c r="CR437" s="29" t="s">
        <v>447</v>
      </c>
      <c r="CS437" s="29" t="s">
        <v>8629</v>
      </c>
      <c r="CT437" s="29" t="s">
        <v>8630</v>
      </c>
      <c r="CU437" s="29" t="s">
        <v>982</v>
      </c>
      <c r="CV437" s="29" t="s">
        <v>1931</v>
      </c>
      <c r="CW437" s="29"/>
      <c r="CX437" s="29" t="s">
        <v>408</v>
      </c>
      <c r="CY437" s="29"/>
      <c r="CZ437" s="29" t="s">
        <v>1962</v>
      </c>
      <c r="DA437" s="29"/>
      <c r="DB437" s="29" t="s">
        <v>408</v>
      </c>
      <c r="DC437" s="29"/>
      <c r="DD437" s="29" t="s">
        <v>406</v>
      </c>
      <c r="DE437" s="29" t="s">
        <v>1058</v>
      </c>
      <c r="DF437" s="29" t="s">
        <v>8631</v>
      </c>
      <c r="DG437" s="29" t="s">
        <v>693</v>
      </c>
      <c r="DH437" s="29" t="s">
        <v>694</v>
      </c>
      <c r="DI437" s="29" t="s">
        <v>459</v>
      </c>
      <c r="DJ437" s="29" t="s">
        <v>460</v>
      </c>
      <c r="DK437" s="29" t="s">
        <v>6335</v>
      </c>
      <c r="DL437" s="29"/>
      <c r="DM437" s="29"/>
      <c r="DN437" s="29"/>
      <c r="DO437" s="29"/>
      <c r="DP437" s="29"/>
      <c r="DQ437" s="29"/>
      <c r="DR437" s="29"/>
      <c r="DS437" s="29"/>
      <c r="DT437" s="29"/>
      <c r="DU437" s="29"/>
      <c r="DV437" s="29"/>
      <c r="DW437" s="29"/>
      <c r="DX437" s="29"/>
      <c r="DY437" s="29"/>
      <c r="DZ437" s="29"/>
      <c r="EA437" s="29"/>
      <c r="EB437" s="29"/>
      <c r="EC437" s="29"/>
      <c r="ED437" s="29"/>
      <c r="EE437" s="29"/>
      <c r="EF437" s="29"/>
      <c r="EG437" s="29"/>
      <c r="EH437" s="29"/>
      <c r="EI437" s="29"/>
      <c r="EJ437" s="29"/>
      <c r="EK437" s="29"/>
      <c r="EL437" s="29"/>
      <c r="EM437" s="29"/>
      <c r="EN437" s="29"/>
      <c r="EO437" s="29"/>
      <c r="EP437" s="29"/>
      <c r="EQ437" s="29"/>
      <c r="ER437" s="29"/>
      <c r="ES437" s="29"/>
      <c r="ET437" s="29" t="s">
        <v>478</v>
      </c>
      <c r="EU437" s="29" t="s">
        <v>479</v>
      </c>
      <c r="EV437" s="29" t="s">
        <v>1534</v>
      </c>
      <c r="EW437" s="29" t="s">
        <v>8632</v>
      </c>
      <c r="EX437" s="29" t="s">
        <v>8633</v>
      </c>
      <c r="EY437" s="29" t="s">
        <v>6933</v>
      </c>
      <c r="EZ437" s="29" t="s">
        <v>583</v>
      </c>
      <c r="FA437" s="29" t="s">
        <v>583</v>
      </c>
      <c r="FB437" s="29" t="s">
        <v>415</v>
      </c>
      <c r="FC437" s="29" t="s">
        <v>583</v>
      </c>
      <c r="FD437" s="29" t="s">
        <v>416</v>
      </c>
      <c r="FE437" s="29" t="s">
        <v>583</v>
      </c>
      <c r="FF437" s="29" t="s">
        <v>414</v>
      </c>
      <c r="FG437" s="29" t="s">
        <v>484</v>
      </c>
      <c r="FH437" s="29" t="s">
        <v>414</v>
      </c>
      <c r="FI437" s="29" t="s">
        <v>583</v>
      </c>
      <c r="FJ437" s="29" t="s">
        <v>583</v>
      </c>
      <c r="FK437" s="29" t="s">
        <v>484</v>
      </c>
      <c r="FL437" s="29" t="s">
        <v>414</v>
      </c>
      <c r="FM437" s="29" t="s">
        <v>484</v>
      </c>
      <c r="FN437" s="29" t="s">
        <v>484</v>
      </c>
      <c r="FO437" s="29" t="s">
        <v>850</v>
      </c>
      <c r="FP437" s="29" t="s">
        <v>486</v>
      </c>
      <c r="FQ437" s="29" t="s">
        <v>419</v>
      </c>
      <c r="FR437" s="29" t="s">
        <v>8634</v>
      </c>
      <c r="FS437" s="29" t="s">
        <v>1871</v>
      </c>
      <c r="FT437" s="29" t="s">
        <v>421</v>
      </c>
      <c r="FU437" s="29" t="s">
        <v>489</v>
      </c>
      <c r="FV437" s="29" t="s">
        <v>1101</v>
      </c>
      <c r="FW437" s="29" t="s">
        <v>491</v>
      </c>
      <c r="FX437" s="29" t="s">
        <v>8635</v>
      </c>
      <c r="FY437" s="29" t="s">
        <v>493</v>
      </c>
      <c r="FZ437" s="29" t="s">
        <v>8636</v>
      </c>
      <c r="GA437" s="29"/>
      <c r="GB437" s="29" t="s">
        <v>455</v>
      </c>
      <c r="GC437" s="29"/>
      <c r="GD437" s="29"/>
      <c r="GE437" s="29" t="s">
        <v>944</v>
      </c>
      <c r="GF437" s="29" t="s">
        <v>8637</v>
      </c>
      <c r="GG437" s="29" t="s">
        <v>920</v>
      </c>
      <c r="GH437" s="29" t="s">
        <v>920</v>
      </c>
      <c r="GI437" s="29" t="s">
        <v>756</v>
      </c>
      <c r="GJ437" s="29"/>
      <c r="GK437" s="29"/>
      <c r="GL437" s="29"/>
      <c r="GM437" s="29"/>
      <c r="GN437" s="29"/>
      <c r="GO437" s="29"/>
      <c r="GP437" s="29"/>
      <c r="GQ437" s="29" t="s">
        <v>4653</v>
      </c>
      <c r="GR437" s="29"/>
      <c r="GS437" s="29"/>
      <c r="GT437" s="29" t="s">
        <v>5039</v>
      </c>
      <c r="GU437" s="29" t="s">
        <v>8638</v>
      </c>
      <c r="HP437" s="31"/>
      <c r="MX437" s="29" t="s">
        <v>894</v>
      </c>
      <c r="MY437" s="29" t="str">
        <f>IFERROR(__xludf.DUMMYFUNCTION("""COMPUTED_VALUE"""),"Saskatchewan")</f>
        <v>Saskatchewan</v>
      </c>
    </row>
    <row r="438" ht="16.5" customHeight="1">
      <c r="A438" s="33">
        <v>46067.17601916667</v>
      </c>
      <c r="B438" s="29" t="s">
        <v>368</v>
      </c>
      <c r="C438" s="29" t="s">
        <v>894</v>
      </c>
      <c r="D438" s="29" t="s">
        <v>894</v>
      </c>
      <c r="E438" s="29"/>
      <c r="F438" s="29"/>
      <c r="G438" s="29" t="s">
        <v>422</v>
      </c>
      <c r="H438" s="29" t="s">
        <v>539</v>
      </c>
      <c r="I438" s="29" t="s">
        <v>424</v>
      </c>
      <c r="J438" s="29" t="s">
        <v>758</v>
      </c>
      <c r="K438" s="29" t="s">
        <v>376</v>
      </c>
      <c r="L438" s="29" t="s">
        <v>377</v>
      </c>
      <c r="M438" s="29"/>
      <c r="N438" s="29" t="s">
        <v>377</v>
      </c>
      <c r="O438" s="29"/>
      <c r="P438" s="29" t="s">
        <v>381</v>
      </c>
      <c r="Q438" s="29"/>
      <c r="R438" s="29" t="s">
        <v>427</v>
      </c>
      <c r="S438" s="29" t="s">
        <v>384</v>
      </c>
      <c r="T438" s="29" t="s">
        <v>385</v>
      </c>
      <c r="U438" s="29" t="s">
        <v>8639</v>
      </c>
      <c r="V438" s="29" t="s">
        <v>8639</v>
      </c>
      <c r="W438" s="29" t="s">
        <v>386</v>
      </c>
      <c r="X438" s="29" t="s">
        <v>387</v>
      </c>
      <c r="Y438" s="29" t="s">
        <v>388</v>
      </c>
      <c r="Z438" s="29" t="s">
        <v>543</v>
      </c>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t="s">
        <v>1242</v>
      </c>
      <c r="AW438" s="29" t="s">
        <v>391</v>
      </c>
      <c r="AX438" s="29" t="s">
        <v>391</v>
      </c>
      <c r="AY438" s="29">
        <v>2.0</v>
      </c>
      <c r="AZ438" s="29" t="s">
        <v>391</v>
      </c>
      <c r="BA438" s="29" t="s">
        <v>391</v>
      </c>
      <c r="BB438" s="29" t="s">
        <v>391</v>
      </c>
      <c r="BC438" s="29"/>
      <c r="BD438" s="29"/>
      <c r="BE438" s="29" t="s">
        <v>432</v>
      </c>
      <c r="BF438" s="29" t="s">
        <v>1095</v>
      </c>
      <c r="BG438" s="29" t="s">
        <v>394</v>
      </c>
      <c r="BH438" s="29"/>
      <c r="BI438" s="29" t="s">
        <v>976</v>
      </c>
      <c r="BJ438" s="29"/>
      <c r="BK438" s="29" t="s">
        <v>511</v>
      </c>
      <c r="BL438" s="29" t="s">
        <v>904</v>
      </c>
      <c r="BM438" s="29" t="s">
        <v>1314</v>
      </c>
      <c r="BN438" s="29" t="s">
        <v>398</v>
      </c>
      <c r="BO438" s="29"/>
      <c r="BP438" s="29"/>
      <c r="BQ438" s="29" t="s">
        <v>442</v>
      </c>
      <c r="BR438" s="29" t="s">
        <v>3323</v>
      </c>
      <c r="BS438" s="29" t="s">
        <v>403</v>
      </c>
      <c r="BT438" s="29" t="s">
        <v>1771</v>
      </c>
      <c r="BU438" s="29" t="s">
        <v>1772</v>
      </c>
      <c r="BV438" s="29"/>
      <c r="BW438" s="29" t="s">
        <v>406</v>
      </c>
      <c r="BX438" s="29"/>
      <c r="BY438" s="29" t="s">
        <v>408</v>
      </c>
      <c r="BZ438" s="29"/>
      <c r="CA438" s="29"/>
      <c r="CB438" s="29"/>
      <c r="CC438" s="29"/>
      <c r="CD438" s="29" t="s">
        <v>409</v>
      </c>
      <c r="CE438" s="29"/>
      <c r="CF438" s="29" t="s">
        <v>1258</v>
      </c>
      <c r="CG438" s="29"/>
      <c r="CH438" s="29" t="s">
        <v>1259</v>
      </c>
      <c r="CI438" s="29" t="s">
        <v>410</v>
      </c>
      <c r="CJ438" s="29" t="s">
        <v>8640</v>
      </c>
      <c r="CK438" s="29"/>
      <c r="CL438" s="29"/>
      <c r="CM438" s="29"/>
      <c r="CN438" s="29"/>
      <c r="CO438" s="29"/>
      <c r="CP438" s="29"/>
      <c r="CQ438" s="29"/>
      <c r="CR438" s="29"/>
      <c r="CS438" s="29"/>
      <c r="CT438" s="29"/>
      <c r="CU438" s="29"/>
      <c r="CV438" s="29"/>
      <c r="CW438" s="29"/>
      <c r="CX438" s="29"/>
      <c r="CY438" s="29"/>
      <c r="CZ438" s="29"/>
      <c r="DA438" s="29"/>
      <c r="DB438" s="29"/>
      <c r="DC438" s="29"/>
      <c r="DD438" s="29"/>
      <c r="DE438" s="29"/>
      <c r="DF438" s="29"/>
      <c r="DG438" s="29"/>
      <c r="DH438" s="29"/>
      <c r="DI438" s="29" t="s">
        <v>459</v>
      </c>
      <c r="DJ438" s="29" t="s">
        <v>562</v>
      </c>
      <c r="DK438" s="29" t="s">
        <v>6319</v>
      </c>
      <c r="DL438" s="29"/>
      <c r="DM438" s="29"/>
      <c r="DN438" s="29"/>
      <c r="DO438" s="29"/>
      <c r="DP438" s="29"/>
      <c r="DQ438" s="29"/>
      <c r="DR438" s="29"/>
      <c r="DS438" s="29"/>
      <c r="DT438" s="29"/>
      <c r="DU438" s="29"/>
      <c r="DV438" s="29"/>
      <c r="DW438" s="29"/>
      <c r="DX438" s="29"/>
      <c r="DY438" s="29"/>
      <c r="DZ438" s="29"/>
      <c r="EA438" s="29"/>
      <c r="EB438" s="29"/>
      <c r="EC438" s="29"/>
      <c r="ED438" s="29"/>
      <c r="EE438" s="29"/>
      <c r="EF438" s="29"/>
      <c r="EG438" s="29"/>
      <c r="EH438" s="29"/>
      <c r="EI438" s="29"/>
      <c r="EJ438" s="29"/>
      <c r="EK438" s="29"/>
      <c r="EL438" s="29"/>
      <c r="EM438" s="29"/>
      <c r="EN438" s="29"/>
      <c r="EO438" s="29"/>
      <c r="EP438" s="29"/>
      <c r="EQ438" s="29"/>
      <c r="ER438" s="29"/>
      <c r="ES438" s="29"/>
      <c r="ET438" s="29" t="s">
        <v>526</v>
      </c>
      <c r="EU438" s="29" t="s">
        <v>887</v>
      </c>
      <c r="EV438" s="29" t="s">
        <v>527</v>
      </c>
      <c r="EW438" s="29"/>
      <c r="EX438" s="29"/>
      <c r="EY438" s="29"/>
      <c r="EZ438" s="29" t="s">
        <v>413</v>
      </c>
      <c r="FA438" s="29" t="s">
        <v>413</v>
      </c>
      <c r="FB438" s="29" t="s">
        <v>413</v>
      </c>
      <c r="FC438" s="29" t="s">
        <v>413</v>
      </c>
      <c r="FD438" s="29" t="s">
        <v>413</v>
      </c>
      <c r="FE438" s="29" t="s">
        <v>413</v>
      </c>
      <c r="FF438" s="29" t="s">
        <v>413</v>
      </c>
      <c r="FG438" s="29" t="s">
        <v>413</v>
      </c>
      <c r="FH438" s="29" t="s">
        <v>413</v>
      </c>
      <c r="FI438" s="29" t="s">
        <v>413</v>
      </c>
      <c r="FJ438" s="29" t="s">
        <v>413</v>
      </c>
      <c r="FK438" s="29" t="s">
        <v>413</v>
      </c>
      <c r="FL438" s="29" t="s">
        <v>413</v>
      </c>
      <c r="FM438" s="29" t="s">
        <v>413</v>
      </c>
      <c r="FN438" s="29" t="s">
        <v>413</v>
      </c>
      <c r="FO438" s="29" t="s">
        <v>485</v>
      </c>
      <c r="FP438" s="29" t="s">
        <v>418</v>
      </c>
      <c r="FQ438" s="29" t="s">
        <v>1039</v>
      </c>
      <c r="FR438" s="29"/>
      <c r="FS438" s="29" t="s">
        <v>420</v>
      </c>
      <c r="FT438" s="29" t="s">
        <v>488</v>
      </c>
      <c r="FU438" s="29" t="s">
        <v>585</v>
      </c>
      <c r="FV438" s="29" t="s">
        <v>490</v>
      </c>
      <c r="FW438" s="29" t="s">
        <v>491</v>
      </c>
      <c r="FX438" s="29"/>
      <c r="FY438" s="29" t="s">
        <v>1854</v>
      </c>
      <c r="FZ438" s="29"/>
      <c r="GA438" s="29"/>
      <c r="GB438" s="29" t="s">
        <v>455</v>
      </c>
      <c r="GC438" s="29"/>
      <c r="GD438" s="29"/>
      <c r="GE438" s="29" t="s">
        <v>786</v>
      </c>
      <c r="GF438" s="29"/>
      <c r="GG438" s="29"/>
      <c r="GH438" s="29"/>
      <c r="GI438" s="29"/>
      <c r="GJ438" s="29" t="s">
        <v>755</v>
      </c>
      <c r="GK438" s="29" t="s">
        <v>755</v>
      </c>
      <c r="GL438" s="29" t="s">
        <v>946</v>
      </c>
      <c r="GM438" s="29"/>
      <c r="GN438" s="29"/>
      <c r="GO438" s="29"/>
      <c r="GP438" s="29"/>
      <c r="GQ438" s="29" t="s">
        <v>4653</v>
      </c>
      <c r="GR438" s="29" t="s">
        <v>5170</v>
      </c>
      <c r="GS438" s="29"/>
      <c r="GT438" s="29"/>
      <c r="GU438" s="29"/>
      <c r="HP438" s="31"/>
      <c r="MX438" s="29" t="s">
        <v>8641</v>
      </c>
      <c r="MY438" s="29" t="str">
        <f>IFERROR(__xludf.DUMMYFUNCTION("""COMPUTED_VALUE"""),"Lebanon")</f>
        <v>Lebanon</v>
      </c>
    </row>
    <row r="439" ht="16.5" customHeight="1">
      <c r="A439" s="33">
        <v>46069.69560907407</v>
      </c>
      <c r="B439" s="29" t="s">
        <v>368</v>
      </c>
      <c r="C439" s="29" t="s">
        <v>8641</v>
      </c>
      <c r="D439" s="29"/>
      <c r="E439" s="29"/>
      <c r="F439" s="29"/>
      <c r="G439" s="29" t="s">
        <v>636</v>
      </c>
      <c r="H439" s="29" t="s">
        <v>1921</v>
      </c>
      <c r="I439" s="29" t="s">
        <v>668</v>
      </c>
      <c r="J439" s="29" t="s">
        <v>540</v>
      </c>
      <c r="K439" s="29"/>
      <c r="L439" s="29" t="s">
        <v>670</v>
      </c>
      <c r="M439" s="29" t="s">
        <v>3352</v>
      </c>
      <c r="N439" s="29" t="s">
        <v>670</v>
      </c>
      <c r="O439" s="29" t="s">
        <v>671</v>
      </c>
      <c r="P439" s="29" t="s">
        <v>1504</v>
      </c>
      <c r="Q439" s="29" t="s">
        <v>382</v>
      </c>
      <c r="R439" s="29" t="s">
        <v>427</v>
      </c>
      <c r="S439" s="29" t="s">
        <v>384</v>
      </c>
      <c r="T439" s="29" t="s">
        <v>385</v>
      </c>
      <c r="U439" s="29"/>
      <c r="V439" s="29"/>
      <c r="W439" s="29" t="s">
        <v>3014</v>
      </c>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t="s">
        <v>390</v>
      </c>
      <c r="AW439" s="29">
        <v>4.0</v>
      </c>
      <c r="AX439" s="29">
        <v>4.0</v>
      </c>
      <c r="AY439" s="29" t="s">
        <v>429</v>
      </c>
      <c r="AZ439" s="29">
        <v>2.0</v>
      </c>
      <c r="BA439" s="29" t="s">
        <v>675</v>
      </c>
      <c r="BB439" s="29" t="s">
        <v>675</v>
      </c>
      <c r="BC439" s="29" t="s">
        <v>8642</v>
      </c>
      <c r="BD439" s="29" t="s">
        <v>8643</v>
      </c>
      <c r="BE439" s="29" t="s">
        <v>392</v>
      </c>
      <c r="BF439" s="29" t="s">
        <v>433</v>
      </c>
      <c r="BG439" s="29" t="s">
        <v>434</v>
      </c>
      <c r="BH439" s="29" t="s">
        <v>8644</v>
      </c>
      <c r="BI439" s="29" t="s">
        <v>976</v>
      </c>
      <c r="BJ439" s="29"/>
      <c r="BK439" s="29" t="s">
        <v>602</v>
      </c>
      <c r="BL439" s="29" t="s">
        <v>438</v>
      </c>
      <c r="BM439" s="29" t="s">
        <v>549</v>
      </c>
      <c r="BN439" s="29" t="s">
        <v>513</v>
      </c>
      <c r="BO439" s="29"/>
      <c r="BP439" s="29"/>
      <c r="BQ439" s="29"/>
      <c r="BR439" s="29"/>
      <c r="BS439" s="29"/>
      <c r="BT439" s="29"/>
      <c r="BU439" s="29"/>
      <c r="BV439" s="29"/>
      <c r="BW439" s="29"/>
      <c r="BX439" s="29"/>
      <c r="BY439" s="29"/>
      <c r="BZ439" s="29"/>
      <c r="CA439" s="29"/>
      <c r="CB439" s="29"/>
      <c r="CC439" s="29"/>
      <c r="CD439" s="29"/>
      <c r="CE439" s="29"/>
      <c r="CF439" s="29"/>
      <c r="CG439" s="29"/>
      <c r="CH439" s="29"/>
      <c r="CI439" s="29"/>
      <c r="CJ439" s="29"/>
      <c r="CK439" s="29"/>
      <c r="CL439" s="29" t="s">
        <v>550</v>
      </c>
      <c r="CM439" s="29" t="s">
        <v>442</v>
      </c>
      <c r="CN439" s="29" t="s">
        <v>8645</v>
      </c>
      <c r="CO439" s="29" t="s">
        <v>8646</v>
      </c>
      <c r="CP439" s="29" t="s">
        <v>1948</v>
      </c>
      <c r="CQ439" s="29"/>
      <c r="CR439" s="29" t="s">
        <v>404</v>
      </c>
      <c r="CS439" s="29" t="s">
        <v>8647</v>
      </c>
      <c r="CT439" s="29" t="s">
        <v>8648</v>
      </c>
      <c r="CU439" s="29" t="s">
        <v>450</v>
      </c>
      <c r="CV439" s="29" t="s">
        <v>959</v>
      </c>
      <c r="CW439" s="29" t="s">
        <v>8649</v>
      </c>
      <c r="CX439" s="29" t="s">
        <v>408</v>
      </c>
      <c r="CY439" s="29"/>
      <c r="CZ439" s="29" t="s">
        <v>453</v>
      </c>
      <c r="DA439" s="29" t="s">
        <v>8650</v>
      </c>
      <c r="DB439" s="29" t="s">
        <v>455</v>
      </c>
      <c r="DC439" s="29" t="s">
        <v>8651</v>
      </c>
      <c r="DD439" s="29" t="s">
        <v>662</v>
      </c>
      <c r="DE439" s="29" t="s">
        <v>407</v>
      </c>
      <c r="DF439" s="29" t="s">
        <v>8652</v>
      </c>
      <c r="DG439" s="29" t="s">
        <v>524</v>
      </c>
      <c r="DH439" s="29" t="s">
        <v>410</v>
      </c>
      <c r="DI439" s="29" t="s">
        <v>963</v>
      </c>
      <c r="DJ439" s="29"/>
      <c r="DK439" s="29"/>
      <c r="DL439" s="29"/>
      <c r="DM439" s="29"/>
      <c r="DN439" s="29"/>
      <c r="DO439" s="29"/>
      <c r="DP439" s="29"/>
      <c r="DQ439" s="29"/>
      <c r="DR439" s="29"/>
      <c r="DS439" s="29"/>
      <c r="DT439" s="29"/>
      <c r="DU439" s="29"/>
      <c r="DV439" s="29"/>
      <c r="DW439" s="29"/>
      <c r="DX439" s="29"/>
      <c r="DY439" s="29"/>
      <c r="DZ439" s="29"/>
      <c r="EA439" s="29"/>
      <c r="EB439" s="29"/>
      <c r="EC439" s="29"/>
      <c r="ED439" s="29"/>
      <c r="EE439" s="29"/>
      <c r="EF439" s="29"/>
      <c r="EG439" s="29"/>
      <c r="EH439" s="29"/>
      <c r="EI439" s="29"/>
      <c r="EJ439" s="29"/>
      <c r="EK439" s="29"/>
      <c r="EL439" s="29"/>
      <c r="EM439" s="29"/>
      <c r="EN439" s="29"/>
      <c r="EO439" s="29"/>
      <c r="EP439" s="29"/>
      <c r="EQ439" s="29"/>
      <c r="ER439" s="29"/>
      <c r="ES439" s="29"/>
      <c r="ET439" s="29" t="s">
        <v>526</v>
      </c>
      <c r="EU439" s="29" t="s">
        <v>887</v>
      </c>
      <c r="EV439" s="29" t="s">
        <v>1534</v>
      </c>
      <c r="EW439" s="29" t="s">
        <v>8653</v>
      </c>
      <c r="EX439" s="29" t="s">
        <v>8654</v>
      </c>
      <c r="EY439" s="29" t="s">
        <v>8655</v>
      </c>
      <c r="EZ439" s="29" t="s">
        <v>413</v>
      </c>
      <c r="FA439" s="29" t="s">
        <v>413</v>
      </c>
      <c r="FB439" s="29" t="s">
        <v>413</v>
      </c>
      <c r="FC439" s="29" t="s">
        <v>413</v>
      </c>
      <c r="FD439" s="29" t="s">
        <v>413</v>
      </c>
      <c r="FE439" s="29" t="s">
        <v>416</v>
      </c>
      <c r="FF439" s="29" t="s">
        <v>413</v>
      </c>
      <c r="FG439" s="29" t="s">
        <v>413</v>
      </c>
      <c r="FH439" s="29" t="s">
        <v>413</v>
      </c>
      <c r="FI439" s="29" t="s">
        <v>416</v>
      </c>
      <c r="FJ439" s="29" t="s">
        <v>413</v>
      </c>
      <c r="FK439" s="29" t="s">
        <v>416</v>
      </c>
      <c r="FL439" s="29" t="s">
        <v>413</v>
      </c>
      <c r="FM439" s="29" t="s">
        <v>413</v>
      </c>
      <c r="FN439" s="29" t="s">
        <v>416</v>
      </c>
      <c r="FO439" s="29" t="s">
        <v>485</v>
      </c>
      <c r="FP439" s="29" t="s">
        <v>418</v>
      </c>
      <c r="FQ439" s="29" t="s">
        <v>531</v>
      </c>
      <c r="FR439" s="29" t="s">
        <v>8656</v>
      </c>
      <c r="FS439" s="29" t="s">
        <v>420</v>
      </c>
      <c r="FT439" s="29" t="s">
        <v>488</v>
      </c>
      <c r="FU439" s="29" t="s">
        <v>918</v>
      </c>
      <c r="FV439" s="29" t="s">
        <v>490</v>
      </c>
      <c r="FW439" s="29" t="s">
        <v>491</v>
      </c>
      <c r="FX439" s="29" t="s">
        <v>8657</v>
      </c>
      <c r="FY439" s="29" t="s">
        <v>535</v>
      </c>
      <c r="FZ439" s="29" t="s">
        <v>8658</v>
      </c>
      <c r="GA439" s="29" t="s">
        <v>8659</v>
      </c>
      <c r="GB439" s="29" t="s">
        <v>455</v>
      </c>
      <c r="GC439" s="29"/>
      <c r="GD439" s="29"/>
      <c r="GE439" s="29" t="s">
        <v>753</v>
      </c>
      <c r="GF439" s="29" t="s">
        <v>8660</v>
      </c>
      <c r="GG439" s="29" t="s">
        <v>1000</v>
      </c>
      <c r="GH439" s="29" t="s">
        <v>1000</v>
      </c>
      <c r="GI439" s="29" t="s">
        <v>946</v>
      </c>
      <c r="GJ439" s="29"/>
      <c r="GK439" s="29"/>
      <c r="GL439" s="29"/>
      <c r="GM439" s="29"/>
      <c r="GN439" s="29"/>
      <c r="GO439" s="29"/>
      <c r="GP439" s="29"/>
      <c r="GQ439" s="29" t="s">
        <v>4653</v>
      </c>
      <c r="GR439" s="29"/>
      <c r="GS439" s="29"/>
      <c r="GT439" s="29" t="s">
        <v>5081</v>
      </c>
      <c r="GU439" s="29" t="s">
        <v>8661</v>
      </c>
      <c r="HP439" s="31"/>
      <c r="MX439" s="29" t="s">
        <v>10402</v>
      </c>
      <c r="MY439" s="29" t="str">
        <f>IFERROR(__xludf.DUMMYFUNCTION("""COMPUTED_VALUE"""),"South Carolina")</f>
        <v>South Carolina</v>
      </c>
    </row>
    <row r="440" ht="16.5" customHeight="1">
      <c r="A440" s="33">
        <v>46069.74153994213</v>
      </c>
      <c r="B440" s="29" t="s">
        <v>368</v>
      </c>
      <c r="C440" s="29" t="s">
        <v>370</v>
      </c>
      <c r="D440" s="29" t="s">
        <v>370</v>
      </c>
      <c r="E440" s="29" t="s">
        <v>6634</v>
      </c>
      <c r="F440" s="29" t="s">
        <v>6634</v>
      </c>
      <c r="G440" s="29" t="s">
        <v>422</v>
      </c>
      <c r="H440" s="29" t="s">
        <v>373</v>
      </c>
      <c r="I440" s="29" t="s">
        <v>374</v>
      </c>
      <c r="J440" s="29" t="s">
        <v>540</v>
      </c>
      <c r="K440" s="29" t="s">
        <v>376</v>
      </c>
      <c r="L440" s="29" t="s">
        <v>591</v>
      </c>
      <c r="M440" s="29" t="s">
        <v>639</v>
      </c>
      <c r="N440" s="29" t="s">
        <v>670</v>
      </c>
      <c r="O440" s="29" t="s">
        <v>719</v>
      </c>
      <c r="P440" s="29" t="s">
        <v>498</v>
      </c>
      <c r="Q440" s="29" t="s">
        <v>499</v>
      </c>
      <c r="R440" s="29" t="s">
        <v>427</v>
      </c>
      <c r="S440" s="29" t="s">
        <v>384</v>
      </c>
      <c r="T440" s="29" t="s">
        <v>385</v>
      </c>
      <c r="U440" s="29"/>
      <c r="V440" s="29"/>
      <c r="W440" s="29" t="s">
        <v>386</v>
      </c>
      <c r="X440" s="29" t="s">
        <v>387</v>
      </c>
      <c r="Y440" s="29" t="s">
        <v>897</v>
      </c>
      <c r="Z440" s="29" t="s">
        <v>543</v>
      </c>
      <c r="AA440" s="29" t="s">
        <v>8662</v>
      </c>
      <c r="AB440" s="29" t="s">
        <v>8663</v>
      </c>
      <c r="AC440" s="29"/>
      <c r="AD440" s="29"/>
      <c r="AE440" s="29"/>
      <c r="AF440" s="29"/>
      <c r="AG440" s="29"/>
      <c r="AH440" s="29"/>
      <c r="AI440" s="29"/>
      <c r="AJ440" s="29"/>
      <c r="AK440" s="29"/>
      <c r="AL440" s="29"/>
      <c r="AM440" s="29"/>
      <c r="AN440" s="29"/>
      <c r="AO440" s="29"/>
      <c r="AP440" s="29"/>
      <c r="AQ440" s="29"/>
      <c r="AR440" s="29"/>
      <c r="AS440" s="29"/>
      <c r="AT440" s="29"/>
      <c r="AU440" s="29"/>
      <c r="AV440" s="29" t="s">
        <v>1310</v>
      </c>
      <c r="AW440" s="29">
        <v>4.0</v>
      </c>
      <c r="AX440" s="29">
        <v>4.0</v>
      </c>
      <c r="AY440" s="29">
        <v>4.0</v>
      </c>
      <c r="AZ440" s="29">
        <v>4.0</v>
      </c>
      <c r="BA440" s="29">
        <v>4.0</v>
      </c>
      <c r="BB440" s="29">
        <v>4.0</v>
      </c>
      <c r="BC440" s="29" t="s">
        <v>8664</v>
      </c>
      <c r="BD440" s="29" t="s">
        <v>8665</v>
      </c>
      <c r="BE440" s="29" t="s">
        <v>902</v>
      </c>
      <c r="BF440" s="29" t="s">
        <v>1245</v>
      </c>
      <c r="BG440" s="29" t="s">
        <v>725</v>
      </c>
      <c r="BH440" s="29" t="s">
        <v>8666</v>
      </c>
      <c r="BI440" s="29" t="s">
        <v>435</v>
      </c>
      <c r="BJ440" s="29" t="s">
        <v>8667</v>
      </c>
      <c r="BK440" s="29" t="s">
        <v>681</v>
      </c>
      <c r="BL440" s="29" t="s">
        <v>603</v>
      </c>
      <c r="BM440" s="29" t="s">
        <v>1247</v>
      </c>
      <c r="BN440" s="29" t="s">
        <v>440</v>
      </c>
      <c r="BO440" s="29"/>
      <c r="BP440" s="29"/>
      <c r="BQ440" s="29"/>
      <c r="BR440" s="29"/>
      <c r="BS440" s="29"/>
      <c r="BT440" s="29"/>
      <c r="BU440" s="29"/>
      <c r="BV440" s="29"/>
      <c r="BW440" s="29"/>
      <c r="BX440" s="29"/>
      <c r="BY440" s="29"/>
      <c r="BZ440" s="29"/>
      <c r="CA440" s="29"/>
      <c r="CB440" s="29"/>
      <c r="CC440" s="29"/>
      <c r="CD440" s="29"/>
      <c r="CE440" s="29"/>
      <c r="CF440" s="29"/>
      <c r="CG440" s="29"/>
      <c r="CH440" s="29"/>
      <c r="CI440" s="29"/>
      <c r="CJ440" s="29"/>
      <c r="CK440" s="29"/>
      <c r="CL440" s="29" t="s">
        <v>441</v>
      </c>
      <c r="CM440" s="29" t="s">
        <v>604</v>
      </c>
      <c r="CN440" s="29" t="s">
        <v>8668</v>
      </c>
      <c r="CO440" s="29" t="s">
        <v>8669</v>
      </c>
      <c r="CP440" s="29" t="s">
        <v>1948</v>
      </c>
      <c r="CQ440" s="29" t="s">
        <v>1568</v>
      </c>
      <c r="CR440" s="29" t="s">
        <v>804</v>
      </c>
      <c r="CS440" s="29" t="s">
        <v>8670</v>
      </c>
      <c r="CT440" s="29" t="s">
        <v>8671</v>
      </c>
      <c r="CU440" s="29" t="s">
        <v>450</v>
      </c>
      <c r="CV440" s="29" t="s">
        <v>2248</v>
      </c>
      <c r="CW440" s="29"/>
      <c r="CX440" s="29" t="s">
        <v>455</v>
      </c>
      <c r="CY440" s="29" t="s">
        <v>8672</v>
      </c>
      <c r="CZ440" s="29" t="s">
        <v>1398</v>
      </c>
      <c r="DA440" s="29"/>
      <c r="DB440" s="29" t="s">
        <v>408</v>
      </c>
      <c r="DC440" s="29"/>
      <c r="DD440" s="29" t="s">
        <v>457</v>
      </c>
      <c r="DE440" s="29"/>
      <c r="DF440" s="29" t="s">
        <v>8673</v>
      </c>
      <c r="DG440" s="29" t="s">
        <v>524</v>
      </c>
      <c r="DH440" s="29" t="s">
        <v>1964</v>
      </c>
      <c r="DI440" s="29" t="s">
        <v>459</v>
      </c>
      <c r="DJ440" s="29" t="s">
        <v>1403</v>
      </c>
      <c r="DK440" s="29" t="s">
        <v>6335</v>
      </c>
      <c r="DL440" s="29"/>
      <c r="DM440" s="29" t="s">
        <v>8674</v>
      </c>
      <c r="DN440" s="29" t="s">
        <v>8675</v>
      </c>
      <c r="DO440" s="29" t="s">
        <v>1063</v>
      </c>
      <c r="DP440" s="29" t="s">
        <v>8676</v>
      </c>
      <c r="DQ440" s="29" t="s">
        <v>837</v>
      </c>
      <c r="DR440" s="29" t="s">
        <v>8677</v>
      </c>
      <c r="DS440" s="29" t="s">
        <v>839</v>
      </c>
      <c r="DT440" s="29" t="s">
        <v>740</v>
      </c>
      <c r="DU440" s="29" t="s">
        <v>8678</v>
      </c>
      <c r="DV440" s="29" t="s">
        <v>8679</v>
      </c>
      <c r="DW440" s="29" t="s">
        <v>1328</v>
      </c>
      <c r="DX440" s="29" t="s">
        <v>8680</v>
      </c>
      <c r="DY440" s="29" t="s">
        <v>8681</v>
      </c>
      <c r="DZ440" s="29" t="s">
        <v>8682</v>
      </c>
      <c r="EA440" s="29" t="s">
        <v>475</v>
      </c>
      <c r="EB440" s="29" t="s">
        <v>476</v>
      </c>
      <c r="EC440" s="29"/>
      <c r="ED440" s="29"/>
      <c r="EE440" s="29"/>
      <c r="EF440" s="29"/>
      <c r="EG440" s="29"/>
      <c r="EH440" s="29"/>
      <c r="EI440" s="29"/>
      <c r="EJ440" s="29"/>
      <c r="EK440" s="29"/>
      <c r="EL440" s="29"/>
      <c r="EM440" s="29"/>
      <c r="EN440" s="29"/>
      <c r="EO440" s="29"/>
      <c r="EP440" s="29"/>
      <c r="EQ440" s="29"/>
      <c r="ER440" s="29"/>
      <c r="ES440" s="29"/>
      <c r="ET440" s="29" t="s">
        <v>526</v>
      </c>
      <c r="EU440" s="29" t="s">
        <v>479</v>
      </c>
      <c r="EV440" s="29" t="s">
        <v>527</v>
      </c>
      <c r="EW440" s="29" t="s">
        <v>8683</v>
      </c>
      <c r="EX440" s="29" t="s">
        <v>8684</v>
      </c>
      <c r="EY440" s="29" t="s">
        <v>8685</v>
      </c>
      <c r="EZ440" s="29" t="s">
        <v>414</v>
      </c>
      <c r="FA440" s="29" t="s">
        <v>414</v>
      </c>
      <c r="FB440" s="29" t="s">
        <v>415</v>
      </c>
      <c r="FC440" s="29" t="s">
        <v>414</v>
      </c>
      <c r="FD440" s="29" t="s">
        <v>415</v>
      </c>
      <c r="FE440" s="29" t="s">
        <v>415</v>
      </c>
      <c r="FF440" s="29" t="s">
        <v>414</v>
      </c>
      <c r="FG440" s="29" t="s">
        <v>414</v>
      </c>
      <c r="FH440" s="29" t="s">
        <v>414</v>
      </c>
      <c r="FI440" s="29" t="s">
        <v>414</v>
      </c>
      <c r="FJ440" s="29" t="s">
        <v>414</v>
      </c>
      <c r="FK440" s="29" t="s">
        <v>414</v>
      </c>
      <c r="FL440" s="29" t="s">
        <v>414</v>
      </c>
      <c r="FM440" s="29" t="s">
        <v>414</v>
      </c>
      <c r="FN440" s="29" t="s">
        <v>414</v>
      </c>
      <c r="FO440" s="29" t="s">
        <v>1074</v>
      </c>
      <c r="FP440" s="29" t="s">
        <v>1200</v>
      </c>
      <c r="FQ440" s="29" t="s">
        <v>419</v>
      </c>
      <c r="FR440" s="29" t="s">
        <v>8686</v>
      </c>
      <c r="FS440" s="29" t="s">
        <v>420</v>
      </c>
      <c r="FT440" s="29" t="s">
        <v>488</v>
      </c>
      <c r="FU440" s="29" t="s">
        <v>918</v>
      </c>
      <c r="FV440" s="29" t="s">
        <v>490</v>
      </c>
      <c r="FW440" s="29" t="s">
        <v>491</v>
      </c>
      <c r="FX440" s="29" t="s">
        <v>8687</v>
      </c>
      <c r="FY440" s="29" t="s">
        <v>535</v>
      </c>
      <c r="FZ440" s="29" t="s">
        <v>8688</v>
      </c>
      <c r="GA440" s="29"/>
      <c r="GB440" s="29" t="s">
        <v>455</v>
      </c>
      <c r="GC440" s="29"/>
      <c r="GD440" s="29"/>
      <c r="GE440" s="29" t="s">
        <v>1339</v>
      </c>
      <c r="GF440" s="29" t="s">
        <v>8689</v>
      </c>
      <c r="GG440" s="29" t="s">
        <v>788</v>
      </c>
      <c r="GH440" s="29" t="s">
        <v>857</v>
      </c>
      <c r="GI440" s="29" t="s">
        <v>790</v>
      </c>
      <c r="GJ440" s="29"/>
      <c r="GK440" s="29"/>
      <c r="GL440" s="29"/>
      <c r="GM440" s="29" t="s">
        <v>1079</v>
      </c>
      <c r="GN440" s="29"/>
      <c r="GO440" s="29"/>
      <c r="GP440" s="29"/>
      <c r="GQ440" s="29" t="s">
        <v>8690</v>
      </c>
      <c r="GR440" s="29"/>
      <c r="GS440" s="29"/>
      <c r="GT440" s="29" t="s">
        <v>4774</v>
      </c>
      <c r="GU440" s="29"/>
      <c r="HP440" s="31"/>
      <c r="MX440" s="29" t="s">
        <v>10402</v>
      </c>
      <c r="MY440" s="29" t="str">
        <f>IFERROR(__xludf.DUMMYFUNCTION("""COMPUTED_VALUE"""),"Virginia")</f>
        <v>Virginia</v>
      </c>
    </row>
    <row r="441" ht="16.5" customHeight="1">
      <c r="A441" s="33">
        <v>46070.524625185186</v>
      </c>
      <c r="B441" s="29" t="s">
        <v>368</v>
      </c>
      <c r="C441" s="29" t="s">
        <v>370</v>
      </c>
      <c r="D441" s="29" t="s">
        <v>8694</v>
      </c>
      <c r="E441" s="29" t="s">
        <v>1875</v>
      </c>
      <c r="F441" s="29"/>
      <c r="G441" s="29" t="s">
        <v>422</v>
      </c>
      <c r="H441" s="29" t="s">
        <v>539</v>
      </c>
      <c r="I441" s="29" t="s">
        <v>424</v>
      </c>
      <c r="J441" s="29" t="s">
        <v>669</v>
      </c>
      <c r="K441" s="29" t="s">
        <v>376</v>
      </c>
      <c r="L441" s="29" t="s">
        <v>793</v>
      </c>
      <c r="M441" s="29" t="s">
        <v>1690</v>
      </c>
      <c r="N441" s="29" t="s">
        <v>670</v>
      </c>
      <c r="O441" s="29" t="s">
        <v>719</v>
      </c>
      <c r="P441" s="29" t="s">
        <v>592</v>
      </c>
      <c r="Q441" s="29" t="s">
        <v>499</v>
      </c>
      <c r="R441" s="29" t="s">
        <v>427</v>
      </c>
      <c r="S441" s="29" t="s">
        <v>384</v>
      </c>
      <c r="T441" s="29" t="s">
        <v>385</v>
      </c>
      <c r="U441" s="29"/>
      <c r="V441" s="29"/>
      <c r="W441" s="29" t="s">
        <v>386</v>
      </c>
      <c r="X441" s="29" t="s">
        <v>387</v>
      </c>
      <c r="Y441" s="29" t="s">
        <v>542</v>
      </c>
      <c r="Z441" s="29" t="s">
        <v>543</v>
      </c>
      <c r="AA441" s="29" t="s">
        <v>8695</v>
      </c>
      <c r="AB441" s="29" t="s">
        <v>8696</v>
      </c>
      <c r="AC441" s="29"/>
      <c r="AD441" s="29"/>
      <c r="AE441" s="29"/>
      <c r="AF441" s="29"/>
      <c r="AG441" s="29"/>
      <c r="AH441" s="29"/>
      <c r="AI441" s="29"/>
      <c r="AJ441" s="29"/>
      <c r="AK441" s="29"/>
      <c r="AL441" s="29"/>
      <c r="AM441" s="29"/>
      <c r="AN441" s="29"/>
      <c r="AO441" s="29"/>
      <c r="AP441" s="29"/>
      <c r="AQ441" s="29"/>
      <c r="AR441" s="29"/>
      <c r="AS441" s="29"/>
      <c r="AT441" s="29"/>
      <c r="AU441" s="29"/>
      <c r="AV441" s="29" t="s">
        <v>1242</v>
      </c>
      <c r="AW441" s="29" t="s">
        <v>675</v>
      </c>
      <c r="AX441" s="29" t="s">
        <v>675</v>
      </c>
      <c r="AY441" s="29" t="s">
        <v>675</v>
      </c>
      <c r="AZ441" s="29" t="s">
        <v>675</v>
      </c>
      <c r="BA441" s="29" t="s">
        <v>675</v>
      </c>
      <c r="BB441" s="29" t="s">
        <v>675</v>
      </c>
      <c r="BC441" s="29" t="s">
        <v>8697</v>
      </c>
      <c r="BD441" s="29" t="s">
        <v>8698</v>
      </c>
      <c r="BE441" s="29" t="s">
        <v>432</v>
      </c>
      <c r="BF441" s="29" t="s">
        <v>1095</v>
      </c>
      <c r="BG441" s="29" t="s">
        <v>394</v>
      </c>
      <c r="BH441" s="29"/>
      <c r="BI441" s="29" t="s">
        <v>976</v>
      </c>
      <c r="BJ441" s="29" t="s">
        <v>408</v>
      </c>
      <c r="BK441" s="29" t="s">
        <v>681</v>
      </c>
      <c r="BL441" s="29" t="s">
        <v>603</v>
      </c>
      <c r="BM441" s="29" t="s">
        <v>1314</v>
      </c>
      <c r="BN441" s="29" t="s">
        <v>398</v>
      </c>
      <c r="BO441" s="29" t="s">
        <v>8699</v>
      </c>
      <c r="BP441" s="29" t="s">
        <v>552</v>
      </c>
      <c r="BQ441" s="29" t="s">
        <v>604</v>
      </c>
      <c r="BR441" s="29" t="s">
        <v>1830</v>
      </c>
      <c r="BS441" s="29" t="s">
        <v>1741</v>
      </c>
      <c r="BT441" s="29" t="s">
        <v>4368</v>
      </c>
      <c r="BU441" s="29" t="s">
        <v>405</v>
      </c>
      <c r="BV441" s="29"/>
      <c r="BW441" s="29" t="s">
        <v>457</v>
      </c>
      <c r="BX441" s="29"/>
      <c r="BY441" s="29" t="s">
        <v>408</v>
      </c>
      <c r="BZ441" s="29"/>
      <c r="CA441" s="29"/>
      <c r="CB441" s="29" t="s">
        <v>8700</v>
      </c>
      <c r="CC441" s="29" t="s">
        <v>8701</v>
      </c>
      <c r="CD441" s="29" t="s">
        <v>409</v>
      </c>
      <c r="CE441" s="29" t="s">
        <v>8702</v>
      </c>
      <c r="CF441" s="29"/>
      <c r="CG441" s="29"/>
      <c r="CH441" s="29" t="s">
        <v>1259</v>
      </c>
      <c r="CI441" s="29" t="s">
        <v>410</v>
      </c>
      <c r="CJ441" s="29" t="s">
        <v>8703</v>
      </c>
      <c r="CK441" s="29" t="s">
        <v>8704</v>
      </c>
      <c r="CL441" s="29"/>
      <c r="CM441" s="29"/>
      <c r="CN441" s="29"/>
      <c r="CO441" s="29"/>
      <c r="CP441" s="29"/>
      <c r="CQ441" s="29"/>
      <c r="CR441" s="29"/>
      <c r="CS441" s="29"/>
      <c r="CT441" s="29"/>
      <c r="CU441" s="29"/>
      <c r="CV441" s="29"/>
      <c r="CW441" s="29"/>
      <c r="CX441" s="29"/>
      <c r="CY441" s="29"/>
      <c r="CZ441" s="29"/>
      <c r="DA441" s="29"/>
      <c r="DB441" s="29"/>
      <c r="DC441" s="29"/>
      <c r="DD441" s="29"/>
      <c r="DE441" s="29"/>
      <c r="DF441" s="29"/>
      <c r="DG441" s="29"/>
      <c r="DH441" s="29"/>
      <c r="DI441" s="29" t="s">
        <v>963</v>
      </c>
      <c r="DJ441" s="29" t="s">
        <v>613</v>
      </c>
      <c r="DK441" s="29"/>
      <c r="DL441" s="29"/>
      <c r="DM441" s="29"/>
      <c r="DN441" s="29"/>
      <c r="DO441" s="29"/>
      <c r="DP441" s="29"/>
      <c r="DQ441" s="29"/>
      <c r="DR441" s="29"/>
      <c r="DS441" s="29"/>
      <c r="DT441" s="29"/>
      <c r="DU441" s="29"/>
      <c r="DV441" s="29"/>
      <c r="DW441" s="29"/>
      <c r="DX441" s="29"/>
      <c r="DY441" s="29"/>
      <c r="DZ441" s="29"/>
      <c r="EA441" s="29"/>
      <c r="EB441" s="29"/>
      <c r="EC441" s="29"/>
      <c r="ED441" s="29"/>
      <c r="EE441" s="29"/>
      <c r="EF441" s="29"/>
      <c r="EG441" s="29"/>
      <c r="EH441" s="29"/>
      <c r="EI441" s="29"/>
      <c r="EJ441" s="29"/>
      <c r="EK441" s="29"/>
      <c r="EL441" s="29"/>
      <c r="EM441" s="29"/>
      <c r="EN441" s="29"/>
      <c r="EO441" s="29"/>
      <c r="EP441" s="29"/>
      <c r="EQ441" s="29"/>
      <c r="ER441" s="29"/>
      <c r="ES441" s="29"/>
      <c r="ET441" s="29" t="s">
        <v>526</v>
      </c>
      <c r="EU441" s="29" t="s">
        <v>887</v>
      </c>
      <c r="EV441" s="29" t="s">
        <v>480</v>
      </c>
      <c r="EW441" s="29"/>
      <c r="EX441" s="29" t="s">
        <v>8705</v>
      </c>
      <c r="EY441" s="29"/>
      <c r="EZ441" s="29" t="s">
        <v>413</v>
      </c>
      <c r="FA441" s="29" t="s">
        <v>413</v>
      </c>
      <c r="FB441" s="29" t="s">
        <v>413</v>
      </c>
      <c r="FC441" s="29" t="s">
        <v>413</v>
      </c>
      <c r="FD441" s="29" t="s">
        <v>413</v>
      </c>
      <c r="FE441" s="29" t="s">
        <v>413</v>
      </c>
      <c r="FF441" s="29" t="s">
        <v>413</v>
      </c>
      <c r="FG441" s="29" t="s">
        <v>413</v>
      </c>
      <c r="FH441" s="29" t="s">
        <v>413</v>
      </c>
      <c r="FI441" s="29" t="s">
        <v>415</v>
      </c>
      <c r="FJ441" s="29" t="s">
        <v>416</v>
      </c>
      <c r="FK441" s="29" t="s">
        <v>413</v>
      </c>
      <c r="FL441" s="29" t="s">
        <v>415</v>
      </c>
      <c r="FM441" s="29" t="s">
        <v>416</v>
      </c>
      <c r="FN441" s="29" t="s">
        <v>415</v>
      </c>
      <c r="FO441" s="29" t="s">
        <v>485</v>
      </c>
      <c r="FP441" s="29" t="s">
        <v>486</v>
      </c>
      <c r="FQ441" s="29"/>
      <c r="FR441" s="29"/>
      <c r="FS441" s="29" t="s">
        <v>420</v>
      </c>
      <c r="FT441" s="29" t="s">
        <v>488</v>
      </c>
      <c r="FU441" s="29" t="s">
        <v>918</v>
      </c>
      <c r="FV441" s="29" t="s">
        <v>490</v>
      </c>
      <c r="FW441" s="29" t="s">
        <v>491</v>
      </c>
      <c r="FX441" s="29" t="s">
        <v>8706</v>
      </c>
      <c r="FY441" s="29" t="s">
        <v>493</v>
      </c>
      <c r="FZ441" s="29"/>
      <c r="GA441" s="29"/>
      <c r="GB441" s="29" t="s">
        <v>455</v>
      </c>
      <c r="GC441" s="29"/>
      <c r="GD441" s="29"/>
      <c r="GE441" s="29" t="s">
        <v>786</v>
      </c>
      <c r="GF441" s="29"/>
      <c r="GG441" s="29"/>
      <c r="GH441" s="29"/>
      <c r="GI441" s="29"/>
      <c r="GJ441" s="29" t="s">
        <v>920</v>
      </c>
      <c r="GK441" s="29" t="s">
        <v>920</v>
      </c>
      <c r="GL441" s="29" t="s">
        <v>817</v>
      </c>
      <c r="GM441" s="29"/>
      <c r="GN441" s="29"/>
      <c r="GO441" s="29" t="s">
        <v>8707</v>
      </c>
      <c r="GP441" s="29"/>
      <c r="GQ441" s="29" t="s">
        <v>3306</v>
      </c>
      <c r="GR441" s="29" t="s">
        <v>5039</v>
      </c>
      <c r="GS441" s="29" t="s">
        <v>408</v>
      </c>
      <c r="GT441" s="29"/>
      <c r="GU441" s="29"/>
      <c r="HP441" s="31"/>
      <c r="MX441" s="29" t="s">
        <v>538</v>
      </c>
      <c r="MY441" s="29" t="str">
        <f>IFERROR(__xludf.DUMMYFUNCTION("""COMPUTED_VALUE"""),"United Kingdom")</f>
        <v>United Kingdom</v>
      </c>
    </row>
    <row r="442" ht="16.5" customHeight="1">
      <c r="A442" s="33">
        <v>46076.66878359954</v>
      </c>
      <c r="B442" s="29" t="s">
        <v>368</v>
      </c>
      <c r="C442" s="29" t="s">
        <v>538</v>
      </c>
      <c r="D442" s="29" t="s">
        <v>538</v>
      </c>
      <c r="E442" s="29"/>
      <c r="F442" s="29"/>
      <c r="G442" s="29" t="s">
        <v>422</v>
      </c>
      <c r="H442" s="29" t="s">
        <v>637</v>
      </c>
      <c r="I442" s="29" t="s">
        <v>638</v>
      </c>
      <c r="J442" s="29" t="s">
        <v>425</v>
      </c>
      <c r="K442" s="29" t="s">
        <v>376</v>
      </c>
      <c r="L442" s="29" t="s">
        <v>591</v>
      </c>
      <c r="M442" s="29" t="s">
        <v>497</v>
      </c>
      <c r="N442" s="29" t="s">
        <v>1526</v>
      </c>
      <c r="O442" s="29" t="s">
        <v>1024</v>
      </c>
      <c r="P442" s="29" t="s">
        <v>1760</v>
      </c>
      <c r="Q442" s="29" t="s">
        <v>1156</v>
      </c>
      <c r="R442" s="29" t="s">
        <v>3976</v>
      </c>
      <c r="S442" s="29" t="s">
        <v>384</v>
      </c>
      <c r="T442" s="29" t="s">
        <v>385</v>
      </c>
      <c r="U442" s="29"/>
      <c r="V442" s="29"/>
      <c r="W442" s="29" t="s">
        <v>593</v>
      </c>
      <c r="X442" s="29" t="s">
        <v>387</v>
      </c>
      <c r="Y442" s="29" t="s">
        <v>4171</v>
      </c>
      <c r="Z442" s="29" t="s">
        <v>389</v>
      </c>
      <c r="AA442" s="29" t="s">
        <v>8708</v>
      </c>
      <c r="AB442" s="29" t="s">
        <v>8709</v>
      </c>
      <c r="AC442" s="29"/>
      <c r="AD442" s="29"/>
      <c r="AE442" s="29"/>
      <c r="AF442" s="29"/>
      <c r="AG442" s="29"/>
      <c r="AH442" s="29"/>
      <c r="AI442" s="29"/>
      <c r="AJ442" s="29"/>
      <c r="AK442" s="29"/>
      <c r="AL442" s="29"/>
      <c r="AM442" s="29"/>
      <c r="AN442" s="29"/>
      <c r="AO442" s="29"/>
      <c r="AP442" s="29"/>
      <c r="AQ442" s="29"/>
      <c r="AR442" s="29"/>
      <c r="AS442" s="29"/>
      <c r="AT442" s="29"/>
      <c r="AU442" s="29"/>
      <c r="AV442" s="29" t="s">
        <v>504</v>
      </c>
      <c r="AW442" s="29" t="s">
        <v>429</v>
      </c>
      <c r="AX442" s="29" t="s">
        <v>429</v>
      </c>
      <c r="AY442" s="29" t="s">
        <v>391</v>
      </c>
      <c r="AZ442" s="29" t="s">
        <v>429</v>
      </c>
      <c r="BA442" s="29" t="s">
        <v>429</v>
      </c>
      <c r="BB442" s="29" t="s">
        <v>429</v>
      </c>
      <c r="BC442" s="29" t="s">
        <v>8710</v>
      </c>
      <c r="BD442" s="29" t="s">
        <v>8711</v>
      </c>
      <c r="BE442" s="29" t="s">
        <v>432</v>
      </c>
      <c r="BF442" s="29" t="s">
        <v>433</v>
      </c>
      <c r="BG442" s="29" t="s">
        <v>725</v>
      </c>
      <c r="BH442" s="29" t="s">
        <v>8712</v>
      </c>
      <c r="BI442" s="29" t="s">
        <v>824</v>
      </c>
      <c r="BJ442" s="29" t="s">
        <v>8713</v>
      </c>
      <c r="BK442" s="29" t="s">
        <v>681</v>
      </c>
      <c r="BL442" s="29" t="s">
        <v>396</v>
      </c>
      <c r="BM442" s="29" t="s">
        <v>439</v>
      </c>
      <c r="BN442" s="29" t="s">
        <v>513</v>
      </c>
      <c r="BO442" s="29"/>
      <c r="BP442" s="29"/>
      <c r="BQ442" s="29"/>
      <c r="BR442" s="29"/>
      <c r="BS442" s="29"/>
      <c r="BT442" s="29"/>
      <c r="BU442" s="29"/>
      <c r="BV442" s="29"/>
      <c r="BW442" s="29"/>
      <c r="BX442" s="29"/>
      <c r="BY442" s="29"/>
      <c r="BZ442" s="29"/>
      <c r="CA442" s="29"/>
      <c r="CB442" s="29"/>
      <c r="CC442" s="29"/>
      <c r="CD442" s="29"/>
      <c r="CE442" s="29"/>
      <c r="CF442" s="29"/>
      <c r="CG442" s="29"/>
      <c r="CH442" s="29"/>
      <c r="CI442" s="29"/>
      <c r="CJ442" s="29"/>
      <c r="CK442" s="29"/>
      <c r="CL442" s="29" t="s">
        <v>441</v>
      </c>
      <c r="CM442" s="29" t="s">
        <v>401</v>
      </c>
      <c r="CN442" s="29" t="s">
        <v>1315</v>
      </c>
      <c r="CO442" s="29" t="s">
        <v>8714</v>
      </c>
      <c r="CP442" s="29" t="s">
        <v>1008</v>
      </c>
      <c r="CQ442" s="29" t="s">
        <v>8715</v>
      </c>
      <c r="CR442" s="29" t="s">
        <v>804</v>
      </c>
      <c r="CS442" s="29" t="s">
        <v>8716</v>
      </c>
      <c r="CT442" s="29" t="s">
        <v>8717</v>
      </c>
      <c r="CU442" s="29" t="s">
        <v>519</v>
      </c>
      <c r="CV442" s="29" t="s">
        <v>451</v>
      </c>
      <c r="CW442" s="29" t="s">
        <v>8718</v>
      </c>
      <c r="CX442" s="29" t="s">
        <v>733</v>
      </c>
      <c r="CY442" s="29"/>
      <c r="CZ442" s="29" t="s">
        <v>453</v>
      </c>
      <c r="DA442" s="29" t="s">
        <v>8719</v>
      </c>
      <c r="DB442" s="29" t="s">
        <v>455</v>
      </c>
      <c r="DC442" s="29" t="s">
        <v>8720</v>
      </c>
      <c r="DD442" s="29" t="s">
        <v>457</v>
      </c>
      <c r="DE442" s="29"/>
      <c r="DF442" s="29" t="s">
        <v>8721</v>
      </c>
      <c r="DG442" s="29" t="s">
        <v>561</v>
      </c>
      <c r="DH442" s="29" t="s">
        <v>410</v>
      </c>
      <c r="DI442" s="29" t="s">
        <v>459</v>
      </c>
      <c r="DJ442" s="29" t="s">
        <v>613</v>
      </c>
      <c r="DK442" s="29"/>
      <c r="DL442" s="29"/>
      <c r="DM442" s="29"/>
      <c r="DN442" s="29"/>
      <c r="DO442" s="29"/>
      <c r="DP442" s="29"/>
      <c r="DQ442" s="29"/>
      <c r="DR442" s="29"/>
      <c r="DS442" s="29"/>
      <c r="DT442" s="29"/>
      <c r="DU442" s="29"/>
      <c r="DV442" s="29"/>
      <c r="DW442" s="29"/>
      <c r="DX442" s="29"/>
      <c r="DY442" s="29"/>
      <c r="DZ442" s="29"/>
      <c r="EA442" s="29"/>
      <c r="EB442" s="29"/>
      <c r="EC442" s="29"/>
      <c r="ED442" s="29"/>
      <c r="EE442" s="29"/>
      <c r="EF442" s="29"/>
      <c r="EG442" s="29"/>
      <c r="EH442" s="29"/>
      <c r="EI442" s="29"/>
      <c r="EJ442" s="29"/>
      <c r="EK442" s="29"/>
      <c r="EL442" s="29"/>
      <c r="EM442" s="29"/>
      <c r="EN442" s="29"/>
      <c r="EO442" s="29"/>
      <c r="EP442" s="29"/>
      <c r="EQ442" s="29"/>
      <c r="ER442" s="29"/>
      <c r="ES442" s="29"/>
      <c r="ET442" s="29" t="s">
        <v>526</v>
      </c>
      <c r="EU442" s="29" t="s">
        <v>579</v>
      </c>
      <c r="EV442" s="29" t="s">
        <v>778</v>
      </c>
      <c r="EW442" s="29" t="s">
        <v>8722</v>
      </c>
      <c r="EX442" s="29" t="s">
        <v>8723</v>
      </c>
      <c r="EY442" s="29" t="s">
        <v>8724</v>
      </c>
      <c r="EZ442" s="29" t="s">
        <v>413</v>
      </c>
      <c r="FA442" s="29" t="s">
        <v>413</v>
      </c>
      <c r="FB442" s="29" t="s">
        <v>413</v>
      </c>
      <c r="FC442" s="29" t="s">
        <v>413</v>
      </c>
      <c r="FD442" s="29" t="s">
        <v>413</v>
      </c>
      <c r="FE442" s="29" t="s">
        <v>413</v>
      </c>
      <c r="FF442" s="29" t="s">
        <v>413</v>
      </c>
      <c r="FG442" s="29" t="s">
        <v>413</v>
      </c>
      <c r="FH442" s="29" t="s">
        <v>413</v>
      </c>
      <c r="FI442" s="29" t="s">
        <v>413</v>
      </c>
      <c r="FJ442" s="29" t="s">
        <v>413</v>
      </c>
      <c r="FK442" s="29" t="s">
        <v>413</v>
      </c>
      <c r="FL442" s="29" t="s">
        <v>413</v>
      </c>
      <c r="FM442" s="29" t="s">
        <v>413</v>
      </c>
      <c r="FN442" s="29" t="s">
        <v>413</v>
      </c>
      <c r="FO442" s="29" t="s">
        <v>417</v>
      </c>
      <c r="FP442" s="29" t="s">
        <v>418</v>
      </c>
      <c r="FQ442" s="29" t="s">
        <v>531</v>
      </c>
      <c r="FR442" s="29" t="s">
        <v>8725</v>
      </c>
      <c r="FS442" s="29" t="s">
        <v>420</v>
      </c>
      <c r="FT442" s="29" t="s">
        <v>488</v>
      </c>
      <c r="FU442" s="29" t="s">
        <v>1235</v>
      </c>
      <c r="FV442" s="29" t="s">
        <v>490</v>
      </c>
      <c r="FW442" s="29" t="s">
        <v>491</v>
      </c>
      <c r="FX442" s="29" t="s">
        <v>8726</v>
      </c>
      <c r="FY442" s="29" t="s">
        <v>535</v>
      </c>
      <c r="FZ442" s="29" t="s">
        <v>8727</v>
      </c>
      <c r="GA442" s="29" t="s">
        <v>8728</v>
      </c>
      <c r="GB442" s="29" t="s">
        <v>408</v>
      </c>
      <c r="GC442" s="29"/>
      <c r="GD442" s="29"/>
      <c r="GE442" s="29"/>
      <c r="GF442" s="29"/>
      <c r="GG442" s="29" t="s">
        <v>755</v>
      </c>
      <c r="GH442" s="29" t="s">
        <v>755</v>
      </c>
      <c r="GI442" s="29" t="s">
        <v>946</v>
      </c>
      <c r="GJ442" s="29"/>
      <c r="GK442" s="29"/>
      <c r="GL442" s="29"/>
      <c r="GM442" s="29"/>
      <c r="GN442" s="29" t="s">
        <v>3012</v>
      </c>
      <c r="GO442" s="29" t="s">
        <v>3012</v>
      </c>
      <c r="GP442" s="29"/>
      <c r="GQ442" s="29" t="s">
        <v>3208</v>
      </c>
      <c r="GR442" s="29"/>
      <c r="GS442" s="29"/>
      <c r="GT442" s="29" t="s">
        <v>5081</v>
      </c>
      <c r="GU442" s="29" t="s">
        <v>8729</v>
      </c>
      <c r="HP442" s="31"/>
      <c r="MX442" s="29" t="s">
        <v>1201</v>
      </c>
      <c r="MY442" s="29" t="str">
        <f>IFERROR(__xludf.DUMMYFUNCTION("""COMPUTED_VALUE"""),"Australia")</f>
        <v>Australia</v>
      </c>
    </row>
    <row r="443" ht="16.5" customHeight="1">
      <c r="A443" s="33">
        <v>46078.59408679398</v>
      </c>
      <c r="B443" s="29" t="s">
        <v>368</v>
      </c>
      <c r="C443" s="29" t="s">
        <v>1201</v>
      </c>
      <c r="D443" s="29" t="s">
        <v>1201</v>
      </c>
      <c r="E443" s="29"/>
      <c r="F443" s="29"/>
      <c r="G443" s="29" t="s">
        <v>422</v>
      </c>
      <c r="H443" s="29" t="s">
        <v>423</v>
      </c>
      <c r="I443" s="29" t="s">
        <v>424</v>
      </c>
      <c r="J443" s="29" t="s">
        <v>375</v>
      </c>
      <c r="K443" s="29" t="s">
        <v>376</v>
      </c>
      <c r="L443" s="29" t="s">
        <v>377</v>
      </c>
      <c r="M443" s="29" t="s">
        <v>2464</v>
      </c>
      <c r="N443" s="29" t="s">
        <v>379</v>
      </c>
      <c r="O443" s="29" t="s">
        <v>2464</v>
      </c>
      <c r="P443" s="29" t="s">
        <v>498</v>
      </c>
      <c r="Q443" s="29" t="s">
        <v>499</v>
      </c>
      <c r="R443" s="29" t="s">
        <v>500</v>
      </c>
      <c r="S443" s="29" t="s">
        <v>384</v>
      </c>
      <c r="T443" s="29" t="s">
        <v>385</v>
      </c>
      <c r="U443" s="29"/>
      <c r="V443" s="29"/>
      <c r="W443" s="29" t="s">
        <v>3014</v>
      </c>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t="s">
        <v>1242</v>
      </c>
      <c r="AW443" s="29" t="s">
        <v>391</v>
      </c>
      <c r="AX443" s="29" t="s">
        <v>391</v>
      </c>
      <c r="AY443" s="29">
        <v>4.0</v>
      </c>
      <c r="AZ443" s="29" t="s">
        <v>391</v>
      </c>
      <c r="BA443" s="29" t="s">
        <v>391</v>
      </c>
      <c r="BB443" s="29" t="s">
        <v>391</v>
      </c>
      <c r="BC443" s="29" t="s">
        <v>8731</v>
      </c>
      <c r="BD443" s="29" t="s">
        <v>8732</v>
      </c>
      <c r="BE443" s="29" t="s">
        <v>432</v>
      </c>
      <c r="BF443" s="29" t="s">
        <v>1095</v>
      </c>
      <c r="BG443" s="29" t="s">
        <v>678</v>
      </c>
      <c r="BH443" s="29" t="s">
        <v>8733</v>
      </c>
      <c r="BI443" s="29" t="s">
        <v>509</v>
      </c>
      <c r="BJ443" s="29" t="s">
        <v>8734</v>
      </c>
      <c r="BK443" s="29" t="s">
        <v>602</v>
      </c>
      <c r="BL443" s="29" t="s">
        <v>438</v>
      </c>
      <c r="BM443" s="29" t="s">
        <v>1247</v>
      </c>
      <c r="BN443" s="29" t="s">
        <v>513</v>
      </c>
      <c r="BO443" s="29"/>
      <c r="BP443" s="29"/>
      <c r="BQ443" s="29"/>
      <c r="BR443" s="29"/>
      <c r="BS443" s="29"/>
      <c r="BT443" s="29"/>
      <c r="BU443" s="29"/>
      <c r="BV443" s="29"/>
      <c r="BW443" s="29"/>
      <c r="BX443" s="29"/>
      <c r="BY443" s="29"/>
      <c r="BZ443" s="29"/>
      <c r="CA443" s="29"/>
      <c r="CB443" s="29"/>
      <c r="CC443" s="29"/>
      <c r="CD443" s="29"/>
      <c r="CE443" s="29"/>
      <c r="CF443" s="29"/>
      <c r="CG443" s="29"/>
      <c r="CH443" s="29"/>
      <c r="CI443" s="29"/>
      <c r="CJ443" s="29"/>
      <c r="CK443" s="29"/>
      <c r="CL443" s="29" t="s">
        <v>441</v>
      </c>
      <c r="CM443" s="29" t="s">
        <v>604</v>
      </c>
      <c r="CN443" s="29" t="s">
        <v>8735</v>
      </c>
      <c r="CO443" s="29" t="s">
        <v>8736</v>
      </c>
      <c r="CP443" s="29" t="s">
        <v>1008</v>
      </c>
      <c r="CQ443" s="29" t="s">
        <v>8737</v>
      </c>
      <c r="CR443" s="29" t="s">
        <v>447</v>
      </c>
      <c r="CS443" s="29" t="s">
        <v>8738</v>
      </c>
      <c r="CT443" s="29" t="s">
        <v>8739</v>
      </c>
      <c r="CU443" s="29" t="s">
        <v>519</v>
      </c>
      <c r="CV443" s="29" t="s">
        <v>451</v>
      </c>
      <c r="CW443" s="29" t="s">
        <v>8740</v>
      </c>
      <c r="CX443" s="29" t="s">
        <v>408</v>
      </c>
      <c r="CY443" s="29"/>
      <c r="CZ443" s="29" t="s">
        <v>985</v>
      </c>
      <c r="DA443" s="29" t="s">
        <v>8741</v>
      </c>
      <c r="DB443" s="29" t="s">
        <v>408</v>
      </c>
      <c r="DC443" s="29"/>
      <c r="DD443" s="29" t="s">
        <v>457</v>
      </c>
      <c r="DE443" s="29"/>
      <c r="DF443" s="29" t="s">
        <v>8742</v>
      </c>
      <c r="DG443" s="29" t="s">
        <v>776</v>
      </c>
      <c r="DH443" s="29" t="s">
        <v>410</v>
      </c>
      <c r="DI443" s="29" t="s">
        <v>963</v>
      </c>
      <c r="DJ443" s="29" t="s">
        <v>562</v>
      </c>
      <c r="DK443" s="29" t="s">
        <v>6335</v>
      </c>
      <c r="DL443" s="29"/>
      <c r="DM443" s="29"/>
      <c r="DN443" s="29"/>
      <c r="DO443" s="29"/>
      <c r="DP443" s="29"/>
      <c r="DQ443" s="29"/>
      <c r="DR443" s="29"/>
      <c r="DS443" s="29"/>
      <c r="DT443" s="29"/>
      <c r="DU443" s="29"/>
      <c r="DV443" s="29"/>
      <c r="DW443" s="29"/>
      <c r="DX443" s="29"/>
      <c r="DY443" s="29"/>
      <c r="DZ443" s="29"/>
      <c r="EA443" s="29"/>
      <c r="EB443" s="29"/>
      <c r="EC443" s="29"/>
      <c r="ED443" s="29"/>
      <c r="EE443" s="29"/>
      <c r="EF443" s="29"/>
      <c r="EG443" s="29"/>
      <c r="EH443" s="29"/>
      <c r="EI443" s="29"/>
      <c r="EJ443" s="29"/>
      <c r="EK443" s="29"/>
      <c r="EL443" s="29"/>
      <c r="EM443" s="29"/>
      <c r="EN443" s="29"/>
      <c r="EO443" s="29"/>
      <c r="EP443" s="29"/>
      <c r="EQ443" s="29"/>
      <c r="ER443" s="29"/>
      <c r="ES443" s="29"/>
      <c r="ET443" s="29" t="s">
        <v>526</v>
      </c>
      <c r="EU443" s="29" t="s">
        <v>887</v>
      </c>
      <c r="EV443" s="29" t="s">
        <v>480</v>
      </c>
      <c r="EW443" s="29" t="s">
        <v>8743</v>
      </c>
      <c r="EX443" s="29" t="s">
        <v>8744</v>
      </c>
      <c r="EY443" s="29" t="s">
        <v>8745</v>
      </c>
      <c r="EZ443" s="29" t="s">
        <v>583</v>
      </c>
      <c r="FA443" s="29" t="s">
        <v>583</v>
      </c>
      <c r="FB443" s="29" t="s">
        <v>414</v>
      </c>
      <c r="FC443" s="29" t="s">
        <v>583</v>
      </c>
      <c r="FD443" s="29" t="s">
        <v>413</v>
      </c>
      <c r="FE443" s="29" t="s">
        <v>583</v>
      </c>
      <c r="FF443" s="29" t="s">
        <v>583</v>
      </c>
      <c r="FG443" s="29" t="s">
        <v>413</v>
      </c>
      <c r="FH443" s="29" t="s">
        <v>583</v>
      </c>
      <c r="FI443" s="29" t="s">
        <v>415</v>
      </c>
      <c r="FJ443" s="29" t="s">
        <v>414</v>
      </c>
      <c r="FK443" s="29" t="s">
        <v>415</v>
      </c>
      <c r="FL443" s="29" t="s">
        <v>583</v>
      </c>
      <c r="FM443" s="29" t="s">
        <v>413</v>
      </c>
      <c r="FN443" s="29" t="s">
        <v>583</v>
      </c>
      <c r="FO443" s="29" t="s">
        <v>1537</v>
      </c>
      <c r="FP443" s="29" t="s">
        <v>418</v>
      </c>
      <c r="FQ443" s="29" t="s">
        <v>749</v>
      </c>
      <c r="FR443" s="29" t="s">
        <v>8746</v>
      </c>
      <c r="FS443" s="29" t="s">
        <v>1871</v>
      </c>
      <c r="FT443" s="29" t="s">
        <v>1462</v>
      </c>
      <c r="FU443" s="29" t="s">
        <v>1235</v>
      </c>
      <c r="FV443" s="29" t="s">
        <v>490</v>
      </c>
      <c r="FW443" s="29" t="s">
        <v>491</v>
      </c>
      <c r="FX443" s="29" t="s">
        <v>8747</v>
      </c>
      <c r="FY443" s="29" t="s">
        <v>535</v>
      </c>
      <c r="FZ443" s="29"/>
      <c r="GA443" s="29"/>
      <c r="GB443" s="29" t="s">
        <v>455</v>
      </c>
      <c r="GC443" s="29"/>
      <c r="GD443" s="29"/>
      <c r="GE443" s="29" t="s">
        <v>753</v>
      </c>
      <c r="GF443" s="29" t="s">
        <v>8748</v>
      </c>
      <c r="GG443" s="29" t="s">
        <v>755</v>
      </c>
      <c r="GH443" s="29" t="s">
        <v>755</v>
      </c>
      <c r="GI443" s="29" t="s">
        <v>946</v>
      </c>
      <c r="GJ443" s="29"/>
      <c r="GK443" s="29"/>
      <c r="GL443" s="29"/>
      <c r="GM443" s="29"/>
      <c r="GN443" s="29" t="s">
        <v>4084</v>
      </c>
      <c r="GO443" s="29" t="s">
        <v>4084</v>
      </c>
      <c r="GP443" s="29"/>
      <c r="GQ443" s="29" t="s">
        <v>5015</v>
      </c>
      <c r="GR443" s="29"/>
      <c r="GS443" s="29"/>
      <c r="GT443" s="29" t="s">
        <v>4774</v>
      </c>
      <c r="GU443" s="29" t="s">
        <v>8749</v>
      </c>
      <c r="HP443" s="31"/>
      <c r="MX443" s="29" t="s">
        <v>894</v>
      </c>
      <c r="MY443" s="29" t="str">
        <f>IFERROR(__xludf.DUMMYFUNCTION("""COMPUTED_VALUE"""),"Ontario")</f>
        <v>Ontario</v>
      </c>
    </row>
    <row r="444" ht="16.5" customHeight="1">
      <c r="A444" s="33">
        <v>46089.89088146991</v>
      </c>
      <c r="B444" s="29" t="s">
        <v>368</v>
      </c>
      <c r="C444" s="29" t="s">
        <v>894</v>
      </c>
      <c r="D444" s="29" t="s">
        <v>894</v>
      </c>
      <c r="E444" s="29"/>
      <c r="F444" s="29"/>
      <c r="G444" s="29" t="s">
        <v>422</v>
      </c>
      <c r="H444" s="29" t="s">
        <v>496</v>
      </c>
      <c r="I444" s="29" t="s">
        <v>374</v>
      </c>
      <c r="J444" s="29" t="s">
        <v>375</v>
      </c>
      <c r="K444" s="29" t="s">
        <v>376</v>
      </c>
      <c r="L444" s="29" t="s">
        <v>379</v>
      </c>
      <c r="M444" s="29" t="s">
        <v>378</v>
      </c>
      <c r="N444" s="29" t="s">
        <v>591</v>
      </c>
      <c r="O444" s="29" t="s">
        <v>639</v>
      </c>
      <c r="P444" s="29" t="s">
        <v>498</v>
      </c>
      <c r="Q444" s="29" t="s">
        <v>862</v>
      </c>
      <c r="R444" s="29" t="s">
        <v>427</v>
      </c>
      <c r="S444" s="29" t="s">
        <v>384</v>
      </c>
      <c r="T444" s="29" t="s">
        <v>385</v>
      </c>
      <c r="U444" s="29" t="s">
        <v>896</v>
      </c>
      <c r="V444" s="29" t="s">
        <v>896</v>
      </c>
      <c r="W444" s="29" t="s">
        <v>3231</v>
      </c>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t="s">
        <v>1310</v>
      </c>
      <c r="AW444" s="29">
        <v>4.0</v>
      </c>
      <c r="AX444" s="29">
        <v>4.0</v>
      </c>
      <c r="AY444" s="29">
        <v>4.0</v>
      </c>
      <c r="AZ444" s="29">
        <v>4.0</v>
      </c>
      <c r="BA444" s="29" t="s">
        <v>675</v>
      </c>
      <c r="BB444" s="29" t="s">
        <v>675</v>
      </c>
      <c r="BC444" s="29" t="s">
        <v>8750</v>
      </c>
      <c r="BD444" s="29" t="s">
        <v>8751</v>
      </c>
      <c r="BE444" s="29" t="s">
        <v>2379</v>
      </c>
      <c r="BF444" s="29" t="s">
        <v>433</v>
      </c>
      <c r="BG444" s="29" t="s">
        <v>725</v>
      </c>
      <c r="BH444" s="29" t="s">
        <v>8752</v>
      </c>
      <c r="BI444" s="29" t="s">
        <v>435</v>
      </c>
      <c r="BJ444" s="29" t="s">
        <v>8753</v>
      </c>
      <c r="BK444" s="29" t="s">
        <v>602</v>
      </c>
      <c r="BL444" s="29" t="s">
        <v>603</v>
      </c>
      <c r="BM444" s="29" t="s">
        <v>549</v>
      </c>
      <c r="BN444" s="29" t="s">
        <v>440</v>
      </c>
      <c r="BO444" s="29"/>
      <c r="BP444" s="29"/>
      <c r="BQ444" s="29"/>
      <c r="BR444" s="29"/>
      <c r="BS444" s="29"/>
      <c r="BT444" s="29"/>
      <c r="BU444" s="29"/>
      <c r="BV444" s="29"/>
      <c r="BW444" s="29"/>
      <c r="BX444" s="29"/>
      <c r="BY444" s="29"/>
      <c r="BZ444" s="29"/>
      <c r="CA444" s="29"/>
      <c r="CB444" s="29"/>
      <c r="CC444" s="29"/>
      <c r="CD444" s="29"/>
      <c r="CE444" s="29"/>
      <c r="CF444" s="29"/>
      <c r="CG444" s="29"/>
      <c r="CH444" s="29"/>
      <c r="CI444" s="29"/>
      <c r="CJ444" s="29"/>
      <c r="CK444" s="29"/>
      <c r="CL444" s="29" t="s">
        <v>441</v>
      </c>
      <c r="CM444" s="29" t="s">
        <v>551</v>
      </c>
      <c r="CN444" s="29" t="s">
        <v>8754</v>
      </c>
      <c r="CO444" s="29" t="s">
        <v>8755</v>
      </c>
      <c r="CP444" s="29" t="s">
        <v>1008</v>
      </c>
      <c r="CQ444" s="29" t="s">
        <v>908</v>
      </c>
      <c r="CR444" s="29" t="s">
        <v>447</v>
      </c>
      <c r="CS444" s="29" t="s">
        <v>8756</v>
      </c>
      <c r="CT444" s="29" t="s">
        <v>8757</v>
      </c>
      <c r="CU444" s="29" t="s">
        <v>450</v>
      </c>
      <c r="CV444" s="29" t="s">
        <v>451</v>
      </c>
      <c r="CW444" s="29" t="s">
        <v>8758</v>
      </c>
      <c r="CX444" s="29" t="s">
        <v>408</v>
      </c>
      <c r="CY444" s="29"/>
      <c r="CZ444" s="29" t="s">
        <v>453</v>
      </c>
      <c r="DA444" s="29" t="s">
        <v>8759</v>
      </c>
      <c r="DB444" s="29" t="s">
        <v>408</v>
      </c>
      <c r="DC444" s="29"/>
      <c r="DD444" s="29" t="s">
        <v>457</v>
      </c>
      <c r="DE444" s="29"/>
      <c r="DF444" s="29" t="s">
        <v>8760</v>
      </c>
      <c r="DG444" s="29" t="s">
        <v>524</v>
      </c>
      <c r="DH444" s="29" t="s">
        <v>410</v>
      </c>
      <c r="DI444" s="29" t="s">
        <v>459</v>
      </c>
      <c r="DJ444" s="29" t="s">
        <v>460</v>
      </c>
      <c r="DK444" s="29" t="s">
        <v>6335</v>
      </c>
      <c r="DL444" s="29"/>
      <c r="DM444" s="29" t="s">
        <v>8761</v>
      </c>
      <c r="DN444" s="29" t="s">
        <v>8762</v>
      </c>
      <c r="DO444" s="29" t="s">
        <v>567</v>
      </c>
      <c r="DP444" s="29" t="s">
        <v>8763</v>
      </c>
      <c r="DQ444" s="29" t="s">
        <v>1324</v>
      </c>
      <c r="DR444" s="29" t="s">
        <v>8764</v>
      </c>
      <c r="DS444" s="29" t="s">
        <v>6617</v>
      </c>
      <c r="DT444" s="29" t="s">
        <v>619</v>
      </c>
      <c r="DU444" s="29" t="s">
        <v>8765</v>
      </c>
      <c r="DV444" s="29" t="s">
        <v>8766</v>
      </c>
      <c r="DW444" s="29" t="s">
        <v>396</v>
      </c>
      <c r="DX444" s="29" t="s">
        <v>8767</v>
      </c>
      <c r="DY444" s="29"/>
      <c r="DZ444" s="29"/>
      <c r="EA444" s="29" t="s">
        <v>475</v>
      </c>
      <c r="EB444" s="29" t="s">
        <v>845</v>
      </c>
      <c r="EC444" s="29"/>
      <c r="ED444" s="29"/>
      <c r="EE444" s="29"/>
      <c r="EF444" s="29"/>
      <c r="EG444" s="29"/>
      <c r="EH444" s="29"/>
      <c r="EI444" s="29"/>
      <c r="EJ444" s="29"/>
      <c r="EK444" s="29"/>
      <c r="EL444" s="29"/>
      <c r="EM444" s="29"/>
      <c r="EN444" s="29"/>
      <c r="EO444" s="29"/>
      <c r="EP444" s="29"/>
      <c r="EQ444" s="29"/>
      <c r="ER444" s="29"/>
      <c r="ES444" s="29"/>
      <c r="ET444" s="29" t="s">
        <v>526</v>
      </c>
      <c r="EU444" s="29" t="s">
        <v>579</v>
      </c>
      <c r="EV444" s="29" t="s">
        <v>1534</v>
      </c>
      <c r="EW444" s="29" t="s">
        <v>8768</v>
      </c>
      <c r="EX444" s="29"/>
      <c r="EY444" s="29"/>
      <c r="EZ444" s="29" t="s">
        <v>415</v>
      </c>
      <c r="FA444" s="29" t="s">
        <v>414</v>
      </c>
      <c r="FB444" s="29" t="s">
        <v>413</v>
      </c>
      <c r="FC444" s="29" t="s">
        <v>415</v>
      </c>
      <c r="FD444" s="29" t="s">
        <v>413</v>
      </c>
      <c r="FE444" s="29" t="s">
        <v>414</v>
      </c>
      <c r="FF444" s="29" t="s">
        <v>484</v>
      </c>
      <c r="FG444" s="29" t="s">
        <v>413</v>
      </c>
      <c r="FH444" s="29" t="s">
        <v>414</v>
      </c>
      <c r="FI444" s="29" t="s">
        <v>413</v>
      </c>
      <c r="FJ444" s="29" t="s">
        <v>415</v>
      </c>
      <c r="FK444" s="29" t="s">
        <v>413</v>
      </c>
      <c r="FL444" s="29" t="s">
        <v>413</v>
      </c>
      <c r="FM444" s="29" t="s">
        <v>413</v>
      </c>
      <c r="FN444" s="29" t="s">
        <v>414</v>
      </c>
      <c r="FO444" s="29" t="s">
        <v>485</v>
      </c>
      <c r="FP444" s="29" t="s">
        <v>418</v>
      </c>
      <c r="FQ444" s="29" t="s">
        <v>712</v>
      </c>
      <c r="FR444" s="29"/>
      <c r="FS444" s="29" t="s">
        <v>420</v>
      </c>
      <c r="FT444" s="29" t="s">
        <v>488</v>
      </c>
      <c r="FU444" s="29" t="s">
        <v>585</v>
      </c>
      <c r="FV444" s="29" t="s">
        <v>490</v>
      </c>
      <c r="FW444" s="29" t="s">
        <v>491</v>
      </c>
      <c r="FX444" s="29" t="s">
        <v>8769</v>
      </c>
      <c r="FY444" s="29" t="s">
        <v>535</v>
      </c>
      <c r="FZ444" s="29"/>
      <c r="GA444" s="29" t="s">
        <v>8770</v>
      </c>
      <c r="GB444" s="29" t="s">
        <v>408</v>
      </c>
      <c r="GC444" s="29"/>
      <c r="GD444" s="29"/>
      <c r="GE444" s="29"/>
      <c r="GF444" s="29"/>
      <c r="GG444" s="29" t="s">
        <v>1000</v>
      </c>
      <c r="GH444" s="29" t="s">
        <v>1000</v>
      </c>
      <c r="GI444" s="29" t="s">
        <v>756</v>
      </c>
      <c r="GJ444" s="29"/>
      <c r="GK444" s="29"/>
      <c r="GL444" s="29"/>
      <c r="GM444" s="29" t="s">
        <v>1079</v>
      </c>
      <c r="GN444" s="29"/>
      <c r="GO444" s="29"/>
      <c r="GP444" s="29" t="s">
        <v>387</v>
      </c>
      <c r="GQ444" s="29" t="s">
        <v>3208</v>
      </c>
      <c r="GR444" s="29"/>
      <c r="GS444" s="29"/>
      <c r="GT444" s="29" t="s">
        <v>5170</v>
      </c>
      <c r="GU444" s="29" t="s">
        <v>8771</v>
      </c>
      <c r="HP444" s="31"/>
      <c r="MX444" s="29" t="s">
        <v>10402</v>
      </c>
      <c r="MY444" s="29" t="str">
        <f>IFERROR(__xludf.DUMMYFUNCTION("""COMPUTED_VALUE"""),"Pennsylvania")</f>
        <v>Pennsylvania</v>
      </c>
    </row>
    <row r="445" ht="16.5" customHeight="1">
      <c r="A445" s="33">
        <v>46091.30222179398</v>
      </c>
      <c r="B445" s="29" t="s">
        <v>368</v>
      </c>
      <c r="C445" s="29" t="s">
        <v>370</v>
      </c>
      <c r="D445" s="29" t="s">
        <v>370</v>
      </c>
      <c r="E445" s="29" t="s">
        <v>791</v>
      </c>
      <c r="F445" s="29" t="s">
        <v>791</v>
      </c>
      <c r="G445" s="29" t="s">
        <v>422</v>
      </c>
      <c r="H445" s="29" t="s">
        <v>539</v>
      </c>
      <c r="I445" s="29" t="s">
        <v>424</v>
      </c>
      <c r="J445" s="29" t="s">
        <v>375</v>
      </c>
      <c r="K445" s="29" t="s">
        <v>376</v>
      </c>
      <c r="L445" s="29" t="s">
        <v>591</v>
      </c>
      <c r="M445" s="29" t="s">
        <v>719</v>
      </c>
      <c r="N445" s="29" t="s">
        <v>426</v>
      </c>
      <c r="O445" s="29" t="s">
        <v>8776</v>
      </c>
      <c r="P445" s="29" t="s">
        <v>1504</v>
      </c>
      <c r="Q445" s="29" t="s">
        <v>862</v>
      </c>
      <c r="R445" s="29" t="s">
        <v>1901</v>
      </c>
      <c r="S445" s="29" t="s">
        <v>384</v>
      </c>
      <c r="T445" s="29" t="s">
        <v>385</v>
      </c>
      <c r="U445" s="29"/>
      <c r="V445" s="29"/>
      <c r="W445" s="29" t="s">
        <v>386</v>
      </c>
      <c r="X445" s="29" t="s">
        <v>387</v>
      </c>
      <c r="Y445" s="29" t="s">
        <v>1444</v>
      </c>
      <c r="Z445" s="29" t="s">
        <v>543</v>
      </c>
      <c r="AA445" s="29" t="s">
        <v>8777</v>
      </c>
      <c r="AB445" s="29" t="s">
        <v>8778</v>
      </c>
      <c r="AC445" s="29"/>
      <c r="AD445" s="29"/>
      <c r="AE445" s="29"/>
      <c r="AF445" s="29"/>
      <c r="AG445" s="29"/>
      <c r="AH445" s="29"/>
      <c r="AI445" s="29"/>
      <c r="AJ445" s="29"/>
      <c r="AK445" s="29"/>
      <c r="AL445" s="29"/>
      <c r="AM445" s="29"/>
      <c r="AN445" s="29"/>
      <c r="AO445" s="29"/>
      <c r="AP445" s="29"/>
      <c r="AQ445" s="29"/>
      <c r="AR445" s="29"/>
      <c r="AS445" s="29"/>
      <c r="AT445" s="29"/>
      <c r="AU445" s="29"/>
      <c r="AV445" s="29" t="s">
        <v>597</v>
      </c>
      <c r="AW445" s="29" t="s">
        <v>391</v>
      </c>
      <c r="AX445" s="29" t="s">
        <v>675</v>
      </c>
      <c r="AY445" s="29" t="s">
        <v>429</v>
      </c>
      <c r="AZ445" s="29">
        <v>2.0</v>
      </c>
      <c r="BA445" s="29">
        <v>2.0</v>
      </c>
      <c r="BB445" s="29" t="s">
        <v>391</v>
      </c>
      <c r="BC445" s="29" t="s">
        <v>8779</v>
      </c>
      <c r="BD445" s="29" t="s">
        <v>8780</v>
      </c>
      <c r="BE445" s="29" t="s">
        <v>2379</v>
      </c>
      <c r="BF445" s="29" t="s">
        <v>393</v>
      </c>
      <c r="BG445" s="29" t="s">
        <v>678</v>
      </c>
      <c r="BH445" s="29" t="s">
        <v>8781</v>
      </c>
      <c r="BI445" s="29" t="s">
        <v>509</v>
      </c>
      <c r="BJ445" s="29" t="s">
        <v>8782</v>
      </c>
      <c r="BK445" s="29" t="s">
        <v>395</v>
      </c>
      <c r="BL445" s="29" t="s">
        <v>603</v>
      </c>
      <c r="BM445" s="29" t="s">
        <v>397</v>
      </c>
      <c r="BN445" s="29" t="s">
        <v>513</v>
      </c>
      <c r="BO445" s="29"/>
      <c r="BP445" s="29"/>
      <c r="BQ445" s="29"/>
      <c r="BR445" s="29"/>
      <c r="BS445" s="29"/>
      <c r="BT445" s="29"/>
      <c r="BU445" s="29"/>
      <c r="BV445" s="29"/>
      <c r="BW445" s="29"/>
      <c r="BX445" s="29"/>
      <c r="BY445" s="29"/>
      <c r="BZ445" s="29"/>
      <c r="CA445" s="29"/>
      <c r="CB445" s="29"/>
      <c r="CC445" s="29"/>
      <c r="CD445" s="29"/>
      <c r="CE445" s="29"/>
      <c r="CF445" s="29"/>
      <c r="CG445" s="29"/>
      <c r="CH445" s="29"/>
      <c r="CI445" s="29"/>
      <c r="CJ445" s="29"/>
      <c r="CK445" s="29"/>
      <c r="CL445" s="29" t="s">
        <v>441</v>
      </c>
      <c r="CM445" s="29" t="s">
        <v>401</v>
      </c>
      <c r="CN445" s="29" t="s">
        <v>8783</v>
      </c>
      <c r="CO445" s="29" t="s">
        <v>8784</v>
      </c>
      <c r="CP445" s="29" t="s">
        <v>445</v>
      </c>
      <c r="CQ445" s="29" t="s">
        <v>8785</v>
      </c>
      <c r="CR445" s="29" t="s">
        <v>447</v>
      </c>
      <c r="CS445" s="29" t="s">
        <v>4349</v>
      </c>
      <c r="CT445" s="29" t="s">
        <v>8786</v>
      </c>
      <c r="CU445" s="29" t="s">
        <v>1852</v>
      </c>
      <c r="CV445" s="29" t="s">
        <v>451</v>
      </c>
      <c r="CW445" s="29" t="s">
        <v>8787</v>
      </c>
      <c r="CX445" s="29" t="s">
        <v>408</v>
      </c>
      <c r="CY445" s="29"/>
      <c r="CZ445" s="29" t="s">
        <v>985</v>
      </c>
      <c r="DA445" s="29" t="s">
        <v>8788</v>
      </c>
      <c r="DB445" s="29" t="s">
        <v>408</v>
      </c>
      <c r="DC445" s="29"/>
      <c r="DD445" s="29" t="s">
        <v>988</v>
      </c>
      <c r="DE445" s="29"/>
      <c r="DF445" s="29" t="s">
        <v>8789</v>
      </c>
      <c r="DG445" s="29" t="s">
        <v>561</v>
      </c>
      <c r="DH445" s="29" t="s">
        <v>1220</v>
      </c>
      <c r="DI445" s="29" t="s">
        <v>459</v>
      </c>
      <c r="DJ445" s="29" t="s">
        <v>613</v>
      </c>
      <c r="DK445" s="29"/>
      <c r="DL445" s="29"/>
      <c r="DM445" s="29"/>
      <c r="DN445" s="29"/>
      <c r="DO445" s="29"/>
      <c r="DP445" s="29"/>
      <c r="DQ445" s="29"/>
      <c r="DR445" s="29"/>
      <c r="DS445" s="29"/>
      <c r="DT445" s="29"/>
      <c r="DU445" s="29"/>
      <c r="DV445" s="29"/>
      <c r="DW445" s="29"/>
      <c r="DX445" s="29"/>
      <c r="DY445" s="29"/>
      <c r="DZ445" s="29"/>
      <c r="EA445" s="29"/>
      <c r="EB445" s="29"/>
      <c r="EC445" s="29"/>
      <c r="ED445" s="29"/>
      <c r="EE445" s="29"/>
      <c r="EF445" s="29"/>
      <c r="EG445" s="29"/>
      <c r="EH445" s="29"/>
      <c r="EI445" s="29"/>
      <c r="EJ445" s="29"/>
      <c r="EK445" s="29"/>
      <c r="EL445" s="29"/>
      <c r="EM445" s="29"/>
      <c r="EN445" s="29"/>
      <c r="EO445" s="29"/>
      <c r="EP445" s="29"/>
      <c r="EQ445" s="29"/>
      <c r="ER445" s="29"/>
      <c r="ES445" s="29"/>
      <c r="ET445" s="29" t="s">
        <v>478</v>
      </c>
      <c r="EU445" s="29" t="s">
        <v>887</v>
      </c>
      <c r="EV445" s="29" t="s">
        <v>527</v>
      </c>
      <c r="EW445" s="29" t="s">
        <v>8790</v>
      </c>
      <c r="EX445" s="29" t="s">
        <v>8791</v>
      </c>
      <c r="EY445" s="29" t="s">
        <v>8792</v>
      </c>
      <c r="EZ445" s="29" t="s">
        <v>414</v>
      </c>
      <c r="FA445" s="29" t="s">
        <v>583</v>
      </c>
      <c r="FB445" s="29" t="s">
        <v>416</v>
      </c>
      <c r="FC445" s="29" t="s">
        <v>414</v>
      </c>
      <c r="FD445" s="29" t="s">
        <v>415</v>
      </c>
      <c r="FE445" s="29" t="s">
        <v>583</v>
      </c>
      <c r="FF445" s="29" t="s">
        <v>415</v>
      </c>
      <c r="FG445" s="29" t="s">
        <v>416</v>
      </c>
      <c r="FH445" s="29" t="s">
        <v>414</v>
      </c>
      <c r="FI445" s="29" t="s">
        <v>414</v>
      </c>
      <c r="FJ445" s="29" t="s">
        <v>484</v>
      </c>
      <c r="FK445" s="29" t="s">
        <v>484</v>
      </c>
      <c r="FL445" s="29" t="s">
        <v>484</v>
      </c>
      <c r="FM445" s="29" t="s">
        <v>416</v>
      </c>
      <c r="FN445" s="29" t="s">
        <v>414</v>
      </c>
      <c r="FO445" s="29" t="s">
        <v>485</v>
      </c>
      <c r="FP445" s="29" t="s">
        <v>418</v>
      </c>
      <c r="FQ445" s="29" t="s">
        <v>419</v>
      </c>
      <c r="FR445" s="29" t="s">
        <v>8793</v>
      </c>
      <c r="FS445" s="29" t="s">
        <v>1189</v>
      </c>
      <c r="FT445" s="29" t="s">
        <v>488</v>
      </c>
      <c r="FU445" s="29" t="s">
        <v>489</v>
      </c>
      <c r="FV445" s="29" t="s">
        <v>490</v>
      </c>
      <c r="FW445" s="29" t="s">
        <v>491</v>
      </c>
      <c r="FX445" s="29" t="s">
        <v>8794</v>
      </c>
      <c r="FY445" s="29" t="s">
        <v>535</v>
      </c>
      <c r="FZ445" s="29" t="s">
        <v>8795</v>
      </c>
      <c r="GA445" s="29"/>
      <c r="GB445" s="29" t="s">
        <v>455</v>
      </c>
      <c r="GC445" s="29"/>
      <c r="GD445" s="29"/>
      <c r="GE445" s="29" t="s">
        <v>786</v>
      </c>
      <c r="GF445" s="29" t="s">
        <v>8796</v>
      </c>
      <c r="GG445" s="29" t="s">
        <v>920</v>
      </c>
      <c r="GH445" s="29" t="s">
        <v>920</v>
      </c>
      <c r="GI445" s="29" t="s">
        <v>858</v>
      </c>
      <c r="GJ445" s="29"/>
      <c r="GK445" s="29"/>
      <c r="GL445" s="29"/>
      <c r="GM445" s="29"/>
      <c r="GN445" s="29"/>
      <c r="GO445" s="29"/>
      <c r="GP445" s="29"/>
      <c r="GQ445" s="29" t="s">
        <v>3306</v>
      </c>
      <c r="GR445" s="29"/>
      <c r="GS445" s="29"/>
      <c r="GT445" s="29"/>
      <c r="GU445" s="29" t="s">
        <v>8797</v>
      </c>
      <c r="HP445" s="31"/>
      <c r="MX445" s="29" t="s">
        <v>894</v>
      </c>
      <c r="MY445" s="29" t="str">
        <f>IFERROR(__xludf.DUMMYFUNCTION("""COMPUTED_VALUE"""),"Ontario")</f>
        <v>Ontario</v>
      </c>
    </row>
    <row r="446" ht="16.5" customHeight="1">
      <c r="A446" s="33">
        <v>46091.744138333335</v>
      </c>
      <c r="B446" s="29" t="s">
        <v>368</v>
      </c>
      <c r="C446" s="29" t="s">
        <v>894</v>
      </c>
      <c r="D446" s="29" t="s">
        <v>894</v>
      </c>
      <c r="E446" s="29"/>
      <c r="F446" s="29"/>
      <c r="G446" s="29" t="s">
        <v>422</v>
      </c>
      <c r="H446" s="29" t="s">
        <v>1307</v>
      </c>
      <c r="I446" s="29" t="s">
        <v>7561</v>
      </c>
      <c r="J446" s="29" t="s">
        <v>425</v>
      </c>
      <c r="K446" s="29" t="s">
        <v>376</v>
      </c>
      <c r="L446" s="29" t="s">
        <v>377</v>
      </c>
      <c r="M446" s="29" t="s">
        <v>378</v>
      </c>
      <c r="N446" s="29"/>
      <c r="O446" s="29" t="s">
        <v>719</v>
      </c>
      <c r="P446" s="29" t="s">
        <v>498</v>
      </c>
      <c r="Q446" s="29" t="s">
        <v>499</v>
      </c>
      <c r="R446" s="29" t="s">
        <v>795</v>
      </c>
      <c r="S446" s="29" t="s">
        <v>384</v>
      </c>
      <c r="T446" s="29" t="s">
        <v>385</v>
      </c>
      <c r="U446" s="29" t="s">
        <v>896</v>
      </c>
      <c r="V446" s="29" t="s">
        <v>1025</v>
      </c>
      <c r="W446" s="29" t="s">
        <v>386</v>
      </c>
      <c r="X446" s="29" t="s">
        <v>387</v>
      </c>
      <c r="Y446" s="29" t="s">
        <v>542</v>
      </c>
      <c r="Z446" s="29" t="s">
        <v>543</v>
      </c>
      <c r="AA446" s="29" t="s">
        <v>2675</v>
      </c>
      <c r="AB446" s="29"/>
      <c r="AC446" s="29"/>
      <c r="AD446" s="29"/>
      <c r="AE446" s="29"/>
      <c r="AF446" s="29"/>
      <c r="AG446" s="29"/>
      <c r="AH446" s="29"/>
      <c r="AI446" s="29"/>
      <c r="AJ446" s="29"/>
      <c r="AK446" s="29"/>
      <c r="AL446" s="29"/>
      <c r="AM446" s="29"/>
      <c r="AN446" s="29"/>
      <c r="AO446" s="29"/>
      <c r="AP446" s="29"/>
      <c r="AQ446" s="29"/>
      <c r="AR446" s="29"/>
      <c r="AS446" s="29"/>
      <c r="AT446" s="29"/>
      <c r="AU446" s="29"/>
      <c r="AV446" s="29" t="s">
        <v>390</v>
      </c>
      <c r="AW446" s="29" t="s">
        <v>391</v>
      </c>
      <c r="AX446" s="29" t="s">
        <v>391</v>
      </c>
      <c r="AY446" s="29" t="s">
        <v>391</v>
      </c>
      <c r="AZ446" s="29">
        <v>4.0</v>
      </c>
      <c r="BA446" s="29" t="s">
        <v>429</v>
      </c>
      <c r="BB446" s="29">
        <v>2.0</v>
      </c>
      <c r="BC446" s="29"/>
      <c r="BD446" s="29"/>
      <c r="BE446" s="29"/>
      <c r="BF446" s="29"/>
      <c r="BG446" s="29"/>
      <c r="BH446" s="29"/>
      <c r="BI446" s="29"/>
      <c r="BJ446" s="29"/>
      <c r="BK446" s="29"/>
      <c r="BL446" s="29"/>
      <c r="BM446" s="29"/>
      <c r="BN446" s="29" t="s">
        <v>513</v>
      </c>
      <c r="BO446" s="29"/>
      <c r="BP446" s="29"/>
      <c r="BQ446" s="29"/>
      <c r="BR446" s="29"/>
      <c r="BS446" s="29"/>
      <c r="BT446" s="29"/>
      <c r="BU446" s="29"/>
      <c r="BV446" s="29"/>
      <c r="BW446" s="29"/>
      <c r="BX446" s="29"/>
      <c r="BY446" s="29"/>
      <c r="BZ446" s="29"/>
      <c r="CA446" s="29"/>
      <c r="CB446" s="29"/>
      <c r="CC446" s="29"/>
      <c r="CD446" s="29"/>
      <c r="CE446" s="29"/>
      <c r="CF446" s="29"/>
      <c r="CG446" s="29"/>
      <c r="CH446" s="29"/>
      <c r="CI446" s="29"/>
      <c r="CJ446" s="29"/>
      <c r="CK446" s="29"/>
      <c r="CL446" s="29" t="s">
        <v>441</v>
      </c>
      <c r="CM446" s="29" t="s">
        <v>401</v>
      </c>
      <c r="CN446" s="29"/>
      <c r="CO446" s="29"/>
      <c r="CP446" s="29" t="s">
        <v>403</v>
      </c>
      <c r="CQ446" s="29" t="s">
        <v>931</v>
      </c>
      <c r="CR446" s="29" t="s">
        <v>447</v>
      </c>
      <c r="CS446" s="29" t="s">
        <v>2801</v>
      </c>
      <c r="CT446" s="29"/>
      <c r="CU446" s="29" t="s">
        <v>1863</v>
      </c>
      <c r="CV446" s="29" t="s">
        <v>451</v>
      </c>
      <c r="CW446" s="29" t="s">
        <v>2834</v>
      </c>
      <c r="CX446" s="29" t="s">
        <v>408</v>
      </c>
      <c r="CY446" s="29"/>
      <c r="CZ446" s="29" t="s">
        <v>453</v>
      </c>
      <c r="DA446" s="29" t="s">
        <v>8798</v>
      </c>
      <c r="DB446" s="29" t="s">
        <v>408</v>
      </c>
      <c r="DC446" s="29"/>
      <c r="DD446" s="29" t="s">
        <v>406</v>
      </c>
      <c r="DE446" s="29" t="s">
        <v>407</v>
      </c>
      <c r="DF446" s="29" t="s">
        <v>8789</v>
      </c>
      <c r="DG446" s="29" t="s">
        <v>776</v>
      </c>
      <c r="DH446" s="29" t="s">
        <v>833</v>
      </c>
      <c r="DI446" s="29" t="s">
        <v>459</v>
      </c>
      <c r="DJ446" s="29" t="s">
        <v>613</v>
      </c>
      <c r="DK446" s="29"/>
      <c r="DL446" s="29"/>
      <c r="DM446" s="29"/>
      <c r="DN446" s="29"/>
      <c r="DO446" s="29"/>
      <c r="DP446" s="29"/>
      <c r="DQ446" s="29"/>
      <c r="DR446" s="29"/>
      <c r="DS446" s="29"/>
      <c r="DT446" s="29"/>
      <c r="DU446" s="29"/>
      <c r="DV446" s="29"/>
      <c r="DW446" s="29"/>
      <c r="DX446" s="29"/>
      <c r="DY446" s="29"/>
      <c r="DZ446" s="29"/>
      <c r="EA446" s="29"/>
      <c r="EB446" s="29"/>
      <c r="EC446" s="29"/>
      <c r="ED446" s="29"/>
      <c r="EE446" s="29"/>
      <c r="EF446" s="29"/>
      <c r="EG446" s="29"/>
      <c r="EH446" s="29"/>
      <c r="EI446" s="29"/>
      <c r="EJ446" s="29"/>
      <c r="EK446" s="29"/>
      <c r="EL446" s="29"/>
      <c r="EM446" s="29"/>
      <c r="EN446" s="29"/>
      <c r="EO446" s="29"/>
      <c r="EP446" s="29"/>
      <c r="EQ446" s="29"/>
      <c r="ER446" s="29"/>
      <c r="ES446" s="29"/>
      <c r="ET446" s="29" t="s">
        <v>526</v>
      </c>
      <c r="EU446" s="29" t="s">
        <v>479</v>
      </c>
      <c r="EV446" s="29" t="s">
        <v>580</v>
      </c>
      <c r="EW446" s="29" t="s">
        <v>8799</v>
      </c>
      <c r="EX446" s="29" t="s">
        <v>1232</v>
      </c>
      <c r="EY446" s="29"/>
      <c r="EZ446" s="29" t="s">
        <v>416</v>
      </c>
      <c r="FA446" s="29" t="s">
        <v>415</v>
      </c>
      <c r="FB446" s="29" t="s">
        <v>413</v>
      </c>
      <c r="FC446" s="29" t="s">
        <v>413</v>
      </c>
      <c r="FD446" s="29" t="s">
        <v>413</v>
      </c>
      <c r="FE446" s="29" t="s">
        <v>414</v>
      </c>
      <c r="FF446" s="29" t="s">
        <v>415</v>
      </c>
      <c r="FG446" s="29" t="s">
        <v>413</v>
      </c>
      <c r="FH446" s="29" t="s">
        <v>484</v>
      </c>
      <c r="FI446" s="29" t="s">
        <v>415</v>
      </c>
      <c r="FJ446" s="29" t="s">
        <v>415</v>
      </c>
      <c r="FK446" s="29" t="s">
        <v>413</v>
      </c>
      <c r="FL446" s="29" t="s">
        <v>415</v>
      </c>
      <c r="FM446" s="29" t="s">
        <v>413</v>
      </c>
      <c r="FN446" s="29" t="s">
        <v>583</v>
      </c>
      <c r="FO446" s="29" t="s">
        <v>485</v>
      </c>
      <c r="FP446" s="29" t="s">
        <v>418</v>
      </c>
      <c r="FQ446" s="29" t="s">
        <v>749</v>
      </c>
      <c r="FR446" s="29" t="s">
        <v>8800</v>
      </c>
      <c r="FS446" s="29" t="s">
        <v>420</v>
      </c>
      <c r="FT446" s="29" t="s">
        <v>1462</v>
      </c>
      <c r="FU446" s="29" t="s">
        <v>918</v>
      </c>
      <c r="FV446" s="29" t="s">
        <v>490</v>
      </c>
      <c r="FW446" s="29" t="s">
        <v>491</v>
      </c>
      <c r="FX446" s="29" t="s">
        <v>8801</v>
      </c>
      <c r="FY446" s="29" t="s">
        <v>535</v>
      </c>
      <c r="FZ446" s="29"/>
      <c r="GA446" s="29"/>
      <c r="GB446" s="29" t="s">
        <v>455</v>
      </c>
      <c r="GC446" s="29"/>
      <c r="GD446" s="29"/>
      <c r="GE446" s="29" t="s">
        <v>753</v>
      </c>
      <c r="GF446" s="29"/>
      <c r="GG446" s="29" t="s">
        <v>755</v>
      </c>
      <c r="GH446" s="29" t="s">
        <v>755</v>
      </c>
      <c r="GI446" s="29" t="s">
        <v>946</v>
      </c>
      <c r="GJ446" s="29"/>
      <c r="GK446" s="29"/>
      <c r="GL446" s="29"/>
      <c r="GM446" s="29"/>
      <c r="GN446" s="29"/>
      <c r="GO446" s="29"/>
      <c r="GP446" s="29"/>
      <c r="GQ446" s="29" t="s">
        <v>6251</v>
      </c>
      <c r="GR446" s="29"/>
      <c r="GS446" s="29"/>
      <c r="GT446" s="29"/>
      <c r="GU446" s="29"/>
      <c r="HP446" s="31"/>
      <c r="MX446" s="29" t="s">
        <v>10402</v>
      </c>
      <c r="MY446" s="29" t="str">
        <f>IFERROR(__xludf.DUMMYFUNCTION("""COMPUTED_VALUE"""),"Texas")</f>
        <v>Texas</v>
      </c>
    </row>
    <row r="447" ht="16.5" customHeight="1">
      <c r="A447" s="33">
        <v>46093.8116130787</v>
      </c>
      <c r="B447" s="29" t="s">
        <v>368</v>
      </c>
      <c r="C447" s="29" t="s">
        <v>370</v>
      </c>
      <c r="D447" s="29" t="s">
        <v>370</v>
      </c>
      <c r="E447" s="29" t="s">
        <v>1510</v>
      </c>
      <c r="F447" s="29" t="s">
        <v>1421</v>
      </c>
      <c r="G447" s="29" t="s">
        <v>422</v>
      </c>
      <c r="H447" s="29" t="s">
        <v>539</v>
      </c>
      <c r="I447" s="29" t="s">
        <v>424</v>
      </c>
      <c r="J447" s="29" t="s">
        <v>375</v>
      </c>
      <c r="K447" s="29" t="s">
        <v>376</v>
      </c>
      <c r="L447" s="29" t="s">
        <v>379</v>
      </c>
      <c r="M447" s="29" t="s">
        <v>720</v>
      </c>
      <c r="N447" s="29" t="s">
        <v>591</v>
      </c>
      <c r="O447" s="29" t="s">
        <v>719</v>
      </c>
      <c r="P447" s="29" t="s">
        <v>381</v>
      </c>
      <c r="Q447" s="29" t="s">
        <v>499</v>
      </c>
      <c r="R447" s="29" t="s">
        <v>500</v>
      </c>
      <c r="S447" s="29" t="s">
        <v>384</v>
      </c>
      <c r="T447" s="29" t="s">
        <v>385</v>
      </c>
      <c r="U447" s="29"/>
      <c r="V447" s="29"/>
      <c r="W447" s="29" t="s">
        <v>593</v>
      </c>
      <c r="X447" s="29" t="s">
        <v>387</v>
      </c>
      <c r="Y447" s="29" t="s">
        <v>897</v>
      </c>
      <c r="Z447" s="29" t="s">
        <v>672</v>
      </c>
      <c r="AA447" s="29" t="s">
        <v>408</v>
      </c>
      <c r="AB447" s="29"/>
      <c r="AC447" s="29"/>
      <c r="AD447" s="29"/>
      <c r="AE447" s="29"/>
      <c r="AF447" s="29"/>
      <c r="AG447" s="29"/>
      <c r="AH447" s="29"/>
      <c r="AI447" s="29"/>
      <c r="AJ447" s="29"/>
      <c r="AK447" s="29"/>
      <c r="AL447" s="29"/>
      <c r="AM447" s="29"/>
      <c r="AN447" s="29"/>
      <c r="AO447" s="29"/>
      <c r="AP447" s="29"/>
      <c r="AQ447" s="29"/>
      <c r="AR447" s="29"/>
      <c r="AS447" s="29"/>
      <c r="AT447" s="29"/>
      <c r="AU447" s="29"/>
      <c r="AV447" s="29" t="s">
        <v>1310</v>
      </c>
      <c r="AW447" s="29" t="s">
        <v>391</v>
      </c>
      <c r="AX447" s="29" t="s">
        <v>391</v>
      </c>
      <c r="AY447" s="29" t="s">
        <v>429</v>
      </c>
      <c r="AZ447" s="29" t="s">
        <v>391</v>
      </c>
      <c r="BA447" s="29" t="s">
        <v>391</v>
      </c>
      <c r="BB447" s="29" t="s">
        <v>391</v>
      </c>
      <c r="BC447" s="29" t="s">
        <v>8802</v>
      </c>
      <c r="BD447" s="29" t="s">
        <v>8803</v>
      </c>
      <c r="BE447" s="29" t="s">
        <v>2379</v>
      </c>
      <c r="BF447" s="29" t="s">
        <v>393</v>
      </c>
      <c r="BG447" s="29" t="s">
        <v>765</v>
      </c>
      <c r="BH447" s="29"/>
      <c r="BI447" s="29" t="s">
        <v>976</v>
      </c>
      <c r="BJ447" s="29"/>
      <c r="BK447" s="29" t="s">
        <v>681</v>
      </c>
      <c r="BL447" s="29" t="s">
        <v>603</v>
      </c>
      <c r="BM447" s="29" t="s">
        <v>1247</v>
      </c>
      <c r="BN447" s="29" t="s">
        <v>513</v>
      </c>
      <c r="BO447" s="29"/>
      <c r="BP447" s="29"/>
      <c r="BQ447" s="29"/>
      <c r="BR447" s="29"/>
      <c r="BS447" s="29"/>
      <c r="BT447" s="29"/>
      <c r="BU447" s="29"/>
      <c r="BV447" s="29"/>
      <c r="BW447" s="29"/>
      <c r="BX447" s="29"/>
      <c r="BY447" s="29"/>
      <c r="BZ447" s="29"/>
      <c r="CA447" s="29"/>
      <c r="CB447" s="29"/>
      <c r="CC447" s="29"/>
      <c r="CD447" s="29"/>
      <c r="CE447" s="29"/>
      <c r="CF447" s="29"/>
      <c r="CG447" s="29"/>
      <c r="CH447" s="29"/>
      <c r="CI447" s="29"/>
      <c r="CJ447" s="29"/>
      <c r="CK447" s="29"/>
      <c r="CL447" s="29" t="s">
        <v>441</v>
      </c>
      <c r="CM447" s="29" t="s">
        <v>401</v>
      </c>
      <c r="CN447" s="29" t="s">
        <v>8804</v>
      </c>
      <c r="CO447" s="29" t="s">
        <v>8805</v>
      </c>
      <c r="CP447" s="29" t="s">
        <v>979</v>
      </c>
      <c r="CQ447" s="29" t="s">
        <v>1568</v>
      </c>
      <c r="CR447" s="29" t="s">
        <v>447</v>
      </c>
      <c r="CS447" s="29" t="s">
        <v>8806</v>
      </c>
      <c r="CT447" s="29" t="s">
        <v>8807</v>
      </c>
      <c r="CU447" s="29" t="s">
        <v>1852</v>
      </c>
      <c r="CV447" s="29" t="s">
        <v>451</v>
      </c>
      <c r="CW447" s="29" t="s">
        <v>8808</v>
      </c>
      <c r="CX447" s="29" t="s">
        <v>455</v>
      </c>
      <c r="CY447" s="29" t="s">
        <v>8809</v>
      </c>
      <c r="CZ447" s="29" t="s">
        <v>1962</v>
      </c>
      <c r="DA447" s="29"/>
      <c r="DB447" s="29" t="s">
        <v>408</v>
      </c>
      <c r="DC447" s="29"/>
      <c r="DD447" s="29" t="s">
        <v>406</v>
      </c>
      <c r="DE447" s="29" t="s">
        <v>1058</v>
      </c>
      <c r="DF447" s="29" t="s">
        <v>8810</v>
      </c>
      <c r="DG447" s="29" t="s">
        <v>693</v>
      </c>
      <c r="DH447" s="29" t="s">
        <v>1220</v>
      </c>
      <c r="DI447" s="29" t="s">
        <v>459</v>
      </c>
      <c r="DJ447" s="29" t="s">
        <v>460</v>
      </c>
      <c r="DK447" s="29" t="s">
        <v>6335</v>
      </c>
      <c r="DL447" s="29"/>
      <c r="DM447" s="29"/>
      <c r="DN447" s="29"/>
      <c r="DO447" s="29"/>
      <c r="DP447" s="29"/>
      <c r="DQ447" s="29"/>
      <c r="DR447" s="29"/>
      <c r="DS447" s="29"/>
      <c r="DT447" s="29"/>
      <c r="DU447" s="29"/>
      <c r="DV447" s="29"/>
      <c r="DW447" s="29"/>
      <c r="DX447" s="29"/>
      <c r="DY447" s="29"/>
      <c r="DZ447" s="29"/>
      <c r="EA447" s="29"/>
      <c r="EB447" s="29"/>
      <c r="EC447" s="29"/>
      <c r="ED447" s="29"/>
      <c r="EE447" s="29"/>
      <c r="EF447" s="29"/>
      <c r="EG447" s="29"/>
      <c r="EH447" s="29"/>
      <c r="EI447" s="29"/>
      <c r="EJ447" s="29"/>
      <c r="EK447" s="29"/>
      <c r="EL447" s="29"/>
      <c r="EM447" s="29"/>
      <c r="EN447" s="29"/>
      <c r="EO447" s="29"/>
      <c r="EP447" s="29"/>
      <c r="EQ447" s="29"/>
      <c r="ER447" s="29"/>
      <c r="ES447" s="29"/>
      <c r="ET447" s="29" t="s">
        <v>526</v>
      </c>
      <c r="EU447" s="29" t="s">
        <v>479</v>
      </c>
      <c r="EV447" s="29" t="s">
        <v>480</v>
      </c>
      <c r="EW447" s="29"/>
      <c r="EX447" s="29" t="s">
        <v>6247</v>
      </c>
      <c r="EY447" s="29" t="s">
        <v>1380</v>
      </c>
      <c r="EZ447" s="29" t="s">
        <v>415</v>
      </c>
      <c r="FA447" s="29" t="s">
        <v>415</v>
      </c>
      <c r="FB447" s="29" t="s">
        <v>413</v>
      </c>
      <c r="FC447" s="29" t="s">
        <v>413</v>
      </c>
      <c r="FD447" s="29" t="s">
        <v>413</v>
      </c>
      <c r="FE447" s="29" t="s">
        <v>415</v>
      </c>
      <c r="FF447" s="29" t="s">
        <v>415</v>
      </c>
      <c r="FG447" s="29" t="s">
        <v>413</v>
      </c>
      <c r="FH447" s="29" t="s">
        <v>415</v>
      </c>
      <c r="FI447" s="29" t="s">
        <v>415</v>
      </c>
      <c r="FJ447" s="29" t="s">
        <v>413</v>
      </c>
      <c r="FK447" s="29" t="s">
        <v>415</v>
      </c>
      <c r="FL447" s="29" t="s">
        <v>415</v>
      </c>
      <c r="FM447" s="29" t="s">
        <v>413</v>
      </c>
      <c r="FN447" s="29" t="s">
        <v>416</v>
      </c>
      <c r="FO447" s="29" t="s">
        <v>850</v>
      </c>
      <c r="FP447" s="29" t="s">
        <v>418</v>
      </c>
      <c r="FQ447" s="29" t="s">
        <v>749</v>
      </c>
      <c r="FR447" s="29" t="s">
        <v>6201</v>
      </c>
      <c r="FS447" s="29" t="s">
        <v>995</v>
      </c>
      <c r="FT447" s="29" t="s">
        <v>1462</v>
      </c>
      <c r="FU447" s="29" t="s">
        <v>489</v>
      </c>
      <c r="FV447" s="29" t="s">
        <v>490</v>
      </c>
      <c r="FW447" s="29" t="s">
        <v>491</v>
      </c>
      <c r="FX447" s="29" t="s">
        <v>8811</v>
      </c>
      <c r="FY447" s="29" t="s">
        <v>1854</v>
      </c>
      <c r="FZ447" s="29" t="s">
        <v>8812</v>
      </c>
      <c r="GA447" s="29"/>
      <c r="GB447" s="29" t="s">
        <v>455</v>
      </c>
      <c r="GC447" s="29"/>
      <c r="GD447" s="29"/>
      <c r="GE447" s="29" t="s">
        <v>1339</v>
      </c>
      <c r="GF447" s="29"/>
      <c r="GG447" s="29" t="s">
        <v>755</v>
      </c>
      <c r="GH447" s="29" t="s">
        <v>755</v>
      </c>
      <c r="GI447" s="29" t="s">
        <v>817</v>
      </c>
      <c r="GJ447" s="29"/>
      <c r="GK447" s="29"/>
      <c r="GL447" s="29"/>
      <c r="GM447" s="29"/>
      <c r="GN447" s="29"/>
      <c r="GO447" s="29"/>
      <c r="GP447" s="29"/>
      <c r="GQ447" s="29" t="s">
        <v>8813</v>
      </c>
      <c r="GR447" s="29"/>
      <c r="GS447" s="29"/>
      <c r="GT447" s="29" t="s">
        <v>5170</v>
      </c>
      <c r="GU447" s="29" t="s">
        <v>8814</v>
      </c>
      <c r="HP447" s="31"/>
      <c r="MX447" s="29" t="s">
        <v>10402</v>
      </c>
      <c r="MY447" s="29" t="str">
        <f>IFERROR(__xludf.DUMMYFUNCTION("""COMPUTED_VALUE"""),"Virginia")</f>
        <v>Virginia</v>
      </c>
    </row>
    <row r="448" ht="16.5" customHeight="1">
      <c r="A448" s="33">
        <v>46095.51932767361</v>
      </c>
      <c r="B448" s="29" t="s">
        <v>368</v>
      </c>
      <c r="C448" s="29" t="s">
        <v>370</v>
      </c>
      <c r="D448" s="29" t="s">
        <v>370</v>
      </c>
      <c r="E448" s="29" t="s">
        <v>1875</v>
      </c>
      <c r="F448" s="29" t="s">
        <v>1875</v>
      </c>
      <c r="G448" s="29" t="s">
        <v>422</v>
      </c>
      <c r="H448" s="29" t="s">
        <v>373</v>
      </c>
      <c r="I448" s="29" t="s">
        <v>374</v>
      </c>
      <c r="J448" s="29" t="s">
        <v>375</v>
      </c>
      <c r="K448" s="29" t="s">
        <v>376</v>
      </c>
      <c r="L448" s="29" t="s">
        <v>793</v>
      </c>
      <c r="M448" s="29" t="s">
        <v>378</v>
      </c>
      <c r="N448" s="29" t="s">
        <v>793</v>
      </c>
      <c r="O448" s="29" t="s">
        <v>8815</v>
      </c>
      <c r="P448" s="29" t="s">
        <v>381</v>
      </c>
      <c r="Q448" s="29" t="s">
        <v>1156</v>
      </c>
      <c r="R448" s="29" t="s">
        <v>8816</v>
      </c>
      <c r="S448" s="29" t="s">
        <v>384</v>
      </c>
      <c r="T448" s="29" t="s">
        <v>385</v>
      </c>
      <c r="U448" s="29"/>
      <c r="V448" s="29"/>
      <c r="W448" s="29" t="s">
        <v>593</v>
      </c>
      <c r="X448" s="29" t="s">
        <v>387</v>
      </c>
      <c r="Y448" s="29" t="s">
        <v>897</v>
      </c>
      <c r="Z448" s="29" t="s">
        <v>502</v>
      </c>
      <c r="AA448" s="29" t="s">
        <v>8817</v>
      </c>
      <c r="AB448" s="29" t="s">
        <v>8818</v>
      </c>
      <c r="AC448" s="29"/>
      <c r="AD448" s="29"/>
      <c r="AE448" s="29"/>
      <c r="AF448" s="29"/>
      <c r="AG448" s="29"/>
      <c r="AH448" s="29"/>
      <c r="AI448" s="29"/>
      <c r="AJ448" s="29"/>
      <c r="AK448" s="29"/>
      <c r="AL448" s="29"/>
      <c r="AM448" s="29"/>
      <c r="AN448" s="29"/>
      <c r="AO448" s="29"/>
      <c r="AP448" s="29"/>
      <c r="AQ448" s="29"/>
      <c r="AR448" s="29"/>
      <c r="AS448" s="29"/>
      <c r="AT448" s="29"/>
      <c r="AU448" s="29"/>
      <c r="AV448" s="29" t="s">
        <v>390</v>
      </c>
      <c r="AW448" s="29" t="s">
        <v>429</v>
      </c>
      <c r="AX448" s="29" t="s">
        <v>429</v>
      </c>
      <c r="AY448" s="29" t="s">
        <v>429</v>
      </c>
      <c r="AZ448" s="29" t="s">
        <v>429</v>
      </c>
      <c r="BA448" s="29" t="s">
        <v>429</v>
      </c>
      <c r="BB448" s="29" t="s">
        <v>429</v>
      </c>
      <c r="BC448" s="29" t="s">
        <v>8819</v>
      </c>
      <c r="BD448" s="29" t="s">
        <v>8820</v>
      </c>
      <c r="BE448" s="29" t="s">
        <v>392</v>
      </c>
      <c r="BF448" s="29" t="s">
        <v>433</v>
      </c>
      <c r="BG448" s="29" t="s">
        <v>507</v>
      </c>
      <c r="BH448" s="29" t="s">
        <v>8821</v>
      </c>
      <c r="BI448" s="29" t="s">
        <v>509</v>
      </c>
      <c r="BJ448" s="29" t="s">
        <v>8822</v>
      </c>
      <c r="BK448" s="29" t="s">
        <v>681</v>
      </c>
      <c r="BL448" s="29" t="s">
        <v>512</v>
      </c>
      <c r="BM448" s="29" t="s">
        <v>439</v>
      </c>
      <c r="BN448" s="29" t="s">
        <v>513</v>
      </c>
      <c r="BO448" s="29"/>
      <c r="BP448" s="29"/>
      <c r="BQ448" s="29"/>
      <c r="BR448" s="29"/>
      <c r="BS448" s="29"/>
      <c r="BT448" s="29"/>
      <c r="BU448" s="29"/>
      <c r="BV448" s="29"/>
      <c r="BW448" s="29"/>
      <c r="BX448" s="29"/>
      <c r="BY448" s="29"/>
      <c r="BZ448" s="29"/>
      <c r="CA448" s="29"/>
      <c r="CB448" s="29"/>
      <c r="CC448" s="29"/>
      <c r="CD448" s="29"/>
      <c r="CE448" s="29"/>
      <c r="CF448" s="29"/>
      <c r="CG448" s="29"/>
      <c r="CH448" s="29"/>
      <c r="CI448" s="29"/>
      <c r="CJ448" s="29"/>
      <c r="CK448" s="29"/>
      <c r="CL448" s="29" t="s">
        <v>441</v>
      </c>
      <c r="CM448" s="29" t="s">
        <v>682</v>
      </c>
      <c r="CN448" s="29" t="s">
        <v>8823</v>
      </c>
      <c r="CO448" s="29" t="s">
        <v>8824</v>
      </c>
      <c r="CP448" s="29" t="s">
        <v>445</v>
      </c>
      <c r="CQ448" s="29" t="s">
        <v>8825</v>
      </c>
      <c r="CR448" s="29" t="s">
        <v>404</v>
      </c>
      <c r="CS448" s="29" t="s">
        <v>1137</v>
      </c>
      <c r="CT448" s="29" t="s">
        <v>8826</v>
      </c>
      <c r="CU448" s="29" t="s">
        <v>450</v>
      </c>
      <c r="CV448" s="29" t="s">
        <v>451</v>
      </c>
      <c r="CW448" s="29" t="s">
        <v>8827</v>
      </c>
      <c r="CX448" s="29" t="s">
        <v>408</v>
      </c>
      <c r="CY448" s="29" t="s">
        <v>8828</v>
      </c>
      <c r="CZ448" s="29" t="s">
        <v>453</v>
      </c>
      <c r="DA448" s="29" t="s">
        <v>8829</v>
      </c>
      <c r="DB448" s="29" t="s">
        <v>455</v>
      </c>
      <c r="DC448" s="29" t="s">
        <v>8830</v>
      </c>
      <c r="DD448" s="29" t="s">
        <v>406</v>
      </c>
      <c r="DE448" s="29" t="s">
        <v>1867</v>
      </c>
      <c r="DF448" s="29" t="s">
        <v>8831</v>
      </c>
      <c r="DG448" s="29" t="s">
        <v>561</v>
      </c>
      <c r="DH448" s="29" t="s">
        <v>410</v>
      </c>
      <c r="DI448" s="29" t="s">
        <v>459</v>
      </c>
      <c r="DJ448" s="29" t="s">
        <v>613</v>
      </c>
      <c r="DK448" s="29"/>
      <c r="DL448" s="29"/>
      <c r="DM448" s="29"/>
      <c r="DN448" s="29"/>
      <c r="DO448" s="29"/>
      <c r="DP448" s="29"/>
      <c r="DQ448" s="29"/>
      <c r="DR448" s="29"/>
      <c r="DS448" s="29"/>
      <c r="DT448" s="29"/>
      <c r="DU448" s="29"/>
      <c r="DV448" s="29"/>
      <c r="DW448" s="29"/>
      <c r="DX448" s="29"/>
      <c r="DY448" s="29"/>
      <c r="DZ448" s="29"/>
      <c r="EA448" s="29"/>
      <c r="EB448" s="29"/>
      <c r="EC448" s="29"/>
      <c r="ED448" s="29"/>
      <c r="EE448" s="29"/>
      <c r="EF448" s="29"/>
      <c r="EG448" s="29"/>
      <c r="EH448" s="29"/>
      <c r="EI448" s="29"/>
      <c r="EJ448" s="29"/>
      <c r="EK448" s="29"/>
      <c r="EL448" s="29"/>
      <c r="EM448" s="29"/>
      <c r="EN448" s="29"/>
      <c r="EO448" s="29"/>
      <c r="EP448" s="29"/>
      <c r="EQ448" s="29"/>
      <c r="ER448" s="29"/>
      <c r="ES448" s="29"/>
      <c r="ET448" s="29" t="s">
        <v>578</v>
      </c>
      <c r="EU448" s="29" t="s">
        <v>479</v>
      </c>
      <c r="EV448" s="29" t="s">
        <v>527</v>
      </c>
      <c r="EW448" s="29" t="s">
        <v>8832</v>
      </c>
      <c r="EX448" s="29" t="s">
        <v>8833</v>
      </c>
      <c r="EY448" s="29" t="s">
        <v>8834</v>
      </c>
      <c r="EZ448" s="29" t="s">
        <v>583</v>
      </c>
      <c r="FA448" s="29" t="s">
        <v>583</v>
      </c>
      <c r="FB448" s="29" t="s">
        <v>414</v>
      </c>
      <c r="FC448" s="29" t="s">
        <v>583</v>
      </c>
      <c r="FD448" s="29" t="s">
        <v>414</v>
      </c>
      <c r="FE448" s="29" t="s">
        <v>583</v>
      </c>
      <c r="FF448" s="29" t="s">
        <v>583</v>
      </c>
      <c r="FG448" s="29" t="s">
        <v>413</v>
      </c>
      <c r="FH448" s="29" t="s">
        <v>583</v>
      </c>
      <c r="FI448" s="29" t="s">
        <v>583</v>
      </c>
      <c r="FJ448" s="29" t="s">
        <v>583</v>
      </c>
      <c r="FK448" s="29" t="s">
        <v>583</v>
      </c>
      <c r="FL448" s="29" t="s">
        <v>414</v>
      </c>
      <c r="FM448" s="29" t="s">
        <v>413</v>
      </c>
      <c r="FN448" s="29" t="s">
        <v>583</v>
      </c>
      <c r="FO448" s="29" t="s">
        <v>417</v>
      </c>
      <c r="FP448" s="29" t="s">
        <v>418</v>
      </c>
      <c r="FQ448" s="29" t="s">
        <v>419</v>
      </c>
      <c r="FR448" s="29" t="s">
        <v>8835</v>
      </c>
      <c r="FS448" s="29" t="s">
        <v>995</v>
      </c>
      <c r="FT448" s="29" t="s">
        <v>488</v>
      </c>
      <c r="FU448" s="29" t="s">
        <v>489</v>
      </c>
      <c r="FV448" s="29" t="s">
        <v>490</v>
      </c>
      <c r="FW448" s="29" t="s">
        <v>491</v>
      </c>
      <c r="FX448" s="29" t="s">
        <v>8836</v>
      </c>
      <c r="FY448" s="29" t="s">
        <v>493</v>
      </c>
      <c r="FZ448" s="29" t="s">
        <v>8837</v>
      </c>
      <c r="GA448" s="29" t="s">
        <v>8838</v>
      </c>
      <c r="GB448" s="29" t="s">
        <v>455</v>
      </c>
      <c r="GC448" s="29"/>
      <c r="GD448" s="29"/>
      <c r="GE448" s="29" t="s">
        <v>1339</v>
      </c>
      <c r="GF448" s="29" t="s">
        <v>8839</v>
      </c>
      <c r="GG448" s="29" t="s">
        <v>857</v>
      </c>
      <c r="GH448" s="29" t="s">
        <v>857</v>
      </c>
      <c r="GI448" s="29" t="s">
        <v>790</v>
      </c>
      <c r="GJ448" s="29"/>
      <c r="GK448" s="29"/>
      <c r="GL448" s="29"/>
      <c r="GM448" s="29"/>
      <c r="GN448" s="29"/>
      <c r="GO448" s="29"/>
      <c r="GP448" s="29"/>
      <c r="GQ448" s="29" t="s">
        <v>3208</v>
      </c>
      <c r="GR448" s="29"/>
      <c r="GS448" s="29"/>
      <c r="GT448" s="29" t="s">
        <v>5081</v>
      </c>
      <c r="GU448" s="29" t="s">
        <v>8729</v>
      </c>
      <c r="HP448" s="31"/>
      <c r="MX448" s="29" t="s">
        <v>10402</v>
      </c>
      <c r="MY448" s="29" t="str">
        <f>IFERROR(__xludf.DUMMYFUNCTION("""COMPUTED_VALUE"""),"Iowa")</f>
        <v>Iowa</v>
      </c>
    </row>
    <row r="449" ht="16.5" customHeight="1">
      <c r="A449" s="33">
        <v>46098.99564787037</v>
      </c>
      <c r="B449" s="29" t="s">
        <v>368</v>
      </c>
      <c r="C449" s="29" t="s">
        <v>370</v>
      </c>
      <c r="D449" s="29" t="s">
        <v>370</v>
      </c>
      <c r="E449" s="29" t="s">
        <v>2388</v>
      </c>
      <c r="F449" s="29" t="s">
        <v>1441</v>
      </c>
      <c r="G449" s="29" t="s">
        <v>422</v>
      </c>
      <c r="H449" s="29" t="s">
        <v>373</v>
      </c>
      <c r="I449" s="29" t="s">
        <v>374</v>
      </c>
      <c r="J449" s="29" t="s">
        <v>425</v>
      </c>
      <c r="K449" s="29" t="s">
        <v>376</v>
      </c>
      <c r="L449" s="29" t="s">
        <v>426</v>
      </c>
      <c r="M449" s="29" t="s">
        <v>8841</v>
      </c>
      <c r="N449" s="29" t="s">
        <v>426</v>
      </c>
      <c r="O449" s="29" t="s">
        <v>497</v>
      </c>
      <c r="P449" s="29" t="s">
        <v>381</v>
      </c>
      <c r="Q449" s="29" t="s">
        <v>499</v>
      </c>
      <c r="R449" s="29" t="s">
        <v>427</v>
      </c>
      <c r="S449" s="29" t="s">
        <v>384</v>
      </c>
      <c r="T449" s="29" t="s">
        <v>385</v>
      </c>
      <c r="U449" s="29"/>
      <c r="V449" s="29"/>
      <c r="W449" s="29" t="s">
        <v>3014</v>
      </c>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t="s">
        <v>390</v>
      </c>
      <c r="AW449" s="29" t="s">
        <v>675</v>
      </c>
      <c r="AX449" s="29" t="s">
        <v>675</v>
      </c>
      <c r="AY449" s="29">
        <v>2.0</v>
      </c>
      <c r="AZ449" s="29">
        <v>2.0</v>
      </c>
      <c r="BA449" s="29" t="s">
        <v>391</v>
      </c>
      <c r="BB449" s="29">
        <v>2.0</v>
      </c>
      <c r="BC449" s="29" t="s">
        <v>8842</v>
      </c>
      <c r="BD449" s="29" t="s">
        <v>8843</v>
      </c>
      <c r="BE449" s="29" t="s">
        <v>432</v>
      </c>
      <c r="BF449" s="29" t="s">
        <v>1095</v>
      </c>
      <c r="BG449" s="29" t="s">
        <v>678</v>
      </c>
      <c r="BH449" s="29" t="s">
        <v>8844</v>
      </c>
      <c r="BI449" s="29" t="s">
        <v>727</v>
      </c>
      <c r="BJ449" s="29" t="s">
        <v>1211</v>
      </c>
      <c r="BK449" s="29" t="s">
        <v>437</v>
      </c>
      <c r="BL449" s="29" t="s">
        <v>438</v>
      </c>
      <c r="BM449" s="29" t="s">
        <v>439</v>
      </c>
      <c r="BN449" s="29" t="s">
        <v>440</v>
      </c>
      <c r="BO449" s="29"/>
      <c r="BP449" s="29"/>
      <c r="BQ449" s="29"/>
      <c r="BR449" s="29"/>
      <c r="BS449" s="29"/>
      <c r="BT449" s="29"/>
      <c r="BU449" s="29"/>
      <c r="BV449" s="29"/>
      <c r="BW449" s="29"/>
      <c r="BX449" s="29"/>
      <c r="BY449" s="29"/>
      <c r="BZ449" s="29"/>
      <c r="CA449" s="29"/>
      <c r="CB449" s="29"/>
      <c r="CC449" s="29"/>
      <c r="CD449" s="29"/>
      <c r="CE449" s="29"/>
      <c r="CF449" s="29"/>
      <c r="CG449" s="29"/>
      <c r="CH449" s="29"/>
      <c r="CI449" s="29"/>
      <c r="CJ449" s="29"/>
      <c r="CK449" s="29"/>
      <c r="CL449" s="29" t="s">
        <v>441</v>
      </c>
      <c r="CM449" s="29" t="s">
        <v>442</v>
      </c>
      <c r="CN449" s="29" t="s">
        <v>1315</v>
      </c>
      <c r="CO449" s="29" t="s">
        <v>8845</v>
      </c>
      <c r="CP449" s="29" t="s">
        <v>445</v>
      </c>
      <c r="CQ449" s="29" t="s">
        <v>8846</v>
      </c>
      <c r="CR449" s="29" t="s">
        <v>447</v>
      </c>
      <c r="CS449" s="29" t="s">
        <v>8847</v>
      </c>
      <c r="CT449" s="29" t="s">
        <v>8848</v>
      </c>
      <c r="CU449" s="29" t="s">
        <v>519</v>
      </c>
      <c r="CV449" s="29" t="s">
        <v>451</v>
      </c>
      <c r="CW449" s="29" t="s">
        <v>8849</v>
      </c>
      <c r="CX449" s="29" t="s">
        <v>408</v>
      </c>
      <c r="CY449" s="29"/>
      <c r="CZ449" s="29" t="s">
        <v>453</v>
      </c>
      <c r="DA449" s="29" t="s">
        <v>8850</v>
      </c>
      <c r="DB449" s="29" t="s">
        <v>455</v>
      </c>
      <c r="DC449" s="29" t="s">
        <v>8851</v>
      </c>
      <c r="DD449" s="29" t="s">
        <v>988</v>
      </c>
      <c r="DE449" s="29"/>
      <c r="DF449" s="29" t="s">
        <v>8852</v>
      </c>
      <c r="DG449" s="29" t="s">
        <v>524</v>
      </c>
      <c r="DH449" s="29" t="s">
        <v>410</v>
      </c>
      <c r="DI449" s="29" t="s">
        <v>459</v>
      </c>
      <c r="DJ449" s="29" t="s">
        <v>613</v>
      </c>
      <c r="DK449" s="29"/>
      <c r="DL449" s="29"/>
      <c r="DM449" s="29" t="s">
        <v>8853</v>
      </c>
      <c r="DN449" s="29" t="s">
        <v>8854</v>
      </c>
      <c r="DO449" s="29" t="s">
        <v>1063</v>
      </c>
      <c r="DP449" s="29" t="s">
        <v>8855</v>
      </c>
      <c r="DQ449" s="29" t="s">
        <v>1176</v>
      </c>
      <c r="DR449" s="29" t="s">
        <v>8856</v>
      </c>
      <c r="DS449" s="29" t="s">
        <v>839</v>
      </c>
      <c r="DT449" s="29" t="s">
        <v>703</v>
      </c>
      <c r="DU449" s="29" t="s">
        <v>8857</v>
      </c>
      <c r="DV449" s="29" t="s">
        <v>8858</v>
      </c>
      <c r="DW449" s="29" t="s">
        <v>573</v>
      </c>
      <c r="DX449" s="29" t="s">
        <v>8859</v>
      </c>
      <c r="DY449" s="29" t="s">
        <v>8860</v>
      </c>
      <c r="DZ449" s="29" t="s">
        <v>8861</v>
      </c>
      <c r="EA449" s="29" t="s">
        <v>475</v>
      </c>
      <c r="EB449" s="29" t="s">
        <v>845</v>
      </c>
      <c r="EC449" s="29" t="s">
        <v>8862</v>
      </c>
      <c r="ED449" s="29"/>
      <c r="EE449" s="29"/>
      <c r="EF449" s="29"/>
      <c r="EG449" s="29"/>
      <c r="EH449" s="29"/>
      <c r="EI449" s="29"/>
      <c r="EJ449" s="29"/>
      <c r="EK449" s="29"/>
      <c r="EL449" s="29"/>
      <c r="EM449" s="29"/>
      <c r="EN449" s="29"/>
      <c r="EO449" s="29"/>
      <c r="EP449" s="29"/>
      <c r="EQ449" s="29"/>
      <c r="ER449" s="29"/>
      <c r="ES449" s="29"/>
      <c r="ET449" s="29" t="s">
        <v>526</v>
      </c>
      <c r="EU449" s="29" t="s">
        <v>479</v>
      </c>
      <c r="EV449" s="29" t="s">
        <v>527</v>
      </c>
      <c r="EW449" s="29" t="s">
        <v>8863</v>
      </c>
      <c r="EX449" s="29" t="s">
        <v>8864</v>
      </c>
      <c r="EY449" s="29" t="s">
        <v>8865</v>
      </c>
      <c r="EZ449" s="29" t="s">
        <v>413</v>
      </c>
      <c r="FA449" s="29" t="s">
        <v>415</v>
      </c>
      <c r="FB449" s="29" t="s">
        <v>413</v>
      </c>
      <c r="FC449" s="29" t="s">
        <v>413</v>
      </c>
      <c r="FD449" s="29" t="s">
        <v>413</v>
      </c>
      <c r="FE449" s="29" t="s">
        <v>415</v>
      </c>
      <c r="FF449" s="29" t="s">
        <v>413</v>
      </c>
      <c r="FG449" s="29" t="s">
        <v>413</v>
      </c>
      <c r="FH449" s="29" t="s">
        <v>583</v>
      </c>
      <c r="FI449" s="29" t="s">
        <v>583</v>
      </c>
      <c r="FJ449" s="29" t="s">
        <v>414</v>
      </c>
      <c r="FK449" s="29" t="s">
        <v>413</v>
      </c>
      <c r="FL449" s="29" t="s">
        <v>415</v>
      </c>
      <c r="FM449" s="29" t="s">
        <v>413</v>
      </c>
      <c r="FN449" s="29" t="s">
        <v>583</v>
      </c>
      <c r="FO449" s="29" t="s">
        <v>417</v>
      </c>
      <c r="FP449" s="29" t="s">
        <v>418</v>
      </c>
      <c r="FQ449" s="29" t="s">
        <v>712</v>
      </c>
      <c r="FR449" s="29" t="s">
        <v>8866</v>
      </c>
      <c r="FS449" s="29" t="s">
        <v>420</v>
      </c>
      <c r="FT449" s="29" t="s">
        <v>488</v>
      </c>
      <c r="FU449" s="29" t="s">
        <v>533</v>
      </c>
      <c r="FV449" s="29" t="s">
        <v>490</v>
      </c>
      <c r="FW449" s="29" t="s">
        <v>491</v>
      </c>
      <c r="FX449" s="29" t="s">
        <v>8867</v>
      </c>
      <c r="FY449" s="29" t="s">
        <v>535</v>
      </c>
      <c r="FZ449" s="29" t="s">
        <v>8868</v>
      </c>
      <c r="GA449" s="29" t="s">
        <v>8869</v>
      </c>
      <c r="GB449" s="29" t="s">
        <v>408</v>
      </c>
      <c r="GC449" s="29"/>
      <c r="GD449" s="29"/>
      <c r="GE449" s="29"/>
      <c r="GF449" s="29"/>
      <c r="GG449" s="29" t="s">
        <v>755</v>
      </c>
      <c r="GH449" s="29" t="s">
        <v>755</v>
      </c>
      <c r="GI449" s="29" t="s">
        <v>817</v>
      </c>
      <c r="GJ449" s="29"/>
      <c r="GK449" s="29"/>
      <c r="GL449" s="29"/>
      <c r="GM449" s="29" t="s">
        <v>1079</v>
      </c>
      <c r="GN449" s="29"/>
      <c r="GO449" s="29"/>
      <c r="GP449" s="29"/>
      <c r="GQ449" s="29" t="s">
        <v>3208</v>
      </c>
      <c r="GR449" s="29"/>
      <c r="GS449" s="29"/>
      <c r="GT449" s="29" t="s">
        <v>4774</v>
      </c>
      <c r="GU449" s="29"/>
      <c r="HP449" s="31"/>
      <c r="MX449" s="29" t="s">
        <v>10402</v>
      </c>
      <c r="MY449" s="29" t="str">
        <f>IFERROR(__xludf.DUMMYFUNCTION("""COMPUTED_VALUE"""),"New York")</f>
        <v>New York</v>
      </c>
    </row>
    <row r="450" ht="16.5" customHeight="1">
      <c r="A450" s="33">
        <v>46100.791488020834</v>
      </c>
      <c r="B450" s="29" t="s">
        <v>368</v>
      </c>
      <c r="C450" s="29" t="s">
        <v>370</v>
      </c>
      <c r="D450" s="29" t="s">
        <v>370</v>
      </c>
      <c r="E450" s="29" t="s">
        <v>667</v>
      </c>
      <c r="F450" s="29" t="s">
        <v>2114</v>
      </c>
      <c r="G450" s="29" t="s">
        <v>422</v>
      </c>
      <c r="H450" s="29" t="s">
        <v>1307</v>
      </c>
      <c r="I450" s="29" t="s">
        <v>668</v>
      </c>
      <c r="J450" s="29" t="s">
        <v>375</v>
      </c>
      <c r="K450" s="29" t="s">
        <v>376</v>
      </c>
      <c r="L450" s="29" t="s">
        <v>379</v>
      </c>
      <c r="M450" s="29" t="s">
        <v>541</v>
      </c>
      <c r="N450" s="29" t="s">
        <v>379</v>
      </c>
      <c r="O450" s="29" t="s">
        <v>497</v>
      </c>
      <c r="P450" s="29" t="s">
        <v>381</v>
      </c>
      <c r="Q450" s="29" t="s">
        <v>499</v>
      </c>
      <c r="R450" s="29" t="s">
        <v>500</v>
      </c>
      <c r="S450" s="29" t="s">
        <v>384</v>
      </c>
      <c r="T450" s="29" t="s">
        <v>385</v>
      </c>
      <c r="U450" s="29"/>
      <c r="V450" s="29"/>
      <c r="W450" s="29" t="s">
        <v>3231</v>
      </c>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t="s">
        <v>1310</v>
      </c>
      <c r="AW450" s="29" t="s">
        <v>675</v>
      </c>
      <c r="AX450" s="29">
        <v>2.0</v>
      </c>
      <c r="AY450" s="29">
        <v>2.0</v>
      </c>
      <c r="AZ450" s="29" t="s">
        <v>391</v>
      </c>
      <c r="BA450" s="29">
        <v>4.0</v>
      </c>
      <c r="BB450" s="29">
        <v>4.0</v>
      </c>
      <c r="BC450" s="29" t="s">
        <v>8874</v>
      </c>
      <c r="BD450" s="29" t="s">
        <v>8875</v>
      </c>
      <c r="BE450" s="29" t="s">
        <v>2259</v>
      </c>
      <c r="BF450" s="29" t="s">
        <v>1047</v>
      </c>
      <c r="BG450" s="29" t="s">
        <v>434</v>
      </c>
      <c r="BH450" s="29" t="s">
        <v>8876</v>
      </c>
      <c r="BI450" s="29" t="s">
        <v>435</v>
      </c>
      <c r="BJ450" s="29" t="s">
        <v>8877</v>
      </c>
      <c r="BK450" s="29" t="s">
        <v>395</v>
      </c>
      <c r="BL450" s="29" t="s">
        <v>438</v>
      </c>
      <c r="BM450" s="29" t="s">
        <v>1247</v>
      </c>
      <c r="BN450" s="29" t="s">
        <v>440</v>
      </c>
      <c r="BO450" s="29"/>
      <c r="BP450" s="29"/>
      <c r="BQ450" s="29"/>
      <c r="BR450" s="29"/>
      <c r="BS450" s="29"/>
      <c r="BT450" s="29"/>
      <c r="BU450" s="29"/>
      <c r="BV450" s="29"/>
      <c r="BW450" s="29"/>
      <c r="BX450" s="29"/>
      <c r="BY450" s="29"/>
      <c r="BZ450" s="29"/>
      <c r="CA450" s="29"/>
      <c r="CB450" s="29"/>
      <c r="CC450" s="29"/>
      <c r="CD450" s="29"/>
      <c r="CE450" s="29"/>
      <c r="CF450" s="29"/>
      <c r="CG450" s="29"/>
      <c r="CH450" s="29"/>
      <c r="CI450" s="29"/>
      <c r="CJ450" s="29"/>
      <c r="CK450" s="29"/>
      <c r="CL450" s="29" t="s">
        <v>550</v>
      </c>
      <c r="CM450" s="29" t="s">
        <v>551</v>
      </c>
      <c r="CN450" s="29" t="s">
        <v>8878</v>
      </c>
      <c r="CO450" s="29" t="s">
        <v>8879</v>
      </c>
      <c r="CP450" s="29" t="s">
        <v>445</v>
      </c>
      <c r="CQ450" s="29" t="s">
        <v>8880</v>
      </c>
      <c r="CR450" s="29" t="s">
        <v>447</v>
      </c>
      <c r="CS450" s="29" t="s">
        <v>2801</v>
      </c>
      <c r="CT450" s="29" t="s">
        <v>8881</v>
      </c>
      <c r="CU450" s="29" t="s">
        <v>1863</v>
      </c>
      <c r="CV450" s="29" t="s">
        <v>451</v>
      </c>
      <c r="CW450" s="29" t="s">
        <v>8609</v>
      </c>
      <c r="CX450" s="29" t="s">
        <v>408</v>
      </c>
      <c r="CY450" s="29"/>
      <c r="CZ450" s="29" t="s">
        <v>453</v>
      </c>
      <c r="DA450" s="29" t="s">
        <v>8882</v>
      </c>
      <c r="DB450" s="29" t="s">
        <v>408</v>
      </c>
      <c r="DC450" s="29"/>
      <c r="DD450" s="29" t="s">
        <v>1400</v>
      </c>
      <c r="DE450" s="29"/>
      <c r="DF450" s="29" t="s">
        <v>8883</v>
      </c>
      <c r="DG450" s="29"/>
      <c r="DH450" s="29" t="s">
        <v>410</v>
      </c>
      <c r="DI450" s="29" t="s">
        <v>963</v>
      </c>
      <c r="DJ450" s="29" t="s">
        <v>460</v>
      </c>
      <c r="DK450" s="29" t="s">
        <v>6335</v>
      </c>
      <c r="DL450" s="29"/>
      <c r="DM450" s="29" t="s">
        <v>8884</v>
      </c>
      <c r="DN450" s="29" t="s">
        <v>8885</v>
      </c>
      <c r="DO450" s="29" t="s">
        <v>1063</v>
      </c>
      <c r="DP450" s="29" t="s">
        <v>8886</v>
      </c>
      <c r="DQ450" s="29" t="s">
        <v>1578</v>
      </c>
      <c r="DR450" s="29" t="s">
        <v>8887</v>
      </c>
      <c r="DS450" s="29" t="s">
        <v>618</v>
      </c>
      <c r="DT450" s="29" t="s">
        <v>1580</v>
      </c>
      <c r="DU450" s="29" t="s">
        <v>8888</v>
      </c>
      <c r="DV450" s="29" t="s">
        <v>8889</v>
      </c>
      <c r="DW450" s="29" t="s">
        <v>573</v>
      </c>
      <c r="DX450" s="29" t="s">
        <v>8890</v>
      </c>
      <c r="DY450" s="29" t="s">
        <v>8891</v>
      </c>
      <c r="DZ450" s="29" t="s">
        <v>8892</v>
      </c>
      <c r="EA450" s="29" t="s">
        <v>475</v>
      </c>
      <c r="EB450" s="29" t="s">
        <v>626</v>
      </c>
      <c r="EC450" s="29" t="s">
        <v>8893</v>
      </c>
      <c r="ED450" s="29"/>
      <c r="EE450" s="29"/>
      <c r="EF450" s="29"/>
      <c r="EG450" s="29"/>
      <c r="EH450" s="29"/>
      <c r="EI450" s="29"/>
      <c r="EJ450" s="29"/>
      <c r="EK450" s="29"/>
      <c r="EL450" s="29"/>
      <c r="EM450" s="29"/>
      <c r="EN450" s="29"/>
      <c r="EO450" s="29"/>
      <c r="EP450" s="29"/>
      <c r="EQ450" s="29"/>
      <c r="ER450" s="29"/>
      <c r="ES450" s="29"/>
      <c r="ET450" s="29" t="s">
        <v>526</v>
      </c>
      <c r="EU450" s="29" t="s">
        <v>479</v>
      </c>
      <c r="EV450" s="29" t="s">
        <v>480</v>
      </c>
      <c r="EW450" s="29" t="s">
        <v>8894</v>
      </c>
      <c r="EX450" s="29" t="s">
        <v>8895</v>
      </c>
      <c r="EY450" s="29" t="s">
        <v>8896</v>
      </c>
      <c r="EZ450" s="29" t="s">
        <v>583</v>
      </c>
      <c r="FA450" s="29" t="s">
        <v>583</v>
      </c>
      <c r="FB450" s="29" t="s">
        <v>414</v>
      </c>
      <c r="FC450" s="29" t="s">
        <v>414</v>
      </c>
      <c r="FD450" s="29" t="s">
        <v>484</v>
      </c>
      <c r="FE450" s="29" t="s">
        <v>583</v>
      </c>
      <c r="FF450" s="29" t="s">
        <v>414</v>
      </c>
      <c r="FG450" s="29" t="s">
        <v>583</v>
      </c>
      <c r="FH450" s="29" t="s">
        <v>416</v>
      </c>
      <c r="FI450" s="29" t="s">
        <v>583</v>
      </c>
      <c r="FJ450" s="29" t="s">
        <v>583</v>
      </c>
      <c r="FK450" s="29" t="s">
        <v>583</v>
      </c>
      <c r="FL450" s="29" t="s">
        <v>583</v>
      </c>
      <c r="FM450" s="29" t="s">
        <v>484</v>
      </c>
      <c r="FN450" s="29" t="s">
        <v>583</v>
      </c>
      <c r="FO450" s="29" t="s">
        <v>417</v>
      </c>
      <c r="FP450" s="29" t="s">
        <v>418</v>
      </c>
      <c r="FQ450" s="29" t="s">
        <v>419</v>
      </c>
      <c r="FR450" s="29" t="s">
        <v>8897</v>
      </c>
      <c r="FS450" s="29" t="s">
        <v>420</v>
      </c>
      <c r="FT450" s="29" t="s">
        <v>488</v>
      </c>
      <c r="FU450" s="29" t="s">
        <v>489</v>
      </c>
      <c r="FV450" s="29" t="s">
        <v>490</v>
      </c>
      <c r="FW450" s="29" t="s">
        <v>491</v>
      </c>
      <c r="FX450" s="29" t="s">
        <v>8898</v>
      </c>
      <c r="FY450" s="29" t="s">
        <v>493</v>
      </c>
      <c r="FZ450" s="29" t="s">
        <v>8899</v>
      </c>
      <c r="GA450" s="29" t="s">
        <v>8900</v>
      </c>
      <c r="GB450" s="29" t="s">
        <v>455</v>
      </c>
      <c r="GC450" s="29"/>
      <c r="GD450" s="29"/>
      <c r="GE450" s="29" t="s">
        <v>1339</v>
      </c>
      <c r="GF450" s="29" t="s">
        <v>8901</v>
      </c>
      <c r="GG450" s="29" t="s">
        <v>755</v>
      </c>
      <c r="GH450" s="29" t="s">
        <v>755</v>
      </c>
      <c r="GI450" s="29" t="s">
        <v>817</v>
      </c>
      <c r="GJ450" s="29"/>
      <c r="GK450" s="29"/>
      <c r="GL450" s="29"/>
      <c r="GM450" s="29" t="s">
        <v>1079</v>
      </c>
      <c r="GN450" s="29"/>
      <c r="GO450" s="29"/>
      <c r="GP450" s="29" t="s">
        <v>387</v>
      </c>
      <c r="GQ450" s="29" t="s">
        <v>6251</v>
      </c>
      <c r="GR450" s="29"/>
      <c r="GS450" s="29"/>
      <c r="GT450" s="29" t="s">
        <v>4774</v>
      </c>
      <c r="GU450" s="29"/>
      <c r="HP450" s="31"/>
      <c r="MX450" s="29" t="s">
        <v>2796</v>
      </c>
      <c r="MY450" s="29" t="str">
        <f>IFERROR(__xludf.DUMMYFUNCTION("""COMPUTED_VALUE"""),"Poland")</f>
        <v>Poland</v>
      </c>
    </row>
    <row r="451" ht="16.5" customHeight="1">
      <c r="A451" s="33">
        <v>46104.68932258102</v>
      </c>
      <c r="B451" s="29" t="s">
        <v>368</v>
      </c>
      <c r="C451" s="29" t="s">
        <v>2796</v>
      </c>
      <c r="D451" s="29" t="s">
        <v>2796</v>
      </c>
      <c r="E451" s="29"/>
      <c r="F451" s="29"/>
      <c r="G451" s="29" t="s">
        <v>422</v>
      </c>
      <c r="H451" s="29" t="s">
        <v>637</v>
      </c>
      <c r="I451" s="29" t="s">
        <v>638</v>
      </c>
      <c r="J451" s="29" t="s">
        <v>590</v>
      </c>
      <c r="K451" s="29" t="s">
        <v>376</v>
      </c>
      <c r="L451" s="29" t="s">
        <v>793</v>
      </c>
      <c r="M451" s="29" t="s">
        <v>720</v>
      </c>
      <c r="N451" s="29" t="s">
        <v>793</v>
      </c>
      <c r="O451" s="29" t="s">
        <v>720</v>
      </c>
      <c r="P451" s="29" t="s">
        <v>498</v>
      </c>
      <c r="Q451" s="29" t="s">
        <v>382</v>
      </c>
      <c r="R451" s="29" t="s">
        <v>949</v>
      </c>
      <c r="S451" s="29" t="s">
        <v>384</v>
      </c>
      <c r="T451" s="29" t="s">
        <v>385</v>
      </c>
      <c r="U451" s="29"/>
      <c r="V451" s="29"/>
      <c r="W451" s="29" t="s">
        <v>386</v>
      </c>
      <c r="X451" s="29" t="s">
        <v>387</v>
      </c>
      <c r="Y451" s="29" t="s">
        <v>388</v>
      </c>
      <c r="Z451" s="29" t="s">
        <v>543</v>
      </c>
      <c r="AA451" s="29" t="s">
        <v>8907</v>
      </c>
      <c r="AB451" s="29"/>
      <c r="AC451" s="29"/>
      <c r="AD451" s="29"/>
      <c r="AE451" s="29"/>
      <c r="AF451" s="29"/>
      <c r="AG451" s="29"/>
      <c r="AH451" s="29"/>
      <c r="AI451" s="29"/>
      <c r="AJ451" s="29"/>
      <c r="AK451" s="29"/>
      <c r="AL451" s="29"/>
      <c r="AM451" s="29"/>
      <c r="AN451" s="29"/>
      <c r="AO451" s="29"/>
      <c r="AP451" s="29"/>
      <c r="AQ451" s="29"/>
      <c r="AR451" s="29"/>
      <c r="AS451" s="29"/>
      <c r="AT451" s="29"/>
      <c r="AU451" s="29"/>
      <c r="AV451" s="29" t="s">
        <v>390</v>
      </c>
      <c r="AW451" s="29">
        <v>2.0</v>
      </c>
      <c r="AX451" s="29" t="s">
        <v>429</v>
      </c>
      <c r="AY451" s="29" t="s">
        <v>675</v>
      </c>
      <c r="AZ451" s="29">
        <v>4.0</v>
      </c>
      <c r="BA451" s="29" t="s">
        <v>391</v>
      </c>
      <c r="BB451" s="29">
        <v>4.0</v>
      </c>
      <c r="BC451" s="29" t="s">
        <v>8908</v>
      </c>
      <c r="BD451" s="29" t="s">
        <v>8909</v>
      </c>
      <c r="BE451" s="29" t="s">
        <v>392</v>
      </c>
      <c r="BF451" s="29" t="s">
        <v>393</v>
      </c>
      <c r="BG451" s="29" t="s">
        <v>394</v>
      </c>
      <c r="BH451" s="29"/>
      <c r="BI451" s="29" t="s">
        <v>509</v>
      </c>
      <c r="BJ451" s="29" t="s">
        <v>8910</v>
      </c>
      <c r="BK451" s="29" t="s">
        <v>437</v>
      </c>
      <c r="BL451" s="29" t="s">
        <v>512</v>
      </c>
      <c r="BM451" s="29" t="s">
        <v>549</v>
      </c>
      <c r="BN451" s="29" t="s">
        <v>398</v>
      </c>
      <c r="BO451" s="29" t="s">
        <v>8911</v>
      </c>
      <c r="BP451" s="29" t="s">
        <v>8912</v>
      </c>
      <c r="BQ451" s="29" t="s">
        <v>604</v>
      </c>
      <c r="BR451" s="29" t="s">
        <v>8913</v>
      </c>
      <c r="BS451" s="29" t="s">
        <v>4071</v>
      </c>
      <c r="BT451" s="29" t="s">
        <v>1994</v>
      </c>
      <c r="BU451" s="29" t="s">
        <v>1693</v>
      </c>
      <c r="BV451" s="29"/>
      <c r="BW451" s="29" t="s">
        <v>406</v>
      </c>
      <c r="BX451" s="29" t="s">
        <v>407</v>
      </c>
      <c r="BY451" s="29" t="s">
        <v>408</v>
      </c>
      <c r="BZ451" s="29"/>
      <c r="CA451" s="29"/>
      <c r="CB451" s="29" t="s">
        <v>8914</v>
      </c>
      <c r="CC451" s="29" t="s">
        <v>8915</v>
      </c>
      <c r="CD451" s="29" t="s">
        <v>451</v>
      </c>
      <c r="CE451" s="29" t="s">
        <v>8916</v>
      </c>
      <c r="CF451" s="29" t="s">
        <v>1258</v>
      </c>
      <c r="CG451" s="29"/>
      <c r="CH451" s="29" t="s">
        <v>1259</v>
      </c>
      <c r="CI451" s="29" t="s">
        <v>1220</v>
      </c>
      <c r="CJ451" s="29"/>
      <c r="CK451" s="29"/>
      <c r="CL451" s="29"/>
      <c r="CM451" s="29"/>
      <c r="CN451" s="29"/>
      <c r="CO451" s="29"/>
      <c r="CP451" s="29"/>
      <c r="CQ451" s="29"/>
      <c r="CR451" s="29"/>
      <c r="CS451" s="29"/>
      <c r="CT451" s="29"/>
      <c r="CU451" s="29"/>
      <c r="CV451" s="29"/>
      <c r="CW451" s="29"/>
      <c r="CX451" s="29"/>
      <c r="CY451" s="29"/>
      <c r="CZ451" s="29"/>
      <c r="DA451" s="29"/>
      <c r="DB451" s="29"/>
      <c r="DC451" s="29"/>
      <c r="DD451" s="29"/>
      <c r="DE451" s="29"/>
      <c r="DF451" s="29"/>
      <c r="DG451" s="29"/>
      <c r="DH451" s="29"/>
      <c r="DI451" s="29" t="s">
        <v>963</v>
      </c>
      <c r="DJ451" s="29" t="s">
        <v>613</v>
      </c>
      <c r="DK451" s="29"/>
      <c r="DL451" s="29"/>
      <c r="DM451" s="29"/>
      <c r="DN451" s="29"/>
      <c r="DO451" s="29"/>
      <c r="DP451" s="29"/>
      <c r="DQ451" s="29"/>
      <c r="DR451" s="29"/>
      <c r="DS451" s="29"/>
      <c r="DT451" s="29"/>
      <c r="DU451" s="29"/>
      <c r="DV451" s="29"/>
      <c r="DW451" s="29"/>
      <c r="DX451" s="29"/>
      <c r="DY451" s="29"/>
      <c r="DZ451" s="29"/>
      <c r="EA451" s="29"/>
      <c r="EB451" s="29"/>
      <c r="EC451" s="29"/>
      <c r="ED451" s="29"/>
      <c r="EE451" s="29"/>
      <c r="EF451" s="29"/>
      <c r="EG451" s="29"/>
      <c r="EH451" s="29"/>
      <c r="EI451" s="29"/>
      <c r="EJ451" s="29"/>
      <c r="EK451" s="29"/>
      <c r="EL451" s="29"/>
      <c r="EM451" s="29"/>
      <c r="EN451" s="29"/>
      <c r="EO451" s="29"/>
      <c r="EP451" s="29"/>
      <c r="EQ451" s="29"/>
      <c r="ER451" s="29"/>
      <c r="ES451" s="29"/>
      <c r="ET451" s="29" t="s">
        <v>526</v>
      </c>
      <c r="EU451" s="29" t="s">
        <v>1037</v>
      </c>
      <c r="EV451" s="29" t="s">
        <v>1262</v>
      </c>
      <c r="EW451" s="29"/>
      <c r="EX451" s="29"/>
      <c r="EY451" s="29"/>
      <c r="EZ451" s="29" t="s">
        <v>583</v>
      </c>
      <c r="FA451" s="29" t="s">
        <v>583</v>
      </c>
      <c r="FB451" s="29" t="s">
        <v>413</v>
      </c>
      <c r="FC451" s="29" t="s">
        <v>583</v>
      </c>
      <c r="FD451" s="29" t="s">
        <v>413</v>
      </c>
      <c r="FE451" s="29" t="s">
        <v>583</v>
      </c>
      <c r="FF451" s="29" t="s">
        <v>583</v>
      </c>
      <c r="FG451" s="29" t="s">
        <v>583</v>
      </c>
      <c r="FH451" s="29" t="s">
        <v>413</v>
      </c>
      <c r="FI451" s="29" t="s">
        <v>415</v>
      </c>
      <c r="FJ451" s="29" t="s">
        <v>414</v>
      </c>
      <c r="FK451" s="29" t="s">
        <v>415</v>
      </c>
      <c r="FL451" s="29" t="s">
        <v>415</v>
      </c>
      <c r="FM451" s="29" t="s">
        <v>415</v>
      </c>
      <c r="FN451" s="29" t="s">
        <v>415</v>
      </c>
      <c r="FO451" s="29" t="s">
        <v>1074</v>
      </c>
      <c r="FP451" s="29" t="s">
        <v>3218</v>
      </c>
      <c r="FQ451" s="29" t="s">
        <v>749</v>
      </c>
      <c r="FR451" s="29"/>
      <c r="FS451" s="29" t="s">
        <v>1871</v>
      </c>
      <c r="FT451" s="29" t="s">
        <v>421</v>
      </c>
      <c r="FU451" s="29" t="s">
        <v>918</v>
      </c>
      <c r="FV451" s="29" t="s">
        <v>2136</v>
      </c>
      <c r="FW451" s="29" t="s">
        <v>491</v>
      </c>
      <c r="FX451" s="29"/>
      <c r="FY451" s="29" t="s">
        <v>1854</v>
      </c>
      <c r="FZ451" s="29"/>
      <c r="GA451" s="29"/>
      <c r="GB451" s="29" t="s">
        <v>408</v>
      </c>
      <c r="GC451" s="29"/>
      <c r="GD451" s="29"/>
      <c r="GE451" s="29"/>
      <c r="GF451" s="29"/>
      <c r="GG451" s="29"/>
      <c r="GH451" s="29"/>
      <c r="GI451" s="29"/>
      <c r="GJ451" s="29" t="s">
        <v>857</v>
      </c>
      <c r="GK451" s="29" t="s">
        <v>788</v>
      </c>
      <c r="GL451" s="29" t="s">
        <v>790</v>
      </c>
      <c r="GM451" s="29"/>
      <c r="GN451" s="29" t="s">
        <v>8917</v>
      </c>
      <c r="GO451" s="29" t="s">
        <v>8917</v>
      </c>
      <c r="GP451" s="29"/>
      <c r="GQ451" s="29" t="s">
        <v>3208</v>
      </c>
      <c r="GR451" s="29" t="s">
        <v>4840</v>
      </c>
      <c r="GS451" s="29"/>
      <c r="GT451" s="29"/>
      <c r="GU451" s="29"/>
      <c r="HP451" s="31"/>
      <c r="MX451" s="29" t="s">
        <v>1341</v>
      </c>
      <c r="MY451" s="29" t="str">
        <f>IFERROR(__xludf.DUMMYFUNCTION("""COMPUTED_VALUE"""),"Germany")</f>
        <v>Germany</v>
      </c>
    </row>
    <row r="452" ht="16.5" customHeight="1">
      <c r="A452" s="33">
        <v>46111.22171283565</v>
      </c>
      <c r="B452" s="29" t="s">
        <v>368</v>
      </c>
      <c r="C452" s="29" t="s">
        <v>1341</v>
      </c>
      <c r="D452" s="29" t="s">
        <v>1341</v>
      </c>
      <c r="E452" s="29"/>
      <c r="F452" s="29"/>
      <c r="G452" s="29" t="s">
        <v>422</v>
      </c>
      <c r="H452" s="29" t="s">
        <v>373</v>
      </c>
      <c r="I452" s="29" t="s">
        <v>638</v>
      </c>
      <c r="J452" s="29" t="s">
        <v>590</v>
      </c>
      <c r="K452" s="29" t="s">
        <v>376</v>
      </c>
      <c r="L452" s="29" t="s">
        <v>379</v>
      </c>
      <c r="M452" s="29" t="s">
        <v>2464</v>
      </c>
      <c r="N452" s="29" t="s">
        <v>379</v>
      </c>
      <c r="O452" s="29" t="s">
        <v>541</v>
      </c>
      <c r="P452" s="29" t="s">
        <v>498</v>
      </c>
      <c r="Q452" s="29" t="s">
        <v>818</v>
      </c>
      <c r="R452" s="29" t="s">
        <v>500</v>
      </c>
      <c r="S452" s="29" t="s">
        <v>384</v>
      </c>
      <c r="T452" s="29" t="s">
        <v>385</v>
      </c>
      <c r="U452" s="29"/>
      <c r="V452" s="29"/>
      <c r="W452" s="29" t="s">
        <v>3231</v>
      </c>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t="s">
        <v>1310</v>
      </c>
      <c r="AW452" s="29" t="s">
        <v>391</v>
      </c>
      <c r="AX452" s="29" t="s">
        <v>391</v>
      </c>
      <c r="AY452" s="29" t="s">
        <v>391</v>
      </c>
      <c r="AZ452" s="29">
        <v>2.0</v>
      </c>
      <c r="BA452" s="29">
        <v>2.0</v>
      </c>
      <c r="BB452" s="29">
        <v>2.0</v>
      </c>
      <c r="BC452" s="29" t="s">
        <v>8919</v>
      </c>
      <c r="BD452" s="29" t="s">
        <v>8919</v>
      </c>
      <c r="BE452" s="29" t="s">
        <v>3114</v>
      </c>
      <c r="BF452" s="29" t="s">
        <v>1095</v>
      </c>
      <c r="BG452" s="29" t="s">
        <v>765</v>
      </c>
      <c r="BH452" s="29"/>
      <c r="BI452" s="29" t="s">
        <v>435</v>
      </c>
      <c r="BJ452" s="29"/>
      <c r="BK452" s="29" t="s">
        <v>681</v>
      </c>
      <c r="BL452" s="29"/>
      <c r="BM452" s="29" t="s">
        <v>397</v>
      </c>
      <c r="BN452" s="29" t="s">
        <v>513</v>
      </c>
      <c r="BO452" s="29"/>
      <c r="BP452" s="29"/>
      <c r="BQ452" s="29"/>
      <c r="BR452" s="29"/>
      <c r="BS452" s="29"/>
      <c r="BT452" s="29"/>
      <c r="BU452" s="29"/>
      <c r="BV452" s="29"/>
      <c r="BW452" s="29"/>
      <c r="BX452" s="29"/>
      <c r="BY452" s="29"/>
      <c r="BZ452" s="29"/>
      <c r="CA452" s="29"/>
      <c r="CB452" s="29"/>
      <c r="CC452" s="29"/>
      <c r="CD452" s="29"/>
      <c r="CE452" s="29"/>
      <c r="CF452" s="29"/>
      <c r="CG452" s="29"/>
      <c r="CH452" s="29"/>
      <c r="CI452" s="29"/>
      <c r="CJ452" s="29"/>
      <c r="CK452" s="29"/>
      <c r="CL452" s="29" t="s">
        <v>953</v>
      </c>
      <c r="CM452" s="29" t="s">
        <v>401</v>
      </c>
      <c r="CN452" s="29" t="s">
        <v>8920</v>
      </c>
      <c r="CO452" s="29" t="s">
        <v>8921</v>
      </c>
      <c r="CP452" s="29"/>
      <c r="CQ452" s="29"/>
      <c r="CR452" s="29"/>
      <c r="CS452" s="29"/>
      <c r="CT452" s="29"/>
      <c r="CU452" s="29" t="s">
        <v>982</v>
      </c>
      <c r="CV452" s="29"/>
      <c r="CW452" s="29"/>
      <c r="CX452" s="29" t="s">
        <v>408</v>
      </c>
      <c r="CY452" s="29"/>
      <c r="CZ452" s="29" t="s">
        <v>985</v>
      </c>
      <c r="DA452" s="29"/>
      <c r="DB452" s="29" t="s">
        <v>455</v>
      </c>
      <c r="DC452" s="29"/>
      <c r="DD452" s="29"/>
      <c r="DE452" s="29"/>
      <c r="DF452" s="29"/>
      <c r="DG452" s="29" t="s">
        <v>561</v>
      </c>
      <c r="DH452" s="29" t="s">
        <v>833</v>
      </c>
      <c r="DI452" s="29" t="s">
        <v>963</v>
      </c>
      <c r="DJ452" s="29" t="s">
        <v>613</v>
      </c>
      <c r="DK452" s="29"/>
      <c r="DL452" s="29"/>
      <c r="DM452" s="29"/>
      <c r="DN452" s="29"/>
      <c r="DO452" s="29"/>
      <c r="DP452" s="29"/>
      <c r="DQ452" s="29"/>
      <c r="DR452" s="29"/>
      <c r="DS452" s="29"/>
      <c r="DT452" s="29"/>
      <c r="DU452" s="29"/>
      <c r="DV452" s="29"/>
      <c r="DW452" s="29"/>
      <c r="DX452" s="29"/>
      <c r="DY452" s="29"/>
      <c r="DZ452" s="29"/>
      <c r="EA452" s="29"/>
      <c r="EB452" s="29"/>
      <c r="EC452" s="29"/>
      <c r="ED452" s="29"/>
      <c r="EE452" s="29"/>
      <c r="EF452" s="29"/>
      <c r="EG452" s="29"/>
      <c r="EH452" s="29"/>
      <c r="EI452" s="29"/>
      <c r="EJ452" s="29"/>
      <c r="EK452" s="29"/>
      <c r="EL452" s="29"/>
      <c r="EM452" s="29"/>
      <c r="EN452" s="29"/>
      <c r="EO452" s="29"/>
      <c r="EP452" s="29"/>
      <c r="EQ452" s="29"/>
      <c r="ER452" s="29"/>
      <c r="ES452" s="29"/>
      <c r="ET452" s="29" t="s">
        <v>578</v>
      </c>
      <c r="EU452" s="29" t="s">
        <v>579</v>
      </c>
      <c r="EV452" s="29" t="s">
        <v>480</v>
      </c>
      <c r="EW452" s="29"/>
      <c r="EX452" s="29"/>
      <c r="EY452" s="29"/>
      <c r="EZ452" s="29" t="s">
        <v>415</v>
      </c>
      <c r="FA452" s="29" t="s">
        <v>414</v>
      </c>
      <c r="FB452" s="29" t="s">
        <v>413</v>
      </c>
      <c r="FC452" s="29" t="s">
        <v>415</v>
      </c>
      <c r="FD452" s="29" t="s">
        <v>413</v>
      </c>
      <c r="FE452" s="29" t="s">
        <v>414</v>
      </c>
      <c r="FF452" s="29" t="s">
        <v>415</v>
      </c>
      <c r="FG452" s="29" t="s">
        <v>415</v>
      </c>
      <c r="FH452" s="29" t="s">
        <v>415</v>
      </c>
      <c r="FI452" s="29" t="s">
        <v>415</v>
      </c>
      <c r="FJ452" s="29" t="s">
        <v>414</v>
      </c>
      <c r="FK452" s="29" t="s">
        <v>415</v>
      </c>
      <c r="FL452" s="29" t="s">
        <v>415</v>
      </c>
      <c r="FM452" s="29" t="s">
        <v>415</v>
      </c>
      <c r="FN452" s="29" t="s">
        <v>415</v>
      </c>
      <c r="FO452" s="29" t="s">
        <v>1074</v>
      </c>
      <c r="FP452" s="29" t="s">
        <v>418</v>
      </c>
      <c r="FQ452" s="29" t="s">
        <v>419</v>
      </c>
      <c r="FR452" s="29"/>
      <c r="FS452" s="29" t="s">
        <v>1076</v>
      </c>
      <c r="FT452" s="29" t="s">
        <v>488</v>
      </c>
      <c r="FU452" s="29" t="s">
        <v>918</v>
      </c>
      <c r="FV452" s="29" t="s">
        <v>1101</v>
      </c>
      <c r="FW452" s="29" t="s">
        <v>491</v>
      </c>
      <c r="FX452" s="29"/>
      <c r="FY452" s="29" t="s">
        <v>535</v>
      </c>
      <c r="FZ452" s="29"/>
      <c r="GA452" s="29"/>
      <c r="GB452" s="29" t="s">
        <v>408</v>
      </c>
      <c r="GC452" s="29"/>
      <c r="GD452" s="29"/>
      <c r="GE452" s="29"/>
      <c r="GF452" s="29"/>
      <c r="GG452" s="29" t="s">
        <v>1000</v>
      </c>
      <c r="GH452" s="29" t="s">
        <v>1000</v>
      </c>
      <c r="GI452" s="29" t="s">
        <v>946</v>
      </c>
      <c r="GJ452" s="29"/>
      <c r="GK452" s="29"/>
      <c r="GL452" s="29"/>
      <c r="GM452" s="29"/>
      <c r="GN452" s="29" t="s">
        <v>1341</v>
      </c>
      <c r="GO452" s="29"/>
      <c r="GP452" s="29" t="s">
        <v>387</v>
      </c>
      <c r="GQ452" s="29" t="s">
        <v>5015</v>
      </c>
      <c r="GR452" s="29"/>
      <c r="GS452" s="29"/>
      <c r="GT452" s="29" t="s">
        <v>4774</v>
      </c>
      <c r="GU452" s="29"/>
      <c r="HP452" s="31"/>
      <c r="MX452" s="29" t="s">
        <v>10402</v>
      </c>
      <c r="MY452" s="29" t="str">
        <f>IFERROR(__xludf.DUMMYFUNCTION("""COMPUTED_VALUE"""),"Missouri")</f>
        <v>Missouri</v>
      </c>
    </row>
    <row r="453" ht="16.5" customHeight="1">
      <c r="A453" s="33">
        <v>46114.45798623843</v>
      </c>
      <c r="B453" s="29" t="s">
        <v>368</v>
      </c>
      <c r="C453" s="29" t="s">
        <v>370</v>
      </c>
      <c r="D453" s="29" t="s">
        <v>370</v>
      </c>
      <c r="E453" s="29" t="s">
        <v>922</v>
      </c>
      <c r="F453" s="29" t="s">
        <v>922</v>
      </c>
      <c r="G453" s="29" t="s">
        <v>636</v>
      </c>
      <c r="H453" s="29" t="s">
        <v>373</v>
      </c>
      <c r="I453" s="29" t="s">
        <v>638</v>
      </c>
      <c r="J453" s="29" t="s">
        <v>375</v>
      </c>
      <c r="K453" s="29" t="s">
        <v>376</v>
      </c>
      <c r="L453" s="29" t="s">
        <v>591</v>
      </c>
      <c r="M453" s="29"/>
      <c r="N453" s="29" t="s">
        <v>591</v>
      </c>
      <c r="O453" s="29"/>
      <c r="P453" s="29" t="s">
        <v>498</v>
      </c>
      <c r="Q453" s="29" t="s">
        <v>382</v>
      </c>
      <c r="R453" s="29" t="s">
        <v>1197</v>
      </c>
      <c r="S453" s="29" t="s">
        <v>384</v>
      </c>
      <c r="T453" s="29" t="s">
        <v>385</v>
      </c>
      <c r="U453" s="29"/>
      <c r="V453" s="29"/>
      <c r="W453" s="29" t="s">
        <v>386</v>
      </c>
      <c r="X453" s="29" t="s">
        <v>1706</v>
      </c>
      <c r="Y453" s="29"/>
      <c r="Z453" s="29"/>
      <c r="AA453" s="29"/>
      <c r="AB453" s="29"/>
      <c r="AC453" s="29" t="s">
        <v>8923</v>
      </c>
      <c r="AD453" s="29" t="s">
        <v>2968</v>
      </c>
      <c r="AE453" s="29" t="s">
        <v>455</v>
      </c>
      <c r="AF453" s="29"/>
      <c r="AG453" s="29">
        <v>1.0</v>
      </c>
      <c r="AH453" s="29" t="s">
        <v>7226</v>
      </c>
      <c r="AI453" s="29"/>
      <c r="AJ453" s="29"/>
      <c r="AK453" s="29" t="s">
        <v>7228</v>
      </c>
      <c r="AL453" s="29"/>
      <c r="AM453" s="29"/>
      <c r="AN453" s="29"/>
      <c r="AO453" s="29"/>
      <c r="AP453" s="29"/>
      <c r="AQ453" s="29"/>
      <c r="AR453" s="29"/>
      <c r="AS453" s="29"/>
      <c r="AT453" s="29"/>
      <c r="AU453" s="29"/>
      <c r="AV453" s="29" t="s">
        <v>1242</v>
      </c>
      <c r="AW453" s="29" t="s">
        <v>675</v>
      </c>
      <c r="AX453" s="29" t="s">
        <v>675</v>
      </c>
      <c r="AY453" s="29" t="s">
        <v>391</v>
      </c>
      <c r="AZ453" s="29" t="s">
        <v>391</v>
      </c>
      <c r="BA453" s="29" t="s">
        <v>675</v>
      </c>
      <c r="BB453" s="29">
        <v>4.0</v>
      </c>
      <c r="BC453" s="29"/>
      <c r="BD453" s="29"/>
      <c r="BE453" s="29" t="s">
        <v>432</v>
      </c>
      <c r="BF453" s="29" t="s">
        <v>1095</v>
      </c>
      <c r="BG453" s="29" t="s">
        <v>434</v>
      </c>
      <c r="BH453" s="29"/>
      <c r="BI453" s="29" t="s">
        <v>435</v>
      </c>
      <c r="BJ453" s="29"/>
      <c r="BK453" s="29" t="s">
        <v>395</v>
      </c>
      <c r="BL453" s="29" t="s">
        <v>904</v>
      </c>
      <c r="BM453" s="29" t="s">
        <v>1314</v>
      </c>
      <c r="BN453" s="29" t="s">
        <v>513</v>
      </c>
      <c r="BO453" s="29"/>
      <c r="BP453" s="29"/>
      <c r="BQ453" s="29"/>
      <c r="BR453" s="29"/>
      <c r="BS453" s="29"/>
      <c r="BT453" s="29"/>
      <c r="BU453" s="29"/>
      <c r="BV453" s="29"/>
      <c r="BW453" s="29"/>
      <c r="BX453" s="29"/>
      <c r="BY453" s="29"/>
      <c r="BZ453" s="29"/>
      <c r="CA453" s="29"/>
      <c r="CB453" s="29"/>
      <c r="CC453" s="29"/>
      <c r="CD453" s="29"/>
      <c r="CE453" s="29"/>
      <c r="CF453" s="29"/>
      <c r="CG453" s="29"/>
      <c r="CH453" s="29"/>
      <c r="CI453" s="29"/>
      <c r="CJ453" s="29"/>
      <c r="CK453" s="29"/>
      <c r="CL453" s="29" t="s">
        <v>441</v>
      </c>
      <c r="CM453" s="29" t="s">
        <v>604</v>
      </c>
      <c r="CN453" s="29"/>
      <c r="CO453" s="29"/>
      <c r="CP453" s="29" t="s">
        <v>445</v>
      </c>
      <c r="CQ453" s="29" t="s">
        <v>8924</v>
      </c>
      <c r="CR453" s="29" t="s">
        <v>404</v>
      </c>
      <c r="CS453" s="29" t="s">
        <v>8925</v>
      </c>
      <c r="CT453" s="29"/>
      <c r="CU453" s="29" t="s">
        <v>982</v>
      </c>
      <c r="CV453" s="29" t="s">
        <v>451</v>
      </c>
      <c r="CW453" s="29"/>
      <c r="CX453" s="29" t="s">
        <v>408</v>
      </c>
      <c r="CY453" s="29"/>
      <c r="CZ453" s="29" t="s">
        <v>1962</v>
      </c>
      <c r="DA453" s="29"/>
      <c r="DB453" s="29" t="s">
        <v>408</v>
      </c>
      <c r="DC453" s="29"/>
      <c r="DD453" s="29" t="s">
        <v>406</v>
      </c>
      <c r="DE453" s="29" t="s">
        <v>1058</v>
      </c>
      <c r="DF453" s="29"/>
      <c r="DG453" s="29" t="s">
        <v>524</v>
      </c>
      <c r="DH453" s="29" t="s">
        <v>833</v>
      </c>
      <c r="DI453" s="29" t="s">
        <v>459</v>
      </c>
      <c r="DJ453" s="29" t="s">
        <v>613</v>
      </c>
      <c r="DK453" s="29"/>
      <c r="DL453" s="29"/>
      <c r="DM453" s="29"/>
      <c r="DN453" s="29"/>
      <c r="DO453" s="29"/>
      <c r="DP453" s="29"/>
      <c r="DQ453" s="29"/>
      <c r="DR453" s="29"/>
      <c r="DS453" s="29"/>
      <c r="DT453" s="29"/>
      <c r="DU453" s="29"/>
      <c r="DV453" s="29"/>
      <c r="DW453" s="29"/>
      <c r="DX453" s="29"/>
      <c r="DY453" s="29"/>
      <c r="DZ453" s="29"/>
      <c r="EA453" s="29"/>
      <c r="EB453" s="29"/>
      <c r="EC453" s="29"/>
      <c r="ED453" s="29"/>
      <c r="EE453" s="29"/>
      <c r="EF453" s="29"/>
      <c r="EG453" s="29"/>
      <c r="EH453" s="29"/>
      <c r="EI453" s="29"/>
      <c r="EJ453" s="29"/>
      <c r="EK453" s="29"/>
      <c r="EL453" s="29"/>
      <c r="EM453" s="29"/>
      <c r="EN453" s="29"/>
      <c r="EO453" s="29"/>
      <c r="EP453" s="29"/>
      <c r="EQ453" s="29"/>
      <c r="ER453" s="29"/>
      <c r="ES453" s="29"/>
      <c r="ET453" s="29" t="s">
        <v>578</v>
      </c>
      <c r="EU453" s="29" t="s">
        <v>479</v>
      </c>
      <c r="EV453" s="29" t="s">
        <v>1534</v>
      </c>
      <c r="EW453" s="29"/>
      <c r="EX453" s="29"/>
      <c r="EY453" s="29"/>
      <c r="EZ453" s="29" t="s">
        <v>414</v>
      </c>
      <c r="FA453" s="29" t="s">
        <v>583</v>
      </c>
      <c r="FB453" s="29" t="s">
        <v>413</v>
      </c>
      <c r="FC453" s="29" t="s">
        <v>414</v>
      </c>
      <c r="FD453" s="29" t="s">
        <v>413</v>
      </c>
      <c r="FE453" s="29" t="s">
        <v>583</v>
      </c>
      <c r="FF453" s="29" t="s">
        <v>413</v>
      </c>
      <c r="FG453" s="29" t="s">
        <v>415</v>
      </c>
      <c r="FH453" s="29" t="s">
        <v>414</v>
      </c>
      <c r="FI453" s="29" t="s">
        <v>583</v>
      </c>
      <c r="FJ453" s="29" t="s">
        <v>583</v>
      </c>
      <c r="FK453" s="29" t="s">
        <v>415</v>
      </c>
      <c r="FL453" s="29" t="s">
        <v>414</v>
      </c>
      <c r="FM453" s="29" t="s">
        <v>484</v>
      </c>
      <c r="FN453" s="29" t="s">
        <v>484</v>
      </c>
      <c r="FO453" s="29" t="s">
        <v>1537</v>
      </c>
      <c r="FP453" s="29" t="s">
        <v>486</v>
      </c>
      <c r="FQ453" s="29" t="s">
        <v>630</v>
      </c>
      <c r="FR453" s="29"/>
      <c r="FS453" s="29" t="s">
        <v>420</v>
      </c>
      <c r="FT453" s="29" t="s">
        <v>1462</v>
      </c>
      <c r="FU453" s="29" t="s">
        <v>533</v>
      </c>
      <c r="FV453" s="29" t="s">
        <v>2399</v>
      </c>
      <c r="FW453" s="29" t="s">
        <v>1853</v>
      </c>
      <c r="FX453" s="29"/>
      <c r="FY453" s="29" t="s">
        <v>1854</v>
      </c>
      <c r="FZ453" s="29"/>
      <c r="GA453" s="29"/>
      <c r="GB453" s="29" t="s">
        <v>408</v>
      </c>
      <c r="GC453" s="29"/>
      <c r="GD453" s="29"/>
      <c r="GE453" s="29"/>
      <c r="GF453" s="29"/>
      <c r="GG453" s="29" t="s">
        <v>755</v>
      </c>
      <c r="GH453" s="29" t="s">
        <v>755</v>
      </c>
      <c r="GI453" s="29" t="s">
        <v>946</v>
      </c>
      <c r="GJ453" s="29"/>
      <c r="GK453" s="29"/>
      <c r="GL453" s="29"/>
      <c r="GM453" s="29"/>
      <c r="GN453" s="29"/>
      <c r="GO453" s="29"/>
      <c r="GP453" s="29"/>
      <c r="GQ453" s="29" t="s">
        <v>3208</v>
      </c>
      <c r="GR453" s="29"/>
      <c r="GS453" s="29"/>
      <c r="GT453" s="29" t="s">
        <v>4774</v>
      </c>
      <c r="GU453" s="29"/>
      <c r="HP453" s="31"/>
      <c r="MX453" s="29" t="s">
        <v>10402</v>
      </c>
      <c r="MY453" s="29" t="str">
        <f>IFERROR(__xludf.DUMMYFUNCTION("""COMPUTED_VALUE"""),"Missouri")</f>
        <v>Missouri</v>
      </c>
    </row>
    <row r="454" ht="16.5" customHeight="1">
      <c r="A454" s="33">
        <v>46116.70468314815</v>
      </c>
      <c r="B454" s="29" t="s">
        <v>368</v>
      </c>
      <c r="C454" s="29" t="s">
        <v>370</v>
      </c>
      <c r="D454" s="29" t="s">
        <v>370</v>
      </c>
      <c r="E454" s="29" t="s">
        <v>922</v>
      </c>
      <c r="F454" s="29" t="s">
        <v>5064</v>
      </c>
      <c r="G454" s="29" t="s">
        <v>422</v>
      </c>
      <c r="H454" s="29" t="s">
        <v>496</v>
      </c>
      <c r="I454" s="29" t="s">
        <v>374</v>
      </c>
      <c r="J454" s="29" t="s">
        <v>375</v>
      </c>
      <c r="K454" s="29" t="s">
        <v>376</v>
      </c>
      <c r="L454" s="29" t="s">
        <v>379</v>
      </c>
      <c r="M454" s="29" t="s">
        <v>378</v>
      </c>
      <c r="N454" s="29" t="s">
        <v>379</v>
      </c>
      <c r="O454" s="29" t="s">
        <v>497</v>
      </c>
      <c r="P454" s="29" t="s">
        <v>498</v>
      </c>
      <c r="Q454" s="29" t="s">
        <v>499</v>
      </c>
      <c r="R454" s="29" t="s">
        <v>427</v>
      </c>
      <c r="S454" s="29" t="s">
        <v>384</v>
      </c>
      <c r="T454" s="29" t="s">
        <v>385</v>
      </c>
      <c r="U454" s="29"/>
      <c r="V454" s="29"/>
      <c r="W454" s="29" t="s">
        <v>3231</v>
      </c>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t="s">
        <v>504</v>
      </c>
      <c r="AW454" s="29" t="s">
        <v>429</v>
      </c>
      <c r="AX454" s="29" t="s">
        <v>429</v>
      </c>
      <c r="AY454" s="29" t="s">
        <v>429</v>
      </c>
      <c r="AZ454" s="29" t="s">
        <v>429</v>
      </c>
      <c r="BA454" s="29" t="s">
        <v>429</v>
      </c>
      <c r="BB454" s="29" t="s">
        <v>429</v>
      </c>
      <c r="BC454" s="29" t="s">
        <v>8926</v>
      </c>
      <c r="BD454" s="29" t="s">
        <v>8927</v>
      </c>
      <c r="BE454" s="29" t="s">
        <v>392</v>
      </c>
      <c r="BF454" s="29" t="s">
        <v>433</v>
      </c>
      <c r="BG454" s="29" t="s">
        <v>434</v>
      </c>
      <c r="BH454" s="29"/>
      <c r="BI454" s="29" t="s">
        <v>509</v>
      </c>
      <c r="BJ454" s="29" t="s">
        <v>8928</v>
      </c>
      <c r="BK454" s="29" t="s">
        <v>437</v>
      </c>
      <c r="BL454" s="29" t="s">
        <v>438</v>
      </c>
      <c r="BM454" s="29" t="s">
        <v>439</v>
      </c>
      <c r="BN454" s="29" t="s">
        <v>513</v>
      </c>
      <c r="BO454" s="29"/>
      <c r="BP454" s="29"/>
      <c r="BQ454" s="29"/>
      <c r="BR454" s="29"/>
      <c r="BS454" s="29"/>
      <c r="BT454" s="29"/>
      <c r="BU454" s="29"/>
      <c r="BV454" s="29"/>
      <c r="BW454" s="29"/>
      <c r="BX454" s="29"/>
      <c r="BY454" s="29"/>
      <c r="BZ454" s="29"/>
      <c r="CA454" s="29"/>
      <c r="CB454" s="29"/>
      <c r="CC454" s="29"/>
      <c r="CD454" s="29"/>
      <c r="CE454" s="29"/>
      <c r="CF454" s="29"/>
      <c r="CG454" s="29"/>
      <c r="CH454" s="29"/>
      <c r="CI454" s="29"/>
      <c r="CJ454" s="29"/>
      <c r="CK454" s="29"/>
      <c r="CL454" s="29" t="s">
        <v>441</v>
      </c>
      <c r="CM454" s="29" t="s">
        <v>604</v>
      </c>
      <c r="CN454" s="29" t="s">
        <v>1600</v>
      </c>
      <c r="CO454" s="29" t="s">
        <v>8929</v>
      </c>
      <c r="CP454" s="29" t="s">
        <v>445</v>
      </c>
      <c r="CQ454" s="29" t="s">
        <v>7891</v>
      </c>
      <c r="CR454" s="29" t="s">
        <v>447</v>
      </c>
      <c r="CS454" s="29" t="s">
        <v>608</v>
      </c>
      <c r="CT454" s="29" t="s">
        <v>8930</v>
      </c>
      <c r="CU454" s="29" t="s">
        <v>450</v>
      </c>
      <c r="CV454" s="29" t="s">
        <v>451</v>
      </c>
      <c r="CW454" s="29" t="s">
        <v>8931</v>
      </c>
      <c r="CX454" s="29" t="s">
        <v>408</v>
      </c>
      <c r="CY454" s="29"/>
      <c r="CZ454" s="29" t="s">
        <v>453</v>
      </c>
      <c r="DA454" s="29" t="s">
        <v>8932</v>
      </c>
      <c r="DB454" s="29" t="s">
        <v>455</v>
      </c>
      <c r="DC454" s="29" t="s">
        <v>8933</v>
      </c>
      <c r="DD454" s="29" t="s">
        <v>406</v>
      </c>
      <c r="DE454" s="29" t="s">
        <v>407</v>
      </c>
      <c r="DF454" s="29" t="s">
        <v>8934</v>
      </c>
      <c r="DG454" s="29" t="s">
        <v>524</v>
      </c>
      <c r="DH454" s="29" t="s">
        <v>410</v>
      </c>
      <c r="DI454" s="29" t="s">
        <v>459</v>
      </c>
      <c r="DJ454" s="29" t="s">
        <v>613</v>
      </c>
      <c r="DK454" s="29"/>
      <c r="DL454" s="29"/>
      <c r="DM454" s="29"/>
      <c r="DN454" s="29"/>
      <c r="DO454" s="29"/>
      <c r="DP454" s="29"/>
      <c r="DQ454" s="29"/>
      <c r="DR454" s="29"/>
      <c r="DS454" s="29"/>
      <c r="DT454" s="29"/>
      <c r="DU454" s="29"/>
      <c r="DV454" s="29"/>
      <c r="DW454" s="29"/>
      <c r="DX454" s="29"/>
      <c r="DY454" s="29"/>
      <c r="DZ454" s="29"/>
      <c r="EA454" s="29"/>
      <c r="EB454" s="29"/>
      <c r="EC454" s="29"/>
      <c r="ED454" s="29"/>
      <c r="EE454" s="29"/>
      <c r="EF454" s="29"/>
      <c r="EG454" s="29"/>
      <c r="EH454" s="29"/>
      <c r="EI454" s="29"/>
      <c r="EJ454" s="29"/>
      <c r="EK454" s="29"/>
      <c r="EL454" s="29"/>
      <c r="EM454" s="29"/>
      <c r="EN454" s="29"/>
      <c r="EO454" s="29"/>
      <c r="EP454" s="29"/>
      <c r="EQ454" s="29"/>
      <c r="ER454" s="29"/>
      <c r="ES454" s="29"/>
      <c r="ET454" s="29" t="s">
        <v>526</v>
      </c>
      <c r="EU454" s="29" t="s">
        <v>479</v>
      </c>
      <c r="EV454" s="29" t="s">
        <v>527</v>
      </c>
      <c r="EW454" s="29" t="s">
        <v>8935</v>
      </c>
      <c r="EX454" s="29" t="s">
        <v>8936</v>
      </c>
      <c r="EY454" s="29" t="s">
        <v>8937</v>
      </c>
      <c r="EZ454" s="29" t="s">
        <v>413</v>
      </c>
      <c r="FA454" s="29" t="s">
        <v>413</v>
      </c>
      <c r="FB454" s="29" t="s">
        <v>413</v>
      </c>
      <c r="FC454" s="29" t="s">
        <v>413</v>
      </c>
      <c r="FD454" s="29" t="s">
        <v>413</v>
      </c>
      <c r="FE454" s="29" t="s">
        <v>413</v>
      </c>
      <c r="FF454" s="29" t="s">
        <v>413</v>
      </c>
      <c r="FG454" s="29" t="s">
        <v>413</v>
      </c>
      <c r="FH454" s="29" t="s">
        <v>413</v>
      </c>
      <c r="FI454" s="29" t="s">
        <v>583</v>
      </c>
      <c r="FJ454" s="29" t="s">
        <v>416</v>
      </c>
      <c r="FK454" s="29" t="s">
        <v>416</v>
      </c>
      <c r="FL454" s="29" t="s">
        <v>416</v>
      </c>
      <c r="FM454" s="29" t="s">
        <v>416</v>
      </c>
      <c r="FN454" s="29" t="s">
        <v>414</v>
      </c>
      <c r="FO454" s="29" t="s">
        <v>485</v>
      </c>
      <c r="FP454" s="29" t="s">
        <v>418</v>
      </c>
      <c r="FQ454" s="29" t="s">
        <v>712</v>
      </c>
      <c r="FR454" s="29" t="s">
        <v>8938</v>
      </c>
      <c r="FS454" s="29" t="s">
        <v>420</v>
      </c>
      <c r="FT454" s="29" t="s">
        <v>488</v>
      </c>
      <c r="FU454" s="29" t="s">
        <v>533</v>
      </c>
      <c r="FV454" s="29" t="s">
        <v>490</v>
      </c>
      <c r="FW454" s="29" t="s">
        <v>491</v>
      </c>
      <c r="FX454" s="29" t="s">
        <v>8939</v>
      </c>
      <c r="FY454" s="29" t="s">
        <v>535</v>
      </c>
      <c r="FZ454" s="29"/>
      <c r="GA454" s="29" t="s">
        <v>8940</v>
      </c>
      <c r="GB454" s="29" t="s">
        <v>455</v>
      </c>
      <c r="GC454" s="29"/>
      <c r="GD454" s="29"/>
      <c r="GE454" s="29" t="s">
        <v>944</v>
      </c>
      <c r="GF454" s="29" t="s">
        <v>8941</v>
      </c>
      <c r="GG454" s="29" t="s">
        <v>755</v>
      </c>
      <c r="GH454" s="29" t="s">
        <v>755</v>
      </c>
      <c r="GI454" s="29" t="s">
        <v>946</v>
      </c>
      <c r="GJ454" s="29"/>
      <c r="GK454" s="29"/>
      <c r="GL454" s="29"/>
      <c r="GM454" s="29"/>
      <c r="GN454" s="29"/>
      <c r="GO454" s="29"/>
      <c r="GP454" s="29" t="s">
        <v>387</v>
      </c>
      <c r="GQ454" s="29" t="s">
        <v>3208</v>
      </c>
      <c r="GR454" s="29"/>
      <c r="GS454" s="29"/>
      <c r="GT454" s="29" t="s">
        <v>4774</v>
      </c>
      <c r="GU454" s="29" t="s">
        <v>1211</v>
      </c>
      <c r="HP454" s="31"/>
      <c r="MX454" s="29" t="s">
        <v>8942</v>
      </c>
      <c r="MY454" s="29" t="str">
        <f>IFERROR(__xludf.DUMMYFUNCTION("""COMPUTED_VALUE"""),"Nigeria")</f>
        <v>Nigeria</v>
      </c>
    </row>
    <row r="455" ht="16.5" customHeight="1">
      <c r="A455" s="33">
        <v>46116.71896637732</v>
      </c>
      <c r="B455" s="29" t="s">
        <v>368</v>
      </c>
      <c r="C455" s="29" t="s">
        <v>8942</v>
      </c>
      <c r="D455" s="29" t="s">
        <v>538</v>
      </c>
      <c r="E455" s="29"/>
      <c r="F455" s="29"/>
      <c r="G455" s="29" t="s">
        <v>422</v>
      </c>
      <c r="H455" s="29" t="s">
        <v>423</v>
      </c>
      <c r="I455" s="29" t="s">
        <v>668</v>
      </c>
      <c r="J455" s="29" t="s">
        <v>540</v>
      </c>
      <c r="K455" s="29" t="s">
        <v>376</v>
      </c>
      <c r="L455" s="29" t="s">
        <v>379</v>
      </c>
      <c r="M455" s="29" t="s">
        <v>378</v>
      </c>
      <c r="N455" s="29" t="s">
        <v>426</v>
      </c>
      <c r="O455" s="29" t="s">
        <v>719</v>
      </c>
      <c r="P455" s="29" t="s">
        <v>592</v>
      </c>
      <c r="Q455" s="29" t="s">
        <v>499</v>
      </c>
      <c r="R455" s="29" t="s">
        <v>949</v>
      </c>
      <c r="S455" s="29" t="s">
        <v>384</v>
      </c>
      <c r="T455" s="29" t="s">
        <v>385</v>
      </c>
      <c r="U455" s="29"/>
      <c r="V455" s="29"/>
      <c r="W455" s="29" t="s">
        <v>386</v>
      </c>
      <c r="X455" s="29" t="s">
        <v>387</v>
      </c>
      <c r="Y455" s="29" t="s">
        <v>388</v>
      </c>
      <c r="Z455" s="29" t="s">
        <v>543</v>
      </c>
      <c r="AA455" s="29" t="s">
        <v>8943</v>
      </c>
      <c r="AB455" s="29"/>
      <c r="AC455" s="29"/>
      <c r="AD455" s="29"/>
      <c r="AE455" s="29"/>
      <c r="AF455" s="29"/>
      <c r="AG455" s="29"/>
      <c r="AH455" s="29"/>
      <c r="AI455" s="29"/>
      <c r="AJ455" s="29"/>
      <c r="AK455" s="29"/>
      <c r="AL455" s="29"/>
      <c r="AM455" s="29"/>
      <c r="AN455" s="29"/>
      <c r="AO455" s="29"/>
      <c r="AP455" s="29"/>
      <c r="AQ455" s="29"/>
      <c r="AR455" s="29"/>
      <c r="AS455" s="29"/>
      <c r="AT455" s="29"/>
      <c r="AU455" s="29"/>
      <c r="AV455" s="29" t="s">
        <v>1242</v>
      </c>
      <c r="AW455" s="29" t="s">
        <v>675</v>
      </c>
      <c r="AX455" s="29">
        <v>4.0</v>
      </c>
      <c r="AY455" s="29">
        <v>4.0</v>
      </c>
      <c r="AZ455" s="29">
        <v>4.0</v>
      </c>
      <c r="BA455" s="29" t="s">
        <v>675</v>
      </c>
      <c r="BB455" s="29">
        <v>4.0</v>
      </c>
      <c r="BC455" s="29" t="s">
        <v>8944</v>
      </c>
      <c r="BD455" s="29" t="s">
        <v>8945</v>
      </c>
      <c r="BE455" s="29" t="s">
        <v>2379</v>
      </c>
      <c r="BF455" s="29" t="s">
        <v>1245</v>
      </c>
      <c r="BG455" s="29" t="s">
        <v>725</v>
      </c>
      <c r="BH455" s="29" t="s">
        <v>8946</v>
      </c>
      <c r="BI455" s="29" t="s">
        <v>976</v>
      </c>
      <c r="BJ455" s="29"/>
      <c r="BK455" s="29" t="s">
        <v>437</v>
      </c>
      <c r="BL455" s="29" t="s">
        <v>438</v>
      </c>
      <c r="BM455" s="29" t="s">
        <v>1247</v>
      </c>
      <c r="BN455" s="29" t="s">
        <v>398</v>
      </c>
      <c r="BO455" s="29" t="s">
        <v>8947</v>
      </c>
      <c r="BP455" s="29" t="s">
        <v>2675</v>
      </c>
      <c r="BQ455" s="29" t="s">
        <v>604</v>
      </c>
      <c r="BR455" s="29" t="s">
        <v>4781</v>
      </c>
      <c r="BS455" s="29" t="s">
        <v>4071</v>
      </c>
      <c r="BT455" s="29" t="s">
        <v>1994</v>
      </c>
      <c r="BU455" s="29" t="s">
        <v>405</v>
      </c>
      <c r="BV455" s="29"/>
      <c r="BW455" s="29" t="s">
        <v>406</v>
      </c>
      <c r="BX455" s="29" t="s">
        <v>1867</v>
      </c>
      <c r="BY455" s="29" t="s">
        <v>408</v>
      </c>
      <c r="BZ455" s="29"/>
      <c r="CA455" s="29"/>
      <c r="CB455" s="29" t="s">
        <v>8948</v>
      </c>
      <c r="CC455" s="29" t="s">
        <v>8949</v>
      </c>
      <c r="CD455" s="29" t="s">
        <v>409</v>
      </c>
      <c r="CE455" s="29" t="s">
        <v>8950</v>
      </c>
      <c r="CF455" s="29" t="s">
        <v>1749</v>
      </c>
      <c r="CG455" s="29" t="s">
        <v>8951</v>
      </c>
      <c r="CH455" s="29" t="s">
        <v>1259</v>
      </c>
      <c r="CI455" s="29" t="s">
        <v>833</v>
      </c>
      <c r="CJ455" s="29" t="s">
        <v>8952</v>
      </c>
      <c r="CK455" s="29" t="s">
        <v>8953</v>
      </c>
      <c r="CL455" s="29"/>
      <c r="CM455" s="29"/>
      <c r="CN455" s="29"/>
      <c r="CO455" s="29"/>
      <c r="CP455" s="29"/>
      <c r="CQ455" s="29"/>
      <c r="CR455" s="29"/>
      <c r="CS455" s="29"/>
      <c r="CT455" s="29"/>
      <c r="CU455" s="29"/>
      <c r="CV455" s="29"/>
      <c r="CW455" s="29"/>
      <c r="CX455" s="29"/>
      <c r="CY455" s="29"/>
      <c r="CZ455" s="29"/>
      <c r="DA455" s="29"/>
      <c r="DB455" s="29"/>
      <c r="DC455" s="29"/>
      <c r="DD455" s="29"/>
      <c r="DE455" s="29"/>
      <c r="DF455" s="29"/>
      <c r="DG455" s="29"/>
      <c r="DH455" s="29"/>
      <c r="DI455" s="29" t="s">
        <v>963</v>
      </c>
      <c r="DJ455" s="29" t="s">
        <v>460</v>
      </c>
      <c r="DK455" s="29" t="s">
        <v>6319</v>
      </c>
      <c r="DL455" s="29"/>
      <c r="DM455" s="29"/>
      <c r="DN455" s="29"/>
      <c r="DO455" s="29"/>
      <c r="DP455" s="29"/>
      <c r="DQ455" s="29"/>
      <c r="DR455" s="29"/>
      <c r="DS455" s="29"/>
      <c r="DT455" s="29"/>
      <c r="DU455" s="29"/>
      <c r="DV455" s="29"/>
      <c r="DW455" s="29"/>
      <c r="DX455" s="29"/>
      <c r="DY455" s="29"/>
      <c r="DZ455" s="29"/>
      <c r="EA455" s="29"/>
      <c r="EB455" s="29"/>
      <c r="EC455" s="29"/>
      <c r="ED455" s="29"/>
      <c r="EE455" s="29"/>
      <c r="EF455" s="29"/>
      <c r="EG455" s="29"/>
      <c r="EH455" s="29"/>
      <c r="EI455" s="29"/>
      <c r="EJ455" s="29"/>
      <c r="EK455" s="29"/>
      <c r="EL455" s="29"/>
      <c r="EM455" s="29"/>
      <c r="EN455" s="29"/>
      <c r="EO455" s="29"/>
      <c r="EP455" s="29"/>
      <c r="EQ455" s="29"/>
      <c r="ER455" s="29"/>
      <c r="ES455" s="29"/>
      <c r="ET455" s="29" t="s">
        <v>526</v>
      </c>
      <c r="EU455" s="29" t="s">
        <v>579</v>
      </c>
      <c r="EV455" s="29" t="s">
        <v>1534</v>
      </c>
      <c r="EW455" s="29" t="s">
        <v>8954</v>
      </c>
      <c r="EX455" s="29" t="s">
        <v>8955</v>
      </c>
      <c r="EY455" s="29"/>
      <c r="EZ455" s="29" t="s">
        <v>415</v>
      </c>
      <c r="FA455" s="29" t="s">
        <v>414</v>
      </c>
      <c r="FB455" s="29" t="s">
        <v>413</v>
      </c>
      <c r="FC455" s="29" t="s">
        <v>416</v>
      </c>
      <c r="FD455" s="29" t="s">
        <v>413</v>
      </c>
      <c r="FE455" s="29" t="s">
        <v>414</v>
      </c>
      <c r="FF455" s="29" t="s">
        <v>415</v>
      </c>
      <c r="FG455" s="29" t="s">
        <v>416</v>
      </c>
      <c r="FH455" s="29" t="s">
        <v>414</v>
      </c>
      <c r="FI455" s="29" t="s">
        <v>413</v>
      </c>
      <c r="FJ455" s="29" t="s">
        <v>413</v>
      </c>
      <c r="FK455" s="29" t="s">
        <v>415</v>
      </c>
      <c r="FL455" s="29" t="s">
        <v>415</v>
      </c>
      <c r="FM455" s="29" t="s">
        <v>416</v>
      </c>
      <c r="FN455" s="29" t="s">
        <v>414</v>
      </c>
      <c r="FO455" s="29" t="s">
        <v>850</v>
      </c>
      <c r="FP455" s="29" t="s">
        <v>418</v>
      </c>
      <c r="FQ455" s="29" t="s">
        <v>531</v>
      </c>
      <c r="FR455" s="29" t="s">
        <v>8956</v>
      </c>
      <c r="FS455" s="29" t="s">
        <v>420</v>
      </c>
      <c r="FT455" s="29" t="s">
        <v>488</v>
      </c>
      <c r="FU455" s="29" t="s">
        <v>1235</v>
      </c>
      <c r="FV455" s="29" t="s">
        <v>490</v>
      </c>
      <c r="FW455" s="29" t="s">
        <v>491</v>
      </c>
      <c r="FX455" s="29" t="s">
        <v>8957</v>
      </c>
      <c r="FY455" s="29" t="s">
        <v>535</v>
      </c>
      <c r="FZ455" s="29"/>
      <c r="GA455" s="29"/>
      <c r="GB455" s="29" t="s">
        <v>408</v>
      </c>
      <c r="GC455" s="29"/>
      <c r="GD455" s="29"/>
      <c r="GE455" s="29"/>
      <c r="GF455" s="29"/>
      <c r="GG455" s="29"/>
      <c r="GH455" s="29"/>
      <c r="GI455" s="29"/>
      <c r="GJ455" s="29" t="s">
        <v>755</v>
      </c>
      <c r="GK455" s="29" t="s">
        <v>755</v>
      </c>
      <c r="GL455" s="29" t="s">
        <v>946</v>
      </c>
      <c r="GM455" s="29"/>
      <c r="GN455" s="29" t="s">
        <v>8942</v>
      </c>
      <c r="GO455" s="29" t="s">
        <v>8958</v>
      </c>
      <c r="GP455" s="29"/>
      <c r="GQ455" s="29" t="s">
        <v>3208</v>
      </c>
      <c r="GR455" s="29" t="s">
        <v>4741</v>
      </c>
      <c r="GS455" s="29" t="s">
        <v>8959</v>
      </c>
      <c r="GT455" s="29"/>
      <c r="GU455" s="29"/>
      <c r="HP455" s="31"/>
      <c r="MX455" s="29" t="s">
        <v>10402</v>
      </c>
      <c r="MY455" s="29" t="str">
        <f>IFERROR(__xludf.DUMMYFUNCTION("""COMPUTED_VALUE"""),"Tennessee")</f>
        <v>Tennessee</v>
      </c>
    </row>
    <row r="456" ht="16.5" customHeight="1">
      <c r="A456" s="33">
        <v>46116.793567546294</v>
      </c>
      <c r="B456" s="29" t="s">
        <v>368</v>
      </c>
      <c r="C456" s="29" t="s">
        <v>370</v>
      </c>
      <c r="D456" s="29" t="s">
        <v>370</v>
      </c>
      <c r="E456" s="29" t="s">
        <v>1562</v>
      </c>
      <c r="F456" s="29" t="s">
        <v>1562</v>
      </c>
      <c r="G456" s="29" t="s">
        <v>792</v>
      </c>
      <c r="H456" s="29" t="s">
        <v>373</v>
      </c>
      <c r="I456" s="29" t="s">
        <v>374</v>
      </c>
      <c r="J456" s="29" t="s">
        <v>375</v>
      </c>
      <c r="K456" s="29" t="s">
        <v>376</v>
      </c>
      <c r="L456" s="29" t="s">
        <v>379</v>
      </c>
      <c r="M456" s="29" t="s">
        <v>2464</v>
      </c>
      <c r="N456" s="29" t="s">
        <v>379</v>
      </c>
      <c r="O456" s="29" t="s">
        <v>2579</v>
      </c>
      <c r="P456" s="29" t="s">
        <v>381</v>
      </c>
      <c r="Q456" s="29" t="s">
        <v>499</v>
      </c>
      <c r="R456" s="29" t="s">
        <v>8961</v>
      </c>
      <c r="S456" s="29" t="s">
        <v>1785</v>
      </c>
      <c r="T456" s="29" t="s">
        <v>1786</v>
      </c>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c r="CB456" s="29"/>
      <c r="CC456" s="29"/>
      <c r="CD456" s="29"/>
      <c r="CE456" s="29"/>
      <c r="CF456" s="29"/>
      <c r="CG456" s="29"/>
      <c r="CH456" s="29"/>
      <c r="CI456" s="29"/>
      <c r="CJ456" s="29"/>
      <c r="CK456" s="29"/>
      <c r="CL456" s="29"/>
      <c r="CM456" s="29"/>
      <c r="CN456" s="29"/>
      <c r="CO456" s="29"/>
      <c r="CP456" s="29"/>
      <c r="CQ456" s="29"/>
      <c r="CR456" s="29"/>
      <c r="CS456" s="29"/>
      <c r="CT456" s="29"/>
      <c r="CU456" s="29"/>
      <c r="CV456" s="29"/>
      <c r="CW456" s="29"/>
      <c r="CX456" s="29"/>
      <c r="CY456" s="29"/>
      <c r="CZ456" s="29"/>
      <c r="DA456" s="29"/>
      <c r="DB456" s="29"/>
      <c r="DC456" s="29"/>
      <c r="DD456" s="29"/>
      <c r="DE456" s="29"/>
      <c r="DF456" s="29"/>
      <c r="DG456" s="29"/>
      <c r="DH456" s="29"/>
      <c r="DI456" s="29"/>
      <c r="DJ456" s="29"/>
      <c r="DK456" s="29"/>
      <c r="DL456" s="29"/>
      <c r="DM456" s="29"/>
      <c r="DN456" s="29"/>
      <c r="DO456" s="29"/>
      <c r="DP456" s="29"/>
      <c r="DQ456" s="29"/>
      <c r="DR456" s="29"/>
      <c r="DS456" s="29"/>
      <c r="DT456" s="29"/>
      <c r="DU456" s="29"/>
      <c r="DV456" s="29"/>
      <c r="DW456" s="29"/>
      <c r="DX456" s="29"/>
      <c r="DY456" s="29"/>
      <c r="DZ456" s="29"/>
      <c r="EA456" s="29"/>
      <c r="EB456" s="29"/>
      <c r="EC456" s="29"/>
      <c r="ED456" s="29" t="s">
        <v>5723</v>
      </c>
      <c r="EE456" s="29"/>
      <c r="EF456" s="29"/>
      <c r="EG456" s="29"/>
      <c r="EH456" s="29"/>
      <c r="EI456" s="29"/>
      <c r="EJ456" s="29"/>
      <c r="EK456" s="29"/>
      <c r="EL456" s="29"/>
      <c r="EM456" s="29"/>
      <c r="EN456" s="29"/>
      <c r="EO456" s="29" t="s">
        <v>8962</v>
      </c>
      <c r="EP456" s="29" t="s">
        <v>8963</v>
      </c>
      <c r="EQ456" s="29"/>
      <c r="ER456" s="29"/>
      <c r="ES456" s="29"/>
      <c r="ET456" s="29" t="s">
        <v>578</v>
      </c>
      <c r="EU456" s="29" t="s">
        <v>479</v>
      </c>
      <c r="EV456" s="29" t="s">
        <v>480</v>
      </c>
      <c r="EW456" s="29"/>
      <c r="EX456" s="29" t="s">
        <v>8964</v>
      </c>
      <c r="EY456" s="29" t="s">
        <v>8965</v>
      </c>
      <c r="EZ456" s="29" t="s">
        <v>413</v>
      </c>
      <c r="FA456" s="29" t="s">
        <v>416</v>
      </c>
      <c r="FB456" s="29" t="s">
        <v>413</v>
      </c>
      <c r="FC456" s="29" t="s">
        <v>413</v>
      </c>
      <c r="FD456" s="29" t="s">
        <v>413</v>
      </c>
      <c r="FE456" s="29" t="s">
        <v>415</v>
      </c>
      <c r="FF456" s="29" t="s">
        <v>413</v>
      </c>
      <c r="FG456" s="29" t="s">
        <v>413</v>
      </c>
      <c r="FH456" s="29" t="s">
        <v>583</v>
      </c>
      <c r="FI456" s="29" t="s">
        <v>583</v>
      </c>
      <c r="FJ456" s="29" t="s">
        <v>415</v>
      </c>
      <c r="FK456" s="29" t="s">
        <v>413</v>
      </c>
      <c r="FL456" s="29" t="s">
        <v>414</v>
      </c>
      <c r="FM456" s="29" t="s">
        <v>416</v>
      </c>
      <c r="FN456" s="29" t="s">
        <v>583</v>
      </c>
      <c r="FO456" s="29" t="s">
        <v>417</v>
      </c>
      <c r="FP456" s="29" t="s">
        <v>418</v>
      </c>
      <c r="FQ456" s="29" t="s">
        <v>419</v>
      </c>
      <c r="FR456" s="29" t="s">
        <v>8966</v>
      </c>
      <c r="FS456" s="29" t="s">
        <v>420</v>
      </c>
      <c r="FT456" s="29" t="s">
        <v>488</v>
      </c>
      <c r="FU456" s="29" t="s">
        <v>533</v>
      </c>
      <c r="FV456" s="29" t="s">
        <v>490</v>
      </c>
      <c r="FW456" s="29" t="s">
        <v>491</v>
      </c>
      <c r="FX456" s="29" t="s">
        <v>8967</v>
      </c>
      <c r="FY456" s="29" t="s">
        <v>535</v>
      </c>
      <c r="FZ456" s="29"/>
      <c r="GA456" s="29" t="s">
        <v>8968</v>
      </c>
      <c r="GB456" s="29" t="s">
        <v>455</v>
      </c>
      <c r="GC456" s="29"/>
      <c r="GD456" s="29"/>
      <c r="GE456" s="29" t="s">
        <v>753</v>
      </c>
      <c r="GF456" s="29"/>
      <c r="GG456" s="29"/>
      <c r="GH456" s="29"/>
      <c r="GI456" s="29"/>
      <c r="GJ456" s="29"/>
      <c r="GK456" s="29"/>
      <c r="GL456" s="29"/>
      <c r="GM456" s="29"/>
      <c r="GN456" s="29"/>
      <c r="GO456" s="29"/>
      <c r="GP456" s="29"/>
      <c r="GQ456" s="29" t="s">
        <v>3208</v>
      </c>
      <c r="GR456" s="29"/>
      <c r="GS456" s="29"/>
      <c r="GT456" s="29"/>
      <c r="GU456" s="29"/>
      <c r="HP456" s="31"/>
      <c r="MX456" s="29" t="s">
        <v>10402</v>
      </c>
      <c r="MY456" s="29" t="str">
        <f>IFERROR(__xludf.DUMMYFUNCTION("""COMPUTED_VALUE"""),"Maine")</f>
        <v>Maine</v>
      </c>
    </row>
    <row r="457" ht="16.5" customHeight="1">
      <c r="A457" s="33">
        <v>46116.83796020833</v>
      </c>
      <c r="B457" s="29" t="s">
        <v>368</v>
      </c>
      <c r="C457" s="29" t="s">
        <v>370</v>
      </c>
      <c r="D457" s="29" t="s">
        <v>370</v>
      </c>
      <c r="E457" s="29" t="s">
        <v>4114</v>
      </c>
      <c r="F457" s="29" t="s">
        <v>4114</v>
      </c>
      <c r="G457" s="29" t="s">
        <v>422</v>
      </c>
      <c r="H457" s="29" t="s">
        <v>373</v>
      </c>
      <c r="I457" s="29" t="s">
        <v>638</v>
      </c>
      <c r="J457" s="29" t="s">
        <v>590</v>
      </c>
      <c r="K457" s="29" t="s">
        <v>376</v>
      </c>
      <c r="L457" s="29" t="s">
        <v>426</v>
      </c>
      <c r="M457" s="29" t="s">
        <v>639</v>
      </c>
      <c r="N457" s="29" t="s">
        <v>377</v>
      </c>
      <c r="O457" s="29" t="s">
        <v>497</v>
      </c>
      <c r="P457" s="29" t="s">
        <v>1760</v>
      </c>
      <c r="Q457" s="29" t="s">
        <v>382</v>
      </c>
      <c r="R457" s="29" t="s">
        <v>427</v>
      </c>
      <c r="S457" s="29" t="s">
        <v>384</v>
      </c>
      <c r="T457" s="29" t="s">
        <v>385</v>
      </c>
      <c r="U457" s="29"/>
      <c r="V457" s="29"/>
      <c r="W457" s="29" t="s">
        <v>3014</v>
      </c>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t="s">
        <v>1310</v>
      </c>
      <c r="AW457" s="29" t="s">
        <v>391</v>
      </c>
      <c r="AX457" s="29" t="s">
        <v>391</v>
      </c>
      <c r="AY457" s="29">
        <v>2.0</v>
      </c>
      <c r="AZ457" s="29">
        <v>2.0</v>
      </c>
      <c r="BA457" s="29" t="s">
        <v>391</v>
      </c>
      <c r="BB457" s="29">
        <v>2.0</v>
      </c>
      <c r="BC457" s="29" t="s">
        <v>8974</v>
      </c>
      <c r="BD457" s="29" t="s">
        <v>8975</v>
      </c>
      <c r="BE457" s="29" t="s">
        <v>432</v>
      </c>
      <c r="BF457" s="29" t="s">
        <v>433</v>
      </c>
      <c r="BG457" s="29" t="s">
        <v>765</v>
      </c>
      <c r="BH457" s="29" t="s">
        <v>8976</v>
      </c>
      <c r="BI457" s="29" t="s">
        <v>435</v>
      </c>
      <c r="BJ457" s="29" t="s">
        <v>8977</v>
      </c>
      <c r="BK457" s="29" t="s">
        <v>681</v>
      </c>
      <c r="BL457" s="29" t="s">
        <v>438</v>
      </c>
      <c r="BM457" s="29" t="s">
        <v>1276</v>
      </c>
      <c r="BN457" s="29" t="s">
        <v>513</v>
      </c>
      <c r="BO457" s="29"/>
      <c r="BP457" s="29"/>
      <c r="BQ457" s="29"/>
      <c r="BR457" s="29"/>
      <c r="BS457" s="29"/>
      <c r="BT457" s="29"/>
      <c r="BU457" s="29"/>
      <c r="BV457" s="29"/>
      <c r="BW457" s="29"/>
      <c r="BX457" s="29"/>
      <c r="BY457" s="29"/>
      <c r="BZ457" s="29"/>
      <c r="CA457" s="29"/>
      <c r="CB457" s="29"/>
      <c r="CC457" s="29"/>
      <c r="CD457" s="29"/>
      <c r="CE457" s="29"/>
      <c r="CF457" s="29"/>
      <c r="CG457" s="29"/>
      <c r="CH457" s="29"/>
      <c r="CI457" s="29"/>
      <c r="CJ457" s="29"/>
      <c r="CK457" s="29"/>
      <c r="CL457" s="29" t="s">
        <v>441</v>
      </c>
      <c r="CM457" s="29" t="s">
        <v>401</v>
      </c>
      <c r="CN457" s="29" t="s">
        <v>552</v>
      </c>
      <c r="CO457" s="29" t="s">
        <v>8978</v>
      </c>
      <c r="CP457" s="29" t="s">
        <v>685</v>
      </c>
      <c r="CQ457" s="29" t="s">
        <v>8979</v>
      </c>
      <c r="CR457" s="29" t="s">
        <v>447</v>
      </c>
      <c r="CS457" s="29" t="s">
        <v>805</v>
      </c>
      <c r="CT457" s="29" t="s">
        <v>8980</v>
      </c>
      <c r="CU457" s="29" t="s">
        <v>450</v>
      </c>
      <c r="CV457" s="29" t="s">
        <v>451</v>
      </c>
      <c r="CW457" s="29" t="s">
        <v>8981</v>
      </c>
      <c r="CX457" s="29" t="s">
        <v>408</v>
      </c>
      <c r="CY457" s="29"/>
      <c r="CZ457" s="29" t="s">
        <v>985</v>
      </c>
      <c r="DA457" s="29" t="s">
        <v>8982</v>
      </c>
      <c r="DB457" s="29" t="s">
        <v>913</v>
      </c>
      <c r="DC457" s="29"/>
      <c r="DD457" s="29" t="s">
        <v>457</v>
      </c>
      <c r="DE457" s="29" t="s">
        <v>407</v>
      </c>
      <c r="DF457" s="29" t="s">
        <v>8983</v>
      </c>
      <c r="DG457" s="29" t="s">
        <v>561</v>
      </c>
      <c r="DH457" s="29" t="s">
        <v>410</v>
      </c>
      <c r="DI457" s="29" t="s">
        <v>459</v>
      </c>
      <c r="DJ457" s="29" t="s">
        <v>613</v>
      </c>
      <c r="DK457" s="29"/>
      <c r="DL457" s="29"/>
      <c r="DM457" s="29"/>
      <c r="DN457" s="29"/>
      <c r="DO457" s="29"/>
      <c r="DP457" s="29"/>
      <c r="DQ457" s="29"/>
      <c r="DR457" s="29"/>
      <c r="DS457" s="29"/>
      <c r="DT457" s="29"/>
      <c r="DU457" s="29"/>
      <c r="DV457" s="29"/>
      <c r="DW457" s="29"/>
      <c r="DX457" s="29"/>
      <c r="DY457" s="29"/>
      <c r="DZ457" s="29"/>
      <c r="EA457" s="29"/>
      <c r="EB457" s="29"/>
      <c r="EC457" s="29"/>
      <c r="ED457" s="29"/>
      <c r="EE457" s="29"/>
      <c r="EF457" s="29"/>
      <c r="EG457" s="29"/>
      <c r="EH457" s="29"/>
      <c r="EI457" s="29"/>
      <c r="EJ457" s="29"/>
      <c r="EK457" s="29"/>
      <c r="EL457" s="29"/>
      <c r="EM457" s="29"/>
      <c r="EN457" s="29"/>
      <c r="EO457" s="29"/>
      <c r="EP457" s="29"/>
      <c r="EQ457" s="29"/>
      <c r="ER457" s="29"/>
      <c r="ES457" s="29"/>
      <c r="ET457" s="29" t="s">
        <v>526</v>
      </c>
      <c r="EU457" s="29" t="s">
        <v>479</v>
      </c>
      <c r="EV457" s="29" t="s">
        <v>527</v>
      </c>
      <c r="EW457" s="29" t="s">
        <v>8984</v>
      </c>
      <c r="EX457" s="29" t="s">
        <v>8985</v>
      </c>
      <c r="EY457" s="29" t="s">
        <v>8986</v>
      </c>
      <c r="EZ457" s="29" t="s">
        <v>414</v>
      </c>
      <c r="FA457" s="29" t="s">
        <v>583</v>
      </c>
      <c r="FB457" s="29" t="s">
        <v>414</v>
      </c>
      <c r="FC457" s="29" t="s">
        <v>414</v>
      </c>
      <c r="FD457" s="29" t="s">
        <v>416</v>
      </c>
      <c r="FE457" s="29" t="s">
        <v>583</v>
      </c>
      <c r="FF457" s="29" t="s">
        <v>415</v>
      </c>
      <c r="FG457" s="29" t="s">
        <v>414</v>
      </c>
      <c r="FH457" s="29" t="s">
        <v>416</v>
      </c>
      <c r="FI457" s="29" t="s">
        <v>583</v>
      </c>
      <c r="FJ457" s="29" t="s">
        <v>414</v>
      </c>
      <c r="FK457" s="29" t="s">
        <v>583</v>
      </c>
      <c r="FL457" s="29" t="s">
        <v>484</v>
      </c>
      <c r="FM457" s="29" t="s">
        <v>414</v>
      </c>
      <c r="FN457" s="29" t="s">
        <v>583</v>
      </c>
      <c r="FO457" s="29" t="s">
        <v>485</v>
      </c>
      <c r="FP457" s="29" t="s">
        <v>486</v>
      </c>
      <c r="FQ457" s="29" t="s">
        <v>419</v>
      </c>
      <c r="FR457" s="29" t="s">
        <v>8987</v>
      </c>
      <c r="FS457" s="29" t="s">
        <v>1189</v>
      </c>
      <c r="FT457" s="29" t="s">
        <v>1462</v>
      </c>
      <c r="FU457" s="29" t="s">
        <v>533</v>
      </c>
      <c r="FV457" s="29" t="s">
        <v>490</v>
      </c>
      <c r="FW457" s="29" t="s">
        <v>491</v>
      </c>
      <c r="FX457" s="29" t="s">
        <v>8988</v>
      </c>
      <c r="FY457" s="29" t="s">
        <v>493</v>
      </c>
      <c r="FZ457" s="29" t="s">
        <v>8989</v>
      </c>
      <c r="GA457" s="29" t="s">
        <v>8990</v>
      </c>
      <c r="GB457" s="29" t="s">
        <v>408</v>
      </c>
      <c r="GC457" s="29"/>
      <c r="GD457" s="29"/>
      <c r="GE457" s="29"/>
      <c r="GF457" s="29"/>
      <c r="GG457" s="29" t="s">
        <v>857</v>
      </c>
      <c r="GH457" s="29" t="s">
        <v>857</v>
      </c>
      <c r="GI457" s="29" t="s">
        <v>817</v>
      </c>
      <c r="GJ457" s="29"/>
      <c r="GK457" s="29"/>
      <c r="GL457" s="29"/>
      <c r="GM457" s="29"/>
      <c r="GN457" s="29"/>
      <c r="GO457" s="29"/>
      <c r="GP457" s="29"/>
      <c r="GQ457" s="29" t="s">
        <v>3208</v>
      </c>
      <c r="GR457" s="29"/>
      <c r="GS457" s="29"/>
      <c r="GT457" s="29" t="s">
        <v>4774</v>
      </c>
      <c r="GU457" s="29"/>
      <c r="HP457" s="31"/>
      <c r="MX457" s="29" t="s">
        <v>538</v>
      </c>
      <c r="MY457" s="29" t="str">
        <f>IFERROR(__xludf.DUMMYFUNCTION("""COMPUTED_VALUE"""),"United Kingdom")</f>
        <v>United Kingdom</v>
      </c>
    </row>
    <row r="458" ht="16.5" customHeight="1">
      <c r="A458" s="33">
        <v>46117.02418079861</v>
      </c>
      <c r="B458" s="29" t="s">
        <v>368</v>
      </c>
      <c r="C458" s="29" t="s">
        <v>538</v>
      </c>
      <c r="D458" s="29" t="s">
        <v>538</v>
      </c>
      <c r="E458" s="29"/>
      <c r="F458" s="29"/>
      <c r="G458" s="29" t="s">
        <v>422</v>
      </c>
      <c r="H458" s="29" t="s">
        <v>539</v>
      </c>
      <c r="I458" s="29" t="s">
        <v>424</v>
      </c>
      <c r="J458" s="29" t="s">
        <v>375</v>
      </c>
      <c r="K458" s="29" t="s">
        <v>376</v>
      </c>
      <c r="L458" s="29" t="s">
        <v>379</v>
      </c>
      <c r="M458" s="29" t="s">
        <v>378</v>
      </c>
      <c r="N458" s="29" t="s">
        <v>426</v>
      </c>
      <c r="O458" s="29" t="s">
        <v>719</v>
      </c>
      <c r="P458" s="29" t="s">
        <v>592</v>
      </c>
      <c r="Q458" s="29" t="s">
        <v>499</v>
      </c>
      <c r="R458" s="29" t="s">
        <v>427</v>
      </c>
      <c r="S458" s="29" t="s">
        <v>384</v>
      </c>
      <c r="T458" s="29" t="s">
        <v>385</v>
      </c>
      <c r="U458" s="29"/>
      <c r="V458" s="29"/>
      <c r="W458" s="29" t="s">
        <v>386</v>
      </c>
      <c r="X458" s="29" t="s">
        <v>387</v>
      </c>
      <c r="Y458" s="29" t="s">
        <v>388</v>
      </c>
      <c r="Z458" s="29" t="s">
        <v>389</v>
      </c>
      <c r="AA458" s="29" t="s">
        <v>8991</v>
      </c>
      <c r="AB458" s="29"/>
      <c r="AC458" s="29"/>
      <c r="AD458" s="29"/>
      <c r="AE458" s="29"/>
      <c r="AF458" s="29"/>
      <c r="AG458" s="29"/>
      <c r="AH458" s="29"/>
      <c r="AI458" s="29"/>
      <c r="AJ458" s="29"/>
      <c r="AK458" s="29"/>
      <c r="AL458" s="29"/>
      <c r="AM458" s="29"/>
      <c r="AN458" s="29"/>
      <c r="AO458" s="29"/>
      <c r="AP458" s="29"/>
      <c r="AQ458" s="29"/>
      <c r="AR458" s="29"/>
      <c r="AS458" s="29"/>
      <c r="AT458" s="29"/>
      <c r="AU458" s="29"/>
      <c r="AV458" s="29" t="s">
        <v>1310</v>
      </c>
      <c r="AW458" s="29" t="s">
        <v>675</v>
      </c>
      <c r="AX458" s="29" t="s">
        <v>675</v>
      </c>
      <c r="AY458" s="29" t="s">
        <v>675</v>
      </c>
      <c r="AZ458" s="29" t="s">
        <v>675</v>
      </c>
      <c r="BA458" s="29" t="s">
        <v>675</v>
      </c>
      <c r="BB458" s="29" t="s">
        <v>675</v>
      </c>
      <c r="BC458" s="29" t="s">
        <v>8992</v>
      </c>
      <c r="BD458" s="29" t="s">
        <v>8993</v>
      </c>
      <c r="BE458" s="29" t="s">
        <v>902</v>
      </c>
      <c r="BF458" s="29" t="s">
        <v>1095</v>
      </c>
      <c r="BG458" s="29" t="s">
        <v>394</v>
      </c>
      <c r="BH458" s="29"/>
      <c r="BI458" s="29" t="s">
        <v>976</v>
      </c>
      <c r="BJ458" s="29"/>
      <c r="BK458" s="29" t="s">
        <v>602</v>
      </c>
      <c r="BL458" s="29" t="s">
        <v>904</v>
      </c>
      <c r="BM458" s="29" t="s">
        <v>1247</v>
      </c>
      <c r="BN458" s="29" t="s">
        <v>398</v>
      </c>
      <c r="BO458" s="29" t="s">
        <v>8994</v>
      </c>
      <c r="BP458" s="29" t="s">
        <v>8995</v>
      </c>
      <c r="BQ458" s="29" t="s">
        <v>442</v>
      </c>
      <c r="BR458" s="29" t="s">
        <v>4462</v>
      </c>
      <c r="BS458" s="29" t="s">
        <v>4071</v>
      </c>
      <c r="BT458" s="29" t="s">
        <v>1994</v>
      </c>
      <c r="BU458" s="29" t="s">
        <v>405</v>
      </c>
      <c r="BV458" s="29"/>
      <c r="BW458" s="29" t="s">
        <v>406</v>
      </c>
      <c r="BX458" s="29" t="s">
        <v>1867</v>
      </c>
      <c r="BY458" s="29" t="s">
        <v>408</v>
      </c>
      <c r="BZ458" s="29"/>
      <c r="CA458" s="29"/>
      <c r="CB458" s="29" t="s">
        <v>8996</v>
      </c>
      <c r="CC458" s="29" t="s">
        <v>8997</v>
      </c>
      <c r="CD458" s="29" t="s">
        <v>1931</v>
      </c>
      <c r="CE458" s="29"/>
      <c r="CF458" s="29" t="s">
        <v>1258</v>
      </c>
      <c r="CG458" s="29"/>
      <c r="CH458" s="29" t="s">
        <v>1259</v>
      </c>
      <c r="CI458" s="29" t="s">
        <v>1964</v>
      </c>
      <c r="CJ458" s="29" t="s">
        <v>8998</v>
      </c>
      <c r="CK458" s="29" t="s">
        <v>8999</v>
      </c>
      <c r="CL458" s="29"/>
      <c r="CM458" s="29"/>
      <c r="CN458" s="29"/>
      <c r="CO458" s="29"/>
      <c r="CP458" s="29"/>
      <c r="CQ458" s="29"/>
      <c r="CR458" s="29"/>
      <c r="CS458" s="29"/>
      <c r="CT458" s="29"/>
      <c r="CU458" s="29"/>
      <c r="CV458" s="29"/>
      <c r="CW458" s="29"/>
      <c r="CX458" s="29"/>
      <c r="CY458" s="29"/>
      <c r="CZ458" s="29"/>
      <c r="DA458" s="29"/>
      <c r="DB458" s="29"/>
      <c r="DC458" s="29"/>
      <c r="DD458" s="29"/>
      <c r="DE458" s="29"/>
      <c r="DF458" s="29"/>
      <c r="DG458" s="29"/>
      <c r="DH458" s="29"/>
      <c r="DI458" s="29" t="s">
        <v>459</v>
      </c>
      <c r="DJ458" s="29" t="s">
        <v>562</v>
      </c>
      <c r="DK458" s="29" t="s">
        <v>7805</v>
      </c>
      <c r="DL458" s="29" t="s">
        <v>9000</v>
      </c>
      <c r="DM458" s="29"/>
      <c r="DN458" s="29"/>
      <c r="DO458" s="29"/>
      <c r="DP458" s="29"/>
      <c r="DQ458" s="29"/>
      <c r="DR458" s="29"/>
      <c r="DS458" s="29"/>
      <c r="DT458" s="29"/>
      <c r="DU458" s="29"/>
      <c r="DV458" s="29"/>
      <c r="DW458" s="29"/>
      <c r="DX458" s="29"/>
      <c r="DY458" s="29"/>
      <c r="DZ458" s="29"/>
      <c r="EA458" s="29"/>
      <c r="EB458" s="29"/>
      <c r="EC458" s="29"/>
      <c r="ED458" s="29"/>
      <c r="EE458" s="29"/>
      <c r="EF458" s="29"/>
      <c r="EG458" s="29"/>
      <c r="EH458" s="29"/>
      <c r="EI458" s="29"/>
      <c r="EJ458" s="29"/>
      <c r="EK458" s="29"/>
      <c r="EL458" s="29"/>
      <c r="EM458" s="29"/>
      <c r="EN458" s="29"/>
      <c r="EO458" s="29"/>
      <c r="EP458" s="29"/>
      <c r="EQ458" s="29"/>
      <c r="ER458" s="29"/>
      <c r="ES458" s="29"/>
      <c r="ET458" s="29" t="s">
        <v>526</v>
      </c>
      <c r="EU458" s="29" t="s">
        <v>579</v>
      </c>
      <c r="EV458" s="29" t="s">
        <v>580</v>
      </c>
      <c r="EW458" s="29"/>
      <c r="EX458" s="29"/>
      <c r="EY458" s="29"/>
      <c r="EZ458" s="29" t="s">
        <v>413</v>
      </c>
      <c r="FA458" s="29" t="s">
        <v>415</v>
      </c>
      <c r="FB458" s="29" t="s">
        <v>413</v>
      </c>
      <c r="FC458" s="29" t="s">
        <v>413</v>
      </c>
      <c r="FD458" s="29" t="s">
        <v>413</v>
      </c>
      <c r="FE458" s="29" t="s">
        <v>413</v>
      </c>
      <c r="FF458" s="29" t="s">
        <v>413</v>
      </c>
      <c r="FG458" s="29" t="s">
        <v>413</v>
      </c>
      <c r="FH458" s="29" t="s">
        <v>414</v>
      </c>
      <c r="FI458" s="29" t="s">
        <v>413</v>
      </c>
      <c r="FJ458" s="29" t="s">
        <v>413</v>
      </c>
      <c r="FK458" s="29" t="s">
        <v>413</v>
      </c>
      <c r="FL458" s="29" t="s">
        <v>413</v>
      </c>
      <c r="FM458" s="29" t="s">
        <v>413</v>
      </c>
      <c r="FN458" s="29" t="s">
        <v>416</v>
      </c>
      <c r="FO458" s="29" t="s">
        <v>417</v>
      </c>
      <c r="FP458" s="29" t="s">
        <v>418</v>
      </c>
      <c r="FQ458" s="29" t="s">
        <v>1039</v>
      </c>
      <c r="FR458" s="29"/>
      <c r="FS458" s="29" t="s">
        <v>420</v>
      </c>
      <c r="FT458" s="29" t="s">
        <v>488</v>
      </c>
      <c r="FU458" s="29" t="s">
        <v>1235</v>
      </c>
      <c r="FV458" s="29" t="s">
        <v>490</v>
      </c>
      <c r="FW458" s="29" t="s">
        <v>491</v>
      </c>
      <c r="FX458" s="29" t="s">
        <v>9001</v>
      </c>
      <c r="FY458" s="29" t="s">
        <v>493</v>
      </c>
      <c r="FZ458" s="29"/>
      <c r="GA458" s="29"/>
      <c r="GB458" s="29" t="s">
        <v>408</v>
      </c>
      <c r="GC458" s="29"/>
      <c r="GD458" s="29"/>
      <c r="GE458" s="29"/>
      <c r="GF458" s="29"/>
      <c r="GG458" s="29"/>
      <c r="GH458" s="29"/>
      <c r="GI458" s="29"/>
      <c r="GJ458" s="29" t="s">
        <v>920</v>
      </c>
      <c r="GK458" s="29" t="s">
        <v>920</v>
      </c>
      <c r="GL458" s="29" t="s">
        <v>858</v>
      </c>
      <c r="GM458" s="29"/>
      <c r="GN458" s="29" t="s">
        <v>5767</v>
      </c>
      <c r="GO458" s="29" t="s">
        <v>5767</v>
      </c>
      <c r="GP458" s="29"/>
      <c r="GQ458" s="29" t="s">
        <v>3208</v>
      </c>
      <c r="GR458" s="29" t="s">
        <v>4741</v>
      </c>
      <c r="GS458" s="29"/>
      <c r="GT458" s="29"/>
      <c r="GU458" s="29"/>
      <c r="HP458" s="31"/>
      <c r="MX458" s="29" t="s">
        <v>2025</v>
      </c>
      <c r="MY458" s="29" t="str">
        <f>IFERROR(__xludf.DUMMYFUNCTION("""COMPUTED_VALUE"""),"South Africa")</f>
        <v>South Africa</v>
      </c>
    </row>
    <row r="459" ht="16.5" customHeight="1">
      <c r="A459" s="33">
        <v>46117.10372409722</v>
      </c>
      <c r="B459" s="29" t="s">
        <v>368</v>
      </c>
      <c r="C459" s="29" t="s">
        <v>2025</v>
      </c>
      <c r="D459" s="29" t="s">
        <v>538</v>
      </c>
      <c r="E459" s="29"/>
      <c r="F459" s="29"/>
      <c r="G459" s="29" t="s">
        <v>422</v>
      </c>
      <c r="H459" s="29" t="s">
        <v>496</v>
      </c>
      <c r="I459" s="29" t="s">
        <v>374</v>
      </c>
      <c r="J459" s="29" t="s">
        <v>669</v>
      </c>
      <c r="K459" s="29" t="s">
        <v>376</v>
      </c>
      <c r="L459" s="29" t="s">
        <v>379</v>
      </c>
      <c r="M459" s="29" t="s">
        <v>639</v>
      </c>
      <c r="N459" s="29" t="s">
        <v>426</v>
      </c>
      <c r="O459" s="29" t="s">
        <v>639</v>
      </c>
      <c r="P459" s="29" t="s">
        <v>381</v>
      </c>
      <c r="Q459" s="29" t="s">
        <v>499</v>
      </c>
      <c r="R459" s="29" t="s">
        <v>500</v>
      </c>
      <c r="S459" s="29" t="s">
        <v>384</v>
      </c>
      <c r="T459" s="29" t="s">
        <v>385</v>
      </c>
      <c r="U459" s="29"/>
      <c r="V459" s="29"/>
      <c r="W459" s="29" t="s">
        <v>593</v>
      </c>
      <c r="X459" s="29" t="s">
        <v>387</v>
      </c>
      <c r="Y459" s="29" t="s">
        <v>897</v>
      </c>
      <c r="Z459" s="29" t="s">
        <v>543</v>
      </c>
      <c r="AA459" s="29" t="s">
        <v>9002</v>
      </c>
      <c r="AB459" s="29" t="s">
        <v>9003</v>
      </c>
      <c r="AC459" s="29"/>
      <c r="AD459" s="29"/>
      <c r="AE459" s="29"/>
      <c r="AF459" s="29"/>
      <c r="AG459" s="29"/>
      <c r="AH459" s="29"/>
      <c r="AI459" s="29"/>
      <c r="AJ459" s="29"/>
      <c r="AK459" s="29"/>
      <c r="AL459" s="29"/>
      <c r="AM459" s="29"/>
      <c r="AN459" s="29"/>
      <c r="AO459" s="29"/>
      <c r="AP459" s="29"/>
      <c r="AQ459" s="29"/>
      <c r="AR459" s="29"/>
      <c r="AS459" s="29"/>
      <c r="AT459" s="29"/>
      <c r="AU459" s="29"/>
      <c r="AV459" s="29" t="s">
        <v>1310</v>
      </c>
      <c r="AW459" s="29">
        <v>4.0</v>
      </c>
      <c r="AX459" s="29" t="s">
        <v>675</v>
      </c>
      <c r="AY459" s="29">
        <v>4.0</v>
      </c>
      <c r="AZ459" s="29">
        <v>4.0</v>
      </c>
      <c r="BA459" s="29" t="s">
        <v>675</v>
      </c>
      <c r="BB459" s="29" t="s">
        <v>675</v>
      </c>
      <c r="BC459" s="29" t="s">
        <v>9004</v>
      </c>
      <c r="BD459" s="29" t="s">
        <v>9005</v>
      </c>
      <c r="BE459" s="29" t="s">
        <v>902</v>
      </c>
      <c r="BF459" s="29" t="s">
        <v>1095</v>
      </c>
      <c r="BG459" s="29" t="s">
        <v>394</v>
      </c>
      <c r="BH459" s="29" t="s">
        <v>9006</v>
      </c>
      <c r="BI459" s="29" t="s">
        <v>727</v>
      </c>
      <c r="BJ459" s="29"/>
      <c r="BK459" s="29" t="s">
        <v>511</v>
      </c>
      <c r="BL459" s="29" t="s">
        <v>603</v>
      </c>
      <c r="BM459" s="29" t="s">
        <v>1247</v>
      </c>
      <c r="BN459" s="29" t="s">
        <v>398</v>
      </c>
      <c r="BO459" s="29" t="s">
        <v>9007</v>
      </c>
      <c r="BP459" s="29" t="s">
        <v>9008</v>
      </c>
      <c r="BQ459" s="29" t="s">
        <v>604</v>
      </c>
      <c r="BR459" s="29" t="s">
        <v>9009</v>
      </c>
      <c r="BS459" s="29" t="s">
        <v>403</v>
      </c>
      <c r="BT459" s="29" t="s">
        <v>404</v>
      </c>
      <c r="BU459" s="29" t="s">
        <v>1693</v>
      </c>
      <c r="BV459" s="29" t="s">
        <v>9010</v>
      </c>
      <c r="BW459" s="29" t="s">
        <v>406</v>
      </c>
      <c r="BX459" s="29" t="s">
        <v>2503</v>
      </c>
      <c r="BY459" s="29" t="s">
        <v>408</v>
      </c>
      <c r="BZ459" s="29"/>
      <c r="CA459" s="29" t="s">
        <v>9011</v>
      </c>
      <c r="CB459" s="29" t="s">
        <v>9012</v>
      </c>
      <c r="CC459" s="29" t="s">
        <v>9013</v>
      </c>
      <c r="CD459" s="29" t="s">
        <v>451</v>
      </c>
      <c r="CE459" s="29" t="s">
        <v>9014</v>
      </c>
      <c r="CF459" s="29" t="s">
        <v>1722</v>
      </c>
      <c r="CG459" s="29" t="s">
        <v>9015</v>
      </c>
      <c r="CH459" s="29" t="s">
        <v>1679</v>
      </c>
      <c r="CI459" s="29" t="s">
        <v>1220</v>
      </c>
      <c r="CJ459" s="29" t="s">
        <v>9016</v>
      </c>
      <c r="CK459" s="29" t="s">
        <v>9017</v>
      </c>
      <c r="CL459" s="29"/>
      <c r="CM459" s="29"/>
      <c r="CN459" s="29"/>
      <c r="CO459" s="29"/>
      <c r="CP459" s="29"/>
      <c r="CQ459" s="29"/>
      <c r="CR459" s="29"/>
      <c r="CS459" s="29"/>
      <c r="CT459" s="29"/>
      <c r="CU459" s="29"/>
      <c r="CV459" s="29"/>
      <c r="CW459" s="29"/>
      <c r="CX459" s="29"/>
      <c r="CY459" s="29"/>
      <c r="CZ459" s="29"/>
      <c r="DA459" s="29"/>
      <c r="DB459" s="29"/>
      <c r="DC459" s="29"/>
      <c r="DD459" s="29"/>
      <c r="DE459" s="29"/>
      <c r="DF459" s="29"/>
      <c r="DG459" s="29"/>
      <c r="DH459" s="29"/>
      <c r="DI459" s="29" t="s">
        <v>459</v>
      </c>
      <c r="DJ459" s="29" t="s">
        <v>613</v>
      </c>
      <c r="DK459" s="29"/>
      <c r="DL459" s="29"/>
      <c r="DM459" s="29"/>
      <c r="DN459" s="29"/>
      <c r="DO459" s="29"/>
      <c r="DP459" s="29"/>
      <c r="DQ459" s="29"/>
      <c r="DR459" s="29"/>
      <c r="DS459" s="29"/>
      <c r="DT459" s="29"/>
      <c r="DU459" s="29"/>
      <c r="DV459" s="29"/>
      <c r="DW459" s="29"/>
      <c r="DX459" s="29"/>
      <c r="DY459" s="29"/>
      <c r="DZ459" s="29"/>
      <c r="EA459" s="29"/>
      <c r="EB459" s="29"/>
      <c r="EC459" s="29"/>
      <c r="ED459" s="29"/>
      <c r="EE459" s="29"/>
      <c r="EF459" s="29"/>
      <c r="EG459" s="29"/>
      <c r="EH459" s="29"/>
      <c r="EI459" s="29"/>
      <c r="EJ459" s="29"/>
      <c r="EK459" s="29"/>
      <c r="EL459" s="29"/>
      <c r="EM459" s="29"/>
      <c r="EN459" s="29"/>
      <c r="EO459" s="29"/>
      <c r="EP459" s="29"/>
      <c r="EQ459" s="29"/>
      <c r="ER459" s="29"/>
      <c r="ES459" s="29"/>
      <c r="ET459" s="29" t="s">
        <v>478</v>
      </c>
      <c r="EU459" s="29" t="s">
        <v>1037</v>
      </c>
      <c r="EV459" s="29" t="s">
        <v>1262</v>
      </c>
      <c r="EW459" s="29"/>
      <c r="EX459" s="29" t="s">
        <v>9018</v>
      </c>
      <c r="EY459" s="29" t="s">
        <v>9019</v>
      </c>
      <c r="EZ459" s="29" t="s">
        <v>415</v>
      </c>
      <c r="FA459" s="29" t="s">
        <v>414</v>
      </c>
      <c r="FB459" s="29" t="s">
        <v>413</v>
      </c>
      <c r="FC459" s="29" t="s">
        <v>413</v>
      </c>
      <c r="FD459" s="29" t="s">
        <v>413</v>
      </c>
      <c r="FE459" s="29" t="s">
        <v>414</v>
      </c>
      <c r="FF459" s="29" t="s">
        <v>416</v>
      </c>
      <c r="FG459" s="29" t="s">
        <v>416</v>
      </c>
      <c r="FH459" s="29" t="s">
        <v>583</v>
      </c>
      <c r="FI459" s="29" t="s">
        <v>415</v>
      </c>
      <c r="FJ459" s="29" t="s">
        <v>415</v>
      </c>
      <c r="FK459" s="29" t="s">
        <v>416</v>
      </c>
      <c r="FL459" s="29" t="s">
        <v>415</v>
      </c>
      <c r="FM459" s="29" t="s">
        <v>416</v>
      </c>
      <c r="FN459" s="29" t="s">
        <v>414</v>
      </c>
      <c r="FO459" s="29" t="s">
        <v>417</v>
      </c>
      <c r="FP459" s="29" t="s">
        <v>418</v>
      </c>
      <c r="FQ459" s="29" t="s">
        <v>749</v>
      </c>
      <c r="FR459" s="29" t="s">
        <v>9020</v>
      </c>
      <c r="FS459" s="29" t="s">
        <v>1189</v>
      </c>
      <c r="FT459" s="29" t="s">
        <v>488</v>
      </c>
      <c r="FU459" s="29" t="s">
        <v>918</v>
      </c>
      <c r="FV459" s="29" t="s">
        <v>490</v>
      </c>
      <c r="FW459" s="29" t="s">
        <v>491</v>
      </c>
      <c r="FX459" s="29" t="s">
        <v>9021</v>
      </c>
      <c r="FY459" s="29" t="s">
        <v>493</v>
      </c>
      <c r="FZ459" s="29"/>
      <c r="GA459" s="29"/>
      <c r="GB459" s="29" t="s">
        <v>455</v>
      </c>
      <c r="GC459" s="29"/>
      <c r="GD459" s="29"/>
      <c r="GE459" s="29" t="s">
        <v>855</v>
      </c>
      <c r="GF459" s="29"/>
      <c r="GG459" s="29"/>
      <c r="GH459" s="29"/>
      <c r="GI459" s="29"/>
      <c r="GJ459" s="29" t="s">
        <v>1000</v>
      </c>
      <c r="GK459" s="29" t="s">
        <v>755</v>
      </c>
      <c r="GL459" s="29" t="s">
        <v>756</v>
      </c>
      <c r="GM459" s="29"/>
      <c r="GN459" s="29" t="s">
        <v>2025</v>
      </c>
      <c r="GO459" s="29" t="s">
        <v>538</v>
      </c>
      <c r="GP459" s="29"/>
      <c r="GQ459" s="29" t="s">
        <v>3208</v>
      </c>
      <c r="GR459" s="29" t="s">
        <v>4774</v>
      </c>
      <c r="GS459" s="29"/>
      <c r="GT459" s="29"/>
      <c r="GU459" s="29"/>
      <c r="HP459" s="31"/>
      <c r="MX459" s="29" t="s">
        <v>1201</v>
      </c>
      <c r="MY459" s="29" t="str">
        <f>IFERROR(__xludf.DUMMYFUNCTION("""COMPUTED_VALUE"""),"Australia")</f>
        <v>Australia</v>
      </c>
    </row>
    <row r="460" ht="16.5" customHeight="1">
      <c r="A460" s="33">
        <v>46117.11012297454</v>
      </c>
      <c r="B460" s="29" t="s">
        <v>368</v>
      </c>
      <c r="C460" s="29" t="s">
        <v>1201</v>
      </c>
      <c r="D460" s="29" t="s">
        <v>1201</v>
      </c>
      <c r="E460" s="29"/>
      <c r="F460" s="29"/>
      <c r="G460" s="29" t="s">
        <v>422</v>
      </c>
      <c r="H460" s="29" t="s">
        <v>496</v>
      </c>
      <c r="I460" s="29"/>
      <c r="J460" s="29" t="s">
        <v>718</v>
      </c>
      <c r="K460" s="29" t="s">
        <v>376</v>
      </c>
      <c r="L460" s="29" t="s">
        <v>377</v>
      </c>
      <c r="M460" s="29" t="s">
        <v>541</v>
      </c>
      <c r="N460" s="29" t="s">
        <v>379</v>
      </c>
      <c r="O460" s="29" t="s">
        <v>671</v>
      </c>
      <c r="P460" s="29" t="s">
        <v>592</v>
      </c>
      <c r="Q460" s="29" t="s">
        <v>1156</v>
      </c>
      <c r="R460" s="29" t="s">
        <v>3976</v>
      </c>
      <c r="S460" s="29" t="s">
        <v>384</v>
      </c>
      <c r="T460" s="29" t="s">
        <v>385</v>
      </c>
      <c r="U460" s="29"/>
      <c r="V460" s="29"/>
      <c r="W460" s="29" t="s">
        <v>593</v>
      </c>
      <c r="X460" s="29" t="s">
        <v>387</v>
      </c>
      <c r="Y460" s="29" t="s">
        <v>594</v>
      </c>
      <c r="Z460" s="29" t="s">
        <v>672</v>
      </c>
      <c r="AA460" s="29" t="s">
        <v>9024</v>
      </c>
      <c r="AB460" s="29" t="s">
        <v>9025</v>
      </c>
      <c r="AC460" s="29"/>
      <c r="AD460" s="29"/>
      <c r="AE460" s="29"/>
      <c r="AF460" s="29"/>
      <c r="AG460" s="29"/>
      <c r="AH460" s="29"/>
      <c r="AI460" s="29"/>
      <c r="AJ460" s="29"/>
      <c r="AK460" s="29"/>
      <c r="AL460" s="29"/>
      <c r="AM460" s="29"/>
      <c r="AN460" s="29"/>
      <c r="AO460" s="29"/>
      <c r="AP460" s="29"/>
      <c r="AQ460" s="29"/>
      <c r="AR460" s="29"/>
      <c r="AS460" s="29"/>
      <c r="AT460" s="29"/>
      <c r="AU460" s="29"/>
      <c r="AV460" s="29" t="s">
        <v>1310</v>
      </c>
      <c r="AW460" s="29" t="s">
        <v>391</v>
      </c>
      <c r="AX460" s="29">
        <v>2.0</v>
      </c>
      <c r="AY460" s="29">
        <v>2.0</v>
      </c>
      <c r="AZ460" s="29" t="s">
        <v>391</v>
      </c>
      <c r="BA460" s="29" t="s">
        <v>429</v>
      </c>
      <c r="BB460" s="29">
        <v>2.0</v>
      </c>
      <c r="BC460" s="29" t="s">
        <v>9026</v>
      </c>
      <c r="BD460" s="29" t="s">
        <v>9027</v>
      </c>
      <c r="BE460" s="29" t="s">
        <v>432</v>
      </c>
      <c r="BF460" s="29" t="s">
        <v>393</v>
      </c>
      <c r="BG460" s="29" t="s">
        <v>678</v>
      </c>
      <c r="BH460" s="29" t="s">
        <v>9028</v>
      </c>
      <c r="BI460" s="29" t="s">
        <v>976</v>
      </c>
      <c r="BJ460" s="29"/>
      <c r="BK460" s="29" t="s">
        <v>437</v>
      </c>
      <c r="BL460" s="29" t="s">
        <v>904</v>
      </c>
      <c r="BM460" s="29" t="s">
        <v>1247</v>
      </c>
      <c r="BN460" s="29" t="s">
        <v>513</v>
      </c>
      <c r="BO460" s="29"/>
      <c r="BP460" s="29"/>
      <c r="BQ460" s="29"/>
      <c r="BR460" s="29"/>
      <c r="BS460" s="29"/>
      <c r="BT460" s="29"/>
      <c r="BU460" s="29"/>
      <c r="BV460" s="29"/>
      <c r="BW460" s="29"/>
      <c r="BX460" s="29"/>
      <c r="BY460" s="29"/>
      <c r="BZ460" s="29"/>
      <c r="CA460" s="29"/>
      <c r="CB460" s="29"/>
      <c r="CC460" s="29"/>
      <c r="CD460" s="29"/>
      <c r="CE460" s="29"/>
      <c r="CF460" s="29"/>
      <c r="CG460" s="29"/>
      <c r="CH460" s="29"/>
      <c r="CI460" s="29"/>
      <c r="CJ460" s="29"/>
      <c r="CK460" s="29"/>
      <c r="CL460" s="29" t="s">
        <v>550</v>
      </c>
      <c r="CM460" s="29" t="s">
        <v>442</v>
      </c>
      <c r="CN460" s="29" t="s">
        <v>9029</v>
      </c>
      <c r="CO460" s="29" t="s">
        <v>9030</v>
      </c>
      <c r="CP460" s="29" t="s">
        <v>685</v>
      </c>
      <c r="CQ460" s="29" t="s">
        <v>4908</v>
      </c>
      <c r="CR460" s="29" t="s">
        <v>804</v>
      </c>
      <c r="CS460" s="29" t="s">
        <v>8203</v>
      </c>
      <c r="CT460" s="29" t="s">
        <v>9031</v>
      </c>
      <c r="CU460" s="29" t="s">
        <v>519</v>
      </c>
      <c r="CV460" s="29" t="s">
        <v>2393</v>
      </c>
      <c r="CW460" s="29"/>
      <c r="CX460" s="29" t="s">
        <v>408</v>
      </c>
      <c r="CY460" s="29"/>
      <c r="CZ460" s="29" t="s">
        <v>1962</v>
      </c>
      <c r="DA460" s="29"/>
      <c r="DB460" s="29" t="s">
        <v>408</v>
      </c>
      <c r="DC460" s="29"/>
      <c r="DD460" s="29" t="s">
        <v>457</v>
      </c>
      <c r="DE460" s="29"/>
      <c r="DF460" s="29" t="s">
        <v>9032</v>
      </c>
      <c r="DG460" s="29" t="s">
        <v>990</v>
      </c>
      <c r="DH460" s="29" t="s">
        <v>410</v>
      </c>
      <c r="DI460" s="29" t="s">
        <v>963</v>
      </c>
      <c r="DJ460" s="29" t="s">
        <v>613</v>
      </c>
      <c r="DK460" s="29"/>
      <c r="DL460" s="29"/>
      <c r="DM460" s="29"/>
      <c r="DN460" s="29"/>
      <c r="DO460" s="29"/>
      <c r="DP460" s="29"/>
      <c r="DQ460" s="29"/>
      <c r="DR460" s="29"/>
      <c r="DS460" s="29"/>
      <c r="DT460" s="29"/>
      <c r="DU460" s="29"/>
      <c r="DV460" s="29"/>
      <c r="DW460" s="29"/>
      <c r="DX460" s="29"/>
      <c r="DY460" s="29"/>
      <c r="DZ460" s="29"/>
      <c r="EA460" s="29"/>
      <c r="EB460" s="29"/>
      <c r="EC460" s="29"/>
      <c r="ED460" s="29"/>
      <c r="EE460" s="29"/>
      <c r="EF460" s="29"/>
      <c r="EG460" s="29"/>
      <c r="EH460" s="29"/>
      <c r="EI460" s="29"/>
      <c r="EJ460" s="29"/>
      <c r="EK460" s="29"/>
      <c r="EL460" s="29"/>
      <c r="EM460" s="29"/>
      <c r="EN460" s="29"/>
      <c r="EO460" s="29"/>
      <c r="EP460" s="29"/>
      <c r="EQ460" s="29"/>
      <c r="ER460" s="29"/>
      <c r="ES460" s="29"/>
      <c r="ET460" s="29" t="s">
        <v>478</v>
      </c>
      <c r="EU460" s="29" t="s">
        <v>479</v>
      </c>
      <c r="EV460" s="29" t="s">
        <v>527</v>
      </c>
      <c r="EW460" s="29" t="s">
        <v>9033</v>
      </c>
      <c r="EX460" s="29" t="s">
        <v>9034</v>
      </c>
      <c r="EY460" s="29" t="s">
        <v>9035</v>
      </c>
      <c r="EZ460" s="29" t="s">
        <v>583</v>
      </c>
      <c r="FA460" s="29" t="s">
        <v>583</v>
      </c>
      <c r="FB460" s="29" t="s">
        <v>416</v>
      </c>
      <c r="FC460" s="29" t="s">
        <v>583</v>
      </c>
      <c r="FD460" s="29" t="s">
        <v>415</v>
      </c>
      <c r="FE460" s="29" t="s">
        <v>583</v>
      </c>
      <c r="FF460" s="29" t="s">
        <v>583</v>
      </c>
      <c r="FG460" s="29" t="s">
        <v>415</v>
      </c>
      <c r="FH460" s="29" t="s">
        <v>415</v>
      </c>
      <c r="FI460" s="29" t="s">
        <v>414</v>
      </c>
      <c r="FJ460" s="29" t="s">
        <v>414</v>
      </c>
      <c r="FK460" s="29" t="s">
        <v>414</v>
      </c>
      <c r="FL460" s="29" t="s">
        <v>414</v>
      </c>
      <c r="FM460" s="29" t="s">
        <v>415</v>
      </c>
      <c r="FN460" s="29" t="s">
        <v>415</v>
      </c>
      <c r="FO460" s="29" t="s">
        <v>1074</v>
      </c>
      <c r="FP460" s="29" t="s">
        <v>3218</v>
      </c>
      <c r="FQ460" s="29" t="s">
        <v>419</v>
      </c>
      <c r="FR460" s="29" t="s">
        <v>9036</v>
      </c>
      <c r="FS460" s="29" t="s">
        <v>1871</v>
      </c>
      <c r="FT460" s="29" t="s">
        <v>421</v>
      </c>
      <c r="FU460" s="29" t="s">
        <v>533</v>
      </c>
      <c r="FV460" s="29" t="s">
        <v>2387</v>
      </c>
      <c r="FW460" s="29"/>
      <c r="FX460" s="29" t="s">
        <v>9037</v>
      </c>
      <c r="FY460" s="29" t="s">
        <v>1020</v>
      </c>
      <c r="FZ460" s="29" t="s">
        <v>9038</v>
      </c>
      <c r="GA460" s="29"/>
      <c r="GB460" s="29" t="s">
        <v>455</v>
      </c>
      <c r="GC460" s="29"/>
      <c r="GD460" s="29"/>
      <c r="GE460" s="29" t="s">
        <v>753</v>
      </c>
      <c r="GF460" s="29" t="s">
        <v>9039</v>
      </c>
      <c r="GG460" s="29" t="s">
        <v>1000</v>
      </c>
      <c r="GH460" s="29" t="s">
        <v>788</v>
      </c>
      <c r="GI460" s="29" t="s">
        <v>756</v>
      </c>
      <c r="GJ460" s="29"/>
      <c r="GK460" s="29"/>
      <c r="GL460" s="29"/>
      <c r="GM460" s="29"/>
      <c r="GN460" s="29"/>
      <c r="GO460" s="29" t="s">
        <v>9040</v>
      </c>
      <c r="GP460" s="29"/>
      <c r="GQ460" s="29" t="s">
        <v>3208</v>
      </c>
      <c r="GR460" s="29"/>
      <c r="GS460" s="29"/>
      <c r="GT460" s="29" t="s">
        <v>4774</v>
      </c>
      <c r="GU460" s="29"/>
      <c r="HP460" s="31"/>
      <c r="MX460" s="29" t="s">
        <v>10402</v>
      </c>
      <c r="MY460" s="29" t="str">
        <f>IFERROR(__xludf.DUMMYFUNCTION("""COMPUTED_VALUE"""),"California")</f>
        <v>California</v>
      </c>
    </row>
    <row r="461" ht="16.5" customHeight="1">
      <c r="A461" s="33">
        <v>46117.37274850694</v>
      </c>
      <c r="B461" s="29" t="s">
        <v>368</v>
      </c>
      <c r="C461" s="29" t="s">
        <v>370</v>
      </c>
      <c r="D461" s="29" t="s">
        <v>370</v>
      </c>
      <c r="E461" s="29" t="s">
        <v>371</v>
      </c>
      <c r="F461" s="29" t="s">
        <v>371</v>
      </c>
      <c r="G461" s="29" t="s">
        <v>1093</v>
      </c>
      <c r="H461" s="29" t="s">
        <v>373</v>
      </c>
      <c r="I461" s="29" t="s">
        <v>638</v>
      </c>
      <c r="J461" s="29" t="s">
        <v>425</v>
      </c>
      <c r="K461" s="29" t="s">
        <v>376</v>
      </c>
      <c r="L461" s="29" t="s">
        <v>379</v>
      </c>
      <c r="M461" s="29" t="s">
        <v>2464</v>
      </c>
      <c r="N461" s="29" t="s">
        <v>426</v>
      </c>
      <c r="O461" s="29" t="s">
        <v>719</v>
      </c>
      <c r="P461" s="29" t="s">
        <v>592</v>
      </c>
      <c r="Q461" s="29" t="s">
        <v>862</v>
      </c>
      <c r="R461" s="29" t="s">
        <v>427</v>
      </c>
      <c r="S461" s="29" t="s">
        <v>384</v>
      </c>
      <c r="T461" s="29" t="s">
        <v>385</v>
      </c>
      <c r="U461" s="29"/>
      <c r="V461" s="29"/>
      <c r="W461" s="29" t="s">
        <v>3231</v>
      </c>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t="s">
        <v>1310</v>
      </c>
      <c r="AW461" s="29" t="s">
        <v>391</v>
      </c>
      <c r="AX461" s="29">
        <v>2.0</v>
      </c>
      <c r="AY461" s="29">
        <v>2.0</v>
      </c>
      <c r="AZ461" s="29" t="s">
        <v>429</v>
      </c>
      <c r="BA461" s="29" t="s">
        <v>429</v>
      </c>
      <c r="BB461" s="29">
        <v>2.0</v>
      </c>
      <c r="BC461" s="29" t="s">
        <v>9042</v>
      </c>
      <c r="BD461" s="29" t="s">
        <v>9043</v>
      </c>
      <c r="BE461" s="29" t="s">
        <v>392</v>
      </c>
      <c r="BF461" s="29" t="s">
        <v>433</v>
      </c>
      <c r="BG461" s="29" t="s">
        <v>765</v>
      </c>
      <c r="BH461" s="29"/>
      <c r="BI461" s="29" t="s">
        <v>976</v>
      </c>
      <c r="BJ461" s="29"/>
      <c r="BK461" s="29" t="s">
        <v>681</v>
      </c>
      <c r="BL461" s="29" t="s">
        <v>904</v>
      </c>
      <c r="BM461" s="29" t="s">
        <v>1247</v>
      </c>
      <c r="BN461" s="29" t="s">
        <v>513</v>
      </c>
      <c r="BO461" s="29"/>
      <c r="BP461" s="29"/>
      <c r="BQ461" s="29"/>
      <c r="BR461" s="29"/>
      <c r="BS461" s="29"/>
      <c r="BT461" s="29"/>
      <c r="BU461" s="29"/>
      <c r="BV461" s="29"/>
      <c r="BW461" s="29"/>
      <c r="BX461" s="29"/>
      <c r="BY461" s="29"/>
      <c r="BZ461" s="29"/>
      <c r="CA461" s="29"/>
      <c r="CB461" s="29"/>
      <c r="CC461" s="29"/>
      <c r="CD461" s="29"/>
      <c r="CE461" s="29"/>
      <c r="CF461" s="29"/>
      <c r="CG461" s="29"/>
      <c r="CH461" s="29"/>
      <c r="CI461" s="29"/>
      <c r="CJ461" s="29"/>
      <c r="CK461" s="29"/>
      <c r="CL461" s="29" t="s">
        <v>682</v>
      </c>
      <c r="CM461" s="29" t="s">
        <v>401</v>
      </c>
      <c r="CN461" s="29" t="s">
        <v>9044</v>
      </c>
      <c r="CO461" s="29" t="s">
        <v>9045</v>
      </c>
      <c r="CP461" s="29"/>
      <c r="CQ461" s="29"/>
      <c r="CR461" s="29"/>
      <c r="CS461" s="29"/>
      <c r="CT461" s="29" t="s">
        <v>9046</v>
      </c>
      <c r="CU461" s="29" t="s">
        <v>982</v>
      </c>
      <c r="CV461" s="29" t="s">
        <v>959</v>
      </c>
      <c r="CW461" s="29"/>
      <c r="CX461" s="29" t="s">
        <v>408</v>
      </c>
      <c r="CY461" s="29"/>
      <c r="CZ461" s="29" t="s">
        <v>1962</v>
      </c>
      <c r="DA461" s="29"/>
      <c r="DB461" s="29" t="s">
        <v>913</v>
      </c>
      <c r="DC461" s="29"/>
      <c r="DD461" s="29"/>
      <c r="DE461" s="29"/>
      <c r="DF461" s="29"/>
      <c r="DG461" s="29" t="s">
        <v>693</v>
      </c>
      <c r="DH461" s="29" t="s">
        <v>1964</v>
      </c>
      <c r="DI461" s="29" t="s">
        <v>963</v>
      </c>
      <c r="DJ461" s="29" t="s">
        <v>613</v>
      </c>
      <c r="DK461" s="29"/>
      <c r="DL461" s="29"/>
      <c r="DM461" s="29"/>
      <c r="DN461" s="29"/>
      <c r="DO461" s="29"/>
      <c r="DP461" s="29"/>
      <c r="DQ461" s="29"/>
      <c r="DR461" s="29"/>
      <c r="DS461" s="29"/>
      <c r="DT461" s="29"/>
      <c r="DU461" s="29"/>
      <c r="DV461" s="29"/>
      <c r="DW461" s="29"/>
      <c r="DX461" s="29"/>
      <c r="DY461" s="29"/>
      <c r="DZ461" s="29"/>
      <c r="EA461" s="29"/>
      <c r="EB461" s="29"/>
      <c r="EC461" s="29"/>
      <c r="ED461" s="29"/>
      <c r="EE461" s="29"/>
      <c r="EF461" s="29"/>
      <c r="EG461" s="29"/>
      <c r="EH461" s="29"/>
      <c r="EI461" s="29"/>
      <c r="EJ461" s="29"/>
      <c r="EK461" s="29"/>
      <c r="EL461" s="29"/>
      <c r="EM461" s="29"/>
      <c r="EN461" s="29"/>
      <c r="EO461" s="29"/>
      <c r="EP461" s="29"/>
      <c r="EQ461" s="29"/>
      <c r="ER461" s="29"/>
      <c r="ES461" s="29"/>
      <c r="ET461" s="29" t="s">
        <v>526</v>
      </c>
      <c r="EU461" s="29" t="s">
        <v>1127</v>
      </c>
      <c r="EV461" s="29" t="s">
        <v>480</v>
      </c>
      <c r="EW461" s="29"/>
      <c r="EX461" s="29" t="s">
        <v>6932</v>
      </c>
      <c r="EY461" s="29" t="s">
        <v>1380</v>
      </c>
      <c r="EZ461" s="29" t="s">
        <v>414</v>
      </c>
      <c r="FA461" s="29" t="s">
        <v>414</v>
      </c>
      <c r="FB461" s="29" t="s">
        <v>416</v>
      </c>
      <c r="FC461" s="29" t="s">
        <v>415</v>
      </c>
      <c r="FD461" s="29" t="s">
        <v>413</v>
      </c>
      <c r="FE461" s="29" t="s">
        <v>583</v>
      </c>
      <c r="FF461" s="29" t="s">
        <v>414</v>
      </c>
      <c r="FG461" s="29" t="s">
        <v>413</v>
      </c>
      <c r="FH461" s="29" t="s">
        <v>583</v>
      </c>
      <c r="FI461" s="29" t="s">
        <v>583</v>
      </c>
      <c r="FJ461" s="29" t="s">
        <v>583</v>
      </c>
      <c r="FK461" s="29" t="s">
        <v>414</v>
      </c>
      <c r="FL461" s="29" t="s">
        <v>583</v>
      </c>
      <c r="FM461" s="29" t="s">
        <v>413</v>
      </c>
      <c r="FN461" s="29" t="s">
        <v>583</v>
      </c>
      <c r="FO461" s="29" t="s">
        <v>1074</v>
      </c>
      <c r="FP461" s="29" t="s">
        <v>418</v>
      </c>
      <c r="FQ461" s="29" t="s">
        <v>630</v>
      </c>
      <c r="FR461" s="29" t="s">
        <v>9047</v>
      </c>
      <c r="FS461" s="29" t="s">
        <v>1076</v>
      </c>
      <c r="FT461" s="29" t="s">
        <v>488</v>
      </c>
      <c r="FU461" s="29" t="s">
        <v>489</v>
      </c>
      <c r="FV461" s="29" t="s">
        <v>490</v>
      </c>
      <c r="FW461" s="29" t="s">
        <v>491</v>
      </c>
      <c r="FX461" s="29" t="s">
        <v>9048</v>
      </c>
      <c r="FY461" s="29" t="s">
        <v>493</v>
      </c>
      <c r="FZ461" s="29" t="s">
        <v>9049</v>
      </c>
      <c r="GA461" s="29"/>
      <c r="GB461" s="29" t="s">
        <v>408</v>
      </c>
      <c r="GC461" s="29"/>
      <c r="GD461" s="29"/>
      <c r="GE461" s="29"/>
      <c r="GF461" s="29"/>
      <c r="GG461" s="29" t="s">
        <v>920</v>
      </c>
      <c r="GH461" s="29" t="s">
        <v>920</v>
      </c>
      <c r="GI461" s="29" t="s">
        <v>817</v>
      </c>
      <c r="GJ461" s="29"/>
      <c r="GK461" s="29"/>
      <c r="GL461" s="29"/>
      <c r="GM461" s="29"/>
      <c r="GN461" s="29"/>
      <c r="GO461" s="29"/>
      <c r="GP461" s="29" t="s">
        <v>387</v>
      </c>
      <c r="GQ461" s="29" t="s">
        <v>3208</v>
      </c>
      <c r="GR461" s="29"/>
      <c r="GS461" s="29"/>
      <c r="GT461" s="29" t="s">
        <v>4774</v>
      </c>
      <c r="GU461" s="29"/>
      <c r="HP461" s="31"/>
      <c r="MX461" s="29" t="s">
        <v>10402</v>
      </c>
      <c r="MY461" s="29" t="str">
        <f>IFERROR(__xludf.DUMMYFUNCTION("""COMPUTED_VALUE"""),"Maryland")</f>
        <v>Maryland</v>
      </c>
    </row>
    <row r="462" ht="16.5" customHeight="1">
      <c r="A462" s="33">
        <v>46117.402412662035</v>
      </c>
      <c r="B462" s="29" t="s">
        <v>368</v>
      </c>
      <c r="C462" s="29" t="s">
        <v>370</v>
      </c>
      <c r="D462" s="29" t="s">
        <v>370</v>
      </c>
      <c r="E462" s="29" t="s">
        <v>859</v>
      </c>
      <c r="F462" s="29" t="s">
        <v>859</v>
      </c>
      <c r="G462" s="29" t="s">
        <v>422</v>
      </c>
      <c r="H462" s="29" t="s">
        <v>637</v>
      </c>
      <c r="I462" s="29" t="s">
        <v>638</v>
      </c>
      <c r="J462" s="29" t="s">
        <v>1023</v>
      </c>
      <c r="K462" s="29" t="s">
        <v>376</v>
      </c>
      <c r="L462" s="29" t="s">
        <v>793</v>
      </c>
      <c r="M462" s="29" t="s">
        <v>1024</v>
      </c>
      <c r="N462" s="29" t="s">
        <v>1526</v>
      </c>
      <c r="O462" s="29" t="s">
        <v>1024</v>
      </c>
      <c r="P462" s="29" t="s">
        <v>381</v>
      </c>
      <c r="Q462" s="29" t="s">
        <v>862</v>
      </c>
      <c r="R462" s="29" t="s">
        <v>795</v>
      </c>
      <c r="S462" s="29" t="s">
        <v>384</v>
      </c>
      <c r="T462" s="29" t="s">
        <v>385</v>
      </c>
      <c r="U462" s="29"/>
      <c r="V462" s="29"/>
      <c r="W462" s="29" t="s">
        <v>3014</v>
      </c>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t="s">
        <v>1310</v>
      </c>
      <c r="AW462" s="29" t="s">
        <v>675</v>
      </c>
      <c r="AX462" s="29" t="s">
        <v>675</v>
      </c>
      <c r="AY462" s="29" t="s">
        <v>391</v>
      </c>
      <c r="AZ462" s="29">
        <v>4.0</v>
      </c>
      <c r="BA462" s="29">
        <v>4.0</v>
      </c>
      <c r="BB462" s="29" t="s">
        <v>675</v>
      </c>
      <c r="BC462" s="29"/>
      <c r="BD462" s="29"/>
      <c r="BE462" s="29" t="s">
        <v>3114</v>
      </c>
      <c r="BF462" s="29" t="s">
        <v>1245</v>
      </c>
      <c r="BG462" s="29" t="s">
        <v>434</v>
      </c>
      <c r="BH462" s="29"/>
      <c r="BI462" s="29" t="s">
        <v>976</v>
      </c>
      <c r="BJ462" s="29"/>
      <c r="BK462" s="29" t="s">
        <v>395</v>
      </c>
      <c r="BL462" s="29" t="s">
        <v>904</v>
      </c>
      <c r="BM462" s="29" t="s">
        <v>1247</v>
      </c>
      <c r="BN462" s="29" t="s">
        <v>513</v>
      </c>
      <c r="BO462" s="29"/>
      <c r="BP462" s="29"/>
      <c r="BQ462" s="29"/>
      <c r="BR462" s="29"/>
      <c r="BS462" s="29"/>
      <c r="BT462" s="29"/>
      <c r="BU462" s="29"/>
      <c r="BV462" s="29"/>
      <c r="BW462" s="29"/>
      <c r="BX462" s="29"/>
      <c r="BY462" s="29"/>
      <c r="BZ462" s="29"/>
      <c r="CA462" s="29"/>
      <c r="CB462" s="29"/>
      <c r="CC462" s="29"/>
      <c r="CD462" s="29"/>
      <c r="CE462" s="29"/>
      <c r="CF462" s="29"/>
      <c r="CG462" s="29"/>
      <c r="CH462" s="29"/>
      <c r="CI462" s="29"/>
      <c r="CJ462" s="29"/>
      <c r="CK462" s="29"/>
      <c r="CL462" s="29" t="s">
        <v>441</v>
      </c>
      <c r="CM462" s="29" t="s">
        <v>442</v>
      </c>
      <c r="CN462" s="29"/>
      <c r="CO462" s="29"/>
      <c r="CP462" s="29" t="s">
        <v>403</v>
      </c>
      <c r="CQ462" s="29" t="s">
        <v>1427</v>
      </c>
      <c r="CR462" s="29" t="s">
        <v>404</v>
      </c>
      <c r="CS462" s="29" t="s">
        <v>9052</v>
      </c>
      <c r="CT462" s="29"/>
      <c r="CU462" s="29" t="s">
        <v>1852</v>
      </c>
      <c r="CV462" s="29" t="s">
        <v>451</v>
      </c>
      <c r="CW462" s="29"/>
      <c r="CX462" s="29" t="s">
        <v>408</v>
      </c>
      <c r="CY462" s="29"/>
      <c r="CZ462" s="29" t="s">
        <v>1398</v>
      </c>
      <c r="DA462" s="29"/>
      <c r="DB462" s="29" t="s">
        <v>408</v>
      </c>
      <c r="DC462" s="29"/>
      <c r="DD462" s="29" t="s">
        <v>406</v>
      </c>
      <c r="DE462" s="29" t="s">
        <v>1058</v>
      </c>
      <c r="DF462" s="29"/>
      <c r="DG462" s="29" t="s">
        <v>561</v>
      </c>
      <c r="DH462" s="29" t="s">
        <v>1220</v>
      </c>
      <c r="DI462" s="29" t="s">
        <v>777</v>
      </c>
      <c r="DJ462" s="29" t="s">
        <v>460</v>
      </c>
      <c r="DK462" s="29" t="s">
        <v>1434</v>
      </c>
      <c r="DL462" s="29"/>
      <c r="DM462" s="29"/>
      <c r="DN462" s="29"/>
      <c r="DO462" s="29"/>
      <c r="DP462" s="29"/>
      <c r="DQ462" s="29"/>
      <c r="DR462" s="29"/>
      <c r="DS462" s="29"/>
      <c r="DT462" s="29"/>
      <c r="DU462" s="29"/>
      <c r="DV462" s="29"/>
      <c r="DW462" s="29"/>
      <c r="DX462" s="29"/>
      <c r="DY462" s="29"/>
      <c r="DZ462" s="29"/>
      <c r="EA462" s="29"/>
      <c r="EB462" s="29"/>
      <c r="EC462" s="29"/>
      <c r="ED462" s="29"/>
      <c r="EE462" s="29"/>
      <c r="EF462" s="29"/>
      <c r="EG462" s="29"/>
      <c r="EH462" s="29"/>
      <c r="EI462" s="29"/>
      <c r="EJ462" s="29"/>
      <c r="EK462" s="29"/>
      <c r="EL462" s="29"/>
      <c r="EM462" s="29"/>
      <c r="EN462" s="29"/>
      <c r="EO462" s="29"/>
      <c r="EP462" s="29"/>
      <c r="EQ462" s="29"/>
      <c r="ER462" s="29"/>
      <c r="ES462" s="29"/>
      <c r="ET462" s="29"/>
      <c r="EU462" s="29"/>
      <c r="EV462" s="29" t="s">
        <v>580</v>
      </c>
      <c r="EW462" s="29"/>
      <c r="EX462" s="29"/>
      <c r="EY462" s="29"/>
      <c r="EZ462" s="29"/>
      <c r="FA462" s="29"/>
      <c r="FB462" s="29"/>
      <c r="FC462" s="29"/>
      <c r="FD462" s="29"/>
      <c r="FE462" s="29"/>
      <c r="FF462" s="29"/>
      <c r="FG462" s="29"/>
      <c r="FH462" s="29"/>
      <c r="FI462" s="29"/>
      <c r="FJ462" s="29"/>
      <c r="FK462" s="29"/>
      <c r="FL462" s="29"/>
      <c r="FM462" s="29"/>
      <c r="FN462" s="29"/>
      <c r="FO462" s="29"/>
      <c r="FP462" s="29"/>
      <c r="FQ462" s="29"/>
      <c r="FR462" s="29"/>
      <c r="FS462" s="29"/>
      <c r="FT462" s="29"/>
      <c r="FU462" s="29"/>
      <c r="FV462" s="29"/>
      <c r="FW462" s="29"/>
      <c r="FX462" s="29"/>
      <c r="FY462" s="29"/>
      <c r="FZ462" s="29"/>
      <c r="GA462" s="29"/>
      <c r="GB462" s="29"/>
      <c r="GC462" s="29"/>
      <c r="GD462" s="29"/>
      <c r="GE462" s="29"/>
      <c r="GF462" s="29"/>
      <c r="GG462" s="29" t="s">
        <v>920</v>
      </c>
      <c r="GH462" s="29" t="s">
        <v>789</v>
      </c>
      <c r="GI462" s="29" t="s">
        <v>817</v>
      </c>
      <c r="GJ462" s="29"/>
      <c r="GK462" s="29"/>
      <c r="GL462" s="29"/>
      <c r="GM462" s="29"/>
      <c r="GN462" s="29"/>
      <c r="GO462" s="29"/>
      <c r="GP462" s="29"/>
      <c r="GQ462" s="29"/>
      <c r="GR462" s="29"/>
      <c r="GS462" s="29"/>
      <c r="GT462" s="29" t="s">
        <v>5318</v>
      </c>
      <c r="GU462" s="29"/>
      <c r="HP462" s="31"/>
      <c r="MX462" s="29" t="s">
        <v>10402</v>
      </c>
      <c r="MY462" s="29" t="str">
        <f>IFERROR(__xludf.DUMMYFUNCTION("""COMPUTED_VALUE"""),"New Jersey")</f>
        <v>New Jersey</v>
      </c>
    </row>
    <row r="463" ht="16.5" customHeight="1">
      <c r="A463" s="33">
        <v>46117.406726597226</v>
      </c>
      <c r="B463" s="29" t="s">
        <v>368</v>
      </c>
      <c r="C463" s="29" t="s">
        <v>370</v>
      </c>
      <c r="D463" s="29" t="s">
        <v>370</v>
      </c>
      <c r="E463" s="29" t="s">
        <v>2359</v>
      </c>
      <c r="F463" s="29" t="s">
        <v>1510</v>
      </c>
      <c r="G463" s="29" t="s">
        <v>422</v>
      </c>
      <c r="H463" s="29" t="s">
        <v>373</v>
      </c>
      <c r="I463" s="29" t="s">
        <v>374</v>
      </c>
      <c r="J463" s="29" t="s">
        <v>718</v>
      </c>
      <c r="K463" s="29" t="s">
        <v>376</v>
      </c>
      <c r="L463" s="29" t="s">
        <v>426</v>
      </c>
      <c r="M463" s="29" t="s">
        <v>378</v>
      </c>
      <c r="N463" s="29" t="s">
        <v>793</v>
      </c>
      <c r="O463" s="29" t="s">
        <v>2464</v>
      </c>
      <c r="P463" s="29" t="s">
        <v>498</v>
      </c>
      <c r="Q463" s="29" t="s">
        <v>382</v>
      </c>
      <c r="R463" s="29" t="s">
        <v>1594</v>
      </c>
      <c r="S463" s="29" t="s">
        <v>384</v>
      </c>
      <c r="T463" s="29" t="s">
        <v>385</v>
      </c>
      <c r="U463" s="29"/>
      <c r="V463" s="29"/>
      <c r="W463" s="29" t="s">
        <v>386</v>
      </c>
      <c r="X463" s="29" t="s">
        <v>1706</v>
      </c>
      <c r="Y463" s="29"/>
      <c r="Z463" s="29"/>
      <c r="AA463" s="29"/>
      <c r="AB463" s="29"/>
      <c r="AC463" s="29" t="s">
        <v>1707</v>
      </c>
      <c r="AD463" s="29" t="s">
        <v>1938</v>
      </c>
      <c r="AE463" s="29" t="s">
        <v>408</v>
      </c>
      <c r="AF463" s="29"/>
      <c r="AG463" s="29">
        <v>5.0</v>
      </c>
      <c r="AH463" s="29" t="s">
        <v>1639</v>
      </c>
      <c r="AI463" s="29" t="s">
        <v>9053</v>
      </c>
      <c r="AJ463" s="29" t="s">
        <v>9054</v>
      </c>
      <c r="AK463" s="29" t="s">
        <v>396</v>
      </c>
      <c r="AL463" s="29"/>
      <c r="AM463" s="29"/>
      <c r="AN463" s="29"/>
      <c r="AO463" s="29"/>
      <c r="AP463" s="29"/>
      <c r="AQ463" s="29"/>
      <c r="AR463" s="29"/>
      <c r="AS463" s="29"/>
      <c r="AT463" s="29"/>
      <c r="AU463" s="29"/>
      <c r="AV463" s="29" t="s">
        <v>390</v>
      </c>
      <c r="AW463" s="29" t="s">
        <v>391</v>
      </c>
      <c r="AX463" s="29" t="s">
        <v>391</v>
      </c>
      <c r="AY463" s="29" t="s">
        <v>391</v>
      </c>
      <c r="AZ463" s="29">
        <v>2.0</v>
      </c>
      <c r="BA463" s="29">
        <v>2.0</v>
      </c>
      <c r="BB463" s="29">
        <v>2.0</v>
      </c>
      <c r="BC463" s="29"/>
      <c r="BD463" s="29"/>
      <c r="BE463" s="29" t="s">
        <v>432</v>
      </c>
      <c r="BF463" s="29" t="s">
        <v>393</v>
      </c>
      <c r="BG463" s="29" t="s">
        <v>434</v>
      </c>
      <c r="BH463" s="29"/>
      <c r="BI463" s="29" t="s">
        <v>824</v>
      </c>
      <c r="BJ463" s="29"/>
      <c r="BK463" s="29" t="s">
        <v>511</v>
      </c>
      <c r="BL463" s="29" t="s">
        <v>396</v>
      </c>
      <c r="BM463" s="29" t="s">
        <v>549</v>
      </c>
      <c r="BN463" s="29" t="s">
        <v>440</v>
      </c>
      <c r="BO463" s="29"/>
      <c r="BP463" s="29"/>
      <c r="BQ463" s="29"/>
      <c r="BR463" s="29"/>
      <c r="BS463" s="29"/>
      <c r="BT463" s="29"/>
      <c r="BU463" s="29"/>
      <c r="BV463" s="29"/>
      <c r="BW463" s="29"/>
      <c r="BX463" s="29"/>
      <c r="BY463" s="29"/>
      <c r="BZ463" s="29"/>
      <c r="CA463" s="29"/>
      <c r="CB463" s="29"/>
      <c r="CC463" s="29"/>
      <c r="CD463" s="29"/>
      <c r="CE463" s="29"/>
      <c r="CF463" s="29"/>
      <c r="CG463" s="29"/>
      <c r="CH463" s="29"/>
      <c r="CI463" s="29"/>
      <c r="CJ463" s="29"/>
      <c r="CK463" s="29"/>
      <c r="CL463" s="29" t="s">
        <v>441</v>
      </c>
      <c r="CM463" s="29" t="s">
        <v>682</v>
      </c>
      <c r="CN463" s="29" t="s">
        <v>552</v>
      </c>
      <c r="CO463" s="29" t="s">
        <v>9055</v>
      </c>
      <c r="CP463" s="29" t="s">
        <v>685</v>
      </c>
      <c r="CQ463" s="29" t="s">
        <v>9056</v>
      </c>
      <c r="CR463" s="29" t="s">
        <v>447</v>
      </c>
      <c r="CS463" s="29" t="s">
        <v>9057</v>
      </c>
      <c r="CT463" s="29" t="s">
        <v>9058</v>
      </c>
      <c r="CU463" s="29" t="s">
        <v>450</v>
      </c>
      <c r="CV463" s="29" t="s">
        <v>451</v>
      </c>
      <c r="CW463" s="29" t="s">
        <v>9059</v>
      </c>
      <c r="CX463" s="29" t="s">
        <v>408</v>
      </c>
      <c r="CY463" s="29"/>
      <c r="CZ463" s="29" t="s">
        <v>453</v>
      </c>
      <c r="DA463" s="29"/>
      <c r="DB463" s="29" t="s">
        <v>455</v>
      </c>
      <c r="DC463" s="29" t="s">
        <v>9060</v>
      </c>
      <c r="DD463" s="29" t="s">
        <v>988</v>
      </c>
      <c r="DE463" s="29"/>
      <c r="DF463" s="29" t="s">
        <v>9061</v>
      </c>
      <c r="DG463" s="29" t="s">
        <v>524</v>
      </c>
      <c r="DH463" s="29" t="s">
        <v>410</v>
      </c>
      <c r="DI463" s="29" t="s">
        <v>459</v>
      </c>
      <c r="DJ463" s="29" t="s">
        <v>613</v>
      </c>
      <c r="DK463" s="29"/>
      <c r="DL463" s="29"/>
      <c r="DM463" s="29" t="s">
        <v>9062</v>
      </c>
      <c r="DN463" s="29" t="s">
        <v>9063</v>
      </c>
      <c r="DO463" s="29" t="s">
        <v>1063</v>
      </c>
      <c r="DP463" s="29" t="s">
        <v>8073</v>
      </c>
      <c r="DQ463" s="29" t="s">
        <v>1152</v>
      </c>
      <c r="DR463" s="29" t="s">
        <v>9064</v>
      </c>
      <c r="DS463" s="29" t="s">
        <v>702</v>
      </c>
      <c r="DT463" s="29" t="s">
        <v>3611</v>
      </c>
      <c r="DU463" s="29"/>
      <c r="DV463" s="29"/>
      <c r="DW463" s="29" t="s">
        <v>396</v>
      </c>
      <c r="DX463" s="29" t="s">
        <v>9065</v>
      </c>
      <c r="DY463" s="29" t="s">
        <v>9066</v>
      </c>
      <c r="DZ463" s="29"/>
      <c r="EA463" s="29" t="s">
        <v>1413</v>
      </c>
      <c r="EB463" s="29" t="s">
        <v>626</v>
      </c>
      <c r="EC463" s="29" t="s">
        <v>9067</v>
      </c>
      <c r="ED463" s="29"/>
      <c r="EE463" s="29"/>
      <c r="EF463" s="29"/>
      <c r="EG463" s="29"/>
      <c r="EH463" s="29"/>
      <c r="EI463" s="29"/>
      <c r="EJ463" s="29"/>
      <c r="EK463" s="29"/>
      <c r="EL463" s="29"/>
      <c r="EM463" s="29"/>
      <c r="EN463" s="29"/>
      <c r="EO463" s="29"/>
      <c r="EP463" s="29"/>
      <c r="EQ463" s="29"/>
      <c r="ER463" s="29"/>
      <c r="ES463" s="29"/>
      <c r="ET463" s="29" t="s">
        <v>526</v>
      </c>
      <c r="EU463" s="29" t="s">
        <v>479</v>
      </c>
      <c r="EV463" s="29" t="s">
        <v>480</v>
      </c>
      <c r="EW463" s="29"/>
      <c r="EX463" s="29"/>
      <c r="EY463" s="29"/>
      <c r="EZ463" s="29" t="s">
        <v>414</v>
      </c>
      <c r="FA463" s="29" t="s">
        <v>583</v>
      </c>
      <c r="FB463" s="29" t="s">
        <v>415</v>
      </c>
      <c r="FC463" s="29" t="s">
        <v>414</v>
      </c>
      <c r="FD463" s="29" t="s">
        <v>413</v>
      </c>
      <c r="FE463" s="29" t="s">
        <v>415</v>
      </c>
      <c r="FF463" s="29" t="s">
        <v>415</v>
      </c>
      <c r="FG463" s="29" t="s">
        <v>415</v>
      </c>
      <c r="FH463" s="29" t="s">
        <v>415</v>
      </c>
      <c r="FI463" s="29" t="s">
        <v>583</v>
      </c>
      <c r="FJ463" s="29" t="s">
        <v>413</v>
      </c>
      <c r="FK463" s="29" t="s">
        <v>416</v>
      </c>
      <c r="FL463" s="29" t="s">
        <v>416</v>
      </c>
      <c r="FM463" s="29" t="s">
        <v>413</v>
      </c>
      <c r="FN463" s="29" t="s">
        <v>583</v>
      </c>
      <c r="FO463" s="29" t="s">
        <v>417</v>
      </c>
      <c r="FP463" s="29" t="s">
        <v>418</v>
      </c>
      <c r="FQ463" s="29" t="s">
        <v>1039</v>
      </c>
      <c r="FR463" s="29"/>
      <c r="FS463" s="29" t="s">
        <v>420</v>
      </c>
      <c r="FT463" s="29" t="s">
        <v>488</v>
      </c>
      <c r="FU463" s="29" t="s">
        <v>533</v>
      </c>
      <c r="FV463" s="29" t="s">
        <v>490</v>
      </c>
      <c r="FW463" s="29" t="s">
        <v>491</v>
      </c>
      <c r="FX463" s="29" t="s">
        <v>9068</v>
      </c>
      <c r="FY463" s="29" t="s">
        <v>535</v>
      </c>
      <c r="FZ463" s="29"/>
      <c r="GA463" s="29" t="s">
        <v>9069</v>
      </c>
      <c r="GB463" s="29" t="s">
        <v>408</v>
      </c>
      <c r="GC463" s="29"/>
      <c r="GD463" s="29"/>
      <c r="GE463" s="29"/>
      <c r="GF463" s="29"/>
      <c r="GG463" s="29" t="s">
        <v>920</v>
      </c>
      <c r="GH463" s="29" t="s">
        <v>857</v>
      </c>
      <c r="GI463" s="29" t="s">
        <v>858</v>
      </c>
      <c r="GJ463" s="29"/>
      <c r="GK463" s="29"/>
      <c r="GL463" s="29"/>
      <c r="GM463" s="29" t="s">
        <v>1079</v>
      </c>
      <c r="GN463" s="29"/>
      <c r="GO463" s="29"/>
      <c r="GP463" s="29"/>
      <c r="GQ463" s="29" t="s">
        <v>3208</v>
      </c>
      <c r="GR463" s="29"/>
      <c r="GS463" s="29"/>
      <c r="GT463" s="29" t="s">
        <v>4774</v>
      </c>
      <c r="GU463" s="29"/>
      <c r="HP463" s="31"/>
      <c r="MX463" s="29" t="s">
        <v>1341</v>
      </c>
      <c r="MY463" s="29" t="str">
        <f>IFERROR(__xludf.DUMMYFUNCTION("""COMPUTED_VALUE"""),"Germany")</f>
        <v>Germany</v>
      </c>
    </row>
    <row r="464" ht="16.5" customHeight="1">
      <c r="A464" s="33">
        <v>46117.43835497685</v>
      </c>
      <c r="B464" s="29" t="s">
        <v>368</v>
      </c>
      <c r="C464" s="29" t="s">
        <v>1341</v>
      </c>
      <c r="D464" s="29" t="s">
        <v>1341</v>
      </c>
      <c r="E464" s="29"/>
      <c r="F464" s="29"/>
      <c r="G464" s="29" t="s">
        <v>422</v>
      </c>
      <c r="H464" s="29" t="s">
        <v>637</v>
      </c>
      <c r="I464" s="29" t="s">
        <v>638</v>
      </c>
      <c r="J464" s="29" t="s">
        <v>1204</v>
      </c>
      <c r="K464" s="29" t="s">
        <v>376</v>
      </c>
      <c r="L464" s="29" t="s">
        <v>377</v>
      </c>
      <c r="M464" s="29" t="s">
        <v>2464</v>
      </c>
      <c r="N464" s="29" t="s">
        <v>377</v>
      </c>
      <c r="O464" s="29" t="s">
        <v>497</v>
      </c>
      <c r="P464" s="29" t="s">
        <v>381</v>
      </c>
      <c r="Q464" s="29" t="s">
        <v>499</v>
      </c>
      <c r="R464" s="29" t="s">
        <v>500</v>
      </c>
      <c r="S464" s="29" t="s">
        <v>1512</v>
      </c>
      <c r="T464" s="29" t="s">
        <v>385</v>
      </c>
      <c r="U464" s="29"/>
      <c r="V464" s="29"/>
      <c r="W464" s="29" t="s">
        <v>3014</v>
      </c>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t="s">
        <v>1242</v>
      </c>
      <c r="AW464" s="29" t="s">
        <v>391</v>
      </c>
      <c r="AX464" s="29">
        <v>2.0</v>
      </c>
      <c r="AY464" s="29" t="s">
        <v>391</v>
      </c>
      <c r="AZ464" s="29">
        <v>2.0</v>
      </c>
      <c r="BA464" s="29">
        <v>2.0</v>
      </c>
      <c r="BB464" s="29">
        <v>2.0</v>
      </c>
      <c r="BC464" s="29"/>
      <c r="BD464" s="29"/>
      <c r="BE464" s="29" t="s">
        <v>392</v>
      </c>
      <c r="BF464" s="29" t="s">
        <v>433</v>
      </c>
      <c r="BG464" s="29" t="s">
        <v>394</v>
      </c>
      <c r="BH464" s="29"/>
      <c r="BI464" s="29" t="s">
        <v>509</v>
      </c>
      <c r="BJ464" s="29"/>
      <c r="BK464" s="29" t="s">
        <v>681</v>
      </c>
      <c r="BL464" s="29" t="s">
        <v>603</v>
      </c>
      <c r="BM464" s="29" t="s">
        <v>397</v>
      </c>
      <c r="BN464" s="29" t="s">
        <v>513</v>
      </c>
      <c r="BO464" s="29"/>
      <c r="BP464" s="29"/>
      <c r="BQ464" s="29"/>
      <c r="BR464" s="29"/>
      <c r="BS464" s="29"/>
      <c r="BT464" s="29"/>
      <c r="BU464" s="29"/>
      <c r="BV464" s="29"/>
      <c r="BW464" s="29"/>
      <c r="BX464" s="29"/>
      <c r="BY464" s="29"/>
      <c r="BZ464" s="29"/>
      <c r="CA464" s="29"/>
      <c r="CB464" s="29"/>
      <c r="CC464" s="29"/>
      <c r="CD464" s="29"/>
      <c r="CE464" s="29"/>
      <c r="CF464" s="29"/>
      <c r="CG464" s="29"/>
      <c r="CH464" s="29"/>
      <c r="CI464" s="29"/>
      <c r="CJ464" s="29"/>
      <c r="CK464" s="29"/>
      <c r="CL464" s="29" t="s">
        <v>550</v>
      </c>
      <c r="CM464" s="29" t="s">
        <v>604</v>
      </c>
      <c r="CN464" s="29"/>
      <c r="CO464" s="29"/>
      <c r="CP464" s="29" t="s">
        <v>445</v>
      </c>
      <c r="CQ464" s="29" t="s">
        <v>9073</v>
      </c>
      <c r="CR464" s="29" t="s">
        <v>555</v>
      </c>
      <c r="CS464" s="29" t="s">
        <v>8028</v>
      </c>
      <c r="CT464" s="29"/>
      <c r="CU464" s="29" t="s">
        <v>1863</v>
      </c>
      <c r="CV464" s="29" t="s">
        <v>451</v>
      </c>
      <c r="CW464" s="29"/>
      <c r="CX464" s="29" t="s">
        <v>408</v>
      </c>
      <c r="CY464" s="29"/>
      <c r="CZ464" s="29" t="s">
        <v>985</v>
      </c>
      <c r="DA464" s="29"/>
      <c r="DB464" s="29" t="s">
        <v>913</v>
      </c>
      <c r="DC464" s="29"/>
      <c r="DD464" s="29" t="s">
        <v>988</v>
      </c>
      <c r="DE464" s="29"/>
      <c r="DF464" s="29"/>
      <c r="DG464" s="29" t="s">
        <v>776</v>
      </c>
      <c r="DH464" s="29" t="s">
        <v>1220</v>
      </c>
      <c r="DI464" s="29" t="s">
        <v>963</v>
      </c>
      <c r="DJ464" s="29" t="s">
        <v>460</v>
      </c>
      <c r="DK464" s="29" t="s">
        <v>6319</v>
      </c>
      <c r="DL464" s="29"/>
      <c r="DM464" s="29"/>
      <c r="DN464" s="29"/>
      <c r="DO464" s="29"/>
      <c r="DP464" s="29"/>
      <c r="DQ464" s="29"/>
      <c r="DR464" s="29"/>
      <c r="DS464" s="29"/>
      <c r="DT464" s="29"/>
      <c r="DU464" s="29"/>
      <c r="DV464" s="29"/>
      <c r="DW464" s="29"/>
      <c r="DX464" s="29"/>
      <c r="DY464" s="29"/>
      <c r="DZ464" s="29"/>
      <c r="EA464" s="29"/>
      <c r="EB464" s="29"/>
      <c r="EC464" s="29"/>
      <c r="ED464" s="29"/>
      <c r="EE464" s="29"/>
      <c r="EF464" s="29"/>
      <c r="EG464" s="29"/>
      <c r="EH464" s="29"/>
      <c r="EI464" s="29"/>
      <c r="EJ464" s="29"/>
      <c r="EK464" s="29"/>
      <c r="EL464" s="29"/>
      <c r="EM464" s="29"/>
      <c r="EN464" s="29"/>
      <c r="EO464" s="29"/>
      <c r="EP464" s="29"/>
      <c r="EQ464" s="29"/>
      <c r="ER464" s="29"/>
      <c r="ES464" s="29"/>
      <c r="ET464" s="29" t="s">
        <v>526</v>
      </c>
      <c r="EU464" s="29" t="s">
        <v>579</v>
      </c>
      <c r="EV464" s="29" t="s">
        <v>480</v>
      </c>
      <c r="EW464" s="29"/>
      <c r="EX464" s="29"/>
      <c r="EY464" s="29"/>
      <c r="EZ464" s="29" t="s">
        <v>415</v>
      </c>
      <c r="FA464" s="29" t="s">
        <v>414</v>
      </c>
      <c r="FB464" s="29" t="s">
        <v>414</v>
      </c>
      <c r="FC464" s="29" t="s">
        <v>414</v>
      </c>
      <c r="FD464" s="29" t="s">
        <v>416</v>
      </c>
      <c r="FE464" s="29" t="s">
        <v>484</v>
      </c>
      <c r="FF464" s="29" t="s">
        <v>484</v>
      </c>
      <c r="FG464" s="29" t="s">
        <v>413</v>
      </c>
      <c r="FH464" s="29" t="s">
        <v>484</v>
      </c>
      <c r="FI464" s="29" t="s">
        <v>413</v>
      </c>
      <c r="FJ464" s="29" t="s">
        <v>583</v>
      </c>
      <c r="FK464" s="29" t="s">
        <v>413</v>
      </c>
      <c r="FL464" s="29" t="s">
        <v>413</v>
      </c>
      <c r="FM464" s="29" t="s">
        <v>413</v>
      </c>
      <c r="FN464" s="29" t="s">
        <v>484</v>
      </c>
      <c r="FO464" s="29" t="s">
        <v>1537</v>
      </c>
      <c r="FP464" s="29" t="s">
        <v>486</v>
      </c>
      <c r="FQ464" s="29" t="s">
        <v>419</v>
      </c>
      <c r="FR464" s="29"/>
      <c r="FS464" s="29" t="s">
        <v>1871</v>
      </c>
      <c r="FT464" s="29" t="s">
        <v>488</v>
      </c>
      <c r="FU464" s="29" t="s">
        <v>585</v>
      </c>
      <c r="FV464" s="29" t="s">
        <v>490</v>
      </c>
      <c r="FW464" s="29" t="s">
        <v>491</v>
      </c>
      <c r="FX464" s="29"/>
      <c r="FY464" s="29" t="s">
        <v>535</v>
      </c>
      <c r="FZ464" s="29"/>
      <c r="GA464" s="29"/>
      <c r="GB464" s="29" t="s">
        <v>408</v>
      </c>
      <c r="GC464" s="29"/>
      <c r="GD464" s="29"/>
      <c r="GE464" s="29"/>
      <c r="GF464" s="29"/>
      <c r="GG464" s="29" t="s">
        <v>920</v>
      </c>
      <c r="GH464" s="29" t="s">
        <v>1000</v>
      </c>
      <c r="GI464" s="29" t="s">
        <v>817</v>
      </c>
      <c r="GJ464" s="29"/>
      <c r="GK464" s="29"/>
      <c r="GL464" s="29"/>
      <c r="GM464" s="29"/>
      <c r="GN464" s="29"/>
      <c r="GO464" s="29"/>
      <c r="GP464" s="29"/>
      <c r="GQ464" s="29" t="s">
        <v>3208</v>
      </c>
      <c r="GR464" s="29"/>
      <c r="GS464" s="29"/>
      <c r="GT464" s="29" t="s">
        <v>5170</v>
      </c>
      <c r="GU464" s="29"/>
      <c r="HP464" s="31"/>
      <c r="MX464" s="29" t="s">
        <v>10402</v>
      </c>
      <c r="MY464" s="29" t="str">
        <f>IFERROR(__xludf.DUMMYFUNCTION("""COMPUTED_VALUE"""),"Wisconsin")</f>
        <v>Wisconsin</v>
      </c>
    </row>
    <row r="465" ht="16.5" customHeight="1">
      <c r="A465" s="33">
        <v>46117.52108172454</v>
      </c>
      <c r="B465" s="29" t="s">
        <v>368</v>
      </c>
      <c r="C465" s="29" t="s">
        <v>370</v>
      </c>
      <c r="D465" s="29" t="s">
        <v>370</v>
      </c>
      <c r="E465" s="29" t="s">
        <v>1441</v>
      </c>
      <c r="F465" s="29" t="s">
        <v>2708</v>
      </c>
      <c r="G465" s="29" t="s">
        <v>422</v>
      </c>
      <c r="H465" s="29" t="s">
        <v>496</v>
      </c>
      <c r="I465" s="29" t="s">
        <v>374</v>
      </c>
      <c r="J465" s="29" t="s">
        <v>590</v>
      </c>
      <c r="K465" s="29" t="s">
        <v>376</v>
      </c>
      <c r="L465" s="29" t="s">
        <v>379</v>
      </c>
      <c r="M465" s="29" t="s">
        <v>541</v>
      </c>
      <c r="N465" s="29" t="s">
        <v>426</v>
      </c>
      <c r="O465" s="29" t="s">
        <v>9074</v>
      </c>
      <c r="P465" s="29" t="s">
        <v>381</v>
      </c>
      <c r="Q465" s="29" t="s">
        <v>499</v>
      </c>
      <c r="R465" s="29" t="s">
        <v>949</v>
      </c>
      <c r="S465" s="29" t="s">
        <v>384</v>
      </c>
      <c r="T465" s="29" t="s">
        <v>385</v>
      </c>
      <c r="U465" s="29"/>
      <c r="V465" s="29"/>
      <c r="W465" s="29" t="s">
        <v>3231</v>
      </c>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t="s">
        <v>1310</v>
      </c>
      <c r="AW465" s="29">
        <v>4.0</v>
      </c>
      <c r="AX465" s="29">
        <v>4.0</v>
      </c>
      <c r="AY465" s="29" t="s">
        <v>391</v>
      </c>
      <c r="AZ465" s="29" t="s">
        <v>391</v>
      </c>
      <c r="BA465" s="29" t="s">
        <v>429</v>
      </c>
      <c r="BB465" s="29">
        <v>2.0</v>
      </c>
      <c r="BC465" s="29" t="s">
        <v>9075</v>
      </c>
      <c r="BD465" s="29" t="s">
        <v>9076</v>
      </c>
      <c r="BE465" s="29" t="s">
        <v>432</v>
      </c>
      <c r="BF465" s="29" t="s">
        <v>393</v>
      </c>
      <c r="BG465" s="29" t="s">
        <v>678</v>
      </c>
      <c r="BH465" s="29" t="s">
        <v>9077</v>
      </c>
      <c r="BI465" s="29" t="s">
        <v>509</v>
      </c>
      <c r="BJ465" s="29" t="s">
        <v>9078</v>
      </c>
      <c r="BK465" s="29" t="s">
        <v>681</v>
      </c>
      <c r="BL465" s="29" t="s">
        <v>904</v>
      </c>
      <c r="BM465" s="29" t="s">
        <v>549</v>
      </c>
      <c r="BN465" s="29" t="s">
        <v>440</v>
      </c>
      <c r="BO465" s="29"/>
      <c r="BP465" s="29"/>
      <c r="BQ465" s="29"/>
      <c r="BR465" s="29"/>
      <c r="BS465" s="29"/>
      <c r="BT465" s="29"/>
      <c r="BU465" s="29"/>
      <c r="BV465" s="29"/>
      <c r="BW465" s="29"/>
      <c r="BX465" s="29"/>
      <c r="BY465" s="29"/>
      <c r="BZ465" s="29"/>
      <c r="CA465" s="29"/>
      <c r="CB465" s="29"/>
      <c r="CC465" s="29"/>
      <c r="CD465" s="29"/>
      <c r="CE465" s="29"/>
      <c r="CF465" s="29"/>
      <c r="CG465" s="29"/>
      <c r="CH465" s="29"/>
      <c r="CI465" s="29"/>
      <c r="CJ465" s="29"/>
      <c r="CK465" s="29"/>
      <c r="CL465" s="29" t="s">
        <v>441</v>
      </c>
      <c r="CM465" s="29" t="s">
        <v>401</v>
      </c>
      <c r="CN465" s="29" t="s">
        <v>9079</v>
      </c>
      <c r="CO465" s="29" t="s">
        <v>9080</v>
      </c>
      <c r="CP465" s="29" t="s">
        <v>979</v>
      </c>
      <c r="CQ465" s="29" t="s">
        <v>516</v>
      </c>
      <c r="CR465" s="29" t="s">
        <v>447</v>
      </c>
      <c r="CS465" s="29" t="s">
        <v>9081</v>
      </c>
      <c r="CT465" s="29" t="s">
        <v>9082</v>
      </c>
      <c r="CU465" s="29" t="s">
        <v>519</v>
      </c>
      <c r="CV465" s="29" t="s">
        <v>451</v>
      </c>
      <c r="CW465" s="29" t="s">
        <v>9083</v>
      </c>
      <c r="CX465" s="29" t="s">
        <v>408</v>
      </c>
      <c r="CY465" s="29"/>
      <c r="CZ465" s="29" t="s">
        <v>453</v>
      </c>
      <c r="DA465" s="29" t="s">
        <v>9084</v>
      </c>
      <c r="DB465" s="29" t="s">
        <v>455</v>
      </c>
      <c r="DC465" s="29" t="s">
        <v>1866</v>
      </c>
      <c r="DD465" s="29" t="s">
        <v>988</v>
      </c>
      <c r="DE465" s="29" t="s">
        <v>691</v>
      </c>
      <c r="DF465" s="29" t="s">
        <v>9085</v>
      </c>
      <c r="DG465" s="29" t="s">
        <v>561</v>
      </c>
      <c r="DH465" s="29" t="s">
        <v>410</v>
      </c>
      <c r="DI465" s="29" t="s">
        <v>459</v>
      </c>
      <c r="DJ465" s="29" t="s">
        <v>460</v>
      </c>
      <c r="DK465" s="29" t="s">
        <v>6335</v>
      </c>
      <c r="DL465" s="29"/>
      <c r="DM465" s="29" t="s">
        <v>9086</v>
      </c>
      <c r="DN465" s="29" t="s">
        <v>9087</v>
      </c>
      <c r="DO465" s="29" t="s">
        <v>1063</v>
      </c>
      <c r="DP465" s="29" t="s">
        <v>9088</v>
      </c>
      <c r="DQ465" s="29" t="s">
        <v>1553</v>
      </c>
      <c r="DR465" s="29" t="s">
        <v>9089</v>
      </c>
      <c r="DS465" s="29" t="s">
        <v>839</v>
      </c>
      <c r="DT465" s="29" t="s">
        <v>740</v>
      </c>
      <c r="DU465" s="29" t="s">
        <v>9090</v>
      </c>
      <c r="DV465" s="29" t="s">
        <v>9091</v>
      </c>
      <c r="DW465" s="29" t="s">
        <v>573</v>
      </c>
      <c r="DX465" s="29" t="s">
        <v>9092</v>
      </c>
      <c r="DY465" s="29" t="s">
        <v>9093</v>
      </c>
      <c r="DZ465" s="29" t="s">
        <v>9094</v>
      </c>
      <c r="EA465" s="29" t="s">
        <v>475</v>
      </c>
      <c r="EB465" s="29" t="s">
        <v>845</v>
      </c>
      <c r="EC465" s="29"/>
      <c r="ED465" s="29"/>
      <c r="EE465" s="29"/>
      <c r="EF465" s="29"/>
      <c r="EG465" s="29"/>
      <c r="EH465" s="29"/>
      <c r="EI465" s="29"/>
      <c r="EJ465" s="29"/>
      <c r="EK465" s="29"/>
      <c r="EL465" s="29"/>
      <c r="EM465" s="29"/>
      <c r="EN465" s="29"/>
      <c r="EO465" s="29"/>
      <c r="EP465" s="29"/>
      <c r="EQ465" s="29"/>
      <c r="ER465" s="29"/>
      <c r="ES465" s="29"/>
      <c r="ET465" s="29" t="s">
        <v>526</v>
      </c>
      <c r="EU465" s="29" t="s">
        <v>887</v>
      </c>
      <c r="EV465" s="29" t="s">
        <v>480</v>
      </c>
      <c r="EW465" s="29"/>
      <c r="EX465" s="29" t="s">
        <v>9095</v>
      </c>
      <c r="EY465" s="29" t="s">
        <v>9096</v>
      </c>
      <c r="EZ465" s="29" t="s">
        <v>414</v>
      </c>
      <c r="FA465" s="29" t="s">
        <v>414</v>
      </c>
      <c r="FB465" s="29" t="s">
        <v>414</v>
      </c>
      <c r="FC465" s="29" t="s">
        <v>414</v>
      </c>
      <c r="FD465" s="29" t="s">
        <v>415</v>
      </c>
      <c r="FE465" s="29" t="s">
        <v>414</v>
      </c>
      <c r="FF465" s="29" t="s">
        <v>414</v>
      </c>
      <c r="FG465" s="29" t="s">
        <v>414</v>
      </c>
      <c r="FH465" s="29" t="s">
        <v>414</v>
      </c>
      <c r="FI465" s="29" t="s">
        <v>583</v>
      </c>
      <c r="FJ465" s="29" t="s">
        <v>583</v>
      </c>
      <c r="FK465" s="29" t="s">
        <v>415</v>
      </c>
      <c r="FL465" s="29" t="s">
        <v>415</v>
      </c>
      <c r="FM465" s="29" t="s">
        <v>415</v>
      </c>
      <c r="FN465" s="29" t="s">
        <v>414</v>
      </c>
      <c r="FO465" s="29" t="s">
        <v>850</v>
      </c>
      <c r="FP465" s="29" t="s">
        <v>486</v>
      </c>
      <c r="FQ465" s="29" t="s">
        <v>630</v>
      </c>
      <c r="FR465" s="29" t="s">
        <v>9097</v>
      </c>
      <c r="FS465" s="29" t="s">
        <v>420</v>
      </c>
      <c r="FT465" s="29" t="s">
        <v>488</v>
      </c>
      <c r="FU465" s="29" t="s">
        <v>533</v>
      </c>
      <c r="FV465" s="29" t="s">
        <v>490</v>
      </c>
      <c r="FW465" s="29" t="s">
        <v>491</v>
      </c>
      <c r="FX465" s="29" t="s">
        <v>9098</v>
      </c>
      <c r="FY465" s="29" t="s">
        <v>535</v>
      </c>
      <c r="FZ465" s="29"/>
      <c r="GA465" s="29"/>
      <c r="GB465" s="29" t="s">
        <v>455</v>
      </c>
      <c r="GC465" s="29"/>
      <c r="GD465" s="29"/>
      <c r="GE465" s="29" t="s">
        <v>753</v>
      </c>
      <c r="GF465" s="29" t="s">
        <v>9099</v>
      </c>
      <c r="GG465" s="29" t="s">
        <v>755</v>
      </c>
      <c r="GH465" s="29" t="s">
        <v>755</v>
      </c>
      <c r="GI465" s="29" t="s">
        <v>946</v>
      </c>
      <c r="GJ465" s="29"/>
      <c r="GK465" s="29"/>
      <c r="GL465" s="29"/>
      <c r="GM465" s="29" t="s">
        <v>1079</v>
      </c>
      <c r="GN465" s="29"/>
      <c r="GO465" s="29"/>
      <c r="GP465" s="29" t="s">
        <v>387</v>
      </c>
      <c r="GQ465" s="29" t="s">
        <v>3208</v>
      </c>
      <c r="GR465" s="29"/>
      <c r="GS465" s="29"/>
      <c r="GT465" s="29" t="s">
        <v>5170</v>
      </c>
      <c r="GU465" s="29" t="s">
        <v>408</v>
      </c>
      <c r="HP465" s="31"/>
      <c r="MX465" s="29" t="s">
        <v>10402</v>
      </c>
      <c r="MY465" s="29" t="str">
        <f>IFERROR(__xludf.DUMMYFUNCTION("""COMPUTED_VALUE"""),"California")</f>
        <v>California</v>
      </c>
    </row>
    <row r="466" ht="16.5" customHeight="1">
      <c r="A466" s="33">
        <v>46117.65196458333</v>
      </c>
      <c r="B466" s="29" t="s">
        <v>368</v>
      </c>
      <c r="C466" s="29" t="s">
        <v>370</v>
      </c>
      <c r="D466" s="29" t="s">
        <v>370</v>
      </c>
      <c r="E466" s="29" t="s">
        <v>371</v>
      </c>
      <c r="F466" s="29" t="s">
        <v>371</v>
      </c>
      <c r="G466" s="29" t="s">
        <v>9103</v>
      </c>
      <c r="H466" s="29" t="s">
        <v>637</v>
      </c>
      <c r="I466" s="29" t="s">
        <v>638</v>
      </c>
      <c r="J466" s="29" t="s">
        <v>425</v>
      </c>
      <c r="K466" s="29" t="s">
        <v>376</v>
      </c>
      <c r="L466" s="29" t="s">
        <v>793</v>
      </c>
      <c r="M466" s="29" t="s">
        <v>720</v>
      </c>
      <c r="N466" s="29" t="s">
        <v>793</v>
      </c>
      <c r="O466" s="29" t="s">
        <v>378</v>
      </c>
      <c r="P466" s="29" t="s">
        <v>498</v>
      </c>
      <c r="Q466" s="29" t="s">
        <v>499</v>
      </c>
      <c r="R466" s="29" t="s">
        <v>427</v>
      </c>
      <c r="S466" s="29" t="s">
        <v>384</v>
      </c>
      <c r="T466" s="29" t="s">
        <v>385</v>
      </c>
      <c r="U466" s="29"/>
      <c r="V466" s="29"/>
      <c r="W466" s="29" t="s">
        <v>3231</v>
      </c>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t="s">
        <v>390</v>
      </c>
      <c r="AW466" s="29" t="s">
        <v>429</v>
      </c>
      <c r="AX466" s="29">
        <v>2.0</v>
      </c>
      <c r="AY466" s="29">
        <v>2.0</v>
      </c>
      <c r="AZ466" s="29" t="s">
        <v>429</v>
      </c>
      <c r="BA466" s="29" t="s">
        <v>429</v>
      </c>
      <c r="BB466" s="29" t="s">
        <v>429</v>
      </c>
      <c r="BC466" s="29"/>
      <c r="BD466" s="29"/>
      <c r="BE466" s="29" t="s">
        <v>392</v>
      </c>
      <c r="BF466" s="29" t="s">
        <v>433</v>
      </c>
      <c r="BG466" s="29" t="s">
        <v>678</v>
      </c>
      <c r="BH466" s="29"/>
      <c r="BI466" s="29" t="s">
        <v>824</v>
      </c>
      <c r="BJ466" s="29"/>
      <c r="BK466" s="29" t="s">
        <v>511</v>
      </c>
      <c r="BL466" s="29" t="s">
        <v>396</v>
      </c>
      <c r="BM466" s="29" t="s">
        <v>439</v>
      </c>
      <c r="BN466" s="29" t="s">
        <v>440</v>
      </c>
      <c r="BO466" s="29"/>
      <c r="BP466" s="29"/>
      <c r="BQ466" s="29"/>
      <c r="BR466" s="29"/>
      <c r="BS466" s="29"/>
      <c r="BT466" s="29"/>
      <c r="BU466" s="29"/>
      <c r="BV466" s="29"/>
      <c r="BW466" s="29"/>
      <c r="BX466" s="29"/>
      <c r="BY466" s="29"/>
      <c r="BZ466" s="29"/>
      <c r="CA466" s="29"/>
      <c r="CB466" s="29"/>
      <c r="CC466" s="29"/>
      <c r="CD466" s="29"/>
      <c r="CE466" s="29"/>
      <c r="CF466" s="29"/>
      <c r="CG466" s="29"/>
      <c r="CH466" s="29"/>
      <c r="CI466" s="29"/>
      <c r="CJ466" s="29"/>
      <c r="CK466" s="29"/>
      <c r="CL466" s="29"/>
      <c r="CM466" s="29"/>
      <c r="CN466" s="29"/>
      <c r="CO466" s="29"/>
      <c r="CP466" s="29"/>
      <c r="CQ466" s="29"/>
      <c r="CR466" s="29"/>
      <c r="CS466" s="29"/>
      <c r="CT466" s="29"/>
      <c r="CU466" s="29"/>
      <c r="CV466" s="29"/>
      <c r="CW466" s="29"/>
      <c r="CX466" s="29"/>
      <c r="CY466" s="29"/>
      <c r="CZ466" s="29"/>
      <c r="DA466" s="29"/>
      <c r="DB466" s="29"/>
      <c r="DC466" s="29"/>
      <c r="DD466" s="29"/>
      <c r="DE466" s="29"/>
      <c r="DF466" s="29"/>
      <c r="DG466" s="29"/>
      <c r="DH466" s="29"/>
      <c r="DI466" s="29" t="s">
        <v>459</v>
      </c>
      <c r="DJ466" s="29" t="s">
        <v>460</v>
      </c>
      <c r="DK466" s="29" t="s">
        <v>6335</v>
      </c>
      <c r="DL466" s="29"/>
      <c r="DM466" s="29" t="s">
        <v>9104</v>
      </c>
      <c r="DN466" s="29" t="s">
        <v>9105</v>
      </c>
      <c r="DO466" s="29" t="s">
        <v>567</v>
      </c>
      <c r="DP466" s="29"/>
      <c r="DQ466" s="29" t="s">
        <v>837</v>
      </c>
      <c r="DR466" s="29"/>
      <c r="DS466" s="29" t="s">
        <v>702</v>
      </c>
      <c r="DT466" s="29" t="s">
        <v>3171</v>
      </c>
      <c r="DU466" s="29"/>
      <c r="DV466" s="29"/>
      <c r="DW466" s="29" t="s">
        <v>573</v>
      </c>
      <c r="DX466" s="29"/>
      <c r="DY466" s="29"/>
      <c r="DZ466" s="29"/>
      <c r="EA466" s="29" t="s">
        <v>1413</v>
      </c>
      <c r="EB466" s="29" t="s">
        <v>626</v>
      </c>
      <c r="EC466" s="29"/>
      <c r="ED466" s="29"/>
      <c r="EE466" s="29"/>
      <c r="EF466" s="29"/>
      <c r="EG466" s="29"/>
      <c r="EH466" s="29"/>
      <c r="EI466" s="29"/>
      <c r="EJ466" s="29"/>
      <c r="EK466" s="29"/>
      <c r="EL466" s="29"/>
      <c r="EM466" s="29"/>
      <c r="EN466" s="29"/>
      <c r="EO466" s="29"/>
      <c r="EP466" s="29"/>
      <c r="EQ466" s="29"/>
      <c r="ER466" s="29"/>
      <c r="ES466" s="29"/>
      <c r="ET466" s="29" t="s">
        <v>526</v>
      </c>
      <c r="EU466" s="29" t="s">
        <v>1037</v>
      </c>
      <c r="EV466" s="29" t="s">
        <v>480</v>
      </c>
      <c r="EW466" s="29"/>
      <c r="EX466" s="29"/>
      <c r="EY466" s="29"/>
      <c r="EZ466" s="29" t="s">
        <v>413</v>
      </c>
      <c r="FA466" s="29" t="s">
        <v>415</v>
      </c>
      <c r="FB466" s="29" t="s">
        <v>416</v>
      </c>
      <c r="FC466" s="29" t="s">
        <v>415</v>
      </c>
      <c r="FD466" s="29" t="s">
        <v>413</v>
      </c>
      <c r="FE466" s="29" t="s">
        <v>414</v>
      </c>
      <c r="FF466" s="29" t="s">
        <v>416</v>
      </c>
      <c r="FG466" s="29" t="s">
        <v>413</v>
      </c>
      <c r="FH466" s="29" t="s">
        <v>583</v>
      </c>
      <c r="FI466" s="29" t="s">
        <v>415</v>
      </c>
      <c r="FJ466" s="29" t="s">
        <v>413</v>
      </c>
      <c r="FK466" s="29" t="s">
        <v>415</v>
      </c>
      <c r="FL466" s="29" t="s">
        <v>415</v>
      </c>
      <c r="FM466" s="29" t="s">
        <v>416</v>
      </c>
      <c r="FN466" s="29" t="s">
        <v>583</v>
      </c>
      <c r="FO466" s="29" t="s">
        <v>417</v>
      </c>
      <c r="FP466" s="29" t="s">
        <v>418</v>
      </c>
      <c r="FQ466" s="29" t="s">
        <v>1039</v>
      </c>
      <c r="FR466" s="29"/>
      <c r="FS466" s="29" t="s">
        <v>420</v>
      </c>
      <c r="FT466" s="29" t="s">
        <v>488</v>
      </c>
      <c r="FU466" s="29" t="s">
        <v>918</v>
      </c>
      <c r="FV466" s="29" t="s">
        <v>490</v>
      </c>
      <c r="FW466" s="29" t="s">
        <v>491</v>
      </c>
      <c r="FX466" s="29"/>
      <c r="FY466" s="29" t="s">
        <v>535</v>
      </c>
      <c r="FZ466" s="29"/>
      <c r="GA466" s="29"/>
      <c r="GB466" s="29" t="s">
        <v>408</v>
      </c>
      <c r="GC466" s="29"/>
      <c r="GD466" s="29"/>
      <c r="GE466" s="29"/>
      <c r="GF466" s="29"/>
      <c r="GG466" s="29"/>
      <c r="GH466" s="29"/>
      <c r="GI466" s="29"/>
      <c r="GJ466" s="29"/>
      <c r="GK466" s="29"/>
      <c r="GL466" s="29"/>
      <c r="GM466" s="29" t="s">
        <v>6629</v>
      </c>
      <c r="GN466" s="29"/>
      <c r="GO466" s="29"/>
      <c r="GP466" s="29" t="s">
        <v>9106</v>
      </c>
      <c r="GQ466" s="29" t="s">
        <v>3208</v>
      </c>
      <c r="GR466" s="29"/>
      <c r="GS466" s="29"/>
      <c r="GT466" s="29"/>
      <c r="GU466" s="29"/>
      <c r="HP466" s="31"/>
      <c r="MX466" s="29" t="s">
        <v>10402</v>
      </c>
      <c r="MY466" s="29" t="str">
        <f>IFERROR(__xludf.DUMMYFUNCTION("""COMPUTED_VALUE"""),"Hawaii")</f>
        <v>Hawaii</v>
      </c>
    </row>
    <row r="467" ht="16.5" customHeight="1">
      <c r="A467" s="33">
        <v>46117.68275197917</v>
      </c>
      <c r="B467" s="29" t="s">
        <v>368</v>
      </c>
      <c r="C467" s="29" t="s">
        <v>370</v>
      </c>
      <c r="D467" s="29" t="s">
        <v>370</v>
      </c>
      <c r="E467" s="29" t="s">
        <v>2620</v>
      </c>
      <c r="F467" s="29" t="s">
        <v>1421</v>
      </c>
      <c r="G467" s="29" t="s">
        <v>422</v>
      </c>
      <c r="H467" s="29" t="s">
        <v>496</v>
      </c>
      <c r="I467" s="29" t="s">
        <v>374</v>
      </c>
      <c r="J467" s="29" t="s">
        <v>425</v>
      </c>
      <c r="K467" s="29" t="s">
        <v>376</v>
      </c>
      <c r="L467" s="29" t="s">
        <v>591</v>
      </c>
      <c r="M467" s="29" t="s">
        <v>1270</v>
      </c>
      <c r="N467" s="29" t="s">
        <v>426</v>
      </c>
      <c r="O467" s="29" t="s">
        <v>9108</v>
      </c>
      <c r="P467" s="29" t="s">
        <v>592</v>
      </c>
      <c r="Q467" s="29" t="s">
        <v>382</v>
      </c>
      <c r="R467" s="29" t="s">
        <v>949</v>
      </c>
      <c r="S467" s="29" t="s">
        <v>384</v>
      </c>
      <c r="T467" s="29" t="s">
        <v>385</v>
      </c>
      <c r="U467" s="29"/>
      <c r="V467" s="29"/>
      <c r="W467" s="29" t="s">
        <v>3231</v>
      </c>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t="s">
        <v>390</v>
      </c>
      <c r="AW467" s="29" t="s">
        <v>391</v>
      </c>
      <c r="AX467" s="29" t="s">
        <v>391</v>
      </c>
      <c r="AY467" s="29" t="s">
        <v>429</v>
      </c>
      <c r="AZ467" s="29">
        <v>2.0</v>
      </c>
      <c r="BA467" s="29">
        <v>2.0</v>
      </c>
      <c r="BB467" s="29" t="s">
        <v>391</v>
      </c>
      <c r="BC467" s="29" t="s">
        <v>9109</v>
      </c>
      <c r="BD467" s="29" t="s">
        <v>9110</v>
      </c>
      <c r="BE467" s="29" t="s">
        <v>2259</v>
      </c>
      <c r="BF467" s="29" t="s">
        <v>393</v>
      </c>
      <c r="BG467" s="29" t="s">
        <v>678</v>
      </c>
      <c r="BH467" s="29" t="s">
        <v>9111</v>
      </c>
      <c r="BI467" s="29" t="s">
        <v>509</v>
      </c>
      <c r="BJ467" s="29" t="s">
        <v>9112</v>
      </c>
      <c r="BK467" s="29" t="s">
        <v>437</v>
      </c>
      <c r="BL467" s="29" t="s">
        <v>438</v>
      </c>
      <c r="BM467" s="29" t="s">
        <v>549</v>
      </c>
      <c r="BN467" s="29" t="s">
        <v>513</v>
      </c>
      <c r="BO467" s="29"/>
      <c r="BP467" s="29"/>
      <c r="BQ467" s="29"/>
      <c r="BR467" s="29"/>
      <c r="BS467" s="29"/>
      <c r="BT467" s="29"/>
      <c r="BU467" s="29"/>
      <c r="BV467" s="29"/>
      <c r="BW467" s="29"/>
      <c r="BX467" s="29"/>
      <c r="BY467" s="29"/>
      <c r="BZ467" s="29"/>
      <c r="CA467" s="29"/>
      <c r="CB467" s="29"/>
      <c r="CC467" s="29"/>
      <c r="CD467" s="29"/>
      <c r="CE467" s="29"/>
      <c r="CF467" s="29"/>
      <c r="CG467" s="29"/>
      <c r="CH467" s="29"/>
      <c r="CI467" s="29"/>
      <c r="CJ467" s="29"/>
      <c r="CK467" s="29"/>
      <c r="CL467" s="29" t="s">
        <v>441</v>
      </c>
      <c r="CM467" s="29" t="s">
        <v>401</v>
      </c>
      <c r="CN467" s="29" t="s">
        <v>9113</v>
      </c>
      <c r="CO467" s="29" t="s">
        <v>9114</v>
      </c>
      <c r="CP467" s="29" t="s">
        <v>1008</v>
      </c>
      <c r="CQ467" s="29" t="s">
        <v>9115</v>
      </c>
      <c r="CR467" s="29" t="s">
        <v>447</v>
      </c>
      <c r="CS467" s="29" t="s">
        <v>2564</v>
      </c>
      <c r="CT467" s="29" t="s">
        <v>9116</v>
      </c>
      <c r="CU467" s="29" t="s">
        <v>450</v>
      </c>
      <c r="CV467" s="29" t="s">
        <v>451</v>
      </c>
      <c r="CW467" s="29" t="s">
        <v>9117</v>
      </c>
      <c r="CX467" s="29" t="s">
        <v>408</v>
      </c>
      <c r="CY467" s="29"/>
      <c r="CZ467" s="29" t="s">
        <v>453</v>
      </c>
      <c r="DA467" s="29" t="s">
        <v>9118</v>
      </c>
      <c r="DB467" s="29" t="s">
        <v>408</v>
      </c>
      <c r="DC467" s="29"/>
      <c r="DD467" s="29" t="s">
        <v>988</v>
      </c>
      <c r="DE467" s="29" t="s">
        <v>691</v>
      </c>
      <c r="DF467" s="29" t="s">
        <v>9119</v>
      </c>
      <c r="DG467" s="29" t="s">
        <v>776</v>
      </c>
      <c r="DH467" s="29" t="s">
        <v>410</v>
      </c>
      <c r="DI467" s="29" t="s">
        <v>459</v>
      </c>
      <c r="DJ467" s="29" t="s">
        <v>613</v>
      </c>
      <c r="DK467" s="29"/>
      <c r="DL467" s="29"/>
      <c r="DM467" s="29"/>
      <c r="DN467" s="29"/>
      <c r="DO467" s="29"/>
      <c r="DP467" s="29"/>
      <c r="DQ467" s="29"/>
      <c r="DR467" s="29"/>
      <c r="DS467" s="29"/>
      <c r="DT467" s="29"/>
      <c r="DU467" s="29"/>
      <c r="DV467" s="29"/>
      <c r="DW467" s="29"/>
      <c r="DX467" s="29"/>
      <c r="DY467" s="29"/>
      <c r="DZ467" s="29"/>
      <c r="EA467" s="29"/>
      <c r="EB467" s="29"/>
      <c r="EC467" s="29"/>
      <c r="ED467" s="29"/>
      <c r="EE467" s="29"/>
      <c r="EF467" s="29"/>
      <c r="EG467" s="29"/>
      <c r="EH467" s="29"/>
      <c r="EI467" s="29"/>
      <c r="EJ467" s="29"/>
      <c r="EK467" s="29"/>
      <c r="EL467" s="29"/>
      <c r="EM467" s="29"/>
      <c r="EN467" s="29"/>
      <c r="EO467" s="29"/>
      <c r="EP467" s="29"/>
      <c r="EQ467" s="29"/>
      <c r="ER467" s="29"/>
      <c r="ES467" s="29"/>
      <c r="ET467" s="29" t="s">
        <v>526</v>
      </c>
      <c r="EU467" s="29" t="s">
        <v>1037</v>
      </c>
      <c r="EV467" s="29" t="s">
        <v>527</v>
      </c>
      <c r="EW467" s="29" t="s">
        <v>3371</v>
      </c>
      <c r="EX467" s="29" t="s">
        <v>9120</v>
      </c>
      <c r="EY467" s="29" t="s">
        <v>9121</v>
      </c>
      <c r="EZ467" s="29" t="s">
        <v>413</v>
      </c>
      <c r="FA467" s="29" t="s">
        <v>413</v>
      </c>
      <c r="FB467" s="29" t="s">
        <v>413</v>
      </c>
      <c r="FC467" s="29" t="s">
        <v>413</v>
      </c>
      <c r="FD467" s="29" t="s">
        <v>413</v>
      </c>
      <c r="FE467" s="29" t="s">
        <v>413</v>
      </c>
      <c r="FF467" s="29" t="s">
        <v>413</v>
      </c>
      <c r="FG467" s="29" t="s">
        <v>413</v>
      </c>
      <c r="FH467" s="29" t="s">
        <v>414</v>
      </c>
      <c r="FI467" s="29" t="s">
        <v>414</v>
      </c>
      <c r="FJ467" s="29" t="s">
        <v>413</v>
      </c>
      <c r="FK467" s="29" t="s">
        <v>413</v>
      </c>
      <c r="FL467" s="29" t="s">
        <v>413</v>
      </c>
      <c r="FM467" s="29" t="s">
        <v>413</v>
      </c>
      <c r="FN467" s="29" t="s">
        <v>583</v>
      </c>
      <c r="FO467" s="29" t="s">
        <v>485</v>
      </c>
      <c r="FP467" s="29" t="s">
        <v>418</v>
      </c>
      <c r="FQ467" s="29" t="s">
        <v>749</v>
      </c>
      <c r="FR467" s="29" t="s">
        <v>9122</v>
      </c>
      <c r="FS467" s="29" t="s">
        <v>1189</v>
      </c>
      <c r="FT467" s="29" t="s">
        <v>1462</v>
      </c>
      <c r="FU467" s="29" t="s">
        <v>489</v>
      </c>
      <c r="FV467" s="29" t="s">
        <v>490</v>
      </c>
      <c r="FW467" s="29" t="s">
        <v>491</v>
      </c>
      <c r="FX467" s="29" t="s">
        <v>9123</v>
      </c>
      <c r="FY467" s="29" t="s">
        <v>535</v>
      </c>
      <c r="FZ467" s="29" t="s">
        <v>9124</v>
      </c>
      <c r="GA467" s="29" t="s">
        <v>9125</v>
      </c>
      <c r="GB467" s="29" t="s">
        <v>408</v>
      </c>
      <c r="GC467" s="29"/>
      <c r="GD467" s="29"/>
      <c r="GE467" s="29"/>
      <c r="GF467" s="29"/>
      <c r="GG467" s="29" t="s">
        <v>920</v>
      </c>
      <c r="GH467" s="29" t="s">
        <v>1000</v>
      </c>
      <c r="GI467" s="29" t="s">
        <v>946</v>
      </c>
      <c r="GJ467" s="29"/>
      <c r="GK467" s="29"/>
      <c r="GL467" s="29"/>
      <c r="GM467" s="29"/>
      <c r="GN467" s="29"/>
      <c r="GO467" s="29"/>
      <c r="GP467" s="29" t="s">
        <v>387</v>
      </c>
      <c r="GQ467" s="29" t="s">
        <v>3208</v>
      </c>
      <c r="GR467" s="29"/>
      <c r="GS467" s="29"/>
      <c r="GT467" s="29" t="s">
        <v>5081</v>
      </c>
      <c r="GU467" s="29" t="s">
        <v>9126</v>
      </c>
      <c r="HP467" s="31"/>
      <c r="MX467" s="29" t="s">
        <v>10402</v>
      </c>
      <c r="MY467" s="29" t="str">
        <f>IFERROR(__xludf.DUMMYFUNCTION("""COMPUTED_VALUE"""),"California")</f>
        <v>California</v>
      </c>
    </row>
    <row r="468" ht="16.5" customHeight="1">
      <c r="A468" s="33">
        <v>46117.68807715278</v>
      </c>
      <c r="B468" s="29" t="s">
        <v>368</v>
      </c>
      <c r="C468" s="29" t="s">
        <v>370</v>
      </c>
      <c r="D468" s="29" t="s">
        <v>370</v>
      </c>
      <c r="E468" s="29" t="s">
        <v>371</v>
      </c>
      <c r="F468" s="29" t="s">
        <v>371</v>
      </c>
      <c r="G468" s="29" t="s">
        <v>792</v>
      </c>
      <c r="H468" s="29" t="s">
        <v>637</v>
      </c>
      <c r="I468" s="29" t="s">
        <v>638</v>
      </c>
      <c r="J468" s="29" t="s">
        <v>718</v>
      </c>
      <c r="K468" s="29" t="s">
        <v>376</v>
      </c>
      <c r="L468" s="29" t="s">
        <v>591</v>
      </c>
      <c r="M468" s="29" t="s">
        <v>9127</v>
      </c>
      <c r="N468" s="29" t="s">
        <v>670</v>
      </c>
      <c r="O468" s="29" t="s">
        <v>9128</v>
      </c>
      <c r="P468" s="29" t="s">
        <v>592</v>
      </c>
      <c r="Q468" s="29" t="s">
        <v>862</v>
      </c>
      <c r="R468" s="29" t="s">
        <v>427</v>
      </c>
      <c r="S468" s="29" t="s">
        <v>384</v>
      </c>
      <c r="T468" s="29" t="s">
        <v>385</v>
      </c>
      <c r="U468" s="29"/>
      <c r="V468" s="29"/>
      <c r="W468" s="29" t="s">
        <v>3231</v>
      </c>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t="s">
        <v>1310</v>
      </c>
      <c r="AW468" s="29">
        <v>4.0</v>
      </c>
      <c r="AX468" s="29">
        <v>2.0</v>
      </c>
      <c r="AY468" s="29" t="s">
        <v>391</v>
      </c>
      <c r="AZ468" s="29">
        <v>2.0</v>
      </c>
      <c r="BA468" s="29">
        <v>4.0</v>
      </c>
      <c r="BB468" s="29" t="s">
        <v>391</v>
      </c>
      <c r="BC468" s="29" t="s">
        <v>9129</v>
      </c>
      <c r="BD468" s="29" t="s">
        <v>9130</v>
      </c>
      <c r="BE468" s="29" t="s">
        <v>432</v>
      </c>
      <c r="BF468" s="29" t="s">
        <v>433</v>
      </c>
      <c r="BG468" s="29" t="s">
        <v>434</v>
      </c>
      <c r="BH468" s="29" t="s">
        <v>9131</v>
      </c>
      <c r="BI468" s="29" t="s">
        <v>727</v>
      </c>
      <c r="BJ468" s="29"/>
      <c r="BK468" s="29" t="s">
        <v>437</v>
      </c>
      <c r="BL468" s="29" t="s">
        <v>438</v>
      </c>
      <c r="BM468" s="29" t="s">
        <v>549</v>
      </c>
      <c r="BN468" s="29" t="s">
        <v>440</v>
      </c>
      <c r="BO468" s="29"/>
      <c r="BP468" s="29"/>
      <c r="BQ468" s="29"/>
      <c r="BR468" s="29"/>
      <c r="BS468" s="29"/>
      <c r="BT468" s="29"/>
      <c r="BU468" s="29"/>
      <c r="BV468" s="29"/>
      <c r="BW468" s="29"/>
      <c r="BX468" s="29"/>
      <c r="BY468" s="29"/>
      <c r="BZ468" s="29"/>
      <c r="CA468" s="29"/>
      <c r="CB468" s="29"/>
      <c r="CC468" s="29"/>
      <c r="CD468" s="29"/>
      <c r="CE468" s="29"/>
      <c r="CF468" s="29"/>
      <c r="CG468" s="29"/>
      <c r="CH468" s="29"/>
      <c r="CI468" s="29"/>
      <c r="CJ468" s="29"/>
      <c r="CK468" s="29"/>
      <c r="CL468" s="29" t="s">
        <v>441</v>
      </c>
      <c r="CM468" s="29" t="s">
        <v>442</v>
      </c>
      <c r="CN468" s="29" t="s">
        <v>9132</v>
      </c>
      <c r="CO468" s="29" t="s">
        <v>9133</v>
      </c>
      <c r="CP468" s="29" t="s">
        <v>445</v>
      </c>
      <c r="CQ468" s="29" t="s">
        <v>9134</v>
      </c>
      <c r="CR468" s="29" t="s">
        <v>447</v>
      </c>
      <c r="CS468" s="29" t="s">
        <v>980</v>
      </c>
      <c r="CT468" s="29" t="s">
        <v>9135</v>
      </c>
      <c r="CU468" s="29" t="s">
        <v>519</v>
      </c>
      <c r="CV468" s="29" t="s">
        <v>451</v>
      </c>
      <c r="CW468" s="29" t="s">
        <v>9136</v>
      </c>
      <c r="CX468" s="29" t="s">
        <v>408</v>
      </c>
      <c r="CY468" s="29"/>
      <c r="CZ468" s="29" t="s">
        <v>985</v>
      </c>
      <c r="DA468" s="29" t="s">
        <v>9137</v>
      </c>
      <c r="DB468" s="29" t="s">
        <v>455</v>
      </c>
      <c r="DC468" s="29" t="s">
        <v>9138</v>
      </c>
      <c r="DD468" s="29" t="s">
        <v>406</v>
      </c>
      <c r="DE468" s="29" t="s">
        <v>407</v>
      </c>
      <c r="DF468" s="29" t="s">
        <v>9139</v>
      </c>
      <c r="DG468" s="29" t="s">
        <v>524</v>
      </c>
      <c r="DH468" s="29" t="s">
        <v>410</v>
      </c>
      <c r="DI468" s="29" t="s">
        <v>459</v>
      </c>
      <c r="DJ468" s="29" t="s">
        <v>460</v>
      </c>
      <c r="DK468" s="29" t="s">
        <v>6335</v>
      </c>
      <c r="DL468" s="29"/>
      <c r="DM468" s="29" t="s">
        <v>9140</v>
      </c>
      <c r="DN468" s="29" t="s">
        <v>9141</v>
      </c>
      <c r="DO468" s="29" t="s">
        <v>464</v>
      </c>
      <c r="DP468" s="29" t="s">
        <v>9142</v>
      </c>
      <c r="DQ468" s="29" t="s">
        <v>700</v>
      </c>
      <c r="DR468" s="29" t="s">
        <v>9143</v>
      </c>
      <c r="DS468" s="29" t="s">
        <v>618</v>
      </c>
      <c r="DT468" s="29" t="s">
        <v>570</v>
      </c>
      <c r="DU468" s="29" t="s">
        <v>9144</v>
      </c>
      <c r="DV468" s="29" t="s">
        <v>9145</v>
      </c>
      <c r="DW468" s="29" t="s">
        <v>1328</v>
      </c>
      <c r="DX468" s="29" t="s">
        <v>9146</v>
      </c>
      <c r="DY468" s="29" t="s">
        <v>9147</v>
      </c>
      <c r="DZ468" s="29" t="s">
        <v>9148</v>
      </c>
      <c r="EA468" s="29" t="s">
        <v>475</v>
      </c>
      <c r="EB468" s="29" t="s">
        <v>476</v>
      </c>
      <c r="EC468" s="29" t="s">
        <v>9149</v>
      </c>
      <c r="ED468" s="29"/>
      <c r="EE468" s="29"/>
      <c r="EF468" s="29"/>
      <c r="EG468" s="29"/>
      <c r="EH468" s="29"/>
      <c r="EI468" s="29"/>
      <c r="EJ468" s="29"/>
      <c r="EK468" s="29"/>
      <c r="EL468" s="29"/>
      <c r="EM468" s="29"/>
      <c r="EN468" s="29"/>
      <c r="EO468" s="29"/>
      <c r="EP468" s="29"/>
      <c r="EQ468" s="29"/>
      <c r="ER468" s="29"/>
      <c r="ES468" s="29"/>
      <c r="ET468" s="29" t="s">
        <v>526</v>
      </c>
      <c r="EU468" s="29" t="s">
        <v>887</v>
      </c>
      <c r="EV468" s="29" t="s">
        <v>480</v>
      </c>
      <c r="EW468" s="29"/>
      <c r="EX468" s="29" t="s">
        <v>9150</v>
      </c>
      <c r="EY468" s="29" t="s">
        <v>9151</v>
      </c>
      <c r="EZ468" s="29" t="s">
        <v>415</v>
      </c>
      <c r="FA468" s="29" t="s">
        <v>415</v>
      </c>
      <c r="FB468" s="29" t="s">
        <v>413</v>
      </c>
      <c r="FC468" s="29" t="s">
        <v>413</v>
      </c>
      <c r="FD468" s="29" t="s">
        <v>413</v>
      </c>
      <c r="FE468" s="29" t="s">
        <v>415</v>
      </c>
      <c r="FF468" s="29" t="s">
        <v>413</v>
      </c>
      <c r="FG468" s="29" t="s">
        <v>413</v>
      </c>
      <c r="FH468" s="29" t="s">
        <v>583</v>
      </c>
      <c r="FI468" s="29" t="s">
        <v>414</v>
      </c>
      <c r="FJ468" s="29" t="s">
        <v>416</v>
      </c>
      <c r="FK468" s="29" t="s">
        <v>413</v>
      </c>
      <c r="FL468" s="29" t="s">
        <v>416</v>
      </c>
      <c r="FM468" s="29" t="s">
        <v>413</v>
      </c>
      <c r="FN468" s="29" t="s">
        <v>583</v>
      </c>
      <c r="FO468" s="29" t="s">
        <v>485</v>
      </c>
      <c r="FP468" s="29" t="s">
        <v>418</v>
      </c>
      <c r="FQ468" s="29" t="s">
        <v>419</v>
      </c>
      <c r="FR468" s="29"/>
      <c r="FS468" s="29" t="s">
        <v>420</v>
      </c>
      <c r="FT468" s="29" t="s">
        <v>488</v>
      </c>
      <c r="FU468" s="29" t="s">
        <v>489</v>
      </c>
      <c r="FV468" s="29" t="s">
        <v>490</v>
      </c>
      <c r="FW468" s="29" t="s">
        <v>491</v>
      </c>
      <c r="FX468" s="29"/>
      <c r="FY468" s="29" t="s">
        <v>493</v>
      </c>
      <c r="FZ468" s="29"/>
      <c r="GA468" s="29"/>
      <c r="GB468" s="29" t="s">
        <v>455</v>
      </c>
      <c r="GC468" s="29"/>
      <c r="GD468" s="29" t="s">
        <v>9152</v>
      </c>
      <c r="GE468" s="29" t="s">
        <v>855</v>
      </c>
      <c r="GF468" s="29"/>
      <c r="GG468" s="29" t="s">
        <v>755</v>
      </c>
      <c r="GH468" s="29" t="s">
        <v>755</v>
      </c>
      <c r="GI468" s="29" t="s">
        <v>946</v>
      </c>
      <c r="GJ468" s="29"/>
      <c r="GK468" s="29"/>
      <c r="GL468" s="29"/>
      <c r="GM468" s="29" t="s">
        <v>1079</v>
      </c>
      <c r="GN468" s="29"/>
      <c r="GO468" s="29"/>
      <c r="GP468" s="29" t="s">
        <v>387</v>
      </c>
      <c r="GQ468" s="29" t="s">
        <v>3208</v>
      </c>
      <c r="GR468" s="29"/>
      <c r="GS468" s="29"/>
      <c r="GT468" s="29" t="s">
        <v>4774</v>
      </c>
      <c r="GU468" s="29"/>
      <c r="HP468" s="31"/>
      <c r="MX468" s="29" t="s">
        <v>10402</v>
      </c>
      <c r="MY468" s="29" t="str">
        <f>IFERROR(__xludf.DUMMYFUNCTION("""COMPUTED_VALUE"""),"North Carolina")</f>
        <v>North Carolina</v>
      </c>
    </row>
    <row r="469" ht="16.5" customHeight="1">
      <c r="A469" s="33">
        <v>46118.064871678245</v>
      </c>
      <c r="B469" s="29" t="s">
        <v>368</v>
      </c>
      <c r="C469" s="29" t="s">
        <v>370</v>
      </c>
      <c r="D469" s="29" t="s">
        <v>370</v>
      </c>
      <c r="E469" s="29" t="s">
        <v>3955</v>
      </c>
      <c r="F469" s="29" t="s">
        <v>667</v>
      </c>
      <c r="G469" s="29" t="s">
        <v>422</v>
      </c>
      <c r="H469" s="29" t="s">
        <v>373</v>
      </c>
      <c r="I469" s="29" t="s">
        <v>374</v>
      </c>
      <c r="J469" s="29" t="s">
        <v>375</v>
      </c>
      <c r="K469" s="29" t="s">
        <v>376</v>
      </c>
      <c r="L469" s="29" t="s">
        <v>426</v>
      </c>
      <c r="M469" s="29" t="s">
        <v>541</v>
      </c>
      <c r="N469" s="29" t="s">
        <v>426</v>
      </c>
      <c r="O469" s="29" t="s">
        <v>671</v>
      </c>
      <c r="P469" s="29" t="s">
        <v>498</v>
      </c>
      <c r="Q469" s="29" t="s">
        <v>759</v>
      </c>
      <c r="R469" s="29" t="s">
        <v>949</v>
      </c>
      <c r="S469" s="29" t="s">
        <v>384</v>
      </c>
      <c r="T469" s="29" t="s">
        <v>385</v>
      </c>
      <c r="U469" s="29"/>
      <c r="V469" s="29"/>
      <c r="W469" s="29" t="s">
        <v>593</v>
      </c>
      <c r="X469" s="29" t="s">
        <v>387</v>
      </c>
      <c r="Y469" s="29" t="s">
        <v>388</v>
      </c>
      <c r="Z469" s="29" t="s">
        <v>502</v>
      </c>
      <c r="AA469" s="29" t="s">
        <v>408</v>
      </c>
      <c r="AB469" s="29" t="s">
        <v>9156</v>
      </c>
      <c r="AC469" s="29"/>
      <c r="AD469" s="29"/>
      <c r="AE469" s="29"/>
      <c r="AF469" s="29"/>
      <c r="AG469" s="29"/>
      <c r="AH469" s="29"/>
      <c r="AI469" s="29"/>
      <c r="AJ469" s="29"/>
      <c r="AK469" s="29"/>
      <c r="AL469" s="29"/>
      <c r="AM469" s="29"/>
      <c r="AN469" s="29"/>
      <c r="AO469" s="29"/>
      <c r="AP469" s="29"/>
      <c r="AQ469" s="29"/>
      <c r="AR469" s="29"/>
      <c r="AS469" s="29"/>
      <c r="AT469" s="29"/>
      <c r="AU469" s="29"/>
      <c r="AV469" s="29" t="s">
        <v>1310</v>
      </c>
      <c r="AW469" s="29" t="s">
        <v>391</v>
      </c>
      <c r="AX469" s="29">
        <v>2.0</v>
      </c>
      <c r="AY469" s="29" t="s">
        <v>391</v>
      </c>
      <c r="AZ469" s="29">
        <v>2.0</v>
      </c>
      <c r="BA469" s="29" t="s">
        <v>391</v>
      </c>
      <c r="BB469" s="29">
        <v>2.0</v>
      </c>
      <c r="BC469" s="29" t="s">
        <v>9157</v>
      </c>
      <c r="BD469" s="29" t="s">
        <v>9158</v>
      </c>
      <c r="BE469" s="29" t="s">
        <v>392</v>
      </c>
      <c r="BF469" s="29" t="s">
        <v>433</v>
      </c>
      <c r="BG469" s="29" t="s">
        <v>725</v>
      </c>
      <c r="BH469" s="29" t="s">
        <v>9159</v>
      </c>
      <c r="BI469" s="29" t="s">
        <v>435</v>
      </c>
      <c r="BJ469" s="29" t="s">
        <v>9160</v>
      </c>
      <c r="BK469" s="29" t="s">
        <v>511</v>
      </c>
      <c r="BL469" s="29" t="s">
        <v>904</v>
      </c>
      <c r="BM469" s="29" t="s">
        <v>1247</v>
      </c>
      <c r="BN469" s="29" t="s">
        <v>440</v>
      </c>
      <c r="BO469" s="29"/>
      <c r="BP469" s="29"/>
      <c r="BQ469" s="29"/>
      <c r="BR469" s="29"/>
      <c r="BS469" s="29"/>
      <c r="BT469" s="29"/>
      <c r="BU469" s="29"/>
      <c r="BV469" s="29"/>
      <c r="BW469" s="29"/>
      <c r="BX469" s="29"/>
      <c r="BY469" s="29"/>
      <c r="BZ469" s="29"/>
      <c r="CA469" s="29"/>
      <c r="CB469" s="29"/>
      <c r="CC469" s="29"/>
      <c r="CD469" s="29"/>
      <c r="CE469" s="29"/>
      <c r="CF469" s="29"/>
      <c r="CG469" s="29"/>
      <c r="CH469" s="29"/>
      <c r="CI469" s="29"/>
      <c r="CJ469" s="29"/>
      <c r="CK469" s="29"/>
      <c r="CL469" s="29" t="s">
        <v>441</v>
      </c>
      <c r="CM469" s="29" t="s">
        <v>442</v>
      </c>
      <c r="CN469" s="29" t="s">
        <v>9161</v>
      </c>
      <c r="CO469" s="29" t="s">
        <v>9162</v>
      </c>
      <c r="CP469" s="29" t="s">
        <v>979</v>
      </c>
      <c r="CQ469" s="29" t="s">
        <v>9163</v>
      </c>
      <c r="CR469" s="29" t="s">
        <v>447</v>
      </c>
      <c r="CS469" s="29" t="s">
        <v>6848</v>
      </c>
      <c r="CT469" s="29" t="s">
        <v>9164</v>
      </c>
      <c r="CU469" s="29" t="s">
        <v>450</v>
      </c>
      <c r="CV469" s="29" t="s">
        <v>451</v>
      </c>
      <c r="CW469" s="29" t="s">
        <v>9165</v>
      </c>
      <c r="CX469" s="29" t="s">
        <v>408</v>
      </c>
      <c r="CY469" s="29"/>
      <c r="CZ469" s="29" t="s">
        <v>453</v>
      </c>
      <c r="DA469" s="29" t="s">
        <v>9166</v>
      </c>
      <c r="DB469" s="29" t="s">
        <v>455</v>
      </c>
      <c r="DC469" s="29" t="s">
        <v>9167</v>
      </c>
      <c r="DD469" s="29" t="s">
        <v>988</v>
      </c>
      <c r="DE469" s="29"/>
      <c r="DF469" s="29" t="s">
        <v>9168</v>
      </c>
      <c r="DG469" s="29" t="s">
        <v>524</v>
      </c>
      <c r="DH469" s="29" t="s">
        <v>833</v>
      </c>
      <c r="DI469" s="29" t="s">
        <v>459</v>
      </c>
      <c r="DJ469" s="29" t="s">
        <v>460</v>
      </c>
      <c r="DK469" s="29" t="s">
        <v>6335</v>
      </c>
      <c r="DL469" s="29"/>
      <c r="DM469" s="29" t="s">
        <v>9169</v>
      </c>
      <c r="DN469" s="29" t="s">
        <v>9170</v>
      </c>
      <c r="DO469" s="29" t="s">
        <v>567</v>
      </c>
      <c r="DP469" s="29" t="s">
        <v>9171</v>
      </c>
      <c r="DQ469" s="29" t="s">
        <v>1291</v>
      </c>
      <c r="DR469" s="29" t="s">
        <v>9172</v>
      </c>
      <c r="DS469" s="29" t="s">
        <v>839</v>
      </c>
      <c r="DT469" s="29" t="s">
        <v>570</v>
      </c>
      <c r="DU469" s="29" t="s">
        <v>9173</v>
      </c>
      <c r="DV469" s="29" t="s">
        <v>9174</v>
      </c>
      <c r="DW469" s="29" t="s">
        <v>622</v>
      </c>
      <c r="DX469" s="29" t="s">
        <v>9175</v>
      </c>
      <c r="DY469" s="29" t="s">
        <v>9176</v>
      </c>
      <c r="DZ469" s="29" t="s">
        <v>9177</v>
      </c>
      <c r="EA469" s="29" t="s">
        <v>475</v>
      </c>
      <c r="EB469" s="29" t="s">
        <v>626</v>
      </c>
      <c r="EC469" s="29"/>
      <c r="ED469" s="29"/>
      <c r="EE469" s="29"/>
      <c r="EF469" s="29"/>
      <c r="EG469" s="29"/>
      <c r="EH469" s="29"/>
      <c r="EI469" s="29"/>
      <c r="EJ469" s="29"/>
      <c r="EK469" s="29"/>
      <c r="EL469" s="29"/>
      <c r="EM469" s="29"/>
      <c r="EN469" s="29"/>
      <c r="EO469" s="29"/>
      <c r="EP469" s="29"/>
      <c r="EQ469" s="29"/>
      <c r="ER469" s="29"/>
      <c r="ES469" s="29"/>
      <c r="ET469" s="29" t="s">
        <v>526</v>
      </c>
      <c r="EU469" s="29" t="s">
        <v>479</v>
      </c>
      <c r="EV469" s="29" t="s">
        <v>480</v>
      </c>
      <c r="EW469" s="29"/>
      <c r="EX469" s="29" t="s">
        <v>9178</v>
      </c>
      <c r="EY469" s="29" t="s">
        <v>9179</v>
      </c>
      <c r="EZ469" s="29" t="s">
        <v>413</v>
      </c>
      <c r="FA469" s="29" t="s">
        <v>415</v>
      </c>
      <c r="FB469" s="29" t="s">
        <v>413</v>
      </c>
      <c r="FC469" s="29" t="s">
        <v>415</v>
      </c>
      <c r="FD469" s="29" t="s">
        <v>413</v>
      </c>
      <c r="FE469" s="29" t="s">
        <v>415</v>
      </c>
      <c r="FF469" s="29" t="s">
        <v>413</v>
      </c>
      <c r="FG469" s="29" t="s">
        <v>416</v>
      </c>
      <c r="FH469" s="29" t="s">
        <v>484</v>
      </c>
      <c r="FI469" s="29" t="s">
        <v>583</v>
      </c>
      <c r="FJ469" s="29" t="s">
        <v>415</v>
      </c>
      <c r="FK469" s="29" t="s">
        <v>415</v>
      </c>
      <c r="FL469" s="29" t="s">
        <v>415</v>
      </c>
      <c r="FM469" s="29" t="s">
        <v>484</v>
      </c>
      <c r="FN469" s="29" t="s">
        <v>484</v>
      </c>
      <c r="FO469" s="29" t="s">
        <v>485</v>
      </c>
      <c r="FP469" s="29" t="s">
        <v>486</v>
      </c>
      <c r="FQ469" s="29" t="s">
        <v>630</v>
      </c>
      <c r="FR469" s="29" t="s">
        <v>9180</v>
      </c>
      <c r="FS469" s="29" t="s">
        <v>420</v>
      </c>
      <c r="FT469" s="29" t="s">
        <v>488</v>
      </c>
      <c r="FU469" s="29" t="s">
        <v>533</v>
      </c>
      <c r="FV469" s="29" t="s">
        <v>490</v>
      </c>
      <c r="FW469" s="29" t="s">
        <v>491</v>
      </c>
      <c r="FX469" s="29" t="s">
        <v>9181</v>
      </c>
      <c r="FY469" s="29" t="s">
        <v>535</v>
      </c>
      <c r="FZ469" s="29" t="s">
        <v>9182</v>
      </c>
      <c r="GA469" s="29"/>
      <c r="GB469" s="29" t="s">
        <v>408</v>
      </c>
      <c r="GC469" s="29"/>
      <c r="GD469" s="29"/>
      <c r="GE469" s="29"/>
      <c r="GF469" s="29"/>
      <c r="GG469" s="29" t="s">
        <v>788</v>
      </c>
      <c r="GH469" s="29" t="s">
        <v>788</v>
      </c>
      <c r="GI469" s="29" t="s">
        <v>858</v>
      </c>
      <c r="GJ469" s="29"/>
      <c r="GK469" s="29"/>
      <c r="GL469" s="29"/>
      <c r="GM469" s="29" t="s">
        <v>1079</v>
      </c>
      <c r="GN469" s="29"/>
      <c r="GO469" s="29"/>
      <c r="GP469" s="29"/>
      <c r="GQ469" s="29" t="s">
        <v>3208</v>
      </c>
      <c r="GR469" s="29"/>
      <c r="GS469" s="29"/>
      <c r="GT469" s="29" t="s">
        <v>5170</v>
      </c>
      <c r="GU469" s="29" t="s">
        <v>9183</v>
      </c>
      <c r="HP469" s="31"/>
      <c r="MX469" s="29" t="s">
        <v>1201</v>
      </c>
      <c r="MY469" s="29" t="str">
        <f>IFERROR(__xludf.DUMMYFUNCTION("""COMPUTED_VALUE"""),"Australia")</f>
        <v>Australia</v>
      </c>
    </row>
    <row r="470" ht="16.5" customHeight="1">
      <c r="A470" s="33">
        <v>46118.1994543287</v>
      </c>
      <c r="B470" s="29" t="s">
        <v>368</v>
      </c>
      <c r="C470" s="29" t="s">
        <v>1201</v>
      </c>
      <c r="D470" s="29" t="s">
        <v>1201</v>
      </c>
      <c r="E470" s="29"/>
      <c r="F470" s="29"/>
      <c r="G470" s="29" t="s">
        <v>3187</v>
      </c>
      <c r="H470" s="29" t="s">
        <v>373</v>
      </c>
      <c r="I470" s="29" t="s">
        <v>374</v>
      </c>
      <c r="J470" s="29" t="s">
        <v>375</v>
      </c>
      <c r="K470" s="29" t="s">
        <v>376</v>
      </c>
      <c r="L470" s="29" t="s">
        <v>426</v>
      </c>
      <c r="M470" s="29" t="s">
        <v>378</v>
      </c>
      <c r="N470" s="29" t="s">
        <v>426</v>
      </c>
      <c r="O470" s="29" t="s">
        <v>497</v>
      </c>
      <c r="P470" s="29" t="s">
        <v>498</v>
      </c>
      <c r="Q470" s="29" t="s">
        <v>382</v>
      </c>
      <c r="R470" s="29" t="s">
        <v>500</v>
      </c>
      <c r="S470" s="29" t="s">
        <v>384</v>
      </c>
      <c r="T470" s="29" t="s">
        <v>385</v>
      </c>
      <c r="U470" s="29"/>
      <c r="V470" s="29"/>
      <c r="W470" s="29" t="s">
        <v>3231</v>
      </c>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t="s">
        <v>597</v>
      </c>
      <c r="AW470" s="29">
        <v>2.0</v>
      </c>
      <c r="AX470" s="29" t="s">
        <v>429</v>
      </c>
      <c r="AY470" s="29" t="s">
        <v>429</v>
      </c>
      <c r="AZ470" s="29">
        <v>2.0</v>
      </c>
      <c r="BA470" s="29">
        <v>4.0</v>
      </c>
      <c r="BB470" s="29" t="s">
        <v>391</v>
      </c>
      <c r="BC470" s="29" t="s">
        <v>9187</v>
      </c>
      <c r="BD470" s="29" t="s">
        <v>9188</v>
      </c>
      <c r="BE470" s="29" t="s">
        <v>392</v>
      </c>
      <c r="BF470" s="29" t="s">
        <v>433</v>
      </c>
      <c r="BG470" s="29" t="s">
        <v>765</v>
      </c>
      <c r="BH470" s="29" t="s">
        <v>9189</v>
      </c>
      <c r="BI470" s="29" t="s">
        <v>727</v>
      </c>
      <c r="BJ470" s="29" t="s">
        <v>9190</v>
      </c>
      <c r="BK470" s="29" t="s">
        <v>395</v>
      </c>
      <c r="BL470" s="29" t="s">
        <v>603</v>
      </c>
      <c r="BM470" s="29" t="s">
        <v>549</v>
      </c>
      <c r="BN470" s="29" t="s">
        <v>440</v>
      </c>
      <c r="BO470" s="29"/>
      <c r="BP470" s="29"/>
      <c r="BQ470" s="29"/>
      <c r="BR470" s="29"/>
      <c r="BS470" s="29"/>
      <c r="BT470" s="29"/>
      <c r="BU470" s="29"/>
      <c r="BV470" s="29"/>
      <c r="BW470" s="29"/>
      <c r="BX470" s="29"/>
      <c r="BY470" s="29"/>
      <c r="BZ470" s="29"/>
      <c r="CA470" s="29"/>
      <c r="CB470" s="29"/>
      <c r="CC470" s="29"/>
      <c r="CD470" s="29"/>
      <c r="CE470" s="29"/>
      <c r="CF470" s="29"/>
      <c r="CG470" s="29"/>
      <c r="CH470" s="29"/>
      <c r="CI470" s="29"/>
      <c r="CJ470" s="29"/>
      <c r="CK470" s="29"/>
      <c r="CL470" s="29" t="s">
        <v>550</v>
      </c>
      <c r="CM470" s="29" t="s">
        <v>604</v>
      </c>
      <c r="CN470" s="29" t="s">
        <v>9191</v>
      </c>
      <c r="CO470" s="29" t="s">
        <v>9192</v>
      </c>
      <c r="CP470" s="29" t="s">
        <v>685</v>
      </c>
      <c r="CQ470" s="29" t="s">
        <v>9193</v>
      </c>
      <c r="CR470" s="29" t="s">
        <v>804</v>
      </c>
      <c r="CS470" s="29" t="s">
        <v>6041</v>
      </c>
      <c r="CT470" s="29" t="s">
        <v>9194</v>
      </c>
      <c r="CU470" s="29" t="s">
        <v>450</v>
      </c>
      <c r="CV470" s="29" t="s">
        <v>451</v>
      </c>
      <c r="CW470" s="29" t="s">
        <v>9195</v>
      </c>
      <c r="CX470" s="29" t="s">
        <v>408</v>
      </c>
      <c r="CY470" s="29"/>
      <c r="CZ470" s="29" t="s">
        <v>453</v>
      </c>
      <c r="DA470" s="29" t="s">
        <v>9196</v>
      </c>
      <c r="DB470" s="29" t="s">
        <v>455</v>
      </c>
      <c r="DC470" s="29" t="s">
        <v>9197</v>
      </c>
      <c r="DD470" s="29" t="s">
        <v>662</v>
      </c>
      <c r="DE470" s="29" t="s">
        <v>691</v>
      </c>
      <c r="DF470" s="29" t="s">
        <v>9198</v>
      </c>
      <c r="DG470" s="29" t="s">
        <v>561</v>
      </c>
      <c r="DH470" s="29" t="s">
        <v>833</v>
      </c>
      <c r="DI470" s="29" t="s">
        <v>459</v>
      </c>
      <c r="DJ470" s="29" t="s">
        <v>562</v>
      </c>
      <c r="DK470" s="29" t="s">
        <v>6319</v>
      </c>
      <c r="DL470" s="29"/>
      <c r="DM470" s="29" t="s">
        <v>9199</v>
      </c>
      <c r="DN470" s="29" t="s">
        <v>9200</v>
      </c>
      <c r="DO470" s="29" t="s">
        <v>567</v>
      </c>
      <c r="DP470" s="29" t="s">
        <v>9201</v>
      </c>
      <c r="DQ470" s="29" t="s">
        <v>1176</v>
      </c>
      <c r="DR470" s="29" t="s">
        <v>9202</v>
      </c>
      <c r="DS470" s="29" t="s">
        <v>468</v>
      </c>
      <c r="DT470" s="29" t="s">
        <v>703</v>
      </c>
      <c r="DU470" s="29" t="s">
        <v>9203</v>
      </c>
      <c r="DV470" s="29" t="s">
        <v>9204</v>
      </c>
      <c r="DW470" s="29" t="s">
        <v>622</v>
      </c>
      <c r="DX470" s="29" t="s">
        <v>9205</v>
      </c>
      <c r="DY470" s="29" t="s">
        <v>9206</v>
      </c>
      <c r="DZ470" s="29" t="s">
        <v>9207</v>
      </c>
      <c r="EA470" s="29" t="s">
        <v>1413</v>
      </c>
      <c r="EB470" s="29" t="s">
        <v>626</v>
      </c>
      <c r="EC470" s="29" t="s">
        <v>9208</v>
      </c>
      <c r="ED470" s="29"/>
      <c r="EE470" s="29"/>
      <c r="EF470" s="29"/>
      <c r="EG470" s="29"/>
      <c r="EH470" s="29"/>
      <c r="EI470" s="29"/>
      <c r="EJ470" s="29"/>
      <c r="EK470" s="29"/>
      <c r="EL470" s="29"/>
      <c r="EM470" s="29"/>
      <c r="EN470" s="29"/>
      <c r="EO470" s="29"/>
      <c r="EP470" s="29"/>
      <c r="EQ470" s="29"/>
      <c r="ER470" s="29"/>
      <c r="ES470" s="29"/>
      <c r="ET470" s="29" t="s">
        <v>478</v>
      </c>
      <c r="EU470" s="29" t="s">
        <v>579</v>
      </c>
      <c r="EV470" s="29" t="s">
        <v>527</v>
      </c>
      <c r="EW470" s="29" t="s">
        <v>9209</v>
      </c>
      <c r="EX470" s="29" t="s">
        <v>9210</v>
      </c>
      <c r="EY470" s="29" t="s">
        <v>9211</v>
      </c>
      <c r="EZ470" s="29" t="s">
        <v>415</v>
      </c>
      <c r="FA470" s="29" t="s">
        <v>414</v>
      </c>
      <c r="FB470" s="29" t="s">
        <v>413</v>
      </c>
      <c r="FC470" s="29" t="s">
        <v>416</v>
      </c>
      <c r="FD470" s="29" t="s">
        <v>413</v>
      </c>
      <c r="FE470" s="29" t="s">
        <v>415</v>
      </c>
      <c r="FF470" s="29" t="s">
        <v>413</v>
      </c>
      <c r="FG470" s="29" t="s">
        <v>413</v>
      </c>
      <c r="FH470" s="29" t="s">
        <v>414</v>
      </c>
      <c r="FI470" s="29" t="s">
        <v>416</v>
      </c>
      <c r="FJ470" s="29" t="s">
        <v>415</v>
      </c>
      <c r="FK470" s="29" t="s">
        <v>413</v>
      </c>
      <c r="FL470" s="29" t="s">
        <v>416</v>
      </c>
      <c r="FM470" s="29" t="s">
        <v>413</v>
      </c>
      <c r="FN470" s="29" t="s">
        <v>583</v>
      </c>
      <c r="FO470" s="29" t="s">
        <v>485</v>
      </c>
      <c r="FP470" s="29" t="s">
        <v>418</v>
      </c>
      <c r="FQ470" s="29" t="s">
        <v>712</v>
      </c>
      <c r="FR470" s="29" t="s">
        <v>9212</v>
      </c>
      <c r="FS470" s="29" t="s">
        <v>1189</v>
      </c>
      <c r="FT470" s="29" t="s">
        <v>488</v>
      </c>
      <c r="FU470" s="29" t="s">
        <v>585</v>
      </c>
      <c r="FV470" s="29" t="s">
        <v>490</v>
      </c>
      <c r="FW470" s="29" t="s">
        <v>491</v>
      </c>
      <c r="FX470" s="29" t="s">
        <v>9213</v>
      </c>
      <c r="FY470" s="29" t="s">
        <v>493</v>
      </c>
      <c r="FZ470" s="29" t="s">
        <v>9214</v>
      </c>
      <c r="GA470" s="29"/>
      <c r="GB470" s="29" t="s">
        <v>408</v>
      </c>
      <c r="GC470" s="29"/>
      <c r="GD470" s="29"/>
      <c r="GE470" s="29"/>
      <c r="GF470" s="29"/>
      <c r="GG470" s="29" t="s">
        <v>1000</v>
      </c>
      <c r="GH470" s="29" t="s">
        <v>1000</v>
      </c>
      <c r="GI470" s="29" t="s">
        <v>858</v>
      </c>
      <c r="GJ470" s="29"/>
      <c r="GK470" s="29"/>
      <c r="GL470" s="29"/>
      <c r="GM470" s="29" t="s">
        <v>1079</v>
      </c>
      <c r="GN470" s="29" t="s">
        <v>9215</v>
      </c>
      <c r="GO470" s="29" t="s">
        <v>9215</v>
      </c>
      <c r="GP470" s="29" t="s">
        <v>387</v>
      </c>
      <c r="GQ470" s="29" t="s">
        <v>3208</v>
      </c>
      <c r="GR470" s="29"/>
      <c r="GS470" s="29"/>
      <c r="GT470" s="29" t="s">
        <v>4774</v>
      </c>
      <c r="GU470" s="29"/>
      <c r="HP470" s="31"/>
      <c r="MX470" s="29" t="s">
        <v>10402</v>
      </c>
      <c r="MY470" s="29" t="str">
        <f>IFERROR(__xludf.DUMMYFUNCTION("""COMPUTED_VALUE"""),"North Carolina")</f>
        <v>North Carolina</v>
      </c>
    </row>
    <row r="471" ht="16.5" customHeight="1">
      <c r="A471" s="33">
        <v>46118.532824270835</v>
      </c>
      <c r="B471" s="29" t="s">
        <v>368</v>
      </c>
      <c r="C471" s="29" t="s">
        <v>370</v>
      </c>
      <c r="D471" s="29" t="s">
        <v>370</v>
      </c>
      <c r="E471" s="29" t="s">
        <v>3955</v>
      </c>
      <c r="F471" s="29" t="s">
        <v>3955</v>
      </c>
      <c r="G471" s="29" t="s">
        <v>422</v>
      </c>
      <c r="H471" s="29" t="s">
        <v>1307</v>
      </c>
      <c r="I471" s="29" t="s">
        <v>7561</v>
      </c>
      <c r="J471" s="29" t="s">
        <v>1204</v>
      </c>
      <c r="K471" s="29" t="s">
        <v>376</v>
      </c>
      <c r="L471" s="29" t="s">
        <v>379</v>
      </c>
      <c r="M471" s="29" t="s">
        <v>380</v>
      </c>
      <c r="N471" s="29" t="s">
        <v>377</v>
      </c>
      <c r="O471" s="29" t="s">
        <v>9219</v>
      </c>
      <c r="P471" s="29" t="s">
        <v>1760</v>
      </c>
      <c r="Q471" s="29" t="s">
        <v>1156</v>
      </c>
      <c r="R471" s="29" t="s">
        <v>427</v>
      </c>
      <c r="S471" s="29" t="s">
        <v>384</v>
      </c>
      <c r="T471" s="29" t="s">
        <v>385</v>
      </c>
      <c r="U471" s="29"/>
      <c r="V471" s="29"/>
      <c r="W471" s="29" t="s">
        <v>3231</v>
      </c>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t="s">
        <v>1242</v>
      </c>
      <c r="AW471" s="29">
        <v>4.0</v>
      </c>
      <c r="AX471" s="29">
        <v>4.0</v>
      </c>
      <c r="AY471" s="29">
        <v>2.0</v>
      </c>
      <c r="AZ471" s="29">
        <v>4.0</v>
      </c>
      <c r="BA471" s="29">
        <v>4.0</v>
      </c>
      <c r="BB471" s="29" t="s">
        <v>675</v>
      </c>
      <c r="BC471" s="29" t="s">
        <v>9220</v>
      </c>
      <c r="BD471" s="29" t="s">
        <v>9221</v>
      </c>
      <c r="BE471" s="29" t="s">
        <v>432</v>
      </c>
      <c r="BF471" s="29" t="s">
        <v>1047</v>
      </c>
      <c r="BG471" s="29" t="s">
        <v>394</v>
      </c>
      <c r="BH471" s="29" t="s">
        <v>9222</v>
      </c>
      <c r="BI471" s="29" t="s">
        <v>435</v>
      </c>
      <c r="BJ471" s="29" t="s">
        <v>9223</v>
      </c>
      <c r="BK471" s="29" t="s">
        <v>681</v>
      </c>
      <c r="BL471" s="29" t="s">
        <v>904</v>
      </c>
      <c r="BM471" s="29" t="s">
        <v>1314</v>
      </c>
      <c r="BN471" s="29" t="s">
        <v>440</v>
      </c>
      <c r="BO471" s="29"/>
      <c r="BP471" s="29"/>
      <c r="BQ471" s="29"/>
      <c r="BR471" s="29"/>
      <c r="BS471" s="29"/>
      <c r="BT471" s="29"/>
      <c r="BU471" s="29"/>
      <c r="BV471" s="29"/>
      <c r="BW471" s="29"/>
      <c r="BX471" s="29"/>
      <c r="BY471" s="29"/>
      <c r="BZ471" s="29"/>
      <c r="CA471" s="29"/>
      <c r="CB471" s="29"/>
      <c r="CC471" s="29"/>
      <c r="CD471" s="29"/>
      <c r="CE471" s="29"/>
      <c r="CF471" s="29"/>
      <c r="CG471" s="29"/>
      <c r="CH471" s="29"/>
      <c r="CI471" s="29"/>
      <c r="CJ471" s="29"/>
      <c r="CK471" s="29"/>
      <c r="CL471" s="29" t="s">
        <v>441</v>
      </c>
      <c r="CM471" s="29" t="s">
        <v>442</v>
      </c>
      <c r="CN471" s="29" t="s">
        <v>9224</v>
      </c>
      <c r="CO471" s="29" t="s">
        <v>9225</v>
      </c>
      <c r="CP471" s="29" t="s">
        <v>685</v>
      </c>
      <c r="CQ471" s="29" t="s">
        <v>9226</v>
      </c>
      <c r="CR471" s="29"/>
      <c r="CS471" s="29"/>
      <c r="CT471" s="29" t="s">
        <v>9227</v>
      </c>
      <c r="CU471" s="29"/>
      <c r="CV471" s="29"/>
      <c r="CW471" s="29"/>
      <c r="CX471" s="29" t="s">
        <v>408</v>
      </c>
      <c r="CY471" s="29"/>
      <c r="CZ471" s="29" t="s">
        <v>453</v>
      </c>
      <c r="DA471" s="29" t="s">
        <v>9228</v>
      </c>
      <c r="DB471" s="29" t="s">
        <v>408</v>
      </c>
      <c r="DC471" s="29"/>
      <c r="DD471" s="29" t="s">
        <v>457</v>
      </c>
      <c r="DE471" s="29"/>
      <c r="DF471" s="29"/>
      <c r="DG471" s="29"/>
      <c r="DH471" s="29"/>
      <c r="DI471" s="29" t="s">
        <v>963</v>
      </c>
      <c r="DJ471" s="29" t="s">
        <v>460</v>
      </c>
      <c r="DK471" s="29" t="s">
        <v>6319</v>
      </c>
      <c r="DL471" s="29"/>
      <c r="DM471" s="29" t="s">
        <v>462</v>
      </c>
      <c r="DN471" s="29" t="s">
        <v>9229</v>
      </c>
      <c r="DO471" s="29" t="s">
        <v>3496</v>
      </c>
      <c r="DP471" s="29" t="s">
        <v>9230</v>
      </c>
      <c r="DQ471" s="29" t="s">
        <v>466</v>
      </c>
      <c r="DR471" s="29" t="s">
        <v>9231</v>
      </c>
      <c r="DS471" s="29" t="s">
        <v>839</v>
      </c>
      <c r="DT471" s="29" t="s">
        <v>5486</v>
      </c>
      <c r="DU471" s="29" t="s">
        <v>9232</v>
      </c>
      <c r="DV471" s="29" t="s">
        <v>9233</v>
      </c>
      <c r="DW471" s="29" t="s">
        <v>1328</v>
      </c>
      <c r="DX471" s="29" t="s">
        <v>9234</v>
      </c>
      <c r="DY471" s="29" t="s">
        <v>9235</v>
      </c>
      <c r="DZ471" s="29" t="s">
        <v>9236</v>
      </c>
      <c r="EA471" s="29" t="s">
        <v>475</v>
      </c>
      <c r="EB471" s="29" t="s">
        <v>626</v>
      </c>
      <c r="EC471" s="29" t="s">
        <v>9237</v>
      </c>
      <c r="ED471" s="29"/>
      <c r="EE471" s="29"/>
      <c r="EF471" s="29"/>
      <c r="EG471" s="29"/>
      <c r="EH471" s="29"/>
      <c r="EI471" s="29"/>
      <c r="EJ471" s="29"/>
      <c r="EK471" s="29"/>
      <c r="EL471" s="29"/>
      <c r="EM471" s="29"/>
      <c r="EN471" s="29"/>
      <c r="EO471" s="29"/>
      <c r="EP471" s="29"/>
      <c r="EQ471" s="29"/>
      <c r="ER471" s="29"/>
      <c r="ES471" s="29"/>
      <c r="ET471" s="29" t="s">
        <v>526</v>
      </c>
      <c r="EU471" s="29" t="s">
        <v>1037</v>
      </c>
      <c r="EV471" s="29" t="s">
        <v>778</v>
      </c>
      <c r="EW471" s="29"/>
      <c r="EX471" s="29" t="s">
        <v>9238</v>
      </c>
      <c r="EY471" s="29" t="s">
        <v>9239</v>
      </c>
      <c r="EZ471" s="29" t="s">
        <v>413</v>
      </c>
      <c r="FA471" s="29" t="s">
        <v>413</v>
      </c>
      <c r="FB471" s="29" t="s">
        <v>413</v>
      </c>
      <c r="FC471" s="29" t="s">
        <v>413</v>
      </c>
      <c r="FD471" s="29" t="s">
        <v>413</v>
      </c>
      <c r="FE471" s="29" t="s">
        <v>413</v>
      </c>
      <c r="FF471" s="29" t="s">
        <v>413</v>
      </c>
      <c r="FG471" s="29" t="s">
        <v>413</v>
      </c>
      <c r="FH471" s="29" t="s">
        <v>414</v>
      </c>
      <c r="FI471" s="29" t="s">
        <v>414</v>
      </c>
      <c r="FJ471" s="29" t="s">
        <v>415</v>
      </c>
      <c r="FK471" s="29" t="s">
        <v>413</v>
      </c>
      <c r="FL471" s="29" t="s">
        <v>413</v>
      </c>
      <c r="FM471" s="29" t="s">
        <v>413</v>
      </c>
      <c r="FN471" s="29" t="s">
        <v>414</v>
      </c>
      <c r="FO471" s="29" t="s">
        <v>417</v>
      </c>
      <c r="FP471" s="29" t="s">
        <v>418</v>
      </c>
      <c r="FQ471" s="29" t="s">
        <v>531</v>
      </c>
      <c r="FR471" s="29" t="s">
        <v>9240</v>
      </c>
      <c r="FS471" s="29" t="s">
        <v>420</v>
      </c>
      <c r="FT471" s="29" t="s">
        <v>488</v>
      </c>
      <c r="FU471" s="29" t="s">
        <v>585</v>
      </c>
      <c r="FV471" s="29" t="s">
        <v>490</v>
      </c>
      <c r="FW471" s="29" t="s">
        <v>491</v>
      </c>
      <c r="FX471" s="29" t="s">
        <v>9241</v>
      </c>
      <c r="FY471" s="29" t="s">
        <v>535</v>
      </c>
      <c r="FZ471" s="29" t="s">
        <v>9242</v>
      </c>
      <c r="GA471" s="29" t="s">
        <v>9243</v>
      </c>
      <c r="GB471" s="29" t="s">
        <v>455</v>
      </c>
      <c r="GC471" s="29"/>
      <c r="GD471" s="29"/>
      <c r="GE471" s="29" t="s">
        <v>1339</v>
      </c>
      <c r="GF471" s="29"/>
      <c r="GG471" s="29"/>
      <c r="GH471" s="29"/>
      <c r="GI471" s="29" t="s">
        <v>817</v>
      </c>
      <c r="GJ471" s="29"/>
      <c r="GK471" s="29"/>
      <c r="GL471" s="29"/>
      <c r="GM471" s="29" t="s">
        <v>1079</v>
      </c>
      <c r="GN471" s="29"/>
      <c r="GO471" s="29"/>
      <c r="GP471" s="29" t="s">
        <v>387</v>
      </c>
      <c r="GQ471" s="29" t="s">
        <v>3208</v>
      </c>
      <c r="GR471" s="29"/>
      <c r="GS471" s="29"/>
      <c r="GT471" s="29" t="s">
        <v>4741</v>
      </c>
      <c r="GU471" s="29" t="s">
        <v>9244</v>
      </c>
      <c r="HP471" s="31"/>
      <c r="MX471" s="29" t="s">
        <v>1341</v>
      </c>
      <c r="MY471" s="29" t="str">
        <f>IFERROR(__xludf.DUMMYFUNCTION("""COMPUTED_VALUE"""),"Germany")</f>
        <v>Germany</v>
      </c>
    </row>
    <row r="472" ht="16.5" customHeight="1">
      <c r="A472" s="33">
        <v>46118.63432261574</v>
      </c>
      <c r="B472" s="29" t="s">
        <v>368</v>
      </c>
      <c r="C472" s="29" t="s">
        <v>1341</v>
      </c>
      <c r="D472" s="29" t="s">
        <v>1341</v>
      </c>
      <c r="E472" s="29"/>
      <c r="F472" s="29"/>
      <c r="G472" s="29" t="s">
        <v>422</v>
      </c>
      <c r="H472" s="29" t="s">
        <v>373</v>
      </c>
      <c r="I472" s="29" t="s">
        <v>374</v>
      </c>
      <c r="J472" s="29" t="s">
        <v>425</v>
      </c>
      <c r="K472" s="29" t="s">
        <v>376</v>
      </c>
      <c r="L472" s="29" t="s">
        <v>377</v>
      </c>
      <c r="M472" s="29"/>
      <c r="N472" s="29" t="s">
        <v>379</v>
      </c>
      <c r="O472" s="29" t="s">
        <v>2464</v>
      </c>
      <c r="P472" s="29" t="s">
        <v>1760</v>
      </c>
      <c r="Q472" s="29" t="s">
        <v>1004</v>
      </c>
      <c r="R472" s="29" t="s">
        <v>427</v>
      </c>
      <c r="S472" s="29" t="s">
        <v>384</v>
      </c>
      <c r="T472" s="29" t="s">
        <v>385</v>
      </c>
      <c r="U472" s="29"/>
      <c r="V472" s="29"/>
      <c r="W472" s="29" t="s">
        <v>3014</v>
      </c>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t="s">
        <v>504</v>
      </c>
      <c r="AW472" s="29" t="s">
        <v>429</v>
      </c>
      <c r="AX472" s="29" t="s">
        <v>429</v>
      </c>
      <c r="AY472" s="29" t="s">
        <v>429</v>
      </c>
      <c r="AZ472" s="29" t="s">
        <v>429</v>
      </c>
      <c r="BA472" s="29" t="s">
        <v>429</v>
      </c>
      <c r="BB472" s="29" t="s">
        <v>429</v>
      </c>
      <c r="BC472" s="29" t="s">
        <v>9249</v>
      </c>
      <c r="BD472" s="29" t="s">
        <v>9250</v>
      </c>
      <c r="BE472" s="29" t="s">
        <v>392</v>
      </c>
      <c r="BF472" s="29" t="s">
        <v>433</v>
      </c>
      <c r="BG472" s="29" t="s">
        <v>678</v>
      </c>
      <c r="BH472" s="29"/>
      <c r="BI472" s="29" t="s">
        <v>509</v>
      </c>
      <c r="BJ472" s="29" t="s">
        <v>9251</v>
      </c>
      <c r="BK472" s="29" t="s">
        <v>511</v>
      </c>
      <c r="BL472" s="29" t="s">
        <v>603</v>
      </c>
      <c r="BM472" s="29" t="s">
        <v>439</v>
      </c>
      <c r="BN472" s="29" t="s">
        <v>513</v>
      </c>
      <c r="BO472" s="29"/>
      <c r="BP472" s="29"/>
      <c r="BQ472" s="29"/>
      <c r="BR472" s="29"/>
      <c r="BS472" s="29"/>
      <c r="BT472" s="29"/>
      <c r="BU472" s="29"/>
      <c r="BV472" s="29"/>
      <c r="BW472" s="29"/>
      <c r="BX472" s="29"/>
      <c r="BY472" s="29"/>
      <c r="BZ472" s="29"/>
      <c r="CA472" s="29"/>
      <c r="CB472" s="29"/>
      <c r="CC472" s="29"/>
      <c r="CD472" s="29"/>
      <c r="CE472" s="29"/>
      <c r="CF472" s="29"/>
      <c r="CG472" s="29"/>
      <c r="CH472" s="29"/>
      <c r="CI472" s="29"/>
      <c r="CJ472" s="29"/>
      <c r="CK472" s="29"/>
      <c r="CL472" s="29" t="s">
        <v>550</v>
      </c>
      <c r="CM472" s="29" t="s">
        <v>401</v>
      </c>
      <c r="CN472" s="29" t="s">
        <v>9252</v>
      </c>
      <c r="CO472" s="29" t="s">
        <v>9253</v>
      </c>
      <c r="CP472" s="29" t="s">
        <v>685</v>
      </c>
      <c r="CQ472" s="29" t="s">
        <v>9254</v>
      </c>
      <c r="CR472" s="29" t="s">
        <v>447</v>
      </c>
      <c r="CS472" s="29" t="s">
        <v>9255</v>
      </c>
      <c r="CT472" s="29" t="s">
        <v>9256</v>
      </c>
      <c r="CU472" s="29" t="s">
        <v>450</v>
      </c>
      <c r="CV472" s="29" t="s">
        <v>451</v>
      </c>
      <c r="CW472" s="29" t="s">
        <v>9257</v>
      </c>
      <c r="CX472" s="29" t="s">
        <v>455</v>
      </c>
      <c r="CY472" s="29"/>
      <c r="CZ472" s="29" t="s">
        <v>453</v>
      </c>
      <c r="DA472" s="29" t="s">
        <v>9258</v>
      </c>
      <c r="DB472" s="29" t="s">
        <v>455</v>
      </c>
      <c r="DC472" s="29"/>
      <c r="DD472" s="29" t="s">
        <v>988</v>
      </c>
      <c r="DE472" s="29"/>
      <c r="DF472" s="29" t="s">
        <v>9259</v>
      </c>
      <c r="DG472" s="29" t="s">
        <v>776</v>
      </c>
      <c r="DH472" s="29" t="s">
        <v>410</v>
      </c>
      <c r="DI472" s="29" t="s">
        <v>963</v>
      </c>
      <c r="DJ472" s="29" t="s">
        <v>460</v>
      </c>
      <c r="DK472" s="29" t="s">
        <v>6335</v>
      </c>
      <c r="DL472" s="29"/>
      <c r="DM472" s="29"/>
      <c r="DN472" s="29"/>
      <c r="DO472" s="29"/>
      <c r="DP472" s="29"/>
      <c r="DQ472" s="29"/>
      <c r="DR472" s="29"/>
      <c r="DS472" s="29"/>
      <c r="DT472" s="29"/>
      <c r="DU472" s="29"/>
      <c r="DV472" s="29"/>
      <c r="DW472" s="29"/>
      <c r="DX472" s="29"/>
      <c r="DY472" s="29"/>
      <c r="DZ472" s="29"/>
      <c r="EA472" s="29"/>
      <c r="EB472" s="29"/>
      <c r="EC472" s="29"/>
      <c r="ED472" s="29"/>
      <c r="EE472" s="29"/>
      <c r="EF472" s="29"/>
      <c r="EG472" s="29"/>
      <c r="EH472" s="29"/>
      <c r="EI472" s="29"/>
      <c r="EJ472" s="29"/>
      <c r="EK472" s="29"/>
      <c r="EL472" s="29"/>
      <c r="EM472" s="29"/>
      <c r="EN472" s="29"/>
      <c r="EO472" s="29"/>
      <c r="EP472" s="29"/>
      <c r="EQ472" s="29"/>
      <c r="ER472" s="29"/>
      <c r="ES472" s="29"/>
      <c r="ET472" s="29" t="s">
        <v>578</v>
      </c>
      <c r="EU472" s="29" t="s">
        <v>579</v>
      </c>
      <c r="EV472" s="29" t="s">
        <v>480</v>
      </c>
      <c r="EW472" s="29"/>
      <c r="EX472" s="29"/>
      <c r="EY472" s="29" t="s">
        <v>9260</v>
      </c>
      <c r="EZ472" s="29" t="s">
        <v>415</v>
      </c>
      <c r="FA472" s="29" t="s">
        <v>414</v>
      </c>
      <c r="FB472" s="29" t="s">
        <v>416</v>
      </c>
      <c r="FC472" s="29" t="s">
        <v>583</v>
      </c>
      <c r="FD472" s="29" t="s">
        <v>583</v>
      </c>
      <c r="FE472" s="29" t="s">
        <v>583</v>
      </c>
      <c r="FF472" s="29" t="s">
        <v>583</v>
      </c>
      <c r="FG472" s="29" t="s">
        <v>583</v>
      </c>
      <c r="FH472" s="29" t="s">
        <v>413</v>
      </c>
      <c r="FI472" s="29" t="s">
        <v>416</v>
      </c>
      <c r="FJ472" s="29" t="s">
        <v>583</v>
      </c>
      <c r="FK472" s="29" t="s">
        <v>583</v>
      </c>
      <c r="FL472" s="29" t="s">
        <v>583</v>
      </c>
      <c r="FM472" s="29" t="s">
        <v>583</v>
      </c>
      <c r="FN472" s="29" t="s">
        <v>416</v>
      </c>
      <c r="FO472" s="29" t="s">
        <v>417</v>
      </c>
      <c r="FP472" s="29" t="s">
        <v>418</v>
      </c>
      <c r="FQ472" s="29" t="s">
        <v>1039</v>
      </c>
      <c r="FR472" s="29"/>
      <c r="FS472" s="29" t="s">
        <v>995</v>
      </c>
      <c r="FT472" s="29" t="s">
        <v>488</v>
      </c>
      <c r="FU472" s="29" t="s">
        <v>1235</v>
      </c>
      <c r="FV472" s="29" t="s">
        <v>1101</v>
      </c>
      <c r="FW472" s="29" t="s">
        <v>491</v>
      </c>
      <c r="FX472" s="29" t="s">
        <v>9261</v>
      </c>
      <c r="FY472" s="29" t="s">
        <v>535</v>
      </c>
      <c r="FZ472" s="29" t="s">
        <v>9262</v>
      </c>
      <c r="GA472" s="29"/>
      <c r="GB472" s="29" t="s">
        <v>455</v>
      </c>
      <c r="GC472" s="29"/>
      <c r="GD472" s="29"/>
      <c r="GE472" s="29" t="s">
        <v>753</v>
      </c>
      <c r="GF472" s="29" t="s">
        <v>9263</v>
      </c>
      <c r="GG472" s="29" t="s">
        <v>857</v>
      </c>
      <c r="GH472" s="29" t="s">
        <v>788</v>
      </c>
      <c r="GI472" s="29" t="s">
        <v>756</v>
      </c>
      <c r="GJ472" s="29"/>
      <c r="GK472" s="29"/>
      <c r="GL472" s="29"/>
      <c r="GM472" s="29"/>
      <c r="GN472" s="29" t="s">
        <v>9264</v>
      </c>
      <c r="GO472" s="29" t="s">
        <v>9265</v>
      </c>
      <c r="GP472" s="29"/>
      <c r="GQ472" s="29" t="s">
        <v>3208</v>
      </c>
      <c r="GR472" s="29"/>
      <c r="GS472" s="29"/>
      <c r="GT472" s="29" t="s">
        <v>5170</v>
      </c>
      <c r="GU472" s="29"/>
      <c r="HP472" s="31"/>
      <c r="MX472" s="29" t="s">
        <v>10402</v>
      </c>
      <c r="MY472" s="29" t="str">
        <f>IFERROR(__xludf.DUMMYFUNCTION("""COMPUTED_VALUE"""),"New York")</f>
        <v>New York</v>
      </c>
    </row>
    <row r="473" ht="16.5" customHeight="1">
      <c r="A473" s="33">
        <v>46118.697400879624</v>
      </c>
      <c r="B473" s="29" t="s">
        <v>368</v>
      </c>
      <c r="C473" s="29" t="s">
        <v>370</v>
      </c>
      <c r="D473" s="29" t="s">
        <v>370</v>
      </c>
      <c r="E473" s="29" t="s">
        <v>667</v>
      </c>
      <c r="F473" s="29" t="s">
        <v>2708</v>
      </c>
      <c r="G473" s="29" t="s">
        <v>422</v>
      </c>
      <c r="H473" s="29" t="s">
        <v>496</v>
      </c>
      <c r="I473" s="29" t="s">
        <v>374</v>
      </c>
      <c r="J473" s="29" t="s">
        <v>669</v>
      </c>
      <c r="K473" s="29" t="s">
        <v>376</v>
      </c>
      <c r="L473" s="29" t="s">
        <v>379</v>
      </c>
      <c r="M473" s="29" t="s">
        <v>2464</v>
      </c>
      <c r="N473" s="29" t="s">
        <v>379</v>
      </c>
      <c r="O473" s="29" t="s">
        <v>380</v>
      </c>
      <c r="P473" s="29" t="s">
        <v>381</v>
      </c>
      <c r="Q473" s="29" t="s">
        <v>818</v>
      </c>
      <c r="R473" s="29" t="s">
        <v>949</v>
      </c>
      <c r="S473" s="29" t="s">
        <v>384</v>
      </c>
      <c r="T473" s="29" t="s">
        <v>385</v>
      </c>
      <c r="U473" s="29"/>
      <c r="V473" s="29"/>
      <c r="W473" s="29" t="s">
        <v>3014</v>
      </c>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t="s">
        <v>1310</v>
      </c>
      <c r="AW473" s="29">
        <v>4.0</v>
      </c>
      <c r="AX473" s="29">
        <v>4.0</v>
      </c>
      <c r="AY473" s="29">
        <v>4.0</v>
      </c>
      <c r="AZ473" s="29" t="s">
        <v>675</v>
      </c>
      <c r="BA473" s="29">
        <v>4.0</v>
      </c>
      <c r="BB473" s="29" t="s">
        <v>391</v>
      </c>
      <c r="BC473" s="29"/>
      <c r="BD473" s="29"/>
      <c r="BE473" s="29" t="s">
        <v>432</v>
      </c>
      <c r="BF473" s="29" t="s">
        <v>393</v>
      </c>
      <c r="BG473" s="29" t="s">
        <v>394</v>
      </c>
      <c r="BH473" s="29"/>
      <c r="BI473" s="29" t="s">
        <v>435</v>
      </c>
      <c r="BJ473" s="29"/>
      <c r="BK473" s="29" t="s">
        <v>681</v>
      </c>
      <c r="BL473" s="29" t="s">
        <v>438</v>
      </c>
      <c r="BM473" s="29" t="s">
        <v>397</v>
      </c>
      <c r="BN473" s="29" t="s">
        <v>398</v>
      </c>
      <c r="BO473" s="29" t="s">
        <v>9266</v>
      </c>
      <c r="BP473" s="29" t="s">
        <v>9267</v>
      </c>
      <c r="BQ473" s="29" t="s">
        <v>604</v>
      </c>
      <c r="BR473" s="29" t="s">
        <v>1740</v>
      </c>
      <c r="BS473" s="29" t="s">
        <v>403</v>
      </c>
      <c r="BT473" s="29" t="s">
        <v>4368</v>
      </c>
      <c r="BU473" s="29" t="s">
        <v>1772</v>
      </c>
      <c r="BV473" s="29" t="s">
        <v>9268</v>
      </c>
      <c r="BW473" s="29" t="s">
        <v>988</v>
      </c>
      <c r="BX473" s="29"/>
      <c r="BY473" s="29" t="s">
        <v>455</v>
      </c>
      <c r="BZ473" s="29" t="s">
        <v>9269</v>
      </c>
      <c r="CA473" s="29" t="s">
        <v>9270</v>
      </c>
      <c r="CB473" s="29"/>
      <c r="CC473" s="29"/>
      <c r="CD473" s="29" t="s">
        <v>451</v>
      </c>
      <c r="CE473" s="29" t="s">
        <v>9271</v>
      </c>
      <c r="CF473" s="29" t="s">
        <v>1258</v>
      </c>
      <c r="CG473" s="29"/>
      <c r="CH473" s="29" t="s">
        <v>1698</v>
      </c>
      <c r="CI473" s="29" t="s">
        <v>410</v>
      </c>
      <c r="CJ473" s="29" t="s">
        <v>9272</v>
      </c>
      <c r="CK473" s="29"/>
      <c r="CL473" s="29"/>
      <c r="CM473" s="29"/>
      <c r="CN473" s="29"/>
      <c r="CO473" s="29"/>
      <c r="CP473" s="29"/>
      <c r="CQ473" s="29"/>
      <c r="CR473" s="29"/>
      <c r="CS473" s="29"/>
      <c r="CT473" s="29"/>
      <c r="CU473" s="29"/>
      <c r="CV473" s="29"/>
      <c r="CW473" s="29"/>
      <c r="CX473" s="29"/>
      <c r="CY473" s="29"/>
      <c r="CZ473" s="29"/>
      <c r="DA473" s="29"/>
      <c r="DB473" s="29"/>
      <c r="DC473" s="29"/>
      <c r="DD473" s="29"/>
      <c r="DE473" s="29"/>
      <c r="DF473" s="29"/>
      <c r="DG473" s="29"/>
      <c r="DH473" s="29"/>
      <c r="DI473" s="29" t="s">
        <v>963</v>
      </c>
      <c r="DJ473" s="29" t="s">
        <v>613</v>
      </c>
      <c r="DK473" s="29"/>
      <c r="DL473" s="29"/>
      <c r="DM473" s="29"/>
      <c r="DN473" s="29"/>
      <c r="DO473" s="29"/>
      <c r="DP473" s="29"/>
      <c r="DQ473" s="29"/>
      <c r="DR473" s="29"/>
      <c r="DS473" s="29"/>
      <c r="DT473" s="29"/>
      <c r="DU473" s="29"/>
      <c r="DV473" s="29"/>
      <c r="DW473" s="29"/>
      <c r="DX473" s="29"/>
      <c r="DY473" s="29"/>
      <c r="DZ473" s="29"/>
      <c r="EA473" s="29"/>
      <c r="EB473" s="29"/>
      <c r="EC473" s="29"/>
      <c r="ED473" s="29"/>
      <c r="EE473" s="29"/>
      <c r="EF473" s="29"/>
      <c r="EG473" s="29"/>
      <c r="EH473" s="29"/>
      <c r="EI473" s="29"/>
      <c r="EJ473" s="29"/>
      <c r="EK473" s="29"/>
      <c r="EL473" s="29"/>
      <c r="EM473" s="29"/>
      <c r="EN473" s="29"/>
      <c r="EO473" s="29"/>
      <c r="EP473" s="29"/>
      <c r="EQ473" s="29"/>
      <c r="ER473" s="29"/>
      <c r="ES473" s="29"/>
      <c r="ET473" s="29" t="s">
        <v>578</v>
      </c>
      <c r="EU473" s="29" t="s">
        <v>479</v>
      </c>
      <c r="EV473" s="29" t="s">
        <v>580</v>
      </c>
      <c r="EW473" s="29"/>
      <c r="EX473" s="29" t="s">
        <v>9273</v>
      </c>
      <c r="EY473" s="29" t="s">
        <v>9274</v>
      </c>
      <c r="EZ473" s="29" t="s">
        <v>415</v>
      </c>
      <c r="FA473" s="29" t="s">
        <v>415</v>
      </c>
      <c r="FB473" s="29" t="s">
        <v>416</v>
      </c>
      <c r="FC473" s="29" t="s">
        <v>414</v>
      </c>
      <c r="FD473" s="29" t="s">
        <v>416</v>
      </c>
      <c r="FE473" s="29" t="s">
        <v>414</v>
      </c>
      <c r="FF473" s="29" t="s">
        <v>414</v>
      </c>
      <c r="FG473" s="29" t="s">
        <v>415</v>
      </c>
      <c r="FH473" s="29" t="s">
        <v>414</v>
      </c>
      <c r="FI473" s="29" t="s">
        <v>583</v>
      </c>
      <c r="FJ473" s="29" t="s">
        <v>414</v>
      </c>
      <c r="FK473" s="29" t="s">
        <v>415</v>
      </c>
      <c r="FL473" s="29" t="s">
        <v>415</v>
      </c>
      <c r="FM473" s="29" t="s">
        <v>415</v>
      </c>
      <c r="FN473" s="29" t="s">
        <v>414</v>
      </c>
      <c r="FO473" s="29" t="s">
        <v>850</v>
      </c>
      <c r="FP473" s="29" t="s">
        <v>486</v>
      </c>
      <c r="FQ473" s="29" t="s">
        <v>630</v>
      </c>
      <c r="FR473" s="29"/>
      <c r="FS473" s="29" t="s">
        <v>1189</v>
      </c>
      <c r="FT473" s="29" t="s">
        <v>1462</v>
      </c>
      <c r="FU473" s="29" t="s">
        <v>533</v>
      </c>
      <c r="FV473" s="29" t="s">
        <v>490</v>
      </c>
      <c r="FW473" s="29" t="s">
        <v>491</v>
      </c>
      <c r="FX473" s="29"/>
      <c r="FY473" s="29" t="s">
        <v>493</v>
      </c>
      <c r="FZ473" s="29"/>
      <c r="GA473" s="29"/>
      <c r="GB473" s="29" t="s">
        <v>408</v>
      </c>
      <c r="GC473" s="29"/>
      <c r="GD473" s="29"/>
      <c r="GE473" s="29"/>
      <c r="GF473" s="29"/>
      <c r="GG473" s="29"/>
      <c r="GH473" s="29"/>
      <c r="GI473" s="29"/>
      <c r="GJ473" s="29" t="s">
        <v>1000</v>
      </c>
      <c r="GK473" s="29" t="s">
        <v>755</v>
      </c>
      <c r="GL473" s="29" t="s">
        <v>756</v>
      </c>
      <c r="GM473" s="29"/>
      <c r="GN473" s="29"/>
      <c r="GO473" s="29"/>
      <c r="GP473" s="29"/>
      <c r="GQ473" s="29" t="s">
        <v>3208</v>
      </c>
      <c r="GR473" s="29" t="s">
        <v>5170</v>
      </c>
      <c r="GS473" s="29" t="s">
        <v>9275</v>
      </c>
      <c r="GT473" s="29"/>
      <c r="GU473" s="29"/>
      <c r="HP473" s="31"/>
      <c r="MX473" s="29" t="s">
        <v>10402</v>
      </c>
      <c r="MY473" s="29" t="str">
        <f>IFERROR(__xludf.DUMMYFUNCTION("""COMPUTED_VALUE"""),"Texas")</f>
        <v>Texas</v>
      </c>
    </row>
    <row r="474" ht="16.5" customHeight="1">
      <c r="A474" s="33">
        <v>46118.738876469906</v>
      </c>
      <c r="B474" s="29" t="s">
        <v>368</v>
      </c>
      <c r="C474" s="29" t="s">
        <v>370</v>
      </c>
      <c r="D474" s="29" t="s">
        <v>370</v>
      </c>
      <c r="E474" s="29" t="s">
        <v>1510</v>
      </c>
      <c r="F474" s="29" t="s">
        <v>1510</v>
      </c>
      <c r="G474" s="29" t="s">
        <v>422</v>
      </c>
      <c r="H474" s="29" t="s">
        <v>539</v>
      </c>
      <c r="I474" s="29" t="s">
        <v>1022</v>
      </c>
      <c r="J474" s="29" t="s">
        <v>718</v>
      </c>
      <c r="K474" s="29" t="s">
        <v>376</v>
      </c>
      <c r="L474" s="29" t="s">
        <v>591</v>
      </c>
      <c r="M474" s="29" t="s">
        <v>2196</v>
      </c>
      <c r="N474" s="29" t="s">
        <v>793</v>
      </c>
      <c r="O474" s="29" t="s">
        <v>719</v>
      </c>
      <c r="P474" s="29" t="s">
        <v>498</v>
      </c>
      <c r="Q474" s="29" t="s">
        <v>1156</v>
      </c>
      <c r="R474" s="29" t="s">
        <v>500</v>
      </c>
      <c r="S474" s="29" t="s">
        <v>384</v>
      </c>
      <c r="T474" s="29" t="s">
        <v>385</v>
      </c>
      <c r="U474" s="29"/>
      <c r="V474" s="29"/>
      <c r="W474" s="29" t="s">
        <v>386</v>
      </c>
      <c r="X474" s="29" t="s">
        <v>387</v>
      </c>
      <c r="Y474" s="29" t="s">
        <v>1966</v>
      </c>
      <c r="Z474" s="29" t="s">
        <v>502</v>
      </c>
      <c r="AA474" s="29" t="s">
        <v>9276</v>
      </c>
      <c r="AB474" s="29" t="s">
        <v>9277</v>
      </c>
      <c r="AC474" s="29"/>
      <c r="AD474" s="29"/>
      <c r="AE474" s="29"/>
      <c r="AF474" s="29"/>
      <c r="AG474" s="29"/>
      <c r="AH474" s="29"/>
      <c r="AI474" s="29"/>
      <c r="AJ474" s="29"/>
      <c r="AK474" s="29"/>
      <c r="AL474" s="29"/>
      <c r="AM474" s="29"/>
      <c r="AN474" s="29"/>
      <c r="AO474" s="29"/>
      <c r="AP474" s="29"/>
      <c r="AQ474" s="29"/>
      <c r="AR474" s="29"/>
      <c r="AS474" s="29"/>
      <c r="AT474" s="29"/>
      <c r="AU474" s="29"/>
      <c r="AV474" s="29" t="s">
        <v>390</v>
      </c>
      <c r="AW474" s="29">
        <v>2.0</v>
      </c>
      <c r="AX474" s="29">
        <v>2.0</v>
      </c>
      <c r="AY474" s="29" t="s">
        <v>429</v>
      </c>
      <c r="AZ474" s="29" t="s">
        <v>429</v>
      </c>
      <c r="BA474" s="29">
        <v>2.0</v>
      </c>
      <c r="BB474" s="29">
        <v>2.0</v>
      </c>
      <c r="BC474" s="29" t="s">
        <v>9278</v>
      </c>
      <c r="BD474" s="29" t="s">
        <v>9279</v>
      </c>
      <c r="BE474" s="29" t="s">
        <v>392</v>
      </c>
      <c r="BF474" s="29" t="s">
        <v>433</v>
      </c>
      <c r="BG474" s="29" t="s">
        <v>725</v>
      </c>
      <c r="BH474" s="29" t="s">
        <v>9280</v>
      </c>
      <c r="BI474" s="29" t="s">
        <v>509</v>
      </c>
      <c r="BJ474" s="29"/>
      <c r="BK474" s="29" t="s">
        <v>395</v>
      </c>
      <c r="BL474" s="29" t="s">
        <v>438</v>
      </c>
      <c r="BM474" s="29" t="s">
        <v>439</v>
      </c>
      <c r="BN474" s="29" t="s">
        <v>440</v>
      </c>
      <c r="BO474" s="29"/>
      <c r="BP474" s="29"/>
      <c r="BQ474" s="29"/>
      <c r="BR474" s="29"/>
      <c r="BS474" s="29"/>
      <c r="BT474" s="29"/>
      <c r="BU474" s="29"/>
      <c r="BV474" s="29"/>
      <c r="BW474" s="29"/>
      <c r="BX474" s="29"/>
      <c r="BY474" s="29"/>
      <c r="BZ474" s="29"/>
      <c r="CA474" s="29"/>
      <c r="CB474" s="29"/>
      <c r="CC474" s="29"/>
      <c r="CD474" s="29"/>
      <c r="CE474" s="29"/>
      <c r="CF474" s="29"/>
      <c r="CG474" s="29"/>
      <c r="CH474" s="29"/>
      <c r="CI474" s="29"/>
      <c r="CJ474" s="29"/>
      <c r="CK474" s="29"/>
      <c r="CL474" s="29" t="s">
        <v>441</v>
      </c>
      <c r="CM474" s="29" t="s">
        <v>442</v>
      </c>
      <c r="CN474" s="29" t="s">
        <v>3117</v>
      </c>
      <c r="CO474" s="29" t="s">
        <v>9281</v>
      </c>
      <c r="CP474" s="29" t="s">
        <v>445</v>
      </c>
      <c r="CQ474" s="29" t="s">
        <v>9282</v>
      </c>
      <c r="CR474" s="29" t="s">
        <v>447</v>
      </c>
      <c r="CS474" s="29" t="s">
        <v>9283</v>
      </c>
      <c r="CT474" s="29" t="s">
        <v>9284</v>
      </c>
      <c r="CU474" s="29" t="s">
        <v>450</v>
      </c>
      <c r="CV474" s="29" t="s">
        <v>451</v>
      </c>
      <c r="CW474" s="29" t="s">
        <v>9285</v>
      </c>
      <c r="CX474" s="29" t="s">
        <v>408</v>
      </c>
      <c r="CY474" s="29" t="s">
        <v>9286</v>
      </c>
      <c r="CZ474" s="29" t="s">
        <v>453</v>
      </c>
      <c r="DA474" s="29" t="s">
        <v>9287</v>
      </c>
      <c r="DB474" s="29" t="s">
        <v>455</v>
      </c>
      <c r="DC474" s="29" t="s">
        <v>9288</v>
      </c>
      <c r="DD474" s="29" t="s">
        <v>662</v>
      </c>
      <c r="DE474" s="29" t="s">
        <v>1368</v>
      </c>
      <c r="DF474" s="29" t="s">
        <v>9289</v>
      </c>
      <c r="DG474" s="29" t="s">
        <v>524</v>
      </c>
      <c r="DH474" s="29" t="s">
        <v>410</v>
      </c>
      <c r="DI474" s="29" t="s">
        <v>459</v>
      </c>
      <c r="DJ474" s="29" t="s">
        <v>460</v>
      </c>
      <c r="DK474" s="29" t="s">
        <v>6335</v>
      </c>
      <c r="DL474" s="29"/>
      <c r="DM474" s="29" t="s">
        <v>9290</v>
      </c>
      <c r="DN474" s="29" t="s">
        <v>9291</v>
      </c>
      <c r="DO474" s="29" t="s">
        <v>567</v>
      </c>
      <c r="DP474" s="29" t="s">
        <v>9292</v>
      </c>
      <c r="DQ474" s="29" t="s">
        <v>466</v>
      </c>
      <c r="DR474" s="29" t="s">
        <v>9293</v>
      </c>
      <c r="DS474" s="29" t="s">
        <v>702</v>
      </c>
      <c r="DT474" s="29" t="s">
        <v>740</v>
      </c>
      <c r="DU474" s="29" t="s">
        <v>9294</v>
      </c>
      <c r="DV474" s="29" t="s">
        <v>9295</v>
      </c>
      <c r="DW474" s="29" t="s">
        <v>573</v>
      </c>
      <c r="DX474" s="29" t="s">
        <v>9296</v>
      </c>
      <c r="DY474" s="29" t="s">
        <v>9297</v>
      </c>
      <c r="DZ474" s="29" t="s">
        <v>9298</v>
      </c>
      <c r="EA474" s="29" t="s">
        <v>475</v>
      </c>
      <c r="EB474" s="29" t="s">
        <v>626</v>
      </c>
      <c r="EC474" s="29" t="s">
        <v>9299</v>
      </c>
      <c r="ED474" s="29"/>
      <c r="EE474" s="29"/>
      <c r="EF474" s="29"/>
      <c r="EG474" s="29"/>
      <c r="EH474" s="29"/>
      <c r="EI474" s="29"/>
      <c r="EJ474" s="29"/>
      <c r="EK474" s="29"/>
      <c r="EL474" s="29"/>
      <c r="EM474" s="29"/>
      <c r="EN474" s="29"/>
      <c r="EO474" s="29"/>
      <c r="EP474" s="29"/>
      <c r="EQ474" s="29"/>
      <c r="ER474" s="29"/>
      <c r="ES474" s="29"/>
      <c r="ET474" s="29" t="s">
        <v>526</v>
      </c>
      <c r="EU474" s="29" t="s">
        <v>479</v>
      </c>
      <c r="EV474" s="29" t="s">
        <v>527</v>
      </c>
      <c r="EW474" s="29" t="s">
        <v>9300</v>
      </c>
      <c r="EX474" s="29" t="s">
        <v>9301</v>
      </c>
      <c r="EY474" s="29" t="s">
        <v>9302</v>
      </c>
      <c r="EZ474" s="29" t="s">
        <v>583</v>
      </c>
      <c r="FA474" s="29" t="s">
        <v>583</v>
      </c>
      <c r="FB474" s="29" t="s">
        <v>583</v>
      </c>
      <c r="FC474" s="29" t="s">
        <v>583</v>
      </c>
      <c r="FD474" s="29" t="s">
        <v>413</v>
      </c>
      <c r="FE474" s="29" t="s">
        <v>583</v>
      </c>
      <c r="FF474" s="29" t="s">
        <v>583</v>
      </c>
      <c r="FG474" s="29" t="s">
        <v>484</v>
      </c>
      <c r="FH474" s="29" t="s">
        <v>484</v>
      </c>
      <c r="FI474" s="29" t="s">
        <v>583</v>
      </c>
      <c r="FJ474" s="29" t="s">
        <v>583</v>
      </c>
      <c r="FK474" s="29" t="s">
        <v>583</v>
      </c>
      <c r="FL474" s="29" t="s">
        <v>583</v>
      </c>
      <c r="FM474" s="29" t="s">
        <v>484</v>
      </c>
      <c r="FN474" s="29" t="s">
        <v>484</v>
      </c>
      <c r="FO474" s="29" t="s">
        <v>417</v>
      </c>
      <c r="FP474" s="29" t="s">
        <v>418</v>
      </c>
      <c r="FQ474" s="29" t="s">
        <v>1039</v>
      </c>
      <c r="FR474" s="29" t="s">
        <v>9303</v>
      </c>
      <c r="FS474" s="29" t="s">
        <v>420</v>
      </c>
      <c r="FT474" s="29" t="s">
        <v>488</v>
      </c>
      <c r="FU474" s="29" t="s">
        <v>489</v>
      </c>
      <c r="FV474" s="29" t="s">
        <v>490</v>
      </c>
      <c r="FW474" s="29" t="s">
        <v>491</v>
      </c>
      <c r="FX474" s="29" t="s">
        <v>9304</v>
      </c>
      <c r="FY474" s="29" t="s">
        <v>535</v>
      </c>
      <c r="FZ474" s="29"/>
      <c r="GA474" s="29"/>
      <c r="GB474" s="29" t="s">
        <v>408</v>
      </c>
      <c r="GC474" s="29"/>
      <c r="GD474" s="29"/>
      <c r="GE474" s="29"/>
      <c r="GF474" s="29"/>
      <c r="GG474" s="29" t="s">
        <v>755</v>
      </c>
      <c r="GH474" s="29" t="s">
        <v>755</v>
      </c>
      <c r="GI474" s="29" t="s">
        <v>946</v>
      </c>
      <c r="GJ474" s="29"/>
      <c r="GK474" s="29"/>
      <c r="GL474" s="29"/>
      <c r="GM474" s="29" t="s">
        <v>1079</v>
      </c>
      <c r="GN474" s="29"/>
      <c r="GO474" s="29"/>
      <c r="GP474" s="29"/>
      <c r="GQ474" s="29" t="s">
        <v>3208</v>
      </c>
      <c r="GR474" s="29"/>
      <c r="GS474" s="29"/>
      <c r="GT474" s="29" t="s">
        <v>4741</v>
      </c>
      <c r="GU474" s="29" t="s">
        <v>9305</v>
      </c>
      <c r="HP474" s="31"/>
      <c r="MX474" s="29" t="s">
        <v>894</v>
      </c>
      <c r="MY474" s="29" t="str">
        <f>IFERROR(__xludf.DUMMYFUNCTION("""COMPUTED_VALUE"""),"New Brunswick")</f>
        <v>New Brunswick</v>
      </c>
    </row>
    <row r="475" ht="16.5" customHeight="1">
      <c r="A475" s="33">
        <v>46118.77396358796</v>
      </c>
      <c r="B475" s="29" t="s">
        <v>368</v>
      </c>
      <c r="C475" s="29" t="s">
        <v>894</v>
      </c>
      <c r="D475" s="29" t="s">
        <v>894</v>
      </c>
      <c r="E475" s="29"/>
      <c r="F475" s="29"/>
      <c r="G475" s="29" t="s">
        <v>422</v>
      </c>
      <c r="H475" s="29" t="s">
        <v>423</v>
      </c>
      <c r="I475" s="29" t="s">
        <v>424</v>
      </c>
      <c r="J475" s="29" t="s">
        <v>375</v>
      </c>
      <c r="K475" s="29" t="s">
        <v>376</v>
      </c>
      <c r="L475" s="29" t="s">
        <v>591</v>
      </c>
      <c r="M475" s="29" t="s">
        <v>378</v>
      </c>
      <c r="N475" s="29" t="s">
        <v>426</v>
      </c>
      <c r="O475" s="29" t="s">
        <v>719</v>
      </c>
      <c r="P475" s="29" t="s">
        <v>498</v>
      </c>
      <c r="Q475" s="29" t="s">
        <v>862</v>
      </c>
      <c r="R475" s="29" t="s">
        <v>500</v>
      </c>
      <c r="S475" s="29" t="s">
        <v>384</v>
      </c>
      <c r="T475" s="29" t="s">
        <v>385</v>
      </c>
      <c r="U475" s="29" t="s">
        <v>1823</v>
      </c>
      <c r="V475" s="29" t="s">
        <v>1823</v>
      </c>
      <c r="W475" s="29" t="s">
        <v>593</v>
      </c>
      <c r="X475" s="29" t="s">
        <v>387</v>
      </c>
      <c r="Y475" s="29" t="s">
        <v>388</v>
      </c>
      <c r="Z475" s="29" t="s">
        <v>543</v>
      </c>
      <c r="AA475" s="29" t="s">
        <v>2675</v>
      </c>
      <c r="AB475" s="29" t="s">
        <v>2675</v>
      </c>
      <c r="AC475" s="29"/>
      <c r="AD475" s="29"/>
      <c r="AE475" s="29"/>
      <c r="AF475" s="29"/>
      <c r="AG475" s="29"/>
      <c r="AH475" s="29"/>
      <c r="AI475" s="29"/>
      <c r="AJ475" s="29"/>
      <c r="AK475" s="29"/>
      <c r="AL475" s="29"/>
      <c r="AM475" s="29"/>
      <c r="AN475" s="29"/>
      <c r="AO475" s="29"/>
      <c r="AP475" s="29"/>
      <c r="AQ475" s="29"/>
      <c r="AR475" s="29"/>
      <c r="AS475" s="29"/>
      <c r="AT475" s="29"/>
      <c r="AU475" s="29"/>
      <c r="AV475" s="29" t="s">
        <v>1310</v>
      </c>
      <c r="AW475" s="29" t="s">
        <v>675</v>
      </c>
      <c r="AX475" s="29">
        <v>4.0</v>
      </c>
      <c r="AY475" s="29" t="s">
        <v>675</v>
      </c>
      <c r="AZ475" s="29" t="s">
        <v>391</v>
      </c>
      <c r="BA475" s="29">
        <v>4.0</v>
      </c>
      <c r="BB475" s="29">
        <v>4.0</v>
      </c>
      <c r="BC475" s="29" t="s">
        <v>9310</v>
      </c>
      <c r="BD475" s="29" t="s">
        <v>9311</v>
      </c>
      <c r="BE475" s="29" t="s">
        <v>902</v>
      </c>
      <c r="BF475" s="29" t="s">
        <v>1245</v>
      </c>
      <c r="BG475" s="29" t="s">
        <v>394</v>
      </c>
      <c r="BH475" s="29" t="s">
        <v>9312</v>
      </c>
      <c r="BI475" s="29" t="s">
        <v>976</v>
      </c>
      <c r="BJ475" s="29"/>
      <c r="BK475" s="29" t="s">
        <v>395</v>
      </c>
      <c r="BL475" s="29" t="s">
        <v>603</v>
      </c>
      <c r="BM475" s="29" t="s">
        <v>1247</v>
      </c>
      <c r="BN475" s="29" t="s">
        <v>398</v>
      </c>
      <c r="BO475" s="29" t="s">
        <v>9313</v>
      </c>
      <c r="BP475" s="29" t="s">
        <v>9314</v>
      </c>
      <c r="BQ475" s="29" t="s">
        <v>604</v>
      </c>
      <c r="BR475" s="29" t="s">
        <v>6307</v>
      </c>
      <c r="BS475" s="29" t="s">
        <v>1671</v>
      </c>
      <c r="BT475" s="29"/>
      <c r="BU475" s="29" t="s">
        <v>1693</v>
      </c>
      <c r="BV475" s="29" t="s">
        <v>9315</v>
      </c>
      <c r="BW475" s="29" t="s">
        <v>406</v>
      </c>
      <c r="BX475" s="29" t="s">
        <v>2503</v>
      </c>
      <c r="BY475" s="29" t="s">
        <v>408</v>
      </c>
      <c r="BZ475" s="29"/>
      <c r="CA475" s="29" t="s">
        <v>408</v>
      </c>
      <c r="CB475" s="29" t="s">
        <v>9316</v>
      </c>
      <c r="CC475" s="29" t="s">
        <v>9317</v>
      </c>
      <c r="CD475" s="29" t="s">
        <v>1931</v>
      </c>
      <c r="CE475" s="29" t="s">
        <v>408</v>
      </c>
      <c r="CF475" s="29" t="s">
        <v>1697</v>
      </c>
      <c r="CG475" s="29"/>
      <c r="CH475" s="29" t="s">
        <v>1698</v>
      </c>
      <c r="CI475" s="29" t="s">
        <v>410</v>
      </c>
      <c r="CJ475" s="29" t="s">
        <v>467</v>
      </c>
      <c r="CK475" s="29" t="s">
        <v>9318</v>
      </c>
      <c r="CL475" s="29"/>
      <c r="CM475" s="29"/>
      <c r="CN475" s="29"/>
      <c r="CO475" s="29"/>
      <c r="CP475" s="29"/>
      <c r="CQ475" s="29"/>
      <c r="CR475" s="29"/>
      <c r="CS475" s="29"/>
      <c r="CT475" s="29"/>
      <c r="CU475" s="29"/>
      <c r="CV475" s="29"/>
      <c r="CW475" s="29"/>
      <c r="CX475" s="29"/>
      <c r="CY475" s="29"/>
      <c r="CZ475" s="29"/>
      <c r="DA475" s="29"/>
      <c r="DB475" s="29"/>
      <c r="DC475" s="29"/>
      <c r="DD475" s="29"/>
      <c r="DE475" s="29"/>
      <c r="DF475" s="29"/>
      <c r="DG475" s="29"/>
      <c r="DH475" s="29"/>
      <c r="DI475" s="29" t="s">
        <v>459</v>
      </c>
      <c r="DJ475" s="29" t="s">
        <v>460</v>
      </c>
      <c r="DK475" s="29" t="s">
        <v>6319</v>
      </c>
      <c r="DL475" s="29"/>
      <c r="DM475" s="29"/>
      <c r="DN475" s="29"/>
      <c r="DO475" s="29"/>
      <c r="DP475" s="29"/>
      <c r="DQ475" s="29"/>
      <c r="DR475" s="29"/>
      <c r="DS475" s="29"/>
      <c r="DT475" s="29"/>
      <c r="DU475" s="29"/>
      <c r="DV475" s="29"/>
      <c r="DW475" s="29"/>
      <c r="DX475" s="29"/>
      <c r="DY475" s="29"/>
      <c r="DZ475" s="29"/>
      <c r="EA475" s="29"/>
      <c r="EB475" s="29"/>
      <c r="EC475" s="29"/>
      <c r="ED475" s="29"/>
      <c r="EE475" s="29"/>
      <c r="EF475" s="29"/>
      <c r="EG475" s="29"/>
      <c r="EH475" s="29"/>
      <c r="EI475" s="29"/>
      <c r="EJ475" s="29"/>
      <c r="EK475" s="29"/>
      <c r="EL475" s="29"/>
      <c r="EM475" s="29"/>
      <c r="EN475" s="29"/>
      <c r="EO475" s="29"/>
      <c r="EP475" s="29"/>
      <c r="EQ475" s="29"/>
      <c r="ER475" s="29"/>
      <c r="ES475" s="29"/>
      <c r="ET475" s="29" t="s">
        <v>578</v>
      </c>
      <c r="EU475" s="29" t="s">
        <v>1127</v>
      </c>
      <c r="EV475" s="29" t="s">
        <v>580</v>
      </c>
      <c r="EW475" s="29"/>
      <c r="EX475" s="29"/>
      <c r="EY475" s="29" t="s">
        <v>9319</v>
      </c>
      <c r="EZ475" s="29" t="s">
        <v>415</v>
      </c>
      <c r="FA475" s="29" t="s">
        <v>415</v>
      </c>
      <c r="FB475" s="29" t="s">
        <v>413</v>
      </c>
      <c r="FC475" s="29" t="s">
        <v>413</v>
      </c>
      <c r="FD475" s="29" t="s">
        <v>413</v>
      </c>
      <c r="FE475" s="29" t="s">
        <v>413</v>
      </c>
      <c r="FF475" s="29" t="s">
        <v>413</v>
      </c>
      <c r="FG475" s="29" t="s">
        <v>413</v>
      </c>
      <c r="FH475" s="29" t="s">
        <v>415</v>
      </c>
      <c r="FI475" s="29" t="s">
        <v>413</v>
      </c>
      <c r="FJ475" s="29" t="s">
        <v>413</v>
      </c>
      <c r="FK475" s="29" t="s">
        <v>413</v>
      </c>
      <c r="FL475" s="29" t="s">
        <v>413</v>
      </c>
      <c r="FM475" s="29" t="s">
        <v>415</v>
      </c>
      <c r="FN475" s="29" t="s">
        <v>415</v>
      </c>
      <c r="FO475" s="29" t="s">
        <v>485</v>
      </c>
      <c r="FP475" s="29" t="s">
        <v>418</v>
      </c>
      <c r="FQ475" s="29" t="s">
        <v>1039</v>
      </c>
      <c r="FR475" s="29"/>
      <c r="FS475" s="29" t="s">
        <v>420</v>
      </c>
      <c r="FT475" s="29" t="s">
        <v>488</v>
      </c>
      <c r="FU475" s="29" t="s">
        <v>918</v>
      </c>
      <c r="FV475" s="29" t="s">
        <v>490</v>
      </c>
      <c r="FW475" s="29" t="s">
        <v>491</v>
      </c>
      <c r="FX475" s="29"/>
      <c r="FY475" s="29" t="s">
        <v>1020</v>
      </c>
      <c r="FZ475" s="29"/>
      <c r="GA475" s="29"/>
      <c r="GB475" s="29" t="s">
        <v>408</v>
      </c>
      <c r="GC475" s="29"/>
      <c r="GD475" s="29"/>
      <c r="GE475" s="29"/>
      <c r="GF475" s="29"/>
      <c r="GG475" s="29"/>
      <c r="GH475" s="29"/>
      <c r="GI475" s="29"/>
      <c r="GJ475" s="29" t="s">
        <v>920</v>
      </c>
      <c r="GK475" s="29" t="s">
        <v>920</v>
      </c>
      <c r="GL475" s="29" t="s">
        <v>817</v>
      </c>
      <c r="GM475" s="29"/>
      <c r="GN475" s="29"/>
      <c r="GO475" s="29"/>
      <c r="GP475" s="29"/>
      <c r="GQ475" s="29" t="s">
        <v>4653</v>
      </c>
      <c r="GR475" s="29" t="s">
        <v>4774</v>
      </c>
      <c r="GS475" s="29"/>
      <c r="GT475" s="29"/>
      <c r="GU475" s="29"/>
      <c r="HP475" s="31"/>
      <c r="MX475" s="29" t="s">
        <v>9320</v>
      </c>
      <c r="MY475" s="29" t="str">
        <f>IFERROR(__xludf.DUMMYFUNCTION("""COMPUTED_VALUE"""),"Kenya")</f>
        <v>Kenya</v>
      </c>
    </row>
    <row r="476" ht="16.5" customHeight="1">
      <c r="A476" s="33">
        <v>46118.83804181713</v>
      </c>
      <c r="B476" s="29" t="s">
        <v>368</v>
      </c>
      <c r="C476" s="29" t="s">
        <v>9320</v>
      </c>
      <c r="D476" s="29" t="s">
        <v>894</v>
      </c>
      <c r="E476" s="29"/>
      <c r="F476" s="29"/>
      <c r="G476" s="29" t="s">
        <v>422</v>
      </c>
      <c r="H476" s="29" t="s">
        <v>1307</v>
      </c>
      <c r="I476" s="29" t="s">
        <v>668</v>
      </c>
      <c r="J476" s="29" t="s">
        <v>375</v>
      </c>
      <c r="K476" s="29" t="s">
        <v>376</v>
      </c>
      <c r="L476" s="29" t="s">
        <v>379</v>
      </c>
      <c r="M476" s="29" t="s">
        <v>378</v>
      </c>
      <c r="N476" s="29" t="s">
        <v>379</v>
      </c>
      <c r="O476" s="29" t="s">
        <v>2097</v>
      </c>
      <c r="P476" s="29" t="s">
        <v>498</v>
      </c>
      <c r="Q476" s="29" t="s">
        <v>818</v>
      </c>
      <c r="R476" s="29" t="s">
        <v>427</v>
      </c>
      <c r="S476" s="29" t="s">
        <v>384</v>
      </c>
      <c r="T476" s="29" t="s">
        <v>385</v>
      </c>
      <c r="U476" s="29"/>
      <c r="V476" s="29" t="s">
        <v>1241</v>
      </c>
      <c r="W476" s="29" t="s">
        <v>3231</v>
      </c>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t="s">
        <v>390</v>
      </c>
      <c r="AW476" s="29" t="s">
        <v>391</v>
      </c>
      <c r="AX476" s="29">
        <v>2.0</v>
      </c>
      <c r="AY476" s="29">
        <v>4.0</v>
      </c>
      <c r="AZ476" s="29">
        <v>2.0</v>
      </c>
      <c r="BA476" s="29" t="s">
        <v>429</v>
      </c>
      <c r="BB476" s="29">
        <v>2.0</v>
      </c>
      <c r="BC476" s="29" t="s">
        <v>9321</v>
      </c>
      <c r="BD476" s="29" t="s">
        <v>9322</v>
      </c>
      <c r="BE476" s="29" t="s">
        <v>392</v>
      </c>
      <c r="BF476" s="29" t="s">
        <v>433</v>
      </c>
      <c r="BG476" s="29" t="s">
        <v>678</v>
      </c>
      <c r="BH476" s="29" t="s">
        <v>9323</v>
      </c>
      <c r="BI476" s="29" t="s">
        <v>435</v>
      </c>
      <c r="BJ476" s="29" t="s">
        <v>9324</v>
      </c>
      <c r="BK476" s="29" t="s">
        <v>437</v>
      </c>
      <c r="BL476" s="29" t="s">
        <v>438</v>
      </c>
      <c r="BM476" s="29" t="s">
        <v>439</v>
      </c>
      <c r="BN476" s="29" t="s">
        <v>513</v>
      </c>
      <c r="BO476" s="29"/>
      <c r="BP476" s="29"/>
      <c r="BQ476" s="29"/>
      <c r="BR476" s="29"/>
      <c r="BS476" s="29"/>
      <c r="BT476" s="29"/>
      <c r="BU476" s="29"/>
      <c r="BV476" s="29"/>
      <c r="BW476" s="29"/>
      <c r="BX476" s="29"/>
      <c r="BY476" s="29"/>
      <c r="BZ476" s="29"/>
      <c r="CA476" s="29"/>
      <c r="CB476" s="29"/>
      <c r="CC476" s="29"/>
      <c r="CD476" s="29"/>
      <c r="CE476" s="29"/>
      <c r="CF476" s="29"/>
      <c r="CG476" s="29"/>
      <c r="CH476" s="29"/>
      <c r="CI476" s="29"/>
      <c r="CJ476" s="29"/>
      <c r="CK476" s="29"/>
      <c r="CL476" s="29" t="s">
        <v>441</v>
      </c>
      <c r="CM476" s="29" t="s">
        <v>442</v>
      </c>
      <c r="CN476" s="29" t="s">
        <v>9325</v>
      </c>
      <c r="CO476" s="29" t="s">
        <v>9326</v>
      </c>
      <c r="CP476" s="29" t="s">
        <v>1948</v>
      </c>
      <c r="CQ476" s="29" t="s">
        <v>5701</v>
      </c>
      <c r="CR476" s="29" t="s">
        <v>555</v>
      </c>
      <c r="CS476" s="29" t="s">
        <v>9327</v>
      </c>
      <c r="CT476" s="29" t="s">
        <v>9328</v>
      </c>
      <c r="CU476" s="29" t="s">
        <v>519</v>
      </c>
      <c r="CV476" s="29" t="s">
        <v>451</v>
      </c>
      <c r="CW476" s="29" t="s">
        <v>9329</v>
      </c>
      <c r="CX476" s="29" t="s">
        <v>455</v>
      </c>
      <c r="CY476" s="29" t="s">
        <v>9330</v>
      </c>
      <c r="CZ476" s="29" t="s">
        <v>453</v>
      </c>
      <c r="DA476" s="29" t="s">
        <v>9331</v>
      </c>
      <c r="DB476" s="29" t="s">
        <v>455</v>
      </c>
      <c r="DC476" s="29" t="s">
        <v>9332</v>
      </c>
      <c r="DD476" s="29" t="s">
        <v>988</v>
      </c>
      <c r="DE476" s="29"/>
      <c r="DF476" s="29" t="s">
        <v>9333</v>
      </c>
      <c r="DG476" s="29" t="s">
        <v>561</v>
      </c>
      <c r="DH476" s="29" t="s">
        <v>410</v>
      </c>
      <c r="DI476" s="29" t="s">
        <v>459</v>
      </c>
      <c r="DJ476" s="29" t="s">
        <v>562</v>
      </c>
      <c r="DK476" s="29" t="s">
        <v>6335</v>
      </c>
      <c r="DL476" s="29"/>
      <c r="DM476" s="29"/>
      <c r="DN476" s="29"/>
      <c r="DO476" s="29"/>
      <c r="DP476" s="29"/>
      <c r="DQ476" s="29"/>
      <c r="DR476" s="29"/>
      <c r="DS476" s="29"/>
      <c r="DT476" s="29"/>
      <c r="DU476" s="29"/>
      <c r="DV476" s="29"/>
      <c r="DW476" s="29"/>
      <c r="DX476" s="29"/>
      <c r="DY476" s="29"/>
      <c r="DZ476" s="29"/>
      <c r="EA476" s="29"/>
      <c r="EB476" s="29"/>
      <c r="EC476" s="29"/>
      <c r="ED476" s="29"/>
      <c r="EE476" s="29"/>
      <c r="EF476" s="29"/>
      <c r="EG476" s="29"/>
      <c r="EH476" s="29"/>
      <c r="EI476" s="29"/>
      <c r="EJ476" s="29"/>
      <c r="EK476" s="29"/>
      <c r="EL476" s="29"/>
      <c r="EM476" s="29"/>
      <c r="EN476" s="29"/>
      <c r="EO476" s="29"/>
      <c r="EP476" s="29"/>
      <c r="EQ476" s="29"/>
      <c r="ER476" s="29"/>
      <c r="ES476" s="29"/>
      <c r="ET476" s="29" t="s">
        <v>526</v>
      </c>
      <c r="EU476" s="29" t="s">
        <v>1127</v>
      </c>
      <c r="EV476" s="29" t="s">
        <v>580</v>
      </c>
      <c r="EW476" s="29"/>
      <c r="EX476" s="29" t="s">
        <v>9334</v>
      </c>
      <c r="EY476" s="29" t="s">
        <v>9335</v>
      </c>
      <c r="EZ476" s="29" t="s">
        <v>413</v>
      </c>
      <c r="FA476" s="29" t="s">
        <v>415</v>
      </c>
      <c r="FB476" s="29" t="s">
        <v>413</v>
      </c>
      <c r="FC476" s="29" t="s">
        <v>413</v>
      </c>
      <c r="FD476" s="29" t="s">
        <v>413</v>
      </c>
      <c r="FE476" s="29" t="s">
        <v>415</v>
      </c>
      <c r="FF476" s="29" t="s">
        <v>416</v>
      </c>
      <c r="FG476" s="29" t="s">
        <v>413</v>
      </c>
      <c r="FH476" s="29" t="s">
        <v>416</v>
      </c>
      <c r="FI476" s="29" t="s">
        <v>415</v>
      </c>
      <c r="FJ476" s="29" t="s">
        <v>415</v>
      </c>
      <c r="FK476" s="29" t="s">
        <v>415</v>
      </c>
      <c r="FL476" s="29" t="s">
        <v>415</v>
      </c>
      <c r="FM476" s="29" t="s">
        <v>416</v>
      </c>
      <c r="FN476" s="29" t="s">
        <v>415</v>
      </c>
      <c r="FO476" s="29" t="s">
        <v>485</v>
      </c>
      <c r="FP476" s="29" t="s">
        <v>418</v>
      </c>
      <c r="FQ476" s="29" t="s">
        <v>749</v>
      </c>
      <c r="FR476" s="29" t="s">
        <v>9336</v>
      </c>
      <c r="FS476" s="29" t="s">
        <v>420</v>
      </c>
      <c r="FT476" s="29" t="s">
        <v>488</v>
      </c>
      <c r="FU476" s="29" t="s">
        <v>918</v>
      </c>
      <c r="FV476" s="29" t="s">
        <v>490</v>
      </c>
      <c r="FW476" s="29" t="s">
        <v>491</v>
      </c>
      <c r="FX476" s="29" t="s">
        <v>9337</v>
      </c>
      <c r="FY476" s="29" t="s">
        <v>535</v>
      </c>
      <c r="FZ476" s="29" t="s">
        <v>9338</v>
      </c>
      <c r="GA476" s="29" t="s">
        <v>9339</v>
      </c>
      <c r="GB476" s="29" t="s">
        <v>455</v>
      </c>
      <c r="GC476" s="29"/>
      <c r="GD476" s="29"/>
      <c r="GE476" s="29" t="s">
        <v>753</v>
      </c>
      <c r="GF476" s="29" t="s">
        <v>9340</v>
      </c>
      <c r="GG476" s="29" t="s">
        <v>755</v>
      </c>
      <c r="GH476" s="29" t="s">
        <v>755</v>
      </c>
      <c r="GI476" s="29" t="s">
        <v>946</v>
      </c>
      <c r="GJ476" s="29"/>
      <c r="GK476" s="29"/>
      <c r="GL476" s="29"/>
      <c r="GM476" s="29"/>
      <c r="GN476" s="29"/>
      <c r="GO476" s="29"/>
      <c r="GP476" s="29" t="s">
        <v>387</v>
      </c>
      <c r="GQ476" s="29" t="s">
        <v>3208</v>
      </c>
      <c r="GR476" s="29"/>
      <c r="GS476" s="29"/>
      <c r="GT476" s="29" t="s">
        <v>4774</v>
      </c>
      <c r="GU476" s="29"/>
      <c r="HP476" s="31"/>
      <c r="MX476" s="29" t="s">
        <v>894</v>
      </c>
      <c r="MY476" s="29" t="str">
        <f>IFERROR(__xludf.DUMMYFUNCTION("""COMPUTED_VALUE"""),"Alberta")</f>
        <v>Alberta</v>
      </c>
    </row>
    <row r="477" ht="16.5" customHeight="1">
      <c r="A477" s="33">
        <v>46118.86745592592</v>
      </c>
      <c r="B477" s="29" t="s">
        <v>368</v>
      </c>
      <c r="C477" s="29" t="s">
        <v>894</v>
      </c>
      <c r="D477" s="29" t="s">
        <v>894</v>
      </c>
      <c r="E477" s="29"/>
      <c r="F477" s="29"/>
      <c r="G477" s="29" t="s">
        <v>422</v>
      </c>
      <c r="H477" s="29" t="s">
        <v>373</v>
      </c>
      <c r="I477" s="29" t="s">
        <v>638</v>
      </c>
      <c r="J477" s="29" t="s">
        <v>375</v>
      </c>
      <c r="K477" s="29" t="s">
        <v>376</v>
      </c>
      <c r="L477" s="29" t="s">
        <v>591</v>
      </c>
      <c r="M477" s="29" t="s">
        <v>720</v>
      </c>
      <c r="N477" s="29" t="s">
        <v>426</v>
      </c>
      <c r="O477" s="29" t="s">
        <v>2464</v>
      </c>
      <c r="P477" s="29" t="s">
        <v>592</v>
      </c>
      <c r="Q477" s="29" t="s">
        <v>382</v>
      </c>
      <c r="R477" s="29" t="s">
        <v>427</v>
      </c>
      <c r="S477" s="29" t="s">
        <v>384</v>
      </c>
      <c r="T477" s="29" t="s">
        <v>385</v>
      </c>
      <c r="U477" s="29" t="s">
        <v>1241</v>
      </c>
      <c r="V477" s="29" t="s">
        <v>1241</v>
      </c>
      <c r="W477" s="29" t="s">
        <v>3014</v>
      </c>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t="s">
        <v>1242</v>
      </c>
      <c r="AW477" s="29" t="s">
        <v>675</v>
      </c>
      <c r="AX477" s="29" t="s">
        <v>675</v>
      </c>
      <c r="AY477" s="29">
        <v>4.0</v>
      </c>
      <c r="AZ477" s="29" t="s">
        <v>391</v>
      </c>
      <c r="BA477" s="29">
        <v>4.0</v>
      </c>
      <c r="BB477" s="29">
        <v>4.0</v>
      </c>
      <c r="BC477" s="29" t="s">
        <v>9342</v>
      </c>
      <c r="BD477" s="29" t="s">
        <v>9343</v>
      </c>
      <c r="BE477" s="29" t="s">
        <v>2379</v>
      </c>
      <c r="BF477" s="29" t="s">
        <v>1095</v>
      </c>
      <c r="BG477" s="29" t="s">
        <v>765</v>
      </c>
      <c r="BH477" s="29" t="s">
        <v>9344</v>
      </c>
      <c r="BI477" s="29" t="s">
        <v>824</v>
      </c>
      <c r="BJ477" s="29" t="s">
        <v>1211</v>
      </c>
      <c r="BK477" s="29" t="s">
        <v>437</v>
      </c>
      <c r="BL477" s="29" t="s">
        <v>396</v>
      </c>
      <c r="BM477" s="29" t="s">
        <v>1247</v>
      </c>
      <c r="BN477" s="29" t="s">
        <v>513</v>
      </c>
      <c r="BO477" s="29"/>
      <c r="BP477" s="29"/>
      <c r="BQ477" s="29"/>
      <c r="BR477" s="29"/>
      <c r="BS477" s="29"/>
      <c r="BT477" s="29"/>
      <c r="BU477" s="29"/>
      <c r="BV477" s="29"/>
      <c r="BW477" s="29"/>
      <c r="BX477" s="29"/>
      <c r="BY477" s="29"/>
      <c r="BZ477" s="29"/>
      <c r="CA477" s="29"/>
      <c r="CB477" s="29"/>
      <c r="CC477" s="29"/>
      <c r="CD477" s="29"/>
      <c r="CE477" s="29"/>
      <c r="CF477" s="29"/>
      <c r="CG477" s="29"/>
      <c r="CH477" s="29"/>
      <c r="CI477" s="29"/>
      <c r="CJ477" s="29"/>
      <c r="CK477" s="29"/>
      <c r="CL477" s="29" t="s">
        <v>953</v>
      </c>
      <c r="CM477" s="29" t="s">
        <v>442</v>
      </c>
      <c r="CN477" s="29" t="s">
        <v>9345</v>
      </c>
      <c r="CO477" s="29" t="s">
        <v>9346</v>
      </c>
      <c r="CP477" s="29"/>
      <c r="CQ477" s="29"/>
      <c r="CR477" s="29"/>
      <c r="CS477" s="29"/>
      <c r="CT477" s="29" t="s">
        <v>9347</v>
      </c>
      <c r="CU477" s="29" t="s">
        <v>1852</v>
      </c>
      <c r="CV477" s="29" t="s">
        <v>959</v>
      </c>
      <c r="CW477" s="29"/>
      <c r="CX477" s="29" t="s">
        <v>408</v>
      </c>
      <c r="CY477" s="29"/>
      <c r="CZ477" s="29" t="s">
        <v>1962</v>
      </c>
      <c r="DA477" s="29"/>
      <c r="DB477" s="29" t="s">
        <v>408</v>
      </c>
      <c r="DC477" s="29"/>
      <c r="DD477" s="29"/>
      <c r="DE477" s="29"/>
      <c r="DF477" s="29"/>
      <c r="DG477" s="29" t="s">
        <v>776</v>
      </c>
      <c r="DH477" s="29" t="s">
        <v>1964</v>
      </c>
      <c r="DI477" s="29" t="s">
        <v>963</v>
      </c>
      <c r="DJ477" s="29" t="s">
        <v>613</v>
      </c>
      <c r="DK477" s="29"/>
      <c r="DL477" s="29"/>
      <c r="DM477" s="29"/>
      <c r="DN477" s="29"/>
      <c r="DO477" s="29"/>
      <c r="DP477" s="29"/>
      <c r="DQ477" s="29"/>
      <c r="DR477" s="29"/>
      <c r="DS477" s="29"/>
      <c r="DT477" s="29"/>
      <c r="DU477" s="29"/>
      <c r="DV477" s="29"/>
      <c r="DW477" s="29"/>
      <c r="DX477" s="29"/>
      <c r="DY477" s="29"/>
      <c r="DZ477" s="29"/>
      <c r="EA477" s="29"/>
      <c r="EB477" s="29"/>
      <c r="EC477" s="29"/>
      <c r="ED477" s="29"/>
      <c r="EE477" s="29"/>
      <c r="EF477" s="29"/>
      <c r="EG477" s="29"/>
      <c r="EH477" s="29"/>
      <c r="EI477" s="29"/>
      <c r="EJ477" s="29"/>
      <c r="EK477" s="29"/>
      <c r="EL477" s="29"/>
      <c r="EM477" s="29"/>
      <c r="EN477" s="29"/>
      <c r="EO477" s="29"/>
      <c r="EP477" s="29"/>
      <c r="EQ477" s="29"/>
      <c r="ER477" s="29"/>
      <c r="ES477" s="29"/>
      <c r="ET477" s="29" t="s">
        <v>478</v>
      </c>
      <c r="EU477" s="29" t="s">
        <v>1127</v>
      </c>
      <c r="EV477" s="29" t="s">
        <v>1262</v>
      </c>
      <c r="EW477" s="29"/>
      <c r="EX477" s="29" t="s">
        <v>9348</v>
      </c>
      <c r="EY477" s="29"/>
      <c r="EZ477" s="29" t="s">
        <v>415</v>
      </c>
      <c r="FA477" s="29" t="s">
        <v>583</v>
      </c>
      <c r="FB477" s="29" t="s">
        <v>416</v>
      </c>
      <c r="FC477" s="29" t="s">
        <v>414</v>
      </c>
      <c r="FD477" s="29" t="s">
        <v>415</v>
      </c>
      <c r="FE477" s="29" t="s">
        <v>414</v>
      </c>
      <c r="FF477" s="29" t="s">
        <v>414</v>
      </c>
      <c r="FG477" s="29" t="s">
        <v>415</v>
      </c>
      <c r="FH477" s="29" t="s">
        <v>415</v>
      </c>
      <c r="FI477" s="29" t="s">
        <v>415</v>
      </c>
      <c r="FJ477" s="29" t="s">
        <v>415</v>
      </c>
      <c r="FK477" s="29" t="s">
        <v>414</v>
      </c>
      <c r="FL477" s="29" t="s">
        <v>414</v>
      </c>
      <c r="FM477" s="29" t="s">
        <v>416</v>
      </c>
      <c r="FN477" s="29" t="s">
        <v>414</v>
      </c>
      <c r="FO477" s="29" t="s">
        <v>1074</v>
      </c>
      <c r="FP477" s="29" t="s">
        <v>1200</v>
      </c>
      <c r="FQ477" s="29" t="s">
        <v>749</v>
      </c>
      <c r="FR477" s="29"/>
      <c r="FS477" s="29" t="s">
        <v>1871</v>
      </c>
      <c r="FT477" s="29" t="s">
        <v>421</v>
      </c>
      <c r="FU477" s="29" t="s">
        <v>918</v>
      </c>
      <c r="FV477" s="29" t="s">
        <v>2399</v>
      </c>
      <c r="FW477" s="29" t="s">
        <v>1853</v>
      </c>
      <c r="FX477" s="29" t="s">
        <v>9349</v>
      </c>
      <c r="FY477" s="29" t="s">
        <v>1854</v>
      </c>
      <c r="FZ477" s="29" t="s">
        <v>9350</v>
      </c>
      <c r="GA477" s="29"/>
      <c r="GB477" s="29" t="s">
        <v>455</v>
      </c>
      <c r="GC477" s="29"/>
      <c r="GD477" s="29"/>
      <c r="GE477" s="29" t="s">
        <v>753</v>
      </c>
      <c r="GF477" s="29"/>
      <c r="GG477" s="29" t="s">
        <v>755</v>
      </c>
      <c r="GH477" s="29" t="s">
        <v>755</v>
      </c>
      <c r="GI477" s="29" t="s">
        <v>756</v>
      </c>
      <c r="GJ477" s="29"/>
      <c r="GK477" s="29"/>
      <c r="GL477" s="29"/>
      <c r="GM477" s="29"/>
      <c r="GN477" s="29"/>
      <c r="GO477" s="29"/>
      <c r="GP477" s="29"/>
      <c r="GQ477" s="29" t="s">
        <v>3208</v>
      </c>
      <c r="GR477" s="29"/>
      <c r="GS477" s="29"/>
      <c r="GT477" s="29" t="s">
        <v>4774</v>
      </c>
      <c r="GU477" s="29"/>
      <c r="HP477" s="31"/>
      <c r="MX477" s="29" t="s">
        <v>10402</v>
      </c>
      <c r="MY477" s="29" t="str">
        <f>IFERROR(__xludf.DUMMYFUNCTION("""COMPUTED_VALUE"""),"Washington")</f>
        <v>Washington</v>
      </c>
    </row>
    <row r="478" ht="16.5" customHeight="1">
      <c r="A478" s="33">
        <v>46118.88995810185</v>
      </c>
      <c r="B478" s="29" t="s">
        <v>368</v>
      </c>
      <c r="C478" s="29" t="s">
        <v>370</v>
      </c>
      <c r="D478" s="29" t="s">
        <v>370</v>
      </c>
      <c r="E478" s="29" t="s">
        <v>1421</v>
      </c>
      <c r="F478" s="29" t="s">
        <v>6014</v>
      </c>
      <c r="G478" s="29" t="s">
        <v>422</v>
      </c>
      <c r="H478" s="29" t="s">
        <v>637</v>
      </c>
      <c r="I478" s="29" t="s">
        <v>638</v>
      </c>
      <c r="J478" s="29" t="s">
        <v>375</v>
      </c>
      <c r="K478" s="29" t="s">
        <v>376</v>
      </c>
      <c r="L478" s="29" t="s">
        <v>379</v>
      </c>
      <c r="M478" s="29" t="s">
        <v>2464</v>
      </c>
      <c r="N478" s="29" t="s">
        <v>379</v>
      </c>
      <c r="O478" s="29" t="s">
        <v>2464</v>
      </c>
      <c r="P478" s="29" t="s">
        <v>498</v>
      </c>
      <c r="Q478" s="29" t="s">
        <v>862</v>
      </c>
      <c r="R478" s="29" t="s">
        <v>427</v>
      </c>
      <c r="S478" s="29" t="s">
        <v>1785</v>
      </c>
      <c r="T478" s="29" t="s">
        <v>1786</v>
      </c>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29"/>
      <c r="BR478" s="29"/>
      <c r="BS478" s="29"/>
      <c r="BT478" s="29"/>
      <c r="BU478" s="29"/>
      <c r="BV478" s="29"/>
      <c r="BW478" s="29"/>
      <c r="BX478" s="29"/>
      <c r="BY478" s="29"/>
      <c r="BZ478" s="29"/>
      <c r="CA478" s="29"/>
      <c r="CB478" s="29"/>
      <c r="CC478" s="29"/>
      <c r="CD478" s="29"/>
      <c r="CE478" s="29"/>
      <c r="CF478" s="29"/>
      <c r="CG478" s="29"/>
      <c r="CH478" s="29"/>
      <c r="CI478" s="29"/>
      <c r="CJ478" s="29"/>
      <c r="CK478" s="29"/>
      <c r="CL478" s="29"/>
      <c r="CM478" s="29"/>
      <c r="CN478" s="29"/>
      <c r="CO478" s="29"/>
      <c r="CP478" s="29"/>
      <c r="CQ478" s="29"/>
      <c r="CR478" s="29"/>
      <c r="CS478" s="29"/>
      <c r="CT478" s="29"/>
      <c r="CU478" s="29"/>
      <c r="CV478" s="29"/>
      <c r="CW478" s="29"/>
      <c r="CX478" s="29"/>
      <c r="CY478" s="29"/>
      <c r="CZ478" s="29"/>
      <c r="DA478" s="29"/>
      <c r="DB478" s="29"/>
      <c r="DC478" s="29"/>
      <c r="DD478" s="29"/>
      <c r="DE478" s="29"/>
      <c r="DF478" s="29"/>
      <c r="DG478" s="29"/>
      <c r="DH478" s="29"/>
      <c r="DI478" s="29"/>
      <c r="DJ478" s="29"/>
      <c r="DK478" s="29"/>
      <c r="DL478" s="29"/>
      <c r="DM478" s="29"/>
      <c r="DN478" s="29"/>
      <c r="DO478" s="29"/>
      <c r="DP478" s="29"/>
      <c r="DQ478" s="29"/>
      <c r="DR478" s="29"/>
      <c r="DS478" s="29"/>
      <c r="DT478" s="29"/>
      <c r="DU478" s="29"/>
      <c r="DV478" s="29"/>
      <c r="DW478" s="29"/>
      <c r="DX478" s="29"/>
      <c r="DY478" s="29"/>
      <c r="DZ478" s="29"/>
      <c r="EA478" s="29"/>
      <c r="EB478" s="29"/>
      <c r="EC478" s="29"/>
      <c r="ED478" s="29" t="s">
        <v>5662</v>
      </c>
      <c r="EE478" s="29"/>
      <c r="EF478" s="29"/>
      <c r="EG478" s="29"/>
      <c r="EH478" s="29" t="s">
        <v>7540</v>
      </c>
      <c r="EI478" s="29" t="s">
        <v>5664</v>
      </c>
      <c r="EJ478" s="29"/>
      <c r="EK478" s="29"/>
      <c r="EL478" s="29"/>
      <c r="EM478" s="29"/>
      <c r="EN478" s="29"/>
      <c r="EO478" s="29"/>
      <c r="EP478" s="29"/>
      <c r="EQ478" s="29"/>
      <c r="ER478" s="29" t="s">
        <v>9353</v>
      </c>
      <c r="ES478" s="29" t="s">
        <v>408</v>
      </c>
      <c r="ET478" s="29" t="s">
        <v>2747</v>
      </c>
      <c r="EU478" s="29" t="s">
        <v>887</v>
      </c>
      <c r="EV478" s="29" t="s">
        <v>480</v>
      </c>
      <c r="EW478" s="29"/>
      <c r="EX478" s="29" t="s">
        <v>9354</v>
      </c>
      <c r="EY478" s="29" t="s">
        <v>9355</v>
      </c>
      <c r="EZ478" s="29" t="s">
        <v>414</v>
      </c>
      <c r="FA478" s="29" t="s">
        <v>414</v>
      </c>
      <c r="FB478" s="29" t="s">
        <v>414</v>
      </c>
      <c r="FC478" s="29" t="s">
        <v>414</v>
      </c>
      <c r="FD478" s="29" t="s">
        <v>415</v>
      </c>
      <c r="FE478" s="29" t="s">
        <v>414</v>
      </c>
      <c r="FF478" s="29" t="s">
        <v>414</v>
      </c>
      <c r="FG478" s="29" t="s">
        <v>413</v>
      </c>
      <c r="FH478" s="29" t="s">
        <v>414</v>
      </c>
      <c r="FI478" s="29" t="s">
        <v>414</v>
      </c>
      <c r="FJ478" s="29" t="s">
        <v>414</v>
      </c>
      <c r="FK478" s="29" t="s">
        <v>413</v>
      </c>
      <c r="FL478" s="29" t="s">
        <v>413</v>
      </c>
      <c r="FM478" s="29" t="s">
        <v>413</v>
      </c>
      <c r="FN478" s="29" t="s">
        <v>414</v>
      </c>
      <c r="FO478" s="29" t="s">
        <v>417</v>
      </c>
      <c r="FP478" s="29" t="s">
        <v>418</v>
      </c>
      <c r="FQ478" s="29" t="s">
        <v>419</v>
      </c>
      <c r="FR478" s="29"/>
      <c r="FS478" s="29"/>
      <c r="FT478" s="29"/>
      <c r="FU478" s="29"/>
      <c r="FV478" s="29"/>
      <c r="FW478" s="29"/>
      <c r="FX478" s="29"/>
      <c r="FY478" s="29"/>
      <c r="FZ478" s="29"/>
      <c r="GA478" s="29"/>
      <c r="GB478" s="29"/>
      <c r="GC478" s="29"/>
      <c r="GD478" s="29"/>
      <c r="GE478" s="29"/>
      <c r="GF478" s="29"/>
      <c r="GG478" s="29"/>
      <c r="GH478" s="29"/>
      <c r="GI478" s="29"/>
      <c r="GJ478" s="29"/>
      <c r="GK478" s="29"/>
      <c r="GL478" s="29"/>
      <c r="GM478" s="29"/>
      <c r="GN478" s="29"/>
      <c r="GO478" s="29"/>
      <c r="GP478" s="29"/>
      <c r="GQ478" s="29"/>
      <c r="GR478" s="29"/>
      <c r="GS478" s="29"/>
      <c r="GT478" s="29"/>
      <c r="GU478" s="29"/>
      <c r="HP478" s="31"/>
      <c r="MX478" s="29" t="s">
        <v>10402</v>
      </c>
      <c r="MY478" s="29" t="str">
        <f>IFERROR(__xludf.DUMMYFUNCTION("""COMPUTED_VALUE"""),"Maine")</f>
        <v>Maine</v>
      </c>
    </row>
    <row r="479" ht="16.5" customHeight="1">
      <c r="A479" s="33">
        <v>46118.906964062495</v>
      </c>
      <c r="B479" s="29" t="s">
        <v>368</v>
      </c>
      <c r="C479" s="29" t="s">
        <v>370</v>
      </c>
      <c r="D479" s="29" t="s">
        <v>370</v>
      </c>
      <c r="E479" s="29" t="s">
        <v>4114</v>
      </c>
      <c r="F479" s="29" t="s">
        <v>4114</v>
      </c>
      <c r="G479" s="29" t="s">
        <v>422</v>
      </c>
      <c r="H479" s="29" t="s">
        <v>373</v>
      </c>
      <c r="I479" s="29" t="s">
        <v>638</v>
      </c>
      <c r="J479" s="29" t="s">
        <v>375</v>
      </c>
      <c r="K479" s="29" t="s">
        <v>376</v>
      </c>
      <c r="L479" s="29" t="s">
        <v>379</v>
      </c>
      <c r="M479" s="29" t="s">
        <v>378</v>
      </c>
      <c r="N479" s="29" t="s">
        <v>426</v>
      </c>
      <c r="O479" s="29" t="s">
        <v>9360</v>
      </c>
      <c r="P479" s="29" t="s">
        <v>381</v>
      </c>
      <c r="Q479" s="29" t="s">
        <v>382</v>
      </c>
      <c r="R479" s="29" t="s">
        <v>3976</v>
      </c>
      <c r="S479" s="29" t="s">
        <v>384</v>
      </c>
      <c r="T479" s="29"/>
      <c r="U479" s="29"/>
      <c r="V479" s="29"/>
      <c r="W479" s="29" t="s">
        <v>593</v>
      </c>
      <c r="X479" s="29" t="s">
        <v>387</v>
      </c>
      <c r="Y479" s="29" t="s">
        <v>594</v>
      </c>
      <c r="Z479" s="29" t="s">
        <v>502</v>
      </c>
      <c r="AA479" s="29" t="s">
        <v>9361</v>
      </c>
      <c r="AB479" s="29"/>
      <c r="AC479" s="29"/>
      <c r="AD479" s="29"/>
      <c r="AE479" s="29"/>
      <c r="AF479" s="29"/>
      <c r="AG479" s="29"/>
      <c r="AH479" s="29"/>
      <c r="AI479" s="29"/>
      <c r="AJ479" s="29"/>
      <c r="AK479" s="29"/>
      <c r="AL479" s="29"/>
      <c r="AM479" s="29"/>
      <c r="AN479" s="29"/>
      <c r="AO479" s="29"/>
      <c r="AP479" s="29"/>
      <c r="AQ479" s="29"/>
      <c r="AR479" s="29"/>
      <c r="AS479" s="29"/>
      <c r="AT479" s="29"/>
      <c r="AU479" s="29"/>
      <c r="AV479" s="29" t="s">
        <v>390</v>
      </c>
      <c r="AW479" s="29">
        <v>2.0</v>
      </c>
      <c r="AX479" s="29" t="s">
        <v>429</v>
      </c>
      <c r="AY479" s="29" t="s">
        <v>429</v>
      </c>
      <c r="AZ479" s="29" t="s">
        <v>429</v>
      </c>
      <c r="BA479" s="29" t="s">
        <v>429</v>
      </c>
      <c r="BB479" s="29" t="s">
        <v>429</v>
      </c>
      <c r="BC479" s="29" t="s">
        <v>9362</v>
      </c>
      <c r="BD479" s="29" t="s">
        <v>9363</v>
      </c>
      <c r="BE479" s="29" t="s">
        <v>392</v>
      </c>
      <c r="BF479" s="29" t="s">
        <v>433</v>
      </c>
      <c r="BG479" s="29" t="s">
        <v>678</v>
      </c>
      <c r="BH479" s="29" t="s">
        <v>9364</v>
      </c>
      <c r="BI479" s="29" t="s">
        <v>509</v>
      </c>
      <c r="BJ479" s="29" t="s">
        <v>9365</v>
      </c>
      <c r="BK479" s="29" t="s">
        <v>511</v>
      </c>
      <c r="BL479" s="29" t="s">
        <v>438</v>
      </c>
      <c r="BM479" s="29" t="s">
        <v>439</v>
      </c>
      <c r="BN479" s="29" t="s">
        <v>440</v>
      </c>
      <c r="BO479" s="29"/>
      <c r="BP479" s="29"/>
      <c r="BQ479" s="29"/>
      <c r="BR479" s="29"/>
      <c r="BS479" s="29"/>
      <c r="BT479" s="29"/>
      <c r="BU479" s="29"/>
      <c r="BV479" s="29"/>
      <c r="BW479" s="29"/>
      <c r="BX479" s="29"/>
      <c r="BY479" s="29"/>
      <c r="BZ479" s="29"/>
      <c r="CA479" s="29"/>
      <c r="CB479" s="29"/>
      <c r="CC479" s="29"/>
      <c r="CD479" s="29"/>
      <c r="CE479" s="29"/>
      <c r="CF479" s="29"/>
      <c r="CG479" s="29"/>
      <c r="CH479" s="29"/>
      <c r="CI479" s="29"/>
      <c r="CJ479" s="29"/>
      <c r="CK479" s="29"/>
      <c r="CL479" s="29" t="s">
        <v>441</v>
      </c>
      <c r="CM479" s="29" t="s">
        <v>442</v>
      </c>
      <c r="CN479" s="29" t="s">
        <v>1315</v>
      </c>
      <c r="CO479" s="29" t="s">
        <v>9366</v>
      </c>
      <c r="CP479" s="29" t="s">
        <v>1008</v>
      </c>
      <c r="CQ479" s="29" t="s">
        <v>2317</v>
      </c>
      <c r="CR479" s="29" t="s">
        <v>447</v>
      </c>
      <c r="CS479" s="29" t="s">
        <v>805</v>
      </c>
      <c r="CT479" s="29" t="s">
        <v>9367</v>
      </c>
      <c r="CU479" s="29" t="s">
        <v>450</v>
      </c>
      <c r="CV479" s="29" t="s">
        <v>451</v>
      </c>
      <c r="CW479" s="29" t="s">
        <v>9368</v>
      </c>
      <c r="CX479" s="29" t="s">
        <v>408</v>
      </c>
      <c r="CY479" s="29"/>
      <c r="CZ479" s="29" t="s">
        <v>453</v>
      </c>
      <c r="DA479" s="29" t="s">
        <v>9369</v>
      </c>
      <c r="DB479" s="29" t="s">
        <v>455</v>
      </c>
      <c r="DC479" s="29" t="s">
        <v>9370</v>
      </c>
      <c r="DD479" s="29" t="s">
        <v>457</v>
      </c>
      <c r="DE479" s="29"/>
      <c r="DF479" s="29" t="s">
        <v>9371</v>
      </c>
      <c r="DG479" s="29" t="s">
        <v>524</v>
      </c>
      <c r="DH479" s="29" t="s">
        <v>410</v>
      </c>
      <c r="DI479" s="29" t="s">
        <v>459</v>
      </c>
      <c r="DJ479" s="29" t="s">
        <v>460</v>
      </c>
      <c r="DK479" s="29" t="s">
        <v>6335</v>
      </c>
      <c r="DL479" s="29"/>
      <c r="DM479" s="29" t="s">
        <v>9372</v>
      </c>
      <c r="DN479" s="29" t="s">
        <v>9373</v>
      </c>
      <c r="DO479" s="29" t="s">
        <v>567</v>
      </c>
      <c r="DP479" s="29" t="s">
        <v>9374</v>
      </c>
      <c r="DQ479" s="29"/>
      <c r="DR479" s="29" t="s">
        <v>9375</v>
      </c>
      <c r="DS479" s="29" t="s">
        <v>468</v>
      </c>
      <c r="DT479" s="29" t="s">
        <v>703</v>
      </c>
      <c r="DU479" s="29" t="s">
        <v>9376</v>
      </c>
      <c r="DV479" s="29" t="s">
        <v>9377</v>
      </c>
      <c r="DW479" s="29" t="s">
        <v>622</v>
      </c>
      <c r="DX479" s="29" t="s">
        <v>9378</v>
      </c>
      <c r="DY479" s="29" t="s">
        <v>9379</v>
      </c>
      <c r="DZ479" s="29" t="s">
        <v>9380</v>
      </c>
      <c r="EA479" s="29" t="s">
        <v>475</v>
      </c>
      <c r="EB479" s="29" t="s">
        <v>845</v>
      </c>
      <c r="EC479" s="29" t="s">
        <v>9381</v>
      </c>
      <c r="ED479" s="29"/>
      <c r="EE479" s="29"/>
      <c r="EF479" s="29"/>
      <c r="EG479" s="29"/>
      <c r="EH479" s="29"/>
      <c r="EI479" s="29"/>
      <c r="EJ479" s="29"/>
      <c r="EK479" s="29"/>
      <c r="EL479" s="29"/>
      <c r="EM479" s="29"/>
      <c r="EN479" s="29"/>
      <c r="EO479" s="29"/>
      <c r="EP479" s="29"/>
      <c r="EQ479" s="29"/>
      <c r="ER479" s="29"/>
      <c r="ES479" s="29"/>
      <c r="ET479" s="29" t="s">
        <v>526</v>
      </c>
      <c r="EU479" s="29" t="s">
        <v>887</v>
      </c>
      <c r="EV479" s="29" t="s">
        <v>480</v>
      </c>
      <c r="EW479" s="29"/>
      <c r="EX479" s="29" t="s">
        <v>9382</v>
      </c>
      <c r="EY479" s="29" t="s">
        <v>9383</v>
      </c>
      <c r="EZ479" s="29" t="s">
        <v>416</v>
      </c>
      <c r="FA479" s="29" t="s">
        <v>415</v>
      </c>
      <c r="FB479" s="29" t="s">
        <v>413</v>
      </c>
      <c r="FC479" s="29" t="s">
        <v>413</v>
      </c>
      <c r="FD479" s="29" t="s">
        <v>413</v>
      </c>
      <c r="FE479" s="29" t="s">
        <v>415</v>
      </c>
      <c r="FF479" s="29" t="s">
        <v>413</v>
      </c>
      <c r="FG479" s="29" t="s">
        <v>413</v>
      </c>
      <c r="FH479" s="29" t="s">
        <v>583</v>
      </c>
      <c r="FI479" s="29" t="s">
        <v>415</v>
      </c>
      <c r="FJ479" s="29" t="s">
        <v>416</v>
      </c>
      <c r="FK479" s="29" t="s">
        <v>415</v>
      </c>
      <c r="FL479" s="29" t="s">
        <v>415</v>
      </c>
      <c r="FM479" s="29" t="s">
        <v>413</v>
      </c>
      <c r="FN479" s="29" t="s">
        <v>583</v>
      </c>
      <c r="FO479" s="29" t="s">
        <v>417</v>
      </c>
      <c r="FP479" s="29" t="s">
        <v>418</v>
      </c>
      <c r="FQ479" s="29" t="s">
        <v>749</v>
      </c>
      <c r="FR479" s="29" t="s">
        <v>9384</v>
      </c>
      <c r="FS479" s="29" t="s">
        <v>420</v>
      </c>
      <c r="FT479" s="29" t="s">
        <v>488</v>
      </c>
      <c r="FU479" s="29" t="s">
        <v>489</v>
      </c>
      <c r="FV479" s="29" t="s">
        <v>490</v>
      </c>
      <c r="FW479" s="29" t="s">
        <v>491</v>
      </c>
      <c r="FX479" s="29" t="s">
        <v>9385</v>
      </c>
      <c r="FY479" s="29" t="s">
        <v>535</v>
      </c>
      <c r="FZ479" s="29" t="s">
        <v>9386</v>
      </c>
      <c r="GA479" s="29"/>
      <c r="GB479" s="29" t="s">
        <v>455</v>
      </c>
      <c r="GC479" s="29"/>
      <c r="GD479" s="29"/>
      <c r="GE479" s="29" t="s">
        <v>1339</v>
      </c>
      <c r="GF479" s="29" t="s">
        <v>9387</v>
      </c>
      <c r="GG479" s="29" t="s">
        <v>755</v>
      </c>
      <c r="GH479" s="29" t="s">
        <v>755</v>
      </c>
      <c r="GI479" s="29" t="s">
        <v>756</v>
      </c>
      <c r="GJ479" s="29"/>
      <c r="GK479" s="29"/>
      <c r="GL479" s="29"/>
      <c r="GM479" s="29" t="s">
        <v>1079</v>
      </c>
      <c r="GN479" s="29"/>
      <c r="GO479" s="29"/>
      <c r="GP479" s="29"/>
      <c r="GQ479" s="29" t="s">
        <v>3208</v>
      </c>
      <c r="GR479" s="29"/>
      <c r="GS479" s="29"/>
      <c r="GT479" s="29" t="s">
        <v>5170</v>
      </c>
      <c r="GU479" s="29" t="s">
        <v>9388</v>
      </c>
      <c r="HP479" s="31"/>
      <c r="MX479" s="29" t="s">
        <v>10402</v>
      </c>
      <c r="MY479" s="29" t="str">
        <f>IFERROR(__xludf.DUMMYFUNCTION("""COMPUTED_VALUE"""),"Texas")</f>
        <v>Texas</v>
      </c>
    </row>
    <row r="480" ht="16.5" customHeight="1">
      <c r="A480" s="33">
        <v>46118.943060694444</v>
      </c>
      <c r="B480" s="29" t="s">
        <v>368</v>
      </c>
      <c r="C480" s="29" t="s">
        <v>370</v>
      </c>
      <c r="D480" s="29" t="s">
        <v>370</v>
      </c>
      <c r="E480" s="29" t="s">
        <v>1510</v>
      </c>
      <c r="F480" s="29" t="s">
        <v>2708</v>
      </c>
      <c r="G480" s="29" t="s">
        <v>422</v>
      </c>
      <c r="H480" s="29" t="s">
        <v>496</v>
      </c>
      <c r="I480" s="29" t="s">
        <v>2578</v>
      </c>
      <c r="J480" s="29" t="s">
        <v>375</v>
      </c>
      <c r="K480" s="29" t="s">
        <v>376</v>
      </c>
      <c r="L480" s="29" t="s">
        <v>426</v>
      </c>
      <c r="M480" s="29" t="s">
        <v>2966</v>
      </c>
      <c r="N480" s="29" t="s">
        <v>591</v>
      </c>
      <c r="O480" s="29" t="s">
        <v>7274</v>
      </c>
      <c r="P480" s="29" t="s">
        <v>498</v>
      </c>
      <c r="Q480" s="29" t="s">
        <v>818</v>
      </c>
      <c r="R480" s="29" t="s">
        <v>500</v>
      </c>
      <c r="S480" s="29" t="s">
        <v>384</v>
      </c>
      <c r="T480" s="29" t="s">
        <v>385</v>
      </c>
      <c r="U480" s="29"/>
      <c r="V480" s="29"/>
      <c r="W480" s="29" t="s">
        <v>3014</v>
      </c>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t="s">
        <v>390</v>
      </c>
      <c r="AW480" s="29">
        <v>2.0</v>
      </c>
      <c r="AX480" s="29">
        <v>2.0</v>
      </c>
      <c r="AY480" s="29">
        <v>2.0</v>
      </c>
      <c r="AZ480" s="29" t="s">
        <v>429</v>
      </c>
      <c r="BA480" s="29" t="s">
        <v>391</v>
      </c>
      <c r="BB480" s="29">
        <v>2.0</v>
      </c>
      <c r="BC480" s="29" t="s">
        <v>9393</v>
      </c>
      <c r="BD480" s="29" t="s">
        <v>9394</v>
      </c>
      <c r="BE480" s="29" t="s">
        <v>902</v>
      </c>
      <c r="BF480" s="29" t="s">
        <v>433</v>
      </c>
      <c r="BG480" s="29" t="s">
        <v>434</v>
      </c>
      <c r="BH480" s="29" t="s">
        <v>9395</v>
      </c>
      <c r="BI480" s="29" t="s">
        <v>435</v>
      </c>
      <c r="BJ480" s="29" t="s">
        <v>9396</v>
      </c>
      <c r="BK480" s="29" t="s">
        <v>511</v>
      </c>
      <c r="BL480" s="29" t="s">
        <v>438</v>
      </c>
      <c r="BM480" s="29" t="s">
        <v>397</v>
      </c>
      <c r="BN480" s="29" t="s">
        <v>440</v>
      </c>
      <c r="BO480" s="29"/>
      <c r="BP480" s="29"/>
      <c r="BQ480" s="29"/>
      <c r="BR480" s="29"/>
      <c r="BS480" s="29"/>
      <c r="BT480" s="29"/>
      <c r="BU480" s="29"/>
      <c r="BV480" s="29"/>
      <c r="BW480" s="29"/>
      <c r="BX480" s="29"/>
      <c r="BY480" s="29"/>
      <c r="BZ480" s="29"/>
      <c r="CA480" s="29"/>
      <c r="CB480" s="29"/>
      <c r="CC480" s="29"/>
      <c r="CD480" s="29"/>
      <c r="CE480" s="29"/>
      <c r="CF480" s="29"/>
      <c r="CG480" s="29"/>
      <c r="CH480" s="29"/>
      <c r="CI480" s="29"/>
      <c r="CJ480" s="29"/>
      <c r="CK480" s="29"/>
      <c r="CL480" s="29" t="s">
        <v>441</v>
      </c>
      <c r="CM480" s="29" t="s">
        <v>401</v>
      </c>
      <c r="CN480" s="29" t="s">
        <v>9397</v>
      </c>
      <c r="CO480" s="29" t="s">
        <v>9398</v>
      </c>
      <c r="CP480" s="29" t="s">
        <v>979</v>
      </c>
      <c r="CQ480" s="29" t="s">
        <v>2519</v>
      </c>
      <c r="CR480" s="29" t="s">
        <v>447</v>
      </c>
      <c r="CS480" s="29" t="s">
        <v>9255</v>
      </c>
      <c r="CT480" s="29" t="s">
        <v>9399</v>
      </c>
      <c r="CU480" s="29" t="s">
        <v>519</v>
      </c>
      <c r="CV480" s="29" t="s">
        <v>451</v>
      </c>
      <c r="CW480" s="29" t="s">
        <v>9400</v>
      </c>
      <c r="CX480" s="29" t="s">
        <v>408</v>
      </c>
      <c r="CY480" s="29"/>
      <c r="CZ480" s="29" t="s">
        <v>453</v>
      </c>
      <c r="DA480" s="29" t="s">
        <v>9401</v>
      </c>
      <c r="DB480" s="29" t="s">
        <v>408</v>
      </c>
      <c r="DC480" s="29"/>
      <c r="DD480" s="29" t="s">
        <v>988</v>
      </c>
      <c r="DE480" s="29" t="s">
        <v>1368</v>
      </c>
      <c r="DF480" s="29" t="s">
        <v>9402</v>
      </c>
      <c r="DG480" s="29" t="s">
        <v>561</v>
      </c>
      <c r="DH480" s="29" t="s">
        <v>1220</v>
      </c>
      <c r="DI480" s="29" t="s">
        <v>459</v>
      </c>
      <c r="DJ480" s="29" t="s">
        <v>460</v>
      </c>
      <c r="DK480" s="29" t="s">
        <v>6335</v>
      </c>
      <c r="DL480" s="29"/>
      <c r="DM480" s="29" t="s">
        <v>9403</v>
      </c>
      <c r="DN480" s="29" t="s">
        <v>9404</v>
      </c>
      <c r="DO480" s="29" t="s">
        <v>567</v>
      </c>
      <c r="DP480" s="29" t="s">
        <v>9405</v>
      </c>
      <c r="DQ480" s="29" t="s">
        <v>1291</v>
      </c>
      <c r="DR480" s="29" t="s">
        <v>9406</v>
      </c>
      <c r="DS480" s="29" t="s">
        <v>702</v>
      </c>
      <c r="DT480" s="29" t="s">
        <v>740</v>
      </c>
      <c r="DU480" s="29" t="s">
        <v>9407</v>
      </c>
      <c r="DV480" s="29" t="s">
        <v>9408</v>
      </c>
      <c r="DW480" s="29" t="s">
        <v>573</v>
      </c>
      <c r="DX480" s="29" t="s">
        <v>9409</v>
      </c>
      <c r="DY480" s="29" t="s">
        <v>9410</v>
      </c>
      <c r="DZ480" s="29" t="s">
        <v>9411</v>
      </c>
      <c r="EA480" s="29" t="s">
        <v>475</v>
      </c>
      <c r="EB480" s="29" t="s">
        <v>5337</v>
      </c>
      <c r="EC480" s="29" t="s">
        <v>9412</v>
      </c>
      <c r="ED480" s="29"/>
      <c r="EE480" s="29"/>
      <c r="EF480" s="29"/>
      <c r="EG480" s="29"/>
      <c r="EH480" s="29"/>
      <c r="EI480" s="29"/>
      <c r="EJ480" s="29"/>
      <c r="EK480" s="29"/>
      <c r="EL480" s="29"/>
      <c r="EM480" s="29"/>
      <c r="EN480" s="29"/>
      <c r="EO480" s="29"/>
      <c r="EP480" s="29"/>
      <c r="EQ480" s="29"/>
      <c r="ER480" s="29"/>
      <c r="ES480" s="29"/>
      <c r="ET480" s="29" t="s">
        <v>526</v>
      </c>
      <c r="EU480" s="29" t="s">
        <v>479</v>
      </c>
      <c r="EV480" s="29" t="s">
        <v>480</v>
      </c>
      <c r="EW480" s="29"/>
      <c r="EX480" s="29" t="s">
        <v>9413</v>
      </c>
      <c r="EY480" s="29" t="s">
        <v>9414</v>
      </c>
      <c r="EZ480" s="29" t="s">
        <v>413</v>
      </c>
      <c r="FA480" s="29" t="s">
        <v>413</v>
      </c>
      <c r="FB480" s="29" t="s">
        <v>416</v>
      </c>
      <c r="FC480" s="29" t="s">
        <v>416</v>
      </c>
      <c r="FD480" s="29" t="s">
        <v>415</v>
      </c>
      <c r="FE480" s="29" t="s">
        <v>413</v>
      </c>
      <c r="FF480" s="29" t="s">
        <v>415</v>
      </c>
      <c r="FG480" s="29" t="s">
        <v>416</v>
      </c>
      <c r="FH480" s="29" t="s">
        <v>583</v>
      </c>
      <c r="FI480" s="29" t="s">
        <v>413</v>
      </c>
      <c r="FJ480" s="29" t="s">
        <v>416</v>
      </c>
      <c r="FK480" s="29" t="s">
        <v>416</v>
      </c>
      <c r="FL480" s="29" t="s">
        <v>416</v>
      </c>
      <c r="FM480" s="29" t="s">
        <v>415</v>
      </c>
      <c r="FN480" s="29" t="s">
        <v>413</v>
      </c>
      <c r="FO480" s="29" t="s">
        <v>417</v>
      </c>
      <c r="FP480" s="29" t="s">
        <v>418</v>
      </c>
      <c r="FQ480" s="29" t="s">
        <v>419</v>
      </c>
      <c r="FR480" s="29" t="s">
        <v>9415</v>
      </c>
      <c r="FS480" s="29" t="s">
        <v>420</v>
      </c>
      <c r="FT480" s="29" t="s">
        <v>488</v>
      </c>
      <c r="FU480" s="29" t="s">
        <v>489</v>
      </c>
      <c r="FV480" s="29" t="s">
        <v>490</v>
      </c>
      <c r="FW480" s="29" t="s">
        <v>491</v>
      </c>
      <c r="FX480" s="29" t="s">
        <v>9416</v>
      </c>
      <c r="FY480" s="29" t="s">
        <v>1020</v>
      </c>
      <c r="FZ480" s="29" t="s">
        <v>9417</v>
      </c>
      <c r="GA480" s="29"/>
      <c r="GB480" s="29" t="s">
        <v>455</v>
      </c>
      <c r="GC480" s="29"/>
      <c r="GD480" s="29"/>
      <c r="GE480" s="29" t="s">
        <v>1339</v>
      </c>
      <c r="GF480" s="29" t="s">
        <v>9418</v>
      </c>
      <c r="GG480" s="29" t="s">
        <v>1000</v>
      </c>
      <c r="GH480" s="29" t="s">
        <v>755</v>
      </c>
      <c r="GI480" s="29" t="s">
        <v>946</v>
      </c>
      <c r="GJ480" s="29"/>
      <c r="GK480" s="29"/>
      <c r="GL480" s="29"/>
      <c r="GM480" s="29" t="s">
        <v>1079</v>
      </c>
      <c r="GN480" s="29"/>
      <c r="GO480" s="29"/>
      <c r="GP480" s="29"/>
      <c r="GQ480" s="29" t="s">
        <v>3208</v>
      </c>
      <c r="GR480" s="29"/>
      <c r="GS480" s="29"/>
      <c r="GT480" s="29" t="s">
        <v>5081</v>
      </c>
      <c r="GU480" s="29" t="s">
        <v>9419</v>
      </c>
      <c r="HP480" s="31"/>
      <c r="MX480" s="29" t="s">
        <v>538</v>
      </c>
      <c r="MY480" s="29" t="str">
        <f>IFERROR(__xludf.DUMMYFUNCTION("""COMPUTED_VALUE"""),"United Kingdom")</f>
        <v>United Kingdom</v>
      </c>
    </row>
    <row r="481" ht="16.5" customHeight="1">
      <c r="A481" s="33">
        <v>46119.198328576385</v>
      </c>
      <c r="B481" s="29" t="s">
        <v>368</v>
      </c>
      <c r="C481" s="29" t="s">
        <v>538</v>
      </c>
      <c r="D481" s="29" t="s">
        <v>538</v>
      </c>
      <c r="E481" s="29"/>
      <c r="F481" s="29"/>
      <c r="G481" s="29" t="s">
        <v>422</v>
      </c>
      <c r="H481" s="29" t="s">
        <v>539</v>
      </c>
      <c r="I481" s="29" t="s">
        <v>424</v>
      </c>
      <c r="J481" s="29" t="s">
        <v>375</v>
      </c>
      <c r="K481" s="29" t="s">
        <v>376</v>
      </c>
      <c r="L481" s="29" t="s">
        <v>379</v>
      </c>
      <c r="M481" s="29" t="s">
        <v>541</v>
      </c>
      <c r="N481" s="29" t="s">
        <v>377</v>
      </c>
      <c r="O481" s="29" t="s">
        <v>719</v>
      </c>
      <c r="P481" s="29" t="s">
        <v>592</v>
      </c>
      <c r="Q481" s="29" t="s">
        <v>759</v>
      </c>
      <c r="R481" s="29" t="s">
        <v>500</v>
      </c>
      <c r="S481" s="29" t="s">
        <v>384</v>
      </c>
      <c r="T481" s="29" t="s">
        <v>385</v>
      </c>
      <c r="U481" s="29"/>
      <c r="V481" s="29"/>
      <c r="W481" s="29" t="s">
        <v>3014</v>
      </c>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t="s">
        <v>504</v>
      </c>
      <c r="AW481" s="29" t="s">
        <v>391</v>
      </c>
      <c r="AX481" s="29" t="s">
        <v>429</v>
      </c>
      <c r="AY481" s="29" t="s">
        <v>391</v>
      </c>
      <c r="AZ481" s="29" t="s">
        <v>429</v>
      </c>
      <c r="BA481" s="29">
        <v>2.0</v>
      </c>
      <c r="BB481" s="29">
        <v>2.0</v>
      </c>
      <c r="BC481" s="29" t="s">
        <v>9423</v>
      </c>
      <c r="BD481" s="29" t="s">
        <v>9424</v>
      </c>
      <c r="BE481" s="29" t="s">
        <v>432</v>
      </c>
      <c r="BF481" s="29" t="s">
        <v>433</v>
      </c>
      <c r="BG481" s="29" t="s">
        <v>725</v>
      </c>
      <c r="BH481" s="29"/>
      <c r="BI481" s="29" t="s">
        <v>435</v>
      </c>
      <c r="BJ481" s="29" t="s">
        <v>9425</v>
      </c>
      <c r="BK481" s="29" t="s">
        <v>511</v>
      </c>
      <c r="BL481" s="29" t="s">
        <v>512</v>
      </c>
      <c r="BM481" s="29" t="s">
        <v>439</v>
      </c>
      <c r="BN481" s="29" t="s">
        <v>513</v>
      </c>
      <c r="BO481" s="29"/>
      <c r="BP481" s="29"/>
      <c r="BQ481" s="29"/>
      <c r="BR481" s="29"/>
      <c r="BS481" s="29"/>
      <c r="BT481" s="29"/>
      <c r="BU481" s="29"/>
      <c r="BV481" s="29"/>
      <c r="BW481" s="29"/>
      <c r="BX481" s="29"/>
      <c r="BY481" s="29"/>
      <c r="BZ481" s="29"/>
      <c r="CA481" s="29"/>
      <c r="CB481" s="29"/>
      <c r="CC481" s="29"/>
      <c r="CD481" s="29"/>
      <c r="CE481" s="29"/>
      <c r="CF481" s="29"/>
      <c r="CG481" s="29"/>
      <c r="CH481" s="29"/>
      <c r="CI481" s="29"/>
      <c r="CJ481" s="29"/>
      <c r="CK481" s="29"/>
      <c r="CL481" s="29" t="s">
        <v>441</v>
      </c>
      <c r="CM481" s="29" t="s">
        <v>604</v>
      </c>
      <c r="CN481" s="29" t="s">
        <v>9426</v>
      </c>
      <c r="CO481" s="29" t="s">
        <v>9427</v>
      </c>
      <c r="CP481" s="29" t="s">
        <v>685</v>
      </c>
      <c r="CQ481" s="29" t="s">
        <v>9428</v>
      </c>
      <c r="CR481" s="29" t="s">
        <v>804</v>
      </c>
      <c r="CS481" s="29" t="s">
        <v>1346</v>
      </c>
      <c r="CT481" s="29" t="s">
        <v>9429</v>
      </c>
      <c r="CU481" s="29" t="s">
        <v>450</v>
      </c>
      <c r="CV481" s="29" t="s">
        <v>451</v>
      </c>
      <c r="CW481" s="29" t="s">
        <v>9430</v>
      </c>
      <c r="CX481" s="29" t="s">
        <v>408</v>
      </c>
      <c r="CY481" s="29"/>
      <c r="CZ481" s="29" t="s">
        <v>453</v>
      </c>
      <c r="DA481" s="29" t="s">
        <v>9431</v>
      </c>
      <c r="DB481" s="29" t="s">
        <v>408</v>
      </c>
      <c r="DC481" s="29"/>
      <c r="DD481" s="29" t="s">
        <v>457</v>
      </c>
      <c r="DE481" s="29"/>
      <c r="DF481" s="29" t="s">
        <v>9432</v>
      </c>
      <c r="DG481" s="29" t="s">
        <v>524</v>
      </c>
      <c r="DH481" s="29" t="s">
        <v>410</v>
      </c>
      <c r="DI481" s="29" t="s">
        <v>963</v>
      </c>
      <c r="DJ481" s="29" t="s">
        <v>613</v>
      </c>
      <c r="DK481" s="29"/>
      <c r="DL481" s="29"/>
      <c r="DM481" s="29"/>
      <c r="DN481" s="29"/>
      <c r="DO481" s="29"/>
      <c r="DP481" s="29"/>
      <c r="DQ481" s="29"/>
      <c r="DR481" s="29"/>
      <c r="DS481" s="29"/>
      <c r="DT481" s="29"/>
      <c r="DU481" s="29"/>
      <c r="DV481" s="29"/>
      <c r="DW481" s="29"/>
      <c r="DX481" s="29"/>
      <c r="DY481" s="29"/>
      <c r="DZ481" s="29"/>
      <c r="EA481" s="29"/>
      <c r="EB481" s="29"/>
      <c r="EC481" s="29"/>
      <c r="ED481" s="29"/>
      <c r="EE481" s="29"/>
      <c r="EF481" s="29"/>
      <c r="EG481" s="29"/>
      <c r="EH481" s="29"/>
      <c r="EI481" s="29"/>
      <c r="EJ481" s="29"/>
      <c r="EK481" s="29"/>
      <c r="EL481" s="29"/>
      <c r="EM481" s="29"/>
      <c r="EN481" s="29"/>
      <c r="EO481" s="29"/>
      <c r="EP481" s="29"/>
      <c r="EQ481" s="29"/>
      <c r="ER481" s="29"/>
      <c r="ES481" s="29"/>
      <c r="ET481" s="29" t="s">
        <v>578</v>
      </c>
      <c r="EU481" s="29" t="s">
        <v>579</v>
      </c>
      <c r="EV481" s="29" t="s">
        <v>580</v>
      </c>
      <c r="EW481" s="29"/>
      <c r="EX481" s="29" t="s">
        <v>9433</v>
      </c>
      <c r="EY481" s="29" t="s">
        <v>9434</v>
      </c>
      <c r="EZ481" s="29" t="s">
        <v>413</v>
      </c>
      <c r="FA481" s="29" t="s">
        <v>416</v>
      </c>
      <c r="FB481" s="29" t="s">
        <v>413</v>
      </c>
      <c r="FC481" s="29" t="s">
        <v>413</v>
      </c>
      <c r="FD481" s="29" t="s">
        <v>413</v>
      </c>
      <c r="FE481" s="29" t="s">
        <v>416</v>
      </c>
      <c r="FF481" s="29" t="s">
        <v>413</v>
      </c>
      <c r="FG481" s="29" t="s">
        <v>413</v>
      </c>
      <c r="FH481" s="29" t="s">
        <v>413</v>
      </c>
      <c r="FI481" s="29" t="s">
        <v>413</v>
      </c>
      <c r="FJ481" s="29" t="s">
        <v>413</v>
      </c>
      <c r="FK481" s="29" t="s">
        <v>415</v>
      </c>
      <c r="FL481" s="29" t="s">
        <v>415</v>
      </c>
      <c r="FM481" s="29" t="s">
        <v>415</v>
      </c>
      <c r="FN481" s="29" t="s">
        <v>415</v>
      </c>
      <c r="FO481" s="29" t="s">
        <v>485</v>
      </c>
      <c r="FP481" s="29" t="s">
        <v>418</v>
      </c>
      <c r="FQ481" s="29" t="s">
        <v>531</v>
      </c>
      <c r="FR481" s="29" t="s">
        <v>9435</v>
      </c>
      <c r="FS481" s="29" t="s">
        <v>420</v>
      </c>
      <c r="FT481" s="29" t="s">
        <v>488</v>
      </c>
      <c r="FU481" s="29" t="s">
        <v>1235</v>
      </c>
      <c r="FV481" s="29" t="s">
        <v>490</v>
      </c>
      <c r="FW481" s="29" t="s">
        <v>491</v>
      </c>
      <c r="FX481" s="29" t="s">
        <v>9436</v>
      </c>
      <c r="FY481" s="29" t="s">
        <v>535</v>
      </c>
      <c r="FZ481" s="29"/>
      <c r="GA481" s="29"/>
      <c r="GB481" s="29" t="s">
        <v>408</v>
      </c>
      <c r="GC481" s="29"/>
      <c r="GD481" s="29"/>
      <c r="GE481" s="29"/>
      <c r="GF481" s="29"/>
      <c r="GG481" s="29" t="s">
        <v>788</v>
      </c>
      <c r="GH481" s="29" t="s">
        <v>1000</v>
      </c>
      <c r="GI481" s="29" t="s">
        <v>756</v>
      </c>
      <c r="GJ481" s="29"/>
      <c r="GK481" s="29"/>
      <c r="GL481" s="29"/>
      <c r="GM481" s="29"/>
      <c r="GN481" s="29" t="s">
        <v>5368</v>
      </c>
      <c r="GO481" s="29" t="s">
        <v>5368</v>
      </c>
      <c r="GP481" s="29"/>
      <c r="GQ481" s="29" t="s">
        <v>3208</v>
      </c>
      <c r="GR481" s="29"/>
      <c r="GS481" s="29"/>
      <c r="GT481" s="29" t="s">
        <v>4774</v>
      </c>
      <c r="GU481" s="29"/>
      <c r="HP481" s="31"/>
      <c r="MX481" s="29" t="s">
        <v>10402</v>
      </c>
      <c r="MY481" s="29" t="str">
        <f>IFERROR(__xludf.DUMMYFUNCTION("""COMPUTED_VALUE"""),"Texas")</f>
        <v>Texas</v>
      </c>
    </row>
    <row r="482" ht="16.5" customHeight="1">
      <c r="A482" s="33">
        <v>46119.33508711806</v>
      </c>
      <c r="B482" s="29" t="s">
        <v>368</v>
      </c>
      <c r="C482" s="29" t="s">
        <v>370</v>
      </c>
      <c r="D482" s="29" t="s">
        <v>370</v>
      </c>
      <c r="E482" s="29" t="s">
        <v>1510</v>
      </c>
      <c r="F482" s="29" t="s">
        <v>1510</v>
      </c>
      <c r="G482" s="29" t="s">
        <v>422</v>
      </c>
      <c r="H482" s="29" t="s">
        <v>539</v>
      </c>
      <c r="I482" s="29" t="s">
        <v>424</v>
      </c>
      <c r="J482" s="29" t="s">
        <v>375</v>
      </c>
      <c r="K482" s="29" t="s">
        <v>376</v>
      </c>
      <c r="L482" s="29" t="s">
        <v>426</v>
      </c>
      <c r="M482" s="29" t="s">
        <v>497</v>
      </c>
      <c r="N482" s="29" t="s">
        <v>426</v>
      </c>
      <c r="O482" s="29" t="s">
        <v>719</v>
      </c>
      <c r="P482" s="29" t="s">
        <v>592</v>
      </c>
      <c r="Q482" s="29" t="s">
        <v>382</v>
      </c>
      <c r="R482" s="29" t="s">
        <v>427</v>
      </c>
      <c r="S482" s="29" t="s">
        <v>384</v>
      </c>
      <c r="T482" s="29" t="s">
        <v>385</v>
      </c>
      <c r="U482" s="29"/>
      <c r="V482" s="29"/>
      <c r="W482" s="29" t="s">
        <v>3231</v>
      </c>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t="s">
        <v>597</v>
      </c>
      <c r="AW482" s="29">
        <v>4.0</v>
      </c>
      <c r="AX482" s="29" t="s">
        <v>391</v>
      </c>
      <c r="AY482" s="29">
        <v>2.0</v>
      </c>
      <c r="AZ482" s="29">
        <v>2.0</v>
      </c>
      <c r="BA482" s="29" t="s">
        <v>429</v>
      </c>
      <c r="BB482" s="29">
        <v>2.0</v>
      </c>
      <c r="BC482" s="29" t="s">
        <v>9437</v>
      </c>
      <c r="BD482" s="29" t="s">
        <v>9438</v>
      </c>
      <c r="BE482" s="29" t="s">
        <v>432</v>
      </c>
      <c r="BF482" s="29" t="s">
        <v>393</v>
      </c>
      <c r="BG482" s="29" t="s">
        <v>678</v>
      </c>
      <c r="BH482" s="29"/>
      <c r="BI482" s="29" t="s">
        <v>435</v>
      </c>
      <c r="BJ482" s="29" t="s">
        <v>9439</v>
      </c>
      <c r="BK482" s="29" t="s">
        <v>395</v>
      </c>
      <c r="BL482" s="29" t="s">
        <v>512</v>
      </c>
      <c r="BM482" s="29" t="s">
        <v>397</v>
      </c>
      <c r="BN482" s="29" t="s">
        <v>513</v>
      </c>
      <c r="BO482" s="29"/>
      <c r="BP482" s="29"/>
      <c r="BQ482" s="29"/>
      <c r="BR482" s="29"/>
      <c r="BS482" s="29"/>
      <c r="BT482" s="29"/>
      <c r="BU482" s="29"/>
      <c r="BV482" s="29"/>
      <c r="BW482" s="29"/>
      <c r="BX482" s="29"/>
      <c r="BY482" s="29"/>
      <c r="BZ482" s="29"/>
      <c r="CA482" s="29"/>
      <c r="CB482" s="29"/>
      <c r="CC482" s="29"/>
      <c r="CD482" s="29"/>
      <c r="CE482" s="29"/>
      <c r="CF482" s="29"/>
      <c r="CG482" s="29"/>
      <c r="CH482" s="29"/>
      <c r="CI482" s="29"/>
      <c r="CJ482" s="29"/>
      <c r="CK482" s="29"/>
      <c r="CL482" s="29" t="s">
        <v>953</v>
      </c>
      <c r="CM482" s="29" t="s">
        <v>401</v>
      </c>
      <c r="CN482" s="29" t="s">
        <v>552</v>
      </c>
      <c r="CO482" s="29" t="s">
        <v>9440</v>
      </c>
      <c r="CP482" s="29"/>
      <c r="CQ482" s="29"/>
      <c r="CR482" s="29"/>
      <c r="CS482" s="29"/>
      <c r="CT482" s="29" t="s">
        <v>9441</v>
      </c>
      <c r="CU482" s="29" t="s">
        <v>519</v>
      </c>
      <c r="CV482" s="29" t="s">
        <v>451</v>
      </c>
      <c r="CW482" s="29" t="s">
        <v>9442</v>
      </c>
      <c r="CX482" s="29" t="s">
        <v>733</v>
      </c>
      <c r="CY482" s="29"/>
      <c r="CZ482" s="29" t="s">
        <v>453</v>
      </c>
      <c r="DA482" s="29" t="s">
        <v>9443</v>
      </c>
      <c r="DB482" s="29" t="s">
        <v>408</v>
      </c>
      <c r="DC482" s="29"/>
      <c r="DD482" s="29"/>
      <c r="DE482" s="29"/>
      <c r="DF482" s="29"/>
      <c r="DG482" s="29" t="s">
        <v>561</v>
      </c>
      <c r="DH482" s="29" t="s">
        <v>410</v>
      </c>
      <c r="DI482" s="29" t="s">
        <v>963</v>
      </c>
      <c r="DJ482" s="29" t="s">
        <v>460</v>
      </c>
      <c r="DK482" s="29" t="s">
        <v>6335</v>
      </c>
      <c r="DL482" s="29"/>
      <c r="DM482" s="29"/>
      <c r="DN482" s="29"/>
      <c r="DO482" s="29"/>
      <c r="DP482" s="29"/>
      <c r="DQ482" s="29"/>
      <c r="DR482" s="29"/>
      <c r="DS482" s="29"/>
      <c r="DT482" s="29"/>
      <c r="DU482" s="29"/>
      <c r="DV482" s="29"/>
      <c r="DW482" s="29"/>
      <c r="DX482" s="29"/>
      <c r="DY482" s="29"/>
      <c r="DZ482" s="29"/>
      <c r="EA482" s="29"/>
      <c r="EB482" s="29"/>
      <c r="EC482" s="29"/>
      <c r="ED482" s="29"/>
      <c r="EE482" s="29"/>
      <c r="EF482" s="29"/>
      <c r="EG482" s="29"/>
      <c r="EH482" s="29"/>
      <c r="EI482" s="29"/>
      <c r="EJ482" s="29"/>
      <c r="EK482" s="29"/>
      <c r="EL482" s="29"/>
      <c r="EM482" s="29"/>
      <c r="EN482" s="29"/>
      <c r="EO482" s="29"/>
      <c r="EP482" s="29"/>
      <c r="EQ482" s="29"/>
      <c r="ER482" s="29"/>
      <c r="ES482" s="29"/>
      <c r="ET482" s="29" t="s">
        <v>526</v>
      </c>
      <c r="EU482" s="29" t="s">
        <v>479</v>
      </c>
      <c r="EV482" s="29" t="s">
        <v>580</v>
      </c>
      <c r="EW482" s="29" t="s">
        <v>9444</v>
      </c>
      <c r="EX482" s="29" t="s">
        <v>9445</v>
      </c>
      <c r="EY482" s="29" t="s">
        <v>9446</v>
      </c>
      <c r="EZ482" s="29" t="s">
        <v>583</v>
      </c>
      <c r="FA482" s="29" t="s">
        <v>583</v>
      </c>
      <c r="FB482" s="29" t="s">
        <v>414</v>
      </c>
      <c r="FC482" s="29" t="s">
        <v>583</v>
      </c>
      <c r="FD482" s="29" t="s">
        <v>413</v>
      </c>
      <c r="FE482" s="29" t="s">
        <v>583</v>
      </c>
      <c r="FF482" s="29" t="s">
        <v>413</v>
      </c>
      <c r="FG482" s="29"/>
      <c r="FH482" s="29"/>
      <c r="FI482" s="29" t="s">
        <v>414</v>
      </c>
      <c r="FJ482" s="29"/>
      <c r="FK482" s="29"/>
      <c r="FL482" s="29" t="s">
        <v>484</v>
      </c>
      <c r="FM482" s="29" t="s">
        <v>413</v>
      </c>
      <c r="FN482" s="29"/>
      <c r="FO482" s="29" t="s">
        <v>485</v>
      </c>
      <c r="FP482" s="29" t="s">
        <v>418</v>
      </c>
      <c r="FQ482" s="29" t="s">
        <v>630</v>
      </c>
      <c r="FR482" s="29" t="s">
        <v>9447</v>
      </c>
      <c r="FS482" s="29" t="s">
        <v>420</v>
      </c>
      <c r="FT482" s="29" t="s">
        <v>488</v>
      </c>
      <c r="FU482" s="29" t="s">
        <v>533</v>
      </c>
      <c r="FV482" s="29" t="s">
        <v>490</v>
      </c>
      <c r="FW482" s="29" t="s">
        <v>491</v>
      </c>
      <c r="FX482" s="29" t="s">
        <v>9448</v>
      </c>
      <c r="FY482" s="29" t="s">
        <v>535</v>
      </c>
      <c r="FZ482" s="29"/>
      <c r="GA482" s="29"/>
      <c r="GB482" s="29" t="s">
        <v>455</v>
      </c>
      <c r="GC482" s="29"/>
      <c r="GD482" s="29"/>
      <c r="GE482" s="29" t="s">
        <v>753</v>
      </c>
      <c r="GF482" s="29"/>
      <c r="GG482" s="29" t="s">
        <v>920</v>
      </c>
      <c r="GH482" s="29" t="s">
        <v>920</v>
      </c>
      <c r="GI482" s="29" t="s">
        <v>756</v>
      </c>
      <c r="GJ482" s="29"/>
      <c r="GK482" s="29"/>
      <c r="GL482" s="29"/>
      <c r="GM482" s="29"/>
      <c r="GN482" s="29"/>
      <c r="GO482" s="29"/>
      <c r="GP482" s="29" t="s">
        <v>387</v>
      </c>
      <c r="GQ482" s="29" t="s">
        <v>3208</v>
      </c>
      <c r="GR482" s="29"/>
      <c r="GS482" s="29"/>
      <c r="GT482" s="29" t="s">
        <v>5170</v>
      </c>
      <c r="GU482" s="29"/>
      <c r="HP482" s="31"/>
      <c r="MX482" s="29" t="s">
        <v>894</v>
      </c>
      <c r="MY482" s="29" t="str">
        <f>IFERROR(__xludf.DUMMYFUNCTION("""COMPUTED_VALUE"""),"Ontario")</f>
        <v>Ontario</v>
      </c>
    </row>
    <row r="483" ht="16.5" customHeight="1">
      <c r="A483" s="33">
        <v>46119.630449895834</v>
      </c>
      <c r="B483" s="29" t="s">
        <v>368</v>
      </c>
      <c r="C483" s="29" t="s">
        <v>894</v>
      </c>
      <c r="D483" s="29" t="s">
        <v>894</v>
      </c>
      <c r="E483" s="29"/>
      <c r="F483" s="29"/>
      <c r="G483" s="29" t="s">
        <v>422</v>
      </c>
      <c r="H483" s="29" t="s">
        <v>637</v>
      </c>
      <c r="I483" s="29" t="s">
        <v>638</v>
      </c>
      <c r="J483" s="29" t="s">
        <v>590</v>
      </c>
      <c r="K483" s="29" t="s">
        <v>376</v>
      </c>
      <c r="L483" s="29" t="s">
        <v>793</v>
      </c>
      <c r="M483" s="29" t="s">
        <v>639</v>
      </c>
      <c r="N483" s="29" t="s">
        <v>591</v>
      </c>
      <c r="O483" s="29" t="s">
        <v>671</v>
      </c>
      <c r="P483" s="29" t="s">
        <v>592</v>
      </c>
      <c r="Q483" s="29" t="s">
        <v>759</v>
      </c>
      <c r="R483" s="29" t="s">
        <v>500</v>
      </c>
      <c r="S483" s="29" t="s">
        <v>384</v>
      </c>
      <c r="T483" s="29" t="s">
        <v>385</v>
      </c>
      <c r="U483" s="29" t="s">
        <v>896</v>
      </c>
      <c r="V483" s="29" t="s">
        <v>896</v>
      </c>
      <c r="W483" s="29" t="s">
        <v>386</v>
      </c>
      <c r="X483" s="29" t="s">
        <v>1706</v>
      </c>
      <c r="Y483" s="29"/>
      <c r="Z483" s="29"/>
      <c r="AA483" s="29"/>
      <c r="AB483" s="29"/>
      <c r="AC483" s="29" t="s">
        <v>2967</v>
      </c>
      <c r="AD483" s="29" t="s">
        <v>2968</v>
      </c>
      <c r="AE483" s="29" t="s">
        <v>455</v>
      </c>
      <c r="AF483" s="29" t="s">
        <v>9450</v>
      </c>
      <c r="AG483" s="29">
        <v>5.0</v>
      </c>
      <c r="AH483" s="29" t="s">
        <v>647</v>
      </c>
      <c r="AI483" s="29"/>
      <c r="AJ483" s="29"/>
      <c r="AK483" s="29" t="s">
        <v>396</v>
      </c>
      <c r="AL483" s="29"/>
      <c r="AM483" s="29"/>
      <c r="AN483" s="29"/>
      <c r="AO483" s="29"/>
      <c r="AP483" s="29"/>
      <c r="AQ483" s="29"/>
      <c r="AR483" s="29"/>
      <c r="AS483" s="29"/>
      <c r="AT483" s="29"/>
      <c r="AU483" s="29"/>
      <c r="AV483" s="29" t="s">
        <v>390</v>
      </c>
      <c r="AW483" s="29">
        <v>2.0</v>
      </c>
      <c r="AX483" s="29" t="s">
        <v>429</v>
      </c>
      <c r="AY483" s="29" t="s">
        <v>391</v>
      </c>
      <c r="AZ483" s="29" t="s">
        <v>429</v>
      </c>
      <c r="BA483" s="29" t="s">
        <v>429</v>
      </c>
      <c r="BB483" s="29" t="s">
        <v>429</v>
      </c>
      <c r="BC483" s="29" t="s">
        <v>9451</v>
      </c>
      <c r="BD483" s="29" t="s">
        <v>9451</v>
      </c>
      <c r="BE483" s="29" t="s">
        <v>392</v>
      </c>
      <c r="BF483" s="29" t="s">
        <v>433</v>
      </c>
      <c r="BG483" s="29" t="s">
        <v>394</v>
      </c>
      <c r="BH483" s="29" t="s">
        <v>9451</v>
      </c>
      <c r="BI483" s="29" t="s">
        <v>509</v>
      </c>
      <c r="BJ483" s="29" t="s">
        <v>9451</v>
      </c>
      <c r="BK483" s="29" t="s">
        <v>681</v>
      </c>
      <c r="BL483" s="29" t="s">
        <v>512</v>
      </c>
      <c r="BM483" s="29" t="s">
        <v>439</v>
      </c>
      <c r="BN483" s="29" t="s">
        <v>440</v>
      </c>
      <c r="BO483" s="29"/>
      <c r="BP483" s="29"/>
      <c r="BQ483" s="29"/>
      <c r="BR483" s="29"/>
      <c r="BS483" s="29"/>
      <c r="BT483" s="29"/>
      <c r="BU483" s="29"/>
      <c r="BV483" s="29"/>
      <c r="BW483" s="29"/>
      <c r="BX483" s="29"/>
      <c r="BY483" s="29"/>
      <c r="BZ483" s="29"/>
      <c r="CA483" s="29"/>
      <c r="CB483" s="29"/>
      <c r="CC483" s="29"/>
      <c r="CD483" s="29"/>
      <c r="CE483" s="29"/>
      <c r="CF483" s="29"/>
      <c r="CG483" s="29"/>
      <c r="CH483" s="29"/>
      <c r="CI483" s="29"/>
      <c r="CJ483" s="29"/>
      <c r="CK483" s="29"/>
      <c r="CL483" s="29" t="s">
        <v>441</v>
      </c>
      <c r="CM483" s="29" t="s">
        <v>401</v>
      </c>
      <c r="CN483" s="29" t="s">
        <v>9452</v>
      </c>
      <c r="CO483" s="29"/>
      <c r="CP483" s="29" t="s">
        <v>979</v>
      </c>
      <c r="CQ483" s="29" t="s">
        <v>9453</v>
      </c>
      <c r="CR483" s="29" t="s">
        <v>447</v>
      </c>
      <c r="CS483" s="29" t="s">
        <v>1147</v>
      </c>
      <c r="CT483" s="29"/>
      <c r="CU483" s="29" t="s">
        <v>519</v>
      </c>
      <c r="CV483" s="29" t="s">
        <v>451</v>
      </c>
      <c r="CW483" s="29"/>
      <c r="CX483" s="29" t="s">
        <v>408</v>
      </c>
      <c r="CY483" s="29"/>
      <c r="CZ483" s="29" t="s">
        <v>453</v>
      </c>
      <c r="DA483" s="29"/>
      <c r="DB483" s="29" t="s">
        <v>455</v>
      </c>
      <c r="DC483" s="29"/>
      <c r="DD483" s="29" t="s">
        <v>988</v>
      </c>
      <c r="DE483" s="29"/>
      <c r="DF483" s="29"/>
      <c r="DG483" s="29" t="s">
        <v>561</v>
      </c>
      <c r="DH483" s="29" t="s">
        <v>833</v>
      </c>
      <c r="DI483" s="29" t="s">
        <v>459</v>
      </c>
      <c r="DJ483" s="29" t="s">
        <v>460</v>
      </c>
      <c r="DK483" s="29" t="s">
        <v>6335</v>
      </c>
      <c r="DL483" s="29"/>
      <c r="DM483" s="29" t="s">
        <v>9454</v>
      </c>
      <c r="DN483" s="29" t="s">
        <v>9455</v>
      </c>
      <c r="DO483" s="29" t="s">
        <v>464</v>
      </c>
      <c r="DP483" s="29"/>
      <c r="DQ483" s="29" t="s">
        <v>700</v>
      </c>
      <c r="DR483" s="29"/>
      <c r="DS483" s="29" t="s">
        <v>702</v>
      </c>
      <c r="DT483" s="29" t="s">
        <v>3611</v>
      </c>
      <c r="DU483" s="29"/>
      <c r="DV483" s="29"/>
      <c r="DW483" s="29" t="s">
        <v>573</v>
      </c>
      <c r="DX483" s="29"/>
      <c r="DY483" s="29"/>
      <c r="DZ483" s="29"/>
      <c r="EA483" s="29" t="s">
        <v>475</v>
      </c>
      <c r="EB483" s="29" t="s">
        <v>476</v>
      </c>
      <c r="EC483" s="29"/>
      <c r="ED483" s="29"/>
      <c r="EE483" s="29"/>
      <c r="EF483" s="29"/>
      <c r="EG483" s="29"/>
      <c r="EH483" s="29"/>
      <c r="EI483" s="29"/>
      <c r="EJ483" s="29"/>
      <c r="EK483" s="29"/>
      <c r="EL483" s="29"/>
      <c r="EM483" s="29"/>
      <c r="EN483" s="29"/>
      <c r="EO483" s="29"/>
      <c r="EP483" s="29"/>
      <c r="EQ483" s="29"/>
      <c r="ER483" s="29"/>
      <c r="ES483" s="29"/>
      <c r="ET483" s="29" t="s">
        <v>526</v>
      </c>
      <c r="EU483" s="29" t="s">
        <v>479</v>
      </c>
      <c r="EV483" s="29" t="s">
        <v>1534</v>
      </c>
      <c r="EW483" s="29"/>
      <c r="EX483" s="29"/>
      <c r="EY483" s="29"/>
      <c r="EZ483" s="29" t="s">
        <v>413</v>
      </c>
      <c r="FA483" s="29" t="s">
        <v>414</v>
      </c>
      <c r="FB483" s="29" t="s">
        <v>413</v>
      </c>
      <c r="FC483" s="29" t="s">
        <v>413</v>
      </c>
      <c r="FD483" s="29" t="s">
        <v>413</v>
      </c>
      <c r="FE483" s="29" t="s">
        <v>413</v>
      </c>
      <c r="FF483" s="29" t="s">
        <v>413</v>
      </c>
      <c r="FG483" s="29" t="s">
        <v>413</v>
      </c>
      <c r="FH483" s="29" t="s">
        <v>413</v>
      </c>
      <c r="FI483" s="29" t="s">
        <v>414</v>
      </c>
      <c r="FJ483" s="29" t="s">
        <v>413</v>
      </c>
      <c r="FK483" s="29" t="s">
        <v>413</v>
      </c>
      <c r="FL483" s="29" t="s">
        <v>413</v>
      </c>
      <c r="FM483" s="29" t="s">
        <v>415</v>
      </c>
      <c r="FN483" s="29" t="s">
        <v>414</v>
      </c>
      <c r="FO483" s="29" t="s">
        <v>417</v>
      </c>
      <c r="FP483" s="29" t="s">
        <v>418</v>
      </c>
      <c r="FQ483" s="29" t="s">
        <v>749</v>
      </c>
      <c r="FR483" s="29"/>
      <c r="FS483" s="29" t="s">
        <v>420</v>
      </c>
      <c r="FT483" s="29" t="s">
        <v>488</v>
      </c>
      <c r="FU483" s="29" t="s">
        <v>918</v>
      </c>
      <c r="FV483" s="29" t="s">
        <v>490</v>
      </c>
      <c r="FW483" s="29" t="s">
        <v>491</v>
      </c>
      <c r="FX483" s="29"/>
      <c r="FY483" s="29" t="s">
        <v>535</v>
      </c>
      <c r="FZ483" s="29"/>
      <c r="GA483" s="29"/>
      <c r="GB483" s="29" t="s">
        <v>408</v>
      </c>
      <c r="GC483" s="29"/>
      <c r="GD483" s="29"/>
      <c r="GE483" s="29"/>
      <c r="GF483" s="29"/>
      <c r="GG483" s="29" t="s">
        <v>755</v>
      </c>
      <c r="GH483" s="29" t="s">
        <v>755</v>
      </c>
      <c r="GI483" s="29" t="s">
        <v>946</v>
      </c>
      <c r="GJ483" s="29"/>
      <c r="GK483" s="29"/>
      <c r="GL483" s="29"/>
      <c r="GM483" s="29" t="s">
        <v>1079</v>
      </c>
      <c r="GN483" s="29"/>
      <c r="GO483" s="29"/>
      <c r="GP483" s="29"/>
      <c r="GQ483" s="29" t="s">
        <v>5015</v>
      </c>
      <c r="GR483" s="29"/>
      <c r="GS483" s="29"/>
      <c r="GT483" s="29" t="s">
        <v>5170</v>
      </c>
      <c r="GU483" s="29"/>
      <c r="HP483" s="31"/>
      <c r="MX483" s="29" t="s">
        <v>1201</v>
      </c>
      <c r="MY483" s="29" t="str">
        <f>IFERROR(__xludf.DUMMYFUNCTION("""COMPUTED_VALUE"""),"Australia")</f>
        <v>Australia</v>
      </c>
    </row>
    <row r="484" ht="16.5" customHeight="1">
      <c r="A484" s="33">
        <v>46119.99882837963</v>
      </c>
      <c r="B484" s="29" t="s">
        <v>368</v>
      </c>
      <c r="C484" s="29" t="s">
        <v>1201</v>
      </c>
      <c r="D484" s="29" t="s">
        <v>1201</v>
      </c>
      <c r="E484" s="29"/>
      <c r="F484" s="29"/>
      <c r="G484" s="29" t="s">
        <v>422</v>
      </c>
      <c r="H484" s="29" t="s">
        <v>423</v>
      </c>
      <c r="I484" s="29" t="s">
        <v>424</v>
      </c>
      <c r="J484" s="29" t="s">
        <v>375</v>
      </c>
      <c r="K484" s="29" t="s">
        <v>376</v>
      </c>
      <c r="L484" s="29" t="s">
        <v>591</v>
      </c>
      <c r="M484" s="29" t="s">
        <v>639</v>
      </c>
      <c r="N484" s="29" t="s">
        <v>426</v>
      </c>
      <c r="O484" s="29" t="s">
        <v>719</v>
      </c>
      <c r="P484" s="29" t="s">
        <v>498</v>
      </c>
      <c r="Q484" s="29" t="s">
        <v>382</v>
      </c>
      <c r="R484" s="29" t="s">
        <v>427</v>
      </c>
      <c r="S484" s="29" t="s">
        <v>384</v>
      </c>
      <c r="T484" s="29" t="s">
        <v>385</v>
      </c>
      <c r="U484" s="29"/>
      <c r="V484" s="29"/>
      <c r="W484" s="29" t="s">
        <v>3231</v>
      </c>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t="s">
        <v>1242</v>
      </c>
      <c r="AW484" s="29" t="s">
        <v>675</v>
      </c>
      <c r="AX484" s="29" t="s">
        <v>675</v>
      </c>
      <c r="AY484" s="29" t="s">
        <v>675</v>
      </c>
      <c r="AZ484" s="29" t="s">
        <v>675</v>
      </c>
      <c r="BA484" s="29" t="s">
        <v>675</v>
      </c>
      <c r="BB484" s="29" t="s">
        <v>675</v>
      </c>
      <c r="BC484" s="29"/>
      <c r="BD484" s="29"/>
      <c r="BE484" s="29" t="s">
        <v>902</v>
      </c>
      <c r="BF484" s="29" t="s">
        <v>1095</v>
      </c>
      <c r="BG484" s="29" t="s">
        <v>725</v>
      </c>
      <c r="BH484" s="29"/>
      <c r="BI484" s="29" t="s">
        <v>976</v>
      </c>
      <c r="BJ484" s="29"/>
      <c r="BK484" s="29" t="s">
        <v>602</v>
      </c>
      <c r="BL484" s="29" t="s">
        <v>438</v>
      </c>
      <c r="BM484" s="29" t="s">
        <v>1247</v>
      </c>
      <c r="BN484" s="29" t="s">
        <v>398</v>
      </c>
      <c r="BO484" s="29" t="s">
        <v>9456</v>
      </c>
      <c r="BP484" s="29" t="s">
        <v>9457</v>
      </c>
      <c r="BQ484" s="29" t="s">
        <v>442</v>
      </c>
      <c r="BR484" s="29" t="s">
        <v>9458</v>
      </c>
      <c r="BS484" s="29" t="s">
        <v>1671</v>
      </c>
      <c r="BT484" s="29" t="s">
        <v>1771</v>
      </c>
      <c r="BU484" s="29" t="s">
        <v>405</v>
      </c>
      <c r="BV484" s="29"/>
      <c r="BW484" s="29" t="s">
        <v>988</v>
      </c>
      <c r="BX484" s="29"/>
      <c r="BY484" s="29" t="s">
        <v>408</v>
      </c>
      <c r="BZ484" s="29"/>
      <c r="CA484" s="29" t="s">
        <v>9459</v>
      </c>
      <c r="CB484" s="29" t="s">
        <v>9460</v>
      </c>
      <c r="CC484" s="29" t="s">
        <v>9461</v>
      </c>
      <c r="CD484" s="29" t="s">
        <v>409</v>
      </c>
      <c r="CE484" s="29" t="s">
        <v>9462</v>
      </c>
      <c r="CF484" s="29" t="s">
        <v>1258</v>
      </c>
      <c r="CG484" s="29"/>
      <c r="CH484" s="29" t="s">
        <v>1259</v>
      </c>
      <c r="CI484" s="29" t="s">
        <v>410</v>
      </c>
      <c r="CJ484" s="29" t="s">
        <v>9463</v>
      </c>
      <c r="CK484" s="29" t="s">
        <v>9464</v>
      </c>
      <c r="CL484" s="29"/>
      <c r="CM484" s="29"/>
      <c r="CN484" s="29"/>
      <c r="CO484" s="29"/>
      <c r="CP484" s="29"/>
      <c r="CQ484" s="29"/>
      <c r="CR484" s="29"/>
      <c r="CS484" s="29"/>
      <c r="CT484" s="29"/>
      <c r="CU484" s="29"/>
      <c r="CV484" s="29"/>
      <c r="CW484" s="29"/>
      <c r="CX484" s="29"/>
      <c r="CY484" s="29"/>
      <c r="CZ484" s="29"/>
      <c r="DA484" s="29"/>
      <c r="DB484" s="29"/>
      <c r="DC484" s="29"/>
      <c r="DD484" s="29"/>
      <c r="DE484" s="29"/>
      <c r="DF484" s="29"/>
      <c r="DG484" s="29"/>
      <c r="DH484" s="29"/>
      <c r="DI484" s="29" t="s">
        <v>963</v>
      </c>
      <c r="DJ484" s="29" t="s">
        <v>613</v>
      </c>
      <c r="DK484" s="29"/>
      <c r="DL484" s="29"/>
      <c r="DM484" s="29"/>
      <c r="DN484" s="29"/>
      <c r="DO484" s="29"/>
      <c r="DP484" s="29"/>
      <c r="DQ484" s="29"/>
      <c r="DR484" s="29"/>
      <c r="DS484" s="29"/>
      <c r="DT484" s="29"/>
      <c r="DU484" s="29"/>
      <c r="DV484" s="29"/>
      <c r="DW484" s="29"/>
      <c r="DX484" s="29"/>
      <c r="DY484" s="29"/>
      <c r="DZ484" s="29"/>
      <c r="EA484" s="29"/>
      <c r="EB484" s="29"/>
      <c r="EC484" s="29"/>
      <c r="ED484" s="29"/>
      <c r="EE484" s="29"/>
      <c r="EF484" s="29"/>
      <c r="EG484" s="29"/>
      <c r="EH484" s="29"/>
      <c r="EI484" s="29"/>
      <c r="EJ484" s="29"/>
      <c r="EK484" s="29"/>
      <c r="EL484" s="29"/>
      <c r="EM484" s="29"/>
      <c r="EN484" s="29"/>
      <c r="EO484" s="29"/>
      <c r="EP484" s="29"/>
      <c r="EQ484" s="29"/>
      <c r="ER484" s="29"/>
      <c r="ES484" s="29"/>
      <c r="ET484" s="29" t="s">
        <v>526</v>
      </c>
      <c r="EU484" s="29" t="s">
        <v>887</v>
      </c>
      <c r="EV484" s="29" t="s">
        <v>480</v>
      </c>
      <c r="EW484" s="29"/>
      <c r="EX484" s="29" t="s">
        <v>9465</v>
      </c>
      <c r="EY484" s="29" t="s">
        <v>9466</v>
      </c>
      <c r="EZ484" s="29" t="s">
        <v>415</v>
      </c>
      <c r="FA484" s="29" t="s">
        <v>415</v>
      </c>
      <c r="FB484" s="29" t="s">
        <v>413</v>
      </c>
      <c r="FC484" s="29" t="s">
        <v>413</v>
      </c>
      <c r="FD484" s="29" t="s">
        <v>413</v>
      </c>
      <c r="FE484" s="29" t="s">
        <v>415</v>
      </c>
      <c r="FF484" s="29" t="s">
        <v>413</v>
      </c>
      <c r="FG484" s="29" t="s">
        <v>413</v>
      </c>
      <c r="FH484" s="29" t="s">
        <v>415</v>
      </c>
      <c r="FI484" s="29" t="s">
        <v>413</v>
      </c>
      <c r="FJ484" s="29" t="s">
        <v>415</v>
      </c>
      <c r="FK484" s="29" t="s">
        <v>415</v>
      </c>
      <c r="FL484" s="29" t="s">
        <v>415</v>
      </c>
      <c r="FM484" s="29" t="s">
        <v>413</v>
      </c>
      <c r="FN484" s="29" t="s">
        <v>414</v>
      </c>
      <c r="FO484" s="29" t="s">
        <v>850</v>
      </c>
      <c r="FP484" s="29" t="s">
        <v>418</v>
      </c>
      <c r="FQ484" s="29" t="s">
        <v>749</v>
      </c>
      <c r="FR484" s="29" t="s">
        <v>9467</v>
      </c>
      <c r="FS484" s="29" t="s">
        <v>420</v>
      </c>
      <c r="FT484" s="29" t="s">
        <v>488</v>
      </c>
      <c r="FU484" s="29" t="s">
        <v>918</v>
      </c>
      <c r="FV484" s="29" t="s">
        <v>490</v>
      </c>
      <c r="FW484" s="29" t="s">
        <v>491</v>
      </c>
      <c r="FX484" s="29" t="s">
        <v>9468</v>
      </c>
      <c r="FY484" s="29" t="s">
        <v>535</v>
      </c>
      <c r="FZ484" s="29"/>
      <c r="GA484" s="29"/>
      <c r="GB484" s="29" t="s">
        <v>408</v>
      </c>
      <c r="GC484" s="29"/>
      <c r="GD484" s="29"/>
      <c r="GE484" s="29"/>
      <c r="GF484" s="29"/>
      <c r="GG484" s="29"/>
      <c r="GH484" s="29"/>
      <c r="GI484" s="29"/>
      <c r="GJ484" s="29" t="s">
        <v>755</v>
      </c>
      <c r="GK484" s="29" t="s">
        <v>755</v>
      </c>
      <c r="GL484" s="29" t="s">
        <v>946</v>
      </c>
      <c r="GM484" s="29"/>
      <c r="GN484" s="29"/>
      <c r="GO484" s="29"/>
      <c r="GP484" s="29" t="s">
        <v>387</v>
      </c>
      <c r="GQ484" s="29" t="s">
        <v>3208</v>
      </c>
      <c r="GR484" s="29" t="s">
        <v>5039</v>
      </c>
      <c r="GS484" s="29" t="s">
        <v>9469</v>
      </c>
      <c r="GT484" s="29"/>
      <c r="GU484" s="29"/>
      <c r="HP484" s="31"/>
      <c r="MX484" s="29" t="s">
        <v>1341</v>
      </c>
      <c r="MY484" s="29" t="str">
        <f>IFERROR(__xludf.DUMMYFUNCTION("""COMPUTED_VALUE"""),"Germany")</f>
        <v>Germany</v>
      </c>
    </row>
    <row r="485" ht="16.5" customHeight="1">
      <c r="A485" s="33">
        <v>46120.45189376158</v>
      </c>
      <c r="B485" s="29" t="s">
        <v>368</v>
      </c>
      <c r="C485" s="29" t="s">
        <v>1341</v>
      </c>
      <c r="D485" s="29" t="s">
        <v>1341</v>
      </c>
      <c r="E485" s="29"/>
      <c r="F485" s="29"/>
      <c r="G485" s="29" t="s">
        <v>422</v>
      </c>
      <c r="H485" s="29" t="s">
        <v>1921</v>
      </c>
      <c r="I485" s="29" t="s">
        <v>668</v>
      </c>
      <c r="J485" s="29" t="s">
        <v>375</v>
      </c>
      <c r="K485" s="29" t="s">
        <v>376</v>
      </c>
      <c r="L485" s="29" t="s">
        <v>1526</v>
      </c>
      <c r="M485" s="29" t="s">
        <v>378</v>
      </c>
      <c r="N485" s="29" t="s">
        <v>377</v>
      </c>
      <c r="O485" s="29" t="s">
        <v>497</v>
      </c>
      <c r="P485" s="29" t="s">
        <v>381</v>
      </c>
      <c r="Q485" s="29" t="s">
        <v>382</v>
      </c>
      <c r="R485" s="29" t="s">
        <v>427</v>
      </c>
      <c r="S485" s="29" t="s">
        <v>384</v>
      </c>
      <c r="T485" s="29" t="s">
        <v>385</v>
      </c>
      <c r="U485" s="29"/>
      <c r="V485" s="29"/>
      <c r="W485" s="29" t="s">
        <v>386</v>
      </c>
      <c r="X485" s="29" t="s">
        <v>387</v>
      </c>
      <c r="Y485" s="29" t="s">
        <v>388</v>
      </c>
      <c r="Z485" s="29" t="s">
        <v>543</v>
      </c>
      <c r="AA485" s="29" t="s">
        <v>9471</v>
      </c>
      <c r="AB485" s="29"/>
      <c r="AC485" s="29"/>
      <c r="AD485" s="29"/>
      <c r="AE485" s="29"/>
      <c r="AF485" s="29"/>
      <c r="AG485" s="29"/>
      <c r="AH485" s="29"/>
      <c r="AI485" s="29"/>
      <c r="AJ485" s="29"/>
      <c r="AK485" s="29"/>
      <c r="AL485" s="29"/>
      <c r="AM485" s="29"/>
      <c r="AN485" s="29"/>
      <c r="AO485" s="29"/>
      <c r="AP485" s="29"/>
      <c r="AQ485" s="29"/>
      <c r="AR485" s="29"/>
      <c r="AS485" s="29"/>
      <c r="AT485" s="29"/>
      <c r="AU485" s="29"/>
      <c r="AV485" s="29" t="s">
        <v>1242</v>
      </c>
      <c r="AW485" s="29" t="s">
        <v>675</v>
      </c>
      <c r="AX485" s="29">
        <v>4.0</v>
      </c>
      <c r="AY485" s="29">
        <v>4.0</v>
      </c>
      <c r="AZ485" s="29">
        <v>4.0</v>
      </c>
      <c r="BA485" s="29">
        <v>4.0</v>
      </c>
      <c r="BB485" s="29">
        <v>4.0</v>
      </c>
      <c r="BC485" s="29" t="s">
        <v>9472</v>
      </c>
      <c r="BD485" s="29"/>
      <c r="BE485" s="29" t="s">
        <v>902</v>
      </c>
      <c r="BF485" s="29" t="s">
        <v>1047</v>
      </c>
      <c r="BG485" s="29" t="s">
        <v>725</v>
      </c>
      <c r="BH485" s="29"/>
      <c r="BI485" s="29" t="s">
        <v>976</v>
      </c>
      <c r="BJ485" s="29"/>
      <c r="BK485" s="29" t="s">
        <v>395</v>
      </c>
      <c r="BL485" s="29" t="s">
        <v>603</v>
      </c>
      <c r="BM485" s="29" t="s">
        <v>1314</v>
      </c>
      <c r="BN485" s="29" t="s">
        <v>513</v>
      </c>
      <c r="BO485" s="29"/>
      <c r="BP485" s="29"/>
      <c r="BQ485" s="29"/>
      <c r="BR485" s="29"/>
      <c r="BS485" s="29"/>
      <c r="BT485" s="29"/>
      <c r="BU485" s="29"/>
      <c r="BV485" s="29"/>
      <c r="BW485" s="29"/>
      <c r="BX485" s="29"/>
      <c r="BY485" s="29"/>
      <c r="BZ485" s="29"/>
      <c r="CA485" s="29"/>
      <c r="CB485" s="29"/>
      <c r="CC485" s="29"/>
      <c r="CD485" s="29"/>
      <c r="CE485" s="29"/>
      <c r="CF485" s="29"/>
      <c r="CG485" s="29"/>
      <c r="CH485" s="29"/>
      <c r="CI485" s="29"/>
      <c r="CJ485" s="29"/>
      <c r="CK485" s="29"/>
      <c r="CL485" s="29" t="s">
        <v>682</v>
      </c>
      <c r="CM485" s="29" t="s">
        <v>401</v>
      </c>
      <c r="CN485" s="29" t="s">
        <v>9473</v>
      </c>
      <c r="CO485" s="29" t="s">
        <v>9474</v>
      </c>
      <c r="CP485" s="29"/>
      <c r="CQ485" s="29"/>
      <c r="CR485" s="29"/>
      <c r="CS485" s="29"/>
      <c r="CT485" s="29" t="s">
        <v>9475</v>
      </c>
      <c r="CU485" s="29" t="s">
        <v>1852</v>
      </c>
      <c r="CV485" s="29" t="s">
        <v>959</v>
      </c>
      <c r="CW485" s="29"/>
      <c r="CX485" s="29" t="s">
        <v>408</v>
      </c>
      <c r="CY485" s="29"/>
      <c r="CZ485" s="29" t="s">
        <v>1962</v>
      </c>
      <c r="DA485" s="29"/>
      <c r="DB485" s="29" t="s">
        <v>408</v>
      </c>
      <c r="DC485" s="29"/>
      <c r="DD485" s="29"/>
      <c r="DE485" s="29"/>
      <c r="DF485" s="29"/>
      <c r="DG485" s="29" t="s">
        <v>990</v>
      </c>
      <c r="DH485" s="29" t="s">
        <v>410</v>
      </c>
      <c r="DI485" s="29" t="s">
        <v>777</v>
      </c>
      <c r="DJ485" s="29" t="s">
        <v>613</v>
      </c>
      <c r="DK485" s="29"/>
      <c r="DL485" s="29"/>
      <c r="DM485" s="29"/>
      <c r="DN485" s="29"/>
      <c r="DO485" s="29"/>
      <c r="DP485" s="29"/>
      <c r="DQ485" s="29"/>
      <c r="DR485" s="29"/>
      <c r="DS485" s="29"/>
      <c r="DT485" s="29"/>
      <c r="DU485" s="29"/>
      <c r="DV485" s="29"/>
      <c r="DW485" s="29"/>
      <c r="DX485" s="29"/>
      <c r="DY485" s="29"/>
      <c r="DZ485" s="29"/>
      <c r="EA485" s="29"/>
      <c r="EB485" s="29"/>
      <c r="EC485" s="29"/>
      <c r="ED485" s="29"/>
      <c r="EE485" s="29"/>
      <c r="EF485" s="29"/>
      <c r="EG485" s="29"/>
      <c r="EH485" s="29"/>
      <c r="EI485" s="29"/>
      <c r="EJ485" s="29"/>
      <c r="EK485" s="29"/>
      <c r="EL485" s="29"/>
      <c r="EM485" s="29"/>
      <c r="EN485" s="29"/>
      <c r="EO485" s="29"/>
      <c r="EP485" s="29"/>
      <c r="EQ485" s="29"/>
      <c r="ER485" s="29"/>
      <c r="ES485" s="29"/>
      <c r="ET485" s="29" t="s">
        <v>578</v>
      </c>
      <c r="EU485" s="29" t="s">
        <v>579</v>
      </c>
      <c r="EV485" s="29" t="s">
        <v>527</v>
      </c>
      <c r="EW485" s="29" t="s">
        <v>9476</v>
      </c>
      <c r="EX485" s="29" t="s">
        <v>9477</v>
      </c>
      <c r="EY485" s="29" t="s">
        <v>9478</v>
      </c>
      <c r="EZ485" s="29" t="s">
        <v>583</v>
      </c>
      <c r="FA485" s="29" t="s">
        <v>583</v>
      </c>
      <c r="FB485" s="29" t="s">
        <v>415</v>
      </c>
      <c r="FC485" s="29" t="s">
        <v>583</v>
      </c>
      <c r="FD485" s="29" t="s">
        <v>415</v>
      </c>
      <c r="FE485" s="29" t="s">
        <v>414</v>
      </c>
      <c r="FF485" s="29" t="s">
        <v>583</v>
      </c>
      <c r="FG485" s="29" t="s">
        <v>414</v>
      </c>
      <c r="FH485" s="29" t="s">
        <v>416</v>
      </c>
      <c r="FI485" s="29" t="s">
        <v>416</v>
      </c>
      <c r="FJ485" s="29" t="s">
        <v>416</v>
      </c>
      <c r="FK485" s="29" t="s">
        <v>414</v>
      </c>
      <c r="FL485" s="29" t="s">
        <v>414</v>
      </c>
      <c r="FM485" s="29" t="s">
        <v>414</v>
      </c>
      <c r="FN485" s="29" t="s">
        <v>416</v>
      </c>
      <c r="FO485" s="29" t="s">
        <v>1537</v>
      </c>
      <c r="FP485" s="29" t="s">
        <v>2524</v>
      </c>
      <c r="FQ485" s="29" t="s">
        <v>749</v>
      </c>
      <c r="FR485" s="29" t="s">
        <v>9479</v>
      </c>
      <c r="FS485" s="29" t="s">
        <v>1871</v>
      </c>
      <c r="FT485" s="29" t="s">
        <v>421</v>
      </c>
      <c r="FU485" s="29" t="s">
        <v>1235</v>
      </c>
      <c r="FV485" s="29" t="s">
        <v>2399</v>
      </c>
      <c r="FW485" s="29" t="s">
        <v>1853</v>
      </c>
      <c r="FX485" s="29"/>
      <c r="FY485" s="29" t="s">
        <v>1854</v>
      </c>
      <c r="FZ485" s="29" t="s">
        <v>9480</v>
      </c>
      <c r="GA485" s="29"/>
      <c r="GB485" s="29" t="s">
        <v>455</v>
      </c>
      <c r="GC485" s="29"/>
      <c r="GD485" s="29"/>
      <c r="GE485" s="29" t="s">
        <v>1420</v>
      </c>
      <c r="GF485" s="29"/>
      <c r="GG485" s="29" t="s">
        <v>755</v>
      </c>
      <c r="GH485" s="29" t="s">
        <v>755</v>
      </c>
      <c r="GI485" s="29" t="s">
        <v>946</v>
      </c>
      <c r="GJ485" s="29"/>
      <c r="GK485" s="29"/>
      <c r="GL485" s="29"/>
      <c r="GM485" s="29"/>
      <c r="GN485" s="29"/>
      <c r="GO485" s="29" t="s">
        <v>3220</v>
      </c>
      <c r="GP485" s="29"/>
      <c r="GQ485" s="29" t="s">
        <v>3208</v>
      </c>
      <c r="GR485" s="29"/>
      <c r="GS485" s="29"/>
      <c r="GT485" s="29" t="s">
        <v>4774</v>
      </c>
      <c r="GU485" s="29"/>
      <c r="HP485" s="31"/>
      <c r="MX485" s="29" t="s">
        <v>10402</v>
      </c>
      <c r="MY485" s="29" t="str">
        <f>IFERROR(__xludf.DUMMYFUNCTION("""COMPUTED_VALUE"""),"Illinois")</f>
        <v>Illinois</v>
      </c>
    </row>
    <row r="486" ht="16.5" customHeight="1">
      <c r="A486" s="33">
        <v>46121.04974232639</v>
      </c>
      <c r="B486" s="29" t="s">
        <v>368</v>
      </c>
      <c r="C486" s="29" t="s">
        <v>370</v>
      </c>
      <c r="D486" s="29" t="s">
        <v>370</v>
      </c>
      <c r="E486" s="29" t="s">
        <v>2708</v>
      </c>
      <c r="F486" s="29" t="s">
        <v>1899</v>
      </c>
      <c r="G486" s="29" t="s">
        <v>422</v>
      </c>
      <c r="H486" s="29" t="s">
        <v>423</v>
      </c>
      <c r="I486" s="29" t="s">
        <v>424</v>
      </c>
      <c r="J486" s="29" t="s">
        <v>425</v>
      </c>
      <c r="K486" s="29" t="s">
        <v>376</v>
      </c>
      <c r="L486" s="29" t="s">
        <v>426</v>
      </c>
      <c r="M486" s="29" t="s">
        <v>9484</v>
      </c>
      <c r="N486" s="29" t="s">
        <v>591</v>
      </c>
      <c r="O486" s="29" t="s">
        <v>2579</v>
      </c>
      <c r="P486" s="29" t="s">
        <v>381</v>
      </c>
      <c r="Q486" s="29" t="s">
        <v>862</v>
      </c>
      <c r="R486" s="29" t="s">
        <v>9485</v>
      </c>
      <c r="S486" s="29" t="s">
        <v>1705</v>
      </c>
      <c r="T486" s="29" t="s">
        <v>385</v>
      </c>
      <c r="U486" s="29"/>
      <c r="V486" s="29"/>
      <c r="W486" s="29" t="s">
        <v>3014</v>
      </c>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t="s">
        <v>1310</v>
      </c>
      <c r="AW486" s="29">
        <v>4.0</v>
      </c>
      <c r="AX486" s="29" t="s">
        <v>675</v>
      </c>
      <c r="AY486" s="29" t="s">
        <v>675</v>
      </c>
      <c r="AZ486" s="29">
        <v>4.0</v>
      </c>
      <c r="BA486" s="29" t="s">
        <v>675</v>
      </c>
      <c r="BB486" s="29" t="s">
        <v>675</v>
      </c>
      <c r="BC486" s="29" t="s">
        <v>9486</v>
      </c>
      <c r="BD486" s="29" t="s">
        <v>9487</v>
      </c>
      <c r="BE486" s="29" t="s">
        <v>2379</v>
      </c>
      <c r="BF486" s="29" t="s">
        <v>393</v>
      </c>
      <c r="BG486" s="29" t="s">
        <v>394</v>
      </c>
      <c r="BH486" s="29" t="s">
        <v>9488</v>
      </c>
      <c r="BI486" s="29" t="s">
        <v>976</v>
      </c>
      <c r="BJ486" s="29"/>
      <c r="BK486" s="29" t="s">
        <v>395</v>
      </c>
      <c r="BL486" s="29" t="s">
        <v>904</v>
      </c>
      <c r="BM486" s="29" t="s">
        <v>1276</v>
      </c>
      <c r="BN486" s="29" t="s">
        <v>513</v>
      </c>
      <c r="BO486" s="29"/>
      <c r="BP486" s="29"/>
      <c r="BQ486" s="29"/>
      <c r="BR486" s="29"/>
      <c r="BS486" s="29"/>
      <c r="BT486" s="29"/>
      <c r="BU486" s="29"/>
      <c r="BV486" s="29"/>
      <c r="BW486" s="29"/>
      <c r="BX486" s="29"/>
      <c r="BY486" s="29"/>
      <c r="BZ486" s="29"/>
      <c r="CA486" s="29"/>
      <c r="CB486" s="29"/>
      <c r="CC486" s="29"/>
      <c r="CD486" s="29"/>
      <c r="CE486" s="29"/>
      <c r="CF486" s="29"/>
      <c r="CG486" s="29"/>
      <c r="CH486" s="29"/>
      <c r="CI486" s="29"/>
      <c r="CJ486" s="29"/>
      <c r="CK486" s="29"/>
      <c r="CL486" s="29" t="s">
        <v>441</v>
      </c>
      <c r="CM486" s="29" t="s">
        <v>442</v>
      </c>
      <c r="CN486" s="29" t="s">
        <v>9489</v>
      </c>
      <c r="CO486" s="29" t="s">
        <v>9490</v>
      </c>
      <c r="CP486" s="29" t="s">
        <v>685</v>
      </c>
      <c r="CQ486" s="29" t="s">
        <v>956</v>
      </c>
      <c r="CR486" s="29" t="s">
        <v>447</v>
      </c>
      <c r="CS486" s="29" t="s">
        <v>805</v>
      </c>
      <c r="CT486" s="29" t="s">
        <v>9491</v>
      </c>
      <c r="CU486" s="29" t="s">
        <v>519</v>
      </c>
      <c r="CV486" s="29" t="s">
        <v>451</v>
      </c>
      <c r="CW486" s="29" t="s">
        <v>9492</v>
      </c>
      <c r="CX486" s="29" t="s">
        <v>455</v>
      </c>
      <c r="CY486" s="29" t="s">
        <v>9493</v>
      </c>
      <c r="CZ486" s="29" t="s">
        <v>1398</v>
      </c>
      <c r="DA486" s="29" t="s">
        <v>9494</v>
      </c>
      <c r="DB486" s="29" t="s">
        <v>455</v>
      </c>
      <c r="DC486" s="29" t="s">
        <v>9495</v>
      </c>
      <c r="DD486" s="29" t="s">
        <v>457</v>
      </c>
      <c r="DE486" s="29"/>
      <c r="DF486" s="29"/>
      <c r="DG486" s="29" t="s">
        <v>693</v>
      </c>
      <c r="DH486" s="29" t="s">
        <v>410</v>
      </c>
      <c r="DI486" s="29" t="s">
        <v>459</v>
      </c>
      <c r="DJ486" s="29" t="s">
        <v>613</v>
      </c>
      <c r="DK486" s="29"/>
      <c r="DL486" s="29"/>
      <c r="DM486" s="29"/>
      <c r="DN486" s="29"/>
      <c r="DO486" s="29"/>
      <c r="DP486" s="29"/>
      <c r="DQ486" s="29"/>
      <c r="DR486" s="29"/>
      <c r="DS486" s="29"/>
      <c r="DT486" s="29"/>
      <c r="DU486" s="29"/>
      <c r="DV486" s="29"/>
      <c r="DW486" s="29"/>
      <c r="DX486" s="29"/>
      <c r="DY486" s="29"/>
      <c r="DZ486" s="29"/>
      <c r="EA486" s="29"/>
      <c r="EB486" s="29"/>
      <c r="EC486" s="29"/>
      <c r="ED486" s="29"/>
      <c r="EE486" s="29"/>
      <c r="EF486" s="29"/>
      <c r="EG486" s="29"/>
      <c r="EH486" s="29"/>
      <c r="EI486" s="29"/>
      <c r="EJ486" s="29"/>
      <c r="EK486" s="29"/>
      <c r="EL486" s="29"/>
      <c r="EM486" s="29"/>
      <c r="EN486" s="29"/>
      <c r="EO486" s="29"/>
      <c r="EP486" s="29"/>
      <c r="EQ486" s="29"/>
      <c r="ER486" s="29"/>
      <c r="ES486" s="29"/>
      <c r="ET486" s="29" t="s">
        <v>478</v>
      </c>
      <c r="EU486" s="29" t="s">
        <v>479</v>
      </c>
      <c r="EV486" s="29" t="s">
        <v>580</v>
      </c>
      <c r="EW486" s="29" t="s">
        <v>9496</v>
      </c>
      <c r="EX486" s="29" t="s">
        <v>9497</v>
      </c>
      <c r="EY486" s="29" t="s">
        <v>9498</v>
      </c>
      <c r="EZ486" s="29" t="s">
        <v>413</v>
      </c>
      <c r="FA486" s="29" t="s">
        <v>413</v>
      </c>
      <c r="FB486" s="29" t="s">
        <v>413</v>
      </c>
      <c r="FC486" s="29" t="s">
        <v>413</v>
      </c>
      <c r="FD486" s="29" t="s">
        <v>413</v>
      </c>
      <c r="FE486" s="29" t="s">
        <v>413</v>
      </c>
      <c r="FF486" s="29" t="s">
        <v>484</v>
      </c>
      <c r="FG486" s="29" t="s">
        <v>484</v>
      </c>
      <c r="FH486" s="29" t="s">
        <v>484</v>
      </c>
      <c r="FI486" s="29" t="s">
        <v>414</v>
      </c>
      <c r="FJ486" s="29" t="s">
        <v>413</v>
      </c>
      <c r="FK486" s="29" t="s">
        <v>484</v>
      </c>
      <c r="FL486" s="29" t="s">
        <v>484</v>
      </c>
      <c r="FM486" s="29" t="s">
        <v>484</v>
      </c>
      <c r="FN486" s="29" t="s">
        <v>484</v>
      </c>
      <c r="FO486" s="29" t="s">
        <v>417</v>
      </c>
      <c r="FP486" s="29" t="s">
        <v>418</v>
      </c>
      <c r="FQ486" s="29" t="s">
        <v>1039</v>
      </c>
      <c r="FR486" s="29" t="s">
        <v>9499</v>
      </c>
      <c r="FS486" s="29" t="s">
        <v>420</v>
      </c>
      <c r="FT486" s="29" t="s">
        <v>488</v>
      </c>
      <c r="FU486" s="29" t="s">
        <v>489</v>
      </c>
      <c r="FV486" s="29" t="s">
        <v>490</v>
      </c>
      <c r="FW486" s="29" t="s">
        <v>491</v>
      </c>
      <c r="FX486" s="29" t="s">
        <v>9500</v>
      </c>
      <c r="FY486" s="29" t="s">
        <v>535</v>
      </c>
      <c r="FZ486" s="29" t="s">
        <v>9501</v>
      </c>
      <c r="GA486" s="29" t="s">
        <v>9502</v>
      </c>
      <c r="GB486" s="29" t="s">
        <v>408</v>
      </c>
      <c r="GC486" s="29"/>
      <c r="GD486" s="29"/>
      <c r="GE486" s="29"/>
      <c r="GF486" s="29"/>
      <c r="GG486" s="29" t="s">
        <v>920</v>
      </c>
      <c r="GH486" s="29" t="s">
        <v>920</v>
      </c>
      <c r="GI486" s="29" t="s">
        <v>756</v>
      </c>
      <c r="GJ486" s="29"/>
      <c r="GK486" s="29"/>
      <c r="GL486" s="29"/>
      <c r="GM486" s="29"/>
      <c r="GN486" s="29"/>
      <c r="GO486" s="29"/>
      <c r="GP486" s="29"/>
      <c r="GQ486" s="29" t="s">
        <v>3208</v>
      </c>
      <c r="GR486" s="29"/>
      <c r="GS486" s="29"/>
      <c r="GT486" s="29" t="s">
        <v>4774</v>
      </c>
      <c r="GU486" s="29"/>
      <c r="HP486" s="31"/>
      <c r="MX486" s="29" t="s">
        <v>10402</v>
      </c>
      <c r="MY486" s="29" t="str">
        <f>IFERROR(__xludf.DUMMYFUNCTION("""COMPUTED_VALUE"""),"Illinois")</f>
        <v>Illinois</v>
      </c>
    </row>
    <row r="487" ht="16.5" customHeight="1">
      <c r="A487" s="33">
        <v>46121.27570546296</v>
      </c>
      <c r="B487" s="29" t="s">
        <v>368</v>
      </c>
      <c r="C487" s="29" t="s">
        <v>370</v>
      </c>
      <c r="D487" s="29" t="s">
        <v>370</v>
      </c>
      <c r="E487" s="29" t="s">
        <v>2708</v>
      </c>
      <c r="F487" s="29" t="s">
        <v>922</v>
      </c>
      <c r="G487" s="29" t="s">
        <v>422</v>
      </c>
      <c r="H487" s="29" t="s">
        <v>496</v>
      </c>
      <c r="I487" s="29" t="s">
        <v>374</v>
      </c>
      <c r="J487" s="29" t="s">
        <v>375</v>
      </c>
      <c r="K487" s="29" t="s">
        <v>376</v>
      </c>
      <c r="L487" s="29" t="s">
        <v>379</v>
      </c>
      <c r="M487" s="29" t="s">
        <v>9505</v>
      </c>
      <c r="N487" s="29" t="s">
        <v>670</v>
      </c>
      <c r="O487" s="29" t="s">
        <v>9506</v>
      </c>
      <c r="P487" s="29" t="s">
        <v>592</v>
      </c>
      <c r="Q487" s="29" t="s">
        <v>862</v>
      </c>
      <c r="R487" s="29" t="s">
        <v>1704</v>
      </c>
      <c r="S487" s="29" t="s">
        <v>384</v>
      </c>
      <c r="T487" s="29" t="s">
        <v>385</v>
      </c>
      <c r="U487" s="29"/>
      <c r="V487" s="29"/>
      <c r="W487" s="29" t="s">
        <v>386</v>
      </c>
      <c r="X487" s="29" t="s">
        <v>387</v>
      </c>
      <c r="Y487" s="29" t="s">
        <v>388</v>
      </c>
      <c r="Z487" s="29" t="s">
        <v>672</v>
      </c>
      <c r="AA487" s="29" t="s">
        <v>408</v>
      </c>
      <c r="AB487" s="29"/>
      <c r="AC487" s="29"/>
      <c r="AD487" s="29"/>
      <c r="AE487" s="29"/>
      <c r="AF487" s="29"/>
      <c r="AG487" s="29"/>
      <c r="AH487" s="29"/>
      <c r="AI487" s="29"/>
      <c r="AJ487" s="29"/>
      <c r="AK487" s="29"/>
      <c r="AL487" s="29"/>
      <c r="AM487" s="29"/>
      <c r="AN487" s="29"/>
      <c r="AO487" s="29"/>
      <c r="AP487" s="29"/>
      <c r="AQ487" s="29"/>
      <c r="AR487" s="29"/>
      <c r="AS487" s="29"/>
      <c r="AT487" s="29"/>
      <c r="AU487" s="29"/>
      <c r="AV487" s="29" t="s">
        <v>597</v>
      </c>
      <c r="AW487" s="29" t="s">
        <v>391</v>
      </c>
      <c r="AX487" s="29">
        <v>2.0</v>
      </c>
      <c r="AY487" s="29" t="s">
        <v>429</v>
      </c>
      <c r="AZ487" s="29" t="s">
        <v>429</v>
      </c>
      <c r="BA487" s="29" t="s">
        <v>429</v>
      </c>
      <c r="BB487" s="29" t="s">
        <v>429</v>
      </c>
      <c r="BC487" s="29"/>
      <c r="BD487" s="29" t="s">
        <v>9507</v>
      </c>
      <c r="BE487" s="29" t="s">
        <v>392</v>
      </c>
      <c r="BF487" s="29" t="s">
        <v>433</v>
      </c>
      <c r="BG487" s="29" t="s">
        <v>765</v>
      </c>
      <c r="BH487" s="29" t="s">
        <v>9508</v>
      </c>
      <c r="BI487" s="29" t="s">
        <v>509</v>
      </c>
      <c r="BJ487" s="29"/>
      <c r="BK487" s="29" t="s">
        <v>437</v>
      </c>
      <c r="BL487" s="29" t="s">
        <v>603</v>
      </c>
      <c r="BM487" s="29" t="s">
        <v>397</v>
      </c>
      <c r="BN487" s="29" t="s">
        <v>440</v>
      </c>
      <c r="BO487" s="29"/>
      <c r="BP487" s="29"/>
      <c r="BQ487" s="29"/>
      <c r="BR487" s="29"/>
      <c r="BS487" s="29"/>
      <c r="BT487" s="29"/>
      <c r="BU487" s="29"/>
      <c r="BV487" s="29"/>
      <c r="BW487" s="29"/>
      <c r="BX487" s="29"/>
      <c r="BY487" s="29"/>
      <c r="BZ487" s="29"/>
      <c r="CA487" s="29"/>
      <c r="CB487" s="29"/>
      <c r="CC487" s="29"/>
      <c r="CD487" s="29"/>
      <c r="CE487" s="29"/>
      <c r="CF487" s="29"/>
      <c r="CG487" s="29"/>
      <c r="CH487" s="29"/>
      <c r="CI487" s="29"/>
      <c r="CJ487" s="29"/>
      <c r="CK487" s="29"/>
      <c r="CL487" s="29" t="s">
        <v>441</v>
      </c>
      <c r="CM487" s="29" t="s">
        <v>682</v>
      </c>
      <c r="CN487" s="29" t="s">
        <v>9509</v>
      </c>
      <c r="CO487" s="29" t="s">
        <v>9510</v>
      </c>
      <c r="CP487" s="29" t="s">
        <v>685</v>
      </c>
      <c r="CQ487" s="29" t="s">
        <v>6181</v>
      </c>
      <c r="CR487" s="29"/>
      <c r="CS487" s="29" t="s">
        <v>9283</v>
      </c>
      <c r="CT487" s="29" t="s">
        <v>9511</v>
      </c>
      <c r="CU487" s="29" t="s">
        <v>450</v>
      </c>
      <c r="CV487" s="29" t="s">
        <v>451</v>
      </c>
      <c r="CW487" s="29" t="s">
        <v>9512</v>
      </c>
      <c r="CX487" s="29" t="s">
        <v>408</v>
      </c>
      <c r="CY487" s="29"/>
      <c r="CZ487" s="29" t="s">
        <v>985</v>
      </c>
      <c r="DA487" s="29" t="s">
        <v>9513</v>
      </c>
      <c r="DB487" s="29" t="s">
        <v>455</v>
      </c>
      <c r="DC487" s="29" t="s">
        <v>9514</v>
      </c>
      <c r="DD487" s="29" t="s">
        <v>406</v>
      </c>
      <c r="DE487" s="29" t="s">
        <v>407</v>
      </c>
      <c r="DF487" s="29"/>
      <c r="DG487" s="29" t="s">
        <v>524</v>
      </c>
      <c r="DH487" s="29" t="s">
        <v>410</v>
      </c>
      <c r="DI487" s="29" t="s">
        <v>459</v>
      </c>
      <c r="DJ487" s="29" t="s">
        <v>562</v>
      </c>
      <c r="DK487" s="29" t="s">
        <v>6335</v>
      </c>
      <c r="DL487" s="29"/>
      <c r="DM487" s="29" t="s">
        <v>9515</v>
      </c>
      <c r="DN487" s="29" t="s">
        <v>9516</v>
      </c>
      <c r="DO487" s="29" t="s">
        <v>1063</v>
      </c>
      <c r="DP487" s="29" t="s">
        <v>9517</v>
      </c>
      <c r="DQ487" s="29" t="s">
        <v>1176</v>
      </c>
      <c r="DR487" s="29" t="s">
        <v>9518</v>
      </c>
      <c r="DS487" s="29" t="s">
        <v>468</v>
      </c>
      <c r="DT487" s="29" t="s">
        <v>3171</v>
      </c>
      <c r="DU487" s="29" t="s">
        <v>9519</v>
      </c>
      <c r="DV487" s="29" t="s">
        <v>9520</v>
      </c>
      <c r="DW487" s="29" t="s">
        <v>573</v>
      </c>
      <c r="DX487" s="29" t="s">
        <v>9521</v>
      </c>
      <c r="DY487" s="29" t="s">
        <v>9522</v>
      </c>
      <c r="DZ487" s="29" t="s">
        <v>9523</v>
      </c>
      <c r="EA487" s="29" t="s">
        <v>2960</v>
      </c>
      <c r="EB487" s="29" t="s">
        <v>845</v>
      </c>
      <c r="EC487" s="29" t="s">
        <v>9524</v>
      </c>
      <c r="ED487" s="29"/>
      <c r="EE487" s="29"/>
      <c r="EF487" s="29"/>
      <c r="EG487" s="29"/>
      <c r="EH487" s="29"/>
      <c r="EI487" s="29"/>
      <c r="EJ487" s="29"/>
      <c r="EK487" s="29"/>
      <c r="EL487" s="29"/>
      <c r="EM487" s="29"/>
      <c r="EN487" s="29"/>
      <c r="EO487" s="29"/>
      <c r="EP487" s="29"/>
      <c r="EQ487" s="29"/>
      <c r="ER487" s="29"/>
      <c r="ES487" s="29"/>
      <c r="ET487" s="29" t="s">
        <v>526</v>
      </c>
      <c r="EU487" s="29" t="s">
        <v>479</v>
      </c>
      <c r="EV487" s="29" t="s">
        <v>480</v>
      </c>
      <c r="EW487" s="29"/>
      <c r="EX487" s="29" t="s">
        <v>9525</v>
      </c>
      <c r="EY487" s="29" t="s">
        <v>5078</v>
      </c>
      <c r="EZ487" s="29" t="s">
        <v>413</v>
      </c>
      <c r="FA487" s="29" t="s">
        <v>416</v>
      </c>
      <c r="FB487" s="29" t="s">
        <v>413</v>
      </c>
      <c r="FC487" s="29" t="s">
        <v>413</v>
      </c>
      <c r="FD487" s="29" t="s">
        <v>413</v>
      </c>
      <c r="FE487" s="29" t="s">
        <v>415</v>
      </c>
      <c r="FF487" s="29" t="s">
        <v>415</v>
      </c>
      <c r="FG487" s="29" t="s">
        <v>413</v>
      </c>
      <c r="FH487" s="29" t="s">
        <v>414</v>
      </c>
      <c r="FI487" s="29" t="s">
        <v>415</v>
      </c>
      <c r="FJ487" s="29" t="s">
        <v>415</v>
      </c>
      <c r="FK487" s="29" t="s">
        <v>484</v>
      </c>
      <c r="FL487" s="29" t="s">
        <v>484</v>
      </c>
      <c r="FM487" s="29" t="s">
        <v>484</v>
      </c>
      <c r="FN487" s="29" t="s">
        <v>484</v>
      </c>
      <c r="FO487" s="29" t="s">
        <v>417</v>
      </c>
      <c r="FP487" s="29" t="s">
        <v>486</v>
      </c>
      <c r="FQ487" s="29" t="s">
        <v>749</v>
      </c>
      <c r="FR487" s="29" t="s">
        <v>9526</v>
      </c>
      <c r="FS487" s="29" t="s">
        <v>420</v>
      </c>
      <c r="FT487" s="29" t="s">
        <v>488</v>
      </c>
      <c r="FU487" s="29" t="s">
        <v>918</v>
      </c>
      <c r="FV487" s="29" t="s">
        <v>490</v>
      </c>
      <c r="FW487" s="29" t="s">
        <v>491</v>
      </c>
      <c r="FX487" s="29"/>
      <c r="FY487" s="29" t="s">
        <v>493</v>
      </c>
      <c r="FZ487" s="29"/>
      <c r="GA487" s="29"/>
      <c r="GB487" s="29"/>
      <c r="GC487" s="29"/>
      <c r="GD487" s="29"/>
      <c r="GE487" s="29"/>
      <c r="GF487" s="29"/>
      <c r="GG487" s="29" t="s">
        <v>788</v>
      </c>
      <c r="GH487" s="29" t="s">
        <v>788</v>
      </c>
      <c r="GI487" s="29" t="s">
        <v>921</v>
      </c>
      <c r="GJ487" s="29"/>
      <c r="GK487" s="29"/>
      <c r="GL487" s="29"/>
      <c r="GM487" s="29" t="s">
        <v>1079</v>
      </c>
      <c r="GN487" s="29"/>
      <c r="GO487" s="29"/>
      <c r="GP487" s="29"/>
      <c r="GQ487" s="29" t="s">
        <v>3208</v>
      </c>
      <c r="GR487" s="29"/>
      <c r="GS487" s="29"/>
      <c r="GT487" s="29" t="s">
        <v>4741</v>
      </c>
      <c r="GU487" s="29" t="s">
        <v>9527</v>
      </c>
      <c r="HP487" s="31"/>
      <c r="MX487" s="29" t="s">
        <v>9532</v>
      </c>
      <c r="MY487" s="29" t="str">
        <f>IFERROR(__xludf.DUMMYFUNCTION("""COMPUTED_VALUE"""),"Ecuador")</f>
        <v>Ecuador</v>
      </c>
    </row>
    <row r="488" ht="16.5" customHeight="1">
      <c r="A488" s="33">
        <v>46121.93295483796</v>
      </c>
      <c r="B488" s="29" t="s">
        <v>368</v>
      </c>
      <c r="C488" s="29" t="s">
        <v>9532</v>
      </c>
      <c r="D488" s="29" t="s">
        <v>370</v>
      </c>
      <c r="E488" s="29"/>
      <c r="F488" s="29" t="s">
        <v>1001</v>
      </c>
      <c r="G488" s="29" t="s">
        <v>372</v>
      </c>
      <c r="H488" s="29" t="s">
        <v>373</v>
      </c>
      <c r="I488" s="29" t="s">
        <v>638</v>
      </c>
      <c r="J488" s="29" t="s">
        <v>375</v>
      </c>
      <c r="K488" s="29" t="s">
        <v>1383</v>
      </c>
      <c r="L488" s="29" t="s">
        <v>793</v>
      </c>
      <c r="M488" s="29" t="s">
        <v>639</v>
      </c>
      <c r="N488" s="29" t="s">
        <v>591</v>
      </c>
      <c r="O488" s="29" t="s">
        <v>719</v>
      </c>
      <c r="P488" s="29" t="s">
        <v>592</v>
      </c>
      <c r="Q488" s="29" t="s">
        <v>862</v>
      </c>
      <c r="R488" s="29" t="s">
        <v>500</v>
      </c>
      <c r="S488" s="29" t="s">
        <v>384</v>
      </c>
      <c r="T488" s="29" t="s">
        <v>385</v>
      </c>
      <c r="U488" s="29"/>
      <c r="V488" s="29"/>
      <c r="W488" s="29" t="s">
        <v>386</v>
      </c>
      <c r="X488" s="29" t="s">
        <v>387</v>
      </c>
      <c r="Y488" s="29"/>
      <c r="Z488" s="29" t="s">
        <v>502</v>
      </c>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t="s">
        <v>1242</v>
      </c>
      <c r="AW488" s="29" t="s">
        <v>675</v>
      </c>
      <c r="AX488" s="29" t="s">
        <v>675</v>
      </c>
      <c r="AY488" s="29">
        <v>4.0</v>
      </c>
      <c r="AZ488" s="29" t="s">
        <v>391</v>
      </c>
      <c r="BA488" s="29">
        <v>2.0</v>
      </c>
      <c r="BB488" s="29" t="s">
        <v>391</v>
      </c>
      <c r="BC488" s="29" t="s">
        <v>9533</v>
      </c>
      <c r="BD488" s="29"/>
      <c r="BE488" s="29" t="s">
        <v>902</v>
      </c>
      <c r="BF488" s="29" t="s">
        <v>1047</v>
      </c>
      <c r="BG488" s="29" t="s">
        <v>678</v>
      </c>
      <c r="BH488" s="29"/>
      <c r="BI488" s="29" t="s">
        <v>976</v>
      </c>
      <c r="BJ488" s="29"/>
      <c r="BK488" s="29" t="s">
        <v>681</v>
      </c>
      <c r="BL488" s="29" t="s">
        <v>904</v>
      </c>
      <c r="BM488" s="29" t="s">
        <v>1314</v>
      </c>
      <c r="BN488" s="29" t="s">
        <v>513</v>
      </c>
      <c r="BO488" s="29"/>
      <c r="BP488" s="29"/>
      <c r="BQ488" s="29"/>
      <c r="BR488" s="29"/>
      <c r="BS488" s="29"/>
      <c r="BT488" s="29"/>
      <c r="BU488" s="29"/>
      <c r="BV488" s="29"/>
      <c r="BW488" s="29"/>
      <c r="BX488" s="29"/>
      <c r="BY488" s="29"/>
      <c r="BZ488" s="29"/>
      <c r="CA488" s="29"/>
      <c r="CB488" s="29"/>
      <c r="CC488" s="29"/>
      <c r="CD488" s="29"/>
      <c r="CE488" s="29"/>
      <c r="CF488" s="29"/>
      <c r="CG488" s="29"/>
      <c r="CH488" s="29"/>
      <c r="CI488" s="29"/>
      <c r="CJ488" s="29"/>
      <c r="CK488" s="29"/>
      <c r="CL488" s="29" t="s">
        <v>441</v>
      </c>
      <c r="CM488" s="29" t="s">
        <v>604</v>
      </c>
      <c r="CN488" s="29" t="s">
        <v>9534</v>
      </c>
      <c r="CO488" s="29" t="s">
        <v>9535</v>
      </c>
      <c r="CP488" s="29" t="s">
        <v>979</v>
      </c>
      <c r="CQ488" s="29" t="s">
        <v>9536</v>
      </c>
      <c r="CR488" s="29" t="s">
        <v>447</v>
      </c>
      <c r="CS488" s="29" t="s">
        <v>9537</v>
      </c>
      <c r="CT488" s="29" t="s">
        <v>9538</v>
      </c>
      <c r="CU488" s="29" t="s">
        <v>519</v>
      </c>
      <c r="CV488" s="29" t="s">
        <v>451</v>
      </c>
      <c r="CW488" s="29" t="s">
        <v>9539</v>
      </c>
      <c r="CX488" s="29" t="s">
        <v>408</v>
      </c>
      <c r="CY488" s="29"/>
      <c r="CZ488" s="29" t="s">
        <v>453</v>
      </c>
      <c r="DA488" s="29" t="s">
        <v>9540</v>
      </c>
      <c r="DB488" s="29" t="s">
        <v>408</v>
      </c>
      <c r="DC488" s="29"/>
      <c r="DD488" s="29" t="s">
        <v>988</v>
      </c>
      <c r="DE488" s="29"/>
      <c r="DF488" s="29" t="s">
        <v>9541</v>
      </c>
      <c r="DG488" s="29" t="s">
        <v>524</v>
      </c>
      <c r="DH488" s="29" t="s">
        <v>410</v>
      </c>
      <c r="DI488" s="29" t="s">
        <v>459</v>
      </c>
      <c r="DJ488" s="29" t="s">
        <v>613</v>
      </c>
      <c r="DK488" s="29"/>
      <c r="DL488" s="29"/>
      <c r="DM488" s="29"/>
      <c r="DN488" s="29"/>
      <c r="DO488" s="29"/>
      <c r="DP488" s="29"/>
      <c r="DQ488" s="29"/>
      <c r="DR488" s="29"/>
      <c r="DS488" s="29"/>
      <c r="DT488" s="29"/>
      <c r="DU488" s="29"/>
      <c r="DV488" s="29"/>
      <c r="DW488" s="29"/>
      <c r="DX488" s="29"/>
      <c r="DY488" s="29"/>
      <c r="DZ488" s="29"/>
      <c r="EA488" s="29"/>
      <c r="EB488" s="29"/>
      <c r="EC488" s="29"/>
      <c r="ED488" s="29"/>
      <c r="EE488" s="29"/>
      <c r="EF488" s="29"/>
      <c r="EG488" s="29"/>
      <c r="EH488" s="29"/>
      <c r="EI488" s="29"/>
      <c r="EJ488" s="29"/>
      <c r="EK488" s="29"/>
      <c r="EL488" s="29"/>
      <c r="EM488" s="29"/>
      <c r="EN488" s="29"/>
      <c r="EO488" s="29"/>
      <c r="EP488" s="29"/>
      <c r="EQ488" s="29"/>
      <c r="ER488" s="29"/>
      <c r="ES488" s="29"/>
      <c r="ET488" s="29" t="s">
        <v>526</v>
      </c>
      <c r="EU488" s="29" t="s">
        <v>479</v>
      </c>
      <c r="EV488" s="29" t="s">
        <v>527</v>
      </c>
      <c r="EW488" s="29" t="s">
        <v>9542</v>
      </c>
      <c r="EX488" s="29" t="s">
        <v>9543</v>
      </c>
      <c r="EY488" s="29" t="s">
        <v>9544</v>
      </c>
      <c r="EZ488" s="29" t="s">
        <v>583</v>
      </c>
      <c r="FA488" s="29" t="s">
        <v>583</v>
      </c>
      <c r="FB488" s="29" t="s">
        <v>414</v>
      </c>
      <c r="FC488" s="29" t="s">
        <v>414</v>
      </c>
      <c r="FD488" s="29" t="s">
        <v>416</v>
      </c>
      <c r="FE488" s="29" t="s">
        <v>414</v>
      </c>
      <c r="FF488" s="29" t="s">
        <v>583</v>
      </c>
      <c r="FG488" s="29" t="s">
        <v>415</v>
      </c>
      <c r="FH488" s="29" t="s">
        <v>414</v>
      </c>
      <c r="FI488" s="29" t="s">
        <v>415</v>
      </c>
      <c r="FJ488" s="29" t="s">
        <v>414</v>
      </c>
      <c r="FK488" s="29" t="s">
        <v>415</v>
      </c>
      <c r="FL488" s="29" t="s">
        <v>414</v>
      </c>
      <c r="FM488" s="29" t="s">
        <v>416</v>
      </c>
      <c r="FN488" s="29" t="s">
        <v>583</v>
      </c>
      <c r="FO488" s="29" t="s">
        <v>417</v>
      </c>
      <c r="FP488" s="29" t="s">
        <v>418</v>
      </c>
      <c r="FQ488" s="29" t="s">
        <v>419</v>
      </c>
      <c r="FR488" s="29"/>
      <c r="FS488" s="29" t="s">
        <v>420</v>
      </c>
      <c r="FT488" s="29" t="s">
        <v>488</v>
      </c>
      <c r="FU488" s="29" t="s">
        <v>489</v>
      </c>
      <c r="FV488" s="29" t="s">
        <v>490</v>
      </c>
      <c r="FW488" s="29" t="s">
        <v>491</v>
      </c>
      <c r="FX488" s="29"/>
      <c r="FY488" s="29" t="s">
        <v>535</v>
      </c>
      <c r="FZ488" s="29"/>
      <c r="GA488" s="29" t="s">
        <v>9545</v>
      </c>
      <c r="GB488" s="29" t="s">
        <v>455</v>
      </c>
      <c r="GC488" s="29"/>
      <c r="GD488" s="29"/>
      <c r="GE488" s="29" t="s">
        <v>753</v>
      </c>
      <c r="GF488" s="29"/>
      <c r="GG488" s="29" t="s">
        <v>755</v>
      </c>
      <c r="GH488" s="29" t="s">
        <v>755</v>
      </c>
      <c r="GI488" s="29" t="s">
        <v>946</v>
      </c>
      <c r="GJ488" s="29"/>
      <c r="GK488" s="29"/>
      <c r="GL488" s="29"/>
      <c r="GM488" s="29"/>
      <c r="GN488" s="29"/>
      <c r="GO488" s="29"/>
      <c r="GP488" s="29"/>
      <c r="GQ488" s="29" t="s">
        <v>3208</v>
      </c>
      <c r="GR488" s="29"/>
      <c r="GS488" s="29"/>
      <c r="GT488" s="29" t="s">
        <v>4774</v>
      </c>
      <c r="GU488" s="29"/>
      <c r="HP488" s="31"/>
      <c r="MX488" s="29" t="s">
        <v>10402</v>
      </c>
      <c r="MY488" s="29" t="str">
        <f>IFERROR(__xludf.DUMMYFUNCTION("""COMPUTED_VALUE"""),"North Carolina")</f>
        <v>North Carolina</v>
      </c>
    </row>
    <row r="489" ht="16.5" customHeight="1">
      <c r="A489" s="33">
        <v>46122.46081304398</v>
      </c>
      <c r="B489" s="29" t="s">
        <v>368</v>
      </c>
      <c r="C489" s="29" t="s">
        <v>370</v>
      </c>
      <c r="D489" s="29" t="s">
        <v>370</v>
      </c>
      <c r="E489" s="29" t="s">
        <v>3955</v>
      </c>
      <c r="F489" s="29" t="s">
        <v>3955</v>
      </c>
      <c r="G489" s="29" t="s">
        <v>422</v>
      </c>
      <c r="H489" s="29" t="s">
        <v>637</v>
      </c>
      <c r="I489" s="29" t="s">
        <v>374</v>
      </c>
      <c r="J489" s="29" t="s">
        <v>758</v>
      </c>
      <c r="K489" s="29" t="s">
        <v>376</v>
      </c>
      <c r="L489" s="29" t="s">
        <v>379</v>
      </c>
      <c r="M489" s="29" t="s">
        <v>9546</v>
      </c>
      <c r="N489" s="29" t="s">
        <v>377</v>
      </c>
      <c r="O489" s="29" t="s">
        <v>497</v>
      </c>
      <c r="P489" s="29" t="s">
        <v>381</v>
      </c>
      <c r="Q489" s="29" t="s">
        <v>818</v>
      </c>
      <c r="R489" s="29" t="s">
        <v>427</v>
      </c>
      <c r="S489" s="29" t="s">
        <v>384</v>
      </c>
      <c r="T489" s="29" t="s">
        <v>385</v>
      </c>
      <c r="U489" s="29"/>
      <c r="V489" s="29"/>
      <c r="W489" s="29" t="s">
        <v>3014</v>
      </c>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t="s">
        <v>504</v>
      </c>
      <c r="AW489" s="29">
        <v>4.0</v>
      </c>
      <c r="AX489" s="29" t="s">
        <v>429</v>
      </c>
      <c r="AY489" s="29" t="s">
        <v>429</v>
      </c>
      <c r="AZ489" s="29" t="s">
        <v>429</v>
      </c>
      <c r="BA489" s="29" t="s">
        <v>429</v>
      </c>
      <c r="BB489" s="29" t="s">
        <v>429</v>
      </c>
      <c r="BC489" s="29" t="s">
        <v>9547</v>
      </c>
      <c r="BD489" s="29" t="s">
        <v>9548</v>
      </c>
      <c r="BE489" s="29" t="s">
        <v>432</v>
      </c>
      <c r="BF489" s="29" t="s">
        <v>433</v>
      </c>
      <c r="BG489" s="29" t="s">
        <v>765</v>
      </c>
      <c r="BH489" s="29" t="s">
        <v>9549</v>
      </c>
      <c r="BI489" s="29" t="s">
        <v>509</v>
      </c>
      <c r="BJ489" s="29"/>
      <c r="BK489" s="29" t="s">
        <v>681</v>
      </c>
      <c r="BL489" s="29" t="s">
        <v>512</v>
      </c>
      <c r="BM489" s="29" t="s">
        <v>439</v>
      </c>
      <c r="BN489" s="29" t="s">
        <v>513</v>
      </c>
      <c r="BO489" s="29"/>
      <c r="BP489" s="29"/>
      <c r="BQ489" s="29"/>
      <c r="BR489" s="29"/>
      <c r="BS489" s="29"/>
      <c r="BT489" s="29"/>
      <c r="BU489" s="29"/>
      <c r="BV489" s="29"/>
      <c r="BW489" s="29"/>
      <c r="BX489" s="29"/>
      <c r="BY489" s="29"/>
      <c r="BZ489" s="29"/>
      <c r="CA489" s="29"/>
      <c r="CB489" s="29"/>
      <c r="CC489" s="29"/>
      <c r="CD489" s="29"/>
      <c r="CE489" s="29"/>
      <c r="CF489" s="29"/>
      <c r="CG489" s="29"/>
      <c r="CH489" s="29"/>
      <c r="CI489" s="29"/>
      <c r="CJ489" s="29"/>
      <c r="CK489" s="29"/>
      <c r="CL489" s="29" t="s">
        <v>441</v>
      </c>
      <c r="CM489" s="29" t="s">
        <v>401</v>
      </c>
      <c r="CN489" s="29" t="s">
        <v>1313</v>
      </c>
      <c r="CO489" s="29" t="s">
        <v>9550</v>
      </c>
      <c r="CP489" s="29" t="s">
        <v>403</v>
      </c>
      <c r="CQ489" s="29" t="s">
        <v>1136</v>
      </c>
      <c r="CR489" s="29" t="s">
        <v>447</v>
      </c>
      <c r="CS489" s="29" t="s">
        <v>9551</v>
      </c>
      <c r="CT489" s="29"/>
      <c r="CU489" s="29" t="s">
        <v>450</v>
      </c>
      <c r="CV489" s="29" t="s">
        <v>451</v>
      </c>
      <c r="CW489" s="29" t="s">
        <v>9552</v>
      </c>
      <c r="CX489" s="29" t="s">
        <v>408</v>
      </c>
      <c r="CY489" s="29"/>
      <c r="CZ489" s="29" t="s">
        <v>453</v>
      </c>
      <c r="DA489" s="29" t="s">
        <v>9553</v>
      </c>
      <c r="DB489" s="29" t="s">
        <v>455</v>
      </c>
      <c r="DC489" s="29" t="s">
        <v>9554</v>
      </c>
      <c r="DD489" s="29" t="s">
        <v>662</v>
      </c>
      <c r="DE489" s="29"/>
      <c r="DF489" s="29"/>
      <c r="DG489" s="29" t="s">
        <v>561</v>
      </c>
      <c r="DH489" s="29" t="s">
        <v>410</v>
      </c>
      <c r="DI489" s="29" t="s">
        <v>459</v>
      </c>
      <c r="DJ489" s="29" t="s">
        <v>562</v>
      </c>
      <c r="DK489" s="29" t="s">
        <v>6335</v>
      </c>
      <c r="DL489" s="29"/>
      <c r="DM489" s="29"/>
      <c r="DN489" s="29"/>
      <c r="DO489" s="29"/>
      <c r="DP489" s="29"/>
      <c r="DQ489" s="29"/>
      <c r="DR489" s="29"/>
      <c r="DS489" s="29"/>
      <c r="DT489" s="29"/>
      <c r="DU489" s="29"/>
      <c r="DV489" s="29"/>
      <c r="DW489" s="29"/>
      <c r="DX489" s="29"/>
      <c r="DY489" s="29"/>
      <c r="DZ489" s="29"/>
      <c r="EA489" s="29"/>
      <c r="EB489" s="29"/>
      <c r="EC489" s="29"/>
      <c r="ED489" s="29"/>
      <c r="EE489" s="29"/>
      <c r="EF489" s="29"/>
      <c r="EG489" s="29"/>
      <c r="EH489" s="29"/>
      <c r="EI489" s="29"/>
      <c r="EJ489" s="29"/>
      <c r="EK489" s="29"/>
      <c r="EL489" s="29"/>
      <c r="EM489" s="29"/>
      <c r="EN489" s="29"/>
      <c r="EO489" s="29"/>
      <c r="EP489" s="29"/>
      <c r="EQ489" s="29"/>
      <c r="ER489" s="29"/>
      <c r="ES489" s="29"/>
      <c r="ET489" s="29" t="s">
        <v>526</v>
      </c>
      <c r="EU489" s="29" t="s">
        <v>479</v>
      </c>
      <c r="EV489" s="29" t="s">
        <v>1262</v>
      </c>
      <c r="EW489" s="29"/>
      <c r="EX489" s="29" t="s">
        <v>9555</v>
      </c>
      <c r="EY489" s="29" t="s">
        <v>9556</v>
      </c>
      <c r="EZ489" s="29" t="s">
        <v>583</v>
      </c>
      <c r="FA489" s="29" t="s">
        <v>583</v>
      </c>
      <c r="FB489" s="29" t="s">
        <v>583</v>
      </c>
      <c r="FC489" s="29" t="s">
        <v>583</v>
      </c>
      <c r="FD489" s="29" t="s">
        <v>415</v>
      </c>
      <c r="FE489" s="29" t="s">
        <v>583</v>
      </c>
      <c r="FF489" s="29" t="s">
        <v>583</v>
      </c>
      <c r="FG489" s="29" t="s">
        <v>416</v>
      </c>
      <c r="FH489" s="29" t="s">
        <v>414</v>
      </c>
      <c r="FI489" s="29" t="s">
        <v>583</v>
      </c>
      <c r="FJ489" s="29" t="s">
        <v>583</v>
      </c>
      <c r="FK489" s="29" t="s">
        <v>484</v>
      </c>
      <c r="FL489" s="29" t="s">
        <v>484</v>
      </c>
      <c r="FM489" s="29" t="s">
        <v>484</v>
      </c>
      <c r="FN489" s="29" t="s">
        <v>484</v>
      </c>
      <c r="FO489" s="29" t="s">
        <v>417</v>
      </c>
      <c r="FP489" s="29" t="s">
        <v>418</v>
      </c>
      <c r="FQ489" s="29" t="s">
        <v>419</v>
      </c>
      <c r="FR489" s="29"/>
      <c r="FS489" s="29" t="s">
        <v>420</v>
      </c>
      <c r="FT489" s="29" t="s">
        <v>488</v>
      </c>
      <c r="FU489" s="29" t="s">
        <v>533</v>
      </c>
      <c r="FV489" s="29" t="s">
        <v>490</v>
      </c>
      <c r="FW489" s="29" t="s">
        <v>491</v>
      </c>
      <c r="FX489" s="29"/>
      <c r="FY489" s="29" t="s">
        <v>535</v>
      </c>
      <c r="FZ489" s="29"/>
      <c r="GA489" s="29"/>
      <c r="GB489" s="29"/>
      <c r="GC489" s="29"/>
      <c r="GD489" s="29"/>
      <c r="GE489" s="29"/>
      <c r="GF489" s="29"/>
      <c r="GG489" s="29" t="s">
        <v>857</v>
      </c>
      <c r="GH489" s="29" t="s">
        <v>857</v>
      </c>
      <c r="GI489" s="29" t="s">
        <v>790</v>
      </c>
      <c r="GJ489" s="29"/>
      <c r="GK489" s="29"/>
      <c r="GL489" s="29"/>
      <c r="GM489" s="29"/>
      <c r="GN489" s="29"/>
      <c r="GO489" s="29"/>
      <c r="GP489" s="29"/>
      <c r="GQ489" s="29"/>
      <c r="GR489" s="29"/>
      <c r="GS489" s="29"/>
      <c r="GT489" s="29" t="s">
        <v>4774</v>
      </c>
      <c r="GU489" s="29"/>
      <c r="HP489" s="31"/>
      <c r="MX489" s="29" t="s">
        <v>10402</v>
      </c>
      <c r="MY489" s="29" t="str">
        <f>IFERROR(__xludf.DUMMYFUNCTION("""COMPUTED_VALUE"""),"Oklahoma")</f>
        <v>Oklahoma</v>
      </c>
    </row>
    <row r="490" ht="16.5" customHeight="1">
      <c r="A490" s="33">
        <v>46122.943459120375</v>
      </c>
      <c r="B490" s="29" t="s">
        <v>368</v>
      </c>
      <c r="C490" s="29" t="s">
        <v>370</v>
      </c>
      <c r="D490" s="29" t="s">
        <v>370</v>
      </c>
      <c r="E490" s="29" t="s">
        <v>2195</v>
      </c>
      <c r="F490" s="29" t="s">
        <v>2195</v>
      </c>
      <c r="G490" s="29" t="s">
        <v>422</v>
      </c>
      <c r="H490" s="29" t="s">
        <v>637</v>
      </c>
      <c r="I490" s="29" t="s">
        <v>638</v>
      </c>
      <c r="J490" s="29" t="s">
        <v>425</v>
      </c>
      <c r="K490" s="29" t="s">
        <v>376</v>
      </c>
      <c r="L490" s="29" t="s">
        <v>377</v>
      </c>
      <c r="M490" s="29" t="s">
        <v>2464</v>
      </c>
      <c r="N490" s="29" t="s">
        <v>377</v>
      </c>
      <c r="O490" s="29" t="s">
        <v>1024</v>
      </c>
      <c r="P490" s="29" t="s">
        <v>381</v>
      </c>
      <c r="Q490" s="29" t="s">
        <v>382</v>
      </c>
      <c r="R490" s="29" t="s">
        <v>427</v>
      </c>
      <c r="S490" s="29" t="s">
        <v>384</v>
      </c>
      <c r="T490" s="29" t="s">
        <v>385</v>
      </c>
      <c r="U490" s="29"/>
      <c r="V490" s="29"/>
      <c r="W490" s="29" t="s">
        <v>3014</v>
      </c>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t="s">
        <v>504</v>
      </c>
      <c r="AW490" s="29" t="s">
        <v>429</v>
      </c>
      <c r="AX490" s="29" t="s">
        <v>429</v>
      </c>
      <c r="AY490" s="29" t="s">
        <v>429</v>
      </c>
      <c r="AZ490" s="29" t="s">
        <v>429</v>
      </c>
      <c r="BA490" s="29" t="s">
        <v>429</v>
      </c>
      <c r="BB490" s="29" t="s">
        <v>429</v>
      </c>
      <c r="BC490" s="29" t="s">
        <v>9557</v>
      </c>
      <c r="BD490" s="29" t="s">
        <v>9558</v>
      </c>
      <c r="BE490" s="29" t="s">
        <v>392</v>
      </c>
      <c r="BF490" s="29" t="s">
        <v>433</v>
      </c>
      <c r="BG490" s="29" t="s">
        <v>678</v>
      </c>
      <c r="BH490" s="29" t="s">
        <v>9559</v>
      </c>
      <c r="BI490" s="29" t="s">
        <v>509</v>
      </c>
      <c r="BJ490" s="29" t="s">
        <v>9560</v>
      </c>
      <c r="BK490" s="29" t="s">
        <v>511</v>
      </c>
      <c r="BL490" s="29" t="s">
        <v>512</v>
      </c>
      <c r="BM490" s="29" t="s">
        <v>439</v>
      </c>
      <c r="BN490" s="29" t="s">
        <v>513</v>
      </c>
      <c r="BO490" s="29"/>
      <c r="BP490" s="29"/>
      <c r="BQ490" s="29"/>
      <c r="BR490" s="29"/>
      <c r="BS490" s="29"/>
      <c r="BT490" s="29"/>
      <c r="BU490" s="29"/>
      <c r="BV490" s="29"/>
      <c r="BW490" s="29"/>
      <c r="BX490" s="29"/>
      <c r="BY490" s="29"/>
      <c r="BZ490" s="29"/>
      <c r="CA490" s="29"/>
      <c r="CB490" s="29"/>
      <c r="CC490" s="29"/>
      <c r="CD490" s="29"/>
      <c r="CE490" s="29"/>
      <c r="CF490" s="29"/>
      <c r="CG490" s="29"/>
      <c r="CH490" s="29"/>
      <c r="CI490" s="29"/>
      <c r="CJ490" s="29"/>
      <c r="CK490" s="29"/>
      <c r="CL490" s="29" t="s">
        <v>441</v>
      </c>
      <c r="CM490" s="29" t="s">
        <v>442</v>
      </c>
      <c r="CN490" s="29" t="s">
        <v>9561</v>
      </c>
      <c r="CO490" s="29" t="s">
        <v>9562</v>
      </c>
      <c r="CP490" s="29" t="s">
        <v>445</v>
      </c>
      <c r="CQ490" s="29" t="s">
        <v>9563</v>
      </c>
      <c r="CR490" s="29" t="s">
        <v>404</v>
      </c>
      <c r="CS490" s="29" t="s">
        <v>9564</v>
      </c>
      <c r="CT490" s="29" t="s">
        <v>9565</v>
      </c>
      <c r="CU490" s="29" t="s">
        <v>450</v>
      </c>
      <c r="CV490" s="29" t="s">
        <v>451</v>
      </c>
      <c r="CW490" s="29" t="s">
        <v>9566</v>
      </c>
      <c r="CX490" s="29" t="s">
        <v>408</v>
      </c>
      <c r="CY490" s="29"/>
      <c r="CZ490" s="29" t="s">
        <v>453</v>
      </c>
      <c r="DA490" s="29" t="s">
        <v>9567</v>
      </c>
      <c r="DB490" s="29" t="s">
        <v>455</v>
      </c>
      <c r="DC490" s="29" t="s">
        <v>9568</v>
      </c>
      <c r="DD490" s="29" t="s">
        <v>406</v>
      </c>
      <c r="DE490" s="29" t="s">
        <v>407</v>
      </c>
      <c r="DF490" s="29" t="s">
        <v>9569</v>
      </c>
      <c r="DG490" s="29" t="s">
        <v>524</v>
      </c>
      <c r="DH490" s="29" t="s">
        <v>410</v>
      </c>
      <c r="DI490" s="29" t="s">
        <v>459</v>
      </c>
      <c r="DJ490" s="29" t="s">
        <v>460</v>
      </c>
      <c r="DK490" s="29" t="s">
        <v>6335</v>
      </c>
      <c r="DL490" s="29"/>
      <c r="DM490" s="29"/>
      <c r="DN490" s="29"/>
      <c r="DO490" s="29"/>
      <c r="DP490" s="29"/>
      <c r="DQ490" s="29"/>
      <c r="DR490" s="29"/>
      <c r="DS490" s="29"/>
      <c r="DT490" s="29"/>
      <c r="DU490" s="29"/>
      <c r="DV490" s="29"/>
      <c r="DW490" s="29"/>
      <c r="DX490" s="29"/>
      <c r="DY490" s="29"/>
      <c r="DZ490" s="29"/>
      <c r="EA490" s="29"/>
      <c r="EB490" s="29"/>
      <c r="EC490" s="29"/>
      <c r="ED490" s="29"/>
      <c r="EE490" s="29"/>
      <c r="EF490" s="29"/>
      <c r="EG490" s="29"/>
      <c r="EH490" s="29"/>
      <c r="EI490" s="29"/>
      <c r="EJ490" s="29"/>
      <c r="EK490" s="29"/>
      <c r="EL490" s="29"/>
      <c r="EM490" s="29"/>
      <c r="EN490" s="29"/>
      <c r="EO490" s="29"/>
      <c r="EP490" s="29"/>
      <c r="EQ490" s="29"/>
      <c r="ER490" s="29"/>
      <c r="ES490" s="29"/>
      <c r="ET490" s="29" t="s">
        <v>526</v>
      </c>
      <c r="EU490" s="29" t="s">
        <v>479</v>
      </c>
      <c r="EV490" s="29" t="s">
        <v>527</v>
      </c>
      <c r="EW490" s="29" t="s">
        <v>9570</v>
      </c>
      <c r="EX490" s="29" t="s">
        <v>9571</v>
      </c>
      <c r="EY490" s="29" t="s">
        <v>9572</v>
      </c>
      <c r="EZ490" s="29" t="s">
        <v>413</v>
      </c>
      <c r="FA490" s="29" t="s">
        <v>416</v>
      </c>
      <c r="FB490" s="29" t="s">
        <v>413</v>
      </c>
      <c r="FC490" s="29" t="s">
        <v>413</v>
      </c>
      <c r="FD490" s="29" t="s">
        <v>413</v>
      </c>
      <c r="FE490" s="29" t="s">
        <v>413</v>
      </c>
      <c r="FF490" s="29" t="s">
        <v>413</v>
      </c>
      <c r="FG490" s="29" t="s">
        <v>413</v>
      </c>
      <c r="FH490" s="29" t="s">
        <v>413</v>
      </c>
      <c r="FI490" s="29" t="s">
        <v>583</v>
      </c>
      <c r="FJ490" s="29" t="s">
        <v>413</v>
      </c>
      <c r="FK490" s="29" t="s">
        <v>414</v>
      </c>
      <c r="FL490" s="29" t="s">
        <v>414</v>
      </c>
      <c r="FM490" s="29" t="s">
        <v>414</v>
      </c>
      <c r="FN490" s="29" t="s">
        <v>414</v>
      </c>
      <c r="FO490" s="29" t="s">
        <v>417</v>
      </c>
      <c r="FP490" s="29" t="s">
        <v>418</v>
      </c>
      <c r="FQ490" s="29" t="s">
        <v>1039</v>
      </c>
      <c r="FR490" s="29" t="s">
        <v>9573</v>
      </c>
      <c r="FS490" s="29" t="s">
        <v>420</v>
      </c>
      <c r="FT490" s="29" t="s">
        <v>488</v>
      </c>
      <c r="FU490" s="29" t="s">
        <v>489</v>
      </c>
      <c r="FV490" s="29" t="s">
        <v>490</v>
      </c>
      <c r="FW490" s="29" t="s">
        <v>491</v>
      </c>
      <c r="FX490" s="29" t="s">
        <v>9574</v>
      </c>
      <c r="FY490" s="29" t="s">
        <v>535</v>
      </c>
      <c r="FZ490" s="29"/>
      <c r="GA490" s="29" t="s">
        <v>9575</v>
      </c>
      <c r="GB490" s="29" t="s">
        <v>455</v>
      </c>
      <c r="GC490" s="29"/>
      <c r="GD490" s="29"/>
      <c r="GE490" s="29" t="s">
        <v>753</v>
      </c>
      <c r="GF490" s="29" t="s">
        <v>9576</v>
      </c>
      <c r="GG490" s="29" t="s">
        <v>755</v>
      </c>
      <c r="GH490" s="29" t="s">
        <v>755</v>
      </c>
      <c r="GI490" s="29" t="s">
        <v>946</v>
      </c>
      <c r="GJ490" s="29"/>
      <c r="GK490" s="29"/>
      <c r="GL490" s="29"/>
      <c r="GM490" s="29"/>
      <c r="GN490" s="29"/>
      <c r="GO490" s="29"/>
      <c r="GP490" s="29"/>
      <c r="GQ490" s="29" t="s">
        <v>4653</v>
      </c>
      <c r="GR490" s="29"/>
      <c r="GS490" s="29"/>
      <c r="GT490" s="29" t="s">
        <v>5170</v>
      </c>
      <c r="GU490" s="29" t="s">
        <v>9577</v>
      </c>
      <c r="HP490" s="31"/>
      <c r="MX490" s="29" t="s">
        <v>10402</v>
      </c>
      <c r="MY490" s="29" t="str">
        <f>IFERROR(__xludf.DUMMYFUNCTION("""COMPUTED_VALUE"""),"New York")</f>
        <v>New York</v>
      </c>
    </row>
    <row r="491" ht="16.5" customHeight="1">
      <c r="A491" s="33">
        <v>46123.03185771991</v>
      </c>
      <c r="B491" s="29" t="s">
        <v>368</v>
      </c>
      <c r="C491" s="29" t="s">
        <v>370</v>
      </c>
      <c r="D491" s="29" t="s">
        <v>370</v>
      </c>
      <c r="E491" s="29" t="s">
        <v>667</v>
      </c>
      <c r="F491" s="29" t="s">
        <v>2359</v>
      </c>
      <c r="G491" s="29" t="s">
        <v>636</v>
      </c>
      <c r="H491" s="29" t="s">
        <v>373</v>
      </c>
      <c r="I491" s="29" t="s">
        <v>638</v>
      </c>
      <c r="J491" s="29" t="s">
        <v>425</v>
      </c>
      <c r="K491" s="29" t="s">
        <v>376</v>
      </c>
      <c r="L491" s="29" t="s">
        <v>379</v>
      </c>
      <c r="M491" s="29" t="s">
        <v>378</v>
      </c>
      <c r="N491" s="29" t="s">
        <v>379</v>
      </c>
      <c r="O491" s="29" t="s">
        <v>719</v>
      </c>
      <c r="P491" s="29" t="s">
        <v>381</v>
      </c>
      <c r="Q491" s="29" t="s">
        <v>499</v>
      </c>
      <c r="R491" s="29" t="s">
        <v>500</v>
      </c>
      <c r="S491" s="29" t="s">
        <v>384</v>
      </c>
      <c r="T491" s="29" t="s">
        <v>385</v>
      </c>
      <c r="U491" s="29"/>
      <c r="V491" s="29"/>
      <c r="W491" s="29" t="s">
        <v>386</v>
      </c>
      <c r="X491" s="29" t="s">
        <v>642</v>
      </c>
      <c r="Y491" s="29"/>
      <c r="Z491" s="29"/>
      <c r="AA491" s="29"/>
      <c r="AB491" s="29"/>
      <c r="AC491" s="29"/>
      <c r="AD491" s="29"/>
      <c r="AE491" s="29"/>
      <c r="AF491" s="29"/>
      <c r="AG491" s="29"/>
      <c r="AH491" s="29"/>
      <c r="AI491" s="29"/>
      <c r="AJ491" s="29"/>
      <c r="AK491" s="29"/>
      <c r="AL491" s="29" t="s">
        <v>1141</v>
      </c>
      <c r="AM491" s="29" t="s">
        <v>2253</v>
      </c>
      <c r="AN491" s="29" t="s">
        <v>408</v>
      </c>
      <c r="AO491" s="29"/>
      <c r="AP491" s="29" t="s">
        <v>1144</v>
      </c>
      <c r="AQ491" s="29">
        <v>5.0</v>
      </c>
      <c r="AR491" s="29" t="s">
        <v>1639</v>
      </c>
      <c r="AS491" s="29" t="s">
        <v>9579</v>
      </c>
      <c r="AT491" s="29" t="s">
        <v>9580</v>
      </c>
      <c r="AU491" s="29" t="s">
        <v>9581</v>
      </c>
      <c r="AV491" s="29" t="s">
        <v>1905</v>
      </c>
      <c r="AW491" s="29" t="s">
        <v>675</v>
      </c>
      <c r="AX491" s="29" t="s">
        <v>675</v>
      </c>
      <c r="AY491" s="29" t="s">
        <v>675</v>
      </c>
      <c r="AZ491" s="29" t="s">
        <v>675</v>
      </c>
      <c r="BA491" s="29" t="s">
        <v>675</v>
      </c>
      <c r="BB491" s="29" t="s">
        <v>675</v>
      </c>
      <c r="BC491" s="29" t="s">
        <v>9582</v>
      </c>
      <c r="BD491" s="29" t="s">
        <v>9583</v>
      </c>
      <c r="BE491" s="29" t="s">
        <v>1094</v>
      </c>
      <c r="BF491" s="29" t="s">
        <v>1245</v>
      </c>
      <c r="BG491" s="29" t="s">
        <v>394</v>
      </c>
      <c r="BH491" s="29" t="s">
        <v>9584</v>
      </c>
      <c r="BI491" s="29" t="s">
        <v>976</v>
      </c>
      <c r="BJ491" s="29" t="s">
        <v>9585</v>
      </c>
      <c r="BK491" s="29" t="s">
        <v>602</v>
      </c>
      <c r="BL491" s="29" t="s">
        <v>603</v>
      </c>
      <c r="BM491" s="29" t="s">
        <v>1276</v>
      </c>
      <c r="BN491" s="29" t="s">
        <v>398</v>
      </c>
      <c r="BO491" s="29" t="s">
        <v>9586</v>
      </c>
      <c r="BP491" s="29" t="s">
        <v>9587</v>
      </c>
      <c r="BQ491" s="29" t="s">
        <v>401</v>
      </c>
      <c r="BR491" s="29" t="s">
        <v>9588</v>
      </c>
      <c r="BS491" s="29" t="s">
        <v>403</v>
      </c>
      <c r="BT491" s="29" t="s">
        <v>404</v>
      </c>
      <c r="BU491" s="29" t="s">
        <v>405</v>
      </c>
      <c r="BV491" s="29" t="s">
        <v>9589</v>
      </c>
      <c r="BW491" s="29" t="s">
        <v>988</v>
      </c>
      <c r="BX491" s="29"/>
      <c r="BY491" s="29" t="s">
        <v>408</v>
      </c>
      <c r="BZ491" s="29"/>
      <c r="CA491" s="29"/>
      <c r="CB491" s="29" t="s">
        <v>9590</v>
      </c>
      <c r="CC491" s="29" t="s">
        <v>9591</v>
      </c>
      <c r="CD491" s="29" t="s">
        <v>1257</v>
      </c>
      <c r="CE491" s="29"/>
      <c r="CF491" s="29" t="s">
        <v>1697</v>
      </c>
      <c r="CG491" s="29" t="s">
        <v>9592</v>
      </c>
      <c r="CH491" s="29" t="s">
        <v>1259</v>
      </c>
      <c r="CI491" s="29" t="s">
        <v>410</v>
      </c>
      <c r="CJ491" s="29" t="s">
        <v>9593</v>
      </c>
      <c r="CK491" s="29" t="s">
        <v>9594</v>
      </c>
      <c r="CL491" s="29"/>
      <c r="CM491" s="29"/>
      <c r="CN491" s="29"/>
      <c r="CO491" s="29"/>
      <c r="CP491" s="29"/>
      <c r="CQ491" s="29"/>
      <c r="CR491" s="29"/>
      <c r="CS491" s="29"/>
      <c r="CT491" s="29"/>
      <c r="CU491" s="29"/>
      <c r="CV491" s="29"/>
      <c r="CW491" s="29"/>
      <c r="CX491" s="29"/>
      <c r="CY491" s="29"/>
      <c r="CZ491" s="29"/>
      <c r="DA491" s="29"/>
      <c r="DB491" s="29"/>
      <c r="DC491" s="29"/>
      <c r="DD491" s="29"/>
      <c r="DE491" s="29"/>
      <c r="DF491" s="29"/>
      <c r="DG491" s="29"/>
      <c r="DH491" s="29"/>
      <c r="DI491" s="29" t="s">
        <v>459</v>
      </c>
      <c r="DJ491" s="29" t="s">
        <v>562</v>
      </c>
      <c r="DK491" s="29" t="s">
        <v>6335</v>
      </c>
      <c r="DL491" s="29"/>
      <c r="DM491" s="29"/>
      <c r="DN491" s="29"/>
      <c r="DO491" s="29"/>
      <c r="DP491" s="29"/>
      <c r="DQ491" s="29"/>
      <c r="DR491" s="29"/>
      <c r="DS491" s="29"/>
      <c r="DT491" s="29"/>
      <c r="DU491" s="29"/>
      <c r="DV491" s="29"/>
      <c r="DW491" s="29"/>
      <c r="DX491" s="29"/>
      <c r="DY491" s="29"/>
      <c r="DZ491" s="29"/>
      <c r="EA491" s="29"/>
      <c r="EB491" s="29"/>
      <c r="EC491" s="29"/>
      <c r="ED491" s="29"/>
      <c r="EE491" s="29"/>
      <c r="EF491" s="29"/>
      <c r="EG491" s="29"/>
      <c r="EH491" s="29"/>
      <c r="EI491" s="29"/>
      <c r="EJ491" s="29"/>
      <c r="EK491" s="29"/>
      <c r="EL491" s="29"/>
      <c r="EM491" s="29"/>
      <c r="EN491" s="29"/>
      <c r="EO491" s="29"/>
      <c r="EP491" s="29"/>
      <c r="EQ491" s="29"/>
      <c r="ER491" s="29"/>
      <c r="ES491" s="29"/>
      <c r="ET491" s="29" t="s">
        <v>526</v>
      </c>
      <c r="EU491" s="29" t="s">
        <v>479</v>
      </c>
      <c r="EV491" s="29" t="s">
        <v>1534</v>
      </c>
      <c r="EW491" s="29" t="s">
        <v>9595</v>
      </c>
      <c r="EX491" s="29" t="s">
        <v>9596</v>
      </c>
      <c r="EY491" s="29" t="s">
        <v>9597</v>
      </c>
      <c r="EZ491" s="29" t="s">
        <v>583</v>
      </c>
      <c r="FA491" s="29" t="s">
        <v>583</v>
      </c>
      <c r="FB491" s="29" t="s">
        <v>583</v>
      </c>
      <c r="FC491" s="29" t="s">
        <v>583</v>
      </c>
      <c r="FD491" s="29" t="s">
        <v>415</v>
      </c>
      <c r="FE491" s="29" t="s">
        <v>583</v>
      </c>
      <c r="FF491" s="29" t="s">
        <v>484</v>
      </c>
      <c r="FG491" s="29" t="s">
        <v>484</v>
      </c>
      <c r="FH491" s="29" t="s">
        <v>484</v>
      </c>
      <c r="FI491" s="29" t="s">
        <v>583</v>
      </c>
      <c r="FJ491" s="29" t="s">
        <v>583</v>
      </c>
      <c r="FK491" s="29" t="s">
        <v>484</v>
      </c>
      <c r="FL491" s="29" t="s">
        <v>484</v>
      </c>
      <c r="FM491" s="29" t="s">
        <v>484</v>
      </c>
      <c r="FN491" s="29" t="s">
        <v>484</v>
      </c>
      <c r="FO491" s="29" t="s">
        <v>485</v>
      </c>
      <c r="FP491" s="29" t="s">
        <v>418</v>
      </c>
      <c r="FQ491" s="29" t="s">
        <v>749</v>
      </c>
      <c r="FR491" s="29" t="s">
        <v>9598</v>
      </c>
      <c r="FS491" s="29" t="s">
        <v>420</v>
      </c>
      <c r="FT491" s="29" t="s">
        <v>488</v>
      </c>
      <c r="FU491" s="29" t="s">
        <v>533</v>
      </c>
      <c r="FV491" s="29" t="s">
        <v>490</v>
      </c>
      <c r="FW491" s="29" t="s">
        <v>491</v>
      </c>
      <c r="FX491" s="29" t="s">
        <v>9599</v>
      </c>
      <c r="FY491" s="29" t="s">
        <v>535</v>
      </c>
      <c r="FZ491" s="29"/>
      <c r="GA491" s="29" t="s">
        <v>9600</v>
      </c>
      <c r="GB491" s="29" t="s">
        <v>408</v>
      </c>
      <c r="GC491" s="29"/>
      <c r="GD491" s="29"/>
      <c r="GE491" s="29"/>
      <c r="GF491" s="29"/>
      <c r="GG491" s="29"/>
      <c r="GH491" s="29"/>
      <c r="GI491" s="29"/>
      <c r="GJ491" s="29" t="s">
        <v>755</v>
      </c>
      <c r="GK491" s="29" t="s">
        <v>755</v>
      </c>
      <c r="GL491" s="29" t="s">
        <v>946</v>
      </c>
      <c r="GM491" s="29"/>
      <c r="GN491" s="29"/>
      <c r="GO491" s="29"/>
      <c r="GP491" s="29"/>
      <c r="GQ491" s="29" t="s">
        <v>3208</v>
      </c>
      <c r="GR491" s="29" t="s">
        <v>4774</v>
      </c>
      <c r="GS491" s="29"/>
      <c r="GT491" s="29"/>
      <c r="GU491" s="29"/>
      <c r="HP491" s="31"/>
      <c r="MX491" s="29" t="s">
        <v>10402</v>
      </c>
      <c r="MY491" s="29" t="str">
        <f>IFERROR(__xludf.DUMMYFUNCTION("""COMPUTED_VALUE"""),"North Carolina")</f>
        <v>North Carolina</v>
      </c>
    </row>
    <row r="492" ht="16.5" customHeight="1">
      <c r="A492" s="33">
        <v>46123.75352236111</v>
      </c>
      <c r="B492" s="29" t="s">
        <v>368</v>
      </c>
      <c r="C492" s="29" t="s">
        <v>370</v>
      </c>
      <c r="D492" s="29" t="s">
        <v>370</v>
      </c>
      <c r="E492" s="29" t="s">
        <v>3955</v>
      </c>
      <c r="F492" s="29" t="s">
        <v>3955</v>
      </c>
      <c r="G492" s="29" t="s">
        <v>422</v>
      </c>
      <c r="H492" s="29" t="s">
        <v>373</v>
      </c>
      <c r="I492" s="29" t="s">
        <v>374</v>
      </c>
      <c r="J492" s="29" t="s">
        <v>425</v>
      </c>
      <c r="K492" s="29" t="s">
        <v>376</v>
      </c>
      <c r="L492" s="29" t="s">
        <v>591</v>
      </c>
      <c r="M492" s="29" t="s">
        <v>378</v>
      </c>
      <c r="N492" s="29" t="s">
        <v>591</v>
      </c>
      <c r="O492" s="29" t="s">
        <v>719</v>
      </c>
      <c r="P492" s="29" t="s">
        <v>592</v>
      </c>
      <c r="Q492" s="29" t="s">
        <v>862</v>
      </c>
      <c r="R492" s="29" t="s">
        <v>949</v>
      </c>
      <c r="S492" s="29" t="s">
        <v>384</v>
      </c>
      <c r="T492" s="29" t="s">
        <v>385</v>
      </c>
      <c r="U492" s="29"/>
      <c r="V492" s="29"/>
      <c r="W492" s="29" t="s">
        <v>386</v>
      </c>
      <c r="X492" s="29" t="s">
        <v>387</v>
      </c>
      <c r="Y492" s="29" t="s">
        <v>2115</v>
      </c>
      <c r="Z492" s="29" t="s">
        <v>672</v>
      </c>
      <c r="AA492" s="29" t="s">
        <v>9603</v>
      </c>
      <c r="AB492" s="29" t="s">
        <v>9604</v>
      </c>
      <c r="AC492" s="29"/>
      <c r="AD492" s="29"/>
      <c r="AE492" s="29"/>
      <c r="AF492" s="29"/>
      <c r="AG492" s="29"/>
      <c r="AH492" s="29"/>
      <c r="AI492" s="29"/>
      <c r="AJ492" s="29"/>
      <c r="AK492" s="29"/>
      <c r="AL492" s="29"/>
      <c r="AM492" s="29"/>
      <c r="AN492" s="29"/>
      <c r="AO492" s="29"/>
      <c r="AP492" s="29"/>
      <c r="AQ492" s="29"/>
      <c r="AR492" s="29"/>
      <c r="AS492" s="29"/>
      <c r="AT492" s="29"/>
      <c r="AU492" s="29"/>
      <c r="AV492" s="29" t="s">
        <v>597</v>
      </c>
      <c r="AW492" s="29">
        <v>2.0</v>
      </c>
      <c r="AX492" s="29">
        <v>2.0</v>
      </c>
      <c r="AY492" s="29">
        <v>2.0</v>
      </c>
      <c r="AZ492" s="29" t="s">
        <v>429</v>
      </c>
      <c r="BA492" s="29">
        <v>2.0</v>
      </c>
      <c r="BB492" s="29">
        <v>2.0</v>
      </c>
      <c r="BC492" s="29" t="s">
        <v>9605</v>
      </c>
      <c r="BD492" s="29" t="s">
        <v>9606</v>
      </c>
      <c r="BE492" s="29" t="s">
        <v>902</v>
      </c>
      <c r="BF492" s="29" t="s">
        <v>433</v>
      </c>
      <c r="BG492" s="29" t="s">
        <v>678</v>
      </c>
      <c r="BH492" s="29" t="s">
        <v>9607</v>
      </c>
      <c r="BI492" s="29" t="s">
        <v>509</v>
      </c>
      <c r="BJ492" s="29" t="s">
        <v>9608</v>
      </c>
      <c r="BK492" s="29" t="s">
        <v>681</v>
      </c>
      <c r="BL492" s="29" t="s">
        <v>438</v>
      </c>
      <c r="BM492" s="29" t="s">
        <v>549</v>
      </c>
      <c r="BN492" s="29" t="s">
        <v>440</v>
      </c>
      <c r="BO492" s="29"/>
      <c r="BP492" s="29"/>
      <c r="BQ492" s="29"/>
      <c r="BR492" s="29"/>
      <c r="BS492" s="29"/>
      <c r="BT492" s="29"/>
      <c r="BU492" s="29"/>
      <c r="BV492" s="29"/>
      <c r="BW492" s="29"/>
      <c r="BX492" s="29"/>
      <c r="BY492" s="29"/>
      <c r="BZ492" s="29"/>
      <c r="CA492" s="29"/>
      <c r="CB492" s="29"/>
      <c r="CC492" s="29"/>
      <c r="CD492" s="29"/>
      <c r="CE492" s="29"/>
      <c r="CF492" s="29"/>
      <c r="CG492" s="29"/>
      <c r="CH492" s="29"/>
      <c r="CI492" s="29"/>
      <c r="CJ492" s="29"/>
      <c r="CK492" s="29"/>
      <c r="CL492" s="29" t="s">
        <v>441</v>
      </c>
      <c r="CM492" s="29" t="s">
        <v>604</v>
      </c>
      <c r="CN492" s="29" t="s">
        <v>9609</v>
      </c>
      <c r="CO492" s="29" t="s">
        <v>9610</v>
      </c>
      <c r="CP492" s="29" t="s">
        <v>445</v>
      </c>
      <c r="CQ492" s="29" t="s">
        <v>9611</v>
      </c>
      <c r="CR492" s="29" t="s">
        <v>447</v>
      </c>
      <c r="CS492" s="29" t="s">
        <v>556</v>
      </c>
      <c r="CT492" s="29" t="s">
        <v>9612</v>
      </c>
      <c r="CU492" s="29" t="s">
        <v>450</v>
      </c>
      <c r="CV492" s="29" t="s">
        <v>451</v>
      </c>
      <c r="CW492" s="29" t="s">
        <v>9613</v>
      </c>
      <c r="CX492" s="29" t="s">
        <v>408</v>
      </c>
      <c r="CY492" s="29"/>
      <c r="CZ492" s="29" t="s">
        <v>453</v>
      </c>
      <c r="DA492" s="29" t="s">
        <v>9614</v>
      </c>
      <c r="DB492" s="29" t="s">
        <v>455</v>
      </c>
      <c r="DC492" s="29" t="s">
        <v>9615</v>
      </c>
      <c r="DD492" s="29" t="s">
        <v>457</v>
      </c>
      <c r="DE492" s="29"/>
      <c r="DF492" s="29" t="s">
        <v>9616</v>
      </c>
      <c r="DG492" s="29" t="s">
        <v>524</v>
      </c>
      <c r="DH492" s="29" t="s">
        <v>410</v>
      </c>
      <c r="DI492" s="29" t="s">
        <v>459</v>
      </c>
      <c r="DJ492" s="29" t="s">
        <v>613</v>
      </c>
      <c r="DK492" s="29"/>
      <c r="DL492" s="29"/>
      <c r="DM492" s="29" t="s">
        <v>9617</v>
      </c>
      <c r="DN492" s="29" t="s">
        <v>9618</v>
      </c>
      <c r="DO492" s="29" t="s">
        <v>1063</v>
      </c>
      <c r="DP492" s="29" t="s">
        <v>9619</v>
      </c>
      <c r="DQ492" s="29" t="s">
        <v>1176</v>
      </c>
      <c r="DR492" s="29" t="s">
        <v>9620</v>
      </c>
      <c r="DS492" s="29" t="s">
        <v>6617</v>
      </c>
      <c r="DT492" s="29" t="s">
        <v>6618</v>
      </c>
      <c r="DU492" s="29" t="s">
        <v>9621</v>
      </c>
      <c r="DV492" s="29" t="s">
        <v>9622</v>
      </c>
      <c r="DW492" s="29" t="s">
        <v>622</v>
      </c>
      <c r="DX492" s="29" t="s">
        <v>9623</v>
      </c>
      <c r="DY492" s="29" t="s">
        <v>9624</v>
      </c>
      <c r="DZ492" s="29" t="s">
        <v>9625</v>
      </c>
      <c r="EA492" s="29" t="s">
        <v>475</v>
      </c>
      <c r="EB492" s="29" t="s">
        <v>845</v>
      </c>
      <c r="EC492" s="29" t="s">
        <v>9626</v>
      </c>
      <c r="ED492" s="29"/>
      <c r="EE492" s="29"/>
      <c r="EF492" s="29"/>
      <c r="EG492" s="29"/>
      <c r="EH492" s="29"/>
      <c r="EI492" s="29"/>
      <c r="EJ492" s="29"/>
      <c r="EK492" s="29"/>
      <c r="EL492" s="29"/>
      <c r="EM492" s="29"/>
      <c r="EN492" s="29"/>
      <c r="EO492" s="29"/>
      <c r="EP492" s="29"/>
      <c r="EQ492" s="29"/>
      <c r="ER492" s="29"/>
      <c r="ES492" s="29"/>
      <c r="ET492" s="29" t="s">
        <v>478</v>
      </c>
      <c r="EU492" s="29" t="s">
        <v>887</v>
      </c>
      <c r="EV492" s="29" t="s">
        <v>480</v>
      </c>
      <c r="EW492" s="29" t="s">
        <v>9627</v>
      </c>
      <c r="EX492" s="29" t="s">
        <v>9628</v>
      </c>
      <c r="EY492" s="29" t="s">
        <v>9629</v>
      </c>
      <c r="EZ492" s="29" t="s">
        <v>583</v>
      </c>
      <c r="FA492" s="29" t="s">
        <v>583</v>
      </c>
      <c r="FB492" s="29" t="s">
        <v>583</v>
      </c>
      <c r="FC492" s="29" t="s">
        <v>583</v>
      </c>
      <c r="FD492" s="29" t="s">
        <v>416</v>
      </c>
      <c r="FE492" s="29" t="s">
        <v>583</v>
      </c>
      <c r="FF492" s="29" t="s">
        <v>415</v>
      </c>
      <c r="FG492" s="29" t="s">
        <v>416</v>
      </c>
      <c r="FH492" s="29" t="s">
        <v>583</v>
      </c>
      <c r="FI492" s="29" t="s">
        <v>583</v>
      </c>
      <c r="FJ492" s="29" t="s">
        <v>583</v>
      </c>
      <c r="FK492" s="29" t="s">
        <v>415</v>
      </c>
      <c r="FL492" s="29" t="s">
        <v>415</v>
      </c>
      <c r="FM492" s="29" t="s">
        <v>415</v>
      </c>
      <c r="FN492" s="29" t="s">
        <v>415</v>
      </c>
      <c r="FO492" s="29" t="s">
        <v>485</v>
      </c>
      <c r="FP492" s="29" t="s">
        <v>418</v>
      </c>
      <c r="FQ492" s="29" t="s">
        <v>419</v>
      </c>
      <c r="FR492" s="29" t="s">
        <v>9630</v>
      </c>
      <c r="FS492" s="29" t="s">
        <v>420</v>
      </c>
      <c r="FT492" s="29" t="s">
        <v>488</v>
      </c>
      <c r="FU492" s="29" t="s">
        <v>533</v>
      </c>
      <c r="FV492" s="29" t="s">
        <v>490</v>
      </c>
      <c r="FW492" s="29" t="s">
        <v>491</v>
      </c>
      <c r="FX492" s="29" t="s">
        <v>9631</v>
      </c>
      <c r="FY492" s="29" t="s">
        <v>535</v>
      </c>
      <c r="FZ492" s="29" t="s">
        <v>9632</v>
      </c>
      <c r="GA492" s="29"/>
      <c r="GB492" s="29" t="s">
        <v>455</v>
      </c>
      <c r="GC492" s="29"/>
      <c r="GD492" s="29"/>
      <c r="GE492" s="29" t="s">
        <v>1339</v>
      </c>
      <c r="GF492" s="29"/>
      <c r="GG492" s="29" t="s">
        <v>920</v>
      </c>
      <c r="GH492" s="29" t="s">
        <v>755</v>
      </c>
      <c r="GI492" s="29" t="s">
        <v>946</v>
      </c>
      <c r="GJ492" s="29"/>
      <c r="GK492" s="29"/>
      <c r="GL492" s="29"/>
      <c r="GM492" s="29" t="s">
        <v>1079</v>
      </c>
      <c r="GN492" s="29"/>
      <c r="GO492" s="29"/>
      <c r="GP492" s="29"/>
      <c r="GQ492" s="29" t="s">
        <v>3208</v>
      </c>
      <c r="GR492" s="29"/>
      <c r="GS492" s="29"/>
      <c r="GT492" s="29" t="s">
        <v>5039</v>
      </c>
      <c r="GU492" s="29" t="s">
        <v>9633</v>
      </c>
      <c r="HP492" s="31"/>
      <c r="MX492" s="29" t="s">
        <v>1341</v>
      </c>
      <c r="MY492" s="29" t="str">
        <f>IFERROR(__xludf.DUMMYFUNCTION("""COMPUTED_VALUE"""),"Germany")</f>
        <v>Germany</v>
      </c>
    </row>
    <row r="493" ht="16.5" customHeight="1">
      <c r="A493" s="33">
        <v>46124.27076814815</v>
      </c>
      <c r="B493" s="29" t="s">
        <v>368</v>
      </c>
      <c r="C493" s="29" t="s">
        <v>1341</v>
      </c>
      <c r="D493" s="29" t="s">
        <v>1341</v>
      </c>
      <c r="E493" s="29"/>
      <c r="F493" s="29"/>
      <c r="G493" s="29" t="s">
        <v>422</v>
      </c>
      <c r="H493" s="29" t="s">
        <v>539</v>
      </c>
      <c r="I493" s="29" t="s">
        <v>424</v>
      </c>
      <c r="J493" s="29" t="s">
        <v>718</v>
      </c>
      <c r="K493" s="29" t="s">
        <v>376</v>
      </c>
      <c r="L493" s="29"/>
      <c r="M493" s="29"/>
      <c r="N493" s="29"/>
      <c r="O493" s="29"/>
      <c r="P493" s="29"/>
      <c r="Q493" s="29"/>
      <c r="R493" s="29" t="s">
        <v>427</v>
      </c>
      <c r="S493" s="29" t="s">
        <v>384</v>
      </c>
      <c r="T493" s="29" t="s">
        <v>385</v>
      </c>
      <c r="U493" s="29"/>
      <c r="V493" s="29"/>
      <c r="W493" s="29" t="s">
        <v>3014</v>
      </c>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t="s">
        <v>1310</v>
      </c>
      <c r="AW493" s="29" t="s">
        <v>675</v>
      </c>
      <c r="AX493" s="29">
        <v>4.0</v>
      </c>
      <c r="AY493" s="29" t="s">
        <v>429</v>
      </c>
      <c r="AZ493" s="29" t="s">
        <v>429</v>
      </c>
      <c r="BA493" s="29" t="s">
        <v>429</v>
      </c>
      <c r="BB493" s="29">
        <v>4.0</v>
      </c>
      <c r="BC493" s="29" t="s">
        <v>9639</v>
      </c>
      <c r="BD493" s="29" t="s">
        <v>9640</v>
      </c>
      <c r="BE493" s="29" t="s">
        <v>2379</v>
      </c>
      <c r="BF493" s="29" t="s">
        <v>1095</v>
      </c>
      <c r="BG493" s="29" t="s">
        <v>765</v>
      </c>
      <c r="BH493" s="29"/>
      <c r="BI493" s="29" t="s">
        <v>727</v>
      </c>
      <c r="BJ493" s="29"/>
      <c r="BK493" s="29" t="s">
        <v>511</v>
      </c>
      <c r="BL493" s="29" t="s">
        <v>438</v>
      </c>
      <c r="BM493" s="29" t="s">
        <v>1247</v>
      </c>
      <c r="BN493" s="29" t="s">
        <v>513</v>
      </c>
      <c r="BO493" s="29"/>
      <c r="BP493" s="29"/>
      <c r="BQ493" s="29"/>
      <c r="BR493" s="29"/>
      <c r="BS493" s="29"/>
      <c r="BT493" s="29"/>
      <c r="BU493" s="29"/>
      <c r="BV493" s="29"/>
      <c r="BW493" s="29"/>
      <c r="BX493" s="29"/>
      <c r="BY493" s="29"/>
      <c r="BZ493" s="29"/>
      <c r="CA493" s="29"/>
      <c r="CB493" s="29"/>
      <c r="CC493" s="29"/>
      <c r="CD493" s="29"/>
      <c r="CE493" s="29"/>
      <c r="CF493" s="29"/>
      <c r="CG493" s="29"/>
      <c r="CH493" s="29"/>
      <c r="CI493" s="29"/>
      <c r="CJ493" s="29"/>
      <c r="CK493" s="29"/>
      <c r="CL493" s="29" t="s">
        <v>682</v>
      </c>
      <c r="CM493" s="29" t="s">
        <v>604</v>
      </c>
      <c r="CN493" s="29" t="s">
        <v>8920</v>
      </c>
      <c r="CO493" s="29" t="s">
        <v>9641</v>
      </c>
      <c r="CP493" s="29"/>
      <c r="CQ493" s="29"/>
      <c r="CR493" s="29"/>
      <c r="CS493" s="29"/>
      <c r="CT493" s="29"/>
      <c r="CU493" s="29" t="s">
        <v>982</v>
      </c>
      <c r="CV493" s="29" t="s">
        <v>959</v>
      </c>
      <c r="CW493" s="29"/>
      <c r="CX493" s="29"/>
      <c r="CY493" s="29"/>
      <c r="CZ493" s="29"/>
      <c r="DA493" s="29"/>
      <c r="DB493" s="29"/>
      <c r="DC493" s="29"/>
      <c r="DD493" s="29"/>
      <c r="DE493" s="29"/>
      <c r="DF493" s="29"/>
      <c r="DG493" s="29" t="s">
        <v>990</v>
      </c>
      <c r="DH493" s="29"/>
      <c r="DI493" s="29" t="s">
        <v>963</v>
      </c>
      <c r="DJ493" s="29"/>
      <c r="DK493" s="29"/>
      <c r="DL493" s="29"/>
      <c r="DM493" s="29"/>
      <c r="DN493" s="29"/>
      <c r="DO493" s="29"/>
      <c r="DP493" s="29"/>
      <c r="DQ493" s="29"/>
      <c r="DR493" s="29"/>
      <c r="DS493" s="29"/>
      <c r="DT493" s="29"/>
      <c r="DU493" s="29"/>
      <c r="DV493" s="29"/>
      <c r="DW493" s="29"/>
      <c r="DX493" s="29"/>
      <c r="DY493" s="29"/>
      <c r="DZ493" s="29"/>
      <c r="EA493" s="29"/>
      <c r="EB493" s="29"/>
      <c r="EC493" s="29"/>
      <c r="ED493" s="29"/>
      <c r="EE493" s="29"/>
      <c r="EF493" s="29"/>
      <c r="EG493" s="29"/>
      <c r="EH493" s="29"/>
      <c r="EI493" s="29"/>
      <c r="EJ493" s="29"/>
      <c r="EK493" s="29"/>
      <c r="EL493" s="29"/>
      <c r="EM493" s="29"/>
      <c r="EN493" s="29"/>
      <c r="EO493" s="29"/>
      <c r="EP493" s="29"/>
      <c r="EQ493" s="29"/>
      <c r="ER493" s="29"/>
      <c r="ES493" s="29"/>
      <c r="ET493" s="29"/>
      <c r="EU493" s="29"/>
      <c r="EV493" s="29"/>
      <c r="EW493" s="29"/>
      <c r="EX493" s="29"/>
      <c r="EY493" s="29"/>
      <c r="EZ493" s="29"/>
      <c r="FA493" s="29"/>
      <c r="FB493" s="29"/>
      <c r="FC493" s="29"/>
      <c r="FD493" s="29"/>
      <c r="FE493" s="29"/>
      <c r="FF493" s="29"/>
      <c r="FG493" s="29"/>
      <c r="FH493" s="29"/>
      <c r="FI493" s="29"/>
      <c r="FJ493" s="29"/>
      <c r="FK493" s="29"/>
      <c r="FL493" s="29"/>
      <c r="FM493" s="29"/>
      <c r="FN493" s="29"/>
      <c r="FO493" s="29" t="s">
        <v>1537</v>
      </c>
      <c r="FP493" s="29" t="s">
        <v>3218</v>
      </c>
      <c r="FQ493" s="29" t="s">
        <v>419</v>
      </c>
      <c r="FR493" s="29"/>
      <c r="FS493" s="29" t="s">
        <v>1871</v>
      </c>
      <c r="FT493" s="29"/>
      <c r="FU493" s="29" t="s">
        <v>1235</v>
      </c>
      <c r="FV493" s="29"/>
      <c r="FW493" s="29"/>
      <c r="FX493" s="29"/>
      <c r="FY493" s="29"/>
      <c r="FZ493" s="29"/>
      <c r="GA493" s="29"/>
      <c r="GB493" s="29"/>
      <c r="GC493" s="29"/>
      <c r="GD493" s="29"/>
      <c r="GE493" s="29"/>
      <c r="GF493" s="29"/>
      <c r="GG493" s="29" t="s">
        <v>755</v>
      </c>
      <c r="GH493" s="29"/>
      <c r="GI493" s="29"/>
      <c r="GJ493" s="29"/>
      <c r="GK493" s="29"/>
      <c r="GL493" s="29"/>
      <c r="GM493" s="29"/>
      <c r="GN493" s="29" t="s">
        <v>1341</v>
      </c>
      <c r="GO493" s="29"/>
      <c r="GP493" s="29"/>
      <c r="GQ493" s="29"/>
      <c r="GR493" s="29"/>
      <c r="GS493" s="29"/>
      <c r="GT493" s="29" t="s">
        <v>4774</v>
      </c>
      <c r="GU493" s="29"/>
      <c r="HP493" s="31"/>
      <c r="MX493" s="29" t="s">
        <v>10402</v>
      </c>
      <c r="MY493" s="29" t="str">
        <f>IFERROR(__xludf.DUMMYFUNCTION("""COMPUTED_VALUE"""),"California")</f>
        <v>California</v>
      </c>
    </row>
    <row r="494" ht="16.5" customHeight="1">
      <c r="A494" s="33">
        <v>46124.78037094907</v>
      </c>
      <c r="B494" s="29" t="s">
        <v>368</v>
      </c>
      <c r="C494" s="29" t="s">
        <v>370</v>
      </c>
      <c r="D494" s="29" t="s">
        <v>370</v>
      </c>
      <c r="E494" s="29" t="s">
        <v>371</v>
      </c>
      <c r="F494" s="29" t="s">
        <v>371</v>
      </c>
      <c r="G494" s="29" t="s">
        <v>422</v>
      </c>
      <c r="H494" s="29" t="s">
        <v>1921</v>
      </c>
      <c r="I494" s="29" t="s">
        <v>668</v>
      </c>
      <c r="J494" s="29" t="s">
        <v>425</v>
      </c>
      <c r="K494" s="29" t="s">
        <v>376</v>
      </c>
      <c r="L494" s="29" t="s">
        <v>426</v>
      </c>
      <c r="M494" s="29" t="s">
        <v>378</v>
      </c>
      <c r="N494" s="29" t="s">
        <v>426</v>
      </c>
      <c r="O494" s="29" t="s">
        <v>9642</v>
      </c>
      <c r="P494" s="29" t="s">
        <v>592</v>
      </c>
      <c r="Q494" s="29" t="s">
        <v>499</v>
      </c>
      <c r="R494" s="29" t="s">
        <v>641</v>
      </c>
      <c r="S494" s="29" t="s">
        <v>384</v>
      </c>
      <c r="T494" s="29" t="s">
        <v>385</v>
      </c>
      <c r="U494" s="29"/>
      <c r="V494" s="29"/>
      <c r="W494" s="29" t="s">
        <v>386</v>
      </c>
      <c r="X494" s="29" t="s">
        <v>387</v>
      </c>
      <c r="Y494" s="29" t="s">
        <v>1824</v>
      </c>
      <c r="Z494" s="29" t="s">
        <v>543</v>
      </c>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t="s">
        <v>390</v>
      </c>
      <c r="AW494" s="29" t="s">
        <v>391</v>
      </c>
      <c r="AX494" s="29" t="s">
        <v>391</v>
      </c>
      <c r="AY494" s="29">
        <v>2.0</v>
      </c>
      <c r="AZ494" s="29">
        <v>2.0</v>
      </c>
      <c r="BA494" s="29" t="s">
        <v>429</v>
      </c>
      <c r="BB494" s="29">
        <v>2.0</v>
      </c>
      <c r="BC494" s="29"/>
      <c r="BD494" s="29"/>
      <c r="BE494" s="29" t="s">
        <v>2379</v>
      </c>
      <c r="BF494" s="29" t="s">
        <v>1095</v>
      </c>
      <c r="BG494" s="29" t="s">
        <v>678</v>
      </c>
      <c r="BH494" s="29"/>
      <c r="BI494" s="29" t="s">
        <v>727</v>
      </c>
      <c r="BJ494" s="29"/>
      <c r="BK494" s="29" t="s">
        <v>681</v>
      </c>
      <c r="BL494" s="29" t="s">
        <v>512</v>
      </c>
      <c r="BM494" s="29" t="s">
        <v>1276</v>
      </c>
      <c r="BN494" s="29" t="s">
        <v>513</v>
      </c>
      <c r="BO494" s="29"/>
      <c r="BP494" s="29"/>
      <c r="BQ494" s="29"/>
      <c r="BR494" s="29"/>
      <c r="BS494" s="29"/>
      <c r="BT494" s="29"/>
      <c r="BU494" s="29"/>
      <c r="BV494" s="29"/>
      <c r="BW494" s="29"/>
      <c r="BX494" s="29"/>
      <c r="BY494" s="29"/>
      <c r="BZ494" s="29"/>
      <c r="CA494" s="29"/>
      <c r="CB494" s="29"/>
      <c r="CC494" s="29"/>
      <c r="CD494" s="29"/>
      <c r="CE494" s="29"/>
      <c r="CF494" s="29"/>
      <c r="CG494" s="29"/>
      <c r="CH494" s="29"/>
      <c r="CI494" s="29"/>
      <c r="CJ494" s="29"/>
      <c r="CK494" s="29"/>
      <c r="CL494" s="29" t="s">
        <v>441</v>
      </c>
      <c r="CM494" s="29" t="s">
        <v>401</v>
      </c>
      <c r="CN494" s="29" t="s">
        <v>1313</v>
      </c>
      <c r="CO494" s="29" t="s">
        <v>9643</v>
      </c>
      <c r="CP494" s="29" t="s">
        <v>1008</v>
      </c>
      <c r="CQ494" s="29" t="s">
        <v>1467</v>
      </c>
      <c r="CR494" s="29" t="s">
        <v>447</v>
      </c>
      <c r="CS494" s="29" t="s">
        <v>4693</v>
      </c>
      <c r="CT494" s="29"/>
      <c r="CU494" s="29" t="s">
        <v>450</v>
      </c>
      <c r="CV494" s="29" t="s">
        <v>451</v>
      </c>
      <c r="CW494" s="29" t="s">
        <v>9644</v>
      </c>
      <c r="CX494" s="29" t="s">
        <v>408</v>
      </c>
      <c r="CY494" s="29"/>
      <c r="CZ494" s="29" t="s">
        <v>985</v>
      </c>
      <c r="DA494" s="29"/>
      <c r="DB494" s="29" t="s">
        <v>408</v>
      </c>
      <c r="DC494" s="29"/>
      <c r="DD494" s="29" t="s">
        <v>988</v>
      </c>
      <c r="DE494" s="29" t="s">
        <v>407</v>
      </c>
      <c r="DF494" s="29"/>
      <c r="DG494" s="29" t="s">
        <v>524</v>
      </c>
      <c r="DH494" s="29" t="s">
        <v>410</v>
      </c>
      <c r="DI494" s="29" t="s">
        <v>963</v>
      </c>
      <c r="DJ494" s="29" t="s">
        <v>562</v>
      </c>
      <c r="DK494" s="29" t="s">
        <v>6603</v>
      </c>
      <c r="DL494" s="29" t="s">
        <v>9645</v>
      </c>
      <c r="DM494" s="29"/>
      <c r="DN494" s="29"/>
      <c r="DO494" s="29"/>
      <c r="DP494" s="29"/>
      <c r="DQ494" s="29"/>
      <c r="DR494" s="29"/>
      <c r="DS494" s="29"/>
      <c r="DT494" s="29"/>
      <c r="DU494" s="29"/>
      <c r="DV494" s="29"/>
      <c r="DW494" s="29"/>
      <c r="DX494" s="29"/>
      <c r="DY494" s="29"/>
      <c r="DZ494" s="29"/>
      <c r="EA494" s="29"/>
      <c r="EB494" s="29"/>
      <c r="EC494" s="29"/>
      <c r="ED494" s="29"/>
      <c r="EE494" s="29"/>
      <c r="EF494" s="29"/>
      <c r="EG494" s="29"/>
      <c r="EH494" s="29"/>
      <c r="EI494" s="29"/>
      <c r="EJ494" s="29"/>
      <c r="EK494" s="29"/>
      <c r="EL494" s="29"/>
      <c r="EM494" s="29"/>
      <c r="EN494" s="29"/>
      <c r="EO494" s="29"/>
      <c r="EP494" s="29"/>
      <c r="EQ494" s="29"/>
      <c r="ER494" s="29"/>
      <c r="ES494" s="29"/>
      <c r="ET494" s="29" t="s">
        <v>478</v>
      </c>
      <c r="EU494" s="29" t="s">
        <v>479</v>
      </c>
      <c r="EV494" s="29" t="s">
        <v>480</v>
      </c>
      <c r="EW494" s="29" t="s">
        <v>9646</v>
      </c>
      <c r="EX494" s="29"/>
      <c r="EY494" s="29"/>
      <c r="EZ494" s="29" t="s">
        <v>413</v>
      </c>
      <c r="FA494" s="29" t="s">
        <v>413</v>
      </c>
      <c r="FB494" s="29" t="s">
        <v>413</v>
      </c>
      <c r="FC494" s="29" t="s">
        <v>413</v>
      </c>
      <c r="FD494" s="29" t="s">
        <v>413</v>
      </c>
      <c r="FE494" s="29" t="s">
        <v>413</v>
      </c>
      <c r="FF494" s="29" t="s">
        <v>413</v>
      </c>
      <c r="FG494" s="29" t="s">
        <v>413</v>
      </c>
      <c r="FH494" s="29" t="s">
        <v>413</v>
      </c>
      <c r="FI494" s="29" t="s">
        <v>413</v>
      </c>
      <c r="FJ494" s="29" t="s">
        <v>413</v>
      </c>
      <c r="FK494" s="29" t="s">
        <v>413</v>
      </c>
      <c r="FL494" s="29" t="s">
        <v>413</v>
      </c>
      <c r="FM494" s="29" t="s">
        <v>413</v>
      </c>
      <c r="FN494" s="29" t="s">
        <v>413</v>
      </c>
      <c r="FO494" s="29" t="s">
        <v>417</v>
      </c>
      <c r="FP494" s="29" t="s">
        <v>418</v>
      </c>
      <c r="FQ494" s="29" t="s">
        <v>419</v>
      </c>
      <c r="FR494" s="29"/>
      <c r="FS494" s="29" t="s">
        <v>420</v>
      </c>
      <c r="FT494" s="29" t="s">
        <v>488</v>
      </c>
      <c r="FU494" s="29" t="s">
        <v>918</v>
      </c>
      <c r="FV494" s="29" t="s">
        <v>490</v>
      </c>
      <c r="FW494" s="29" t="s">
        <v>491</v>
      </c>
      <c r="FX494" s="29"/>
      <c r="FY494" s="29" t="s">
        <v>535</v>
      </c>
      <c r="FZ494" s="29" t="s">
        <v>9647</v>
      </c>
      <c r="GA494" s="29"/>
      <c r="GB494" s="29" t="s">
        <v>455</v>
      </c>
      <c r="GC494" s="29"/>
      <c r="GD494" s="29"/>
      <c r="GE494" s="29" t="s">
        <v>753</v>
      </c>
      <c r="GF494" s="29"/>
      <c r="GG494" s="29" t="s">
        <v>857</v>
      </c>
      <c r="GH494" s="29" t="s">
        <v>857</v>
      </c>
      <c r="GI494" s="29" t="s">
        <v>790</v>
      </c>
      <c r="GJ494" s="29"/>
      <c r="GK494" s="29"/>
      <c r="GL494" s="29"/>
      <c r="GM494" s="29"/>
      <c r="GN494" s="29"/>
      <c r="GO494" s="29"/>
      <c r="GP494" s="29"/>
      <c r="GQ494" s="29" t="s">
        <v>6251</v>
      </c>
      <c r="GR494" s="29"/>
      <c r="GS494" s="29"/>
      <c r="GT494" s="29" t="s">
        <v>5318</v>
      </c>
      <c r="GU494" s="29"/>
      <c r="HP494" s="31"/>
      <c r="MX494" s="29" t="s">
        <v>538</v>
      </c>
      <c r="MY494" s="29" t="str">
        <f>IFERROR(__xludf.DUMMYFUNCTION("""COMPUTED_VALUE"""),"United Kingdom")</f>
        <v>United Kingdom</v>
      </c>
    </row>
    <row r="495" ht="16.5" customHeight="1">
      <c r="A495" s="33">
        <v>46125.61132210648</v>
      </c>
      <c r="B495" s="29" t="s">
        <v>368</v>
      </c>
      <c r="C495" s="29" t="s">
        <v>538</v>
      </c>
      <c r="D495" s="29" t="s">
        <v>538</v>
      </c>
      <c r="E495" s="29"/>
      <c r="F495" s="29"/>
      <c r="G495" s="29" t="s">
        <v>636</v>
      </c>
      <c r="H495" s="29" t="s">
        <v>637</v>
      </c>
      <c r="I495" s="29" t="s">
        <v>638</v>
      </c>
      <c r="J495" s="29" t="s">
        <v>540</v>
      </c>
      <c r="K495" s="29" t="s">
        <v>376</v>
      </c>
      <c r="L495" s="29" t="s">
        <v>377</v>
      </c>
      <c r="M495" s="29" t="s">
        <v>541</v>
      </c>
      <c r="N495" s="29" t="s">
        <v>793</v>
      </c>
      <c r="O495" s="29" t="s">
        <v>639</v>
      </c>
      <c r="P495" s="29" t="s">
        <v>592</v>
      </c>
      <c r="Q495" s="29" t="s">
        <v>1004</v>
      </c>
      <c r="R495" s="29" t="s">
        <v>500</v>
      </c>
      <c r="S495" s="29" t="s">
        <v>384</v>
      </c>
      <c r="T495" s="29" t="s">
        <v>385</v>
      </c>
      <c r="U495" s="29"/>
      <c r="V495" s="29"/>
      <c r="W495" s="29" t="s">
        <v>3231</v>
      </c>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t="s">
        <v>1242</v>
      </c>
      <c r="AW495" s="29" t="s">
        <v>675</v>
      </c>
      <c r="AX495" s="29" t="s">
        <v>675</v>
      </c>
      <c r="AY495" s="29">
        <v>4.0</v>
      </c>
      <c r="AZ495" s="29" t="s">
        <v>391</v>
      </c>
      <c r="BA495" s="29" t="s">
        <v>429</v>
      </c>
      <c r="BB495" s="29" t="s">
        <v>675</v>
      </c>
      <c r="BC495" s="29" t="s">
        <v>9649</v>
      </c>
      <c r="BD495" s="29" t="s">
        <v>9650</v>
      </c>
      <c r="BE495" s="29" t="s">
        <v>2379</v>
      </c>
      <c r="BF495" s="29" t="s">
        <v>1245</v>
      </c>
      <c r="BG495" s="29" t="s">
        <v>678</v>
      </c>
      <c r="BH495" s="29" t="s">
        <v>9651</v>
      </c>
      <c r="BI495" s="29" t="s">
        <v>976</v>
      </c>
      <c r="BJ495" s="29" t="s">
        <v>9652</v>
      </c>
      <c r="BK495" s="29" t="s">
        <v>681</v>
      </c>
      <c r="BL495" s="29" t="s">
        <v>603</v>
      </c>
      <c r="BM495" s="29" t="s">
        <v>1314</v>
      </c>
      <c r="BN495" s="29" t="s">
        <v>513</v>
      </c>
      <c r="BO495" s="29"/>
      <c r="BP495" s="29"/>
      <c r="BQ495" s="29"/>
      <c r="BR495" s="29"/>
      <c r="BS495" s="29"/>
      <c r="BT495" s="29"/>
      <c r="BU495" s="29"/>
      <c r="BV495" s="29"/>
      <c r="BW495" s="29"/>
      <c r="BX495" s="29"/>
      <c r="BY495" s="29"/>
      <c r="BZ495" s="29"/>
      <c r="CA495" s="29"/>
      <c r="CB495" s="29"/>
      <c r="CC495" s="29"/>
      <c r="CD495" s="29"/>
      <c r="CE495" s="29"/>
      <c r="CF495" s="29"/>
      <c r="CG495" s="29"/>
      <c r="CH495" s="29"/>
      <c r="CI495" s="29"/>
      <c r="CJ495" s="29"/>
      <c r="CK495" s="29"/>
      <c r="CL495" s="29" t="s">
        <v>441</v>
      </c>
      <c r="CM495" s="29" t="s">
        <v>604</v>
      </c>
      <c r="CN495" s="29" t="s">
        <v>9653</v>
      </c>
      <c r="CO495" s="29" t="s">
        <v>9654</v>
      </c>
      <c r="CP495" s="29" t="s">
        <v>445</v>
      </c>
      <c r="CQ495" s="29" t="s">
        <v>9655</v>
      </c>
      <c r="CR495" s="29" t="s">
        <v>555</v>
      </c>
      <c r="CS495" s="29" t="s">
        <v>9656</v>
      </c>
      <c r="CT495" s="29" t="s">
        <v>9657</v>
      </c>
      <c r="CU495" s="29" t="s">
        <v>3167</v>
      </c>
      <c r="CV495" s="29" t="s">
        <v>1931</v>
      </c>
      <c r="CW495" s="29" t="s">
        <v>9658</v>
      </c>
      <c r="CX495" s="29" t="s">
        <v>408</v>
      </c>
      <c r="CY495" s="29"/>
      <c r="CZ495" s="29" t="s">
        <v>453</v>
      </c>
      <c r="DA495" s="29" t="s">
        <v>9659</v>
      </c>
      <c r="DB495" s="29" t="s">
        <v>408</v>
      </c>
      <c r="DC495" s="29"/>
      <c r="DD495" s="29" t="s">
        <v>457</v>
      </c>
      <c r="DE495" s="29"/>
      <c r="DF495" s="29" t="s">
        <v>9660</v>
      </c>
      <c r="DG495" s="29" t="s">
        <v>693</v>
      </c>
      <c r="DH495" s="29" t="s">
        <v>833</v>
      </c>
      <c r="DI495" s="29" t="s">
        <v>459</v>
      </c>
      <c r="DJ495" s="29" t="s">
        <v>562</v>
      </c>
      <c r="DK495" s="29" t="s">
        <v>6335</v>
      </c>
      <c r="DL495" s="29"/>
      <c r="DM495" s="29"/>
      <c r="DN495" s="29"/>
      <c r="DO495" s="29"/>
      <c r="DP495" s="29"/>
      <c r="DQ495" s="29"/>
      <c r="DR495" s="29"/>
      <c r="DS495" s="29"/>
      <c r="DT495" s="29"/>
      <c r="DU495" s="29"/>
      <c r="DV495" s="29"/>
      <c r="DW495" s="29"/>
      <c r="DX495" s="29"/>
      <c r="DY495" s="29"/>
      <c r="DZ495" s="29"/>
      <c r="EA495" s="29"/>
      <c r="EB495" s="29"/>
      <c r="EC495" s="29"/>
      <c r="ED495" s="29"/>
      <c r="EE495" s="29"/>
      <c r="EF495" s="29"/>
      <c r="EG495" s="29"/>
      <c r="EH495" s="29"/>
      <c r="EI495" s="29"/>
      <c r="EJ495" s="29"/>
      <c r="EK495" s="29"/>
      <c r="EL495" s="29"/>
      <c r="EM495" s="29"/>
      <c r="EN495" s="29"/>
      <c r="EO495" s="29"/>
      <c r="EP495" s="29"/>
      <c r="EQ495" s="29"/>
      <c r="ER495" s="29"/>
      <c r="ES495" s="29"/>
      <c r="ET495" s="29" t="s">
        <v>2747</v>
      </c>
      <c r="EU495" s="29" t="s">
        <v>1037</v>
      </c>
      <c r="EV495" s="29" t="s">
        <v>1534</v>
      </c>
      <c r="EW495" s="29" t="s">
        <v>9661</v>
      </c>
      <c r="EX495" s="29" t="s">
        <v>9662</v>
      </c>
      <c r="EY495" s="29" t="s">
        <v>9663</v>
      </c>
      <c r="EZ495" s="29" t="s">
        <v>583</v>
      </c>
      <c r="FA495" s="29" t="s">
        <v>583</v>
      </c>
      <c r="FB495" s="29" t="s">
        <v>583</v>
      </c>
      <c r="FC495" s="29" t="s">
        <v>583</v>
      </c>
      <c r="FD495" s="29" t="s">
        <v>413</v>
      </c>
      <c r="FE495" s="29" t="s">
        <v>583</v>
      </c>
      <c r="FF495" s="29" t="s">
        <v>583</v>
      </c>
      <c r="FG495" s="29" t="s">
        <v>583</v>
      </c>
      <c r="FH495" s="29" t="s">
        <v>583</v>
      </c>
      <c r="FI495" s="29" t="s">
        <v>583</v>
      </c>
      <c r="FJ495" s="29" t="s">
        <v>415</v>
      </c>
      <c r="FK495" s="29" t="s">
        <v>414</v>
      </c>
      <c r="FL495" s="29" t="s">
        <v>414</v>
      </c>
      <c r="FM495" s="29" t="s">
        <v>583</v>
      </c>
      <c r="FN495" s="29" t="s">
        <v>583</v>
      </c>
      <c r="FO495" s="29" t="s">
        <v>1537</v>
      </c>
      <c r="FP495" s="29" t="s">
        <v>486</v>
      </c>
      <c r="FQ495" s="29" t="s">
        <v>419</v>
      </c>
      <c r="FR495" s="29" t="s">
        <v>9664</v>
      </c>
      <c r="FS495" s="29" t="s">
        <v>1871</v>
      </c>
      <c r="FT495" s="29" t="s">
        <v>1462</v>
      </c>
      <c r="FU495" s="29"/>
      <c r="FV495" s="29" t="s">
        <v>2136</v>
      </c>
      <c r="FW495" s="29" t="s">
        <v>1853</v>
      </c>
      <c r="FX495" s="29" t="s">
        <v>9665</v>
      </c>
      <c r="FY495" s="29" t="s">
        <v>1854</v>
      </c>
      <c r="FZ495" s="29"/>
      <c r="GA495" s="29"/>
      <c r="GB495" s="29" t="s">
        <v>455</v>
      </c>
      <c r="GC495" s="29"/>
      <c r="GD495" s="29"/>
      <c r="GE495" s="29" t="s">
        <v>944</v>
      </c>
      <c r="GF495" s="29" t="s">
        <v>9666</v>
      </c>
      <c r="GG495" s="29" t="s">
        <v>755</v>
      </c>
      <c r="GH495" s="29" t="s">
        <v>755</v>
      </c>
      <c r="GI495" s="29" t="s">
        <v>817</v>
      </c>
      <c r="GJ495" s="29"/>
      <c r="GK495" s="29"/>
      <c r="GL495" s="29"/>
      <c r="GM495" s="29"/>
      <c r="GN495" s="29"/>
      <c r="GO495" s="29"/>
      <c r="GP495" s="29" t="s">
        <v>9667</v>
      </c>
      <c r="GQ495" s="29" t="s">
        <v>3306</v>
      </c>
      <c r="GR495" s="29"/>
      <c r="GS495" s="29"/>
      <c r="GT495" s="29" t="s">
        <v>4774</v>
      </c>
      <c r="GU495" s="29"/>
      <c r="HP495" s="31"/>
      <c r="MX495" s="29" t="s">
        <v>3570</v>
      </c>
      <c r="MY495" s="29" t="str">
        <f>IFERROR(__xludf.DUMMYFUNCTION("""COMPUTED_VALUE"""),"Colombia")</f>
        <v>Colombia</v>
      </c>
    </row>
    <row r="496" ht="16.5" customHeight="1">
      <c r="A496" s="33">
        <v>46126.372135682876</v>
      </c>
      <c r="B496" s="29" t="s">
        <v>368</v>
      </c>
      <c r="C496" s="29" t="s">
        <v>3570</v>
      </c>
      <c r="D496" s="29" t="s">
        <v>370</v>
      </c>
      <c r="E496" s="29"/>
      <c r="F496" s="29" t="s">
        <v>2376</v>
      </c>
      <c r="G496" s="29" t="s">
        <v>372</v>
      </c>
      <c r="H496" s="29" t="s">
        <v>373</v>
      </c>
      <c r="I496" s="29" t="s">
        <v>374</v>
      </c>
      <c r="J496" s="29" t="s">
        <v>375</v>
      </c>
      <c r="K496" s="29" t="s">
        <v>1383</v>
      </c>
      <c r="L496" s="29" t="s">
        <v>591</v>
      </c>
      <c r="M496" s="29" t="s">
        <v>541</v>
      </c>
      <c r="N496" s="29" t="s">
        <v>426</v>
      </c>
      <c r="O496" s="29" t="s">
        <v>380</v>
      </c>
      <c r="P496" s="29" t="s">
        <v>498</v>
      </c>
      <c r="Q496" s="29" t="s">
        <v>499</v>
      </c>
      <c r="R496" s="29" t="s">
        <v>1197</v>
      </c>
      <c r="S496" s="29" t="s">
        <v>384</v>
      </c>
      <c r="T496" s="29" t="s">
        <v>385</v>
      </c>
      <c r="U496" s="29"/>
      <c r="V496" s="29"/>
      <c r="W496" s="29" t="s">
        <v>3014</v>
      </c>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t="s">
        <v>1310</v>
      </c>
      <c r="AW496" s="29">
        <v>4.0</v>
      </c>
      <c r="AX496" s="29" t="s">
        <v>391</v>
      </c>
      <c r="AY496" s="29">
        <v>2.0</v>
      </c>
      <c r="AZ496" s="29" t="s">
        <v>391</v>
      </c>
      <c r="BA496" s="29">
        <v>4.0</v>
      </c>
      <c r="BB496" s="29" t="s">
        <v>675</v>
      </c>
      <c r="BC496" s="29" t="s">
        <v>9668</v>
      </c>
      <c r="BD496" s="29" t="s">
        <v>9669</v>
      </c>
      <c r="BE496" s="29" t="s">
        <v>392</v>
      </c>
      <c r="BF496" s="29" t="s">
        <v>393</v>
      </c>
      <c r="BG496" s="29" t="s">
        <v>725</v>
      </c>
      <c r="BH496" s="29" t="s">
        <v>9670</v>
      </c>
      <c r="BI496" s="29" t="s">
        <v>435</v>
      </c>
      <c r="BJ496" s="29" t="s">
        <v>9671</v>
      </c>
      <c r="BK496" s="29" t="s">
        <v>437</v>
      </c>
      <c r="BL496" s="29" t="s">
        <v>603</v>
      </c>
      <c r="BM496" s="29" t="s">
        <v>1247</v>
      </c>
      <c r="BN496" s="29" t="s">
        <v>398</v>
      </c>
      <c r="BO496" s="29" t="s">
        <v>9672</v>
      </c>
      <c r="BP496" s="29" t="s">
        <v>9673</v>
      </c>
      <c r="BQ496" s="29" t="s">
        <v>401</v>
      </c>
      <c r="BR496" s="29" t="s">
        <v>7925</v>
      </c>
      <c r="BS496" s="29" t="s">
        <v>403</v>
      </c>
      <c r="BT496" s="29" t="s">
        <v>4072</v>
      </c>
      <c r="BU496" s="29" t="s">
        <v>1772</v>
      </c>
      <c r="BV496" s="29" t="s">
        <v>9674</v>
      </c>
      <c r="BW496" s="29" t="s">
        <v>3582</v>
      </c>
      <c r="BX496" s="29"/>
      <c r="BY496" s="29" t="s">
        <v>455</v>
      </c>
      <c r="BZ496" s="29" t="s">
        <v>9675</v>
      </c>
      <c r="CA496" s="29" t="s">
        <v>9676</v>
      </c>
      <c r="CB496" s="29" t="s">
        <v>9677</v>
      </c>
      <c r="CC496" s="29" t="s">
        <v>9678</v>
      </c>
      <c r="CD496" s="29" t="s">
        <v>409</v>
      </c>
      <c r="CE496" s="29" t="s">
        <v>9679</v>
      </c>
      <c r="CF496" s="29" t="s">
        <v>1749</v>
      </c>
      <c r="CG496" s="29" t="s">
        <v>9680</v>
      </c>
      <c r="CH496" s="29" t="s">
        <v>1679</v>
      </c>
      <c r="CI496" s="29" t="s">
        <v>833</v>
      </c>
      <c r="CJ496" s="29" t="s">
        <v>9681</v>
      </c>
      <c r="CK496" s="29" t="s">
        <v>9682</v>
      </c>
      <c r="CL496" s="29"/>
      <c r="CM496" s="29"/>
      <c r="CN496" s="29"/>
      <c r="CO496" s="29"/>
      <c r="CP496" s="29"/>
      <c r="CQ496" s="29"/>
      <c r="CR496" s="29"/>
      <c r="CS496" s="29"/>
      <c r="CT496" s="29"/>
      <c r="CU496" s="29"/>
      <c r="CV496" s="29"/>
      <c r="CW496" s="29"/>
      <c r="CX496" s="29"/>
      <c r="CY496" s="29"/>
      <c r="CZ496" s="29"/>
      <c r="DA496" s="29"/>
      <c r="DB496" s="29"/>
      <c r="DC496" s="29"/>
      <c r="DD496" s="29"/>
      <c r="DE496" s="29"/>
      <c r="DF496" s="29"/>
      <c r="DG496" s="29"/>
      <c r="DH496" s="29"/>
      <c r="DI496" s="29" t="s">
        <v>459</v>
      </c>
      <c r="DJ496" s="29" t="s">
        <v>460</v>
      </c>
      <c r="DK496" s="29" t="s">
        <v>6319</v>
      </c>
      <c r="DL496" s="29"/>
      <c r="DM496" s="29"/>
      <c r="DN496" s="29"/>
      <c r="DO496" s="29"/>
      <c r="DP496" s="29"/>
      <c r="DQ496" s="29"/>
      <c r="DR496" s="29"/>
      <c r="DS496" s="29"/>
      <c r="DT496" s="29"/>
      <c r="DU496" s="29"/>
      <c r="DV496" s="29"/>
      <c r="DW496" s="29"/>
      <c r="DX496" s="29"/>
      <c r="DY496" s="29"/>
      <c r="DZ496" s="29"/>
      <c r="EA496" s="29"/>
      <c r="EB496" s="29"/>
      <c r="EC496" s="29"/>
      <c r="ED496" s="29"/>
      <c r="EE496" s="29"/>
      <c r="EF496" s="29"/>
      <c r="EG496" s="29"/>
      <c r="EH496" s="29"/>
      <c r="EI496" s="29"/>
      <c r="EJ496" s="29"/>
      <c r="EK496" s="29"/>
      <c r="EL496" s="29"/>
      <c r="EM496" s="29"/>
      <c r="EN496" s="29"/>
      <c r="EO496" s="29"/>
      <c r="EP496" s="29"/>
      <c r="EQ496" s="29"/>
      <c r="ER496" s="29"/>
      <c r="ES496" s="29"/>
      <c r="ET496" s="29" t="s">
        <v>578</v>
      </c>
      <c r="EU496" s="29" t="s">
        <v>479</v>
      </c>
      <c r="EV496" s="29" t="s">
        <v>480</v>
      </c>
      <c r="EW496" s="29" t="s">
        <v>9683</v>
      </c>
      <c r="EX496" s="29" t="s">
        <v>9684</v>
      </c>
      <c r="EY496" s="29" t="s">
        <v>9685</v>
      </c>
      <c r="EZ496" s="29" t="s">
        <v>583</v>
      </c>
      <c r="FA496" s="29" t="s">
        <v>583</v>
      </c>
      <c r="FB496" s="29" t="s">
        <v>583</v>
      </c>
      <c r="FC496" s="29" t="s">
        <v>583</v>
      </c>
      <c r="FD496" s="29" t="s">
        <v>583</v>
      </c>
      <c r="FE496" s="29" t="s">
        <v>583</v>
      </c>
      <c r="FF496" s="29" t="s">
        <v>583</v>
      </c>
      <c r="FG496" s="29" t="s">
        <v>583</v>
      </c>
      <c r="FH496" s="29" t="s">
        <v>583</v>
      </c>
      <c r="FI496" s="29" t="s">
        <v>583</v>
      </c>
      <c r="FJ496" s="29" t="s">
        <v>583</v>
      </c>
      <c r="FK496" s="29" t="s">
        <v>583</v>
      </c>
      <c r="FL496" s="29" t="s">
        <v>583</v>
      </c>
      <c r="FM496" s="29" t="s">
        <v>413</v>
      </c>
      <c r="FN496" s="29" t="s">
        <v>414</v>
      </c>
      <c r="FO496" s="29" t="s">
        <v>850</v>
      </c>
      <c r="FP496" s="29" t="s">
        <v>418</v>
      </c>
      <c r="FQ496" s="29" t="s">
        <v>419</v>
      </c>
      <c r="FR496" s="29" t="s">
        <v>9686</v>
      </c>
      <c r="FS496" s="29" t="s">
        <v>995</v>
      </c>
      <c r="FT496" s="29" t="s">
        <v>1462</v>
      </c>
      <c r="FU496" s="29" t="s">
        <v>533</v>
      </c>
      <c r="FV496" s="29" t="s">
        <v>490</v>
      </c>
      <c r="FW496" s="29" t="s">
        <v>491</v>
      </c>
      <c r="FX496" s="29" t="s">
        <v>9687</v>
      </c>
      <c r="FY496" s="29" t="s">
        <v>493</v>
      </c>
      <c r="FZ496" s="29"/>
      <c r="GA496" s="29"/>
      <c r="GB496" s="29" t="s">
        <v>455</v>
      </c>
      <c r="GC496" s="29"/>
      <c r="GD496" s="29"/>
      <c r="GE496" s="29" t="s">
        <v>753</v>
      </c>
      <c r="GF496" s="29"/>
      <c r="GG496" s="29"/>
      <c r="GH496" s="29"/>
      <c r="GI496" s="29"/>
      <c r="GJ496" s="29" t="s">
        <v>755</v>
      </c>
      <c r="GK496" s="29" t="s">
        <v>755</v>
      </c>
      <c r="GL496" s="29" t="s">
        <v>946</v>
      </c>
      <c r="GM496" s="29"/>
      <c r="GN496" s="29" t="s">
        <v>9688</v>
      </c>
      <c r="GO496" s="29"/>
      <c r="GP496" s="29"/>
      <c r="GQ496" s="29" t="s">
        <v>3208</v>
      </c>
      <c r="GR496" s="29" t="s">
        <v>4774</v>
      </c>
      <c r="GS496" s="29"/>
      <c r="GT496" s="29"/>
      <c r="GU496" s="29"/>
      <c r="HP496" s="31"/>
      <c r="MX496" s="29" t="s">
        <v>10402</v>
      </c>
      <c r="MY496" s="29" t="str">
        <f>IFERROR(__xludf.DUMMYFUNCTION("""COMPUTED_VALUE"""),"California")</f>
        <v>California</v>
      </c>
    </row>
    <row r="497" ht="16.5" customHeight="1">
      <c r="A497" s="33">
        <v>46126.609716817125</v>
      </c>
      <c r="B497" s="29" t="s">
        <v>368</v>
      </c>
      <c r="C497" s="29" t="s">
        <v>370</v>
      </c>
      <c r="D497" s="29" t="s">
        <v>370</v>
      </c>
      <c r="E497" s="29" t="s">
        <v>371</v>
      </c>
      <c r="F497" s="29" t="s">
        <v>371</v>
      </c>
      <c r="G497" s="29" t="s">
        <v>422</v>
      </c>
      <c r="H497" s="29" t="s">
        <v>1921</v>
      </c>
      <c r="I497" s="29" t="s">
        <v>668</v>
      </c>
      <c r="J497" s="29" t="s">
        <v>718</v>
      </c>
      <c r="K497" s="29" t="s">
        <v>376</v>
      </c>
      <c r="L497" s="29" t="s">
        <v>379</v>
      </c>
      <c r="M497" s="29" t="s">
        <v>2966</v>
      </c>
      <c r="N497" s="29" t="s">
        <v>379</v>
      </c>
      <c r="O497" s="29" t="s">
        <v>497</v>
      </c>
      <c r="P497" s="29" t="s">
        <v>381</v>
      </c>
      <c r="Q497" s="29" t="s">
        <v>499</v>
      </c>
      <c r="R497" s="29" t="s">
        <v>500</v>
      </c>
      <c r="S497" s="29" t="s">
        <v>384</v>
      </c>
      <c r="T497" s="29" t="s">
        <v>385</v>
      </c>
      <c r="U497" s="29"/>
      <c r="V497" s="29"/>
      <c r="W497" s="29" t="s">
        <v>593</v>
      </c>
      <c r="X497" s="29" t="s">
        <v>387</v>
      </c>
      <c r="Y497" s="29" t="s">
        <v>3353</v>
      </c>
      <c r="Z497" s="29" t="s">
        <v>389</v>
      </c>
      <c r="AA497" s="29" t="s">
        <v>9689</v>
      </c>
      <c r="AB497" s="29"/>
      <c r="AC497" s="29"/>
      <c r="AD497" s="29"/>
      <c r="AE497" s="29"/>
      <c r="AF497" s="29"/>
      <c r="AG497" s="29"/>
      <c r="AH497" s="29"/>
      <c r="AI497" s="29"/>
      <c r="AJ497" s="29"/>
      <c r="AK497" s="29"/>
      <c r="AL497" s="29"/>
      <c r="AM497" s="29"/>
      <c r="AN497" s="29"/>
      <c r="AO497" s="29"/>
      <c r="AP497" s="29"/>
      <c r="AQ497" s="29"/>
      <c r="AR497" s="29"/>
      <c r="AS497" s="29"/>
      <c r="AT497" s="29"/>
      <c r="AU497" s="29"/>
      <c r="AV497" s="29" t="s">
        <v>390</v>
      </c>
      <c r="AW497" s="29" t="s">
        <v>675</v>
      </c>
      <c r="AX497" s="29" t="s">
        <v>675</v>
      </c>
      <c r="AY497" s="29" t="s">
        <v>675</v>
      </c>
      <c r="AZ497" s="29" t="s">
        <v>675</v>
      </c>
      <c r="BA497" s="29" t="s">
        <v>675</v>
      </c>
      <c r="BB497" s="29" t="s">
        <v>675</v>
      </c>
      <c r="BC497" s="29" t="s">
        <v>9690</v>
      </c>
      <c r="BD497" s="29" t="s">
        <v>9691</v>
      </c>
      <c r="BE497" s="29" t="s">
        <v>3114</v>
      </c>
      <c r="BF497" s="29" t="s">
        <v>1095</v>
      </c>
      <c r="BG497" s="29" t="s">
        <v>434</v>
      </c>
      <c r="BH497" s="29"/>
      <c r="BI497" s="29" t="s">
        <v>509</v>
      </c>
      <c r="BJ497" s="29" t="s">
        <v>9692</v>
      </c>
      <c r="BK497" s="29" t="s">
        <v>602</v>
      </c>
      <c r="BL497" s="29" t="s">
        <v>904</v>
      </c>
      <c r="BM497" s="29" t="s">
        <v>549</v>
      </c>
      <c r="BN497" s="29" t="s">
        <v>398</v>
      </c>
      <c r="BO497" s="29" t="s">
        <v>9693</v>
      </c>
      <c r="BP497" s="29" t="s">
        <v>9694</v>
      </c>
      <c r="BQ497" s="29" t="s">
        <v>401</v>
      </c>
      <c r="BR497" s="29" t="s">
        <v>9695</v>
      </c>
      <c r="BS497" s="29" t="s">
        <v>1671</v>
      </c>
      <c r="BT497" s="29" t="s">
        <v>4368</v>
      </c>
      <c r="BU497" s="29" t="s">
        <v>1831</v>
      </c>
      <c r="BV497" s="29" t="s">
        <v>9696</v>
      </c>
      <c r="BW497" s="29" t="s">
        <v>406</v>
      </c>
      <c r="BX497" s="29" t="s">
        <v>407</v>
      </c>
      <c r="BY497" s="29" t="s">
        <v>408</v>
      </c>
      <c r="BZ497" s="29" t="s">
        <v>9697</v>
      </c>
      <c r="CA497" s="29" t="s">
        <v>9698</v>
      </c>
      <c r="CB497" s="29" t="s">
        <v>9699</v>
      </c>
      <c r="CC497" s="29" t="s">
        <v>9700</v>
      </c>
      <c r="CD497" s="29" t="s">
        <v>451</v>
      </c>
      <c r="CE497" s="29" t="s">
        <v>9701</v>
      </c>
      <c r="CF497" s="29" t="s">
        <v>1697</v>
      </c>
      <c r="CG497" s="29" t="s">
        <v>9697</v>
      </c>
      <c r="CH497" s="29" t="s">
        <v>1259</v>
      </c>
      <c r="CI497" s="29" t="s">
        <v>1964</v>
      </c>
      <c r="CJ497" s="29" t="s">
        <v>9702</v>
      </c>
      <c r="CK497" s="29" t="s">
        <v>9703</v>
      </c>
      <c r="CL497" s="29"/>
      <c r="CM497" s="29"/>
      <c r="CN497" s="29"/>
      <c r="CO497" s="29"/>
      <c r="CP497" s="29"/>
      <c r="CQ497" s="29"/>
      <c r="CR497" s="29"/>
      <c r="CS497" s="29"/>
      <c r="CT497" s="29"/>
      <c r="CU497" s="29"/>
      <c r="CV497" s="29"/>
      <c r="CW497" s="29"/>
      <c r="CX497" s="29"/>
      <c r="CY497" s="29"/>
      <c r="CZ497" s="29"/>
      <c r="DA497" s="29"/>
      <c r="DB497" s="29"/>
      <c r="DC497" s="29"/>
      <c r="DD497" s="29"/>
      <c r="DE497" s="29"/>
      <c r="DF497" s="29"/>
      <c r="DG497" s="29"/>
      <c r="DH497" s="29"/>
      <c r="DI497" s="29" t="s">
        <v>963</v>
      </c>
      <c r="DJ497" s="29" t="s">
        <v>613</v>
      </c>
      <c r="DK497" s="29"/>
      <c r="DL497" s="29"/>
      <c r="DM497" s="29"/>
      <c r="DN497" s="29"/>
      <c r="DO497" s="29"/>
      <c r="DP497" s="29"/>
      <c r="DQ497" s="29"/>
      <c r="DR497" s="29"/>
      <c r="DS497" s="29"/>
      <c r="DT497" s="29"/>
      <c r="DU497" s="29"/>
      <c r="DV497" s="29"/>
      <c r="DW497" s="29"/>
      <c r="DX497" s="29"/>
      <c r="DY497" s="29"/>
      <c r="DZ497" s="29"/>
      <c r="EA497" s="29"/>
      <c r="EB497" s="29"/>
      <c r="EC497" s="29"/>
      <c r="ED497" s="29"/>
      <c r="EE497" s="29"/>
      <c r="EF497" s="29"/>
      <c r="EG497" s="29"/>
      <c r="EH497" s="29"/>
      <c r="EI497" s="29"/>
      <c r="EJ497" s="29"/>
      <c r="EK497" s="29"/>
      <c r="EL497" s="29"/>
      <c r="EM497" s="29"/>
      <c r="EN497" s="29"/>
      <c r="EO497" s="29"/>
      <c r="EP497" s="29"/>
      <c r="EQ497" s="29"/>
      <c r="ER497" s="29"/>
      <c r="ES497" s="29"/>
      <c r="ET497" s="29" t="s">
        <v>526</v>
      </c>
      <c r="EU497" s="29" t="s">
        <v>479</v>
      </c>
      <c r="EV497" s="29" t="s">
        <v>480</v>
      </c>
      <c r="EW497" s="29" t="s">
        <v>9704</v>
      </c>
      <c r="EX497" s="29" t="s">
        <v>9705</v>
      </c>
      <c r="EY497" s="29" t="s">
        <v>9706</v>
      </c>
      <c r="EZ497" s="29" t="s">
        <v>583</v>
      </c>
      <c r="FA497" s="29" t="s">
        <v>583</v>
      </c>
      <c r="FB497" s="29" t="s">
        <v>583</v>
      </c>
      <c r="FC497" s="29" t="s">
        <v>583</v>
      </c>
      <c r="FD497" s="29" t="s">
        <v>583</v>
      </c>
      <c r="FE497" s="29" t="s">
        <v>583</v>
      </c>
      <c r="FF497" s="29" t="s">
        <v>583</v>
      </c>
      <c r="FG497" s="29" t="s">
        <v>413</v>
      </c>
      <c r="FH497" s="29" t="s">
        <v>583</v>
      </c>
      <c r="FI497" s="29" t="s">
        <v>583</v>
      </c>
      <c r="FJ497" s="29" t="s">
        <v>583</v>
      </c>
      <c r="FK497" s="29" t="s">
        <v>583</v>
      </c>
      <c r="FL497" s="29" t="s">
        <v>583</v>
      </c>
      <c r="FM497" s="29" t="s">
        <v>583</v>
      </c>
      <c r="FN497" s="29" t="s">
        <v>583</v>
      </c>
      <c r="FO497" s="29" t="s">
        <v>850</v>
      </c>
      <c r="FP497" s="29" t="s">
        <v>486</v>
      </c>
      <c r="FQ497" s="29" t="s">
        <v>630</v>
      </c>
      <c r="FR497" s="29" t="s">
        <v>9707</v>
      </c>
      <c r="FS497" s="29" t="s">
        <v>995</v>
      </c>
      <c r="FT497" s="29" t="s">
        <v>488</v>
      </c>
      <c r="FU497" s="29" t="s">
        <v>533</v>
      </c>
      <c r="FV497" s="29" t="s">
        <v>2387</v>
      </c>
      <c r="FW497" s="29" t="s">
        <v>491</v>
      </c>
      <c r="FX497" s="29" t="s">
        <v>9708</v>
      </c>
      <c r="FY497" s="29" t="s">
        <v>493</v>
      </c>
      <c r="FZ497" s="29" t="s">
        <v>9709</v>
      </c>
      <c r="GA497" s="29"/>
      <c r="GB497" s="29" t="s">
        <v>408</v>
      </c>
      <c r="GC497" s="29"/>
      <c r="GD497" s="29"/>
      <c r="GE497" s="29"/>
      <c r="GF497" s="29"/>
      <c r="GG497" s="29"/>
      <c r="GH497" s="29"/>
      <c r="GI497" s="29"/>
      <c r="GJ497" s="29" t="s">
        <v>755</v>
      </c>
      <c r="GK497" s="29" t="s">
        <v>755</v>
      </c>
      <c r="GL497" s="29" t="s">
        <v>817</v>
      </c>
      <c r="GM497" s="29"/>
      <c r="GN497" s="29"/>
      <c r="GO497" s="29"/>
      <c r="GP497" s="29"/>
      <c r="GQ497" s="29" t="s">
        <v>3208</v>
      </c>
      <c r="GR497" s="29" t="s">
        <v>4774</v>
      </c>
      <c r="GS497" s="29" t="s">
        <v>9697</v>
      </c>
      <c r="GT497" s="29"/>
      <c r="GU497" s="29"/>
      <c r="HP497" s="31"/>
      <c r="MX497" s="29" t="s">
        <v>10402</v>
      </c>
      <c r="MY497" s="29" t="str">
        <f>IFERROR(__xludf.DUMMYFUNCTION("""COMPUTED_VALUE"""),"California")</f>
        <v>California</v>
      </c>
    </row>
    <row r="498" ht="16.5" customHeight="1">
      <c r="A498" s="33">
        <v>46129.64641299768</v>
      </c>
      <c r="B498" s="29" t="s">
        <v>368</v>
      </c>
      <c r="C498" s="29" t="s">
        <v>370</v>
      </c>
      <c r="D498" s="29" t="s">
        <v>370</v>
      </c>
      <c r="E498" s="29" t="s">
        <v>371</v>
      </c>
      <c r="F498" s="29" t="s">
        <v>2400</v>
      </c>
      <c r="G498" s="29" t="s">
        <v>422</v>
      </c>
      <c r="H498" s="29" t="s">
        <v>1921</v>
      </c>
      <c r="I498" s="29" t="s">
        <v>668</v>
      </c>
      <c r="J498" s="29" t="s">
        <v>425</v>
      </c>
      <c r="K498" s="29" t="s">
        <v>376</v>
      </c>
      <c r="L498" s="29" t="s">
        <v>591</v>
      </c>
      <c r="M498" s="29" t="s">
        <v>378</v>
      </c>
      <c r="N498" s="29" t="s">
        <v>379</v>
      </c>
      <c r="O498" s="29" t="s">
        <v>497</v>
      </c>
      <c r="P498" s="29" t="s">
        <v>381</v>
      </c>
      <c r="Q498" s="29" t="s">
        <v>382</v>
      </c>
      <c r="R498" s="29" t="s">
        <v>427</v>
      </c>
      <c r="S498" s="29" t="s">
        <v>384</v>
      </c>
      <c r="T498" s="29" t="s">
        <v>385</v>
      </c>
      <c r="U498" s="29"/>
      <c r="V498" s="29"/>
      <c r="W498" s="29" t="s">
        <v>3014</v>
      </c>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t="s">
        <v>597</v>
      </c>
      <c r="AW498" s="29">
        <v>4.0</v>
      </c>
      <c r="AX498" s="29" t="s">
        <v>391</v>
      </c>
      <c r="AY498" s="29" t="s">
        <v>391</v>
      </c>
      <c r="AZ498" s="29" t="s">
        <v>675</v>
      </c>
      <c r="BA498" s="29">
        <v>4.0</v>
      </c>
      <c r="BB498" s="29">
        <v>4.0</v>
      </c>
      <c r="BC498" s="29"/>
      <c r="BD498" s="29"/>
      <c r="BE498" s="29" t="s">
        <v>902</v>
      </c>
      <c r="BF498" s="29" t="s">
        <v>393</v>
      </c>
      <c r="BG498" s="29" t="s">
        <v>725</v>
      </c>
      <c r="BH498" s="29"/>
      <c r="BI498" s="29" t="s">
        <v>435</v>
      </c>
      <c r="BJ498" s="29"/>
      <c r="BK498" s="29" t="s">
        <v>395</v>
      </c>
      <c r="BL498" s="29" t="s">
        <v>438</v>
      </c>
      <c r="BM498" s="29" t="s">
        <v>397</v>
      </c>
      <c r="BN498" s="29" t="s">
        <v>513</v>
      </c>
      <c r="BO498" s="29"/>
      <c r="BP498" s="29"/>
      <c r="BQ498" s="29"/>
      <c r="BR498" s="29"/>
      <c r="BS498" s="29"/>
      <c r="BT498" s="29"/>
      <c r="BU498" s="29"/>
      <c r="BV498" s="29"/>
      <c r="BW498" s="29"/>
      <c r="BX498" s="29"/>
      <c r="BY498" s="29"/>
      <c r="BZ498" s="29"/>
      <c r="CA498" s="29"/>
      <c r="CB498" s="29"/>
      <c r="CC498" s="29"/>
      <c r="CD498" s="29"/>
      <c r="CE498" s="29"/>
      <c r="CF498" s="29"/>
      <c r="CG498" s="29"/>
      <c r="CH498" s="29"/>
      <c r="CI498" s="29"/>
      <c r="CJ498" s="29"/>
      <c r="CK498" s="29"/>
      <c r="CL498" s="29" t="s">
        <v>682</v>
      </c>
      <c r="CM498" s="29" t="s">
        <v>551</v>
      </c>
      <c r="CN498" s="29"/>
      <c r="CO498" s="29"/>
      <c r="CP498" s="29"/>
      <c r="CQ498" s="29"/>
      <c r="CR498" s="29"/>
      <c r="CS498" s="29"/>
      <c r="CT498" s="29"/>
      <c r="CU498" s="29" t="s">
        <v>1863</v>
      </c>
      <c r="CV498" s="29" t="s">
        <v>959</v>
      </c>
      <c r="CW498" s="29"/>
      <c r="CX498" s="29" t="s">
        <v>455</v>
      </c>
      <c r="CY498" s="29"/>
      <c r="CZ498" s="29" t="s">
        <v>1962</v>
      </c>
      <c r="DA498" s="29"/>
      <c r="DB498" s="29" t="s">
        <v>408</v>
      </c>
      <c r="DC498" s="29"/>
      <c r="DD498" s="29"/>
      <c r="DE498" s="29"/>
      <c r="DF498" s="29"/>
      <c r="DG498" s="29" t="s">
        <v>990</v>
      </c>
      <c r="DH498" s="29" t="s">
        <v>1220</v>
      </c>
      <c r="DI498" s="29" t="s">
        <v>963</v>
      </c>
      <c r="DJ498" s="29" t="s">
        <v>613</v>
      </c>
      <c r="DK498" s="29"/>
      <c r="DL498" s="29"/>
      <c r="DM498" s="29"/>
      <c r="DN498" s="29"/>
      <c r="DO498" s="29"/>
      <c r="DP498" s="29"/>
      <c r="DQ498" s="29"/>
      <c r="DR498" s="29"/>
      <c r="DS498" s="29"/>
      <c r="DT498" s="29"/>
      <c r="DU498" s="29"/>
      <c r="DV498" s="29"/>
      <c r="DW498" s="29"/>
      <c r="DX498" s="29"/>
      <c r="DY498" s="29"/>
      <c r="DZ498" s="29"/>
      <c r="EA498" s="29"/>
      <c r="EB498" s="29"/>
      <c r="EC498" s="29"/>
      <c r="ED498" s="29"/>
      <c r="EE498" s="29"/>
      <c r="EF498" s="29"/>
      <c r="EG498" s="29"/>
      <c r="EH498" s="29"/>
      <c r="EI498" s="29"/>
      <c r="EJ498" s="29"/>
      <c r="EK498" s="29"/>
      <c r="EL498" s="29"/>
      <c r="EM498" s="29"/>
      <c r="EN498" s="29"/>
      <c r="EO498" s="29"/>
      <c r="EP498" s="29"/>
      <c r="EQ498" s="29"/>
      <c r="ER498" s="29"/>
      <c r="ES498" s="29"/>
      <c r="ET498" s="29" t="s">
        <v>478</v>
      </c>
      <c r="EU498" s="29" t="s">
        <v>887</v>
      </c>
      <c r="EV498" s="29" t="s">
        <v>580</v>
      </c>
      <c r="EW498" s="29"/>
      <c r="EX498" s="29"/>
      <c r="EY498" s="29"/>
      <c r="EZ498" s="29" t="s">
        <v>583</v>
      </c>
      <c r="FA498" s="29" t="s">
        <v>583</v>
      </c>
      <c r="FB498" s="29"/>
      <c r="FC498" s="29" t="s">
        <v>583</v>
      </c>
      <c r="FD498" s="29" t="s">
        <v>414</v>
      </c>
      <c r="FE498" s="29" t="s">
        <v>583</v>
      </c>
      <c r="FF498" s="29" t="s">
        <v>415</v>
      </c>
      <c r="FG498" s="29" t="s">
        <v>415</v>
      </c>
      <c r="FH498" s="29" t="s">
        <v>415</v>
      </c>
      <c r="FI498" s="29" t="s">
        <v>583</v>
      </c>
      <c r="FJ498" s="29" t="s">
        <v>583</v>
      </c>
      <c r="FK498" s="29" t="s">
        <v>415</v>
      </c>
      <c r="FL498" s="29" t="s">
        <v>415</v>
      </c>
      <c r="FM498" s="29" t="s">
        <v>583</v>
      </c>
      <c r="FN498" s="29" t="s">
        <v>415</v>
      </c>
      <c r="FO498" s="29" t="s">
        <v>1537</v>
      </c>
      <c r="FP498" s="29" t="s">
        <v>2524</v>
      </c>
      <c r="FQ498" s="29" t="s">
        <v>419</v>
      </c>
      <c r="FR498" s="29"/>
      <c r="FS498" s="29" t="s">
        <v>1871</v>
      </c>
      <c r="FT498" s="29" t="s">
        <v>2750</v>
      </c>
      <c r="FU498" s="29" t="s">
        <v>489</v>
      </c>
      <c r="FV498" s="29"/>
      <c r="FW498" s="29" t="s">
        <v>1853</v>
      </c>
      <c r="FX498" s="29"/>
      <c r="FY498" s="29" t="s">
        <v>1337</v>
      </c>
      <c r="FZ498" s="29"/>
      <c r="GA498" s="29"/>
      <c r="GB498" s="29" t="s">
        <v>408</v>
      </c>
      <c r="GC498" s="29"/>
      <c r="GD498" s="29"/>
      <c r="GE498" s="29"/>
      <c r="GF498" s="29"/>
      <c r="GG498" s="29" t="s">
        <v>788</v>
      </c>
      <c r="GH498" s="29" t="s">
        <v>789</v>
      </c>
      <c r="GI498" s="29" t="s">
        <v>921</v>
      </c>
      <c r="GJ498" s="29"/>
      <c r="GK498" s="29"/>
      <c r="GL498" s="29"/>
      <c r="GM498" s="29"/>
      <c r="GN498" s="29"/>
      <c r="GO498" s="29"/>
      <c r="GP498" s="29"/>
      <c r="GQ498" s="29" t="s">
        <v>3208</v>
      </c>
      <c r="GR498" s="29"/>
      <c r="GS498" s="29"/>
      <c r="GT498" s="29"/>
      <c r="GU498" s="29"/>
      <c r="HP498" s="31"/>
      <c r="MX498" s="29" t="s">
        <v>1201</v>
      </c>
      <c r="MY498" s="29" t="str">
        <f>IFERROR(__xludf.DUMMYFUNCTION("""COMPUTED_VALUE"""),"Australia")</f>
        <v>Australia</v>
      </c>
    </row>
    <row r="499" ht="16.5" customHeight="1">
      <c r="A499" s="33">
        <v>46131.52759640046</v>
      </c>
      <c r="B499" s="29" t="s">
        <v>368</v>
      </c>
      <c r="C499" s="29" t="s">
        <v>1201</v>
      </c>
      <c r="D499" s="29" t="s">
        <v>1201</v>
      </c>
      <c r="E499" s="29"/>
      <c r="F499" s="29"/>
      <c r="G499" s="29" t="s">
        <v>1783</v>
      </c>
      <c r="H499" s="29" t="s">
        <v>373</v>
      </c>
      <c r="I499" s="29" t="s">
        <v>374</v>
      </c>
      <c r="J499" s="29" t="s">
        <v>669</v>
      </c>
      <c r="K499" s="29" t="s">
        <v>376</v>
      </c>
      <c r="L499" s="29" t="s">
        <v>670</v>
      </c>
      <c r="M499" s="29" t="s">
        <v>860</v>
      </c>
      <c r="N499" s="29" t="s">
        <v>793</v>
      </c>
      <c r="O499" s="29" t="s">
        <v>720</v>
      </c>
      <c r="P499" s="29" t="s">
        <v>1504</v>
      </c>
      <c r="Q499" s="29" t="s">
        <v>499</v>
      </c>
      <c r="R499" s="29" t="s">
        <v>427</v>
      </c>
      <c r="S499" s="29" t="s">
        <v>384</v>
      </c>
      <c r="T499" s="29" t="s">
        <v>385</v>
      </c>
      <c r="U499" s="29"/>
      <c r="V499" s="29"/>
      <c r="W499" s="29" t="s">
        <v>3231</v>
      </c>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t="s">
        <v>1310</v>
      </c>
      <c r="AW499" s="29" t="s">
        <v>429</v>
      </c>
      <c r="AX499" s="29">
        <v>2.0</v>
      </c>
      <c r="AY499" s="29">
        <v>2.0</v>
      </c>
      <c r="AZ499" s="29">
        <v>2.0</v>
      </c>
      <c r="BA499" s="29" t="s">
        <v>429</v>
      </c>
      <c r="BB499" s="29" t="s">
        <v>429</v>
      </c>
      <c r="BC499" s="29"/>
      <c r="BD499" s="29"/>
      <c r="BE499" s="29" t="s">
        <v>392</v>
      </c>
      <c r="BF499" s="29" t="s">
        <v>1095</v>
      </c>
      <c r="BG499" s="29" t="s">
        <v>678</v>
      </c>
      <c r="BH499" s="29"/>
      <c r="BI499" s="29" t="s">
        <v>435</v>
      </c>
      <c r="BJ499" s="29"/>
      <c r="BK499" s="29" t="s">
        <v>511</v>
      </c>
      <c r="BL499" s="29" t="s">
        <v>603</v>
      </c>
      <c r="BM499" s="29" t="s">
        <v>1314</v>
      </c>
      <c r="BN499" s="29" t="s">
        <v>513</v>
      </c>
      <c r="BO499" s="29"/>
      <c r="BP499" s="29"/>
      <c r="BQ499" s="29"/>
      <c r="BR499" s="29"/>
      <c r="BS499" s="29"/>
      <c r="BT499" s="29"/>
      <c r="BU499" s="29"/>
      <c r="BV499" s="29"/>
      <c r="BW499" s="29"/>
      <c r="BX499" s="29"/>
      <c r="BY499" s="29"/>
      <c r="BZ499" s="29"/>
      <c r="CA499" s="29"/>
      <c r="CB499" s="29"/>
      <c r="CC499" s="29"/>
      <c r="CD499" s="29"/>
      <c r="CE499" s="29"/>
      <c r="CF499" s="29"/>
      <c r="CG499" s="29"/>
      <c r="CH499" s="29"/>
      <c r="CI499" s="29"/>
      <c r="CJ499" s="29"/>
      <c r="CK499" s="29"/>
      <c r="CL499" s="29" t="s">
        <v>953</v>
      </c>
      <c r="CM499" s="29" t="s">
        <v>604</v>
      </c>
      <c r="CN499" s="29"/>
      <c r="CO499" s="29"/>
      <c r="CP499" s="29"/>
      <c r="CQ499" s="29"/>
      <c r="CR499" s="29"/>
      <c r="CS499" s="29"/>
      <c r="CT499" s="29"/>
      <c r="CU499" s="29" t="s">
        <v>519</v>
      </c>
      <c r="CV499" s="29" t="s">
        <v>409</v>
      </c>
      <c r="CW499" s="29"/>
      <c r="CX499" s="29" t="s">
        <v>455</v>
      </c>
      <c r="CY499" s="29"/>
      <c r="CZ499" s="29" t="s">
        <v>1398</v>
      </c>
      <c r="DA499" s="29"/>
      <c r="DB499" s="29" t="s">
        <v>455</v>
      </c>
      <c r="DC499" s="29"/>
      <c r="DD499" s="29"/>
      <c r="DE499" s="29"/>
      <c r="DF499" s="29"/>
      <c r="DG499" s="29" t="s">
        <v>693</v>
      </c>
      <c r="DH499" s="29" t="s">
        <v>1220</v>
      </c>
      <c r="DI499" s="29" t="s">
        <v>459</v>
      </c>
      <c r="DJ499" s="29" t="s">
        <v>1148</v>
      </c>
      <c r="DK499" s="29" t="s">
        <v>6335</v>
      </c>
      <c r="DL499" s="29"/>
      <c r="DM499" s="29"/>
      <c r="DN499" s="29"/>
      <c r="DO499" s="29"/>
      <c r="DP499" s="29"/>
      <c r="DQ499" s="29"/>
      <c r="DR499" s="29"/>
      <c r="DS499" s="29"/>
      <c r="DT499" s="29"/>
      <c r="DU499" s="29"/>
      <c r="DV499" s="29"/>
      <c r="DW499" s="29"/>
      <c r="DX499" s="29"/>
      <c r="DY499" s="29"/>
      <c r="DZ499" s="29"/>
      <c r="EA499" s="29"/>
      <c r="EB499" s="29"/>
      <c r="EC499" s="29"/>
      <c r="ED499" s="29"/>
      <c r="EE499" s="29"/>
      <c r="EF499" s="29"/>
      <c r="EG499" s="29"/>
      <c r="EH499" s="29"/>
      <c r="EI499" s="29"/>
      <c r="EJ499" s="29"/>
      <c r="EK499" s="29"/>
      <c r="EL499" s="29"/>
      <c r="EM499" s="29"/>
      <c r="EN499" s="29"/>
      <c r="EO499" s="29"/>
      <c r="EP499" s="29"/>
      <c r="EQ499" s="29"/>
      <c r="ER499" s="29"/>
      <c r="ES499" s="29"/>
      <c r="ET499" s="29" t="s">
        <v>2747</v>
      </c>
      <c r="EU499" s="29" t="s">
        <v>887</v>
      </c>
      <c r="EV499" s="29" t="s">
        <v>1262</v>
      </c>
      <c r="EW499" s="29"/>
      <c r="EX499" s="29"/>
      <c r="EY499" s="29"/>
      <c r="EZ499" s="29"/>
      <c r="FA499" s="29"/>
      <c r="FB499" s="29"/>
      <c r="FC499" s="29"/>
      <c r="FD499" s="29"/>
      <c r="FE499" s="29"/>
      <c r="FF499" s="29"/>
      <c r="FG499" s="29"/>
      <c r="FH499" s="29"/>
      <c r="FI499" s="29"/>
      <c r="FJ499" s="29"/>
      <c r="FK499" s="29"/>
      <c r="FL499" s="29"/>
      <c r="FM499" s="29"/>
      <c r="FN499" s="29"/>
      <c r="FO499" s="29" t="s">
        <v>1537</v>
      </c>
      <c r="FP499" s="29" t="s">
        <v>486</v>
      </c>
      <c r="FQ499" s="29" t="s">
        <v>419</v>
      </c>
      <c r="FR499" s="29"/>
      <c r="FS499" s="29" t="s">
        <v>1871</v>
      </c>
      <c r="FT499" s="29" t="s">
        <v>1462</v>
      </c>
      <c r="FU499" s="29" t="s">
        <v>489</v>
      </c>
      <c r="FV499" s="29" t="s">
        <v>2399</v>
      </c>
      <c r="FW499" s="29" t="s">
        <v>1853</v>
      </c>
      <c r="FX499" s="29"/>
      <c r="FY499" s="29" t="s">
        <v>1854</v>
      </c>
      <c r="FZ499" s="29"/>
      <c r="GA499" s="29"/>
      <c r="GB499" s="29" t="s">
        <v>408</v>
      </c>
      <c r="GC499" s="29"/>
      <c r="GD499" s="29"/>
      <c r="GE499" s="29"/>
      <c r="GF499" s="29"/>
      <c r="GG499" s="29" t="s">
        <v>755</v>
      </c>
      <c r="GH499" s="29" t="s">
        <v>1000</v>
      </c>
      <c r="GI499" s="29" t="s">
        <v>946</v>
      </c>
      <c r="GJ499" s="29"/>
      <c r="GK499" s="29"/>
      <c r="GL499" s="29"/>
      <c r="GM499" s="29"/>
      <c r="GN499" s="29" t="s">
        <v>6520</v>
      </c>
      <c r="GO499" s="29" t="s">
        <v>6520</v>
      </c>
      <c r="GP499" s="29" t="s">
        <v>387</v>
      </c>
      <c r="GQ499" s="29" t="s">
        <v>3208</v>
      </c>
      <c r="GR499" s="29"/>
      <c r="GS499" s="29"/>
      <c r="GT499" s="29" t="s">
        <v>4774</v>
      </c>
      <c r="GU499" s="29"/>
      <c r="HP499" s="31"/>
      <c r="MX499" s="29" t="s">
        <v>10402</v>
      </c>
      <c r="MY499" s="29" t="str">
        <f>IFERROR(__xludf.DUMMYFUNCTION("""COMPUTED_VALUE"""),"California")</f>
        <v>California</v>
      </c>
    </row>
    <row r="500" ht="16.5" customHeight="1">
      <c r="A500" s="33">
        <v>46132.226501157405</v>
      </c>
      <c r="B500" s="29" t="s">
        <v>368</v>
      </c>
      <c r="C500" s="29" t="s">
        <v>370</v>
      </c>
      <c r="D500" s="29" t="s">
        <v>370</v>
      </c>
      <c r="E500" s="29" t="s">
        <v>371</v>
      </c>
      <c r="F500" s="29" t="s">
        <v>371</v>
      </c>
      <c r="G500" s="29" t="s">
        <v>422</v>
      </c>
      <c r="H500" s="29" t="s">
        <v>496</v>
      </c>
      <c r="I500" s="29" t="s">
        <v>374</v>
      </c>
      <c r="J500" s="29" t="s">
        <v>1240</v>
      </c>
      <c r="K500" s="29" t="s">
        <v>376</v>
      </c>
      <c r="L500" s="29" t="s">
        <v>379</v>
      </c>
      <c r="M500" s="29" t="s">
        <v>378</v>
      </c>
      <c r="N500" s="29" t="s">
        <v>426</v>
      </c>
      <c r="O500" s="29" t="s">
        <v>497</v>
      </c>
      <c r="P500" s="29" t="s">
        <v>498</v>
      </c>
      <c r="Q500" s="29" t="s">
        <v>1156</v>
      </c>
      <c r="R500" s="29" t="s">
        <v>949</v>
      </c>
      <c r="S500" s="29" t="s">
        <v>384</v>
      </c>
      <c r="T500" s="29" t="s">
        <v>385</v>
      </c>
      <c r="U500" s="29"/>
      <c r="V500" s="29"/>
      <c r="W500" s="29" t="s">
        <v>386</v>
      </c>
      <c r="X500" s="29" t="s">
        <v>387</v>
      </c>
      <c r="Y500" s="29" t="s">
        <v>1444</v>
      </c>
      <c r="Z500" s="29" t="s">
        <v>543</v>
      </c>
      <c r="AA500" s="29" t="s">
        <v>741</v>
      </c>
      <c r="AB500" s="29" t="s">
        <v>9713</v>
      </c>
      <c r="AC500" s="29"/>
      <c r="AD500" s="29"/>
      <c r="AE500" s="29"/>
      <c r="AF500" s="29"/>
      <c r="AG500" s="29"/>
      <c r="AH500" s="29"/>
      <c r="AI500" s="29"/>
      <c r="AJ500" s="29"/>
      <c r="AK500" s="29"/>
      <c r="AL500" s="29"/>
      <c r="AM500" s="29"/>
      <c r="AN500" s="29"/>
      <c r="AO500" s="29"/>
      <c r="AP500" s="29"/>
      <c r="AQ500" s="29"/>
      <c r="AR500" s="29"/>
      <c r="AS500" s="29"/>
      <c r="AT500" s="29"/>
      <c r="AU500" s="29"/>
      <c r="AV500" s="29" t="s">
        <v>1242</v>
      </c>
      <c r="AW500" s="29" t="s">
        <v>675</v>
      </c>
      <c r="AX500" s="29" t="s">
        <v>675</v>
      </c>
      <c r="AY500" s="29" t="s">
        <v>675</v>
      </c>
      <c r="AZ500" s="29" t="s">
        <v>675</v>
      </c>
      <c r="BA500" s="29" t="s">
        <v>675</v>
      </c>
      <c r="BB500" s="29" t="s">
        <v>675</v>
      </c>
      <c r="BC500" s="29"/>
      <c r="BD500" s="29"/>
      <c r="BE500" s="29" t="s">
        <v>432</v>
      </c>
      <c r="BF500" s="29" t="s">
        <v>1245</v>
      </c>
      <c r="BG500" s="29" t="s">
        <v>394</v>
      </c>
      <c r="BH500" s="29"/>
      <c r="BI500" s="29" t="s">
        <v>727</v>
      </c>
      <c r="BJ500" s="29"/>
      <c r="BK500" s="29" t="s">
        <v>602</v>
      </c>
      <c r="BL500" s="29" t="s">
        <v>603</v>
      </c>
      <c r="BM500" s="29" t="s">
        <v>1247</v>
      </c>
      <c r="BN500" s="29" t="s">
        <v>398</v>
      </c>
      <c r="BO500" s="29" t="s">
        <v>9714</v>
      </c>
      <c r="BP500" s="29" t="s">
        <v>9715</v>
      </c>
      <c r="BQ500" s="29" t="s">
        <v>604</v>
      </c>
      <c r="BR500" s="29" t="s">
        <v>1740</v>
      </c>
      <c r="BS500" s="29" t="s">
        <v>1741</v>
      </c>
      <c r="BT500" s="29" t="s">
        <v>404</v>
      </c>
      <c r="BU500" s="29" t="s">
        <v>405</v>
      </c>
      <c r="BV500" s="29"/>
      <c r="BW500" s="29" t="s">
        <v>406</v>
      </c>
      <c r="BX500" s="29" t="s">
        <v>2503</v>
      </c>
      <c r="BY500" s="29" t="s">
        <v>408</v>
      </c>
      <c r="BZ500" s="29"/>
      <c r="CA500" s="29"/>
      <c r="CB500" s="29"/>
      <c r="CC500" s="29"/>
      <c r="CD500" s="29" t="s">
        <v>1257</v>
      </c>
      <c r="CE500" s="29"/>
      <c r="CF500" s="29"/>
      <c r="CG500" s="29"/>
      <c r="CH500" s="29" t="s">
        <v>1259</v>
      </c>
      <c r="CI500" s="29" t="s">
        <v>833</v>
      </c>
      <c r="CJ500" s="29" t="s">
        <v>9716</v>
      </c>
      <c r="CK500" s="29" t="s">
        <v>9717</v>
      </c>
      <c r="CL500" s="29"/>
      <c r="CM500" s="29"/>
      <c r="CN500" s="29"/>
      <c r="CO500" s="29"/>
      <c r="CP500" s="29"/>
      <c r="CQ500" s="29"/>
      <c r="CR500" s="29"/>
      <c r="CS500" s="29"/>
      <c r="CT500" s="29"/>
      <c r="CU500" s="29"/>
      <c r="CV500" s="29"/>
      <c r="CW500" s="29"/>
      <c r="CX500" s="29"/>
      <c r="CY500" s="29"/>
      <c r="CZ500" s="29"/>
      <c r="DA500" s="29"/>
      <c r="DB500" s="29"/>
      <c r="DC500" s="29"/>
      <c r="DD500" s="29"/>
      <c r="DE500" s="29"/>
      <c r="DF500" s="29"/>
      <c r="DG500" s="29"/>
      <c r="DH500" s="29"/>
      <c r="DI500" s="29" t="s">
        <v>963</v>
      </c>
      <c r="DJ500" s="29" t="s">
        <v>460</v>
      </c>
      <c r="DK500" s="29" t="s">
        <v>6319</v>
      </c>
      <c r="DL500" s="29"/>
      <c r="DM500" s="29"/>
      <c r="DN500" s="29"/>
      <c r="DO500" s="29"/>
      <c r="DP500" s="29"/>
      <c r="DQ500" s="29"/>
      <c r="DR500" s="29"/>
      <c r="DS500" s="29"/>
      <c r="DT500" s="29"/>
      <c r="DU500" s="29"/>
      <c r="DV500" s="29"/>
      <c r="DW500" s="29"/>
      <c r="DX500" s="29"/>
      <c r="DY500" s="29"/>
      <c r="DZ500" s="29"/>
      <c r="EA500" s="29"/>
      <c r="EB500" s="29"/>
      <c r="EC500" s="29"/>
      <c r="ED500" s="29"/>
      <c r="EE500" s="29"/>
      <c r="EF500" s="29"/>
      <c r="EG500" s="29"/>
      <c r="EH500" s="29"/>
      <c r="EI500" s="29"/>
      <c r="EJ500" s="29"/>
      <c r="EK500" s="29"/>
      <c r="EL500" s="29"/>
      <c r="EM500" s="29"/>
      <c r="EN500" s="29"/>
      <c r="EO500" s="29"/>
      <c r="EP500" s="29"/>
      <c r="EQ500" s="29"/>
      <c r="ER500" s="29"/>
      <c r="ES500" s="29"/>
      <c r="ET500" s="29" t="s">
        <v>526</v>
      </c>
      <c r="EU500" s="29" t="s">
        <v>579</v>
      </c>
      <c r="EV500" s="29" t="s">
        <v>527</v>
      </c>
      <c r="EW500" s="29" t="s">
        <v>9718</v>
      </c>
      <c r="EX500" s="29" t="s">
        <v>9719</v>
      </c>
      <c r="EY500" s="29" t="s">
        <v>9720</v>
      </c>
      <c r="EZ500" s="29" t="s">
        <v>415</v>
      </c>
      <c r="FA500" s="29" t="s">
        <v>415</v>
      </c>
      <c r="FB500" s="29" t="s">
        <v>413</v>
      </c>
      <c r="FC500" s="29" t="s">
        <v>484</v>
      </c>
      <c r="FD500" s="29" t="s">
        <v>413</v>
      </c>
      <c r="FE500" s="29" t="s">
        <v>414</v>
      </c>
      <c r="FF500" s="29" t="s">
        <v>415</v>
      </c>
      <c r="FG500" s="29" t="s">
        <v>413</v>
      </c>
      <c r="FH500" s="29" t="s">
        <v>484</v>
      </c>
      <c r="FI500" s="29" t="s">
        <v>415</v>
      </c>
      <c r="FJ500" s="29" t="s">
        <v>415</v>
      </c>
      <c r="FK500" s="29" t="s">
        <v>415</v>
      </c>
      <c r="FL500" s="29" t="s">
        <v>415</v>
      </c>
      <c r="FM500" s="29" t="s">
        <v>415</v>
      </c>
      <c r="FN500" s="29" t="s">
        <v>415</v>
      </c>
      <c r="FO500" s="29" t="s">
        <v>485</v>
      </c>
      <c r="FP500" s="29" t="s">
        <v>418</v>
      </c>
      <c r="FQ500" s="29" t="s">
        <v>419</v>
      </c>
      <c r="FR500" s="29"/>
      <c r="FS500" s="29" t="s">
        <v>1189</v>
      </c>
      <c r="FT500" s="29" t="s">
        <v>488</v>
      </c>
      <c r="FU500" s="29" t="s">
        <v>585</v>
      </c>
      <c r="FV500" s="29" t="s">
        <v>490</v>
      </c>
      <c r="FW500" s="29" t="s">
        <v>491</v>
      </c>
      <c r="FX500" s="29"/>
      <c r="FY500" s="29" t="s">
        <v>493</v>
      </c>
      <c r="FZ500" s="29"/>
      <c r="GA500" s="29"/>
      <c r="GB500" s="29" t="s">
        <v>455</v>
      </c>
      <c r="GC500" s="29"/>
      <c r="GD500" s="29"/>
      <c r="GE500" s="29" t="s">
        <v>1339</v>
      </c>
      <c r="GF500" s="29" t="s">
        <v>9721</v>
      </c>
      <c r="GG500" s="29"/>
      <c r="GH500" s="29"/>
      <c r="GI500" s="29"/>
      <c r="GJ500" s="29" t="s">
        <v>920</v>
      </c>
      <c r="GK500" s="29" t="s">
        <v>920</v>
      </c>
      <c r="GL500" s="29" t="s">
        <v>921</v>
      </c>
      <c r="GM500" s="29"/>
      <c r="GN500" s="29"/>
      <c r="GO500" s="29"/>
      <c r="GP500" s="29"/>
      <c r="GQ500" s="29" t="s">
        <v>3208</v>
      </c>
      <c r="GR500" s="29" t="s">
        <v>4774</v>
      </c>
      <c r="GS500" s="29"/>
      <c r="GT500" s="29"/>
      <c r="GU500" s="29"/>
      <c r="HP500" s="31"/>
      <c r="MX500" s="29" t="s">
        <v>538</v>
      </c>
      <c r="MY500" s="29" t="str">
        <f>IFERROR(__xludf.DUMMYFUNCTION("""COMPUTED_VALUE"""),"United Kingdom")</f>
        <v>United Kingdom</v>
      </c>
    </row>
    <row r="501" ht="16.5" customHeight="1">
      <c r="A501" s="33">
        <v>46133.03297357639</v>
      </c>
      <c r="B501" s="29" t="s">
        <v>368</v>
      </c>
      <c r="C501" s="29" t="s">
        <v>538</v>
      </c>
      <c r="D501" s="29" t="s">
        <v>538</v>
      </c>
      <c r="E501" s="29"/>
      <c r="F501" s="29"/>
      <c r="G501" s="29" t="s">
        <v>422</v>
      </c>
      <c r="H501" s="29" t="s">
        <v>637</v>
      </c>
      <c r="I501" s="29" t="s">
        <v>638</v>
      </c>
      <c r="J501" s="29" t="s">
        <v>1023</v>
      </c>
      <c r="K501" s="29" t="s">
        <v>7755</v>
      </c>
      <c r="L501" s="29" t="s">
        <v>1526</v>
      </c>
      <c r="M501" s="29"/>
      <c r="N501" s="29" t="s">
        <v>1526</v>
      </c>
      <c r="O501" s="29"/>
      <c r="P501" s="29" t="s">
        <v>759</v>
      </c>
      <c r="Q501" s="29" t="s">
        <v>382</v>
      </c>
      <c r="R501" s="29" t="s">
        <v>500</v>
      </c>
      <c r="S501" s="29" t="s">
        <v>384</v>
      </c>
      <c r="T501" s="29" t="s">
        <v>385</v>
      </c>
      <c r="U501" s="29"/>
      <c r="V501" s="29"/>
      <c r="W501" s="29" t="s">
        <v>386</v>
      </c>
      <c r="X501" s="29" t="s">
        <v>387</v>
      </c>
      <c r="Y501" s="29" t="s">
        <v>594</v>
      </c>
      <c r="Z501" s="29" t="s">
        <v>543</v>
      </c>
      <c r="AA501" s="29" t="s">
        <v>9722</v>
      </c>
      <c r="AB501" s="29"/>
      <c r="AC501" s="29"/>
      <c r="AD501" s="29"/>
      <c r="AE501" s="29"/>
      <c r="AF501" s="29"/>
      <c r="AG501" s="29"/>
      <c r="AH501" s="29"/>
      <c r="AI501" s="29"/>
      <c r="AJ501" s="29"/>
      <c r="AK501" s="29"/>
      <c r="AL501" s="29"/>
      <c r="AM501" s="29"/>
      <c r="AN501" s="29"/>
      <c r="AO501" s="29"/>
      <c r="AP501" s="29"/>
      <c r="AQ501" s="29"/>
      <c r="AR501" s="29"/>
      <c r="AS501" s="29"/>
      <c r="AT501" s="29"/>
      <c r="AU501" s="29"/>
      <c r="AV501" s="29" t="s">
        <v>597</v>
      </c>
      <c r="AW501" s="29" t="s">
        <v>391</v>
      </c>
      <c r="AX501" s="29" t="s">
        <v>391</v>
      </c>
      <c r="AY501" s="29">
        <v>4.0</v>
      </c>
      <c r="AZ501" s="29" t="s">
        <v>391</v>
      </c>
      <c r="BA501" s="29">
        <v>4.0</v>
      </c>
      <c r="BB501" s="29">
        <v>4.0</v>
      </c>
      <c r="BC501" s="29" t="s">
        <v>9723</v>
      </c>
      <c r="BD501" s="29" t="s">
        <v>9724</v>
      </c>
      <c r="BE501" s="29" t="s">
        <v>432</v>
      </c>
      <c r="BF501" s="29" t="s">
        <v>393</v>
      </c>
      <c r="BG501" s="29" t="s">
        <v>394</v>
      </c>
      <c r="BH501" s="29" t="s">
        <v>9725</v>
      </c>
      <c r="BI501" s="29" t="s">
        <v>824</v>
      </c>
      <c r="BJ501" s="29"/>
      <c r="BK501" s="29" t="s">
        <v>681</v>
      </c>
      <c r="BL501" s="29" t="s">
        <v>396</v>
      </c>
      <c r="BM501" s="29" t="s">
        <v>397</v>
      </c>
      <c r="BN501" s="29" t="s">
        <v>398</v>
      </c>
      <c r="BO501" s="29" t="s">
        <v>9726</v>
      </c>
      <c r="BP501" s="29" t="s">
        <v>9727</v>
      </c>
      <c r="BQ501" s="29" t="s">
        <v>682</v>
      </c>
      <c r="BR501" s="29" t="s">
        <v>5174</v>
      </c>
      <c r="BS501" s="29" t="s">
        <v>4071</v>
      </c>
      <c r="BT501" s="29" t="s">
        <v>4072</v>
      </c>
      <c r="BU501" s="29" t="s">
        <v>1693</v>
      </c>
      <c r="BV501" s="29" t="s">
        <v>9728</v>
      </c>
      <c r="BW501" s="29" t="s">
        <v>406</v>
      </c>
      <c r="BX501" s="29" t="s">
        <v>1867</v>
      </c>
      <c r="BY501" s="29" t="s">
        <v>455</v>
      </c>
      <c r="BZ501" s="29" t="s">
        <v>9729</v>
      </c>
      <c r="CA501" s="29"/>
      <c r="CB501" s="29" t="s">
        <v>9730</v>
      </c>
      <c r="CC501" s="29" t="s">
        <v>9731</v>
      </c>
      <c r="CD501" s="29" t="s">
        <v>451</v>
      </c>
      <c r="CE501" s="29" t="s">
        <v>9732</v>
      </c>
      <c r="CF501" s="29" t="s">
        <v>1258</v>
      </c>
      <c r="CG501" s="29"/>
      <c r="CH501" s="29" t="s">
        <v>1679</v>
      </c>
      <c r="CI501" s="29" t="s">
        <v>833</v>
      </c>
      <c r="CJ501" s="29" t="s">
        <v>9733</v>
      </c>
      <c r="CK501" s="29" t="s">
        <v>9734</v>
      </c>
      <c r="CL501" s="29"/>
      <c r="CM501" s="29"/>
      <c r="CN501" s="29"/>
      <c r="CO501" s="29"/>
      <c r="CP501" s="29"/>
      <c r="CQ501" s="29"/>
      <c r="CR501" s="29"/>
      <c r="CS501" s="29"/>
      <c r="CT501" s="29"/>
      <c r="CU501" s="29"/>
      <c r="CV501" s="29"/>
      <c r="CW501" s="29"/>
      <c r="CX501" s="29"/>
      <c r="CY501" s="29"/>
      <c r="CZ501" s="29"/>
      <c r="DA501" s="29"/>
      <c r="DB501" s="29"/>
      <c r="DC501" s="29"/>
      <c r="DD501" s="29"/>
      <c r="DE501" s="29"/>
      <c r="DF501" s="29"/>
      <c r="DG501" s="29"/>
      <c r="DH501" s="29"/>
      <c r="DI501" s="29" t="s">
        <v>777</v>
      </c>
      <c r="DJ501" s="29" t="s">
        <v>613</v>
      </c>
      <c r="DK501" s="29"/>
      <c r="DL501" s="29"/>
      <c r="DM501" s="29"/>
      <c r="DN501" s="29"/>
      <c r="DO501" s="29"/>
      <c r="DP501" s="29"/>
      <c r="DQ501" s="29"/>
      <c r="DR501" s="29"/>
      <c r="DS501" s="29"/>
      <c r="DT501" s="29"/>
      <c r="DU501" s="29"/>
      <c r="DV501" s="29"/>
      <c r="DW501" s="29"/>
      <c r="DX501" s="29"/>
      <c r="DY501" s="29"/>
      <c r="DZ501" s="29"/>
      <c r="EA501" s="29"/>
      <c r="EB501" s="29"/>
      <c r="EC501" s="29"/>
      <c r="ED501" s="29"/>
      <c r="EE501" s="29"/>
      <c r="EF501" s="29"/>
      <c r="EG501" s="29"/>
      <c r="EH501" s="29"/>
      <c r="EI501" s="29"/>
      <c r="EJ501" s="29"/>
      <c r="EK501" s="29"/>
      <c r="EL501" s="29"/>
      <c r="EM501" s="29"/>
      <c r="EN501" s="29"/>
      <c r="EO501" s="29"/>
      <c r="EP501" s="29"/>
      <c r="EQ501" s="29"/>
      <c r="ER501" s="29"/>
      <c r="ES501" s="29"/>
      <c r="ET501" s="29" t="s">
        <v>578</v>
      </c>
      <c r="EU501" s="29" t="s">
        <v>579</v>
      </c>
      <c r="EV501" s="29" t="s">
        <v>1262</v>
      </c>
      <c r="EW501" s="29"/>
      <c r="EX501" s="29" t="s">
        <v>9735</v>
      </c>
      <c r="EY501" s="29" t="s">
        <v>9736</v>
      </c>
      <c r="EZ501" s="29" t="s">
        <v>414</v>
      </c>
      <c r="FA501" s="29" t="s">
        <v>414</v>
      </c>
      <c r="FB501" s="29" t="s">
        <v>413</v>
      </c>
      <c r="FC501" s="29" t="s">
        <v>414</v>
      </c>
      <c r="FD501" s="29" t="s">
        <v>416</v>
      </c>
      <c r="FE501" s="29" t="s">
        <v>414</v>
      </c>
      <c r="FF501" s="29" t="s">
        <v>414</v>
      </c>
      <c r="FG501" s="29" t="s">
        <v>416</v>
      </c>
      <c r="FH501" s="29" t="s">
        <v>414</v>
      </c>
      <c r="FI501" s="29" t="s">
        <v>416</v>
      </c>
      <c r="FJ501" s="29" t="s">
        <v>414</v>
      </c>
      <c r="FK501" s="29" t="s">
        <v>414</v>
      </c>
      <c r="FL501" s="29" t="s">
        <v>414</v>
      </c>
      <c r="FM501" s="29" t="s">
        <v>416</v>
      </c>
      <c r="FN501" s="29" t="s">
        <v>414</v>
      </c>
      <c r="FO501" s="29" t="s">
        <v>1074</v>
      </c>
      <c r="FP501" s="29" t="s">
        <v>486</v>
      </c>
      <c r="FQ501" s="29" t="s">
        <v>749</v>
      </c>
      <c r="FR501" s="29"/>
      <c r="FS501" s="29" t="s">
        <v>1076</v>
      </c>
      <c r="FT501" s="29" t="s">
        <v>1462</v>
      </c>
      <c r="FU501" s="29" t="s">
        <v>1235</v>
      </c>
      <c r="FV501" s="29" t="s">
        <v>490</v>
      </c>
      <c r="FW501" s="29" t="s">
        <v>491</v>
      </c>
      <c r="FX501" s="29"/>
      <c r="FY501" s="29" t="s">
        <v>493</v>
      </c>
      <c r="FZ501" s="29"/>
      <c r="GA501" s="29"/>
      <c r="GB501" s="29" t="s">
        <v>455</v>
      </c>
      <c r="GC501" s="29"/>
      <c r="GD501" s="29" t="s">
        <v>9737</v>
      </c>
      <c r="GE501" s="29" t="s">
        <v>753</v>
      </c>
      <c r="GF501" s="29" t="s">
        <v>9738</v>
      </c>
      <c r="GG501" s="29"/>
      <c r="GH501" s="29"/>
      <c r="GI501" s="29"/>
      <c r="GJ501" s="29" t="s">
        <v>857</v>
      </c>
      <c r="GK501" s="29" t="s">
        <v>857</v>
      </c>
      <c r="GL501" s="29" t="s">
        <v>790</v>
      </c>
      <c r="GM501" s="29"/>
      <c r="GN501" s="29"/>
      <c r="GO501" s="29"/>
      <c r="GP501" s="29"/>
      <c r="GQ501" s="29" t="s">
        <v>3208</v>
      </c>
      <c r="GR501" s="29" t="s">
        <v>4741</v>
      </c>
      <c r="GS501" s="29"/>
      <c r="GT501" s="29"/>
      <c r="GU501" s="29"/>
      <c r="HP501" s="31"/>
      <c r="MX501" s="29" t="s">
        <v>4958</v>
      </c>
      <c r="MY501" s="29" t="str">
        <f>IFERROR(__xludf.DUMMYFUNCTION("""COMPUTED_VALUE"""),"Belgium")</f>
        <v>Belgium</v>
      </c>
    </row>
    <row r="502" ht="16.5" customHeight="1">
      <c r="A502" s="33">
        <v>46133.186501759265</v>
      </c>
      <c r="B502" s="29" t="s">
        <v>368</v>
      </c>
      <c r="C502" s="29" t="s">
        <v>4958</v>
      </c>
      <c r="D502" s="29" t="s">
        <v>4958</v>
      </c>
      <c r="E502" s="29"/>
      <c r="F502" s="29"/>
      <c r="G502" s="29" t="s">
        <v>422</v>
      </c>
      <c r="H502" s="29" t="s">
        <v>373</v>
      </c>
      <c r="I502" s="29" t="s">
        <v>374</v>
      </c>
      <c r="J502" s="29" t="s">
        <v>718</v>
      </c>
      <c r="K502" s="29" t="s">
        <v>376</v>
      </c>
      <c r="L502" s="29" t="s">
        <v>379</v>
      </c>
      <c r="M502" s="29" t="s">
        <v>720</v>
      </c>
      <c r="N502" s="29" t="s">
        <v>379</v>
      </c>
      <c r="O502" s="29" t="s">
        <v>497</v>
      </c>
      <c r="P502" s="29" t="s">
        <v>592</v>
      </c>
      <c r="Q502" s="29" t="s">
        <v>382</v>
      </c>
      <c r="R502" s="29" t="s">
        <v>427</v>
      </c>
      <c r="S502" s="29" t="s">
        <v>384</v>
      </c>
      <c r="T502" s="29" t="s">
        <v>385</v>
      </c>
      <c r="U502" s="29"/>
      <c r="V502" s="29"/>
      <c r="W502" s="29" t="s">
        <v>386</v>
      </c>
      <c r="X502" s="29" t="s">
        <v>387</v>
      </c>
      <c r="Y502" s="29" t="s">
        <v>6822</v>
      </c>
      <c r="Z502" s="29" t="s">
        <v>389</v>
      </c>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t="s">
        <v>504</v>
      </c>
      <c r="AW502" s="29">
        <v>2.0</v>
      </c>
      <c r="AX502" s="29">
        <v>2.0</v>
      </c>
      <c r="AY502" s="29" t="s">
        <v>391</v>
      </c>
      <c r="AZ502" s="29">
        <v>2.0</v>
      </c>
      <c r="BA502" s="29">
        <v>2.0</v>
      </c>
      <c r="BB502" s="29" t="s">
        <v>429</v>
      </c>
      <c r="BC502" s="29" t="s">
        <v>9740</v>
      </c>
      <c r="BD502" s="29" t="s">
        <v>9741</v>
      </c>
      <c r="BE502" s="29" t="s">
        <v>392</v>
      </c>
      <c r="BF502" s="29" t="s">
        <v>433</v>
      </c>
      <c r="BG502" s="29" t="s">
        <v>434</v>
      </c>
      <c r="BH502" s="29" t="s">
        <v>9742</v>
      </c>
      <c r="BI502" s="29" t="s">
        <v>509</v>
      </c>
      <c r="BJ502" s="29" t="s">
        <v>9743</v>
      </c>
      <c r="BK502" s="29" t="s">
        <v>602</v>
      </c>
      <c r="BL502" s="29" t="s">
        <v>603</v>
      </c>
      <c r="BM502" s="29" t="s">
        <v>439</v>
      </c>
      <c r="BN502" s="29" t="s">
        <v>513</v>
      </c>
      <c r="BO502" s="29"/>
      <c r="BP502" s="29"/>
      <c r="BQ502" s="29"/>
      <c r="BR502" s="29"/>
      <c r="BS502" s="29"/>
      <c r="BT502" s="29"/>
      <c r="BU502" s="29"/>
      <c r="BV502" s="29"/>
      <c r="BW502" s="29"/>
      <c r="BX502" s="29"/>
      <c r="BY502" s="29"/>
      <c r="BZ502" s="29"/>
      <c r="CA502" s="29"/>
      <c r="CB502" s="29"/>
      <c r="CC502" s="29"/>
      <c r="CD502" s="29"/>
      <c r="CE502" s="29"/>
      <c r="CF502" s="29"/>
      <c r="CG502" s="29"/>
      <c r="CH502" s="29"/>
      <c r="CI502" s="29"/>
      <c r="CJ502" s="29"/>
      <c r="CK502" s="29"/>
      <c r="CL502" s="29" t="s">
        <v>550</v>
      </c>
      <c r="CM502" s="29" t="s">
        <v>401</v>
      </c>
      <c r="CN502" s="29" t="s">
        <v>9744</v>
      </c>
      <c r="CO502" s="29" t="s">
        <v>9745</v>
      </c>
      <c r="CP502" s="29" t="s">
        <v>685</v>
      </c>
      <c r="CQ502" s="29" t="s">
        <v>5701</v>
      </c>
      <c r="CR502" s="29" t="s">
        <v>804</v>
      </c>
      <c r="CS502" s="29" t="s">
        <v>8716</v>
      </c>
      <c r="CT502" s="29" t="s">
        <v>9746</v>
      </c>
      <c r="CU502" s="29" t="s">
        <v>450</v>
      </c>
      <c r="CV502" s="29" t="s">
        <v>451</v>
      </c>
      <c r="CW502" s="29" t="s">
        <v>9747</v>
      </c>
      <c r="CX502" s="29" t="s">
        <v>408</v>
      </c>
      <c r="CY502" s="29"/>
      <c r="CZ502" s="29" t="s">
        <v>453</v>
      </c>
      <c r="DA502" s="29" t="s">
        <v>9748</v>
      </c>
      <c r="DB502" s="29" t="s">
        <v>455</v>
      </c>
      <c r="DC502" s="29" t="s">
        <v>9749</v>
      </c>
      <c r="DD502" s="29" t="s">
        <v>457</v>
      </c>
      <c r="DE502" s="29"/>
      <c r="DF502" s="29" t="s">
        <v>9750</v>
      </c>
      <c r="DG502" s="29" t="s">
        <v>561</v>
      </c>
      <c r="DH502" s="29" t="s">
        <v>410</v>
      </c>
      <c r="DI502" s="29" t="s">
        <v>963</v>
      </c>
      <c r="DJ502" s="29" t="s">
        <v>613</v>
      </c>
      <c r="DK502" s="29"/>
      <c r="DL502" s="29"/>
      <c r="DM502" s="29"/>
      <c r="DN502" s="29"/>
      <c r="DO502" s="29"/>
      <c r="DP502" s="29"/>
      <c r="DQ502" s="29"/>
      <c r="DR502" s="29"/>
      <c r="DS502" s="29"/>
      <c r="DT502" s="29"/>
      <c r="DU502" s="29"/>
      <c r="DV502" s="29"/>
      <c r="DW502" s="29"/>
      <c r="DX502" s="29"/>
      <c r="DY502" s="29"/>
      <c r="DZ502" s="29"/>
      <c r="EA502" s="29"/>
      <c r="EB502" s="29"/>
      <c r="EC502" s="29"/>
      <c r="ED502" s="29"/>
      <c r="EE502" s="29"/>
      <c r="EF502" s="29"/>
      <c r="EG502" s="29"/>
      <c r="EH502" s="29"/>
      <c r="EI502" s="29"/>
      <c r="EJ502" s="29"/>
      <c r="EK502" s="29"/>
      <c r="EL502" s="29"/>
      <c r="EM502" s="29"/>
      <c r="EN502" s="29"/>
      <c r="EO502" s="29"/>
      <c r="EP502" s="29"/>
      <c r="EQ502" s="29"/>
      <c r="ER502" s="29"/>
      <c r="ES502" s="29"/>
      <c r="ET502" s="29" t="s">
        <v>526</v>
      </c>
      <c r="EU502" s="29" t="s">
        <v>579</v>
      </c>
      <c r="EV502" s="29" t="s">
        <v>480</v>
      </c>
      <c r="EW502" s="29" t="s">
        <v>9751</v>
      </c>
      <c r="EX502" s="29" t="s">
        <v>9752</v>
      </c>
      <c r="EY502" s="29" t="s">
        <v>9753</v>
      </c>
      <c r="EZ502" s="29" t="s">
        <v>413</v>
      </c>
      <c r="FA502" s="29" t="s">
        <v>414</v>
      </c>
      <c r="FB502" s="29" t="s">
        <v>413</v>
      </c>
      <c r="FC502" s="29" t="s">
        <v>413</v>
      </c>
      <c r="FD502" s="29" t="s">
        <v>413</v>
      </c>
      <c r="FE502" s="29" t="s">
        <v>583</v>
      </c>
      <c r="FF502" s="29" t="s">
        <v>413</v>
      </c>
      <c r="FG502" s="29" t="s">
        <v>484</v>
      </c>
      <c r="FH502" s="29" t="s">
        <v>413</v>
      </c>
      <c r="FI502" s="29" t="s">
        <v>413</v>
      </c>
      <c r="FJ502" s="29" t="s">
        <v>413</v>
      </c>
      <c r="FK502" s="29" t="s">
        <v>415</v>
      </c>
      <c r="FL502" s="29" t="s">
        <v>415</v>
      </c>
      <c r="FM502" s="29" t="s">
        <v>413</v>
      </c>
      <c r="FN502" s="29" t="s">
        <v>583</v>
      </c>
      <c r="FO502" s="29" t="s">
        <v>417</v>
      </c>
      <c r="FP502" s="29" t="s">
        <v>418</v>
      </c>
      <c r="FQ502" s="29" t="s">
        <v>749</v>
      </c>
      <c r="FR502" s="29"/>
      <c r="FS502" s="29" t="s">
        <v>420</v>
      </c>
      <c r="FT502" s="29" t="s">
        <v>488</v>
      </c>
      <c r="FU502" s="29" t="s">
        <v>1235</v>
      </c>
      <c r="FV502" s="29" t="s">
        <v>490</v>
      </c>
      <c r="FW502" s="29" t="s">
        <v>491</v>
      </c>
      <c r="FX502" s="29" t="s">
        <v>9754</v>
      </c>
      <c r="FY502" s="29" t="s">
        <v>535</v>
      </c>
      <c r="FZ502" s="29" t="s">
        <v>9755</v>
      </c>
      <c r="GA502" s="29"/>
      <c r="GB502" s="29" t="s">
        <v>455</v>
      </c>
      <c r="GC502" s="29"/>
      <c r="GD502" s="29" t="s">
        <v>9756</v>
      </c>
      <c r="GE502" s="29" t="s">
        <v>753</v>
      </c>
      <c r="GF502" s="29" t="s">
        <v>9757</v>
      </c>
      <c r="GG502" s="29" t="s">
        <v>755</v>
      </c>
      <c r="GH502" s="29" t="s">
        <v>755</v>
      </c>
      <c r="GI502" s="29" t="s">
        <v>946</v>
      </c>
      <c r="GJ502" s="29"/>
      <c r="GK502" s="29"/>
      <c r="GL502" s="29"/>
      <c r="GM502" s="29"/>
      <c r="GN502" s="29" t="s">
        <v>9758</v>
      </c>
      <c r="GO502" s="29" t="s">
        <v>9758</v>
      </c>
      <c r="GP502" s="29"/>
      <c r="GQ502" s="29" t="s">
        <v>3208</v>
      </c>
      <c r="GR502" s="29"/>
      <c r="GS502" s="29"/>
      <c r="GT502" s="29" t="s">
        <v>4774</v>
      </c>
      <c r="GU502" s="29"/>
      <c r="HP502" s="31"/>
      <c r="MX502" s="29" t="s">
        <v>10402</v>
      </c>
      <c r="MY502" s="29" t="str">
        <f>IFERROR(__xludf.DUMMYFUNCTION("""COMPUTED_VALUE"""),"Michigan")</f>
        <v>Michigan</v>
      </c>
    </row>
    <row r="503" ht="16.5" customHeight="1">
      <c r="A503" s="33">
        <v>46134.22396824074</v>
      </c>
      <c r="B503" s="29" t="s">
        <v>368</v>
      </c>
      <c r="C503" s="29" t="s">
        <v>370</v>
      </c>
      <c r="D503" s="29" t="s">
        <v>370</v>
      </c>
      <c r="E503" s="29" t="s">
        <v>1480</v>
      </c>
      <c r="F503" s="29" t="s">
        <v>1480</v>
      </c>
      <c r="G503" s="29" t="s">
        <v>422</v>
      </c>
      <c r="H503" s="29" t="s">
        <v>373</v>
      </c>
      <c r="I503" s="29" t="s">
        <v>374</v>
      </c>
      <c r="J503" s="29" t="s">
        <v>375</v>
      </c>
      <c r="K503" s="29" t="s">
        <v>376</v>
      </c>
      <c r="L503" s="29" t="s">
        <v>426</v>
      </c>
      <c r="M503" s="29" t="s">
        <v>9759</v>
      </c>
      <c r="N503" s="29" t="s">
        <v>379</v>
      </c>
      <c r="O503" s="29" t="s">
        <v>497</v>
      </c>
      <c r="P503" s="29" t="s">
        <v>1760</v>
      </c>
      <c r="Q503" s="29" t="s">
        <v>382</v>
      </c>
      <c r="R503" s="29" t="s">
        <v>9760</v>
      </c>
      <c r="S503" s="29" t="s">
        <v>384</v>
      </c>
      <c r="T503" s="29" t="s">
        <v>385</v>
      </c>
      <c r="U503" s="29"/>
      <c r="V503" s="29"/>
      <c r="W503" s="29" t="s">
        <v>3014</v>
      </c>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t="s">
        <v>1310</v>
      </c>
      <c r="AW503" s="29">
        <v>4.0</v>
      </c>
      <c r="AX503" s="29" t="s">
        <v>675</v>
      </c>
      <c r="AY503" s="29" t="s">
        <v>675</v>
      </c>
      <c r="AZ503" s="29" t="s">
        <v>675</v>
      </c>
      <c r="BA503" s="29" t="s">
        <v>675</v>
      </c>
      <c r="BB503" s="29">
        <v>4.0</v>
      </c>
      <c r="BC503" s="29" t="s">
        <v>9761</v>
      </c>
      <c r="BD503" s="29" t="s">
        <v>9762</v>
      </c>
      <c r="BE503" s="29" t="s">
        <v>902</v>
      </c>
      <c r="BF503" s="29" t="s">
        <v>393</v>
      </c>
      <c r="BG503" s="29" t="s">
        <v>765</v>
      </c>
      <c r="BH503" s="29" t="s">
        <v>9763</v>
      </c>
      <c r="BI503" s="29" t="s">
        <v>976</v>
      </c>
      <c r="BJ503" s="29"/>
      <c r="BK503" s="29" t="s">
        <v>602</v>
      </c>
      <c r="BL503" s="29" t="s">
        <v>904</v>
      </c>
      <c r="BM503" s="29" t="s">
        <v>397</v>
      </c>
      <c r="BN503" s="29" t="s">
        <v>513</v>
      </c>
      <c r="BO503" s="29"/>
      <c r="BP503" s="29"/>
      <c r="BQ503" s="29"/>
      <c r="BR503" s="29"/>
      <c r="BS503" s="29"/>
      <c r="BT503" s="29"/>
      <c r="BU503" s="29"/>
      <c r="BV503" s="29"/>
      <c r="BW503" s="29"/>
      <c r="BX503" s="29"/>
      <c r="BY503" s="29"/>
      <c r="BZ503" s="29"/>
      <c r="CA503" s="29"/>
      <c r="CB503" s="29"/>
      <c r="CC503" s="29"/>
      <c r="CD503" s="29"/>
      <c r="CE503" s="29"/>
      <c r="CF503" s="29"/>
      <c r="CG503" s="29"/>
      <c r="CH503" s="29"/>
      <c r="CI503" s="29"/>
      <c r="CJ503" s="29"/>
      <c r="CK503" s="29"/>
      <c r="CL503" s="29" t="s">
        <v>441</v>
      </c>
      <c r="CM503" s="29" t="s">
        <v>401</v>
      </c>
      <c r="CN503" s="29" t="s">
        <v>9764</v>
      </c>
      <c r="CO503" s="29" t="s">
        <v>9765</v>
      </c>
      <c r="CP503" s="29" t="s">
        <v>685</v>
      </c>
      <c r="CQ503" s="29" t="s">
        <v>3703</v>
      </c>
      <c r="CR503" s="29" t="s">
        <v>447</v>
      </c>
      <c r="CS503" s="29" t="s">
        <v>770</v>
      </c>
      <c r="CT503" s="29" t="s">
        <v>9766</v>
      </c>
      <c r="CU503" s="29" t="s">
        <v>1852</v>
      </c>
      <c r="CV503" s="29" t="s">
        <v>409</v>
      </c>
      <c r="CW503" s="29" t="s">
        <v>9767</v>
      </c>
      <c r="CX503" s="29" t="s">
        <v>408</v>
      </c>
      <c r="CY503" s="29"/>
      <c r="CZ503" s="29" t="s">
        <v>985</v>
      </c>
      <c r="DA503" s="29" t="s">
        <v>9768</v>
      </c>
      <c r="DB503" s="29" t="s">
        <v>408</v>
      </c>
      <c r="DC503" s="29"/>
      <c r="DD503" s="29" t="s">
        <v>988</v>
      </c>
      <c r="DE503" s="29"/>
      <c r="DF503" s="29" t="s">
        <v>9769</v>
      </c>
      <c r="DG503" s="29" t="s">
        <v>776</v>
      </c>
      <c r="DH503" s="29" t="s">
        <v>410</v>
      </c>
      <c r="DI503" s="29" t="s">
        <v>963</v>
      </c>
      <c r="DJ503" s="29" t="s">
        <v>562</v>
      </c>
      <c r="DK503" s="29" t="s">
        <v>6603</v>
      </c>
      <c r="DL503" s="29" t="s">
        <v>9770</v>
      </c>
      <c r="DM503" s="29"/>
      <c r="DN503" s="29"/>
      <c r="DO503" s="29"/>
      <c r="DP503" s="29"/>
      <c r="DQ503" s="29"/>
      <c r="DR503" s="29"/>
      <c r="DS503" s="29"/>
      <c r="DT503" s="29"/>
      <c r="DU503" s="29"/>
      <c r="DV503" s="29"/>
      <c r="DW503" s="29"/>
      <c r="DX503" s="29"/>
      <c r="DY503" s="29"/>
      <c r="DZ503" s="29"/>
      <c r="EA503" s="29"/>
      <c r="EB503" s="29"/>
      <c r="EC503" s="29"/>
      <c r="ED503" s="29"/>
      <c r="EE503" s="29"/>
      <c r="EF503" s="29"/>
      <c r="EG503" s="29"/>
      <c r="EH503" s="29"/>
      <c r="EI503" s="29"/>
      <c r="EJ503" s="29"/>
      <c r="EK503" s="29"/>
      <c r="EL503" s="29"/>
      <c r="EM503" s="29"/>
      <c r="EN503" s="29"/>
      <c r="EO503" s="29"/>
      <c r="EP503" s="29"/>
      <c r="EQ503" s="29"/>
      <c r="ER503" s="29"/>
      <c r="ES503" s="29"/>
      <c r="ET503" s="29" t="s">
        <v>578</v>
      </c>
      <c r="EU503" s="29" t="s">
        <v>479</v>
      </c>
      <c r="EV503" s="29" t="s">
        <v>527</v>
      </c>
      <c r="EW503" s="29" t="s">
        <v>9771</v>
      </c>
      <c r="EX503" s="29" t="s">
        <v>9772</v>
      </c>
      <c r="EY503" s="29" t="s">
        <v>9773</v>
      </c>
      <c r="EZ503" s="29" t="s">
        <v>583</v>
      </c>
      <c r="FA503" s="29" t="s">
        <v>583</v>
      </c>
      <c r="FB503" s="29" t="s">
        <v>416</v>
      </c>
      <c r="FC503" s="29" t="s">
        <v>583</v>
      </c>
      <c r="FD503" s="29" t="s">
        <v>415</v>
      </c>
      <c r="FE503" s="29" t="s">
        <v>583</v>
      </c>
      <c r="FF503" s="29" t="s">
        <v>414</v>
      </c>
      <c r="FG503" s="29" t="s">
        <v>416</v>
      </c>
      <c r="FH503" s="29" t="s">
        <v>583</v>
      </c>
      <c r="FI503" s="29" t="s">
        <v>583</v>
      </c>
      <c r="FJ503" s="29" t="s">
        <v>583</v>
      </c>
      <c r="FK503" s="29" t="s">
        <v>583</v>
      </c>
      <c r="FL503" s="29" t="s">
        <v>583</v>
      </c>
      <c r="FM503" s="29" t="s">
        <v>416</v>
      </c>
      <c r="FN503" s="29" t="s">
        <v>583</v>
      </c>
      <c r="FO503" s="29" t="s">
        <v>850</v>
      </c>
      <c r="FP503" s="29" t="s">
        <v>486</v>
      </c>
      <c r="FQ503" s="29" t="s">
        <v>630</v>
      </c>
      <c r="FR503" s="29" t="s">
        <v>9774</v>
      </c>
      <c r="FS503" s="29" t="s">
        <v>1076</v>
      </c>
      <c r="FT503" s="29" t="s">
        <v>1462</v>
      </c>
      <c r="FU503" s="29" t="s">
        <v>533</v>
      </c>
      <c r="FV503" s="29" t="s">
        <v>490</v>
      </c>
      <c r="FW503" s="29" t="s">
        <v>491</v>
      </c>
      <c r="FX503" s="29" t="s">
        <v>9775</v>
      </c>
      <c r="FY503" s="29" t="s">
        <v>493</v>
      </c>
      <c r="FZ503" s="29" t="s">
        <v>9776</v>
      </c>
      <c r="GA503" s="29" t="s">
        <v>9777</v>
      </c>
      <c r="GB503" s="29" t="s">
        <v>455</v>
      </c>
      <c r="GC503" s="29"/>
      <c r="GD503" s="29"/>
      <c r="GE503" s="29" t="s">
        <v>753</v>
      </c>
      <c r="GF503" s="29" t="s">
        <v>455</v>
      </c>
      <c r="GG503" s="29" t="s">
        <v>755</v>
      </c>
      <c r="GH503" s="29" t="s">
        <v>755</v>
      </c>
      <c r="GI503" s="29" t="s">
        <v>817</v>
      </c>
      <c r="GJ503" s="29"/>
      <c r="GK503" s="29"/>
      <c r="GL503" s="29"/>
      <c r="GM503" s="29"/>
      <c r="GN503" s="29"/>
      <c r="GO503" s="29"/>
      <c r="GP503" s="29"/>
      <c r="GQ503" s="29" t="s">
        <v>3208</v>
      </c>
      <c r="GR503" s="29"/>
      <c r="GS503" s="29"/>
      <c r="GT503" s="29" t="s">
        <v>4774</v>
      </c>
      <c r="GU503" s="29"/>
      <c r="HP503" s="31"/>
      <c r="MX503" s="29" t="s">
        <v>10402</v>
      </c>
      <c r="MY503" s="29" t="str">
        <f>IFERROR(__xludf.DUMMYFUNCTION("""COMPUTED_VALUE"""),"Colorado")</f>
        <v>Colorado</v>
      </c>
    </row>
    <row r="504" ht="16.5" customHeight="1">
      <c r="A504" s="33">
        <v>46138.04028951389</v>
      </c>
      <c r="B504" s="29" t="s">
        <v>368</v>
      </c>
      <c r="C504" s="29" t="s">
        <v>370</v>
      </c>
      <c r="D504" s="29" t="s">
        <v>370</v>
      </c>
      <c r="E504" s="29" t="s">
        <v>4361</v>
      </c>
      <c r="F504" s="29" t="s">
        <v>667</v>
      </c>
      <c r="G504" s="29" t="s">
        <v>422</v>
      </c>
      <c r="H504" s="29" t="s">
        <v>423</v>
      </c>
      <c r="I504" s="29" t="s">
        <v>424</v>
      </c>
      <c r="J504" s="29" t="s">
        <v>425</v>
      </c>
      <c r="K504" s="29" t="s">
        <v>376</v>
      </c>
      <c r="L504" s="29" t="s">
        <v>670</v>
      </c>
      <c r="M504" s="29" t="s">
        <v>1270</v>
      </c>
      <c r="N504" s="29" t="s">
        <v>670</v>
      </c>
      <c r="O504" s="29" t="s">
        <v>1270</v>
      </c>
      <c r="P504" s="29" t="s">
        <v>498</v>
      </c>
      <c r="Q504" s="29" t="s">
        <v>862</v>
      </c>
      <c r="R504" s="29" t="s">
        <v>427</v>
      </c>
      <c r="S504" s="29" t="s">
        <v>1785</v>
      </c>
      <c r="T504" s="29" t="s">
        <v>1786</v>
      </c>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c r="BC504" s="29"/>
      <c r="BD504" s="29"/>
      <c r="BE504" s="29"/>
      <c r="BF504" s="29"/>
      <c r="BG504" s="29"/>
      <c r="BH504" s="29"/>
      <c r="BI504" s="29"/>
      <c r="BJ504" s="29"/>
      <c r="BK504" s="29"/>
      <c r="BL504" s="29"/>
      <c r="BM504" s="29"/>
      <c r="BN504" s="29"/>
      <c r="BO504" s="29"/>
      <c r="BP504" s="29"/>
      <c r="BQ504" s="29"/>
      <c r="BR504" s="29"/>
      <c r="BS504" s="29"/>
      <c r="BT504" s="29"/>
      <c r="BU504" s="29"/>
      <c r="BV504" s="29"/>
      <c r="BW504" s="29"/>
      <c r="BX504" s="29"/>
      <c r="BY504" s="29"/>
      <c r="BZ504" s="29"/>
      <c r="CA504" s="29"/>
      <c r="CB504" s="29"/>
      <c r="CC504" s="29"/>
      <c r="CD504" s="29"/>
      <c r="CE504" s="29"/>
      <c r="CF504" s="29"/>
      <c r="CG504" s="29"/>
      <c r="CH504" s="29"/>
      <c r="CI504" s="29"/>
      <c r="CJ504" s="29"/>
      <c r="CK504" s="29"/>
      <c r="CL504" s="29"/>
      <c r="CM504" s="29"/>
      <c r="CN504" s="29"/>
      <c r="CO504" s="29"/>
      <c r="CP504" s="29"/>
      <c r="CQ504" s="29"/>
      <c r="CR504" s="29"/>
      <c r="CS504" s="29"/>
      <c r="CT504" s="29"/>
      <c r="CU504" s="29"/>
      <c r="CV504" s="29"/>
      <c r="CW504" s="29"/>
      <c r="CX504" s="29"/>
      <c r="CY504" s="29"/>
      <c r="CZ504" s="29"/>
      <c r="DA504" s="29"/>
      <c r="DB504" s="29"/>
      <c r="DC504" s="29"/>
      <c r="DD504" s="29"/>
      <c r="DE504" s="29"/>
      <c r="DF504" s="29"/>
      <c r="DG504" s="29"/>
      <c r="DH504" s="29"/>
      <c r="DI504" s="29"/>
      <c r="DJ504" s="29"/>
      <c r="DK504" s="29"/>
      <c r="DL504" s="29"/>
      <c r="DM504" s="29"/>
      <c r="DN504" s="29"/>
      <c r="DO504" s="29"/>
      <c r="DP504" s="29"/>
      <c r="DQ504" s="29"/>
      <c r="DR504" s="29"/>
      <c r="DS504" s="29"/>
      <c r="DT504" s="29"/>
      <c r="DU504" s="29"/>
      <c r="DV504" s="29"/>
      <c r="DW504" s="29"/>
      <c r="DX504" s="29"/>
      <c r="DY504" s="29"/>
      <c r="DZ504" s="29"/>
      <c r="EA504" s="29"/>
      <c r="EB504" s="29"/>
      <c r="EC504" s="29"/>
      <c r="ED504" s="29" t="s">
        <v>5662</v>
      </c>
      <c r="EE504" s="29"/>
      <c r="EF504" s="29"/>
      <c r="EG504" s="29"/>
      <c r="EH504" s="29"/>
      <c r="EI504" s="29" t="s">
        <v>5664</v>
      </c>
      <c r="EJ504" s="29"/>
      <c r="EK504" s="29" t="s">
        <v>9779</v>
      </c>
      <c r="EL504" s="29" t="s">
        <v>9780</v>
      </c>
      <c r="EM504" s="29" t="s">
        <v>8713</v>
      </c>
      <c r="EN504" s="29" t="s">
        <v>8713</v>
      </c>
      <c r="EO504" s="29"/>
      <c r="EP504" s="29"/>
      <c r="EQ504" s="29"/>
      <c r="ER504" s="29" t="s">
        <v>9781</v>
      </c>
      <c r="ES504" s="29" t="s">
        <v>9782</v>
      </c>
      <c r="ET504" s="29" t="s">
        <v>526</v>
      </c>
      <c r="EU504" s="29" t="s">
        <v>479</v>
      </c>
      <c r="EV504" s="29" t="s">
        <v>778</v>
      </c>
      <c r="EW504" s="29" t="s">
        <v>9783</v>
      </c>
      <c r="EX504" s="29" t="s">
        <v>9784</v>
      </c>
      <c r="EY504" s="29" t="s">
        <v>9785</v>
      </c>
      <c r="EZ504" s="29" t="s">
        <v>416</v>
      </c>
      <c r="FA504" s="29" t="s">
        <v>415</v>
      </c>
      <c r="FB504" s="29" t="s">
        <v>413</v>
      </c>
      <c r="FC504" s="29" t="s">
        <v>413</v>
      </c>
      <c r="FD504" s="29" t="s">
        <v>413</v>
      </c>
      <c r="FE504" s="29" t="s">
        <v>416</v>
      </c>
      <c r="FF504" s="29" t="s">
        <v>484</v>
      </c>
      <c r="FG504" s="29" t="s">
        <v>413</v>
      </c>
      <c r="FH504" s="29" t="s">
        <v>583</v>
      </c>
      <c r="FI504" s="29" t="s">
        <v>484</v>
      </c>
      <c r="FJ504" s="29" t="s">
        <v>484</v>
      </c>
      <c r="FK504" s="29" t="s">
        <v>484</v>
      </c>
      <c r="FL504" s="29" t="s">
        <v>484</v>
      </c>
      <c r="FM504" s="29" t="s">
        <v>484</v>
      </c>
      <c r="FN504" s="29" t="s">
        <v>484</v>
      </c>
      <c r="FO504" s="29" t="s">
        <v>485</v>
      </c>
      <c r="FP504" s="29" t="s">
        <v>418</v>
      </c>
      <c r="FQ504" s="29" t="s">
        <v>712</v>
      </c>
      <c r="FR504" s="29"/>
      <c r="FS504" s="29" t="s">
        <v>420</v>
      </c>
      <c r="FT504" s="29" t="s">
        <v>1476</v>
      </c>
      <c r="FU504" s="29" t="s">
        <v>489</v>
      </c>
      <c r="FV504" s="29" t="s">
        <v>490</v>
      </c>
      <c r="FW504" s="29" t="s">
        <v>491</v>
      </c>
      <c r="FX504" s="29" t="s">
        <v>9786</v>
      </c>
      <c r="FY504" s="29" t="s">
        <v>535</v>
      </c>
      <c r="FZ504" s="29" t="s">
        <v>9787</v>
      </c>
      <c r="GA504" s="29" t="s">
        <v>9788</v>
      </c>
      <c r="GB504" s="29" t="s">
        <v>455</v>
      </c>
      <c r="GC504" s="29"/>
      <c r="GD504" s="29"/>
      <c r="GE504" s="29" t="s">
        <v>753</v>
      </c>
      <c r="GF504" s="29"/>
      <c r="GG504" s="29"/>
      <c r="GH504" s="29"/>
      <c r="GI504" s="29"/>
      <c r="GJ504" s="29"/>
      <c r="GK504" s="29"/>
      <c r="GL504" s="29"/>
      <c r="GM504" s="29"/>
      <c r="GN504" s="29"/>
      <c r="GO504" s="29"/>
      <c r="GP504" s="29"/>
      <c r="GQ504" s="29" t="s">
        <v>3208</v>
      </c>
      <c r="GR504" s="29"/>
      <c r="GS504" s="29"/>
      <c r="GT504" s="29"/>
      <c r="GU504" s="29"/>
      <c r="HP504" s="31"/>
      <c r="MX504" s="29" t="s">
        <v>894</v>
      </c>
      <c r="MY504" s="29" t="str">
        <f>IFERROR(__xludf.DUMMYFUNCTION("""COMPUTED_VALUE"""),"Quebec")</f>
        <v>Quebec</v>
      </c>
    </row>
    <row r="505" ht="16.5" customHeight="1">
      <c r="A505" s="33">
        <v>46139.226470995374</v>
      </c>
      <c r="B505" s="29" t="s">
        <v>368</v>
      </c>
      <c r="C505" s="29" t="s">
        <v>894</v>
      </c>
      <c r="D505" s="29" t="s">
        <v>894</v>
      </c>
      <c r="E505" s="29"/>
      <c r="F505" s="29"/>
      <c r="G505" s="29" t="s">
        <v>422</v>
      </c>
      <c r="H505" s="29" t="s">
        <v>373</v>
      </c>
      <c r="I505" s="29" t="s">
        <v>374</v>
      </c>
      <c r="J505" s="29" t="s">
        <v>590</v>
      </c>
      <c r="K505" s="29" t="s">
        <v>376</v>
      </c>
      <c r="L505" s="29" t="s">
        <v>379</v>
      </c>
      <c r="M505" s="29" t="s">
        <v>639</v>
      </c>
      <c r="N505" s="29" t="s">
        <v>377</v>
      </c>
      <c r="O505" s="29" t="s">
        <v>497</v>
      </c>
      <c r="P505" s="29" t="s">
        <v>381</v>
      </c>
      <c r="Q505" s="29" t="s">
        <v>818</v>
      </c>
      <c r="R505" s="29" t="s">
        <v>949</v>
      </c>
      <c r="S505" s="29" t="s">
        <v>384</v>
      </c>
      <c r="T505" s="29" t="s">
        <v>385</v>
      </c>
      <c r="U505" s="29" t="s">
        <v>1045</v>
      </c>
      <c r="V505" s="29" t="s">
        <v>1025</v>
      </c>
      <c r="W505" s="29" t="s">
        <v>3231</v>
      </c>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t="s">
        <v>1242</v>
      </c>
      <c r="AW505" s="29">
        <v>4.0</v>
      </c>
      <c r="AX505" s="29" t="s">
        <v>391</v>
      </c>
      <c r="AY505" s="29">
        <v>2.0</v>
      </c>
      <c r="AZ505" s="29">
        <v>2.0</v>
      </c>
      <c r="BA505" s="29" t="s">
        <v>429</v>
      </c>
      <c r="BB505" s="29" t="s">
        <v>391</v>
      </c>
      <c r="BC505" s="29"/>
      <c r="BD505" s="29"/>
      <c r="BE505" s="29" t="s">
        <v>432</v>
      </c>
      <c r="BF505" s="29" t="s">
        <v>1095</v>
      </c>
      <c r="BG505" s="29" t="s">
        <v>765</v>
      </c>
      <c r="BH505" s="29" t="s">
        <v>9798</v>
      </c>
      <c r="BI505" s="29" t="s">
        <v>976</v>
      </c>
      <c r="BJ505" s="29"/>
      <c r="BK505" s="29" t="s">
        <v>395</v>
      </c>
      <c r="BL505" s="29" t="s">
        <v>603</v>
      </c>
      <c r="BM505" s="29" t="s">
        <v>1247</v>
      </c>
      <c r="BN505" s="29" t="s">
        <v>513</v>
      </c>
      <c r="BO505" s="29"/>
      <c r="BP505" s="29"/>
      <c r="BQ505" s="29"/>
      <c r="BR505" s="29"/>
      <c r="BS505" s="29"/>
      <c r="BT505" s="29"/>
      <c r="BU505" s="29"/>
      <c r="BV505" s="29"/>
      <c r="BW505" s="29"/>
      <c r="BX505" s="29"/>
      <c r="BY505" s="29"/>
      <c r="BZ505" s="29"/>
      <c r="CA505" s="29"/>
      <c r="CB505" s="29"/>
      <c r="CC505" s="29"/>
      <c r="CD505" s="29"/>
      <c r="CE505" s="29"/>
      <c r="CF505" s="29"/>
      <c r="CG505" s="29"/>
      <c r="CH505" s="29"/>
      <c r="CI505" s="29"/>
      <c r="CJ505" s="29"/>
      <c r="CK505" s="29"/>
      <c r="CL505" s="29" t="s">
        <v>550</v>
      </c>
      <c r="CM505" s="29" t="s">
        <v>604</v>
      </c>
      <c r="CN505" s="29" t="s">
        <v>9799</v>
      </c>
      <c r="CO505" s="29" t="s">
        <v>9800</v>
      </c>
      <c r="CP505" s="29" t="s">
        <v>685</v>
      </c>
      <c r="CQ505" s="29" t="s">
        <v>5701</v>
      </c>
      <c r="CR505" s="29" t="s">
        <v>804</v>
      </c>
      <c r="CS505" s="29" t="s">
        <v>1346</v>
      </c>
      <c r="CT505" s="29" t="s">
        <v>9801</v>
      </c>
      <c r="CU505" s="29" t="s">
        <v>3167</v>
      </c>
      <c r="CV505" s="29" t="s">
        <v>409</v>
      </c>
      <c r="CW505" s="29" t="s">
        <v>9802</v>
      </c>
      <c r="CX505" s="29" t="s">
        <v>408</v>
      </c>
      <c r="CY505" s="29"/>
      <c r="CZ505" s="29" t="s">
        <v>985</v>
      </c>
      <c r="DA505" s="29" t="s">
        <v>9803</v>
      </c>
      <c r="DB505" s="29" t="s">
        <v>408</v>
      </c>
      <c r="DC505" s="29"/>
      <c r="DD505" s="29" t="s">
        <v>406</v>
      </c>
      <c r="DE505" s="29" t="s">
        <v>407</v>
      </c>
      <c r="DF505" s="29"/>
      <c r="DG505" s="29" t="s">
        <v>776</v>
      </c>
      <c r="DH505" s="29" t="s">
        <v>833</v>
      </c>
      <c r="DI505" s="29" t="s">
        <v>963</v>
      </c>
      <c r="DJ505" s="29" t="s">
        <v>613</v>
      </c>
      <c r="DK505" s="29"/>
      <c r="DL505" s="29"/>
      <c r="DM505" s="29"/>
      <c r="DN505" s="29"/>
      <c r="DO505" s="29"/>
      <c r="DP505" s="29"/>
      <c r="DQ505" s="29"/>
      <c r="DR505" s="29"/>
      <c r="DS505" s="29"/>
      <c r="DT505" s="29"/>
      <c r="DU505" s="29"/>
      <c r="DV505" s="29"/>
      <c r="DW505" s="29"/>
      <c r="DX505" s="29"/>
      <c r="DY505" s="29"/>
      <c r="DZ505" s="29"/>
      <c r="EA505" s="29"/>
      <c r="EB505" s="29"/>
      <c r="EC505" s="29"/>
      <c r="ED505" s="29"/>
      <c r="EE505" s="29"/>
      <c r="EF505" s="29"/>
      <c r="EG505" s="29"/>
      <c r="EH505" s="29"/>
      <c r="EI505" s="29"/>
      <c r="EJ505" s="29"/>
      <c r="EK505" s="29"/>
      <c r="EL505" s="29"/>
      <c r="EM505" s="29"/>
      <c r="EN505" s="29"/>
      <c r="EO505" s="29"/>
      <c r="EP505" s="29"/>
      <c r="EQ505" s="29"/>
      <c r="ER505" s="29"/>
      <c r="ES505" s="29"/>
      <c r="ET505" s="29" t="s">
        <v>2747</v>
      </c>
      <c r="EU505" s="29" t="s">
        <v>579</v>
      </c>
      <c r="EV505" s="29" t="s">
        <v>778</v>
      </c>
      <c r="EW505" s="29" t="s">
        <v>9804</v>
      </c>
      <c r="EX505" s="29" t="s">
        <v>9805</v>
      </c>
      <c r="EY505" s="29" t="s">
        <v>9806</v>
      </c>
      <c r="EZ505" s="29" t="s">
        <v>413</v>
      </c>
      <c r="FA505" s="29" t="s">
        <v>415</v>
      </c>
      <c r="FB505" s="29" t="s">
        <v>413</v>
      </c>
      <c r="FC505" s="29" t="s">
        <v>413</v>
      </c>
      <c r="FD505" s="29" t="s">
        <v>413</v>
      </c>
      <c r="FE505" s="29" t="s">
        <v>415</v>
      </c>
      <c r="FF505" s="29" t="s">
        <v>413</v>
      </c>
      <c r="FG505" s="29" t="s">
        <v>484</v>
      </c>
      <c r="FH505" s="29" t="s">
        <v>413</v>
      </c>
      <c r="FI505" s="29" t="s">
        <v>413</v>
      </c>
      <c r="FJ505" s="29" t="s">
        <v>413</v>
      </c>
      <c r="FK505" s="29" t="s">
        <v>413</v>
      </c>
      <c r="FL505" s="29" t="s">
        <v>484</v>
      </c>
      <c r="FM505" s="29" t="s">
        <v>484</v>
      </c>
      <c r="FN505" s="29" t="s">
        <v>414</v>
      </c>
      <c r="FO505" s="29" t="s">
        <v>1537</v>
      </c>
      <c r="FP505" s="29" t="s">
        <v>418</v>
      </c>
      <c r="FQ505" s="29" t="s">
        <v>531</v>
      </c>
      <c r="FR505" s="29"/>
      <c r="FS505" s="29" t="s">
        <v>1871</v>
      </c>
      <c r="FT505" s="29" t="s">
        <v>488</v>
      </c>
      <c r="FU505" s="29" t="s">
        <v>1235</v>
      </c>
      <c r="FV505" s="29" t="s">
        <v>2399</v>
      </c>
      <c r="FW505" s="29" t="s">
        <v>1853</v>
      </c>
      <c r="FX505" s="29"/>
      <c r="FY505" s="29" t="s">
        <v>1020</v>
      </c>
      <c r="FZ505" s="29"/>
      <c r="GA505" s="29"/>
      <c r="GB505" s="29" t="s">
        <v>408</v>
      </c>
      <c r="GC505" s="29"/>
      <c r="GD505" s="29"/>
      <c r="GE505" s="29"/>
      <c r="GF505" s="29"/>
      <c r="GG505" s="29" t="s">
        <v>755</v>
      </c>
      <c r="GH505" s="29" t="s">
        <v>1000</v>
      </c>
      <c r="GI505" s="29" t="s">
        <v>946</v>
      </c>
      <c r="GJ505" s="29"/>
      <c r="GK505" s="29"/>
      <c r="GL505" s="29"/>
      <c r="GM505" s="29"/>
      <c r="GN505" s="29"/>
      <c r="GO505" s="29"/>
      <c r="GP505" s="29" t="s">
        <v>387</v>
      </c>
      <c r="GQ505" s="29"/>
      <c r="GR505" s="29"/>
      <c r="GS505" s="29"/>
      <c r="GT505" s="29" t="s">
        <v>4774</v>
      </c>
      <c r="GU505" s="29"/>
      <c r="HP505" s="31"/>
      <c r="MX505" s="29" t="s">
        <v>3570</v>
      </c>
      <c r="MY505" s="29" t="str">
        <f>IFERROR(__xludf.DUMMYFUNCTION("""COMPUTED_VALUE"""),"Colombia")</f>
        <v>Colombia</v>
      </c>
    </row>
    <row r="506" ht="16.5" customHeight="1">
      <c r="A506" s="33">
        <v>46143.65511586805</v>
      </c>
      <c r="B506" s="29" t="s">
        <v>368</v>
      </c>
      <c r="C506" s="29" t="s">
        <v>3570</v>
      </c>
      <c r="D506" s="29" t="s">
        <v>3570</v>
      </c>
      <c r="E506" s="29"/>
      <c r="F506" s="29"/>
      <c r="G506" s="29" t="s">
        <v>1269</v>
      </c>
      <c r="H506" s="29" t="s">
        <v>1203</v>
      </c>
      <c r="I506" s="29" t="s">
        <v>638</v>
      </c>
      <c r="J506" s="29" t="s">
        <v>590</v>
      </c>
      <c r="K506" s="29" t="s">
        <v>376</v>
      </c>
      <c r="L506" s="29" t="s">
        <v>591</v>
      </c>
      <c r="M506" s="29" t="s">
        <v>541</v>
      </c>
      <c r="N506" s="29" t="s">
        <v>426</v>
      </c>
      <c r="O506" s="29" t="s">
        <v>378</v>
      </c>
      <c r="P506" s="29" t="s">
        <v>592</v>
      </c>
      <c r="Q506" s="29" t="s">
        <v>862</v>
      </c>
      <c r="R506" s="29" t="s">
        <v>9807</v>
      </c>
      <c r="S506" s="29" t="s">
        <v>384</v>
      </c>
      <c r="T506" s="29" t="s">
        <v>385</v>
      </c>
      <c r="U506" s="29"/>
      <c r="V506" s="29"/>
      <c r="W506" s="29" t="s">
        <v>3014</v>
      </c>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t="s">
        <v>390</v>
      </c>
      <c r="AW506" s="29">
        <v>2.0</v>
      </c>
      <c r="AX506" s="29" t="s">
        <v>391</v>
      </c>
      <c r="AY506" s="29">
        <v>4.0</v>
      </c>
      <c r="AZ506" s="29">
        <v>2.0</v>
      </c>
      <c r="BA506" s="29">
        <v>2.0</v>
      </c>
      <c r="BB506" s="29" t="s">
        <v>391</v>
      </c>
      <c r="BC506" s="29" t="s">
        <v>9808</v>
      </c>
      <c r="BD506" s="29" t="s">
        <v>9809</v>
      </c>
      <c r="BE506" s="29" t="s">
        <v>2259</v>
      </c>
      <c r="BF506" s="29" t="s">
        <v>433</v>
      </c>
      <c r="BG506" s="29" t="s">
        <v>394</v>
      </c>
      <c r="BH506" s="29"/>
      <c r="BI506" s="29" t="s">
        <v>824</v>
      </c>
      <c r="BJ506" s="29"/>
      <c r="BK506" s="29" t="s">
        <v>437</v>
      </c>
      <c r="BL506" s="29" t="s">
        <v>396</v>
      </c>
      <c r="BM506" s="29" t="s">
        <v>549</v>
      </c>
      <c r="BN506" s="29" t="s">
        <v>513</v>
      </c>
      <c r="BO506" s="29"/>
      <c r="BP506" s="29"/>
      <c r="BQ506" s="29"/>
      <c r="BR506" s="29"/>
      <c r="BS506" s="29"/>
      <c r="BT506" s="29"/>
      <c r="BU506" s="29"/>
      <c r="BV506" s="29"/>
      <c r="BW506" s="29"/>
      <c r="BX506" s="29"/>
      <c r="BY506" s="29"/>
      <c r="BZ506" s="29"/>
      <c r="CA506" s="29"/>
      <c r="CB506" s="29"/>
      <c r="CC506" s="29"/>
      <c r="CD506" s="29"/>
      <c r="CE506" s="29"/>
      <c r="CF506" s="29"/>
      <c r="CG506" s="29"/>
      <c r="CH506" s="29"/>
      <c r="CI506" s="29"/>
      <c r="CJ506" s="29"/>
      <c r="CK506" s="29"/>
      <c r="CL506" s="29" t="s">
        <v>550</v>
      </c>
      <c r="CM506" s="29" t="s">
        <v>604</v>
      </c>
      <c r="CN506" s="29" t="s">
        <v>9810</v>
      </c>
      <c r="CO506" s="29" t="s">
        <v>9811</v>
      </c>
      <c r="CP506" s="29" t="s">
        <v>1008</v>
      </c>
      <c r="CQ506" s="29" t="s">
        <v>9812</v>
      </c>
      <c r="CR506" s="29" t="s">
        <v>555</v>
      </c>
      <c r="CS506" s="29" t="s">
        <v>9813</v>
      </c>
      <c r="CT506" s="29" t="s">
        <v>9814</v>
      </c>
      <c r="CU506" s="29" t="s">
        <v>450</v>
      </c>
      <c r="CV506" s="29" t="s">
        <v>451</v>
      </c>
      <c r="CW506" s="29" t="s">
        <v>9815</v>
      </c>
      <c r="CX506" s="29" t="s">
        <v>408</v>
      </c>
      <c r="CY506" s="29"/>
      <c r="CZ506" s="29" t="s">
        <v>985</v>
      </c>
      <c r="DA506" s="29"/>
      <c r="DB506" s="29" t="s">
        <v>408</v>
      </c>
      <c r="DC506" s="29"/>
      <c r="DD506" s="29" t="s">
        <v>662</v>
      </c>
      <c r="DE506" s="29" t="s">
        <v>407</v>
      </c>
      <c r="DF506" s="29" t="s">
        <v>9816</v>
      </c>
      <c r="DG506" s="29" t="s">
        <v>561</v>
      </c>
      <c r="DH506" s="29" t="s">
        <v>410</v>
      </c>
      <c r="DI506" s="29" t="s">
        <v>963</v>
      </c>
      <c r="DJ506" s="29" t="s">
        <v>460</v>
      </c>
      <c r="DK506" s="29" t="s">
        <v>6319</v>
      </c>
      <c r="DL506" s="29"/>
      <c r="DM506" s="29"/>
      <c r="DN506" s="29"/>
      <c r="DO506" s="29"/>
      <c r="DP506" s="29"/>
      <c r="DQ506" s="29"/>
      <c r="DR506" s="29"/>
      <c r="DS506" s="29"/>
      <c r="DT506" s="29"/>
      <c r="DU506" s="29"/>
      <c r="DV506" s="29"/>
      <c r="DW506" s="29"/>
      <c r="DX506" s="29"/>
      <c r="DY506" s="29"/>
      <c r="DZ506" s="29"/>
      <c r="EA506" s="29"/>
      <c r="EB506" s="29"/>
      <c r="EC506" s="29"/>
      <c r="ED506" s="29"/>
      <c r="EE506" s="29"/>
      <c r="EF506" s="29"/>
      <c r="EG506" s="29"/>
      <c r="EH506" s="29"/>
      <c r="EI506" s="29"/>
      <c r="EJ506" s="29"/>
      <c r="EK506" s="29"/>
      <c r="EL506" s="29"/>
      <c r="EM506" s="29"/>
      <c r="EN506" s="29"/>
      <c r="EO506" s="29"/>
      <c r="EP506" s="29"/>
      <c r="EQ506" s="29"/>
      <c r="ER506" s="29"/>
      <c r="ES506" s="29"/>
      <c r="ET506" s="29" t="s">
        <v>526</v>
      </c>
      <c r="EU506" s="29" t="s">
        <v>579</v>
      </c>
      <c r="EV506" s="29" t="s">
        <v>480</v>
      </c>
      <c r="EW506" s="29"/>
      <c r="EX506" s="29"/>
      <c r="EY506" s="29"/>
      <c r="EZ506" s="29" t="s">
        <v>413</v>
      </c>
      <c r="FA506" s="29" t="s">
        <v>415</v>
      </c>
      <c r="FB506" s="29" t="s">
        <v>413</v>
      </c>
      <c r="FC506" s="29" t="s">
        <v>413</v>
      </c>
      <c r="FD506" s="29" t="s">
        <v>413</v>
      </c>
      <c r="FE506" s="29" t="s">
        <v>414</v>
      </c>
      <c r="FF506" s="29" t="s">
        <v>583</v>
      </c>
      <c r="FG506" s="29" t="s">
        <v>415</v>
      </c>
      <c r="FH506" s="29" t="s">
        <v>414</v>
      </c>
      <c r="FI506" s="29" t="s">
        <v>416</v>
      </c>
      <c r="FJ506" s="29" t="s">
        <v>414</v>
      </c>
      <c r="FK506" s="29" t="s">
        <v>484</v>
      </c>
      <c r="FL506" s="29" t="s">
        <v>583</v>
      </c>
      <c r="FM506" s="29" t="s">
        <v>413</v>
      </c>
      <c r="FN506" s="29" t="s">
        <v>414</v>
      </c>
      <c r="FO506" s="29" t="s">
        <v>485</v>
      </c>
      <c r="FP506" s="29" t="s">
        <v>486</v>
      </c>
      <c r="FQ506" s="29" t="s">
        <v>419</v>
      </c>
      <c r="FR506" s="29"/>
      <c r="FS506" s="29" t="s">
        <v>420</v>
      </c>
      <c r="FT506" s="29" t="s">
        <v>1462</v>
      </c>
      <c r="FU506" s="29" t="s">
        <v>1235</v>
      </c>
      <c r="FV506" s="29" t="s">
        <v>490</v>
      </c>
      <c r="FW506" s="29" t="s">
        <v>491</v>
      </c>
      <c r="FX506" s="29" t="s">
        <v>9817</v>
      </c>
      <c r="FY506" s="29" t="s">
        <v>535</v>
      </c>
      <c r="FZ506" s="29" t="s">
        <v>9818</v>
      </c>
      <c r="GA506" s="29" t="s">
        <v>9819</v>
      </c>
      <c r="GB506" s="29" t="s">
        <v>408</v>
      </c>
      <c r="GC506" s="29"/>
      <c r="GD506" s="29"/>
      <c r="GE506" s="29"/>
      <c r="GF506" s="29"/>
      <c r="GG506" s="29" t="s">
        <v>1000</v>
      </c>
      <c r="GH506" s="29" t="s">
        <v>755</v>
      </c>
      <c r="GI506" s="29" t="s">
        <v>946</v>
      </c>
      <c r="GJ506" s="29"/>
      <c r="GK506" s="29"/>
      <c r="GL506" s="29"/>
      <c r="GM506" s="29"/>
      <c r="GN506" s="29" t="s">
        <v>9820</v>
      </c>
      <c r="GO506" s="29" t="s">
        <v>9821</v>
      </c>
      <c r="GP506" s="29"/>
      <c r="GQ506" s="29" t="s">
        <v>3208</v>
      </c>
      <c r="GR506" s="29"/>
      <c r="GS506" s="29"/>
      <c r="GT506" s="29" t="s">
        <v>4774</v>
      </c>
      <c r="GU506" s="29"/>
      <c r="HP506" s="31"/>
      <c r="MX506" s="29" t="s">
        <v>1341</v>
      </c>
      <c r="MY506" s="29" t="str">
        <f>IFERROR(__xludf.DUMMYFUNCTION("""COMPUTED_VALUE"""),"Germany")</f>
        <v>Germany</v>
      </c>
    </row>
    <row r="507" ht="16.5" customHeight="1">
      <c r="A507" s="33">
        <v>46146.24480885417</v>
      </c>
      <c r="B507" s="29" t="s">
        <v>368</v>
      </c>
      <c r="C507" s="29" t="s">
        <v>1341</v>
      </c>
      <c r="D507" s="29" t="s">
        <v>1341</v>
      </c>
      <c r="E507" s="29"/>
      <c r="F507" s="29"/>
      <c r="G507" s="29" t="s">
        <v>422</v>
      </c>
      <c r="H507" s="29" t="s">
        <v>637</v>
      </c>
      <c r="I507" s="29" t="s">
        <v>638</v>
      </c>
      <c r="J507" s="29" t="s">
        <v>590</v>
      </c>
      <c r="K507" s="29" t="s">
        <v>376</v>
      </c>
      <c r="L507" s="29" t="s">
        <v>377</v>
      </c>
      <c r="M507" s="29" t="s">
        <v>497</v>
      </c>
      <c r="N507" s="29" t="s">
        <v>377</v>
      </c>
      <c r="O507" s="29" t="s">
        <v>380</v>
      </c>
      <c r="P507" s="29" t="s">
        <v>381</v>
      </c>
      <c r="Q507" s="29" t="s">
        <v>862</v>
      </c>
      <c r="R507" s="29" t="s">
        <v>2360</v>
      </c>
      <c r="S507" s="29" t="s">
        <v>1785</v>
      </c>
      <c r="T507" s="29" t="s">
        <v>385</v>
      </c>
      <c r="U507" s="29"/>
      <c r="V507" s="29"/>
      <c r="W507" s="29" t="s">
        <v>386</v>
      </c>
      <c r="X507" s="29" t="s">
        <v>387</v>
      </c>
      <c r="Y507" s="29" t="s">
        <v>1444</v>
      </c>
      <c r="Z507" s="29" t="s">
        <v>543</v>
      </c>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t="s">
        <v>504</v>
      </c>
      <c r="AW507" s="29" t="s">
        <v>429</v>
      </c>
      <c r="AX507" s="29" t="s">
        <v>429</v>
      </c>
      <c r="AY507" s="29" t="s">
        <v>429</v>
      </c>
      <c r="AZ507" s="29" t="s">
        <v>429</v>
      </c>
      <c r="BA507" s="29" t="s">
        <v>429</v>
      </c>
      <c r="BB507" s="29" t="s">
        <v>429</v>
      </c>
      <c r="BC507" s="29"/>
      <c r="BD507" s="29"/>
      <c r="BE507" s="29" t="s">
        <v>392</v>
      </c>
      <c r="BF507" s="29"/>
      <c r="BG507" s="29" t="s">
        <v>678</v>
      </c>
      <c r="BH507" s="29"/>
      <c r="BI507" s="29" t="s">
        <v>435</v>
      </c>
      <c r="BJ507" s="29"/>
      <c r="BK507" s="29" t="s">
        <v>511</v>
      </c>
      <c r="BL507" s="29" t="s">
        <v>603</v>
      </c>
      <c r="BM507" s="29" t="s">
        <v>439</v>
      </c>
      <c r="BN507" s="29" t="s">
        <v>513</v>
      </c>
      <c r="BO507" s="29"/>
      <c r="BP507" s="29"/>
      <c r="BQ507" s="29"/>
      <c r="BR507" s="29"/>
      <c r="BS507" s="29"/>
      <c r="BT507" s="29"/>
      <c r="BU507" s="29"/>
      <c r="BV507" s="29"/>
      <c r="BW507" s="29"/>
      <c r="BX507" s="29"/>
      <c r="BY507" s="29"/>
      <c r="BZ507" s="29"/>
      <c r="CA507" s="29"/>
      <c r="CB507" s="29"/>
      <c r="CC507" s="29"/>
      <c r="CD507" s="29"/>
      <c r="CE507" s="29"/>
      <c r="CF507" s="29"/>
      <c r="CG507" s="29"/>
      <c r="CH507" s="29"/>
      <c r="CI507" s="29"/>
      <c r="CJ507" s="29"/>
      <c r="CK507" s="29"/>
      <c r="CL507" s="29" t="s">
        <v>550</v>
      </c>
      <c r="CM507" s="29" t="s">
        <v>682</v>
      </c>
      <c r="CN507" s="29" t="s">
        <v>9822</v>
      </c>
      <c r="CO507" s="29" t="s">
        <v>9823</v>
      </c>
      <c r="CP507" s="29" t="s">
        <v>685</v>
      </c>
      <c r="CQ507" s="29" t="s">
        <v>9824</v>
      </c>
      <c r="CR507" s="29" t="s">
        <v>804</v>
      </c>
      <c r="CS507" s="29" t="s">
        <v>1346</v>
      </c>
      <c r="CT507" s="29" t="s">
        <v>9825</v>
      </c>
      <c r="CU507" s="29" t="s">
        <v>450</v>
      </c>
      <c r="CV507" s="29" t="s">
        <v>451</v>
      </c>
      <c r="CW507" s="29" t="s">
        <v>9826</v>
      </c>
      <c r="CX507" s="29" t="s">
        <v>733</v>
      </c>
      <c r="CY507" s="29" t="s">
        <v>9827</v>
      </c>
      <c r="CZ507" s="29" t="s">
        <v>453</v>
      </c>
      <c r="DA507" s="29" t="s">
        <v>9828</v>
      </c>
      <c r="DB507" s="29" t="s">
        <v>455</v>
      </c>
      <c r="DC507" s="29" t="s">
        <v>9829</v>
      </c>
      <c r="DD507" s="29" t="s">
        <v>406</v>
      </c>
      <c r="DE507" s="29" t="s">
        <v>1867</v>
      </c>
      <c r="DF507" s="29" t="s">
        <v>9830</v>
      </c>
      <c r="DG507" s="29" t="s">
        <v>561</v>
      </c>
      <c r="DH507" s="29" t="s">
        <v>410</v>
      </c>
      <c r="DI507" s="29" t="s">
        <v>963</v>
      </c>
      <c r="DJ507" s="29" t="s">
        <v>613</v>
      </c>
      <c r="DK507" s="29"/>
      <c r="DL507" s="29"/>
      <c r="DM507" s="29"/>
      <c r="DN507" s="29"/>
      <c r="DO507" s="29"/>
      <c r="DP507" s="29"/>
      <c r="DQ507" s="29"/>
      <c r="DR507" s="29"/>
      <c r="DS507" s="29"/>
      <c r="DT507" s="29"/>
      <c r="DU507" s="29"/>
      <c r="DV507" s="29"/>
      <c r="DW507" s="29"/>
      <c r="DX507" s="29"/>
      <c r="DY507" s="29"/>
      <c r="DZ507" s="29"/>
      <c r="EA507" s="29"/>
      <c r="EB507" s="29"/>
      <c r="EC507" s="29"/>
      <c r="ED507" s="29"/>
      <c r="EE507" s="29"/>
      <c r="EF507" s="29"/>
      <c r="EG507" s="29"/>
      <c r="EH507" s="29"/>
      <c r="EI507" s="29"/>
      <c r="EJ507" s="29"/>
      <c r="EK507" s="29"/>
      <c r="EL507" s="29"/>
      <c r="EM507" s="29"/>
      <c r="EN507" s="29"/>
      <c r="EO507" s="29"/>
      <c r="EP507" s="29"/>
      <c r="EQ507" s="29"/>
      <c r="ER507" s="29"/>
      <c r="ES507" s="29"/>
      <c r="ET507" s="29" t="s">
        <v>478</v>
      </c>
      <c r="EU507" s="29" t="s">
        <v>1037</v>
      </c>
      <c r="EV507" s="29" t="s">
        <v>580</v>
      </c>
      <c r="EW507" s="29"/>
      <c r="EX507" s="29" t="s">
        <v>9831</v>
      </c>
      <c r="EY507" s="29"/>
      <c r="EZ507" s="29" t="s">
        <v>413</v>
      </c>
      <c r="FA507" s="29" t="s">
        <v>413</v>
      </c>
      <c r="FB507" s="29" t="s">
        <v>413</v>
      </c>
      <c r="FC507" s="29" t="s">
        <v>413</v>
      </c>
      <c r="FD507" s="29" t="s">
        <v>413</v>
      </c>
      <c r="FE507" s="29" t="s">
        <v>413</v>
      </c>
      <c r="FF507" s="29" t="s">
        <v>413</v>
      </c>
      <c r="FG507" s="29" t="s">
        <v>413</v>
      </c>
      <c r="FH507" s="29" t="s">
        <v>415</v>
      </c>
      <c r="FI507" s="29" t="s">
        <v>413</v>
      </c>
      <c r="FJ507" s="29" t="s">
        <v>413</v>
      </c>
      <c r="FK507" s="29" t="s">
        <v>413</v>
      </c>
      <c r="FL507" s="29" t="s">
        <v>413</v>
      </c>
      <c r="FM507" s="29" t="s">
        <v>413</v>
      </c>
      <c r="FN507" s="29" t="s">
        <v>583</v>
      </c>
      <c r="FO507" s="29" t="s">
        <v>485</v>
      </c>
      <c r="FP507" s="29" t="s">
        <v>418</v>
      </c>
      <c r="FQ507" s="29" t="s">
        <v>1039</v>
      </c>
      <c r="FR507" s="29"/>
      <c r="FS507" s="29" t="s">
        <v>420</v>
      </c>
      <c r="FT507" s="29" t="s">
        <v>488</v>
      </c>
      <c r="FU507" s="29"/>
      <c r="FV507" s="29" t="s">
        <v>490</v>
      </c>
      <c r="FW507" s="29" t="s">
        <v>491</v>
      </c>
      <c r="FX507" s="29" t="s">
        <v>9832</v>
      </c>
      <c r="FY507" s="29" t="s">
        <v>535</v>
      </c>
      <c r="FZ507" s="29"/>
      <c r="GA507" s="29"/>
      <c r="GB507" s="29" t="s">
        <v>408</v>
      </c>
      <c r="GC507" s="29"/>
      <c r="GD507" s="29"/>
      <c r="GE507" s="29"/>
      <c r="GF507" s="29"/>
      <c r="GG507" s="29" t="s">
        <v>857</v>
      </c>
      <c r="GH507" s="29"/>
      <c r="GI507" s="29"/>
      <c r="GJ507" s="29"/>
      <c r="GK507" s="29"/>
      <c r="GL507" s="29"/>
      <c r="GM507" s="29"/>
      <c r="GN507" s="29"/>
      <c r="GO507" s="29"/>
      <c r="GP507" s="29"/>
      <c r="GQ507" s="29" t="s">
        <v>9833</v>
      </c>
      <c r="GR507" s="29"/>
      <c r="GS507" s="29"/>
      <c r="GT507" s="29" t="s">
        <v>4774</v>
      </c>
      <c r="GU507" s="29"/>
      <c r="HP507" s="31"/>
      <c r="MX507" s="29" t="s">
        <v>10402</v>
      </c>
      <c r="MY507" s="29" t="str">
        <f>IFERROR(__xludf.DUMMYFUNCTION("""COMPUTED_VALUE"""),"New Jersey")</f>
        <v>New Jersey</v>
      </c>
    </row>
    <row r="508" ht="16.5" customHeight="1">
      <c r="A508" s="33">
        <v>46150.09750815972</v>
      </c>
      <c r="B508" s="29" t="s">
        <v>368</v>
      </c>
      <c r="C508" s="29" t="s">
        <v>370</v>
      </c>
      <c r="D508" s="29" t="s">
        <v>370</v>
      </c>
      <c r="E508" s="29" t="s">
        <v>2359</v>
      </c>
      <c r="F508" s="29" t="s">
        <v>2359</v>
      </c>
      <c r="G508" s="29" t="s">
        <v>2295</v>
      </c>
      <c r="H508" s="29" t="s">
        <v>373</v>
      </c>
      <c r="I508" s="29" t="s">
        <v>638</v>
      </c>
      <c r="J508" s="29" t="s">
        <v>375</v>
      </c>
      <c r="K508" s="29" t="s">
        <v>2560</v>
      </c>
      <c r="L508" s="29" t="s">
        <v>426</v>
      </c>
      <c r="M508" s="29" t="s">
        <v>9834</v>
      </c>
      <c r="N508" s="29" t="s">
        <v>1526</v>
      </c>
      <c r="O508" s="29" t="s">
        <v>1024</v>
      </c>
      <c r="P508" s="29" t="s">
        <v>381</v>
      </c>
      <c r="Q508" s="29" t="s">
        <v>382</v>
      </c>
      <c r="R508" s="29" t="s">
        <v>949</v>
      </c>
      <c r="S508" s="29" t="s">
        <v>384</v>
      </c>
      <c r="T508" s="29" t="s">
        <v>385</v>
      </c>
      <c r="U508" s="29"/>
      <c r="V508" s="29"/>
      <c r="W508" s="29" t="s">
        <v>386</v>
      </c>
      <c r="X508" s="29" t="s">
        <v>387</v>
      </c>
      <c r="Y508" s="29" t="s">
        <v>897</v>
      </c>
      <c r="Z508" s="29" t="s">
        <v>543</v>
      </c>
      <c r="AA508" s="29" t="s">
        <v>408</v>
      </c>
      <c r="AB508" s="29"/>
      <c r="AC508" s="29"/>
      <c r="AD508" s="29"/>
      <c r="AE508" s="29"/>
      <c r="AF508" s="29"/>
      <c r="AG508" s="29"/>
      <c r="AH508" s="29"/>
      <c r="AI508" s="29"/>
      <c r="AJ508" s="29"/>
      <c r="AK508" s="29"/>
      <c r="AL508" s="29"/>
      <c r="AM508" s="29"/>
      <c r="AN508" s="29"/>
      <c r="AO508" s="29"/>
      <c r="AP508" s="29"/>
      <c r="AQ508" s="29"/>
      <c r="AR508" s="29"/>
      <c r="AS508" s="29"/>
      <c r="AT508" s="29"/>
      <c r="AU508" s="29"/>
      <c r="AV508" s="29" t="s">
        <v>390</v>
      </c>
      <c r="AW508" s="29" t="s">
        <v>391</v>
      </c>
      <c r="AX508" s="29" t="s">
        <v>391</v>
      </c>
      <c r="AY508" s="29" t="s">
        <v>391</v>
      </c>
      <c r="AZ508" s="29">
        <v>2.0</v>
      </c>
      <c r="BA508" s="29" t="s">
        <v>391</v>
      </c>
      <c r="BB508" s="29" t="s">
        <v>391</v>
      </c>
      <c r="BC508" s="29" t="s">
        <v>9835</v>
      </c>
      <c r="BD508" s="29" t="s">
        <v>9836</v>
      </c>
      <c r="BE508" s="29" t="s">
        <v>432</v>
      </c>
      <c r="BF508" s="29" t="s">
        <v>393</v>
      </c>
      <c r="BG508" s="29" t="s">
        <v>678</v>
      </c>
      <c r="BH508" s="29"/>
      <c r="BI508" s="29"/>
      <c r="BJ508" s="29"/>
      <c r="BK508" s="29" t="s">
        <v>681</v>
      </c>
      <c r="BL508" s="29" t="s">
        <v>438</v>
      </c>
      <c r="BM508" s="29" t="s">
        <v>397</v>
      </c>
      <c r="BN508" s="29" t="s">
        <v>513</v>
      </c>
      <c r="BO508" s="29"/>
      <c r="BP508" s="29"/>
      <c r="BQ508" s="29"/>
      <c r="BR508" s="29"/>
      <c r="BS508" s="29"/>
      <c r="BT508" s="29"/>
      <c r="BU508" s="29"/>
      <c r="BV508" s="29"/>
      <c r="BW508" s="29"/>
      <c r="BX508" s="29"/>
      <c r="BY508" s="29"/>
      <c r="BZ508" s="29"/>
      <c r="CA508" s="29"/>
      <c r="CB508" s="29"/>
      <c r="CC508" s="29"/>
      <c r="CD508" s="29"/>
      <c r="CE508" s="29"/>
      <c r="CF508" s="29"/>
      <c r="CG508" s="29"/>
      <c r="CH508" s="29"/>
      <c r="CI508" s="29"/>
      <c r="CJ508" s="29"/>
      <c r="CK508" s="29"/>
      <c r="CL508" s="29" t="s">
        <v>550</v>
      </c>
      <c r="CM508" s="29" t="s">
        <v>682</v>
      </c>
      <c r="CN508" s="29"/>
      <c r="CO508" s="29" t="s">
        <v>9837</v>
      </c>
      <c r="CP508" s="29" t="s">
        <v>1008</v>
      </c>
      <c r="CQ508" s="29" t="s">
        <v>9838</v>
      </c>
      <c r="CR508" s="29" t="s">
        <v>804</v>
      </c>
      <c r="CS508" s="29" t="s">
        <v>9839</v>
      </c>
      <c r="CT508" s="29" t="s">
        <v>9840</v>
      </c>
      <c r="CU508" s="29" t="s">
        <v>519</v>
      </c>
      <c r="CV508" s="29" t="s">
        <v>451</v>
      </c>
      <c r="CW508" s="29" t="s">
        <v>9841</v>
      </c>
      <c r="CX508" s="29" t="s">
        <v>733</v>
      </c>
      <c r="CY508" s="29"/>
      <c r="CZ508" s="29" t="s">
        <v>453</v>
      </c>
      <c r="DA508" s="29" t="s">
        <v>9842</v>
      </c>
      <c r="DB508" s="29" t="s">
        <v>913</v>
      </c>
      <c r="DC508" s="29"/>
      <c r="DD508" s="29" t="s">
        <v>988</v>
      </c>
      <c r="DE508" s="29"/>
      <c r="DF508" s="29" t="s">
        <v>9843</v>
      </c>
      <c r="DG508" s="29" t="s">
        <v>561</v>
      </c>
      <c r="DH508" s="29" t="s">
        <v>410</v>
      </c>
      <c r="DI508" s="29" t="s">
        <v>777</v>
      </c>
      <c r="DJ508" s="29" t="s">
        <v>613</v>
      </c>
      <c r="DK508" s="29"/>
      <c r="DL508" s="29"/>
      <c r="DM508" s="29"/>
      <c r="DN508" s="29"/>
      <c r="DO508" s="29"/>
      <c r="DP508" s="29"/>
      <c r="DQ508" s="29"/>
      <c r="DR508" s="29"/>
      <c r="DS508" s="29"/>
      <c r="DT508" s="29"/>
      <c r="DU508" s="29"/>
      <c r="DV508" s="29"/>
      <c r="DW508" s="29"/>
      <c r="DX508" s="29"/>
      <c r="DY508" s="29"/>
      <c r="DZ508" s="29"/>
      <c r="EA508" s="29"/>
      <c r="EB508" s="29"/>
      <c r="EC508" s="29"/>
      <c r="ED508" s="29"/>
      <c r="EE508" s="29"/>
      <c r="EF508" s="29"/>
      <c r="EG508" s="29"/>
      <c r="EH508" s="29"/>
      <c r="EI508" s="29"/>
      <c r="EJ508" s="29"/>
      <c r="EK508" s="29"/>
      <c r="EL508" s="29"/>
      <c r="EM508" s="29"/>
      <c r="EN508" s="29"/>
      <c r="EO508" s="29"/>
      <c r="EP508" s="29"/>
      <c r="EQ508" s="29"/>
      <c r="ER508" s="29"/>
      <c r="ES508" s="29"/>
      <c r="ET508" s="29" t="s">
        <v>526</v>
      </c>
      <c r="EU508" s="29" t="s">
        <v>1037</v>
      </c>
      <c r="EV508" s="29" t="s">
        <v>580</v>
      </c>
      <c r="EW508" s="29"/>
      <c r="EX508" s="29"/>
      <c r="EY508" s="29"/>
      <c r="EZ508" s="29" t="s">
        <v>413</v>
      </c>
      <c r="FA508" s="29" t="s">
        <v>415</v>
      </c>
      <c r="FB508" s="29" t="s">
        <v>413</v>
      </c>
      <c r="FC508" s="29" t="s">
        <v>413</v>
      </c>
      <c r="FD508" s="29" t="s">
        <v>413</v>
      </c>
      <c r="FE508" s="29" t="s">
        <v>415</v>
      </c>
      <c r="FF508" s="29" t="s">
        <v>415</v>
      </c>
      <c r="FG508" s="29" t="s">
        <v>484</v>
      </c>
      <c r="FH508" s="29" t="s">
        <v>484</v>
      </c>
      <c r="FI508" s="29" t="s">
        <v>415</v>
      </c>
      <c r="FJ508" s="29" t="s">
        <v>415</v>
      </c>
      <c r="FK508" s="29" t="s">
        <v>484</v>
      </c>
      <c r="FL508" s="29" t="s">
        <v>484</v>
      </c>
      <c r="FM508" s="29" t="s">
        <v>484</v>
      </c>
      <c r="FN508" s="29" t="s">
        <v>484</v>
      </c>
      <c r="FO508" s="29" t="s">
        <v>850</v>
      </c>
      <c r="FP508" s="29" t="s">
        <v>418</v>
      </c>
      <c r="FQ508" s="29" t="s">
        <v>712</v>
      </c>
      <c r="FR508" s="29" t="s">
        <v>9844</v>
      </c>
      <c r="FS508" s="29" t="s">
        <v>420</v>
      </c>
      <c r="FT508" s="29" t="s">
        <v>488</v>
      </c>
      <c r="FU508" s="29" t="s">
        <v>918</v>
      </c>
      <c r="FV508" s="29" t="s">
        <v>490</v>
      </c>
      <c r="FW508" s="29" t="s">
        <v>491</v>
      </c>
      <c r="FX508" s="29"/>
      <c r="FY508" s="29" t="s">
        <v>535</v>
      </c>
      <c r="FZ508" s="29"/>
      <c r="GA508" s="29"/>
      <c r="GB508" s="29"/>
      <c r="GC508" s="29"/>
      <c r="GD508" s="29"/>
      <c r="GE508" s="29"/>
      <c r="GF508" s="29"/>
      <c r="GG508" s="29" t="s">
        <v>920</v>
      </c>
      <c r="GH508" s="29" t="s">
        <v>920</v>
      </c>
      <c r="GI508" s="29" t="s">
        <v>921</v>
      </c>
      <c r="GJ508" s="29"/>
      <c r="GK508" s="29"/>
      <c r="GL508" s="29"/>
      <c r="GM508" s="29"/>
      <c r="GN508" s="29"/>
      <c r="GO508" s="29"/>
      <c r="GP508" s="29"/>
      <c r="GQ508" s="29" t="s">
        <v>3273</v>
      </c>
      <c r="GR508" s="29"/>
      <c r="GS508" s="29"/>
      <c r="GT508" s="29" t="s">
        <v>4774</v>
      </c>
      <c r="GU508" s="29"/>
      <c r="HP508" s="31"/>
      <c r="MX508" s="29" t="s">
        <v>5694</v>
      </c>
      <c r="MY508" s="29" t="str">
        <f>IFERROR(__xludf.DUMMYFUNCTION("""COMPUTED_VALUE"""),"Netherlands")</f>
        <v>Netherlands</v>
      </c>
    </row>
    <row r="509" ht="16.5" customHeight="1">
      <c r="A509" s="33">
        <v>46159.019054930555</v>
      </c>
      <c r="B509" s="29" t="s">
        <v>368</v>
      </c>
      <c r="C509" s="29" t="s">
        <v>5694</v>
      </c>
      <c r="D509" s="29" t="s">
        <v>5694</v>
      </c>
      <c r="E509" s="29"/>
      <c r="F509" s="29"/>
      <c r="G509" s="29" t="s">
        <v>422</v>
      </c>
      <c r="H509" s="29" t="s">
        <v>373</v>
      </c>
      <c r="I509" s="29" t="s">
        <v>638</v>
      </c>
      <c r="J509" s="29" t="s">
        <v>718</v>
      </c>
      <c r="K509" s="29" t="s">
        <v>376</v>
      </c>
      <c r="L509" s="29" t="s">
        <v>426</v>
      </c>
      <c r="M509" s="29" t="s">
        <v>639</v>
      </c>
      <c r="N509" s="29" t="s">
        <v>793</v>
      </c>
      <c r="O509" s="29" t="s">
        <v>719</v>
      </c>
      <c r="P509" s="29" t="s">
        <v>498</v>
      </c>
      <c r="Q509" s="29" t="s">
        <v>499</v>
      </c>
      <c r="R509" s="29" t="s">
        <v>427</v>
      </c>
      <c r="S509" s="29" t="s">
        <v>384</v>
      </c>
      <c r="T509" s="29" t="s">
        <v>385</v>
      </c>
      <c r="U509" s="29"/>
      <c r="V509" s="29"/>
      <c r="W509" s="29" t="s">
        <v>386</v>
      </c>
      <c r="X509" s="29" t="s">
        <v>387</v>
      </c>
      <c r="Y509" s="29" t="s">
        <v>594</v>
      </c>
      <c r="Z509" s="29" t="s">
        <v>543</v>
      </c>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t="s">
        <v>1310</v>
      </c>
      <c r="AW509" s="29">
        <v>4.0</v>
      </c>
      <c r="AX509" s="29"/>
      <c r="AY509" s="29" t="s">
        <v>391</v>
      </c>
      <c r="AZ509" s="29" t="s">
        <v>391</v>
      </c>
      <c r="BA509" s="29" t="s">
        <v>429</v>
      </c>
      <c r="BB509" s="29" t="s">
        <v>391</v>
      </c>
      <c r="BC509" s="29"/>
      <c r="BD509" s="29"/>
      <c r="BE509" s="29" t="s">
        <v>902</v>
      </c>
      <c r="BF509" s="29" t="s">
        <v>1245</v>
      </c>
      <c r="BG509" s="29" t="s">
        <v>394</v>
      </c>
      <c r="BH509" s="29"/>
      <c r="BI509" s="29" t="s">
        <v>976</v>
      </c>
      <c r="BJ509" s="29"/>
      <c r="BK509" s="29" t="s">
        <v>437</v>
      </c>
      <c r="BL509" s="29" t="s">
        <v>603</v>
      </c>
      <c r="BM509" s="29" t="s">
        <v>1247</v>
      </c>
      <c r="BN509" s="29" t="s">
        <v>513</v>
      </c>
      <c r="BO509" s="29"/>
      <c r="BP509" s="29"/>
      <c r="BQ509" s="29"/>
      <c r="BR509" s="29"/>
      <c r="BS509" s="29"/>
      <c r="BT509" s="29"/>
      <c r="BU509" s="29"/>
      <c r="BV509" s="29"/>
      <c r="BW509" s="29"/>
      <c r="BX509" s="29"/>
      <c r="BY509" s="29"/>
      <c r="BZ509" s="29"/>
      <c r="CA509" s="29"/>
      <c r="CB509" s="29"/>
      <c r="CC509" s="29"/>
      <c r="CD509" s="29"/>
      <c r="CE509" s="29"/>
      <c r="CF509" s="29"/>
      <c r="CG509" s="29"/>
      <c r="CH509" s="29"/>
      <c r="CI509" s="29"/>
      <c r="CJ509" s="29"/>
      <c r="CK509" s="29"/>
      <c r="CL509" s="29" t="s">
        <v>953</v>
      </c>
      <c r="CM509" s="29" t="s">
        <v>401</v>
      </c>
      <c r="CN509" s="29"/>
      <c r="CO509" s="29" t="s">
        <v>408</v>
      </c>
      <c r="CP509" s="29"/>
      <c r="CQ509" s="29"/>
      <c r="CR509" s="29"/>
      <c r="CS509" s="29"/>
      <c r="CT509" s="29"/>
      <c r="CU509" s="29" t="s">
        <v>982</v>
      </c>
      <c r="CV509" s="29" t="s">
        <v>959</v>
      </c>
      <c r="CW509" s="29"/>
      <c r="CX509" s="29" t="s">
        <v>408</v>
      </c>
      <c r="CY509" s="29"/>
      <c r="CZ509" s="29" t="s">
        <v>1962</v>
      </c>
      <c r="DA509" s="29"/>
      <c r="DB509" s="29" t="s">
        <v>408</v>
      </c>
      <c r="DC509" s="29"/>
      <c r="DD509" s="29"/>
      <c r="DE509" s="29"/>
      <c r="DF509" s="29"/>
      <c r="DG509" s="29" t="s">
        <v>990</v>
      </c>
      <c r="DH509" s="29" t="s">
        <v>410</v>
      </c>
      <c r="DI509" s="29" t="s">
        <v>963</v>
      </c>
      <c r="DJ509" s="29" t="s">
        <v>460</v>
      </c>
      <c r="DK509" s="29" t="s">
        <v>6603</v>
      </c>
      <c r="DL509" s="29"/>
      <c r="DM509" s="29"/>
      <c r="DN509" s="29"/>
      <c r="DO509" s="29"/>
      <c r="DP509" s="29"/>
      <c r="DQ509" s="29"/>
      <c r="DR509" s="29"/>
      <c r="DS509" s="29"/>
      <c r="DT509" s="29"/>
      <c r="DU509" s="29"/>
      <c r="DV509" s="29"/>
      <c r="DW509" s="29"/>
      <c r="DX509" s="29"/>
      <c r="DY509" s="29"/>
      <c r="DZ509" s="29"/>
      <c r="EA509" s="29"/>
      <c r="EB509" s="29"/>
      <c r="EC509" s="29"/>
      <c r="ED509" s="29"/>
      <c r="EE509" s="29"/>
      <c r="EF509" s="29"/>
      <c r="EG509" s="29"/>
      <c r="EH509" s="29"/>
      <c r="EI509" s="29"/>
      <c r="EJ509" s="29"/>
      <c r="EK509" s="29"/>
      <c r="EL509" s="29"/>
      <c r="EM509" s="29"/>
      <c r="EN509" s="29"/>
      <c r="EO509" s="29"/>
      <c r="EP509" s="29"/>
      <c r="EQ509" s="29"/>
      <c r="ER509" s="29"/>
      <c r="ES509" s="29"/>
      <c r="ET509" s="29" t="s">
        <v>578</v>
      </c>
      <c r="EU509" s="29" t="s">
        <v>579</v>
      </c>
      <c r="EV509" s="29" t="s">
        <v>1534</v>
      </c>
      <c r="EW509" s="29"/>
      <c r="EX509" s="29"/>
      <c r="EY509" s="29"/>
      <c r="EZ509" s="29" t="s">
        <v>414</v>
      </c>
      <c r="FA509" s="29" t="s">
        <v>414</v>
      </c>
      <c r="FB509" s="29" t="s">
        <v>414</v>
      </c>
      <c r="FC509" s="29" t="s">
        <v>414</v>
      </c>
      <c r="FD509" s="29" t="s">
        <v>414</v>
      </c>
      <c r="FE509" s="29" t="s">
        <v>414</v>
      </c>
      <c r="FF509" s="29" t="s">
        <v>414</v>
      </c>
      <c r="FG509" s="29"/>
      <c r="FH509" s="29"/>
      <c r="FI509" s="29" t="s">
        <v>413</v>
      </c>
      <c r="FJ509" s="29" t="s">
        <v>484</v>
      </c>
      <c r="FK509" s="29" t="s">
        <v>415</v>
      </c>
      <c r="FL509" s="29" t="s">
        <v>416</v>
      </c>
      <c r="FM509" s="29" t="s">
        <v>416</v>
      </c>
      <c r="FN509" s="29" t="s">
        <v>414</v>
      </c>
      <c r="FO509" s="29" t="s">
        <v>1074</v>
      </c>
      <c r="FP509" s="29" t="s">
        <v>486</v>
      </c>
      <c r="FQ509" s="29" t="s">
        <v>419</v>
      </c>
      <c r="FR509" s="29"/>
      <c r="FS509" s="29" t="s">
        <v>1871</v>
      </c>
      <c r="FT509" s="29" t="s">
        <v>421</v>
      </c>
      <c r="FU509" s="29" t="s">
        <v>585</v>
      </c>
      <c r="FV509" s="29" t="s">
        <v>2399</v>
      </c>
      <c r="FW509" s="29" t="s">
        <v>491</v>
      </c>
      <c r="FX509" s="29"/>
      <c r="FY509" s="29" t="s">
        <v>1337</v>
      </c>
      <c r="FZ509" s="29"/>
      <c r="GA509" s="29"/>
      <c r="GB509" s="29"/>
      <c r="GC509" s="29"/>
      <c r="GD509" s="29"/>
      <c r="GE509" s="29"/>
      <c r="GF509" s="29"/>
      <c r="GG509" s="29" t="s">
        <v>755</v>
      </c>
      <c r="GH509" s="29" t="s">
        <v>755</v>
      </c>
      <c r="GI509" s="29" t="s">
        <v>946</v>
      </c>
      <c r="GJ509" s="29"/>
      <c r="GK509" s="29"/>
      <c r="GL509" s="29"/>
      <c r="GM509" s="29"/>
      <c r="GN509" s="29"/>
      <c r="GO509" s="29"/>
      <c r="GP509" s="29"/>
      <c r="GQ509" s="29" t="s">
        <v>3208</v>
      </c>
      <c r="GR509" s="29"/>
      <c r="GS509" s="29"/>
      <c r="GT509" s="29" t="s">
        <v>4741</v>
      </c>
      <c r="GU509" s="29"/>
      <c r="HP509" s="31"/>
      <c r="MX509" s="29" t="s">
        <v>1341</v>
      </c>
      <c r="MY509" s="29" t="str">
        <f>IFERROR(__xludf.DUMMYFUNCTION("""COMPUTED_VALUE"""),"Germany")</f>
        <v>Germany</v>
      </c>
    </row>
    <row r="510" ht="16.5" customHeight="1">
      <c r="A510" s="33">
        <v>46163.04970236111</v>
      </c>
      <c r="B510" s="29" t="s">
        <v>368</v>
      </c>
      <c r="C510" s="29" t="s">
        <v>1341</v>
      </c>
      <c r="D510" s="29" t="s">
        <v>1341</v>
      </c>
      <c r="E510" s="29"/>
      <c r="F510" s="29"/>
      <c r="G510" s="29" t="s">
        <v>422</v>
      </c>
      <c r="H510" s="29" t="s">
        <v>496</v>
      </c>
      <c r="I510" s="29" t="s">
        <v>374</v>
      </c>
      <c r="J510" s="29" t="s">
        <v>758</v>
      </c>
      <c r="K510" s="29" t="s">
        <v>376</v>
      </c>
      <c r="L510" s="29" t="s">
        <v>377</v>
      </c>
      <c r="M510" s="29" t="s">
        <v>9845</v>
      </c>
      <c r="N510" s="29" t="s">
        <v>793</v>
      </c>
      <c r="O510" s="29" t="s">
        <v>378</v>
      </c>
      <c r="P510" s="29" t="s">
        <v>381</v>
      </c>
      <c r="Q510" s="29" t="s">
        <v>499</v>
      </c>
      <c r="R510" s="29" t="s">
        <v>427</v>
      </c>
      <c r="S510" s="29" t="s">
        <v>384</v>
      </c>
      <c r="T510" s="29" t="s">
        <v>385</v>
      </c>
      <c r="U510" s="29"/>
      <c r="V510" s="29"/>
      <c r="W510" s="29" t="s">
        <v>593</v>
      </c>
      <c r="X510" s="29" t="s">
        <v>6089</v>
      </c>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t="s">
        <v>1242</v>
      </c>
      <c r="AW510" s="29" t="s">
        <v>391</v>
      </c>
      <c r="AX510" s="29" t="s">
        <v>429</v>
      </c>
      <c r="AY510" s="29">
        <v>4.0</v>
      </c>
      <c r="AZ510" s="29">
        <v>4.0</v>
      </c>
      <c r="BA510" s="29">
        <v>4.0</v>
      </c>
      <c r="BB510" s="29"/>
      <c r="BC510" s="29" t="s">
        <v>1855</v>
      </c>
      <c r="BD510" s="29" t="s">
        <v>3585</v>
      </c>
      <c r="BE510" s="29" t="s">
        <v>3114</v>
      </c>
      <c r="BF510" s="29" t="s">
        <v>433</v>
      </c>
      <c r="BG510" s="29" t="s">
        <v>678</v>
      </c>
      <c r="BH510" s="29" t="s">
        <v>552</v>
      </c>
      <c r="BI510" s="29" t="s">
        <v>509</v>
      </c>
      <c r="BJ510" s="29" t="s">
        <v>455</v>
      </c>
      <c r="BK510" s="29" t="s">
        <v>602</v>
      </c>
      <c r="BL510" s="29" t="s">
        <v>904</v>
      </c>
      <c r="BM510" s="29" t="s">
        <v>1314</v>
      </c>
      <c r="BN510" s="29" t="s">
        <v>513</v>
      </c>
      <c r="BO510" s="29"/>
      <c r="BP510" s="29"/>
      <c r="BQ510" s="29"/>
      <c r="BR510" s="29"/>
      <c r="BS510" s="29"/>
      <c r="BT510" s="29"/>
      <c r="BU510" s="29"/>
      <c r="BV510" s="29"/>
      <c r="BW510" s="29"/>
      <c r="BX510" s="29"/>
      <c r="BY510" s="29"/>
      <c r="BZ510" s="29"/>
      <c r="CA510" s="29"/>
      <c r="CB510" s="29"/>
      <c r="CC510" s="29"/>
      <c r="CD510" s="29"/>
      <c r="CE510" s="29"/>
      <c r="CF510" s="29"/>
      <c r="CG510" s="29"/>
      <c r="CH510" s="29"/>
      <c r="CI510" s="29"/>
      <c r="CJ510" s="29"/>
      <c r="CK510" s="29"/>
      <c r="CL510" s="29" t="s">
        <v>550</v>
      </c>
      <c r="CM510" s="29" t="s">
        <v>442</v>
      </c>
      <c r="CN510" s="29" t="s">
        <v>552</v>
      </c>
      <c r="CO510" s="29" t="s">
        <v>552</v>
      </c>
      <c r="CP510" s="29"/>
      <c r="CQ510" s="29"/>
      <c r="CR510" s="29"/>
      <c r="CS510" s="29"/>
      <c r="CT510" s="29"/>
      <c r="CU510" s="29"/>
      <c r="CV510" s="29"/>
      <c r="CW510" s="29"/>
      <c r="CX510" s="29"/>
      <c r="CY510" s="29"/>
      <c r="CZ510" s="29"/>
      <c r="DA510" s="29"/>
      <c r="DB510" s="29"/>
      <c r="DC510" s="29"/>
      <c r="DD510" s="29"/>
      <c r="DE510" s="29"/>
      <c r="DF510" s="29"/>
      <c r="DG510" s="29"/>
      <c r="DH510" s="29" t="s">
        <v>410</v>
      </c>
      <c r="DI510" s="29"/>
      <c r="DJ510" s="29"/>
      <c r="DK510" s="29"/>
      <c r="DL510" s="29"/>
      <c r="DM510" s="29"/>
      <c r="DN510" s="29"/>
      <c r="DO510" s="29"/>
      <c r="DP510" s="29"/>
      <c r="DQ510" s="29"/>
      <c r="DR510" s="29"/>
      <c r="DS510" s="29"/>
      <c r="DT510" s="29"/>
      <c r="DU510" s="29"/>
      <c r="DV510" s="29"/>
      <c r="DW510" s="29"/>
      <c r="DX510" s="29"/>
      <c r="DY510" s="29"/>
      <c r="DZ510" s="29"/>
      <c r="EA510" s="29"/>
      <c r="EB510" s="29"/>
      <c r="EC510" s="29"/>
      <c r="ED510" s="29"/>
      <c r="EE510" s="29"/>
      <c r="EF510" s="29"/>
      <c r="EG510" s="29"/>
      <c r="EH510" s="29"/>
      <c r="EI510" s="29"/>
      <c r="EJ510" s="29"/>
      <c r="EK510" s="29"/>
      <c r="EL510" s="29"/>
      <c r="EM510" s="29"/>
      <c r="EN510" s="29"/>
      <c r="EO510" s="29"/>
      <c r="EP510" s="29"/>
      <c r="EQ510" s="29"/>
      <c r="ER510" s="29"/>
      <c r="ES510" s="29"/>
      <c r="ET510" s="29"/>
      <c r="EU510" s="29"/>
      <c r="EV510" s="29"/>
      <c r="EW510" s="29"/>
      <c r="EX510" s="29"/>
      <c r="EY510" s="29"/>
      <c r="EZ510" s="29"/>
      <c r="FA510" s="29"/>
      <c r="FB510" s="29"/>
      <c r="FC510" s="29"/>
      <c r="FD510" s="29"/>
      <c r="FE510" s="29"/>
      <c r="FF510" s="29"/>
      <c r="FG510" s="29"/>
      <c r="FH510" s="29"/>
      <c r="FI510" s="29"/>
      <c r="FJ510" s="29"/>
      <c r="FK510" s="29"/>
      <c r="FL510" s="29"/>
      <c r="FM510" s="29"/>
      <c r="FN510" s="29"/>
      <c r="FO510" s="29"/>
      <c r="FP510" s="29"/>
      <c r="FQ510" s="29"/>
      <c r="FR510" s="29"/>
      <c r="FS510" s="29"/>
      <c r="FT510" s="29"/>
      <c r="FU510" s="29"/>
      <c r="FV510" s="29"/>
      <c r="FW510" s="29"/>
      <c r="FX510" s="29"/>
      <c r="FY510" s="29"/>
      <c r="FZ510" s="29"/>
      <c r="GA510" s="29"/>
      <c r="GB510" s="29"/>
      <c r="GC510" s="29"/>
      <c r="GD510" s="29"/>
      <c r="GE510" s="29"/>
      <c r="GF510" s="29"/>
      <c r="GG510" s="29"/>
      <c r="GH510" s="29"/>
      <c r="GI510" s="29"/>
      <c r="GJ510" s="29"/>
      <c r="GK510" s="29"/>
      <c r="GL510" s="29"/>
      <c r="GM510" s="29"/>
      <c r="GN510" s="29" t="s">
        <v>9846</v>
      </c>
      <c r="GO510" s="29" t="s">
        <v>9847</v>
      </c>
      <c r="GP510" s="29"/>
      <c r="GQ510" s="29"/>
      <c r="GR510" s="29"/>
      <c r="GS510" s="29"/>
      <c r="GT510" s="29"/>
      <c r="GU510" s="29"/>
      <c r="HP510" s="31"/>
      <c r="MX510" s="29" t="s">
        <v>4085</v>
      </c>
      <c r="MY510" s="29" t="str">
        <f>IFERROR(__xludf.DUMMYFUNCTION("""COMPUTED_VALUE"""),"New Zealand")</f>
        <v>New Zealand</v>
      </c>
    </row>
    <row r="511" ht="16.5" customHeight="1">
      <c r="A511" s="33">
        <v>46172.316871793984</v>
      </c>
      <c r="B511" s="29" t="s">
        <v>368</v>
      </c>
      <c r="C511" s="29" t="s">
        <v>4085</v>
      </c>
      <c r="D511" s="29" t="s">
        <v>4085</v>
      </c>
      <c r="E511" s="29"/>
      <c r="F511" s="29"/>
      <c r="G511" s="29" t="s">
        <v>422</v>
      </c>
      <c r="H511" s="29" t="s">
        <v>1921</v>
      </c>
      <c r="I511" s="29" t="s">
        <v>668</v>
      </c>
      <c r="J511" s="29" t="s">
        <v>718</v>
      </c>
      <c r="K511" s="29" t="s">
        <v>376</v>
      </c>
      <c r="L511" s="29" t="s">
        <v>377</v>
      </c>
      <c r="M511" s="29" t="s">
        <v>378</v>
      </c>
      <c r="N511" s="29"/>
      <c r="O511" s="29" t="s">
        <v>671</v>
      </c>
      <c r="P511" s="29" t="s">
        <v>498</v>
      </c>
      <c r="Q511" s="29" t="s">
        <v>382</v>
      </c>
      <c r="R511" s="29" t="s">
        <v>949</v>
      </c>
      <c r="S511" s="29" t="s">
        <v>384</v>
      </c>
      <c r="T511" s="29" t="s">
        <v>385</v>
      </c>
      <c r="U511" s="29"/>
      <c r="V511" s="29"/>
      <c r="W511" s="29" t="s">
        <v>593</v>
      </c>
      <c r="X511" s="29" t="s">
        <v>387</v>
      </c>
      <c r="Y511" s="29" t="s">
        <v>6822</v>
      </c>
      <c r="Z511" s="29" t="s">
        <v>543</v>
      </c>
      <c r="AA511" s="29" t="s">
        <v>408</v>
      </c>
      <c r="AB511" s="29" t="s">
        <v>9848</v>
      </c>
      <c r="AC511" s="29"/>
      <c r="AD511" s="29"/>
      <c r="AE511" s="29"/>
      <c r="AF511" s="29"/>
      <c r="AG511" s="29"/>
      <c r="AH511" s="29"/>
      <c r="AI511" s="29"/>
      <c r="AJ511" s="29"/>
      <c r="AK511" s="29"/>
      <c r="AL511" s="29"/>
      <c r="AM511" s="29"/>
      <c r="AN511" s="29"/>
      <c r="AO511" s="29"/>
      <c r="AP511" s="29"/>
      <c r="AQ511" s="29"/>
      <c r="AR511" s="29"/>
      <c r="AS511" s="29"/>
      <c r="AT511" s="29"/>
      <c r="AU511" s="29"/>
      <c r="AV511" s="29" t="s">
        <v>1310</v>
      </c>
      <c r="AW511" s="29" t="s">
        <v>675</v>
      </c>
      <c r="AX511" s="29" t="s">
        <v>675</v>
      </c>
      <c r="AY511" s="29" t="s">
        <v>675</v>
      </c>
      <c r="AZ511" s="29" t="s">
        <v>675</v>
      </c>
      <c r="BA511" s="29" t="s">
        <v>675</v>
      </c>
      <c r="BB511" s="29" t="s">
        <v>675</v>
      </c>
      <c r="BC511" s="29" t="s">
        <v>9849</v>
      </c>
      <c r="BD511" s="29" t="s">
        <v>9850</v>
      </c>
      <c r="BE511" s="29" t="s">
        <v>2379</v>
      </c>
      <c r="BF511" s="29" t="s">
        <v>1095</v>
      </c>
      <c r="BG511" s="29" t="s">
        <v>394</v>
      </c>
      <c r="BH511" s="29" t="s">
        <v>9851</v>
      </c>
      <c r="BI511" s="29" t="s">
        <v>727</v>
      </c>
      <c r="BJ511" s="29"/>
      <c r="BK511" s="29" t="s">
        <v>602</v>
      </c>
      <c r="BL511" s="29" t="s">
        <v>603</v>
      </c>
      <c r="BM511" s="29" t="s">
        <v>1247</v>
      </c>
      <c r="BN511" s="29" t="s">
        <v>398</v>
      </c>
      <c r="BO511" s="29" t="s">
        <v>9852</v>
      </c>
      <c r="BP511" s="29" t="s">
        <v>9853</v>
      </c>
      <c r="BQ511" s="29" t="s">
        <v>604</v>
      </c>
      <c r="BR511" s="29" t="s">
        <v>9854</v>
      </c>
      <c r="BS511" s="29" t="s">
        <v>1741</v>
      </c>
      <c r="BT511" s="29" t="s">
        <v>4368</v>
      </c>
      <c r="BU511" s="29" t="s">
        <v>1772</v>
      </c>
      <c r="BV511" s="29" t="s">
        <v>9855</v>
      </c>
      <c r="BW511" s="29" t="s">
        <v>406</v>
      </c>
      <c r="BX511" s="29" t="s">
        <v>1867</v>
      </c>
      <c r="BY511" s="29" t="s">
        <v>408</v>
      </c>
      <c r="BZ511" s="29"/>
      <c r="CA511" s="29" t="s">
        <v>9856</v>
      </c>
      <c r="CB511" s="29" t="s">
        <v>9857</v>
      </c>
      <c r="CC511" s="29" t="s">
        <v>9858</v>
      </c>
      <c r="CD511" s="29" t="s">
        <v>2248</v>
      </c>
      <c r="CE511" s="29"/>
      <c r="CF511" s="29" t="s">
        <v>1749</v>
      </c>
      <c r="CG511" s="29" t="s">
        <v>9859</v>
      </c>
      <c r="CH511" s="29" t="s">
        <v>1259</v>
      </c>
      <c r="CI511" s="29" t="s">
        <v>833</v>
      </c>
      <c r="CJ511" s="29" t="s">
        <v>9860</v>
      </c>
      <c r="CK511" s="29" t="s">
        <v>9861</v>
      </c>
      <c r="CL511" s="29"/>
      <c r="CM511" s="29"/>
      <c r="CN511" s="29"/>
      <c r="CO511" s="29"/>
      <c r="CP511" s="29"/>
      <c r="CQ511" s="29"/>
      <c r="CR511" s="29"/>
      <c r="CS511" s="29"/>
      <c r="CT511" s="29"/>
      <c r="CU511" s="29"/>
      <c r="CV511" s="29"/>
      <c r="CW511" s="29"/>
      <c r="CX511" s="29"/>
      <c r="CY511" s="29"/>
      <c r="CZ511" s="29"/>
      <c r="DA511" s="29"/>
      <c r="DB511" s="29"/>
      <c r="DC511" s="29"/>
      <c r="DD511" s="29"/>
      <c r="DE511" s="29"/>
      <c r="DF511" s="29"/>
      <c r="DG511" s="29"/>
      <c r="DH511" s="29"/>
      <c r="DI511" s="29" t="s">
        <v>963</v>
      </c>
      <c r="DJ511" s="29" t="s">
        <v>695</v>
      </c>
      <c r="DK511" s="29" t="s">
        <v>7805</v>
      </c>
      <c r="DL511" s="29" t="s">
        <v>9862</v>
      </c>
      <c r="DM511" s="29"/>
      <c r="DN511" s="29"/>
      <c r="DO511" s="29"/>
      <c r="DP511" s="29"/>
      <c r="DQ511" s="29"/>
      <c r="DR511" s="29"/>
      <c r="DS511" s="29"/>
      <c r="DT511" s="29"/>
      <c r="DU511" s="29"/>
      <c r="DV511" s="29"/>
      <c r="DW511" s="29"/>
      <c r="DX511" s="29"/>
      <c r="DY511" s="29"/>
      <c r="DZ511" s="29"/>
      <c r="EA511" s="29"/>
      <c r="EB511" s="29"/>
      <c r="EC511" s="29"/>
      <c r="ED511" s="29"/>
      <c r="EE511" s="29"/>
      <c r="EF511" s="29"/>
      <c r="EG511" s="29"/>
      <c r="EH511" s="29"/>
      <c r="EI511" s="29"/>
      <c r="EJ511" s="29"/>
      <c r="EK511" s="29"/>
      <c r="EL511" s="29"/>
      <c r="EM511" s="29"/>
      <c r="EN511" s="29"/>
      <c r="EO511" s="29"/>
      <c r="EP511" s="29"/>
      <c r="EQ511" s="29"/>
      <c r="ER511" s="29"/>
      <c r="ES511" s="29"/>
      <c r="ET511" s="29" t="s">
        <v>526</v>
      </c>
      <c r="EU511" s="29" t="s">
        <v>887</v>
      </c>
      <c r="EV511" s="29" t="s">
        <v>1262</v>
      </c>
      <c r="EW511" s="29" t="s">
        <v>9863</v>
      </c>
      <c r="EX511" s="29" t="s">
        <v>9864</v>
      </c>
      <c r="EY511" s="29" t="s">
        <v>9864</v>
      </c>
      <c r="EZ511" s="29" t="s">
        <v>415</v>
      </c>
      <c r="FA511" s="29" t="s">
        <v>415</v>
      </c>
      <c r="FB511" s="29" t="s">
        <v>413</v>
      </c>
      <c r="FC511" s="29" t="s">
        <v>415</v>
      </c>
      <c r="FD511" s="29" t="s">
        <v>413</v>
      </c>
      <c r="FE511" s="29" t="s">
        <v>415</v>
      </c>
      <c r="FF511" s="29" t="s">
        <v>415</v>
      </c>
      <c r="FG511" s="29" t="s">
        <v>413</v>
      </c>
      <c r="FH511" s="29" t="s">
        <v>414</v>
      </c>
      <c r="FI511" s="29" t="s">
        <v>413</v>
      </c>
      <c r="FJ511" s="29" t="s">
        <v>415</v>
      </c>
      <c r="FK511" s="29" t="s">
        <v>415</v>
      </c>
      <c r="FL511" s="29" t="s">
        <v>415</v>
      </c>
      <c r="FM511" s="29" t="s">
        <v>415</v>
      </c>
      <c r="FN511" s="29" t="s">
        <v>415</v>
      </c>
      <c r="FO511" s="29" t="s">
        <v>485</v>
      </c>
      <c r="FP511" s="29" t="s">
        <v>418</v>
      </c>
      <c r="FQ511" s="29" t="s">
        <v>712</v>
      </c>
      <c r="FR511" s="29"/>
      <c r="FS511" s="29" t="s">
        <v>1189</v>
      </c>
      <c r="FT511" s="29" t="s">
        <v>488</v>
      </c>
      <c r="FU511" s="29" t="s">
        <v>1235</v>
      </c>
      <c r="FV511" s="29" t="s">
        <v>490</v>
      </c>
      <c r="FW511" s="29" t="s">
        <v>491</v>
      </c>
      <c r="FX511" s="29" t="s">
        <v>9865</v>
      </c>
      <c r="FY511" s="29" t="s">
        <v>493</v>
      </c>
      <c r="FZ511" s="29"/>
      <c r="GA511" s="29"/>
      <c r="GB511" s="29" t="s">
        <v>455</v>
      </c>
      <c r="GC511" s="29"/>
      <c r="GD511" s="29"/>
      <c r="GE511" s="29" t="s">
        <v>855</v>
      </c>
      <c r="GF511" s="29" t="s">
        <v>9864</v>
      </c>
      <c r="GG511" s="29"/>
      <c r="GH511" s="29"/>
      <c r="GI511" s="29"/>
      <c r="GJ511" s="29" t="s">
        <v>755</v>
      </c>
      <c r="GK511" s="29" t="s">
        <v>755</v>
      </c>
      <c r="GL511" s="29" t="s">
        <v>817</v>
      </c>
      <c r="GM511" s="29"/>
      <c r="GN511" s="29" t="s">
        <v>9866</v>
      </c>
      <c r="GO511" s="29" t="s">
        <v>9866</v>
      </c>
      <c r="GP511" s="29"/>
      <c r="GQ511" s="29" t="s">
        <v>3208</v>
      </c>
      <c r="GR511" s="29" t="s">
        <v>4774</v>
      </c>
      <c r="GS511" s="29"/>
      <c r="GT511" s="29"/>
      <c r="GU511" s="29"/>
      <c r="HP511" s="31"/>
      <c r="MX511" s="29" t="s">
        <v>538</v>
      </c>
      <c r="MY511" s="29" t="str">
        <f>IFERROR(__xludf.DUMMYFUNCTION("""COMPUTED_VALUE"""),"United Kingdom")</f>
        <v>United Kingdom</v>
      </c>
    </row>
    <row r="512" ht="16.5" customHeight="1">
      <c r="A512" s="33">
        <v>46176.16395915509</v>
      </c>
      <c r="B512" s="29" t="s">
        <v>368</v>
      </c>
      <c r="C512" s="29" t="s">
        <v>538</v>
      </c>
      <c r="D512" s="29" t="s">
        <v>538</v>
      </c>
      <c r="E512" s="29"/>
      <c r="F512" s="29"/>
      <c r="G512" s="29" t="s">
        <v>422</v>
      </c>
      <c r="H512" s="29" t="s">
        <v>373</v>
      </c>
      <c r="I512" s="29" t="s">
        <v>374</v>
      </c>
      <c r="J512" s="29" t="s">
        <v>375</v>
      </c>
      <c r="K512" s="29" t="s">
        <v>376</v>
      </c>
      <c r="L512" s="29" t="s">
        <v>793</v>
      </c>
      <c r="M512" s="29" t="s">
        <v>9867</v>
      </c>
      <c r="N512" s="29" t="s">
        <v>793</v>
      </c>
      <c r="O512" s="29" t="s">
        <v>9868</v>
      </c>
      <c r="P512" s="29" t="s">
        <v>498</v>
      </c>
      <c r="Q512" s="29" t="s">
        <v>862</v>
      </c>
      <c r="R512" s="29" t="s">
        <v>427</v>
      </c>
      <c r="S512" s="29" t="s">
        <v>384</v>
      </c>
      <c r="T512" s="29" t="s">
        <v>385</v>
      </c>
      <c r="U512" s="29"/>
      <c r="V512" s="29"/>
      <c r="W512" s="29" t="s">
        <v>3014</v>
      </c>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t="s">
        <v>1242</v>
      </c>
      <c r="AW512" s="29" t="s">
        <v>675</v>
      </c>
      <c r="AX512" s="29" t="s">
        <v>675</v>
      </c>
      <c r="AY512" s="29" t="s">
        <v>675</v>
      </c>
      <c r="AZ512" s="29">
        <v>4.0</v>
      </c>
      <c r="BA512" s="29" t="s">
        <v>675</v>
      </c>
      <c r="BB512" s="29">
        <v>4.0</v>
      </c>
      <c r="BC512" s="29" t="s">
        <v>9869</v>
      </c>
      <c r="BD512" s="29" t="s">
        <v>9870</v>
      </c>
      <c r="BE512" s="29" t="s">
        <v>902</v>
      </c>
      <c r="BF512" s="29" t="s">
        <v>1095</v>
      </c>
      <c r="BG512" s="29" t="s">
        <v>434</v>
      </c>
      <c r="BH512" s="29" t="s">
        <v>9871</v>
      </c>
      <c r="BI512" s="29" t="s">
        <v>976</v>
      </c>
      <c r="BJ512" s="29"/>
      <c r="BK512" s="29" t="s">
        <v>681</v>
      </c>
      <c r="BL512" s="29" t="s">
        <v>603</v>
      </c>
      <c r="BM512" s="29" t="s">
        <v>1314</v>
      </c>
      <c r="BN512" s="29" t="s">
        <v>513</v>
      </c>
      <c r="BO512" s="29"/>
      <c r="BP512" s="29"/>
      <c r="BQ512" s="29"/>
      <c r="BR512" s="29"/>
      <c r="BS512" s="29"/>
      <c r="BT512" s="29"/>
      <c r="BU512" s="29"/>
      <c r="BV512" s="29"/>
      <c r="BW512" s="29"/>
      <c r="BX512" s="29"/>
      <c r="BY512" s="29"/>
      <c r="BZ512" s="29"/>
      <c r="CA512" s="29"/>
      <c r="CB512" s="29"/>
      <c r="CC512" s="29"/>
      <c r="CD512" s="29"/>
      <c r="CE512" s="29"/>
      <c r="CF512" s="29"/>
      <c r="CG512" s="29"/>
      <c r="CH512" s="29"/>
      <c r="CI512" s="29"/>
      <c r="CJ512" s="29"/>
      <c r="CK512" s="29"/>
      <c r="CL512" s="29" t="s">
        <v>682</v>
      </c>
      <c r="CM512" s="29" t="s">
        <v>442</v>
      </c>
      <c r="CN512" s="29" t="s">
        <v>9872</v>
      </c>
      <c r="CO512" s="29" t="s">
        <v>552</v>
      </c>
      <c r="CP512" s="29"/>
      <c r="CQ512" s="29"/>
      <c r="CR512" s="29"/>
      <c r="CS512" s="29"/>
      <c r="CT512" s="29" t="s">
        <v>9873</v>
      </c>
      <c r="CU512" s="29" t="s">
        <v>1852</v>
      </c>
      <c r="CV512" s="29" t="s">
        <v>959</v>
      </c>
      <c r="CW512" s="29" t="s">
        <v>9874</v>
      </c>
      <c r="CX512" s="29" t="s">
        <v>408</v>
      </c>
      <c r="CY512" s="29"/>
      <c r="CZ512" s="29" t="s">
        <v>1962</v>
      </c>
      <c r="DA512" s="29"/>
      <c r="DB512" s="29" t="s">
        <v>408</v>
      </c>
      <c r="DC512" s="29"/>
      <c r="DD512" s="29"/>
      <c r="DE512" s="29"/>
      <c r="DF512" s="29"/>
      <c r="DG512" s="29" t="s">
        <v>990</v>
      </c>
      <c r="DH512" s="29" t="s">
        <v>833</v>
      </c>
      <c r="DI512" s="29" t="s">
        <v>777</v>
      </c>
      <c r="DJ512" s="29" t="s">
        <v>460</v>
      </c>
      <c r="DK512" s="29" t="s">
        <v>1434</v>
      </c>
      <c r="DL512" s="29"/>
      <c r="DM512" s="29"/>
      <c r="DN512" s="29"/>
      <c r="DO512" s="29"/>
      <c r="DP512" s="29"/>
      <c r="DQ512" s="29"/>
      <c r="DR512" s="29"/>
      <c r="DS512" s="29"/>
      <c r="DT512" s="29"/>
      <c r="DU512" s="29"/>
      <c r="DV512" s="29"/>
      <c r="DW512" s="29"/>
      <c r="DX512" s="29"/>
      <c r="DY512" s="29"/>
      <c r="DZ512" s="29"/>
      <c r="EA512" s="29"/>
      <c r="EB512" s="29"/>
      <c r="EC512" s="29"/>
      <c r="ED512" s="29"/>
      <c r="EE512" s="29"/>
      <c r="EF512" s="29"/>
      <c r="EG512" s="29"/>
      <c r="EH512" s="29"/>
      <c r="EI512" s="29"/>
      <c r="EJ512" s="29"/>
      <c r="EK512" s="29"/>
      <c r="EL512" s="29"/>
      <c r="EM512" s="29"/>
      <c r="EN512" s="29"/>
      <c r="EO512" s="29"/>
      <c r="EP512" s="29"/>
      <c r="EQ512" s="29"/>
      <c r="ER512" s="29"/>
      <c r="ES512" s="29"/>
      <c r="ET512" s="29" t="s">
        <v>578</v>
      </c>
      <c r="EU512" s="29" t="s">
        <v>1127</v>
      </c>
      <c r="EV512" s="29" t="s">
        <v>527</v>
      </c>
      <c r="EW512" s="29"/>
      <c r="EX512" s="29" t="s">
        <v>9875</v>
      </c>
      <c r="EY512" s="29" t="s">
        <v>9876</v>
      </c>
      <c r="EZ512" s="29" t="s">
        <v>583</v>
      </c>
      <c r="FA512" s="29" t="s">
        <v>583</v>
      </c>
      <c r="FB512" s="29" t="s">
        <v>415</v>
      </c>
      <c r="FC512" s="29" t="s">
        <v>583</v>
      </c>
      <c r="FD512" s="29" t="s">
        <v>415</v>
      </c>
      <c r="FE512" s="29" t="s">
        <v>583</v>
      </c>
      <c r="FF512" s="29" t="s">
        <v>583</v>
      </c>
      <c r="FG512" s="29" t="s">
        <v>583</v>
      </c>
      <c r="FH512" s="29" t="s">
        <v>416</v>
      </c>
      <c r="FI512" s="29" t="s">
        <v>415</v>
      </c>
      <c r="FJ512" s="29" t="s">
        <v>414</v>
      </c>
      <c r="FK512" s="29" t="s">
        <v>583</v>
      </c>
      <c r="FL512" s="29" t="s">
        <v>583</v>
      </c>
      <c r="FM512" s="29" t="s">
        <v>414</v>
      </c>
      <c r="FN512" s="29" t="s">
        <v>414</v>
      </c>
      <c r="FO512" s="29" t="s">
        <v>1537</v>
      </c>
      <c r="FP512" s="29" t="s">
        <v>1200</v>
      </c>
      <c r="FQ512" s="29" t="s">
        <v>749</v>
      </c>
      <c r="FR512" s="29" t="s">
        <v>9877</v>
      </c>
      <c r="FS512" s="29" t="s">
        <v>1871</v>
      </c>
      <c r="FT512" s="29" t="s">
        <v>421</v>
      </c>
      <c r="FU512" s="29" t="s">
        <v>918</v>
      </c>
      <c r="FV512" s="29" t="s">
        <v>2399</v>
      </c>
      <c r="FW512" s="29" t="s">
        <v>1853</v>
      </c>
      <c r="FX512" s="29" t="s">
        <v>9878</v>
      </c>
      <c r="FY512" s="29" t="s">
        <v>1020</v>
      </c>
      <c r="FZ512" s="29"/>
      <c r="GA512" s="29"/>
      <c r="GB512" s="29" t="s">
        <v>408</v>
      </c>
      <c r="GC512" s="29"/>
      <c r="GD512" s="29"/>
      <c r="GE512" s="29"/>
      <c r="GF512" s="29"/>
      <c r="GG512" s="29" t="s">
        <v>920</v>
      </c>
      <c r="GH512" s="29" t="s">
        <v>920</v>
      </c>
      <c r="GI512" s="29" t="s">
        <v>817</v>
      </c>
      <c r="GJ512" s="29"/>
      <c r="GK512" s="29"/>
      <c r="GL512" s="29"/>
      <c r="GM512" s="29"/>
      <c r="GN512" s="29" t="s">
        <v>4478</v>
      </c>
      <c r="GO512" s="29" t="s">
        <v>4478</v>
      </c>
      <c r="GP512" s="29"/>
      <c r="GQ512" s="29" t="s">
        <v>3208</v>
      </c>
      <c r="GR512" s="29"/>
      <c r="GS512" s="29"/>
      <c r="GT512" s="29" t="s">
        <v>4774</v>
      </c>
      <c r="GU512" s="29"/>
      <c r="HP512" s="31"/>
      <c r="MX512" s="29" t="s">
        <v>894</v>
      </c>
      <c r="MY512" s="29" t="str">
        <f>IFERROR(__xludf.DUMMYFUNCTION("""COMPUTED_VALUE"""),"Ontario")</f>
        <v>Ontario</v>
      </c>
    </row>
    <row r="513" ht="16.5" customHeight="1">
      <c r="A513" s="33">
        <v>46179.82143106482</v>
      </c>
      <c r="B513" s="29" t="s">
        <v>368</v>
      </c>
      <c r="C513" s="29" t="s">
        <v>894</v>
      </c>
      <c r="D513" s="29" t="s">
        <v>894</v>
      </c>
      <c r="E513" s="29"/>
      <c r="F513" s="29"/>
      <c r="G513" s="29" t="s">
        <v>3187</v>
      </c>
      <c r="H513" s="29" t="s">
        <v>539</v>
      </c>
      <c r="I513" s="29" t="s">
        <v>2578</v>
      </c>
      <c r="J513" s="29" t="s">
        <v>425</v>
      </c>
      <c r="K513" s="29" t="s">
        <v>376</v>
      </c>
      <c r="L513" s="29" t="s">
        <v>379</v>
      </c>
      <c r="M513" s="29" t="s">
        <v>2464</v>
      </c>
      <c r="N513" s="29" t="s">
        <v>377</v>
      </c>
      <c r="O513" s="29" t="s">
        <v>380</v>
      </c>
      <c r="P513" s="29" t="s">
        <v>381</v>
      </c>
      <c r="Q513" s="29" t="s">
        <v>382</v>
      </c>
      <c r="R513" s="29" t="s">
        <v>1197</v>
      </c>
      <c r="S513" s="29" t="s">
        <v>384</v>
      </c>
      <c r="T513" s="29" t="s">
        <v>385</v>
      </c>
      <c r="U513" s="29" t="s">
        <v>896</v>
      </c>
      <c r="V513" s="29" t="s">
        <v>896</v>
      </c>
      <c r="W513" s="29" t="s">
        <v>386</v>
      </c>
      <c r="X513" s="29" t="s">
        <v>387</v>
      </c>
      <c r="Y513" s="29" t="s">
        <v>388</v>
      </c>
      <c r="Z513" s="29" t="s">
        <v>502</v>
      </c>
      <c r="AA513" s="29" t="s">
        <v>9882</v>
      </c>
      <c r="AB513" s="29" t="s">
        <v>2675</v>
      </c>
      <c r="AC513" s="29"/>
      <c r="AD513" s="29"/>
      <c r="AE513" s="29"/>
      <c r="AF513" s="29"/>
      <c r="AG513" s="29"/>
      <c r="AH513" s="29"/>
      <c r="AI513" s="29"/>
      <c r="AJ513" s="29"/>
      <c r="AK513" s="29"/>
      <c r="AL513" s="29"/>
      <c r="AM513" s="29"/>
      <c r="AN513" s="29"/>
      <c r="AO513" s="29"/>
      <c r="AP513" s="29"/>
      <c r="AQ513" s="29"/>
      <c r="AR513" s="29"/>
      <c r="AS513" s="29"/>
      <c r="AT513" s="29"/>
      <c r="AU513" s="29"/>
      <c r="AV513" s="29" t="s">
        <v>1310</v>
      </c>
      <c r="AW513" s="29">
        <v>4.0</v>
      </c>
      <c r="AX513" s="29" t="s">
        <v>391</v>
      </c>
      <c r="AY513" s="29">
        <v>4.0</v>
      </c>
      <c r="AZ513" s="29">
        <v>4.0</v>
      </c>
      <c r="BA513" s="29">
        <v>4.0</v>
      </c>
      <c r="BB513" s="29">
        <v>4.0</v>
      </c>
      <c r="BC513" s="29" t="s">
        <v>9883</v>
      </c>
      <c r="BD513" s="29" t="s">
        <v>9884</v>
      </c>
      <c r="BE513" s="29" t="s">
        <v>902</v>
      </c>
      <c r="BF513" s="29" t="s">
        <v>1095</v>
      </c>
      <c r="BG513" s="29" t="s">
        <v>434</v>
      </c>
      <c r="BH513" s="29" t="s">
        <v>9885</v>
      </c>
      <c r="BI513" s="29" t="s">
        <v>976</v>
      </c>
      <c r="BJ513" s="29"/>
      <c r="BK513" s="29" t="s">
        <v>437</v>
      </c>
      <c r="BL513" s="29" t="s">
        <v>603</v>
      </c>
      <c r="BM513" s="29" t="s">
        <v>1247</v>
      </c>
      <c r="BN513" s="29" t="s">
        <v>398</v>
      </c>
      <c r="BO513" s="29" t="s">
        <v>9886</v>
      </c>
      <c r="BP513" s="29" t="s">
        <v>9887</v>
      </c>
      <c r="BQ513" s="29" t="s">
        <v>604</v>
      </c>
      <c r="BR513" s="29" t="s">
        <v>1928</v>
      </c>
      <c r="BS513" s="29" t="s">
        <v>403</v>
      </c>
      <c r="BT513" s="29" t="s">
        <v>4368</v>
      </c>
      <c r="BU513" s="29" t="s">
        <v>1772</v>
      </c>
      <c r="BV513" s="29" t="s">
        <v>9888</v>
      </c>
      <c r="BW513" s="29" t="s">
        <v>988</v>
      </c>
      <c r="BX513" s="29"/>
      <c r="BY513" s="29" t="s">
        <v>455</v>
      </c>
      <c r="BZ513" s="29" t="s">
        <v>9889</v>
      </c>
      <c r="CA513" s="29" t="s">
        <v>9890</v>
      </c>
      <c r="CB513" s="29" t="s">
        <v>9891</v>
      </c>
      <c r="CC513" s="29" t="s">
        <v>9892</v>
      </c>
      <c r="CD513" s="29" t="s">
        <v>409</v>
      </c>
      <c r="CE513" s="29" t="s">
        <v>9893</v>
      </c>
      <c r="CF513" s="29" t="s">
        <v>1258</v>
      </c>
      <c r="CG513" s="29"/>
      <c r="CH513" s="29" t="s">
        <v>1698</v>
      </c>
      <c r="CI513" s="29" t="s">
        <v>833</v>
      </c>
      <c r="CJ513" s="29" t="s">
        <v>9894</v>
      </c>
      <c r="CK513" s="29" t="s">
        <v>9895</v>
      </c>
      <c r="CL513" s="29"/>
      <c r="CM513" s="29"/>
      <c r="CN513" s="29"/>
      <c r="CO513" s="29"/>
      <c r="CP513" s="29"/>
      <c r="CQ513" s="29"/>
      <c r="CR513" s="29"/>
      <c r="CS513" s="29"/>
      <c r="CT513" s="29"/>
      <c r="CU513" s="29"/>
      <c r="CV513" s="29"/>
      <c r="CW513" s="29"/>
      <c r="CX513" s="29"/>
      <c r="CY513" s="29"/>
      <c r="CZ513" s="29"/>
      <c r="DA513" s="29"/>
      <c r="DB513" s="29"/>
      <c r="DC513" s="29"/>
      <c r="DD513" s="29"/>
      <c r="DE513" s="29"/>
      <c r="DF513" s="29"/>
      <c r="DG513" s="29"/>
      <c r="DH513" s="29"/>
      <c r="DI513" s="29" t="s">
        <v>459</v>
      </c>
      <c r="DJ513" s="29" t="s">
        <v>613</v>
      </c>
      <c r="DK513" s="29"/>
      <c r="DL513" s="29"/>
      <c r="DM513" s="29"/>
      <c r="DN513" s="29"/>
      <c r="DO513" s="29"/>
      <c r="DP513" s="29"/>
      <c r="DQ513" s="29"/>
      <c r="DR513" s="29"/>
      <c r="DS513" s="29"/>
      <c r="DT513" s="29"/>
      <c r="DU513" s="29"/>
      <c r="DV513" s="29"/>
      <c r="DW513" s="29"/>
      <c r="DX513" s="29"/>
      <c r="DY513" s="29"/>
      <c r="DZ513" s="29"/>
      <c r="EA513" s="29"/>
      <c r="EB513" s="29"/>
      <c r="EC513" s="29"/>
      <c r="ED513" s="29"/>
      <c r="EE513" s="29"/>
      <c r="EF513" s="29"/>
      <c r="EG513" s="29"/>
      <c r="EH513" s="29"/>
      <c r="EI513" s="29"/>
      <c r="EJ513" s="29"/>
      <c r="EK513" s="29"/>
      <c r="EL513" s="29"/>
      <c r="EM513" s="29"/>
      <c r="EN513" s="29"/>
      <c r="EO513" s="29"/>
      <c r="EP513" s="29"/>
      <c r="EQ513" s="29"/>
      <c r="ER513" s="29"/>
      <c r="ES513" s="29"/>
      <c r="ET513" s="29" t="s">
        <v>526</v>
      </c>
      <c r="EU513" s="29" t="s">
        <v>479</v>
      </c>
      <c r="EV513" s="29" t="s">
        <v>527</v>
      </c>
      <c r="EW513" s="29" t="s">
        <v>9896</v>
      </c>
      <c r="EX513" s="29" t="s">
        <v>9897</v>
      </c>
      <c r="EY513" s="29" t="s">
        <v>9898</v>
      </c>
      <c r="EZ513" s="29" t="s">
        <v>414</v>
      </c>
      <c r="FA513" s="29" t="s">
        <v>414</v>
      </c>
      <c r="FB513" s="29" t="s">
        <v>414</v>
      </c>
      <c r="FC513" s="29" t="s">
        <v>414</v>
      </c>
      <c r="FD513" s="29" t="s">
        <v>416</v>
      </c>
      <c r="FE513" s="29" t="s">
        <v>414</v>
      </c>
      <c r="FF513" s="29" t="s">
        <v>414</v>
      </c>
      <c r="FG513" s="29" t="s">
        <v>415</v>
      </c>
      <c r="FH513" s="29" t="s">
        <v>414</v>
      </c>
      <c r="FI513" s="29" t="s">
        <v>414</v>
      </c>
      <c r="FJ513" s="29" t="s">
        <v>414</v>
      </c>
      <c r="FK513" s="29" t="s">
        <v>414</v>
      </c>
      <c r="FL513" s="29" t="s">
        <v>414</v>
      </c>
      <c r="FM513" s="29" t="s">
        <v>416</v>
      </c>
      <c r="FN513" s="29" t="s">
        <v>414</v>
      </c>
      <c r="FO513" s="29" t="s">
        <v>850</v>
      </c>
      <c r="FP513" s="29" t="s">
        <v>418</v>
      </c>
      <c r="FQ513" s="29" t="s">
        <v>419</v>
      </c>
      <c r="FR513" s="29" t="s">
        <v>9899</v>
      </c>
      <c r="FS513" s="29" t="s">
        <v>420</v>
      </c>
      <c r="FT513" s="29" t="s">
        <v>488</v>
      </c>
      <c r="FU513" s="29" t="s">
        <v>489</v>
      </c>
      <c r="FV513" s="29" t="s">
        <v>490</v>
      </c>
      <c r="FW513" s="29" t="s">
        <v>491</v>
      </c>
      <c r="FX513" s="29" t="s">
        <v>9900</v>
      </c>
      <c r="FY513" s="29" t="s">
        <v>493</v>
      </c>
      <c r="FZ513" s="29" t="s">
        <v>9901</v>
      </c>
      <c r="GA513" s="29"/>
      <c r="GB513" s="29" t="s">
        <v>455</v>
      </c>
      <c r="GC513" s="29"/>
      <c r="GD513" s="29"/>
      <c r="GE513" s="29" t="s">
        <v>753</v>
      </c>
      <c r="GF513" s="29" t="s">
        <v>9902</v>
      </c>
      <c r="GG513" s="29"/>
      <c r="GH513" s="29"/>
      <c r="GI513" s="29"/>
      <c r="GJ513" s="29" t="s">
        <v>920</v>
      </c>
      <c r="GK513" s="29" t="s">
        <v>920</v>
      </c>
      <c r="GL513" s="29" t="s">
        <v>756</v>
      </c>
      <c r="GM513" s="29"/>
      <c r="GN513" s="29"/>
      <c r="GO513" s="29"/>
      <c r="GP513" s="29"/>
      <c r="GQ513" s="29" t="s">
        <v>3208</v>
      </c>
      <c r="GR513" s="29" t="s">
        <v>4840</v>
      </c>
      <c r="GS513" s="29" t="s">
        <v>9903</v>
      </c>
      <c r="GT513" s="29"/>
      <c r="GU513" s="29"/>
      <c r="HP513" s="31"/>
      <c r="MX513" s="29" t="s">
        <v>2796</v>
      </c>
      <c r="MY513" s="29" t="str">
        <f>IFERROR(__xludf.DUMMYFUNCTION("""COMPUTED_VALUE"""),"Poland")</f>
        <v>Poland</v>
      </c>
    </row>
    <row r="514" ht="16.5" customHeight="1">
      <c r="A514" s="33">
        <v>46181.34934444445</v>
      </c>
      <c r="B514" s="29" t="s">
        <v>368</v>
      </c>
      <c r="C514" s="29" t="s">
        <v>2796</v>
      </c>
      <c r="D514" s="29" t="s">
        <v>2796</v>
      </c>
      <c r="E514" s="29"/>
      <c r="F514" s="29"/>
      <c r="G514" s="29" t="s">
        <v>422</v>
      </c>
      <c r="H514" s="29" t="s">
        <v>496</v>
      </c>
      <c r="I514" s="29" t="s">
        <v>374</v>
      </c>
      <c r="J514" s="29" t="s">
        <v>669</v>
      </c>
      <c r="K514" s="29" t="s">
        <v>376</v>
      </c>
      <c r="L514" s="29" t="s">
        <v>793</v>
      </c>
      <c r="M514" s="29" t="s">
        <v>719</v>
      </c>
      <c r="N514" s="29" t="s">
        <v>793</v>
      </c>
      <c r="O514" s="29" t="s">
        <v>671</v>
      </c>
      <c r="P514" s="29" t="s">
        <v>592</v>
      </c>
      <c r="Q514" s="29" t="s">
        <v>862</v>
      </c>
      <c r="R514" s="29" t="s">
        <v>500</v>
      </c>
      <c r="S514" s="29" t="s">
        <v>384</v>
      </c>
      <c r="T514" s="29" t="s">
        <v>385</v>
      </c>
      <c r="U514" s="29"/>
      <c r="V514" s="29"/>
      <c r="W514" s="29" t="s">
        <v>3014</v>
      </c>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t="s">
        <v>597</v>
      </c>
      <c r="AW514" s="29">
        <v>4.0</v>
      </c>
      <c r="AX514" s="29" t="s">
        <v>391</v>
      </c>
      <c r="AY514" s="29" t="s">
        <v>391</v>
      </c>
      <c r="AZ514" s="29">
        <v>4.0</v>
      </c>
      <c r="BA514" s="29">
        <v>4.0</v>
      </c>
      <c r="BB514" s="29">
        <v>4.0</v>
      </c>
      <c r="BC514" s="29" t="s">
        <v>9905</v>
      </c>
      <c r="BD514" s="29"/>
      <c r="BE514" s="29" t="s">
        <v>432</v>
      </c>
      <c r="BF514" s="29" t="s">
        <v>393</v>
      </c>
      <c r="BG514" s="29" t="s">
        <v>394</v>
      </c>
      <c r="BH514" s="29"/>
      <c r="BI514" s="29" t="s">
        <v>976</v>
      </c>
      <c r="BJ514" s="29"/>
      <c r="BK514" s="29" t="s">
        <v>437</v>
      </c>
      <c r="BL514" s="29" t="s">
        <v>438</v>
      </c>
      <c r="BM514" s="29" t="s">
        <v>397</v>
      </c>
      <c r="BN514" s="29" t="s">
        <v>398</v>
      </c>
      <c r="BO514" s="29" t="s">
        <v>9906</v>
      </c>
      <c r="BP514" s="29" t="s">
        <v>2675</v>
      </c>
      <c r="BQ514" s="29" t="s">
        <v>401</v>
      </c>
      <c r="BR514" s="29" t="s">
        <v>4462</v>
      </c>
      <c r="BS514" s="29" t="s">
        <v>4071</v>
      </c>
      <c r="BT514" s="29" t="s">
        <v>4072</v>
      </c>
      <c r="BU514" s="29" t="s">
        <v>405</v>
      </c>
      <c r="BV514" s="29"/>
      <c r="BW514" s="29" t="s">
        <v>406</v>
      </c>
      <c r="BX514" s="29"/>
      <c r="BY514" s="29" t="s">
        <v>455</v>
      </c>
      <c r="BZ514" s="29" t="s">
        <v>9907</v>
      </c>
      <c r="CA514" s="29"/>
      <c r="CB514" s="29"/>
      <c r="CC514" s="29" t="s">
        <v>9908</v>
      </c>
      <c r="CD514" s="29" t="s">
        <v>409</v>
      </c>
      <c r="CE514" s="29" t="s">
        <v>9909</v>
      </c>
      <c r="CF514" s="29" t="s">
        <v>1258</v>
      </c>
      <c r="CG514" s="29"/>
      <c r="CH514" s="29" t="s">
        <v>1259</v>
      </c>
      <c r="CI514" s="29" t="s">
        <v>1964</v>
      </c>
      <c r="CJ514" s="29" t="s">
        <v>9910</v>
      </c>
      <c r="CK514" s="29"/>
      <c r="CL514" s="29"/>
      <c r="CM514" s="29"/>
      <c r="CN514" s="29"/>
      <c r="CO514" s="29"/>
      <c r="CP514" s="29"/>
      <c r="CQ514" s="29"/>
      <c r="CR514" s="29"/>
      <c r="CS514" s="29"/>
      <c r="CT514" s="29"/>
      <c r="CU514" s="29"/>
      <c r="CV514" s="29"/>
      <c r="CW514" s="29"/>
      <c r="CX514" s="29"/>
      <c r="CY514" s="29"/>
      <c r="CZ514" s="29"/>
      <c r="DA514" s="29"/>
      <c r="DB514" s="29"/>
      <c r="DC514" s="29"/>
      <c r="DD514" s="29"/>
      <c r="DE514" s="29"/>
      <c r="DF514" s="29"/>
      <c r="DG514" s="29"/>
      <c r="DH514" s="29"/>
      <c r="DI514" s="29" t="s">
        <v>963</v>
      </c>
      <c r="DJ514" s="29" t="s">
        <v>613</v>
      </c>
      <c r="DK514" s="29"/>
      <c r="DL514" s="29"/>
      <c r="DM514" s="29"/>
      <c r="DN514" s="29"/>
      <c r="DO514" s="29"/>
      <c r="DP514" s="29"/>
      <c r="DQ514" s="29"/>
      <c r="DR514" s="29"/>
      <c r="DS514" s="29"/>
      <c r="DT514" s="29"/>
      <c r="DU514" s="29"/>
      <c r="DV514" s="29"/>
      <c r="DW514" s="29"/>
      <c r="DX514" s="29"/>
      <c r="DY514" s="29"/>
      <c r="DZ514" s="29"/>
      <c r="EA514" s="29"/>
      <c r="EB514" s="29"/>
      <c r="EC514" s="29"/>
      <c r="ED514" s="29"/>
      <c r="EE514" s="29"/>
      <c r="EF514" s="29"/>
      <c r="EG514" s="29"/>
      <c r="EH514" s="29"/>
      <c r="EI514" s="29"/>
      <c r="EJ514" s="29"/>
      <c r="EK514" s="29"/>
      <c r="EL514" s="29"/>
      <c r="EM514" s="29"/>
      <c r="EN514" s="29"/>
      <c r="EO514" s="29"/>
      <c r="EP514" s="29"/>
      <c r="EQ514" s="29"/>
      <c r="ER514" s="29"/>
      <c r="ES514" s="29"/>
      <c r="ET514" s="29" t="s">
        <v>526</v>
      </c>
      <c r="EU514" s="29" t="s">
        <v>579</v>
      </c>
      <c r="EV514" s="29" t="s">
        <v>480</v>
      </c>
      <c r="EW514" s="29"/>
      <c r="EX514" s="29"/>
      <c r="EY514" s="29" t="s">
        <v>9911</v>
      </c>
      <c r="EZ514" s="29" t="s">
        <v>414</v>
      </c>
      <c r="FA514" s="29" t="s">
        <v>414</v>
      </c>
      <c r="FB514" s="29" t="s">
        <v>413</v>
      </c>
      <c r="FC514" s="29" t="s">
        <v>415</v>
      </c>
      <c r="FD514" s="29" t="s">
        <v>413</v>
      </c>
      <c r="FE514" s="29" t="s">
        <v>583</v>
      </c>
      <c r="FF514" s="29" t="s">
        <v>415</v>
      </c>
      <c r="FG514" s="29" t="s">
        <v>414</v>
      </c>
      <c r="FH514" s="29" t="s">
        <v>416</v>
      </c>
      <c r="FI514" s="29" t="s">
        <v>413</v>
      </c>
      <c r="FJ514" s="29" t="s">
        <v>415</v>
      </c>
      <c r="FK514" s="29" t="s">
        <v>415</v>
      </c>
      <c r="FL514" s="29" t="s">
        <v>415</v>
      </c>
      <c r="FM514" s="29" t="s">
        <v>415</v>
      </c>
      <c r="FN514" s="29" t="s">
        <v>415</v>
      </c>
      <c r="FO514" s="29" t="s">
        <v>1074</v>
      </c>
      <c r="FP514" s="29" t="s">
        <v>418</v>
      </c>
      <c r="FQ514" s="29" t="s">
        <v>749</v>
      </c>
      <c r="FR514" s="29"/>
      <c r="FS514" s="29" t="s">
        <v>420</v>
      </c>
      <c r="FT514" s="29" t="s">
        <v>1462</v>
      </c>
      <c r="FU514" s="29" t="s">
        <v>1235</v>
      </c>
      <c r="FV514" s="29" t="s">
        <v>490</v>
      </c>
      <c r="FW514" s="29" t="s">
        <v>491</v>
      </c>
      <c r="FX514" s="29" t="s">
        <v>9912</v>
      </c>
      <c r="FY514" s="29" t="s">
        <v>535</v>
      </c>
      <c r="FZ514" s="29"/>
      <c r="GA514" s="29"/>
      <c r="GB514" s="29" t="s">
        <v>455</v>
      </c>
      <c r="GC514" s="29"/>
      <c r="GD514" s="29"/>
      <c r="GE514" s="29" t="s">
        <v>753</v>
      </c>
      <c r="GF514" s="29"/>
      <c r="GG514" s="29"/>
      <c r="GH514" s="29"/>
      <c r="GI514" s="29"/>
      <c r="GJ514" s="29" t="s">
        <v>789</v>
      </c>
      <c r="GK514" s="29" t="s">
        <v>789</v>
      </c>
      <c r="GL514" s="29" t="s">
        <v>817</v>
      </c>
      <c r="GM514" s="29"/>
      <c r="GN514" s="29"/>
      <c r="GO514" s="29"/>
      <c r="GP514" s="29"/>
      <c r="GQ514" s="29" t="s">
        <v>3208</v>
      </c>
      <c r="GR514" s="29" t="s">
        <v>4774</v>
      </c>
      <c r="GS514" s="29"/>
      <c r="GT514" s="29"/>
      <c r="GU514" s="29"/>
      <c r="HP514" s="31"/>
      <c r="MX514" s="29" t="s">
        <v>10402</v>
      </c>
      <c r="MY514" s="29" t="str">
        <f>IFERROR(__xludf.DUMMYFUNCTION("""COMPUTED_VALUE"""),"Indiana")</f>
        <v>Indiana</v>
      </c>
    </row>
    <row r="515" ht="16.5" customHeight="1">
      <c r="A515" s="33">
        <v>46181.86271541667</v>
      </c>
      <c r="B515" s="29" t="s">
        <v>368</v>
      </c>
      <c r="C515" s="29" t="s">
        <v>370</v>
      </c>
      <c r="D515" s="29" t="s">
        <v>370</v>
      </c>
      <c r="E515" s="29" t="s">
        <v>757</v>
      </c>
      <c r="F515" s="29" t="s">
        <v>1480</v>
      </c>
      <c r="G515" s="29" t="s">
        <v>422</v>
      </c>
      <c r="H515" s="29" t="s">
        <v>496</v>
      </c>
      <c r="I515" s="29" t="s">
        <v>374</v>
      </c>
      <c r="J515" s="29" t="s">
        <v>540</v>
      </c>
      <c r="K515" s="29" t="s">
        <v>376</v>
      </c>
      <c r="L515" s="29" t="s">
        <v>591</v>
      </c>
      <c r="M515" s="29" t="s">
        <v>860</v>
      </c>
      <c r="N515" s="29" t="s">
        <v>591</v>
      </c>
      <c r="O515" s="29" t="s">
        <v>639</v>
      </c>
      <c r="P515" s="29" t="s">
        <v>498</v>
      </c>
      <c r="Q515" s="29" t="s">
        <v>382</v>
      </c>
      <c r="R515" s="29" t="s">
        <v>641</v>
      </c>
      <c r="S515" s="29" t="s">
        <v>384</v>
      </c>
      <c r="T515" s="29" t="s">
        <v>385</v>
      </c>
      <c r="U515" s="29"/>
      <c r="V515" s="29"/>
      <c r="W515" s="29" t="s">
        <v>386</v>
      </c>
      <c r="X515" s="29" t="s">
        <v>387</v>
      </c>
      <c r="Y515" s="29" t="s">
        <v>594</v>
      </c>
      <c r="Z515" s="29" t="s">
        <v>502</v>
      </c>
      <c r="AA515" s="29" t="s">
        <v>408</v>
      </c>
      <c r="AB515" s="29" t="s">
        <v>9913</v>
      </c>
      <c r="AC515" s="29"/>
      <c r="AD515" s="29"/>
      <c r="AE515" s="29"/>
      <c r="AF515" s="29"/>
      <c r="AG515" s="29"/>
      <c r="AH515" s="29"/>
      <c r="AI515" s="29"/>
      <c r="AJ515" s="29"/>
      <c r="AK515" s="29"/>
      <c r="AL515" s="29"/>
      <c r="AM515" s="29"/>
      <c r="AN515" s="29"/>
      <c r="AO515" s="29"/>
      <c r="AP515" s="29"/>
      <c r="AQ515" s="29"/>
      <c r="AR515" s="29"/>
      <c r="AS515" s="29"/>
      <c r="AT515" s="29"/>
      <c r="AU515" s="29"/>
      <c r="AV515" s="29" t="s">
        <v>1310</v>
      </c>
      <c r="AW515" s="29" t="s">
        <v>675</v>
      </c>
      <c r="AX515" s="29" t="s">
        <v>675</v>
      </c>
      <c r="AY515" s="29" t="s">
        <v>391</v>
      </c>
      <c r="AZ515" s="29" t="s">
        <v>675</v>
      </c>
      <c r="BA515" s="29">
        <v>2.0</v>
      </c>
      <c r="BB515" s="29" t="s">
        <v>391</v>
      </c>
      <c r="BC515" s="29"/>
      <c r="BD515" s="29" t="s">
        <v>9914</v>
      </c>
      <c r="BE515" s="29" t="s">
        <v>432</v>
      </c>
      <c r="BF515" s="29" t="s">
        <v>1095</v>
      </c>
      <c r="BG515" s="29" t="s">
        <v>434</v>
      </c>
      <c r="BH515" s="29" t="s">
        <v>9915</v>
      </c>
      <c r="BI515" s="29" t="s">
        <v>435</v>
      </c>
      <c r="BJ515" s="29" t="s">
        <v>9916</v>
      </c>
      <c r="BK515" s="29" t="s">
        <v>395</v>
      </c>
      <c r="BL515" s="29" t="s">
        <v>438</v>
      </c>
      <c r="BM515" s="29" t="s">
        <v>1247</v>
      </c>
      <c r="BN515" s="29" t="s">
        <v>513</v>
      </c>
      <c r="BO515" s="29"/>
      <c r="BP515" s="29"/>
      <c r="BQ515" s="29"/>
      <c r="BR515" s="29"/>
      <c r="BS515" s="29"/>
      <c r="BT515" s="29"/>
      <c r="BU515" s="29"/>
      <c r="BV515" s="29"/>
      <c r="BW515" s="29"/>
      <c r="BX515" s="29"/>
      <c r="BY515" s="29"/>
      <c r="BZ515" s="29"/>
      <c r="CA515" s="29"/>
      <c r="CB515" s="29"/>
      <c r="CC515" s="29"/>
      <c r="CD515" s="29"/>
      <c r="CE515" s="29"/>
      <c r="CF515" s="29"/>
      <c r="CG515" s="29"/>
      <c r="CH515" s="29"/>
      <c r="CI515" s="29"/>
      <c r="CJ515" s="29"/>
      <c r="CK515" s="29"/>
      <c r="CL515" s="29" t="s">
        <v>441</v>
      </c>
      <c r="CM515" s="29" t="s">
        <v>604</v>
      </c>
      <c r="CN515" s="29" t="s">
        <v>9917</v>
      </c>
      <c r="CO515" s="29" t="s">
        <v>9918</v>
      </c>
      <c r="CP515" s="29" t="s">
        <v>403</v>
      </c>
      <c r="CQ515" s="29" t="s">
        <v>9919</v>
      </c>
      <c r="CR515" s="29" t="s">
        <v>447</v>
      </c>
      <c r="CS515" s="29" t="s">
        <v>9920</v>
      </c>
      <c r="CT515" s="29" t="s">
        <v>9921</v>
      </c>
      <c r="CU515" s="29" t="s">
        <v>1863</v>
      </c>
      <c r="CV515" s="29" t="s">
        <v>451</v>
      </c>
      <c r="CW515" s="29" t="s">
        <v>9922</v>
      </c>
      <c r="CX515" s="29" t="s">
        <v>408</v>
      </c>
      <c r="CY515" s="29"/>
      <c r="CZ515" s="29" t="s">
        <v>453</v>
      </c>
      <c r="DA515" s="29" t="s">
        <v>9923</v>
      </c>
      <c r="DB515" s="29" t="s">
        <v>455</v>
      </c>
      <c r="DC515" s="29" t="s">
        <v>9924</v>
      </c>
      <c r="DD515" s="29" t="s">
        <v>662</v>
      </c>
      <c r="DE515" s="29" t="s">
        <v>691</v>
      </c>
      <c r="DF515" s="29" t="s">
        <v>9925</v>
      </c>
      <c r="DG515" s="29" t="s">
        <v>4899</v>
      </c>
      <c r="DH515" s="29" t="s">
        <v>410</v>
      </c>
      <c r="DI515" s="29" t="s">
        <v>459</v>
      </c>
      <c r="DJ515" s="29" t="s">
        <v>460</v>
      </c>
      <c r="DK515" s="29" t="s">
        <v>6335</v>
      </c>
      <c r="DL515" s="29"/>
      <c r="DM515" s="29"/>
      <c r="DN515" s="29"/>
      <c r="DO515" s="29"/>
      <c r="DP515" s="29"/>
      <c r="DQ515" s="29"/>
      <c r="DR515" s="29"/>
      <c r="DS515" s="29"/>
      <c r="DT515" s="29"/>
      <c r="DU515" s="29"/>
      <c r="DV515" s="29"/>
      <c r="DW515" s="29"/>
      <c r="DX515" s="29"/>
      <c r="DY515" s="29"/>
      <c r="DZ515" s="29"/>
      <c r="EA515" s="29"/>
      <c r="EB515" s="29"/>
      <c r="EC515" s="29"/>
      <c r="ED515" s="29"/>
      <c r="EE515" s="29"/>
      <c r="EF515" s="29"/>
      <c r="EG515" s="29"/>
      <c r="EH515" s="29"/>
      <c r="EI515" s="29"/>
      <c r="EJ515" s="29"/>
      <c r="EK515" s="29"/>
      <c r="EL515" s="29"/>
      <c r="EM515" s="29"/>
      <c r="EN515" s="29"/>
      <c r="EO515" s="29"/>
      <c r="EP515" s="29"/>
      <c r="EQ515" s="29"/>
      <c r="ER515" s="29"/>
      <c r="ES515" s="29"/>
      <c r="ET515" s="29" t="s">
        <v>526</v>
      </c>
      <c r="EU515" s="29" t="s">
        <v>479</v>
      </c>
      <c r="EV515" s="29" t="s">
        <v>527</v>
      </c>
      <c r="EW515" s="29" t="s">
        <v>9926</v>
      </c>
      <c r="EX515" s="29" t="s">
        <v>9927</v>
      </c>
      <c r="EY515" s="29" t="s">
        <v>9928</v>
      </c>
      <c r="EZ515" s="29" t="s">
        <v>415</v>
      </c>
      <c r="FA515" s="29" t="s">
        <v>414</v>
      </c>
      <c r="FB515" s="29" t="s">
        <v>414</v>
      </c>
      <c r="FC515" s="29" t="s">
        <v>583</v>
      </c>
      <c r="FD515" s="29" t="s">
        <v>413</v>
      </c>
      <c r="FE515" s="29" t="s">
        <v>484</v>
      </c>
      <c r="FF515" s="29" t="s">
        <v>415</v>
      </c>
      <c r="FG515" s="29" t="s">
        <v>415</v>
      </c>
      <c r="FH515" s="29" t="s">
        <v>415</v>
      </c>
      <c r="FI515" s="29" t="s">
        <v>583</v>
      </c>
      <c r="FJ515" s="29" t="s">
        <v>583</v>
      </c>
      <c r="FK515" s="29" t="s">
        <v>414</v>
      </c>
      <c r="FL515" s="29" t="s">
        <v>583</v>
      </c>
      <c r="FM515" s="29" t="s">
        <v>415</v>
      </c>
      <c r="FN515" s="29" t="s">
        <v>414</v>
      </c>
      <c r="FO515" s="29" t="s">
        <v>850</v>
      </c>
      <c r="FP515" s="29" t="s">
        <v>418</v>
      </c>
      <c r="FQ515" s="29" t="s">
        <v>630</v>
      </c>
      <c r="FR515" s="29" t="s">
        <v>9929</v>
      </c>
      <c r="FS515" s="29" t="s">
        <v>420</v>
      </c>
      <c r="FT515" s="29" t="s">
        <v>488</v>
      </c>
      <c r="FU515" s="29" t="s">
        <v>533</v>
      </c>
      <c r="FV515" s="29" t="s">
        <v>490</v>
      </c>
      <c r="FW515" s="29" t="s">
        <v>491</v>
      </c>
      <c r="FX515" s="29" t="s">
        <v>9930</v>
      </c>
      <c r="FY515" s="29" t="s">
        <v>535</v>
      </c>
      <c r="FZ515" s="29"/>
      <c r="GA515" s="29" t="s">
        <v>9931</v>
      </c>
      <c r="GB515" s="29" t="s">
        <v>455</v>
      </c>
      <c r="GC515" s="29"/>
      <c r="GD515" s="29"/>
      <c r="GE515" s="29" t="s">
        <v>855</v>
      </c>
      <c r="GF515" s="29" t="s">
        <v>9932</v>
      </c>
      <c r="GG515" s="29" t="s">
        <v>788</v>
      </c>
      <c r="GH515" s="29" t="s">
        <v>1000</v>
      </c>
      <c r="GI515" s="29" t="s">
        <v>817</v>
      </c>
      <c r="GJ515" s="29"/>
      <c r="GK515" s="29"/>
      <c r="GL515" s="29"/>
      <c r="GM515" s="29"/>
      <c r="GN515" s="29"/>
      <c r="GO515" s="29"/>
      <c r="GP515" s="29"/>
      <c r="GQ515" s="29" t="s">
        <v>9933</v>
      </c>
      <c r="GR515" s="29"/>
      <c r="GS515" s="29"/>
      <c r="GT515" s="29" t="s">
        <v>5081</v>
      </c>
      <c r="GU515" s="29" t="s">
        <v>4660</v>
      </c>
      <c r="HP515" s="31"/>
      <c r="MX515" s="29" t="s">
        <v>9934</v>
      </c>
      <c r="MY515" s="29" t="str">
        <f>IFERROR(__xludf.DUMMYFUNCTION("""COMPUTED_VALUE"""),"Venezuela")</f>
        <v>Venezuela</v>
      </c>
    </row>
    <row r="516" ht="16.5" customHeight="1">
      <c r="A516" s="33">
        <v>46182.8067103588</v>
      </c>
      <c r="B516" s="29" t="s">
        <v>368</v>
      </c>
      <c r="C516" s="29" t="s">
        <v>9934</v>
      </c>
      <c r="D516" s="29" t="s">
        <v>9934</v>
      </c>
      <c r="E516" s="29"/>
      <c r="F516" s="29"/>
      <c r="G516" s="29" t="s">
        <v>1269</v>
      </c>
      <c r="H516" s="29" t="s">
        <v>637</v>
      </c>
      <c r="I516" s="29" t="s">
        <v>638</v>
      </c>
      <c r="J516" s="29" t="s">
        <v>590</v>
      </c>
      <c r="K516" s="29" t="s">
        <v>376</v>
      </c>
      <c r="L516" s="29" t="s">
        <v>1526</v>
      </c>
      <c r="M516" s="29" t="s">
        <v>6033</v>
      </c>
      <c r="N516" s="29" t="s">
        <v>1526</v>
      </c>
      <c r="O516" s="29" t="s">
        <v>671</v>
      </c>
      <c r="P516" s="29" t="s">
        <v>498</v>
      </c>
      <c r="Q516" s="29" t="s">
        <v>499</v>
      </c>
      <c r="R516" s="29" t="s">
        <v>500</v>
      </c>
      <c r="S516" s="29" t="s">
        <v>2837</v>
      </c>
      <c r="T516" s="29" t="s">
        <v>385</v>
      </c>
      <c r="U516" s="29"/>
      <c r="V516" s="29"/>
      <c r="W516" s="29" t="s">
        <v>3014</v>
      </c>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t="s">
        <v>390</v>
      </c>
      <c r="AW516" s="29">
        <v>2.0</v>
      </c>
      <c r="AX516" s="29">
        <v>2.0</v>
      </c>
      <c r="AY516" s="29">
        <v>4.0</v>
      </c>
      <c r="AZ516" s="29">
        <v>4.0</v>
      </c>
      <c r="BA516" s="29" t="s">
        <v>391</v>
      </c>
      <c r="BB516" s="29" t="s">
        <v>391</v>
      </c>
      <c r="BC516" s="29" t="s">
        <v>9935</v>
      </c>
      <c r="BD516" s="29" t="s">
        <v>9936</v>
      </c>
      <c r="BE516" s="29" t="s">
        <v>432</v>
      </c>
      <c r="BF516" s="29" t="s">
        <v>433</v>
      </c>
      <c r="BG516" s="29" t="s">
        <v>507</v>
      </c>
      <c r="BH516" s="29" t="s">
        <v>9937</v>
      </c>
      <c r="BI516" s="29" t="s">
        <v>976</v>
      </c>
      <c r="BJ516" s="29" t="s">
        <v>9938</v>
      </c>
      <c r="BK516" s="29" t="s">
        <v>681</v>
      </c>
      <c r="BL516" s="29" t="s">
        <v>603</v>
      </c>
      <c r="BM516" s="29" t="s">
        <v>439</v>
      </c>
      <c r="BN516" s="29" t="s">
        <v>398</v>
      </c>
      <c r="BO516" s="29" t="s">
        <v>9939</v>
      </c>
      <c r="BP516" s="29" t="s">
        <v>9940</v>
      </c>
      <c r="BQ516" s="29" t="s">
        <v>401</v>
      </c>
      <c r="BR516" s="29" t="s">
        <v>9941</v>
      </c>
      <c r="BS516" s="29" t="s">
        <v>4071</v>
      </c>
      <c r="BT516" s="29" t="s">
        <v>1994</v>
      </c>
      <c r="BU516" s="29" t="s">
        <v>405</v>
      </c>
      <c r="BV516" s="29" t="s">
        <v>9942</v>
      </c>
      <c r="BW516" s="29" t="s">
        <v>988</v>
      </c>
      <c r="BX516" s="29"/>
      <c r="BY516" s="29" t="s">
        <v>455</v>
      </c>
      <c r="BZ516" s="29" t="s">
        <v>9943</v>
      </c>
      <c r="CA516" s="29" t="s">
        <v>9944</v>
      </c>
      <c r="CB516" s="29" t="s">
        <v>9945</v>
      </c>
      <c r="CC516" s="29" t="s">
        <v>9946</v>
      </c>
      <c r="CD516" s="29" t="s">
        <v>451</v>
      </c>
      <c r="CE516" s="29" t="s">
        <v>9947</v>
      </c>
      <c r="CF516" s="29" t="s">
        <v>1722</v>
      </c>
      <c r="CG516" s="29" t="s">
        <v>9948</v>
      </c>
      <c r="CH516" s="29" t="s">
        <v>1751</v>
      </c>
      <c r="CI516" s="29" t="s">
        <v>410</v>
      </c>
      <c r="CJ516" s="29" t="s">
        <v>9949</v>
      </c>
      <c r="CK516" s="29" t="s">
        <v>9950</v>
      </c>
      <c r="CL516" s="29"/>
      <c r="CM516" s="29"/>
      <c r="CN516" s="29"/>
      <c r="CO516" s="29"/>
      <c r="CP516" s="29"/>
      <c r="CQ516" s="29"/>
      <c r="CR516" s="29"/>
      <c r="CS516" s="29"/>
      <c r="CT516" s="29"/>
      <c r="CU516" s="29"/>
      <c r="CV516" s="29"/>
      <c r="CW516" s="29"/>
      <c r="CX516" s="29"/>
      <c r="CY516" s="29"/>
      <c r="CZ516" s="29"/>
      <c r="DA516" s="29"/>
      <c r="DB516" s="29"/>
      <c r="DC516" s="29"/>
      <c r="DD516" s="29"/>
      <c r="DE516" s="29"/>
      <c r="DF516" s="29"/>
      <c r="DG516" s="29"/>
      <c r="DH516" s="29"/>
      <c r="DI516" s="29" t="s">
        <v>459</v>
      </c>
      <c r="DJ516" s="29" t="s">
        <v>562</v>
      </c>
      <c r="DK516" s="29" t="s">
        <v>6335</v>
      </c>
      <c r="DL516" s="29"/>
      <c r="DM516" s="29"/>
      <c r="DN516" s="29"/>
      <c r="DO516" s="29"/>
      <c r="DP516" s="29"/>
      <c r="DQ516" s="29"/>
      <c r="DR516" s="29"/>
      <c r="DS516" s="29"/>
      <c r="DT516" s="29"/>
      <c r="DU516" s="29"/>
      <c r="DV516" s="29"/>
      <c r="DW516" s="29"/>
      <c r="DX516" s="29"/>
      <c r="DY516" s="29"/>
      <c r="DZ516" s="29"/>
      <c r="EA516" s="29"/>
      <c r="EB516" s="29"/>
      <c r="EC516" s="29"/>
      <c r="ED516" s="29"/>
      <c r="EE516" s="29"/>
      <c r="EF516" s="29"/>
      <c r="EG516" s="29"/>
      <c r="EH516" s="29"/>
      <c r="EI516" s="29"/>
      <c r="EJ516" s="29"/>
      <c r="EK516" s="29"/>
      <c r="EL516" s="29"/>
      <c r="EM516" s="29"/>
      <c r="EN516" s="29"/>
      <c r="EO516" s="29"/>
      <c r="EP516" s="29"/>
      <c r="EQ516" s="29"/>
      <c r="ER516" s="29"/>
      <c r="ES516" s="29"/>
      <c r="ET516" s="29" t="s">
        <v>526</v>
      </c>
      <c r="EU516" s="29" t="s">
        <v>479</v>
      </c>
      <c r="EV516" s="29" t="s">
        <v>527</v>
      </c>
      <c r="EW516" s="29" t="s">
        <v>9951</v>
      </c>
      <c r="EX516" s="29" t="s">
        <v>9952</v>
      </c>
      <c r="EY516" s="29" t="s">
        <v>9953</v>
      </c>
      <c r="EZ516" s="29" t="s">
        <v>583</v>
      </c>
      <c r="FA516" s="29" t="s">
        <v>583</v>
      </c>
      <c r="FB516" s="29" t="s">
        <v>416</v>
      </c>
      <c r="FC516" s="29" t="s">
        <v>414</v>
      </c>
      <c r="FD516" s="29" t="s">
        <v>413</v>
      </c>
      <c r="FE516" s="29" t="s">
        <v>414</v>
      </c>
      <c r="FF516" s="29" t="s">
        <v>415</v>
      </c>
      <c r="FG516" s="29" t="s">
        <v>415</v>
      </c>
      <c r="FH516" s="29" t="s">
        <v>413</v>
      </c>
      <c r="FI516" s="29" t="s">
        <v>413</v>
      </c>
      <c r="FJ516" s="29" t="s">
        <v>415</v>
      </c>
      <c r="FK516" s="29" t="s">
        <v>414</v>
      </c>
      <c r="FL516" s="29" t="s">
        <v>414</v>
      </c>
      <c r="FM516" s="29" t="s">
        <v>416</v>
      </c>
      <c r="FN516" s="29" t="s">
        <v>414</v>
      </c>
      <c r="FO516" s="29" t="s">
        <v>485</v>
      </c>
      <c r="FP516" s="29" t="s">
        <v>418</v>
      </c>
      <c r="FQ516" s="29" t="s">
        <v>1039</v>
      </c>
      <c r="FR516" s="29" t="s">
        <v>9954</v>
      </c>
      <c r="FS516" s="29" t="s">
        <v>1189</v>
      </c>
      <c r="FT516" s="29" t="s">
        <v>488</v>
      </c>
      <c r="FU516" s="29" t="s">
        <v>918</v>
      </c>
      <c r="FV516" s="29" t="s">
        <v>1101</v>
      </c>
      <c r="FW516" s="29" t="s">
        <v>491</v>
      </c>
      <c r="FX516" s="29"/>
      <c r="FY516" s="29" t="s">
        <v>535</v>
      </c>
      <c r="FZ516" s="29" t="s">
        <v>9955</v>
      </c>
      <c r="GA516" s="29" t="s">
        <v>9956</v>
      </c>
      <c r="GB516" s="29" t="s">
        <v>455</v>
      </c>
      <c r="GC516" s="29"/>
      <c r="GD516" s="29"/>
      <c r="GE516" s="29" t="s">
        <v>753</v>
      </c>
      <c r="GF516" s="29" t="s">
        <v>9957</v>
      </c>
      <c r="GG516" s="29"/>
      <c r="GH516" s="29"/>
      <c r="GI516" s="29"/>
      <c r="GJ516" s="29" t="s">
        <v>755</v>
      </c>
      <c r="GK516" s="29" t="s">
        <v>755</v>
      </c>
      <c r="GL516" s="29" t="s">
        <v>817</v>
      </c>
      <c r="GM516" s="29"/>
      <c r="GN516" s="29" t="s">
        <v>9934</v>
      </c>
      <c r="GO516" s="29" t="s">
        <v>9934</v>
      </c>
      <c r="GP516" s="29"/>
      <c r="GQ516" s="29" t="s">
        <v>3273</v>
      </c>
      <c r="GR516" s="29" t="s">
        <v>4774</v>
      </c>
      <c r="GS516" s="29"/>
      <c r="GT516" s="29"/>
      <c r="GU516" s="29"/>
      <c r="HP516" s="31"/>
      <c r="MX516" s="29" t="s">
        <v>10402</v>
      </c>
      <c r="MY516" s="29" t="str">
        <f>IFERROR(__xludf.DUMMYFUNCTION("""COMPUTED_VALUE"""),"Wisconsin")</f>
        <v>Wisconsin</v>
      </c>
    </row>
    <row r="517" ht="16.5" customHeight="1">
      <c r="A517" s="33">
        <v>46187.82425446759</v>
      </c>
      <c r="B517" s="29" t="s">
        <v>368</v>
      </c>
      <c r="C517" s="29" t="s">
        <v>370</v>
      </c>
      <c r="D517" s="29" t="s">
        <v>370</v>
      </c>
      <c r="E517" s="29" t="s">
        <v>1441</v>
      </c>
      <c r="F517" s="29" t="s">
        <v>1421</v>
      </c>
      <c r="G517" s="29" t="s">
        <v>422</v>
      </c>
      <c r="H517" s="29" t="s">
        <v>1921</v>
      </c>
      <c r="I517" s="29" t="s">
        <v>668</v>
      </c>
      <c r="J517" s="29" t="s">
        <v>375</v>
      </c>
      <c r="K517" s="29" t="s">
        <v>376</v>
      </c>
      <c r="L517" s="29" t="s">
        <v>426</v>
      </c>
      <c r="M517" s="29" t="s">
        <v>378</v>
      </c>
      <c r="N517" s="29" t="s">
        <v>379</v>
      </c>
      <c r="O517" s="29" t="s">
        <v>719</v>
      </c>
      <c r="P517" s="29" t="s">
        <v>1504</v>
      </c>
      <c r="Q517" s="29" t="s">
        <v>499</v>
      </c>
      <c r="R517" s="29" t="s">
        <v>500</v>
      </c>
      <c r="S517" s="29" t="s">
        <v>384</v>
      </c>
      <c r="T517" s="29" t="s">
        <v>385</v>
      </c>
      <c r="U517" s="29"/>
      <c r="V517" s="29"/>
      <c r="W517" s="29" t="s">
        <v>593</v>
      </c>
      <c r="X517" s="29" t="s">
        <v>387</v>
      </c>
      <c r="Y517" s="29" t="s">
        <v>2115</v>
      </c>
      <c r="Z517" s="29" t="s">
        <v>543</v>
      </c>
      <c r="AA517" s="29" t="s">
        <v>2675</v>
      </c>
      <c r="AB517" s="29" t="s">
        <v>9959</v>
      </c>
      <c r="AC517" s="29"/>
      <c r="AD517" s="29"/>
      <c r="AE517" s="29"/>
      <c r="AF517" s="29"/>
      <c r="AG517" s="29"/>
      <c r="AH517" s="29"/>
      <c r="AI517" s="29"/>
      <c r="AJ517" s="29"/>
      <c r="AK517" s="29"/>
      <c r="AL517" s="29"/>
      <c r="AM517" s="29"/>
      <c r="AN517" s="29"/>
      <c r="AO517" s="29"/>
      <c r="AP517" s="29"/>
      <c r="AQ517" s="29"/>
      <c r="AR517" s="29"/>
      <c r="AS517" s="29"/>
      <c r="AT517" s="29"/>
      <c r="AU517" s="29"/>
      <c r="AV517" s="29" t="s">
        <v>1242</v>
      </c>
      <c r="AW517" s="29" t="s">
        <v>675</v>
      </c>
      <c r="AX517" s="29">
        <v>4.0</v>
      </c>
      <c r="AY517" s="29" t="s">
        <v>391</v>
      </c>
      <c r="AZ517" s="29" t="s">
        <v>391</v>
      </c>
      <c r="BA517" s="29" t="s">
        <v>391</v>
      </c>
      <c r="BB517" s="29" t="s">
        <v>391</v>
      </c>
      <c r="BC517" s="29" t="s">
        <v>9960</v>
      </c>
      <c r="BD517" s="29" t="s">
        <v>9961</v>
      </c>
      <c r="BE517" s="29" t="s">
        <v>392</v>
      </c>
      <c r="BF517" s="29" t="s">
        <v>1095</v>
      </c>
      <c r="BG517" s="29" t="s">
        <v>678</v>
      </c>
      <c r="BH517" s="29" t="s">
        <v>1313</v>
      </c>
      <c r="BI517" s="29" t="s">
        <v>727</v>
      </c>
      <c r="BJ517" s="29"/>
      <c r="BK517" s="29" t="s">
        <v>602</v>
      </c>
      <c r="BL517" s="29" t="s">
        <v>512</v>
      </c>
      <c r="BM517" s="29" t="s">
        <v>1314</v>
      </c>
      <c r="BN517" s="29" t="s">
        <v>513</v>
      </c>
      <c r="BO517" s="29"/>
      <c r="BP517" s="29"/>
      <c r="BQ517" s="29"/>
      <c r="BR517" s="29"/>
      <c r="BS517" s="29"/>
      <c r="BT517" s="29"/>
      <c r="BU517" s="29"/>
      <c r="BV517" s="29"/>
      <c r="BW517" s="29"/>
      <c r="BX517" s="29"/>
      <c r="BY517" s="29"/>
      <c r="BZ517" s="29"/>
      <c r="CA517" s="29"/>
      <c r="CB517" s="29"/>
      <c r="CC517" s="29"/>
      <c r="CD517" s="29"/>
      <c r="CE517" s="29"/>
      <c r="CF517" s="29"/>
      <c r="CG517" s="29"/>
      <c r="CH517" s="29"/>
      <c r="CI517" s="29"/>
      <c r="CJ517" s="29"/>
      <c r="CK517" s="29"/>
      <c r="CL517" s="29" t="s">
        <v>441</v>
      </c>
      <c r="CM517" s="29" t="s">
        <v>401</v>
      </c>
      <c r="CN517" s="29" t="s">
        <v>9962</v>
      </c>
      <c r="CO517" s="29" t="s">
        <v>9963</v>
      </c>
      <c r="CP517" s="29" t="s">
        <v>1008</v>
      </c>
      <c r="CQ517" s="29" t="s">
        <v>9964</v>
      </c>
      <c r="CR517" s="29" t="s">
        <v>555</v>
      </c>
      <c r="CS517" s="29" t="s">
        <v>9965</v>
      </c>
      <c r="CT517" s="29" t="s">
        <v>9966</v>
      </c>
      <c r="CU517" s="29" t="s">
        <v>1852</v>
      </c>
      <c r="CV517" s="29" t="s">
        <v>451</v>
      </c>
      <c r="CW517" s="29" t="s">
        <v>9967</v>
      </c>
      <c r="CX517" s="29" t="s">
        <v>408</v>
      </c>
      <c r="CY517" s="29"/>
      <c r="CZ517" s="29" t="s">
        <v>1962</v>
      </c>
      <c r="DA517" s="29"/>
      <c r="DB517" s="29" t="s">
        <v>408</v>
      </c>
      <c r="DC517" s="29"/>
      <c r="DD517" s="29" t="s">
        <v>457</v>
      </c>
      <c r="DE517" s="29"/>
      <c r="DF517" s="29" t="s">
        <v>9968</v>
      </c>
      <c r="DG517" s="29" t="s">
        <v>561</v>
      </c>
      <c r="DH517" s="29" t="s">
        <v>410</v>
      </c>
      <c r="DI517" s="29" t="s">
        <v>963</v>
      </c>
      <c r="DJ517" s="29" t="s">
        <v>613</v>
      </c>
      <c r="DK517" s="29"/>
      <c r="DL517" s="29"/>
      <c r="DM517" s="29"/>
      <c r="DN517" s="29"/>
      <c r="DO517" s="29"/>
      <c r="DP517" s="29"/>
      <c r="DQ517" s="29"/>
      <c r="DR517" s="29"/>
      <c r="DS517" s="29"/>
      <c r="DT517" s="29"/>
      <c r="DU517" s="29"/>
      <c r="DV517" s="29"/>
      <c r="DW517" s="29"/>
      <c r="DX517" s="29"/>
      <c r="DY517" s="29"/>
      <c r="DZ517" s="29"/>
      <c r="EA517" s="29"/>
      <c r="EB517" s="29"/>
      <c r="EC517" s="29"/>
      <c r="ED517" s="29"/>
      <c r="EE517" s="29"/>
      <c r="EF517" s="29"/>
      <c r="EG517" s="29"/>
      <c r="EH517" s="29"/>
      <c r="EI517" s="29"/>
      <c r="EJ517" s="29"/>
      <c r="EK517" s="29"/>
      <c r="EL517" s="29"/>
      <c r="EM517" s="29"/>
      <c r="EN517" s="29"/>
      <c r="EO517" s="29"/>
      <c r="EP517" s="29"/>
      <c r="EQ517" s="29"/>
      <c r="ER517" s="29"/>
      <c r="ES517" s="29"/>
      <c r="ET517" s="29" t="s">
        <v>478</v>
      </c>
      <c r="EU517" s="29" t="s">
        <v>479</v>
      </c>
      <c r="EV517" s="29" t="s">
        <v>480</v>
      </c>
      <c r="EW517" s="29" t="s">
        <v>9969</v>
      </c>
      <c r="EX517" s="29" t="s">
        <v>9970</v>
      </c>
      <c r="EY517" s="29" t="s">
        <v>9971</v>
      </c>
      <c r="EZ517" s="29" t="s">
        <v>414</v>
      </c>
      <c r="FA517" s="29" t="s">
        <v>583</v>
      </c>
      <c r="FB517" s="29" t="s">
        <v>413</v>
      </c>
      <c r="FC517" s="29" t="s">
        <v>583</v>
      </c>
      <c r="FD517" s="29" t="s">
        <v>413</v>
      </c>
      <c r="FE517" s="29" t="s">
        <v>583</v>
      </c>
      <c r="FF517" s="29" t="s">
        <v>415</v>
      </c>
      <c r="FG517" s="29" t="s">
        <v>414</v>
      </c>
      <c r="FH517" s="29" t="s">
        <v>416</v>
      </c>
      <c r="FI517" s="29" t="s">
        <v>414</v>
      </c>
      <c r="FJ517" s="29" t="s">
        <v>415</v>
      </c>
      <c r="FK517" s="29" t="s">
        <v>583</v>
      </c>
      <c r="FL517" s="29" t="s">
        <v>583</v>
      </c>
      <c r="FM517" s="29" t="s">
        <v>416</v>
      </c>
      <c r="FN517" s="29" t="s">
        <v>414</v>
      </c>
      <c r="FO517" s="29" t="s">
        <v>1537</v>
      </c>
      <c r="FP517" s="29" t="s">
        <v>418</v>
      </c>
      <c r="FQ517" s="29" t="s">
        <v>630</v>
      </c>
      <c r="FR517" s="29" t="s">
        <v>9972</v>
      </c>
      <c r="FS517" s="29" t="s">
        <v>1076</v>
      </c>
      <c r="FT517" s="29" t="s">
        <v>488</v>
      </c>
      <c r="FU517" s="29" t="s">
        <v>533</v>
      </c>
      <c r="FV517" s="29" t="s">
        <v>490</v>
      </c>
      <c r="FW517" s="29" t="s">
        <v>491</v>
      </c>
      <c r="FX517" s="29" t="s">
        <v>9973</v>
      </c>
      <c r="FY517" s="29" t="s">
        <v>1020</v>
      </c>
      <c r="FZ517" s="29" t="s">
        <v>9974</v>
      </c>
      <c r="GA517" s="29" t="s">
        <v>1313</v>
      </c>
      <c r="GB517" s="29" t="s">
        <v>455</v>
      </c>
      <c r="GC517" s="29"/>
      <c r="GD517" s="29"/>
      <c r="GE517" s="29" t="s">
        <v>1420</v>
      </c>
      <c r="GF517" s="29" t="s">
        <v>9975</v>
      </c>
      <c r="GG517" s="29" t="s">
        <v>755</v>
      </c>
      <c r="GH517" s="29" t="s">
        <v>755</v>
      </c>
      <c r="GI517" s="29" t="s">
        <v>946</v>
      </c>
      <c r="GJ517" s="29"/>
      <c r="GK517" s="29"/>
      <c r="GL517" s="29"/>
      <c r="GM517" s="29"/>
      <c r="GN517" s="29"/>
      <c r="GO517" s="29"/>
      <c r="GP517" s="29"/>
      <c r="GQ517" s="29" t="s">
        <v>3306</v>
      </c>
      <c r="GR517" s="29"/>
      <c r="GS517" s="29"/>
      <c r="GT517" s="29" t="s">
        <v>4774</v>
      </c>
      <c r="GU517" s="29"/>
      <c r="HP517" s="31"/>
      <c r="MX517" s="29"/>
      <c r="MY517" s="29"/>
    </row>
    <row r="518" ht="16.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c r="BC518" s="29"/>
      <c r="BD518" s="29"/>
      <c r="BE518" s="29"/>
      <c r="BF518" s="29"/>
      <c r="BG518" s="29"/>
      <c r="BH518" s="29"/>
      <c r="BI518" s="29"/>
      <c r="BJ518" s="29"/>
      <c r="BK518" s="29"/>
      <c r="BL518" s="29"/>
      <c r="BM518" s="29"/>
      <c r="BN518" s="29"/>
      <c r="BO518" s="29"/>
      <c r="BP518" s="29"/>
      <c r="BQ518" s="29"/>
      <c r="BR518" s="29"/>
      <c r="BS518" s="29"/>
      <c r="BT518" s="29"/>
      <c r="BU518" s="29"/>
      <c r="BV518" s="29"/>
      <c r="BW518" s="29"/>
      <c r="BX518" s="29"/>
      <c r="BY518" s="29"/>
      <c r="BZ518" s="29"/>
      <c r="CA518" s="29"/>
      <c r="CB518" s="29"/>
      <c r="CC518" s="29"/>
      <c r="CD518" s="29"/>
      <c r="CE518" s="29"/>
      <c r="CF518" s="29"/>
      <c r="CG518" s="29"/>
      <c r="CH518" s="29"/>
      <c r="CI518" s="29"/>
      <c r="CJ518" s="29"/>
      <c r="CK518" s="29"/>
      <c r="CL518" s="29"/>
      <c r="CM518" s="29"/>
      <c r="CN518" s="29"/>
      <c r="CO518" s="29"/>
      <c r="CP518" s="29"/>
      <c r="CQ518" s="29"/>
      <c r="CR518" s="29"/>
      <c r="CS518" s="29"/>
      <c r="CT518" s="29"/>
      <c r="CU518" s="29"/>
      <c r="CV518" s="29"/>
      <c r="CW518" s="29"/>
      <c r="CX518" s="29"/>
      <c r="CY518" s="29"/>
      <c r="CZ518" s="29"/>
      <c r="DA518" s="29"/>
      <c r="DB518" s="29"/>
      <c r="DC518" s="29"/>
      <c r="DD518" s="29"/>
      <c r="DE518" s="29"/>
      <c r="DF518" s="29"/>
      <c r="DG518" s="29"/>
      <c r="DH518" s="29"/>
      <c r="DI518" s="29"/>
      <c r="DJ518" s="29"/>
      <c r="DK518" s="29"/>
      <c r="DL518" s="29"/>
      <c r="DM518" s="29"/>
      <c r="DN518" s="29"/>
      <c r="DO518" s="29"/>
      <c r="DP518" s="29"/>
      <c r="DQ518" s="29"/>
      <c r="DR518" s="29"/>
      <c r="DS518" s="29"/>
      <c r="DT518" s="29"/>
      <c r="DU518" s="29"/>
      <c r="DV518" s="29"/>
      <c r="DW518" s="29"/>
      <c r="DX518" s="29"/>
      <c r="DY518" s="29"/>
      <c r="DZ518" s="29"/>
      <c r="EA518" s="29"/>
      <c r="EB518" s="29"/>
      <c r="EC518" s="29"/>
      <c r="ED518" s="29"/>
      <c r="EE518" s="29"/>
      <c r="EF518" s="29"/>
      <c r="EG518" s="29"/>
      <c r="EH518" s="29"/>
      <c r="EI518" s="29"/>
      <c r="EJ518" s="29"/>
      <c r="EK518" s="29"/>
      <c r="EL518" s="29"/>
      <c r="EM518" s="29"/>
      <c r="EN518" s="29"/>
      <c r="EO518" s="29"/>
      <c r="EP518" s="29"/>
      <c r="EQ518" s="29"/>
      <c r="ER518" s="29"/>
      <c r="ES518" s="29"/>
      <c r="ET518" s="29"/>
      <c r="EU518" s="29"/>
      <c r="EV518" s="29"/>
      <c r="EW518" s="29"/>
      <c r="EX518" s="29"/>
      <c r="EY518" s="29"/>
      <c r="EZ518" s="29"/>
      <c r="FA518" s="29"/>
      <c r="FB518" s="29"/>
      <c r="FC518" s="29"/>
      <c r="FD518" s="29"/>
      <c r="FE518" s="29"/>
      <c r="FF518" s="29"/>
      <c r="FG518" s="29"/>
      <c r="FH518" s="29"/>
      <c r="FI518" s="29"/>
      <c r="FJ518" s="29"/>
      <c r="FK518" s="29"/>
      <c r="FL518" s="29"/>
      <c r="FM518" s="29"/>
      <c r="FN518" s="29"/>
      <c r="FO518" s="29"/>
      <c r="FP518" s="29"/>
      <c r="FQ518" s="29"/>
      <c r="FR518" s="29"/>
      <c r="FS518" s="29"/>
      <c r="FT518" s="29"/>
      <c r="FU518" s="29"/>
      <c r="FV518" s="29"/>
      <c r="FW518" s="29"/>
      <c r="FX518" s="29"/>
      <c r="FY518" s="29"/>
      <c r="FZ518" s="29"/>
      <c r="GA518" s="29"/>
      <c r="GB518" s="29"/>
      <c r="GC518" s="29"/>
      <c r="GD518" s="29"/>
      <c r="GE518" s="29"/>
      <c r="GF518" s="29"/>
      <c r="GG518" s="29"/>
      <c r="GH518" s="29"/>
      <c r="GI518" s="29"/>
      <c r="GJ518" s="29"/>
      <c r="GK518" s="29"/>
      <c r="GL518" s="29"/>
      <c r="GM518" s="29"/>
      <c r="GN518" s="29"/>
      <c r="GO518" s="29"/>
      <c r="GP518" s="29"/>
      <c r="GQ518" s="29"/>
      <c r="GR518" s="29"/>
      <c r="GS518" s="29"/>
      <c r="GT518" s="29"/>
      <c r="GU518" s="29"/>
      <c r="HP518" s="31"/>
      <c r="MX518" s="29"/>
      <c r="MY518" s="29"/>
    </row>
    <row r="519" ht="16.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c r="BO519" s="29"/>
      <c r="BP519" s="29"/>
      <c r="BQ519" s="29"/>
      <c r="BR519" s="29"/>
      <c r="BS519" s="29"/>
      <c r="BT519" s="29"/>
      <c r="BU519" s="29"/>
      <c r="BV519" s="29"/>
      <c r="BW519" s="29"/>
      <c r="BX519" s="29"/>
      <c r="BY519" s="29"/>
      <c r="BZ519" s="29"/>
      <c r="CA519" s="29"/>
      <c r="CB519" s="29"/>
      <c r="CC519" s="29"/>
      <c r="CD519" s="29"/>
      <c r="CE519" s="29"/>
      <c r="CF519" s="29"/>
      <c r="CG519" s="29"/>
      <c r="CH519" s="29"/>
      <c r="CI519" s="29"/>
      <c r="CJ519" s="29"/>
      <c r="CK519" s="29"/>
      <c r="CL519" s="29"/>
      <c r="CM519" s="29"/>
      <c r="CN519" s="29"/>
      <c r="CO519" s="29"/>
      <c r="CP519" s="29"/>
      <c r="CQ519" s="29"/>
      <c r="CR519" s="29"/>
      <c r="CS519" s="29"/>
      <c r="CT519" s="29"/>
      <c r="CU519" s="29"/>
      <c r="CV519" s="29"/>
      <c r="CW519" s="29"/>
      <c r="CX519" s="29"/>
      <c r="CY519" s="29"/>
      <c r="CZ519" s="29"/>
      <c r="DA519" s="29"/>
      <c r="DB519" s="29"/>
      <c r="DC519" s="29"/>
      <c r="DD519" s="29"/>
      <c r="DE519" s="29"/>
      <c r="DF519" s="29"/>
      <c r="DG519" s="29"/>
      <c r="DH519" s="29"/>
      <c r="DI519" s="29"/>
      <c r="DJ519" s="29"/>
      <c r="DK519" s="29"/>
      <c r="DL519" s="29"/>
      <c r="DM519" s="29"/>
      <c r="DN519" s="29"/>
      <c r="DO519" s="29"/>
      <c r="DP519" s="29"/>
      <c r="DQ519" s="29"/>
      <c r="DR519" s="29"/>
      <c r="DS519" s="29"/>
      <c r="DT519" s="29"/>
      <c r="DU519" s="29"/>
      <c r="DV519" s="29"/>
      <c r="DW519" s="29"/>
      <c r="DX519" s="29"/>
      <c r="DY519" s="29"/>
      <c r="DZ519" s="29"/>
      <c r="EA519" s="29"/>
      <c r="EB519" s="29"/>
      <c r="EC519" s="29"/>
      <c r="ED519" s="29"/>
      <c r="EE519" s="29"/>
      <c r="EF519" s="29"/>
      <c r="EG519" s="29"/>
      <c r="EH519" s="29"/>
      <c r="EI519" s="29"/>
      <c r="EJ519" s="29"/>
      <c r="EK519" s="29"/>
      <c r="EL519" s="29"/>
      <c r="EM519" s="29"/>
      <c r="EN519" s="29"/>
      <c r="EO519" s="29"/>
      <c r="EP519" s="29"/>
      <c r="EQ519" s="29"/>
      <c r="ER519" s="29"/>
      <c r="ES519" s="29"/>
      <c r="ET519" s="29"/>
      <c r="EU519" s="29"/>
      <c r="EV519" s="29"/>
      <c r="EW519" s="29"/>
      <c r="EX519" s="29"/>
      <c r="EY519" s="29"/>
      <c r="EZ519" s="29"/>
      <c r="FA519" s="29"/>
      <c r="FB519" s="29"/>
      <c r="FC519" s="29"/>
      <c r="FD519" s="29"/>
      <c r="FE519" s="29"/>
      <c r="FF519" s="29"/>
      <c r="FG519" s="29"/>
      <c r="FH519" s="29"/>
      <c r="FI519" s="29"/>
      <c r="FJ519" s="29"/>
      <c r="FK519" s="29"/>
      <c r="FL519" s="29"/>
      <c r="FM519" s="29"/>
      <c r="FN519" s="29"/>
      <c r="FO519" s="29"/>
      <c r="FP519" s="29"/>
      <c r="FQ519" s="29"/>
      <c r="FR519" s="29"/>
      <c r="FS519" s="29"/>
      <c r="FT519" s="29"/>
      <c r="FU519" s="29"/>
      <c r="FV519" s="29"/>
      <c r="FW519" s="29"/>
      <c r="FX519" s="29"/>
      <c r="FY519" s="29"/>
      <c r="FZ519" s="29"/>
      <c r="GA519" s="29"/>
      <c r="GB519" s="29"/>
      <c r="GC519" s="29"/>
      <c r="GD519" s="29"/>
      <c r="GE519" s="29"/>
      <c r="GF519" s="29"/>
      <c r="GG519" s="29"/>
      <c r="GH519" s="29"/>
      <c r="GI519" s="29"/>
      <c r="GJ519" s="29"/>
      <c r="GK519" s="29"/>
      <c r="GL519" s="29"/>
      <c r="GM519" s="29"/>
      <c r="GN519" s="29"/>
      <c r="GO519" s="29"/>
      <c r="GP519" s="29"/>
      <c r="GQ519" s="29"/>
      <c r="GR519" s="29"/>
      <c r="GS519" s="29"/>
      <c r="GT519" s="29"/>
      <c r="GU519" s="29"/>
      <c r="HP519" s="31"/>
      <c r="MX519" s="29"/>
      <c r="MY519" s="29"/>
    </row>
    <row r="520" ht="16.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c r="AY520" s="29"/>
      <c r="AZ520" s="29"/>
      <c r="BA520" s="29"/>
      <c r="BB520" s="29"/>
      <c r="BC520" s="29"/>
      <c r="BD520" s="29"/>
      <c r="BE520" s="29"/>
      <c r="BF520" s="29"/>
      <c r="BG520" s="29"/>
      <c r="BH520" s="29"/>
      <c r="BI520" s="29"/>
      <c r="BJ520" s="29"/>
      <c r="BK520" s="29"/>
      <c r="BL520" s="29"/>
      <c r="BM520" s="29"/>
      <c r="BN520" s="29"/>
      <c r="BO520" s="29"/>
      <c r="BP520" s="29"/>
      <c r="BQ520" s="29"/>
      <c r="BR520" s="29"/>
      <c r="BS520" s="29"/>
      <c r="BT520" s="29"/>
      <c r="BU520" s="29"/>
      <c r="BV520" s="29"/>
      <c r="BW520" s="29"/>
      <c r="BX520" s="29"/>
      <c r="BY520" s="29"/>
      <c r="BZ520" s="29"/>
      <c r="CA520" s="29"/>
      <c r="CB520" s="29"/>
      <c r="CC520" s="29"/>
      <c r="CD520" s="29"/>
      <c r="CE520" s="29"/>
      <c r="CF520" s="29"/>
      <c r="CG520" s="29"/>
      <c r="CH520" s="29"/>
      <c r="CI520" s="29"/>
      <c r="CJ520" s="29"/>
      <c r="CK520" s="29"/>
      <c r="CL520" s="29"/>
      <c r="CM520" s="29"/>
      <c r="CN520" s="29"/>
      <c r="CO520" s="29"/>
      <c r="CP520" s="29"/>
      <c r="CQ520" s="29"/>
      <c r="CR520" s="29"/>
      <c r="CS520" s="29"/>
      <c r="CT520" s="29"/>
      <c r="CU520" s="29"/>
      <c r="CV520" s="29"/>
      <c r="CW520" s="29"/>
      <c r="CX520" s="29"/>
      <c r="CY520" s="29"/>
      <c r="CZ520" s="29"/>
      <c r="DA520" s="29"/>
      <c r="DB520" s="29"/>
      <c r="DC520" s="29"/>
      <c r="DD520" s="29"/>
      <c r="DE520" s="29"/>
      <c r="DF520" s="29"/>
      <c r="DG520" s="29"/>
      <c r="DH520" s="29"/>
      <c r="DI520" s="29"/>
      <c r="DJ520" s="29"/>
      <c r="DK520" s="29"/>
      <c r="DL520" s="29"/>
      <c r="DM520" s="29"/>
      <c r="DN520" s="29"/>
      <c r="DO520" s="29"/>
      <c r="DP520" s="29"/>
      <c r="DQ520" s="29"/>
      <c r="DR520" s="29"/>
      <c r="DS520" s="29"/>
      <c r="DT520" s="29"/>
      <c r="DU520" s="29"/>
      <c r="DV520" s="29"/>
      <c r="DW520" s="29"/>
      <c r="DX520" s="29"/>
      <c r="DY520" s="29"/>
      <c r="DZ520" s="29"/>
      <c r="EA520" s="29"/>
      <c r="EB520" s="29"/>
      <c r="EC520" s="29"/>
      <c r="ED520" s="29"/>
      <c r="EE520" s="29"/>
      <c r="EF520" s="29"/>
      <c r="EG520" s="29"/>
      <c r="EH520" s="29"/>
      <c r="EI520" s="29"/>
      <c r="EJ520" s="29"/>
      <c r="EK520" s="29"/>
      <c r="EL520" s="29"/>
      <c r="EM520" s="29"/>
      <c r="EN520" s="29"/>
      <c r="EO520" s="29"/>
      <c r="EP520" s="29"/>
      <c r="EQ520" s="29"/>
      <c r="ER520" s="29"/>
      <c r="ES520" s="29"/>
      <c r="ET520" s="29"/>
      <c r="EU520" s="29"/>
      <c r="EV520" s="29"/>
      <c r="EW520" s="29"/>
      <c r="EX520" s="29"/>
      <c r="EY520" s="29"/>
      <c r="EZ520" s="29"/>
      <c r="FA520" s="29"/>
      <c r="FB520" s="29"/>
      <c r="FC520" s="29"/>
      <c r="FD520" s="29"/>
      <c r="FE520" s="29"/>
      <c r="FF520" s="29"/>
      <c r="FG520" s="29"/>
      <c r="FH520" s="29"/>
      <c r="FI520" s="29"/>
      <c r="FJ520" s="29"/>
      <c r="FK520" s="29"/>
      <c r="FL520" s="29"/>
      <c r="FM520" s="29"/>
      <c r="FN520" s="29"/>
      <c r="FO520" s="29"/>
      <c r="FP520" s="29"/>
      <c r="FQ520" s="29"/>
      <c r="FR520" s="29"/>
      <c r="FS520" s="29"/>
      <c r="FT520" s="29"/>
      <c r="FU520" s="29"/>
      <c r="FV520" s="29"/>
      <c r="FW520" s="29"/>
      <c r="FX520" s="29"/>
      <c r="FY520" s="29"/>
      <c r="FZ520" s="29"/>
      <c r="GA520" s="29"/>
      <c r="GB520" s="29"/>
      <c r="GC520" s="29"/>
      <c r="GD520" s="29"/>
      <c r="GE520" s="29"/>
      <c r="GF520" s="29"/>
      <c r="GG520" s="29"/>
      <c r="GH520" s="29"/>
      <c r="GI520" s="29"/>
      <c r="GJ520" s="29"/>
      <c r="GK520" s="29"/>
      <c r="GL520" s="29"/>
      <c r="GM520" s="29"/>
      <c r="GN520" s="29"/>
      <c r="GO520" s="29"/>
      <c r="GP520" s="29"/>
      <c r="GQ520" s="29"/>
      <c r="GR520" s="29"/>
      <c r="GS520" s="29"/>
      <c r="GT520" s="29"/>
      <c r="GU520" s="29"/>
      <c r="HP520" s="31"/>
      <c r="MX520" s="29"/>
      <c r="MY520" s="29"/>
    </row>
    <row r="521" ht="16.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c r="BO521" s="29"/>
      <c r="BP521" s="29"/>
      <c r="BQ521" s="29"/>
      <c r="BR521" s="29"/>
      <c r="BS521" s="29"/>
      <c r="BT521" s="29"/>
      <c r="BU521" s="29"/>
      <c r="BV521" s="29"/>
      <c r="BW521" s="29"/>
      <c r="BX521" s="29"/>
      <c r="BY521" s="29"/>
      <c r="BZ521" s="29"/>
      <c r="CA521" s="29"/>
      <c r="CB521" s="29"/>
      <c r="CC521" s="29"/>
      <c r="CD521" s="29"/>
      <c r="CE521" s="29"/>
      <c r="CF521" s="29"/>
      <c r="CG521" s="29"/>
      <c r="CH521" s="29"/>
      <c r="CI521" s="29"/>
      <c r="CJ521" s="29"/>
      <c r="CK521" s="29"/>
      <c r="CL521" s="29"/>
      <c r="CM521" s="29"/>
      <c r="CN521" s="29"/>
      <c r="CO521" s="29"/>
      <c r="CP521" s="29"/>
      <c r="CQ521" s="29"/>
      <c r="CR521" s="29"/>
      <c r="CS521" s="29"/>
      <c r="CT521" s="29"/>
      <c r="CU521" s="29"/>
      <c r="CV521" s="29"/>
      <c r="CW521" s="29"/>
      <c r="CX521" s="29"/>
      <c r="CY521" s="29"/>
      <c r="CZ521" s="29"/>
      <c r="DA521" s="29"/>
      <c r="DB521" s="29"/>
      <c r="DC521" s="29"/>
      <c r="DD521" s="29"/>
      <c r="DE521" s="29"/>
      <c r="DF521" s="29"/>
      <c r="DG521" s="29"/>
      <c r="DH521" s="29"/>
      <c r="DI521" s="29"/>
      <c r="DJ521" s="29"/>
      <c r="DK521" s="29"/>
      <c r="DL521" s="29"/>
      <c r="DM521" s="29"/>
      <c r="DN521" s="29"/>
      <c r="DO521" s="29"/>
      <c r="DP521" s="29"/>
      <c r="DQ521" s="29"/>
      <c r="DR521" s="29"/>
      <c r="DS521" s="29"/>
      <c r="DT521" s="29"/>
      <c r="DU521" s="29"/>
      <c r="DV521" s="29"/>
      <c r="DW521" s="29"/>
      <c r="DX521" s="29"/>
      <c r="DY521" s="29"/>
      <c r="DZ521" s="29"/>
      <c r="EA521" s="29"/>
      <c r="EB521" s="29"/>
      <c r="EC521" s="29"/>
      <c r="ED521" s="29"/>
      <c r="EE521" s="29"/>
      <c r="EF521" s="29"/>
      <c r="EG521" s="29"/>
      <c r="EH521" s="29"/>
      <c r="EI521" s="29"/>
      <c r="EJ521" s="29"/>
      <c r="EK521" s="29"/>
      <c r="EL521" s="29"/>
      <c r="EM521" s="29"/>
      <c r="EN521" s="29"/>
      <c r="EO521" s="29"/>
      <c r="EP521" s="29"/>
      <c r="EQ521" s="29"/>
      <c r="ER521" s="29"/>
      <c r="ES521" s="29"/>
      <c r="ET521" s="29"/>
      <c r="EU521" s="29"/>
      <c r="EV521" s="29"/>
      <c r="EW521" s="29"/>
      <c r="EX521" s="29"/>
      <c r="EY521" s="29"/>
      <c r="EZ521" s="29"/>
      <c r="FA521" s="29"/>
      <c r="FB521" s="29"/>
      <c r="FC521" s="29"/>
      <c r="FD521" s="29"/>
      <c r="FE521" s="29"/>
      <c r="FF521" s="29"/>
      <c r="FG521" s="29"/>
      <c r="FH521" s="29"/>
      <c r="FI521" s="29"/>
      <c r="FJ521" s="29"/>
      <c r="FK521" s="29"/>
      <c r="FL521" s="29"/>
      <c r="FM521" s="29"/>
      <c r="FN521" s="29"/>
      <c r="FO521" s="29"/>
      <c r="FP521" s="29"/>
      <c r="FQ521" s="29"/>
      <c r="FR521" s="29"/>
      <c r="FS521" s="29"/>
      <c r="FT521" s="29"/>
      <c r="FU521" s="29"/>
      <c r="FV521" s="29"/>
      <c r="FW521" s="29"/>
      <c r="FX521" s="29"/>
      <c r="FY521" s="29"/>
      <c r="FZ521" s="29"/>
      <c r="GA521" s="29"/>
      <c r="GB521" s="29"/>
      <c r="GC521" s="29"/>
      <c r="GD521" s="29"/>
      <c r="GE521" s="29"/>
      <c r="GF521" s="29"/>
      <c r="GG521" s="29"/>
      <c r="GH521" s="29"/>
      <c r="GI521" s="29"/>
      <c r="GJ521" s="29"/>
      <c r="GK521" s="29"/>
      <c r="GL521" s="29"/>
      <c r="GM521" s="29"/>
      <c r="GN521" s="29"/>
      <c r="GO521" s="29"/>
      <c r="GP521" s="29"/>
      <c r="GQ521" s="29"/>
      <c r="GR521" s="29"/>
      <c r="GS521" s="29"/>
      <c r="GT521" s="29"/>
      <c r="GU521" s="29"/>
      <c r="HP521" s="31"/>
      <c r="MX521" s="29"/>
      <c r="MY521" s="29"/>
    </row>
    <row r="522" ht="16.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c r="BC522" s="29"/>
      <c r="BD522" s="29"/>
      <c r="BE522" s="29"/>
      <c r="BF522" s="29"/>
      <c r="BG522" s="29"/>
      <c r="BH522" s="29"/>
      <c r="BI522" s="29"/>
      <c r="BJ522" s="29"/>
      <c r="BK522" s="29"/>
      <c r="BL522" s="29"/>
      <c r="BM522" s="29"/>
      <c r="BN522" s="29"/>
      <c r="BO522" s="29"/>
      <c r="BP522" s="29"/>
      <c r="BQ522" s="29"/>
      <c r="BR522" s="29"/>
      <c r="BS522" s="29"/>
      <c r="BT522" s="29"/>
      <c r="BU522" s="29"/>
      <c r="BV522" s="29"/>
      <c r="BW522" s="29"/>
      <c r="BX522" s="29"/>
      <c r="BY522" s="29"/>
      <c r="BZ522" s="29"/>
      <c r="CA522" s="29"/>
      <c r="CB522" s="29"/>
      <c r="CC522" s="29"/>
      <c r="CD522" s="29"/>
      <c r="CE522" s="29"/>
      <c r="CF522" s="29"/>
      <c r="CG522" s="29"/>
      <c r="CH522" s="29"/>
      <c r="CI522" s="29"/>
      <c r="CJ522" s="29"/>
      <c r="CK522" s="29"/>
      <c r="CL522" s="29"/>
      <c r="CM522" s="29"/>
      <c r="CN522" s="29"/>
      <c r="CO522" s="29"/>
      <c r="CP522" s="29"/>
      <c r="CQ522" s="29"/>
      <c r="CR522" s="29"/>
      <c r="CS522" s="29"/>
      <c r="CT522" s="29"/>
      <c r="CU522" s="29"/>
      <c r="CV522" s="29"/>
      <c r="CW522" s="29"/>
      <c r="CX522" s="29"/>
      <c r="CY522" s="29"/>
      <c r="CZ522" s="29"/>
      <c r="DA522" s="29"/>
      <c r="DB522" s="29"/>
      <c r="DC522" s="29"/>
      <c r="DD522" s="29"/>
      <c r="DE522" s="29"/>
      <c r="DF522" s="29"/>
      <c r="DG522" s="29"/>
      <c r="DH522" s="29"/>
      <c r="DI522" s="29"/>
      <c r="DJ522" s="29"/>
      <c r="DK522" s="29"/>
      <c r="DL522" s="29"/>
      <c r="DM522" s="29"/>
      <c r="DN522" s="29"/>
      <c r="DO522" s="29"/>
      <c r="DP522" s="29"/>
      <c r="DQ522" s="29"/>
      <c r="DR522" s="29"/>
      <c r="DS522" s="29"/>
      <c r="DT522" s="29"/>
      <c r="DU522" s="29"/>
      <c r="DV522" s="29"/>
      <c r="DW522" s="29"/>
      <c r="DX522" s="29"/>
      <c r="DY522" s="29"/>
      <c r="DZ522" s="29"/>
      <c r="EA522" s="29"/>
      <c r="EB522" s="29"/>
      <c r="EC522" s="29"/>
      <c r="ED522" s="29"/>
      <c r="EE522" s="29"/>
      <c r="EF522" s="29"/>
      <c r="EG522" s="29"/>
      <c r="EH522" s="29"/>
      <c r="EI522" s="29"/>
      <c r="EJ522" s="29"/>
      <c r="EK522" s="29"/>
      <c r="EL522" s="29"/>
      <c r="EM522" s="29"/>
      <c r="EN522" s="29"/>
      <c r="EO522" s="29"/>
      <c r="EP522" s="29"/>
      <c r="EQ522" s="29"/>
      <c r="ER522" s="29"/>
      <c r="ES522" s="29"/>
      <c r="ET522" s="29"/>
      <c r="EU522" s="29"/>
      <c r="EV522" s="29"/>
      <c r="EW522" s="29"/>
      <c r="EX522" s="29"/>
      <c r="EY522" s="29"/>
      <c r="EZ522" s="29"/>
      <c r="FA522" s="29"/>
      <c r="FB522" s="29"/>
      <c r="FC522" s="29"/>
      <c r="FD522" s="29"/>
      <c r="FE522" s="29"/>
      <c r="FF522" s="29"/>
      <c r="FG522" s="29"/>
      <c r="FH522" s="29"/>
      <c r="FI522" s="29"/>
      <c r="FJ522" s="29"/>
      <c r="FK522" s="29"/>
      <c r="FL522" s="29"/>
      <c r="FM522" s="29"/>
      <c r="FN522" s="29"/>
      <c r="FO522" s="29"/>
      <c r="FP522" s="29"/>
      <c r="FQ522" s="29"/>
      <c r="FR522" s="29"/>
      <c r="FS522" s="29"/>
      <c r="FT522" s="29"/>
      <c r="FU522" s="29"/>
      <c r="FV522" s="29"/>
      <c r="FW522" s="29"/>
      <c r="FX522" s="29"/>
      <c r="FY522" s="29"/>
      <c r="FZ522" s="29"/>
      <c r="GA522" s="29"/>
      <c r="GB522" s="29"/>
      <c r="GC522" s="29"/>
      <c r="GD522" s="29"/>
      <c r="GE522" s="29"/>
      <c r="GF522" s="29"/>
      <c r="GG522" s="29"/>
      <c r="GH522" s="29"/>
      <c r="GI522" s="29"/>
      <c r="GJ522" s="29"/>
      <c r="GK522" s="29"/>
      <c r="GL522" s="29"/>
      <c r="GM522" s="29"/>
      <c r="GN522" s="29"/>
      <c r="GO522" s="29"/>
      <c r="GP522" s="29"/>
      <c r="GQ522" s="29"/>
      <c r="GR522" s="29"/>
      <c r="GS522" s="29"/>
      <c r="GT522" s="29"/>
      <c r="GU522" s="29"/>
      <c r="HP522" s="31"/>
      <c r="MX522" s="29"/>
      <c r="MY522" s="29"/>
    </row>
    <row r="523" ht="16.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c r="BO523" s="29"/>
      <c r="BP523" s="29"/>
      <c r="BQ523" s="29"/>
      <c r="BR523" s="29"/>
      <c r="BS523" s="29"/>
      <c r="BT523" s="29"/>
      <c r="BU523" s="29"/>
      <c r="BV523" s="29"/>
      <c r="BW523" s="29"/>
      <c r="BX523" s="29"/>
      <c r="BY523" s="29"/>
      <c r="BZ523" s="29"/>
      <c r="CA523" s="29"/>
      <c r="CB523" s="29"/>
      <c r="CC523" s="29"/>
      <c r="CD523" s="29"/>
      <c r="CE523" s="29"/>
      <c r="CF523" s="29"/>
      <c r="CG523" s="29"/>
      <c r="CH523" s="29"/>
      <c r="CI523" s="29"/>
      <c r="CJ523" s="29"/>
      <c r="CK523" s="29"/>
      <c r="CL523" s="29"/>
      <c r="CM523" s="29"/>
      <c r="CN523" s="29"/>
      <c r="CO523" s="29"/>
      <c r="CP523" s="29"/>
      <c r="CQ523" s="29"/>
      <c r="CR523" s="29"/>
      <c r="CS523" s="29"/>
      <c r="CT523" s="29"/>
      <c r="CU523" s="29"/>
      <c r="CV523" s="29"/>
      <c r="CW523" s="29"/>
      <c r="CX523" s="29"/>
      <c r="CY523" s="29"/>
      <c r="CZ523" s="29"/>
      <c r="DA523" s="29"/>
      <c r="DB523" s="29"/>
      <c r="DC523" s="29"/>
      <c r="DD523" s="29"/>
      <c r="DE523" s="29"/>
      <c r="DF523" s="29"/>
      <c r="DG523" s="29"/>
      <c r="DH523" s="29"/>
      <c r="DI523" s="29"/>
      <c r="DJ523" s="29"/>
      <c r="DK523" s="29"/>
      <c r="DL523" s="29"/>
      <c r="DM523" s="29"/>
      <c r="DN523" s="29"/>
      <c r="DO523" s="29"/>
      <c r="DP523" s="29"/>
      <c r="DQ523" s="29"/>
      <c r="DR523" s="29"/>
      <c r="DS523" s="29"/>
      <c r="DT523" s="29"/>
      <c r="DU523" s="29"/>
      <c r="DV523" s="29"/>
      <c r="DW523" s="29"/>
      <c r="DX523" s="29"/>
      <c r="DY523" s="29"/>
      <c r="DZ523" s="29"/>
      <c r="EA523" s="29"/>
      <c r="EB523" s="29"/>
      <c r="EC523" s="29"/>
      <c r="ED523" s="29"/>
      <c r="EE523" s="29"/>
      <c r="EF523" s="29"/>
      <c r="EG523" s="29"/>
      <c r="EH523" s="29"/>
      <c r="EI523" s="29"/>
      <c r="EJ523" s="29"/>
      <c r="EK523" s="29"/>
      <c r="EL523" s="29"/>
      <c r="EM523" s="29"/>
      <c r="EN523" s="29"/>
      <c r="EO523" s="29"/>
      <c r="EP523" s="29"/>
      <c r="EQ523" s="29"/>
      <c r="ER523" s="29"/>
      <c r="ES523" s="29"/>
      <c r="ET523" s="29"/>
      <c r="EU523" s="29"/>
      <c r="EV523" s="29"/>
      <c r="EW523" s="29"/>
      <c r="EX523" s="29"/>
      <c r="EY523" s="29"/>
      <c r="EZ523" s="29"/>
      <c r="FA523" s="29"/>
      <c r="FB523" s="29"/>
      <c r="FC523" s="29"/>
      <c r="FD523" s="29"/>
      <c r="FE523" s="29"/>
      <c r="FF523" s="29"/>
      <c r="FG523" s="29"/>
      <c r="FH523" s="29"/>
      <c r="FI523" s="29"/>
      <c r="FJ523" s="29"/>
      <c r="FK523" s="29"/>
      <c r="FL523" s="29"/>
      <c r="FM523" s="29"/>
      <c r="FN523" s="29"/>
      <c r="FO523" s="29"/>
      <c r="FP523" s="29"/>
      <c r="FQ523" s="29"/>
      <c r="FR523" s="29"/>
      <c r="FS523" s="29"/>
      <c r="FT523" s="29"/>
      <c r="FU523" s="29"/>
      <c r="FV523" s="29"/>
      <c r="FW523" s="29"/>
      <c r="FX523" s="29"/>
      <c r="FY523" s="29"/>
      <c r="FZ523" s="29"/>
      <c r="GA523" s="29"/>
      <c r="GB523" s="29"/>
      <c r="GC523" s="29"/>
      <c r="GD523" s="29"/>
      <c r="GE523" s="29"/>
      <c r="GF523" s="29"/>
      <c r="GG523" s="29"/>
      <c r="GH523" s="29"/>
      <c r="GI523" s="29"/>
      <c r="GJ523" s="29"/>
      <c r="GK523" s="29"/>
      <c r="GL523" s="29"/>
      <c r="GM523" s="29"/>
      <c r="GN523" s="29"/>
      <c r="GO523" s="29"/>
      <c r="GP523" s="29"/>
      <c r="GQ523" s="29"/>
      <c r="GR523" s="29"/>
      <c r="GS523" s="29"/>
      <c r="GT523" s="29"/>
      <c r="GU523" s="29"/>
      <c r="HP523" s="31"/>
      <c r="MX523" s="29"/>
      <c r="MY523" s="29"/>
    </row>
    <row r="524" ht="16.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29"/>
      <c r="BH524" s="29"/>
      <c r="BI524" s="29"/>
      <c r="BJ524" s="29"/>
      <c r="BK524" s="29"/>
      <c r="BL524" s="29"/>
      <c r="BM524" s="29"/>
      <c r="BN524" s="29"/>
      <c r="BO524" s="29"/>
      <c r="BP524" s="29"/>
      <c r="BQ524" s="29"/>
      <c r="BR524" s="29"/>
      <c r="BS524" s="29"/>
      <c r="BT524" s="29"/>
      <c r="BU524" s="29"/>
      <c r="BV524" s="29"/>
      <c r="BW524" s="29"/>
      <c r="BX524" s="29"/>
      <c r="BY524" s="29"/>
      <c r="BZ524" s="29"/>
      <c r="CA524" s="29"/>
      <c r="CB524" s="29"/>
      <c r="CC524" s="29"/>
      <c r="CD524" s="29"/>
      <c r="CE524" s="29"/>
      <c r="CF524" s="29"/>
      <c r="CG524" s="29"/>
      <c r="CH524" s="29"/>
      <c r="CI524" s="29"/>
      <c r="CJ524" s="29"/>
      <c r="CK524" s="29"/>
      <c r="CL524" s="29"/>
      <c r="CM524" s="29"/>
      <c r="CN524" s="29"/>
      <c r="CO524" s="29"/>
      <c r="CP524" s="29"/>
      <c r="CQ524" s="29"/>
      <c r="CR524" s="29"/>
      <c r="CS524" s="29"/>
      <c r="CT524" s="29"/>
      <c r="CU524" s="29"/>
      <c r="CV524" s="29"/>
      <c r="CW524" s="29"/>
      <c r="CX524" s="29"/>
      <c r="CY524" s="29"/>
      <c r="CZ524" s="29"/>
      <c r="DA524" s="29"/>
      <c r="DB524" s="29"/>
      <c r="DC524" s="29"/>
      <c r="DD524" s="29"/>
      <c r="DE524" s="29"/>
      <c r="DF524" s="29"/>
      <c r="DG524" s="29"/>
      <c r="DH524" s="29"/>
      <c r="DI524" s="29"/>
      <c r="DJ524" s="29"/>
      <c r="DK524" s="29"/>
      <c r="DL524" s="29"/>
      <c r="DM524" s="29"/>
      <c r="DN524" s="29"/>
      <c r="DO524" s="29"/>
      <c r="DP524" s="29"/>
      <c r="DQ524" s="29"/>
      <c r="DR524" s="29"/>
      <c r="DS524" s="29"/>
      <c r="DT524" s="29"/>
      <c r="DU524" s="29"/>
      <c r="DV524" s="29"/>
      <c r="DW524" s="29"/>
      <c r="DX524" s="29"/>
      <c r="DY524" s="29"/>
      <c r="DZ524" s="29"/>
      <c r="EA524" s="29"/>
      <c r="EB524" s="29"/>
      <c r="EC524" s="29"/>
      <c r="ED524" s="29"/>
      <c r="EE524" s="29"/>
      <c r="EF524" s="29"/>
      <c r="EG524" s="29"/>
      <c r="EH524" s="29"/>
      <c r="EI524" s="29"/>
      <c r="EJ524" s="29"/>
      <c r="EK524" s="29"/>
      <c r="EL524" s="29"/>
      <c r="EM524" s="29"/>
      <c r="EN524" s="29"/>
      <c r="EO524" s="29"/>
      <c r="EP524" s="29"/>
      <c r="EQ524" s="29"/>
      <c r="ER524" s="29"/>
      <c r="ES524" s="29"/>
      <c r="ET524" s="29"/>
      <c r="EU524" s="29"/>
      <c r="EV524" s="29"/>
      <c r="EW524" s="29"/>
      <c r="EX524" s="29"/>
      <c r="EY524" s="29"/>
      <c r="EZ524" s="29"/>
      <c r="FA524" s="29"/>
      <c r="FB524" s="29"/>
      <c r="FC524" s="29"/>
      <c r="FD524" s="29"/>
      <c r="FE524" s="29"/>
      <c r="FF524" s="29"/>
      <c r="FG524" s="29"/>
      <c r="FH524" s="29"/>
      <c r="FI524" s="29"/>
      <c r="FJ524" s="29"/>
      <c r="FK524" s="29"/>
      <c r="FL524" s="29"/>
      <c r="FM524" s="29"/>
      <c r="FN524" s="29"/>
      <c r="FO524" s="29"/>
      <c r="FP524" s="29"/>
      <c r="FQ524" s="29"/>
      <c r="FR524" s="29"/>
      <c r="FS524" s="29"/>
      <c r="FT524" s="29"/>
      <c r="FU524" s="29"/>
      <c r="FV524" s="29"/>
      <c r="FW524" s="29"/>
      <c r="FX524" s="29"/>
      <c r="FY524" s="29"/>
      <c r="FZ524" s="29"/>
      <c r="GA524" s="29"/>
      <c r="GB524" s="29"/>
      <c r="GC524" s="29"/>
      <c r="GD524" s="29"/>
      <c r="GE524" s="29"/>
      <c r="GF524" s="29"/>
      <c r="GG524" s="29"/>
      <c r="GH524" s="29"/>
      <c r="GI524" s="29"/>
      <c r="GJ524" s="29"/>
      <c r="GK524" s="29"/>
      <c r="GL524" s="29"/>
      <c r="GM524" s="29"/>
      <c r="GN524" s="29"/>
      <c r="GO524" s="29"/>
      <c r="GP524" s="29"/>
      <c r="GQ524" s="29"/>
      <c r="GR524" s="29"/>
      <c r="GS524" s="29"/>
      <c r="GT524" s="29"/>
      <c r="GU524" s="29"/>
      <c r="HP524" s="31"/>
      <c r="MX524" s="29"/>
      <c r="MY524" s="29"/>
    </row>
    <row r="525" ht="16.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c r="BO525" s="29"/>
      <c r="BP525" s="29"/>
      <c r="BQ525" s="29"/>
      <c r="BR525" s="29"/>
      <c r="BS525" s="29"/>
      <c r="BT525" s="29"/>
      <c r="BU525" s="29"/>
      <c r="BV525" s="29"/>
      <c r="BW525" s="29"/>
      <c r="BX525" s="29"/>
      <c r="BY525" s="29"/>
      <c r="BZ525" s="29"/>
      <c r="CA525" s="29"/>
      <c r="CB525" s="29"/>
      <c r="CC525" s="29"/>
      <c r="CD525" s="29"/>
      <c r="CE525" s="29"/>
      <c r="CF525" s="29"/>
      <c r="CG525" s="29"/>
      <c r="CH525" s="29"/>
      <c r="CI525" s="29"/>
      <c r="CJ525" s="29"/>
      <c r="CK525" s="29"/>
      <c r="CL525" s="29"/>
      <c r="CM525" s="29"/>
      <c r="CN525" s="29"/>
      <c r="CO525" s="29"/>
      <c r="CP525" s="29"/>
      <c r="CQ525" s="29"/>
      <c r="CR525" s="29"/>
      <c r="CS525" s="29"/>
      <c r="CT525" s="29"/>
      <c r="CU525" s="29"/>
      <c r="CV525" s="29"/>
      <c r="CW525" s="29"/>
      <c r="CX525" s="29"/>
      <c r="CY525" s="29"/>
      <c r="CZ525" s="29"/>
      <c r="DA525" s="29"/>
      <c r="DB525" s="29"/>
      <c r="DC525" s="29"/>
      <c r="DD525" s="29"/>
      <c r="DE525" s="29"/>
      <c r="DF525" s="29"/>
      <c r="DG525" s="29"/>
      <c r="DH525" s="29"/>
      <c r="DI525" s="29"/>
      <c r="DJ525" s="29"/>
      <c r="DK525" s="29"/>
      <c r="DL525" s="29"/>
      <c r="DM525" s="29"/>
      <c r="DN525" s="29"/>
      <c r="DO525" s="29"/>
      <c r="DP525" s="29"/>
      <c r="DQ525" s="29"/>
      <c r="DR525" s="29"/>
      <c r="DS525" s="29"/>
      <c r="DT525" s="29"/>
      <c r="DU525" s="29"/>
      <c r="DV525" s="29"/>
      <c r="DW525" s="29"/>
      <c r="DX525" s="29"/>
      <c r="DY525" s="29"/>
      <c r="DZ525" s="29"/>
      <c r="EA525" s="29"/>
      <c r="EB525" s="29"/>
      <c r="EC525" s="29"/>
      <c r="ED525" s="29"/>
      <c r="EE525" s="29"/>
      <c r="EF525" s="29"/>
      <c r="EG525" s="29"/>
      <c r="EH525" s="29"/>
      <c r="EI525" s="29"/>
      <c r="EJ525" s="29"/>
      <c r="EK525" s="29"/>
      <c r="EL525" s="29"/>
      <c r="EM525" s="29"/>
      <c r="EN525" s="29"/>
      <c r="EO525" s="29"/>
      <c r="EP525" s="29"/>
      <c r="EQ525" s="29"/>
      <c r="ER525" s="29"/>
      <c r="ES525" s="29"/>
      <c r="ET525" s="29"/>
      <c r="EU525" s="29"/>
      <c r="EV525" s="29"/>
      <c r="EW525" s="29"/>
      <c r="EX525" s="29"/>
      <c r="EY525" s="29"/>
      <c r="EZ525" s="29"/>
      <c r="FA525" s="29"/>
      <c r="FB525" s="29"/>
      <c r="FC525" s="29"/>
      <c r="FD525" s="29"/>
      <c r="FE525" s="29"/>
      <c r="FF525" s="29"/>
      <c r="FG525" s="29"/>
      <c r="FH525" s="29"/>
      <c r="FI525" s="29"/>
      <c r="FJ525" s="29"/>
      <c r="FK525" s="29"/>
      <c r="FL525" s="29"/>
      <c r="FM525" s="29"/>
      <c r="FN525" s="29"/>
      <c r="FO525" s="29"/>
      <c r="FP525" s="29"/>
      <c r="FQ525" s="29"/>
      <c r="FR525" s="29"/>
      <c r="FS525" s="29"/>
      <c r="FT525" s="29"/>
      <c r="FU525" s="29"/>
      <c r="FV525" s="29"/>
      <c r="FW525" s="29"/>
      <c r="FX525" s="29"/>
      <c r="FY525" s="29"/>
      <c r="FZ525" s="29"/>
      <c r="GA525" s="29"/>
      <c r="GB525" s="29"/>
      <c r="GC525" s="29"/>
      <c r="GD525" s="29"/>
      <c r="GE525" s="29"/>
      <c r="GF525" s="29"/>
      <c r="GG525" s="29"/>
      <c r="GH525" s="29"/>
      <c r="GI525" s="29"/>
      <c r="GJ525" s="29"/>
      <c r="GK525" s="29"/>
      <c r="GL525" s="29"/>
      <c r="GM525" s="29"/>
      <c r="GN525" s="29"/>
      <c r="GO525" s="29"/>
      <c r="GP525" s="29"/>
      <c r="GQ525" s="29"/>
      <c r="GR525" s="29"/>
      <c r="GS525" s="29"/>
      <c r="GT525" s="29"/>
      <c r="GU525" s="29"/>
      <c r="HP525" s="31"/>
      <c r="MX525" s="29"/>
      <c r="MY525" s="29"/>
    </row>
    <row r="526" ht="16.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c r="BC526" s="29"/>
      <c r="BD526" s="29"/>
      <c r="BE526" s="29"/>
      <c r="BF526" s="29"/>
      <c r="BG526" s="29"/>
      <c r="BH526" s="29"/>
      <c r="BI526" s="29"/>
      <c r="BJ526" s="29"/>
      <c r="BK526" s="29"/>
      <c r="BL526" s="29"/>
      <c r="BM526" s="29"/>
      <c r="BN526" s="29"/>
      <c r="BO526" s="29"/>
      <c r="BP526" s="29"/>
      <c r="BQ526" s="29"/>
      <c r="BR526" s="29"/>
      <c r="BS526" s="29"/>
      <c r="BT526" s="29"/>
      <c r="BU526" s="29"/>
      <c r="BV526" s="29"/>
      <c r="BW526" s="29"/>
      <c r="BX526" s="29"/>
      <c r="BY526" s="29"/>
      <c r="BZ526" s="29"/>
      <c r="CA526" s="29"/>
      <c r="CB526" s="29"/>
      <c r="CC526" s="29"/>
      <c r="CD526" s="29"/>
      <c r="CE526" s="29"/>
      <c r="CF526" s="29"/>
      <c r="CG526" s="29"/>
      <c r="CH526" s="29"/>
      <c r="CI526" s="29"/>
      <c r="CJ526" s="29"/>
      <c r="CK526" s="29"/>
      <c r="CL526" s="29"/>
      <c r="CM526" s="29"/>
      <c r="CN526" s="29"/>
      <c r="CO526" s="29"/>
      <c r="CP526" s="29"/>
      <c r="CQ526" s="29"/>
      <c r="CR526" s="29"/>
      <c r="CS526" s="29"/>
      <c r="CT526" s="29"/>
      <c r="CU526" s="29"/>
      <c r="CV526" s="29"/>
      <c r="CW526" s="29"/>
      <c r="CX526" s="29"/>
      <c r="CY526" s="29"/>
      <c r="CZ526" s="29"/>
      <c r="DA526" s="29"/>
      <c r="DB526" s="29"/>
      <c r="DC526" s="29"/>
      <c r="DD526" s="29"/>
      <c r="DE526" s="29"/>
      <c r="DF526" s="29"/>
      <c r="DG526" s="29"/>
      <c r="DH526" s="29"/>
      <c r="DI526" s="29"/>
      <c r="DJ526" s="29"/>
      <c r="DK526" s="29"/>
      <c r="DL526" s="29"/>
      <c r="DM526" s="29"/>
      <c r="DN526" s="29"/>
      <c r="DO526" s="29"/>
      <c r="DP526" s="29"/>
      <c r="DQ526" s="29"/>
      <c r="DR526" s="29"/>
      <c r="DS526" s="29"/>
      <c r="DT526" s="29"/>
      <c r="DU526" s="29"/>
      <c r="DV526" s="29"/>
      <c r="DW526" s="29"/>
      <c r="DX526" s="29"/>
      <c r="DY526" s="29"/>
      <c r="DZ526" s="29"/>
      <c r="EA526" s="29"/>
      <c r="EB526" s="29"/>
      <c r="EC526" s="29"/>
      <c r="ED526" s="29"/>
      <c r="EE526" s="29"/>
      <c r="EF526" s="29"/>
      <c r="EG526" s="29"/>
      <c r="EH526" s="29"/>
      <c r="EI526" s="29"/>
      <c r="EJ526" s="29"/>
      <c r="EK526" s="29"/>
      <c r="EL526" s="29"/>
      <c r="EM526" s="29"/>
      <c r="EN526" s="29"/>
      <c r="EO526" s="29"/>
      <c r="EP526" s="29"/>
      <c r="EQ526" s="29"/>
      <c r="ER526" s="29"/>
      <c r="ES526" s="29"/>
      <c r="ET526" s="29"/>
      <c r="EU526" s="29"/>
      <c r="EV526" s="29"/>
      <c r="EW526" s="29"/>
      <c r="EX526" s="29"/>
      <c r="EY526" s="29"/>
      <c r="EZ526" s="29"/>
      <c r="FA526" s="29"/>
      <c r="FB526" s="29"/>
      <c r="FC526" s="29"/>
      <c r="FD526" s="29"/>
      <c r="FE526" s="29"/>
      <c r="FF526" s="29"/>
      <c r="FG526" s="29"/>
      <c r="FH526" s="29"/>
      <c r="FI526" s="29"/>
      <c r="FJ526" s="29"/>
      <c r="FK526" s="29"/>
      <c r="FL526" s="29"/>
      <c r="FM526" s="29"/>
      <c r="FN526" s="29"/>
      <c r="FO526" s="29"/>
      <c r="FP526" s="29"/>
      <c r="FQ526" s="29"/>
      <c r="FR526" s="29"/>
      <c r="FS526" s="29"/>
      <c r="FT526" s="29"/>
      <c r="FU526" s="29"/>
      <c r="FV526" s="29"/>
      <c r="FW526" s="29"/>
      <c r="FX526" s="29"/>
      <c r="FY526" s="29"/>
      <c r="FZ526" s="29"/>
      <c r="GA526" s="29"/>
      <c r="GB526" s="29"/>
      <c r="GC526" s="29"/>
      <c r="GD526" s="29"/>
      <c r="GE526" s="29"/>
      <c r="GF526" s="29"/>
      <c r="GG526" s="29"/>
      <c r="GH526" s="29"/>
      <c r="GI526" s="29"/>
      <c r="GJ526" s="29"/>
      <c r="GK526" s="29"/>
      <c r="GL526" s="29"/>
      <c r="GM526" s="29"/>
      <c r="GN526" s="29"/>
      <c r="GO526" s="29"/>
      <c r="GP526" s="29"/>
      <c r="GQ526" s="29"/>
      <c r="GR526" s="29"/>
      <c r="GS526" s="29"/>
      <c r="GT526" s="29"/>
      <c r="GU526" s="29"/>
      <c r="HP526" s="31"/>
      <c r="MX526" s="29"/>
      <c r="MY526" s="29"/>
    </row>
    <row r="527" ht="16.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c r="BO527" s="29"/>
      <c r="BP527" s="29"/>
      <c r="BQ527" s="29"/>
      <c r="BR527" s="29"/>
      <c r="BS527" s="29"/>
      <c r="BT527" s="29"/>
      <c r="BU527" s="29"/>
      <c r="BV527" s="29"/>
      <c r="BW527" s="29"/>
      <c r="BX527" s="29"/>
      <c r="BY527" s="29"/>
      <c r="BZ527" s="29"/>
      <c r="CA527" s="29"/>
      <c r="CB527" s="29"/>
      <c r="CC527" s="29"/>
      <c r="CD527" s="29"/>
      <c r="CE527" s="29"/>
      <c r="CF527" s="29"/>
      <c r="CG527" s="29"/>
      <c r="CH527" s="29"/>
      <c r="CI527" s="29"/>
      <c r="CJ527" s="29"/>
      <c r="CK527" s="29"/>
      <c r="CL527" s="29"/>
      <c r="CM527" s="29"/>
      <c r="CN527" s="29"/>
      <c r="CO527" s="29"/>
      <c r="CP527" s="29"/>
      <c r="CQ527" s="29"/>
      <c r="CR527" s="29"/>
      <c r="CS527" s="29"/>
      <c r="CT527" s="29"/>
      <c r="CU527" s="29"/>
      <c r="CV527" s="29"/>
      <c r="CW527" s="29"/>
      <c r="CX527" s="29"/>
      <c r="CY527" s="29"/>
      <c r="CZ527" s="29"/>
      <c r="DA527" s="29"/>
      <c r="DB527" s="29"/>
      <c r="DC527" s="29"/>
      <c r="DD527" s="29"/>
      <c r="DE527" s="29"/>
      <c r="DF527" s="29"/>
      <c r="DG527" s="29"/>
      <c r="DH527" s="29"/>
      <c r="DI527" s="29"/>
      <c r="DJ527" s="29"/>
      <c r="DK527" s="29"/>
      <c r="DL527" s="29"/>
      <c r="DM527" s="29"/>
      <c r="DN527" s="29"/>
      <c r="DO527" s="29"/>
      <c r="DP527" s="29"/>
      <c r="DQ527" s="29"/>
      <c r="DR527" s="29"/>
      <c r="DS527" s="29"/>
      <c r="DT527" s="29"/>
      <c r="DU527" s="29"/>
      <c r="DV527" s="29"/>
      <c r="DW527" s="29"/>
      <c r="DX527" s="29"/>
      <c r="DY527" s="29"/>
      <c r="DZ527" s="29"/>
      <c r="EA527" s="29"/>
      <c r="EB527" s="29"/>
      <c r="EC527" s="29"/>
      <c r="ED527" s="29"/>
      <c r="EE527" s="29"/>
      <c r="EF527" s="29"/>
      <c r="EG527" s="29"/>
      <c r="EH527" s="29"/>
      <c r="EI527" s="29"/>
      <c r="EJ527" s="29"/>
      <c r="EK527" s="29"/>
      <c r="EL527" s="29"/>
      <c r="EM527" s="29"/>
      <c r="EN527" s="29"/>
      <c r="EO527" s="29"/>
      <c r="EP527" s="29"/>
      <c r="EQ527" s="29"/>
      <c r="ER527" s="29"/>
      <c r="ES527" s="29"/>
      <c r="ET527" s="29"/>
      <c r="EU527" s="29"/>
      <c r="EV527" s="29"/>
      <c r="EW527" s="29"/>
      <c r="EX527" s="29"/>
      <c r="EY527" s="29"/>
      <c r="EZ527" s="29"/>
      <c r="FA527" s="29"/>
      <c r="FB527" s="29"/>
      <c r="FC527" s="29"/>
      <c r="FD527" s="29"/>
      <c r="FE527" s="29"/>
      <c r="FF527" s="29"/>
      <c r="FG527" s="29"/>
      <c r="FH527" s="29"/>
      <c r="FI527" s="29"/>
      <c r="FJ527" s="29"/>
      <c r="FK527" s="29"/>
      <c r="FL527" s="29"/>
      <c r="FM527" s="29"/>
      <c r="FN527" s="29"/>
      <c r="FO527" s="29"/>
      <c r="FP527" s="29"/>
      <c r="FQ527" s="29"/>
      <c r="FR527" s="29"/>
      <c r="FS527" s="29"/>
      <c r="FT527" s="29"/>
      <c r="FU527" s="29"/>
      <c r="FV527" s="29"/>
      <c r="FW527" s="29"/>
      <c r="FX527" s="29"/>
      <c r="FY527" s="29"/>
      <c r="FZ527" s="29"/>
      <c r="GA527" s="29"/>
      <c r="GB527" s="29"/>
      <c r="GC527" s="29"/>
      <c r="GD527" s="29"/>
      <c r="GE527" s="29"/>
      <c r="GF527" s="29"/>
      <c r="GG527" s="29"/>
      <c r="GH527" s="29"/>
      <c r="GI527" s="29"/>
      <c r="GJ527" s="29"/>
      <c r="GK527" s="29"/>
      <c r="GL527" s="29"/>
      <c r="GM527" s="29"/>
      <c r="GN527" s="29"/>
      <c r="GO527" s="29"/>
      <c r="GP527" s="29"/>
      <c r="GQ527" s="29"/>
      <c r="GR527" s="29"/>
      <c r="GS527" s="29"/>
      <c r="GT527" s="29"/>
      <c r="GU527" s="29"/>
      <c r="HP527" s="31"/>
      <c r="MX527" s="29"/>
      <c r="MY527" s="29"/>
    </row>
    <row r="528" ht="16.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c r="BC528" s="29"/>
      <c r="BD528" s="29"/>
      <c r="BE528" s="29"/>
      <c r="BF528" s="29"/>
      <c r="BG528" s="29"/>
      <c r="BH528" s="29"/>
      <c r="BI528" s="29"/>
      <c r="BJ528" s="29"/>
      <c r="BK528" s="29"/>
      <c r="BL528" s="29"/>
      <c r="BM528" s="29"/>
      <c r="BN528" s="29"/>
      <c r="BO528" s="29"/>
      <c r="BP528" s="29"/>
      <c r="BQ528" s="29"/>
      <c r="BR528" s="29"/>
      <c r="BS528" s="29"/>
      <c r="BT528" s="29"/>
      <c r="BU528" s="29"/>
      <c r="BV528" s="29"/>
      <c r="BW528" s="29"/>
      <c r="BX528" s="29"/>
      <c r="BY528" s="29"/>
      <c r="BZ528" s="29"/>
      <c r="CA528" s="29"/>
      <c r="CB528" s="29"/>
      <c r="CC528" s="29"/>
      <c r="CD528" s="29"/>
      <c r="CE528" s="29"/>
      <c r="CF528" s="29"/>
      <c r="CG528" s="29"/>
      <c r="CH528" s="29"/>
      <c r="CI528" s="29"/>
      <c r="CJ528" s="29"/>
      <c r="CK528" s="29"/>
      <c r="CL528" s="29"/>
      <c r="CM528" s="29"/>
      <c r="CN528" s="29"/>
      <c r="CO528" s="29"/>
      <c r="CP528" s="29"/>
      <c r="CQ528" s="29"/>
      <c r="CR528" s="29"/>
      <c r="CS528" s="29"/>
      <c r="CT528" s="29"/>
      <c r="CU528" s="29"/>
      <c r="CV528" s="29"/>
      <c r="CW528" s="29"/>
      <c r="CX528" s="29"/>
      <c r="CY528" s="29"/>
      <c r="CZ528" s="29"/>
      <c r="DA528" s="29"/>
      <c r="DB528" s="29"/>
      <c r="DC528" s="29"/>
      <c r="DD528" s="29"/>
      <c r="DE528" s="29"/>
      <c r="DF528" s="29"/>
      <c r="DG528" s="29"/>
      <c r="DH528" s="29"/>
      <c r="DI528" s="29"/>
      <c r="DJ528" s="29"/>
      <c r="DK528" s="29"/>
      <c r="DL528" s="29"/>
      <c r="DM528" s="29"/>
      <c r="DN528" s="29"/>
      <c r="DO528" s="29"/>
      <c r="DP528" s="29"/>
      <c r="DQ528" s="29"/>
      <c r="DR528" s="29"/>
      <c r="DS528" s="29"/>
      <c r="DT528" s="29"/>
      <c r="DU528" s="29"/>
      <c r="DV528" s="29"/>
      <c r="DW528" s="29"/>
      <c r="DX528" s="29"/>
      <c r="DY528" s="29"/>
      <c r="DZ528" s="29"/>
      <c r="EA528" s="29"/>
      <c r="EB528" s="29"/>
      <c r="EC528" s="29"/>
      <c r="ED528" s="29"/>
      <c r="EE528" s="29"/>
      <c r="EF528" s="29"/>
      <c r="EG528" s="29"/>
      <c r="EH528" s="29"/>
      <c r="EI528" s="29"/>
      <c r="EJ528" s="29"/>
      <c r="EK528" s="29"/>
      <c r="EL528" s="29"/>
      <c r="EM528" s="29"/>
      <c r="EN528" s="29"/>
      <c r="EO528" s="29"/>
      <c r="EP528" s="29"/>
      <c r="EQ528" s="29"/>
      <c r="ER528" s="29"/>
      <c r="ES528" s="29"/>
      <c r="ET528" s="29"/>
      <c r="EU528" s="29"/>
      <c r="EV528" s="29"/>
      <c r="EW528" s="29"/>
      <c r="EX528" s="29"/>
      <c r="EY528" s="29"/>
      <c r="EZ528" s="29"/>
      <c r="FA528" s="29"/>
      <c r="FB528" s="29"/>
      <c r="FC528" s="29"/>
      <c r="FD528" s="29"/>
      <c r="FE528" s="29"/>
      <c r="FF528" s="29"/>
      <c r="FG528" s="29"/>
      <c r="FH528" s="29"/>
      <c r="FI528" s="29"/>
      <c r="FJ528" s="29"/>
      <c r="FK528" s="29"/>
      <c r="FL528" s="29"/>
      <c r="FM528" s="29"/>
      <c r="FN528" s="29"/>
      <c r="FO528" s="29"/>
      <c r="FP528" s="29"/>
      <c r="FQ528" s="29"/>
      <c r="FR528" s="29"/>
      <c r="FS528" s="29"/>
      <c r="FT528" s="29"/>
      <c r="FU528" s="29"/>
      <c r="FV528" s="29"/>
      <c r="FW528" s="29"/>
      <c r="FX528" s="29"/>
      <c r="FY528" s="29"/>
      <c r="FZ528" s="29"/>
      <c r="GA528" s="29"/>
      <c r="GB528" s="29"/>
      <c r="GC528" s="29"/>
      <c r="GD528" s="29"/>
      <c r="GE528" s="29"/>
      <c r="GF528" s="29"/>
      <c r="GG528" s="29"/>
      <c r="GH528" s="29"/>
      <c r="GI528" s="29"/>
      <c r="GJ528" s="29"/>
      <c r="GK528" s="29"/>
      <c r="GL528" s="29"/>
      <c r="GM528" s="29"/>
      <c r="GN528" s="29"/>
      <c r="GO528" s="29"/>
      <c r="GP528" s="29"/>
      <c r="GQ528" s="29"/>
      <c r="GR528" s="29"/>
      <c r="GS528" s="29"/>
      <c r="GT528" s="29"/>
      <c r="GU528" s="29"/>
      <c r="HP528" s="31"/>
      <c r="MX528" s="29"/>
      <c r="MY528" s="29"/>
    </row>
    <row r="529" ht="16.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c r="BO529" s="29"/>
      <c r="BP529" s="29"/>
      <c r="BQ529" s="29"/>
      <c r="BR529" s="29"/>
      <c r="BS529" s="29"/>
      <c r="BT529" s="29"/>
      <c r="BU529" s="29"/>
      <c r="BV529" s="29"/>
      <c r="BW529" s="29"/>
      <c r="BX529" s="29"/>
      <c r="BY529" s="29"/>
      <c r="BZ529" s="29"/>
      <c r="CA529" s="29"/>
      <c r="CB529" s="29"/>
      <c r="CC529" s="29"/>
      <c r="CD529" s="29"/>
      <c r="CE529" s="29"/>
      <c r="CF529" s="29"/>
      <c r="CG529" s="29"/>
      <c r="CH529" s="29"/>
      <c r="CI529" s="29"/>
      <c r="CJ529" s="29"/>
      <c r="CK529" s="29"/>
      <c r="CL529" s="29"/>
      <c r="CM529" s="29"/>
      <c r="CN529" s="29"/>
      <c r="CO529" s="29"/>
      <c r="CP529" s="29"/>
      <c r="CQ529" s="29"/>
      <c r="CR529" s="29"/>
      <c r="CS529" s="29"/>
      <c r="CT529" s="29"/>
      <c r="CU529" s="29"/>
      <c r="CV529" s="29"/>
      <c r="CW529" s="29"/>
      <c r="CX529" s="29"/>
      <c r="CY529" s="29"/>
      <c r="CZ529" s="29"/>
      <c r="DA529" s="29"/>
      <c r="DB529" s="29"/>
      <c r="DC529" s="29"/>
      <c r="DD529" s="29"/>
      <c r="DE529" s="29"/>
      <c r="DF529" s="29"/>
      <c r="DG529" s="29"/>
      <c r="DH529" s="29"/>
      <c r="DI529" s="29"/>
      <c r="DJ529" s="29"/>
      <c r="DK529" s="29"/>
      <c r="DL529" s="29"/>
      <c r="DM529" s="29"/>
      <c r="DN529" s="29"/>
      <c r="DO529" s="29"/>
      <c r="DP529" s="29"/>
      <c r="DQ529" s="29"/>
      <c r="DR529" s="29"/>
      <c r="DS529" s="29"/>
      <c r="DT529" s="29"/>
      <c r="DU529" s="29"/>
      <c r="DV529" s="29"/>
      <c r="DW529" s="29"/>
      <c r="DX529" s="29"/>
      <c r="DY529" s="29"/>
      <c r="DZ529" s="29"/>
      <c r="EA529" s="29"/>
      <c r="EB529" s="29"/>
      <c r="EC529" s="29"/>
      <c r="ED529" s="29"/>
      <c r="EE529" s="29"/>
      <c r="EF529" s="29"/>
      <c r="EG529" s="29"/>
      <c r="EH529" s="29"/>
      <c r="EI529" s="29"/>
      <c r="EJ529" s="29"/>
      <c r="EK529" s="29"/>
      <c r="EL529" s="29"/>
      <c r="EM529" s="29"/>
      <c r="EN529" s="29"/>
      <c r="EO529" s="29"/>
      <c r="EP529" s="29"/>
      <c r="EQ529" s="29"/>
      <c r="ER529" s="29"/>
      <c r="ES529" s="29"/>
      <c r="ET529" s="29"/>
      <c r="EU529" s="29"/>
      <c r="EV529" s="29"/>
      <c r="EW529" s="29"/>
      <c r="EX529" s="29"/>
      <c r="EY529" s="29"/>
      <c r="EZ529" s="29"/>
      <c r="FA529" s="29"/>
      <c r="FB529" s="29"/>
      <c r="FC529" s="29"/>
      <c r="FD529" s="29"/>
      <c r="FE529" s="29"/>
      <c r="FF529" s="29"/>
      <c r="FG529" s="29"/>
      <c r="FH529" s="29"/>
      <c r="FI529" s="29"/>
      <c r="FJ529" s="29"/>
      <c r="FK529" s="29"/>
      <c r="FL529" s="29"/>
      <c r="FM529" s="29"/>
      <c r="FN529" s="29"/>
      <c r="FO529" s="29"/>
      <c r="FP529" s="29"/>
      <c r="FQ529" s="29"/>
      <c r="FR529" s="29"/>
      <c r="FS529" s="29"/>
      <c r="FT529" s="29"/>
      <c r="FU529" s="29"/>
      <c r="FV529" s="29"/>
      <c r="FW529" s="29"/>
      <c r="FX529" s="29"/>
      <c r="FY529" s="29"/>
      <c r="FZ529" s="29"/>
      <c r="GA529" s="29"/>
      <c r="GB529" s="29"/>
      <c r="GC529" s="29"/>
      <c r="GD529" s="29"/>
      <c r="GE529" s="29"/>
      <c r="GF529" s="29"/>
      <c r="GG529" s="29"/>
      <c r="GH529" s="29"/>
      <c r="GI529" s="29"/>
      <c r="GJ529" s="29"/>
      <c r="GK529" s="29"/>
      <c r="GL529" s="29"/>
      <c r="GM529" s="29"/>
      <c r="GN529" s="29"/>
      <c r="GO529" s="29"/>
      <c r="GP529" s="29"/>
      <c r="GQ529" s="29"/>
      <c r="GR529" s="29"/>
      <c r="GS529" s="29"/>
      <c r="GT529" s="29"/>
      <c r="GU529" s="29"/>
      <c r="HP529" s="31"/>
      <c r="MX529" s="29"/>
      <c r="MY529" s="29"/>
    </row>
    <row r="530" ht="16.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9"/>
      <c r="BH530" s="29"/>
      <c r="BI530" s="29"/>
      <c r="BJ530" s="29"/>
      <c r="BK530" s="29"/>
      <c r="BL530" s="29"/>
      <c r="BM530" s="29"/>
      <c r="BN530" s="29"/>
      <c r="BO530" s="29"/>
      <c r="BP530" s="29"/>
      <c r="BQ530" s="29"/>
      <c r="BR530" s="29"/>
      <c r="BS530" s="29"/>
      <c r="BT530" s="29"/>
      <c r="BU530" s="29"/>
      <c r="BV530" s="29"/>
      <c r="BW530" s="29"/>
      <c r="BX530" s="29"/>
      <c r="BY530" s="29"/>
      <c r="BZ530" s="29"/>
      <c r="CA530" s="29"/>
      <c r="CB530" s="29"/>
      <c r="CC530" s="29"/>
      <c r="CD530" s="29"/>
      <c r="CE530" s="29"/>
      <c r="CF530" s="29"/>
      <c r="CG530" s="29"/>
      <c r="CH530" s="29"/>
      <c r="CI530" s="29"/>
      <c r="CJ530" s="29"/>
      <c r="CK530" s="29"/>
      <c r="CL530" s="29"/>
      <c r="CM530" s="29"/>
      <c r="CN530" s="29"/>
      <c r="CO530" s="29"/>
      <c r="CP530" s="29"/>
      <c r="CQ530" s="29"/>
      <c r="CR530" s="29"/>
      <c r="CS530" s="29"/>
      <c r="CT530" s="29"/>
      <c r="CU530" s="29"/>
      <c r="CV530" s="29"/>
      <c r="CW530" s="29"/>
      <c r="CX530" s="29"/>
      <c r="CY530" s="29"/>
      <c r="CZ530" s="29"/>
      <c r="DA530" s="29"/>
      <c r="DB530" s="29"/>
      <c r="DC530" s="29"/>
      <c r="DD530" s="29"/>
      <c r="DE530" s="29"/>
      <c r="DF530" s="29"/>
      <c r="DG530" s="29"/>
      <c r="DH530" s="29"/>
      <c r="DI530" s="29"/>
      <c r="DJ530" s="29"/>
      <c r="DK530" s="29"/>
      <c r="DL530" s="29"/>
      <c r="DM530" s="29"/>
      <c r="DN530" s="29"/>
      <c r="DO530" s="29"/>
      <c r="DP530" s="29"/>
      <c r="DQ530" s="29"/>
      <c r="DR530" s="29"/>
      <c r="DS530" s="29"/>
      <c r="DT530" s="29"/>
      <c r="DU530" s="29"/>
      <c r="DV530" s="29"/>
      <c r="DW530" s="29"/>
      <c r="DX530" s="29"/>
      <c r="DY530" s="29"/>
      <c r="DZ530" s="29"/>
      <c r="EA530" s="29"/>
      <c r="EB530" s="29"/>
      <c r="EC530" s="29"/>
      <c r="ED530" s="29"/>
      <c r="EE530" s="29"/>
      <c r="EF530" s="29"/>
      <c r="EG530" s="29"/>
      <c r="EH530" s="29"/>
      <c r="EI530" s="29"/>
      <c r="EJ530" s="29"/>
      <c r="EK530" s="29"/>
      <c r="EL530" s="29"/>
      <c r="EM530" s="29"/>
      <c r="EN530" s="29"/>
      <c r="EO530" s="29"/>
      <c r="EP530" s="29"/>
      <c r="EQ530" s="29"/>
      <c r="ER530" s="29"/>
      <c r="ES530" s="29"/>
      <c r="ET530" s="29"/>
      <c r="EU530" s="29"/>
      <c r="EV530" s="29"/>
      <c r="EW530" s="29"/>
      <c r="EX530" s="29"/>
      <c r="EY530" s="29"/>
      <c r="EZ530" s="29"/>
      <c r="FA530" s="29"/>
      <c r="FB530" s="29"/>
      <c r="FC530" s="29"/>
      <c r="FD530" s="29"/>
      <c r="FE530" s="29"/>
      <c r="FF530" s="29"/>
      <c r="FG530" s="29"/>
      <c r="FH530" s="29"/>
      <c r="FI530" s="29"/>
      <c r="FJ530" s="29"/>
      <c r="FK530" s="29"/>
      <c r="FL530" s="29"/>
      <c r="FM530" s="29"/>
      <c r="FN530" s="29"/>
      <c r="FO530" s="29"/>
      <c r="FP530" s="29"/>
      <c r="FQ530" s="29"/>
      <c r="FR530" s="29"/>
      <c r="FS530" s="29"/>
      <c r="FT530" s="29"/>
      <c r="FU530" s="29"/>
      <c r="FV530" s="29"/>
      <c r="FW530" s="29"/>
      <c r="FX530" s="29"/>
      <c r="FY530" s="29"/>
      <c r="FZ530" s="29"/>
      <c r="GA530" s="29"/>
      <c r="GB530" s="29"/>
      <c r="GC530" s="29"/>
      <c r="GD530" s="29"/>
      <c r="GE530" s="29"/>
      <c r="GF530" s="29"/>
      <c r="GG530" s="29"/>
      <c r="GH530" s="29"/>
      <c r="GI530" s="29"/>
      <c r="GJ530" s="29"/>
      <c r="GK530" s="29"/>
      <c r="GL530" s="29"/>
      <c r="GM530" s="29"/>
      <c r="GN530" s="29"/>
      <c r="GO530" s="29"/>
      <c r="GP530" s="29"/>
      <c r="GQ530" s="29"/>
      <c r="GR530" s="29"/>
      <c r="GS530" s="29"/>
      <c r="GT530" s="29"/>
      <c r="GU530" s="29"/>
      <c r="HP530" s="31"/>
      <c r="MX530" s="29"/>
      <c r="MY530" s="29"/>
    </row>
    <row r="531" ht="16.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29"/>
      <c r="BR531" s="29"/>
      <c r="BS531" s="29"/>
      <c r="BT531" s="29"/>
      <c r="BU531" s="29"/>
      <c r="BV531" s="29"/>
      <c r="BW531" s="29"/>
      <c r="BX531" s="29"/>
      <c r="BY531" s="29"/>
      <c r="BZ531" s="29"/>
      <c r="CA531" s="29"/>
      <c r="CB531" s="29"/>
      <c r="CC531" s="29"/>
      <c r="CD531" s="29"/>
      <c r="CE531" s="29"/>
      <c r="CF531" s="29"/>
      <c r="CG531" s="29"/>
      <c r="CH531" s="29"/>
      <c r="CI531" s="29"/>
      <c r="CJ531" s="29"/>
      <c r="CK531" s="29"/>
      <c r="CL531" s="29"/>
      <c r="CM531" s="29"/>
      <c r="CN531" s="29"/>
      <c r="CO531" s="29"/>
      <c r="CP531" s="29"/>
      <c r="CQ531" s="29"/>
      <c r="CR531" s="29"/>
      <c r="CS531" s="29"/>
      <c r="CT531" s="29"/>
      <c r="CU531" s="29"/>
      <c r="CV531" s="29"/>
      <c r="CW531" s="29"/>
      <c r="CX531" s="29"/>
      <c r="CY531" s="29"/>
      <c r="CZ531" s="29"/>
      <c r="DA531" s="29"/>
      <c r="DB531" s="29"/>
      <c r="DC531" s="29"/>
      <c r="DD531" s="29"/>
      <c r="DE531" s="29"/>
      <c r="DF531" s="29"/>
      <c r="DG531" s="29"/>
      <c r="DH531" s="29"/>
      <c r="DI531" s="29"/>
      <c r="DJ531" s="29"/>
      <c r="DK531" s="29"/>
      <c r="DL531" s="29"/>
      <c r="DM531" s="29"/>
      <c r="DN531" s="29"/>
      <c r="DO531" s="29"/>
      <c r="DP531" s="29"/>
      <c r="DQ531" s="29"/>
      <c r="DR531" s="29"/>
      <c r="DS531" s="29"/>
      <c r="DT531" s="29"/>
      <c r="DU531" s="29"/>
      <c r="DV531" s="29"/>
      <c r="DW531" s="29"/>
      <c r="DX531" s="29"/>
      <c r="DY531" s="29"/>
      <c r="DZ531" s="29"/>
      <c r="EA531" s="29"/>
      <c r="EB531" s="29"/>
      <c r="EC531" s="29"/>
      <c r="ED531" s="29"/>
      <c r="EE531" s="29"/>
      <c r="EF531" s="29"/>
      <c r="EG531" s="29"/>
      <c r="EH531" s="29"/>
      <c r="EI531" s="29"/>
      <c r="EJ531" s="29"/>
      <c r="EK531" s="29"/>
      <c r="EL531" s="29"/>
      <c r="EM531" s="29"/>
      <c r="EN531" s="29"/>
      <c r="EO531" s="29"/>
      <c r="EP531" s="29"/>
      <c r="EQ531" s="29"/>
      <c r="ER531" s="29"/>
      <c r="ES531" s="29"/>
      <c r="ET531" s="29"/>
      <c r="EU531" s="29"/>
      <c r="EV531" s="29"/>
      <c r="EW531" s="29"/>
      <c r="EX531" s="29"/>
      <c r="EY531" s="29"/>
      <c r="EZ531" s="29"/>
      <c r="FA531" s="29"/>
      <c r="FB531" s="29"/>
      <c r="FC531" s="29"/>
      <c r="FD531" s="29"/>
      <c r="FE531" s="29"/>
      <c r="FF531" s="29"/>
      <c r="FG531" s="29"/>
      <c r="FH531" s="29"/>
      <c r="FI531" s="29"/>
      <c r="FJ531" s="29"/>
      <c r="FK531" s="29"/>
      <c r="FL531" s="29"/>
      <c r="FM531" s="29"/>
      <c r="FN531" s="29"/>
      <c r="FO531" s="29"/>
      <c r="FP531" s="29"/>
      <c r="FQ531" s="29"/>
      <c r="FR531" s="29"/>
      <c r="FS531" s="29"/>
      <c r="FT531" s="29"/>
      <c r="FU531" s="29"/>
      <c r="FV531" s="29"/>
      <c r="FW531" s="29"/>
      <c r="FX531" s="29"/>
      <c r="FY531" s="29"/>
      <c r="FZ531" s="29"/>
      <c r="GA531" s="29"/>
      <c r="GB531" s="29"/>
      <c r="GC531" s="29"/>
      <c r="GD531" s="29"/>
      <c r="GE531" s="29"/>
      <c r="GF531" s="29"/>
      <c r="GG531" s="29"/>
      <c r="GH531" s="29"/>
      <c r="GI531" s="29"/>
      <c r="GJ531" s="29"/>
      <c r="GK531" s="29"/>
      <c r="GL531" s="29"/>
      <c r="GM531" s="29"/>
      <c r="GN531" s="29"/>
      <c r="GO531" s="29"/>
      <c r="GP531" s="29"/>
      <c r="GQ531" s="29"/>
      <c r="GR531" s="29"/>
      <c r="GS531" s="29"/>
      <c r="GT531" s="29"/>
      <c r="GU531" s="29"/>
      <c r="HP531" s="31"/>
      <c r="MX531" s="29"/>
      <c r="MY531" s="29"/>
    </row>
    <row r="532" ht="16.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c r="BC532" s="29"/>
      <c r="BD532" s="29"/>
      <c r="BE532" s="29"/>
      <c r="BF532" s="29"/>
      <c r="BG532" s="29"/>
      <c r="BH532" s="29"/>
      <c r="BI532" s="29"/>
      <c r="BJ532" s="29"/>
      <c r="BK532" s="29"/>
      <c r="BL532" s="29"/>
      <c r="BM532" s="29"/>
      <c r="BN532" s="29"/>
      <c r="BO532" s="29"/>
      <c r="BP532" s="29"/>
      <c r="BQ532" s="29"/>
      <c r="BR532" s="29"/>
      <c r="BS532" s="29"/>
      <c r="BT532" s="29"/>
      <c r="BU532" s="29"/>
      <c r="BV532" s="29"/>
      <c r="BW532" s="29"/>
      <c r="BX532" s="29"/>
      <c r="BY532" s="29"/>
      <c r="BZ532" s="29"/>
      <c r="CA532" s="29"/>
      <c r="CB532" s="29"/>
      <c r="CC532" s="29"/>
      <c r="CD532" s="29"/>
      <c r="CE532" s="29"/>
      <c r="CF532" s="29"/>
      <c r="CG532" s="29"/>
      <c r="CH532" s="29"/>
      <c r="CI532" s="29"/>
      <c r="CJ532" s="29"/>
      <c r="CK532" s="29"/>
      <c r="CL532" s="29"/>
      <c r="CM532" s="29"/>
      <c r="CN532" s="29"/>
      <c r="CO532" s="29"/>
      <c r="CP532" s="29"/>
      <c r="CQ532" s="29"/>
      <c r="CR532" s="29"/>
      <c r="CS532" s="29"/>
      <c r="CT532" s="29"/>
      <c r="CU532" s="29"/>
      <c r="CV532" s="29"/>
      <c r="CW532" s="29"/>
      <c r="CX532" s="29"/>
      <c r="CY532" s="29"/>
      <c r="CZ532" s="29"/>
      <c r="DA532" s="29"/>
      <c r="DB532" s="29"/>
      <c r="DC532" s="29"/>
      <c r="DD532" s="29"/>
      <c r="DE532" s="29"/>
      <c r="DF532" s="29"/>
      <c r="DG532" s="29"/>
      <c r="DH532" s="29"/>
      <c r="DI532" s="29"/>
      <c r="DJ532" s="29"/>
      <c r="DK532" s="29"/>
      <c r="DL532" s="29"/>
      <c r="DM532" s="29"/>
      <c r="DN532" s="29"/>
      <c r="DO532" s="29"/>
      <c r="DP532" s="29"/>
      <c r="DQ532" s="29"/>
      <c r="DR532" s="29"/>
      <c r="DS532" s="29"/>
      <c r="DT532" s="29"/>
      <c r="DU532" s="29"/>
      <c r="DV532" s="29"/>
      <c r="DW532" s="29"/>
      <c r="DX532" s="29"/>
      <c r="DY532" s="29"/>
      <c r="DZ532" s="29"/>
      <c r="EA532" s="29"/>
      <c r="EB532" s="29"/>
      <c r="EC532" s="29"/>
      <c r="ED532" s="29"/>
      <c r="EE532" s="29"/>
      <c r="EF532" s="29"/>
      <c r="EG532" s="29"/>
      <c r="EH532" s="29"/>
      <c r="EI532" s="29"/>
      <c r="EJ532" s="29"/>
      <c r="EK532" s="29"/>
      <c r="EL532" s="29"/>
      <c r="EM532" s="29"/>
      <c r="EN532" s="29"/>
      <c r="EO532" s="29"/>
      <c r="EP532" s="29"/>
      <c r="EQ532" s="29"/>
      <c r="ER532" s="29"/>
      <c r="ES532" s="29"/>
      <c r="ET532" s="29"/>
      <c r="EU532" s="29"/>
      <c r="EV532" s="29"/>
      <c r="EW532" s="29"/>
      <c r="EX532" s="29"/>
      <c r="EY532" s="29"/>
      <c r="EZ532" s="29"/>
      <c r="FA532" s="29"/>
      <c r="FB532" s="29"/>
      <c r="FC532" s="29"/>
      <c r="FD532" s="29"/>
      <c r="FE532" s="29"/>
      <c r="FF532" s="29"/>
      <c r="FG532" s="29"/>
      <c r="FH532" s="29"/>
      <c r="FI532" s="29"/>
      <c r="FJ532" s="29"/>
      <c r="FK532" s="29"/>
      <c r="FL532" s="29"/>
      <c r="FM532" s="29"/>
      <c r="FN532" s="29"/>
      <c r="FO532" s="29"/>
      <c r="FP532" s="29"/>
      <c r="FQ532" s="29"/>
      <c r="FR532" s="29"/>
      <c r="FS532" s="29"/>
      <c r="FT532" s="29"/>
      <c r="FU532" s="29"/>
      <c r="FV532" s="29"/>
      <c r="FW532" s="29"/>
      <c r="FX532" s="29"/>
      <c r="FY532" s="29"/>
      <c r="FZ532" s="29"/>
      <c r="GA532" s="29"/>
      <c r="GB532" s="29"/>
      <c r="GC532" s="29"/>
      <c r="GD532" s="29"/>
      <c r="GE532" s="29"/>
      <c r="GF532" s="29"/>
      <c r="GG532" s="29"/>
      <c r="GH532" s="29"/>
      <c r="GI532" s="29"/>
      <c r="GJ532" s="29"/>
      <c r="GK532" s="29"/>
      <c r="GL532" s="29"/>
      <c r="GM532" s="29"/>
      <c r="GN532" s="29"/>
      <c r="GO532" s="29"/>
      <c r="GP532" s="29"/>
      <c r="GQ532" s="29"/>
      <c r="GR532" s="29"/>
      <c r="GS532" s="29"/>
      <c r="GT532" s="29"/>
      <c r="GU532" s="29"/>
      <c r="HP532" s="31"/>
      <c r="MX532" s="29"/>
      <c r="MY532" s="29"/>
    </row>
    <row r="533" ht="16.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29"/>
      <c r="BR533" s="29"/>
      <c r="BS533" s="29"/>
      <c r="BT533" s="29"/>
      <c r="BU533" s="29"/>
      <c r="BV533" s="29"/>
      <c r="BW533" s="29"/>
      <c r="BX533" s="29"/>
      <c r="BY533" s="29"/>
      <c r="BZ533" s="29"/>
      <c r="CA533" s="29"/>
      <c r="CB533" s="29"/>
      <c r="CC533" s="29"/>
      <c r="CD533" s="29"/>
      <c r="CE533" s="29"/>
      <c r="CF533" s="29"/>
      <c r="CG533" s="29"/>
      <c r="CH533" s="29"/>
      <c r="CI533" s="29"/>
      <c r="CJ533" s="29"/>
      <c r="CK533" s="29"/>
      <c r="CL533" s="29"/>
      <c r="CM533" s="29"/>
      <c r="CN533" s="29"/>
      <c r="CO533" s="29"/>
      <c r="CP533" s="29"/>
      <c r="CQ533" s="29"/>
      <c r="CR533" s="29"/>
      <c r="CS533" s="29"/>
      <c r="CT533" s="29"/>
      <c r="CU533" s="29"/>
      <c r="CV533" s="29"/>
      <c r="CW533" s="29"/>
      <c r="CX533" s="29"/>
      <c r="CY533" s="29"/>
      <c r="CZ533" s="29"/>
      <c r="DA533" s="29"/>
      <c r="DB533" s="29"/>
      <c r="DC533" s="29"/>
      <c r="DD533" s="29"/>
      <c r="DE533" s="29"/>
      <c r="DF533" s="29"/>
      <c r="DG533" s="29"/>
      <c r="DH533" s="29"/>
      <c r="DI533" s="29"/>
      <c r="DJ533" s="29"/>
      <c r="DK533" s="29"/>
      <c r="DL533" s="29"/>
      <c r="DM533" s="29"/>
      <c r="DN533" s="29"/>
      <c r="DO533" s="29"/>
      <c r="DP533" s="29"/>
      <c r="DQ533" s="29"/>
      <c r="DR533" s="29"/>
      <c r="DS533" s="29"/>
      <c r="DT533" s="29"/>
      <c r="DU533" s="29"/>
      <c r="DV533" s="29"/>
      <c r="DW533" s="29"/>
      <c r="DX533" s="29"/>
      <c r="DY533" s="29"/>
      <c r="DZ533" s="29"/>
      <c r="EA533" s="29"/>
      <c r="EB533" s="29"/>
      <c r="EC533" s="29"/>
      <c r="ED533" s="29"/>
      <c r="EE533" s="29"/>
      <c r="EF533" s="29"/>
      <c r="EG533" s="29"/>
      <c r="EH533" s="29"/>
      <c r="EI533" s="29"/>
      <c r="EJ533" s="29"/>
      <c r="EK533" s="29"/>
      <c r="EL533" s="29"/>
      <c r="EM533" s="29"/>
      <c r="EN533" s="29"/>
      <c r="EO533" s="29"/>
      <c r="EP533" s="29"/>
      <c r="EQ533" s="29"/>
      <c r="ER533" s="29"/>
      <c r="ES533" s="29"/>
      <c r="ET533" s="29"/>
      <c r="EU533" s="29"/>
      <c r="EV533" s="29"/>
      <c r="EW533" s="29"/>
      <c r="EX533" s="29"/>
      <c r="EY533" s="29"/>
      <c r="EZ533" s="29"/>
      <c r="FA533" s="29"/>
      <c r="FB533" s="29"/>
      <c r="FC533" s="29"/>
      <c r="FD533" s="29"/>
      <c r="FE533" s="29"/>
      <c r="FF533" s="29"/>
      <c r="FG533" s="29"/>
      <c r="FH533" s="29"/>
      <c r="FI533" s="29"/>
      <c r="FJ533" s="29"/>
      <c r="FK533" s="29"/>
      <c r="FL533" s="29"/>
      <c r="FM533" s="29"/>
      <c r="FN533" s="29"/>
      <c r="FO533" s="29"/>
      <c r="FP533" s="29"/>
      <c r="FQ533" s="29"/>
      <c r="FR533" s="29"/>
      <c r="FS533" s="29"/>
      <c r="FT533" s="29"/>
      <c r="FU533" s="29"/>
      <c r="FV533" s="29"/>
      <c r="FW533" s="29"/>
      <c r="FX533" s="29"/>
      <c r="FY533" s="29"/>
      <c r="FZ533" s="29"/>
      <c r="GA533" s="29"/>
      <c r="GB533" s="29"/>
      <c r="GC533" s="29"/>
      <c r="GD533" s="29"/>
      <c r="GE533" s="29"/>
      <c r="GF533" s="29"/>
      <c r="GG533" s="29"/>
      <c r="GH533" s="29"/>
      <c r="GI533" s="29"/>
      <c r="GJ533" s="29"/>
      <c r="GK533" s="29"/>
      <c r="GL533" s="29"/>
      <c r="GM533" s="29"/>
      <c r="GN533" s="29"/>
      <c r="GO533" s="29"/>
      <c r="GP533" s="29"/>
      <c r="GQ533" s="29"/>
      <c r="GR533" s="29"/>
      <c r="GS533" s="29"/>
      <c r="GT533" s="29"/>
      <c r="GU533" s="29"/>
      <c r="HP533" s="31"/>
      <c r="MX533" s="29"/>
      <c r="MY533" s="29"/>
    </row>
    <row r="534" ht="16.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29"/>
      <c r="BR534" s="29"/>
      <c r="BS534" s="29"/>
      <c r="BT534" s="29"/>
      <c r="BU534" s="29"/>
      <c r="BV534" s="29"/>
      <c r="BW534" s="29"/>
      <c r="BX534" s="29"/>
      <c r="BY534" s="29"/>
      <c r="BZ534" s="29"/>
      <c r="CA534" s="29"/>
      <c r="CB534" s="29"/>
      <c r="CC534" s="29"/>
      <c r="CD534" s="29"/>
      <c r="CE534" s="29"/>
      <c r="CF534" s="29"/>
      <c r="CG534" s="29"/>
      <c r="CH534" s="29"/>
      <c r="CI534" s="29"/>
      <c r="CJ534" s="29"/>
      <c r="CK534" s="29"/>
      <c r="CL534" s="29"/>
      <c r="CM534" s="29"/>
      <c r="CN534" s="29"/>
      <c r="CO534" s="29"/>
      <c r="CP534" s="29"/>
      <c r="CQ534" s="29"/>
      <c r="CR534" s="29"/>
      <c r="CS534" s="29"/>
      <c r="CT534" s="29"/>
      <c r="CU534" s="29"/>
      <c r="CV534" s="29"/>
      <c r="CW534" s="29"/>
      <c r="CX534" s="29"/>
      <c r="CY534" s="29"/>
      <c r="CZ534" s="29"/>
      <c r="DA534" s="29"/>
      <c r="DB534" s="29"/>
      <c r="DC534" s="29"/>
      <c r="DD534" s="29"/>
      <c r="DE534" s="29"/>
      <c r="DF534" s="29"/>
      <c r="DG534" s="29"/>
      <c r="DH534" s="29"/>
      <c r="DI534" s="29"/>
      <c r="DJ534" s="29"/>
      <c r="DK534" s="29"/>
      <c r="DL534" s="29"/>
      <c r="DM534" s="29"/>
      <c r="DN534" s="29"/>
      <c r="DO534" s="29"/>
      <c r="DP534" s="29"/>
      <c r="DQ534" s="29"/>
      <c r="DR534" s="29"/>
      <c r="DS534" s="29"/>
      <c r="DT534" s="29"/>
      <c r="DU534" s="29"/>
      <c r="DV534" s="29"/>
      <c r="DW534" s="29"/>
      <c r="DX534" s="29"/>
      <c r="DY534" s="29"/>
      <c r="DZ534" s="29"/>
      <c r="EA534" s="29"/>
      <c r="EB534" s="29"/>
      <c r="EC534" s="29"/>
      <c r="ED534" s="29"/>
      <c r="EE534" s="29"/>
      <c r="EF534" s="29"/>
      <c r="EG534" s="29"/>
      <c r="EH534" s="29"/>
      <c r="EI534" s="29"/>
      <c r="EJ534" s="29"/>
      <c r="EK534" s="29"/>
      <c r="EL534" s="29"/>
      <c r="EM534" s="29"/>
      <c r="EN534" s="29"/>
      <c r="EO534" s="29"/>
      <c r="EP534" s="29"/>
      <c r="EQ534" s="29"/>
      <c r="ER534" s="29"/>
      <c r="ES534" s="29"/>
      <c r="ET534" s="29"/>
      <c r="EU534" s="29"/>
      <c r="EV534" s="29"/>
      <c r="EW534" s="29"/>
      <c r="EX534" s="29"/>
      <c r="EY534" s="29"/>
      <c r="EZ534" s="29"/>
      <c r="FA534" s="29"/>
      <c r="FB534" s="29"/>
      <c r="FC534" s="29"/>
      <c r="FD534" s="29"/>
      <c r="FE534" s="29"/>
      <c r="FF534" s="29"/>
      <c r="FG534" s="29"/>
      <c r="FH534" s="29"/>
      <c r="FI534" s="29"/>
      <c r="FJ534" s="29"/>
      <c r="FK534" s="29"/>
      <c r="FL534" s="29"/>
      <c r="FM534" s="29"/>
      <c r="FN534" s="29"/>
      <c r="FO534" s="29"/>
      <c r="FP534" s="29"/>
      <c r="FQ534" s="29"/>
      <c r="FR534" s="29"/>
      <c r="FS534" s="29"/>
      <c r="FT534" s="29"/>
      <c r="FU534" s="29"/>
      <c r="FV534" s="29"/>
      <c r="FW534" s="29"/>
      <c r="FX534" s="29"/>
      <c r="FY534" s="29"/>
      <c r="FZ534" s="29"/>
      <c r="GA534" s="29"/>
      <c r="GB534" s="29"/>
      <c r="GC534" s="29"/>
      <c r="GD534" s="29"/>
      <c r="GE534" s="29"/>
      <c r="GF534" s="29"/>
      <c r="GG534" s="29"/>
      <c r="GH534" s="29"/>
      <c r="GI534" s="29"/>
      <c r="GJ534" s="29"/>
      <c r="GK534" s="29"/>
      <c r="GL534" s="29"/>
      <c r="GM534" s="29"/>
      <c r="GN534" s="29"/>
      <c r="GO534" s="29"/>
      <c r="GP534" s="29"/>
      <c r="GQ534" s="29"/>
      <c r="GR534" s="29"/>
      <c r="GS534" s="29"/>
      <c r="GT534" s="29"/>
      <c r="GU534" s="29"/>
      <c r="HP534" s="31"/>
      <c r="MX534" s="29"/>
      <c r="MY534" s="29"/>
    </row>
    <row r="535" ht="16.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c r="BO535" s="29"/>
      <c r="BP535" s="29"/>
      <c r="BQ535" s="29"/>
      <c r="BR535" s="29"/>
      <c r="BS535" s="29"/>
      <c r="BT535" s="29"/>
      <c r="BU535" s="29"/>
      <c r="BV535" s="29"/>
      <c r="BW535" s="29"/>
      <c r="BX535" s="29"/>
      <c r="BY535" s="29"/>
      <c r="BZ535" s="29"/>
      <c r="CA535" s="29"/>
      <c r="CB535" s="29"/>
      <c r="CC535" s="29"/>
      <c r="CD535" s="29"/>
      <c r="CE535" s="29"/>
      <c r="CF535" s="29"/>
      <c r="CG535" s="29"/>
      <c r="CH535" s="29"/>
      <c r="CI535" s="29"/>
      <c r="CJ535" s="29"/>
      <c r="CK535" s="29"/>
      <c r="CL535" s="29"/>
      <c r="CM535" s="29"/>
      <c r="CN535" s="29"/>
      <c r="CO535" s="29"/>
      <c r="CP535" s="29"/>
      <c r="CQ535" s="29"/>
      <c r="CR535" s="29"/>
      <c r="CS535" s="29"/>
      <c r="CT535" s="29"/>
      <c r="CU535" s="29"/>
      <c r="CV535" s="29"/>
      <c r="CW535" s="29"/>
      <c r="CX535" s="29"/>
      <c r="CY535" s="29"/>
      <c r="CZ535" s="29"/>
      <c r="DA535" s="29"/>
      <c r="DB535" s="29"/>
      <c r="DC535" s="29"/>
      <c r="DD535" s="29"/>
      <c r="DE535" s="29"/>
      <c r="DF535" s="29"/>
      <c r="DG535" s="29"/>
      <c r="DH535" s="29"/>
      <c r="DI535" s="29"/>
      <c r="DJ535" s="29"/>
      <c r="DK535" s="29"/>
      <c r="DL535" s="29"/>
      <c r="DM535" s="29"/>
      <c r="DN535" s="29"/>
      <c r="DO535" s="29"/>
      <c r="DP535" s="29"/>
      <c r="DQ535" s="29"/>
      <c r="DR535" s="29"/>
      <c r="DS535" s="29"/>
      <c r="DT535" s="29"/>
      <c r="DU535" s="29"/>
      <c r="DV535" s="29"/>
      <c r="DW535" s="29"/>
      <c r="DX535" s="29"/>
      <c r="DY535" s="29"/>
      <c r="DZ535" s="29"/>
      <c r="EA535" s="29"/>
      <c r="EB535" s="29"/>
      <c r="EC535" s="29"/>
      <c r="ED535" s="29"/>
      <c r="EE535" s="29"/>
      <c r="EF535" s="29"/>
      <c r="EG535" s="29"/>
      <c r="EH535" s="29"/>
      <c r="EI535" s="29"/>
      <c r="EJ535" s="29"/>
      <c r="EK535" s="29"/>
      <c r="EL535" s="29"/>
      <c r="EM535" s="29"/>
      <c r="EN535" s="29"/>
      <c r="EO535" s="29"/>
      <c r="EP535" s="29"/>
      <c r="EQ535" s="29"/>
      <c r="ER535" s="29"/>
      <c r="ES535" s="29"/>
      <c r="ET535" s="29"/>
      <c r="EU535" s="29"/>
      <c r="EV535" s="29"/>
      <c r="EW535" s="29"/>
      <c r="EX535" s="29"/>
      <c r="EY535" s="29"/>
      <c r="EZ535" s="29"/>
      <c r="FA535" s="29"/>
      <c r="FB535" s="29"/>
      <c r="FC535" s="29"/>
      <c r="FD535" s="29"/>
      <c r="FE535" s="29"/>
      <c r="FF535" s="29"/>
      <c r="FG535" s="29"/>
      <c r="FH535" s="29"/>
      <c r="FI535" s="29"/>
      <c r="FJ535" s="29"/>
      <c r="FK535" s="29"/>
      <c r="FL535" s="29"/>
      <c r="FM535" s="29"/>
      <c r="FN535" s="29"/>
      <c r="FO535" s="29"/>
      <c r="FP535" s="29"/>
      <c r="FQ535" s="29"/>
      <c r="FR535" s="29"/>
      <c r="FS535" s="29"/>
      <c r="FT535" s="29"/>
      <c r="FU535" s="29"/>
      <c r="FV535" s="29"/>
      <c r="FW535" s="29"/>
      <c r="FX535" s="29"/>
      <c r="FY535" s="29"/>
      <c r="FZ535" s="29"/>
      <c r="GA535" s="29"/>
      <c r="GB535" s="29"/>
      <c r="GC535" s="29"/>
      <c r="GD535" s="29"/>
      <c r="GE535" s="29"/>
      <c r="GF535" s="29"/>
      <c r="GG535" s="29"/>
      <c r="GH535" s="29"/>
      <c r="GI535" s="29"/>
      <c r="GJ535" s="29"/>
      <c r="GK535" s="29"/>
      <c r="GL535" s="29"/>
      <c r="GM535" s="29"/>
      <c r="GN535" s="29"/>
      <c r="GO535" s="29"/>
      <c r="GP535" s="29"/>
      <c r="GQ535" s="29"/>
      <c r="GR535" s="29"/>
      <c r="GS535" s="29"/>
      <c r="GT535" s="29"/>
      <c r="GU535" s="29"/>
      <c r="HP535" s="31"/>
      <c r="MX535" s="29"/>
      <c r="MY535" s="29"/>
    </row>
    <row r="536" ht="16.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9"/>
      <c r="BH536" s="29"/>
      <c r="BI536" s="29"/>
      <c r="BJ536" s="29"/>
      <c r="BK536" s="29"/>
      <c r="BL536" s="29"/>
      <c r="BM536" s="29"/>
      <c r="BN536" s="29"/>
      <c r="BO536" s="29"/>
      <c r="BP536" s="29"/>
      <c r="BQ536" s="29"/>
      <c r="BR536" s="29"/>
      <c r="BS536" s="29"/>
      <c r="BT536" s="29"/>
      <c r="BU536" s="29"/>
      <c r="BV536" s="29"/>
      <c r="BW536" s="29"/>
      <c r="BX536" s="29"/>
      <c r="BY536" s="29"/>
      <c r="BZ536" s="29"/>
      <c r="CA536" s="29"/>
      <c r="CB536" s="29"/>
      <c r="CC536" s="29"/>
      <c r="CD536" s="29"/>
      <c r="CE536" s="29"/>
      <c r="CF536" s="29"/>
      <c r="CG536" s="29"/>
      <c r="CH536" s="29"/>
      <c r="CI536" s="29"/>
      <c r="CJ536" s="29"/>
      <c r="CK536" s="29"/>
      <c r="CL536" s="29"/>
      <c r="CM536" s="29"/>
      <c r="CN536" s="29"/>
      <c r="CO536" s="29"/>
      <c r="CP536" s="29"/>
      <c r="CQ536" s="29"/>
      <c r="CR536" s="29"/>
      <c r="CS536" s="29"/>
      <c r="CT536" s="29"/>
      <c r="CU536" s="29"/>
      <c r="CV536" s="29"/>
      <c r="CW536" s="29"/>
      <c r="CX536" s="29"/>
      <c r="CY536" s="29"/>
      <c r="CZ536" s="29"/>
      <c r="DA536" s="29"/>
      <c r="DB536" s="29"/>
      <c r="DC536" s="29"/>
      <c r="DD536" s="29"/>
      <c r="DE536" s="29"/>
      <c r="DF536" s="29"/>
      <c r="DG536" s="29"/>
      <c r="DH536" s="29"/>
      <c r="DI536" s="29"/>
      <c r="DJ536" s="29"/>
      <c r="DK536" s="29"/>
      <c r="DL536" s="29"/>
      <c r="DM536" s="29"/>
      <c r="DN536" s="29"/>
      <c r="DO536" s="29"/>
      <c r="DP536" s="29"/>
      <c r="DQ536" s="29"/>
      <c r="DR536" s="29"/>
      <c r="DS536" s="29"/>
      <c r="DT536" s="29"/>
      <c r="DU536" s="29"/>
      <c r="DV536" s="29"/>
      <c r="DW536" s="29"/>
      <c r="DX536" s="29"/>
      <c r="DY536" s="29"/>
      <c r="DZ536" s="29"/>
      <c r="EA536" s="29"/>
      <c r="EB536" s="29"/>
      <c r="EC536" s="29"/>
      <c r="ED536" s="29"/>
      <c r="EE536" s="29"/>
      <c r="EF536" s="29"/>
      <c r="EG536" s="29"/>
      <c r="EH536" s="29"/>
      <c r="EI536" s="29"/>
      <c r="EJ536" s="29"/>
      <c r="EK536" s="29"/>
      <c r="EL536" s="29"/>
      <c r="EM536" s="29"/>
      <c r="EN536" s="29"/>
      <c r="EO536" s="29"/>
      <c r="EP536" s="29"/>
      <c r="EQ536" s="29"/>
      <c r="ER536" s="29"/>
      <c r="ES536" s="29"/>
      <c r="ET536" s="29"/>
      <c r="EU536" s="29"/>
      <c r="EV536" s="29"/>
      <c r="EW536" s="29"/>
      <c r="EX536" s="29"/>
      <c r="EY536" s="29"/>
      <c r="EZ536" s="29"/>
      <c r="FA536" s="29"/>
      <c r="FB536" s="29"/>
      <c r="FC536" s="29"/>
      <c r="FD536" s="29"/>
      <c r="FE536" s="29"/>
      <c r="FF536" s="29"/>
      <c r="FG536" s="29"/>
      <c r="FH536" s="29"/>
      <c r="FI536" s="29"/>
      <c r="FJ536" s="29"/>
      <c r="FK536" s="29"/>
      <c r="FL536" s="29"/>
      <c r="FM536" s="29"/>
      <c r="FN536" s="29"/>
      <c r="FO536" s="29"/>
      <c r="FP536" s="29"/>
      <c r="FQ536" s="29"/>
      <c r="FR536" s="29"/>
      <c r="FS536" s="29"/>
      <c r="FT536" s="29"/>
      <c r="FU536" s="29"/>
      <c r="FV536" s="29"/>
      <c r="FW536" s="29"/>
      <c r="FX536" s="29"/>
      <c r="FY536" s="29"/>
      <c r="FZ536" s="29"/>
      <c r="GA536" s="29"/>
      <c r="GB536" s="29"/>
      <c r="GC536" s="29"/>
      <c r="GD536" s="29"/>
      <c r="GE536" s="29"/>
      <c r="GF536" s="29"/>
      <c r="GG536" s="29"/>
      <c r="GH536" s="29"/>
      <c r="GI536" s="29"/>
      <c r="GJ536" s="29"/>
      <c r="GK536" s="29"/>
      <c r="GL536" s="29"/>
      <c r="GM536" s="29"/>
      <c r="GN536" s="29"/>
      <c r="GO536" s="29"/>
      <c r="GP536" s="29"/>
      <c r="GQ536" s="29"/>
      <c r="GR536" s="29"/>
      <c r="GS536" s="29"/>
      <c r="GT536" s="29"/>
      <c r="GU536" s="29"/>
      <c r="HP536" s="31"/>
      <c r="MX536" s="29"/>
      <c r="MY536" s="29"/>
    </row>
    <row r="537" ht="16.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c r="BO537" s="29"/>
      <c r="BP537" s="29"/>
      <c r="BQ537" s="29"/>
      <c r="BR537" s="29"/>
      <c r="BS537" s="29"/>
      <c r="BT537" s="29"/>
      <c r="BU537" s="29"/>
      <c r="BV537" s="29"/>
      <c r="BW537" s="29"/>
      <c r="BX537" s="29"/>
      <c r="BY537" s="29"/>
      <c r="BZ537" s="29"/>
      <c r="CA537" s="29"/>
      <c r="CB537" s="29"/>
      <c r="CC537" s="29"/>
      <c r="CD537" s="29"/>
      <c r="CE537" s="29"/>
      <c r="CF537" s="29"/>
      <c r="CG537" s="29"/>
      <c r="CH537" s="29"/>
      <c r="CI537" s="29"/>
      <c r="CJ537" s="29"/>
      <c r="CK537" s="29"/>
      <c r="CL537" s="29"/>
      <c r="CM537" s="29"/>
      <c r="CN537" s="29"/>
      <c r="CO537" s="29"/>
      <c r="CP537" s="29"/>
      <c r="CQ537" s="29"/>
      <c r="CR537" s="29"/>
      <c r="CS537" s="29"/>
      <c r="CT537" s="29"/>
      <c r="CU537" s="29"/>
      <c r="CV537" s="29"/>
      <c r="CW537" s="29"/>
      <c r="CX537" s="29"/>
      <c r="CY537" s="29"/>
      <c r="CZ537" s="29"/>
      <c r="DA537" s="29"/>
      <c r="DB537" s="29"/>
      <c r="DC537" s="29"/>
      <c r="DD537" s="29"/>
      <c r="DE537" s="29"/>
      <c r="DF537" s="29"/>
      <c r="DG537" s="29"/>
      <c r="DH537" s="29"/>
      <c r="DI537" s="29"/>
      <c r="DJ537" s="29"/>
      <c r="DK537" s="29"/>
      <c r="DL537" s="29"/>
      <c r="DM537" s="29"/>
      <c r="DN537" s="29"/>
      <c r="DO537" s="29"/>
      <c r="DP537" s="29"/>
      <c r="DQ537" s="29"/>
      <c r="DR537" s="29"/>
      <c r="DS537" s="29"/>
      <c r="DT537" s="29"/>
      <c r="DU537" s="29"/>
      <c r="DV537" s="29"/>
      <c r="DW537" s="29"/>
      <c r="DX537" s="29"/>
      <c r="DY537" s="29"/>
      <c r="DZ537" s="29"/>
      <c r="EA537" s="29"/>
      <c r="EB537" s="29"/>
      <c r="EC537" s="29"/>
      <c r="ED537" s="29"/>
      <c r="EE537" s="29"/>
      <c r="EF537" s="29"/>
      <c r="EG537" s="29"/>
      <c r="EH537" s="29"/>
      <c r="EI537" s="29"/>
      <c r="EJ537" s="29"/>
      <c r="EK537" s="29"/>
      <c r="EL537" s="29"/>
      <c r="EM537" s="29"/>
      <c r="EN537" s="29"/>
      <c r="EO537" s="29"/>
      <c r="EP537" s="29"/>
      <c r="EQ537" s="29"/>
      <c r="ER537" s="29"/>
      <c r="ES537" s="29"/>
      <c r="ET537" s="29"/>
      <c r="EU537" s="29"/>
      <c r="EV537" s="29"/>
      <c r="EW537" s="29"/>
      <c r="EX537" s="29"/>
      <c r="EY537" s="29"/>
      <c r="EZ537" s="29"/>
      <c r="FA537" s="29"/>
      <c r="FB537" s="29"/>
      <c r="FC537" s="29"/>
      <c r="FD537" s="29"/>
      <c r="FE537" s="29"/>
      <c r="FF537" s="29"/>
      <c r="FG537" s="29"/>
      <c r="FH537" s="29"/>
      <c r="FI537" s="29"/>
      <c r="FJ537" s="29"/>
      <c r="FK537" s="29"/>
      <c r="FL537" s="29"/>
      <c r="FM537" s="29"/>
      <c r="FN537" s="29"/>
      <c r="FO537" s="29"/>
      <c r="FP537" s="29"/>
      <c r="FQ537" s="29"/>
      <c r="FR537" s="29"/>
      <c r="FS537" s="29"/>
      <c r="FT537" s="29"/>
      <c r="FU537" s="29"/>
      <c r="FV537" s="29"/>
      <c r="FW537" s="29"/>
      <c r="FX537" s="29"/>
      <c r="FY537" s="29"/>
      <c r="FZ537" s="29"/>
      <c r="GA537" s="29"/>
      <c r="GB537" s="29"/>
      <c r="GC537" s="29"/>
      <c r="GD537" s="29"/>
      <c r="GE537" s="29"/>
      <c r="GF537" s="29"/>
      <c r="GG537" s="29"/>
      <c r="GH537" s="29"/>
      <c r="GI537" s="29"/>
      <c r="GJ537" s="29"/>
      <c r="GK537" s="29"/>
      <c r="GL537" s="29"/>
      <c r="GM537" s="29"/>
      <c r="GN537" s="29"/>
      <c r="GO537" s="29"/>
      <c r="GP537" s="29"/>
      <c r="GQ537" s="29"/>
      <c r="GR537" s="29"/>
      <c r="GS537" s="29"/>
      <c r="GT537" s="29"/>
      <c r="GU537" s="29"/>
      <c r="HP537" s="31"/>
      <c r="MX537" s="29"/>
      <c r="MY537" s="29"/>
    </row>
    <row r="538" ht="16.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c r="BC538" s="29"/>
      <c r="BD538" s="29"/>
      <c r="BE538" s="29"/>
      <c r="BF538" s="29"/>
      <c r="BG538" s="29"/>
      <c r="BH538" s="29"/>
      <c r="BI538" s="29"/>
      <c r="BJ538" s="29"/>
      <c r="BK538" s="29"/>
      <c r="BL538" s="29"/>
      <c r="BM538" s="29"/>
      <c r="BN538" s="29"/>
      <c r="BO538" s="29"/>
      <c r="BP538" s="29"/>
      <c r="BQ538" s="29"/>
      <c r="BR538" s="29"/>
      <c r="BS538" s="29"/>
      <c r="BT538" s="29"/>
      <c r="BU538" s="29"/>
      <c r="BV538" s="29"/>
      <c r="BW538" s="29"/>
      <c r="BX538" s="29"/>
      <c r="BY538" s="29"/>
      <c r="BZ538" s="29"/>
      <c r="CA538" s="29"/>
      <c r="CB538" s="29"/>
      <c r="CC538" s="29"/>
      <c r="CD538" s="29"/>
      <c r="CE538" s="29"/>
      <c r="CF538" s="29"/>
      <c r="CG538" s="29"/>
      <c r="CH538" s="29"/>
      <c r="CI538" s="29"/>
      <c r="CJ538" s="29"/>
      <c r="CK538" s="29"/>
      <c r="CL538" s="29"/>
      <c r="CM538" s="29"/>
      <c r="CN538" s="29"/>
      <c r="CO538" s="29"/>
      <c r="CP538" s="29"/>
      <c r="CQ538" s="29"/>
      <c r="CR538" s="29"/>
      <c r="CS538" s="29"/>
      <c r="CT538" s="29"/>
      <c r="CU538" s="29"/>
      <c r="CV538" s="29"/>
      <c r="CW538" s="29"/>
      <c r="CX538" s="29"/>
      <c r="CY538" s="29"/>
      <c r="CZ538" s="29"/>
      <c r="DA538" s="29"/>
      <c r="DB538" s="29"/>
      <c r="DC538" s="29"/>
      <c r="DD538" s="29"/>
      <c r="DE538" s="29"/>
      <c r="DF538" s="29"/>
      <c r="DG538" s="29"/>
      <c r="DH538" s="29"/>
      <c r="DI538" s="29"/>
      <c r="DJ538" s="29"/>
      <c r="DK538" s="29"/>
      <c r="DL538" s="29"/>
      <c r="DM538" s="29"/>
      <c r="DN538" s="29"/>
      <c r="DO538" s="29"/>
      <c r="DP538" s="29"/>
      <c r="DQ538" s="29"/>
      <c r="DR538" s="29"/>
      <c r="DS538" s="29"/>
      <c r="DT538" s="29"/>
      <c r="DU538" s="29"/>
      <c r="DV538" s="29"/>
      <c r="DW538" s="29"/>
      <c r="DX538" s="29"/>
      <c r="DY538" s="29"/>
      <c r="DZ538" s="29"/>
      <c r="EA538" s="29"/>
      <c r="EB538" s="29"/>
      <c r="EC538" s="29"/>
      <c r="ED538" s="29"/>
      <c r="EE538" s="29"/>
      <c r="EF538" s="29"/>
      <c r="EG538" s="29"/>
      <c r="EH538" s="29"/>
      <c r="EI538" s="29"/>
      <c r="EJ538" s="29"/>
      <c r="EK538" s="29"/>
      <c r="EL538" s="29"/>
      <c r="EM538" s="29"/>
      <c r="EN538" s="29"/>
      <c r="EO538" s="29"/>
      <c r="EP538" s="29"/>
      <c r="EQ538" s="29"/>
      <c r="ER538" s="29"/>
      <c r="ES538" s="29"/>
      <c r="ET538" s="29"/>
      <c r="EU538" s="29"/>
      <c r="EV538" s="29"/>
      <c r="EW538" s="29"/>
      <c r="EX538" s="29"/>
      <c r="EY538" s="29"/>
      <c r="EZ538" s="29"/>
      <c r="FA538" s="29"/>
      <c r="FB538" s="29"/>
      <c r="FC538" s="29"/>
      <c r="FD538" s="29"/>
      <c r="FE538" s="29"/>
      <c r="FF538" s="29"/>
      <c r="FG538" s="29"/>
      <c r="FH538" s="29"/>
      <c r="FI538" s="29"/>
      <c r="FJ538" s="29"/>
      <c r="FK538" s="29"/>
      <c r="FL538" s="29"/>
      <c r="FM538" s="29"/>
      <c r="FN538" s="29"/>
      <c r="FO538" s="29"/>
      <c r="FP538" s="29"/>
      <c r="FQ538" s="29"/>
      <c r="FR538" s="29"/>
      <c r="FS538" s="29"/>
      <c r="FT538" s="29"/>
      <c r="FU538" s="29"/>
      <c r="FV538" s="29"/>
      <c r="FW538" s="29"/>
      <c r="FX538" s="29"/>
      <c r="FY538" s="29"/>
      <c r="FZ538" s="29"/>
      <c r="GA538" s="29"/>
      <c r="GB538" s="29"/>
      <c r="GC538" s="29"/>
      <c r="GD538" s="29"/>
      <c r="GE538" s="29"/>
      <c r="GF538" s="29"/>
      <c r="GG538" s="29"/>
      <c r="GH538" s="29"/>
      <c r="GI538" s="29"/>
      <c r="GJ538" s="29"/>
      <c r="GK538" s="29"/>
      <c r="GL538" s="29"/>
      <c r="GM538" s="29"/>
      <c r="GN538" s="29"/>
      <c r="GO538" s="29"/>
      <c r="GP538" s="29"/>
      <c r="GQ538" s="29"/>
      <c r="GR538" s="29"/>
      <c r="GS538" s="29"/>
      <c r="GT538" s="29"/>
      <c r="GU538" s="29"/>
      <c r="HP538" s="31"/>
      <c r="MX538" s="29"/>
      <c r="MY538" s="29"/>
    </row>
    <row r="539" ht="16.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c r="CE539" s="29"/>
      <c r="CF539" s="29"/>
      <c r="CG539" s="29"/>
      <c r="CH539" s="29"/>
      <c r="CI539" s="29"/>
      <c r="CJ539" s="29"/>
      <c r="CK539" s="29"/>
      <c r="CL539" s="29"/>
      <c r="CM539" s="29"/>
      <c r="CN539" s="29"/>
      <c r="CO539" s="29"/>
      <c r="CP539" s="29"/>
      <c r="CQ539" s="29"/>
      <c r="CR539" s="29"/>
      <c r="CS539" s="29"/>
      <c r="CT539" s="29"/>
      <c r="CU539" s="29"/>
      <c r="CV539" s="29"/>
      <c r="CW539" s="29"/>
      <c r="CX539" s="29"/>
      <c r="CY539" s="29"/>
      <c r="CZ539" s="29"/>
      <c r="DA539" s="29"/>
      <c r="DB539" s="29"/>
      <c r="DC539" s="29"/>
      <c r="DD539" s="29"/>
      <c r="DE539" s="29"/>
      <c r="DF539" s="29"/>
      <c r="DG539" s="29"/>
      <c r="DH539" s="29"/>
      <c r="DI539" s="29"/>
      <c r="DJ539" s="29"/>
      <c r="DK539" s="29"/>
      <c r="DL539" s="29"/>
      <c r="DM539" s="29"/>
      <c r="DN539" s="29"/>
      <c r="DO539" s="29"/>
      <c r="DP539" s="29"/>
      <c r="DQ539" s="29"/>
      <c r="DR539" s="29"/>
      <c r="DS539" s="29"/>
      <c r="DT539" s="29"/>
      <c r="DU539" s="29"/>
      <c r="DV539" s="29"/>
      <c r="DW539" s="29"/>
      <c r="DX539" s="29"/>
      <c r="DY539" s="29"/>
      <c r="DZ539" s="29"/>
      <c r="EA539" s="29"/>
      <c r="EB539" s="29"/>
      <c r="EC539" s="29"/>
      <c r="ED539" s="29"/>
      <c r="EE539" s="29"/>
      <c r="EF539" s="29"/>
      <c r="EG539" s="29"/>
      <c r="EH539" s="29"/>
      <c r="EI539" s="29"/>
      <c r="EJ539" s="29"/>
      <c r="EK539" s="29"/>
      <c r="EL539" s="29"/>
      <c r="EM539" s="29"/>
      <c r="EN539" s="29"/>
      <c r="EO539" s="29"/>
      <c r="EP539" s="29"/>
      <c r="EQ539" s="29"/>
      <c r="ER539" s="29"/>
      <c r="ES539" s="29"/>
      <c r="ET539" s="29"/>
      <c r="EU539" s="29"/>
      <c r="EV539" s="29"/>
      <c r="EW539" s="29"/>
      <c r="EX539" s="29"/>
      <c r="EY539" s="29"/>
      <c r="EZ539" s="29"/>
      <c r="FA539" s="29"/>
      <c r="FB539" s="29"/>
      <c r="FC539" s="29"/>
      <c r="FD539" s="29"/>
      <c r="FE539" s="29"/>
      <c r="FF539" s="29"/>
      <c r="FG539" s="29"/>
      <c r="FH539" s="29"/>
      <c r="FI539" s="29"/>
      <c r="FJ539" s="29"/>
      <c r="FK539" s="29"/>
      <c r="FL539" s="29"/>
      <c r="FM539" s="29"/>
      <c r="FN539" s="29"/>
      <c r="FO539" s="29"/>
      <c r="FP539" s="29"/>
      <c r="FQ539" s="29"/>
      <c r="FR539" s="29"/>
      <c r="FS539" s="29"/>
      <c r="FT539" s="29"/>
      <c r="FU539" s="29"/>
      <c r="FV539" s="29"/>
      <c r="FW539" s="29"/>
      <c r="FX539" s="29"/>
      <c r="FY539" s="29"/>
      <c r="FZ539" s="29"/>
      <c r="GA539" s="29"/>
      <c r="GB539" s="29"/>
      <c r="GC539" s="29"/>
      <c r="GD539" s="29"/>
      <c r="GE539" s="29"/>
      <c r="GF539" s="29"/>
      <c r="GG539" s="29"/>
      <c r="GH539" s="29"/>
      <c r="GI539" s="29"/>
      <c r="GJ539" s="29"/>
      <c r="GK539" s="29"/>
      <c r="GL539" s="29"/>
      <c r="GM539" s="29"/>
      <c r="GN539" s="29"/>
      <c r="GO539" s="29"/>
      <c r="GP539" s="29"/>
      <c r="GQ539" s="29"/>
      <c r="GR539" s="29"/>
      <c r="GS539" s="29"/>
      <c r="GT539" s="29"/>
      <c r="GU539" s="29"/>
      <c r="HP539" s="31"/>
      <c r="MX539" s="29"/>
      <c r="MY539" s="29"/>
    </row>
    <row r="540" ht="16.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c r="BC540" s="29"/>
      <c r="BD540" s="29"/>
      <c r="BE540" s="29"/>
      <c r="BF540" s="29"/>
      <c r="BG540" s="29"/>
      <c r="BH540" s="29"/>
      <c r="BI540" s="29"/>
      <c r="BJ540" s="29"/>
      <c r="BK540" s="29"/>
      <c r="BL540" s="29"/>
      <c r="BM540" s="29"/>
      <c r="BN540" s="29"/>
      <c r="BO540" s="29"/>
      <c r="BP540" s="29"/>
      <c r="BQ540" s="29"/>
      <c r="BR540" s="29"/>
      <c r="BS540" s="29"/>
      <c r="BT540" s="29"/>
      <c r="BU540" s="29"/>
      <c r="BV540" s="29"/>
      <c r="BW540" s="29"/>
      <c r="BX540" s="29"/>
      <c r="BY540" s="29"/>
      <c r="BZ540" s="29"/>
      <c r="CA540" s="29"/>
      <c r="CB540" s="29"/>
      <c r="CC540" s="29"/>
      <c r="CD540" s="29"/>
      <c r="CE540" s="29"/>
      <c r="CF540" s="29"/>
      <c r="CG540" s="29"/>
      <c r="CH540" s="29"/>
      <c r="CI540" s="29"/>
      <c r="CJ540" s="29"/>
      <c r="CK540" s="29"/>
      <c r="CL540" s="29"/>
      <c r="CM540" s="29"/>
      <c r="CN540" s="29"/>
      <c r="CO540" s="29"/>
      <c r="CP540" s="29"/>
      <c r="CQ540" s="29"/>
      <c r="CR540" s="29"/>
      <c r="CS540" s="29"/>
      <c r="CT540" s="29"/>
      <c r="CU540" s="29"/>
      <c r="CV540" s="29"/>
      <c r="CW540" s="29"/>
      <c r="CX540" s="29"/>
      <c r="CY540" s="29"/>
      <c r="CZ540" s="29"/>
      <c r="DA540" s="29"/>
      <c r="DB540" s="29"/>
      <c r="DC540" s="29"/>
      <c r="DD540" s="29"/>
      <c r="DE540" s="29"/>
      <c r="DF540" s="29"/>
      <c r="DG540" s="29"/>
      <c r="DH540" s="29"/>
      <c r="DI540" s="29"/>
      <c r="DJ540" s="29"/>
      <c r="DK540" s="29"/>
      <c r="DL540" s="29"/>
      <c r="DM540" s="29"/>
      <c r="DN540" s="29"/>
      <c r="DO540" s="29"/>
      <c r="DP540" s="29"/>
      <c r="DQ540" s="29"/>
      <c r="DR540" s="29"/>
      <c r="DS540" s="29"/>
      <c r="DT540" s="29"/>
      <c r="DU540" s="29"/>
      <c r="DV540" s="29"/>
      <c r="DW540" s="29"/>
      <c r="DX540" s="29"/>
      <c r="DY540" s="29"/>
      <c r="DZ540" s="29"/>
      <c r="EA540" s="29"/>
      <c r="EB540" s="29"/>
      <c r="EC540" s="29"/>
      <c r="ED540" s="29"/>
      <c r="EE540" s="29"/>
      <c r="EF540" s="29"/>
      <c r="EG540" s="29"/>
      <c r="EH540" s="29"/>
      <c r="EI540" s="29"/>
      <c r="EJ540" s="29"/>
      <c r="EK540" s="29"/>
      <c r="EL540" s="29"/>
      <c r="EM540" s="29"/>
      <c r="EN540" s="29"/>
      <c r="EO540" s="29"/>
      <c r="EP540" s="29"/>
      <c r="EQ540" s="29"/>
      <c r="ER540" s="29"/>
      <c r="ES540" s="29"/>
      <c r="ET540" s="29"/>
      <c r="EU540" s="29"/>
      <c r="EV540" s="29"/>
      <c r="EW540" s="29"/>
      <c r="EX540" s="29"/>
      <c r="EY540" s="29"/>
      <c r="EZ540" s="29"/>
      <c r="FA540" s="29"/>
      <c r="FB540" s="29"/>
      <c r="FC540" s="29"/>
      <c r="FD540" s="29"/>
      <c r="FE540" s="29"/>
      <c r="FF540" s="29"/>
      <c r="FG540" s="29"/>
      <c r="FH540" s="29"/>
      <c r="FI540" s="29"/>
      <c r="FJ540" s="29"/>
      <c r="FK540" s="29"/>
      <c r="FL540" s="29"/>
      <c r="FM540" s="29"/>
      <c r="FN540" s="29"/>
      <c r="FO540" s="29"/>
      <c r="FP540" s="29"/>
      <c r="FQ540" s="29"/>
      <c r="FR540" s="29"/>
      <c r="FS540" s="29"/>
      <c r="FT540" s="29"/>
      <c r="FU540" s="29"/>
      <c r="FV540" s="29"/>
      <c r="FW540" s="29"/>
      <c r="FX540" s="29"/>
      <c r="FY540" s="29"/>
      <c r="FZ540" s="29"/>
      <c r="GA540" s="29"/>
      <c r="GB540" s="29"/>
      <c r="GC540" s="29"/>
      <c r="GD540" s="29"/>
      <c r="GE540" s="29"/>
      <c r="GF540" s="29"/>
      <c r="GG540" s="29"/>
      <c r="GH540" s="29"/>
      <c r="GI540" s="29"/>
      <c r="GJ540" s="29"/>
      <c r="GK540" s="29"/>
      <c r="GL540" s="29"/>
      <c r="GM540" s="29"/>
      <c r="GN540" s="29"/>
      <c r="GO540" s="29"/>
      <c r="GP540" s="29"/>
      <c r="GQ540" s="29"/>
      <c r="GR540" s="29"/>
      <c r="GS540" s="29"/>
      <c r="GT540" s="29"/>
      <c r="GU540" s="29"/>
      <c r="HP540" s="31"/>
      <c r="MX540" s="29"/>
      <c r="MY540" s="29"/>
    </row>
    <row r="541" ht="16.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c r="BO541" s="29"/>
      <c r="BP541" s="29"/>
      <c r="BQ541" s="29"/>
      <c r="BR541" s="29"/>
      <c r="BS541" s="29"/>
      <c r="BT541" s="29"/>
      <c r="BU541" s="29"/>
      <c r="BV541" s="29"/>
      <c r="BW541" s="29"/>
      <c r="BX541" s="29"/>
      <c r="BY541" s="29"/>
      <c r="BZ541" s="29"/>
      <c r="CA541" s="29"/>
      <c r="CB541" s="29"/>
      <c r="CC541" s="29"/>
      <c r="CD541" s="29"/>
      <c r="CE541" s="29"/>
      <c r="CF541" s="29"/>
      <c r="CG541" s="29"/>
      <c r="CH541" s="29"/>
      <c r="CI541" s="29"/>
      <c r="CJ541" s="29"/>
      <c r="CK541" s="29"/>
      <c r="CL541" s="29"/>
      <c r="CM541" s="29"/>
      <c r="CN541" s="29"/>
      <c r="CO541" s="29"/>
      <c r="CP541" s="29"/>
      <c r="CQ541" s="29"/>
      <c r="CR541" s="29"/>
      <c r="CS541" s="29"/>
      <c r="CT541" s="29"/>
      <c r="CU541" s="29"/>
      <c r="CV541" s="29"/>
      <c r="CW541" s="29"/>
      <c r="CX541" s="29"/>
      <c r="CY541" s="29"/>
      <c r="CZ541" s="29"/>
      <c r="DA541" s="29"/>
      <c r="DB541" s="29"/>
      <c r="DC541" s="29"/>
      <c r="DD541" s="29"/>
      <c r="DE541" s="29"/>
      <c r="DF541" s="29"/>
      <c r="DG541" s="29"/>
      <c r="DH541" s="29"/>
      <c r="DI541" s="29"/>
      <c r="DJ541" s="29"/>
      <c r="DK541" s="29"/>
      <c r="DL541" s="29"/>
      <c r="DM541" s="29"/>
      <c r="DN541" s="29"/>
      <c r="DO541" s="29"/>
      <c r="DP541" s="29"/>
      <c r="DQ541" s="29"/>
      <c r="DR541" s="29"/>
      <c r="DS541" s="29"/>
      <c r="DT541" s="29"/>
      <c r="DU541" s="29"/>
      <c r="DV541" s="29"/>
      <c r="DW541" s="29"/>
      <c r="DX541" s="29"/>
      <c r="DY541" s="29"/>
      <c r="DZ541" s="29"/>
      <c r="EA541" s="29"/>
      <c r="EB541" s="29"/>
      <c r="EC541" s="29"/>
      <c r="ED541" s="29"/>
      <c r="EE541" s="29"/>
      <c r="EF541" s="29"/>
      <c r="EG541" s="29"/>
      <c r="EH541" s="29"/>
      <c r="EI541" s="29"/>
      <c r="EJ541" s="29"/>
      <c r="EK541" s="29"/>
      <c r="EL541" s="29"/>
      <c r="EM541" s="29"/>
      <c r="EN541" s="29"/>
      <c r="EO541" s="29"/>
      <c r="EP541" s="29"/>
      <c r="EQ541" s="29"/>
      <c r="ER541" s="29"/>
      <c r="ES541" s="29"/>
      <c r="ET541" s="29"/>
      <c r="EU541" s="29"/>
      <c r="EV541" s="29"/>
      <c r="EW541" s="29"/>
      <c r="EX541" s="29"/>
      <c r="EY541" s="29"/>
      <c r="EZ541" s="29"/>
      <c r="FA541" s="29"/>
      <c r="FB541" s="29"/>
      <c r="FC541" s="29"/>
      <c r="FD541" s="29"/>
      <c r="FE541" s="29"/>
      <c r="FF541" s="29"/>
      <c r="FG541" s="29"/>
      <c r="FH541" s="29"/>
      <c r="FI541" s="29"/>
      <c r="FJ541" s="29"/>
      <c r="FK541" s="29"/>
      <c r="FL541" s="29"/>
      <c r="FM541" s="29"/>
      <c r="FN541" s="29"/>
      <c r="FO541" s="29"/>
      <c r="FP541" s="29"/>
      <c r="FQ541" s="29"/>
      <c r="FR541" s="29"/>
      <c r="FS541" s="29"/>
      <c r="FT541" s="29"/>
      <c r="FU541" s="29"/>
      <c r="FV541" s="29"/>
      <c r="FW541" s="29"/>
      <c r="FX541" s="29"/>
      <c r="FY541" s="29"/>
      <c r="FZ541" s="29"/>
      <c r="GA541" s="29"/>
      <c r="GB541" s="29"/>
      <c r="GC541" s="29"/>
      <c r="GD541" s="29"/>
      <c r="GE541" s="29"/>
      <c r="GF541" s="29"/>
      <c r="GG541" s="29"/>
      <c r="GH541" s="29"/>
      <c r="GI541" s="29"/>
      <c r="GJ541" s="29"/>
      <c r="GK541" s="29"/>
      <c r="GL541" s="29"/>
      <c r="GM541" s="29"/>
      <c r="GN541" s="29"/>
      <c r="GO541" s="29"/>
      <c r="GP541" s="29"/>
      <c r="GQ541" s="29"/>
      <c r="GR541" s="29"/>
      <c r="GS541" s="29"/>
      <c r="GT541" s="29"/>
      <c r="GU541" s="29"/>
      <c r="HP541" s="31"/>
      <c r="MX541" s="29"/>
      <c r="MY541" s="29"/>
    </row>
    <row r="542" ht="16.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c r="BC542" s="29"/>
      <c r="BD542" s="29"/>
      <c r="BE542" s="29"/>
      <c r="BF542" s="29"/>
      <c r="BG542" s="29"/>
      <c r="BH542" s="29"/>
      <c r="BI542" s="29"/>
      <c r="BJ542" s="29"/>
      <c r="BK542" s="29"/>
      <c r="BL542" s="29"/>
      <c r="BM542" s="29"/>
      <c r="BN542" s="29"/>
      <c r="BO542" s="29"/>
      <c r="BP542" s="29"/>
      <c r="BQ542" s="29"/>
      <c r="BR542" s="29"/>
      <c r="BS542" s="29"/>
      <c r="BT542" s="29"/>
      <c r="BU542" s="29"/>
      <c r="BV542" s="29"/>
      <c r="BW542" s="29"/>
      <c r="BX542" s="29"/>
      <c r="BY542" s="29"/>
      <c r="BZ542" s="29"/>
      <c r="CA542" s="29"/>
      <c r="CB542" s="29"/>
      <c r="CC542" s="29"/>
      <c r="CD542" s="29"/>
      <c r="CE542" s="29"/>
      <c r="CF542" s="29"/>
      <c r="CG542" s="29"/>
      <c r="CH542" s="29"/>
      <c r="CI542" s="29"/>
      <c r="CJ542" s="29"/>
      <c r="CK542" s="29"/>
      <c r="CL542" s="29"/>
      <c r="CM542" s="29"/>
      <c r="CN542" s="29"/>
      <c r="CO542" s="29"/>
      <c r="CP542" s="29"/>
      <c r="CQ542" s="29"/>
      <c r="CR542" s="29"/>
      <c r="CS542" s="29"/>
      <c r="CT542" s="29"/>
      <c r="CU542" s="29"/>
      <c r="CV542" s="29"/>
      <c r="CW542" s="29"/>
      <c r="CX542" s="29"/>
      <c r="CY542" s="29"/>
      <c r="CZ542" s="29"/>
      <c r="DA542" s="29"/>
      <c r="DB542" s="29"/>
      <c r="DC542" s="29"/>
      <c r="DD542" s="29"/>
      <c r="DE542" s="29"/>
      <c r="DF542" s="29"/>
      <c r="DG542" s="29"/>
      <c r="DH542" s="29"/>
      <c r="DI542" s="29"/>
      <c r="DJ542" s="29"/>
      <c r="DK542" s="29"/>
      <c r="DL542" s="29"/>
      <c r="DM542" s="29"/>
      <c r="DN542" s="29"/>
      <c r="DO542" s="29"/>
      <c r="DP542" s="29"/>
      <c r="DQ542" s="29"/>
      <c r="DR542" s="29"/>
      <c r="DS542" s="29"/>
      <c r="DT542" s="29"/>
      <c r="DU542" s="29"/>
      <c r="DV542" s="29"/>
      <c r="DW542" s="29"/>
      <c r="DX542" s="29"/>
      <c r="DY542" s="29"/>
      <c r="DZ542" s="29"/>
      <c r="EA542" s="29"/>
      <c r="EB542" s="29"/>
      <c r="EC542" s="29"/>
      <c r="ED542" s="29"/>
      <c r="EE542" s="29"/>
      <c r="EF542" s="29"/>
      <c r="EG542" s="29"/>
      <c r="EH542" s="29"/>
      <c r="EI542" s="29"/>
      <c r="EJ542" s="29"/>
      <c r="EK542" s="29"/>
      <c r="EL542" s="29"/>
      <c r="EM542" s="29"/>
      <c r="EN542" s="29"/>
      <c r="EO542" s="29"/>
      <c r="EP542" s="29"/>
      <c r="EQ542" s="29"/>
      <c r="ER542" s="29"/>
      <c r="ES542" s="29"/>
      <c r="ET542" s="29"/>
      <c r="EU542" s="29"/>
      <c r="EV542" s="29"/>
      <c r="EW542" s="29"/>
      <c r="EX542" s="29"/>
      <c r="EY542" s="29"/>
      <c r="EZ542" s="29"/>
      <c r="FA542" s="29"/>
      <c r="FB542" s="29"/>
      <c r="FC542" s="29"/>
      <c r="FD542" s="29"/>
      <c r="FE542" s="29"/>
      <c r="FF542" s="29"/>
      <c r="FG542" s="29"/>
      <c r="FH542" s="29"/>
      <c r="FI542" s="29"/>
      <c r="FJ542" s="29"/>
      <c r="FK542" s="29"/>
      <c r="FL542" s="29"/>
      <c r="FM542" s="29"/>
      <c r="FN542" s="29"/>
      <c r="FO542" s="29"/>
      <c r="FP542" s="29"/>
      <c r="FQ542" s="29"/>
      <c r="FR542" s="29"/>
      <c r="FS542" s="29"/>
      <c r="FT542" s="29"/>
      <c r="FU542" s="29"/>
      <c r="FV542" s="29"/>
      <c r="FW542" s="29"/>
      <c r="FX542" s="29"/>
      <c r="FY542" s="29"/>
      <c r="FZ542" s="29"/>
      <c r="GA542" s="29"/>
      <c r="GB542" s="29"/>
      <c r="GC542" s="29"/>
      <c r="GD542" s="29"/>
      <c r="GE542" s="29"/>
      <c r="GF542" s="29"/>
      <c r="GG542" s="29"/>
      <c r="GH542" s="29"/>
      <c r="GI542" s="29"/>
      <c r="GJ542" s="29"/>
      <c r="GK542" s="29"/>
      <c r="GL542" s="29"/>
      <c r="GM542" s="29"/>
      <c r="GN542" s="29"/>
      <c r="GO542" s="29"/>
      <c r="GP542" s="29"/>
      <c r="GQ542" s="29"/>
      <c r="GR542" s="29"/>
      <c r="GS542" s="29"/>
      <c r="GT542" s="29"/>
      <c r="GU542" s="29"/>
      <c r="HP542" s="31"/>
      <c r="MX542" s="29"/>
      <c r="MY542" s="29"/>
    </row>
    <row r="543" ht="16.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c r="BO543" s="29"/>
      <c r="BP543" s="29"/>
      <c r="BQ543" s="29"/>
      <c r="BR543" s="29"/>
      <c r="BS543" s="29"/>
      <c r="BT543" s="29"/>
      <c r="BU543" s="29"/>
      <c r="BV543" s="29"/>
      <c r="BW543" s="29"/>
      <c r="BX543" s="29"/>
      <c r="BY543" s="29"/>
      <c r="BZ543" s="29"/>
      <c r="CA543" s="29"/>
      <c r="CB543" s="29"/>
      <c r="CC543" s="29"/>
      <c r="CD543" s="29"/>
      <c r="CE543" s="29"/>
      <c r="CF543" s="29"/>
      <c r="CG543" s="29"/>
      <c r="CH543" s="29"/>
      <c r="CI543" s="29"/>
      <c r="CJ543" s="29"/>
      <c r="CK543" s="29"/>
      <c r="CL543" s="29"/>
      <c r="CM543" s="29"/>
      <c r="CN543" s="29"/>
      <c r="CO543" s="29"/>
      <c r="CP543" s="29"/>
      <c r="CQ543" s="29"/>
      <c r="CR543" s="29"/>
      <c r="CS543" s="29"/>
      <c r="CT543" s="29"/>
      <c r="CU543" s="29"/>
      <c r="CV543" s="29"/>
      <c r="CW543" s="29"/>
      <c r="CX543" s="29"/>
      <c r="CY543" s="29"/>
      <c r="CZ543" s="29"/>
      <c r="DA543" s="29"/>
      <c r="DB543" s="29"/>
      <c r="DC543" s="29"/>
      <c r="DD543" s="29"/>
      <c r="DE543" s="29"/>
      <c r="DF543" s="29"/>
      <c r="DG543" s="29"/>
      <c r="DH543" s="29"/>
      <c r="DI543" s="29"/>
      <c r="DJ543" s="29"/>
      <c r="DK543" s="29"/>
      <c r="DL543" s="29"/>
      <c r="DM543" s="29"/>
      <c r="DN543" s="29"/>
      <c r="DO543" s="29"/>
      <c r="DP543" s="29"/>
      <c r="DQ543" s="29"/>
      <c r="DR543" s="29"/>
      <c r="DS543" s="29"/>
      <c r="DT543" s="29"/>
      <c r="DU543" s="29"/>
      <c r="DV543" s="29"/>
      <c r="DW543" s="29"/>
      <c r="DX543" s="29"/>
      <c r="DY543" s="29"/>
      <c r="DZ543" s="29"/>
      <c r="EA543" s="29"/>
      <c r="EB543" s="29"/>
      <c r="EC543" s="29"/>
      <c r="ED543" s="29"/>
      <c r="EE543" s="29"/>
      <c r="EF543" s="29"/>
      <c r="EG543" s="29"/>
      <c r="EH543" s="29"/>
      <c r="EI543" s="29"/>
      <c r="EJ543" s="29"/>
      <c r="EK543" s="29"/>
      <c r="EL543" s="29"/>
      <c r="EM543" s="29"/>
      <c r="EN543" s="29"/>
      <c r="EO543" s="29"/>
      <c r="EP543" s="29"/>
      <c r="EQ543" s="29"/>
      <c r="ER543" s="29"/>
      <c r="ES543" s="29"/>
      <c r="ET543" s="29"/>
      <c r="EU543" s="29"/>
      <c r="EV543" s="29"/>
      <c r="EW543" s="29"/>
      <c r="EX543" s="29"/>
      <c r="EY543" s="29"/>
      <c r="EZ543" s="29"/>
      <c r="FA543" s="29"/>
      <c r="FB543" s="29"/>
      <c r="FC543" s="29"/>
      <c r="FD543" s="29"/>
      <c r="FE543" s="29"/>
      <c r="FF543" s="29"/>
      <c r="FG543" s="29"/>
      <c r="FH543" s="29"/>
      <c r="FI543" s="29"/>
      <c r="FJ543" s="29"/>
      <c r="FK543" s="29"/>
      <c r="FL543" s="29"/>
      <c r="FM543" s="29"/>
      <c r="FN543" s="29"/>
      <c r="FO543" s="29"/>
      <c r="FP543" s="29"/>
      <c r="FQ543" s="29"/>
      <c r="FR543" s="29"/>
      <c r="FS543" s="29"/>
      <c r="FT543" s="29"/>
      <c r="FU543" s="29"/>
      <c r="FV543" s="29"/>
      <c r="FW543" s="29"/>
      <c r="FX543" s="29"/>
      <c r="FY543" s="29"/>
      <c r="FZ543" s="29"/>
      <c r="GA543" s="29"/>
      <c r="GB543" s="29"/>
      <c r="GC543" s="29"/>
      <c r="GD543" s="29"/>
      <c r="GE543" s="29"/>
      <c r="GF543" s="29"/>
      <c r="GG543" s="29"/>
      <c r="GH543" s="29"/>
      <c r="GI543" s="29"/>
      <c r="GJ543" s="29"/>
      <c r="GK543" s="29"/>
      <c r="GL543" s="29"/>
      <c r="GM543" s="29"/>
      <c r="GN543" s="29"/>
      <c r="GO543" s="29"/>
      <c r="GP543" s="29"/>
      <c r="GQ543" s="29"/>
      <c r="GR543" s="29"/>
      <c r="GS543" s="29"/>
      <c r="GT543" s="29"/>
      <c r="GU543" s="29"/>
      <c r="HP543" s="31"/>
      <c r="MX543" s="29"/>
      <c r="MY543" s="29"/>
    </row>
    <row r="544" ht="16.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c r="BC544" s="29"/>
      <c r="BD544" s="29"/>
      <c r="BE544" s="29"/>
      <c r="BF544" s="29"/>
      <c r="BG544" s="29"/>
      <c r="BH544" s="29"/>
      <c r="BI544" s="29"/>
      <c r="BJ544" s="29"/>
      <c r="BK544" s="29"/>
      <c r="BL544" s="29"/>
      <c r="BM544" s="29"/>
      <c r="BN544" s="29"/>
      <c r="BO544" s="29"/>
      <c r="BP544" s="29"/>
      <c r="BQ544" s="29"/>
      <c r="BR544" s="29"/>
      <c r="BS544" s="29"/>
      <c r="BT544" s="29"/>
      <c r="BU544" s="29"/>
      <c r="BV544" s="29"/>
      <c r="BW544" s="29"/>
      <c r="BX544" s="29"/>
      <c r="BY544" s="29"/>
      <c r="BZ544" s="29"/>
      <c r="CA544" s="29"/>
      <c r="CB544" s="29"/>
      <c r="CC544" s="29"/>
      <c r="CD544" s="29"/>
      <c r="CE544" s="29"/>
      <c r="CF544" s="29"/>
      <c r="CG544" s="29"/>
      <c r="CH544" s="29"/>
      <c r="CI544" s="29"/>
      <c r="CJ544" s="29"/>
      <c r="CK544" s="29"/>
      <c r="CL544" s="29"/>
      <c r="CM544" s="29"/>
      <c r="CN544" s="29"/>
      <c r="CO544" s="29"/>
      <c r="CP544" s="29"/>
      <c r="CQ544" s="29"/>
      <c r="CR544" s="29"/>
      <c r="CS544" s="29"/>
      <c r="CT544" s="29"/>
      <c r="CU544" s="29"/>
      <c r="CV544" s="29"/>
      <c r="CW544" s="29"/>
      <c r="CX544" s="29"/>
      <c r="CY544" s="29"/>
      <c r="CZ544" s="29"/>
      <c r="DA544" s="29"/>
      <c r="DB544" s="29"/>
      <c r="DC544" s="29"/>
      <c r="DD544" s="29"/>
      <c r="DE544" s="29"/>
      <c r="DF544" s="29"/>
      <c r="DG544" s="29"/>
      <c r="DH544" s="29"/>
      <c r="DI544" s="29"/>
      <c r="DJ544" s="29"/>
      <c r="DK544" s="29"/>
      <c r="DL544" s="29"/>
      <c r="DM544" s="29"/>
      <c r="DN544" s="29"/>
      <c r="DO544" s="29"/>
      <c r="DP544" s="29"/>
      <c r="DQ544" s="29"/>
      <c r="DR544" s="29"/>
      <c r="DS544" s="29"/>
      <c r="DT544" s="29"/>
      <c r="DU544" s="29"/>
      <c r="DV544" s="29"/>
      <c r="DW544" s="29"/>
      <c r="DX544" s="29"/>
      <c r="DY544" s="29"/>
      <c r="DZ544" s="29"/>
      <c r="EA544" s="29"/>
      <c r="EB544" s="29"/>
      <c r="EC544" s="29"/>
      <c r="ED544" s="29"/>
      <c r="EE544" s="29"/>
      <c r="EF544" s="29"/>
      <c r="EG544" s="29"/>
      <c r="EH544" s="29"/>
      <c r="EI544" s="29"/>
      <c r="EJ544" s="29"/>
      <c r="EK544" s="29"/>
      <c r="EL544" s="29"/>
      <c r="EM544" s="29"/>
      <c r="EN544" s="29"/>
      <c r="EO544" s="29"/>
      <c r="EP544" s="29"/>
      <c r="EQ544" s="29"/>
      <c r="ER544" s="29"/>
      <c r="ES544" s="29"/>
      <c r="ET544" s="29"/>
      <c r="EU544" s="29"/>
      <c r="EV544" s="29"/>
      <c r="EW544" s="29"/>
      <c r="EX544" s="29"/>
      <c r="EY544" s="29"/>
      <c r="EZ544" s="29"/>
      <c r="FA544" s="29"/>
      <c r="FB544" s="29"/>
      <c r="FC544" s="29"/>
      <c r="FD544" s="29"/>
      <c r="FE544" s="29"/>
      <c r="FF544" s="29"/>
      <c r="FG544" s="29"/>
      <c r="FH544" s="29"/>
      <c r="FI544" s="29"/>
      <c r="FJ544" s="29"/>
      <c r="FK544" s="29"/>
      <c r="FL544" s="29"/>
      <c r="FM544" s="29"/>
      <c r="FN544" s="29"/>
      <c r="FO544" s="29"/>
      <c r="FP544" s="29"/>
      <c r="FQ544" s="29"/>
      <c r="FR544" s="29"/>
      <c r="FS544" s="29"/>
      <c r="FT544" s="29"/>
      <c r="FU544" s="29"/>
      <c r="FV544" s="29"/>
      <c r="FW544" s="29"/>
      <c r="FX544" s="29"/>
      <c r="FY544" s="29"/>
      <c r="FZ544" s="29"/>
      <c r="GA544" s="29"/>
      <c r="GB544" s="29"/>
      <c r="GC544" s="29"/>
      <c r="GD544" s="29"/>
      <c r="GE544" s="29"/>
      <c r="GF544" s="29"/>
      <c r="GG544" s="29"/>
      <c r="GH544" s="29"/>
      <c r="GI544" s="29"/>
      <c r="GJ544" s="29"/>
      <c r="GK544" s="29"/>
      <c r="GL544" s="29"/>
      <c r="GM544" s="29"/>
      <c r="GN544" s="29"/>
      <c r="GO544" s="29"/>
      <c r="GP544" s="29"/>
      <c r="GQ544" s="29"/>
      <c r="GR544" s="29"/>
      <c r="GS544" s="29"/>
      <c r="GT544" s="29"/>
      <c r="GU544" s="29"/>
      <c r="HP544" s="31"/>
      <c r="MX544" s="29"/>
      <c r="MY544" s="29"/>
    </row>
    <row r="545" ht="16.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c r="BO545" s="29"/>
      <c r="BP545" s="29"/>
      <c r="BQ545" s="29"/>
      <c r="BR545" s="29"/>
      <c r="BS545" s="29"/>
      <c r="BT545" s="29"/>
      <c r="BU545" s="29"/>
      <c r="BV545" s="29"/>
      <c r="BW545" s="29"/>
      <c r="BX545" s="29"/>
      <c r="BY545" s="29"/>
      <c r="BZ545" s="29"/>
      <c r="CA545" s="29"/>
      <c r="CB545" s="29"/>
      <c r="CC545" s="29"/>
      <c r="CD545" s="29"/>
      <c r="CE545" s="29"/>
      <c r="CF545" s="29"/>
      <c r="CG545" s="29"/>
      <c r="CH545" s="29"/>
      <c r="CI545" s="29"/>
      <c r="CJ545" s="29"/>
      <c r="CK545" s="29"/>
      <c r="CL545" s="29"/>
      <c r="CM545" s="29"/>
      <c r="CN545" s="29"/>
      <c r="CO545" s="29"/>
      <c r="CP545" s="29"/>
      <c r="CQ545" s="29"/>
      <c r="CR545" s="29"/>
      <c r="CS545" s="29"/>
      <c r="CT545" s="29"/>
      <c r="CU545" s="29"/>
      <c r="CV545" s="29"/>
      <c r="CW545" s="29"/>
      <c r="CX545" s="29"/>
      <c r="CY545" s="29"/>
      <c r="CZ545" s="29"/>
      <c r="DA545" s="29"/>
      <c r="DB545" s="29"/>
      <c r="DC545" s="29"/>
      <c r="DD545" s="29"/>
      <c r="DE545" s="29"/>
      <c r="DF545" s="29"/>
      <c r="DG545" s="29"/>
      <c r="DH545" s="29"/>
      <c r="DI545" s="29"/>
      <c r="DJ545" s="29"/>
      <c r="DK545" s="29"/>
      <c r="DL545" s="29"/>
      <c r="DM545" s="29"/>
      <c r="DN545" s="29"/>
      <c r="DO545" s="29"/>
      <c r="DP545" s="29"/>
      <c r="DQ545" s="29"/>
      <c r="DR545" s="29"/>
      <c r="DS545" s="29"/>
      <c r="DT545" s="29"/>
      <c r="DU545" s="29"/>
      <c r="DV545" s="29"/>
      <c r="DW545" s="29"/>
      <c r="DX545" s="29"/>
      <c r="DY545" s="29"/>
      <c r="DZ545" s="29"/>
      <c r="EA545" s="29"/>
      <c r="EB545" s="29"/>
      <c r="EC545" s="29"/>
      <c r="ED545" s="29"/>
      <c r="EE545" s="29"/>
      <c r="EF545" s="29"/>
      <c r="EG545" s="29"/>
      <c r="EH545" s="29"/>
      <c r="EI545" s="29"/>
      <c r="EJ545" s="29"/>
      <c r="EK545" s="29"/>
      <c r="EL545" s="29"/>
      <c r="EM545" s="29"/>
      <c r="EN545" s="29"/>
      <c r="EO545" s="29"/>
      <c r="EP545" s="29"/>
      <c r="EQ545" s="29"/>
      <c r="ER545" s="29"/>
      <c r="ES545" s="29"/>
      <c r="ET545" s="29"/>
      <c r="EU545" s="29"/>
      <c r="EV545" s="29"/>
      <c r="EW545" s="29"/>
      <c r="EX545" s="29"/>
      <c r="EY545" s="29"/>
      <c r="EZ545" s="29"/>
      <c r="FA545" s="29"/>
      <c r="FB545" s="29"/>
      <c r="FC545" s="29"/>
      <c r="FD545" s="29"/>
      <c r="FE545" s="29"/>
      <c r="FF545" s="29"/>
      <c r="FG545" s="29"/>
      <c r="FH545" s="29"/>
      <c r="FI545" s="29"/>
      <c r="FJ545" s="29"/>
      <c r="FK545" s="29"/>
      <c r="FL545" s="29"/>
      <c r="FM545" s="29"/>
      <c r="FN545" s="29"/>
      <c r="FO545" s="29"/>
      <c r="FP545" s="29"/>
      <c r="FQ545" s="29"/>
      <c r="FR545" s="29"/>
      <c r="FS545" s="29"/>
      <c r="FT545" s="29"/>
      <c r="FU545" s="29"/>
      <c r="FV545" s="29"/>
      <c r="FW545" s="29"/>
      <c r="FX545" s="29"/>
      <c r="FY545" s="29"/>
      <c r="FZ545" s="29"/>
      <c r="GA545" s="29"/>
      <c r="GB545" s="29"/>
      <c r="GC545" s="29"/>
      <c r="GD545" s="29"/>
      <c r="GE545" s="29"/>
      <c r="GF545" s="29"/>
      <c r="GG545" s="29"/>
      <c r="GH545" s="29"/>
      <c r="GI545" s="29"/>
      <c r="GJ545" s="29"/>
      <c r="GK545" s="29"/>
      <c r="GL545" s="29"/>
      <c r="GM545" s="29"/>
      <c r="GN545" s="29"/>
      <c r="GO545" s="29"/>
      <c r="GP545" s="29"/>
      <c r="GQ545" s="29"/>
      <c r="GR545" s="29"/>
      <c r="GS545" s="29"/>
      <c r="GT545" s="29"/>
      <c r="GU545" s="29"/>
      <c r="HP545" s="31"/>
      <c r="MX545" s="29"/>
      <c r="MY545" s="29"/>
    </row>
    <row r="546" ht="16.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c r="BC546" s="29"/>
      <c r="BD546" s="29"/>
      <c r="BE546" s="29"/>
      <c r="BF546" s="29"/>
      <c r="BG546" s="29"/>
      <c r="BH546" s="29"/>
      <c r="BI546" s="29"/>
      <c r="BJ546" s="29"/>
      <c r="BK546" s="29"/>
      <c r="BL546" s="29"/>
      <c r="BM546" s="29"/>
      <c r="BN546" s="29"/>
      <c r="BO546" s="29"/>
      <c r="BP546" s="29"/>
      <c r="BQ546" s="29"/>
      <c r="BR546" s="29"/>
      <c r="BS546" s="29"/>
      <c r="BT546" s="29"/>
      <c r="BU546" s="29"/>
      <c r="BV546" s="29"/>
      <c r="BW546" s="29"/>
      <c r="BX546" s="29"/>
      <c r="BY546" s="29"/>
      <c r="BZ546" s="29"/>
      <c r="CA546" s="29"/>
      <c r="CB546" s="29"/>
      <c r="CC546" s="29"/>
      <c r="CD546" s="29"/>
      <c r="CE546" s="29"/>
      <c r="CF546" s="29"/>
      <c r="CG546" s="29"/>
      <c r="CH546" s="29"/>
      <c r="CI546" s="29"/>
      <c r="CJ546" s="29"/>
      <c r="CK546" s="29"/>
      <c r="CL546" s="29"/>
      <c r="CM546" s="29"/>
      <c r="CN546" s="29"/>
      <c r="CO546" s="29"/>
      <c r="CP546" s="29"/>
      <c r="CQ546" s="29"/>
      <c r="CR546" s="29"/>
      <c r="CS546" s="29"/>
      <c r="CT546" s="29"/>
      <c r="CU546" s="29"/>
      <c r="CV546" s="29"/>
      <c r="CW546" s="29"/>
      <c r="CX546" s="29"/>
      <c r="CY546" s="29"/>
      <c r="CZ546" s="29"/>
      <c r="DA546" s="29"/>
      <c r="DB546" s="29"/>
      <c r="DC546" s="29"/>
      <c r="DD546" s="29"/>
      <c r="DE546" s="29"/>
      <c r="DF546" s="29"/>
      <c r="DG546" s="29"/>
      <c r="DH546" s="29"/>
      <c r="DI546" s="29"/>
      <c r="DJ546" s="29"/>
      <c r="DK546" s="29"/>
      <c r="DL546" s="29"/>
      <c r="DM546" s="29"/>
      <c r="DN546" s="29"/>
      <c r="DO546" s="29"/>
      <c r="DP546" s="29"/>
      <c r="DQ546" s="29"/>
      <c r="DR546" s="29"/>
      <c r="DS546" s="29"/>
      <c r="DT546" s="29"/>
      <c r="DU546" s="29"/>
      <c r="DV546" s="29"/>
      <c r="DW546" s="29"/>
      <c r="DX546" s="29"/>
      <c r="DY546" s="29"/>
      <c r="DZ546" s="29"/>
      <c r="EA546" s="29"/>
      <c r="EB546" s="29"/>
      <c r="EC546" s="29"/>
      <c r="ED546" s="29"/>
      <c r="EE546" s="29"/>
      <c r="EF546" s="29"/>
      <c r="EG546" s="29"/>
      <c r="EH546" s="29"/>
      <c r="EI546" s="29"/>
      <c r="EJ546" s="29"/>
      <c r="EK546" s="29"/>
      <c r="EL546" s="29"/>
      <c r="EM546" s="29"/>
      <c r="EN546" s="29"/>
      <c r="EO546" s="29"/>
      <c r="EP546" s="29"/>
      <c r="EQ546" s="29"/>
      <c r="ER546" s="29"/>
      <c r="ES546" s="29"/>
      <c r="ET546" s="29"/>
      <c r="EU546" s="29"/>
      <c r="EV546" s="29"/>
      <c r="EW546" s="29"/>
      <c r="EX546" s="29"/>
      <c r="EY546" s="29"/>
      <c r="EZ546" s="29"/>
      <c r="FA546" s="29"/>
      <c r="FB546" s="29"/>
      <c r="FC546" s="29"/>
      <c r="FD546" s="29"/>
      <c r="FE546" s="29"/>
      <c r="FF546" s="29"/>
      <c r="FG546" s="29"/>
      <c r="FH546" s="29"/>
      <c r="FI546" s="29"/>
      <c r="FJ546" s="29"/>
      <c r="FK546" s="29"/>
      <c r="FL546" s="29"/>
      <c r="FM546" s="29"/>
      <c r="FN546" s="29"/>
      <c r="FO546" s="29"/>
      <c r="FP546" s="29"/>
      <c r="FQ546" s="29"/>
      <c r="FR546" s="29"/>
      <c r="FS546" s="29"/>
      <c r="FT546" s="29"/>
      <c r="FU546" s="29"/>
      <c r="FV546" s="29"/>
      <c r="FW546" s="29"/>
      <c r="FX546" s="29"/>
      <c r="FY546" s="29"/>
      <c r="FZ546" s="29"/>
      <c r="GA546" s="29"/>
      <c r="GB546" s="29"/>
      <c r="GC546" s="29"/>
      <c r="GD546" s="29"/>
      <c r="GE546" s="29"/>
      <c r="GF546" s="29"/>
      <c r="GG546" s="29"/>
      <c r="GH546" s="29"/>
      <c r="GI546" s="29"/>
      <c r="GJ546" s="29"/>
      <c r="GK546" s="29"/>
      <c r="GL546" s="29"/>
      <c r="GM546" s="29"/>
      <c r="GN546" s="29"/>
      <c r="GO546" s="29"/>
      <c r="GP546" s="29"/>
      <c r="GQ546" s="29"/>
      <c r="GR546" s="29"/>
      <c r="GS546" s="29"/>
      <c r="GT546" s="29"/>
      <c r="GU546" s="29"/>
      <c r="HP546" s="31"/>
      <c r="MX546" s="29"/>
      <c r="MY546" s="29"/>
    </row>
    <row r="547" ht="16.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c r="BO547" s="29"/>
      <c r="BP547" s="29"/>
      <c r="BQ547" s="29"/>
      <c r="BR547" s="29"/>
      <c r="BS547" s="29"/>
      <c r="BT547" s="29"/>
      <c r="BU547" s="29"/>
      <c r="BV547" s="29"/>
      <c r="BW547" s="29"/>
      <c r="BX547" s="29"/>
      <c r="BY547" s="29"/>
      <c r="BZ547" s="29"/>
      <c r="CA547" s="29"/>
      <c r="CB547" s="29"/>
      <c r="CC547" s="29"/>
      <c r="CD547" s="29"/>
      <c r="CE547" s="29"/>
      <c r="CF547" s="29"/>
      <c r="CG547" s="29"/>
      <c r="CH547" s="29"/>
      <c r="CI547" s="29"/>
      <c r="CJ547" s="29"/>
      <c r="CK547" s="29"/>
      <c r="CL547" s="29"/>
      <c r="CM547" s="29"/>
      <c r="CN547" s="29"/>
      <c r="CO547" s="29"/>
      <c r="CP547" s="29"/>
      <c r="CQ547" s="29"/>
      <c r="CR547" s="29"/>
      <c r="CS547" s="29"/>
      <c r="CT547" s="29"/>
      <c r="CU547" s="29"/>
      <c r="CV547" s="29"/>
      <c r="CW547" s="29"/>
      <c r="CX547" s="29"/>
      <c r="CY547" s="29"/>
      <c r="CZ547" s="29"/>
      <c r="DA547" s="29"/>
      <c r="DB547" s="29"/>
      <c r="DC547" s="29"/>
      <c r="DD547" s="29"/>
      <c r="DE547" s="29"/>
      <c r="DF547" s="29"/>
      <c r="DG547" s="29"/>
      <c r="DH547" s="29"/>
      <c r="DI547" s="29"/>
      <c r="DJ547" s="29"/>
      <c r="DK547" s="29"/>
      <c r="DL547" s="29"/>
      <c r="DM547" s="29"/>
      <c r="DN547" s="29"/>
      <c r="DO547" s="29"/>
      <c r="DP547" s="29"/>
      <c r="DQ547" s="29"/>
      <c r="DR547" s="29"/>
      <c r="DS547" s="29"/>
      <c r="DT547" s="29"/>
      <c r="DU547" s="29"/>
      <c r="DV547" s="29"/>
      <c r="DW547" s="29"/>
      <c r="DX547" s="29"/>
      <c r="DY547" s="29"/>
      <c r="DZ547" s="29"/>
      <c r="EA547" s="29"/>
      <c r="EB547" s="29"/>
      <c r="EC547" s="29"/>
      <c r="ED547" s="29"/>
      <c r="EE547" s="29"/>
      <c r="EF547" s="29"/>
      <c r="EG547" s="29"/>
      <c r="EH547" s="29"/>
      <c r="EI547" s="29"/>
      <c r="EJ547" s="29"/>
      <c r="EK547" s="29"/>
      <c r="EL547" s="29"/>
      <c r="EM547" s="29"/>
      <c r="EN547" s="29"/>
      <c r="EO547" s="29"/>
      <c r="EP547" s="29"/>
      <c r="EQ547" s="29"/>
      <c r="ER547" s="29"/>
      <c r="ES547" s="29"/>
      <c r="ET547" s="29"/>
      <c r="EU547" s="29"/>
      <c r="EV547" s="29"/>
      <c r="EW547" s="29"/>
      <c r="EX547" s="29"/>
      <c r="EY547" s="29"/>
      <c r="EZ547" s="29"/>
      <c r="FA547" s="29"/>
      <c r="FB547" s="29"/>
      <c r="FC547" s="29"/>
      <c r="FD547" s="29"/>
      <c r="FE547" s="29"/>
      <c r="FF547" s="29"/>
      <c r="FG547" s="29"/>
      <c r="FH547" s="29"/>
      <c r="FI547" s="29"/>
      <c r="FJ547" s="29"/>
      <c r="FK547" s="29"/>
      <c r="FL547" s="29"/>
      <c r="FM547" s="29"/>
      <c r="FN547" s="29"/>
      <c r="FO547" s="29"/>
      <c r="FP547" s="29"/>
      <c r="FQ547" s="29"/>
      <c r="FR547" s="29"/>
      <c r="FS547" s="29"/>
      <c r="FT547" s="29"/>
      <c r="FU547" s="29"/>
      <c r="FV547" s="29"/>
      <c r="FW547" s="29"/>
      <c r="FX547" s="29"/>
      <c r="FY547" s="29"/>
      <c r="FZ547" s="29"/>
      <c r="GA547" s="29"/>
      <c r="GB547" s="29"/>
      <c r="GC547" s="29"/>
      <c r="GD547" s="29"/>
      <c r="GE547" s="29"/>
      <c r="GF547" s="29"/>
      <c r="GG547" s="29"/>
      <c r="GH547" s="29"/>
      <c r="GI547" s="29"/>
      <c r="GJ547" s="29"/>
      <c r="GK547" s="29"/>
      <c r="GL547" s="29"/>
      <c r="GM547" s="29"/>
      <c r="GN547" s="29"/>
      <c r="GO547" s="29"/>
      <c r="GP547" s="29"/>
      <c r="GQ547" s="29"/>
      <c r="GR547" s="29"/>
      <c r="GS547" s="29"/>
      <c r="GT547" s="29"/>
      <c r="GU547" s="29"/>
      <c r="HP547" s="31"/>
      <c r="MX547" s="29"/>
      <c r="MY547" s="29"/>
    </row>
    <row r="548" ht="16.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c r="AY548" s="29"/>
      <c r="AZ548" s="29"/>
      <c r="BA548" s="29"/>
      <c r="BB548" s="29"/>
      <c r="BC548" s="29"/>
      <c r="BD548" s="29"/>
      <c r="BE548" s="29"/>
      <c r="BF548" s="29"/>
      <c r="BG548" s="29"/>
      <c r="BH548" s="29"/>
      <c r="BI548" s="29"/>
      <c r="BJ548" s="29"/>
      <c r="BK548" s="29"/>
      <c r="BL548" s="29"/>
      <c r="BM548" s="29"/>
      <c r="BN548" s="29"/>
      <c r="BO548" s="29"/>
      <c r="BP548" s="29"/>
      <c r="BQ548" s="29"/>
      <c r="BR548" s="29"/>
      <c r="BS548" s="29"/>
      <c r="BT548" s="29"/>
      <c r="BU548" s="29"/>
      <c r="BV548" s="29"/>
      <c r="BW548" s="29"/>
      <c r="BX548" s="29"/>
      <c r="BY548" s="29"/>
      <c r="BZ548" s="29"/>
      <c r="CA548" s="29"/>
      <c r="CB548" s="29"/>
      <c r="CC548" s="29"/>
      <c r="CD548" s="29"/>
      <c r="CE548" s="29"/>
      <c r="CF548" s="29"/>
      <c r="CG548" s="29"/>
      <c r="CH548" s="29"/>
      <c r="CI548" s="29"/>
      <c r="CJ548" s="29"/>
      <c r="CK548" s="29"/>
      <c r="CL548" s="29"/>
      <c r="CM548" s="29"/>
      <c r="CN548" s="29"/>
      <c r="CO548" s="29"/>
      <c r="CP548" s="29"/>
      <c r="CQ548" s="29"/>
      <c r="CR548" s="29"/>
      <c r="CS548" s="29"/>
      <c r="CT548" s="29"/>
      <c r="CU548" s="29"/>
      <c r="CV548" s="29"/>
      <c r="CW548" s="29"/>
      <c r="CX548" s="29"/>
      <c r="CY548" s="29"/>
      <c r="CZ548" s="29"/>
      <c r="DA548" s="29"/>
      <c r="DB548" s="29"/>
      <c r="DC548" s="29"/>
      <c r="DD548" s="29"/>
      <c r="DE548" s="29"/>
      <c r="DF548" s="29"/>
      <c r="DG548" s="29"/>
      <c r="DH548" s="29"/>
      <c r="DI548" s="29"/>
      <c r="DJ548" s="29"/>
      <c r="DK548" s="29"/>
      <c r="DL548" s="29"/>
      <c r="DM548" s="29"/>
      <c r="DN548" s="29"/>
      <c r="DO548" s="29"/>
      <c r="DP548" s="29"/>
      <c r="DQ548" s="29"/>
      <c r="DR548" s="29"/>
      <c r="DS548" s="29"/>
      <c r="DT548" s="29"/>
      <c r="DU548" s="29"/>
      <c r="DV548" s="29"/>
      <c r="DW548" s="29"/>
      <c r="DX548" s="29"/>
      <c r="DY548" s="29"/>
      <c r="DZ548" s="29"/>
      <c r="EA548" s="29"/>
      <c r="EB548" s="29"/>
      <c r="EC548" s="29"/>
      <c r="ED548" s="29"/>
      <c r="EE548" s="29"/>
      <c r="EF548" s="29"/>
      <c r="EG548" s="29"/>
      <c r="EH548" s="29"/>
      <c r="EI548" s="29"/>
      <c r="EJ548" s="29"/>
      <c r="EK548" s="29"/>
      <c r="EL548" s="29"/>
      <c r="EM548" s="29"/>
      <c r="EN548" s="29"/>
      <c r="EO548" s="29"/>
      <c r="EP548" s="29"/>
      <c r="EQ548" s="29"/>
      <c r="ER548" s="29"/>
      <c r="ES548" s="29"/>
      <c r="ET548" s="29"/>
      <c r="EU548" s="29"/>
      <c r="EV548" s="29"/>
      <c r="EW548" s="29"/>
      <c r="EX548" s="29"/>
      <c r="EY548" s="29"/>
      <c r="EZ548" s="29"/>
      <c r="FA548" s="29"/>
      <c r="FB548" s="29"/>
      <c r="FC548" s="29"/>
      <c r="FD548" s="29"/>
      <c r="FE548" s="29"/>
      <c r="FF548" s="29"/>
      <c r="FG548" s="29"/>
      <c r="FH548" s="29"/>
      <c r="FI548" s="29"/>
      <c r="FJ548" s="29"/>
      <c r="FK548" s="29"/>
      <c r="FL548" s="29"/>
      <c r="FM548" s="29"/>
      <c r="FN548" s="29"/>
      <c r="FO548" s="29"/>
      <c r="FP548" s="29"/>
      <c r="FQ548" s="29"/>
      <c r="FR548" s="29"/>
      <c r="FS548" s="29"/>
      <c r="FT548" s="29"/>
      <c r="FU548" s="29"/>
      <c r="FV548" s="29"/>
      <c r="FW548" s="29"/>
      <c r="FX548" s="29"/>
      <c r="FY548" s="29"/>
      <c r="FZ548" s="29"/>
      <c r="GA548" s="29"/>
      <c r="GB548" s="29"/>
      <c r="GC548" s="29"/>
      <c r="GD548" s="29"/>
      <c r="GE548" s="29"/>
      <c r="GF548" s="29"/>
      <c r="GG548" s="29"/>
      <c r="GH548" s="29"/>
      <c r="GI548" s="29"/>
      <c r="GJ548" s="29"/>
      <c r="GK548" s="29"/>
      <c r="GL548" s="29"/>
      <c r="GM548" s="29"/>
      <c r="GN548" s="29"/>
      <c r="GO548" s="29"/>
      <c r="GP548" s="29"/>
      <c r="GQ548" s="29"/>
      <c r="GR548" s="29"/>
      <c r="GS548" s="29"/>
      <c r="GT548" s="29"/>
      <c r="GU548" s="29"/>
      <c r="HP548" s="31"/>
      <c r="MX548" s="29"/>
      <c r="MY548" s="29"/>
    </row>
    <row r="549" ht="16.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c r="BO549" s="29"/>
      <c r="BP549" s="29"/>
      <c r="BQ549" s="29"/>
      <c r="BR549" s="29"/>
      <c r="BS549" s="29"/>
      <c r="BT549" s="29"/>
      <c r="BU549" s="29"/>
      <c r="BV549" s="29"/>
      <c r="BW549" s="29"/>
      <c r="BX549" s="29"/>
      <c r="BY549" s="29"/>
      <c r="BZ549" s="29"/>
      <c r="CA549" s="29"/>
      <c r="CB549" s="29"/>
      <c r="CC549" s="29"/>
      <c r="CD549" s="29"/>
      <c r="CE549" s="29"/>
      <c r="CF549" s="29"/>
      <c r="CG549" s="29"/>
      <c r="CH549" s="29"/>
      <c r="CI549" s="29"/>
      <c r="CJ549" s="29"/>
      <c r="CK549" s="29"/>
      <c r="CL549" s="29"/>
      <c r="CM549" s="29"/>
      <c r="CN549" s="29"/>
      <c r="CO549" s="29"/>
      <c r="CP549" s="29"/>
      <c r="CQ549" s="29"/>
      <c r="CR549" s="29"/>
      <c r="CS549" s="29"/>
      <c r="CT549" s="29"/>
      <c r="CU549" s="29"/>
      <c r="CV549" s="29"/>
      <c r="CW549" s="29"/>
      <c r="CX549" s="29"/>
      <c r="CY549" s="29"/>
      <c r="CZ549" s="29"/>
      <c r="DA549" s="29"/>
      <c r="DB549" s="29"/>
      <c r="DC549" s="29"/>
      <c r="DD549" s="29"/>
      <c r="DE549" s="29"/>
      <c r="DF549" s="29"/>
      <c r="DG549" s="29"/>
      <c r="DH549" s="29"/>
      <c r="DI549" s="29"/>
      <c r="DJ549" s="29"/>
      <c r="DK549" s="29"/>
      <c r="DL549" s="29"/>
      <c r="DM549" s="29"/>
      <c r="DN549" s="29"/>
      <c r="DO549" s="29"/>
      <c r="DP549" s="29"/>
      <c r="DQ549" s="29"/>
      <c r="DR549" s="29"/>
      <c r="DS549" s="29"/>
      <c r="DT549" s="29"/>
      <c r="DU549" s="29"/>
      <c r="DV549" s="29"/>
      <c r="DW549" s="29"/>
      <c r="DX549" s="29"/>
      <c r="DY549" s="29"/>
      <c r="DZ549" s="29"/>
      <c r="EA549" s="29"/>
      <c r="EB549" s="29"/>
      <c r="EC549" s="29"/>
      <c r="ED549" s="29"/>
      <c r="EE549" s="29"/>
      <c r="EF549" s="29"/>
      <c r="EG549" s="29"/>
      <c r="EH549" s="29"/>
      <c r="EI549" s="29"/>
      <c r="EJ549" s="29"/>
      <c r="EK549" s="29"/>
      <c r="EL549" s="29"/>
      <c r="EM549" s="29"/>
      <c r="EN549" s="29"/>
      <c r="EO549" s="29"/>
      <c r="EP549" s="29"/>
      <c r="EQ549" s="29"/>
      <c r="ER549" s="29"/>
      <c r="ES549" s="29"/>
      <c r="ET549" s="29"/>
      <c r="EU549" s="29"/>
      <c r="EV549" s="29"/>
      <c r="EW549" s="29"/>
      <c r="EX549" s="29"/>
      <c r="EY549" s="29"/>
      <c r="EZ549" s="29"/>
      <c r="FA549" s="29"/>
      <c r="FB549" s="29"/>
      <c r="FC549" s="29"/>
      <c r="FD549" s="29"/>
      <c r="FE549" s="29"/>
      <c r="FF549" s="29"/>
      <c r="FG549" s="29"/>
      <c r="FH549" s="29"/>
      <c r="FI549" s="29"/>
      <c r="FJ549" s="29"/>
      <c r="FK549" s="29"/>
      <c r="FL549" s="29"/>
      <c r="FM549" s="29"/>
      <c r="FN549" s="29"/>
      <c r="FO549" s="29"/>
      <c r="FP549" s="29"/>
      <c r="FQ549" s="29"/>
      <c r="FR549" s="29"/>
      <c r="FS549" s="29"/>
      <c r="FT549" s="29"/>
      <c r="FU549" s="29"/>
      <c r="FV549" s="29"/>
      <c r="FW549" s="29"/>
      <c r="FX549" s="29"/>
      <c r="FY549" s="29"/>
      <c r="FZ549" s="29"/>
      <c r="GA549" s="29"/>
      <c r="GB549" s="29"/>
      <c r="GC549" s="29"/>
      <c r="GD549" s="29"/>
      <c r="GE549" s="29"/>
      <c r="GF549" s="29"/>
      <c r="GG549" s="29"/>
      <c r="GH549" s="29"/>
      <c r="GI549" s="29"/>
      <c r="GJ549" s="29"/>
      <c r="GK549" s="29"/>
      <c r="GL549" s="29"/>
      <c r="GM549" s="29"/>
      <c r="GN549" s="29"/>
      <c r="GO549" s="29"/>
      <c r="GP549" s="29"/>
      <c r="GQ549" s="29"/>
      <c r="GR549" s="29"/>
      <c r="GS549" s="29"/>
      <c r="GT549" s="29"/>
      <c r="GU549" s="29"/>
      <c r="HP549" s="31"/>
      <c r="MX549" s="29"/>
      <c r="MY549" s="29"/>
    </row>
    <row r="550" ht="16.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c r="AY550" s="29"/>
      <c r="AZ550" s="29"/>
      <c r="BA550" s="29"/>
      <c r="BB550" s="29"/>
      <c r="BC550" s="29"/>
      <c r="BD550" s="29"/>
      <c r="BE550" s="29"/>
      <c r="BF550" s="29"/>
      <c r="BG550" s="29"/>
      <c r="BH550" s="29"/>
      <c r="BI550" s="29"/>
      <c r="BJ550" s="29"/>
      <c r="BK550" s="29"/>
      <c r="BL550" s="29"/>
      <c r="BM550" s="29"/>
      <c r="BN550" s="29"/>
      <c r="BO550" s="29"/>
      <c r="BP550" s="29"/>
      <c r="BQ550" s="29"/>
      <c r="BR550" s="29"/>
      <c r="BS550" s="29"/>
      <c r="BT550" s="29"/>
      <c r="BU550" s="29"/>
      <c r="BV550" s="29"/>
      <c r="BW550" s="29"/>
      <c r="BX550" s="29"/>
      <c r="BY550" s="29"/>
      <c r="BZ550" s="29"/>
      <c r="CA550" s="29"/>
      <c r="CB550" s="29"/>
      <c r="CC550" s="29"/>
      <c r="CD550" s="29"/>
      <c r="CE550" s="29"/>
      <c r="CF550" s="29"/>
      <c r="CG550" s="29"/>
      <c r="CH550" s="29"/>
      <c r="CI550" s="29"/>
      <c r="CJ550" s="29"/>
      <c r="CK550" s="29"/>
      <c r="CL550" s="29"/>
      <c r="CM550" s="29"/>
      <c r="CN550" s="29"/>
      <c r="CO550" s="29"/>
      <c r="CP550" s="29"/>
      <c r="CQ550" s="29"/>
      <c r="CR550" s="29"/>
      <c r="CS550" s="29"/>
      <c r="CT550" s="29"/>
      <c r="CU550" s="29"/>
      <c r="CV550" s="29"/>
      <c r="CW550" s="29"/>
      <c r="CX550" s="29"/>
      <c r="CY550" s="29"/>
      <c r="CZ550" s="29"/>
      <c r="DA550" s="29"/>
      <c r="DB550" s="29"/>
      <c r="DC550" s="29"/>
      <c r="DD550" s="29"/>
      <c r="DE550" s="29"/>
      <c r="DF550" s="29"/>
      <c r="DG550" s="29"/>
      <c r="DH550" s="29"/>
      <c r="DI550" s="29"/>
      <c r="DJ550" s="29"/>
      <c r="DK550" s="29"/>
      <c r="DL550" s="29"/>
      <c r="DM550" s="29"/>
      <c r="DN550" s="29"/>
      <c r="DO550" s="29"/>
      <c r="DP550" s="29"/>
      <c r="DQ550" s="29"/>
      <c r="DR550" s="29"/>
      <c r="DS550" s="29"/>
      <c r="DT550" s="29"/>
      <c r="DU550" s="29"/>
      <c r="DV550" s="29"/>
      <c r="DW550" s="29"/>
      <c r="DX550" s="29"/>
      <c r="DY550" s="29"/>
      <c r="DZ550" s="29"/>
      <c r="EA550" s="29"/>
      <c r="EB550" s="29"/>
      <c r="EC550" s="29"/>
      <c r="ED550" s="29"/>
      <c r="EE550" s="29"/>
      <c r="EF550" s="29"/>
      <c r="EG550" s="29"/>
      <c r="EH550" s="29"/>
      <c r="EI550" s="29"/>
      <c r="EJ550" s="29"/>
      <c r="EK550" s="29"/>
      <c r="EL550" s="29"/>
      <c r="EM550" s="29"/>
      <c r="EN550" s="29"/>
      <c r="EO550" s="29"/>
      <c r="EP550" s="29"/>
      <c r="EQ550" s="29"/>
      <c r="ER550" s="29"/>
      <c r="ES550" s="29"/>
      <c r="ET550" s="29"/>
      <c r="EU550" s="29"/>
      <c r="EV550" s="29"/>
      <c r="EW550" s="29"/>
      <c r="EX550" s="29"/>
      <c r="EY550" s="29"/>
      <c r="EZ550" s="29"/>
      <c r="FA550" s="29"/>
      <c r="FB550" s="29"/>
      <c r="FC550" s="29"/>
      <c r="FD550" s="29"/>
      <c r="FE550" s="29"/>
      <c r="FF550" s="29"/>
      <c r="FG550" s="29"/>
      <c r="FH550" s="29"/>
      <c r="FI550" s="29"/>
      <c r="FJ550" s="29"/>
      <c r="FK550" s="29"/>
      <c r="FL550" s="29"/>
      <c r="FM550" s="29"/>
      <c r="FN550" s="29"/>
      <c r="FO550" s="29"/>
      <c r="FP550" s="29"/>
      <c r="FQ550" s="29"/>
      <c r="FR550" s="29"/>
      <c r="FS550" s="29"/>
      <c r="FT550" s="29"/>
      <c r="FU550" s="29"/>
      <c r="FV550" s="29"/>
      <c r="FW550" s="29"/>
      <c r="FX550" s="29"/>
      <c r="FY550" s="29"/>
      <c r="FZ550" s="29"/>
      <c r="GA550" s="29"/>
      <c r="GB550" s="29"/>
      <c r="GC550" s="29"/>
      <c r="GD550" s="29"/>
      <c r="GE550" s="29"/>
      <c r="GF550" s="29"/>
      <c r="GG550" s="29"/>
      <c r="GH550" s="29"/>
      <c r="GI550" s="29"/>
      <c r="GJ550" s="29"/>
      <c r="GK550" s="29"/>
      <c r="GL550" s="29"/>
      <c r="GM550" s="29"/>
      <c r="GN550" s="29"/>
      <c r="GO550" s="29"/>
      <c r="GP550" s="29"/>
      <c r="GQ550" s="29"/>
      <c r="GR550" s="29"/>
      <c r="GS550" s="29"/>
      <c r="GT550" s="29"/>
      <c r="GU550" s="29"/>
      <c r="HP550" s="31"/>
      <c r="MX550" s="29"/>
      <c r="MY550" s="29"/>
    </row>
    <row r="551" ht="16.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c r="BO551" s="29"/>
      <c r="BP551" s="29"/>
      <c r="BQ551" s="29"/>
      <c r="BR551" s="29"/>
      <c r="BS551" s="29"/>
      <c r="BT551" s="29"/>
      <c r="BU551" s="29"/>
      <c r="BV551" s="29"/>
      <c r="BW551" s="29"/>
      <c r="BX551" s="29"/>
      <c r="BY551" s="29"/>
      <c r="BZ551" s="29"/>
      <c r="CA551" s="29"/>
      <c r="CB551" s="29"/>
      <c r="CC551" s="29"/>
      <c r="CD551" s="29"/>
      <c r="CE551" s="29"/>
      <c r="CF551" s="29"/>
      <c r="CG551" s="29"/>
      <c r="CH551" s="29"/>
      <c r="CI551" s="29"/>
      <c r="CJ551" s="29"/>
      <c r="CK551" s="29"/>
      <c r="CL551" s="29"/>
      <c r="CM551" s="29"/>
      <c r="CN551" s="29"/>
      <c r="CO551" s="29"/>
      <c r="CP551" s="29"/>
      <c r="CQ551" s="29"/>
      <c r="CR551" s="29"/>
      <c r="CS551" s="29"/>
      <c r="CT551" s="29"/>
      <c r="CU551" s="29"/>
      <c r="CV551" s="29"/>
      <c r="CW551" s="29"/>
      <c r="CX551" s="29"/>
      <c r="CY551" s="29"/>
      <c r="CZ551" s="29"/>
      <c r="DA551" s="29"/>
      <c r="DB551" s="29"/>
      <c r="DC551" s="29"/>
      <c r="DD551" s="29"/>
      <c r="DE551" s="29"/>
      <c r="DF551" s="29"/>
      <c r="DG551" s="29"/>
      <c r="DH551" s="29"/>
      <c r="DI551" s="29"/>
      <c r="DJ551" s="29"/>
      <c r="DK551" s="29"/>
      <c r="DL551" s="29"/>
      <c r="DM551" s="29"/>
      <c r="DN551" s="29"/>
      <c r="DO551" s="29"/>
      <c r="DP551" s="29"/>
      <c r="DQ551" s="29"/>
      <c r="DR551" s="29"/>
      <c r="DS551" s="29"/>
      <c r="DT551" s="29"/>
      <c r="DU551" s="29"/>
      <c r="DV551" s="29"/>
      <c r="DW551" s="29"/>
      <c r="DX551" s="29"/>
      <c r="DY551" s="29"/>
      <c r="DZ551" s="29"/>
      <c r="EA551" s="29"/>
      <c r="EB551" s="29"/>
      <c r="EC551" s="29"/>
      <c r="ED551" s="29"/>
      <c r="EE551" s="29"/>
      <c r="EF551" s="29"/>
      <c r="EG551" s="29"/>
      <c r="EH551" s="29"/>
      <c r="EI551" s="29"/>
      <c r="EJ551" s="29"/>
      <c r="EK551" s="29"/>
      <c r="EL551" s="29"/>
      <c r="EM551" s="29"/>
      <c r="EN551" s="29"/>
      <c r="EO551" s="29"/>
      <c r="EP551" s="29"/>
      <c r="EQ551" s="29"/>
      <c r="ER551" s="29"/>
      <c r="ES551" s="29"/>
      <c r="ET551" s="29"/>
      <c r="EU551" s="29"/>
      <c r="EV551" s="29"/>
      <c r="EW551" s="29"/>
      <c r="EX551" s="29"/>
      <c r="EY551" s="29"/>
      <c r="EZ551" s="29"/>
      <c r="FA551" s="29"/>
      <c r="FB551" s="29"/>
      <c r="FC551" s="29"/>
      <c r="FD551" s="29"/>
      <c r="FE551" s="29"/>
      <c r="FF551" s="29"/>
      <c r="FG551" s="29"/>
      <c r="FH551" s="29"/>
      <c r="FI551" s="29"/>
      <c r="FJ551" s="29"/>
      <c r="FK551" s="29"/>
      <c r="FL551" s="29"/>
      <c r="FM551" s="29"/>
      <c r="FN551" s="29"/>
      <c r="FO551" s="29"/>
      <c r="FP551" s="29"/>
      <c r="FQ551" s="29"/>
      <c r="FR551" s="29"/>
      <c r="FS551" s="29"/>
      <c r="FT551" s="29"/>
      <c r="FU551" s="29"/>
      <c r="FV551" s="29"/>
      <c r="FW551" s="29"/>
      <c r="FX551" s="29"/>
      <c r="FY551" s="29"/>
      <c r="FZ551" s="29"/>
      <c r="GA551" s="29"/>
      <c r="GB551" s="29"/>
      <c r="GC551" s="29"/>
      <c r="GD551" s="29"/>
      <c r="GE551" s="29"/>
      <c r="GF551" s="29"/>
      <c r="GG551" s="29"/>
      <c r="GH551" s="29"/>
      <c r="GI551" s="29"/>
      <c r="GJ551" s="29"/>
      <c r="GK551" s="29"/>
      <c r="GL551" s="29"/>
      <c r="GM551" s="29"/>
      <c r="GN551" s="29"/>
      <c r="GO551" s="29"/>
      <c r="GP551" s="29"/>
      <c r="GQ551" s="29"/>
      <c r="GR551" s="29"/>
      <c r="GS551" s="29"/>
      <c r="GT551" s="29"/>
      <c r="GU551" s="29"/>
      <c r="HP551" s="31"/>
      <c r="MX551" s="29"/>
      <c r="MY551" s="29"/>
    </row>
    <row r="552" ht="16.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29"/>
      <c r="BH552" s="29"/>
      <c r="BI552" s="29"/>
      <c r="BJ552" s="29"/>
      <c r="BK552" s="29"/>
      <c r="BL552" s="29"/>
      <c r="BM552" s="29"/>
      <c r="BN552" s="29"/>
      <c r="BO552" s="29"/>
      <c r="BP552" s="29"/>
      <c r="BQ552" s="29"/>
      <c r="BR552" s="29"/>
      <c r="BS552" s="29"/>
      <c r="BT552" s="29"/>
      <c r="BU552" s="29"/>
      <c r="BV552" s="29"/>
      <c r="BW552" s="29"/>
      <c r="BX552" s="29"/>
      <c r="BY552" s="29"/>
      <c r="BZ552" s="29"/>
      <c r="CA552" s="29"/>
      <c r="CB552" s="29"/>
      <c r="CC552" s="29"/>
      <c r="CD552" s="29"/>
      <c r="CE552" s="29"/>
      <c r="CF552" s="29"/>
      <c r="CG552" s="29"/>
      <c r="CH552" s="29"/>
      <c r="CI552" s="29"/>
      <c r="CJ552" s="29"/>
      <c r="CK552" s="29"/>
      <c r="CL552" s="29"/>
      <c r="CM552" s="29"/>
      <c r="CN552" s="29"/>
      <c r="CO552" s="29"/>
      <c r="CP552" s="29"/>
      <c r="CQ552" s="29"/>
      <c r="CR552" s="29"/>
      <c r="CS552" s="29"/>
      <c r="CT552" s="29"/>
      <c r="CU552" s="29"/>
      <c r="CV552" s="29"/>
      <c r="CW552" s="29"/>
      <c r="CX552" s="29"/>
      <c r="CY552" s="29"/>
      <c r="CZ552" s="29"/>
      <c r="DA552" s="29"/>
      <c r="DB552" s="29"/>
      <c r="DC552" s="29"/>
      <c r="DD552" s="29"/>
      <c r="DE552" s="29"/>
      <c r="DF552" s="29"/>
      <c r="DG552" s="29"/>
      <c r="DH552" s="29"/>
      <c r="DI552" s="29"/>
      <c r="DJ552" s="29"/>
      <c r="DK552" s="29"/>
      <c r="DL552" s="29"/>
      <c r="DM552" s="29"/>
      <c r="DN552" s="29"/>
      <c r="DO552" s="29"/>
      <c r="DP552" s="29"/>
      <c r="DQ552" s="29"/>
      <c r="DR552" s="29"/>
      <c r="DS552" s="29"/>
      <c r="DT552" s="29"/>
      <c r="DU552" s="29"/>
      <c r="DV552" s="29"/>
      <c r="DW552" s="29"/>
      <c r="DX552" s="29"/>
      <c r="DY552" s="29"/>
      <c r="DZ552" s="29"/>
      <c r="EA552" s="29"/>
      <c r="EB552" s="29"/>
      <c r="EC552" s="29"/>
      <c r="ED552" s="29"/>
      <c r="EE552" s="29"/>
      <c r="EF552" s="29"/>
      <c r="EG552" s="29"/>
      <c r="EH552" s="29"/>
      <c r="EI552" s="29"/>
      <c r="EJ552" s="29"/>
      <c r="EK552" s="29"/>
      <c r="EL552" s="29"/>
      <c r="EM552" s="29"/>
      <c r="EN552" s="29"/>
      <c r="EO552" s="29"/>
      <c r="EP552" s="29"/>
      <c r="EQ552" s="29"/>
      <c r="ER552" s="29"/>
      <c r="ES552" s="29"/>
      <c r="ET552" s="29"/>
      <c r="EU552" s="29"/>
      <c r="EV552" s="29"/>
      <c r="EW552" s="29"/>
      <c r="EX552" s="29"/>
      <c r="EY552" s="29"/>
      <c r="EZ552" s="29"/>
      <c r="FA552" s="29"/>
      <c r="FB552" s="29"/>
      <c r="FC552" s="29"/>
      <c r="FD552" s="29"/>
      <c r="FE552" s="29"/>
      <c r="FF552" s="29"/>
      <c r="FG552" s="29"/>
      <c r="FH552" s="29"/>
      <c r="FI552" s="29"/>
      <c r="FJ552" s="29"/>
      <c r="FK552" s="29"/>
      <c r="FL552" s="29"/>
      <c r="FM552" s="29"/>
      <c r="FN552" s="29"/>
      <c r="FO552" s="29"/>
      <c r="FP552" s="29"/>
      <c r="FQ552" s="29"/>
      <c r="FR552" s="29"/>
      <c r="FS552" s="29"/>
      <c r="FT552" s="29"/>
      <c r="FU552" s="29"/>
      <c r="FV552" s="29"/>
      <c r="FW552" s="29"/>
      <c r="FX552" s="29"/>
      <c r="FY552" s="29"/>
      <c r="FZ552" s="29"/>
      <c r="GA552" s="29"/>
      <c r="GB552" s="29"/>
      <c r="GC552" s="29"/>
      <c r="GD552" s="29"/>
      <c r="GE552" s="29"/>
      <c r="GF552" s="29"/>
      <c r="GG552" s="29"/>
      <c r="GH552" s="29"/>
      <c r="GI552" s="29"/>
      <c r="GJ552" s="29"/>
      <c r="GK552" s="29"/>
      <c r="GL552" s="29"/>
      <c r="GM552" s="29"/>
      <c r="GN552" s="29"/>
      <c r="GO552" s="29"/>
      <c r="GP552" s="29"/>
      <c r="GQ552" s="29"/>
      <c r="GR552" s="29"/>
      <c r="GS552" s="29"/>
      <c r="GT552" s="29"/>
      <c r="GU552" s="29"/>
      <c r="HP552" s="31"/>
      <c r="MX552" s="29"/>
      <c r="MY552" s="29"/>
    </row>
    <row r="553" ht="16.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c r="BO553" s="29"/>
      <c r="BP553" s="29"/>
      <c r="BQ553" s="29"/>
      <c r="BR553" s="29"/>
      <c r="BS553" s="29"/>
      <c r="BT553" s="29"/>
      <c r="BU553" s="29"/>
      <c r="BV553" s="29"/>
      <c r="BW553" s="29"/>
      <c r="BX553" s="29"/>
      <c r="BY553" s="29"/>
      <c r="BZ553" s="29"/>
      <c r="CA553" s="29"/>
      <c r="CB553" s="29"/>
      <c r="CC553" s="29"/>
      <c r="CD553" s="29"/>
      <c r="CE553" s="29"/>
      <c r="CF553" s="29"/>
      <c r="CG553" s="29"/>
      <c r="CH553" s="29"/>
      <c r="CI553" s="29"/>
      <c r="CJ553" s="29"/>
      <c r="CK553" s="29"/>
      <c r="CL553" s="29"/>
      <c r="CM553" s="29"/>
      <c r="CN553" s="29"/>
      <c r="CO553" s="29"/>
      <c r="CP553" s="29"/>
      <c r="CQ553" s="29"/>
      <c r="CR553" s="29"/>
      <c r="CS553" s="29"/>
      <c r="CT553" s="29"/>
      <c r="CU553" s="29"/>
      <c r="CV553" s="29"/>
      <c r="CW553" s="29"/>
      <c r="CX553" s="29"/>
      <c r="CY553" s="29"/>
      <c r="CZ553" s="29"/>
      <c r="DA553" s="29"/>
      <c r="DB553" s="29"/>
      <c r="DC553" s="29"/>
      <c r="DD553" s="29"/>
      <c r="DE553" s="29"/>
      <c r="DF553" s="29"/>
      <c r="DG553" s="29"/>
      <c r="DH553" s="29"/>
      <c r="DI553" s="29"/>
      <c r="DJ553" s="29"/>
      <c r="DK553" s="29"/>
      <c r="DL553" s="29"/>
      <c r="DM553" s="29"/>
      <c r="DN553" s="29"/>
      <c r="DO553" s="29"/>
      <c r="DP553" s="29"/>
      <c r="DQ553" s="29"/>
      <c r="DR553" s="29"/>
      <c r="DS553" s="29"/>
      <c r="DT553" s="29"/>
      <c r="DU553" s="29"/>
      <c r="DV553" s="29"/>
      <c r="DW553" s="29"/>
      <c r="DX553" s="29"/>
      <c r="DY553" s="29"/>
      <c r="DZ553" s="29"/>
      <c r="EA553" s="29"/>
      <c r="EB553" s="29"/>
      <c r="EC553" s="29"/>
      <c r="ED553" s="29"/>
      <c r="EE553" s="29"/>
      <c r="EF553" s="29"/>
      <c r="EG553" s="29"/>
      <c r="EH553" s="29"/>
      <c r="EI553" s="29"/>
      <c r="EJ553" s="29"/>
      <c r="EK553" s="29"/>
      <c r="EL553" s="29"/>
      <c r="EM553" s="29"/>
      <c r="EN553" s="29"/>
      <c r="EO553" s="29"/>
      <c r="EP553" s="29"/>
      <c r="EQ553" s="29"/>
      <c r="ER553" s="29"/>
      <c r="ES553" s="29"/>
      <c r="ET553" s="29"/>
      <c r="EU553" s="29"/>
      <c r="EV553" s="29"/>
      <c r="EW553" s="29"/>
      <c r="EX553" s="29"/>
      <c r="EY553" s="29"/>
      <c r="EZ553" s="29"/>
      <c r="FA553" s="29"/>
      <c r="FB553" s="29"/>
      <c r="FC553" s="29"/>
      <c r="FD553" s="29"/>
      <c r="FE553" s="29"/>
      <c r="FF553" s="29"/>
      <c r="FG553" s="29"/>
      <c r="FH553" s="29"/>
      <c r="FI553" s="29"/>
      <c r="FJ553" s="29"/>
      <c r="FK553" s="29"/>
      <c r="FL553" s="29"/>
      <c r="FM553" s="29"/>
      <c r="FN553" s="29"/>
      <c r="FO553" s="29"/>
      <c r="FP553" s="29"/>
      <c r="FQ553" s="29"/>
      <c r="FR553" s="29"/>
      <c r="FS553" s="29"/>
      <c r="FT553" s="29"/>
      <c r="FU553" s="29"/>
      <c r="FV553" s="29"/>
      <c r="FW553" s="29"/>
      <c r="FX553" s="29"/>
      <c r="FY553" s="29"/>
      <c r="FZ553" s="29"/>
      <c r="GA553" s="29"/>
      <c r="GB553" s="29"/>
      <c r="GC553" s="29"/>
      <c r="GD553" s="29"/>
      <c r="GE553" s="29"/>
      <c r="GF553" s="29"/>
      <c r="GG553" s="29"/>
      <c r="GH553" s="29"/>
      <c r="GI553" s="29"/>
      <c r="GJ553" s="29"/>
      <c r="GK553" s="29"/>
      <c r="GL553" s="29"/>
      <c r="GM553" s="29"/>
      <c r="GN553" s="29"/>
      <c r="GO553" s="29"/>
      <c r="GP553" s="29"/>
      <c r="GQ553" s="29"/>
      <c r="GR553" s="29"/>
      <c r="GS553" s="29"/>
      <c r="GT553" s="29"/>
      <c r="GU553" s="29"/>
      <c r="HP553" s="31"/>
      <c r="MX553" s="29"/>
      <c r="MY553" s="29"/>
    </row>
    <row r="554" ht="16.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c r="AY554" s="29"/>
      <c r="AZ554" s="29"/>
      <c r="BA554" s="29"/>
      <c r="BB554" s="29"/>
      <c r="BC554" s="29"/>
      <c r="BD554" s="29"/>
      <c r="BE554" s="29"/>
      <c r="BF554" s="29"/>
      <c r="BG554" s="29"/>
      <c r="BH554" s="29"/>
      <c r="BI554" s="29"/>
      <c r="BJ554" s="29"/>
      <c r="BK554" s="29"/>
      <c r="BL554" s="29"/>
      <c r="BM554" s="29"/>
      <c r="BN554" s="29"/>
      <c r="BO554" s="29"/>
      <c r="BP554" s="29"/>
      <c r="BQ554" s="29"/>
      <c r="BR554" s="29"/>
      <c r="BS554" s="29"/>
      <c r="BT554" s="29"/>
      <c r="BU554" s="29"/>
      <c r="BV554" s="29"/>
      <c r="BW554" s="29"/>
      <c r="BX554" s="29"/>
      <c r="BY554" s="29"/>
      <c r="BZ554" s="29"/>
      <c r="CA554" s="29"/>
      <c r="CB554" s="29"/>
      <c r="CC554" s="29"/>
      <c r="CD554" s="29"/>
      <c r="CE554" s="29"/>
      <c r="CF554" s="29"/>
      <c r="CG554" s="29"/>
      <c r="CH554" s="29"/>
      <c r="CI554" s="29"/>
      <c r="CJ554" s="29"/>
      <c r="CK554" s="29"/>
      <c r="CL554" s="29"/>
      <c r="CM554" s="29"/>
      <c r="CN554" s="29"/>
      <c r="CO554" s="29"/>
      <c r="CP554" s="29"/>
      <c r="CQ554" s="29"/>
      <c r="CR554" s="29"/>
      <c r="CS554" s="29"/>
      <c r="CT554" s="29"/>
      <c r="CU554" s="29"/>
      <c r="CV554" s="29"/>
      <c r="CW554" s="29"/>
      <c r="CX554" s="29"/>
      <c r="CY554" s="29"/>
      <c r="CZ554" s="29"/>
      <c r="DA554" s="29"/>
      <c r="DB554" s="29"/>
      <c r="DC554" s="29"/>
      <c r="DD554" s="29"/>
      <c r="DE554" s="29"/>
      <c r="DF554" s="29"/>
      <c r="DG554" s="29"/>
      <c r="DH554" s="29"/>
      <c r="DI554" s="29"/>
      <c r="DJ554" s="29"/>
      <c r="DK554" s="29"/>
      <c r="DL554" s="29"/>
      <c r="DM554" s="29"/>
      <c r="DN554" s="29"/>
      <c r="DO554" s="29"/>
      <c r="DP554" s="29"/>
      <c r="DQ554" s="29"/>
      <c r="DR554" s="29"/>
      <c r="DS554" s="29"/>
      <c r="DT554" s="29"/>
      <c r="DU554" s="29"/>
      <c r="DV554" s="29"/>
      <c r="DW554" s="29"/>
      <c r="DX554" s="29"/>
      <c r="DY554" s="29"/>
      <c r="DZ554" s="29"/>
      <c r="EA554" s="29"/>
      <c r="EB554" s="29"/>
      <c r="EC554" s="29"/>
      <c r="ED554" s="29"/>
      <c r="EE554" s="29"/>
      <c r="EF554" s="29"/>
      <c r="EG554" s="29"/>
      <c r="EH554" s="29"/>
      <c r="EI554" s="29"/>
      <c r="EJ554" s="29"/>
      <c r="EK554" s="29"/>
      <c r="EL554" s="29"/>
      <c r="EM554" s="29"/>
      <c r="EN554" s="29"/>
      <c r="EO554" s="29"/>
      <c r="EP554" s="29"/>
      <c r="EQ554" s="29"/>
      <c r="ER554" s="29"/>
      <c r="ES554" s="29"/>
      <c r="ET554" s="29"/>
      <c r="EU554" s="29"/>
      <c r="EV554" s="29"/>
      <c r="EW554" s="29"/>
      <c r="EX554" s="29"/>
      <c r="EY554" s="29"/>
      <c r="EZ554" s="29"/>
      <c r="FA554" s="29"/>
      <c r="FB554" s="29"/>
      <c r="FC554" s="29"/>
      <c r="FD554" s="29"/>
      <c r="FE554" s="29"/>
      <c r="FF554" s="29"/>
      <c r="FG554" s="29"/>
      <c r="FH554" s="29"/>
      <c r="FI554" s="29"/>
      <c r="FJ554" s="29"/>
      <c r="FK554" s="29"/>
      <c r="FL554" s="29"/>
      <c r="FM554" s="29"/>
      <c r="FN554" s="29"/>
      <c r="FO554" s="29"/>
      <c r="FP554" s="29"/>
      <c r="FQ554" s="29"/>
      <c r="FR554" s="29"/>
      <c r="FS554" s="29"/>
      <c r="FT554" s="29"/>
      <c r="FU554" s="29"/>
      <c r="FV554" s="29"/>
      <c r="FW554" s="29"/>
      <c r="FX554" s="29"/>
      <c r="FY554" s="29"/>
      <c r="FZ554" s="29"/>
      <c r="GA554" s="29"/>
      <c r="GB554" s="29"/>
      <c r="GC554" s="29"/>
      <c r="GD554" s="29"/>
      <c r="GE554" s="29"/>
      <c r="GF554" s="29"/>
      <c r="GG554" s="29"/>
      <c r="GH554" s="29"/>
      <c r="GI554" s="29"/>
      <c r="GJ554" s="29"/>
      <c r="GK554" s="29"/>
      <c r="GL554" s="29"/>
      <c r="GM554" s="29"/>
      <c r="GN554" s="29"/>
      <c r="GO554" s="29"/>
      <c r="GP554" s="29"/>
      <c r="GQ554" s="29"/>
      <c r="GR554" s="29"/>
      <c r="GS554" s="29"/>
      <c r="GT554" s="29"/>
      <c r="GU554" s="29"/>
      <c r="HP554" s="31"/>
      <c r="MX554" s="29"/>
      <c r="MY554" s="29"/>
    </row>
    <row r="555" ht="16.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c r="BO555" s="29"/>
      <c r="BP555" s="29"/>
      <c r="BQ555" s="29"/>
      <c r="BR555" s="29"/>
      <c r="BS555" s="29"/>
      <c r="BT555" s="29"/>
      <c r="BU555" s="29"/>
      <c r="BV555" s="29"/>
      <c r="BW555" s="29"/>
      <c r="BX555" s="29"/>
      <c r="BY555" s="29"/>
      <c r="BZ555" s="29"/>
      <c r="CA555" s="29"/>
      <c r="CB555" s="29"/>
      <c r="CC555" s="29"/>
      <c r="CD555" s="29"/>
      <c r="CE555" s="29"/>
      <c r="CF555" s="29"/>
      <c r="CG555" s="29"/>
      <c r="CH555" s="29"/>
      <c r="CI555" s="29"/>
      <c r="CJ555" s="29"/>
      <c r="CK555" s="29"/>
      <c r="CL555" s="29"/>
      <c r="CM555" s="29"/>
      <c r="CN555" s="29"/>
      <c r="CO555" s="29"/>
      <c r="CP555" s="29"/>
      <c r="CQ555" s="29"/>
      <c r="CR555" s="29"/>
      <c r="CS555" s="29"/>
      <c r="CT555" s="29"/>
      <c r="CU555" s="29"/>
      <c r="CV555" s="29"/>
      <c r="CW555" s="29"/>
      <c r="CX555" s="29"/>
      <c r="CY555" s="29"/>
      <c r="CZ555" s="29"/>
      <c r="DA555" s="29"/>
      <c r="DB555" s="29"/>
      <c r="DC555" s="29"/>
      <c r="DD555" s="29"/>
      <c r="DE555" s="29"/>
      <c r="DF555" s="29"/>
      <c r="DG555" s="29"/>
      <c r="DH555" s="29"/>
      <c r="DI555" s="29"/>
      <c r="DJ555" s="29"/>
      <c r="DK555" s="29"/>
      <c r="DL555" s="29"/>
      <c r="DM555" s="29"/>
      <c r="DN555" s="29"/>
      <c r="DO555" s="29"/>
      <c r="DP555" s="29"/>
      <c r="DQ555" s="29"/>
      <c r="DR555" s="29"/>
      <c r="DS555" s="29"/>
      <c r="DT555" s="29"/>
      <c r="DU555" s="29"/>
      <c r="DV555" s="29"/>
      <c r="DW555" s="29"/>
      <c r="DX555" s="29"/>
      <c r="DY555" s="29"/>
      <c r="DZ555" s="29"/>
      <c r="EA555" s="29"/>
      <c r="EB555" s="29"/>
      <c r="EC555" s="29"/>
      <c r="ED555" s="29"/>
      <c r="EE555" s="29"/>
      <c r="EF555" s="29"/>
      <c r="EG555" s="29"/>
      <c r="EH555" s="29"/>
      <c r="EI555" s="29"/>
      <c r="EJ555" s="29"/>
      <c r="EK555" s="29"/>
      <c r="EL555" s="29"/>
      <c r="EM555" s="29"/>
      <c r="EN555" s="29"/>
      <c r="EO555" s="29"/>
      <c r="EP555" s="29"/>
      <c r="EQ555" s="29"/>
      <c r="ER555" s="29"/>
      <c r="ES555" s="29"/>
      <c r="ET555" s="29"/>
      <c r="EU555" s="29"/>
      <c r="EV555" s="29"/>
      <c r="EW555" s="29"/>
      <c r="EX555" s="29"/>
      <c r="EY555" s="29"/>
      <c r="EZ555" s="29"/>
      <c r="FA555" s="29"/>
      <c r="FB555" s="29"/>
      <c r="FC555" s="29"/>
      <c r="FD555" s="29"/>
      <c r="FE555" s="29"/>
      <c r="FF555" s="29"/>
      <c r="FG555" s="29"/>
      <c r="FH555" s="29"/>
      <c r="FI555" s="29"/>
      <c r="FJ555" s="29"/>
      <c r="FK555" s="29"/>
      <c r="FL555" s="29"/>
      <c r="FM555" s="29"/>
      <c r="FN555" s="29"/>
      <c r="FO555" s="29"/>
      <c r="FP555" s="29"/>
      <c r="FQ555" s="29"/>
      <c r="FR555" s="29"/>
      <c r="FS555" s="29"/>
      <c r="FT555" s="29"/>
      <c r="FU555" s="29"/>
      <c r="FV555" s="29"/>
      <c r="FW555" s="29"/>
      <c r="FX555" s="29"/>
      <c r="FY555" s="29"/>
      <c r="FZ555" s="29"/>
      <c r="GA555" s="29"/>
      <c r="GB555" s="29"/>
      <c r="GC555" s="29"/>
      <c r="GD555" s="29"/>
      <c r="GE555" s="29"/>
      <c r="GF555" s="29"/>
      <c r="GG555" s="29"/>
      <c r="GH555" s="29"/>
      <c r="GI555" s="29"/>
      <c r="GJ555" s="29"/>
      <c r="GK555" s="29"/>
      <c r="GL555" s="29"/>
      <c r="GM555" s="29"/>
      <c r="GN555" s="29"/>
      <c r="GO555" s="29"/>
      <c r="GP555" s="29"/>
      <c r="GQ555" s="29"/>
      <c r="GR555" s="29"/>
      <c r="GS555" s="29"/>
      <c r="GT555" s="29"/>
      <c r="GU555" s="29"/>
      <c r="HP555" s="31"/>
      <c r="MX555" s="29"/>
      <c r="MY555" s="29"/>
    </row>
    <row r="556" ht="16.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c r="AX556" s="29"/>
      <c r="AY556" s="29"/>
      <c r="AZ556" s="29"/>
      <c r="BA556" s="29"/>
      <c r="BB556" s="29"/>
      <c r="BC556" s="29"/>
      <c r="BD556" s="29"/>
      <c r="BE556" s="29"/>
      <c r="BF556" s="29"/>
      <c r="BG556" s="29"/>
      <c r="BH556" s="29"/>
      <c r="BI556" s="29"/>
      <c r="BJ556" s="29"/>
      <c r="BK556" s="29"/>
      <c r="BL556" s="29"/>
      <c r="BM556" s="29"/>
      <c r="BN556" s="29"/>
      <c r="BO556" s="29"/>
      <c r="BP556" s="29"/>
      <c r="BQ556" s="29"/>
      <c r="BR556" s="29"/>
      <c r="BS556" s="29"/>
      <c r="BT556" s="29"/>
      <c r="BU556" s="29"/>
      <c r="BV556" s="29"/>
      <c r="BW556" s="29"/>
      <c r="BX556" s="29"/>
      <c r="BY556" s="29"/>
      <c r="BZ556" s="29"/>
      <c r="CA556" s="29"/>
      <c r="CB556" s="29"/>
      <c r="CC556" s="29"/>
      <c r="CD556" s="29"/>
      <c r="CE556" s="29"/>
      <c r="CF556" s="29"/>
      <c r="CG556" s="29"/>
      <c r="CH556" s="29"/>
      <c r="CI556" s="29"/>
      <c r="CJ556" s="29"/>
      <c r="CK556" s="29"/>
      <c r="CL556" s="29"/>
      <c r="CM556" s="29"/>
      <c r="CN556" s="29"/>
      <c r="CO556" s="29"/>
      <c r="CP556" s="29"/>
      <c r="CQ556" s="29"/>
      <c r="CR556" s="29"/>
      <c r="CS556" s="29"/>
      <c r="CT556" s="29"/>
      <c r="CU556" s="29"/>
      <c r="CV556" s="29"/>
      <c r="CW556" s="29"/>
      <c r="CX556" s="29"/>
      <c r="CY556" s="29"/>
      <c r="CZ556" s="29"/>
      <c r="DA556" s="29"/>
      <c r="DB556" s="29"/>
      <c r="DC556" s="29"/>
      <c r="DD556" s="29"/>
      <c r="DE556" s="29"/>
      <c r="DF556" s="29"/>
      <c r="DG556" s="29"/>
      <c r="DH556" s="29"/>
      <c r="DI556" s="29"/>
      <c r="DJ556" s="29"/>
      <c r="DK556" s="29"/>
      <c r="DL556" s="29"/>
      <c r="DM556" s="29"/>
      <c r="DN556" s="29"/>
      <c r="DO556" s="29"/>
      <c r="DP556" s="29"/>
      <c r="DQ556" s="29"/>
      <c r="DR556" s="29"/>
      <c r="DS556" s="29"/>
      <c r="DT556" s="29"/>
      <c r="DU556" s="29"/>
      <c r="DV556" s="29"/>
      <c r="DW556" s="29"/>
      <c r="DX556" s="29"/>
      <c r="DY556" s="29"/>
      <c r="DZ556" s="29"/>
      <c r="EA556" s="29"/>
      <c r="EB556" s="29"/>
      <c r="EC556" s="29"/>
      <c r="ED556" s="29"/>
      <c r="EE556" s="29"/>
      <c r="EF556" s="29"/>
      <c r="EG556" s="29"/>
      <c r="EH556" s="29"/>
      <c r="EI556" s="29"/>
      <c r="EJ556" s="29"/>
      <c r="EK556" s="29"/>
      <c r="EL556" s="29"/>
      <c r="EM556" s="29"/>
      <c r="EN556" s="29"/>
      <c r="EO556" s="29"/>
      <c r="EP556" s="29"/>
      <c r="EQ556" s="29"/>
      <c r="ER556" s="29"/>
      <c r="ES556" s="29"/>
      <c r="ET556" s="29"/>
      <c r="EU556" s="29"/>
      <c r="EV556" s="29"/>
      <c r="EW556" s="29"/>
      <c r="EX556" s="29"/>
      <c r="EY556" s="29"/>
      <c r="EZ556" s="29"/>
      <c r="FA556" s="29"/>
      <c r="FB556" s="29"/>
      <c r="FC556" s="29"/>
      <c r="FD556" s="29"/>
      <c r="FE556" s="29"/>
      <c r="FF556" s="29"/>
      <c r="FG556" s="29"/>
      <c r="FH556" s="29"/>
      <c r="FI556" s="29"/>
      <c r="FJ556" s="29"/>
      <c r="FK556" s="29"/>
      <c r="FL556" s="29"/>
      <c r="FM556" s="29"/>
      <c r="FN556" s="29"/>
      <c r="FO556" s="29"/>
      <c r="FP556" s="29"/>
      <c r="FQ556" s="29"/>
      <c r="FR556" s="29"/>
      <c r="FS556" s="29"/>
      <c r="FT556" s="29"/>
      <c r="FU556" s="29"/>
      <c r="FV556" s="29"/>
      <c r="FW556" s="29"/>
      <c r="FX556" s="29"/>
      <c r="FY556" s="29"/>
      <c r="FZ556" s="29"/>
      <c r="GA556" s="29"/>
      <c r="GB556" s="29"/>
      <c r="GC556" s="29"/>
      <c r="GD556" s="29"/>
      <c r="GE556" s="29"/>
      <c r="GF556" s="29"/>
      <c r="GG556" s="29"/>
      <c r="GH556" s="29"/>
      <c r="GI556" s="29"/>
      <c r="GJ556" s="29"/>
      <c r="GK556" s="29"/>
      <c r="GL556" s="29"/>
      <c r="GM556" s="29"/>
      <c r="GN556" s="29"/>
      <c r="GO556" s="29"/>
      <c r="GP556" s="29"/>
      <c r="GQ556" s="29"/>
      <c r="GR556" s="29"/>
      <c r="GS556" s="29"/>
      <c r="GT556" s="29"/>
      <c r="GU556" s="29"/>
      <c r="HP556" s="31"/>
      <c r="MX556" s="29"/>
      <c r="MY556" s="29"/>
    </row>
    <row r="557" ht="16.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c r="BO557" s="29"/>
      <c r="BP557" s="29"/>
      <c r="BQ557" s="29"/>
      <c r="BR557" s="29"/>
      <c r="BS557" s="29"/>
      <c r="BT557" s="29"/>
      <c r="BU557" s="29"/>
      <c r="BV557" s="29"/>
      <c r="BW557" s="29"/>
      <c r="BX557" s="29"/>
      <c r="BY557" s="29"/>
      <c r="BZ557" s="29"/>
      <c r="CA557" s="29"/>
      <c r="CB557" s="29"/>
      <c r="CC557" s="29"/>
      <c r="CD557" s="29"/>
      <c r="CE557" s="29"/>
      <c r="CF557" s="29"/>
      <c r="CG557" s="29"/>
      <c r="CH557" s="29"/>
      <c r="CI557" s="29"/>
      <c r="CJ557" s="29"/>
      <c r="CK557" s="29"/>
      <c r="CL557" s="29"/>
      <c r="CM557" s="29"/>
      <c r="CN557" s="29"/>
      <c r="CO557" s="29"/>
      <c r="CP557" s="29"/>
      <c r="CQ557" s="29"/>
      <c r="CR557" s="29"/>
      <c r="CS557" s="29"/>
      <c r="CT557" s="29"/>
      <c r="CU557" s="29"/>
      <c r="CV557" s="29"/>
      <c r="CW557" s="29"/>
      <c r="CX557" s="29"/>
      <c r="CY557" s="29"/>
      <c r="CZ557" s="29"/>
      <c r="DA557" s="29"/>
      <c r="DB557" s="29"/>
      <c r="DC557" s="29"/>
      <c r="DD557" s="29"/>
      <c r="DE557" s="29"/>
      <c r="DF557" s="29"/>
      <c r="DG557" s="29"/>
      <c r="DH557" s="29"/>
      <c r="DI557" s="29"/>
      <c r="DJ557" s="29"/>
      <c r="DK557" s="29"/>
      <c r="DL557" s="29"/>
      <c r="DM557" s="29"/>
      <c r="DN557" s="29"/>
      <c r="DO557" s="29"/>
      <c r="DP557" s="29"/>
      <c r="DQ557" s="29"/>
      <c r="DR557" s="29"/>
      <c r="DS557" s="29"/>
      <c r="DT557" s="29"/>
      <c r="DU557" s="29"/>
      <c r="DV557" s="29"/>
      <c r="DW557" s="29"/>
      <c r="DX557" s="29"/>
      <c r="DY557" s="29"/>
      <c r="DZ557" s="29"/>
      <c r="EA557" s="29"/>
      <c r="EB557" s="29"/>
      <c r="EC557" s="29"/>
      <c r="ED557" s="29"/>
      <c r="EE557" s="29"/>
      <c r="EF557" s="29"/>
      <c r="EG557" s="29"/>
      <c r="EH557" s="29"/>
      <c r="EI557" s="29"/>
      <c r="EJ557" s="29"/>
      <c r="EK557" s="29"/>
      <c r="EL557" s="29"/>
      <c r="EM557" s="29"/>
      <c r="EN557" s="29"/>
      <c r="EO557" s="29"/>
      <c r="EP557" s="29"/>
      <c r="EQ557" s="29"/>
      <c r="ER557" s="29"/>
      <c r="ES557" s="29"/>
      <c r="ET557" s="29"/>
      <c r="EU557" s="29"/>
      <c r="EV557" s="29"/>
      <c r="EW557" s="29"/>
      <c r="EX557" s="29"/>
      <c r="EY557" s="29"/>
      <c r="EZ557" s="29"/>
      <c r="FA557" s="29"/>
      <c r="FB557" s="29"/>
      <c r="FC557" s="29"/>
      <c r="FD557" s="29"/>
      <c r="FE557" s="29"/>
      <c r="FF557" s="29"/>
      <c r="FG557" s="29"/>
      <c r="FH557" s="29"/>
      <c r="FI557" s="29"/>
      <c r="FJ557" s="29"/>
      <c r="FK557" s="29"/>
      <c r="FL557" s="29"/>
      <c r="FM557" s="29"/>
      <c r="FN557" s="29"/>
      <c r="FO557" s="29"/>
      <c r="FP557" s="29"/>
      <c r="FQ557" s="29"/>
      <c r="FR557" s="29"/>
      <c r="FS557" s="29"/>
      <c r="FT557" s="29"/>
      <c r="FU557" s="29"/>
      <c r="FV557" s="29"/>
      <c r="FW557" s="29"/>
      <c r="FX557" s="29"/>
      <c r="FY557" s="29"/>
      <c r="FZ557" s="29"/>
      <c r="GA557" s="29"/>
      <c r="GB557" s="29"/>
      <c r="GC557" s="29"/>
      <c r="GD557" s="29"/>
      <c r="GE557" s="29"/>
      <c r="GF557" s="29"/>
      <c r="GG557" s="29"/>
      <c r="GH557" s="29"/>
      <c r="GI557" s="29"/>
      <c r="GJ557" s="29"/>
      <c r="GK557" s="29"/>
      <c r="GL557" s="29"/>
      <c r="GM557" s="29"/>
      <c r="GN557" s="29"/>
      <c r="GO557" s="29"/>
      <c r="GP557" s="29"/>
      <c r="GQ557" s="29"/>
      <c r="GR557" s="29"/>
      <c r="GS557" s="29"/>
      <c r="GT557" s="29"/>
      <c r="GU557" s="29"/>
      <c r="HP557" s="31"/>
      <c r="MX557" s="29"/>
      <c r="MY557" s="29"/>
    </row>
    <row r="558" ht="16.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29"/>
      <c r="AY558" s="29"/>
      <c r="AZ558" s="29"/>
      <c r="BA558" s="29"/>
      <c r="BB558" s="29"/>
      <c r="BC558" s="29"/>
      <c r="BD558" s="29"/>
      <c r="BE558" s="29"/>
      <c r="BF558" s="29"/>
      <c r="BG558" s="29"/>
      <c r="BH558" s="29"/>
      <c r="BI558" s="29"/>
      <c r="BJ558" s="29"/>
      <c r="BK558" s="29"/>
      <c r="BL558" s="29"/>
      <c r="BM558" s="29"/>
      <c r="BN558" s="29"/>
      <c r="BO558" s="29"/>
      <c r="BP558" s="29"/>
      <c r="BQ558" s="29"/>
      <c r="BR558" s="29"/>
      <c r="BS558" s="29"/>
      <c r="BT558" s="29"/>
      <c r="BU558" s="29"/>
      <c r="BV558" s="29"/>
      <c r="BW558" s="29"/>
      <c r="BX558" s="29"/>
      <c r="BY558" s="29"/>
      <c r="BZ558" s="29"/>
      <c r="CA558" s="29"/>
      <c r="CB558" s="29"/>
      <c r="CC558" s="29"/>
      <c r="CD558" s="29"/>
      <c r="CE558" s="29"/>
      <c r="CF558" s="29"/>
      <c r="CG558" s="29"/>
      <c r="CH558" s="29"/>
      <c r="CI558" s="29"/>
      <c r="CJ558" s="29"/>
      <c r="CK558" s="29"/>
      <c r="CL558" s="29"/>
      <c r="CM558" s="29"/>
      <c r="CN558" s="29"/>
      <c r="CO558" s="29"/>
      <c r="CP558" s="29"/>
      <c r="CQ558" s="29"/>
      <c r="CR558" s="29"/>
      <c r="CS558" s="29"/>
      <c r="CT558" s="29"/>
      <c r="CU558" s="29"/>
      <c r="CV558" s="29"/>
      <c r="CW558" s="29"/>
      <c r="CX558" s="29"/>
      <c r="CY558" s="29"/>
      <c r="CZ558" s="29"/>
      <c r="DA558" s="29"/>
      <c r="DB558" s="29"/>
      <c r="DC558" s="29"/>
      <c r="DD558" s="29"/>
      <c r="DE558" s="29"/>
      <c r="DF558" s="29"/>
      <c r="DG558" s="29"/>
      <c r="DH558" s="29"/>
      <c r="DI558" s="29"/>
      <c r="DJ558" s="29"/>
      <c r="DK558" s="29"/>
      <c r="DL558" s="29"/>
      <c r="DM558" s="29"/>
      <c r="DN558" s="29"/>
      <c r="DO558" s="29"/>
      <c r="DP558" s="29"/>
      <c r="DQ558" s="29"/>
      <c r="DR558" s="29"/>
      <c r="DS558" s="29"/>
      <c r="DT558" s="29"/>
      <c r="DU558" s="29"/>
      <c r="DV558" s="29"/>
      <c r="DW558" s="29"/>
      <c r="DX558" s="29"/>
      <c r="DY558" s="29"/>
      <c r="DZ558" s="29"/>
      <c r="EA558" s="29"/>
      <c r="EB558" s="29"/>
      <c r="EC558" s="29"/>
      <c r="ED558" s="29"/>
      <c r="EE558" s="29"/>
      <c r="EF558" s="29"/>
      <c r="EG558" s="29"/>
      <c r="EH558" s="29"/>
      <c r="EI558" s="29"/>
      <c r="EJ558" s="29"/>
      <c r="EK558" s="29"/>
      <c r="EL558" s="29"/>
      <c r="EM558" s="29"/>
      <c r="EN558" s="29"/>
      <c r="EO558" s="29"/>
      <c r="EP558" s="29"/>
      <c r="EQ558" s="29"/>
      <c r="ER558" s="29"/>
      <c r="ES558" s="29"/>
      <c r="ET558" s="29"/>
      <c r="EU558" s="29"/>
      <c r="EV558" s="29"/>
      <c r="EW558" s="29"/>
      <c r="EX558" s="29"/>
      <c r="EY558" s="29"/>
      <c r="EZ558" s="29"/>
      <c r="FA558" s="29"/>
      <c r="FB558" s="29"/>
      <c r="FC558" s="29"/>
      <c r="FD558" s="29"/>
      <c r="FE558" s="29"/>
      <c r="FF558" s="29"/>
      <c r="FG558" s="29"/>
      <c r="FH558" s="29"/>
      <c r="FI558" s="29"/>
      <c r="FJ558" s="29"/>
      <c r="FK558" s="29"/>
      <c r="FL558" s="29"/>
      <c r="FM558" s="29"/>
      <c r="FN558" s="29"/>
      <c r="FO558" s="29"/>
      <c r="FP558" s="29"/>
      <c r="FQ558" s="29"/>
      <c r="FR558" s="29"/>
      <c r="FS558" s="29"/>
      <c r="FT558" s="29"/>
      <c r="FU558" s="29"/>
      <c r="FV558" s="29"/>
      <c r="FW558" s="29"/>
      <c r="FX558" s="29"/>
      <c r="FY558" s="29"/>
      <c r="FZ558" s="29"/>
      <c r="GA558" s="29"/>
      <c r="GB558" s="29"/>
      <c r="GC558" s="29"/>
      <c r="GD558" s="29"/>
      <c r="GE558" s="29"/>
      <c r="GF558" s="29"/>
      <c r="GG558" s="29"/>
      <c r="GH558" s="29"/>
      <c r="GI558" s="29"/>
      <c r="GJ558" s="29"/>
      <c r="GK558" s="29"/>
      <c r="GL558" s="29"/>
      <c r="GM558" s="29"/>
      <c r="GN558" s="29"/>
      <c r="GO558" s="29"/>
      <c r="GP558" s="29"/>
      <c r="GQ558" s="29"/>
      <c r="GR558" s="29"/>
      <c r="GS558" s="29"/>
      <c r="GT558" s="29"/>
      <c r="GU558" s="29"/>
      <c r="HP558" s="31"/>
      <c r="MX558" s="29"/>
      <c r="MY558" s="29"/>
    </row>
    <row r="559" ht="16.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29"/>
      <c r="BR559" s="29"/>
      <c r="BS559" s="29"/>
      <c r="BT559" s="29"/>
      <c r="BU559" s="29"/>
      <c r="BV559" s="29"/>
      <c r="BW559" s="29"/>
      <c r="BX559" s="29"/>
      <c r="BY559" s="29"/>
      <c r="BZ559" s="29"/>
      <c r="CA559" s="29"/>
      <c r="CB559" s="29"/>
      <c r="CC559" s="29"/>
      <c r="CD559" s="29"/>
      <c r="CE559" s="29"/>
      <c r="CF559" s="29"/>
      <c r="CG559" s="29"/>
      <c r="CH559" s="29"/>
      <c r="CI559" s="29"/>
      <c r="CJ559" s="29"/>
      <c r="CK559" s="29"/>
      <c r="CL559" s="29"/>
      <c r="CM559" s="29"/>
      <c r="CN559" s="29"/>
      <c r="CO559" s="29"/>
      <c r="CP559" s="29"/>
      <c r="CQ559" s="29"/>
      <c r="CR559" s="29"/>
      <c r="CS559" s="29"/>
      <c r="CT559" s="29"/>
      <c r="CU559" s="29"/>
      <c r="CV559" s="29"/>
      <c r="CW559" s="29"/>
      <c r="CX559" s="29"/>
      <c r="CY559" s="29"/>
      <c r="CZ559" s="29"/>
      <c r="DA559" s="29"/>
      <c r="DB559" s="29"/>
      <c r="DC559" s="29"/>
      <c r="DD559" s="29"/>
      <c r="DE559" s="29"/>
      <c r="DF559" s="29"/>
      <c r="DG559" s="29"/>
      <c r="DH559" s="29"/>
      <c r="DI559" s="29"/>
      <c r="DJ559" s="29"/>
      <c r="DK559" s="29"/>
      <c r="DL559" s="29"/>
      <c r="DM559" s="29"/>
      <c r="DN559" s="29"/>
      <c r="DO559" s="29"/>
      <c r="DP559" s="29"/>
      <c r="DQ559" s="29"/>
      <c r="DR559" s="29"/>
      <c r="DS559" s="29"/>
      <c r="DT559" s="29"/>
      <c r="DU559" s="29"/>
      <c r="DV559" s="29"/>
      <c r="DW559" s="29"/>
      <c r="DX559" s="29"/>
      <c r="DY559" s="29"/>
      <c r="DZ559" s="29"/>
      <c r="EA559" s="29"/>
      <c r="EB559" s="29"/>
      <c r="EC559" s="29"/>
      <c r="ED559" s="29"/>
      <c r="EE559" s="29"/>
      <c r="EF559" s="29"/>
      <c r="EG559" s="29"/>
      <c r="EH559" s="29"/>
      <c r="EI559" s="29"/>
      <c r="EJ559" s="29"/>
      <c r="EK559" s="29"/>
      <c r="EL559" s="29"/>
      <c r="EM559" s="29"/>
      <c r="EN559" s="29"/>
      <c r="EO559" s="29"/>
      <c r="EP559" s="29"/>
      <c r="EQ559" s="29"/>
      <c r="ER559" s="29"/>
      <c r="ES559" s="29"/>
      <c r="ET559" s="29"/>
      <c r="EU559" s="29"/>
      <c r="EV559" s="29"/>
      <c r="EW559" s="29"/>
      <c r="EX559" s="29"/>
      <c r="EY559" s="29"/>
      <c r="EZ559" s="29"/>
      <c r="FA559" s="29"/>
      <c r="FB559" s="29"/>
      <c r="FC559" s="29"/>
      <c r="FD559" s="29"/>
      <c r="FE559" s="29"/>
      <c r="FF559" s="29"/>
      <c r="FG559" s="29"/>
      <c r="FH559" s="29"/>
      <c r="FI559" s="29"/>
      <c r="FJ559" s="29"/>
      <c r="FK559" s="29"/>
      <c r="FL559" s="29"/>
      <c r="FM559" s="29"/>
      <c r="FN559" s="29"/>
      <c r="FO559" s="29"/>
      <c r="FP559" s="29"/>
      <c r="FQ559" s="29"/>
      <c r="FR559" s="29"/>
      <c r="FS559" s="29"/>
      <c r="FT559" s="29"/>
      <c r="FU559" s="29"/>
      <c r="FV559" s="29"/>
      <c r="FW559" s="29"/>
      <c r="FX559" s="29"/>
      <c r="FY559" s="29"/>
      <c r="FZ559" s="29"/>
      <c r="GA559" s="29"/>
      <c r="GB559" s="29"/>
      <c r="GC559" s="29"/>
      <c r="GD559" s="29"/>
      <c r="GE559" s="29"/>
      <c r="GF559" s="29"/>
      <c r="GG559" s="29"/>
      <c r="GH559" s="29"/>
      <c r="GI559" s="29"/>
      <c r="GJ559" s="29"/>
      <c r="GK559" s="29"/>
      <c r="GL559" s="29"/>
      <c r="GM559" s="29"/>
      <c r="GN559" s="29"/>
      <c r="GO559" s="29"/>
      <c r="GP559" s="29"/>
      <c r="GQ559" s="29"/>
      <c r="GR559" s="29"/>
      <c r="GS559" s="29"/>
      <c r="GT559" s="29"/>
      <c r="GU559" s="29"/>
      <c r="HP559" s="31"/>
      <c r="MX559" s="29"/>
      <c r="MY559" s="29"/>
    </row>
    <row r="560" ht="16.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29"/>
      <c r="BR560" s="29"/>
      <c r="BS560" s="29"/>
      <c r="BT560" s="29"/>
      <c r="BU560" s="29"/>
      <c r="BV560" s="29"/>
      <c r="BW560" s="29"/>
      <c r="BX560" s="29"/>
      <c r="BY560" s="29"/>
      <c r="BZ560" s="29"/>
      <c r="CA560" s="29"/>
      <c r="CB560" s="29"/>
      <c r="CC560" s="29"/>
      <c r="CD560" s="29"/>
      <c r="CE560" s="29"/>
      <c r="CF560" s="29"/>
      <c r="CG560" s="29"/>
      <c r="CH560" s="29"/>
      <c r="CI560" s="29"/>
      <c r="CJ560" s="29"/>
      <c r="CK560" s="29"/>
      <c r="CL560" s="29"/>
      <c r="CM560" s="29"/>
      <c r="CN560" s="29"/>
      <c r="CO560" s="29"/>
      <c r="CP560" s="29"/>
      <c r="CQ560" s="29"/>
      <c r="CR560" s="29"/>
      <c r="CS560" s="29"/>
      <c r="CT560" s="29"/>
      <c r="CU560" s="29"/>
      <c r="CV560" s="29"/>
      <c r="CW560" s="29"/>
      <c r="CX560" s="29"/>
      <c r="CY560" s="29"/>
      <c r="CZ560" s="29"/>
      <c r="DA560" s="29"/>
      <c r="DB560" s="29"/>
      <c r="DC560" s="29"/>
      <c r="DD560" s="29"/>
      <c r="DE560" s="29"/>
      <c r="DF560" s="29"/>
      <c r="DG560" s="29"/>
      <c r="DH560" s="29"/>
      <c r="DI560" s="29"/>
      <c r="DJ560" s="29"/>
      <c r="DK560" s="29"/>
      <c r="DL560" s="29"/>
      <c r="DM560" s="29"/>
      <c r="DN560" s="29"/>
      <c r="DO560" s="29"/>
      <c r="DP560" s="29"/>
      <c r="DQ560" s="29"/>
      <c r="DR560" s="29"/>
      <c r="DS560" s="29"/>
      <c r="DT560" s="29"/>
      <c r="DU560" s="29"/>
      <c r="DV560" s="29"/>
      <c r="DW560" s="29"/>
      <c r="DX560" s="29"/>
      <c r="DY560" s="29"/>
      <c r="DZ560" s="29"/>
      <c r="EA560" s="29"/>
      <c r="EB560" s="29"/>
      <c r="EC560" s="29"/>
      <c r="ED560" s="29"/>
      <c r="EE560" s="29"/>
      <c r="EF560" s="29"/>
      <c r="EG560" s="29"/>
      <c r="EH560" s="29"/>
      <c r="EI560" s="29"/>
      <c r="EJ560" s="29"/>
      <c r="EK560" s="29"/>
      <c r="EL560" s="29"/>
      <c r="EM560" s="29"/>
      <c r="EN560" s="29"/>
      <c r="EO560" s="29"/>
      <c r="EP560" s="29"/>
      <c r="EQ560" s="29"/>
      <c r="ER560" s="29"/>
      <c r="ES560" s="29"/>
      <c r="ET560" s="29"/>
      <c r="EU560" s="29"/>
      <c r="EV560" s="29"/>
      <c r="EW560" s="29"/>
      <c r="EX560" s="29"/>
      <c r="EY560" s="29"/>
      <c r="EZ560" s="29"/>
      <c r="FA560" s="29"/>
      <c r="FB560" s="29"/>
      <c r="FC560" s="29"/>
      <c r="FD560" s="29"/>
      <c r="FE560" s="29"/>
      <c r="FF560" s="29"/>
      <c r="FG560" s="29"/>
      <c r="FH560" s="29"/>
      <c r="FI560" s="29"/>
      <c r="FJ560" s="29"/>
      <c r="FK560" s="29"/>
      <c r="FL560" s="29"/>
      <c r="FM560" s="29"/>
      <c r="FN560" s="29"/>
      <c r="FO560" s="29"/>
      <c r="FP560" s="29"/>
      <c r="FQ560" s="29"/>
      <c r="FR560" s="29"/>
      <c r="FS560" s="29"/>
      <c r="FT560" s="29"/>
      <c r="FU560" s="29"/>
      <c r="FV560" s="29"/>
      <c r="FW560" s="29"/>
      <c r="FX560" s="29"/>
      <c r="FY560" s="29"/>
      <c r="FZ560" s="29"/>
      <c r="GA560" s="29"/>
      <c r="GB560" s="29"/>
      <c r="GC560" s="29"/>
      <c r="GD560" s="29"/>
      <c r="GE560" s="29"/>
      <c r="GF560" s="29"/>
      <c r="GG560" s="29"/>
      <c r="GH560" s="29"/>
      <c r="GI560" s="29"/>
      <c r="GJ560" s="29"/>
      <c r="GK560" s="29"/>
      <c r="GL560" s="29"/>
      <c r="GM560" s="29"/>
      <c r="GN560" s="29"/>
      <c r="GO560" s="29"/>
      <c r="GP560" s="29"/>
      <c r="GQ560" s="29"/>
      <c r="GR560" s="29"/>
      <c r="GS560" s="29"/>
      <c r="GT560" s="29"/>
      <c r="GU560" s="29"/>
      <c r="HP560" s="31"/>
      <c r="MX560" s="29"/>
      <c r="MY560" s="29"/>
    </row>
    <row r="561" ht="16.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c r="BO561" s="29"/>
      <c r="BP561" s="29"/>
      <c r="BQ561" s="29"/>
      <c r="BR561" s="29"/>
      <c r="BS561" s="29"/>
      <c r="BT561" s="29"/>
      <c r="BU561" s="29"/>
      <c r="BV561" s="29"/>
      <c r="BW561" s="29"/>
      <c r="BX561" s="29"/>
      <c r="BY561" s="29"/>
      <c r="BZ561" s="29"/>
      <c r="CA561" s="29"/>
      <c r="CB561" s="29"/>
      <c r="CC561" s="29"/>
      <c r="CD561" s="29"/>
      <c r="CE561" s="29"/>
      <c r="CF561" s="29"/>
      <c r="CG561" s="29"/>
      <c r="CH561" s="29"/>
      <c r="CI561" s="29"/>
      <c r="CJ561" s="29"/>
      <c r="CK561" s="29"/>
      <c r="CL561" s="29"/>
      <c r="CM561" s="29"/>
      <c r="CN561" s="29"/>
      <c r="CO561" s="29"/>
      <c r="CP561" s="29"/>
      <c r="CQ561" s="29"/>
      <c r="CR561" s="29"/>
      <c r="CS561" s="29"/>
      <c r="CT561" s="29"/>
      <c r="CU561" s="29"/>
      <c r="CV561" s="29"/>
      <c r="CW561" s="29"/>
      <c r="CX561" s="29"/>
      <c r="CY561" s="29"/>
      <c r="CZ561" s="29"/>
      <c r="DA561" s="29"/>
      <c r="DB561" s="29"/>
      <c r="DC561" s="29"/>
      <c r="DD561" s="29"/>
      <c r="DE561" s="29"/>
      <c r="DF561" s="29"/>
      <c r="DG561" s="29"/>
      <c r="DH561" s="29"/>
      <c r="DI561" s="29"/>
      <c r="DJ561" s="29"/>
      <c r="DK561" s="29"/>
      <c r="DL561" s="29"/>
      <c r="DM561" s="29"/>
      <c r="DN561" s="29"/>
      <c r="DO561" s="29"/>
      <c r="DP561" s="29"/>
      <c r="DQ561" s="29"/>
      <c r="DR561" s="29"/>
      <c r="DS561" s="29"/>
      <c r="DT561" s="29"/>
      <c r="DU561" s="29"/>
      <c r="DV561" s="29"/>
      <c r="DW561" s="29"/>
      <c r="DX561" s="29"/>
      <c r="DY561" s="29"/>
      <c r="DZ561" s="29"/>
      <c r="EA561" s="29"/>
      <c r="EB561" s="29"/>
      <c r="EC561" s="29"/>
      <c r="ED561" s="29"/>
      <c r="EE561" s="29"/>
      <c r="EF561" s="29"/>
      <c r="EG561" s="29"/>
      <c r="EH561" s="29"/>
      <c r="EI561" s="29"/>
      <c r="EJ561" s="29"/>
      <c r="EK561" s="29"/>
      <c r="EL561" s="29"/>
      <c r="EM561" s="29"/>
      <c r="EN561" s="29"/>
      <c r="EO561" s="29"/>
      <c r="EP561" s="29"/>
      <c r="EQ561" s="29"/>
      <c r="ER561" s="29"/>
      <c r="ES561" s="29"/>
      <c r="ET561" s="29"/>
      <c r="EU561" s="29"/>
      <c r="EV561" s="29"/>
      <c r="EW561" s="29"/>
      <c r="EX561" s="29"/>
      <c r="EY561" s="29"/>
      <c r="EZ561" s="29"/>
      <c r="FA561" s="29"/>
      <c r="FB561" s="29"/>
      <c r="FC561" s="29"/>
      <c r="FD561" s="29"/>
      <c r="FE561" s="29"/>
      <c r="FF561" s="29"/>
      <c r="FG561" s="29"/>
      <c r="FH561" s="29"/>
      <c r="FI561" s="29"/>
      <c r="FJ561" s="29"/>
      <c r="FK561" s="29"/>
      <c r="FL561" s="29"/>
      <c r="FM561" s="29"/>
      <c r="FN561" s="29"/>
      <c r="FO561" s="29"/>
      <c r="FP561" s="29"/>
      <c r="FQ561" s="29"/>
      <c r="FR561" s="29"/>
      <c r="FS561" s="29"/>
      <c r="FT561" s="29"/>
      <c r="FU561" s="29"/>
      <c r="FV561" s="29"/>
      <c r="FW561" s="29"/>
      <c r="FX561" s="29"/>
      <c r="FY561" s="29"/>
      <c r="FZ561" s="29"/>
      <c r="GA561" s="29"/>
      <c r="GB561" s="29"/>
      <c r="GC561" s="29"/>
      <c r="GD561" s="29"/>
      <c r="GE561" s="29"/>
      <c r="GF561" s="29"/>
      <c r="GG561" s="29"/>
      <c r="GH561" s="29"/>
      <c r="GI561" s="29"/>
      <c r="GJ561" s="29"/>
      <c r="GK561" s="29"/>
      <c r="GL561" s="29"/>
      <c r="GM561" s="29"/>
      <c r="GN561" s="29"/>
      <c r="GO561" s="29"/>
      <c r="GP561" s="29"/>
      <c r="GQ561" s="29"/>
      <c r="GR561" s="29"/>
      <c r="GS561" s="29"/>
      <c r="GT561" s="29"/>
      <c r="GU561" s="29"/>
      <c r="HP561" s="31"/>
      <c r="MX561" s="29"/>
      <c r="MY561" s="29"/>
    </row>
    <row r="562" ht="16.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c r="AX562" s="29"/>
      <c r="AY562" s="29"/>
      <c r="AZ562" s="29"/>
      <c r="BA562" s="29"/>
      <c r="BB562" s="29"/>
      <c r="BC562" s="29"/>
      <c r="BD562" s="29"/>
      <c r="BE562" s="29"/>
      <c r="BF562" s="29"/>
      <c r="BG562" s="29"/>
      <c r="BH562" s="29"/>
      <c r="BI562" s="29"/>
      <c r="BJ562" s="29"/>
      <c r="BK562" s="29"/>
      <c r="BL562" s="29"/>
      <c r="BM562" s="29"/>
      <c r="BN562" s="29"/>
      <c r="BO562" s="29"/>
      <c r="BP562" s="29"/>
      <c r="BQ562" s="29"/>
      <c r="BR562" s="29"/>
      <c r="BS562" s="29"/>
      <c r="BT562" s="29"/>
      <c r="BU562" s="29"/>
      <c r="BV562" s="29"/>
      <c r="BW562" s="29"/>
      <c r="BX562" s="29"/>
      <c r="BY562" s="29"/>
      <c r="BZ562" s="29"/>
      <c r="CA562" s="29"/>
      <c r="CB562" s="29"/>
      <c r="CC562" s="29"/>
      <c r="CD562" s="29"/>
      <c r="CE562" s="29"/>
      <c r="CF562" s="29"/>
      <c r="CG562" s="29"/>
      <c r="CH562" s="29"/>
      <c r="CI562" s="29"/>
      <c r="CJ562" s="29"/>
      <c r="CK562" s="29"/>
      <c r="CL562" s="29"/>
      <c r="CM562" s="29"/>
      <c r="CN562" s="29"/>
      <c r="CO562" s="29"/>
      <c r="CP562" s="29"/>
      <c r="CQ562" s="29"/>
      <c r="CR562" s="29"/>
      <c r="CS562" s="29"/>
      <c r="CT562" s="29"/>
      <c r="CU562" s="29"/>
      <c r="CV562" s="29"/>
      <c r="CW562" s="29"/>
      <c r="CX562" s="29"/>
      <c r="CY562" s="29"/>
      <c r="CZ562" s="29"/>
      <c r="DA562" s="29"/>
      <c r="DB562" s="29"/>
      <c r="DC562" s="29"/>
      <c r="DD562" s="29"/>
      <c r="DE562" s="29"/>
      <c r="DF562" s="29"/>
      <c r="DG562" s="29"/>
      <c r="DH562" s="29"/>
      <c r="DI562" s="29"/>
      <c r="DJ562" s="29"/>
      <c r="DK562" s="29"/>
      <c r="DL562" s="29"/>
      <c r="DM562" s="29"/>
      <c r="DN562" s="29"/>
      <c r="DO562" s="29"/>
      <c r="DP562" s="29"/>
      <c r="DQ562" s="29"/>
      <c r="DR562" s="29"/>
      <c r="DS562" s="29"/>
      <c r="DT562" s="29"/>
      <c r="DU562" s="29"/>
      <c r="DV562" s="29"/>
      <c r="DW562" s="29"/>
      <c r="DX562" s="29"/>
      <c r="DY562" s="29"/>
      <c r="DZ562" s="29"/>
      <c r="EA562" s="29"/>
      <c r="EB562" s="29"/>
      <c r="EC562" s="29"/>
      <c r="ED562" s="29"/>
      <c r="EE562" s="29"/>
      <c r="EF562" s="29"/>
      <c r="EG562" s="29"/>
      <c r="EH562" s="29"/>
      <c r="EI562" s="29"/>
      <c r="EJ562" s="29"/>
      <c r="EK562" s="29"/>
      <c r="EL562" s="29"/>
      <c r="EM562" s="29"/>
      <c r="EN562" s="29"/>
      <c r="EO562" s="29"/>
      <c r="EP562" s="29"/>
      <c r="EQ562" s="29"/>
      <c r="ER562" s="29"/>
      <c r="ES562" s="29"/>
      <c r="ET562" s="29"/>
      <c r="EU562" s="29"/>
      <c r="EV562" s="29"/>
      <c r="EW562" s="29"/>
      <c r="EX562" s="29"/>
      <c r="EY562" s="29"/>
      <c r="EZ562" s="29"/>
      <c r="FA562" s="29"/>
      <c r="FB562" s="29"/>
      <c r="FC562" s="29"/>
      <c r="FD562" s="29"/>
      <c r="FE562" s="29"/>
      <c r="FF562" s="29"/>
      <c r="FG562" s="29"/>
      <c r="FH562" s="29"/>
      <c r="FI562" s="29"/>
      <c r="FJ562" s="29"/>
      <c r="FK562" s="29"/>
      <c r="FL562" s="29"/>
      <c r="FM562" s="29"/>
      <c r="FN562" s="29"/>
      <c r="FO562" s="29"/>
      <c r="FP562" s="29"/>
      <c r="FQ562" s="29"/>
      <c r="FR562" s="29"/>
      <c r="FS562" s="29"/>
      <c r="FT562" s="29"/>
      <c r="FU562" s="29"/>
      <c r="FV562" s="29"/>
      <c r="FW562" s="29"/>
      <c r="FX562" s="29"/>
      <c r="FY562" s="29"/>
      <c r="FZ562" s="29"/>
      <c r="GA562" s="29"/>
      <c r="GB562" s="29"/>
      <c r="GC562" s="29"/>
      <c r="GD562" s="29"/>
      <c r="GE562" s="29"/>
      <c r="GF562" s="29"/>
      <c r="GG562" s="29"/>
      <c r="GH562" s="29"/>
      <c r="GI562" s="29"/>
      <c r="GJ562" s="29"/>
      <c r="GK562" s="29"/>
      <c r="GL562" s="29"/>
      <c r="GM562" s="29"/>
      <c r="GN562" s="29"/>
      <c r="GO562" s="29"/>
      <c r="GP562" s="29"/>
      <c r="GQ562" s="29"/>
      <c r="GR562" s="29"/>
      <c r="GS562" s="29"/>
      <c r="GT562" s="29"/>
      <c r="GU562" s="29"/>
      <c r="HP562" s="31"/>
      <c r="MX562" s="29"/>
      <c r="MY562" s="29"/>
    </row>
    <row r="563" ht="16.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c r="BO563" s="29"/>
      <c r="BP563" s="29"/>
      <c r="BQ563" s="29"/>
      <c r="BR563" s="29"/>
      <c r="BS563" s="29"/>
      <c r="BT563" s="29"/>
      <c r="BU563" s="29"/>
      <c r="BV563" s="29"/>
      <c r="BW563" s="29"/>
      <c r="BX563" s="29"/>
      <c r="BY563" s="29"/>
      <c r="BZ563" s="29"/>
      <c r="CA563" s="29"/>
      <c r="CB563" s="29"/>
      <c r="CC563" s="29"/>
      <c r="CD563" s="29"/>
      <c r="CE563" s="29"/>
      <c r="CF563" s="29"/>
      <c r="CG563" s="29"/>
      <c r="CH563" s="29"/>
      <c r="CI563" s="29"/>
      <c r="CJ563" s="29"/>
      <c r="CK563" s="29"/>
      <c r="CL563" s="29"/>
      <c r="CM563" s="29"/>
      <c r="CN563" s="29"/>
      <c r="CO563" s="29"/>
      <c r="CP563" s="29"/>
      <c r="CQ563" s="29"/>
      <c r="CR563" s="29"/>
      <c r="CS563" s="29"/>
      <c r="CT563" s="29"/>
      <c r="CU563" s="29"/>
      <c r="CV563" s="29"/>
      <c r="CW563" s="29"/>
      <c r="CX563" s="29"/>
      <c r="CY563" s="29"/>
      <c r="CZ563" s="29"/>
      <c r="DA563" s="29"/>
      <c r="DB563" s="29"/>
      <c r="DC563" s="29"/>
      <c r="DD563" s="29"/>
      <c r="DE563" s="29"/>
      <c r="DF563" s="29"/>
      <c r="DG563" s="29"/>
      <c r="DH563" s="29"/>
      <c r="DI563" s="29"/>
      <c r="DJ563" s="29"/>
      <c r="DK563" s="29"/>
      <c r="DL563" s="29"/>
      <c r="DM563" s="29"/>
      <c r="DN563" s="29"/>
      <c r="DO563" s="29"/>
      <c r="DP563" s="29"/>
      <c r="DQ563" s="29"/>
      <c r="DR563" s="29"/>
      <c r="DS563" s="29"/>
      <c r="DT563" s="29"/>
      <c r="DU563" s="29"/>
      <c r="DV563" s="29"/>
      <c r="DW563" s="29"/>
      <c r="DX563" s="29"/>
      <c r="DY563" s="29"/>
      <c r="DZ563" s="29"/>
      <c r="EA563" s="29"/>
      <c r="EB563" s="29"/>
      <c r="EC563" s="29"/>
      <c r="ED563" s="29"/>
      <c r="EE563" s="29"/>
      <c r="EF563" s="29"/>
      <c r="EG563" s="29"/>
      <c r="EH563" s="29"/>
      <c r="EI563" s="29"/>
      <c r="EJ563" s="29"/>
      <c r="EK563" s="29"/>
      <c r="EL563" s="29"/>
      <c r="EM563" s="29"/>
      <c r="EN563" s="29"/>
      <c r="EO563" s="29"/>
      <c r="EP563" s="29"/>
      <c r="EQ563" s="29"/>
      <c r="ER563" s="29"/>
      <c r="ES563" s="29"/>
      <c r="ET563" s="29"/>
      <c r="EU563" s="29"/>
      <c r="EV563" s="29"/>
      <c r="EW563" s="29"/>
      <c r="EX563" s="29"/>
      <c r="EY563" s="29"/>
      <c r="EZ563" s="29"/>
      <c r="FA563" s="29"/>
      <c r="FB563" s="29"/>
      <c r="FC563" s="29"/>
      <c r="FD563" s="29"/>
      <c r="FE563" s="29"/>
      <c r="FF563" s="29"/>
      <c r="FG563" s="29"/>
      <c r="FH563" s="29"/>
      <c r="FI563" s="29"/>
      <c r="FJ563" s="29"/>
      <c r="FK563" s="29"/>
      <c r="FL563" s="29"/>
      <c r="FM563" s="29"/>
      <c r="FN563" s="29"/>
      <c r="FO563" s="29"/>
      <c r="FP563" s="29"/>
      <c r="FQ563" s="29"/>
      <c r="FR563" s="29"/>
      <c r="FS563" s="29"/>
      <c r="FT563" s="29"/>
      <c r="FU563" s="29"/>
      <c r="FV563" s="29"/>
      <c r="FW563" s="29"/>
      <c r="FX563" s="29"/>
      <c r="FY563" s="29"/>
      <c r="FZ563" s="29"/>
      <c r="GA563" s="29"/>
      <c r="GB563" s="29"/>
      <c r="GC563" s="29"/>
      <c r="GD563" s="29"/>
      <c r="GE563" s="29"/>
      <c r="GF563" s="29"/>
      <c r="GG563" s="29"/>
      <c r="GH563" s="29"/>
      <c r="GI563" s="29"/>
      <c r="GJ563" s="29"/>
      <c r="GK563" s="29"/>
      <c r="GL563" s="29"/>
      <c r="GM563" s="29"/>
      <c r="GN563" s="29"/>
      <c r="GO563" s="29"/>
      <c r="GP563" s="29"/>
      <c r="GQ563" s="29"/>
      <c r="GR563" s="29"/>
      <c r="GS563" s="29"/>
      <c r="GT563" s="29"/>
      <c r="GU563" s="29"/>
      <c r="HP563" s="31"/>
      <c r="MX563" s="29"/>
      <c r="MY563" s="29"/>
    </row>
    <row r="564" ht="16.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c r="BR564" s="29"/>
      <c r="BS564" s="29"/>
      <c r="BT564" s="29"/>
      <c r="BU564" s="29"/>
      <c r="BV564" s="29"/>
      <c r="BW564" s="29"/>
      <c r="BX564" s="29"/>
      <c r="BY564" s="29"/>
      <c r="BZ564" s="29"/>
      <c r="CA564" s="29"/>
      <c r="CB564" s="29"/>
      <c r="CC564" s="29"/>
      <c r="CD564" s="29"/>
      <c r="CE564" s="29"/>
      <c r="CF564" s="29"/>
      <c r="CG564" s="29"/>
      <c r="CH564" s="29"/>
      <c r="CI564" s="29"/>
      <c r="CJ564" s="29"/>
      <c r="CK564" s="29"/>
      <c r="CL564" s="29"/>
      <c r="CM564" s="29"/>
      <c r="CN564" s="29"/>
      <c r="CO564" s="29"/>
      <c r="CP564" s="29"/>
      <c r="CQ564" s="29"/>
      <c r="CR564" s="29"/>
      <c r="CS564" s="29"/>
      <c r="CT564" s="29"/>
      <c r="CU564" s="29"/>
      <c r="CV564" s="29"/>
      <c r="CW564" s="29"/>
      <c r="CX564" s="29"/>
      <c r="CY564" s="29"/>
      <c r="CZ564" s="29"/>
      <c r="DA564" s="29"/>
      <c r="DB564" s="29"/>
      <c r="DC564" s="29"/>
      <c r="DD564" s="29"/>
      <c r="DE564" s="29"/>
      <c r="DF564" s="29"/>
      <c r="DG564" s="29"/>
      <c r="DH564" s="29"/>
      <c r="DI564" s="29"/>
      <c r="DJ564" s="29"/>
      <c r="DK564" s="29"/>
      <c r="DL564" s="29"/>
      <c r="DM564" s="29"/>
      <c r="DN564" s="29"/>
      <c r="DO564" s="29"/>
      <c r="DP564" s="29"/>
      <c r="DQ564" s="29"/>
      <c r="DR564" s="29"/>
      <c r="DS564" s="29"/>
      <c r="DT564" s="29"/>
      <c r="DU564" s="29"/>
      <c r="DV564" s="29"/>
      <c r="DW564" s="29"/>
      <c r="DX564" s="29"/>
      <c r="DY564" s="29"/>
      <c r="DZ564" s="29"/>
      <c r="EA564" s="29"/>
      <c r="EB564" s="29"/>
      <c r="EC564" s="29"/>
      <c r="ED564" s="29"/>
      <c r="EE564" s="29"/>
      <c r="EF564" s="29"/>
      <c r="EG564" s="29"/>
      <c r="EH564" s="29"/>
      <c r="EI564" s="29"/>
      <c r="EJ564" s="29"/>
      <c r="EK564" s="29"/>
      <c r="EL564" s="29"/>
      <c r="EM564" s="29"/>
      <c r="EN564" s="29"/>
      <c r="EO564" s="29"/>
      <c r="EP564" s="29"/>
      <c r="EQ564" s="29"/>
      <c r="ER564" s="29"/>
      <c r="ES564" s="29"/>
      <c r="ET564" s="29"/>
      <c r="EU564" s="29"/>
      <c r="EV564" s="29"/>
      <c r="EW564" s="29"/>
      <c r="EX564" s="29"/>
      <c r="EY564" s="29"/>
      <c r="EZ564" s="29"/>
      <c r="FA564" s="29"/>
      <c r="FB564" s="29"/>
      <c r="FC564" s="29"/>
      <c r="FD564" s="29"/>
      <c r="FE564" s="29"/>
      <c r="FF564" s="29"/>
      <c r="FG564" s="29"/>
      <c r="FH564" s="29"/>
      <c r="FI564" s="29"/>
      <c r="FJ564" s="29"/>
      <c r="FK564" s="29"/>
      <c r="FL564" s="29"/>
      <c r="FM564" s="29"/>
      <c r="FN564" s="29"/>
      <c r="FO564" s="29"/>
      <c r="FP564" s="29"/>
      <c r="FQ564" s="29"/>
      <c r="FR564" s="29"/>
      <c r="FS564" s="29"/>
      <c r="FT564" s="29"/>
      <c r="FU564" s="29"/>
      <c r="FV564" s="29"/>
      <c r="FW564" s="29"/>
      <c r="FX564" s="29"/>
      <c r="FY564" s="29"/>
      <c r="FZ564" s="29"/>
      <c r="GA564" s="29"/>
      <c r="GB564" s="29"/>
      <c r="GC564" s="29"/>
      <c r="GD564" s="29"/>
      <c r="GE564" s="29"/>
      <c r="GF564" s="29"/>
      <c r="GG564" s="29"/>
      <c r="GH564" s="29"/>
      <c r="GI564" s="29"/>
      <c r="GJ564" s="29"/>
      <c r="GK564" s="29"/>
      <c r="GL564" s="29"/>
      <c r="GM564" s="29"/>
      <c r="GN564" s="29"/>
      <c r="GO564" s="29"/>
      <c r="GP564" s="29"/>
      <c r="GQ564" s="29"/>
      <c r="GR564" s="29"/>
      <c r="GS564" s="29"/>
      <c r="GT564" s="29"/>
      <c r="GU564" s="29"/>
      <c r="HP564" s="31"/>
      <c r="MX564" s="29"/>
      <c r="MY564" s="29"/>
    </row>
    <row r="565" ht="16.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c r="BR565" s="29"/>
      <c r="BS565" s="29"/>
      <c r="BT565" s="29"/>
      <c r="BU565" s="29"/>
      <c r="BV565" s="29"/>
      <c r="BW565" s="29"/>
      <c r="BX565" s="29"/>
      <c r="BY565" s="29"/>
      <c r="BZ565" s="29"/>
      <c r="CA565" s="29"/>
      <c r="CB565" s="29"/>
      <c r="CC565" s="29"/>
      <c r="CD565" s="29"/>
      <c r="CE565" s="29"/>
      <c r="CF565" s="29"/>
      <c r="CG565" s="29"/>
      <c r="CH565" s="29"/>
      <c r="CI565" s="29"/>
      <c r="CJ565" s="29"/>
      <c r="CK565" s="29"/>
      <c r="CL565" s="29"/>
      <c r="CM565" s="29"/>
      <c r="CN565" s="29"/>
      <c r="CO565" s="29"/>
      <c r="CP565" s="29"/>
      <c r="CQ565" s="29"/>
      <c r="CR565" s="29"/>
      <c r="CS565" s="29"/>
      <c r="CT565" s="29"/>
      <c r="CU565" s="29"/>
      <c r="CV565" s="29"/>
      <c r="CW565" s="29"/>
      <c r="CX565" s="29"/>
      <c r="CY565" s="29"/>
      <c r="CZ565" s="29"/>
      <c r="DA565" s="29"/>
      <c r="DB565" s="29"/>
      <c r="DC565" s="29"/>
      <c r="DD565" s="29"/>
      <c r="DE565" s="29"/>
      <c r="DF565" s="29"/>
      <c r="DG565" s="29"/>
      <c r="DH565" s="29"/>
      <c r="DI565" s="29"/>
      <c r="DJ565" s="29"/>
      <c r="DK565" s="29"/>
      <c r="DL565" s="29"/>
      <c r="DM565" s="29"/>
      <c r="DN565" s="29"/>
      <c r="DO565" s="29"/>
      <c r="DP565" s="29"/>
      <c r="DQ565" s="29"/>
      <c r="DR565" s="29"/>
      <c r="DS565" s="29"/>
      <c r="DT565" s="29"/>
      <c r="DU565" s="29"/>
      <c r="DV565" s="29"/>
      <c r="DW565" s="29"/>
      <c r="DX565" s="29"/>
      <c r="DY565" s="29"/>
      <c r="DZ565" s="29"/>
      <c r="EA565" s="29"/>
      <c r="EB565" s="29"/>
      <c r="EC565" s="29"/>
      <c r="ED565" s="29"/>
      <c r="EE565" s="29"/>
      <c r="EF565" s="29"/>
      <c r="EG565" s="29"/>
      <c r="EH565" s="29"/>
      <c r="EI565" s="29"/>
      <c r="EJ565" s="29"/>
      <c r="EK565" s="29"/>
      <c r="EL565" s="29"/>
      <c r="EM565" s="29"/>
      <c r="EN565" s="29"/>
      <c r="EO565" s="29"/>
      <c r="EP565" s="29"/>
      <c r="EQ565" s="29"/>
      <c r="ER565" s="29"/>
      <c r="ES565" s="29"/>
      <c r="ET565" s="29"/>
      <c r="EU565" s="29"/>
      <c r="EV565" s="29"/>
      <c r="EW565" s="29"/>
      <c r="EX565" s="29"/>
      <c r="EY565" s="29"/>
      <c r="EZ565" s="29"/>
      <c r="FA565" s="29"/>
      <c r="FB565" s="29"/>
      <c r="FC565" s="29"/>
      <c r="FD565" s="29"/>
      <c r="FE565" s="29"/>
      <c r="FF565" s="29"/>
      <c r="FG565" s="29"/>
      <c r="FH565" s="29"/>
      <c r="FI565" s="29"/>
      <c r="FJ565" s="29"/>
      <c r="FK565" s="29"/>
      <c r="FL565" s="29"/>
      <c r="FM565" s="29"/>
      <c r="FN565" s="29"/>
      <c r="FO565" s="29"/>
      <c r="FP565" s="29"/>
      <c r="FQ565" s="29"/>
      <c r="FR565" s="29"/>
      <c r="FS565" s="29"/>
      <c r="FT565" s="29"/>
      <c r="FU565" s="29"/>
      <c r="FV565" s="29"/>
      <c r="FW565" s="29"/>
      <c r="FX565" s="29"/>
      <c r="FY565" s="29"/>
      <c r="FZ565" s="29"/>
      <c r="GA565" s="29"/>
      <c r="GB565" s="29"/>
      <c r="GC565" s="29"/>
      <c r="GD565" s="29"/>
      <c r="GE565" s="29"/>
      <c r="GF565" s="29"/>
      <c r="GG565" s="29"/>
      <c r="GH565" s="29"/>
      <c r="GI565" s="29"/>
      <c r="GJ565" s="29"/>
      <c r="GK565" s="29"/>
      <c r="GL565" s="29"/>
      <c r="GM565" s="29"/>
      <c r="GN565" s="29"/>
      <c r="GO565" s="29"/>
      <c r="GP565" s="29"/>
      <c r="GQ565" s="29"/>
      <c r="GR565" s="29"/>
      <c r="GS565" s="29"/>
      <c r="GT565" s="29"/>
      <c r="GU565" s="29"/>
      <c r="HP565" s="31"/>
      <c r="MX565" s="29"/>
      <c r="MY565" s="29"/>
    </row>
    <row r="566" ht="16.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BV566" s="29"/>
      <c r="BW566" s="29"/>
      <c r="BX566" s="29"/>
      <c r="BY566" s="29"/>
      <c r="BZ566" s="29"/>
      <c r="CA566" s="29"/>
      <c r="CB566" s="29"/>
      <c r="CC566" s="29"/>
      <c r="CD566" s="29"/>
      <c r="CE566" s="29"/>
      <c r="CF566" s="29"/>
      <c r="CG566" s="29"/>
      <c r="CH566" s="29"/>
      <c r="CI566" s="29"/>
      <c r="CJ566" s="29"/>
      <c r="CK566" s="29"/>
      <c r="CL566" s="29"/>
      <c r="CM566" s="29"/>
      <c r="CN566" s="29"/>
      <c r="CO566" s="29"/>
      <c r="CP566" s="29"/>
      <c r="CQ566" s="29"/>
      <c r="CR566" s="29"/>
      <c r="CS566" s="29"/>
      <c r="CT566" s="29"/>
      <c r="CU566" s="29"/>
      <c r="CV566" s="29"/>
      <c r="CW566" s="29"/>
      <c r="CX566" s="29"/>
      <c r="CY566" s="29"/>
      <c r="CZ566" s="29"/>
      <c r="DA566" s="29"/>
      <c r="DB566" s="29"/>
      <c r="DC566" s="29"/>
      <c r="DD566" s="29"/>
      <c r="DE566" s="29"/>
      <c r="DF566" s="29"/>
      <c r="DG566" s="29"/>
      <c r="DH566" s="29"/>
      <c r="DI566" s="29"/>
      <c r="DJ566" s="29"/>
      <c r="DK566" s="29"/>
      <c r="DL566" s="29"/>
      <c r="DM566" s="29"/>
      <c r="DN566" s="29"/>
      <c r="DO566" s="29"/>
      <c r="DP566" s="29"/>
      <c r="DQ566" s="29"/>
      <c r="DR566" s="29"/>
      <c r="DS566" s="29"/>
      <c r="DT566" s="29"/>
      <c r="DU566" s="29"/>
      <c r="DV566" s="29"/>
      <c r="DW566" s="29"/>
      <c r="DX566" s="29"/>
      <c r="DY566" s="29"/>
      <c r="DZ566" s="29"/>
      <c r="EA566" s="29"/>
      <c r="EB566" s="29"/>
      <c r="EC566" s="29"/>
      <c r="ED566" s="29"/>
      <c r="EE566" s="29"/>
      <c r="EF566" s="29"/>
      <c r="EG566" s="29"/>
      <c r="EH566" s="29"/>
      <c r="EI566" s="29"/>
      <c r="EJ566" s="29"/>
      <c r="EK566" s="29"/>
      <c r="EL566" s="29"/>
      <c r="EM566" s="29"/>
      <c r="EN566" s="29"/>
      <c r="EO566" s="29"/>
      <c r="EP566" s="29"/>
      <c r="EQ566" s="29"/>
      <c r="ER566" s="29"/>
      <c r="ES566" s="29"/>
      <c r="ET566" s="29"/>
      <c r="EU566" s="29"/>
      <c r="EV566" s="29"/>
      <c r="EW566" s="29"/>
      <c r="EX566" s="29"/>
      <c r="EY566" s="29"/>
      <c r="EZ566" s="29"/>
      <c r="FA566" s="29"/>
      <c r="FB566" s="29"/>
      <c r="FC566" s="29"/>
      <c r="FD566" s="29"/>
      <c r="FE566" s="29"/>
      <c r="FF566" s="29"/>
      <c r="FG566" s="29"/>
      <c r="FH566" s="29"/>
      <c r="FI566" s="29"/>
      <c r="FJ566" s="29"/>
      <c r="FK566" s="29"/>
      <c r="FL566" s="29"/>
      <c r="FM566" s="29"/>
      <c r="FN566" s="29"/>
      <c r="FO566" s="29"/>
      <c r="FP566" s="29"/>
      <c r="FQ566" s="29"/>
      <c r="FR566" s="29"/>
      <c r="FS566" s="29"/>
      <c r="FT566" s="29"/>
      <c r="FU566" s="29"/>
      <c r="FV566" s="29"/>
      <c r="FW566" s="29"/>
      <c r="FX566" s="29"/>
      <c r="FY566" s="29"/>
      <c r="FZ566" s="29"/>
      <c r="GA566" s="29"/>
      <c r="GB566" s="29"/>
      <c r="GC566" s="29"/>
      <c r="GD566" s="29"/>
      <c r="GE566" s="29"/>
      <c r="GF566" s="29"/>
      <c r="GG566" s="29"/>
      <c r="GH566" s="29"/>
      <c r="GI566" s="29"/>
      <c r="GJ566" s="29"/>
      <c r="GK566" s="29"/>
      <c r="GL566" s="29"/>
      <c r="GM566" s="29"/>
      <c r="GN566" s="29"/>
      <c r="GO566" s="29"/>
      <c r="GP566" s="29"/>
      <c r="GQ566" s="29"/>
      <c r="GR566" s="29"/>
      <c r="GS566" s="29"/>
      <c r="GT566" s="29"/>
      <c r="GU566" s="29"/>
      <c r="HP566" s="31"/>
      <c r="MX566" s="29"/>
      <c r="MY566" s="29"/>
    </row>
    <row r="567" ht="16.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c r="BU567" s="29"/>
      <c r="BV567" s="29"/>
      <c r="BW567" s="29"/>
      <c r="BX567" s="29"/>
      <c r="BY567" s="29"/>
      <c r="BZ567" s="29"/>
      <c r="CA567" s="29"/>
      <c r="CB567" s="29"/>
      <c r="CC567" s="29"/>
      <c r="CD567" s="29"/>
      <c r="CE567" s="29"/>
      <c r="CF567" s="29"/>
      <c r="CG567" s="29"/>
      <c r="CH567" s="29"/>
      <c r="CI567" s="29"/>
      <c r="CJ567" s="29"/>
      <c r="CK567" s="29"/>
      <c r="CL567" s="29"/>
      <c r="CM567" s="29"/>
      <c r="CN567" s="29"/>
      <c r="CO567" s="29"/>
      <c r="CP567" s="29"/>
      <c r="CQ567" s="29"/>
      <c r="CR567" s="29"/>
      <c r="CS567" s="29"/>
      <c r="CT567" s="29"/>
      <c r="CU567" s="29"/>
      <c r="CV567" s="29"/>
      <c r="CW567" s="29"/>
      <c r="CX567" s="29"/>
      <c r="CY567" s="29"/>
      <c r="CZ567" s="29"/>
      <c r="DA567" s="29"/>
      <c r="DB567" s="29"/>
      <c r="DC567" s="29"/>
      <c r="DD567" s="29"/>
      <c r="DE567" s="29"/>
      <c r="DF567" s="29"/>
      <c r="DG567" s="29"/>
      <c r="DH567" s="29"/>
      <c r="DI567" s="29"/>
      <c r="DJ567" s="29"/>
      <c r="DK567" s="29"/>
      <c r="DL567" s="29"/>
      <c r="DM567" s="29"/>
      <c r="DN567" s="29"/>
      <c r="DO567" s="29"/>
      <c r="DP567" s="29"/>
      <c r="DQ567" s="29"/>
      <c r="DR567" s="29"/>
      <c r="DS567" s="29"/>
      <c r="DT567" s="29"/>
      <c r="DU567" s="29"/>
      <c r="DV567" s="29"/>
      <c r="DW567" s="29"/>
      <c r="DX567" s="29"/>
      <c r="DY567" s="29"/>
      <c r="DZ567" s="29"/>
      <c r="EA567" s="29"/>
      <c r="EB567" s="29"/>
      <c r="EC567" s="29"/>
      <c r="ED567" s="29"/>
      <c r="EE567" s="29"/>
      <c r="EF567" s="29"/>
      <c r="EG567" s="29"/>
      <c r="EH567" s="29"/>
      <c r="EI567" s="29"/>
      <c r="EJ567" s="29"/>
      <c r="EK567" s="29"/>
      <c r="EL567" s="29"/>
      <c r="EM567" s="29"/>
      <c r="EN567" s="29"/>
      <c r="EO567" s="29"/>
      <c r="EP567" s="29"/>
      <c r="EQ567" s="29"/>
      <c r="ER567" s="29"/>
      <c r="ES567" s="29"/>
      <c r="ET567" s="29"/>
      <c r="EU567" s="29"/>
      <c r="EV567" s="29"/>
      <c r="EW567" s="29"/>
      <c r="EX567" s="29"/>
      <c r="EY567" s="29"/>
      <c r="EZ567" s="29"/>
      <c r="FA567" s="29"/>
      <c r="FB567" s="29"/>
      <c r="FC567" s="29"/>
      <c r="FD567" s="29"/>
      <c r="FE567" s="29"/>
      <c r="FF567" s="29"/>
      <c r="FG567" s="29"/>
      <c r="FH567" s="29"/>
      <c r="FI567" s="29"/>
      <c r="FJ567" s="29"/>
      <c r="FK567" s="29"/>
      <c r="FL567" s="29"/>
      <c r="FM567" s="29"/>
      <c r="FN567" s="29"/>
      <c r="FO567" s="29"/>
      <c r="FP567" s="29"/>
      <c r="FQ567" s="29"/>
      <c r="FR567" s="29"/>
      <c r="FS567" s="29"/>
      <c r="FT567" s="29"/>
      <c r="FU567" s="29"/>
      <c r="FV567" s="29"/>
      <c r="FW567" s="29"/>
      <c r="FX567" s="29"/>
      <c r="FY567" s="29"/>
      <c r="FZ567" s="29"/>
      <c r="GA567" s="29"/>
      <c r="GB567" s="29"/>
      <c r="GC567" s="29"/>
      <c r="GD567" s="29"/>
      <c r="GE567" s="29"/>
      <c r="GF567" s="29"/>
      <c r="GG567" s="29"/>
      <c r="GH567" s="29"/>
      <c r="GI567" s="29"/>
      <c r="GJ567" s="29"/>
      <c r="GK567" s="29"/>
      <c r="GL567" s="29"/>
      <c r="GM567" s="29"/>
      <c r="GN567" s="29"/>
      <c r="GO567" s="29"/>
      <c r="GP567" s="29"/>
      <c r="GQ567" s="29"/>
      <c r="GR567" s="29"/>
      <c r="GS567" s="29"/>
      <c r="GT567" s="29"/>
      <c r="GU567" s="29"/>
      <c r="HP567" s="31"/>
      <c r="MX567" s="29"/>
      <c r="MY567" s="29"/>
    </row>
    <row r="568" ht="16.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c r="BR568" s="29"/>
      <c r="BS568" s="29"/>
      <c r="BT568" s="29"/>
      <c r="BU568" s="29"/>
      <c r="BV568" s="29"/>
      <c r="BW568" s="29"/>
      <c r="BX568" s="29"/>
      <c r="BY568" s="29"/>
      <c r="BZ568" s="29"/>
      <c r="CA568" s="29"/>
      <c r="CB568" s="29"/>
      <c r="CC568" s="29"/>
      <c r="CD568" s="29"/>
      <c r="CE568" s="29"/>
      <c r="CF568" s="29"/>
      <c r="CG568" s="29"/>
      <c r="CH568" s="29"/>
      <c r="CI568" s="29"/>
      <c r="CJ568" s="29"/>
      <c r="CK568" s="29"/>
      <c r="CL568" s="29"/>
      <c r="CM568" s="29"/>
      <c r="CN568" s="29"/>
      <c r="CO568" s="29"/>
      <c r="CP568" s="29"/>
      <c r="CQ568" s="29"/>
      <c r="CR568" s="29"/>
      <c r="CS568" s="29"/>
      <c r="CT568" s="29"/>
      <c r="CU568" s="29"/>
      <c r="CV568" s="29"/>
      <c r="CW568" s="29"/>
      <c r="CX568" s="29"/>
      <c r="CY568" s="29"/>
      <c r="CZ568" s="29"/>
      <c r="DA568" s="29"/>
      <c r="DB568" s="29"/>
      <c r="DC568" s="29"/>
      <c r="DD568" s="29"/>
      <c r="DE568" s="29"/>
      <c r="DF568" s="29"/>
      <c r="DG568" s="29"/>
      <c r="DH568" s="29"/>
      <c r="DI568" s="29"/>
      <c r="DJ568" s="29"/>
      <c r="DK568" s="29"/>
      <c r="DL568" s="29"/>
      <c r="DM568" s="29"/>
      <c r="DN568" s="29"/>
      <c r="DO568" s="29"/>
      <c r="DP568" s="29"/>
      <c r="DQ568" s="29"/>
      <c r="DR568" s="29"/>
      <c r="DS568" s="29"/>
      <c r="DT568" s="29"/>
      <c r="DU568" s="29"/>
      <c r="DV568" s="29"/>
      <c r="DW568" s="29"/>
      <c r="DX568" s="29"/>
      <c r="DY568" s="29"/>
      <c r="DZ568" s="29"/>
      <c r="EA568" s="29"/>
      <c r="EB568" s="29"/>
      <c r="EC568" s="29"/>
      <c r="ED568" s="29"/>
      <c r="EE568" s="29"/>
      <c r="EF568" s="29"/>
      <c r="EG568" s="29"/>
      <c r="EH568" s="29"/>
      <c r="EI568" s="29"/>
      <c r="EJ568" s="29"/>
      <c r="EK568" s="29"/>
      <c r="EL568" s="29"/>
      <c r="EM568" s="29"/>
      <c r="EN568" s="29"/>
      <c r="EO568" s="29"/>
      <c r="EP568" s="29"/>
      <c r="EQ568" s="29"/>
      <c r="ER568" s="29"/>
      <c r="ES568" s="29"/>
      <c r="ET568" s="29"/>
      <c r="EU568" s="29"/>
      <c r="EV568" s="29"/>
      <c r="EW568" s="29"/>
      <c r="EX568" s="29"/>
      <c r="EY568" s="29"/>
      <c r="EZ568" s="29"/>
      <c r="FA568" s="29"/>
      <c r="FB568" s="29"/>
      <c r="FC568" s="29"/>
      <c r="FD568" s="29"/>
      <c r="FE568" s="29"/>
      <c r="FF568" s="29"/>
      <c r="FG568" s="29"/>
      <c r="FH568" s="29"/>
      <c r="FI568" s="29"/>
      <c r="FJ568" s="29"/>
      <c r="FK568" s="29"/>
      <c r="FL568" s="29"/>
      <c r="FM568" s="29"/>
      <c r="FN568" s="29"/>
      <c r="FO568" s="29"/>
      <c r="FP568" s="29"/>
      <c r="FQ568" s="29"/>
      <c r="FR568" s="29"/>
      <c r="FS568" s="29"/>
      <c r="FT568" s="29"/>
      <c r="FU568" s="29"/>
      <c r="FV568" s="29"/>
      <c r="FW568" s="29"/>
      <c r="FX568" s="29"/>
      <c r="FY568" s="29"/>
      <c r="FZ568" s="29"/>
      <c r="GA568" s="29"/>
      <c r="GB568" s="29"/>
      <c r="GC568" s="29"/>
      <c r="GD568" s="29"/>
      <c r="GE568" s="29"/>
      <c r="GF568" s="29"/>
      <c r="GG568" s="29"/>
      <c r="GH568" s="29"/>
      <c r="GI568" s="29"/>
      <c r="GJ568" s="29"/>
      <c r="GK568" s="29"/>
      <c r="GL568" s="29"/>
      <c r="GM568" s="29"/>
      <c r="GN568" s="29"/>
      <c r="GO568" s="29"/>
      <c r="GP568" s="29"/>
      <c r="GQ568" s="29"/>
      <c r="GR568" s="29"/>
      <c r="GS568" s="29"/>
      <c r="GT568" s="29"/>
      <c r="GU568" s="29"/>
      <c r="HP568" s="31"/>
      <c r="MX568" s="29"/>
      <c r="MY568" s="29"/>
    </row>
    <row r="569" ht="16.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c r="BR569" s="29"/>
      <c r="BS569" s="29"/>
      <c r="BT569" s="29"/>
      <c r="BU569" s="29"/>
      <c r="BV569" s="29"/>
      <c r="BW569" s="29"/>
      <c r="BX569" s="29"/>
      <c r="BY569" s="29"/>
      <c r="BZ569" s="29"/>
      <c r="CA569" s="29"/>
      <c r="CB569" s="29"/>
      <c r="CC569" s="29"/>
      <c r="CD569" s="29"/>
      <c r="CE569" s="29"/>
      <c r="CF569" s="29"/>
      <c r="CG569" s="29"/>
      <c r="CH569" s="29"/>
      <c r="CI569" s="29"/>
      <c r="CJ569" s="29"/>
      <c r="CK569" s="29"/>
      <c r="CL569" s="29"/>
      <c r="CM569" s="29"/>
      <c r="CN569" s="29"/>
      <c r="CO569" s="29"/>
      <c r="CP569" s="29"/>
      <c r="CQ569" s="29"/>
      <c r="CR569" s="29"/>
      <c r="CS569" s="29"/>
      <c r="CT569" s="29"/>
      <c r="CU569" s="29"/>
      <c r="CV569" s="29"/>
      <c r="CW569" s="29"/>
      <c r="CX569" s="29"/>
      <c r="CY569" s="29"/>
      <c r="CZ569" s="29"/>
      <c r="DA569" s="29"/>
      <c r="DB569" s="29"/>
      <c r="DC569" s="29"/>
      <c r="DD569" s="29"/>
      <c r="DE569" s="29"/>
      <c r="DF569" s="29"/>
      <c r="DG569" s="29"/>
      <c r="DH569" s="29"/>
      <c r="DI569" s="29"/>
      <c r="DJ569" s="29"/>
      <c r="DK569" s="29"/>
      <c r="DL569" s="29"/>
      <c r="DM569" s="29"/>
      <c r="DN569" s="29"/>
      <c r="DO569" s="29"/>
      <c r="DP569" s="29"/>
      <c r="DQ569" s="29"/>
      <c r="DR569" s="29"/>
      <c r="DS569" s="29"/>
      <c r="DT569" s="29"/>
      <c r="DU569" s="29"/>
      <c r="DV569" s="29"/>
      <c r="DW569" s="29"/>
      <c r="DX569" s="29"/>
      <c r="DY569" s="29"/>
      <c r="DZ569" s="29"/>
      <c r="EA569" s="29"/>
      <c r="EB569" s="29"/>
      <c r="EC569" s="29"/>
      <c r="ED569" s="29"/>
      <c r="EE569" s="29"/>
      <c r="EF569" s="29"/>
      <c r="EG569" s="29"/>
      <c r="EH569" s="29"/>
      <c r="EI569" s="29"/>
      <c r="EJ569" s="29"/>
      <c r="EK569" s="29"/>
      <c r="EL569" s="29"/>
      <c r="EM569" s="29"/>
      <c r="EN569" s="29"/>
      <c r="EO569" s="29"/>
      <c r="EP569" s="29"/>
      <c r="EQ569" s="29"/>
      <c r="ER569" s="29"/>
      <c r="ES569" s="29"/>
      <c r="ET569" s="29"/>
      <c r="EU569" s="29"/>
      <c r="EV569" s="29"/>
      <c r="EW569" s="29"/>
      <c r="EX569" s="29"/>
      <c r="EY569" s="29"/>
      <c r="EZ569" s="29"/>
      <c r="FA569" s="29"/>
      <c r="FB569" s="29"/>
      <c r="FC569" s="29"/>
      <c r="FD569" s="29"/>
      <c r="FE569" s="29"/>
      <c r="FF569" s="29"/>
      <c r="FG569" s="29"/>
      <c r="FH569" s="29"/>
      <c r="FI569" s="29"/>
      <c r="FJ569" s="29"/>
      <c r="FK569" s="29"/>
      <c r="FL569" s="29"/>
      <c r="FM569" s="29"/>
      <c r="FN569" s="29"/>
      <c r="FO569" s="29"/>
      <c r="FP569" s="29"/>
      <c r="FQ569" s="29"/>
      <c r="FR569" s="29"/>
      <c r="FS569" s="29"/>
      <c r="FT569" s="29"/>
      <c r="FU569" s="29"/>
      <c r="FV569" s="29"/>
      <c r="FW569" s="29"/>
      <c r="FX569" s="29"/>
      <c r="FY569" s="29"/>
      <c r="FZ569" s="29"/>
      <c r="GA569" s="29"/>
      <c r="GB569" s="29"/>
      <c r="GC569" s="29"/>
      <c r="GD569" s="29"/>
      <c r="GE569" s="29"/>
      <c r="GF569" s="29"/>
      <c r="GG569" s="29"/>
      <c r="GH569" s="29"/>
      <c r="GI569" s="29"/>
      <c r="GJ569" s="29"/>
      <c r="GK569" s="29"/>
      <c r="GL569" s="29"/>
      <c r="GM569" s="29"/>
      <c r="GN569" s="29"/>
      <c r="GO569" s="29"/>
      <c r="GP569" s="29"/>
      <c r="GQ569" s="29"/>
      <c r="GR569" s="29"/>
      <c r="GS569" s="29"/>
      <c r="GT569" s="29"/>
      <c r="GU569" s="29"/>
      <c r="HP569" s="31"/>
      <c r="MX569" s="29"/>
      <c r="MY569" s="29"/>
    </row>
    <row r="570" ht="16.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29"/>
      <c r="BW570" s="29"/>
      <c r="BX570" s="29"/>
      <c r="BY570" s="29"/>
      <c r="BZ570" s="29"/>
      <c r="CA570" s="29"/>
      <c r="CB570" s="29"/>
      <c r="CC570" s="29"/>
      <c r="CD570" s="29"/>
      <c r="CE570" s="29"/>
      <c r="CF570" s="29"/>
      <c r="CG570" s="29"/>
      <c r="CH570" s="29"/>
      <c r="CI570" s="29"/>
      <c r="CJ570" s="29"/>
      <c r="CK570" s="29"/>
      <c r="CL570" s="29"/>
      <c r="CM570" s="29"/>
      <c r="CN570" s="29"/>
      <c r="CO570" s="29"/>
      <c r="CP570" s="29"/>
      <c r="CQ570" s="29"/>
      <c r="CR570" s="29"/>
      <c r="CS570" s="29"/>
      <c r="CT570" s="29"/>
      <c r="CU570" s="29"/>
      <c r="CV570" s="29"/>
      <c r="CW570" s="29"/>
      <c r="CX570" s="29"/>
      <c r="CY570" s="29"/>
      <c r="CZ570" s="29"/>
      <c r="DA570" s="29"/>
      <c r="DB570" s="29"/>
      <c r="DC570" s="29"/>
      <c r="DD570" s="29"/>
      <c r="DE570" s="29"/>
      <c r="DF570" s="29"/>
      <c r="DG570" s="29"/>
      <c r="DH570" s="29"/>
      <c r="DI570" s="29"/>
      <c r="DJ570" s="29"/>
      <c r="DK570" s="29"/>
      <c r="DL570" s="29"/>
      <c r="DM570" s="29"/>
      <c r="DN570" s="29"/>
      <c r="DO570" s="29"/>
      <c r="DP570" s="29"/>
      <c r="DQ570" s="29"/>
      <c r="DR570" s="29"/>
      <c r="DS570" s="29"/>
      <c r="DT570" s="29"/>
      <c r="DU570" s="29"/>
      <c r="DV570" s="29"/>
      <c r="DW570" s="29"/>
      <c r="DX570" s="29"/>
      <c r="DY570" s="29"/>
      <c r="DZ570" s="29"/>
      <c r="EA570" s="29"/>
      <c r="EB570" s="29"/>
      <c r="EC570" s="29"/>
      <c r="ED570" s="29"/>
      <c r="EE570" s="29"/>
      <c r="EF570" s="29"/>
      <c r="EG570" s="29"/>
      <c r="EH570" s="29"/>
      <c r="EI570" s="29"/>
      <c r="EJ570" s="29"/>
      <c r="EK570" s="29"/>
      <c r="EL570" s="29"/>
      <c r="EM570" s="29"/>
      <c r="EN570" s="29"/>
      <c r="EO570" s="29"/>
      <c r="EP570" s="29"/>
      <c r="EQ570" s="29"/>
      <c r="ER570" s="29"/>
      <c r="ES570" s="29"/>
      <c r="ET570" s="29"/>
      <c r="EU570" s="29"/>
      <c r="EV570" s="29"/>
      <c r="EW570" s="29"/>
      <c r="EX570" s="29"/>
      <c r="EY570" s="29"/>
      <c r="EZ570" s="29"/>
      <c r="FA570" s="29"/>
      <c r="FB570" s="29"/>
      <c r="FC570" s="29"/>
      <c r="FD570" s="29"/>
      <c r="FE570" s="29"/>
      <c r="FF570" s="29"/>
      <c r="FG570" s="29"/>
      <c r="FH570" s="29"/>
      <c r="FI570" s="29"/>
      <c r="FJ570" s="29"/>
      <c r="FK570" s="29"/>
      <c r="FL570" s="29"/>
      <c r="FM570" s="29"/>
      <c r="FN570" s="29"/>
      <c r="FO570" s="29"/>
      <c r="FP570" s="29"/>
      <c r="FQ570" s="29"/>
      <c r="FR570" s="29"/>
      <c r="FS570" s="29"/>
      <c r="FT570" s="29"/>
      <c r="FU570" s="29"/>
      <c r="FV570" s="29"/>
      <c r="FW570" s="29"/>
      <c r="FX570" s="29"/>
      <c r="FY570" s="29"/>
      <c r="FZ570" s="29"/>
      <c r="GA570" s="29"/>
      <c r="GB570" s="29"/>
      <c r="GC570" s="29"/>
      <c r="GD570" s="29"/>
      <c r="GE570" s="29"/>
      <c r="GF570" s="29"/>
      <c r="GG570" s="29"/>
      <c r="GH570" s="29"/>
      <c r="GI570" s="29"/>
      <c r="GJ570" s="29"/>
      <c r="GK570" s="29"/>
      <c r="GL570" s="29"/>
      <c r="GM570" s="29"/>
      <c r="GN570" s="29"/>
      <c r="GO570" s="29"/>
      <c r="GP570" s="29"/>
      <c r="GQ570" s="29"/>
      <c r="GR570" s="29"/>
      <c r="GS570" s="29"/>
      <c r="GT570" s="29"/>
      <c r="GU570" s="29"/>
      <c r="HP570" s="31"/>
      <c r="MX570" s="29"/>
      <c r="MY570" s="29"/>
    </row>
    <row r="571" ht="16.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BV571" s="29"/>
      <c r="BW571" s="29"/>
      <c r="BX571" s="29"/>
      <c r="BY571" s="29"/>
      <c r="BZ571" s="29"/>
      <c r="CA571" s="29"/>
      <c r="CB571" s="29"/>
      <c r="CC571" s="29"/>
      <c r="CD571" s="29"/>
      <c r="CE571" s="29"/>
      <c r="CF571" s="29"/>
      <c r="CG571" s="29"/>
      <c r="CH571" s="29"/>
      <c r="CI571" s="29"/>
      <c r="CJ571" s="29"/>
      <c r="CK571" s="29"/>
      <c r="CL571" s="29"/>
      <c r="CM571" s="29"/>
      <c r="CN571" s="29"/>
      <c r="CO571" s="29"/>
      <c r="CP571" s="29"/>
      <c r="CQ571" s="29"/>
      <c r="CR571" s="29"/>
      <c r="CS571" s="29"/>
      <c r="CT571" s="29"/>
      <c r="CU571" s="29"/>
      <c r="CV571" s="29"/>
      <c r="CW571" s="29"/>
      <c r="CX571" s="29"/>
      <c r="CY571" s="29"/>
      <c r="CZ571" s="29"/>
      <c r="DA571" s="29"/>
      <c r="DB571" s="29"/>
      <c r="DC571" s="29"/>
      <c r="DD571" s="29"/>
      <c r="DE571" s="29"/>
      <c r="DF571" s="29"/>
      <c r="DG571" s="29"/>
      <c r="DH571" s="29"/>
      <c r="DI571" s="29"/>
      <c r="DJ571" s="29"/>
      <c r="DK571" s="29"/>
      <c r="DL571" s="29"/>
      <c r="DM571" s="29"/>
      <c r="DN571" s="29"/>
      <c r="DO571" s="29"/>
      <c r="DP571" s="29"/>
      <c r="DQ571" s="29"/>
      <c r="DR571" s="29"/>
      <c r="DS571" s="29"/>
      <c r="DT571" s="29"/>
      <c r="DU571" s="29"/>
      <c r="DV571" s="29"/>
      <c r="DW571" s="29"/>
      <c r="DX571" s="29"/>
      <c r="DY571" s="29"/>
      <c r="DZ571" s="29"/>
      <c r="EA571" s="29"/>
      <c r="EB571" s="29"/>
      <c r="EC571" s="29"/>
      <c r="ED571" s="29"/>
      <c r="EE571" s="29"/>
      <c r="EF571" s="29"/>
      <c r="EG571" s="29"/>
      <c r="EH571" s="29"/>
      <c r="EI571" s="29"/>
      <c r="EJ571" s="29"/>
      <c r="EK571" s="29"/>
      <c r="EL571" s="29"/>
      <c r="EM571" s="29"/>
      <c r="EN571" s="29"/>
      <c r="EO571" s="29"/>
      <c r="EP571" s="29"/>
      <c r="EQ571" s="29"/>
      <c r="ER571" s="29"/>
      <c r="ES571" s="29"/>
      <c r="ET571" s="29"/>
      <c r="EU571" s="29"/>
      <c r="EV571" s="29"/>
      <c r="EW571" s="29"/>
      <c r="EX571" s="29"/>
      <c r="EY571" s="29"/>
      <c r="EZ571" s="29"/>
      <c r="FA571" s="29"/>
      <c r="FB571" s="29"/>
      <c r="FC571" s="29"/>
      <c r="FD571" s="29"/>
      <c r="FE571" s="29"/>
      <c r="FF571" s="29"/>
      <c r="FG571" s="29"/>
      <c r="FH571" s="29"/>
      <c r="FI571" s="29"/>
      <c r="FJ571" s="29"/>
      <c r="FK571" s="29"/>
      <c r="FL571" s="29"/>
      <c r="FM571" s="29"/>
      <c r="FN571" s="29"/>
      <c r="FO571" s="29"/>
      <c r="FP571" s="29"/>
      <c r="FQ571" s="29"/>
      <c r="FR571" s="29"/>
      <c r="FS571" s="29"/>
      <c r="FT571" s="29"/>
      <c r="FU571" s="29"/>
      <c r="FV571" s="29"/>
      <c r="FW571" s="29"/>
      <c r="FX571" s="29"/>
      <c r="FY571" s="29"/>
      <c r="FZ571" s="29"/>
      <c r="GA571" s="29"/>
      <c r="GB571" s="29"/>
      <c r="GC571" s="29"/>
      <c r="GD571" s="29"/>
      <c r="GE571" s="29"/>
      <c r="GF571" s="29"/>
      <c r="GG571" s="29"/>
      <c r="GH571" s="29"/>
      <c r="GI571" s="29"/>
      <c r="GJ571" s="29"/>
      <c r="GK571" s="29"/>
      <c r="GL571" s="29"/>
      <c r="GM571" s="29"/>
      <c r="GN571" s="29"/>
      <c r="GO571" s="29"/>
      <c r="GP571" s="29"/>
      <c r="GQ571" s="29"/>
      <c r="GR571" s="29"/>
      <c r="GS571" s="29"/>
      <c r="GT571" s="29"/>
      <c r="GU571" s="29"/>
      <c r="HP571" s="31"/>
      <c r="MX571" s="29"/>
      <c r="MY571" s="29"/>
    </row>
    <row r="572" ht="16.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29"/>
      <c r="BR572" s="29"/>
      <c r="BS572" s="29"/>
      <c r="BT572" s="29"/>
      <c r="BU572" s="29"/>
      <c r="BV572" s="29"/>
      <c r="BW572" s="29"/>
      <c r="BX572" s="29"/>
      <c r="BY572" s="29"/>
      <c r="BZ572" s="29"/>
      <c r="CA572" s="29"/>
      <c r="CB572" s="29"/>
      <c r="CC572" s="29"/>
      <c r="CD572" s="29"/>
      <c r="CE572" s="29"/>
      <c r="CF572" s="29"/>
      <c r="CG572" s="29"/>
      <c r="CH572" s="29"/>
      <c r="CI572" s="29"/>
      <c r="CJ572" s="29"/>
      <c r="CK572" s="29"/>
      <c r="CL572" s="29"/>
      <c r="CM572" s="29"/>
      <c r="CN572" s="29"/>
      <c r="CO572" s="29"/>
      <c r="CP572" s="29"/>
      <c r="CQ572" s="29"/>
      <c r="CR572" s="29"/>
      <c r="CS572" s="29"/>
      <c r="CT572" s="29"/>
      <c r="CU572" s="29"/>
      <c r="CV572" s="29"/>
      <c r="CW572" s="29"/>
      <c r="CX572" s="29"/>
      <c r="CY572" s="29"/>
      <c r="CZ572" s="29"/>
      <c r="DA572" s="29"/>
      <c r="DB572" s="29"/>
      <c r="DC572" s="29"/>
      <c r="DD572" s="29"/>
      <c r="DE572" s="29"/>
      <c r="DF572" s="29"/>
      <c r="DG572" s="29"/>
      <c r="DH572" s="29"/>
      <c r="DI572" s="29"/>
      <c r="DJ572" s="29"/>
      <c r="DK572" s="29"/>
      <c r="DL572" s="29"/>
      <c r="DM572" s="29"/>
      <c r="DN572" s="29"/>
      <c r="DO572" s="29"/>
      <c r="DP572" s="29"/>
      <c r="DQ572" s="29"/>
      <c r="DR572" s="29"/>
      <c r="DS572" s="29"/>
      <c r="DT572" s="29"/>
      <c r="DU572" s="29"/>
      <c r="DV572" s="29"/>
      <c r="DW572" s="29"/>
      <c r="DX572" s="29"/>
      <c r="DY572" s="29"/>
      <c r="DZ572" s="29"/>
      <c r="EA572" s="29"/>
      <c r="EB572" s="29"/>
      <c r="EC572" s="29"/>
      <c r="ED572" s="29"/>
      <c r="EE572" s="29"/>
      <c r="EF572" s="29"/>
      <c r="EG572" s="29"/>
      <c r="EH572" s="29"/>
      <c r="EI572" s="29"/>
      <c r="EJ572" s="29"/>
      <c r="EK572" s="29"/>
      <c r="EL572" s="29"/>
      <c r="EM572" s="29"/>
      <c r="EN572" s="29"/>
      <c r="EO572" s="29"/>
      <c r="EP572" s="29"/>
      <c r="EQ572" s="29"/>
      <c r="ER572" s="29"/>
      <c r="ES572" s="29"/>
      <c r="ET572" s="29"/>
      <c r="EU572" s="29"/>
      <c r="EV572" s="29"/>
      <c r="EW572" s="29"/>
      <c r="EX572" s="29"/>
      <c r="EY572" s="29"/>
      <c r="EZ572" s="29"/>
      <c r="FA572" s="29"/>
      <c r="FB572" s="29"/>
      <c r="FC572" s="29"/>
      <c r="FD572" s="29"/>
      <c r="FE572" s="29"/>
      <c r="FF572" s="29"/>
      <c r="FG572" s="29"/>
      <c r="FH572" s="29"/>
      <c r="FI572" s="29"/>
      <c r="FJ572" s="29"/>
      <c r="FK572" s="29"/>
      <c r="FL572" s="29"/>
      <c r="FM572" s="29"/>
      <c r="FN572" s="29"/>
      <c r="FO572" s="29"/>
      <c r="FP572" s="29"/>
      <c r="FQ572" s="29"/>
      <c r="FR572" s="29"/>
      <c r="FS572" s="29"/>
      <c r="FT572" s="29"/>
      <c r="FU572" s="29"/>
      <c r="FV572" s="29"/>
      <c r="FW572" s="29"/>
      <c r="FX572" s="29"/>
      <c r="FY572" s="29"/>
      <c r="FZ572" s="29"/>
      <c r="GA572" s="29"/>
      <c r="GB572" s="29"/>
      <c r="GC572" s="29"/>
      <c r="GD572" s="29"/>
      <c r="GE572" s="29"/>
      <c r="GF572" s="29"/>
      <c r="GG572" s="29"/>
      <c r="GH572" s="29"/>
      <c r="GI572" s="29"/>
      <c r="GJ572" s="29"/>
      <c r="GK572" s="29"/>
      <c r="GL572" s="29"/>
      <c r="GM572" s="29"/>
      <c r="GN572" s="29"/>
      <c r="GO572" s="29"/>
      <c r="GP572" s="29"/>
      <c r="GQ572" s="29"/>
      <c r="GR572" s="29"/>
      <c r="GS572" s="29"/>
      <c r="GT572" s="29"/>
      <c r="GU572" s="29"/>
      <c r="HP572" s="31"/>
      <c r="MX572" s="29"/>
      <c r="MY572" s="29"/>
    </row>
    <row r="573" ht="16.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c r="BO573" s="29"/>
      <c r="BP573" s="29"/>
      <c r="BQ573" s="29"/>
      <c r="BR573" s="29"/>
      <c r="BS573" s="29"/>
      <c r="BT573" s="29"/>
      <c r="BU573" s="29"/>
      <c r="BV573" s="29"/>
      <c r="BW573" s="29"/>
      <c r="BX573" s="29"/>
      <c r="BY573" s="29"/>
      <c r="BZ573" s="29"/>
      <c r="CA573" s="29"/>
      <c r="CB573" s="29"/>
      <c r="CC573" s="29"/>
      <c r="CD573" s="29"/>
      <c r="CE573" s="29"/>
      <c r="CF573" s="29"/>
      <c r="CG573" s="29"/>
      <c r="CH573" s="29"/>
      <c r="CI573" s="29"/>
      <c r="CJ573" s="29"/>
      <c r="CK573" s="29"/>
      <c r="CL573" s="29"/>
      <c r="CM573" s="29"/>
      <c r="CN573" s="29"/>
      <c r="CO573" s="29"/>
      <c r="CP573" s="29"/>
      <c r="CQ573" s="29"/>
      <c r="CR573" s="29"/>
      <c r="CS573" s="29"/>
      <c r="CT573" s="29"/>
      <c r="CU573" s="29"/>
      <c r="CV573" s="29"/>
      <c r="CW573" s="29"/>
      <c r="CX573" s="29"/>
      <c r="CY573" s="29"/>
      <c r="CZ573" s="29"/>
      <c r="DA573" s="29"/>
      <c r="DB573" s="29"/>
      <c r="DC573" s="29"/>
      <c r="DD573" s="29"/>
      <c r="DE573" s="29"/>
      <c r="DF573" s="29"/>
      <c r="DG573" s="29"/>
      <c r="DH573" s="29"/>
      <c r="DI573" s="29"/>
      <c r="DJ573" s="29"/>
      <c r="DK573" s="29"/>
      <c r="DL573" s="29"/>
      <c r="DM573" s="29"/>
      <c r="DN573" s="29"/>
      <c r="DO573" s="29"/>
      <c r="DP573" s="29"/>
      <c r="DQ573" s="29"/>
      <c r="DR573" s="29"/>
      <c r="DS573" s="29"/>
      <c r="DT573" s="29"/>
      <c r="DU573" s="29"/>
      <c r="DV573" s="29"/>
      <c r="DW573" s="29"/>
      <c r="DX573" s="29"/>
      <c r="DY573" s="29"/>
      <c r="DZ573" s="29"/>
      <c r="EA573" s="29"/>
      <c r="EB573" s="29"/>
      <c r="EC573" s="29"/>
      <c r="ED573" s="29"/>
      <c r="EE573" s="29"/>
      <c r="EF573" s="29"/>
      <c r="EG573" s="29"/>
      <c r="EH573" s="29"/>
      <c r="EI573" s="29"/>
      <c r="EJ573" s="29"/>
      <c r="EK573" s="29"/>
      <c r="EL573" s="29"/>
      <c r="EM573" s="29"/>
      <c r="EN573" s="29"/>
      <c r="EO573" s="29"/>
      <c r="EP573" s="29"/>
      <c r="EQ573" s="29"/>
      <c r="ER573" s="29"/>
      <c r="ES573" s="29"/>
      <c r="ET573" s="29"/>
      <c r="EU573" s="29"/>
      <c r="EV573" s="29"/>
      <c r="EW573" s="29"/>
      <c r="EX573" s="29"/>
      <c r="EY573" s="29"/>
      <c r="EZ573" s="29"/>
      <c r="FA573" s="29"/>
      <c r="FB573" s="29"/>
      <c r="FC573" s="29"/>
      <c r="FD573" s="29"/>
      <c r="FE573" s="29"/>
      <c r="FF573" s="29"/>
      <c r="FG573" s="29"/>
      <c r="FH573" s="29"/>
      <c r="FI573" s="29"/>
      <c r="FJ573" s="29"/>
      <c r="FK573" s="29"/>
      <c r="FL573" s="29"/>
      <c r="FM573" s="29"/>
      <c r="FN573" s="29"/>
      <c r="FO573" s="29"/>
      <c r="FP573" s="29"/>
      <c r="FQ573" s="29"/>
      <c r="FR573" s="29"/>
      <c r="FS573" s="29"/>
      <c r="FT573" s="29"/>
      <c r="FU573" s="29"/>
      <c r="FV573" s="29"/>
      <c r="FW573" s="29"/>
      <c r="FX573" s="29"/>
      <c r="FY573" s="29"/>
      <c r="FZ573" s="29"/>
      <c r="GA573" s="29"/>
      <c r="GB573" s="29"/>
      <c r="GC573" s="29"/>
      <c r="GD573" s="29"/>
      <c r="GE573" s="29"/>
      <c r="GF573" s="29"/>
      <c r="GG573" s="29"/>
      <c r="GH573" s="29"/>
      <c r="GI573" s="29"/>
      <c r="GJ573" s="29"/>
      <c r="GK573" s="29"/>
      <c r="GL573" s="29"/>
      <c r="GM573" s="29"/>
      <c r="GN573" s="29"/>
      <c r="GO573" s="29"/>
      <c r="GP573" s="29"/>
      <c r="GQ573" s="29"/>
      <c r="GR573" s="29"/>
      <c r="GS573" s="29"/>
      <c r="GT573" s="29"/>
      <c r="GU573" s="29"/>
      <c r="HP573" s="31"/>
      <c r="MX573" s="29"/>
      <c r="MY573" s="29"/>
    </row>
    <row r="574" ht="16.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c r="BR574" s="29"/>
      <c r="BS574" s="29"/>
      <c r="BT574" s="29"/>
      <c r="BU574" s="29"/>
      <c r="BV574" s="29"/>
      <c r="BW574" s="29"/>
      <c r="BX574" s="29"/>
      <c r="BY574" s="29"/>
      <c r="BZ574" s="29"/>
      <c r="CA574" s="29"/>
      <c r="CB574" s="29"/>
      <c r="CC574" s="29"/>
      <c r="CD574" s="29"/>
      <c r="CE574" s="29"/>
      <c r="CF574" s="29"/>
      <c r="CG574" s="29"/>
      <c r="CH574" s="29"/>
      <c r="CI574" s="29"/>
      <c r="CJ574" s="29"/>
      <c r="CK574" s="29"/>
      <c r="CL574" s="29"/>
      <c r="CM574" s="29"/>
      <c r="CN574" s="29"/>
      <c r="CO574" s="29"/>
      <c r="CP574" s="29"/>
      <c r="CQ574" s="29"/>
      <c r="CR574" s="29"/>
      <c r="CS574" s="29"/>
      <c r="CT574" s="29"/>
      <c r="CU574" s="29"/>
      <c r="CV574" s="29"/>
      <c r="CW574" s="29"/>
      <c r="CX574" s="29"/>
      <c r="CY574" s="29"/>
      <c r="CZ574" s="29"/>
      <c r="DA574" s="29"/>
      <c r="DB574" s="29"/>
      <c r="DC574" s="29"/>
      <c r="DD574" s="29"/>
      <c r="DE574" s="29"/>
      <c r="DF574" s="29"/>
      <c r="DG574" s="29"/>
      <c r="DH574" s="29"/>
      <c r="DI574" s="29"/>
      <c r="DJ574" s="29"/>
      <c r="DK574" s="29"/>
      <c r="DL574" s="29"/>
      <c r="DM574" s="29"/>
      <c r="DN574" s="29"/>
      <c r="DO574" s="29"/>
      <c r="DP574" s="29"/>
      <c r="DQ574" s="29"/>
      <c r="DR574" s="29"/>
      <c r="DS574" s="29"/>
      <c r="DT574" s="29"/>
      <c r="DU574" s="29"/>
      <c r="DV574" s="29"/>
      <c r="DW574" s="29"/>
      <c r="DX574" s="29"/>
      <c r="DY574" s="29"/>
      <c r="DZ574" s="29"/>
      <c r="EA574" s="29"/>
      <c r="EB574" s="29"/>
      <c r="EC574" s="29"/>
      <c r="ED574" s="29"/>
      <c r="EE574" s="29"/>
      <c r="EF574" s="29"/>
      <c r="EG574" s="29"/>
      <c r="EH574" s="29"/>
      <c r="EI574" s="29"/>
      <c r="EJ574" s="29"/>
      <c r="EK574" s="29"/>
      <c r="EL574" s="29"/>
      <c r="EM574" s="29"/>
      <c r="EN574" s="29"/>
      <c r="EO574" s="29"/>
      <c r="EP574" s="29"/>
      <c r="EQ574" s="29"/>
      <c r="ER574" s="29"/>
      <c r="ES574" s="29"/>
      <c r="ET574" s="29"/>
      <c r="EU574" s="29"/>
      <c r="EV574" s="29"/>
      <c r="EW574" s="29"/>
      <c r="EX574" s="29"/>
      <c r="EY574" s="29"/>
      <c r="EZ574" s="29"/>
      <c r="FA574" s="29"/>
      <c r="FB574" s="29"/>
      <c r="FC574" s="29"/>
      <c r="FD574" s="29"/>
      <c r="FE574" s="29"/>
      <c r="FF574" s="29"/>
      <c r="FG574" s="29"/>
      <c r="FH574" s="29"/>
      <c r="FI574" s="29"/>
      <c r="FJ574" s="29"/>
      <c r="FK574" s="29"/>
      <c r="FL574" s="29"/>
      <c r="FM574" s="29"/>
      <c r="FN574" s="29"/>
      <c r="FO574" s="29"/>
      <c r="FP574" s="29"/>
      <c r="FQ574" s="29"/>
      <c r="FR574" s="29"/>
      <c r="FS574" s="29"/>
      <c r="FT574" s="29"/>
      <c r="FU574" s="29"/>
      <c r="FV574" s="29"/>
      <c r="FW574" s="29"/>
      <c r="FX574" s="29"/>
      <c r="FY574" s="29"/>
      <c r="FZ574" s="29"/>
      <c r="GA574" s="29"/>
      <c r="GB574" s="29"/>
      <c r="GC574" s="29"/>
      <c r="GD574" s="29"/>
      <c r="GE574" s="29"/>
      <c r="GF574" s="29"/>
      <c r="GG574" s="29"/>
      <c r="GH574" s="29"/>
      <c r="GI574" s="29"/>
      <c r="GJ574" s="29"/>
      <c r="GK574" s="29"/>
      <c r="GL574" s="29"/>
      <c r="GM574" s="29"/>
      <c r="GN574" s="29"/>
      <c r="GO574" s="29"/>
      <c r="GP574" s="29"/>
      <c r="GQ574" s="29"/>
      <c r="GR574" s="29"/>
      <c r="GS574" s="29"/>
      <c r="GT574" s="29"/>
      <c r="GU574" s="29"/>
      <c r="HP574" s="31"/>
      <c r="MX574" s="29"/>
      <c r="MY574" s="29"/>
    </row>
    <row r="575" ht="16.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c r="CA575" s="29"/>
      <c r="CB575" s="29"/>
      <c r="CC575" s="29"/>
      <c r="CD575" s="29"/>
      <c r="CE575" s="29"/>
      <c r="CF575" s="29"/>
      <c r="CG575" s="29"/>
      <c r="CH575" s="29"/>
      <c r="CI575" s="29"/>
      <c r="CJ575" s="29"/>
      <c r="CK575" s="29"/>
      <c r="CL575" s="29"/>
      <c r="CM575" s="29"/>
      <c r="CN575" s="29"/>
      <c r="CO575" s="29"/>
      <c r="CP575" s="29"/>
      <c r="CQ575" s="29"/>
      <c r="CR575" s="29"/>
      <c r="CS575" s="29"/>
      <c r="CT575" s="29"/>
      <c r="CU575" s="29"/>
      <c r="CV575" s="29"/>
      <c r="CW575" s="29"/>
      <c r="CX575" s="29"/>
      <c r="CY575" s="29"/>
      <c r="CZ575" s="29"/>
      <c r="DA575" s="29"/>
      <c r="DB575" s="29"/>
      <c r="DC575" s="29"/>
      <c r="DD575" s="29"/>
      <c r="DE575" s="29"/>
      <c r="DF575" s="29"/>
      <c r="DG575" s="29"/>
      <c r="DH575" s="29"/>
      <c r="DI575" s="29"/>
      <c r="DJ575" s="29"/>
      <c r="DK575" s="29"/>
      <c r="DL575" s="29"/>
      <c r="DM575" s="29"/>
      <c r="DN575" s="29"/>
      <c r="DO575" s="29"/>
      <c r="DP575" s="29"/>
      <c r="DQ575" s="29"/>
      <c r="DR575" s="29"/>
      <c r="DS575" s="29"/>
      <c r="DT575" s="29"/>
      <c r="DU575" s="29"/>
      <c r="DV575" s="29"/>
      <c r="DW575" s="29"/>
      <c r="DX575" s="29"/>
      <c r="DY575" s="29"/>
      <c r="DZ575" s="29"/>
      <c r="EA575" s="29"/>
      <c r="EB575" s="29"/>
      <c r="EC575" s="29"/>
      <c r="ED575" s="29"/>
      <c r="EE575" s="29"/>
      <c r="EF575" s="29"/>
      <c r="EG575" s="29"/>
      <c r="EH575" s="29"/>
      <c r="EI575" s="29"/>
      <c r="EJ575" s="29"/>
      <c r="EK575" s="29"/>
      <c r="EL575" s="29"/>
      <c r="EM575" s="29"/>
      <c r="EN575" s="29"/>
      <c r="EO575" s="29"/>
      <c r="EP575" s="29"/>
      <c r="EQ575" s="29"/>
      <c r="ER575" s="29"/>
      <c r="ES575" s="29"/>
      <c r="ET575" s="29"/>
      <c r="EU575" s="29"/>
      <c r="EV575" s="29"/>
      <c r="EW575" s="29"/>
      <c r="EX575" s="29"/>
      <c r="EY575" s="29"/>
      <c r="EZ575" s="29"/>
      <c r="FA575" s="29"/>
      <c r="FB575" s="29"/>
      <c r="FC575" s="29"/>
      <c r="FD575" s="29"/>
      <c r="FE575" s="29"/>
      <c r="FF575" s="29"/>
      <c r="FG575" s="29"/>
      <c r="FH575" s="29"/>
      <c r="FI575" s="29"/>
      <c r="FJ575" s="29"/>
      <c r="FK575" s="29"/>
      <c r="FL575" s="29"/>
      <c r="FM575" s="29"/>
      <c r="FN575" s="29"/>
      <c r="FO575" s="29"/>
      <c r="FP575" s="29"/>
      <c r="FQ575" s="29"/>
      <c r="FR575" s="29"/>
      <c r="FS575" s="29"/>
      <c r="FT575" s="29"/>
      <c r="FU575" s="29"/>
      <c r="FV575" s="29"/>
      <c r="FW575" s="29"/>
      <c r="FX575" s="29"/>
      <c r="FY575" s="29"/>
      <c r="FZ575" s="29"/>
      <c r="GA575" s="29"/>
      <c r="GB575" s="29"/>
      <c r="GC575" s="29"/>
      <c r="GD575" s="29"/>
      <c r="GE575" s="29"/>
      <c r="GF575" s="29"/>
      <c r="GG575" s="29"/>
      <c r="GH575" s="29"/>
      <c r="GI575" s="29"/>
      <c r="GJ575" s="29"/>
      <c r="GK575" s="29"/>
      <c r="GL575" s="29"/>
      <c r="GM575" s="29"/>
      <c r="GN575" s="29"/>
      <c r="GO575" s="29"/>
      <c r="GP575" s="29"/>
      <c r="GQ575" s="29"/>
      <c r="GR575" s="29"/>
      <c r="GS575" s="29"/>
      <c r="GT575" s="29"/>
      <c r="GU575" s="29"/>
      <c r="HP575" s="31"/>
      <c r="MX575" s="29"/>
      <c r="MY575" s="29"/>
    </row>
    <row r="576" ht="16.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c r="AY576" s="29"/>
      <c r="AZ576" s="29"/>
      <c r="BA576" s="29"/>
      <c r="BB576" s="29"/>
      <c r="BC576" s="29"/>
      <c r="BD576" s="29"/>
      <c r="BE576" s="29"/>
      <c r="BF576" s="29"/>
      <c r="BG576" s="29"/>
      <c r="BH576" s="29"/>
      <c r="BI576" s="29"/>
      <c r="BJ576" s="29"/>
      <c r="BK576" s="29"/>
      <c r="BL576" s="29"/>
      <c r="BM576" s="29"/>
      <c r="BN576" s="29"/>
      <c r="BO576" s="29"/>
      <c r="BP576" s="29"/>
      <c r="BQ576" s="29"/>
      <c r="BR576" s="29"/>
      <c r="BS576" s="29"/>
      <c r="BT576" s="29"/>
      <c r="BU576" s="29"/>
      <c r="BV576" s="29"/>
      <c r="BW576" s="29"/>
      <c r="BX576" s="29"/>
      <c r="BY576" s="29"/>
      <c r="BZ576" s="29"/>
      <c r="CA576" s="29"/>
      <c r="CB576" s="29"/>
      <c r="CC576" s="29"/>
      <c r="CD576" s="29"/>
      <c r="CE576" s="29"/>
      <c r="CF576" s="29"/>
      <c r="CG576" s="29"/>
      <c r="CH576" s="29"/>
      <c r="CI576" s="29"/>
      <c r="CJ576" s="29"/>
      <c r="CK576" s="29"/>
      <c r="CL576" s="29"/>
      <c r="CM576" s="29"/>
      <c r="CN576" s="29"/>
      <c r="CO576" s="29"/>
      <c r="CP576" s="29"/>
      <c r="CQ576" s="29"/>
      <c r="CR576" s="29"/>
      <c r="CS576" s="29"/>
      <c r="CT576" s="29"/>
      <c r="CU576" s="29"/>
      <c r="CV576" s="29"/>
      <c r="CW576" s="29"/>
      <c r="CX576" s="29"/>
      <c r="CY576" s="29"/>
      <c r="CZ576" s="29"/>
      <c r="DA576" s="29"/>
      <c r="DB576" s="29"/>
      <c r="DC576" s="29"/>
      <c r="DD576" s="29"/>
      <c r="DE576" s="29"/>
      <c r="DF576" s="29"/>
      <c r="DG576" s="29"/>
      <c r="DH576" s="29"/>
      <c r="DI576" s="29"/>
      <c r="DJ576" s="29"/>
      <c r="DK576" s="29"/>
      <c r="DL576" s="29"/>
      <c r="DM576" s="29"/>
      <c r="DN576" s="29"/>
      <c r="DO576" s="29"/>
      <c r="DP576" s="29"/>
      <c r="DQ576" s="29"/>
      <c r="DR576" s="29"/>
      <c r="DS576" s="29"/>
      <c r="DT576" s="29"/>
      <c r="DU576" s="29"/>
      <c r="DV576" s="29"/>
      <c r="DW576" s="29"/>
      <c r="DX576" s="29"/>
      <c r="DY576" s="29"/>
      <c r="DZ576" s="29"/>
      <c r="EA576" s="29"/>
      <c r="EB576" s="29"/>
      <c r="EC576" s="29"/>
      <c r="ED576" s="29"/>
      <c r="EE576" s="29"/>
      <c r="EF576" s="29"/>
      <c r="EG576" s="29"/>
      <c r="EH576" s="29"/>
      <c r="EI576" s="29"/>
      <c r="EJ576" s="29"/>
      <c r="EK576" s="29"/>
      <c r="EL576" s="29"/>
      <c r="EM576" s="29"/>
      <c r="EN576" s="29"/>
      <c r="EO576" s="29"/>
      <c r="EP576" s="29"/>
      <c r="EQ576" s="29"/>
      <c r="ER576" s="29"/>
      <c r="ES576" s="29"/>
      <c r="ET576" s="29"/>
      <c r="EU576" s="29"/>
      <c r="EV576" s="29"/>
      <c r="EW576" s="29"/>
      <c r="EX576" s="29"/>
      <c r="EY576" s="29"/>
      <c r="EZ576" s="29"/>
      <c r="FA576" s="29"/>
      <c r="FB576" s="29"/>
      <c r="FC576" s="29"/>
      <c r="FD576" s="29"/>
      <c r="FE576" s="29"/>
      <c r="FF576" s="29"/>
      <c r="FG576" s="29"/>
      <c r="FH576" s="29"/>
      <c r="FI576" s="29"/>
      <c r="FJ576" s="29"/>
      <c r="FK576" s="29"/>
      <c r="FL576" s="29"/>
      <c r="FM576" s="29"/>
      <c r="FN576" s="29"/>
      <c r="FO576" s="29"/>
      <c r="FP576" s="29"/>
      <c r="FQ576" s="29"/>
      <c r="FR576" s="29"/>
      <c r="FS576" s="29"/>
      <c r="FT576" s="29"/>
      <c r="FU576" s="29"/>
      <c r="FV576" s="29"/>
      <c r="FW576" s="29"/>
      <c r="FX576" s="29"/>
      <c r="FY576" s="29"/>
      <c r="FZ576" s="29"/>
      <c r="GA576" s="29"/>
      <c r="GB576" s="29"/>
      <c r="GC576" s="29"/>
      <c r="GD576" s="29"/>
      <c r="GE576" s="29"/>
      <c r="GF576" s="29"/>
      <c r="GG576" s="29"/>
      <c r="GH576" s="29"/>
      <c r="GI576" s="29"/>
      <c r="GJ576" s="29"/>
      <c r="GK576" s="29"/>
      <c r="GL576" s="29"/>
      <c r="GM576" s="29"/>
      <c r="GN576" s="29"/>
      <c r="GO576" s="29"/>
      <c r="GP576" s="29"/>
      <c r="GQ576" s="29"/>
      <c r="GR576" s="29"/>
      <c r="GS576" s="29"/>
      <c r="GT576" s="29"/>
      <c r="GU576" s="29"/>
      <c r="HP576" s="31"/>
      <c r="MX576" s="29"/>
      <c r="MY576" s="29"/>
    </row>
    <row r="577" ht="16.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c r="BR577" s="29"/>
      <c r="BS577" s="29"/>
      <c r="BT577" s="29"/>
      <c r="BU577" s="29"/>
      <c r="BV577" s="29"/>
      <c r="BW577" s="29"/>
      <c r="BX577" s="29"/>
      <c r="BY577" s="29"/>
      <c r="BZ577" s="29"/>
      <c r="CA577" s="29"/>
      <c r="CB577" s="29"/>
      <c r="CC577" s="29"/>
      <c r="CD577" s="29"/>
      <c r="CE577" s="29"/>
      <c r="CF577" s="29"/>
      <c r="CG577" s="29"/>
      <c r="CH577" s="29"/>
      <c r="CI577" s="29"/>
      <c r="CJ577" s="29"/>
      <c r="CK577" s="29"/>
      <c r="CL577" s="29"/>
      <c r="CM577" s="29"/>
      <c r="CN577" s="29"/>
      <c r="CO577" s="29"/>
      <c r="CP577" s="29"/>
      <c r="CQ577" s="29"/>
      <c r="CR577" s="29"/>
      <c r="CS577" s="29"/>
      <c r="CT577" s="29"/>
      <c r="CU577" s="29"/>
      <c r="CV577" s="29"/>
      <c r="CW577" s="29"/>
      <c r="CX577" s="29"/>
      <c r="CY577" s="29"/>
      <c r="CZ577" s="29"/>
      <c r="DA577" s="29"/>
      <c r="DB577" s="29"/>
      <c r="DC577" s="29"/>
      <c r="DD577" s="29"/>
      <c r="DE577" s="29"/>
      <c r="DF577" s="29"/>
      <c r="DG577" s="29"/>
      <c r="DH577" s="29"/>
      <c r="DI577" s="29"/>
      <c r="DJ577" s="29"/>
      <c r="DK577" s="29"/>
      <c r="DL577" s="29"/>
      <c r="DM577" s="29"/>
      <c r="DN577" s="29"/>
      <c r="DO577" s="29"/>
      <c r="DP577" s="29"/>
      <c r="DQ577" s="29"/>
      <c r="DR577" s="29"/>
      <c r="DS577" s="29"/>
      <c r="DT577" s="29"/>
      <c r="DU577" s="29"/>
      <c r="DV577" s="29"/>
      <c r="DW577" s="29"/>
      <c r="DX577" s="29"/>
      <c r="DY577" s="29"/>
      <c r="DZ577" s="29"/>
      <c r="EA577" s="29"/>
      <c r="EB577" s="29"/>
      <c r="EC577" s="29"/>
      <c r="ED577" s="29"/>
      <c r="EE577" s="29"/>
      <c r="EF577" s="29"/>
      <c r="EG577" s="29"/>
      <c r="EH577" s="29"/>
      <c r="EI577" s="29"/>
      <c r="EJ577" s="29"/>
      <c r="EK577" s="29"/>
      <c r="EL577" s="29"/>
      <c r="EM577" s="29"/>
      <c r="EN577" s="29"/>
      <c r="EO577" s="29"/>
      <c r="EP577" s="29"/>
      <c r="EQ577" s="29"/>
      <c r="ER577" s="29"/>
      <c r="ES577" s="29"/>
      <c r="ET577" s="29"/>
      <c r="EU577" s="29"/>
      <c r="EV577" s="29"/>
      <c r="EW577" s="29"/>
      <c r="EX577" s="29"/>
      <c r="EY577" s="29"/>
      <c r="EZ577" s="29"/>
      <c r="FA577" s="29"/>
      <c r="FB577" s="29"/>
      <c r="FC577" s="29"/>
      <c r="FD577" s="29"/>
      <c r="FE577" s="29"/>
      <c r="FF577" s="29"/>
      <c r="FG577" s="29"/>
      <c r="FH577" s="29"/>
      <c r="FI577" s="29"/>
      <c r="FJ577" s="29"/>
      <c r="FK577" s="29"/>
      <c r="FL577" s="29"/>
      <c r="FM577" s="29"/>
      <c r="FN577" s="29"/>
      <c r="FO577" s="29"/>
      <c r="FP577" s="29"/>
      <c r="FQ577" s="29"/>
      <c r="FR577" s="29"/>
      <c r="FS577" s="29"/>
      <c r="FT577" s="29"/>
      <c r="FU577" s="29"/>
      <c r="FV577" s="29"/>
      <c r="FW577" s="29"/>
      <c r="FX577" s="29"/>
      <c r="FY577" s="29"/>
      <c r="FZ577" s="29"/>
      <c r="GA577" s="29"/>
      <c r="GB577" s="29"/>
      <c r="GC577" s="29"/>
      <c r="GD577" s="29"/>
      <c r="GE577" s="29"/>
      <c r="GF577" s="29"/>
      <c r="GG577" s="29"/>
      <c r="GH577" s="29"/>
      <c r="GI577" s="29"/>
      <c r="GJ577" s="29"/>
      <c r="GK577" s="29"/>
      <c r="GL577" s="29"/>
      <c r="GM577" s="29"/>
      <c r="GN577" s="29"/>
      <c r="GO577" s="29"/>
      <c r="GP577" s="29"/>
      <c r="GQ577" s="29"/>
      <c r="GR577" s="29"/>
      <c r="GS577" s="29"/>
      <c r="GT577" s="29"/>
      <c r="GU577" s="29"/>
      <c r="HP577" s="31"/>
      <c r="MX577" s="29"/>
      <c r="MY577" s="29"/>
    </row>
    <row r="578" ht="16.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c r="AY578" s="29"/>
      <c r="AZ578" s="29"/>
      <c r="BA578" s="29"/>
      <c r="BB578" s="29"/>
      <c r="BC578" s="29"/>
      <c r="BD578" s="29"/>
      <c r="BE578" s="29"/>
      <c r="BF578" s="29"/>
      <c r="BG578" s="29"/>
      <c r="BH578" s="29"/>
      <c r="BI578" s="29"/>
      <c r="BJ578" s="29"/>
      <c r="BK578" s="29"/>
      <c r="BL578" s="29"/>
      <c r="BM578" s="29"/>
      <c r="BN578" s="29"/>
      <c r="BO578" s="29"/>
      <c r="BP578" s="29"/>
      <c r="BQ578" s="29"/>
      <c r="BR578" s="29"/>
      <c r="BS578" s="29"/>
      <c r="BT578" s="29"/>
      <c r="BU578" s="29"/>
      <c r="BV578" s="29"/>
      <c r="BW578" s="29"/>
      <c r="BX578" s="29"/>
      <c r="BY578" s="29"/>
      <c r="BZ578" s="29"/>
      <c r="CA578" s="29"/>
      <c r="CB578" s="29"/>
      <c r="CC578" s="29"/>
      <c r="CD578" s="29"/>
      <c r="CE578" s="29"/>
      <c r="CF578" s="29"/>
      <c r="CG578" s="29"/>
      <c r="CH578" s="29"/>
      <c r="CI578" s="29"/>
      <c r="CJ578" s="29"/>
      <c r="CK578" s="29"/>
      <c r="CL578" s="29"/>
      <c r="CM578" s="29"/>
      <c r="CN578" s="29"/>
      <c r="CO578" s="29"/>
      <c r="CP578" s="29"/>
      <c r="CQ578" s="29"/>
      <c r="CR578" s="29"/>
      <c r="CS578" s="29"/>
      <c r="CT578" s="29"/>
      <c r="CU578" s="29"/>
      <c r="CV578" s="29"/>
      <c r="CW578" s="29"/>
      <c r="CX578" s="29"/>
      <c r="CY578" s="29"/>
      <c r="CZ578" s="29"/>
      <c r="DA578" s="29"/>
      <c r="DB578" s="29"/>
      <c r="DC578" s="29"/>
      <c r="DD578" s="29"/>
      <c r="DE578" s="29"/>
      <c r="DF578" s="29"/>
      <c r="DG578" s="29"/>
      <c r="DH578" s="29"/>
      <c r="DI578" s="29"/>
      <c r="DJ578" s="29"/>
      <c r="DK578" s="29"/>
      <c r="DL578" s="29"/>
      <c r="DM578" s="29"/>
      <c r="DN578" s="29"/>
      <c r="DO578" s="29"/>
      <c r="DP578" s="29"/>
      <c r="DQ578" s="29"/>
      <c r="DR578" s="29"/>
      <c r="DS578" s="29"/>
      <c r="DT578" s="29"/>
      <c r="DU578" s="29"/>
      <c r="DV578" s="29"/>
      <c r="DW578" s="29"/>
      <c r="DX578" s="29"/>
      <c r="DY578" s="29"/>
      <c r="DZ578" s="29"/>
      <c r="EA578" s="29"/>
      <c r="EB578" s="29"/>
      <c r="EC578" s="29"/>
      <c r="ED578" s="29"/>
      <c r="EE578" s="29"/>
      <c r="EF578" s="29"/>
      <c r="EG578" s="29"/>
      <c r="EH578" s="29"/>
      <c r="EI578" s="29"/>
      <c r="EJ578" s="29"/>
      <c r="EK578" s="29"/>
      <c r="EL578" s="29"/>
      <c r="EM578" s="29"/>
      <c r="EN578" s="29"/>
      <c r="EO578" s="29"/>
      <c r="EP578" s="29"/>
      <c r="EQ578" s="29"/>
      <c r="ER578" s="29"/>
      <c r="ES578" s="29"/>
      <c r="ET578" s="29"/>
      <c r="EU578" s="29"/>
      <c r="EV578" s="29"/>
      <c r="EW578" s="29"/>
      <c r="EX578" s="29"/>
      <c r="EY578" s="29"/>
      <c r="EZ578" s="29"/>
      <c r="FA578" s="29"/>
      <c r="FB578" s="29"/>
      <c r="FC578" s="29"/>
      <c r="FD578" s="29"/>
      <c r="FE578" s="29"/>
      <c r="FF578" s="29"/>
      <c r="FG578" s="29"/>
      <c r="FH578" s="29"/>
      <c r="FI578" s="29"/>
      <c r="FJ578" s="29"/>
      <c r="FK578" s="29"/>
      <c r="FL578" s="29"/>
      <c r="FM578" s="29"/>
      <c r="FN578" s="29"/>
      <c r="FO578" s="29"/>
      <c r="FP578" s="29"/>
      <c r="FQ578" s="29"/>
      <c r="FR578" s="29"/>
      <c r="FS578" s="29"/>
      <c r="FT578" s="29"/>
      <c r="FU578" s="29"/>
      <c r="FV578" s="29"/>
      <c r="FW578" s="29"/>
      <c r="FX578" s="29"/>
      <c r="FY578" s="29"/>
      <c r="FZ578" s="29"/>
      <c r="GA578" s="29"/>
      <c r="GB578" s="29"/>
      <c r="GC578" s="29"/>
      <c r="GD578" s="29"/>
      <c r="GE578" s="29"/>
      <c r="GF578" s="29"/>
      <c r="GG578" s="29"/>
      <c r="GH578" s="29"/>
      <c r="GI578" s="29"/>
      <c r="GJ578" s="29"/>
      <c r="GK578" s="29"/>
      <c r="GL578" s="29"/>
      <c r="GM578" s="29"/>
      <c r="GN578" s="29"/>
      <c r="GO578" s="29"/>
      <c r="GP578" s="29"/>
      <c r="GQ578" s="29"/>
      <c r="GR578" s="29"/>
      <c r="GS578" s="29"/>
      <c r="GT578" s="29"/>
      <c r="GU578" s="29"/>
      <c r="HP578" s="31"/>
      <c r="MX578" s="29"/>
      <c r="MY578" s="29"/>
    </row>
    <row r="579" ht="16.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c r="BO579" s="29"/>
      <c r="BP579" s="29"/>
      <c r="BQ579" s="29"/>
      <c r="BR579" s="29"/>
      <c r="BS579" s="29"/>
      <c r="BT579" s="29"/>
      <c r="BU579" s="29"/>
      <c r="BV579" s="29"/>
      <c r="BW579" s="29"/>
      <c r="BX579" s="29"/>
      <c r="BY579" s="29"/>
      <c r="BZ579" s="29"/>
      <c r="CA579" s="29"/>
      <c r="CB579" s="29"/>
      <c r="CC579" s="29"/>
      <c r="CD579" s="29"/>
      <c r="CE579" s="29"/>
      <c r="CF579" s="29"/>
      <c r="CG579" s="29"/>
      <c r="CH579" s="29"/>
      <c r="CI579" s="29"/>
      <c r="CJ579" s="29"/>
      <c r="CK579" s="29"/>
      <c r="CL579" s="29"/>
      <c r="CM579" s="29"/>
      <c r="CN579" s="29"/>
      <c r="CO579" s="29"/>
      <c r="CP579" s="29"/>
      <c r="CQ579" s="29"/>
      <c r="CR579" s="29"/>
      <c r="CS579" s="29"/>
      <c r="CT579" s="29"/>
      <c r="CU579" s="29"/>
      <c r="CV579" s="29"/>
      <c r="CW579" s="29"/>
      <c r="CX579" s="29"/>
      <c r="CY579" s="29"/>
      <c r="CZ579" s="29"/>
      <c r="DA579" s="29"/>
      <c r="DB579" s="29"/>
      <c r="DC579" s="29"/>
      <c r="DD579" s="29"/>
      <c r="DE579" s="29"/>
      <c r="DF579" s="29"/>
      <c r="DG579" s="29"/>
      <c r="DH579" s="29"/>
      <c r="DI579" s="29"/>
      <c r="DJ579" s="29"/>
      <c r="DK579" s="29"/>
      <c r="DL579" s="29"/>
      <c r="DM579" s="29"/>
      <c r="DN579" s="29"/>
      <c r="DO579" s="29"/>
      <c r="DP579" s="29"/>
      <c r="DQ579" s="29"/>
      <c r="DR579" s="29"/>
      <c r="DS579" s="29"/>
      <c r="DT579" s="29"/>
      <c r="DU579" s="29"/>
      <c r="DV579" s="29"/>
      <c r="DW579" s="29"/>
      <c r="DX579" s="29"/>
      <c r="DY579" s="29"/>
      <c r="DZ579" s="29"/>
      <c r="EA579" s="29"/>
      <c r="EB579" s="29"/>
      <c r="EC579" s="29"/>
      <c r="ED579" s="29"/>
      <c r="EE579" s="29"/>
      <c r="EF579" s="29"/>
      <c r="EG579" s="29"/>
      <c r="EH579" s="29"/>
      <c r="EI579" s="29"/>
      <c r="EJ579" s="29"/>
      <c r="EK579" s="29"/>
      <c r="EL579" s="29"/>
      <c r="EM579" s="29"/>
      <c r="EN579" s="29"/>
      <c r="EO579" s="29"/>
      <c r="EP579" s="29"/>
      <c r="EQ579" s="29"/>
      <c r="ER579" s="29"/>
      <c r="ES579" s="29"/>
      <c r="ET579" s="29"/>
      <c r="EU579" s="29"/>
      <c r="EV579" s="29"/>
      <c r="EW579" s="29"/>
      <c r="EX579" s="29"/>
      <c r="EY579" s="29"/>
      <c r="EZ579" s="29"/>
      <c r="FA579" s="29"/>
      <c r="FB579" s="29"/>
      <c r="FC579" s="29"/>
      <c r="FD579" s="29"/>
      <c r="FE579" s="29"/>
      <c r="FF579" s="29"/>
      <c r="FG579" s="29"/>
      <c r="FH579" s="29"/>
      <c r="FI579" s="29"/>
      <c r="FJ579" s="29"/>
      <c r="FK579" s="29"/>
      <c r="FL579" s="29"/>
      <c r="FM579" s="29"/>
      <c r="FN579" s="29"/>
      <c r="FO579" s="29"/>
      <c r="FP579" s="29"/>
      <c r="FQ579" s="29"/>
      <c r="FR579" s="29"/>
      <c r="FS579" s="29"/>
      <c r="FT579" s="29"/>
      <c r="FU579" s="29"/>
      <c r="FV579" s="29"/>
      <c r="FW579" s="29"/>
      <c r="FX579" s="29"/>
      <c r="FY579" s="29"/>
      <c r="FZ579" s="29"/>
      <c r="GA579" s="29"/>
      <c r="GB579" s="29"/>
      <c r="GC579" s="29"/>
      <c r="GD579" s="29"/>
      <c r="GE579" s="29"/>
      <c r="GF579" s="29"/>
      <c r="GG579" s="29"/>
      <c r="GH579" s="29"/>
      <c r="GI579" s="29"/>
      <c r="GJ579" s="29"/>
      <c r="GK579" s="29"/>
      <c r="GL579" s="29"/>
      <c r="GM579" s="29"/>
      <c r="GN579" s="29"/>
      <c r="GO579" s="29"/>
      <c r="GP579" s="29"/>
      <c r="GQ579" s="29"/>
      <c r="GR579" s="29"/>
      <c r="GS579" s="29"/>
      <c r="GT579" s="29"/>
      <c r="GU579" s="29"/>
      <c r="HP579" s="31"/>
      <c r="MX579" s="29"/>
      <c r="MY579" s="29"/>
    </row>
    <row r="580" ht="16.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c r="AY580" s="29"/>
      <c r="AZ580" s="29"/>
      <c r="BA580" s="29"/>
      <c r="BB580" s="29"/>
      <c r="BC580" s="29"/>
      <c r="BD580" s="29"/>
      <c r="BE580" s="29"/>
      <c r="BF580" s="29"/>
      <c r="BG580" s="29"/>
      <c r="BH580" s="29"/>
      <c r="BI580" s="29"/>
      <c r="BJ580" s="29"/>
      <c r="BK580" s="29"/>
      <c r="BL580" s="29"/>
      <c r="BM580" s="29"/>
      <c r="BN580" s="29"/>
      <c r="BO580" s="29"/>
      <c r="BP580" s="29"/>
      <c r="BQ580" s="29"/>
      <c r="BR580" s="29"/>
      <c r="BS580" s="29"/>
      <c r="BT580" s="29"/>
      <c r="BU580" s="29"/>
      <c r="BV580" s="29"/>
      <c r="BW580" s="29"/>
      <c r="BX580" s="29"/>
      <c r="BY580" s="29"/>
      <c r="BZ580" s="29"/>
      <c r="CA580" s="29"/>
      <c r="CB580" s="29"/>
      <c r="CC580" s="29"/>
      <c r="CD580" s="29"/>
      <c r="CE580" s="29"/>
      <c r="CF580" s="29"/>
      <c r="CG580" s="29"/>
      <c r="CH580" s="29"/>
      <c r="CI580" s="29"/>
      <c r="CJ580" s="29"/>
      <c r="CK580" s="29"/>
      <c r="CL580" s="29"/>
      <c r="CM580" s="29"/>
      <c r="CN580" s="29"/>
      <c r="CO580" s="29"/>
      <c r="CP580" s="29"/>
      <c r="CQ580" s="29"/>
      <c r="CR580" s="29"/>
      <c r="CS580" s="29"/>
      <c r="CT580" s="29"/>
      <c r="CU580" s="29"/>
      <c r="CV580" s="29"/>
      <c r="CW580" s="29"/>
      <c r="CX580" s="29"/>
      <c r="CY580" s="29"/>
      <c r="CZ580" s="29"/>
      <c r="DA580" s="29"/>
      <c r="DB580" s="29"/>
      <c r="DC580" s="29"/>
      <c r="DD580" s="29"/>
      <c r="DE580" s="29"/>
      <c r="DF580" s="29"/>
      <c r="DG580" s="29"/>
      <c r="DH580" s="29"/>
      <c r="DI580" s="29"/>
      <c r="DJ580" s="29"/>
      <c r="DK580" s="29"/>
      <c r="DL580" s="29"/>
      <c r="DM580" s="29"/>
      <c r="DN580" s="29"/>
      <c r="DO580" s="29"/>
      <c r="DP580" s="29"/>
      <c r="DQ580" s="29"/>
      <c r="DR580" s="29"/>
      <c r="DS580" s="29"/>
      <c r="DT580" s="29"/>
      <c r="DU580" s="29"/>
      <c r="DV580" s="29"/>
      <c r="DW580" s="29"/>
      <c r="DX580" s="29"/>
      <c r="DY580" s="29"/>
      <c r="DZ580" s="29"/>
      <c r="EA580" s="29"/>
      <c r="EB580" s="29"/>
      <c r="EC580" s="29"/>
      <c r="ED580" s="29"/>
      <c r="EE580" s="29"/>
      <c r="EF580" s="29"/>
      <c r="EG580" s="29"/>
      <c r="EH580" s="29"/>
      <c r="EI580" s="29"/>
      <c r="EJ580" s="29"/>
      <c r="EK580" s="29"/>
      <c r="EL580" s="29"/>
      <c r="EM580" s="29"/>
      <c r="EN580" s="29"/>
      <c r="EO580" s="29"/>
      <c r="EP580" s="29"/>
      <c r="EQ580" s="29"/>
      <c r="ER580" s="29"/>
      <c r="ES580" s="29"/>
      <c r="ET580" s="29"/>
      <c r="EU580" s="29"/>
      <c r="EV580" s="29"/>
      <c r="EW580" s="29"/>
      <c r="EX580" s="29"/>
      <c r="EY580" s="29"/>
      <c r="EZ580" s="29"/>
      <c r="FA580" s="29"/>
      <c r="FB580" s="29"/>
      <c r="FC580" s="29"/>
      <c r="FD580" s="29"/>
      <c r="FE580" s="29"/>
      <c r="FF580" s="29"/>
      <c r="FG580" s="29"/>
      <c r="FH580" s="29"/>
      <c r="FI580" s="29"/>
      <c r="FJ580" s="29"/>
      <c r="FK580" s="29"/>
      <c r="FL580" s="29"/>
      <c r="FM580" s="29"/>
      <c r="FN580" s="29"/>
      <c r="FO580" s="29"/>
      <c r="FP580" s="29"/>
      <c r="FQ580" s="29"/>
      <c r="FR580" s="29"/>
      <c r="FS580" s="29"/>
      <c r="FT580" s="29"/>
      <c r="FU580" s="29"/>
      <c r="FV580" s="29"/>
      <c r="FW580" s="29"/>
      <c r="FX580" s="29"/>
      <c r="FY580" s="29"/>
      <c r="FZ580" s="29"/>
      <c r="GA580" s="29"/>
      <c r="GB580" s="29"/>
      <c r="GC580" s="29"/>
      <c r="GD580" s="29"/>
      <c r="GE580" s="29"/>
      <c r="GF580" s="29"/>
      <c r="GG580" s="29"/>
      <c r="GH580" s="29"/>
      <c r="GI580" s="29"/>
      <c r="GJ580" s="29"/>
      <c r="GK580" s="29"/>
      <c r="GL580" s="29"/>
      <c r="GM580" s="29"/>
      <c r="GN580" s="29"/>
      <c r="GO580" s="29"/>
      <c r="GP580" s="29"/>
      <c r="GQ580" s="29"/>
      <c r="GR580" s="29"/>
      <c r="GS580" s="29"/>
      <c r="GT580" s="29"/>
      <c r="GU580" s="29"/>
      <c r="HP580" s="31"/>
      <c r="MX580" s="29"/>
      <c r="MY580" s="29"/>
    </row>
    <row r="581" ht="16.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c r="BR581" s="29"/>
      <c r="BS581" s="29"/>
      <c r="BT581" s="29"/>
      <c r="BU581" s="29"/>
      <c r="BV581" s="29"/>
      <c r="BW581" s="29"/>
      <c r="BX581" s="29"/>
      <c r="BY581" s="29"/>
      <c r="BZ581" s="29"/>
      <c r="CA581" s="29"/>
      <c r="CB581" s="29"/>
      <c r="CC581" s="29"/>
      <c r="CD581" s="29"/>
      <c r="CE581" s="29"/>
      <c r="CF581" s="29"/>
      <c r="CG581" s="29"/>
      <c r="CH581" s="29"/>
      <c r="CI581" s="29"/>
      <c r="CJ581" s="29"/>
      <c r="CK581" s="29"/>
      <c r="CL581" s="29"/>
      <c r="CM581" s="29"/>
      <c r="CN581" s="29"/>
      <c r="CO581" s="29"/>
      <c r="CP581" s="29"/>
      <c r="CQ581" s="29"/>
      <c r="CR581" s="29"/>
      <c r="CS581" s="29"/>
      <c r="CT581" s="29"/>
      <c r="CU581" s="29"/>
      <c r="CV581" s="29"/>
      <c r="CW581" s="29"/>
      <c r="CX581" s="29"/>
      <c r="CY581" s="29"/>
      <c r="CZ581" s="29"/>
      <c r="DA581" s="29"/>
      <c r="DB581" s="29"/>
      <c r="DC581" s="29"/>
      <c r="DD581" s="29"/>
      <c r="DE581" s="29"/>
      <c r="DF581" s="29"/>
      <c r="DG581" s="29"/>
      <c r="DH581" s="29"/>
      <c r="DI581" s="29"/>
      <c r="DJ581" s="29"/>
      <c r="DK581" s="29"/>
      <c r="DL581" s="29"/>
      <c r="DM581" s="29"/>
      <c r="DN581" s="29"/>
      <c r="DO581" s="29"/>
      <c r="DP581" s="29"/>
      <c r="DQ581" s="29"/>
      <c r="DR581" s="29"/>
      <c r="DS581" s="29"/>
      <c r="DT581" s="29"/>
      <c r="DU581" s="29"/>
      <c r="DV581" s="29"/>
      <c r="DW581" s="29"/>
      <c r="DX581" s="29"/>
      <c r="DY581" s="29"/>
      <c r="DZ581" s="29"/>
      <c r="EA581" s="29"/>
      <c r="EB581" s="29"/>
      <c r="EC581" s="29"/>
      <c r="ED581" s="29"/>
      <c r="EE581" s="29"/>
      <c r="EF581" s="29"/>
      <c r="EG581" s="29"/>
      <c r="EH581" s="29"/>
      <c r="EI581" s="29"/>
      <c r="EJ581" s="29"/>
      <c r="EK581" s="29"/>
      <c r="EL581" s="29"/>
      <c r="EM581" s="29"/>
      <c r="EN581" s="29"/>
      <c r="EO581" s="29"/>
      <c r="EP581" s="29"/>
      <c r="EQ581" s="29"/>
      <c r="ER581" s="29"/>
      <c r="ES581" s="29"/>
      <c r="ET581" s="29"/>
      <c r="EU581" s="29"/>
      <c r="EV581" s="29"/>
      <c r="EW581" s="29"/>
      <c r="EX581" s="29"/>
      <c r="EY581" s="29"/>
      <c r="EZ581" s="29"/>
      <c r="FA581" s="29"/>
      <c r="FB581" s="29"/>
      <c r="FC581" s="29"/>
      <c r="FD581" s="29"/>
      <c r="FE581" s="29"/>
      <c r="FF581" s="29"/>
      <c r="FG581" s="29"/>
      <c r="FH581" s="29"/>
      <c r="FI581" s="29"/>
      <c r="FJ581" s="29"/>
      <c r="FK581" s="29"/>
      <c r="FL581" s="29"/>
      <c r="FM581" s="29"/>
      <c r="FN581" s="29"/>
      <c r="FO581" s="29"/>
      <c r="FP581" s="29"/>
      <c r="FQ581" s="29"/>
      <c r="FR581" s="29"/>
      <c r="FS581" s="29"/>
      <c r="FT581" s="29"/>
      <c r="FU581" s="29"/>
      <c r="FV581" s="29"/>
      <c r="FW581" s="29"/>
      <c r="FX581" s="29"/>
      <c r="FY581" s="29"/>
      <c r="FZ581" s="29"/>
      <c r="GA581" s="29"/>
      <c r="GB581" s="29"/>
      <c r="GC581" s="29"/>
      <c r="GD581" s="29"/>
      <c r="GE581" s="29"/>
      <c r="GF581" s="29"/>
      <c r="GG581" s="29"/>
      <c r="GH581" s="29"/>
      <c r="GI581" s="29"/>
      <c r="GJ581" s="29"/>
      <c r="GK581" s="29"/>
      <c r="GL581" s="29"/>
      <c r="GM581" s="29"/>
      <c r="GN581" s="29"/>
      <c r="GO581" s="29"/>
      <c r="GP581" s="29"/>
      <c r="GQ581" s="29"/>
      <c r="GR581" s="29"/>
      <c r="GS581" s="29"/>
      <c r="GT581" s="29"/>
      <c r="GU581" s="29"/>
      <c r="HP581" s="31"/>
      <c r="MX581" s="29"/>
      <c r="MY581" s="29"/>
    </row>
    <row r="582" ht="16.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c r="AY582" s="29"/>
      <c r="AZ582" s="29"/>
      <c r="BA582" s="29"/>
      <c r="BB582" s="29"/>
      <c r="BC582" s="29"/>
      <c r="BD582" s="29"/>
      <c r="BE582" s="29"/>
      <c r="BF582" s="29"/>
      <c r="BG582" s="29"/>
      <c r="BH582" s="29"/>
      <c r="BI582" s="29"/>
      <c r="BJ582" s="29"/>
      <c r="BK582" s="29"/>
      <c r="BL582" s="29"/>
      <c r="BM582" s="29"/>
      <c r="BN582" s="29"/>
      <c r="BO582" s="29"/>
      <c r="BP582" s="29"/>
      <c r="BQ582" s="29"/>
      <c r="BR582" s="29"/>
      <c r="BS582" s="29"/>
      <c r="BT582" s="29"/>
      <c r="BU582" s="29"/>
      <c r="BV582" s="29"/>
      <c r="BW582" s="29"/>
      <c r="BX582" s="29"/>
      <c r="BY582" s="29"/>
      <c r="BZ582" s="29"/>
      <c r="CA582" s="29"/>
      <c r="CB582" s="29"/>
      <c r="CC582" s="29"/>
      <c r="CD582" s="29"/>
      <c r="CE582" s="29"/>
      <c r="CF582" s="29"/>
      <c r="CG582" s="29"/>
      <c r="CH582" s="29"/>
      <c r="CI582" s="29"/>
      <c r="CJ582" s="29"/>
      <c r="CK582" s="29"/>
      <c r="CL582" s="29"/>
      <c r="CM582" s="29"/>
      <c r="CN582" s="29"/>
      <c r="CO582" s="29"/>
      <c r="CP582" s="29"/>
      <c r="CQ582" s="29"/>
      <c r="CR582" s="29"/>
      <c r="CS582" s="29"/>
      <c r="CT582" s="29"/>
      <c r="CU582" s="29"/>
      <c r="CV582" s="29"/>
      <c r="CW582" s="29"/>
      <c r="CX582" s="29"/>
      <c r="CY582" s="29"/>
      <c r="CZ582" s="29"/>
      <c r="DA582" s="29"/>
      <c r="DB582" s="29"/>
      <c r="DC582" s="29"/>
      <c r="DD582" s="29"/>
      <c r="DE582" s="29"/>
      <c r="DF582" s="29"/>
      <c r="DG582" s="29"/>
      <c r="DH582" s="29"/>
      <c r="DI582" s="29"/>
      <c r="DJ582" s="29"/>
      <c r="DK582" s="29"/>
      <c r="DL582" s="29"/>
      <c r="DM582" s="29"/>
      <c r="DN582" s="29"/>
      <c r="DO582" s="29"/>
      <c r="DP582" s="29"/>
      <c r="DQ582" s="29"/>
      <c r="DR582" s="29"/>
      <c r="DS582" s="29"/>
      <c r="DT582" s="29"/>
      <c r="DU582" s="29"/>
      <c r="DV582" s="29"/>
      <c r="DW582" s="29"/>
      <c r="DX582" s="29"/>
      <c r="DY582" s="29"/>
      <c r="DZ582" s="29"/>
      <c r="EA582" s="29"/>
      <c r="EB582" s="29"/>
      <c r="EC582" s="29"/>
      <c r="ED582" s="29"/>
      <c r="EE582" s="29"/>
      <c r="EF582" s="29"/>
      <c r="EG582" s="29"/>
      <c r="EH582" s="29"/>
      <c r="EI582" s="29"/>
      <c r="EJ582" s="29"/>
      <c r="EK582" s="29"/>
      <c r="EL582" s="29"/>
      <c r="EM582" s="29"/>
      <c r="EN582" s="29"/>
      <c r="EO582" s="29"/>
      <c r="EP582" s="29"/>
      <c r="EQ582" s="29"/>
      <c r="ER582" s="29"/>
      <c r="ES582" s="29"/>
      <c r="ET582" s="29"/>
      <c r="EU582" s="29"/>
      <c r="EV582" s="29"/>
      <c r="EW582" s="29"/>
      <c r="EX582" s="29"/>
      <c r="EY582" s="29"/>
      <c r="EZ582" s="29"/>
      <c r="FA582" s="29"/>
      <c r="FB582" s="29"/>
      <c r="FC582" s="29"/>
      <c r="FD582" s="29"/>
      <c r="FE582" s="29"/>
      <c r="FF582" s="29"/>
      <c r="FG582" s="29"/>
      <c r="FH582" s="29"/>
      <c r="FI582" s="29"/>
      <c r="FJ582" s="29"/>
      <c r="FK582" s="29"/>
      <c r="FL582" s="29"/>
      <c r="FM582" s="29"/>
      <c r="FN582" s="29"/>
      <c r="FO582" s="29"/>
      <c r="FP582" s="29"/>
      <c r="FQ582" s="29"/>
      <c r="FR582" s="29"/>
      <c r="FS582" s="29"/>
      <c r="FT582" s="29"/>
      <c r="FU582" s="29"/>
      <c r="FV582" s="29"/>
      <c r="FW582" s="29"/>
      <c r="FX582" s="29"/>
      <c r="FY582" s="29"/>
      <c r="FZ582" s="29"/>
      <c r="GA582" s="29"/>
      <c r="GB582" s="29"/>
      <c r="GC582" s="29"/>
      <c r="GD582" s="29"/>
      <c r="GE582" s="29"/>
      <c r="GF582" s="29"/>
      <c r="GG582" s="29"/>
      <c r="GH582" s="29"/>
      <c r="GI582" s="29"/>
      <c r="GJ582" s="29"/>
      <c r="GK582" s="29"/>
      <c r="GL582" s="29"/>
      <c r="GM582" s="29"/>
      <c r="GN582" s="29"/>
      <c r="GO582" s="29"/>
      <c r="GP582" s="29"/>
      <c r="GQ582" s="29"/>
      <c r="GR582" s="29"/>
      <c r="GS582" s="29"/>
      <c r="GT582" s="29"/>
      <c r="GU582" s="29"/>
      <c r="HP582" s="31"/>
      <c r="MX582" s="29"/>
      <c r="MY582" s="29"/>
    </row>
    <row r="583" ht="16.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c r="BO583" s="29"/>
      <c r="BP583" s="29"/>
      <c r="BQ583" s="29"/>
      <c r="BR583" s="29"/>
      <c r="BS583" s="29"/>
      <c r="BT583" s="29"/>
      <c r="BU583" s="29"/>
      <c r="BV583" s="29"/>
      <c r="BW583" s="29"/>
      <c r="BX583" s="29"/>
      <c r="BY583" s="29"/>
      <c r="BZ583" s="29"/>
      <c r="CA583" s="29"/>
      <c r="CB583" s="29"/>
      <c r="CC583" s="29"/>
      <c r="CD583" s="29"/>
      <c r="CE583" s="29"/>
      <c r="CF583" s="29"/>
      <c r="CG583" s="29"/>
      <c r="CH583" s="29"/>
      <c r="CI583" s="29"/>
      <c r="CJ583" s="29"/>
      <c r="CK583" s="29"/>
      <c r="CL583" s="29"/>
      <c r="CM583" s="29"/>
      <c r="CN583" s="29"/>
      <c r="CO583" s="29"/>
      <c r="CP583" s="29"/>
      <c r="CQ583" s="29"/>
      <c r="CR583" s="29"/>
      <c r="CS583" s="29"/>
      <c r="CT583" s="29"/>
      <c r="CU583" s="29"/>
      <c r="CV583" s="29"/>
      <c r="CW583" s="29"/>
      <c r="CX583" s="29"/>
      <c r="CY583" s="29"/>
      <c r="CZ583" s="29"/>
      <c r="DA583" s="29"/>
      <c r="DB583" s="29"/>
      <c r="DC583" s="29"/>
      <c r="DD583" s="29"/>
      <c r="DE583" s="29"/>
      <c r="DF583" s="29"/>
      <c r="DG583" s="29"/>
      <c r="DH583" s="29"/>
      <c r="DI583" s="29"/>
      <c r="DJ583" s="29"/>
      <c r="DK583" s="29"/>
      <c r="DL583" s="29"/>
      <c r="DM583" s="29"/>
      <c r="DN583" s="29"/>
      <c r="DO583" s="29"/>
      <c r="DP583" s="29"/>
      <c r="DQ583" s="29"/>
      <c r="DR583" s="29"/>
      <c r="DS583" s="29"/>
      <c r="DT583" s="29"/>
      <c r="DU583" s="29"/>
      <c r="DV583" s="29"/>
      <c r="DW583" s="29"/>
      <c r="DX583" s="29"/>
      <c r="DY583" s="29"/>
      <c r="DZ583" s="29"/>
      <c r="EA583" s="29"/>
      <c r="EB583" s="29"/>
      <c r="EC583" s="29"/>
      <c r="ED583" s="29"/>
      <c r="EE583" s="29"/>
      <c r="EF583" s="29"/>
      <c r="EG583" s="29"/>
      <c r="EH583" s="29"/>
      <c r="EI583" s="29"/>
      <c r="EJ583" s="29"/>
      <c r="EK583" s="29"/>
      <c r="EL583" s="29"/>
      <c r="EM583" s="29"/>
      <c r="EN583" s="29"/>
      <c r="EO583" s="29"/>
      <c r="EP583" s="29"/>
      <c r="EQ583" s="29"/>
      <c r="ER583" s="29"/>
      <c r="ES583" s="29"/>
      <c r="ET583" s="29"/>
      <c r="EU583" s="29"/>
      <c r="EV583" s="29"/>
      <c r="EW583" s="29"/>
      <c r="EX583" s="29"/>
      <c r="EY583" s="29"/>
      <c r="EZ583" s="29"/>
      <c r="FA583" s="29"/>
      <c r="FB583" s="29"/>
      <c r="FC583" s="29"/>
      <c r="FD583" s="29"/>
      <c r="FE583" s="29"/>
      <c r="FF583" s="29"/>
      <c r="FG583" s="29"/>
      <c r="FH583" s="29"/>
      <c r="FI583" s="29"/>
      <c r="FJ583" s="29"/>
      <c r="FK583" s="29"/>
      <c r="FL583" s="29"/>
      <c r="FM583" s="29"/>
      <c r="FN583" s="29"/>
      <c r="FO583" s="29"/>
      <c r="FP583" s="29"/>
      <c r="FQ583" s="29"/>
      <c r="FR583" s="29"/>
      <c r="FS583" s="29"/>
      <c r="FT583" s="29"/>
      <c r="FU583" s="29"/>
      <c r="FV583" s="29"/>
      <c r="FW583" s="29"/>
      <c r="FX583" s="29"/>
      <c r="FY583" s="29"/>
      <c r="FZ583" s="29"/>
      <c r="GA583" s="29"/>
      <c r="GB583" s="29"/>
      <c r="GC583" s="29"/>
      <c r="GD583" s="29"/>
      <c r="GE583" s="29"/>
      <c r="GF583" s="29"/>
      <c r="GG583" s="29"/>
      <c r="GH583" s="29"/>
      <c r="GI583" s="29"/>
      <c r="GJ583" s="29"/>
      <c r="GK583" s="29"/>
      <c r="GL583" s="29"/>
      <c r="GM583" s="29"/>
      <c r="GN583" s="29"/>
      <c r="GO583" s="29"/>
      <c r="GP583" s="29"/>
      <c r="GQ583" s="29"/>
      <c r="GR583" s="29"/>
      <c r="GS583" s="29"/>
      <c r="GT583" s="29"/>
      <c r="GU583" s="29"/>
      <c r="HP583" s="31"/>
      <c r="MX583" s="29"/>
      <c r="MY583" s="29"/>
    </row>
    <row r="584" ht="16.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c r="AY584" s="29"/>
      <c r="AZ584" s="29"/>
      <c r="BA584" s="29"/>
      <c r="BB584" s="29"/>
      <c r="BC584" s="29"/>
      <c r="BD584" s="29"/>
      <c r="BE584" s="29"/>
      <c r="BF584" s="29"/>
      <c r="BG584" s="29"/>
      <c r="BH584" s="29"/>
      <c r="BI584" s="29"/>
      <c r="BJ584" s="29"/>
      <c r="BK584" s="29"/>
      <c r="BL584" s="29"/>
      <c r="BM584" s="29"/>
      <c r="BN584" s="29"/>
      <c r="BO584" s="29"/>
      <c r="BP584" s="29"/>
      <c r="BQ584" s="29"/>
      <c r="BR584" s="29"/>
      <c r="BS584" s="29"/>
      <c r="BT584" s="29"/>
      <c r="BU584" s="29"/>
      <c r="BV584" s="29"/>
      <c r="BW584" s="29"/>
      <c r="BX584" s="29"/>
      <c r="BY584" s="29"/>
      <c r="BZ584" s="29"/>
      <c r="CA584" s="29"/>
      <c r="CB584" s="29"/>
      <c r="CC584" s="29"/>
      <c r="CD584" s="29"/>
      <c r="CE584" s="29"/>
      <c r="CF584" s="29"/>
      <c r="CG584" s="29"/>
      <c r="CH584" s="29"/>
      <c r="CI584" s="29"/>
      <c r="CJ584" s="29"/>
      <c r="CK584" s="29"/>
      <c r="CL584" s="29"/>
      <c r="CM584" s="29"/>
      <c r="CN584" s="29"/>
      <c r="CO584" s="29"/>
      <c r="CP584" s="29"/>
      <c r="CQ584" s="29"/>
      <c r="CR584" s="29"/>
      <c r="CS584" s="29"/>
      <c r="CT584" s="29"/>
      <c r="CU584" s="29"/>
      <c r="CV584" s="29"/>
      <c r="CW584" s="29"/>
      <c r="CX584" s="29"/>
      <c r="CY584" s="29"/>
      <c r="CZ584" s="29"/>
      <c r="DA584" s="29"/>
      <c r="DB584" s="29"/>
      <c r="DC584" s="29"/>
      <c r="DD584" s="29"/>
      <c r="DE584" s="29"/>
      <c r="DF584" s="29"/>
      <c r="DG584" s="29"/>
      <c r="DH584" s="29"/>
      <c r="DI584" s="29"/>
      <c r="DJ584" s="29"/>
      <c r="DK584" s="29"/>
      <c r="DL584" s="29"/>
      <c r="DM584" s="29"/>
      <c r="DN584" s="29"/>
      <c r="DO584" s="29"/>
      <c r="DP584" s="29"/>
      <c r="DQ584" s="29"/>
      <c r="DR584" s="29"/>
      <c r="DS584" s="29"/>
      <c r="DT584" s="29"/>
      <c r="DU584" s="29"/>
      <c r="DV584" s="29"/>
      <c r="DW584" s="29"/>
      <c r="DX584" s="29"/>
      <c r="DY584" s="29"/>
      <c r="DZ584" s="29"/>
      <c r="EA584" s="29"/>
      <c r="EB584" s="29"/>
      <c r="EC584" s="29"/>
      <c r="ED584" s="29"/>
      <c r="EE584" s="29"/>
      <c r="EF584" s="29"/>
      <c r="EG584" s="29"/>
      <c r="EH584" s="29"/>
      <c r="EI584" s="29"/>
      <c r="EJ584" s="29"/>
      <c r="EK584" s="29"/>
      <c r="EL584" s="29"/>
      <c r="EM584" s="29"/>
      <c r="EN584" s="29"/>
      <c r="EO584" s="29"/>
      <c r="EP584" s="29"/>
      <c r="EQ584" s="29"/>
      <c r="ER584" s="29"/>
      <c r="ES584" s="29"/>
      <c r="ET584" s="29"/>
      <c r="EU584" s="29"/>
      <c r="EV584" s="29"/>
      <c r="EW584" s="29"/>
      <c r="EX584" s="29"/>
      <c r="EY584" s="29"/>
      <c r="EZ584" s="29"/>
      <c r="FA584" s="29"/>
      <c r="FB584" s="29"/>
      <c r="FC584" s="29"/>
      <c r="FD584" s="29"/>
      <c r="FE584" s="29"/>
      <c r="FF584" s="29"/>
      <c r="FG584" s="29"/>
      <c r="FH584" s="29"/>
      <c r="FI584" s="29"/>
      <c r="FJ584" s="29"/>
      <c r="FK584" s="29"/>
      <c r="FL584" s="29"/>
      <c r="FM584" s="29"/>
      <c r="FN584" s="29"/>
      <c r="FO584" s="29"/>
      <c r="FP584" s="29"/>
      <c r="FQ584" s="29"/>
      <c r="FR584" s="29"/>
      <c r="FS584" s="29"/>
      <c r="FT584" s="29"/>
      <c r="FU584" s="29"/>
      <c r="FV584" s="29"/>
      <c r="FW584" s="29"/>
      <c r="FX584" s="29"/>
      <c r="FY584" s="29"/>
      <c r="FZ584" s="29"/>
      <c r="GA584" s="29"/>
      <c r="GB584" s="29"/>
      <c r="GC584" s="29"/>
      <c r="GD584" s="29"/>
      <c r="GE584" s="29"/>
      <c r="GF584" s="29"/>
      <c r="GG584" s="29"/>
      <c r="GH584" s="29"/>
      <c r="GI584" s="29"/>
      <c r="GJ584" s="29"/>
      <c r="GK584" s="29"/>
      <c r="GL584" s="29"/>
      <c r="GM584" s="29"/>
      <c r="GN584" s="29"/>
      <c r="GO584" s="29"/>
      <c r="GP584" s="29"/>
      <c r="GQ584" s="29"/>
      <c r="GR584" s="29"/>
      <c r="GS584" s="29"/>
      <c r="GT584" s="29"/>
      <c r="GU584" s="29"/>
      <c r="HP584" s="31"/>
      <c r="MX584" s="29"/>
      <c r="MY584" s="29"/>
    </row>
    <row r="585" ht="16.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c r="BO585" s="29"/>
      <c r="BP585" s="29"/>
      <c r="BQ585" s="29"/>
      <c r="BR585" s="29"/>
      <c r="BS585" s="29"/>
      <c r="BT585" s="29"/>
      <c r="BU585" s="29"/>
      <c r="BV585" s="29"/>
      <c r="BW585" s="29"/>
      <c r="BX585" s="29"/>
      <c r="BY585" s="29"/>
      <c r="BZ585" s="29"/>
      <c r="CA585" s="29"/>
      <c r="CB585" s="29"/>
      <c r="CC585" s="29"/>
      <c r="CD585" s="29"/>
      <c r="CE585" s="29"/>
      <c r="CF585" s="29"/>
      <c r="CG585" s="29"/>
      <c r="CH585" s="29"/>
      <c r="CI585" s="29"/>
      <c r="CJ585" s="29"/>
      <c r="CK585" s="29"/>
      <c r="CL585" s="29"/>
      <c r="CM585" s="29"/>
      <c r="CN585" s="29"/>
      <c r="CO585" s="29"/>
      <c r="CP585" s="29"/>
      <c r="CQ585" s="29"/>
      <c r="CR585" s="29"/>
      <c r="CS585" s="29"/>
      <c r="CT585" s="29"/>
      <c r="CU585" s="29"/>
      <c r="CV585" s="29"/>
      <c r="CW585" s="29"/>
      <c r="CX585" s="29"/>
      <c r="CY585" s="29"/>
      <c r="CZ585" s="29"/>
      <c r="DA585" s="29"/>
      <c r="DB585" s="29"/>
      <c r="DC585" s="29"/>
      <c r="DD585" s="29"/>
      <c r="DE585" s="29"/>
      <c r="DF585" s="29"/>
      <c r="DG585" s="29"/>
      <c r="DH585" s="29"/>
      <c r="DI585" s="29"/>
      <c r="DJ585" s="29"/>
      <c r="DK585" s="29"/>
      <c r="DL585" s="29"/>
      <c r="DM585" s="29"/>
      <c r="DN585" s="29"/>
      <c r="DO585" s="29"/>
      <c r="DP585" s="29"/>
      <c r="DQ585" s="29"/>
      <c r="DR585" s="29"/>
      <c r="DS585" s="29"/>
      <c r="DT585" s="29"/>
      <c r="DU585" s="29"/>
      <c r="DV585" s="29"/>
      <c r="DW585" s="29"/>
      <c r="DX585" s="29"/>
      <c r="DY585" s="29"/>
      <c r="DZ585" s="29"/>
      <c r="EA585" s="29"/>
      <c r="EB585" s="29"/>
      <c r="EC585" s="29"/>
      <c r="ED585" s="29"/>
      <c r="EE585" s="29"/>
      <c r="EF585" s="29"/>
      <c r="EG585" s="29"/>
      <c r="EH585" s="29"/>
      <c r="EI585" s="29"/>
      <c r="EJ585" s="29"/>
      <c r="EK585" s="29"/>
      <c r="EL585" s="29"/>
      <c r="EM585" s="29"/>
      <c r="EN585" s="29"/>
      <c r="EO585" s="29"/>
      <c r="EP585" s="29"/>
      <c r="EQ585" s="29"/>
      <c r="ER585" s="29"/>
      <c r="ES585" s="29"/>
      <c r="ET585" s="29"/>
      <c r="EU585" s="29"/>
      <c r="EV585" s="29"/>
      <c r="EW585" s="29"/>
      <c r="EX585" s="29"/>
      <c r="EY585" s="29"/>
      <c r="EZ585" s="29"/>
      <c r="FA585" s="29"/>
      <c r="FB585" s="29"/>
      <c r="FC585" s="29"/>
      <c r="FD585" s="29"/>
      <c r="FE585" s="29"/>
      <c r="FF585" s="29"/>
      <c r="FG585" s="29"/>
      <c r="FH585" s="29"/>
      <c r="FI585" s="29"/>
      <c r="FJ585" s="29"/>
      <c r="FK585" s="29"/>
      <c r="FL585" s="29"/>
      <c r="FM585" s="29"/>
      <c r="FN585" s="29"/>
      <c r="FO585" s="29"/>
      <c r="FP585" s="29"/>
      <c r="FQ585" s="29"/>
      <c r="FR585" s="29"/>
      <c r="FS585" s="29"/>
      <c r="FT585" s="29"/>
      <c r="FU585" s="29"/>
      <c r="FV585" s="29"/>
      <c r="FW585" s="29"/>
      <c r="FX585" s="29"/>
      <c r="FY585" s="29"/>
      <c r="FZ585" s="29"/>
      <c r="GA585" s="29"/>
      <c r="GB585" s="29"/>
      <c r="GC585" s="29"/>
      <c r="GD585" s="29"/>
      <c r="GE585" s="29"/>
      <c r="GF585" s="29"/>
      <c r="GG585" s="29"/>
      <c r="GH585" s="29"/>
      <c r="GI585" s="29"/>
      <c r="GJ585" s="29"/>
      <c r="GK585" s="29"/>
      <c r="GL585" s="29"/>
      <c r="GM585" s="29"/>
      <c r="GN585" s="29"/>
      <c r="GO585" s="29"/>
      <c r="GP585" s="29"/>
      <c r="GQ585" s="29"/>
      <c r="GR585" s="29"/>
      <c r="GS585" s="29"/>
      <c r="GT585" s="29"/>
      <c r="GU585" s="29"/>
      <c r="HP585" s="31"/>
      <c r="MX585" s="29"/>
      <c r="MY585" s="29"/>
    </row>
    <row r="586" ht="16.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29"/>
      <c r="AY586" s="29"/>
      <c r="AZ586" s="29"/>
      <c r="BA586" s="29"/>
      <c r="BB586" s="29"/>
      <c r="BC586" s="29"/>
      <c r="BD586" s="29"/>
      <c r="BE586" s="29"/>
      <c r="BF586" s="29"/>
      <c r="BG586" s="29"/>
      <c r="BH586" s="29"/>
      <c r="BI586" s="29"/>
      <c r="BJ586" s="29"/>
      <c r="BK586" s="29"/>
      <c r="BL586" s="29"/>
      <c r="BM586" s="29"/>
      <c r="BN586" s="29"/>
      <c r="BO586" s="29"/>
      <c r="BP586" s="29"/>
      <c r="BQ586" s="29"/>
      <c r="BR586" s="29"/>
      <c r="BS586" s="29"/>
      <c r="BT586" s="29"/>
      <c r="BU586" s="29"/>
      <c r="BV586" s="29"/>
      <c r="BW586" s="29"/>
      <c r="BX586" s="29"/>
      <c r="BY586" s="29"/>
      <c r="BZ586" s="29"/>
      <c r="CA586" s="29"/>
      <c r="CB586" s="29"/>
      <c r="CC586" s="29"/>
      <c r="CD586" s="29"/>
      <c r="CE586" s="29"/>
      <c r="CF586" s="29"/>
      <c r="CG586" s="29"/>
      <c r="CH586" s="29"/>
      <c r="CI586" s="29"/>
      <c r="CJ586" s="29"/>
      <c r="CK586" s="29"/>
      <c r="CL586" s="29"/>
      <c r="CM586" s="29"/>
      <c r="CN586" s="29"/>
      <c r="CO586" s="29"/>
      <c r="CP586" s="29"/>
      <c r="CQ586" s="29"/>
      <c r="CR586" s="29"/>
      <c r="CS586" s="29"/>
      <c r="CT586" s="29"/>
      <c r="CU586" s="29"/>
      <c r="CV586" s="29"/>
      <c r="CW586" s="29"/>
      <c r="CX586" s="29"/>
      <c r="CY586" s="29"/>
      <c r="CZ586" s="29"/>
      <c r="DA586" s="29"/>
      <c r="DB586" s="29"/>
      <c r="DC586" s="29"/>
      <c r="DD586" s="29"/>
      <c r="DE586" s="29"/>
      <c r="DF586" s="29"/>
      <c r="DG586" s="29"/>
      <c r="DH586" s="29"/>
      <c r="DI586" s="29"/>
      <c r="DJ586" s="29"/>
      <c r="DK586" s="29"/>
      <c r="DL586" s="29"/>
      <c r="DM586" s="29"/>
      <c r="DN586" s="29"/>
      <c r="DO586" s="29"/>
      <c r="DP586" s="29"/>
      <c r="DQ586" s="29"/>
      <c r="DR586" s="29"/>
      <c r="DS586" s="29"/>
      <c r="DT586" s="29"/>
      <c r="DU586" s="29"/>
      <c r="DV586" s="29"/>
      <c r="DW586" s="29"/>
      <c r="DX586" s="29"/>
      <c r="DY586" s="29"/>
      <c r="DZ586" s="29"/>
      <c r="EA586" s="29"/>
      <c r="EB586" s="29"/>
      <c r="EC586" s="29"/>
      <c r="ED586" s="29"/>
      <c r="EE586" s="29"/>
      <c r="EF586" s="29"/>
      <c r="EG586" s="29"/>
      <c r="EH586" s="29"/>
      <c r="EI586" s="29"/>
      <c r="EJ586" s="29"/>
      <c r="EK586" s="29"/>
      <c r="EL586" s="29"/>
      <c r="EM586" s="29"/>
      <c r="EN586" s="29"/>
      <c r="EO586" s="29"/>
      <c r="EP586" s="29"/>
      <c r="EQ586" s="29"/>
      <c r="ER586" s="29"/>
      <c r="ES586" s="29"/>
      <c r="ET586" s="29"/>
      <c r="EU586" s="29"/>
      <c r="EV586" s="29"/>
      <c r="EW586" s="29"/>
      <c r="EX586" s="29"/>
      <c r="EY586" s="29"/>
      <c r="EZ586" s="29"/>
      <c r="FA586" s="29"/>
      <c r="FB586" s="29"/>
      <c r="FC586" s="29"/>
      <c r="FD586" s="29"/>
      <c r="FE586" s="29"/>
      <c r="FF586" s="29"/>
      <c r="FG586" s="29"/>
      <c r="FH586" s="29"/>
      <c r="FI586" s="29"/>
      <c r="FJ586" s="29"/>
      <c r="FK586" s="29"/>
      <c r="FL586" s="29"/>
      <c r="FM586" s="29"/>
      <c r="FN586" s="29"/>
      <c r="FO586" s="29"/>
      <c r="FP586" s="29"/>
      <c r="FQ586" s="29"/>
      <c r="FR586" s="29"/>
      <c r="FS586" s="29"/>
      <c r="FT586" s="29"/>
      <c r="FU586" s="29"/>
      <c r="FV586" s="29"/>
      <c r="FW586" s="29"/>
      <c r="FX586" s="29"/>
      <c r="FY586" s="29"/>
      <c r="FZ586" s="29"/>
      <c r="GA586" s="29"/>
      <c r="GB586" s="29"/>
      <c r="GC586" s="29"/>
      <c r="GD586" s="29"/>
      <c r="GE586" s="29"/>
      <c r="GF586" s="29"/>
      <c r="GG586" s="29"/>
      <c r="GH586" s="29"/>
      <c r="GI586" s="29"/>
      <c r="GJ586" s="29"/>
      <c r="GK586" s="29"/>
      <c r="GL586" s="29"/>
      <c r="GM586" s="29"/>
      <c r="GN586" s="29"/>
      <c r="GO586" s="29"/>
      <c r="GP586" s="29"/>
      <c r="GQ586" s="29"/>
      <c r="GR586" s="29"/>
      <c r="GS586" s="29"/>
      <c r="GT586" s="29"/>
      <c r="GU586" s="29"/>
      <c r="HP586" s="31"/>
      <c r="MX586" s="29"/>
      <c r="MY586" s="29"/>
    </row>
    <row r="587" ht="16.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c r="BO587" s="29"/>
      <c r="BP587" s="29"/>
      <c r="BQ587" s="29"/>
      <c r="BR587" s="29"/>
      <c r="BS587" s="29"/>
      <c r="BT587" s="29"/>
      <c r="BU587" s="29"/>
      <c r="BV587" s="29"/>
      <c r="BW587" s="29"/>
      <c r="BX587" s="29"/>
      <c r="BY587" s="29"/>
      <c r="BZ587" s="29"/>
      <c r="CA587" s="29"/>
      <c r="CB587" s="29"/>
      <c r="CC587" s="29"/>
      <c r="CD587" s="29"/>
      <c r="CE587" s="29"/>
      <c r="CF587" s="29"/>
      <c r="CG587" s="29"/>
      <c r="CH587" s="29"/>
      <c r="CI587" s="29"/>
      <c r="CJ587" s="29"/>
      <c r="CK587" s="29"/>
      <c r="CL587" s="29"/>
      <c r="CM587" s="29"/>
      <c r="CN587" s="29"/>
      <c r="CO587" s="29"/>
      <c r="CP587" s="29"/>
      <c r="CQ587" s="29"/>
      <c r="CR587" s="29"/>
      <c r="CS587" s="29"/>
      <c r="CT587" s="29"/>
      <c r="CU587" s="29"/>
      <c r="CV587" s="29"/>
      <c r="CW587" s="29"/>
      <c r="CX587" s="29"/>
      <c r="CY587" s="29"/>
      <c r="CZ587" s="29"/>
      <c r="DA587" s="29"/>
      <c r="DB587" s="29"/>
      <c r="DC587" s="29"/>
      <c r="DD587" s="29"/>
      <c r="DE587" s="29"/>
      <c r="DF587" s="29"/>
      <c r="DG587" s="29"/>
      <c r="DH587" s="29"/>
      <c r="DI587" s="29"/>
      <c r="DJ587" s="29"/>
      <c r="DK587" s="29"/>
      <c r="DL587" s="29"/>
      <c r="DM587" s="29"/>
      <c r="DN587" s="29"/>
      <c r="DO587" s="29"/>
      <c r="DP587" s="29"/>
      <c r="DQ587" s="29"/>
      <c r="DR587" s="29"/>
      <c r="DS587" s="29"/>
      <c r="DT587" s="29"/>
      <c r="DU587" s="29"/>
      <c r="DV587" s="29"/>
      <c r="DW587" s="29"/>
      <c r="DX587" s="29"/>
      <c r="DY587" s="29"/>
      <c r="DZ587" s="29"/>
      <c r="EA587" s="29"/>
      <c r="EB587" s="29"/>
      <c r="EC587" s="29"/>
      <c r="ED587" s="29"/>
      <c r="EE587" s="29"/>
      <c r="EF587" s="29"/>
      <c r="EG587" s="29"/>
      <c r="EH587" s="29"/>
      <c r="EI587" s="29"/>
      <c r="EJ587" s="29"/>
      <c r="EK587" s="29"/>
      <c r="EL587" s="29"/>
      <c r="EM587" s="29"/>
      <c r="EN587" s="29"/>
      <c r="EO587" s="29"/>
      <c r="EP587" s="29"/>
      <c r="EQ587" s="29"/>
      <c r="ER587" s="29"/>
      <c r="ES587" s="29"/>
      <c r="ET587" s="29"/>
      <c r="EU587" s="29"/>
      <c r="EV587" s="29"/>
      <c r="EW587" s="29"/>
      <c r="EX587" s="29"/>
      <c r="EY587" s="29"/>
      <c r="EZ587" s="29"/>
      <c r="FA587" s="29"/>
      <c r="FB587" s="29"/>
      <c r="FC587" s="29"/>
      <c r="FD587" s="29"/>
      <c r="FE587" s="29"/>
      <c r="FF587" s="29"/>
      <c r="FG587" s="29"/>
      <c r="FH587" s="29"/>
      <c r="FI587" s="29"/>
      <c r="FJ587" s="29"/>
      <c r="FK587" s="29"/>
      <c r="FL587" s="29"/>
      <c r="FM587" s="29"/>
      <c r="FN587" s="29"/>
      <c r="FO587" s="29"/>
      <c r="FP587" s="29"/>
      <c r="FQ587" s="29"/>
      <c r="FR587" s="29"/>
      <c r="FS587" s="29"/>
      <c r="FT587" s="29"/>
      <c r="FU587" s="29"/>
      <c r="FV587" s="29"/>
      <c r="FW587" s="29"/>
      <c r="FX587" s="29"/>
      <c r="FY587" s="29"/>
      <c r="FZ587" s="29"/>
      <c r="GA587" s="29"/>
      <c r="GB587" s="29"/>
      <c r="GC587" s="29"/>
      <c r="GD587" s="29"/>
      <c r="GE587" s="29"/>
      <c r="GF587" s="29"/>
      <c r="GG587" s="29"/>
      <c r="GH587" s="29"/>
      <c r="GI587" s="29"/>
      <c r="GJ587" s="29"/>
      <c r="GK587" s="29"/>
      <c r="GL587" s="29"/>
      <c r="GM587" s="29"/>
      <c r="GN587" s="29"/>
      <c r="GO587" s="29"/>
      <c r="GP587" s="29"/>
      <c r="GQ587" s="29"/>
      <c r="GR587" s="29"/>
      <c r="GS587" s="29"/>
      <c r="GT587" s="29"/>
      <c r="GU587" s="29"/>
      <c r="HP587" s="31"/>
      <c r="MX587" s="29"/>
      <c r="MY587" s="29"/>
    </row>
    <row r="588" ht="16.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c r="AX588" s="29"/>
      <c r="AY588" s="29"/>
      <c r="AZ588" s="29"/>
      <c r="BA588" s="29"/>
      <c r="BB588" s="29"/>
      <c r="BC588" s="29"/>
      <c r="BD588" s="29"/>
      <c r="BE588" s="29"/>
      <c r="BF588" s="29"/>
      <c r="BG588" s="29"/>
      <c r="BH588" s="29"/>
      <c r="BI588" s="29"/>
      <c r="BJ588" s="29"/>
      <c r="BK588" s="29"/>
      <c r="BL588" s="29"/>
      <c r="BM588" s="29"/>
      <c r="BN588" s="29"/>
      <c r="BO588" s="29"/>
      <c r="BP588" s="29"/>
      <c r="BQ588" s="29"/>
      <c r="BR588" s="29"/>
      <c r="BS588" s="29"/>
      <c r="BT588" s="29"/>
      <c r="BU588" s="29"/>
      <c r="BV588" s="29"/>
      <c r="BW588" s="29"/>
      <c r="BX588" s="29"/>
      <c r="BY588" s="29"/>
      <c r="BZ588" s="29"/>
      <c r="CA588" s="29"/>
      <c r="CB588" s="29"/>
      <c r="CC588" s="29"/>
      <c r="CD588" s="29"/>
      <c r="CE588" s="29"/>
      <c r="CF588" s="29"/>
      <c r="CG588" s="29"/>
      <c r="CH588" s="29"/>
      <c r="CI588" s="29"/>
      <c r="CJ588" s="29"/>
      <c r="CK588" s="29"/>
      <c r="CL588" s="29"/>
      <c r="CM588" s="29"/>
      <c r="CN588" s="29"/>
      <c r="CO588" s="29"/>
      <c r="CP588" s="29"/>
      <c r="CQ588" s="29"/>
      <c r="CR588" s="29"/>
      <c r="CS588" s="29"/>
      <c r="CT588" s="29"/>
      <c r="CU588" s="29"/>
      <c r="CV588" s="29"/>
      <c r="CW588" s="29"/>
      <c r="CX588" s="29"/>
      <c r="CY588" s="29"/>
      <c r="CZ588" s="29"/>
      <c r="DA588" s="29"/>
      <c r="DB588" s="29"/>
      <c r="DC588" s="29"/>
      <c r="DD588" s="29"/>
      <c r="DE588" s="29"/>
      <c r="DF588" s="29"/>
      <c r="DG588" s="29"/>
      <c r="DH588" s="29"/>
      <c r="DI588" s="29"/>
      <c r="DJ588" s="29"/>
      <c r="DK588" s="29"/>
      <c r="DL588" s="29"/>
      <c r="DM588" s="29"/>
      <c r="DN588" s="29"/>
      <c r="DO588" s="29"/>
      <c r="DP588" s="29"/>
      <c r="DQ588" s="29"/>
      <c r="DR588" s="29"/>
      <c r="DS588" s="29"/>
      <c r="DT588" s="29"/>
      <c r="DU588" s="29"/>
      <c r="DV588" s="29"/>
      <c r="DW588" s="29"/>
      <c r="DX588" s="29"/>
      <c r="DY588" s="29"/>
      <c r="DZ588" s="29"/>
      <c r="EA588" s="29"/>
      <c r="EB588" s="29"/>
      <c r="EC588" s="29"/>
      <c r="ED588" s="29"/>
      <c r="EE588" s="29"/>
      <c r="EF588" s="29"/>
      <c r="EG588" s="29"/>
      <c r="EH588" s="29"/>
      <c r="EI588" s="29"/>
      <c r="EJ588" s="29"/>
      <c r="EK588" s="29"/>
      <c r="EL588" s="29"/>
      <c r="EM588" s="29"/>
      <c r="EN588" s="29"/>
      <c r="EO588" s="29"/>
      <c r="EP588" s="29"/>
      <c r="EQ588" s="29"/>
      <c r="ER588" s="29"/>
      <c r="ES588" s="29"/>
      <c r="ET588" s="29"/>
      <c r="EU588" s="29"/>
      <c r="EV588" s="29"/>
      <c r="EW588" s="29"/>
      <c r="EX588" s="29"/>
      <c r="EY588" s="29"/>
      <c r="EZ588" s="29"/>
      <c r="FA588" s="29"/>
      <c r="FB588" s="29"/>
      <c r="FC588" s="29"/>
      <c r="FD588" s="29"/>
      <c r="FE588" s="29"/>
      <c r="FF588" s="29"/>
      <c r="FG588" s="29"/>
      <c r="FH588" s="29"/>
      <c r="FI588" s="29"/>
      <c r="FJ588" s="29"/>
      <c r="FK588" s="29"/>
      <c r="FL588" s="29"/>
      <c r="FM588" s="29"/>
      <c r="FN588" s="29"/>
      <c r="FO588" s="29"/>
      <c r="FP588" s="29"/>
      <c r="FQ588" s="29"/>
      <c r="FR588" s="29"/>
      <c r="FS588" s="29"/>
      <c r="FT588" s="29"/>
      <c r="FU588" s="29"/>
      <c r="FV588" s="29"/>
      <c r="FW588" s="29"/>
      <c r="FX588" s="29"/>
      <c r="FY588" s="29"/>
      <c r="FZ588" s="29"/>
      <c r="GA588" s="29"/>
      <c r="GB588" s="29"/>
      <c r="GC588" s="29"/>
      <c r="GD588" s="29"/>
      <c r="GE588" s="29"/>
      <c r="GF588" s="29"/>
      <c r="GG588" s="29"/>
      <c r="GH588" s="29"/>
      <c r="GI588" s="29"/>
      <c r="GJ588" s="29"/>
      <c r="GK588" s="29"/>
      <c r="GL588" s="29"/>
      <c r="GM588" s="29"/>
      <c r="GN588" s="29"/>
      <c r="GO588" s="29"/>
      <c r="GP588" s="29"/>
      <c r="GQ588" s="29"/>
      <c r="GR588" s="29"/>
      <c r="GS588" s="29"/>
      <c r="GT588" s="29"/>
      <c r="GU588" s="29"/>
      <c r="HP588" s="31"/>
      <c r="MX588" s="29"/>
      <c r="MY588" s="29"/>
    </row>
    <row r="589" ht="16.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c r="BO589" s="29"/>
      <c r="BP589" s="29"/>
      <c r="BQ589" s="29"/>
      <c r="BR589" s="29"/>
      <c r="BS589" s="29"/>
      <c r="BT589" s="29"/>
      <c r="BU589" s="29"/>
      <c r="BV589" s="29"/>
      <c r="BW589" s="29"/>
      <c r="BX589" s="29"/>
      <c r="BY589" s="29"/>
      <c r="BZ589" s="29"/>
      <c r="CA589" s="29"/>
      <c r="CB589" s="29"/>
      <c r="CC589" s="29"/>
      <c r="CD589" s="29"/>
      <c r="CE589" s="29"/>
      <c r="CF589" s="29"/>
      <c r="CG589" s="29"/>
      <c r="CH589" s="29"/>
      <c r="CI589" s="29"/>
      <c r="CJ589" s="29"/>
      <c r="CK589" s="29"/>
      <c r="CL589" s="29"/>
      <c r="CM589" s="29"/>
      <c r="CN589" s="29"/>
      <c r="CO589" s="29"/>
      <c r="CP589" s="29"/>
      <c r="CQ589" s="29"/>
      <c r="CR589" s="29"/>
      <c r="CS589" s="29"/>
      <c r="CT589" s="29"/>
      <c r="CU589" s="29"/>
      <c r="CV589" s="29"/>
      <c r="CW589" s="29"/>
      <c r="CX589" s="29"/>
      <c r="CY589" s="29"/>
      <c r="CZ589" s="29"/>
      <c r="DA589" s="29"/>
      <c r="DB589" s="29"/>
      <c r="DC589" s="29"/>
      <c r="DD589" s="29"/>
      <c r="DE589" s="29"/>
      <c r="DF589" s="29"/>
      <c r="DG589" s="29"/>
      <c r="DH589" s="29"/>
      <c r="DI589" s="29"/>
      <c r="DJ589" s="29"/>
      <c r="DK589" s="29"/>
      <c r="DL589" s="29"/>
      <c r="DM589" s="29"/>
      <c r="DN589" s="29"/>
      <c r="DO589" s="29"/>
      <c r="DP589" s="29"/>
      <c r="DQ589" s="29"/>
      <c r="DR589" s="29"/>
      <c r="DS589" s="29"/>
      <c r="DT589" s="29"/>
      <c r="DU589" s="29"/>
      <c r="DV589" s="29"/>
      <c r="DW589" s="29"/>
      <c r="DX589" s="29"/>
      <c r="DY589" s="29"/>
      <c r="DZ589" s="29"/>
      <c r="EA589" s="29"/>
      <c r="EB589" s="29"/>
      <c r="EC589" s="29"/>
      <c r="ED589" s="29"/>
      <c r="EE589" s="29"/>
      <c r="EF589" s="29"/>
      <c r="EG589" s="29"/>
      <c r="EH589" s="29"/>
      <c r="EI589" s="29"/>
      <c r="EJ589" s="29"/>
      <c r="EK589" s="29"/>
      <c r="EL589" s="29"/>
      <c r="EM589" s="29"/>
      <c r="EN589" s="29"/>
      <c r="EO589" s="29"/>
      <c r="EP589" s="29"/>
      <c r="EQ589" s="29"/>
      <c r="ER589" s="29"/>
      <c r="ES589" s="29"/>
      <c r="ET589" s="29"/>
      <c r="EU589" s="29"/>
      <c r="EV589" s="29"/>
      <c r="EW589" s="29"/>
      <c r="EX589" s="29"/>
      <c r="EY589" s="29"/>
      <c r="EZ589" s="29"/>
      <c r="FA589" s="29"/>
      <c r="FB589" s="29"/>
      <c r="FC589" s="29"/>
      <c r="FD589" s="29"/>
      <c r="FE589" s="29"/>
      <c r="FF589" s="29"/>
      <c r="FG589" s="29"/>
      <c r="FH589" s="29"/>
      <c r="FI589" s="29"/>
      <c r="FJ589" s="29"/>
      <c r="FK589" s="29"/>
      <c r="FL589" s="29"/>
      <c r="FM589" s="29"/>
      <c r="FN589" s="29"/>
      <c r="FO589" s="29"/>
      <c r="FP589" s="29"/>
      <c r="FQ589" s="29"/>
      <c r="FR589" s="29"/>
      <c r="FS589" s="29"/>
      <c r="FT589" s="29"/>
      <c r="FU589" s="29"/>
      <c r="FV589" s="29"/>
      <c r="FW589" s="29"/>
      <c r="FX589" s="29"/>
      <c r="FY589" s="29"/>
      <c r="FZ589" s="29"/>
      <c r="GA589" s="29"/>
      <c r="GB589" s="29"/>
      <c r="GC589" s="29"/>
      <c r="GD589" s="29"/>
      <c r="GE589" s="29"/>
      <c r="GF589" s="29"/>
      <c r="GG589" s="29"/>
      <c r="GH589" s="29"/>
      <c r="GI589" s="29"/>
      <c r="GJ589" s="29"/>
      <c r="GK589" s="29"/>
      <c r="GL589" s="29"/>
      <c r="GM589" s="29"/>
      <c r="GN589" s="29"/>
      <c r="GO589" s="29"/>
      <c r="GP589" s="29"/>
      <c r="GQ589" s="29"/>
      <c r="GR589" s="29"/>
      <c r="GS589" s="29"/>
      <c r="GT589" s="29"/>
      <c r="GU589" s="29"/>
      <c r="HP589" s="31"/>
      <c r="MX589" s="29"/>
      <c r="MY589" s="29"/>
    </row>
    <row r="590" ht="16.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c r="AX590" s="29"/>
      <c r="AY590" s="29"/>
      <c r="AZ590" s="29"/>
      <c r="BA590" s="29"/>
      <c r="BB590" s="29"/>
      <c r="BC590" s="29"/>
      <c r="BD590" s="29"/>
      <c r="BE590" s="29"/>
      <c r="BF590" s="29"/>
      <c r="BG590" s="29"/>
      <c r="BH590" s="29"/>
      <c r="BI590" s="29"/>
      <c r="BJ590" s="29"/>
      <c r="BK590" s="29"/>
      <c r="BL590" s="29"/>
      <c r="BM590" s="29"/>
      <c r="BN590" s="29"/>
      <c r="BO590" s="29"/>
      <c r="BP590" s="29"/>
      <c r="BQ590" s="29"/>
      <c r="BR590" s="29"/>
      <c r="BS590" s="29"/>
      <c r="BT590" s="29"/>
      <c r="BU590" s="29"/>
      <c r="BV590" s="29"/>
      <c r="BW590" s="29"/>
      <c r="BX590" s="29"/>
      <c r="BY590" s="29"/>
      <c r="BZ590" s="29"/>
      <c r="CA590" s="29"/>
      <c r="CB590" s="29"/>
      <c r="CC590" s="29"/>
      <c r="CD590" s="29"/>
      <c r="CE590" s="29"/>
      <c r="CF590" s="29"/>
      <c r="CG590" s="29"/>
      <c r="CH590" s="29"/>
      <c r="CI590" s="29"/>
      <c r="CJ590" s="29"/>
      <c r="CK590" s="29"/>
      <c r="CL590" s="29"/>
      <c r="CM590" s="29"/>
      <c r="CN590" s="29"/>
      <c r="CO590" s="29"/>
      <c r="CP590" s="29"/>
      <c r="CQ590" s="29"/>
      <c r="CR590" s="29"/>
      <c r="CS590" s="29"/>
      <c r="CT590" s="29"/>
      <c r="CU590" s="29"/>
      <c r="CV590" s="29"/>
      <c r="CW590" s="29"/>
      <c r="CX590" s="29"/>
      <c r="CY590" s="29"/>
      <c r="CZ590" s="29"/>
      <c r="DA590" s="29"/>
      <c r="DB590" s="29"/>
      <c r="DC590" s="29"/>
      <c r="DD590" s="29"/>
      <c r="DE590" s="29"/>
      <c r="DF590" s="29"/>
      <c r="DG590" s="29"/>
      <c r="DH590" s="29"/>
      <c r="DI590" s="29"/>
      <c r="DJ590" s="29"/>
      <c r="DK590" s="29"/>
      <c r="DL590" s="29"/>
      <c r="DM590" s="29"/>
      <c r="DN590" s="29"/>
      <c r="DO590" s="29"/>
      <c r="DP590" s="29"/>
      <c r="DQ590" s="29"/>
      <c r="DR590" s="29"/>
      <c r="DS590" s="29"/>
      <c r="DT590" s="29"/>
      <c r="DU590" s="29"/>
      <c r="DV590" s="29"/>
      <c r="DW590" s="29"/>
      <c r="DX590" s="29"/>
      <c r="DY590" s="29"/>
      <c r="DZ590" s="29"/>
      <c r="EA590" s="29"/>
      <c r="EB590" s="29"/>
      <c r="EC590" s="29"/>
      <c r="ED590" s="29"/>
      <c r="EE590" s="29"/>
      <c r="EF590" s="29"/>
      <c r="EG590" s="29"/>
      <c r="EH590" s="29"/>
      <c r="EI590" s="29"/>
      <c r="EJ590" s="29"/>
      <c r="EK590" s="29"/>
      <c r="EL590" s="29"/>
      <c r="EM590" s="29"/>
      <c r="EN590" s="29"/>
      <c r="EO590" s="29"/>
      <c r="EP590" s="29"/>
      <c r="EQ590" s="29"/>
      <c r="ER590" s="29"/>
      <c r="ES590" s="29"/>
      <c r="ET590" s="29"/>
      <c r="EU590" s="29"/>
      <c r="EV590" s="29"/>
      <c r="EW590" s="29"/>
      <c r="EX590" s="29"/>
      <c r="EY590" s="29"/>
      <c r="EZ590" s="29"/>
      <c r="FA590" s="29"/>
      <c r="FB590" s="29"/>
      <c r="FC590" s="29"/>
      <c r="FD590" s="29"/>
      <c r="FE590" s="29"/>
      <c r="FF590" s="29"/>
      <c r="FG590" s="29"/>
      <c r="FH590" s="29"/>
      <c r="FI590" s="29"/>
      <c r="FJ590" s="29"/>
      <c r="FK590" s="29"/>
      <c r="FL590" s="29"/>
      <c r="FM590" s="29"/>
      <c r="FN590" s="29"/>
      <c r="FO590" s="29"/>
      <c r="FP590" s="29"/>
      <c r="FQ590" s="29"/>
      <c r="FR590" s="29"/>
      <c r="FS590" s="29"/>
      <c r="FT590" s="29"/>
      <c r="FU590" s="29"/>
      <c r="FV590" s="29"/>
      <c r="FW590" s="29"/>
      <c r="FX590" s="29"/>
      <c r="FY590" s="29"/>
      <c r="FZ590" s="29"/>
      <c r="GA590" s="29"/>
      <c r="GB590" s="29"/>
      <c r="GC590" s="29"/>
      <c r="GD590" s="29"/>
      <c r="GE590" s="29"/>
      <c r="GF590" s="29"/>
      <c r="GG590" s="29"/>
      <c r="GH590" s="29"/>
      <c r="GI590" s="29"/>
      <c r="GJ590" s="29"/>
      <c r="GK590" s="29"/>
      <c r="GL590" s="29"/>
      <c r="GM590" s="29"/>
      <c r="GN590" s="29"/>
      <c r="GO590" s="29"/>
      <c r="GP590" s="29"/>
      <c r="GQ590" s="29"/>
      <c r="GR590" s="29"/>
      <c r="GS590" s="29"/>
      <c r="GT590" s="29"/>
      <c r="GU590" s="29"/>
      <c r="HP590" s="31"/>
      <c r="MX590" s="29"/>
      <c r="MY590" s="29"/>
    </row>
    <row r="591" ht="16.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c r="BO591" s="29"/>
      <c r="BP591" s="29"/>
      <c r="BQ591" s="29"/>
      <c r="BR591" s="29"/>
      <c r="BS591" s="29"/>
      <c r="BT591" s="29"/>
      <c r="BU591" s="29"/>
      <c r="BV591" s="29"/>
      <c r="BW591" s="29"/>
      <c r="BX591" s="29"/>
      <c r="BY591" s="29"/>
      <c r="BZ591" s="29"/>
      <c r="CA591" s="29"/>
      <c r="CB591" s="29"/>
      <c r="CC591" s="29"/>
      <c r="CD591" s="29"/>
      <c r="CE591" s="29"/>
      <c r="CF591" s="29"/>
      <c r="CG591" s="29"/>
      <c r="CH591" s="29"/>
      <c r="CI591" s="29"/>
      <c r="CJ591" s="29"/>
      <c r="CK591" s="29"/>
      <c r="CL591" s="29"/>
      <c r="CM591" s="29"/>
      <c r="CN591" s="29"/>
      <c r="CO591" s="29"/>
      <c r="CP591" s="29"/>
      <c r="CQ591" s="29"/>
      <c r="CR591" s="29"/>
      <c r="CS591" s="29"/>
      <c r="CT591" s="29"/>
      <c r="CU591" s="29"/>
      <c r="CV591" s="29"/>
      <c r="CW591" s="29"/>
      <c r="CX591" s="29"/>
      <c r="CY591" s="29"/>
      <c r="CZ591" s="29"/>
      <c r="DA591" s="29"/>
      <c r="DB591" s="29"/>
      <c r="DC591" s="29"/>
      <c r="DD591" s="29"/>
      <c r="DE591" s="29"/>
      <c r="DF591" s="29"/>
      <c r="DG591" s="29"/>
      <c r="DH591" s="29"/>
      <c r="DI591" s="29"/>
      <c r="DJ591" s="29"/>
      <c r="DK591" s="29"/>
      <c r="DL591" s="29"/>
      <c r="DM591" s="29"/>
      <c r="DN591" s="29"/>
      <c r="DO591" s="29"/>
      <c r="DP591" s="29"/>
      <c r="DQ591" s="29"/>
      <c r="DR591" s="29"/>
      <c r="DS591" s="29"/>
      <c r="DT591" s="29"/>
      <c r="DU591" s="29"/>
      <c r="DV591" s="29"/>
      <c r="DW591" s="29"/>
      <c r="DX591" s="29"/>
      <c r="DY591" s="29"/>
      <c r="DZ591" s="29"/>
      <c r="EA591" s="29"/>
      <c r="EB591" s="29"/>
      <c r="EC591" s="29"/>
      <c r="ED591" s="29"/>
      <c r="EE591" s="29"/>
      <c r="EF591" s="29"/>
      <c r="EG591" s="29"/>
      <c r="EH591" s="29"/>
      <c r="EI591" s="29"/>
      <c r="EJ591" s="29"/>
      <c r="EK591" s="29"/>
      <c r="EL591" s="29"/>
      <c r="EM591" s="29"/>
      <c r="EN591" s="29"/>
      <c r="EO591" s="29"/>
      <c r="EP591" s="29"/>
      <c r="EQ591" s="29"/>
      <c r="ER591" s="29"/>
      <c r="ES591" s="29"/>
      <c r="ET591" s="29"/>
      <c r="EU591" s="29"/>
      <c r="EV591" s="29"/>
      <c r="EW591" s="29"/>
      <c r="EX591" s="29"/>
      <c r="EY591" s="29"/>
      <c r="EZ591" s="29"/>
      <c r="FA591" s="29"/>
      <c r="FB591" s="29"/>
      <c r="FC591" s="29"/>
      <c r="FD591" s="29"/>
      <c r="FE591" s="29"/>
      <c r="FF591" s="29"/>
      <c r="FG591" s="29"/>
      <c r="FH591" s="29"/>
      <c r="FI591" s="29"/>
      <c r="FJ591" s="29"/>
      <c r="FK591" s="29"/>
      <c r="FL591" s="29"/>
      <c r="FM591" s="29"/>
      <c r="FN591" s="29"/>
      <c r="FO591" s="29"/>
      <c r="FP591" s="29"/>
      <c r="FQ591" s="29"/>
      <c r="FR591" s="29"/>
      <c r="FS591" s="29"/>
      <c r="FT591" s="29"/>
      <c r="FU591" s="29"/>
      <c r="FV591" s="29"/>
      <c r="FW591" s="29"/>
      <c r="FX591" s="29"/>
      <c r="FY591" s="29"/>
      <c r="FZ591" s="29"/>
      <c r="GA591" s="29"/>
      <c r="GB591" s="29"/>
      <c r="GC591" s="29"/>
      <c r="GD591" s="29"/>
      <c r="GE591" s="29"/>
      <c r="GF591" s="29"/>
      <c r="GG591" s="29"/>
      <c r="GH591" s="29"/>
      <c r="GI591" s="29"/>
      <c r="GJ591" s="29"/>
      <c r="GK591" s="29"/>
      <c r="GL591" s="29"/>
      <c r="GM591" s="29"/>
      <c r="GN591" s="29"/>
      <c r="GO591" s="29"/>
      <c r="GP591" s="29"/>
      <c r="GQ591" s="29"/>
      <c r="GR591" s="29"/>
      <c r="GS591" s="29"/>
      <c r="GT591" s="29"/>
      <c r="GU591" s="29"/>
      <c r="HP591" s="31"/>
      <c r="MX591" s="29"/>
      <c r="MY591" s="29"/>
    </row>
    <row r="592" ht="16.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c r="AX592" s="29"/>
      <c r="AY592" s="29"/>
      <c r="AZ592" s="29"/>
      <c r="BA592" s="29"/>
      <c r="BB592" s="29"/>
      <c r="BC592" s="29"/>
      <c r="BD592" s="29"/>
      <c r="BE592" s="29"/>
      <c r="BF592" s="29"/>
      <c r="BG592" s="29"/>
      <c r="BH592" s="29"/>
      <c r="BI592" s="29"/>
      <c r="BJ592" s="29"/>
      <c r="BK592" s="29"/>
      <c r="BL592" s="29"/>
      <c r="BM592" s="29"/>
      <c r="BN592" s="29"/>
      <c r="BO592" s="29"/>
      <c r="BP592" s="29"/>
      <c r="BQ592" s="29"/>
      <c r="BR592" s="29"/>
      <c r="BS592" s="29"/>
      <c r="BT592" s="29"/>
      <c r="BU592" s="29"/>
      <c r="BV592" s="29"/>
      <c r="BW592" s="29"/>
      <c r="BX592" s="29"/>
      <c r="BY592" s="29"/>
      <c r="BZ592" s="29"/>
      <c r="CA592" s="29"/>
      <c r="CB592" s="29"/>
      <c r="CC592" s="29"/>
      <c r="CD592" s="29"/>
      <c r="CE592" s="29"/>
      <c r="CF592" s="29"/>
      <c r="CG592" s="29"/>
      <c r="CH592" s="29"/>
      <c r="CI592" s="29"/>
      <c r="CJ592" s="29"/>
      <c r="CK592" s="29"/>
      <c r="CL592" s="29"/>
      <c r="CM592" s="29"/>
      <c r="CN592" s="29"/>
      <c r="CO592" s="29"/>
      <c r="CP592" s="29"/>
      <c r="CQ592" s="29"/>
      <c r="CR592" s="29"/>
      <c r="CS592" s="29"/>
      <c r="CT592" s="29"/>
      <c r="CU592" s="29"/>
      <c r="CV592" s="29"/>
      <c r="CW592" s="29"/>
      <c r="CX592" s="29"/>
      <c r="CY592" s="29"/>
      <c r="CZ592" s="29"/>
      <c r="DA592" s="29"/>
      <c r="DB592" s="29"/>
      <c r="DC592" s="29"/>
      <c r="DD592" s="29"/>
      <c r="DE592" s="29"/>
      <c r="DF592" s="29"/>
      <c r="DG592" s="29"/>
      <c r="DH592" s="29"/>
      <c r="DI592" s="29"/>
      <c r="DJ592" s="29"/>
      <c r="DK592" s="29"/>
      <c r="DL592" s="29"/>
      <c r="DM592" s="29"/>
      <c r="DN592" s="29"/>
      <c r="DO592" s="29"/>
      <c r="DP592" s="29"/>
      <c r="DQ592" s="29"/>
      <c r="DR592" s="29"/>
      <c r="DS592" s="29"/>
      <c r="DT592" s="29"/>
      <c r="DU592" s="29"/>
      <c r="DV592" s="29"/>
      <c r="DW592" s="29"/>
      <c r="DX592" s="29"/>
      <c r="DY592" s="29"/>
      <c r="DZ592" s="29"/>
      <c r="EA592" s="29"/>
      <c r="EB592" s="29"/>
      <c r="EC592" s="29"/>
      <c r="ED592" s="29"/>
      <c r="EE592" s="29"/>
      <c r="EF592" s="29"/>
      <c r="EG592" s="29"/>
      <c r="EH592" s="29"/>
      <c r="EI592" s="29"/>
      <c r="EJ592" s="29"/>
      <c r="EK592" s="29"/>
      <c r="EL592" s="29"/>
      <c r="EM592" s="29"/>
      <c r="EN592" s="29"/>
      <c r="EO592" s="29"/>
      <c r="EP592" s="29"/>
      <c r="EQ592" s="29"/>
      <c r="ER592" s="29"/>
      <c r="ES592" s="29"/>
      <c r="ET592" s="29"/>
      <c r="EU592" s="29"/>
      <c r="EV592" s="29"/>
      <c r="EW592" s="29"/>
      <c r="EX592" s="29"/>
      <c r="EY592" s="29"/>
      <c r="EZ592" s="29"/>
      <c r="FA592" s="29"/>
      <c r="FB592" s="29"/>
      <c r="FC592" s="29"/>
      <c r="FD592" s="29"/>
      <c r="FE592" s="29"/>
      <c r="FF592" s="29"/>
      <c r="FG592" s="29"/>
      <c r="FH592" s="29"/>
      <c r="FI592" s="29"/>
      <c r="FJ592" s="29"/>
      <c r="FK592" s="29"/>
      <c r="FL592" s="29"/>
      <c r="FM592" s="29"/>
      <c r="FN592" s="29"/>
      <c r="FO592" s="29"/>
      <c r="FP592" s="29"/>
      <c r="FQ592" s="29"/>
      <c r="FR592" s="29"/>
      <c r="FS592" s="29"/>
      <c r="FT592" s="29"/>
      <c r="FU592" s="29"/>
      <c r="FV592" s="29"/>
      <c r="FW592" s="29"/>
      <c r="FX592" s="29"/>
      <c r="FY592" s="29"/>
      <c r="FZ592" s="29"/>
      <c r="GA592" s="29"/>
      <c r="GB592" s="29"/>
      <c r="GC592" s="29"/>
      <c r="GD592" s="29"/>
      <c r="GE592" s="29"/>
      <c r="GF592" s="29"/>
      <c r="GG592" s="29"/>
      <c r="GH592" s="29"/>
      <c r="GI592" s="29"/>
      <c r="GJ592" s="29"/>
      <c r="GK592" s="29"/>
      <c r="GL592" s="29"/>
      <c r="GM592" s="29"/>
      <c r="GN592" s="29"/>
      <c r="GO592" s="29"/>
      <c r="GP592" s="29"/>
      <c r="GQ592" s="29"/>
      <c r="GR592" s="29"/>
      <c r="GS592" s="29"/>
      <c r="GT592" s="29"/>
      <c r="GU592" s="29"/>
      <c r="HP592" s="31"/>
      <c r="MX592" s="29"/>
      <c r="MY592" s="29"/>
    </row>
    <row r="593" ht="16.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c r="BO593" s="29"/>
      <c r="BP593" s="29"/>
      <c r="BQ593" s="29"/>
      <c r="BR593" s="29"/>
      <c r="BS593" s="29"/>
      <c r="BT593" s="29"/>
      <c r="BU593" s="29"/>
      <c r="BV593" s="29"/>
      <c r="BW593" s="29"/>
      <c r="BX593" s="29"/>
      <c r="BY593" s="29"/>
      <c r="BZ593" s="29"/>
      <c r="CA593" s="29"/>
      <c r="CB593" s="29"/>
      <c r="CC593" s="29"/>
      <c r="CD593" s="29"/>
      <c r="CE593" s="29"/>
      <c r="CF593" s="29"/>
      <c r="CG593" s="29"/>
      <c r="CH593" s="29"/>
      <c r="CI593" s="29"/>
      <c r="CJ593" s="29"/>
      <c r="CK593" s="29"/>
      <c r="CL593" s="29"/>
      <c r="CM593" s="29"/>
      <c r="CN593" s="29"/>
      <c r="CO593" s="29"/>
      <c r="CP593" s="29"/>
      <c r="CQ593" s="29"/>
      <c r="CR593" s="29"/>
      <c r="CS593" s="29"/>
      <c r="CT593" s="29"/>
      <c r="CU593" s="29"/>
      <c r="CV593" s="29"/>
      <c r="CW593" s="29"/>
      <c r="CX593" s="29"/>
      <c r="CY593" s="29"/>
      <c r="CZ593" s="29"/>
      <c r="DA593" s="29"/>
      <c r="DB593" s="29"/>
      <c r="DC593" s="29"/>
      <c r="DD593" s="29"/>
      <c r="DE593" s="29"/>
      <c r="DF593" s="29"/>
      <c r="DG593" s="29"/>
      <c r="DH593" s="29"/>
      <c r="DI593" s="29"/>
      <c r="DJ593" s="29"/>
      <c r="DK593" s="29"/>
      <c r="DL593" s="29"/>
      <c r="DM593" s="29"/>
      <c r="DN593" s="29"/>
      <c r="DO593" s="29"/>
      <c r="DP593" s="29"/>
      <c r="DQ593" s="29"/>
      <c r="DR593" s="29"/>
      <c r="DS593" s="29"/>
      <c r="DT593" s="29"/>
      <c r="DU593" s="29"/>
      <c r="DV593" s="29"/>
      <c r="DW593" s="29"/>
      <c r="DX593" s="29"/>
      <c r="DY593" s="29"/>
      <c r="DZ593" s="29"/>
      <c r="EA593" s="29"/>
      <c r="EB593" s="29"/>
      <c r="EC593" s="29"/>
      <c r="ED593" s="29"/>
      <c r="EE593" s="29"/>
      <c r="EF593" s="29"/>
      <c r="EG593" s="29"/>
      <c r="EH593" s="29"/>
      <c r="EI593" s="29"/>
      <c r="EJ593" s="29"/>
      <c r="EK593" s="29"/>
      <c r="EL593" s="29"/>
      <c r="EM593" s="29"/>
      <c r="EN593" s="29"/>
      <c r="EO593" s="29"/>
      <c r="EP593" s="29"/>
      <c r="EQ593" s="29"/>
      <c r="ER593" s="29"/>
      <c r="ES593" s="29"/>
      <c r="ET593" s="29"/>
      <c r="EU593" s="29"/>
      <c r="EV593" s="29"/>
      <c r="EW593" s="29"/>
      <c r="EX593" s="29"/>
      <c r="EY593" s="29"/>
      <c r="EZ593" s="29"/>
      <c r="FA593" s="29"/>
      <c r="FB593" s="29"/>
      <c r="FC593" s="29"/>
      <c r="FD593" s="29"/>
      <c r="FE593" s="29"/>
      <c r="FF593" s="29"/>
      <c r="FG593" s="29"/>
      <c r="FH593" s="29"/>
      <c r="FI593" s="29"/>
      <c r="FJ593" s="29"/>
      <c r="FK593" s="29"/>
      <c r="FL593" s="29"/>
      <c r="FM593" s="29"/>
      <c r="FN593" s="29"/>
      <c r="FO593" s="29"/>
      <c r="FP593" s="29"/>
      <c r="FQ593" s="29"/>
      <c r="FR593" s="29"/>
      <c r="FS593" s="29"/>
      <c r="FT593" s="29"/>
      <c r="FU593" s="29"/>
      <c r="FV593" s="29"/>
      <c r="FW593" s="29"/>
      <c r="FX593" s="29"/>
      <c r="FY593" s="29"/>
      <c r="FZ593" s="29"/>
      <c r="GA593" s="29"/>
      <c r="GB593" s="29"/>
      <c r="GC593" s="29"/>
      <c r="GD593" s="29"/>
      <c r="GE593" s="29"/>
      <c r="GF593" s="29"/>
      <c r="GG593" s="29"/>
      <c r="GH593" s="29"/>
      <c r="GI593" s="29"/>
      <c r="GJ593" s="29"/>
      <c r="GK593" s="29"/>
      <c r="GL593" s="29"/>
      <c r="GM593" s="29"/>
      <c r="GN593" s="29"/>
      <c r="GO593" s="29"/>
      <c r="GP593" s="29"/>
      <c r="GQ593" s="29"/>
      <c r="GR593" s="29"/>
      <c r="GS593" s="29"/>
      <c r="GT593" s="29"/>
      <c r="GU593" s="29"/>
      <c r="HP593" s="31"/>
      <c r="MX593" s="29"/>
      <c r="MY593" s="29"/>
    </row>
    <row r="594" ht="16.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29"/>
      <c r="AW594" s="29"/>
      <c r="AX594" s="29"/>
      <c r="AY594" s="29"/>
      <c r="AZ594" s="29"/>
      <c r="BA594" s="29"/>
      <c r="BB594" s="29"/>
      <c r="BC594" s="29"/>
      <c r="BD594" s="29"/>
      <c r="BE594" s="29"/>
      <c r="BF594" s="29"/>
      <c r="BG594" s="29"/>
      <c r="BH594" s="29"/>
      <c r="BI594" s="29"/>
      <c r="BJ594" s="29"/>
      <c r="BK594" s="29"/>
      <c r="BL594" s="29"/>
      <c r="BM594" s="29"/>
      <c r="BN594" s="29"/>
      <c r="BO594" s="29"/>
      <c r="BP594" s="29"/>
      <c r="BQ594" s="29"/>
      <c r="BR594" s="29"/>
      <c r="BS594" s="29"/>
      <c r="BT594" s="29"/>
      <c r="BU594" s="29"/>
      <c r="BV594" s="29"/>
      <c r="BW594" s="29"/>
      <c r="BX594" s="29"/>
      <c r="BY594" s="29"/>
      <c r="BZ594" s="29"/>
      <c r="CA594" s="29"/>
      <c r="CB594" s="29"/>
      <c r="CC594" s="29"/>
      <c r="CD594" s="29"/>
      <c r="CE594" s="29"/>
      <c r="CF594" s="29"/>
      <c r="CG594" s="29"/>
      <c r="CH594" s="29"/>
      <c r="CI594" s="29"/>
      <c r="CJ594" s="29"/>
      <c r="CK594" s="29"/>
      <c r="CL594" s="29"/>
      <c r="CM594" s="29"/>
      <c r="CN594" s="29"/>
      <c r="CO594" s="29"/>
      <c r="CP594" s="29"/>
      <c r="CQ594" s="29"/>
      <c r="CR594" s="29"/>
      <c r="CS594" s="29"/>
      <c r="CT594" s="29"/>
      <c r="CU594" s="29"/>
      <c r="CV594" s="29"/>
      <c r="CW594" s="29"/>
      <c r="CX594" s="29"/>
      <c r="CY594" s="29"/>
      <c r="CZ594" s="29"/>
      <c r="DA594" s="29"/>
      <c r="DB594" s="29"/>
      <c r="DC594" s="29"/>
      <c r="DD594" s="29"/>
      <c r="DE594" s="29"/>
      <c r="DF594" s="29"/>
      <c r="DG594" s="29"/>
      <c r="DH594" s="29"/>
      <c r="DI594" s="29"/>
      <c r="DJ594" s="29"/>
      <c r="DK594" s="29"/>
      <c r="DL594" s="29"/>
      <c r="DM594" s="29"/>
      <c r="DN594" s="29"/>
      <c r="DO594" s="29"/>
      <c r="DP594" s="29"/>
      <c r="DQ594" s="29"/>
      <c r="DR594" s="29"/>
      <c r="DS594" s="29"/>
      <c r="DT594" s="29"/>
      <c r="DU594" s="29"/>
      <c r="DV594" s="29"/>
      <c r="DW594" s="29"/>
      <c r="DX594" s="29"/>
      <c r="DY594" s="29"/>
      <c r="DZ594" s="29"/>
      <c r="EA594" s="29"/>
      <c r="EB594" s="29"/>
      <c r="EC594" s="29"/>
      <c r="ED594" s="29"/>
      <c r="EE594" s="29"/>
      <c r="EF594" s="29"/>
      <c r="EG594" s="29"/>
      <c r="EH594" s="29"/>
      <c r="EI594" s="29"/>
      <c r="EJ594" s="29"/>
      <c r="EK594" s="29"/>
      <c r="EL594" s="29"/>
      <c r="EM594" s="29"/>
      <c r="EN594" s="29"/>
      <c r="EO594" s="29"/>
      <c r="EP594" s="29"/>
      <c r="EQ594" s="29"/>
      <c r="ER594" s="29"/>
      <c r="ES594" s="29"/>
      <c r="ET594" s="29"/>
      <c r="EU594" s="29"/>
      <c r="EV594" s="29"/>
      <c r="EW594" s="29"/>
      <c r="EX594" s="29"/>
      <c r="EY594" s="29"/>
      <c r="EZ594" s="29"/>
      <c r="FA594" s="29"/>
      <c r="FB594" s="29"/>
      <c r="FC594" s="29"/>
      <c r="FD594" s="29"/>
      <c r="FE594" s="29"/>
      <c r="FF594" s="29"/>
      <c r="FG594" s="29"/>
      <c r="FH594" s="29"/>
      <c r="FI594" s="29"/>
      <c r="FJ594" s="29"/>
      <c r="FK594" s="29"/>
      <c r="FL594" s="29"/>
      <c r="FM594" s="29"/>
      <c r="FN594" s="29"/>
      <c r="FO594" s="29"/>
      <c r="FP594" s="29"/>
      <c r="FQ594" s="29"/>
      <c r="FR594" s="29"/>
      <c r="FS594" s="29"/>
      <c r="FT594" s="29"/>
      <c r="FU594" s="29"/>
      <c r="FV594" s="29"/>
      <c r="FW594" s="29"/>
      <c r="FX594" s="29"/>
      <c r="FY594" s="29"/>
      <c r="FZ594" s="29"/>
      <c r="GA594" s="29"/>
      <c r="GB594" s="29"/>
      <c r="GC594" s="29"/>
      <c r="GD594" s="29"/>
      <c r="GE594" s="29"/>
      <c r="GF594" s="29"/>
      <c r="GG594" s="29"/>
      <c r="GH594" s="29"/>
      <c r="GI594" s="29"/>
      <c r="GJ594" s="29"/>
      <c r="GK594" s="29"/>
      <c r="GL594" s="29"/>
      <c r="GM594" s="29"/>
      <c r="GN594" s="29"/>
      <c r="GO594" s="29"/>
      <c r="GP594" s="29"/>
      <c r="GQ594" s="29"/>
      <c r="GR594" s="29"/>
      <c r="GS594" s="29"/>
      <c r="GT594" s="29"/>
      <c r="GU594" s="29"/>
      <c r="HP594" s="31"/>
      <c r="MX594" s="29"/>
      <c r="MY594" s="29"/>
    </row>
    <row r="595" ht="16.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c r="BO595" s="29"/>
      <c r="BP595" s="29"/>
      <c r="BQ595" s="29"/>
      <c r="BR595" s="29"/>
      <c r="BS595" s="29"/>
      <c r="BT595" s="29"/>
      <c r="BU595" s="29"/>
      <c r="BV595" s="29"/>
      <c r="BW595" s="29"/>
      <c r="BX595" s="29"/>
      <c r="BY595" s="29"/>
      <c r="BZ595" s="29"/>
      <c r="CA595" s="29"/>
      <c r="CB595" s="29"/>
      <c r="CC595" s="29"/>
      <c r="CD595" s="29"/>
      <c r="CE595" s="29"/>
      <c r="CF595" s="29"/>
      <c r="CG595" s="29"/>
      <c r="CH595" s="29"/>
      <c r="CI595" s="29"/>
      <c r="CJ595" s="29"/>
      <c r="CK595" s="29"/>
      <c r="CL595" s="29"/>
      <c r="CM595" s="29"/>
      <c r="CN595" s="29"/>
      <c r="CO595" s="29"/>
      <c r="CP595" s="29"/>
      <c r="CQ595" s="29"/>
      <c r="CR595" s="29"/>
      <c r="CS595" s="29"/>
      <c r="CT595" s="29"/>
      <c r="CU595" s="29"/>
      <c r="CV595" s="29"/>
      <c r="CW595" s="29"/>
      <c r="CX595" s="29"/>
      <c r="CY595" s="29"/>
      <c r="CZ595" s="29"/>
      <c r="DA595" s="29"/>
      <c r="DB595" s="29"/>
      <c r="DC595" s="29"/>
      <c r="DD595" s="29"/>
      <c r="DE595" s="29"/>
      <c r="DF595" s="29"/>
      <c r="DG595" s="29"/>
      <c r="DH595" s="29"/>
      <c r="DI595" s="29"/>
      <c r="DJ595" s="29"/>
      <c r="DK595" s="29"/>
      <c r="DL595" s="29"/>
      <c r="DM595" s="29"/>
      <c r="DN595" s="29"/>
      <c r="DO595" s="29"/>
      <c r="DP595" s="29"/>
      <c r="DQ595" s="29"/>
      <c r="DR595" s="29"/>
      <c r="DS595" s="29"/>
      <c r="DT595" s="29"/>
      <c r="DU595" s="29"/>
      <c r="DV595" s="29"/>
      <c r="DW595" s="29"/>
      <c r="DX595" s="29"/>
      <c r="DY595" s="29"/>
      <c r="DZ595" s="29"/>
      <c r="EA595" s="29"/>
      <c r="EB595" s="29"/>
      <c r="EC595" s="29"/>
      <c r="ED595" s="29"/>
      <c r="EE595" s="29"/>
      <c r="EF595" s="29"/>
      <c r="EG595" s="29"/>
      <c r="EH595" s="29"/>
      <c r="EI595" s="29"/>
      <c r="EJ595" s="29"/>
      <c r="EK595" s="29"/>
      <c r="EL595" s="29"/>
      <c r="EM595" s="29"/>
      <c r="EN595" s="29"/>
      <c r="EO595" s="29"/>
      <c r="EP595" s="29"/>
      <c r="EQ595" s="29"/>
      <c r="ER595" s="29"/>
      <c r="ES595" s="29"/>
      <c r="ET595" s="29"/>
      <c r="EU595" s="29"/>
      <c r="EV595" s="29"/>
      <c r="EW595" s="29"/>
      <c r="EX595" s="29"/>
      <c r="EY595" s="29"/>
      <c r="EZ595" s="29"/>
      <c r="FA595" s="29"/>
      <c r="FB595" s="29"/>
      <c r="FC595" s="29"/>
      <c r="FD595" s="29"/>
      <c r="FE595" s="29"/>
      <c r="FF595" s="29"/>
      <c r="FG595" s="29"/>
      <c r="FH595" s="29"/>
      <c r="FI595" s="29"/>
      <c r="FJ595" s="29"/>
      <c r="FK595" s="29"/>
      <c r="FL595" s="29"/>
      <c r="FM595" s="29"/>
      <c r="FN595" s="29"/>
      <c r="FO595" s="29"/>
      <c r="FP595" s="29"/>
      <c r="FQ595" s="29"/>
      <c r="FR595" s="29"/>
      <c r="FS595" s="29"/>
      <c r="FT595" s="29"/>
      <c r="FU595" s="29"/>
      <c r="FV595" s="29"/>
      <c r="FW595" s="29"/>
      <c r="FX595" s="29"/>
      <c r="FY595" s="29"/>
      <c r="FZ595" s="29"/>
      <c r="GA595" s="29"/>
      <c r="GB595" s="29"/>
      <c r="GC595" s="29"/>
      <c r="GD595" s="29"/>
      <c r="GE595" s="29"/>
      <c r="GF595" s="29"/>
      <c r="GG595" s="29"/>
      <c r="GH595" s="29"/>
      <c r="GI595" s="29"/>
      <c r="GJ595" s="29"/>
      <c r="GK595" s="29"/>
      <c r="GL595" s="29"/>
      <c r="GM595" s="29"/>
      <c r="GN595" s="29"/>
      <c r="GO595" s="29"/>
      <c r="GP595" s="29"/>
      <c r="GQ595" s="29"/>
      <c r="GR595" s="29"/>
      <c r="GS595" s="29"/>
      <c r="GT595" s="29"/>
      <c r="GU595" s="29"/>
      <c r="HP595" s="31"/>
      <c r="MX595" s="29"/>
      <c r="MY595" s="29"/>
    </row>
    <row r="596" ht="16.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c r="AX596" s="29"/>
      <c r="AY596" s="29"/>
      <c r="AZ596" s="29"/>
      <c r="BA596" s="29"/>
      <c r="BB596" s="29"/>
      <c r="BC596" s="29"/>
      <c r="BD596" s="29"/>
      <c r="BE596" s="29"/>
      <c r="BF596" s="29"/>
      <c r="BG596" s="29"/>
      <c r="BH596" s="29"/>
      <c r="BI596" s="29"/>
      <c r="BJ596" s="29"/>
      <c r="BK596" s="29"/>
      <c r="BL596" s="29"/>
      <c r="BM596" s="29"/>
      <c r="BN596" s="29"/>
      <c r="BO596" s="29"/>
      <c r="BP596" s="29"/>
      <c r="BQ596" s="29"/>
      <c r="BR596" s="29"/>
      <c r="BS596" s="29"/>
      <c r="BT596" s="29"/>
      <c r="BU596" s="29"/>
      <c r="BV596" s="29"/>
      <c r="BW596" s="29"/>
      <c r="BX596" s="29"/>
      <c r="BY596" s="29"/>
      <c r="BZ596" s="29"/>
      <c r="CA596" s="29"/>
      <c r="CB596" s="29"/>
      <c r="CC596" s="29"/>
      <c r="CD596" s="29"/>
      <c r="CE596" s="29"/>
      <c r="CF596" s="29"/>
      <c r="CG596" s="29"/>
      <c r="CH596" s="29"/>
      <c r="CI596" s="29"/>
      <c r="CJ596" s="29"/>
      <c r="CK596" s="29"/>
      <c r="CL596" s="29"/>
      <c r="CM596" s="29"/>
      <c r="CN596" s="29"/>
      <c r="CO596" s="29"/>
      <c r="CP596" s="29"/>
      <c r="CQ596" s="29"/>
      <c r="CR596" s="29"/>
      <c r="CS596" s="29"/>
      <c r="CT596" s="29"/>
      <c r="CU596" s="29"/>
      <c r="CV596" s="29"/>
      <c r="CW596" s="29"/>
      <c r="CX596" s="29"/>
      <c r="CY596" s="29"/>
      <c r="CZ596" s="29"/>
      <c r="DA596" s="29"/>
      <c r="DB596" s="29"/>
      <c r="DC596" s="29"/>
      <c r="DD596" s="29"/>
      <c r="DE596" s="29"/>
      <c r="DF596" s="29"/>
      <c r="DG596" s="29"/>
      <c r="DH596" s="29"/>
      <c r="DI596" s="29"/>
      <c r="DJ596" s="29"/>
      <c r="DK596" s="29"/>
      <c r="DL596" s="29"/>
      <c r="DM596" s="29"/>
      <c r="DN596" s="29"/>
      <c r="DO596" s="29"/>
      <c r="DP596" s="29"/>
      <c r="DQ596" s="29"/>
      <c r="DR596" s="29"/>
      <c r="DS596" s="29"/>
      <c r="DT596" s="29"/>
      <c r="DU596" s="29"/>
      <c r="DV596" s="29"/>
      <c r="DW596" s="29"/>
      <c r="DX596" s="29"/>
      <c r="DY596" s="29"/>
      <c r="DZ596" s="29"/>
      <c r="EA596" s="29"/>
      <c r="EB596" s="29"/>
      <c r="EC596" s="29"/>
      <c r="ED596" s="29"/>
      <c r="EE596" s="29"/>
      <c r="EF596" s="29"/>
      <c r="EG596" s="29"/>
      <c r="EH596" s="29"/>
      <c r="EI596" s="29"/>
      <c r="EJ596" s="29"/>
      <c r="EK596" s="29"/>
      <c r="EL596" s="29"/>
      <c r="EM596" s="29"/>
      <c r="EN596" s="29"/>
      <c r="EO596" s="29"/>
      <c r="EP596" s="29"/>
      <c r="EQ596" s="29"/>
      <c r="ER596" s="29"/>
      <c r="ES596" s="29"/>
      <c r="ET596" s="29"/>
      <c r="EU596" s="29"/>
      <c r="EV596" s="29"/>
      <c r="EW596" s="29"/>
      <c r="EX596" s="29"/>
      <c r="EY596" s="29"/>
      <c r="EZ596" s="29"/>
      <c r="FA596" s="29"/>
      <c r="FB596" s="29"/>
      <c r="FC596" s="29"/>
      <c r="FD596" s="29"/>
      <c r="FE596" s="29"/>
      <c r="FF596" s="29"/>
      <c r="FG596" s="29"/>
      <c r="FH596" s="29"/>
      <c r="FI596" s="29"/>
      <c r="FJ596" s="29"/>
      <c r="FK596" s="29"/>
      <c r="FL596" s="29"/>
      <c r="FM596" s="29"/>
      <c r="FN596" s="29"/>
      <c r="FO596" s="29"/>
      <c r="FP596" s="29"/>
      <c r="FQ596" s="29"/>
      <c r="FR596" s="29"/>
      <c r="FS596" s="29"/>
      <c r="FT596" s="29"/>
      <c r="FU596" s="29"/>
      <c r="FV596" s="29"/>
      <c r="FW596" s="29"/>
      <c r="FX596" s="29"/>
      <c r="FY596" s="29"/>
      <c r="FZ596" s="29"/>
      <c r="GA596" s="29"/>
      <c r="GB596" s="29"/>
      <c r="GC596" s="29"/>
      <c r="GD596" s="29"/>
      <c r="GE596" s="29"/>
      <c r="GF596" s="29"/>
      <c r="GG596" s="29"/>
      <c r="GH596" s="29"/>
      <c r="GI596" s="29"/>
      <c r="GJ596" s="29"/>
      <c r="GK596" s="29"/>
      <c r="GL596" s="29"/>
      <c r="GM596" s="29"/>
      <c r="GN596" s="29"/>
      <c r="GO596" s="29"/>
      <c r="GP596" s="29"/>
      <c r="GQ596" s="29"/>
      <c r="GR596" s="29"/>
      <c r="GS596" s="29"/>
      <c r="GT596" s="29"/>
      <c r="GU596" s="29"/>
      <c r="HP596" s="31"/>
      <c r="MX596" s="29"/>
      <c r="MY596" s="29"/>
    </row>
    <row r="597" ht="16.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c r="BO597" s="29"/>
      <c r="BP597" s="29"/>
      <c r="BQ597" s="29"/>
      <c r="BR597" s="29"/>
      <c r="BS597" s="29"/>
      <c r="BT597" s="29"/>
      <c r="BU597" s="29"/>
      <c r="BV597" s="29"/>
      <c r="BW597" s="29"/>
      <c r="BX597" s="29"/>
      <c r="BY597" s="29"/>
      <c r="BZ597" s="29"/>
      <c r="CA597" s="29"/>
      <c r="CB597" s="29"/>
      <c r="CC597" s="29"/>
      <c r="CD597" s="29"/>
      <c r="CE597" s="29"/>
      <c r="CF597" s="29"/>
      <c r="CG597" s="29"/>
      <c r="CH597" s="29"/>
      <c r="CI597" s="29"/>
      <c r="CJ597" s="29"/>
      <c r="CK597" s="29"/>
      <c r="CL597" s="29"/>
      <c r="CM597" s="29"/>
      <c r="CN597" s="29"/>
      <c r="CO597" s="29"/>
      <c r="CP597" s="29"/>
      <c r="CQ597" s="29"/>
      <c r="CR597" s="29"/>
      <c r="CS597" s="29"/>
      <c r="CT597" s="29"/>
      <c r="CU597" s="29"/>
      <c r="CV597" s="29"/>
      <c r="CW597" s="29"/>
      <c r="CX597" s="29"/>
      <c r="CY597" s="29"/>
      <c r="CZ597" s="29"/>
      <c r="DA597" s="29"/>
      <c r="DB597" s="29"/>
      <c r="DC597" s="29"/>
      <c r="DD597" s="29"/>
      <c r="DE597" s="29"/>
      <c r="DF597" s="29"/>
      <c r="DG597" s="29"/>
      <c r="DH597" s="29"/>
      <c r="DI597" s="29"/>
      <c r="DJ597" s="29"/>
      <c r="DK597" s="29"/>
      <c r="DL597" s="29"/>
      <c r="DM597" s="29"/>
      <c r="DN597" s="29"/>
      <c r="DO597" s="29"/>
      <c r="DP597" s="29"/>
      <c r="DQ597" s="29"/>
      <c r="DR597" s="29"/>
      <c r="DS597" s="29"/>
      <c r="DT597" s="29"/>
      <c r="DU597" s="29"/>
      <c r="DV597" s="29"/>
      <c r="DW597" s="29"/>
      <c r="DX597" s="29"/>
      <c r="DY597" s="29"/>
      <c r="DZ597" s="29"/>
      <c r="EA597" s="29"/>
      <c r="EB597" s="29"/>
      <c r="EC597" s="29"/>
      <c r="ED597" s="29"/>
      <c r="EE597" s="29"/>
      <c r="EF597" s="29"/>
      <c r="EG597" s="29"/>
      <c r="EH597" s="29"/>
      <c r="EI597" s="29"/>
      <c r="EJ597" s="29"/>
      <c r="EK597" s="29"/>
      <c r="EL597" s="29"/>
      <c r="EM597" s="29"/>
      <c r="EN597" s="29"/>
      <c r="EO597" s="29"/>
      <c r="EP597" s="29"/>
      <c r="EQ597" s="29"/>
      <c r="ER597" s="29"/>
      <c r="ES597" s="29"/>
      <c r="ET597" s="29"/>
      <c r="EU597" s="29"/>
      <c r="EV597" s="29"/>
      <c r="EW597" s="29"/>
      <c r="EX597" s="29"/>
      <c r="EY597" s="29"/>
      <c r="EZ597" s="29"/>
      <c r="FA597" s="29"/>
      <c r="FB597" s="29"/>
      <c r="FC597" s="29"/>
      <c r="FD597" s="29"/>
      <c r="FE597" s="29"/>
      <c r="FF597" s="29"/>
      <c r="FG597" s="29"/>
      <c r="FH597" s="29"/>
      <c r="FI597" s="29"/>
      <c r="FJ597" s="29"/>
      <c r="FK597" s="29"/>
      <c r="FL597" s="29"/>
      <c r="FM597" s="29"/>
      <c r="FN597" s="29"/>
      <c r="FO597" s="29"/>
      <c r="FP597" s="29"/>
      <c r="FQ597" s="29"/>
      <c r="FR597" s="29"/>
      <c r="FS597" s="29"/>
      <c r="FT597" s="29"/>
      <c r="FU597" s="29"/>
      <c r="FV597" s="29"/>
      <c r="FW597" s="29"/>
      <c r="FX597" s="29"/>
      <c r="FY597" s="29"/>
      <c r="FZ597" s="29"/>
      <c r="GA597" s="29"/>
      <c r="GB597" s="29"/>
      <c r="GC597" s="29"/>
      <c r="GD597" s="29"/>
      <c r="GE597" s="29"/>
      <c r="GF597" s="29"/>
      <c r="GG597" s="29"/>
      <c r="GH597" s="29"/>
      <c r="GI597" s="29"/>
      <c r="GJ597" s="29"/>
      <c r="GK597" s="29"/>
      <c r="GL597" s="29"/>
      <c r="GM597" s="29"/>
      <c r="GN597" s="29"/>
      <c r="GO597" s="29"/>
      <c r="GP597" s="29"/>
      <c r="GQ597" s="29"/>
      <c r="GR597" s="29"/>
      <c r="GS597" s="29"/>
      <c r="GT597" s="29"/>
      <c r="GU597" s="29"/>
      <c r="HP597" s="31"/>
      <c r="MX597" s="29"/>
      <c r="MY597" s="29"/>
    </row>
    <row r="598" ht="16.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c r="BR598" s="29"/>
      <c r="BS598" s="29"/>
      <c r="BT598" s="29"/>
      <c r="BU598" s="29"/>
      <c r="BV598" s="29"/>
      <c r="BW598" s="29"/>
      <c r="BX598" s="29"/>
      <c r="BY598" s="29"/>
      <c r="BZ598" s="29"/>
      <c r="CA598" s="29"/>
      <c r="CB598" s="29"/>
      <c r="CC598" s="29"/>
      <c r="CD598" s="29"/>
      <c r="CE598" s="29"/>
      <c r="CF598" s="29"/>
      <c r="CG598" s="29"/>
      <c r="CH598" s="29"/>
      <c r="CI598" s="29"/>
      <c r="CJ598" s="29"/>
      <c r="CK598" s="29"/>
      <c r="CL598" s="29"/>
      <c r="CM598" s="29"/>
      <c r="CN598" s="29"/>
      <c r="CO598" s="29"/>
      <c r="CP598" s="29"/>
      <c r="CQ598" s="29"/>
      <c r="CR598" s="29"/>
      <c r="CS598" s="29"/>
      <c r="CT598" s="29"/>
      <c r="CU598" s="29"/>
      <c r="CV598" s="29"/>
      <c r="CW598" s="29"/>
      <c r="CX598" s="29"/>
      <c r="CY598" s="29"/>
      <c r="CZ598" s="29"/>
      <c r="DA598" s="29"/>
      <c r="DB598" s="29"/>
      <c r="DC598" s="29"/>
      <c r="DD598" s="29"/>
      <c r="DE598" s="29"/>
      <c r="DF598" s="29"/>
      <c r="DG598" s="29"/>
      <c r="DH598" s="29"/>
      <c r="DI598" s="29"/>
      <c r="DJ598" s="29"/>
      <c r="DK598" s="29"/>
      <c r="DL598" s="29"/>
      <c r="DM598" s="29"/>
      <c r="DN598" s="29"/>
      <c r="DO598" s="29"/>
      <c r="DP598" s="29"/>
      <c r="DQ598" s="29"/>
      <c r="DR598" s="29"/>
      <c r="DS598" s="29"/>
      <c r="DT598" s="29"/>
      <c r="DU598" s="29"/>
      <c r="DV598" s="29"/>
      <c r="DW598" s="29"/>
      <c r="DX598" s="29"/>
      <c r="DY598" s="29"/>
      <c r="DZ598" s="29"/>
      <c r="EA598" s="29"/>
      <c r="EB598" s="29"/>
      <c r="EC598" s="29"/>
      <c r="ED598" s="29"/>
      <c r="EE598" s="29"/>
      <c r="EF598" s="29"/>
      <c r="EG598" s="29"/>
      <c r="EH598" s="29"/>
      <c r="EI598" s="29"/>
      <c r="EJ598" s="29"/>
      <c r="EK598" s="29"/>
      <c r="EL598" s="29"/>
      <c r="EM598" s="29"/>
      <c r="EN598" s="29"/>
      <c r="EO598" s="29"/>
      <c r="EP598" s="29"/>
      <c r="EQ598" s="29"/>
      <c r="ER598" s="29"/>
      <c r="ES598" s="29"/>
      <c r="ET598" s="29"/>
      <c r="EU598" s="29"/>
      <c r="EV598" s="29"/>
      <c r="EW598" s="29"/>
      <c r="EX598" s="29"/>
      <c r="EY598" s="29"/>
      <c r="EZ598" s="29"/>
      <c r="FA598" s="29"/>
      <c r="FB598" s="29"/>
      <c r="FC598" s="29"/>
      <c r="FD598" s="29"/>
      <c r="FE598" s="29"/>
      <c r="FF598" s="29"/>
      <c r="FG598" s="29"/>
      <c r="FH598" s="29"/>
      <c r="FI598" s="29"/>
      <c r="FJ598" s="29"/>
      <c r="FK598" s="29"/>
      <c r="FL598" s="29"/>
      <c r="FM598" s="29"/>
      <c r="FN598" s="29"/>
      <c r="FO598" s="29"/>
      <c r="FP598" s="29"/>
      <c r="FQ598" s="29"/>
      <c r="FR598" s="29"/>
      <c r="FS598" s="29"/>
      <c r="FT598" s="29"/>
      <c r="FU598" s="29"/>
      <c r="FV598" s="29"/>
      <c r="FW598" s="29"/>
      <c r="FX598" s="29"/>
      <c r="FY598" s="29"/>
      <c r="FZ598" s="29"/>
      <c r="GA598" s="29"/>
      <c r="GB598" s="29"/>
      <c r="GC598" s="29"/>
      <c r="GD598" s="29"/>
      <c r="GE598" s="29"/>
      <c r="GF598" s="29"/>
      <c r="GG598" s="29"/>
      <c r="GH598" s="29"/>
      <c r="GI598" s="29"/>
      <c r="GJ598" s="29"/>
      <c r="GK598" s="29"/>
      <c r="GL598" s="29"/>
      <c r="GM598" s="29"/>
      <c r="GN598" s="29"/>
      <c r="GO598" s="29"/>
      <c r="GP598" s="29"/>
      <c r="GQ598" s="29"/>
      <c r="GR598" s="29"/>
      <c r="GS598" s="29"/>
      <c r="GT598" s="29"/>
      <c r="GU598" s="29"/>
      <c r="HP598" s="31"/>
      <c r="MX598" s="29"/>
      <c r="MY598" s="29"/>
    </row>
    <row r="599" ht="16.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c r="BO599" s="29"/>
      <c r="BP599" s="29"/>
      <c r="BQ599" s="29"/>
      <c r="BR599" s="29"/>
      <c r="BS599" s="29"/>
      <c r="BT599" s="29"/>
      <c r="BU599" s="29"/>
      <c r="BV599" s="29"/>
      <c r="BW599" s="29"/>
      <c r="BX599" s="29"/>
      <c r="BY599" s="29"/>
      <c r="BZ599" s="29"/>
      <c r="CA599" s="29"/>
      <c r="CB599" s="29"/>
      <c r="CC599" s="29"/>
      <c r="CD599" s="29"/>
      <c r="CE599" s="29"/>
      <c r="CF599" s="29"/>
      <c r="CG599" s="29"/>
      <c r="CH599" s="29"/>
      <c r="CI599" s="29"/>
      <c r="CJ599" s="29"/>
      <c r="CK599" s="29"/>
      <c r="CL599" s="29"/>
      <c r="CM599" s="29"/>
      <c r="CN599" s="29"/>
      <c r="CO599" s="29"/>
      <c r="CP599" s="29"/>
      <c r="CQ599" s="29"/>
      <c r="CR599" s="29"/>
      <c r="CS599" s="29"/>
      <c r="CT599" s="29"/>
      <c r="CU599" s="29"/>
      <c r="CV599" s="29"/>
      <c r="CW599" s="29"/>
      <c r="CX599" s="29"/>
      <c r="CY599" s="29"/>
      <c r="CZ599" s="29"/>
      <c r="DA599" s="29"/>
      <c r="DB599" s="29"/>
      <c r="DC599" s="29"/>
      <c r="DD599" s="29"/>
      <c r="DE599" s="29"/>
      <c r="DF599" s="29"/>
      <c r="DG599" s="29"/>
      <c r="DH599" s="29"/>
      <c r="DI599" s="29"/>
      <c r="DJ599" s="29"/>
      <c r="DK599" s="29"/>
      <c r="DL599" s="29"/>
      <c r="DM599" s="29"/>
      <c r="DN599" s="29"/>
      <c r="DO599" s="29"/>
      <c r="DP599" s="29"/>
      <c r="DQ599" s="29"/>
      <c r="DR599" s="29"/>
      <c r="DS599" s="29"/>
      <c r="DT599" s="29"/>
      <c r="DU599" s="29"/>
      <c r="DV599" s="29"/>
      <c r="DW599" s="29"/>
      <c r="DX599" s="29"/>
      <c r="DY599" s="29"/>
      <c r="DZ599" s="29"/>
      <c r="EA599" s="29"/>
      <c r="EB599" s="29"/>
      <c r="EC599" s="29"/>
      <c r="ED599" s="29"/>
      <c r="EE599" s="29"/>
      <c r="EF599" s="29"/>
      <c r="EG599" s="29"/>
      <c r="EH599" s="29"/>
      <c r="EI599" s="29"/>
      <c r="EJ599" s="29"/>
      <c r="EK599" s="29"/>
      <c r="EL599" s="29"/>
      <c r="EM599" s="29"/>
      <c r="EN599" s="29"/>
      <c r="EO599" s="29"/>
      <c r="EP599" s="29"/>
      <c r="EQ599" s="29"/>
      <c r="ER599" s="29"/>
      <c r="ES599" s="29"/>
      <c r="ET599" s="29"/>
      <c r="EU599" s="29"/>
      <c r="EV599" s="29"/>
      <c r="EW599" s="29"/>
      <c r="EX599" s="29"/>
      <c r="EY599" s="29"/>
      <c r="EZ599" s="29"/>
      <c r="FA599" s="29"/>
      <c r="FB599" s="29"/>
      <c r="FC599" s="29"/>
      <c r="FD599" s="29"/>
      <c r="FE599" s="29"/>
      <c r="FF599" s="29"/>
      <c r="FG599" s="29"/>
      <c r="FH599" s="29"/>
      <c r="FI599" s="29"/>
      <c r="FJ599" s="29"/>
      <c r="FK599" s="29"/>
      <c r="FL599" s="29"/>
      <c r="FM599" s="29"/>
      <c r="FN599" s="29"/>
      <c r="FO599" s="29"/>
      <c r="FP599" s="29"/>
      <c r="FQ599" s="29"/>
      <c r="FR599" s="29"/>
      <c r="FS599" s="29"/>
      <c r="FT599" s="29"/>
      <c r="FU599" s="29"/>
      <c r="FV599" s="29"/>
      <c r="FW599" s="29"/>
      <c r="FX599" s="29"/>
      <c r="FY599" s="29"/>
      <c r="FZ599" s="29"/>
      <c r="GA599" s="29"/>
      <c r="GB599" s="29"/>
      <c r="GC599" s="29"/>
      <c r="GD599" s="29"/>
      <c r="GE599" s="29"/>
      <c r="GF599" s="29"/>
      <c r="GG599" s="29"/>
      <c r="GH599" s="29"/>
      <c r="GI599" s="29"/>
      <c r="GJ599" s="29"/>
      <c r="GK599" s="29"/>
      <c r="GL599" s="29"/>
      <c r="GM599" s="29"/>
      <c r="GN599" s="29"/>
      <c r="GO599" s="29"/>
      <c r="GP599" s="29"/>
      <c r="GQ599" s="29"/>
      <c r="GR599" s="29"/>
      <c r="GS599" s="29"/>
      <c r="GT599" s="29"/>
      <c r="GU599" s="29"/>
      <c r="HP599" s="31"/>
      <c r="MX599" s="29"/>
      <c r="MY599" s="29"/>
    </row>
    <row r="600" ht="16.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c r="AX600" s="29"/>
      <c r="AY600" s="29"/>
      <c r="AZ600" s="29"/>
      <c r="BA600" s="29"/>
      <c r="BB600" s="29"/>
      <c r="BC600" s="29"/>
      <c r="BD600" s="29"/>
      <c r="BE600" s="29"/>
      <c r="BF600" s="29"/>
      <c r="BG600" s="29"/>
      <c r="BH600" s="29"/>
      <c r="BI600" s="29"/>
      <c r="BJ600" s="29"/>
      <c r="BK600" s="29"/>
      <c r="BL600" s="29"/>
      <c r="BM600" s="29"/>
      <c r="BN600" s="29"/>
      <c r="BO600" s="29"/>
      <c r="BP600" s="29"/>
      <c r="BQ600" s="29"/>
      <c r="BR600" s="29"/>
      <c r="BS600" s="29"/>
      <c r="BT600" s="29"/>
      <c r="BU600" s="29"/>
      <c r="BV600" s="29"/>
      <c r="BW600" s="29"/>
      <c r="BX600" s="29"/>
      <c r="BY600" s="29"/>
      <c r="BZ600" s="29"/>
      <c r="CA600" s="29"/>
      <c r="CB600" s="29"/>
      <c r="CC600" s="29"/>
      <c r="CD600" s="29"/>
      <c r="CE600" s="29"/>
      <c r="CF600" s="29"/>
      <c r="CG600" s="29"/>
      <c r="CH600" s="29"/>
      <c r="CI600" s="29"/>
      <c r="CJ600" s="29"/>
      <c r="CK600" s="29"/>
      <c r="CL600" s="29"/>
      <c r="CM600" s="29"/>
      <c r="CN600" s="29"/>
      <c r="CO600" s="29"/>
      <c r="CP600" s="29"/>
      <c r="CQ600" s="29"/>
      <c r="CR600" s="29"/>
      <c r="CS600" s="29"/>
      <c r="CT600" s="29"/>
      <c r="CU600" s="29"/>
      <c r="CV600" s="29"/>
      <c r="CW600" s="29"/>
      <c r="CX600" s="29"/>
      <c r="CY600" s="29"/>
      <c r="CZ600" s="29"/>
      <c r="DA600" s="29"/>
      <c r="DB600" s="29"/>
      <c r="DC600" s="29"/>
      <c r="DD600" s="29"/>
      <c r="DE600" s="29"/>
      <c r="DF600" s="29"/>
      <c r="DG600" s="29"/>
      <c r="DH600" s="29"/>
      <c r="DI600" s="29"/>
      <c r="DJ600" s="29"/>
      <c r="DK600" s="29"/>
      <c r="DL600" s="29"/>
      <c r="DM600" s="29"/>
      <c r="DN600" s="29"/>
      <c r="DO600" s="29"/>
      <c r="DP600" s="29"/>
      <c r="DQ600" s="29"/>
      <c r="DR600" s="29"/>
      <c r="DS600" s="29"/>
      <c r="DT600" s="29"/>
      <c r="DU600" s="29"/>
      <c r="DV600" s="29"/>
      <c r="DW600" s="29"/>
      <c r="DX600" s="29"/>
      <c r="DY600" s="29"/>
      <c r="DZ600" s="29"/>
      <c r="EA600" s="29"/>
      <c r="EB600" s="29"/>
      <c r="EC600" s="29"/>
      <c r="ED600" s="29"/>
      <c r="EE600" s="29"/>
      <c r="EF600" s="29"/>
      <c r="EG600" s="29"/>
      <c r="EH600" s="29"/>
      <c r="EI600" s="29"/>
      <c r="EJ600" s="29"/>
      <c r="EK600" s="29"/>
      <c r="EL600" s="29"/>
      <c r="EM600" s="29"/>
      <c r="EN600" s="29"/>
      <c r="EO600" s="29"/>
      <c r="EP600" s="29"/>
      <c r="EQ600" s="29"/>
      <c r="ER600" s="29"/>
      <c r="ES600" s="29"/>
      <c r="ET600" s="29"/>
      <c r="EU600" s="29"/>
      <c r="EV600" s="29"/>
      <c r="EW600" s="29"/>
      <c r="EX600" s="29"/>
      <c r="EY600" s="29"/>
      <c r="EZ600" s="29"/>
      <c r="FA600" s="29"/>
      <c r="FB600" s="29"/>
      <c r="FC600" s="29"/>
      <c r="FD600" s="29"/>
      <c r="FE600" s="29"/>
      <c r="FF600" s="29"/>
      <c r="FG600" s="29"/>
      <c r="FH600" s="29"/>
      <c r="FI600" s="29"/>
      <c r="FJ600" s="29"/>
      <c r="FK600" s="29"/>
      <c r="FL600" s="29"/>
      <c r="FM600" s="29"/>
      <c r="FN600" s="29"/>
      <c r="FO600" s="29"/>
      <c r="FP600" s="29"/>
      <c r="FQ600" s="29"/>
      <c r="FR600" s="29"/>
      <c r="FS600" s="29"/>
      <c r="FT600" s="29"/>
      <c r="FU600" s="29"/>
      <c r="FV600" s="29"/>
      <c r="FW600" s="29"/>
      <c r="FX600" s="29"/>
      <c r="FY600" s="29"/>
      <c r="FZ600" s="29"/>
      <c r="GA600" s="29"/>
      <c r="GB600" s="29"/>
      <c r="GC600" s="29"/>
      <c r="GD600" s="29"/>
      <c r="GE600" s="29"/>
      <c r="GF600" s="29"/>
      <c r="GG600" s="29"/>
      <c r="GH600" s="29"/>
      <c r="GI600" s="29"/>
      <c r="GJ600" s="29"/>
      <c r="GK600" s="29"/>
      <c r="GL600" s="29"/>
      <c r="GM600" s="29"/>
      <c r="GN600" s="29"/>
      <c r="GO600" s="29"/>
      <c r="GP600" s="29"/>
      <c r="GQ600" s="29"/>
      <c r="GR600" s="29"/>
      <c r="GS600" s="29"/>
      <c r="GT600" s="29"/>
      <c r="GU600" s="29"/>
      <c r="HP600" s="31"/>
      <c r="MX600" s="29"/>
      <c r="MY600" s="29"/>
    </row>
    <row r="601" ht="16.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c r="BO601" s="29"/>
      <c r="BP601" s="29"/>
      <c r="BQ601" s="29"/>
      <c r="BR601" s="29"/>
      <c r="BS601" s="29"/>
      <c r="BT601" s="29"/>
      <c r="BU601" s="29"/>
      <c r="BV601" s="29"/>
      <c r="BW601" s="29"/>
      <c r="BX601" s="29"/>
      <c r="BY601" s="29"/>
      <c r="BZ601" s="29"/>
      <c r="CA601" s="29"/>
      <c r="CB601" s="29"/>
      <c r="CC601" s="29"/>
      <c r="CD601" s="29"/>
      <c r="CE601" s="29"/>
      <c r="CF601" s="29"/>
      <c r="CG601" s="29"/>
      <c r="CH601" s="29"/>
      <c r="CI601" s="29"/>
      <c r="CJ601" s="29"/>
      <c r="CK601" s="29"/>
      <c r="CL601" s="29"/>
      <c r="CM601" s="29"/>
      <c r="CN601" s="29"/>
      <c r="CO601" s="29"/>
      <c r="CP601" s="29"/>
      <c r="CQ601" s="29"/>
      <c r="CR601" s="29"/>
      <c r="CS601" s="29"/>
      <c r="CT601" s="29"/>
      <c r="CU601" s="29"/>
      <c r="CV601" s="29"/>
      <c r="CW601" s="29"/>
      <c r="CX601" s="29"/>
      <c r="CY601" s="29"/>
      <c r="CZ601" s="29"/>
      <c r="DA601" s="29"/>
      <c r="DB601" s="29"/>
      <c r="DC601" s="29"/>
      <c r="DD601" s="29"/>
      <c r="DE601" s="29"/>
      <c r="DF601" s="29"/>
      <c r="DG601" s="29"/>
      <c r="DH601" s="29"/>
      <c r="DI601" s="29"/>
      <c r="DJ601" s="29"/>
      <c r="DK601" s="29"/>
      <c r="DL601" s="29"/>
      <c r="DM601" s="29"/>
      <c r="DN601" s="29"/>
      <c r="DO601" s="29"/>
      <c r="DP601" s="29"/>
      <c r="DQ601" s="29"/>
      <c r="DR601" s="29"/>
      <c r="DS601" s="29"/>
      <c r="DT601" s="29"/>
      <c r="DU601" s="29"/>
      <c r="DV601" s="29"/>
      <c r="DW601" s="29"/>
      <c r="DX601" s="29"/>
      <c r="DY601" s="29"/>
      <c r="DZ601" s="29"/>
      <c r="EA601" s="29"/>
      <c r="EB601" s="29"/>
      <c r="EC601" s="29"/>
      <c r="ED601" s="29"/>
      <c r="EE601" s="29"/>
      <c r="EF601" s="29"/>
      <c r="EG601" s="29"/>
      <c r="EH601" s="29"/>
      <c r="EI601" s="29"/>
      <c r="EJ601" s="29"/>
      <c r="EK601" s="29"/>
      <c r="EL601" s="29"/>
      <c r="EM601" s="29"/>
      <c r="EN601" s="29"/>
      <c r="EO601" s="29"/>
      <c r="EP601" s="29"/>
      <c r="EQ601" s="29"/>
      <c r="ER601" s="29"/>
      <c r="ES601" s="29"/>
      <c r="ET601" s="29"/>
      <c r="EU601" s="29"/>
      <c r="EV601" s="29"/>
      <c r="EW601" s="29"/>
      <c r="EX601" s="29"/>
      <c r="EY601" s="29"/>
      <c r="EZ601" s="29"/>
      <c r="FA601" s="29"/>
      <c r="FB601" s="29"/>
      <c r="FC601" s="29"/>
      <c r="FD601" s="29"/>
      <c r="FE601" s="29"/>
      <c r="FF601" s="29"/>
      <c r="FG601" s="29"/>
      <c r="FH601" s="29"/>
      <c r="FI601" s="29"/>
      <c r="FJ601" s="29"/>
      <c r="FK601" s="29"/>
      <c r="FL601" s="29"/>
      <c r="FM601" s="29"/>
      <c r="FN601" s="29"/>
      <c r="FO601" s="29"/>
      <c r="FP601" s="29"/>
      <c r="FQ601" s="29"/>
      <c r="FR601" s="29"/>
      <c r="FS601" s="29"/>
      <c r="FT601" s="29"/>
      <c r="FU601" s="29"/>
      <c r="FV601" s="29"/>
      <c r="FW601" s="29"/>
      <c r="FX601" s="29"/>
      <c r="FY601" s="29"/>
      <c r="FZ601" s="29"/>
      <c r="GA601" s="29"/>
      <c r="GB601" s="29"/>
      <c r="GC601" s="29"/>
      <c r="GD601" s="29"/>
      <c r="GE601" s="29"/>
      <c r="GF601" s="29"/>
      <c r="GG601" s="29"/>
      <c r="GH601" s="29"/>
      <c r="GI601" s="29"/>
      <c r="GJ601" s="29"/>
      <c r="GK601" s="29"/>
      <c r="GL601" s="29"/>
      <c r="GM601" s="29"/>
      <c r="GN601" s="29"/>
      <c r="GO601" s="29"/>
      <c r="GP601" s="29"/>
      <c r="GQ601" s="29"/>
      <c r="GR601" s="29"/>
      <c r="GS601" s="29"/>
      <c r="GT601" s="29"/>
      <c r="GU601" s="29"/>
      <c r="HP601" s="31"/>
      <c r="MX601" s="29"/>
      <c r="MY601" s="29"/>
    </row>
    <row r="602" ht="16.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c r="AX602" s="29"/>
      <c r="AY602" s="29"/>
      <c r="AZ602" s="29"/>
      <c r="BA602" s="29"/>
      <c r="BB602" s="29"/>
      <c r="BC602" s="29"/>
      <c r="BD602" s="29"/>
      <c r="BE602" s="29"/>
      <c r="BF602" s="29"/>
      <c r="BG602" s="29"/>
      <c r="BH602" s="29"/>
      <c r="BI602" s="29"/>
      <c r="BJ602" s="29"/>
      <c r="BK602" s="29"/>
      <c r="BL602" s="29"/>
      <c r="BM602" s="29"/>
      <c r="BN602" s="29"/>
      <c r="BO602" s="29"/>
      <c r="BP602" s="29"/>
      <c r="BQ602" s="29"/>
      <c r="BR602" s="29"/>
      <c r="BS602" s="29"/>
      <c r="BT602" s="29"/>
      <c r="BU602" s="29"/>
      <c r="BV602" s="29"/>
      <c r="BW602" s="29"/>
      <c r="BX602" s="29"/>
      <c r="BY602" s="29"/>
      <c r="BZ602" s="29"/>
      <c r="CA602" s="29"/>
      <c r="CB602" s="29"/>
      <c r="CC602" s="29"/>
      <c r="CD602" s="29"/>
      <c r="CE602" s="29"/>
      <c r="CF602" s="29"/>
      <c r="CG602" s="29"/>
      <c r="CH602" s="29"/>
      <c r="CI602" s="29"/>
      <c r="CJ602" s="29"/>
      <c r="CK602" s="29"/>
      <c r="CL602" s="29"/>
      <c r="CM602" s="29"/>
      <c r="CN602" s="29"/>
      <c r="CO602" s="29"/>
      <c r="CP602" s="29"/>
      <c r="CQ602" s="29"/>
      <c r="CR602" s="29"/>
      <c r="CS602" s="29"/>
      <c r="CT602" s="29"/>
      <c r="CU602" s="29"/>
      <c r="CV602" s="29"/>
      <c r="CW602" s="29"/>
      <c r="CX602" s="29"/>
      <c r="CY602" s="29"/>
      <c r="CZ602" s="29"/>
      <c r="DA602" s="29"/>
      <c r="DB602" s="29"/>
      <c r="DC602" s="29"/>
      <c r="DD602" s="29"/>
      <c r="DE602" s="29"/>
      <c r="DF602" s="29"/>
      <c r="DG602" s="29"/>
      <c r="DH602" s="29"/>
      <c r="DI602" s="29"/>
      <c r="DJ602" s="29"/>
      <c r="DK602" s="29"/>
      <c r="DL602" s="29"/>
      <c r="DM602" s="29"/>
      <c r="DN602" s="29"/>
      <c r="DO602" s="29"/>
      <c r="DP602" s="29"/>
      <c r="DQ602" s="29"/>
      <c r="DR602" s="29"/>
      <c r="DS602" s="29"/>
      <c r="DT602" s="29"/>
      <c r="DU602" s="29"/>
      <c r="DV602" s="29"/>
      <c r="DW602" s="29"/>
      <c r="DX602" s="29"/>
      <c r="DY602" s="29"/>
      <c r="DZ602" s="29"/>
      <c r="EA602" s="29"/>
      <c r="EB602" s="29"/>
      <c r="EC602" s="29"/>
      <c r="ED602" s="29"/>
      <c r="EE602" s="29"/>
      <c r="EF602" s="29"/>
      <c r="EG602" s="29"/>
      <c r="EH602" s="29"/>
      <c r="EI602" s="29"/>
      <c r="EJ602" s="29"/>
      <c r="EK602" s="29"/>
      <c r="EL602" s="29"/>
      <c r="EM602" s="29"/>
      <c r="EN602" s="29"/>
      <c r="EO602" s="29"/>
      <c r="EP602" s="29"/>
      <c r="EQ602" s="29"/>
      <c r="ER602" s="29"/>
      <c r="ES602" s="29"/>
      <c r="ET602" s="29"/>
      <c r="EU602" s="29"/>
      <c r="EV602" s="29"/>
      <c r="EW602" s="29"/>
      <c r="EX602" s="29"/>
      <c r="EY602" s="29"/>
      <c r="EZ602" s="29"/>
      <c r="FA602" s="29"/>
      <c r="FB602" s="29"/>
      <c r="FC602" s="29"/>
      <c r="FD602" s="29"/>
      <c r="FE602" s="29"/>
      <c r="FF602" s="29"/>
      <c r="FG602" s="29"/>
      <c r="FH602" s="29"/>
      <c r="FI602" s="29"/>
      <c r="FJ602" s="29"/>
      <c r="FK602" s="29"/>
      <c r="FL602" s="29"/>
      <c r="FM602" s="29"/>
      <c r="FN602" s="29"/>
      <c r="FO602" s="29"/>
      <c r="FP602" s="29"/>
      <c r="FQ602" s="29"/>
      <c r="FR602" s="29"/>
      <c r="FS602" s="29"/>
      <c r="FT602" s="29"/>
      <c r="FU602" s="29"/>
      <c r="FV602" s="29"/>
      <c r="FW602" s="29"/>
      <c r="FX602" s="29"/>
      <c r="FY602" s="29"/>
      <c r="FZ602" s="29"/>
      <c r="GA602" s="29"/>
      <c r="GB602" s="29"/>
      <c r="GC602" s="29"/>
      <c r="GD602" s="29"/>
      <c r="GE602" s="29"/>
      <c r="GF602" s="29"/>
      <c r="GG602" s="29"/>
      <c r="GH602" s="29"/>
      <c r="GI602" s="29"/>
      <c r="GJ602" s="29"/>
      <c r="GK602" s="29"/>
      <c r="GL602" s="29"/>
      <c r="GM602" s="29"/>
      <c r="GN602" s="29"/>
      <c r="GO602" s="29"/>
      <c r="GP602" s="29"/>
      <c r="GQ602" s="29"/>
      <c r="GR602" s="29"/>
      <c r="GS602" s="29"/>
      <c r="GT602" s="29"/>
      <c r="GU602" s="29"/>
      <c r="HP602" s="31"/>
      <c r="MX602" s="29"/>
      <c r="MY602" s="29"/>
    </row>
    <row r="603" ht="16.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c r="BO603" s="29"/>
      <c r="BP603" s="29"/>
      <c r="BQ603" s="29"/>
      <c r="BR603" s="29"/>
      <c r="BS603" s="29"/>
      <c r="BT603" s="29"/>
      <c r="BU603" s="29"/>
      <c r="BV603" s="29"/>
      <c r="BW603" s="29"/>
      <c r="BX603" s="29"/>
      <c r="BY603" s="29"/>
      <c r="BZ603" s="29"/>
      <c r="CA603" s="29"/>
      <c r="CB603" s="29"/>
      <c r="CC603" s="29"/>
      <c r="CD603" s="29"/>
      <c r="CE603" s="29"/>
      <c r="CF603" s="29"/>
      <c r="CG603" s="29"/>
      <c r="CH603" s="29"/>
      <c r="CI603" s="29"/>
      <c r="CJ603" s="29"/>
      <c r="CK603" s="29"/>
      <c r="CL603" s="29"/>
      <c r="CM603" s="29"/>
      <c r="CN603" s="29"/>
      <c r="CO603" s="29"/>
      <c r="CP603" s="29"/>
      <c r="CQ603" s="29"/>
      <c r="CR603" s="29"/>
      <c r="CS603" s="29"/>
      <c r="CT603" s="29"/>
      <c r="CU603" s="29"/>
      <c r="CV603" s="29"/>
      <c r="CW603" s="29"/>
      <c r="CX603" s="29"/>
      <c r="CY603" s="29"/>
      <c r="CZ603" s="29"/>
      <c r="DA603" s="29"/>
      <c r="DB603" s="29"/>
      <c r="DC603" s="29"/>
      <c r="DD603" s="29"/>
      <c r="DE603" s="29"/>
      <c r="DF603" s="29"/>
      <c r="DG603" s="29"/>
      <c r="DH603" s="29"/>
      <c r="DI603" s="29"/>
      <c r="DJ603" s="29"/>
      <c r="DK603" s="29"/>
      <c r="DL603" s="29"/>
      <c r="DM603" s="29"/>
      <c r="DN603" s="29"/>
      <c r="DO603" s="29"/>
      <c r="DP603" s="29"/>
      <c r="DQ603" s="29"/>
      <c r="DR603" s="29"/>
      <c r="DS603" s="29"/>
      <c r="DT603" s="29"/>
      <c r="DU603" s="29"/>
      <c r="DV603" s="29"/>
      <c r="DW603" s="29"/>
      <c r="DX603" s="29"/>
      <c r="DY603" s="29"/>
      <c r="DZ603" s="29"/>
      <c r="EA603" s="29"/>
      <c r="EB603" s="29"/>
      <c r="EC603" s="29"/>
      <c r="ED603" s="29"/>
      <c r="EE603" s="29"/>
      <c r="EF603" s="29"/>
      <c r="EG603" s="29"/>
      <c r="EH603" s="29"/>
      <c r="EI603" s="29"/>
      <c r="EJ603" s="29"/>
      <c r="EK603" s="29"/>
      <c r="EL603" s="29"/>
      <c r="EM603" s="29"/>
      <c r="EN603" s="29"/>
      <c r="EO603" s="29"/>
      <c r="EP603" s="29"/>
      <c r="EQ603" s="29"/>
      <c r="ER603" s="29"/>
      <c r="ES603" s="29"/>
      <c r="ET603" s="29"/>
      <c r="EU603" s="29"/>
      <c r="EV603" s="29"/>
      <c r="EW603" s="29"/>
      <c r="EX603" s="29"/>
      <c r="EY603" s="29"/>
      <c r="EZ603" s="29"/>
      <c r="FA603" s="29"/>
      <c r="FB603" s="29"/>
      <c r="FC603" s="29"/>
      <c r="FD603" s="29"/>
      <c r="FE603" s="29"/>
      <c r="FF603" s="29"/>
      <c r="FG603" s="29"/>
      <c r="FH603" s="29"/>
      <c r="FI603" s="29"/>
      <c r="FJ603" s="29"/>
      <c r="FK603" s="29"/>
      <c r="FL603" s="29"/>
      <c r="FM603" s="29"/>
      <c r="FN603" s="29"/>
      <c r="FO603" s="29"/>
      <c r="FP603" s="29"/>
      <c r="FQ603" s="29"/>
      <c r="FR603" s="29"/>
      <c r="FS603" s="29"/>
      <c r="FT603" s="29"/>
      <c r="FU603" s="29"/>
      <c r="FV603" s="29"/>
      <c r="FW603" s="29"/>
      <c r="FX603" s="29"/>
      <c r="FY603" s="29"/>
      <c r="FZ603" s="29"/>
      <c r="GA603" s="29"/>
      <c r="GB603" s="29"/>
      <c r="GC603" s="29"/>
      <c r="GD603" s="29"/>
      <c r="GE603" s="29"/>
      <c r="GF603" s="29"/>
      <c r="GG603" s="29"/>
      <c r="GH603" s="29"/>
      <c r="GI603" s="29"/>
      <c r="GJ603" s="29"/>
      <c r="GK603" s="29"/>
      <c r="GL603" s="29"/>
      <c r="GM603" s="29"/>
      <c r="GN603" s="29"/>
      <c r="GO603" s="29"/>
      <c r="GP603" s="29"/>
      <c r="GQ603" s="29"/>
      <c r="GR603" s="29"/>
      <c r="GS603" s="29"/>
      <c r="GT603" s="29"/>
      <c r="GU603" s="29"/>
      <c r="HP603" s="31"/>
      <c r="MX603" s="29"/>
      <c r="MY603" s="29"/>
    </row>
    <row r="604" ht="16.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29"/>
      <c r="AW604" s="29"/>
      <c r="AX604" s="29"/>
      <c r="AY604" s="29"/>
      <c r="AZ604" s="29"/>
      <c r="BA604" s="29"/>
      <c r="BB604" s="29"/>
      <c r="BC604" s="29"/>
      <c r="BD604" s="29"/>
      <c r="BE604" s="29"/>
      <c r="BF604" s="29"/>
      <c r="BG604" s="29"/>
      <c r="BH604" s="29"/>
      <c r="BI604" s="29"/>
      <c r="BJ604" s="29"/>
      <c r="BK604" s="29"/>
      <c r="BL604" s="29"/>
      <c r="BM604" s="29"/>
      <c r="BN604" s="29"/>
      <c r="BO604" s="29"/>
      <c r="BP604" s="29"/>
      <c r="BQ604" s="29"/>
      <c r="BR604" s="29"/>
      <c r="BS604" s="29"/>
      <c r="BT604" s="29"/>
      <c r="BU604" s="29"/>
      <c r="BV604" s="29"/>
      <c r="BW604" s="29"/>
      <c r="BX604" s="29"/>
      <c r="BY604" s="29"/>
      <c r="BZ604" s="29"/>
      <c r="CA604" s="29"/>
      <c r="CB604" s="29"/>
      <c r="CC604" s="29"/>
      <c r="CD604" s="29"/>
      <c r="CE604" s="29"/>
      <c r="CF604" s="29"/>
      <c r="CG604" s="29"/>
      <c r="CH604" s="29"/>
      <c r="CI604" s="29"/>
      <c r="CJ604" s="29"/>
      <c r="CK604" s="29"/>
      <c r="CL604" s="29"/>
      <c r="CM604" s="29"/>
      <c r="CN604" s="29"/>
      <c r="CO604" s="29"/>
      <c r="CP604" s="29"/>
      <c r="CQ604" s="29"/>
      <c r="CR604" s="29"/>
      <c r="CS604" s="29"/>
      <c r="CT604" s="29"/>
      <c r="CU604" s="29"/>
      <c r="CV604" s="29"/>
      <c r="CW604" s="29"/>
      <c r="CX604" s="29"/>
      <c r="CY604" s="29"/>
      <c r="CZ604" s="29"/>
      <c r="DA604" s="29"/>
      <c r="DB604" s="29"/>
      <c r="DC604" s="29"/>
      <c r="DD604" s="29"/>
      <c r="DE604" s="29"/>
      <c r="DF604" s="29"/>
      <c r="DG604" s="29"/>
      <c r="DH604" s="29"/>
      <c r="DI604" s="29"/>
      <c r="DJ604" s="29"/>
      <c r="DK604" s="29"/>
      <c r="DL604" s="29"/>
      <c r="DM604" s="29"/>
      <c r="DN604" s="29"/>
      <c r="DO604" s="29"/>
      <c r="DP604" s="29"/>
      <c r="DQ604" s="29"/>
      <c r="DR604" s="29"/>
      <c r="DS604" s="29"/>
      <c r="DT604" s="29"/>
      <c r="DU604" s="29"/>
      <c r="DV604" s="29"/>
      <c r="DW604" s="29"/>
      <c r="DX604" s="29"/>
      <c r="DY604" s="29"/>
      <c r="DZ604" s="29"/>
      <c r="EA604" s="29"/>
      <c r="EB604" s="29"/>
      <c r="EC604" s="29"/>
      <c r="ED604" s="29"/>
      <c r="EE604" s="29"/>
      <c r="EF604" s="29"/>
      <c r="EG604" s="29"/>
      <c r="EH604" s="29"/>
      <c r="EI604" s="29"/>
      <c r="EJ604" s="29"/>
      <c r="EK604" s="29"/>
      <c r="EL604" s="29"/>
      <c r="EM604" s="29"/>
      <c r="EN604" s="29"/>
      <c r="EO604" s="29"/>
      <c r="EP604" s="29"/>
      <c r="EQ604" s="29"/>
      <c r="ER604" s="29"/>
      <c r="ES604" s="29"/>
      <c r="ET604" s="29"/>
      <c r="EU604" s="29"/>
      <c r="EV604" s="29"/>
      <c r="EW604" s="29"/>
      <c r="EX604" s="29"/>
      <c r="EY604" s="29"/>
      <c r="EZ604" s="29"/>
      <c r="FA604" s="29"/>
      <c r="FB604" s="29"/>
      <c r="FC604" s="29"/>
      <c r="FD604" s="29"/>
      <c r="FE604" s="29"/>
      <c r="FF604" s="29"/>
      <c r="FG604" s="29"/>
      <c r="FH604" s="29"/>
      <c r="FI604" s="29"/>
      <c r="FJ604" s="29"/>
      <c r="FK604" s="29"/>
      <c r="FL604" s="29"/>
      <c r="FM604" s="29"/>
      <c r="FN604" s="29"/>
      <c r="FO604" s="29"/>
      <c r="FP604" s="29"/>
      <c r="FQ604" s="29"/>
      <c r="FR604" s="29"/>
      <c r="FS604" s="29"/>
      <c r="FT604" s="29"/>
      <c r="FU604" s="29"/>
      <c r="FV604" s="29"/>
      <c r="FW604" s="29"/>
      <c r="FX604" s="29"/>
      <c r="FY604" s="29"/>
      <c r="FZ604" s="29"/>
      <c r="GA604" s="29"/>
      <c r="GB604" s="29"/>
      <c r="GC604" s="29"/>
      <c r="GD604" s="29"/>
      <c r="GE604" s="29"/>
      <c r="GF604" s="29"/>
      <c r="GG604" s="29"/>
      <c r="GH604" s="29"/>
      <c r="GI604" s="29"/>
      <c r="GJ604" s="29"/>
      <c r="GK604" s="29"/>
      <c r="GL604" s="29"/>
      <c r="GM604" s="29"/>
      <c r="GN604" s="29"/>
      <c r="GO604" s="29"/>
      <c r="GP604" s="29"/>
      <c r="GQ604" s="29"/>
      <c r="GR604" s="29"/>
      <c r="GS604" s="29"/>
      <c r="GT604" s="29"/>
      <c r="GU604" s="29"/>
      <c r="HP604" s="31"/>
      <c r="MX604" s="29"/>
      <c r="MY604" s="29"/>
    </row>
    <row r="605" ht="16.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c r="BO605" s="29"/>
      <c r="BP605" s="29"/>
      <c r="BQ605" s="29"/>
      <c r="BR605" s="29"/>
      <c r="BS605" s="29"/>
      <c r="BT605" s="29"/>
      <c r="BU605" s="29"/>
      <c r="BV605" s="29"/>
      <c r="BW605" s="29"/>
      <c r="BX605" s="29"/>
      <c r="BY605" s="29"/>
      <c r="BZ605" s="29"/>
      <c r="CA605" s="29"/>
      <c r="CB605" s="29"/>
      <c r="CC605" s="29"/>
      <c r="CD605" s="29"/>
      <c r="CE605" s="29"/>
      <c r="CF605" s="29"/>
      <c r="CG605" s="29"/>
      <c r="CH605" s="29"/>
      <c r="CI605" s="29"/>
      <c r="CJ605" s="29"/>
      <c r="CK605" s="29"/>
      <c r="CL605" s="29"/>
      <c r="CM605" s="29"/>
      <c r="CN605" s="29"/>
      <c r="CO605" s="29"/>
      <c r="CP605" s="29"/>
      <c r="CQ605" s="29"/>
      <c r="CR605" s="29"/>
      <c r="CS605" s="29"/>
      <c r="CT605" s="29"/>
      <c r="CU605" s="29"/>
      <c r="CV605" s="29"/>
      <c r="CW605" s="29"/>
      <c r="CX605" s="29"/>
      <c r="CY605" s="29"/>
      <c r="CZ605" s="29"/>
      <c r="DA605" s="29"/>
      <c r="DB605" s="29"/>
      <c r="DC605" s="29"/>
      <c r="DD605" s="29"/>
      <c r="DE605" s="29"/>
      <c r="DF605" s="29"/>
      <c r="DG605" s="29"/>
      <c r="DH605" s="29"/>
      <c r="DI605" s="29"/>
      <c r="DJ605" s="29"/>
      <c r="DK605" s="29"/>
      <c r="DL605" s="29"/>
      <c r="DM605" s="29"/>
      <c r="DN605" s="29"/>
      <c r="DO605" s="29"/>
      <c r="DP605" s="29"/>
      <c r="DQ605" s="29"/>
      <c r="DR605" s="29"/>
      <c r="DS605" s="29"/>
      <c r="DT605" s="29"/>
      <c r="DU605" s="29"/>
      <c r="DV605" s="29"/>
      <c r="DW605" s="29"/>
      <c r="DX605" s="29"/>
      <c r="DY605" s="29"/>
      <c r="DZ605" s="29"/>
      <c r="EA605" s="29"/>
      <c r="EB605" s="29"/>
      <c r="EC605" s="29"/>
      <c r="ED605" s="29"/>
      <c r="EE605" s="29"/>
      <c r="EF605" s="29"/>
      <c r="EG605" s="29"/>
      <c r="EH605" s="29"/>
      <c r="EI605" s="29"/>
      <c r="EJ605" s="29"/>
      <c r="EK605" s="29"/>
      <c r="EL605" s="29"/>
      <c r="EM605" s="29"/>
      <c r="EN605" s="29"/>
      <c r="EO605" s="29"/>
      <c r="EP605" s="29"/>
      <c r="EQ605" s="29"/>
      <c r="ER605" s="29"/>
      <c r="ES605" s="29"/>
      <c r="ET605" s="29"/>
      <c r="EU605" s="29"/>
      <c r="EV605" s="29"/>
      <c r="EW605" s="29"/>
      <c r="EX605" s="29"/>
      <c r="EY605" s="29"/>
      <c r="EZ605" s="29"/>
      <c r="FA605" s="29"/>
      <c r="FB605" s="29"/>
      <c r="FC605" s="29"/>
      <c r="FD605" s="29"/>
      <c r="FE605" s="29"/>
      <c r="FF605" s="29"/>
      <c r="FG605" s="29"/>
      <c r="FH605" s="29"/>
      <c r="FI605" s="29"/>
      <c r="FJ605" s="29"/>
      <c r="FK605" s="29"/>
      <c r="FL605" s="29"/>
      <c r="FM605" s="29"/>
      <c r="FN605" s="29"/>
      <c r="FO605" s="29"/>
      <c r="FP605" s="29"/>
      <c r="FQ605" s="29"/>
      <c r="FR605" s="29"/>
      <c r="FS605" s="29"/>
      <c r="FT605" s="29"/>
      <c r="FU605" s="29"/>
      <c r="FV605" s="29"/>
      <c r="FW605" s="29"/>
      <c r="FX605" s="29"/>
      <c r="FY605" s="29"/>
      <c r="FZ605" s="29"/>
      <c r="GA605" s="29"/>
      <c r="GB605" s="29"/>
      <c r="GC605" s="29"/>
      <c r="GD605" s="29"/>
      <c r="GE605" s="29"/>
      <c r="GF605" s="29"/>
      <c r="GG605" s="29"/>
      <c r="GH605" s="29"/>
      <c r="GI605" s="29"/>
      <c r="GJ605" s="29"/>
      <c r="GK605" s="29"/>
      <c r="GL605" s="29"/>
      <c r="GM605" s="29"/>
      <c r="GN605" s="29"/>
      <c r="GO605" s="29"/>
      <c r="GP605" s="29"/>
      <c r="GQ605" s="29"/>
      <c r="GR605" s="29"/>
      <c r="GS605" s="29"/>
      <c r="GT605" s="29"/>
      <c r="GU605" s="29"/>
      <c r="HP605" s="31"/>
      <c r="MX605" s="29"/>
      <c r="MY605" s="29"/>
    </row>
    <row r="606" ht="16.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c r="AX606" s="29"/>
      <c r="AY606" s="29"/>
      <c r="AZ606" s="29"/>
      <c r="BA606" s="29"/>
      <c r="BB606" s="29"/>
      <c r="BC606" s="29"/>
      <c r="BD606" s="29"/>
      <c r="BE606" s="29"/>
      <c r="BF606" s="29"/>
      <c r="BG606" s="29"/>
      <c r="BH606" s="29"/>
      <c r="BI606" s="29"/>
      <c r="BJ606" s="29"/>
      <c r="BK606" s="29"/>
      <c r="BL606" s="29"/>
      <c r="BM606" s="29"/>
      <c r="BN606" s="29"/>
      <c r="BO606" s="29"/>
      <c r="BP606" s="29"/>
      <c r="BQ606" s="29"/>
      <c r="BR606" s="29"/>
      <c r="BS606" s="29"/>
      <c r="BT606" s="29"/>
      <c r="BU606" s="29"/>
      <c r="BV606" s="29"/>
      <c r="BW606" s="29"/>
      <c r="BX606" s="29"/>
      <c r="BY606" s="29"/>
      <c r="BZ606" s="29"/>
      <c r="CA606" s="29"/>
      <c r="CB606" s="29"/>
      <c r="CC606" s="29"/>
      <c r="CD606" s="29"/>
      <c r="CE606" s="29"/>
      <c r="CF606" s="29"/>
      <c r="CG606" s="29"/>
      <c r="CH606" s="29"/>
      <c r="CI606" s="29"/>
      <c r="CJ606" s="29"/>
      <c r="CK606" s="29"/>
      <c r="CL606" s="29"/>
      <c r="CM606" s="29"/>
      <c r="CN606" s="29"/>
      <c r="CO606" s="29"/>
      <c r="CP606" s="29"/>
      <c r="CQ606" s="29"/>
      <c r="CR606" s="29"/>
      <c r="CS606" s="29"/>
      <c r="CT606" s="29"/>
      <c r="CU606" s="29"/>
      <c r="CV606" s="29"/>
      <c r="CW606" s="29"/>
      <c r="CX606" s="29"/>
      <c r="CY606" s="29"/>
      <c r="CZ606" s="29"/>
      <c r="DA606" s="29"/>
      <c r="DB606" s="29"/>
      <c r="DC606" s="29"/>
      <c r="DD606" s="29"/>
      <c r="DE606" s="29"/>
      <c r="DF606" s="29"/>
      <c r="DG606" s="29"/>
      <c r="DH606" s="29"/>
      <c r="DI606" s="29"/>
      <c r="DJ606" s="29"/>
      <c r="DK606" s="29"/>
      <c r="DL606" s="29"/>
      <c r="DM606" s="29"/>
      <c r="DN606" s="29"/>
      <c r="DO606" s="29"/>
      <c r="DP606" s="29"/>
      <c r="DQ606" s="29"/>
      <c r="DR606" s="29"/>
      <c r="DS606" s="29"/>
      <c r="DT606" s="29"/>
      <c r="DU606" s="29"/>
      <c r="DV606" s="29"/>
      <c r="DW606" s="29"/>
      <c r="DX606" s="29"/>
      <c r="DY606" s="29"/>
      <c r="DZ606" s="29"/>
      <c r="EA606" s="29"/>
      <c r="EB606" s="29"/>
      <c r="EC606" s="29"/>
      <c r="ED606" s="29"/>
      <c r="EE606" s="29"/>
      <c r="EF606" s="29"/>
      <c r="EG606" s="29"/>
      <c r="EH606" s="29"/>
      <c r="EI606" s="29"/>
      <c r="EJ606" s="29"/>
      <c r="EK606" s="29"/>
      <c r="EL606" s="29"/>
      <c r="EM606" s="29"/>
      <c r="EN606" s="29"/>
      <c r="EO606" s="29"/>
      <c r="EP606" s="29"/>
      <c r="EQ606" s="29"/>
      <c r="ER606" s="29"/>
      <c r="ES606" s="29"/>
      <c r="ET606" s="29"/>
      <c r="EU606" s="29"/>
      <c r="EV606" s="29"/>
      <c r="EW606" s="29"/>
      <c r="EX606" s="29"/>
      <c r="EY606" s="29"/>
      <c r="EZ606" s="29"/>
      <c r="FA606" s="29"/>
      <c r="FB606" s="29"/>
      <c r="FC606" s="29"/>
      <c r="FD606" s="29"/>
      <c r="FE606" s="29"/>
      <c r="FF606" s="29"/>
      <c r="FG606" s="29"/>
      <c r="FH606" s="29"/>
      <c r="FI606" s="29"/>
      <c r="FJ606" s="29"/>
      <c r="FK606" s="29"/>
      <c r="FL606" s="29"/>
      <c r="FM606" s="29"/>
      <c r="FN606" s="29"/>
      <c r="FO606" s="29"/>
      <c r="FP606" s="29"/>
      <c r="FQ606" s="29"/>
      <c r="FR606" s="29"/>
      <c r="FS606" s="29"/>
      <c r="FT606" s="29"/>
      <c r="FU606" s="29"/>
      <c r="FV606" s="29"/>
      <c r="FW606" s="29"/>
      <c r="FX606" s="29"/>
      <c r="FY606" s="29"/>
      <c r="FZ606" s="29"/>
      <c r="GA606" s="29"/>
      <c r="GB606" s="29"/>
      <c r="GC606" s="29"/>
      <c r="GD606" s="29"/>
      <c r="GE606" s="29"/>
      <c r="GF606" s="29"/>
      <c r="GG606" s="29"/>
      <c r="GH606" s="29"/>
      <c r="GI606" s="29"/>
      <c r="GJ606" s="29"/>
      <c r="GK606" s="29"/>
      <c r="GL606" s="29"/>
      <c r="GM606" s="29"/>
      <c r="GN606" s="29"/>
      <c r="GO606" s="29"/>
      <c r="GP606" s="29"/>
      <c r="GQ606" s="29"/>
      <c r="GR606" s="29"/>
      <c r="GS606" s="29"/>
      <c r="GT606" s="29"/>
      <c r="GU606" s="29"/>
      <c r="HP606" s="31"/>
      <c r="MX606" s="29"/>
      <c r="MY606" s="29"/>
    </row>
    <row r="607" ht="16.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c r="BO607" s="29"/>
      <c r="BP607" s="29"/>
      <c r="BQ607" s="29"/>
      <c r="BR607" s="29"/>
      <c r="BS607" s="29"/>
      <c r="BT607" s="29"/>
      <c r="BU607" s="29"/>
      <c r="BV607" s="29"/>
      <c r="BW607" s="29"/>
      <c r="BX607" s="29"/>
      <c r="BY607" s="29"/>
      <c r="BZ607" s="29"/>
      <c r="CA607" s="29"/>
      <c r="CB607" s="29"/>
      <c r="CC607" s="29"/>
      <c r="CD607" s="29"/>
      <c r="CE607" s="29"/>
      <c r="CF607" s="29"/>
      <c r="CG607" s="29"/>
      <c r="CH607" s="29"/>
      <c r="CI607" s="29"/>
      <c r="CJ607" s="29"/>
      <c r="CK607" s="29"/>
      <c r="CL607" s="29"/>
      <c r="CM607" s="29"/>
      <c r="CN607" s="29"/>
      <c r="CO607" s="29"/>
      <c r="CP607" s="29"/>
      <c r="CQ607" s="29"/>
      <c r="CR607" s="29"/>
      <c r="CS607" s="29"/>
      <c r="CT607" s="29"/>
      <c r="CU607" s="29"/>
      <c r="CV607" s="29"/>
      <c r="CW607" s="29"/>
      <c r="CX607" s="29"/>
      <c r="CY607" s="29"/>
      <c r="CZ607" s="29"/>
      <c r="DA607" s="29"/>
      <c r="DB607" s="29"/>
      <c r="DC607" s="29"/>
      <c r="DD607" s="29"/>
      <c r="DE607" s="29"/>
      <c r="DF607" s="29"/>
      <c r="DG607" s="29"/>
      <c r="DH607" s="29"/>
      <c r="DI607" s="29"/>
      <c r="DJ607" s="29"/>
      <c r="DK607" s="29"/>
      <c r="DL607" s="29"/>
      <c r="DM607" s="29"/>
      <c r="DN607" s="29"/>
      <c r="DO607" s="29"/>
      <c r="DP607" s="29"/>
      <c r="DQ607" s="29"/>
      <c r="DR607" s="29"/>
      <c r="DS607" s="29"/>
      <c r="DT607" s="29"/>
      <c r="DU607" s="29"/>
      <c r="DV607" s="29"/>
      <c r="DW607" s="29"/>
      <c r="DX607" s="29"/>
      <c r="DY607" s="29"/>
      <c r="DZ607" s="29"/>
      <c r="EA607" s="29"/>
      <c r="EB607" s="29"/>
      <c r="EC607" s="29"/>
      <c r="ED607" s="29"/>
      <c r="EE607" s="29"/>
      <c r="EF607" s="29"/>
      <c r="EG607" s="29"/>
      <c r="EH607" s="29"/>
      <c r="EI607" s="29"/>
      <c r="EJ607" s="29"/>
      <c r="EK607" s="29"/>
      <c r="EL607" s="29"/>
      <c r="EM607" s="29"/>
      <c r="EN607" s="29"/>
      <c r="EO607" s="29"/>
      <c r="EP607" s="29"/>
      <c r="EQ607" s="29"/>
      <c r="ER607" s="29"/>
      <c r="ES607" s="29"/>
      <c r="ET607" s="29"/>
      <c r="EU607" s="29"/>
      <c r="EV607" s="29"/>
      <c r="EW607" s="29"/>
      <c r="EX607" s="29"/>
      <c r="EY607" s="29"/>
      <c r="EZ607" s="29"/>
      <c r="FA607" s="29"/>
      <c r="FB607" s="29"/>
      <c r="FC607" s="29"/>
      <c r="FD607" s="29"/>
      <c r="FE607" s="29"/>
      <c r="FF607" s="29"/>
      <c r="FG607" s="29"/>
      <c r="FH607" s="29"/>
      <c r="FI607" s="29"/>
      <c r="FJ607" s="29"/>
      <c r="FK607" s="29"/>
      <c r="FL607" s="29"/>
      <c r="FM607" s="29"/>
      <c r="FN607" s="29"/>
      <c r="FO607" s="29"/>
      <c r="FP607" s="29"/>
      <c r="FQ607" s="29"/>
      <c r="FR607" s="29"/>
      <c r="FS607" s="29"/>
      <c r="FT607" s="29"/>
      <c r="FU607" s="29"/>
      <c r="FV607" s="29"/>
      <c r="FW607" s="29"/>
      <c r="FX607" s="29"/>
      <c r="FY607" s="29"/>
      <c r="FZ607" s="29"/>
      <c r="GA607" s="29"/>
      <c r="GB607" s="29"/>
      <c r="GC607" s="29"/>
      <c r="GD607" s="29"/>
      <c r="GE607" s="29"/>
      <c r="GF607" s="29"/>
      <c r="GG607" s="29"/>
      <c r="GH607" s="29"/>
      <c r="GI607" s="29"/>
      <c r="GJ607" s="29"/>
      <c r="GK607" s="29"/>
      <c r="GL607" s="29"/>
      <c r="GM607" s="29"/>
      <c r="GN607" s="29"/>
      <c r="GO607" s="29"/>
      <c r="GP607" s="29"/>
      <c r="GQ607" s="29"/>
      <c r="GR607" s="29"/>
      <c r="GS607" s="29"/>
      <c r="GT607" s="29"/>
      <c r="GU607" s="29"/>
      <c r="HP607" s="31"/>
      <c r="MX607" s="29"/>
      <c r="MY607" s="29"/>
    </row>
    <row r="608" ht="16.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c r="AX608" s="29"/>
      <c r="AY608" s="29"/>
      <c r="AZ608" s="29"/>
      <c r="BA608" s="29"/>
      <c r="BB608" s="29"/>
      <c r="BC608" s="29"/>
      <c r="BD608" s="29"/>
      <c r="BE608" s="29"/>
      <c r="BF608" s="29"/>
      <c r="BG608" s="29"/>
      <c r="BH608" s="29"/>
      <c r="BI608" s="29"/>
      <c r="BJ608" s="29"/>
      <c r="BK608" s="29"/>
      <c r="BL608" s="29"/>
      <c r="BM608" s="29"/>
      <c r="BN608" s="29"/>
      <c r="BO608" s="29"/>
      <c r="BP608" s="29"/>
      <c r="BQ608" s="29"/>
      <c r="BR608" s="29"/>
      <c r="BS608" s="29"/>
      <c r="BT608" s="29"/>
      <c r="BU608" s="29"/>
      <c r="BV608" s="29"/>
      <c r="BW608" s="29"/>
      <c r="BX608" s="29"/>
      <c r="BY608" s="29"/>
      <c r="BZ608" s="29"/>
      <c r="CA608" s="29"/>
      <c r="CB608" s="29"/>
      <c r="CC608" s="29"/>
      <c r="CD608" s="29"/>
      <c r="CE608" s="29"/>
      <c r="CF608" s="29"/>
      <c r="CG608" s="29"/>
      <c r="CH608" s="29"/>
      <c r="CI608" s="29"/>
      <c r="CJ608" s="29"/>
      <c r="CK608" s="29"/>
      <c r="CL608" s="29"/>
      <c r="CM608" s="29"/>
      <c r="CN608" s="29"/>
      <c r="CO608" s="29"/>
      <c r="CP608" s="29"/>
      <c r="CQ608" s="29"/>
      <c r="CR608" s="29"/>
      <c r="CS608" s="29"/>
      <c r="CT608" s="29"/>
      <c r="CU608" s="29"/>
      <c r="CV608" s="29"/>
      <c r="CW608" s="29"/>
      <c r="CX608" s="29"/>
      <c r="CY608" s="29"/>
      <c r="CZ608" s="29"/>
      <c r="DA608" s="29"/>
      <c r="DB608" s="29"/>
      <c r="DC608" s="29"/>
      <c r="DD608" s="29"/>
      <c r="DE608" s="29"/>
      <c r="DF608" s="29"/>
      <c r="DG608" s="29"/>
      <c r="DH608" s="29"/>
      <c r="DI608" s="29"/>
      <c r="DJ608" s="29"/>
      <c r="DK608" s="29"/>
      <c r="DL608" s="29"/>
      <c r="DM608" s="29"/>
      <c r="DN608" s="29"/>
      <c r="DO608" s="29"/>
      <c r="DP608" s="29"/>
      <c r="DQ608" s="29"/>
      <c r="DR608" s="29"/>
      <c r="DS608" s="29"/>
      <c r="DT608" s="29"/>
      <c r="DU608" s="29"/>
      <c r="DV608" s="29"/>
      <c r="DW608" s="29"/>
      <c r="DX608" s="29"/>
      <c r="DY608" s="29"/>
      <c r="DZ608" s="29"/>
      <c r="EA608" s="29"/>
      <c r="EB608" s="29"/>
      <c r="EC608" s="29"/>
      <c r="ED608" s="29"/>
      <c r="EE608" s="29"/>
      <c r="EF608" s="29"/>
      <c r="EG608" s="29"/>
      <c r="EH608" s="29"/>
      <c r="EI608" s="29"/>
      <c r="EJ608" s="29"/>
      <c r="EK608" s="29"/>
      <c r="EL608" s="29"/>
      <c r="EM608" s="29"/>
      <c r="EN608" s="29"/>
      <c r="EO608" s="29"/>
      <c r="EP608" s="29"/>
      <c r="EQ608" s="29"/>
      <c r="ER608" s="29"/>
      <c r="ES608" s="29"/>
      <c r="ET608" s="29"/>
      <c r="EU608" s="29"/>
      <c r="EV608" s="29"/>
      <c r="EW608" s="29"/>
      <c r="EX608" s="29"/>
      <c r="EY608" s="29"/>
      <c r="EZ608" s="29"/>
      <c r="FA608" s="29"/>
      <c r="FB608" s="29"/>
      <c r="FC608" s="29"/>
      <c r="FD608" s="29"/>
      <c r="FE608" s="29"/>
      <c r="FF608" s="29"/>
      <c r="FG608" s="29"/>
      <c r="FH608" s="29"/>
      <c r="FI608" s="29"/>
      <c r="FJ608" s="29"/>
      <c r="FK608" s="29"/>
      <c r="FL608" s="29"/>
      <c r="FM608" s="29"/>
      <c r="FN608" s="29"/>
      <c r="FO608" s="29"/>
      <c r="FP608" s="29"/>
      <c r="FQ608" s="29"/>
      <c r="FR608" s="29"/>
      <c r="FS608" s="29"/>
      <c r="FT608" s="29"/>
      <c r="FU608" s="29"/>
      <c r="FV608" s="29"/>
      <c r="FW608" s="29"/>
      <c r="FX608" s="29"/>
      <c r="FY608" s="29"/>
      <c r="FZ608" s="29"/>
      <c r="GA608" s="29"/>
      <c r="GB608" s="29"/>
      <c r="GC608" s="29"/>
      <c r="GD608" s="29"/>
      <c r="GE608" s="29"/>
      <c r="GF608" s="29"/>
      <c r="GG608" s="29"/>
      <c r="GH608" s="29"/>
      <c r="GI608" s="29"/>
      <c r="GJ608" s="29"/>
      <c r="GK608" s="29"/>
      <c r="GL608" s="29"/>
      <c r="GM608" s="29"/>
      <c r="GN608" s="29"/>
      <c r="GO608" s="29"/>
      <c r="GP608" s="29"/>
      <c r="GQ608" s="29"/>
      <c r="GR608" s="29"/>
      <c r="GS608" s="29"/>
      <c r="GT608" s="29"/>
      <c r="GU608" s="29"/>
      <c r="HP608" s="31"/>
      <c r="MX608" s="29"/>
      <c r="MY608" s="29"/>
    </row>
    <row r="609" ht="16.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c r="BO609" s="29"/>
      <c r="BP609" s="29"/>
      <c r="BQ609" s="29"/>
      <c r="BR609" s="29"/>
      <c r="BS609" s="29"/>
      <c r="BT609" s="29"/>
      <c r="BU609" s="29"/>
      <c r="BV609" s="29"/>
      <c r="BW609" s="29"/>
      <c r="BX609" s="29"/>
      <c r="BY609" s="29"/>
      <c r="BZ609" s="29"/>
      <c r="CA609" s="29"/>
      <c r="CB609" s="29"/>
      <c r="CC609" s="29"/>
      <c r="CD609" s="29"/>
      <c r="CE609" s="29"/>
      <c r="CF609" s="29"/>
      <c r="CG609" s="29"/>
      <c r="CH609" s="29"/>
      <c r="CI609" s="29"/>
      <c r="CJ609" s="29"/>
      <c r="CK609" s="29"/>
      <c r="CL609" s="29"/>
      <c r="CM609" s="29"/>
      <c r="CN609" s="29"/>
      <c r="CO609" s="29"/>
      <c r="CP609" s="29"/>
      <c r="CQ609" s="29"/>
      <c r="CR609" s="29"/>
      <c r="CS609" s="29"/>
      <c r="CT609" s="29"/>
      <c r="CU609" s="29"/>
      <c r="CV609" s="29"/>
      <c r="CW609" s="29"/>
      <c r="CX609" s="29"/>
      <c r="CY609" s="29"/>
      <c r="CZ609" s="29"/>
      <c r="DA609" s="29"/>
      <c r="DB609" s="29"/>
      <c r="DC609" s="29"/>
      <c r="DD609" s="29"/>
      <c r="DE609" s="29"/>
      <c r="DF609" s="29"/>
      <c r="DG609" s="29"/>
      <c r="DH609" s="29"/>
      <c r="DI609" s="29"/>
      <c r="DJ609" s="29"/>
      <c r="DK609" s="29"/>
      <c r="DL609" s="29"/>
      <c r="DM609" s="29"/>
      <c r="DN609" s="29"/>
      <c r="DO609" s="29"/>
      <c r="DP609" s="29"/>
      <c r="DQ609" s="29"/>
      <c r="DR609" s="29"/>
      <c r="DS609" s="29"/>
      <c r="DT609" s="29"/>
      <c r="DU609" s="29"/>
      <c r="DV609" s="29"/>
      <c r="DW609" s="29"/>
      <c r="DX609" s="29"/>
      <c r="DY609" s="29"/>
      <c r="DZ609" s="29"/>
      <c r="EA609" s="29"/>
      <c r="EB609" s="29"/>
      <c r="EC609" s="29"/>
      <c r="ED609" s="29"/>
      <c r="EE609" s="29"/>
      <c r="EF609" s="29"/>
      <c r="EG609" s="29"/>
      <c r="EH609" s="29"/>
      <c r="EI609" s="29"/>
      <c r="EJ609" s="29"/>
      <c r="EK609" s="29"/>
      <c r="EL609" s="29"/>
      <c r="EM609" s="29"/>
      <c r="EN609" s="29"/>
      <c r="EO609" s="29"/>
      <c r="EP609" s="29"/>
      <c r="EQ609" s="29"/>
      <c r="ER609" s="29"/>
      <c r="ES609" s="29"/>
      <c r="ET609" s="29"/>
      <c r="EU609" s="29"/>
      <c r="EV609" s="29"/>
      <c r="EW609" s="29"/>
      <c r="EX609" s="29"/>
      <c r="EY609" s="29"/>
      <c r="EZ609" s="29"/>
      <c r="FA609" s="29"/>
      <c r="FB609" s="29"/>
      <c r="FC609" s="29"/>
      <c r="FD609" s="29"/>
      <c r="FE609" s="29"/>
      <c r="FF609" s="29"/>
      <c r="FG609" s="29"/>
      <c r="FH609" s="29"/>
      <c r="FI609" s="29"/>
      <c r="FJ609" s="29"/>
      <c r="FK609" s="29"/>
      <c r="FL609" s="29"/>
      <c r="FM609" s="29"/>
      <c r="FN609" s="29"/>
      <c r="FO609" s="29"/>
      <c r="FP609" s="29"/>
      <c r="FQ609" s="29"/>
      <c r="FR609" s="29"/>
      <c r="FS609" s="29"/>
      <c r="FT609" s="29"/>
      <c r="FU609" s="29"/>
      <c r="FV609" s="29"/>
      <c r="FW609" s="29"/>
      <c r="FX609" s="29"/>
      <c r="FY609" s="29"/>
      <c r="FZ609" s="29"/>
      <c r="GA609" s="29"/>
      <c r="GB609" s="29"/>
      <c r="GC609" s="29"/>
      <c r="GD609" s="29"/>
      <c r="GE609" s="29"/>
      <c r="GF609" s="29"/>
      <c r="GG609" s="29"/>
      <c r="GH609" s="29"/>
      <c r="GI609" s="29"/>
      <c r="GJ609" s="29"/>
      <c r="GK609" s="29"/>
      <c r="GL609" s="29"/>
      <c r="GM609" s="29"/>
      <c r="GN609" s="29"/>
      <c r="GO609" s="29"/>
      <c r="GP609" s="29"/>
      <c r="GQ609" s="29"/>
      <c r="GR609" s="29"/>
      <c r="GS609" s="29"/>
      <c r="GT609" s="29"/>
      <c r="GU609" s="29"/>
      <c r="HP609" s="31"/>
      <c r="MX609" s="29"/>
      <c r="MY609" s="29"/>
    </row>
    <row r="610" ht="16.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c r="AX610" s="29"/>
      <c r="AY610" s="29"/>
      <c r="AZ610" s="29"/>
      <c r="BA610" s="29"/>
      <c r="BB610" s="29"/>
      <c r="BC610" s="29"/>
      <c r="BD610" s="29"/>
      <c r="BE610" s="29"/>
      <c r="BF610" s="29"/>
      <c r="BG610" s="29"/>
      <c r="BH610" s="29"/>
      <c r="BI610" s="29"/>
      <c r="BJ610" s="29"/>
      <c r="BK610" s="29"/>
      <c r="BL610" s="29"/>
      <c r="BM610" s="29"/>
      <c r="BN610" s="29"/>
      <c r="BO610" s="29"/>
      <c r="BP610" s="29"/>
      <c r="BQ610" s="29"/>
      <c r="BR610" s="29"/>
      <c r="BS610" s="29"/>
      <c r="BT610" s="29"/>
      <c r="BU610" s="29"/>
      <c r="BV610" s="29"/>
      <c r="BW610" s="29"/>
      <c r="BX610" s="29"/>
      <c r="BY610" s="29"/>
      <c r="BZ610" s="29"/>
      <c r="CA610" s="29"/>
      <c r="CB610" s="29"/>
      <c r="CC610" s="29"/>
      <c r="CD610" s="29"/>
      <c r="CE610" s="29"/>
      <c r="CF610" s="29"/>
      <c r="CG610" s="29"/>
      <c r="CH610" s="29"/>
      <c r="CI610" s="29"/>
      <c r="CJ610" s="29"/>
      <c r="CK610" s="29"/>
      <c r="CL610" s="29"/>
      <c r="CM610" s="29"/>
      <c r="CN610" s="29"/>
      <c r="CO610" s="29"/>
      <c r="CP610" s="29"/>
      <c r="CQ610" s="29"/>
      <c r="CR610" s="29"/>
      <c r="CS610" s="29"/>
      <c r="CT610" s="29"/>
      <c r="CU610" s="29"/>
      <c r="CV610" s="29"/>
      <c r="CW610" s="29"/>
      <c r="CX610" s="29"/>
      <c r="CY610" s="29"/>
      <c r="CZ610" s="29"/>
      <c r="DA610" s="29"/>
      <c r="DB610" s="29"/>
      <c r="DC610" s="29"/>
      <c r="DD610" s="29"/>
      <c r="DE610" s="29"/>
      <c r="DF610" s="29"/>
      <c r="DG610" s="29"/>
      <c r="DH610" s="29"/>
      <c r="DI610" s="29"/>
      <c r="DJ610" s="29"/>
      <c r="DK610" s="29"/>
      <c r="DL610" s="29"/>
      <c r="DM610" s="29"/>
      <c r="DN610" s="29"/>
      <c r="DO610" s="29"/>
      <c r="DP610" s="29"/>
      <c r="DQ610" s="29"/>
      <c r="DR610" s="29"/>
      <c r="DS610" s="29"/>
      <c r="DT610" s="29"/>
      <c r="DU610" s="29"/>
      <c r="DV610" s="29"/>
      <c r="DW610" s="29"/>
      <c r="DX610" s="29"/>
      <c r="DY610" s="29"/>
      <c r="DZ610" s="29"/>
      <c r="EA610" s="29"/>
      <c r="EB610" s="29"/>
      <c r="EC610" s="29"/>
      <c r="ED610" s="29"/>
      <c r="EE610" s="29"/>
      <c r="EF610" s="29"/>
      <c r="EG610" s="29"/>
      <c r="EH610" s="29"/>
      <c r="EI610" s="29"/>
      <c r="EJ610" s="29"/>
      <c r="EK610" s="29"/>
      <c r="EL610" s="29"/>
      <c r="EM610" s="29"/>
      <c r="EN610" s="29"/>
      <c r="EO610" s="29"/>
      <c r="EP610" s="29"/>
      <c r="EQ610" s="29"/>
      <c r="ER610" s="29"/>
      <c r="ES610" s="29"/>
      <c r="ET610" s="29"/>
      <c r="EU610" s="29"/>
      <c r="EV610" s="29"/>
      <c r="EW610" s="29"/>
      <c r="EX610" s="29"/>
      <c r="EY610" s="29"/>
      <c r="EZ610" s="29"/>
      <c r="FA610" s="29"/>
      <c r="FB610" s="29"/>
      <c r="FC610" s="29"/>
      <c r="FD610" s="29"/>
      <c r="FE610" s="29"/>
      <c r="FF610" s="29"/>
      <c r="FG610" s="29"/>
      <c r="FH610" s="29"/>
      <c r="FI610" s="29"/>
      <c r="FJ610" s="29"/>
      <c r="FK610" s="29"/>
      <c r="FL610" s="29"/>
      <c r="FM610" s="29"/>
      <c r="FN610" s="29"/>
      <c r="FO610" s="29"/>
      <c r="FP610" s="29"/>
      <c r="FQ610" s="29"/>
      <c r="FR610" s="29"/>
      <c r="FS610" s="29"/>
      <c r="FT610" s="29"/>
      <c r="FU610" s="29"/>
      <c r="FV610" s="29"/>
      <c r="FW610" s="29"/>
      <c r="FX610" s="29"/>
      <c r="FY610" s="29"/>
      <c r="FZ610" s="29"/>
      <c r="GA610" s="29"/>
      <c r="GB610" s="29"/>
      <c r="GC610" s="29"/>
      <c r="GD610" s="29"/>
      <c r="GE610" s="29"/>
      <c r="GF610" s="29"/>
      <c r="GG610" s="29"/>
      <c r="GH610" s="29"/>
      <c r="GI610" s="29"/>
      <c r="GJ610" s="29"/>
      <c r="GK610" s="29"/>
      <c r="GL610" s="29"/>
      <c r="GM610" s="29"/>
      <c r="GN610" s="29"/>
      <c r="GO610" s="29"/>
      <c r="GP610" s="29"/>
      <c r="GQ610" s="29"/>
      <c r="GR610" s="29"/>
      <c r="GS610" s="29"/>
      <c r="GT610" s="29"/>
      <c r="GU610" s="29"/>
      <c r="HP610" s="31"/>
      <c r="MX610" s="29"/>
      <c r="MY610" s="29"/>
    </row>
    <row r="611" ht="16.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c r="BO611" s="29"/>
      <c r="BP611" s="29"/>
      <c r="BQ611" s="29"/>
      <c r="BR611" s="29"/>
      <c r="BS611" s="29"/>
      <c r="BT611" s="29"/>
      <c r="BU611" s="29"/>
      <c r="BV611" s="29"/>
      <c r="BW611" s="29"/>
      <c r="BX611" s="29"/>
      <c r="BY611" s="29"/>
      <c r="BZ611" s="29"/>
      <c r="CA611" s="29"/>
      <c r="CB611" s="29"/>
      <c r="CC611" s="29"/>
      <c r="CD611" s="29"/>
      <c r="CE611" s="29"/>
      <c r="CF611" s="29"/>
      <c r="CG611" s="29"/>
      <c r="CH611" s="29"/>
      <c r="CI611" s="29"/>
      <c r="CJ611" s="29"/>
      <c r="CK611" s="29"/>
      <c r="CL611" s="29"/>
      <c r="CM611" s="29"/>
      <c r="CN611" s="29"/>
      <c r="CO611" s="29"/>
      <c r="CP611" s="29"/>
      <c r="CQ611" s="29"/>
      <c r="CR611" s="29"/>
      <c r="CS611" s="29"/>
      <c r="CT611" s="29"/>
      <c r="CU611" s="29"/>
      <c r="CV611" s="29"/>
      <c r="CW611" s="29"/>
      <c r="CX611" s="29"/>
      <c r="CY611" s="29"/>
      <c r="CZ611" s="29"/>
      <c r="DA611" s="29"/>
      <c r="DB611" s="29"/>
      <c r="DC611" s="29"/>
      <c r="DD611" s="29"/>
      <c r="DE611" s="29"/>
      <c r="DF611" s="29"/>
      <c r="DG611" s="29"/>
      <c r="DH611" s="29"/>
      <c r="DI611" s="29"/>
      <c r="DJ611" s="29"/>
      <c r="DK611" s="29"/>
      <c r="DL611" s="29"/>
      <c r="DM611" s="29"/>
      <c r="DN611" s="29"/>
      <c r="DO611" s="29"/>
      <c r="DP611" s="29"/>
      <c r="DQ611" s="29"/>
      <c r="DR611" s="29"/>
      <c r="DS611" s="29"/>
      <c r="DT611" s="29"/>
      <c r="DU611" s="29"/>
      <c r="DV611" s="29"/>
      <c r="DW611" s="29"/>
      <c r="DX611" s="29"/>
      <c r="DY611" s="29"/>
      <c r="DZ611" s="29"/>
      <c r="EA611" s="29"/>
      <c r="EB611" s="29"/>
      <c r="EC611" s="29"/>
      <c r="ED611" s="29"/>
      <c r="EE611" s="29"/>
      <c r="EF611" s="29"/>
      <c r="EG611" s="29"/>
      <c r="EH611" s="29"/>
      <c r="EI611" s="29"/>
      <c r="EJ611" s="29"/>
      <c r="EK611" s="29"/>
      <c r="EL611" s="29"/>
      <c r="EM611" s="29"/>
      <c r="EN611" s="29"/>
      <c r="EO611" s="29"/>
      <c r="EP611" s="29"/>
      <c r="EQ611" s="29"/>
      <c r="ER611" s="29"/>
      <c r="ES611" s="29"/>
      <c r="ET611" s="29"/>
      <c r="EU611" s="29"/>
      <c r="EV611" s="29"/>
      <c r="EW611" s="29"/>
      <c r="EX611" s="29"/>
      <c r="EY611" s="29"/>
      <c r="EZ611" s="29"/>
      <c r="FA611" s="29"/>
      <c r="FB611" s="29"/>
      <c r="FC611" s="29"/>
      <c r="FD611" s="29"/>
      <c r="FE611" s="29"/>
      <c r="FF611" s="29"/>
      <c r="FG611" s="29"/>
      <c r="FH611" s="29"/>
      <c r="FI611" s="29"/>
      <c r="FJ611" s="29"/>
      <c r="FK611" s="29"/>
      <c r="FL611" s="29"/>
      <c r="FM611" s="29"/>
      <c r="FN611" s="29"/>
      <c r="FO611" s="29"/>
      <c r="FP611" s="29"/>
      <c r="FQ611" s="29"/>
      <c r="FR611" s="29"/>
      <c r="FS611" s="29"/>
      <c r="FT611" s="29"/>
      <c r="FU611" s="29"/>
      <c r="FV611" s="29"/>
      <c r="FW611" s="29"/>
      <c r="FX611" s="29"/>
      <c r="FY611" s="29"/>
      <c r="FZ611" s="29"/>
      <c r="GA611" s="29"/>
      <c r="GB611" s="29"/>
      <c r="GC611" s="29"/>
      <c r="GD611" s="29"/>
      <c r="GE611" s="29"/>
      <c r="GF611" s="29"/>
      <c r="GG611" s="29"/>
      <c r="GH611" s="29"/>
      <c r="GI611" s="29"/>
      <c r="GJ611" s="29"/>
      <c r="GK611" s="29"/>
      <c r="GL611" s="29"/>
      <c r="GM611" s="29"/>
      <c r="GN611" s="29"/>
      <c r="GO611" s="29"/>
      <c r="GP611" s="29"/>
      <c r="GQ611" s="29"/>
      <c r="GR611" s="29"/>
      <c r="GS611" s="29"/>
      <c r="GT611" s="29"/>
      <c r="GU611" s="29"/>
      <c r="HP611" s="31"/>
      <c r="MX611" s="29"/>
      <c r="MY611" s="29"/>
    </row>
    <row r="612" ht="16.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c r="AX612" s="29"/>
      <c r="AY612" s="29"/>
      <c r="AZ612" s="29"/>
      <c r="BA612" s="29"/>
      <c r="BB612" s="29"/>
      <c r="BC612" s="29"/>
      <c r="BD612" s="29"/>
      <c r="BE612" s="29"/>
      <c r="BF612" s="29"/>
      <c r="BG612" s="29"/>
      <c r="BH612" s="29"/>
      <c r="BI612" s="29"/>
      <c r="BJ612" s="29"/>
      <c r="BK612" s="29"/>
      <c r="BL612" s="29"/>
      <c r="BM612" s="29"/>
      <c r="BN612" s="29"/>
      <c r="BO612" s="29"/>
      <c r="BP612" s="29"/>
      <c r="BQ612" s="29"/>
      <c r="BR612" s="29"/>
      <c r="BS612" s="29"/>
      <c r="BT612" s="29"/>
      <c r="BU612" s="29"/>
      <c r="BV612" s="29"/>
      <c r="BW612" s="29"/>
      <c r="BX612" s="29"/>
      <c r="BY612" s="29"/>
      <c r="BZ612" s="29"/>
      <c r="CA612" s="29"/>
      <c r="CB612" s="29"/>
      <c r="CC612" s="29"/>
      <c r="CD612" s="29"/>
      <c r="CE612" s="29"/>
      <c r="CF612" s="29"/>
      <c r="CG612" s="29"/>
      <c r="CH612" s="29"/>
      <c r="CI612" s="29"/>
      <c r="CJ612" s="29"/>
      <c r="CK612" s="29"/>
      <c r="CL612" s="29"/>
      <c r="CM612" s="29"/>
      <c r="CN612" s="29"/>
      <c r="CO612" s="29"/>
      <c r="CP612" s="29"/>
      <c r="CQ612" s="29"/>
      <c r="CR612" s="29"/>
      <c r="CS612" s="29"/>
      <c r="CT612" s="29"/>
      <c r="CU612" s="29"/>
      <c r="CV612" s="29"/>
      <c r="CW612" s="29"/>
      <c r="CX612" s="29"/>
      <c r="CY612" s="29"/>
      <c r="CZ612" s="29"/>
      <c r="DA612" s="29"/>
      <c r="DB612" s="29"/>
      <c r="DC612" s="29"/>
      <c r="DD612" s="29"/>
      <c r="DE612" s="29"/>
      <c r="DF612" s="29"/>
      <c r="DG612" s="29"/>
      <c r="DH612" s="29"/>
      <c r="DI612" s="29"/>
      <c r="DJ612" s="29"/>
      <c r="DK612" s="29"/>
      <c r="DL612" s="29"/>
      <c r="DM612" s="29"/>
      <c r="DN612" s="29"/>
      <c r="DO612" s="29"/>
      <c r="DP612" s="29"/>
      <c r="DQ612" s="29"/>
      <c r="DR612" s="29"/>
      <c r="DS612" s="29"/>
      <c r="DT612" s="29"/>
      <c r="DU612" s="29"/>
      <c r="DV612" s="29"/>
      <c r="DW612" s="29"/>
      <c r="DX612" s="29"/>
      <c r="DY612" s="29"/>
      <c r="DZ612" s="29"/>
      <c r="EA612" s="29"/>
      <c r="EB612" s="29"/>
      <c r="EC612" s="29"/>
      <c r="ED612" s="29"/>
      <c r="EE612" s="29"/>
      <c r="EF612" s="29"/>
      <c r="EG612" s="29"/>
      <c r="EH612" s="29"/>
      <c r="EI612" s="29"/>
      <c r="EJ612" s="29"/>
      <c r="EK612" s="29"/>
      <c r="EL612" s="29"/>
      <c r="EM612" s="29"/>
      <c r="EN612" s="29"/>
      <c r="EO612" s="29"/>
      <c r="EP612" s="29"/>
      <c r="EQ612" s="29"/>
      <c r="ER612" s="29"/>
      <c r="ES612" s="29"/>
      <c r="ET612" s="29"/>
      <c r="EU612" s="29"/>
      <c r="EV612" s="29"/>
      <c r="EW612" s="29"/>
      <c r="EX612" s="29"/>
      <c r="EY612" s="29"/>
      <c r="EZ612" s="29"/>
      <c r="FA612" s="29"/>
      <c r="FB612" s="29"/>
      <c r="FC612" s="29"/>
      <c r="FD612" s="29"/>
      <c r="FE612" s="29"/>
      <c r="FF612" s="29"/>
      <c r="FG612" s="29"/>
      <c r="FH612" s="29"/>
      <c r="FI612" s="29"/>
      <c r="FJ612" s="29"/>
      <c r="FK612" s="29"/>
      <c r="FL612" s="29"/>
      <c r="FM612" s="29"/>
      <c r="FN612" s="29"/>
      <c r="FO612" s="29"/>
      <c r="FP612" s="29"/>
      <c r="FQ612" s="29"/>
      <c r="FR612" s="29"/>
      <c r="FS612" s="29"/>
      <c r="FT612" s="29"/>
      <c r="FU612" s="29"/>
      <c r="FV612" s="29"/>
      <c r="FW612" s="29"/>
      <c r="FX612" s="29"/>
      <c r="FY612" s="29"/>
      <c r="FZ612" s="29"/>
      <c r="GA612" s="29"/>
      <c r="GB612" s="29"/>
      <c r="GC612" s="29"/>
      <c r="GD612" s="29"/>
      <c r="GE612" s="29"/>
      <c r="GF612" s="29"/>
      <c r="GG612" s="29"/>
      <c r="GH612" s="29"/>
      <c r="GI612" s="29"/>
      <c r="GJ612" s="29"/>
      <c r="GK612" s="29"/>
      <c r="GL612" s="29"/>
      <c r="GM612" s="29"/>
      <c r="GN612" s="29"/>
      <c r="GO612" s="29"/>
      <c r="GP612" s="29"/>
      <c r="GQ612" s="29"/>
      <c r="GR612" s="29"/>
      <c r="GS612" s="29"/>
      <c r="GT612" s="29"/>
      <c r="GU612" s="29"/>
      <c r="HP612" s="31"/>
      <c r="MX612" s="29"/>
      <c r="MY612" s="29"/>
    </row>
    <row r="613" ht="16.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c r="BO613" s="29"/>
      <c r="BP613" s="29"/>
      <c r="BQ613" s="29"/>
      <c r="BR613" s="29"/>
      <c r="BS613" s="29"/>
      <c r="BT613" s="29"/>
      <c r="BU613" s="29"/>
      <c r="BV613" s="29"/>
      <c r="BW613" s="29"/>
      <c r="BX613" s="29"/>
      <c r="BY613" s="29"/>
      <c r="BZ613" s="29"/>
      <c r="CA613" s="29"/>
      <c r="CB613" s="29"/>
      <c r="CC613" s="29"/>
      <c r="CD613" s="29"/>
      <c r="CE613" s="29"/>
      <c r="CF613" s="29"/>
      <c r="CG613" s="29"/>
      <c r="CH613" s="29"/>
      <c r="CI613" s="29"/>
      <c r="CJ613" s="29"/>
      <c r="CK613" s="29"/>
      <c r="CL613" s="29"/>
      <c r="CM613" s="29"/>
      <c r="CN613" s="29"/>
      <c r="CO613" s="29"/>
      <c r="CP613" s="29"/>
      <c r="CQ613" s="29"/>
      <c r="CR613" s="29"/>
      <c r="CS613" s="29"/>
      <c r="CT613" s="29"/>
      <c r="CU613" s="29"/>
      <c r="CV613" s="29"/>
      <c r="CW613" s="29"/>
      <c r="CX613" s="29"/>
      <c r="CY613" s="29"/>
      <c r="CZ613" s="29"/>
      <c r="DA613" s="29"/>
      <c r="DB613" s="29"/>
      <c r="DC613" s="29"/>
      <c r="DD613" s="29"/>
      <c r="DE613" s="29"/>
      <c r="DF613" s="29"/>
      <c r="DG613" s="29"/>
      <c r="DH613" s="29"/>
      <c r="DI613" s="29"/>
      <c r="DJ613" s="29"/>
      <c r="DK613" s="29"/>
      <c r="DL613" s="29"/>
      <c r="DM613" s="29"/>
      <c r="DN613" s="29"/>
      <c r="DO613" s="29"/>
      <c r="DP613" s="29"/>
      <c r="DQ613" s="29"/>
      <c r="DR613" s="29"/>
      <c r="DS613" s="29"/>
      <c r="DT613" s="29"/>
      <c r="DU613" s="29"/>
      <c r="DV613" s="29"/>
      <c r="DW613" s="29"/>
      <c r="DX613" s="29"/>
      <c r="DY613" s="29"/>
      <c r="DZ613" s="29"/>
      <c r="EA613" s="29"/>
      <c r="EB613" s="29"/>
      <c r="EC613" s="29"/>
      <c r="ED613" s="29"/>
      <c r="EE613" s="29"/>
      <c r="EF613" s="29"/>
      <c r="EG613" s="29"/>
      <c r="EH613" s="29"/>
      <c r="EI613" s="29"/>
      <c r="EJ613" s="29"/>
      <c r="EK613" s="29"/>
      <c r="EL613" s="29"/>
      <c r="EM613" s="29"/>
      <c r="EN613" s="29"/>
      <c r="EO613" s="29"/>
      <c r="EP613" s="29"/>
      <c r="EQ613" s="29"/>
      <c r="ER613" s="29"/>
      <c r="ES613" s="29"/>
      <c r="ET613" s="29"/>
      <c r="EU613" s="29"/>
      <c r="EV613" s="29"/>
      <c r="EW613" s="29"/>
      <c r="EX613" s="29"/>
      <c r="EY613" s="29"/>
      <c r="EZ613" s="29"/>
      <c r="FA613" s="29"/>
      <c r="FB613" s="29"/>
      <c r="FC613" s="29"/>
      <c r="FD613" s="29"/>
      <c r="FE613" s="29"/>
      <c r="FF613" s="29"/>
      <c r="FG613" s="29"/>
      <c r="FH613" s="29"/>
      <c r="FI613" s="29"/>
      <c r="FJ613" s="29"/>
      <c r="FK613" s="29"/>
      <c r="FL613" s="29"/>
      <c r="FM613" s="29"/>
      <c r="FN613" s="29"/>
      <c r="FO613" s="29"/>
      <c r="FP613" s="29"/>
      <c r="FQ613" s="29"/>
      <c r="FR613" s="29"/>
      <c r="FS613" s="29"/>
      <c r="FT613" s="29"/>
      <c r="FU613" s="29"/>
      <c r="FV613" s="29"/>
      <c r="FW613" s="29"/>
      <c r="FX613" s="29"/>
      <c r="FY613" s="29"/>
      <c r="FZ613" s="29"/>
      <c r="GA613" s="29"/>
      <c r="GB613" s="29"/>
      <c r="GC613" s="29"/>
      <c r="GD613" s="29"/>
      <c r="GE613" s="29"/>
      <c r="GF613" s="29"/>
      <c r="GG613" s="29"/>
      <c r="GH613" s="29"/>
      <c r="GI613" s="29"/>
      <c r="GJ613" s="29"/>
      <c r="GK613" s="29"/>
      <c r="GL613" s="29"/>
      <c r="GM613" s="29"/>
      <c r="GN613" s="29"/>
      <c r="GO613" s="29"/>
      <c r="GP613" s="29"/>
      <c r="GQ613" s="29"/>
      <c r="GR613" s="29"/>
      <c r="GS613" s="29"/>
      <c r="GT613" s="29"/>
      <c r="GU613" s="29"/>
      <c r="HP613" s="31"/>
      <c r="MX613" s="29"/>
      <c r="MY613" s="29"/>
    </row>
    <row r="614" ht="16.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c r="AX614" s="29"/>
      <c r="AY614" s="29"/>
      <c r="AZ614" s="29"/>
      <c r="BA614" s="29"/>
      <c r="BB614" s="29"/>
      <c r="BC614" s="29"/>
      <c r="BD614" s="29"/>
      <c r="BE614" s="29"/>
      <c r="BF614" s="29"/>
      <c r="BG614" s="29"/>
      <c r="BH614" s="29"/>
      <c r="BI614" s="29"/>
      <c r="BJ614" s="29"/>
      <c r="BK614" s="29"/>
      <c r="BL614" s="29"/>
      <c r="BM614" s="29"/>
      <c r="BN614" s="29"/>
      <c r="BO614" s="29"/>
      <c r="BP614" s="29"/>
      <c r="BQ614" s="29"/>
      <c r="BR614" s="29"/>
      <c r="BS614" s="29"/>
      <c r="BT614" s="29"/>
      <c r="BU614" s="29"/>
      <c r="BV614" s="29"/>
      <c r="BW614" s="29"/>
      <c r="BX614" s="29"/>
      <c r="BY614" s="29"/>
      <c r="BZ614" s="29"/>
      <c r="CA614" s="29"/>
      <c r="CB614" s="29"/>
      <c r="CC614" s="29"/>
      <c r="CD614" s="29"/>
      <c r="CE614" s="29"/>
      <c r="CF614" s="29"/>
      <c r="CG614" s="29"/>
      <c r="CH614" s="29"/>
      <c r="CI614" s="29"/>
      <c r="CJ614" s="29"/>
      <c r="CK614" s="29"/>
      <c r="CL614" s="29"/>
      <c r="CM614" s="29"/>
      <c r="CN614" s="29"/>
      <c r="CO614" s="29"/>
      <c r="CP614" s="29"/>
      <c r="CQ614" s="29"/>
      <c r="CR614" s="29"/>
      <c r="CS614" s="29"/>
      <c r="CT614" s="29"/>
      <c r="CU614" s="29"/>
      <c r="CV614" s="29"/>
      <c r="CW614" s="29"/>
      <c r="CX614" s="29"/>
      <c r="CY614" s="29"/>
      <c r="CZ614" s="29"/>
      <c r="DA614" s="29"/>
      <c r="DB614" s="29"/>
      <c r="DC614" s="29"/>
      <c r="DD614" s="29"/>
      <c r="DE614" s="29"/>
      <c r="DF614" s="29"/>
      <c r="DG614" s="29"/>
      <c r="DH614" s="29"/>
      <c r="DI614" s="29"/>
      <c r="DJ614" s="29"/>
      <c r="DK614" s="29"/>
      <c r="DL614" s="29"/>
      <c r="DM614" s="29"/>
      <c r="DN614" s="29"/>
      <c r="DO614" s="29"/>
      <c r="DP614" s="29"/>
      <c r="DQ614" s="29"/>
      <c r="DR614" s="29"/>
      <c r="DS614" s="29"/>
      <c r="DT614" s="29"/>
      <c r="DU614" s="29"/>
      <c r="DV614" s="29"/>
      <c r="DW614" s="29"/>
      <c r="DX614" s="29"/>
      <c r="DY614" s="29"/>
      <c r="DZ614" s="29"/>
      <c r="EA614" s="29"/>
      <c r="EB614" s="29"/>
      <c r="EC614" s="29"/>
      <c r="ED614" s="29"/>
      <c r="EE614" s="29"/>
      <c r="EF614" s="29"/>
      <c r="EG614" s="29"/>
      <c r="EH614" s="29"/>
      <c r="EI614" s="29"/>
      <c r="EJ614" s="29"/>
      <c r="EK614" s="29"/>
      <c r="EL614" s="29"/>
      <c r="EM614" s="29"/>
      <c r="EN614" s="29"/>
      <c r="EO614" s="29"/>
      <c r="EP614" s="29"/>
      <c r="EQ614" s="29"/>
      <c r="ER614" s="29"/>
      <c r="ES614" s="29"/>
      <c r="ET614" s="29"/>
      <c r="EU614" s="29"/>
      <c r="EV614" s="29"/>
      <c r="EW614" s="29"/>
      <c r="EX614" s="29"/>
      <c r="EY614" s="29"/>
      <c r="EZ614" s="29"/>
      <c r="FA614" s="29"/>
      <c r="FB614" s="29"/>
      <c r="FC614" s="29"/>
      <c r="FD614" s="29"/>
      <c r="FE614" s="29"/>
      <c r="FF614" s="29"/>
      <c r="FG614" s="29"/>
      <c r="FH614" s="29"/>
      <c r="FI614" s="29"/>
      <c r="FJ614" s="29"/>
      <c r="FK614" s="29"/>
      <c r="FL614" s="29"/>
      <c r="FM614" s="29"/>
      <c r="FN614" s="29"/>
      <c r="FO614" s="29"/>
      <c r="FP614" s="29"/>
      <c r="FQ614" s="29"/>
      <c r="FR614" s="29"/>
      <c r="FS614" s="29"/>
      <c r="FT614" s="29"/>
      <c r="FU614" s="29"/>
      <c r="FV614" s="29"/>
      <c r="FW614" s="29"/>
      <c r="FX614" s="29"/>
      <c r="FY614" s="29"/>
      <c r="FZ614" s="29"/>
      <c r="GA614" s="29"/>
      <c r="GB614" s="29"/>
      <c r="GC614" s="29"/>
      <c r="GD614" s="29"/>
      <c r="GE614" s="29"/>
      <c r="GF614" s="29"/>
      <c r="GG614" s="29"/>
      <c r="GH614" s="29"/>
      <c r="GI614" s="29"/>
      <c r="GJ614" s="29"/>
      <c r="GK614" s="29"/>
      <c r="GL614" s="29"/>
      <c r="GM614" s="29"/>
      <c r="GN614" s="29"/>
      <c r="GO614" s="29"/>
      <c r="GP614" s="29"/>
      <c r="GQ614" s="29"/>
      <c r="GR614" s="29"/>
      <c r="GS614" s="29"/>
      <c r="GT614" s="29"/>
      <c r="GU614" s="29"/>
      <c r="HP614" s="31"/>
      <c r="MX614" s="29"/>
      <c r="MY614" s="29"/>
    </row>
    <row r="615" ht="16.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c r="BO615" s="29"/>
      <c r="BP615" s="29"/>
      <c r="BQ615" s="29"/>
      <c r="BR615" s="29"/>
      <c r="BS615" s="29"/>
      <c r="BT615" s="29"/>
      <c r="BU615" s="29"/>
      <c r="BV615" s="29"/>
      <c r="BW615" s="29"/>
      <c r="BX615" s="29"/>
      <c r="BY615" s="29"/>
      <c r="BZ615" s="29"/>
      <c r="CA615" s="29"/>
      <c r="CB615" s="29"/>
      <c r="CC615" s="29"/>
      <c r="CD615" s="29"/>
      <c r="CE615" s="29"/>
      <c r="CF615" s="29"/>
      <c r="CG615" s="29"/>
      <c r="CH615" s="29"/>
      <c r="CI615" s="29"/>
      <c r="CJ615" s="29"/>
      <c r="CK615" s="29"/>
      <c r="CL615" s="29"/>
      <c r="CM615" s="29"/>
      <c r="CN615" s="29"/>
      <c r="CO615" s="29"/>
      <c r="CP615" s="29"/>
      <c r="CQ615" s="29"/>
      <c r="CR615" s="29"/>
      <c r="CS615" s="29"/>
      <c r="CT615" s="29"/>
      <c r="CU615" s="29"/>
      <c r="CV615" s="29"/>
      <c r="CW615" s="29"/>
      <c r="CX615" s="29"/>
      <c r="CY615" s="29"/>
      <c r="CZ615" s="29"/>
      <c r="DA615" s="29"/>
      <c r="DB615" s="29"/>
      <c r="DC615" s="29"/>
      <c r="DD615" s="29"/>
      <c r="DE615" s="29"/>
      <c r="DF615" s="29"/>
      <c r="DG615" s="29"/>
      <c r="DH615" s="29"/>
      <c r="DI615" s="29"/>
      <c r="DJ615" s="29"/>
      <c r="DK615" s="29"/>
      <c r="DL615" s="29"/>
      <c r="DM615" s="29"/>
      <c r="DN615" s="29"/>
      <c r="DO615" s="29"/>
      <c r="DP615" s="29"/>
      <c r="DQ615" s="29"/>
      <c r="DR615" s="29"/>
      <c r="DS615" s="29"/>
      <c r="DT615" s="29"/>
      <c r="DU615" s="29"/>
      <c r="DV615" s="29"/>
      <c r="DW615" s="29"/>
      <c r="DX615" s="29"/>
      <c r="DY615" s="29"/>
      <c r="DZ615" s="29"/>
      <c r="EA615" s="29"/>
      <c r="EB615" s="29"/>
      <c r="EC615" s="29"/>
      <c r="ED615" s="29"/>
      <c r="EE615" s="29"/>
      <c r="EF615" s="29"/>
      <c r="EG615" s="29"/>
      <c r="EH615" s="29"/>
      <c r="EI615" s="29"/>
      <c r="EJ615" s="29"/>
      <c r="EK615" s="29"/>
      <c r="EL615" s="29"/>
      <c r="EM615" s="29"/>
      <c r="EN615" s="29"/>
      <c r="EO615" s="29"/>
      <c r="EP615" s="29"/>
      <c r="EQ615" s="29"/>
      <c r="ER615" s="29"/>
      <c r="ES615" s="29"/>
      <c r="ET615" s="29"/>
      <c r="EU615" s="29"/>
      <c r="EV615" s="29"/>
      <c r="EW615" s="29"/>
      <c r="EX615" s="29"/>
      <c r="EY615" s="29"/>
      <c r="EZ615" s="29"/>
      <c r="FA615" s="29"/>
      <c r="FB615" s="29"/>
      <c r="FC615" s="29"/>
      <c r="FD615" s="29"/>
      <c r="FE615" s="29"/>
      <c r="FF615" s="29"/>
      <c r="FG615" s="29"/>
      <c r="FH615" s="29"/>
      <c r="FI615" s="29"/>
      <c r="FJ615" s="29"/>
      <c r="FK615" s="29"/>
      <c r="FL615" s="29"/>
      <c r="FM615" s="29"/>
      <c r="FN615" s="29"/>
      <c r="FO615" s="29"/>
      <c r="FP615" s="29"/>
      <c r="FQ615" s="29"/>
      <c r="FR615" s="29"/>
      <c r="FS615" s="29"/>
      <c r="FT615" s="29"/>
      <c r="FU615" s="29"/>
      <c r="FV615" s="29"/>
      <c r="FW615" s="29"/>
      <c r="FX615" s="29"/>
      <c r="FY615" s="29"/>
      <c r="FZ615" s="29"/>
      <c r="GA615" s="29"/>
      <c r="GB615" s="29"/>
      <c r="GC615" s="29"/>
      <c r="GD615" s="29"/>
      <c r="GE615" s="29"/>
      <c r="GF615" s="29"/>
      <c r="GG615" s="29"/>
      <c r="GH615" s="29"/>
      <c r="GI615" s="29"/>
      <c r="GJ615" s="29"/>
      <c r="GK615" s="29"/>
      <c r="GL615" s="29"/>
      <c r="GM615" s="29"/>
      <c r="GN615" s="29"/>
      <c r="GO615" s="29"/>
      <c r="GP615" s="29"/>
      <c r="GQ615" s="29"/>
      <c r="GR615" s="29"/>
      <c r="GS615" s="29"/>
      <c r="GT615" s="29"/>
      <c r="GU615" s="29"/>
      <c r="HP615" s="31"/>
      <c r="MX615" s="29"/>
      <c r="MY615" s="29"/>
    </row>
    <row r="616" ht="16.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29"/>
      <c r="AW616" s="29"/>
      <c r="AX616" s="29"/>
      <c r="AY616" s="29"/>
      <c r="AZ616" s="29"/>
      <c r="BA616" s="29"/>
      <c r="BB616" s="29"/>
      <c r="BC616" s="29"/>
      <c r="BD616" s="29"/>
      <c r="BE616" s="29"/>
      <c r="BF616" s="29"/>
      <c r="BG616" s="29"/>
      <c r="BH616" s="29"/>
      <c r="BI616" s="29"/>
      <c r="BJ616" s="29"/>
      <c r="BK616" s="29"/>
      <c r="BL616" s="29"/>
      <c r="BM616" s="29"/>
      <c r="BN616" s="29"/>
      <c r="BO616" s="29"/>
      <c r="BP616" s="29"/>
      <c r="BQ616" s="29"/>
      <c r="BR616" s="29"/>
      <c r="BS616" s="29"/>
      <c r="BT616" s="29"/>
      <c r="BU616" s="29"/>
      <c r="BV616" s="29"/>
      <c r="BW616" s="29"/>
      <c r="BX616" s="29"/>
      <c r="BY616" s="29"/>
      <c r="BZ616" s="29"/>
      <c r="CA616" s="29"/>
      <c r="CB616" s="29"/>
      <c r="CC616" s="29"/>
      <c r="CD616" s="29"/>
      <c r="CE616" s="29"/>
      <c r="CF616" s="29"/>
      <c r="CG616" s="29"/>
      <c r="CH616" s="29"/>
      <c r="CI616" s="29"/>
      <c r="CJ616" s="29"/>
      <c r="CK616" s="29"/>
      <c r="CL616" s="29"/>
      <c r="CM616" s="29"/>
      <c r="CN616" s="29"/>
      <c r="CO616" s="29"/>
      <c r="CP616" s="29"/>
      <c r="CQ616" s="29"/>
      <c r="CR616" s="29"/>
      <c r="CS616" s="29"/>
      <c r="CT616" s="29"/>
      <c r="CU616" s="29"/>
      <c r="CV616" s="29"/>
      <c r="CW616" s="29"/>
      <c r="CX616" s="29"/>
      <c r="CY616" s="29"/>
      <c r="CZ616" s="29"/>
      <c r="DA616" s="29"/>
      <c r="DB616" s="29"/>
      <c r="DC616" s="29"/>
      <c r="DD616" s="29"/>
      <c r="DE616" s="29"/>
      <c r="DF616" s="29"/>
      <c r="DG616" s="29"/>
      <c r="DH616" s="29"/>
      <c r="DI616" s="29"/>
      <c r="DJ616" s="29"/>
      <c r="DK616" s="29"/>
      <c r="DL616" s="29"/>
      <c r="DM616" s="29"/>
      <c r="DN616" s="29"/>
      <c r="DO616" s="29"/>
      <c r="DP616" s="29"/>
      <c r="DQ616" s="29"/>
      <c r="DR616" s="29"/>
      <c r="DS616" s="29"/>
      <c r="DT616" s="29"/>
      <c r="DU616" s="29"/>
      <c r="DV616" s="29"/>
      <c r="DW616" s="29"/>
      <c r="DX616" s="29"/>
      <c r="DY616" s="29"/>
      <c r="DZ616" s="29"/>
      <c r="EA616" s="29"/>
      <c r="EB616" s="29"/>
      <c r="EC616" s="29"/>
      <c r="ED616" s="29"/>
      <c r="EE616" s="29"/>
      <c r="EF616" s="29"/>
      <c r="EG616" s="29"/>
      <c r="EH616" s="29"/>
      <c r="EI616" s="29"/>
      <c r="EJ616" s="29"/>
      <c r="EK616" s="29"/>
      <c r="EL616" s="29"/>
      <c r="EM616" s="29"/>
      <c r="EN616" s="29"/>
      <c r="EO616" s="29"/>
      <c r="EP616" s="29"/>
      <c r="EQ616" s="29"/>
      <c r="ER616" s="29"/>
      <c r="ES616" s="29"/>
      <c r="ET616" s="29"/>
      <c r="EU616" s="29"/>
      <c r="EV616" s="29"/>
      <c r="EW616" s="29"/>
      <c r="EX616" s="29"/>
      <c r="EY616" s="29"/>
      <c r="EZ616" s="29"/>
      <c r="FA616" s="29"/>
      <c r="FB616" s="29"/>
      <c r="FC616" s="29"/>
      <c r="FD616" s="29"/>
      <c r="FE616" s="29"/>
      <c r="FF616" s="29"/>
      <c r="FG616" s="29"/>
      <c r="FH616" s="29"/>
      <c r="FI616" s="29"/>
      <c r="FJ616" s="29"/>
      <c r="FK616" s="29"/>
      <c r="FL616" s="29"/>
      <c r="FM616" s="29"/>
      <c r="FN616" s="29"/>
      <c r="FO616" s="29"/>
      <c r="FP616" s="29"/>
      <c r="FQ616" s="29"/>
      <c r="FR616" s="29"/>
      <c r="FS616" s="29"/>
      <c r="FT616" s="29"/>
      <c r="FU616" s="29"/>
      <c r="FV616" s="29"/>
      <c r="FW616" s="29"/>
      <c r="FX616" s="29"/>
      <c r="FY616" s="29"/>
      <c r="FZ616" s="29"/>
      <c r="GA616" s="29"/>
      <c r="GB616" s="29"/>
      <c r="GC616" s="29"/>
      <c r="GD616" s="29"/>
      <c r="GE616" s="29"/>
      <c r="GF616" s="29"/>
      <c r="GG616" s="29"/>
      <c r="GH616" s="29"/>
      <c r="GI616" s="29"/>
      <c r="GJ616" s="29"/>
      <c r="GK616" s="29"/>
      <c r="GL616" s="29"/>
      <c r="GM616" s="29"/>
      <c r="GN616" s="29"/>
      <c r="GO616" s="29"/>
      <c r="GP616" s="29"/>
      <c r="GQ616" s="29"/>
      <c r="GR616" s="29"/>
      <c r="GS616" s="29"/>
      <c r="GT616" s="29"/>
      <c r="GU616" s="29"/>
      <c r="HP616" s="31"/>
      <c r="MX616" s="29"/>
      <c r="MY616" s="29"/>
    </row>
    <row r="617" ht="16.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c r="BO617" s="29"/>
      <c r="BP617" s="29"/>
      <c r="BQ617" s="29"/>
      <c r="BR617" s="29"/>
      <c r="BS617" s="29"/>
      <c r="BT617" s="29"/>
      <c r="BU617" s="29"/>
      <c r="BV617" s="29"/>
      <c r="BW617" s="29"/>
      <c r="BX617" s="29"/>
      <c r="BY617" s="29"/>
      <c r="BZ617" s="29"/>
      <c r="CA617" s="29"/>
      <c r="CB617" s="29"/>
      <c r="CC617" s="29"/>
      <c r="CD617" s="29"/>
      <c r="CE617" s="29"/>
      <c r="CF617" s="29"/>
      <c r="CG617" s="29"/>
      <c r="CH617" s="29"/>
      <c r="CI617" s="29"/>
      <c r="CJ617" s="29"/>
      <c r="CK617" s="29"/>
      <c r="CL617" s="29"/>
      <c r="CM617" s="29"/>
      <c r="CN617" s="29"/>
      <c r="CO617" s="29"/>
      <c r="CP617" s="29"/>
      <c r="CQ617" s="29"/>
      <c r="CR617" s="29"/>
      <c r="CS617" s="29"/>
      <c r="CT617" s="29"/>
      <c r="CU617" s="29"/>
      <c r="CV617" s="29"/>
      <c r="CW617" s="29"/>
      <c r="CX617" s="29"/>
      <c r="CY617" s="29"/>
      <c r="CZ617" s="29"/>
      <c r="DA617" s="29"/>
      <c r="DB617" s="29"/>
      <c r="DC617" s="29"/>
      <c r="DD617" s="29"/>
      <c r="DE617" s="29"/>
      <c r="DF617" s="29"/>
      <c r="DG617" s="29"/>
      <c r="DH617" s="29"/>
      <c r="DI617" s="29"/>
      <c r="DJ617" s="29"/>
      <c r="DK617" s="29"/>
      <c r="DL617" s="29"/>
      <c r="DM617" s="29"/>
      <c r="DN617" s="29"/>
      <c r="DO617" s="29"/>
      <c r="DP617" s="29"/>
      <c r="DQ617" s="29"/>
      <c r="DR617" s="29"/>
      <c r="DS617" s="29"/>
      <c r="DT617" s="29"/>
      <c r="DU617" s="29"/>
      <c r="DV617" s="29"/>
      <c r="DW617" s="29"/>
      <c r="DX617" s="29"/>
      <c r="DY617" s="29"/>
      <c r="DZ617" s="29"/>
      <c r="EA617" s="29"/>
      <c r="EB617" s="29"/>
      <c r="EC617" s="29"/>
      <c r="ED617" s="29"/>
      <c r="EE617" s="29"/>
      <c r="EF617" s="29"/>
      <c r="EG617" s="29"/>
      <c r="EH617" s="29"/>
      <c r="EI617" s="29"/>
      <c r="EJ617" s="29"/>
      <c r="EK617" s="29"/>
      <c r="EL617" s="29"/>
      <c r="EM617" s="29"/>
      <c r="EN617" s="29"/>
      <c r="EO617" s="29"/>
      <c r="EP617" s="29"/>
      <c r="EQ617" s="29"/>
      <c r="ER617" s="29"/>
      <c r="ES617" s="29"/>
      <c r="ET617" s="29"/>
      <c r="EU617" s="29"/>
      <c r="EV617" s="29"/>
      <c r="EW617" s="29"/>
      <c r="EX617" s="29"/>
      <c r="EY617" s="29"/>
      <c r="EZ617" s="29"/>
      <c r="FA617" s="29"/>
      <c r="FB617" s="29"/>
      <c r="FC617" s="29"/>
      <c r="FD617" s="29"/>
      <c r="FE617" s="29"/>
      <c r="FF617" s="29"/>
      <c r="FG617" s="29"/>
      <c r="FH617" s="29"/>
      <c r="FI617" s="29"/>
      <c r="FJ617" s="29"/>
      <c r="FK617" s="29"/>
      <c r="FL617" s="29"/>
      <c r="FM617" s="29"/>
      <c r="FN617" s="29"/>
      <c r="FO617" s="29"/>
      <c r="FP617" s="29"/>
      <c r="FQ617" s="29"/>
      <c r="FR617" s="29"/>
      <c r="FS617" s="29"/>
      <c r="FT617" s="29"/>
      <c r="FU617" s="29"/>
      <c r="FV617" s="29"/>
      <c r="FW617" s="29"/>
      <c r="FX617" s="29"/>
      <c r="FY617" s="29"/>
      <c r="FZ617" s="29"/>
      <c r="GA617" s="29"/>
      <c r="GB617" s="29"/>
      <c r="GC617" s="29"/>
      <c r="GD617" s="29"/>
      <c r="GE617" s="29"/>
      <c r="GF617" s="29"/>
      <c r="GG617" s="29"/>
      <c r="GH617" s="29"/>
      <c r="GI617" s="29"/>
      <c r="GJ617" s="29"/>
      <c r="GK617" s="29"/>
      <c r="GL617" s="29"/>
      <c r="GM617" s="29"/>
      <c r="GN617" s="29"/>
      <c r="GO617" s="29"/>
      <c r="GP617" s="29"/>
      <c r="GQ617" s="29"/>
      <c r="GR617" s="29"/>
      <c r="GS617" s="29"/>
      <c r="GT617" s="29"/>
      <c r="GU617" s="29"/>
      <c r="HP617" s="31"/>
      <c r="MX617" s="29"/>
      <c r="MY617" s="29"/>
    </row>
    <row r="618" ht="16.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29"/>
      <c r="AW618" s="29"/>
      <c r="AX618" s="29"/>
      <c r="AY618" s="29"/>
      <c r="AZ618" s="29"/>
      <c r="BA618" s="29"/>
      <c r="BB618" s="29"/>
      <c r="BC618" s="29"/>
      <c r="BD618" s="29"/>
      <c r="BE618" s="29"/>
      <c r="BF618" s="29"/>
      <c r="BG618" s="29"/>
      <c r="BH618" s="29"/>
      <c r="BI618" s="29"/>
      <c r="BJ618" s="29"/>
      <c r="BK618" s="29"/>
      <c r="BL618" s="29"/>
      <c r="BM618" s="29"/>
      <c r="BN618" s="29"/>
      <c r="BO618" s="29"/>
      <c r="BP618" s="29"/>
      <c r="BQ618" s="29"/>
      <c r="BR618" s="29"/>
      <c r="BS618" s="29"/>
      <c r="BT618" s="29"/>
      <c r="BU618" s="29"/>
      <c r="BV618" s="29"/>
      <c r="BW618" s="29"/>
      <c r="BX618" s="29"/>
      <c r="BY618" s="29"/>
      <c r="BZ618" s="29"/>
      <c r="CA618" s="29"/>
      <c r="CB618" s="29"/>
      <c r="CC618" s="29"/>
      <c r="CD618" s="29"/>
      <c r="CE618" s="29"/>
      <c r="CF618" s="29"/>
      <c r="CG618" s="29"/>
      <c r="CH618" s="29"/>
      <c r="CI618" s="29"/>
      <c r="CJ618" s="29"/>
      <c r="CK618" s="29"/>
      <c r="CL618" s="29"/>
      <c r="CM618" s="29"/>
      <c r="CN618" s="29"/>
      <c r="CO618" s="29"/>
      <c r="CP618" s="29"/>
      <c r="CQ618" s="29"/>
      <c r="CR618" s="29"/>
      <c r="CS618" s="29"/>
      <c r="CT618" s="29"/>
      <c r="CU618" s="29"/>
      <c r="CV618" s="29"/>
      <c r="CW618" s="29"/>
      <c r="CX618" s="29"/>
      <c r="CY618" s="29"/>
      <c r="CZ618" s="29"/>
      <c r="DA618" s="29"/>
      <c r="DB618" s="29"/>
      <c r="DC618" s="29"/>
      <c r="DD618" s="29"/>
      <c r="DE618" s="29"/>
      <c r="DF618" s="29"/>
      <c r="DG618" s="29"/>
      <c r="DH618" s="29"/>
      <c r="DI618" s="29"/>
      <c r="DJ618" s="29"/>
      <c r="DK618" s="29"/>
      <c r="DL618" s="29"/>
      <c r="DM618" s="29"/>
      <c r="DN618" s="29"/>
      <c r="DO618" s="29"/>
      <c r="DP618" s="29"/>
      <c r="DQ618" s="29"/>
      <c r="DR618" s="29"/>
      <c r="DS618" s="29"/>
      <c r="DT618" s="29"/>
      <c r="DU618" s="29"/>
      <c r="DV618" s="29"/>
      <c r="DW618" s="29"/>
      <c r="DX618" s="29"/>
      <c r="DY618" s="29"/>
      <c r="DZ618" s="29"/>
      <c r="EA618" s="29"/>
      <c r="EB618" s="29"/>
      <c r="EC618" s="29"/>
      <c r="ED618" s="29"/>
      <c r="EE618" s="29"/>
      <c r="EF618" s="29"/>
      <c r="EG618" s="29"/>
      <c r="EH618" s="29"/>
      <c r="EI618" s="29"/>
      <c r="EJ618" s="29"/>
      <c r="EK618" s="29"/>
      <c r="EL618" s="29"/>
      <c r="EM618" s="29"/>
      <c r="EN618" s="29"/>
      <c r="EO618" s="29"/>
      <c r="EP618" s="29"/>
      <c r="EQ618" s="29"/>
      <c r="ER618" s="29"/>
      <c r="ES618" s="29"/>
      <c r="ET618" s="29"/>
      <c r="EU618" s="29"/>
      <c r="EV618" s="29"/>
      <c r="EW618" s="29"/>
      <c r="EX618" s="29"/>
      <c r="EY618" s="29"/>
      <c r="EZ618" s="29"/>
      <c r="FA618" s="29"/>
      <c r="FB618" s="29"/>
      <c r="FC618" s="29"/>
      <c r="FD618" s="29"/>
      <c r="FE618" s="29"/>
      <c r="FF618" s="29"/>
      <c r="FG618" s="29"/>
      <c r="FH618" s="29"/>
      <c r="FI618" s="29"/>
      <c r="FJ618" s="29"/>
      <c r="FK618" s="29"/>
      <c r="FL618" s="29"/>
      <c r="FM618" s="29"/>
      <c r="FN618" s="29"/>
      <c r="FO618" s="29"/>
      <c r="FP618" s="29"/>
      <c r="FQ618" s="29"/>
      <c r="FR618" s="29"/>
      <c r="FS618" s="29"/>
      <c r="FT618" s="29"/>
      <c r="FU618" s="29"/>
      <c r="FV618" s="29"/>
      <c r="FW618" s="29"/>
      <c r="FX618" s="29"/>
      <c r="FY618" s="29"/>
      <c r="FZ618" s="29"/>
      <c r="GA618" s="29"/>
      <c r="GB618" s="29"/>
      <c r="GC618" s="29"/>
      <c r="GD618" s="29"/>
      <c r="GE618" s="29"/>
      <c r="GF618" s="29"/>
      <c r="GG618" s="29"/>
      <c r="GH618" s="29"/>
      <c r="GI618" s="29"/>
      <c r="GJ618" s="29"/>
      <c r="GK618" s="29"/>
      <c r="GL618" s="29"/>
      <c r="GM618" s="29"/>
      <c r="GN618" s="29"/>
      <c r="GO618" s="29"/>
      <c r="GP618" s="29"/>
      <c r="GQ618" s="29"/>
      <c r="GR618" s="29"/>
      <c r="GS618" s="29"/>
      <c r="GT618" s="29"/>
      <c r="GU618" s="29"/>
      <c r="HP618" s="31"/>
      <c r="MX618" s="29"/>
      <c r="MY618" s="29"/>
    </row>
    <row r="619" ht="16.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c r="BO619" s="29"/>
      <c r="BP619" s="29"/>
      <c r="BQ619" s="29"/>
      <c r="BR619" s="29"/>
      <c r="BS619" s="29"/>
      <c r="BT619" s="29"/>
      <c r="BU619" s="29"/>
      <c r="BV619" s="29"/>
      <c r="BW619" s="29"/>
      <c r="BX619" s="29"/>
      <c r="BY619" s="29"/>
      <c r="BZ619" s="29"/>
      <c r="CA619" s="29"/>
      <c r="CB619" s="29"/>
      <c r="CC619" s="29"/>
      <c r="CD619" s="29"/>
      <c r="CE619" s="29"/>
      <c r="CF619" s="29"/>
      <c r="CG619" s="29"/>
      <c r="CH619" s="29"/>
      <c r="CI619" s="29"/>
      <c r="CJ619" s="29"/>
      <c r="CK619" s="29"/>
      <c r="CL619" s="29"/>
      <c r="CM619" s="29"/>
      <c r="CN619" s="29"/>
      <c r="CO619" s="29"/>
      <c r="CP619" s="29"/>
      <c r="CQ619" s="29"/>
      <c r="CR619" s="29"/>
      <c r="CS619" s="29"/>
      <c r="CT619" s="29"/>
      <c r="CU619" s="29"/>
      <c r="CV619" s="29"/>
      <c r="CW619" s="29"/>
      <c r="CX619" s="29"/>
      <c r="CY619" s="29"/>
      <c r="CZ619" s="29"/>
      <c r="DA619" s="29"/>
      <c r="DB619" s="29"/>
      <c r="DC619" s="29"/>
      <c r="DD619" s="29"/>
      <c r="DE619" s="29"/>
      <c r="DF619" s="29"/>
      <c r="DG619" s="29"/>
      <c r="DH619" s="29"/>
      <c r="DI619" s="29"/>
      <c r="DJ619" s="29"/>
      <c r="DK619" s="29"/>
      <c r="DL619" s="29"/>
      <c r="DM619" s="29"/>
      <c r="DN619" s="29"/>
      <c r="DO619" s="29"/>
      <c r="DP619" s="29"/>
      <c r="DQ619" s="29"/>
      <c r="DR619" s="29"/>
      <c r="DS619" s="29"/>
      <c r="DT619" s="29"/>
      <c r="DU619" s="29"/>
      <c r="DV619" s="29"/>
      <c r="DW619" s="29"/>
      <c r="DX619" s="29"/>
      <c r="DY619" s="29"/>
      <c r="DZ619" s="29"/>
      <c r="EA619" s="29"/>
      <c r="EB619" s="29"/>
      <c r="EC619" s="29"/>
      <c r="ED619" s="29"/>
      <c r="EE619" s="29"/>
      <c r="EF619" s="29"/>
      <c r="EG619" s="29"/>
      <c r="EH619" s="29"/>
      <c r="EI619" s="29"/>
      <c r="EJ619" s="29"/>
      <c r="EK619" s="29"/>
      <c r="EL619" s="29"/>
      <c r="EM619" s="29"/>
      <c r="EN619" s="29"/>
      <c r="EO619" s="29"/>
      <c r="EP619" s="29"/>
      <c r="EQ619" s="29"/>
      <c r="ER619" s="29"/>
      <c r="ES619" s="29"/>
      <c r="ET619" s="29"/>
      <c r="EU619" s="29"/>
      <c r="EV619" s="29"/>
      <c r="EW619" s="29"/>
      <c r="EX619" s="29"/>
      <c r="EY619" s="29"/>
      <c r="EZ619" s="29"/>
      <c r="FA619" s="29"/>
      <c r="FB619" s="29"/>
      <c r="FC619" s="29"/>
      <c r="FD619" s="29"/>
      <c r="FE619" s="29"/>
      <c r="FF619" s="29"/>
      <c r="FG619" s="29"/>
      <c r="FH619" s="29"/>
      <c r="FI619" s="29"/>
      <c r="FJ619" s="29"/>
      <c r="FK619" s="29"/>
      <c r="FL619" s="29"/>
      <c r="FM619" s="29"/>
      <c r="FN619" s="29"/>
      <c r="FO619" s="29"/>
      <c r="FP619" s="29"/>
      <c r="FQ619" s="29"/>
      <c r="FR619" s="29"/>
      <c r="FS619" s="29"/>
      <c r="FT619" s="29"/>
      <c r="FU619" s="29"/>
      <c r="FV619" s="29"/>
      <c r="FW619" s="29"/>
      <c r="FX619" s="29"/>
      <c r="FY619" s="29"/>
      <c r="FZ619" s="29"/>
      <c r="GA619" s="29"/>
      <c r="GB619" s="29"/>
      <c r="GC619" s="29"/>
      <c r="GD619" s="29"/>
      <c r="GE619" s="29"/>
      <c r="GF619" s="29"/>
      <c r="GG619" s="29"/>
      <c r="GH619" s="29"/>
      <c r="GI619" s="29"/>
      <c r="GJ619" s="29"/>
      <c r="GK619" s="29"/>
      <c r="GL619" s="29"/>
      <c r="GM619" s="29"/>
      <c r="GN619" s="29"/>
      <c r="GO619" s="29"/>
      <c r="GP619" s="29"/>
      <c r="GQ619" s="29"/>
      <c r="GR619" s="29"/>
      <c r="GS619" s="29"/>
      <c r="GT619" s="29"/>
      <c r="GU619" s="29"/>
      <c r="HP619" s="31"/>
      <c r="MX619" s="29"/>
      <c r="MY619" s="29"/>
    </row>
    <row r="620" ht="16.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c r="AX620" s="29"/>
      <c r="AY620" s="29"/>
      <c r="AZ620" s="29"/>
      <c r="BA620" s="29"/>
      <c r="BB620" s="29"/>
      <c r="BC620" s="29"/>
      <c r="BD620" s="29"/>
      <c r="BE620" s="29"/>
      <c r="BF620" s="29"/>
      <c r="BG620" s="29"/>
      <c r="BH620" s="29"/>
      <c r="BI620" s="29"/>
      <c r="BJ620" s="29"/>
      <c r="BK620" s="29"/>
      <c r="BL620" s="29"/>
      <c r="BM620" s="29"/>
      <c r="BN620" s="29"/>
      <c r="BO620" s="29"/>
      <c r="BP620" s="29"/>
      <c r="BQ620" s="29"/>
      <c r="BR620" s="29"/>
      <c r="BS620" s="29"/>
      <c r="BT620" s="29"/>
      <c r="BU620" s="29"/>
      <c r="BV620" s="29"/>
      <c r="BW620" s="29"/>
      <c r="BX620" s="29"/>
      <c r="BY620" s="29"/>
      <c r="BZ620" s="29"/>
      <c r="CA620" s="29"/>
      <c r="CB620" s="29"/>
      <c r="CC620" s="29"/>
      <c r="CD620" s="29"/>
      <c r="CE620" s="29"/>
      <c r="CF620" s="29"/>
      <c r="CG620" s="29"/>
      <c r="CH620" s="29"/>
      <c r="CI620" s="29"/>
      <c r="CJ620" s="29"/>
      <c r="CK620" s="29"/>
      <c r="CL620" s="29"/>
      <c r="CM620" s="29"/>
      <c r="CN620" s="29"/>
      <c r="CO620" s="29"/>
      <c r="CP620" s="29"/>
      <c r="CQ620" s="29"/>
      <c r="CR620" s="29"/>
      <c r="CS620" s="29"/>
      <c r="CT620" s="29"/>
      <c r="CU620" s="29"/>
      <c r="CV620" s="29"/>
      <c r="CW620" s="29"/>
      <c r="CX620" s="29"/>
      <c r="CY620" s="29"/>
      <c r="CZ620" s="29"/>
      <c r="DA620" s="29"/>
      <c r="DB620" s="29"/>
      <c r="DC620" s="29"/>
      <c r="DD620" s="29"/>
      <c r="DE620" s="29"/>
      <c r="DF620" s="29"/>
      <c r="DG620" s="29"/>
      <c r="DH620" s="29"/>
      <c r="DI620" s="29"/>
      <c r="DJ620" s="29"/>
      <c r="DK620" s="29"/>
      <c r="DL620" s="29"/>
      <c r="DM620" s="29"/>
      <c r="DN620" s="29"/>
      <c r="DO620" s="29"/>
      <c r="DP620" s="29"/>
      <c r="DQ620" s="29"/>
      <c r="DR620" s="29"/>
      <c r="DS620" s="29"/>
      <c r="DT620" s="29"/>
      <c r="DU620" s="29"/>
      <c r="DV620" s="29"/>
      <c r="DW620" s="29"/>
      <c r="DX620" s="29"/>
      <c r="DY620" s="29"/>
      <c r="DZ620" s="29"/>
      <c r="EA620" s="29"/>
      <c r="EB620" s="29"/>
      <c r="EC620" s="29"/>
      <c r="ED620" s="29"/>
      <c r="EE620" s="29"/>
      <c r="EF620" s="29"/>
      <c r="EG620" s="29"/>
      <c r="EH620" s="29"/>
      <c r="EI620" s="29"/>
      <c r="EJ620" s="29"/>
      <c r="EK620" s="29"/>
      <c r="EL620" s="29"/>
      <c r="EM620" s="29"/>
      <c r="EN620" s="29"/>
      <c r="EO620" s="29"/>
      <c r="EP620" s="29"/>
      <c r="EQ620" s="29"/>
      <c r="ER620" s="29"/>
      <c r="ES620" s="29"/>
      <c r="ET620" s="29"/>
      <c r="EU620" s="29"/>
      <c r="EV620" s="29"/>
      <c r="EW620" s="29"/>
      <c r="EX620" s="29"/>
      <c r="EY620" s="29"/>
      <c r="EZ620" s="29"/>
      <c r="FA620" s="29"/>
      <c r="FB620" s="29"/>
      <c r="FC620" s="29"/>
      <c r="FD620" s="29"/>
      <c r="FE620" s="29"/>
      <c r="FF620" s="29"/>
      <c r="FG620" s="29"/>
      <c r="FH620" s="29"/>
      <c r="FI620" s="29"/>
      <c r="FJ620" s="29"/>
      <c r="FK620" s="29"/>
      <c r="FL620" s="29"/>
      <c r="FM620" s="29"/>
      <c r="FN620" s="29"/>
      <c r="FO620" s="29"/>
      <c r="FP620" s="29"/>
      <c r="FQ620" s="29"/>
      <c r="FR620" s="29"/>
      <c r="FS620" s="29"/>
      <c r="FT620" s="29"/>
      <c r="FU620" s="29"/>
      <c r="FV620" s="29"/>
      <c r="FW620" s="29"/>
      <c r="FX620" s="29"/>
      <c r="FY620" s="29"/>
      <c r="FZ620" s="29"/>
      <c r="GA620" s="29"/>
      <c r="GB620" s="29"/>
      <c r="GC620" s="29"/>
      <c r="GD620" s="29"/>
      <c r="GE620" s="29"/>
      <c r="GF620" s="29"/>
      <c r="GG620" s="29"/>
      <c r="GH620" s="29"/>
      <c r="GI620" s="29"/>
      <c r="GJ620" s="29"/>
      <c r="GK620" s="29"/>
      <c r="GL620" s="29"/>
      <c r="GM620" s="29"/>
      <c r="GN620" s="29"/>
      <c r="GO620" s="29"/>
      <c r="GP620" s="29"/>
      <c r="GQ620" s="29"/>
      <c r="GR620" s="29"/>
      <c r="GS620" s="29"/>
      <c r="GT620" s="29"/>
      <c r="GU620" s="29"/>
      <c r="HP620" s="31"/>
      <c r="MX620" s="29"/>
      <c r="MY620" s="29"/>
    </row>
    <row r="621" ht="16.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c r="BO621" s="29"/>
      <c r="BP621" s="29"/>
      <c r="BQ621" s="29"/>
      <c r="BR621" s="29"/>
      <c r="BS621" s="29"/>
      <c r="BT621" s="29"/>
      <c r="BU621" s="29"/>
      <c r="BV621" s="29"/>
      <c r="BW621" s="29"/>
      <c r="BX621" s="29"/>
      <c r="BY621" s="29"/>
      <c r="BZ621" s="29"/>
      <c r="CA621" s="29"/>
      <c r="CB621" s="29"/>
      <c r="CC621" s="29"/>
      <c r="CD621" s="29"/>
      <c r="CE621" s="29"/>
      <c r="CF621" s="29"/>
      <c r="CG621" s="29"/>
      <c r="CH621" s="29"/>
      <c r="CI621" s="29"/>
      <c r="CJ621" s="29"/>
      <c r="CK621" s="29"/>
      <c r="CL621" s="29"/>
      <c r="CM621" s="29"/>
      <c r="CN621" s="29"/>
      <c r="CO621" s="29"/>
      <c r="CP621" s="29"/>
      <c r="CQ621" s="29"/>
      <c r="CR621" s="29"/>
      <c r="CS621" s="29"/>
      <c r="CT621" s="29"/>
      <c r="CU621" s="29"/>
      <c r="CV621" s="29"/>
      <c r="CW621" s="29"/>
      <c r="CX621" s="29"/>
      <c r="CY621" s="29"/>
      <c r="CZ621" s="29"/>
      <c r="DA621" s="29"/>
      <c r="DB621" s="29"/>
      <c r="DC621" s="29"/>
      <c r="DD621" s="29"/>
      <c r="DE621" s="29"/>
      <c r="DF621" s="29"/>
      <c r="DG621" s="29"/>
      <c r="DH621" s="29"/>
      <c r="DI621" s="29"/>
      <c r="DJ621" s="29"/>
      <c r="DK621" s="29"/>
      <c r="DL621" s="29"/>
      <c r="DM621" s="29"/>
      <c r="DN621" s="29"/>
      <c r="DO621" s="29"/>
      <c r="DP621" s="29"/>
      <c r="DQ621" s="29"/>
      <c r="DR621" s="29"/>
      <c r="DS621" s="29"/>
      <c r="DT621" s="29"/>
      <c r="DU621" s="29"/>
      <c r="DV621" s="29"/>
      <c r="DW621" s="29"/>
      <c r="DX621" s="29"/>
      <c r="DY621" s="29"/>
      <c r="DZ621" s="29"/>
      <c r="EA621" s="29"/>
      <c r="EB621" s="29"/>
      <c r="EC621" s="29"/>
      <c r="ED621" s="29"/>
      <c r="EE621" s="29"/>
      <c r="EF621" s="29"/>
      <c r="EG621" s="29"/>
      <c r="EH621" s="29"/>
      <c r="EI621" s="29"/>
      <c r="EJ621" s="29"/>
      <c r="EK621" s="29"/>
      <c r="EL621" s="29"/>
      <c r="EM621" s="29"/>
      <c r="EN621" s="29"/>
      <c r="EO621" s="29"/>
      <c r="EP621" s="29"/>
      <c r="EQ621" s="29"/>
      <c r="ER621" s="29"/>
      <c r="ES621" s="29"/>
      <c r="ET621" s="29"/>
      <c r="EU621" s="29"/>
      <c r="EV621" s="29"/>
      <c r="EW621" s="29"/>
      <c r="EX621" s="29"/>
      <c r="EY621" s="29"/>
      <c r="EZ621" s="29"/>
      <c r="FA621" s="29"/>
      <c r="FB621" s="29"/>
      <c r="FC621" s="29"/>
      <c r="FD621" s="29"/>
      <c r="FE621" s="29"/>
      <c r="FF621" s="29"/>
      <c r="FG621" s="29"/>
      <c r="FH621" s="29"/>
      <c r="FI621" s="29"/>
      <c r="FJ621" s="29"/>
      <c r="FK621" s="29"/>
      <c r="FL621" s="29"/>
      <c r="FM621" s="29"/>
      <c r="FN621" s="29"/>
      <c r="FO621" s="29"/>
      <c r="FP621" s="29"/>
      <c r="FQ621" s="29"/>
      <c r="FR621" s="29"/>
      <c r="FS621" s="29"/>
      <c r="FT621" s="29"/>
      <c r="FU621" s="29"/>
      <c r="FV621" s="29"/>
      <c r="FW621" s="29"/>
      <c r="FX621" s="29"/>
      <c r="FY621" s="29"/>
      <c r="FZ621" s="29"/>
      <c r="GA621" s="29"/>
      <c r="GB621" s="29"/>
      <c r="GC621" s="29"/>
      <c r="GD621" s="29"/>
      <c r="GE621" s="29"/>
      <c r="GF621" s="29"/>
      <c r="GG621" s="29"/>
      <c r="GH621" s="29"/>
      <c r="GI621" s="29"/>
      <c r="GJ621" s="29"/>
      <c r="GK621" s="29"/>
      <c r="GL621" s="29"/>
      <c r="GM621" s="29"/>
      <c r="GN621" s="29"/>
      <c r="GO621" s="29"/>
      <c r="GP621" s="29"/>
      <c r="GQ621" s="29"/>
      <c r="GR621" s="29"/>
      <c r="GS621" s="29"/>
      <c r="GT621" s="29"/>
      <c r="GU621" s="29"/>
      <c r="HP621" s="31"/>
      <c r="MX621" s="29"/>
      <c r="MY621" s="29"/>
    </row>
    <row r="622" ht="16.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c r="AX622" s="29"/>
      <c r="AY622" s="29"/>
      <c r="AZ622" s="29"/>
      <c r="BA622" s="29"/>
      <c r="BB622" s="29"/>
      <c r="BC622" s="29"/>
      <c r="BD622" s="29"/>
      <c r="BE622" s="29"/>
      <c r="BF622" s="29"/>
      <c r="BG622" s="29"/>
      <c r="BH622" s="29"/>
      <c r="BI622" s="29"/>
      <c r="BJ622" s="29"/>
      <c r="BK622" s="29"/>
      <c r="BL622" s="29"/>
      <c r="BM622" s="29"/>
      <c r="BN622" s="29"/>
      <c r="BO622" s="29"/>
      <c r="BP622" s="29"/>
      <c r="BQ622" s="29"/>
      <c r="BR622" s="29"/>
      <c r="BS622" s="29"/>
      <c r="BT622" s="29"/>
      <c r="BU622" s="29"/>
      <c r="BV622" s="29"/>
      <c r="BW622" s="29"/>
      <c r="BX622" s="29"/>
      <c r="BY622" s="29"/>
      <c r="BZ622" s="29"/>
      <c r="CA622" s="29"/>
      <c r="CB622" s="29"/>
      <c r="CC622" s="29"/>
      <c r="CD622" s="29"/>
      <c r="CE622" s="29"/>
      <c r="CF622" s="29"/>
      <c r="CG622" s="29"/>
      <c r="CH622" s="29"/>
      <c r="CI622" s="29"/>
      <c r="CJ622" s="29"/>
      <c r="CK622" s="29"/>
      <c r="CL622" s="29"/>
      <c r="CM622" s="29"/>
      <c r="CN622" s="29"/>
      <c r="CO622" s="29"/>
      <c r="CP622" s="29"/>
      <c r="CQ622" s="29"/>
      <c r="CR622" s="29"/>
      <c r="CS622" s="29"/>
      <c r="CT622" s="29"/>
      <c r="CU622" s="29"/>
      <c r="CV622" s="29"/>
      <c r="CW622" s="29"/>
      <c r="CX622" s="29"/>
      <c r="CY622" s="29"/>
      <c r="CZ622" s="29"/>
      <c r="DA622" s="29"/>
      <c r="DB622" s="29"/>
      <c r="DC622" s="29"/>
      <c r="DD622" s="29"/>
      <c r="DE622" s="29"/>
      <c r="DF622" s="29"/>
      <c r="DG622" s="29"/>
      <c r="DH622" s="29"/>
      <c r="DI622" s="29"/>
      <c r="DJ622" s="29"/>
      <c r="DK622" s="29"/>
      <c r="DL622" s="29"/>
      <c r="DM622" s="29"/>
      <c r="DN622" s="29"/>
      <c r="DO622" s="29"/>
      <c r="DP622" s="29"/>
      <c r="DQ622" s="29"/>
      <c r="DR622" s="29"/>
      <c r="DS622" s="29"/>
      <c r="DT622" s="29"/>
      <c r="DU622" s="29"/>
      <c r="DV622" s="29"/>
      <c r="DW622" s="29"/>
      <c r="DX622" s="29"/>
      <c r="DY622" s="29"/>
      <c r="DZ622" s="29"/>
      <c r="EA622" s="29"/>
      <c r="EB622" s="29"/>
      <c r="EC622" s="29"/>
      <c r="ED622" s="29"/>
      <c r="EE622" s="29"/>
      <c r="EF622" s="29"/>
      <c r="EG622" s="29"/>
      <c r="EH622" s="29"/>
      <c r="EI622" s="29"/>
      <c r="EJ622" s="29"/>
      <c r="EK622" s="29"/>
      <c r="EL622" s="29"/>
      <c r="EM622" s="29"/>
      <c r="EN622" s="29"/>
      <c r="EO622" s="29"/>
      <c r="EP622" s="29"/>
      <c r="EQ622" s="29"/>
      <c r="ER622" s="29"/>
      <c r="ES622" s="29"/>
      <c r="ET622" s="29"/>
      <c r="EU622" s="29"/>
      <c r="EV622" s="29"/>
      <c r="EW622" s="29"/>
      <c r="EX622" s="29"/>
      <c r="EY622" s="29"/>
      <c r="EZ622" s="29"/>
      <c r="FA622" s="29"/>
      <c r="FB622" s="29"/>
      <c r="FC622" s="29"/>
      <c r="FD622" s="29"/>
      <c r="FE622" s="29"/>
      <c r="FF622" s="29"/>
      <c r="FG622" s="29"/>
      <c r="FH622" s="29"/>
      <c r="FI622" s="29"/>
      <c r="FJ622" s="29"/>
      <c r="FK622" s="29"/>
      <c r="FL622" s="29"/>
      <c r="FM622" s="29"/>
      <c r="FN622" s="29"/>
      <c r="FO622" s="29"/>
      <c r="FP622" s="29"/>
      <c r="FQ622" s="29"/>
      <c r="FR622" s="29"/>
      <c r="FS622" s="29"/>
      <c r="FT622" s="29"/>
      <c r="FU622" s="29"/>
      <c r="FV622" s="29"/>
      <c r="FW622" s="29"/>
      <c r="FX622" s="29"/>
      <c r="FY622" s="29"/>
      <c r="FZ622" s="29"/>
      <c r="GA622" s="29"/>
      <c r="GB622" s="29"/>
      <c r="GC622" s="29"/>
      <c r="GD622" s="29"/>
      <c r="GE622" s="29"/>
      <c r="GF622" s="29"/>
      <c r="GG622" s="29"/>
      <c r="GH622" s="29"/>
      <c r="GI622" s="29"/>
      <c r="GJ622" s="29"/>
      <c r="GK622" s="29"/>
      <c r="GL622" s="29"/>
      <c r="GM622" s="29"/>
      <c r="GN622" s="29"/>
      <c r="GO622" s="29"/>
      <c r="GP622" s="29"/>
      <c r="GQ622" s="29"/>
      <c r="GR622" s="29"/>
      <c r="GS622" s="29"/>
      <c r="GT622" s="29"/>
      <c r="GU622" s="29"/>
      <c r="HP622" s="31"/>
      <c r="MX622" s="29"/>
      <c r="MY622" s="29"/>
    </row>
    <row r="623" ht="16.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c r="BO623" s="29"/>
      <c r="BP623" s="29"/>
      <c r="BQ623" s="29"/>
      <c r="BR623" s="29"/>
      <c r="BS623" s="29"/>
      <c r="BT623" s="29"/>
      <c r="BU623" s="29"/>
      <c r="BV623" s="29"/>
      <c r="BW623" s="29"/>
      <c r="BX623" s="29"/>
      <c r="BY623" s="29"/>
      <c r="BZ623" s="29"/>
      <c r="CA623" s="29"/>
      <c r="CB623" s="29"/>
      <c r="CC623" s="29"/>
      <c r="CD623" s="29"/>
      <c r="CE623" s="29"/>
      <c r="CF623" s="29"/>
      <c r="CG623" s="29"/>
      <c r="CH623" s="29"/>
      <c r="CI623" s="29"/>
      <c r="CJ623" s="29"/>
      <c r="CK623" s="29"/>
      <c r="CL623" s="29"/>
      <c r="CM623" s="29"/>
      <c r="CN623" s="29"/>
      <c r="CO623" s="29"/>
      <c r="CP623" s="29"/>
      <c r="CQ623" s="29"/>
      <c r="CR623" s="29"/>
      <c r="CS623" s="29"/>
      <c r="CT623" s="29"/>
      <c r="CU623" s="29"/>
      <c r="CV623" s="29"/>
      <c r="CW623" s="29"/>
      <c r="CX623" s="29"/>
      <c r="CY623" s="29"/>
      <c r="CZ623" s="29"/>
      <c r="DA623" s="29"/>
      <c r="DB623" s="29"/>
      <c r="DC623" s="29"/>
      <c r="DD623" s="29"/>
      <c r="DE623" s="29"/>
      <c r="DF623" s="29"/>
      <c r="DG623" s="29"/>
      <c r="DH623" s="29"/>
      <c r="DI623" s="29"/>
      <c r="DJ623" s="29"/>
      <c r="DK623" s="29"/>
      <c r="DL623" s="29"/>
      <c r="DM623" s="29"/>
      <c r="DN623" s="29"/>
      <c r="DO623" s="29"/>
      <c r="DP623" s="29"/>
      <c r="DQ623" s="29"/>
      <c r="DR623" s="29"/>
      <c r="DS623" s="29"/>
      <c r="DT623" s="29"/>
      <c r="DU623" s="29"/>
      <c r="DV623" s="29"/>
      <c r="DW623" s="29"/>
      <c r="DX623" s="29"/>
      <c r="DY623" s="29"/>
      <c r="DZ623" s="29"/>
      <c r="EA623" s="29"/>
      <c r="EB623" s="29"/>
      <c r="EC623" s="29"/>
      <c r="ED623" s="29"/>
      <c r="EE623" s="29"/>
      <c r="EF623" s="29"/>
      <c r="EG623" s="29"/>
      <c r="EH623" s="29"/>
      <c r="EI623" s="29"/>
      <c r="EJ623" s="29"/>
      <c r="EK623" s="29"/>
      <c r="EL623" s="29"/>
      <c r="EM623" s="29"/>
      <c r="EN623" s="29"/>
      <c r="EO623" s="29"/>
      <c r="EP623" s="29"/>
      <c r="EQ623" s="29"/>
      <c r="ER623" s="29"/>
      <c r="ES623" s="29"/>
      <c r="ET623" s="29"/>
      <c r="EU623" s="29"/>
      <c r="EV623" s="29"/>
      <c r="EW623" s="29"/>
      <c r="EX623" s="29"/>
      <c r="EY623" s="29"/>
      <c r="EZ623" s="29"/>
      <c r="FA623" s="29"/>
      <c r="FB623" s="29"/>
      <c r="FC623" s="29"/>
      <c r="FD623" s="29"/>
      <c r="FE623" s="29"/>
      <c r="FF623" s="29"/>
      <c r="FG623" s="29"/>
      <c r="FH623" s="29"/>
      <c r="FI623" s="29"/>
      <c r="FJ623" s="29"/>
      <c r="FK623" s="29"/>
      <c r="FL623" s="29"/>
      <c r="FM623" s="29"/>
      <c r="FN623" s="29"/>
      <c r="FO623" s="29"/>
      <c r="FP623" s="29"/>
      <c r="FQ623" s="29"/>
      <c r="FR623" s="29"/>
      <c r="FS623" s="29"/>
      <c r="FT623" s="29"/>
      <c r="FU623" s="29"/>
      <c r="FV623" s="29"/>
      <c r="FW623" s="29"/>
      <c r="FX623" s="29"/>
      <c r="FY623" s="29"/>
      <c r="FZ623" s="29"/>
      <c r="GA623" s="29"/>
      <c r="GB623" s="29"/>
      <c r="GC623" s="29"/>
      <c r="GD623" s="29"/>
      <c r="GE623" s="29"/>
      <c r="GF623" s="29"/>
      <c r="GG623" s="29"/>
      <c r="GH623" s="29"/>
      <c r="GI623" s="29"/>
      <c r="GJ623" s="29"/>
      <c r="GK623" s="29"/>
      <c r="GL623" s="29"/>
      <c r="GM623" s="29"/>
      <c r="GN623" s="29"/>
      <c r="GO623" s="29"/>
      <c r="GP623" s="29"/>
      <c r="GQ623" s="29"/>
      <c r="GR623" s="29"/>
      <c r="GS623" s="29"/>
      <c r="GT623" s="29"/>
      <c r="GU623" s="29"/>
      <c r="HP623" s="31"/>
      <c r="MX623" s="29"/>
      <c r="MY623" s="29"/>
    </row>
    <row r="624" ht="16.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c r="AX624" s="29"/>
      <c r="AY624" s="29"/>
      <c r="AZ624" s="29"/>
      <c r="BA624" s="29"/>
      <c r="BB624" s="29"/>
      <c r="BC624" s="29"/>
      <c r="BD624" s="29"/>
      <c r="BE624" s="29"/>
      <c r="BF624" s="29"/>
      <c r="BG624" s="29"/>
      <c r="BH624" s="29"/>
      <c r="BI624" s="29"/>
      <c r="BJ624" s="29"/>
      <c r="BK624" s="29"/>
      <c r="BL624" s="29"/>
      <c r="BM624" s="29"/>
      <c r="BN624" s="29"/>
      <c r="BO624" s="29"/>
      <c r="BP624" s="29"/>
      <c r="BQ624" s="29"/>
      <c r="BR624" s="29"/>
      <c r="BS624" s="29"/>
      <c r="BT624" s="29"/>
      <c r="BU624" s="29"/>
      <c r="BV624" s="29"/>
      <c r="BW624" s="29"/>
      <c r="BX624" s="29"/>
      <c r="BY624" s="29"/>
      <c r="BZ624" s="29"/>
      <c r="CA624" s="29"/>
      <c r="CB624" s="29"/>
      <c r="CC624" s="29"/>
      <c r="CD624" s="29"/>
      <c r="CE624" s="29"/>
      <c r="CF624" s="29"/>
      <c r="CG624" s="29"/>
      <c r="CH624" s="29"/>
      <c r="CI624" s="29"/>
      <c r="CJ624" s="29"/>
      <c r="CK624" s="29"/>
      <c r="CL624" s="29"/>
      <c r="CM624" s="29"/>
      <c r="CN624" s="29"/>
      <c r="CO624" s="29"/>
      <c r="CP624" s="29"/>
      <c r="CQ624" s="29"/>
      <c r="CR624" s="29"/>
      <c r="CS624" s="29"/>
      <c r="CT624" s="29"/>
      <c r="CU624" s="29"/>
      <c r="CV624" s="29"/>
      <c r="CW624" s="29"/>
      <c r="CX624" s="29"/>
      <c r="CY624" s="29"/>
      <c r="CZ624" s="29"/>
      <c r="DA624" s="29"/>
      <c r="DB624" s="29"/>
      <c r="DC624" s="29"/>
      <c r="DD624" s="29"/>
      <c r="DE624" s="29"/>
      <c r="DF624" s="29"/>
      <c r="DG624" s="29"/>
      <c r="DH624" s="29"/>
      <c r="DI624" s="29"/>
      <c r="DJ624" s="29"/>
      <c r="DK624" s="29"/>
      <c r="DL624" s="29"/>
      <c r="DM624" s="29"/>
      <c r="DN624" s="29"/>
      <c r="DO624" s="29"/>
      <c r="DP624" s="29"/>
      <c r="DQ624" s="29"/>
      <c r="DR624" s="29"/>
      <c r="DS624" s="29"/>
      <c r="DT624" s="29"/>
      <c r="DU624" s="29"/>
      <c r="DV624" s="29"/>
      <c r="DW624" s="29"/>
      <c r="DX624" s="29"/>
      <c r="DY624" s="29"/>
      <c r="DZ624" s="29"/>
      <c r="EA624" s="29"/>
      <c r="EB624" s="29"/>
      <c r="EC624" s="29"/>
      <c r="ED624" s="29"/>
      <c r="EE624" s="29"/>
      <c r="EF624" s="29"/>
      <c r="EG624" s="29"/>
      <c r="EH624" s="29"/>
      <c r="EI624" s="29"/>
      <c r="EJ624" s="29"/>
      <c r="EK624" s="29"/>
      <c r="EL624" s="29"/>
      <c r="EM624" s="29"/>
      <c r="EN624" s="29"/>
      <c r="EO624" s="29"/>
      <c r="EP624" s="29"/>
      <c r="EQ624" s="29"/>
      <c r="ER624" s="29"/>
      <c r="ES624" s="29"/>
      <c r="ET624" s="29"/>
      <c r="EU624" s="29"/>
      <c r="EV624" s="29"/>
      <c r="EW624" s="29"/>
      <c r="EX624" s="29"/>
      <c r="EY624" s="29"/>
      <c r="EZ624" s="29"/>
      <c r="FA624" s="29"/>
      <c r="FB624" s="29"/>
      <c r="FC624" s="29"/>
      <c r="FD624" s="29"/>
      <c r="FE624" s="29"/>
      <c r="FF624" s="29"/>
      <c r="FG624" s="29"/>
      <c r="FH624" s="29"/>
      <c r="FI624" s="29"/>
      <c r="FJ624" s="29"/>
      <c r="FK624" s="29"/>
      <c r="FL624" s="29"/>
      <c r="FM624" s="29"/>
      <c r="FN624" s="29"/>
      <c r="FO624" s="29"/>
      <c r="FP624" s="29"/>
      <c r="FQ624" s="29"/>
      <c r="FR624" s="29"/>
      <c r="FS624" s="29"/>
      <c r="FT624" s="29"/>
      <c r="FU624" s="29"/>
      <c r="FV624" s="29"/>
      <c r="FW624" s="29"/>
      <c r="FX624" s="29"/>
      <c r="FY624" s="29"/>
      <c r="FZ624" s="29"/>
      <c r="GA624" s="29"/>
      <c r="GB624" s="29"/>
      <c r="GC624" s="29"/>
      <c r="GD624" s="29"/>
      <c r="GE624" s="29"/>
      <c r="GF624" s="29"/>
      <c r="GG624" s="29"/>
      <c r="GH624" s="29"/>
      <c r="GI624" s="29"/>
      <c r="GJ624" s="29"/>
      <c r="GK624" s="29"/>
      <c r="GL624" s="29"/>
      <c r="GM624" s="29"/>
      <c r="GN624" s="29"/>
      <c r="GO624" s="29"/>
      <c r="GP624" s="29"/>
      <c r="GQ624" s="29"/>
      <c r="GR624" s="29"/>
      <c r="GS624" s="29"/>
      <c r="GT624" s="29"/>
      <c r="GU624" s="29"/>
      <c r="HP624" s="31"/>
      <c r="MX624" s="29"/>
      <c r="MY624" s="29"/>
    </row>
    <row r="625" ht="16.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c r="BO625" s="29"/>
      <c r="BP625" s="29"/>
      <c r="BQ625" s="29"/>
      <c r="BR625" s="29"/>
      <c r="BS625" s="29"/>
      <c r="BT625" s="29"/>
      <c r="BU625" s="29"/>
      <c r="BV625" s="29"/>
      <c r="BW625" s="29"/>
      <c r="BX625" s="29"/>
      <c r="BY625" s="29"/>
      <c r="BZ625" s="29"/>
      <c r="CA625" s="29"/>
      <c r="CB625" s="29"/>
      <c r="CC625" s="29"/>
      <c r="CD625" s="29"/>
      <c r="CE625" s="29"/>
      <c r="CF625" s="29"/>
      <c r="CG625" s="29"/>
      <c r="CH625" s="29"/>
      <c r="CI625" s="29"/>
      <c r="CJ625" s="29"/>
      <c r="CK625" s="29"/>
      <c r="CL625" s="29"/>
      <c r="CM625" s="29"/>
      <c r="CN625" s="29"/>
      <c r="CO625" s="29"/>
      <c r="CP625" s="29"/>
      <c r="CQ625" s="29"/>
      <c r="CR625" s="29"/>
      <c r="CS625" s="29"/>
      <c r="CT625" s="29"/>
      <c r="CU625" s="29"/>
      <c r="CV625" s="29"/>
      <c r="CW625" s="29"/>
      <c r="CX625" s="29"/>
      <c r="CY625" s="29"/>
      <c r="CZ625" s="29"/>
      <c r="DA625" s="29"/>
      <c r="DB625" s="29"/>
      <c r="DC625" s="29"/>
      <c r="DD625" s="29"/>
      <c r="DE625" s="29"/>
      <c r="DF625" s="29"/>
      <c r="DG625" s="29"/>
      <c r="DH625" s="29"/>
      <c r="DI625" s="29"/>
      <c r="DJ625" s="29"/>
      <c r="DK625" s="29"/>
      <c r="DL625" s="29"/>
      <c r="DM625" s="29"/>
      <c r="DN625" s="29"/>
      <c r="DO625" s="29"/>
      <c r="DP625" s="29"/>
      <c r="DQ625" s="29"/>
      <c r="DR625" s="29"/>
      <c r="DS625" s="29"/>
      <c r="DT625" s="29"/>
      <c r="DU625" s="29"/>
      <c r="DV625" s="29"/>
      <c r="DW625" s="29"/>
      <c r="DX625" s="29"/>
      <c r="DY625" s="29"/>
      <c r="DZ625" s="29"/>
      <c r="EA625" s="29"/>
      <c r="EB625" s="29"/>
      <c r="EC625" s="29"/>
      <c r="ED625" s="29"/>
      <c r="EE625" s="29"/>
      <c r="EF625" s="29"/>
      <c r="EG625" s="29"/>
      <c r="EH625" s="29"/>
      <c r="EI625" s="29"/>
      <c r="EJ625" s="29"/>
      <c r="EK625" s="29"/>
      <c r="EL625" s="29"/>
      <c r="EM625" s="29"/>
      <c r="EN625" s="29"/>
      <c r="EO625" s="29"/>
      <c r="EP625" s="29"/>
      <c r="EQ625" s="29"/>
      <c r="ER625" s="29"/>
      <c r="ES625" s="29"/>
      <c r="ET625" s="29"/>
      <c r="EU625" s="29"/>
      <c r="EV625" s="29"/>
      <c r="EW625" s="29"/>
      <c r="EX625" s="29"/>
      <c r="EY625" s="29"/>
      <c r="EZ625" s="29"/>
      <c r="FA625" s="29"/>
      <c r="FB625" s="29"/>
      <c r="FC625" s="29"/>
      <c r="FD625" s="29"/>
      <c r="FE625" s="29"/>
      <c r="FF625" s="29"/>
      <c r="FG625" s="29"/>
      <c r="FH625" s="29"/>
      <c r="FI625" s="29"/>
      <c r="FJ625" s="29"/>
      <c r="FK625" s="29"/>
      <c r="FL625" s="29"/>
      <c r="FM625" s="29"/>
      <c r="FN625" s="29"/>
      <c r="FO625" s="29"/>
      <c r="FP625" s="29"/>
      <c r="FQ625" s="29"/>
      <c r="FR625" s="29"/>
      <c r="FS625" s="29"/>
      <c r="FT625" s="29"/>
      <c r="FU625" s="29"/>
      <c r="FV625" s="29"/>
      <c r="FW625" s="29"/>
      <c r="FX625" s="29"/>
      <c r="FY625" s="29"/>
      <c r="FZ625" s="29"/>
      <c r="GA625" s="29"/>
      <c r="GB625" s="29"/>
      <c r="GC625" s="29"/>
      <c r="GD625" s="29"/>
      <c r="GE625" s="29"/>
      <c r="GF625" s="29"/>
      <c r="GG625" s="29"/>
      <c r="GH625" s="29"/>
      <c r="GI625" s="29"/>
      <c r="GJ625" s="29"/>
      <c r="GK625" s="29"/>
      <c r="GL625" s="29"/>
      <c r="GM625" s="29"/>
      <c r="GN625" s="29"/>
      <c r="GO625" s="29"/>
      <c r="GP625" s="29"/>
      <c r="GQ625" s="29"/>
      <c r="GR625" s="29"/>
      <c r="GS625" s="29"/>
      <c r="GT625" s="29"/>
      <c r="GU625" s="29"/>
      <c r="HP625" s="31"/>
      <c r="MX625" s="29"/>
      <c r="MY625" s="29"/>
    </row>
    <row r="626" ht="16.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c r="AX626" s="29"/>
      <c r="AY626" s="29"/>
      <c r="AZ626" s="29"/>
      <c r="BA626" s="29"/>
      <c r="BB626" s="29"/>
      <c r="BC626" s="29"/>
      <c r="BD626" s="29"/>
      <c r="BE626" s="29"/>
      <c r="BF626" s="29"/>
      <c r="BG626" s="29"/>
      <c r="BH626" s="29"/>
      <c r="BI626" s="29"/>
      <c r="BJ626" s="29"/>
      <c r="BK626" s="29"/>
      <c r="BL626" s="29"/>
      <c r="BM626" s="29"/>
      <c r="BN626" s="29"/>
      <c r="BO626" s="29"/>
      <c r="BP626" s="29"/>
      <c r="BQ626" s="29"/>
      <c r="BR626" s="29"/>
      <c r="BS626" s="29"/>
      <c r="BT626" s="29"/>
      <c r="BU626" s="29"/>
      <c r="BV626" s="29"/>
      <c r="BW626" s="29"/>
      <c r="BX626" s="29"/>
      <c r="BY626" s="29"/>
      <c r="BZ626" s="29"/>
      <c r="CA626" s="29"/>
      <c r="CB626" s="29"/>
      <c r="CC626" s="29"/>
      <c r="CD626" s="29"/>
      <c r="CE626" s="29"/>
      <c r="CF626" s="29"/>
      <c r="CG626" s="29"/>
      <c r="CH626" s="29"/>
      <c r="CI626" s="29"/>
      <c r="CJ626" s="29"/>
      <c r="CK626" s="29"/>
      <c r="CL626" s="29"/>
      <c r="CM626" s="29"/>
      <c r="CN626" s="29"/>
      <c r="CO626" s="29"/>
      <c r="CP626" s="29"/>
      <c r="CQ626" s="29"/>
      <c r="CR626" s="29"/>
      <c r="CS626" s="29"/>
      <c r="CT626" s="29"/>
      <c r="CU626" s="29"/>
      <c r="CV626" s="29"/>
      <c r="CW626" s="29"/>
      <c r="CX626" s="29"/>
      <c r="CY626" s="29"/>
      <c r="CZ626" s="29"/>
      <c r="DA626" s="29"/>
      <c r="DB626" s="29"/>
      <c r="DC626" s="29"/>
      <c r="DD626" s="29"/>
      <c r="DE626" s="29"/>
      <c r="DF626" s="29"/>
      <c r="DG626" s="29"/>
      <c r="DH626" s="29"/>
      <c r="DI626" s="29"/>
      <c r="DJ626" s="29"/>
      <c r="DK626" s="29"/>
      <c r="DL626" s="29"/>
      <c r="DM626" s="29"/>
      <c r="DN626" s="29"/>
      <c r="DO626" s="29"/>
      <c r="DP626" s="29"/>
      <c r="DQ626" s="29"/>
      <c r="DR626" s="29"/>
      <c r="DS626" s="29"/>
      <c r="DT626" s="29"/>
      <c r="DU626" s="29"/>
      <c r="DV626" s="29"/>
      <c r="DW626" s="29"/>
      <c r="DX626" s="29"/>
      <c r="DY626" s="29"/>
      <c r="DZ626" s="29"/>
      <c r="EA626" s="29"/>
      <c r="EB626" s="29"/>
      <c r="EC626" s="29"/>
      <c r="ED626" s="29"/>
      <c r="EE626" s="29"/>
      <c r="EF626" s="29"/>
      <c r="EG626" s="29"/>
      <c r="EH626" s="29"/>
      <c r="EI626" s="29"/>
      <c r="EJ626" s="29"/>
      <c r="EK626" s="29"/>
      <c r="EL626" s="29"/>
      <c r="EM626" s="29"/>
      <c r="EN626" s="29"/>
      <c r="EO626" s="29"/>
      <c r="EP626" s="29"/>
      <c r="EQ626" s="29"/>
      <c r="ER626" s="29"/>
      <c r="ES626" s="29"/>
      <c r="ET626" s="29"/>
      <c r="EU626" s="29"/>
      <c r="EV626" s="29"/>
      <c r="EW626" s="29"/>
      <c r="EX626" s="29"/>
      <c r="EY626" s="29"/>
      <c r="EZ626" s="29"/>
      <c r="FA626" s="29"/>
      <c r="FB626" s="29"/>
      <c r="FC626" s="29"/>
      <c r="FD626" s="29"/>
      <c r="FE626" s="29"/>
      <c r="FF626" s="29"/>
      <c r="FG626" s="29"/>
      <c r="FH626" s="29"/>
      <c r="FI626" s="29"/>
      <c r="FJ626" s="29"/>
      <c r="FK626" s="29"/>
      <c r="FL626" s="29"/>
      <c r="FM626" s="29"/>
      <c r="FN626" s="29"/>
      <c r="FO626" s="29"/>
      <c r="FP626" s="29"/>
      <c r="FQ626" s="29"/>
      <c r="FR626" s="29"/>
      <c r="FS626" s="29"/>
      <c r="FT626" s="29"/>
      <c r="FU626" s="29"/>
      <c r="FV626" s="29"/>
      <c r="FW626" s="29"/>
      <c r="FX626" s="29"/>
      <c r="FY626" s="29"/>
      <c r="FZ626" s="29"/>
      <c r="GA626" s="29"/>
      <c r="GB626" s="29"/>
      <c r="GC626" s="29"/>
      <c r="GD626" s="29"/>
      <c r="GE626" s="29"/>
      <c r="GF626" s="29"/>
      <c r="GG626" s="29"/>
      <c r="GH626" s="29"/>
      <c r="GI626" s="29"/>
      <c r="GJ626" s="29"/>
      <c r="GK626" s="29"/>
      <c r="GL626" s="29"/>
      <c r="GM626" s="29"/>
      <c r="GN626" s="29"/>
      <c r="GO626" s="29"/>
      <c r="GP626" s="29"/>
      <c r="GQ626" s="29"/>
      <c r="GR626" s="29"/>
      <c r="GS626" s="29"/>
      <c r="GT626" s="29"/>
      <c r="GU626" s="29"/>
      <c r="HP626" s="31"/>
      <c r="MX626" s="29"/>
      <c r="MY626" s="29"/>
    </row>
    <row r="627" ht="16.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c r="BO627" s="29"/>
      <c r="BP627" s="29"/>
      <c r="BQ627" s="29"/>
      <c r="BR627" s="29"/>
      <c r="BS627" s="29"/>
      <c r="BT627" s="29"/>
      <c r="BU627" s="29"/>
      <c r="BV627" s="29"/>
      <c r="BW627" s="29"/>
      <c r="BX627" s="29"/>
      <c r="BY627" s="29"/>
      <c r="BZ627" s="29"/>
      <c r="CA627" s="29"/>
      <c r="CB627" s="29"/>
      <c r="CC627" s="29"/>
      <c r="CD627" s="29"/>
      <c r="CE627" s="29"/>
      <c r="CF627" s="29"/>
      <c r="CG627" s="29"/>
      <c r="CH627" s="29"/>
      <c r="CI627" s="29"/>
      <c r="CJ627" s="29"/>
      <c r="CK627" s="29"/>
      <c r="CL627" s="29"/>
      <c r="CM627" s="29"/>
      <c r="CN627" s="29"/>
      <c r="CO627" s="29"/>
      <c r="CP627" s="29"/>
      <c r="CQ627" s="29"/>
      <c r="CR627" s="29"/>
      <c r="CS627" s="29"/>
      <c r="CT627" s="29"/>
      <c r="CU627" s="29"/>
      <c r="CV627" s="29"/>
      <c r="CW627" s="29"/>
      <c r="CX627" s="29"/>
      <c r="CY627" s="29"/>
      <c r="CZ627" s="29"/>
      <c r="DA627" s="29"/>
      <c r="DB627" s="29"/>
      <c r="DC627" s="29"/>
      <c r="DD627" s="29"/>
      <c r="DE627" s="29"/>
      <c r="DF627" s="29"/>
      <c r="DG627" s="29"/>
      <c r="DH627" s="29"/>
      <c r="DI627" s="29"/>
      <c r="DJ627" s="29"/>
      <c r="DK627" s="29"/>
      <c r="DL627" s="29"/>
      <c r="DM627" s="29"/>
      <c r="DN627" s="29"/>
      <c r="DO627" s="29"/>
      <c r="DP627" s="29"/>
      <c r="DQ627" s="29"/>
      <c r="DR627" s="29"/>
      <c r="DS627" s="29"/>
      <c r="DT627" s="29"/>
      <c r="DU627" s="29"/>
      <c r="DV627" s="29"/>
      <c r="DW627" s="29"/>
      <c r="DX627" s="29"/>
      <c r="DY627" s="29"/>
      <c r="DZ627" s="29"/>
      <c r="EA627" s="29"/>
      <c r="EB627" s="29"/>
      <c r="EC627" s="29"/>
      <c r="ED627" s="29"/>
      <c r="EE627" s="29"/>
      <c r="EF627" s="29"/>
      <c r="EG627" s="29"/>
      <c r="EH627" s="29"/>
      <c r="EI627" s="29"/>
      <c r="EJ627" s="29"/>
      <c r="EK627" s="29"/>
      <c r="EL627" s="29"/>
      <c r="EM627" s="29"/>
      <c r="EN627" s="29"/>
      <c r="EO627" s="29"/>
      <c r="EP627" s="29"/>
      <c r="EQ627" s="29"/>
      <c r="ER627" s="29"/>
      <c r="ES627" s="29"/>
      <c r="ET627" s="29"/>
      <c r="EU627" s="29"/>
      <c r="EV627" s="29"/>
      <c r="EW627" s="29"/>
      <c r="EX627" s="29"/>
      <c r="EY627" s="29"/>
      <c r="EZ627" s="29"/>
      <c r="FA627" s="29"/>
      <c r="FB627" s="29"/>
      <c r="FC627" s="29"/>
      <c r="FD627" s="29"/>
      <c r="FE627" s="29"/>
      <c r="FF627" s="29"/>
      <c r="FG627" s="29"/>
      <c r="FH627" s="29"/>
      <c r="FI627" s="29"/>
      <c r="FJ627" s="29"/>
      <c r="FK627" s="29"/>
      <c r="FL627" s="29"/>
      <c r="FM627" s="29"/>
      <c r="FN627" s="29"/>
      <c r="FO627" s="29"/>
      <c r="FP627" s="29"/>
      <c r="FQ627" s="29"/>
      <c r="FR627" s="29"/>
      <c r="FS627" s="29"/>
      <c r="FT627" s="29"/>
      <c r="FU627" s="29"/>
      <c r="FV627" s="29"/>
      <c r="FW627" s="29"/>
      <c r="FX627" s="29"/>
      <c r="FY627" s="29"/>
      <c r="FZ627" s="29"/>
      <c r="GA627" s="29"/>
      <c r="GB627" s="29"/>
      <c r="GC627" s="29"/>
      <c r="GD627" s="29"/>
      <c r="GE627" s="29"/>
      <c r="GF627" s="29"/>
      <c r="GG627" s="29"/>
      <c r="GH627" s="29"/>
      <c r="GI627" s="29"/>
      <c r="GJ627" s="29"/>
      <c r="GK627" s="29"/>
      <c r="GL627" s="29"/>
      <c r="GM627" s="29"/>
      <c r="GN627" s="29"/>
      <c r="GO627" s="29"/>
      <c r="GP627" s="29"/>
      <c r="GQ627" s="29"/>
      <c r="GR627" s="29"/>
      <c r="GS627" s="29"/>
      <c r="GT627" s="29"/>
      <c r="GU627" s="29"/>
      <c r="HP627" s="31"/>
      <c r="MX627" s="29"/>
      <c r="MY627" s="29"/>
    </row>
    <row r="628" ht="16.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c r="AX628" s="29"/>
      <c r="AY628" s="29"/>
      <c r="AZ628" s="29"/>
      <c r="BA628" s="29"/>
      <c r="BB628" s="29"/>
      <c r="BC628" s="29"/>
      <c r="BD628" s="29"/>
      <c r="BE628" s="29"/>
      <c r="BF628" s="29"/>
      <c r="BG628" s="29"/>
      <c r="BH628" s="29"/>
      <c r="BI628" s="29"/>
      <c r="BJ628" s="29"/>
      <c r="BK628" s="29"/>
      <c r="BL628" s="29"/>
      <c r="BM628" s="29"/>
      <c r="BN628" s="29"/>
      <c r="BO628" s="29"/>
      <c r="BP628" s="29"/>
      <c r="BQ628" s="29"/>
      <c r="BR628" s="29"/>
      <c r="BS628" s="29"/>
      <c r="BT628" s="29"/>
      <c r="BU628" s="29"/>
      <c r="BV628" s="29"/>
      <c r="BW628" s="29"/>
      <c r="BX628" s="29"/>
      <c r="BY628" s="29"/>
      <c r="BZ628" s="29"/>
      <c r="CA628" s="29"/>
      <c r="CB628" s="29"/>
      <c r="CC628" s="29"/>
      <c r="CD628" s="29"/>
      <c r="CE628" s="29"/>
      <c r="CF628" s="29"/>
      <c r="CG628" s="29"/>
      <c r="CH628" s="29"/>
      <c r="CI628" s="29"/>
      <c r="CJ628" s="29"/>
      <c r="CK628" s="29"/>
      <c r="CL628" s="29"/>
      <c r="CM628" s="29"/>
      <c r="CN628" s="29"/>
      <c r="CO628" s="29"/>
      <c r="CP628" s="29"/>
      <c r="CQ628" s="29"/>
      <c r="CR628" s="29"/>
      <c r="CS628" s="29"/>
      <c r="CT628" s="29"/>
      <c r="CU628" s="29"/>
      <c r="CV628" s="29"/>
      <c r="CW628" s="29"/>
      <c r="CX628" s="29"/>
      <c r="CY628" s="29"/>
      <c r="CZ628" s="29"/>
      <c r="DA628" s="29"/>
      <c r="DB628" s="29"/>
      <c r="DC628" s="29"/>
      <c r="DD628" s="29"/>
      <c r="DE628" s="29"/>
      <c r="DF628" s="29"/>
      <c r="DG628" s="29"/>
      <c r="DH628" s="29"/>
      <c r="DI628" s="29"/>
      <c r="DJ628" s="29"/>
      <c r="DK628" s="29"/>
      <c r="DL628" s="29"/>
      <c r="DM628" s="29"/>
      <c r="DN628" s="29"/>
      <c r="DO628" s="29"/>
      <c r="DP628" s="29"/>
      <c r="DQ628" s="29"/>
      <c r="DR628" s="29"/>
      <c r="DS628" s="29"/>
      <c r="DT628" s="29"/>
      <c r="DU628" s="29"/>
      <c r="DV628" s="29"/>
      <c r="DW628" s="29"/>
      <c r="DX628" s="29"/>
      <c r="DY628" s="29"/>
      <c r="DZ628" s="29"/>
      <c r="EA628" s="29"/>
      <c r="EB628" s="29"/>
      <c r="EC628" s="29"/>
      <c r="ED628" s="29"/>
      <c r="EE628" s="29"/>
      <c r="EF628" s="29"/>
      <c r="EG628" s="29"/>
      <c r="EH628" s="29"/>
      <c r="EI628" s="29"/>
      <c r="EJ628" s="29"/>
      <c r="EK628" s="29"/>
      <c r="EL628" s="29"/>
      <c r="EM628" s="29"/>
      <c r="EN628" s="29"/>
      <c r="EO628" s="29"/>
      <c r="EP628" s="29"/>
      <c r="EQ628" s="29"/>
      <c r="ER628" s="29"/>
      <c r="ES628" s="29"/>
      <c r="ET628" s="29"/>
      <c r="EU628" s="29"/>
      <c r="EV628" s="29"/>
      <c r="EW628" s="29"/>
      <c r="EX628" s="29"/>
      <c r="EY628" s="29"/>
      <c r="EZ628" s="29"/>
      <c r="FA628" s="29"/>
      <c r="FB628" s="29"/>
      <c r="FC628" s="29"/>
      <c r="FD628" s="29"/>
      <c r="FE628" s="29"/>
      <c r="FF628" s="29"/>
      <c r="FG628" s="29"/>
      <c r="FH628" s="29"/>
      <c r="FI628" s="29"/>
      <c r="FJ628" s="29"/>
      <c r="FK628" s="29"/>
      <c r="FL628" s="29"/>
      <c r="FM628" s="29"/>
      <c r="FN628" s="29"/>
      <c r="FO628" s="29"/>
      <c r="FP628" s="29"/>
      <c r="FQ628" s="29"/>
      <c r="FR628" s="29"/>
      <c r="FS628" s="29"/>
      <c r="FT628" s="29"/>
      <c r="FU628" s="29"/>
      <c r="FV628" s="29"/>
      <c r="FW628" s="29"/>
      <c r="FX628" s="29"/>
      <c r="FY628" s="29"/>
      <c r="FZ628" s="29"/>
      <c r="GA628" s="29"/>
      <c r="GB628" s="29"/>
      <c r="GC628" s="29"/>
      <c r="GD628" s="29"/>
      <c r="GE628" s="29"/>
      <c r="GF628" s="29"/>
      <c r="GG628" s="29"/>
      <c r="GH628" s="29"/>
      <c r="GI628" s="29"/>
      <c r="GJ628" s="29"/>
      <c r="GK628" s="29"/>
      <c r="GL628" s="29"/>
      <c r="GM628" s="29"/>
      <c r="GN628" s="29"/>
      <c r="GO628" s="29"/>
      <c r="GP628" s="29"/>
      <c r="GQ628" s="29"/>
      <c r="GR628" s="29"/>
      <c r="GS628" s="29"/>
      <c r="GT628" s="29"/>
      <c r="GU628" s="29"/>
      <c r="HP628" s="31"/>
      <c r="MX628" s="29"/>
      <c r="MY628" s="29"/>
    </row>
    <row r="629" ht="16.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c r="BO629" s="29"/>
      <c r="BP629" s="29"/>
      <c r="BQ629" s="29"/>
      <c r="BR629" s="29"/>
      <c r="BS629" s="29"/>
      <c r="BT629" s="29"/>
      <c r="BU629" s="29"/>
      <c r="BV629" s="29"/>
      <c r="BW629" s="29"/>
      <c r="BX629" s="29"/>
      <c r="BY629" s="29"/>
      <c r="BZ629" s="29"/>
      <c r="CA629" s="29"/>
      <c r="CB629" s="29"/>
      <c r="CC629" s="29"/>
      <c r="CD629" s="29"/>
      <c r="CE629" s="29"/>
      <c r="CF629" s="29"/>
      <c r="CG629" s="29"/>
      <c r="CH629" s="29"/>
      <c r="CI629" s="29"/>
      <c r="CJ629" s="29"/>
      <c r="CK629" s="29"/>
      <c r="CL629" s="29"/>
      <c r="CM629" s="29"/>
      <c r="CN629" s="29"/>
      <c r="CO629" s="29"/>
      <c r="CP629" s="29"/>
      <c r="CQ629" s="29"/>
      <c r="CR629" s="29"/>
      <c r="CS629" s="29"/>
      <c r="CT629" s="29"/>
      <c r="CU629" s="29"/>
      <c r="CV629" s="29"/>
      <c r="CW629" s="29"/>
      <c r="CX629" s="29"/>
      <c r="CY629" s="29"/>
      <c r="CZ629" s="29"/>
      <c r="DA629" s="29"/>
      <c r="DB629" s="29"/>
      <c r="DC629" s="29"/>
      <c r="DD629" s="29"/>
      <c r="DE629" s="29"/>
      <c r="DF629" s="29"/>
      <c r="DG629" s="29"/>
      <c r="DH629" s="29"/>
      <c r="DI629" s="29"/>
      <c r="DJ629" s="29"/>
      <c r="DK629" s="29"/>
      <c r="DL629" s="29"/>
      <c r="DM629" s="29"/>
      <c r="DN629" s="29"/>
      <c r="DO629" s="29"/>
      <c r="DP629" s="29"/>
      <c r="DQ629" s="29"/>
      <c r="DR629" s="29"/>
      <c r="DS629" s="29"/>
      <c r="DT629" s="29"/>
      <c r="DU629" s="29"/>
      <c r="DV629" s="29"/>
      <c r="DW629" s="29"/>
      <c r="DX629" s="29"/>
      <c r="DY629" s="29"/>
      <c r="DZ629" s="29"/>
      <c r="EA629" s="29"/>
      <c r="EB629" s="29"/>
      <c r="EC629" s="29"/>
      <c r="ED629" s="29"/>
      <c r="EE629" s="29"/>
      <c r="EF629" s="29"/>
      <c r="EG629" s="29"/>
      <c r="EH629" s="29"/>
      <c r="EI629" s="29"/>
      <c r="EJ629" s="29"/>
      <c r="EK629" s="29"/>
      <c r="EL629" s="29"/>
      <c r="EM629" s="29"/>
      <c r="EN629" s="29"/>
      <c r="EO629" s="29"/>
      <c r="EP629" s="29"/>
      <c r="EQ629" s="29"/>
      <c r="ER629" s="29"/>
      <c r="ES629" s="29"/>
      <c r="ET629" s="29"/>
      <c r="EU629" s="29"/>
      <c r="EV629" s="29"/>
      <c r="EW629" s="29"/>
      <c r="EX629" s="29"/>
      <c r="EY629" s="29"/>
      <c r="EZ629" s="29"/>
      <c r="FA629" s="29"/>
      <c r="FB629" s="29"/>
      <c r="FC629" s="29"/>
      <c r="FD629" s="29"/>
      <c r="FE629" s="29"/>
      <c r="FF629" s="29"/>
      <c r="FG629" s="29"/>
      <c r="FH629" s="29"/>
      <c r="FI629" s="29"/>
      <c r="FJ629" s="29"/>
      <c r="FK629" s="29"/>
      <c r="FL629" s="29"/>
      <c r="FM629" s="29"/>
      <c r="FN629" s="29"/>
      <c r="FO629" s="29"/>
      <c r="FP629" s="29"/>
      <c r="FQ629" s="29"/>
      <c r="FR629" s="29"/>
      <c r="FS629" s="29"/>
      <c r="FT629" s="29"/>
      <c r="FU629" s="29"/>
      <c r="FV629" s="29"/>
      <c r="FW629" s="29"/>
      <c r="FX629" s="29"/>
      <c r="FY629" s="29"/>
      <c r="FZ629" s="29"/>
      <c r="GA629" s="29"/>
      <c r="GB629" s="29"/>
      <c r="GC629" s="29"/>
      <c r="GD629" s="29"/>
      <c r="GE629" s="29"/>
      <c r="GF629" s="29"/>
      <c r="GG629" s="29"/>
      <c r="GH629" s="29"/>
      <c r="GI629" s="29"/>
      <c r="GJ629" s="29"/>
      <c r="GK629" s="29"/>
      <c r="GL629" s="29"/>
      <c r="GM629" s="29"/>
      <c r="GN629" s="29"/>
      <c r="GO629" s="29"/>
      <c r="GP629" s="29"/>
      <c r="GQ629" s="29"/>
      <c r="GR629" s="29"/>
      <c r="GS629" s="29"/>
      <c r="GT629" s="29"/>
      <c r="GU629" s="29"/>
      <c r="HP629" s="31"/>
      <c r="MX629" s="29"/>
      <c r="MY629" s="29"/>
    </row>
    <row r="630" ht="16.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c r="AW630" s="29"/>
      <c r="AX630" s="29"/>
      <c r="AY630" s="29"/>
      <c r="AZ630" s="29"/>
      <c r="BA630" s="29"/>
      <c r="BB630" s="29"/>
      <c r="BC630" s="29"/>
      <c r="BD630" s="29"/>
      <c r="BE630" s="29"/>
      <c r="BF630" s="29"/>
      <c r="BG630" s="29"/>
      <c r="BH630" s="29"/>
      <c r="BI630" s="29"/>
      <c r="BJ630" s="29"/>
      <c r="BK630" s="29"/>
      <c r="BL630" s="29"/>
      <c r="BM630" s="29"/>
      <c r="BN630" s="29"/>
      <c r="BO630" s="29"/>
      <c r="BP630" s="29"/>
      <c r="BQ630" s="29"/>
      <c r="BR630" s="29"/>
      <c r="BS630" s="29"/>
      <c r="BT630" s="29"/>
      <c r="BU630" s="29"/>
      <c r="BV630" s="29"/>
      <c r="BW630" s="29"/>
      <c r="BX630" s="29"/>
      <c r="BY630" s="29"/>
      <c r="BZ630" s="29"/>
      <c r="CA630" s="29"/>
      <c r="CB630" s="29"/>
      <c r="CC630" s="29"/>
      <c r="CD630" s="29"/>
      <c r="CE630" s="29"/>
      <c r="CF630" s="29"/>
      <c r="CG630" s="29"/>
      <c r="CH630" s="29"/>
      <c r="CI630" s="29"/>
      <c r="CJ630" s="29"/>
      <c r="CK630" s="29"/>
      <c r="CL630" s="29"/>
      <c r="CM630" s="29"/>
      <c r="CN630" s="29"/>
      <c r="CO630" s="29"/>
      <c r="CP630" s="29"/>
      <c r="CQ630" s="29"/>
      <c r="CR630" s="29"/>
      <c r="CS630" s="29"/>
      <c r="CT630" s="29"/>
      <c r="CU630" s="29"/>
      <c r="CV630" s="29"/>
      <c r="CW630" s="29"/>
      <c r="CX630" s="29"/>
      <c r="CY630" s="29"/>
      <c r="CZ630" s="29"/>
      <c r="DA630" s="29"/>
      <c r="DB630" s="29"/>
      <c r="DC630" s="29"/>
      <c r="DD630" s="29"/>
      <c r="DE630" s="29"/>
      <c r="DF630" s="29"/>
      <c r="DG630" s="29"/>
      <c r="DH630" s="29"/>
      <c r="DI630" s="29"/>
      <c r="DJ630" s="29"/>
      <c r="DK630" s="29"/>
      <c r="DL630" s="29"/>
      <c r="DM630" s="29"/>
      <c r="DN630" s="29"/>
      <c r="DO630" s="29"/>
      <c r="DP630" s="29"/>
      <c r="DQ630" s="29"/>
      <c r="DR630" s="29"/>
      <c r="DS630" s="29"/>
      <c r="DT630" s="29"/>
      <c r="DU630" s="29"/>
      <c r="DV630" s="29"/>
      <c r="DW630" s="29"/>
      <c r="DX630" s="29"/>
      <c r="DY630" s="29"/>
      <c r="DZ630" s="29"/>
      <c r="EA630" s="29"/>
      <c r="EB630" s="29"/>
      <c r="EC630" s="29"/>
      <c r="ED630" s="29"/>
      <c r="EE630" s="29"/>
      <c r="EF630" s="29"/>
      <c r="EG630" s="29"/>
      <c r="EH630" s="29"/>
      <c r="EI630" s="29"/>
      <c r="EJ630" s="29"/>
      <c r="EK630" s="29"/>
      <c r="EL630" s="29"/>
      <c r="EM630" s="29"/>
      <c r="EN630" s="29"/>
      <c r="EO630" s="29"/>
      <c r="EP630" s="29"/>
      <c r="EQ630" s="29"/>
      <c r="ER630" s="29"/>
      <c r="ES630" s="29"/>
      <c r="ET630" s="29"/>
      <c r="EU630" s="29"/>
      <c r="EV630" s="29"/>
      <c r="EW630" s="29"/>
      <c r="EX630" s="29"/>
      <c r="EY630" s="29"/>
      <c r="EZ630" s="29"/>
      <c r="FA630" s="29"/>
      <c r="FB630" s="29"/>
      <c r="FC630" s="29"/>
      <c r="FD630" s="29"/>
      <c r="FE630" s="29"/>
      <c r="FF630" s="29"/>
      <c r="FG630" s="29"/>
      <c r="FH630" s="29"/>
      <c r="FI630" s="29"/>
      <c r="FJ630" s="29"/>
      <c r="FK630" s="29"/>
      <c r="FL630" s="29"/>
      <c r="FM630" s="29"/>
      <c r="FN630" s="29"/>
      <c r="FO630" s="29"/>
      <c r="FP630" s="29"/>
      <c r="FQ630" s="29"/>
      <c r="FR630" s="29"/>
      <c r="FS630" s="29"/>
      <c r="FT630" s="29"/>
      <c r="FU630" s="29"/>
      <c r="FV630" s="29"/>
      <c r="FW630" s="29"/>
      <c r="FX630" s="29"/>
      <c r="FY630" s="29"/>
      <c r="FZ630" s="29"/>
      <c r="GA630" s="29"/>
      <c r="GB630" s="29"/>
      <c r="GC630" s="29"/>
      <c r="GD630" s="29"/>
      <c r="GE630" s="29"/>
      <c r="GF630" s="29"/>
      <c r="GG630" s="29"/>
      <c r="GH630" s="29"/>
      <c r="GI630" s="29"/>
      <c r="GJ630" s="29"/>
      <c r="GK630" s="29"/>
      <c r="GL630" s="29"/>
      <c r="GM630" s="29"/>
      <c r="GN630" s="29"/>
      <c r="GO630" s="29"/>
      <c r="GP630" s="29"/>
      <c r="GQ630" s="29"/>
      <c r="GR630" s="29"/>
      <c r="GS630" s="29"/>
      <c r="GT630" s="29"/>
      <c r="GU630" s="29"/>
      <c r="HP630" s="31"/>
      <c r="MX630" s="29"/>
      <c r="MY630" s="29"/>
    </row>
    <row r="631" ht="16.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c r="BO631" s="29"/>
      <c r="BP631" s="29"/>
      <c r="BQ631" s="29"/>
      <c r="BR631" s="29"/>
      <c r="BS631" s="29"/>
      <c r="BT631" s="29"/>
      <c r="BU631" s="29"/>
      <c r="BV631" s="29"/>
      <c r="BW631" s="29"/>
      <c r="BX631" s="29"/>
      <c r="BY631" s="29"/>
      <c r="BZ631" s="29"/>
      <c r="CA631" s="29"/>
      <c r="CB631" s="29"/>
      <c r="CC631" s="29"/>
      <c r="CD631" s="29"/>
      <c r="CE631" s="29"/>
      <c r="CF631" s="29"/>
      <c r="CG631" s="29"/>
      <c r="CH631" s="29"/>
      <c r="CI631" s="29"/>
      <c r="CJ631" s="29"/>
      <c r="CK631" s="29"/>
      <c r="CL631" s="29"/>
      <c r="CM631" s="29"/>
      <c r="CN631" s="29"/>
      <c r="CO631" s="29"/>
      <c r="CP631" s="29"/>
      <c r="CQ631" s="29"/>
      <c r="CR631" s="29"/>
      <c r="CS631" s="29"/>
      <c r="CT631" s="29"/>
      <c r="CU631" s="29"/>
      <c r="CV631" s="29"/>
      <c r="CW631" s="29"/>
      <c r="CX631" s="29"/>
      <c r="CY631" s="29"/>
      <c r="CZ631" s="29"/>
      <c r="DA631" s="29"/>
      <c r="DB631" s="29"/>
      <c r="DC631" s="29"/>
      <c r="DD631" s="29"/>
      <c r="DE631" s="29"/>
      <c r="DF631" s="29"/>
      <c r="DG631" s="29"/>
      <c r="DH631" s="29"/>
      <c r="DI631" s="29"/>
      <c r="DJ631" s="29"/>
      <c r="DK631" s="29"/>
      <c r="DL631" s="29"/>
      <c r="DM631" s="29"/>
      <c r="DN631" s="29"/>
      <c r="DO631" s="29"/>
      <c r="DP631" s="29"/>
      <c r="DQ631" s="29"/>
      <c r="DR631" s="29"/>
      <c r="DS631" s="29"/>
      <c r="DT631" s="29"/>
      <c r="DU631" s="29"/>
      <c r="DV631" s="29"/>
      <c r="DW631" s="29"/>
      <c r="DX631" s="29"/>
      <c r="DY631" s="29"/>
      <c r="DZ631" s="29"/>
      <c r="EA631" s="29"/>
      <c r="EB631" s="29"/>
      <c r="EC631" s="29"/>
      <c r="ED631" s="29"/>
      <c r="EE631" s="29"/>
      <c r="EF631" s="29"/>
      <c r="EG631" s="29"/>
      <c r="EH631" s="29"/>
      <c r="EI631" s="29"/>
      <c r="EJ631" s="29"/>
      <c r="EK631" s="29"/>
      <c r="EL631" s="29"/>
      <c r="EM631" s="29"/>
      <c r="EN631" s="29"/>
      <c r="EO631" s="29"/>
      <c r="EP631" s="29"/>
      <c r="EQ631" s="29"/>
      <c r="ER631" s="29"/>
      <c r="ES631" s="29"/>
      <c r="ET631" s="29"/>
      <c r="EU631" s="29"/>
      <c r="EV631" s="29"/>
      <c r="EW631" s="29"/>
      <c r="EX631" s="29"/>
      <c r="EY631" s="29"/>
      <c r="EZ631" s="29"/>
      <c r="FA631" s="29"/>
      <c r="FB631" s="29"/>
      <c r="FC631" s="29"/>
      <c r="FD631" s="29"/>
      <c r="FE631" s="29"/>
      <c r="FF631" s="29"/>
      <c r="FG631" s="29"/>
      <c r="FH631" s="29"/>
      <c r="FI631" s="29"/>
      <c r="FJ631" s="29"/>
      <c r="FK631" s="29"/>
      <c r="FL631" s="29"/>
      <c r="FM631" s="29"/>
      <c r="FN631" s="29"/>
      <c r="FO631" s="29"/>
      <c r="FP631" s="29"/>
      <c r="FQ631" s="29"/>
      <c r="FR631" s="29"/>
      <c r="FS631" s="29"/>
      <c r="FT631" s="29"/>
      <c r="FU631" s="29"/>
      <c r="FV631" s="29"/>
      <c r="FW631" s="29"/>
      <c r="FX631" s="29"/>
      <c r="FY631" s="29"/>
      <c r="FZ631" s="29"/>
      <c r="GA631" s="29"/>
      <c r="GB631" s="29"/>
      <c r="GC631" s="29"/>
      <c r="GD631" s="29"/>
      <c r="GE631" s="29"/>
      <c r="GF631" s="29"/>
      <c r="GG631" s="29"/>
      <c r="GH631" s="29"/>
      <c r="GI631" s="29"/>
      <c r="GJ631" s="29"/>
      <c r="GK631" s="29"/>
      <c r="GL631" s="29"/>
      <c r="GM631" s="29"/>
      <c r="GN631" s="29"/>
      <c r="GO631" s="29"/>
      <c r="GP631" s="29"/>
      <c r="GQ631" s="29"/>
      <c r="GR631" s="29"/>
      <c r="GS631" s="29"/>
      <c r="GT631" s="29"/>
      <c r="GU631" s="29"/>
      <c r="HP631" s="31"/>
      <c r="MX631" s="29"/>
      <c r="MY631" s="29"/>
    </row>
    <row r="632" ht="16.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c r="AX632" s="29"/>
      <c r="AY632" s="29"/>
      <c r="AZ632" s="29"/>
      <c r="BA632" s="29"/>
      <c r="BB632" s="29"/>
      <c r="BC632" s="29"/>
      <c r="BD632" s="29"/>
      <c r="BE632" s="29"/>
      <c r="BF632" s="29"/>
      <c r="BG632" s="29"/>
      <c r="BH632" s="29"/>
      <c r="BI632" s="29"/>
      <c r="BJ632" s="29"/>
      <c r="BK632" s="29"/>
      <c r="BL632" s="29"/>
      <c r="BM632" s="29"/>
      <c r="BN632" s="29"/>
      <c r="BO632" s="29"/>
      <c r="BP632" s="29"/>
      <c r="BQ632" s="29"/>
      <c r="BR632" s="29"/>
      <c r="BS632" s="29"/>
      <c r="BT632" s="29"/>
      <c r="BU632" s="29"/>
      <c r="BV632" s="29"/>
      <c r="BW632" s="29"/>
      <c r="BX632" s="29"/>
      <c r="BY632" s="29"/>
      <c r="BZ632" s="29"/>
      <c r="CA632" s="29"/>
      <c r="CB632" s="29"/>
      <c r="CC632" s="29"/>
      <c r="CD632" s="29"/>
      <c r="CE632" s="29"/>
      <c r="CF632" s="29"/>
      <c r="CG632" s="29"/>
      <c r="CH632" s="29"/>
      <c r="CI632" s="29"/>
      <c r="CJ632" s="29"/>
      <c r="CK632" s="29"/>
      <c r="CL632" s="29"/>
      <c r="CM632" s="29"/>
      <c r="CN632" s="29"/>
      <c r="CO632" s="29"/>
      <c r="CP632" s="29"/>
      <c r="CQ632" s="29"/>
      <c r="CR632" s="29"/>
      <c r="CS632" s="29"/>
      <c r="CT632" s="29"/>
      <c r="CU632" s="29"/>
      <c r="CV632" s="29"/>
      <c r="CW632" s="29"/>
      <c r="CX632" s="29"/>
      <c r="CY632" s="29"/>
      <c r="CZ632" s="29"/>
      <c r="DA632" s="29"/>
      <c r="DB632" s="29"/>
      <c r="DC632" s="29"/>
      <c r="DD632" s="29"/>
      <c r="DE632" s="29"/>
      <c r="DF632" s="29"/>
      <c r="DG632" s="29"/>
      <c r="DH632" s="29"/>
      <c r="DI632" s="29"/>
      <c r="DJ632" s="29"/>
      <c r="DK632" s="29"/>
      <c r="DL632" s="29"/>
      <c r="DM632" s="29"/>
      <c r="DN632" s="29"/>
      <c r="DO632" s="29"/>
      <c r="DP632" s="29"/>
      <c r="DQ632" s="29"/>
      <c r="DR632" s="29"/>
      <c r="DS632" s="29"/>
      <c r="DT632" s="29"/>
      <c r="DU632" s="29"/>
      <c r="DV632" s="29"/>
      <c r="DW632" s="29"/>
      <c r="DX632" s="29"/>
      <c r="DY632" s="29"/>
      <c r="DZ632" s="29"/>
      <c r="EA632" s="29"/>
      <c r="EB632" s="29"/>
      <c r="EC632" s="29"/>
      <c r="ED632" s="29"/>
      <c r="EE632" s="29"/>
      <c r="EF632" s="29"/>
      <c r="EG632" s="29"/>
      <c r="EH632" s="29"/>
      <c r="EI632" s="29"/>
      <c r="EJ632" s="29"/>
      <c r="EK632" s="29"/>
      <c r="EL632" s="29"/>
      <c r="EM632" s="29"/>
      <c r="EN632" s="29"/>
      <c r="EO632" s="29"/>
      <c r="EP632" s="29"/>
      <c r="EQ632" s="29"/>
      <c r="ER632" s="29"/>
      <c r="ES632" s="29"/>
      <c r="ET632" s="29"/>
      <c r="EU632" s="29"/>
      <c r="EV632" s="29"/>
      <c r="EW632" s="29"/>
      <c r="EX632" s="29"/>
      <c r="EY632" s="29"/>
      <c r="EZ632" s="29"/>
      <c r="FA632" s="29"/>
      <c r="FB632" s="29"/>
      <c r="FC632" s="29"/>
      <c r="FD632" s="29"/>
      <c r="FE632" s="29"/>
      <c r="FF632" s="29"/>
      <c r="FG632" s="29"/>
      <c r="FH632" s="29"/>
      <c r="FI632" s="29"/>
      <c r="FJ632" s="29"/>
      <c r="FK632" s="29"/>
      <c r="FL632" s="29"/>
      <c r="FM632" s="29"/>
      <c r="FN632" s="29"/>
      <c r="FO632" s="29"/>
      <c r="FP632" s="29"/>
      <c r="FQ632" s="29"/>
      <c r="FR632" s="29"/>
      <c r="FS632" s="29"/>
      <c r="FT632" s="29"/>
      <c r="FU632" s="29"/>
      <c r="FV632" s="29"/>
      <c r="FW632" s="29"/>
      <c r="FX632" s="29"/>
      <c r="FY632" s="29"/>
      <c r="FZ632" s="29"/>
      <c r="GA632" s="29"/>
      <c r="GB632" s="29"/>
      <c r="GC632" s="29"/>
      <c r="GD632" s="29"/>
      <c r="GE632" s="29"/>
      <c r="GF632" s="29"/>
      <c r="GG632" s="29"/>
      <c r="GH632" s="29"/>
      <c r="GI632" s="29"/>
      <c r="GJ632" s="29"/>
      <c r="GK632" s="29"/>
      <c r="GL632" s="29"/>
      <c r="GM632" s="29"/>
      <c r="GN632" s="29"/>
      <c r="GO632" s="29"/>
      <c r="GP632" s="29"/>
      <c r="GQ632" s="29"/>
      <c r="GR632" s="29"/>
      <c r="GS632" s="29"/>
      <c r="GT632" s="29"/>
      <c r="GU632" s="29"/>
      <c r="HP632" s="31"/>
      <c r="MX632" s="29"/>
      <c r="MY632" s="29"/>
    </row>
    <row r="633" ht="16.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c r="BO633" s="29"/>
      <c r="BP633" s="29"/>
      <c r="BQ633" s="29"/>
      <c r="BR633" s="29"/>
      <c r="BS633" s="29"/>
      <c r="BT633" s="29"/>
      <c r="BU633" s="29"/>
      <c r="BV633" s="29"/>
      <c r="BW633" s="29"/>
      <c r="BX633" s="29"/>
      <c r="BY633" s="29"/>
      <c r="BZ633" s="29"/>
      <c r="CA633" s="29"/>
      <c r="CB633" s="29"/>
      <c r="CC633" s="29"/>
      <c r="CD633" s="29"/>
      <c r="CE633" s="29"/>
      <c r="CF633" s="29"/>
      <c r="CG633" s="29"/>
      <c r="CH633" s="29"/>
      <c r="CI633" s="29"/>
      <c r="CJ633" s="29"/>
      <c r="CK633" s="29"/>
      <c r="CL633" s="29"/>
      <c r="CM633" s="29"/>
      <c r="CN633" s="29"/>
      <c r="CO633" s="29"/>
      <c r="CP633" s="29"/>
      <c r="CQ633" s="29"/>
      <c r="CR633" s="29"/>
      <c r="CS633" s="29"/>
      <c r="CT633" s="29"/>
      <c r="CU633" s="29"/>
      <c r="CV633" s="29"/>
      <c r="CW633" s="29"/>
      <c r="CX633" s="29"/>
      <c r="CY633" s="29"/>
      <c r="CZ633" s="29"/>
      <c r="DA633" s="29"/>
      <c r="DB633" s="29"/>
      <c r="DC633" s="29"/>
      <c r="DD633" s="29"/>
      <c r="DE633" s="29"/>
      <c r="DF633" s="29"/>
      <c r="DG633" s="29"/>
      <c r="DH633" s="29"/>
      <c r="DI633" s="29"/>
      <c r="DJ633" s="29"/>
      <c r="DK633" s="29"/>
      <c r="DL633" s="29"/>
      <c r="DM633" s="29"/>
      <c r="DN633" s="29"/>
      <c r="DO633" s="29"/>
      <c r="DP633" s="29"/>
      <c r="DQ633" s="29"/>
      <c r="DR633" s="29"/>
      <c r="DS633" s="29"/>
      <c r="DT633" s="29"/>
      <c r="DU633" s="29"/>
      <c r="DV633" s="29"/>
      <c r="DW633" s="29"/>
      <c r="DX633" s="29"/>
      <c r="DY633" s="29"/>
      <c r="DZ633" s="29"/>
      <c r="EA633" s="29"/>
      <c r="EB633" s="29"/>
      <c r="EC633" s="29"/>
      <c r="ED633" s="29"/>
      <c r="EE633" s="29"/>
      <c r="EF633" s="29"/>
      <c r="EG633" s="29"/>
      <c r="EH633" s="29"/>
      <c r="EI633" s="29"/>
      <c r="EJ633" s="29"/>
      <c r="EK633" s="29"/>
      <c r="EL633" s="29"/>
      <c r="EM633" s="29"/>
      <c r="EN633" s="29"/>
      <c r="EO633" s="29"/>
      <c r="EP633" s="29"/>
      <c r="EQ633" s="29"/>
      <c r="ER633" s="29"/>
      <c r="ES633" s="29"/>
      <c r="ET633" s="29"/>
      <c r="EU633" s="29"/>
      <c r="EV633" s="29"/>
      <c r="EW633" s="29"/>
      <c r="EX633" s="29"/>
      <c r="EY633" s="29"/>
      <c r="EZ633" s="29"/>
      <c r="FA633" s="29"/>
      <c r="FB633" s="29"/>
      <c r="FC633" s="29"/>
      <c r="FD633" s="29"/>
      <c r="FE633" s="29"/>
      <c r="FF633" s="29"/>
      <c r="FG633" s="29"/>
      <c r="FH633" s="29"/>
      <c r="FI633" s="29"/>
      <c r="FJ633" s="29"/>
      <c r="FK633" s="29"/>
      <c r="FL633" s="29"/>
      <c r="FM633" s="29"/>
      <c r="FN633" s="29"/>
      <c r="FO633" s="29"/>
      <c r="FP633" s="29"/>
      <c r="FQ633" s="29"/>
      <c r="FR633" s="29"/>
      <c r="FS633" s="29"/>
      <c r="FT633" s="29"/>
      <c r="FU633" s="29"/>
      <c r="FV633" s="29"/>
      <c r="FW633" s="29"/>
      <c r="FX633" s="29"/>
      <c r="FY633" s="29"/>
      <c r="FZ633" s="29"/>
      <c r="GA633" s="29"/>
      <c r="GB633" s="29"/>
      <c r="GC633" s="29"/>
      <c r="GD633" s="29"/>
      <c r="GE633" s="29"/>
      <c r="GF633" s="29"/>
      <c r="GG633" s="29"/>
      <c r="GH633" s="29"/>
      <c r="GI633" s="29"/>
      <c r="GJ633" s="29"/>
      <c r="GK633" s="29"/>
      <c r="GL633" s="29"/>
      <c r="GM633" s="29"/>
      <c r="GN633" s="29"/>
      <c r="GO633" s="29"/>
      <c r="GP633" s="29"/>
      <c r="GQ633" s="29"/>
      <c r="GR633" s="29"/>
      <c r="GS633" s="29"/>
      <c r="GT633" s="29"/>
      <c r="GU633" s="29"/>
      <c r="HP633" s="31"/>
      <c r="MX633" s="29"/>
      <c r="MY633" s="29"/>
    </row>
    <row r="634" ht="16.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c r="CA634" s="29"/>
      <c r="CB634" s="29"/>
      <c r="CC634" s="29"/>
      <c r="CD634" s="29"/>
      <c r="CE634" s="29"/>
      <c r="CF634" s="29"/>
      <c r="CG634" s="29"/>
      <c r="CH634" s="29"/>
      <c r="CI634" s="29"/>
      <c r="CJ634" s="29"/>
      <c r="CK634" s="29"/>
      <c r="CL634" s="29"/>
      <c r="CM634" s="29"/>
      <c r="CN634" s="29"/>
      <c r="CO634" s="29"/>
      <c r="CP634" s="29"/>
      <c r="CQ634" s="29"/>
      <c r="CR634" s="29"/>
      <c r="CS634" s="29"/>
      <c r="CT634" s="29"/>
      <c r="CU634" s="29"/>
      <c r="CV634" s="29"/>
      <c r="CW634" s="29"/>
      <c r="CX634" s="29"/>
      <c r="CY634" s="29"/>
      <c r="CZ634" s="29"/>
      <c r="DA634" s="29"/>
      <c r="DB634" s="29"/>
      <c r="DC634" s="29"/>
      <c r="DD634" s="29"/>
      <c r="DE634" s="29"/>
      <c r="DF634" s="29"/>
      <c r="DG634" s="29"/>
      <c r="DH634" s="29"/>
      <c r="DI634" s="29"/>
      <c r="DJ634" s="29"/>
      <c r="DK634" s="29"/>
      <c r="DL634" s="29"/>
      <c r="DM634" s="29"/>
      <c r="DN634" s="29"/>
      <c r="DO634" s="29"/>
      <c r="DP634" s="29"/>
      <c r="DQ634" s="29"/>
      <c r="DR634" s="29"/>
      <c r="DS634" s="29"/>
      <c r="DT634" s="29"/>
      <c r="DU634" s="29"/>
      <c r="DV634" s="29"/>
      <c r="DW634" s="29"/>
      <c r="DX634" s="29"/>
      <c r="DY634" s="29"/>
      <c r="DZ634" s="29"/>
      <c r="EA634" s="29"/>
      <c r="EB634" s="29"/>
      <c r="EC634" s="29"/>
      <c r="ED634" s="29"/>
      <c r="EE634" s="29"/>
      <c r="EF634" s="29"/>
      <c r="EG634" s="29"/>
      <c r="EH634" s="29"/>
      <c r="EI634" s="29"/>
      <c r="EJ634" s="29"/>
      <c r="EK634" s="29"/>
      <c r="EL634" s="29"/>
      <c r="EM634" s="29"/>
      <c r="EN634" s="29"/>
      <c r="EO634" s="29"/>
      <c r="EP634" s="29"/>
      <c r="EQ634" s="29"/>
      <c r="ER634" s="29"/>
      <c r="ES634" s="29"/>
      <c r="ET634" s="29"/>
      <c r="EU634" s="29"/>
      <c r="EV634" s="29"/>
      <c r="EW634" s="29"/>
      <c r="EX634" s="29"/>
      <c r="EY634" s="29"/>
      <c r="EZ634" s="29"/>
      <c r="FA634" s="29"/>
      <c r="FB634" s="29"/>
      <c r="FC634" s="29"/>
      <c r="FD634" s="29"/>
      <c r="FE634" s="29"/>
      <c r="FF634" s="29"/>
      <c r="FG634" s="29"/>
      <c r="FH634" s="29"/>
      <c r="FI634" s="29"/>
      <c r="FJ634" s="29"/>
      <c r="FK634" s="29"/>
      <c r="FL634" s="29"/>
      <c r="FM634" s="29"/>
      <c r="FN634" s="29"/>
      <c r="FO634" s="29"/>
      <c r="FP634" s="29"/>
      <c r="FQ634" s="29"/>
      <c r="FR634" s="29"/>
      <c r="FS634" s="29"/>
      <c r="FT634" s="29"/>
      <c r="FU634" s="29"/>
      <c r="FV634" s="29"/>
      <c r="FW634" s="29"/>
      <c r="FX634" s="29"/>
      <c r="FY634" s="29"/>
      <c r="FZ634" s="29"/>
      <c r="GA634" s="29"/>
      <c r="GB634" s="29"/>
      <c r="GC634" s="29"/>
      <c r="GD634" s="29"/>
      <c r="GE634" s="29"/>
      <c r="GF634" s="29"/>
      <c r="GG634" s="29"/>
      <c r="GH634" s="29"/>
      <c r="GI634" s="29"/>
      <c r="GJ634" s="29"/>
      <c r="GK634" s="29"/>
      <c r="GL634" s="29"/>
      <c r="GM634" s="29"/>
      <c r="GN634" s="29"/>
      <c r="GO634" s="29"/>
      <c r="GP634" s="29"/>
      <c r="GQ634" s="29"/>
      <c r="GR634" s="29"/>
      <c r="GS634" s="29"/>
      <c r="GT634" s="29"/>
      <c r="GU634" s="29"/>
      <c r="HP634" s="31"/>
      <c r="MX634" s="29"/>
      <c r="MY634" s="29"/>
    </row>
    <row r="635" ht="16.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c r="BO635" s="29"/>
      <c r="BP635" s="29"/>
      <c r="BQ635" s="29"/>
      <c r="BR635" s="29"/>
      <c r="BS635" s="29"/>
      <c r="BT635" s="29"/>
      <c r="BU635" s="29"/>
      <c r="BV635" s="29"/>
      <c r="BW635" s="29"/>
      <c r="BX635" s="29"/>
      <c r="BY635" s="29"/>
      <c r="BZ635" s="29"/>
      <c r="CA635" s="29"/>
      <c r="CB635" s="29"/>
      <c r="CC635" s="29"/>
      <c r="CD635" s="29"/>
      <c r="CE635" s="29"/>
      <c r="CF635" s="29"/>
      <c r="CG635" s="29"/>
      <c r="CH635" s="29"/>
      <c r="CI635" s="29"/>
      <c r="CJ635" s="29"/>
      <c r="CK635" s="29"/>
      <c r="CL635" s="29"/>
      <c r="CM635" s="29"/>
      <c r="CN635" s="29"/>
      <c r="CO635" s="29"/>
      <c r="CP635" s="29"/>
      <c r="CQ635" s="29"/>
      <c r="CR635" s="29"/>
      <c r="CS635" s="29"/>
      <c r="CT635" s="29"/>
      <c r="CU635" s="29"/>
      <c r="CV635" s="29"/>
      <c r="CW635" s="29"/>
      <c r="CX635" s="29"/>
      <c r="CY635" s="29"/>
      <c r="CZ635" s="29"/>
      <c r="DA635" s="29"/>
      <c r="DB635" s="29"/>
      <c r="DC635" s="29"/>
      <c r="DD635" s="29"/>
      <c r="DE635" s="29"/>
      <c r="DF635" s="29"/>
      <c r="DG635" s="29"/>
      <c r="DH635" s="29"/>
      <c r="DI635" s="29"/>
      <c r="DJ635" s="29"/>
      <c r="DK635" s="29"/>
      <c r="DL635" s="29"/>
      <c r="DM635" s="29"/>
      <c r="DN635" s="29"/>
      <c r="DO635" s="29"/>
      <c r="DP635" s="29"/>
      <c r="DQ635" s="29"/>
      <c r="DR635" s="29"/>
      <c r="DS635" s="29"/>
      <c r="DT635" s="29"/>
      <c r="DU635" s="29"/>
      <c r="DV635" s="29"/>
      <c r="DW635" s="29"/>
      <c r="DX635" s="29"/>
      <c r="DY635" s="29"/>
      <c r="DZ635" s="29"/>
      <c r="EA635" s="29"/>
      <c r="EB635" s="29"/>
      <c r="EC635" s="29"/>
      <c r="ED635" s="29"/>
      <c r="EE635" s="29"/>
      <c r="EF635" s="29"/>
      <c r="EG635" s="29"/>
      <c r="EH635" s="29"/>
      <c r="EI635" s="29"/>
      <c r="EJ635" s="29"/>
      <c r="EK635" s="29"/>
      <c r="EL635" s="29"/>
      <c r="EM635" s="29"/>
      <c r="EN635" s="29"/>
      <c r="EO635" s="29"/>
      <c r="EP635" s="29"/>
      <c r="EQ635" s="29"/>
      <c r="ER635" s="29"/>
      <c r="ES635" s="29"/>
      <c r="ET635" s="29"/>
      <c r="EU635" s="29"/>
      <c r="EV635" s="29"/>
      <c r="EW635" s="29"/>
      <c r="EX635" s="29"/>
      <c r="EY635" s="29"/>
      <c r="EZ635" s="29"/>
      <c r="FA635" s="29"/>
      <c r="FB635" s="29"/>
      <c r="FC635" s="29"/>
      <c r="FD635" s="29"/>
      <c r="FE635" s="29"/>
      <c r="FF635" s="29"/>
      <c r="FG635" s="29"/>
      <c r="FH635" s="29"/>
      <c r="FI635" s="29"/>
      <c r="FJ635" s="29"/>
      <c r="FK635" s="29"/>
      <c r="FL635" s="29"/>
      <c r="FM635" s="29"/>
      <c r="FN635" s="29"/>
      <c r="FO635" s="29"/>
      <c r="FP635" s="29"/>
      <c r="FQ635" s="29"/>
      <c r="FR635" s="29"/>
      <c r="FS635" s="29"/>
      <c r="FT635" s="29"/>
      <c r="FU635" s="29"/>
      <c r="FV635" s="29"/>
      <c r="FW635" s="29"/>
      <c r="FX635" s="29"/>
      <c r="FY635" s="29"/>
      <c r="FZ635" s="29"/>
      <c r="GA635" s="29"/>
      <c r="GB635" s="29"/>
      <c r="GC635" s="29"/>
      <c r="GD635" s="29"/>
      <c r="GE635" s="29"/>
      <c r="GF635" s="29"/>
      <c r="GG635" s="29"/>
      <c r="GH635" s="29"/>
      <c r="GI635" s="29"/>
      <c r="GJ635" s="29"/>
      <c r="GK635" s="29"/>
      <c r="GL635" s="29"/>
      <c r="GM635" s="29"/>
      <c r="GN635" s="29"/>
      <c r="GO635" s="29"/>
      <c r="GP635" s="29"/>
      <c r="GQ635" s="29"/>
      <c r="GR635" s="29"/>
      <c r="GS635" s="29"/>
      <c r="GT635" s="29"/>
      <c r="GU635" s="29"/>
      <c r="HP635" s="31"/>
      <c r="MX635" s="29"/>
      <c r="MY635" s="29"/>
    </row>
    <row r="636" ht="16.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c r="AX636" s="29"/>
      <c r="AY636" s="29"/>
      <c r="AZ636" s="29"/>
      <c r="BA636" s="29"/>
      <c r="BB636" s="29"/>
      <c r="BC636" s="29"/>
      <c r="BD636" s="29"/>
      <c r="BE636" s="29"/>
      <c r="BF636" s="29"/>
      <c r="BG636" s="29"/>
      <c r="BH636" s="29"/>
      <c r="BI636" s="29"/>
      <c r="BJ636" s="29"/>
      <c r="BK636" s="29"/>
      <c r="BL636" s="29"/>
      <c r="BM636" s="29"/>
      <c r="BN636" s="29"/>
      <c r="BO636" s="29"/>
      <c r="BP636" s="29"/>
      <c r="BQ636" s="29"/>
      <c r="BR636" s="29"/>
      <c r="BS636" s="29"/>
      <c r="BT636" s="29"/>
      <c r="BU636" s="29"/>
      <c r="BV636" s="29"/>
      <c r="BW636" s="29"/>
      <c r="BX636" s="29"/>
      <c r="BY636" s="29"/>
      <c r="BZ636" s="29"/>
      <c r="CA636" s="29"/>
      <c r="CB636" s="29"/>
      <c r="CC636" s="29"/>
      <c r="CD636" s="29"/>
      <c r="CE636" s="29"/>
      <c r="CF636" s="29"/>
      <c r="CG636" s="29"/>
      <c r="CH636" s="29"/>
      <c r="CI636" s="29"/>
      <c r="CJ636" s="29"/>
      <c r="CK636" s="29"/>
      <c r="CL636" s="29"/>
      <c r="CM636" s="29"/>
      <c r="CN636" s="29"/>
      <c r="CO636" s="29"/>
      <c r="CP636" s="29"/>
      <c r="CQ636" s="29"/>
      <c r="CR636" s="29"/>
      <c r="CS636" s="29"/>
      <c r="CT636" s="29"/>
      <c r="CU636" s="29"/>
      <c r="CV636" s="29"/>
      <c r="CW636" s="29"/>
      <c r="CX636" s="29"/>
      <c r="CY636" s="29"/>
      <c r="CZ636" s="29"/>
      <c r="DA636" s="29"/>
      <c r="DB636" s="29"/>
      <c r="DC636" s="29"/>
      <c r="DD636" s="29"/>
      <c r="DE636" s="29"/>
      <c r="DF636" s="29"/>
      <c r="DG636" s="29"/>
      <c r="DH636" s="29"/>
      <c r="DI636" s="29"/>
      <c r="DJ636" s="29"/>
      <c r="DK636" s="29"/>
      <c r="DL636" s="29"/>
      <c r="DM636" s="29"/>
      <c r="DN636" s="29"/>
      <c r="DO636" s="29"/>
      <c r="DP636" s="29"/>
      <c r="DQ636" s="29"/>
      <c r="DR636" s="29"/>
      <c r="DS636" s="29"/>
      <c r="DT636" s="29"/>
      <c r="DU636" s="29"/>
      <c r="DV636" s="29"/>
      <c r="DW636" s="29"/>
      <c r="DX636" s="29"/>
      <c r="DY636" s="29"/>
      <c r="DZ636" s="29"/>
      <c r="EA636" s="29"/>
      <c r="EB636" s="29"/>
      <c r="EC636" s="29"/>
      <c r="ED636" s="29"/>
      <c r="EE636" s="29"/>
      <c r="EF636" s="29"/>
      <c r="EG636" s="29"/>
      <c r="EH636" s="29"/>
      <c r="EI636" s="29"/>
      <c r="EJ636" s="29"/>
      <c r="EK636" s="29"/>
      <c r="EL636" s="29"/>
      <c r="EM636" s="29"/>
      <c r="EN636" s="29"/>
      <c r="EO636" s="29"/>
      <c r="EP636" s="29"/>
      <c r="EQ636" s="29"/>
      <c r="ER636" s="29"/>
      <c r="ES636" s="29"/>
      <c r="ET636" s="29"/>
      <c r="EU636" s="29"/>
      <c r="EV636" s="29"/>
      <c r="EW636" s="29"/>
      <c r="EX636" s="29"/>
      <c r="EY636" s="29"/>
      <c r="EZ636" s="29"/>
      <c r="FA636" s="29"/>
      <c r="FB636" s="29"/>
      <c r="FC636" s="29"/>
      <c r="FD636" s="29"/>
      <c r="FE636" s="29"/>
      <c r="FF636" s="29"/>
      <c r="FG636" s="29"/>
      <c r="FH636" s="29"/>
      <c r="FI636" s="29"/>
      <c r="FJ636" s="29"/>
      <c r="FK636" s="29"/>
      <c r="FL636" s="29"/>
      <c r="FM636" s="29"/>
      <c r="FN636" s="29"/>
      <c r="FO636" s="29"/>
      <c r="FP636" s="29"/>
      <c r="FQ636" s="29"/>
      <c r="FR636" s="29"/>
      <c r="FS636" s="29"/>
      <c r="FT636" s="29"/>
      <c r="FU636" s="29"/>
      <c r="FV636" s="29"/>
      <c r="FW636" s="29"/>
      <c r="FX636" s="29"/>
      <c r="FY636" s="29"/>
      <c r="FZ636" s="29"/>
      <c r="GA636" s="29"/>
      <c r="GB636" s="29"/>
      <c r="GC636" s="29"/>
      <c r="GD636" s="29"/>
      <c r="GE636" s="29"/>
      <c r="GF636" s="29"/>
      <c r="GG636" s="29"/>
      <c r="GH636" s="29"/>
      <c r="GI636" s="29"/>
      <c r="GJ636" s="29"/>
      <c r="GK636" s="29"/>
      <c r="GL636" s="29"/>
      <c r="GM636" s="29"/>
      <c r="GN636" s="29"/>
      <c r="GO636" s="29"/>
      <c r="GP636" s="29"/>
      <c r="GQ636" s="29"/>
      <c r="GR636" s="29"/>
      <c r="GS636" s="29"/>
      <c r="GT636" s="29"/>
      <c r="GU636" s="29"/>
      <c r="HP636" s="31"/>
      <c r="MX636" s="29"/>
      <c r="MY636" s="29"/>
    </row>
    <row r="637" ht="16.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c r="BO637" s="29"/>
      <c r="BP637" s="29"/>
      <c r="BQ637" s="29"/>
      <c r="BR637" s="29"/>
      <c r="BS637" s="29"/>
      <c r="BT637" s="29"/>
      <c r="BU637" s="29"/>
      <c r="BV637" s="29"/>
      <c r="BW637" s="29"/>
      <c r="BX637" s="29"/>
      <c r="BY637" s="29"/>
      <c r="BZ637" s="29"/>
      <c r="CA637" s="29"/>
      <c r="CB637" s="29"/>
      <c r="CC637" s="29"/>
      <c r="CD637" s="29"/>
      <c r="CE637" s="29"/>
      <c r="CF637" s="29"/>
      <c r="CG637" s="29"/>
      <c r="CH637" s="29"/>
      <c r="CI637" s="29"/>
      <c r="CJ637" s="29"/>
      <c r="CK637" s="29"/>
      <c r="CL637" s="29"/>
      <c r="CM637" s="29"/>
      <c r="CN637" s="29"/>
      <c r="CO637" s="29"/>
      <c r="CP637" s="29"/>
      <c r="CQ637" s="29"/>
      <c r="CR637" s="29"/>
      <c r="CS637" s="29"/>
      <c r="CT637" s="29"/>
      <c r="CU637" s="29"/>
      <c r="CV637" s="29"/>
      <c r="CW637" s="29"/>
      <c r="CX637" s="29"/>
      <c r="CY637" s="29"/>
      <c r="CZ637" s="29"/>
      <c r="DA637" s="29"/>
      <c r="DB637" s="29"/>
      <c r="DC637" s="29"/>
      <c r="DD637" s="29"/>
      <c r="DE637" s="29"/>
      <c r="DF637" s="29"/>
      <c r="DG637" s="29"/>
      <c r="DH637" s="29"/>
      <c r="DI637" s="29"/>
      <c r="DJ637" s="29"/>
      <c r="DK637" s="29"/>
      <c r="DL637" s="29"/>
      <c r="DM637" s="29"/>
      <c r="DN637" s="29"/>
      <c r="DO637" s="29"/>
      <c r="DP637" s="29"/>
      <c r="DQ637" s="29"/>
      <c r="DR637" s="29"/>
      <c r="DS637" s="29"/>
      <c r="DT637" s="29"/>
      <c r="DU637" s="29"/>
      <c r="DV637" s="29"/>
      <c r="DW637" s="29"/>
      <c r="DX637" s="29"/>
      <c r="DY637" s="29"/>
      <c r="DZ637" s="29"/>
      <c r="EA637" s="29"/>
      <c r="EB637" s="29"/>
      <c r="EC637" s="29"/>
      <c r="ED637" s="29"/>
      <c r="EE637" s="29"/>
      <c r="EF637" s="29"/>
      <c r="EG637" s="29"/>
      <c r="EH637" s="29"/>
      <c r="EI637" s="29"/>
      <c r="EJ637" s="29"/>
      <c r="EK637" s="29"/>
      <c r="EL637" s="29"/>
      <c r="EM637" s="29"/>
      <c r="EN637" s="29"/>
      <c r="EO637" s="29"/>
      <c r="EP637" s="29"/>
      <c r="EQ637" s="29"/>
      <c r="ER637" s="29"/>
      <c r="ES637" s="29"/>
      <c r="ET637" s="29"/>
      <c r="EU637" s="29"/>
      <c r="EV637" s="29"/>
      <c r="EW637" s="29"/>
      <c r="EX637" s="29"/>
      <c r="EY637" s="29"/>
      <c r="EZ637" s="29"/>
      <c r="FA637" s="29"/>
      <c r="FB637" s="29"/>
      <c r="FC637" s="29"/>
      <c r="FD637" s="29"/>
      <c r="FE637" s="29"/>
      <c r="FF637" s="29"/>
      <c r="FG637" s="29"/>
      <c r="FH637" s="29"/>
      <c r="FI637" s="29"/>
      <c r="FJ637" s="29"/>
      <c r="FK637" s="29"/>
      <c r="FL637" s="29"/>
      <c r="FM637" s="29"/>
      <c r="FN637" s="29"/>
      <c r="FO637" s="29"/>
      <c r="FP637" s="29"/>
      <c r="FQ637" s="29"/>
      <c r="FR637" s="29"/>
      <c r="FS637" s="29"/>
      <c r="FT637" s="29"/>
      <c r="FU637" s="29"/>
      <c r="FV637" s="29"/>
      <c r="FW637" s="29"/>
      <c r="FX637" s="29"/>
      <c r="FY637" s="29"/>
      <c r="FZ637" s="29"/>
      <c r="GA637" s="29"/>
      <c r="GB637" s="29"/>
      <c r="GC637" s="29"/>
      <c r="GD637" s="29"/>
      <c r="GE637" s="29"/>
      <c r="GF637" s="29"/>
      <c r="GG637" s="29"/>
      <c r="GH637" s="29"/>
      <c r="GI637" s="29"/>
      <c r="GJ637" s="29"/>
      <c r="GK637" s="29"/>
      <c r="GL637" s="29"/>
      <c r="GM637" s="29"/>
      <c r="GN637" s="29"/>
      <c r="GO637" s="29"/>
      <c r="GP637" s="29"/>
      <c r="GQ637" s="29"/>
      <c r="GR637" s="29"/>
      <c r="GS637" s="29"/>
      <c r="GT637" s="29"/>
      <c r="GU637" s="29"/>
      <c r="HP637" s="31"/>
      <c r="MX637" s="29"/>
      <c r="MY637" s="29"/>
    </row>
    <row r="638" ht="16.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c r="AX638" s="29"/>
      <c r="AY638" s="29"/>
      <c r="AZ638" s="29"/>
      <c r="BA638" s="29"/>
      <c r="BB638" s="29"/>
      <c r="BC638" s="29"/>
      <c r="BD638" s="29"/>
      <c r="BE638" s="29"/>
      <c r="BF638" s="29"/>
      <c r="BG638" s="29"/>
      <c r="BH638" s="29"/>
      <c r="BI638" s="29"/>
      <c r="BJ638" s="29"/>
      <c r="BK638" s="29"/>
      <c r="BL638" s="29"/>
      <c r="BM638" s="29"/>
      <c r="BN638" s="29"/>
      <c r="BO638" s="29"/>
      <c r="BP638" s="29"/>
      <c r="BQ638" s="29"/>
      <c r="BR638" s="29"/>
      <c r="BS638" s="29"/>
      <c r="BT638" s="29"/>
      <c r="BU638" s="29"/>
      <c r="BV638" s="29"/>
      <c r="BW638" s="29"/>
      <c r="BX638" s="29"/>
      <c r="BY638" s="29"/>
      <c r="BZ638" s="29"/>
      <c r="CA638" s="29"/>
      <c r="CB638" s="29"/>
      <c r="CC638" s="29"/>
      <c r="CD638" s="29"/>
      <c r="CE638" s="29"/>
      <c r="CF638" s="29"/>
      <c r="CG638" s="29"/>
      <c r="CH638" s="29"/>
      <c r="CI638" s="29"/>
      <c r="CJ638" s="29"/>
      <c r="CK638" s="29"/>
      <c r="CL638" s="29"/>
      <c r="CM638" s="29"/>
      <c r="CN638" s="29"/>
      <c r="CO638" s="29"/>
      <c r="CP638" s="29"/>
      <c r="CQ638" s="29"/>
      <c r="CR638" s="29"/>
      <c r="CS638" s="29"/>
      <c r="CT638" s="29"/>
      <c r="CU638" s="29"/>
      <c r="CV638" s="29"/>
      <c r="CW638" s="29"/>
      <c r="CX638" s="29"/>
      <c r="CY638" s="29"/>
      <c r="CZ638" s="29"/>
      <c r="DA638" s="29"/>
      <c r="DB638" s="29"/>
      <c r="DC638" s="29"/>
      <c r="DD638" s="29"/>
      <c r="DE638" s="29"/>
      <c r="DF638" s="29"/>
      <c r="DG638" s="29"/>
      <c r="DH638" s="29"/>
      <c r="DI638" s="29"/>
      <c r="DJ638" s="29"/>
      <c r="DK638" s="29"/>
      <c r="DL638" s="29"/>
      <c r="DM638" s="29"/>
      <c r="DN638" s="29"/>
      <c r="DO638" s="29"/>
      <c r="DP638" s="29"/>
      <c r="DQ638" s="29"/>
      <c r="DR638" s="29"/>
      <c r="DS638" s="29"/>
      <c r="DT638" s="29"/>
      <c r="DU638" s="29"/>
      <c r="DV638" s="29"/>
      <c r="DW638" s="29"/>
      <c r="DX638" s="29"/>
      <c r="DY638" s="29"/>
      <c r="DZ638" s="29"/>
      <c r="EA638" s="29"/>
      <c r="EB638" s="29"/>
      <c r="EC638" s="29"/>
      <c r="ED638" s="29"/>
      <c r="EE638" s="29"/>
      <c r="EF638" s="29"/>
      <c r="EG638" s="29"/>
      <c r="EH638" s="29"/>
      <c r="EI638" s="29"/>
      <c r="EJ638" s="29"/>
      <c r="EK638" s="29"/>
      <c r="EL638" s="29"/>
      <c r="EM638" s="29"/>
      <c r="EN638" s="29"/>
      <c r="EO638" s="29"/>
      <c r="EP638" s="29"/>
      <c r="EQ638" s="29"/>
      <c r="ER638" s="29"/>
      <c r="ES638" s="29"/>
      <c r="ET638" s="29"/>
      <c r="EU638" s="29"/>
      <c r="EV638" s="29"/>
      <c r="EW638" s="29"/>
      <c r="EX638" s="29"/>
      <c r="EY638" s="29"/>
      <c r="EZ638" s="29"/>
      <c r="FA638" s="29"/>
      <c r="FB638" s="29"/>
      <c r="FC638" s="29"/>
      <c r="FD638" s="29"/>
      <c r="FE638" s="29"/>
      <c r="FF638" s="29"/>
      <c r="FG638" s="29"/>
      <c r="FH638" s="29"/>
      <c r="FI638" s="29"/>
      <c r="FJ638" s="29"/>
      <c r="FK638" s="29"/>
      <c r="FL638" s="29"/>
      <c r="FM638" s="29"/>
      <c r="FN638" s="29"/>
      <c r="FO638" s="29"/>
      <c r="FP638" s="29"/>
      <c r="FQ638" s="29"/>
      <c r="FR638" s="29"/>
      <c r="FS638" s="29"/>
      <c r="FT638" s="29"/>
      <c r="FU638" s="29"/>
      <c r="FV638" s="29"/>
      <c r="FW638" s="29"/>
      <c r="FX638" s="29"/>
      <c r="FY638" s="29"/>
      <c r="FZ638" s="29"/>
      <c r="GA638" s="29"/>
      <c r="GB638" s="29"/>
      <c r="GC638" s="29"/>
      <c r="GD638" s="29"/>
      <c r="GE638" s="29"/>
      <c r="GF638" s="29"/>
      <c r="GG638" s="29"/>
      <c r="GH638" s="29"/>
      <c r="GI638" s="29"/>
      <c r="GJ638" s="29"/>
      <c r="GK638" s="29"/>
      <c r="GL638" s="29"/>
      <c r="GM638" s="29"/>
      <c r="GN638" s="29"/>
      <c r="GO638" s="29"/>
      <c r="GP638" s="29"/>
      <c r="GQ638" s="29"/>
      <c r="GR638" s="29"/>
      <c r="GS638" s="29"/>
      <c r="GT638" s="29"/>
      <c r="GU638" s="29"/>
      <c r="HP638" s="31"/>
      <c r="MX638" s="29"/>
      <c r="MY638" s="29"/>
    </row>
    <row r="639" ht="16.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c r="BO639" s="29"/>
      <c r="BP639" s="29"/>
      <c r="BQ639" s="29"/>
      <c r="BR639" s="29"/>
      <c r="BS639" s="29"/>
      <c r="BT639" s="29"/>
      <c r="BU639" s="29"/>
      <c r="BV639" s="29"/>
      <c r="BW639" s="29"/>
      <c r="BX639" s="29"/>
      <c r="BY639" s="29"/>
      <c r="BZ639" s="29"/>
      <c r="CA639" s="29"/>
      <c r="CB639" s="29"/>
      <c r="CC639" s="29"/>
      <c r="CD639" s="29"/>
      <c r="CE639" s="29"/>
      <c r="CF639" s="29"/>
      <c r="CG639" s="29"/>
      <c r="CH639" s="29"/>
      <c r="CI639" s="29"/>
      <c r="CJ639" s="29"/>
      <c r="CK639" s="29"/>
      <c r="CL639" s="29"/>
      <c r="CM639" s="29"/>
      <c r="CN639" s="29"/>
      <c r="CO639" s="29"/>
      <c r="CP639" s="29"/>
      <c r="CQ639" s="29"/>
      <c r="CR639" s="29"/>
      <c r="CS639" s="29"/>
      <c r="CT639" s="29"/>
      <c r="CU639" s="29"/>
      <c r="CV639" s="29"/>
      <c r="CW639" s="29"/>
      <c r="CX639" s="29"/>
      <c r="CY639" s="29"/>
      <c r="CZ639" s="29"/>
      <c r="DA639" s="29"/>
      <c r="DB639" s="29"/>
      <c r="DC639" s="29"/>
      <c r="DD639" s="29"/>
      <c r="DE639" s="29"/>
      <c r="DF639" s="29"/>
      <c r="DG639" s="29"/>
      <c r="DH639" s="29"/>
      <c r="DI639" s="29"/>
      <c r="DJ639" s="29"/>
      <c r="DK639" s="29"/>
      <c r="DL639" s="29"/>
      <c r="DM639" s="29"/>
      <c r="DN639" s="29"/>
      <c r="DO639" s="29"/>
      <c r="DP639" s="29"/>
      <c r="DQ639" s="29"/>
      <c r="DR639" s="29"/>
      <c r="DS639" s="29"/>
      <c r="DT639" s="29"/>
      <c r="DU639" s="29"/>
      <c r="DV639" s="29"/>
      <c r="DW639" s="29"/>
      <c r="DX639" s="29"/>
      <c r="DY639" s="29"/>
      <c r="DZ639" s="29"/>
      <c r="EA639" s="29"/>
      <c r="EB639" s="29"/>
      <c r="EC639" s="29"/>
      <c r="ED639" s="29"/>
      <c r="EE639" s="29"/>
      <c r="EF639" s="29"/>
      <c r="EG639" s="29"/>
      <c r="EH639" s="29"/>
      <c r="EI639" s="29"/>
      <c r="EJ639" s="29"/>
      <c r="EK639" s="29"/>
      <c r="EL639" s="29"/>
      <c r="EM639" s="29"/>
      <c r="EN639" s="29"/>
      <c r="EO639" s="29"/>
      <c r="EP639" s="29"/>
      <c r="EQ639" s="29"/>
      <c r="ER639" s="29"/>
      <c r="ES639" s="29"/>
      <c r="ET639" s="29"/>
      <c r="EU639" s="29"/>
      <c r="EV639" s="29"/>
      <c r="EW639" s="29"/>
      <c r="EX639" s="29"/>
      <c r="EY639" s="29"/>
      <c r="EZ639" s="29"/>
      <c r="FA639" s="29"/>
      <c r="FB639" s="29"/>
      <c r="FC639" s="29"/>
      <c r="FD639" s="29"/>
      <c r="FE639" s="29"/>
      <c r="FF639" s="29"/>
      <c r="FG639" s="29"/>
      <c r="FH639" s="29"/>
      <c r="FI639" s="29"/>
      <c r="FJ639" s="29"/>
      <c r="FK639" s="29"/>
      <c r="FL639" s="29"/>
      <c r="FM639" s="29"/>
      <c r="FN639" s="29"/>
      <c r="FO639" s="29"/>
      <c r="FP639" s="29"/>
      <c r="FQ639" s="29"/>
      <c r="FR639" s="29"/>
      <c r="FS639" s="29"/>
      <c r="FT639" s="29"/>
      <c r="FU639" s="29"/>
      <c r="FV639" s="29"/>
      <c r="FW639" s="29"/>
      <c r="FX639" s="29"/>
      <c r="FY639" s="29"/>
      <c r="FZ639" s="29"/>
      <c r="GA639" s="29"/>
      <c r="GB639" s="29"/>
      <c r="GC639" s="29"/>
      <c r="GD639" s="29"/>
      <c r="GE639" s="29"/>
      <c r="GF639" s="29"/>
      <c r="GG639" s="29"/>
      <c r="GH639" s="29"/>
      <c r="GI639" s="29"/>
      <c r="GJ639" s="29"/>
      <c r="GK639" s="29"/>
      <c r="GL639" s="29"/>
      <c r="GM639" s="29"/>
      <c r="GN639" s="29"/>
      <c r="GO639" s="29"/>
      <c r="GP639" s="29"/>
      <c r="GQ639" s="29"/>
      <c r="GR639" s="29"/>
      <c r="GS639" s="29"/>
      <c r="GT639" s="29"/>
      <c r="GU639" s="29"/>
      <c r="HP639" s="31"/>
      <c r="MX639" s="29"/>
      <c r="MY639" s="29"/>
    </row>
    <row r="640" ht="16.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BV640" s="29"/>
      <c r="BW640" s="29"/>
      <c r="BX640" s="29"/>
      <c r="BY640" s="29"/>
      <c r="BZ640" s="29"/>
      <c r="CA640" s="29"/>
      <c r="CB640" s="29"/>
      <c r="CC640" s="29"/>
      <c r="CD640" s="29"/>
      <c r="CE640" s="29"/>
      <c r="CF640" s="29"/>
      <c r="CG640" s="29"/>
      <c r="CH640" s="29"/>
      <c r="CI640" s="29"/>
      <c r="CJ640" s="29"/>
      <c r="CK640" s="29"/>
      <c r="CL640" s="29"/>
      <c r="CM640" s="29"/>
      <c r="CN640" s="29"/>
      <c r="CO640" s="29"/>
      <c r="CP640" s="29"/>
      <c r="CQ640" s="29"/>
      <c r="CR640" s="29"/>
      <c r="CS640" s="29"/>
      <c r="CT640" s="29"/>
      <c r="CU640" s="29"/>
      <c r="CV640" s="29"/>
      <c r="CW640" s="29"/>
      <c r="CX640" s="29"/>
      <c r="CY640" s="29"/>
      <c r="CZ640" s="29"/>
      <c r="DA640" s="29"/>
      <c r="DB640" s="29"/>
      <c r="DC640" s="29"/>
      <c r="DD640" s="29"/>
      <c r="DE640" s="29"/>
      <c r="DF640" s="29"/>
      <c r="DG640" s="29"/>
      <c r="DH640" s="29"/>
      <c r="DI640" s="29"/>
      <c r="DJ640" s="29"/>
      <c r="DK640" s="29"/>
      <c r="DL640" s="29"/>
      <c r="DM640" s="29"/>
      <c r="DN640" s="29"/>
      <c r="DO640" s="29"/>
      <c r="DP640" s="29"/>
      <c r="DQ640" s="29"/>
      <c r="DR640" s="29"/>
      <c r="DS640" s="29"/>
      <c r="DT640" s="29"/>
      <c r="DU640" s="29"/>
      <c r="DV640" s="29"/>
      <c r="DW640" s="29"/>
      <c r="DX640" s="29"/>
      <c r="DY640" s="29"/>
      <c r="DZ640" s="29"/>
      <c r="EA640" s="29"/>
      <c r="EB640" s="29"/>
      <c r="EC640" s="29"/>
      <c r="ED640" s="29"/>
      <c r="EE640" s="29"/>
      <c r="EF640" s="29"/>
      <c r="EG640" s="29"/>
      <c r="EH640" s="29"/>
      <c r="EI640" s="29"/>
      <c r="EJ640" s="29"/>
      <c r="EK640" s="29"/>
      <c r="EL640" s="29"/>
      <c r="EM640" s="29"/>
      <c r="EN640" s="29"/>
      <c r="EO640" s="29"/>
      <c r="EP640" s="29"/>
      <c r="EQ640" s="29"/>
      <c r="ER640" s="29"/>
      <c r="ES640" s="29"/>
      <c r="ET640" s="29"/>
      <c r="EU640" s="29"/>
      <c r="EV640" s="29"/>
      <c r="EW640" s="29"/>
      <c r="EX640" s="29"/>
      <c r="EY640" s="29"/>
      <c r="EZ640" s="29"/>
      <c r="FA640" s="29"/>
      <c r="FB640" s="29"/>
      <c r="FC640" s="29"/>
      <c r="FD640" s="29"/>
      <c r="FE640" s="29"/>
      <c r="FF640" s="29"/>
      <c r="FG640" s="29"/>
      <c r="FH640" s="29"/>
      <c r="FI640" s="29"/>
      <c r="FJ640" s="29"/>
      <c r="FK640" s="29"/>
      <c r="FL640" s="29"/>
      <c r="FM640" s="29"/>
      <c r="FN640" s="29"/>
      <c r="FO640" s="29"/>
      <c r="FP640" s="29"/>
      <c r="FQ640" s="29"/>
      <c r="FR640" s="29"/>
      <c r="FS640" s="29"/>
      <c r="FT640" s="29"/>
      <c r="FU640" s="29"/>
      <c r="FV640" s="29"/>
      <c r="FW640" s="29"/>
      <c r="FX640" s="29"/>
      <c r="FY640" s="29"/>
      <c r="FZ640" s="29"/>
      <c r="GA640" s="29"/>
      <c r="GB640" s="29"/>
      <c r="GC640" s="29"/>
      <c r="GD640" s="29"/>
      <c r="GE640" s="29"/>
      <c r="GF640" s="29"/>
      <c r="GG640" s="29"/>
      <c r="GH640" s="29"/>
      <c r="GI640" s="29"/>
      <c r="GJ640" s="29"/>
      <c r="GK640" s="29"/>
      <c r="GL640" s="29"/>
      <c r="GM640" s="29"/>
      <c r="GN640" s="29"/>
      <c r="GO640" s="29"/>
      <c r="GP640" s="29"/>
      <c r="GQ640" s="29"/>
      <c r="GR640" s="29"/>
      <c r="GS640" s="29"/>
      <c r="GT640" s="29"/>
      <c r="GU640" s="29"/>
      <c r="HP640" s="31"/>
      <c r="MX640" s="29"/>
      <c r="MY640" s="29"/>
    </row>
    <row r="641" ht="16.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c r="BO641" s="29"/>
      <c r="BP641" s="29"/>
      <c r="BQ641" s="29"/>
      <c r="BR641" s="29"/>
      <c r="BS641" s="29"/>
      <c r="BT641" s="29"/>
      <c r="BU641" s="29"/>
      <c r="BV641" s="29"/>
      <c r="BW641" s="29"/>
      <c r="BX641" s="29"/>
      <c r="BY641" s="29"/>
      <c r="BZ641" s="29"/>
      <c r="CA641" s="29"/>
      <c r="CB641" s="29"/>
      <c r="CC641" s="29"/>
      <c r="CD641" s="29"/>
      <c r="CE641" s="29"/>
      <c r="CF641" s="29"/>
      <c r="CG641" s="29"/>
      <c r="CH641" s="29"/>
      <c r="CI641" s="29"/>
      <c r="CJ641" s="29"/>
      <c r="CK641" s="29"/>
      <c r="CL641" s="29"/>
      <c r="CM641" s="29"/>
      <c r="CN641" s="29"/>
      <c r="CO641" s="29"/>
      <c r="CP641" s="29"/>
      <c r="CQ641" s="29"/>
      <c r="CR641" s="29"/>
      <c r="CS641" s="29"/>
      <c r="CT641" s="29"/>
      <c r="CU641" s="29"/>
      <c r="CV641" s="29"/>
      <c r="CW641" s="29"/>
      <c r="CX641" s="29"/>
      <c r="CY641" s="29"/>
      <c r="CZ641" s="29"/>
      <c r="DA641" s="29"/>
      <c r="DB641" s="29"/>
      <c r="DC641" s="29"/>
      <c r="DD641" s="29"/>
      <c r="DE641" s="29"/>
      <c r="DF641" s="29"/>
      <c r="DG641" s="29"/>
      <c r="DH641" s="29"/>
      <c r="DI641" s="29"/>
      <c r="DJ641" s="29"/>
      <c r="DK641" s="29"/>
      <c r="DL641" s="29"/>
      <c r="DM641" s="29"/>
      <c r="DN641" s="29"/>
      <c r="DO641" s="29"/>
      <c r="DP641" s="29"/>
      <c r="DQ641" s="29"/>
      <c r="DR641" s="29"/>
      <c r="DS641" s="29"/>
      <c r="DT641" s="29"/>
      <c r="DU641" s="29"/>
      <c r="DV641" s="29"/>
      <c r="DW641" s="29"/>
      <c r="DX641" s="29"/>
      <c r="DY641" s="29"/>
      <c r="DZ641" s="29"/>
      <c r="EA641" s="29"/>
      <c r="EB641" s="29"/>
      <c r="EC641" s="29"/>
      <c r="ED641" s="29"/>
      <c r="EE641" s="29"/>
      <c r="EF641" s="29"/>
      <c r="EG641" s="29"/>
      <c r="EH641" s="29"/>
      <c r="EI641" s="29"/>
      <c r="EJ641" s="29"/>
      <c r="EK641" s="29"/>
      <c r="EL641" s="29"/>
      <c r="EM641" s="29"/>
      <c r="EN641" s="29"/>
      <c r="EO641" s="29"/>
      <c r="EP641" s="29"/>
      <c r="EQ641" s="29"/>
      <c r="ER641" s="29"/>
      <c r="ES641" s="29"/>
      <c r="ET641" s="29"/>
      <c r="EU641" s="29"/>
      <c r="EV641" s="29"/>
      <c r="EW641" s="29"/>
      <c r="EX641" s="29"/>
      <c r="EY641" s="29"/>
      <c r="EZ641" s="29"/>
      <c r="FA641" s="29"/>
      <c r="FB641" s="29"/>
      <c r="FC641" s="29"/>
      <c r="FD641" s="29"/>
      <c r="FE641" s="29"/>
      <c r="FF641" s="29"/>
      <c r="FG641" s="29"/>
      <c r="FH641" s="29"/>
      <c r="FI641" s="29"/>
      <c r="FJ641" s="29"/>
      <c r="FK641" s="29"/>
      <c r="FL641" s="29"/>
      <c r="FM641" s="29"/>
      <c r="FN641" s="29"/>
      <c r="FO641" s="29"/>
      <c r="FP641" s="29"/>
      <c r="FQ641" s="29"/>
      <c r="FR641" s="29"/>
      <c r="FS641" s="29"/>
      <c r="FT641" s="29"/>
      <c r="FU641" s="29"/>
      <c r="FV641" s="29"/>
      <c r="FW641" s="29"/>
      <c r="FX641" s="29"/>
      <c r="FY641" s="29"/>
      <c r="FZ641" s="29"/>
      <c r="GA641" s="29"/>
      <c r="GB641" s="29"/>
      <c r="GC641" s="29"/>
      <c r="GD641" s="29"/>
      <c r="GE641" s="29"/>
      <c r="GF641" s="29"/>
      <c r="GG641" s="29"/>
      <c r="GH641" s="29"/>
      <c r="GI641" s="29"/>
      <c r="GJ641" s="29"/>
      <c r="GK641" s="29"/>
      <c r="GL641" s="29"/>
      <c r="GM641" s="29"/>
      <c r="GN641" s="29"/>
      <c r="GO641" s="29"/>
      <c r="GP641" s="29"/>
      <c r="GQ641" s="29"/>
      <c r="GR641" s="29"/>
      <c r="GS641" s="29"/>
      <c r="GT641" s="29"/>
      <c r="GU641" s="29"/>
      <c r="HP641" s="31"/>
      <c r="MX641" s="29"/>
      <c r="MY641" s="29"/>
    </row>
    <row r="642" ht="16.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c r="AW642" s="29"/>
      <c r="AX642" s="29"/>
      <c r="AY642" s="29"/>
      <c r="AZ642" s="29"/>
      <c r="BA642" s="29"/>
      <c r="BB642" s="29"/>
      <c r="BC642" s="29"/>
      <c r="BD642" s="29"/>
      <c r="BE642" s="29"/>
      <c r="BF642" s="29"/>
      <c r="BG642" s="29"/>
      <c r="BH642" s="29"/>
      <c r="BI642" s="29"/>
      <c r="BJ642" s="29"/>
      <c r="BK642" s="29"/>
      <c r="BL642" s="29"/>
      <c r="BM642" s="29"/>
      <c r="BN642" s="29"/>
      <c r="BO642" s="29"/>
      <c r="BP642" s="29"/>
      <c r="BQ642" s="29"/>
      <c r="BR642" s="29"/>
      <c r="BS642" s="29"/>
      <c r="BT642" s="29"/>
      <c r="BU642" s="29"/>
      <c r="BV642" s="29"/>
      <c r="BW642" s="29"/>
      <c r="BX642" s="29"/>
      <c r="BY642" s="29"/>
      <c r="BZ642" s="29"/>
      <c r="CA642" s="29"/>
      <c r="CB642" s="29"/>
      <c r="CC642" s="29"/>
      <c r="CD642" s="29"/>
      <c r="CE642" s="29"/>
      <c r="CF642" s="29"/>
      <c r="CG642" s="29"/>
      <c r="CH642" s="29"/>
      <c r="CI642" s="29"/>
      <c r="CJ642" s="29"/>
      <c r="CK642" s="29"/>
      <c r="CL642" s="29"/>
      <c r="CM642" s="29"/>
      <c r="CN642" s="29"/>
      <c r="CO642" s="29"/>
      <c r="CP642" s="29"/>
      <c r="CQ642" s="29"/>
      <c r="CR642" s="29"/>
      <c r="CS642" s="29"/>
      <c r="CT642" s="29"/>
      <c r="CU642" s="29"/>
      <c r="CV642" s="29"/>
      <c r="CW642" s="29"/>
      <c r="CX642" s="29"/>
      <c r="CY642" s="29"/>
      <c r="CZ642" s="29"/>
      <c r="DA642" s="29"/>
      <c r="DB642" s="29"/>
      <c r="DC642" s="29"/>
      <c r="DD642" s="29"/>
      <c r="DE642" s="29"/>
      <c r="DF642" s="29"/>
      <c r="DG642" s="29"/>
      <c r="DH642" s="29"/>
      <c r="DI642" s="29"/>
      <c r="DJ642" s="29"/>
      <c r="DK642" s="29"/>
      <c r="DL642" s="29"/>
      <c r="DM642" s="29"/>
      <c r="DN642" s="29"/>
      <c r="DO642" s="29"/>
      <c r="DP642" s="29"/>
      <c r="DQ642" s="29"/>
      <c r="DR642" s="29"/>
      <c r="DS642" s="29"/>
      <c r="DT642" s="29"/>
      <c r="DU642" s="29"/>
      <c r="DV642" s="29"/>
      <c r="DW642" s="29"/>
      <c r="DX642" s="29"/>
      <c r="DY642" s="29"/>
      <c r="DZ642" s="29"/>
      <c r="EA642" s="29"/>
      <c r="EB642" s="29"/>
      <c r="EC642" s="29"/>
      <c r="ED642" s="29"/>
      <c r="EE642" s="29"/>
      <c r="EF642" s="29"/>
      <c r="EG642" s="29"/>
      <c r="EH642" s="29"/>
      <c r="EI642" s="29"/>
      <c r="EJ642" s="29"/>
      <c r="EK642" s="29"/>
      <c r="EL642" s="29"/>
      <c r="EM642" s="29"/>
      <c r="EN642" s="29"/>
      <c r="EO642" s="29"/>
      <c r="EP642" s="29"/>
      <c r="EQ642" s="29"/>
      <c r="ER642" s="29"/>
      <c r="ES642" s="29"/>
      <c r="ET642" s="29"/>
      <c r="EU642" s="29"/>
      <c r="EV642" s="29"/>
      <c r="EW642" s="29"/>
      <c r="EX642" s="29"/>
      <c r="EY642" s="29"/>
      <c r="EZ642" s="29"/>
      <c r="FA642" s="29"/>
      <c r="FB642" s="29"/>
      <c r="FC642" s="29"/>
      <c r="FD642" s="29"/>
      <c r="FE642" s="29"/>
      <c r="FF642" s="29"/>
      <c r="FG642" s="29"/>
      <c r="FH642" s="29"/>
      <c r="FI642" s="29"/>
      <c r="FJ642" s="29"/>
      <c r="FK642" s="29"/>
      <c r="FL642" s="29"/>
      <c r="FM642" s="29"/>
      <c r="FN642" s="29"/>
      <c r="FO642" s="29"/>
      <c r="FP642" s="29"/>
      <c r="FQ642" s="29"/>
      <c r="FR642" s="29"/>
      <c r="FS642" s="29"/>
      <c r="FT642" s="29"/>
      <c r="FU642" s="29"/>
      <c r="FV642" s="29"/>
      <c r="FW642" s="29"/>
      <c r="FX642" s="29"/>
      <c r="FY642" s="29"/>
      <c r="FZ642" s="29"/>
      <c r="GA642" s="29"/>
      <c r="GB642" s="29"/>
      <c r="GC642" s="29"/>
      <c r="GD642" s="29"/>
      <c r="GE642" s="29"/>
      <c r="GF642" s="29"/>
      <c r="GG642" s="29"/>
      <c r="GH642" s="29"/>
      <c r="GI642" s="29"/>
      <c r="GJ642" s="29"/>
      <c r="GK642" s="29"/>
      <c r="GL642" s="29"/>
      <c r="GM642" s="29"/>
      <c r="GN642" s="29"/>
      <c r="GO642" s="29"/>
      <c r="GP642" s="29"/>
      <c r="GQ642" s="29"/>
      <c r="GR642" s="29"/>
      <c r="GS642" s="29"/>
      <c r="GT642" s="29"/>
      <c r="GU642" s="29"/>
      <c r="HP642" s="31"/>
      <c r="MX642" s="29"/>
      <c r="MY642" s="29"/>
    </row>
    <row r="643" ht="16.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c r="BO643" s="29"/>
      <c r="BP643" s="29"/>
      <c r="BQ643" s="29"/>
      <c r="BR643" s="29"/>
      <c r="BS643" s="29"/>
      <c r="BT643" s="29"/>
      <c r="BU643" s="29"/>
      <c r="BV643" s="29"/>
      <c r="BW643" s="29"/>
      <c r="BX643" s="29"/>
      <c r="BY643" s="29"/>
      <c r="BZ643" s="29"/>
      <c r="CA643" s="29"/>
      <c r="CB643" s="29"/>
      <c r="CC643" s="29"/>
      <c r="CD643" s="29"/>
      <c r="CE643" s="29"/>
      <c r="CF643" s="29"/>
      <c r="CG643" s="29"/>
      <c r="CH643" s="29"/>
      <c r="CI643" s="29"/>
      <c r="CJ643" s="29"/>
      <c r="CK643" s="29"/>
      <c r="CL643" s="29"/>
      <c r="CM643" s="29"/>
      <c r="CN643" s="29"/>
      <c r="CO643" s="29"/>
      <c r="CP643" s="29"/>
      <c r="CQ643" s="29"/>
      <c r="CR643" s="29"/>
      <c r="CS643" s="29"/>
      <c r="CT643" s="29"/>
      <c r="CU643" s="29"/>
      <c r="CV643" s="29"/>
      <c r="CW643" s="29"/>
      <c r="CX643" s="29"/>
      <c r="CY643" s="29"/>
      <c r="CZ643" s="29"/>
      <c r="DA643" s="29"/>
      <c r="DB643" s="29"/>
      <c r="DC643" s="29"/>
      <c r="DD643" s="29"/>
      <c r="DE643" s="29"/>
      <c r="DF643" s="29"/>
      <c r="DG643" s="29"/>
      <c r="DH643" s="29"/>
      <c r="DI643" s="29"/>
      <c r="DJ643" s="29"/>
      <c r="DK643" s="29"/>
      <c r="DL643" s="29"/>
      <c r="DM643" s="29"/>
      <c r="DN643" s="29"/>
      <c r="DO643" s="29"/>
      <c r="DP643" s="29"/>
      <c r="DQ643" s="29"/>
      <c r="DR643" s="29"/>
      <c r="DS643" s="29"/>
      <c r="DT643" s="29"/>
      <c r="DU643" s="29"/>
      <c r="DV643" s="29"/>
      <c r="DW643" s="29"/>
      <c r="DX643" s="29"/>
      <c r="DY643" s="29"/>
      <c r="DZ643" s="29"/>
      <c r="EA643" s="29"/>
      <c r="EB643" s="29"/>
      <c r="EC643" s="29"/>
      <c r="ED643" s="29"/>
      <c r="EE643" s="29"/>
      <c r="EF643" s="29"/>
      <c r="EG643" s="29"/>
      <c r="EH643" s="29"/>
      <c r="EI643" s="29"/>
      <c r="EJ643" s="29"/>
      <c r="EK643" s="29"/>
      <c r="EL643" s="29"/>
      <c r="EM643" s="29"/>
      <c r="EN643" s="29"/>
      <c r="EO643" s="29"/>
      <c r="EP643" s="29"/>
      <c r="EQ643" s="29"/>
      <c r="ER643" s="29"/>
      <c r="ES643" s="29"/>
      <c r="ET643" s="29"/>
      <c r="EU643" s="29"/>
      <c r="EV643" s="29"/>
      <c r="EW643" s="29"/>
      <c r="EX643" s="29"/>
      <c r="EY643" s="29"/>
      <c r="EZ643" s="29"/>
      <c r="FA643" s="29"/>
      <c r="FB643" s="29"/>
      <c r="FC643" s="29"/>
      <c r="FD643" s="29"/>
      <c r="FE643" s="29"/>
      <c r="FF643" s="29"/>
      <c r="FG643" s="29"/>
      <c r="FH643" s="29"/>
      <c r="FI643" s="29"/>
      <c r="FJ643" s="29"/>
      <c r="FK643" s="29"/>
      <c r="FL643" s="29"/>
      <c r="FM643" s="29"/>
      <c r="FN643" s="29"/>
      <c r="FO643" s="29"/>
      <c r="FP643" s="29"/>
      <c r="FQ643" s="29"/>
      <c r="FR643" s="29"/>
      <c r="FS643" s="29"/>
      <c r="FT643" s="29"/>
      <c r="FU643" s="29"/>
      <c r="FV643" s="29"/>
      <c r="FW643" s="29"/>
      <c r="FX643" s="29"/>
      <c r="FY643" s="29"/>
      <c r="FZ643" s="29"/>
      <c r="GA643" s="29"/>
      <c r="GB643" s="29"/>
      <c r="GC643" s="29"/>
      <c r="GD643" s="29"/>
      <c r="GE643" s="29"/>
      <c r="GF643" s="29"/>
      <c r="GG643" s="29"/>
      <c r="GH643" s="29"/>
      <c r="GI643" s="29"/>
      <c r="GJ643" s="29"/>
      <c r="GK643" s="29"/>
      <c r="GL643" s="29"/>
      <c r="GM643" s="29"/>
      <c r="GN643" s="29"/>
      <c r="GO643" s="29"/>
      <c r="GP643" s="29"/>
      <c r="GQ643" s="29"/>
      <c r="GR643" s="29"/>
      <c r="GS643" s="29"/>
      <c r="GT643" s="29"/>
      <c r="GU643" s="29"/>
      <c r="HP643" s="31"/>
      <c r="MX643" s="29"/>
      <c r="MY643" s="29"/>
    </row>
    <row r="644" ht="16.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c r="AX644" s="29"/>
      <c r="AY644" s="29"/>
      <c r="AZ644" s="29"/>
      <c r="BA644" s="29"/>
      <c r="BB644" s="29"/>
      <c r="BC644" s="29"/>
      <c r="BD644" s="29"/>
      <c r="BE644" s="29"/>
      <c r="BF644" s="29"/>
      <c r="BG644" s="29"/>
      <c r="BH644" s="29"/>
      <c r="BI644" s="29"/>
      <c r="BJ644" s="29"/>
      <c r="BK644" s="29"/>
      <c r="BL644" s="29"/>
      <c r="BM644" s="29"/>
      <c r="BN644" s="29"/>
      <c r="BO644" s="29"/>
      <c r="BP644" s="29"/>
      <c r="BQ644" s="29"/>
      <c r="BR644" s="29"/>
      <c r="BS644" s="29"/>
      <c r="BT644" s="29"/>
      <c r="BU644" s="29"/>
      <c r="BV644" s="29"/>
      <c r="BW644" s="29"/>
      <c r="BX644" s="29"/>
      <c r="BY644" s="29"/>
      <c r="BZ644" s="29"/>
      <c r="CA644" s="29"/>
      <c r="CB644" s="29"/>
      <c r="CC644" s="29"/>
      <c r="CD644" s="29"/>
      <c r="CE644" s="29"/>
      <c r="CF644" s="29"/>
      <c r="CG644" s="29"/>
      <c r="CH644" s="29"/>
      <c r="CI644" s="29"/>
      <c r="CJ644" s="29"/>
      <c r="CK644" s="29"/>
      <c r="CL644" s="29"/>
      <c r="CM644" s="29"/>
      <c r="CN644" s="29"/>
      <c r="CO644" s="29"/>
      <c r="CP644" s="29"/>
      <c r="CQ644" s="29"/>
      <c r="CR644" s="29"/>
      <c r="CS644" s="29"/>
      <c r="CT644" s="29"/>
      <c r="CU644" s="29"/>
      <c r="CV644" s="29"/>
      <c r="CW644" s="29"/>
      <c r="CX644" s="29"/>
      <c r="CY644" s="29"/>
      <c r="CZ644" s="29"/>
      <c r="DA644" s="29"/>
      <c r="DB644" s="29"/>
      <c r="DC644" s="29"/>
      <c r="DD644" s="29"/>
      <c r="DE644" s="29"/>
      <c r="DF644" s="29"/>
      <c r="DG644" s="29"/>
      <c r="DH644" s="29"/>
      <c r="DI644" s="29"/>
      <c r="DJ644" s="29"/>
      <c r="DK644" s="29"/>
      <c r="DL644" s="29"/>
      <c r="DM644" s="29"/>
      <c r="DN644" s="29"/>
      <c r="DO644" s="29"/>
      <c r="DP644" s="29"/>
      <c r="DQ644" s="29"/>
      <c r="DR644" s="29"/>
      <c r="DS644" s="29"/>
      <c r="DT644" s="29"/>
      <c r="DU644" s="29"/>
      <c r="DV644" s="29"/>
      <c r="DW644" s="29"/>
      <c r="DX644" s="29"/>
      <c r="DY644" s="29"/>
      <c r="DZ644" s="29"/>
      <c r="EA644" s="29"/>
      <c r="EB644" s="29"/>
      <c r="EC644" s="29"/>
      <c r="ED644" s="29"/>
      <c r="EE644" s="29"/>
      <c r="EF644" s="29"/>
      <c r="EG644" s="29"/>
      <c r="EH644" s="29"/>
      <c r="EI644" s="29"/>
      <c r="EJ644" s="29"/>
      <c r="EK644" s="29"/>
      <c r="EL644" s="29"/>
      <c r="EM644" s="29"/>
      <c r="EN644" s="29"/>
      <c r="EO644" s="29"/>
      <c r="EP644" s="29"/>
      <c r="EQ644" s="29"/>
      <c r="ER644" s="29"/>
      <c r="ES644" s="29"/>
      <c r="ET644" s="29"/>
      <c r="EU644" s="29"/>
      <c r="EV644" s="29"/>
      <c r="EW644" s="29"/>
      <c r="EX644" s="29"/>
      <c r="EY644" s="29"/>
      <c r="EZ644" s="29"/>
      <c r="FA644" s="29"/>
      <c r="FB644" s="29"/>
      <c r="FC644" s="29"/>
      <c r="FD644" s="29"/>
      <c r="FE644" s="29"/>
      <c r="FF644" s="29"/>
      <c r="FG644" s="29"/>
      <c r="FH644" s="29"/>
      <c r="FI644" s="29"/>
      <c r="FJ644" s="29"/>
      <c r="FK644" s="29"/>
      <c r="FL644" s="29"/>
      <c r="FM644" s="29"/>
      <c r="FN644" s="29"/>
      <c r="FO644" s="29"/>
      <c r="FP644" s="29"/>
      <c r="FQ644" s="29"/>
      <c r="FR644" s="29"/>
      <c r="FS644" s="29"/>
      <c r="FT644" s="29"/>
      <c r="FU644" s="29"/>
      <c r="FV644" s="29"/>
      <c r="FW644" s="29"/>
      <c r="FX644" s="29"/>
      <c r="FY644" s="29"/>
      <c r="FZ644" s="29"/>
      <c r="GA644" s="29"/>
      <c r="GB644" s="29"/>
      <c r="GC644" s="29"/>
      <c r="GD644" s="29"/>
      <c r="GE644" s="29"/>
      <c r="GF644" s="29"/>
      <c r="GG644" s="29"/>
      <c r="GH644" s="29"/>
      <c r="GI644" s="29"/>
      <c r="GJ644" s="29"/>
      <c r="GK644" s="29"/>
      <c r="GL644" s="29"/>
      <c r="GM644" s="29"/>
      <c r="GN644" s="29"/>
      <c r="GO644" s="29"/>
      <c r="GP644" s="29"/>
      <c r="GQ644" s="29"/>
      <c r="GR644" s="29"/>
      <c r="GS644" s="29"/>
      <c r="GT644" s="29"/>
      <c r="GU644" s="29"/>
      <c r="HP644" s="31"/>
      <c r="MX644" s="29"/>
      <c r="MY644" s="29"/>
    </row>
    <row r="645" ht="16.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c r="BO645" s="29"/>
      <c r="BP645" s="29"/>
      <c r="BQ645" s="29"/>
      <c r="BR645" s="29"/>
      <c r="BS645" s="29"/>
      <c r="BT645" s="29"/>
      <c r="BU645" s="29"/>
      <c r="BV645" s="29"/>
      <c r="BW645" s="29"/>
      <c r="BX645" s="29"/>
      <c r="BY645" s="29"/>
      <c r="BZ645" s="29"/>
      <c r="CA645" s="29"/>
      <c r="CB645" s="29"/>
      <c r="CC645" s="29"/>
      <c r="CD645" s="29"/>
      <c r="CE645" s="29"/>
      <c r="CF645" s="29"/>
      <c r="CG645" s="29"/>
      <c r="CH645" s="29"/>
      <c r="CI645" s="29"/>
      <c r="CJ645" s="29"/>
      <c r="CK645" s="29"/>
      <c r="CL645" s="29"/>
      <c r="CM645" s="29"/>
      <c r="CN645" s="29"/>
      <c r="CO645" s="29"/>
      <c r="CP645" s="29"/>
      <c r="CQ645" s="29"/>
      <c r="CR645" s="29"/>
      <c r="CS645" s="29"/>
      <c r="CT645" s="29"/>
      <c r="CU645" s="29"/>
      <c r="CV645" s="29"/>
      <c r="CW645" s="29"/>
      <c r="CX645" s="29"/>
      <c r="CY645" s="29"/>
      <c r="CZ645" s="29"/>
      <c r="DA645" s="29"/>
      <c r="DB645" s="29"/>
      <c r="DC645" s="29"/>
      <c r="DD645" s="29"/>
      <c r="DE645" s="29"/>
      <c r="DF645" s="29"/>
      <c r="DG645" s="29"/>
      <c r="DH645" s="29"/>
      <c r="DI645" s="29"/>
      <c r="DJ645" s="29"/>
      <c r="DK645" s="29"/>
      <c r="DL645" s="29"/>
      <c r="DM645" s="29"/>
      <c r="DN645" s="29"/>
      <c r="DO645" s="29"/>
      <c r="DP645" s="29"/>
      <c r="DQ645" s="29"/>
      <c r="DR645" s="29"/>
      <c r="DS645" s="29"/>
      <c r="DT645" s="29"/>
      <c r="DU645" s="29"/>
      <c r="DV645" s="29"/>
      <c r="DW645" s="29"/>
      <c r="DX645" s="29"/>
      <c r="DY645" s="29"/>
      <c r="DZ645" s="29"/>
      <c r="EA645" s="29"/>
      <c r="EB645" s="29"/>
      <c r="EC645" s="29"/>
      <c r="ED645" s="29"/>
      <c r="EE645" s="29"/>
      <c r="EF645" s="29"/>
      <c r="EG645" s="29"/>
      <c r="EH645" s="29"/>
      <c r="EI645" s="29"/>
      <c r="EJ645" s="29"/>
      <c r="EK645" s="29"/>
      <c r="EL645" s="29"/>
      <c r="EM645" s="29"/>
      <c r="EN645" s="29"/>
      <c r="EO645" s="29"/>
      <c r="EP645" s="29"/>
      <c r="EQ645" s="29"/>
      <c r="ER645" s="29"/>
      <c r="ES645" s="29"/>
      <c r="ET645" s="29"/>
      <c r="EU645" s="29"/>
      <c r="EV645" s="29"/>
      <c r="EW645" s="29"/>
      <c r="EX645" s="29"/>
      <c r="EY645" s="29"/>
      <c r="EZ645" s="29"/>
      <c r="FA645" s="29"/>
      <c r="FB645" s="29"/>
      <c r="FC645" s="29"/>
      <c r="FD645" s="29"/>
      <c r="FE645" s="29"/>
      <c r="FF645" s="29"/>
      <c r="FG645" s="29"/>
      <c r="FH645" s="29"/>
      <c r="FI645" s="29"/>
      <c r="FJ645" s="29"/>
      <c r="FK645" s="29"/>
      <c r="FL645" s="29"/>
      <c r="FM645" s="29"/>
      <c r="FN645" s="29"/>
      <c r="FO645" s="29"/>
      <c r="FP645" s="29"/>
      <c r="FQ645" s="29"/>
      <c r="FR645" s="29"/>
      <c r="FS645" s="29"/>
      <c r="FT645" s="29"/>
      <c r="FU645" s="29"/>
      <c r="FV645" s="29"/>
      <c r="FW645" s="29"/>
      <c r="FX645" s="29"/>
      <c r="FY645" s="29"/>
      <c r="FZ645" s="29"/>
      <c r="GA645" s="29"/>
      <c r="GB645" s="29"/>
      <c r="GC645" s="29"/>
      <c r="GD645" s="29"/>
      <c r="GE645" s="29"/>
      <c r="GF645" s="29"/>
      <c r="GG645" s="29"/>
      <c r="GH645" s="29"/>
      <c r="GI645" s="29"/>
      <c r="GJ645" s="29"/>
      <c r="GK645" s="29"/>
      <c r="GL645" s="29"/>
      <c r="GM645" s="29"/>
      <c r="GN645" s="29"/>
      <c r="GO645" s="29"/>
      <c r="GP645" s="29"/>
      <c r="GQ645" s="29"/>
      <c r="GR645" s="29"/>
      <c r="GS645" s="29"/>
      <c r="GT645" s="29"/>
      <c r="GU645" s="29"/>
      <c r="HP645" s="31"/>
      <c r="MX645" s="29"/>
      <c r="MY645" s="29"/>
    </row>
    <row r="646" ht="16.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c r="AX646" s="29"/>
      <c r="AY646" s="29"/>
      <c r="AZ646" s="29"/>
      <c r="BA646" s="29"/>
      <c r="BB646" s="29"/>
      <c r="BC646" s="29"/>
      <c r="BD646" s="29"/>
      <c r="BE646" s="29"/>
      <c r="BF646" s="29"/>
      <c r="BG646" s="29"/>
      <c r="BH646" s="29"/>
      <c r="BI646" s="29"/>
      <c r="BJ646" s="29"/>
      <c r="BK646" s="29"/>
      <c r="BL646" s="29"/>
      <c r="BM646" s="29"/>
      <c r="BN646" s="29"/>
      <c r="BO646" s="29"/>
      <c r="BP646" s="29"/>
      <c r="BQ646" s="29"/>
      <c r="BR646" s="29"/>
      <c r="BS646" s="29"/>
      <c r="BT646" s="29"/>
      <c r="BU646" s="29"/>
      <c r="BV646" s="29"/>
      <c r="BW646" s="29"/>
      <c r="BX646" s="29"/>
      <c r="BY646" s="29"/>
      <c r="BZ646" s="29"/>
      <c r="CA646" s="29"/>
      <c r="CB646" s="29"/>
      <c r="CC646" s="29"/>
      <c r="CD646" s="29"/>
      <c r="CE646" s="29"/>
      <c r="CF646" s="29"/>
      <c r="CG646" s="29"/>
      <c r="CH646" s="29"/>
      <c r="CI646" s="29"/>
      <c r="CJ646" s="29"/>
      <c r="CK646" s="29"/>
      <c r="CL646" s="29"/>
      <c r="CM646" s="29"/>
      <c r="CN646" s="29"/>
      <c r="CO646" s="29"/>
      <c r="CP646" s="29"/>
      <c r="CQ646" s="29"/>
      <c r="CR646" s="29"/>
      <c r="CS646" s="29"/>
      <c r="CT646" s="29"/>
      <c r="CU646" s="29"/>
      <c r="CV646" s="29"/>
      <c r="CW646" s="29"/>
      <c r="CX646" s="29"/>
      <c r="CY646" s="29"/>
      <c r="CZ646" s="29"/>
      <c r="DA646" s="29"/>
      <c r="DB646" s="29"/>
      <c r="DC646" s="29"/>
      <c r="DD646" s="29"/>
      <c r="DE646" s="29"/>
      <c r="DF646" s="29"/>
      <c r="DG646" s="29"/>
      <c r="DH646" s="29"/>
      <c r="DI646" s="29"/>
      <c r="DJ646" s="29"/>
      <c r="DK646" s="29"/>
      <c r="DL646" s="29"/>
      <c r="DM646" s="29"/>
      <c r="DN646" s="29"/>
      <c r="DO646" s="29"/>
      <c r="DP646" s="29"/>
      <c r="DQ646" s="29"/>
      <c r="DR646" s="29"/>
      <c r="DS646" s="29"/>
      <c r="DT646" s="29"/>
      <c r="DU646" s="29"/>
      <c r="DV646" s="29"/>
      <c r="DW646" s="29"/>
      <c r="DX646" s="29"/>
      <c r="DY646" s="29"/>
      <c r="DZ646" s="29"/>
      <c r="EA646" s="29"/>
      <c r="EB646" s="29"/>
      <c r="EC646" s="29"/>
      <c r="ED646" s="29"/>
      <c r="EE646" s="29"/>
      <c r="EF646" s="29"/>
      <c r="EG646" s="29"/>
      <c r="EH646" s="29"/>
      <c r="EI646" s="29"/>
      <c r="EJ646" s="29"/>
      <c r="EK646" s="29"/>
      <c r="EL646" s="29"/>
      <c r="EM646" s="29"/>
      <c r="EN646" s="29"/>
      <c r="EO646" s="29"/>
      <c r="EP646" s="29"/>
      <c r="EQ646" s="29"/>
      <c r="ER646" s="29"/>
      <c r="ES646" s="29"/>
      <c r="ET646" s="29"/>
      <c r="EU646" s="29"/>
      <c r="EV646" s="29"/>
      <c r="EW646" s="29"/>
      <c r="EX646" s="29"/>
      <c r="EY646" s="29"/>
      <c r="EZ646" s="29"/>
      <c r="FA646" s="29"/>
      <c r="FB646" s="29"/>
      <c r="FC646" s="29"/>
      <c r="FD646" s="29"/>
      <c r="FE646" s="29"/>
      <c r="FF646" s="29"/>
      <c r="FG646" s="29"/>
      <c r="FH646" s="29"/>
      <c r="FI646" s="29"/>
      <c r="FJ646" s="29"/>
      <c r="FK646" s="29"/>
      <c r="FL646" s="29"/>
      <c r="FM646" s="29"/>
      <c r="FN646" s="29"/>
      <c r="FO646" s="29"/>
      <c r="FP646" s="29"/>
      <c r="FQ646" s="29"/>
      <c r="FR646" s="29"/>
      <c r="FS646" s="29"/>
      <c r="FT646" s="29"/>
      <c r="FU646" s="29"/>
      <c r="FV646" s="29"/>
      <c r="FW646" s="29"/>
      <c r="FX646" s="29"/>
      <c r="FY646" s="29"/>
      <c r="FZ646" s="29"/>
      <c r="GA646" s="29"/>
      <c r="GB646" s="29"/>
      <c r="GC646" s="29"/>
      <c r="GD646" s="29"/>
      <c r="GE646" s="29"/>
      <c r="GF646" s="29"/>
      <c r="GG646" s="29"/>
      <c r="GH646" s="29"/>
      <c r="GI646" s="29"/>
      <c r="GJ646" s="29"/>
      <c r="GK646" s="29"/>
      <c r="GL646" s="29"/>
      <c r="GM646" s="29"/>
      <c r="GN646" s="29"/>
      <c r="GO646" s="29"/>
      <c r="GP646" s="29"/>
      <c r="GQ646" s="29"/>
      <c r="GR646" s="29"/>
      <c r="GS646" s="29"/>
      <c r="GT646" s="29"/>
      <c r="GU646" s="29"/>
      <c r="HP646" s="31"/>
      <c r="MX646" s="29"/>
      <c r="MY646" s="29"/>
    </row>
    <row r="647" ht="16.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c r="BO647" s="29"/>
      <c r="BP647" s="29"/>
      <c r="BQ647" s="29"/>
      <c r="BR647" s="29"/>
      <c r="BS647" s="29"/>
      <c r="BT647" s="29"/>
      <c r="BU647" s="29"/>
      <c r="BV647" s="29"/>
      <c r="BW647" s="29"/>
      <c r="BX647" s="29"/>
      <c r="BY647" s="29"/>
      <c r="BZ647" s="29"/>
      <c r="CA647" s="29"/>
      <c r="CB647" s="29"/>
      <c r="CC647" s="29"/>
      <c r="CD647" s="29"/>
      <c r="CE647" s="29"/>
      <c r="CF647" s="29"/>
      <c r="CG647" s="29"/>
      <c r="CH647" s="29"/>
      <c r="CI647" s="29"/>
      <c r="CJ647" s="29"/>
      <c r="CK647" s="29"/>
      <c r="CL647" s="29"/>
      <c r="CM647" s="29"/>
      <c r="CN647" s="29"/>
      <c r="CO647" s="29"/>
      <c r="CP647" s="29"/>
      <c r="CQ647" s="29"/>
      <c r="CR647" s="29"/>
      <c r="CS647" s="29"/>
      <c r="CT647" s="29"/>
      <c r="CU647" s="29"/>
      <c r="CV647" s="29"/>
      <c r="CW647" s="29"/>
      <c r="CX647" s="29"/>
      <c r="CY647" s="29"/>
      <c r="CZ647" s="29"/>
      <c r="DA647" s="29"/>
      <c r="DB647" s="29"/>
      <c r="DC647" s="29"/>
      <c r="DD647" s="29"/>
      <c r="DE647" s="29"/>
      <c r="DF647" s="29"/>
      <c r="DG647" s="29"/>
      <c r="DH647" s="29"/>
      <c r="DI647" s="29"/>
      <c r="DJ647" s="29"/>
      <c r="DK647" s="29"/>
      <c r="DL647" s="29"/>
      <c r="DM647" s="29"/>
      <c r="DN647" s="29"/>
      <c r="DO647" s="29"/>
      <c r="DP647" s="29"/>
      <c r="DQ647" s="29"/>
      <c r="DR647" s="29"/>
      <c r="DS647" s="29"/>
      <c r="DT647" s="29"/>
      <c r="DU647" s="29"/>
      <c r="DV647" s="29"/>
      <c r="DW647" s="29"/>
      <c r="DX647" s="29"/>
      <c r="DY647" s="29"/>
      <c r="DZ647" s="29"/>
      <c r="EA647" s="29"/>
      <c r="EB647" s="29"/>
      <c r="EC647" s="29"/>
      <c r="ED647" s="29"/>
      <c r="EE647" s="29"/>
      <c r="EF647" s="29"/>
      <c r="EG647" s="29"/>
      <c r="EH647" s="29"/>
      <c r="EI647" s="29"/>
      <c r="EJ647" s="29"/>
      <c r="EK647" s="29"/>
      <c r="EL647" s="29"/>
      <c r="EM647" s="29"/>
      <c r="EN647" s="29"/>
      <c r="EO647" s="29"/>
      <c r="EP647" s="29"/>
      <c r="EQ647" s="29"/>
      <c r="ER647" s="29"/>
      <c r="ES647" s="29"/>
      <c r="ET647" s="29"/>
      <c r="EU647" s="29"/>
      <c r="EV647" s="29"/>
      <c r="EW647" s="29"/>
      <c r="EX647" s="29"/>
      <c r="EY647" s="29"/>
      <c r="EZ647" s="29"/>
      <c r="FA647" s="29"/>
      <c r="FB647" s="29"/>
      <c r="FC647" s="29"/>
      <c r="FD647" s="29"/>
      <c r="FE647" s="29"/>
      <c r="FF647" s="29"/>
      <c r="FG647" s="29"/>
      <c r="FH647" s="29"/>
      <c r="FI647" s="29"/>
      <c r="FJ647" s="29"/>
      <c r="FK647" s="29"/>
      <c r="FL647" s="29"/>
      <c r="FM647" s="29"/>
      <c r="FN647" s="29"/>
      <c r="FO647" s="29"/>
      <c r="FP647" s="29"/>
      <c r="FQ647" s="29"/>
      <c r="FR647" s="29"/>
      <c r="FS647" s="29"/>
      <c r="FT647" s="29"/>
      <c r="FU647" s="29"/>
      <c r="FV647" s="29"/>
      <c r="FW647" s="29"/>
      <c r="FX647" s="29"/>
      <c r="FY647" s="29"/>
      <c r="FZ647" s="29"/>
      <c r="GA647" s="29"/>
      <c r="GB647" s="29"/>
      <c r="GC647" s="29"/>
      <c r="GD647" s="29"/>
      <c r="GE647" s="29"/>
      <c r="GF647" s="29"/>
      <c r="GG647" s="29"/>
      <c r="GH647" s="29"/>
      <c r="GI647" s="29"/>
      <c r="GJ647" s="29"/>
      <c r="GK647" s="29"/>
      <c r="GL647" s="29"/>
      <c r="GM647" s="29"/>
      <c r="GN647" s="29"/>
      <c r="GO647" s="29"/>
      <c r="GP647" s="29"/>
      <c r="GQ647" s="29"/>
      <c r="GR647" s="29"/>
      <c r="GS647" s="29"/>
      <c r="GT647" s="29"/>
      <c r="GU647" s="29"/>
      <c r="HP647" s="31"/>
      <c r="MX647" s="29"/>
      <c r="MY647" s="29"/>
    </row>
    <row r="648" ht="16.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c r="AX648" s="29"/>
      <c r="AY648" s="29"/>
      <c r="AZ648" s="29"/>
      <c r="BA648" s="29"/>
      <c r="BB648" s="29"/>
      <c r="BC648" s="29"/>
      <c r="BD648" s="29"/>
      <c r="BE648" s="29"/>
      <c r="BF648" s="29"/>
      <c r="BG648" s="29"/>
      <c r="BH648" s="29"/>
      <c r="BI648" s="29"/>
      <c r="BJ648" s="29"/>
      <c r="BK648" s="29"/>
      <c r="BL648" s="29"/>
      <c r="BM648" s="29"/>
      <c r="BN648" s="29"/>
      <c r="BO648" s="29"/>
      <c r="BP648" s="29"/>
      <c r="BQ648" s="29"/>
      <c r="BR648" s="29"/>
      <c r="BS648" s="29"/>
      <c r="BT648" s="29"/>
      <c r="BU648" s="29"/>
      <c r="BV648" s="29"/>
      <c r="BW648" s="29"/>
      <c r="BX648" s="29"/>
      <c r="BY648" s="29"/>
      <c r="BZ648" s="29"/>
      <c r="CA648" s="29"/>
      <c r="CB648" s="29"/>
      <c r="CC648" s="29"/>
      <c r="CD648" s="29"/>
      <c r="CE648" s="29"/>
      <c r="CF648" s="29"/>
      <c r="CG648" s="29"/>
      <c r="CH648" s="29"/>
      <c r="CI648" s="29"/>
      <c r="CJ648" s="29"/>
      <c r="CK648" s="29"/>
      <c r="CL648" s="29"/>
      <c r="CM648" s="29"/>
      <c r="CN648" s="29"/>
      <c r="CO648" s="29"/>
      <c r="CP648" s="29"/>
      <c r="CQ648" s="29"/>
      <c r="CR648" s="29"/>
      <c r="CS648" s="29"/>
      <c r="CT648" s="29"/>
      <c r="CU648" s="29"/>
      <c r="CV648" s="29"/>
      <c r="CW648" s="29"/>
      <c r="CX648" s="29"/>
      <c r="CY648" s="29"/>
      <c r="CZ648" s="29"/>
      <c r="DA648" s="29"/>
      <c r="DB648" s="29"/>
      <c r="DC648" s="29"/>
      <c r="DD648" s="29"/>
      <c r="DE648" s="29"/>
      <c r="DF648" s="29"/>
      <c r="DG648" s="29"/>
      <c r="DH648" s="29"/>
      <c r="DI648" s="29"/>
      <c r="DJ648" s="29"/>
      <c r="DK648" s="29"/>
      <c r="DL648" s="29"/>
      <c r="DM648" s="29"/>
      <c r="DN648" s="29"/>
      <c r="DO648" s="29"/>
      <c r="DP648" s="29"/>
      <c r="DQ648" s="29"/>
      <c r="DR648" s="29"/>
      <c r="DS648" s="29"/>
      <c r="DT648" s="29"/>
      <c r="DU648" s="29"/>
      <c r="DV648" s="29"/>
      <c r="DW648" s="29"/>
      <c r="DX648" s="29"/>
      <c r="DY648" s="29"/>
      <c r="DZ648" s="29"/>
      <c r="EA648" s="29"/>
      <c r="EB648" s="29"/>
      <c r="EC648" s="29"/>
      <c r="ED648" s="29"/>
      <c r="EE648" s="29"/>
      <c r="EF648" s="29"/>
      <c r="EG648" s="29"/>
      <c r="EH648" s="29"/>
      <c r="EI648" s="29"/>
      <c r="EJ648" s="29"/>
      <c r="EK648" s="29"/>
      <c r="EL648" s="29"/>
      <c r="EM648" s="29"/>
      <c r="EN648" s="29"/>
      <c r="EO648" s="29"/>
      <c r="EP648" s="29"/>
      <c r="EQ648" s="29"/>
      <c r="ER648" s="29"/>
      <c r="ES648" s="29"/>
      <c r="ET648" s="29"/>
      <c r="EU648" s="29"/>
      <c r="EV648" s="29"/>
      <c r="EW648" s="29"/>
      <c r="EX648" s="29"/>
      <c r="EY648" s="29"/>
      <c r="EZ648" s="29"/>
      <c r="FA648" s="29"/>
      <c r="FB648" s="29"/>
      <c r="FC648" s="29"/>
      <c r="FD648" s="29"/>
      <c r="FE648" s="29"/>
      <c r="FF648" s="29"/>
      <c r="FG648" s="29"/>
      <c r="FH648" s="29"/>
      <c r="FI648" s="29"/>
      <c r="FJ648" s="29"/>
      <c r="FK648" s="29"/>
      <c r="FL648" s="29"/>
      <c r="FM648" s="29"/>
      <c r="FN648" s="29"/>
      <c r="FO648" s="29"/>
      <c r="FP648" s="29"/>
      <c r="FQ648" s="29"/>
      <c r="FR648" s="29"/>
      <c r="FS648" s="29"/>
      <c r="FT648" s="29"/>
      <c r="FU648" s="29"/>
      <c r="FV648" s="29"/>
      <c r="FW648" s="29"/>
      <c r="FX648" s="29"/>
      <c r="FY648" s="29"/>
      <c r="FZ648" s="29"/>
      <c r="GA648" s="29"/>
      <c r="GB648" s="29"/>
      <c r="GC648" s="29"/>
      <c r="GD648" s="29"/>
      <c r="GE648" s="29"/>
      <c r="GF648" s="29"/>
      <c r="GG648" s="29"/>
      <c r="GH648" s="29"/>
      <c r="GI648" s="29"/>
      <c r="GJ648" s="29"/>
      <c r="GK648" s="29"/>
      <c r="GL648" s="29"/>
      <c r="GM648" s="29"/>
      <c r="GN648" s="29"/>
      <c r="GO648" s="29"/>
      <c r="GP648" s="29"/>
      <c r="GQ648" s="29"/>
      <c r="GR648" s="29"/>
      <c r="GS648" s="29"/>
      <c r="GT648" s="29"/>
      <c r="GU648" s="29"/>
      <c r="HP648" s="31"/>
      <c r="MX648" s="29"/>
      <c r="MY648" s="29"/>
    </row>
    <row r="649" ht="16.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c r="BO649" s="29"/>
      <c r="BP649" s="29"/>
      <c r="BQ649" s="29"/>
      <c r="BR649" s="29"/>
      <c r="BS649" s="29"/>
      <c r="BT649" s="29"/>
      <c r="BU649" s="29"/>
      <c r="BV649" s="29"/>
      <c r="BW649" s="29"/>
      <c r="BX649" s="29"/>
      <c r="BY649" s="29"/>
      <c r="BZ649" s="29"/>
      <c r="CA649" s="29"/>
      <c r="CB649" s="29"/>
      <c r="CC649" s="29"/>
      <c r="CD649" s="29"/>
      <c r="CE649" s="29"/>
      <c r="CF649" s="29"/>
      <c r="CG649" s="29"/>
      <c r="CH649" s="29"/>
      <c r="CI649" s="29"/>
      <c r="CJ649" s="29"/>
      <c r="CK649" s="29"/>
      <c r="CL649" s="29"/>
      <c r="CM649" s="29"/>
      <c r="CN649" s="29"/>
      <c r="CO649" s="29"/>
      <c r="CP649" s="29"/>
      <c r="CQ649" s="29"/>
      <c r="CR649" s="29"/>
      <c r="CS649" s="29"/>
      <c r="CT649" s="29"/>
      <c r="CU649" s="29"/>
      <c r="CV649" s="29"/>
      <c r="CW649" s="29"/>
      <c r="CX649" s="29"/>
      <c r="CY649" s="29"/>
      <c r="CZ649" s="29"/>
      <c r="DA649" s="29"/>
      <c r="DB649" s="29"/>
      <c r="DC649" s="29"/>
      <c r="DD649" s="29"/>
      <c r="DE649" s="29"/>
      <c r="DF649" s="29"/>
      <c r="DG649" s="29"/>
      <c r="DH649" s="29"/>
      <c r="DI649" s="29"/>
      <c r="DJ649" s="29"/>
      <c r="DK649" s="29"/>
      <c r="DL649" s="29"/>
      <c r="DM649" s="29"/>
      <c r="DN649" s="29"/>
      <c r="DO649" s="29"/>
      <c r="DP649" s="29"/>
      <c r="DQ649" s="29"/>
      <c r="DR649" s="29"/>
      <c r="DS649" s="29"/>
      <c r="DT649" s="29"/>
      <c r="DU649" s="29"/>
      <c r="DV649" s="29"/>
      <c r="DW649" s="29"/>
      <c r="DX649" s="29"/>
      <c r="DY649" s="29"/>
      <c r="DZ649" s="29"/>
      <c r="EA649" s="29"/>
      <c r="EB649" s="29"/>
      <c r="EC649" s="29"/>
      <c r="ED649" s="29"/>
      <c r="EE649" s="29"/>
      <c r="EF649" s="29"/>
      <c r="EG649" s="29"/>
      <c r="EH649" s="29"/>
      <c r="EI649" s="29"/>
      <c r="EJ649" s="29"/>
      <c r="EK649" s="29"/>
      <c r="EL649" s="29"/>
      <c r="EM649" s="29"/>
      <c r="EN649" s="29"/>
      <c r="EO649" s="29"/>
      <c r="EP649" s="29"/>
      <c r="EQ649" s="29"/>
      <c r="ER649" s="29"/>
      <c r="ES649" s="29"/>
      <c r="ET649" s="29"/>
      <c r="EU649" s="29"/>
      <c r="EV649" s="29"/>
      <c r="EW649" s="29"/>
      <c r="EX649" s="29"/>
      <c r="EY649" s="29"/>
      <c r="EZ649" s="29"/>
      <c r="FA649" s="29"/>
      <c r="FB649" s="29"/>
      <c r="FC649" s="29"/>
      <c r="FD649" s="29"/>
      <c r="FE649" s="29"/>
      <c r="FF649" s="29"/>
      <c r="FG649" s="29"/>
      <c r="FH649" s="29"/>
      <c r="FI649" s="29"/>
      <c r="FJ649" s="29"/>
      <c r="FK649" s="29"/>
      <c r="FL649" s="29"/>
      <c r="FM649" s="29"/>
      <c r="FN649" s="29"/>
      <c r="FO649" s="29"/>
      <c r="FP649" s="29"/>
      <c r="FQ649" s="29"/>
      <c r="FR649" s="29"/>
      <c r="FS649" s="29"/>
      <c r="FT649" s="29"/>
      <c r="FU649" s="29"/>
      <c r="FV649" s="29"/>
      <c r="FW649" s="29"/>
      <c r="FX649" s="29"/>
      <c r="FY649" s="29"/>
      <c r="FZ649" s="29"/>
      <c r="GA649" s="29"/>
      <c r="GB649" s="29"/>
      <c r="GC649" s="29"/>
      <c r="GD649" s="29"/>
      <c r="GE649" s="29"/>
      <c r="GF649" s="29"/>
      <c r="GG649" s="29"/>
      <c r="GH649" s="29"/>
      <c r="GI649" s="29"/>
      <c r="GJ649" s="29"/>
      <c r="GK649" s="29"/>
      <c r="GL649" s="29"/>
      <c r="GM649" s="29"/>
      <c r="GN649" s="29"/>
      <c r="GO649" s="29"/>
      <c r="GP649" s="29"/>
      <c r="GQ649" s="29"/>
      <c r="GR649" s="29"/>
      <c r="GS649" s="29"/>
      <c r="GT649" s="29"/>
      <c r="GU649" s="29"/>
      <c r="HP649" s="31"/>
      <c r="MX649" s="29"/>
      <c r="MY649" s="29"/>
    </row>
    <row r="650" ht="16.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c r="AX650" s="29"/>
      <c r="AY650" s="29"/>
      <c r="AZ650" s="29"/>
      <c r="BA650" s="29"/>
      <c r="BB650" s="29"/>
      <c r="BC650" s="29"/>
      <c r="BD650" s="29"/>
      <c r="BE650" s="29"/>
      <c r="BF650" s="29"/>
      <c r="BG650" s="29"/>
      <c r="BH650" s="29"/>
      <c r="BI650" s="29"/>
      <c r="BJ650" s="29"/>
      <c r="BK650" s="29"/>
      <c r="BL650" s="29"/>
      <c r="BM650" s="29"/>
      <c r="BN650" s="29"/>
      <c r="BO650" s="29"/>
      <c r="BP650" s="29"/>
      <c r="BQ650" s="29"/>
      <c r="BR650" s="29"/>
      <c r="BS650" s="29"/>
      <c r="BT650" s="29"/>
      <c r="BU650" s="29"/>
      <c r="BV650" s="29"/>
      <c r="BW650" s="29"/>
      <c r="BX650" s="29"/>
      <c r="BY650" s="29"/>
      <c r="BZ650" s="29"/>
      <c r="CA650" s="29"/>
      <c r="CB650" s="29"/>
      <c r="CC650" s="29"/>
      <c r="CD650" s="29"/>
      <c r="CE650" s="29"/>
      <c r="CF650" s="29"/>
      <c r="CG650" s="29"/>
      <c r="CH650" s="29"/>
      <c r="CI650" s="29"/>
      <c r="CJ650" s="29"/>
      <c r="CK650" s="29"/>
      <c r="CL650" s="29"/>
      <c r="CM650" s="29"/>
      <c r="CN650" s="29"/>
      <c r="CO650" s="29"/>
      <c r="CP650" s="29"/>
      <c r="CQ650" s="29"/>
      <c r="CR650" s="29"/>
      <c r="CS650" s="29"/>
      <c r="CT650" s="29"/>
      <c r="CU650" s="29"/>
      <c r="CV650" s="29"/>
      <c r="CW650" s="29"/>
      <c r="CX650" s="29"/>
      <c r="CY650" s="29"/>
      <c r="CZ650" s="29"/>
      <c r="DA650" s="29"/>
      <c r="DB650" s="29"/>
      <c r="DC650" s="29"/>
      <c r="DD650" s="29"/>
      <c r="DE650" s="29"/>
      <c r="DF650" s="29"/>
      <c r="DG650" s="29"/>
      <c r="DH650" s="29"/>
      <c r="DI650" s="29"/>
      <c r="DJ650" s="29"/>
      <c r="DK650" s="29"/>
      <c r="DL650" s="29"/>
      <c r="DM650" s="29"/>
      <c r="DN650" s="29"/>
      <c r="DO650" s="29"/>
      <c r="DP650" s="29"/>
      <c r="DQ650" s="29"/>
      <c r="DR650" s="29"/>
      <c r="DS650" s="29"/>
      <c r="DT650" s="29"/>
      <c r="DU650" s="29"/>
      <c r="DV650" s="29"/>
      <c r="DW650" s="29"/>
      <c r="DX650" s="29"/>
      <c r="DY650" s="29"/>
      <c r="DZ650" s="29"/>
      <c r="EA650" s="29"/>
      <c r="EB650" s="29"/>
      <c r="EC650" s="29"/>
      <c r="ED650" s="29"/>
      <c r="EE650" s="29"/>
      <c r="EF650" s="29"/>
      <c r="EG650" s="29"/>
      <c r="EH650" s="29"/>
      <c r="EI650" s="29"/>
      <c r="EJ650" s="29"/>
      <c r="EK650" s="29"/>
      <c r="EL650" s="29"/>
      <c r="EM650" s="29"/>
      <c r="EN650" s="29"/>
      <c r="EO650" s="29"/>
      <c r="EP650" s="29"/>
      <c r="EQ650" s="29"/>
      <c r="ER650" s="29"/>
      <c r="ES650" s="29"/>
      <c r="ET650" s="29"/>
      <c r="EU650" s="29"/>
      <c r="EV650" s="29"/>
      <c r="EW650" s="29"/>
      <c r="EX650" s="29"/>
      <c r="EY650" s="29"/>
      <c r="EZ650" s="29"/>
      <c r="FA650" s="29"/>
      <c r="FB650" s="29"/>
      <c r="FC650" s="29"/>
      <c r="FD650" s="29"/>
      <c r="FE650" s="29"/>
      <c r="FF650" s="29"/>
      <c r="FG650" s="29"/>
      <c r="FH650" s="29"/>
      <c r="FI650" s="29"/>
      <c r="FJ650" s="29"/>
      <c r="FK650" s="29"/>
      <c r="FL650" s="29"/>
      <c r="FM650" s="29"/>
      <c r="FN650" s="29"/>
      <c r="FO650" s="29"/>
      <c r="FP650" s="29"/>
      <c r="FQ650" s="29"/>
      <c r="FR650" s="29"/>
      <c r="FS650" s="29"/>
      <c r="FT650" s="29"/>
      <c r="FU650" s="29"/>
      <c r="FV650" s="29"/>
      <c r="FW650" s="29"/>
      <c r="FX650" s="29"/>
      <c r="FY650" s="29"/>
      <c r="FZ650" s="29"/>
      <c r="GA650" s="29"/>
      <c r="GB650" s="29"/>
      <c r="GC650" s="29"/>
      <c r="GD650" s="29"/>
      <c r="GE650" s="29"/>
      <c r="GF650" s="29"/>
      <c r="GG650" s="29"/>
      <c r="GH650" s="29"/>
      <c r="GI650" s="29"/>
      <c r="GJ650" s="29"/>
      <c r="GK650" s="29"/>
      <c r="GL650" s="29"/>
      <c r="GM650" s="29"/>
      <c r="GN650" s="29"/>
      <c r="GO650" s="29"/>
      <c r="GP650" s="29"/>
      <c r="GQ650" s="29"/>
      <c r="GR650" s="29"/>
      <c r="GS650" s="29"/>
      <c r="GT650" s="29"/>
      <c r="GU650" s="29"/>
      <c r="HP650" s="31"/>
      <c r="MX650" s="29"/>
      <c r="MY650" s="29"/>
    </row>
    <row r="651" ht="16.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c r="BO651" s="29"/>
      <c r="BP651" s="29"/>
      <c r="BQ651" s="29"/>
      <c r="BR651" s="29"/>
      <c r="BS651" s="29"/>
      <c r="BT651" s="29"/>
      <c r="BU651" s="29"/>
      <c r="BV651" s="29"/>
      <c r="BW651" s="29"/>
      <c r="BX651" s="29"/>
      <c r="BY651" s="29"/>
      <c r="BZ651" s="29"/>
      <c r="CA651" s="29"/>
      <c r="CB651" s="29"/>
      <c r="CC651" s="29"/>
      <c r="CD651" s="29"/>
      <c r="CE651" s="29"/>
      <c r="CF651" s="29"/>
      <c r="CG651" s="29"/>
      <c r="CH651" s="29"/>
      <c r="CI651" s="29"/>
      <c r="CJ651" s="29"/>
      <c r="CK651" s="29"/>
      <c r="CL651" s="29"/>
      <c r="CM651" s="29"/>
      <c r="CN651" s="29"/>
      <c r="CO651" s="29"/>
      <c r="CP651" s="29"/>
      <c r="CQ651" s="29"/>
      <c r="CR651" s="29"/>
      <c r="CS651" s="29"/>
      <c r="CT651" s="29"/>
      <c r="CU651" s="29"/>
      <c r="CV651" s="29"/>
      <c r="CW651" s="29"/>
      <c r="CX651" s="29"/>
      <c r="CY651" s="29"/>
      <c r="CZ651" s="29"/>
      <c r="DA651" s="29"/>
      <c r="DB651" s="29"/>
      <c r="DC651" s="29"/>
      <c r="DD651" s="29"/>
      <c r="DE651" s="29"/>
      <c r="DF651" s="29"/>
      <c r="DG651" s="29"/>
      <c r="DH651" s="29"/>
      <c r="DI651" s="29"/>
      <c r="DJ651" s="29"/>
      <c r="DK651" s="29"/>
      <c r="DL651" s="29"/>
      <c r="DM651" s="29"/>
      <c r="DN651" s="29"/>
      <c r="DO651" s="29"/>
      <c r="DP651" s="29"/>
      <c r="DQ651" s="29"/>
      <c r="DR651" s="29"/>
      <c r="DS651" s="29"/>
      <c r="DT651" s="29"/>
      <c r="DU651" s="29"/>
      <c r="DV651" s="29"/>
      <c r="DW651" s="29"/>
      <c r="DX651" s="29"/>
      <c r="DY651" s="29"/>
      <c r="DZ651" s="29"/>
      <c r="EA651" s="29"/>
      <c r="EB651" s="29"/>
      <c r="EC651" s="29"/>
      <c r="ED651" s="29"/>
      <c r="EE651" s="29"/>
      <c r="EF651" s="29"/>
      <c r="EG651" s="29"/>
      <c r="EH651" s="29"/>
      <c r="EI651" s="29"/>
      <c r="EJ651" s="29"/>
      <c r="EK651" s="29"/>
      <c r="EL651" s="29"/>
      <c r="EM651" s="29"/>
      <c r="EN651" s="29"/>
      <c r="EO651" s="29"/>
      <c r="EP651" s="29"/>
      <c r="EQ651" s="29"/>
      <c r="ER651" s="29"/>
      <c r="ES651" s="29"/>
      <c r="ET651" s="29"/>
      <c r="EU651" s="29"/>
      <c r="EV651" s="29"/>
      <c r="EW651" s="29"/>
      <c r="EX651" s="29"/>
      <c r="EY651" s="29"/>
      <c r="EZ651" s="29"/>
      <c r="FA651" s="29"/>
      <c r="FB651" s="29"/>
      <c r="FC651" s="29"/>
      <c r="FD651" s="29"/>
      <c r="FE651" s="29"/>
      <c r="FF651" s="29"/>
      <c r="FG651" s="29"/>
      <c r="FH651" s="29"/>
      <c r="FI651" s="29"/>
      <c r="FJ651" s="29"/>
      <c r="FK651" s="29"/>
      <c r="FL651" s="29"/>
      <c r="FM651" s="29"/>
      <c r="FN651" s="29"/>
      <c r="FO651" s="29"/>
      <c r="FP651" s="29"/>
      <c r="FQ651" s="29"/>
      <c r="FR651" s="29"/>
      <c r="FS651" s="29"/>
      <c r="FT651" s="29"/>
      <c r="FU651" s="29"/>
      <c r="FV651" s="29"/>
      <c r="FW651" s="29"/>
      <c r="FX651" s="29"/>
      <c r="FY651" s="29"/>
      <c r="FZ651" s="29"/>
      <c r="GA651" s="29"/>
      <c r="GB651" s="29"/>
      <c r="GC651" s="29"/>
      <c r="GD651" s="29"/>
      <c r="GE651" s="29"/>
      <c r="GF651" s="29"/>
      <c r="GG651" s="29"/>
      <c r="GH651" s="29"/>
      <c r="GI651" s="29"/>
      <c r="GJ651" s="29"/>
      <c r="GK651" s="29"/>
      <c r="GL651" s="29"/>
      <c r="GM651" s="29"/>
      <c r="GN651" s="29"/>
      <c r="GO651" s="29"/>
      <c r="GP651" s="29"/>
      <c r="GQ651" s="29"/>
      <c r="GR651" s="29"/>
      <c r="GS651" s="29"/>
      <c r="GT651" s="29"/>
      <c r="GU651" s="29"/>
      <c r="HP651" s="31"/>
      <c r="MX651" s="29"/>
      <c r="MY651" s="29"/>
    </row>
    <row r="652" ht="16.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c r="AX652" s="29"/>
      <c r="AY652" s="29"/>
      <c r="AZ652" s="29"/>
      <c r="BA652" s="29"/>
      <c r="BB652" s="29"/>
      <c r="BC652" s="29"/>
      <c r="BD652" s="29"/>
      <c r="BE652" s="29"/>
      <c r="BF652" s="29"/>
      <c r="BG652" s="29"/>
      <c r="BH652" s="29"/>
      <c r="BI652" s="29"/>
      <c r="BJ652" s="29"/>
      <c r="BK652" s="29"/>
      <c r="BL652" s="29"/>
      <c r="BM652" s="29"/>
      <c r="BN652" s="29"/>
      <c r="BO652" s="29"/>
      <c r="BP652" s="29"/>
      <c r="BQ652" s="29"/>
      <c r="BR652" s="29"/>
      <c r="BS652" s="29"/>
      <c r="BT652" s="29"/>
      <c r="BU652" s="29"/>
      <c r="BV652" s="29"/>
      <c r="BW652" s="29"/>
      <c r="BX652" s="29"/>
      <c r="BY652" s="29"/>
      <c r="BZ652" s="29"/>
      <c r="CA652" s="29"/>
      <c r="CB652" s="29"/>
      <c r="CC652" s="29"/>
      <c r="CD652" s="29"/>
      <c r="CE652" s="29"/>
      <c r="CF652" s="29"/>
      <c r="CG652" s="29"/>
      <c r="CH652" s="29"/>
      <c r="CI652" s="29"/>
      <c r="CJ652" s="29"/>
      <c r="CK652" s="29"/>
      <c r="CL652" s="29"/>
      <c r="CM652" s="29"/>
      <c r="CN652" s="29"/>
      <c r="CO652" s="29"/>
      <c r="CP652" s="29"/>
      <c r="CQ652" s="29"/>
      <c r="CR652" s="29"/>
      <c r="CS652" s="29"/>
      <c r="CT652" s="29"/>
      <c r="CU652" s="29"/>
      <c r="CV652" s="29"/>
      <c r="CW652" s="29"/>
      <c r="CX652" s="29"/>
      <c r="CY652" s="29"/>
      <c r="CZ652" s="29"/>
      <c r="DA652" s="29"/>
      <c r="DB652" s="29"/>
      <c r="DC652" s="29"/>
      <c r="DD652" s="29"/>
      <c r="DE652" s="29"/>
      <c r="DF652" s="29"/>
      <c r="DG652" s="29"/>
      <c r="DH652" s="29"/>
      <c r="DI652" s="29"/>
      <c r="DJ652" s="29"/>
      <c r="DK652" s="29"/>
      <c r="DL652" s="29"/>
      <c r="DM652" s="29"/>
      <c r="DN652" s="29"/>
      <c r="DO652" s="29"/>
      <c r="DP652" s="29"/>
      <c r="DQ652" s="29"/>
      <c r="DR652" s="29"/>
      <c r="DS652" s="29"/>
      <c r="DT652" s="29"/>
      <c r="DU652" s="29"/>
      <c r="DV652" s="29"/>
      <c r="DW652" s="29"/>
      <c r="DX652" s="29"/>
      <c r="DY652" s="29"/>
      <c r="DZ652" s="29"/>
      <c r="EA652" s="29"/>
      <c r="EB652" s="29"/>
      <c r="EC652" s="29"/>
      <c r="ED652" s="29"/>
      <c r="EE652" s="29"/>
      <c r="EF652" s="29"/>
      <c r="EG652" s="29"/>
      <c r="EH652" s="29"/>
      <c r="EI652" s="29"/>
      <c r="EJ652" s="29"/>
      <c r="EK652" s="29"/>
      <c r="EL652" s="29"/>
      <c r="EM652" s="29"/>
      <c r="EN652" s="29"/>
      <c r="EO652" s="29"/>
      <c r="EP652" s="29"/>
      <c r="EQ652" s="29"/>
      <c r="ER652" s="29"/>
      <c r="ES652" s="29"/>
      <c r="ET652" s="29"/>
      <c r="EU652" s="29"/>
      <c r="EV652" s="29"/>
      <c r="EW652" s="29"/>
      <c r="EX652" s="29"/>
      <c r="EY652" s="29"/>
      <c r="EZ652" s="29"/>
      <c r="FA652" s="29"/>
      <c r="FB652" s="29"/>
      <c r="FC652" s="29"/>
      <c r="FD652" s="29"/>
      <c r="FE652" s="29"/>
      <c r="FF652" s="29"/>
      <c r="FG652" s="29"/>
      <c r="FH652" s="29"/>
      <c r="FI652" s="29"/>
      <c r="FJ652" s="29"/>
      <c r="FK652" s="29"/>
      <c r="FL652" s="29"/>
      <c r="FM652" s="29"/>
      <c r="FN652" s="29"/>
      <c r="FO652" s="29"/>
      <c r="FP652" s="29"/>
      <c r="FQ652" s="29"/>
      <c r="FR652" s="29"/>
      <c r="FS652" s="29"/>
      <c r="FT652" s="29"/>
      <c r="FU652" s="29"/>
      <c r="FV652" s="29"/>
      <c r="FW652" s="29"/>
      <c r="FX652" s="29"/>
      <c r="FY652" s="29"/>
      <c r="FZ652" s="29"/>
      <c r="GA652" s="29"/>
      <c r="GB652" s="29"/>
      <c r="GC652" s="29"/>
      <c r="GD652" s="29"/>
      <c r="GE652" s="29"/>
      <c r="GF652" s="29"/>
      <c r="GG652" s="29"/>
      <c r="GH652" s="29"/>
      <c r="GI652" s="29"/>
      <c r="GJ652" s="29"/>
      <c r="GK652" s="29"/>
      <c r="GL652" s="29"/>
      <c r="GM652" s="29"/>
      <c r="GN652" s="29"/>
      <c r="GO652" s="29"/>
      <c r="GP652" s="29"/>
      <c r="GQ652" s="29"/>
      <c r="GR652" s="29"/>
      <c r="GS652" s="29"/>
      <c r="GT652" s="29"/>
      <c r="GU652" s="29"/>
      <c r="HP652" s="31"/>
      <c r="MX652" s="29"/>
      <c r="MY652" s="29"/>
    </row>
    <row r="653" ht="16.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c r="BO653" s="29"/>
      <c r="BP653" s="29"/>
      <c r="BQ653" s="29"/>
      <c r="BR653" s="29"/>
      <c r="BS653" s="29"/>
      <c r="BT653" s="29"/>
      <c r="BU653" s="29"/>
      <c r="BV653" s="29"/>
      <c r="BW653" s="29"/>
      <c r="BX653" s="29"/>
      <c r="BY653" s="29"/>
      <c r="BZ653" s="29"/>
      <c r="CA653" s="29"/>
      <c r="CB653" s="29"/>
      <c r="CC653" s="29"/>
      <c r="CD653" s="29"/>
      <c r="CE653" s="29"/>
      <c r="CF653" s="29"/>
      <c r="CG653" s="29"/>
      <c r="CH653" s="29"/>
      <c r="CI653" s="29"/>
      <c r="CJ653" s="29"/>
      <c r="CK653" s="29"/>
      <c r="CL653" s="29"/>
      <c r="CM653" s="29"/>
      <c r="CN653" s="29"/>
      <c r="CO653" s="29"/>
      <c r="CP653" s="29"/>
      <c r="CQ653" s="29"/>
      <c r="CR653" s="29"/>
      <c r="CS653" s="29"/>
      <c r="CT653" s="29"/>
      <c r="CU653" s="29"/>
      <c r="CV653" s="29"/>
      <c r="CW653" s="29"/>
      <c r="CX653" s="29"/>
      <c r="CY653" s="29"/>
      <c r="CZ653" s="29"/>
      <c r="DA653" s="29"/>
      <c r="DB653" s="29"/>
      <c r="DC653" s="29"/>
      <c r="DD653" s="29"/>
      <c r="DE653" s="29"/>
      <c r="DF653" s="29"/>
      <c r="DG653" s="29"/>
      <c r="DH653" s="29"/>
      <c r="DI653" s="29"/>
      <c r="DJ653" s="29"/>
      <c r="DK653" s="29"/>
      <c r="DL653" s="29"/>
      <c r="DM653" s="29"/>
      <c r="DN653" s="29"/>
      <c r="DO653" s="29"/>
      <c r="DP653" s="29"/>
      <c r="DQ653" s="29"/>
      <c r="DR653" s="29"/>
      <c r="DS653" s="29"/>
      <c r="DT653" s="29"/>
      <c r="DU653" s="29"/>
      <c r="DV653" s="29"/>
      <c r="DW653" s="29"/>
      <c r="DX653" s="29"/>
      <c r="DY653" s="29"/>
      <c r="DZ653" s="29"/>
      <c r="EA653" s="29"/>
      <c r="EB653" s="29"/>
      <c r="EC653" s="29"/>
      <c r="ED653" s="29"/>
      <c r="EE653" s="29"/>
      <c r="EF653" s="29"/>
      <c r="EG653" s="29"/>
      <c r="EH653" s="29"/>
      <c r="EI653" s="29"/>
      <c r="EJ653" s="29"/>
      <c r="EK653" s="29"/>
      <c r="EL653" s="29"/>
      <c r="EM653" s="29"/>
      <c r="EN653" s="29"/>
      <c r="EO653" s="29"/>
      <c r="EP653" s="29"/>
      <c r="EQ653" s="29"/>
      <c r="ER653" s="29"/>
      <c r="ES653" s="29"/>
      <c r="ET653" s="29"/>
      <c r="EU653" s="29"/>
      <c r="EV653" s="29"/>
      <c r="EW653" s="29"/>
      <c r="EX653" s="29"/>
      <c r="EY653" s="29"/>
      <c r="EZ653" s="29"/>
      <c r="FA653" s="29"/>
      <c r="FB653" s="29"/>
      <c r="FC653" s="29"/>
      <c r="FD653" s="29"/>
      <c r="FE653" s="29"/>
      <c r="FF653" s="29"/>
      <c r="FG653" s="29"/>
      <c r="FH653" s="29"/>
      <c r="FI653" s="29"/>
      <c r="FJ653" s="29"/>
      <c r="FK653" s="29"/>
      <c r="FL653" s="29"/>
      <c r="FM653" s="29"/>
      <c r="FN653" s="29"/>
      <c r="FO653" s="29"/>
      <c r="FP653" s="29"/>
      <c r="FQ653" s="29"/>
      <c r="FR653" s="29"/>
      <c r="FS653" s="29"/>
      <c r="FT653" s="29"/>
      <c r="FU653" s="29"/>
      <c r="FV653" s="29"/>
      <c r="FW653" s="29"/>
      <c r="FX653" s="29"/>
      <c r="FY653" s="29"/>
      <c r="FZ653" s="29"/>
      <c r="GA653" s="29"/>
      <c r="GB653" s="29"/>
      <c r="GC653" s="29"/>
      <c r="GD653" s="29"/>
      <c r="GE653" s="29"/>
      <c r="GF653" s="29"/>
      <c r="GG653" s="29"/>
      <c r="GH653" s="29"/>
      <c r="GI653" s="29"/>
      <c r="GJ653" s="29"/>
      <c r="GK653" s="29"/>
      <c r="GL653" s="29"/>
      <c r="GM653" s="29"/>
      <c r="GN653" s="29"/>
      <c r="GO653" s="29"/>
      <c r="GP653" s="29"/>
      <c r="GQ653" s="29"/>
      <c r="GR653" s="29"/>
      <c r="GS653" s="29"/>
      <c r="GT653" s="29"/>
      <c r="GU653" s="29"/>
      <c r="HP653" s="31"/>
      <c r="MX653" s="29"/>
      <c r="MY653" s="29"/>
    </row>
    <row r="654" ht="16.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c r="AX654" s="29"/>
      <c r="AY654" s="29"/>
      <c r="AZ654" s="29"/>
      <c r="BA654" s="29"/>
      <c r="BB654" s="29"/>
      <c r="BC654" s="29"/>
      <c r="BD654" s="29"/>
      <c r="BE654" s="29"/>
      <c r="BF654" s="29"/>
      <c r="BG654" s="29"/>
      <c r="BH654" s="29"/>
      <c r="BI654" s="29"/>
      <c r="BJ654" s="29"/>
      <c r="BK654" s="29"/>
      <c r="BL654" s="29"/>
      <c r="BM654" s="29"/>
      <c r="BN654" s="29"/>
      <c r="BO654" s="29"/>
      <c r="BP654" s="29"/>
      <c r="BQ654" s="29"/>
      <c r="BR654" s="29"/>
      <c r="BS654" s="29"/>
      <c r="BT654" s="29"/>
      <c r="BU654" s="29"/>
      <c r="BV654" s="29"/>
      <c r="BW654" s="29"/>
      <c r="BX654" s="29"/>
      <c r="BY654" s="29"/>
      <c r="BZ654" s="29"/>
      <c r="CA654" s="29"/>
      <c r="CB654" s="29"/>
      <c r="CC654" s="29"/>
      <c r="CD654" s="29"/>
      <c r="CE654" s="29"/>
      <c r="CF654" s="29"/>
      <c r="CG654" s="29"/>
      <c r="CH654" s="29"/>
      <c r="CI654" s="29"/>
      <c r="CJ654" s="29"/>
      <c r="CK654" s="29"/>
      <c r="CL654" s="29"/>
      <c r="CM654" s="29"/>
      <c r="CN654" s="29"/>
      <c r="CO654" s="29"/>
      <c r="CP654" s="29"/>
      <c r="CQ654" s="29"/>
      <c r="CR654" s="29"/>
      <c r="CS654" s="29"/>
      <c r="CT654" s="29"/>
      <c r="CU654" s="29"/>
      <c r="CV654" s="29"/>
      <c r="CW654" s="29"/>
      <c r="CX654" s="29"/>
      <c r="CY654" s="29"/>
      <c r="CZ654" s="29"/>
      <c r="DA654" s="29"/>
      <c r="DB654" s="29"/>
      <c r="DC654" s="29"/>
      <c r="DD654" s="29"/>
      <c r="DE654" s="29"/>
      <c r="DF654" s="29"/>
      <c r="DG654" s="29"/>
      <c r="DH654" s="29"/>
      <c r="DI654" s="29"/>
      <c r="DJ654" s="29"/>
      <c r="DK654" s="29"/>
      <c r="DL654" s="29"/>
      <c r="DM654" s="29"/>
      <c r="DN654" s="29"/>
      <c r="DO654" s="29"/>
      <c r="DP654" s="29"/>
      <c r="DQ654" s="29"/>
      <c r="DR654" s="29"/>
      <c r="DS654" s="29"/>
      <c r="DT654" s="29"/>
      <c r="DU654" s="29"/>
      <c r="DV654" s="29"/>
      <c r="DW654" s="29"/>
      <c r="DX654" s="29"/>
      <c r="DY654" s="29"/>
      <c r="DZ654" s="29"/>
      <c r="EA654" s="29"/>
      <c r="EB654" s="29"/>
      <c r="EC654" s="29"/>
      <c r="ED654" s="29"/>
      <c r="EE654" s="29"/>
      <c r="EF654" s="29"/>
      <c r="EG654" s="29"/>
      <c r="EH654" s="29"/>
      <c r="EI654" s="29"/>
      <c r="EJ654" s="29"/>
      <c r="EK654" s="29"/>
      <c r="EL654" s="29"/>
      <c r="EM654" s="29"/>
      <c r="EN654" s="29"/>
      <c r="EO654" s="29"/>
      <c r="EP654" s="29"/>
      <c r="EQ654" s="29"/>
      <c r="ER654" s="29"/>
      <c r="ES654" s="29"/>
      <c r="ET654" s="29"/>
      <c r="EU654" s="29"/>
      <c r="EV654" s="29"/>
      <c r="EW654" s="29"/>
      <c r="EX654" s="29"/>
      <c r="EY654" s="29"/>
      <c r="EZ654" s="29"/>
      <c r="FA654" s="29"/>
      <c r="FB654" s="29"/>
      <c r="FC654" s="29"/>
      <c r="FD654" s="29"/>
      <c r="FE654" s="29"/>
      <c r="FF654" s="29"/>
      <c r="FG654" s="29"/>
      <c r="FH654" s="29"/>
      <c r="FI654" s="29"/>
      <c r="FJ654" s="29"/>
      <c r="FK654" s="29"/>
      <c r="FL654" s="29"/>
      <c r="FM654" s="29"/>
      <c r="FN654" s="29"/>
      <c r="FO654" s="29"/>
      <c r="FP654" s="29"/>
      <c r="FQ654" s="29"/>
      <c r="FR654" s="29"/>
      <c r="FS654" s="29"/>
      <c r="FT654" s="29"/>
      <c r="FU654" s="29"/>
      <c r="FV654" s="29"/>
      <c r="FW654" s="29"/>
      <c r="FX654" s="29"/>
      <c r="FY654" s="29"/>
      <c r="FZ654" s="29"/>
      <c r="GA654" s="29"/>
      <c r="GB654" s="29"/>
      <c r="GC654" s="29"/>
      <c r="GD654" s="29"/>
      <c r="GE654" s="29"/>
      <c r="GF654" s="29"/>
      <c r="GG654" s="29"/>
      <c r="GH654" s="29"/>
      <c r="GI654" s="29"/>
      <c r="GJ654" s="29"/>
      <c r="GK654" s="29"/>
      <c r="GL654" s="29"/>
      <c r="GM654" s="29"/>
      <c r="GN654" s="29"/>
      <c r="GO654" s="29"/>
      <c r="GP654" s="29"/>
      <c r="GQ654" s="29"/>
      <c r="GR654" s="29"/>
      <c r="GS654" s="29"/>
      <c r="GT654" s="29"/>
      <c r="GU654" s="29"/>
      <c r="HP654" s="31"/>
      <c r="MX654" s="29"/>
      <c r="MY654" s="29"/>
    </row>
    <row r="655" ht="16.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c r="BO655" s="29"/>
      <c r="BP655" s="29"/>
      <c r="BQ655" s="29"/>
      <c r="BR655" s="29"/>
      <c r="BS655" s="29"/>
      <c r="BT655" s="29"/>
      <c r="BU655" s="29"/>
      <c r="BV655" s="29"/>
      <c r="BW655" s="29"/>
      <c r="BX655" s="29"/>
      <c r="BY655" s="29"/>
      <c r="BZ655" s="29"/>
      <c r="CA655" s="29"/>
      <c r="CB655" s="29"/>
      <c r="CC655" s="29"/>
      <c r="CD655" s="29"/>
      <c r="CE655" s="29"/>
      <c r="CF655" s="29"/>
      <c r="CG655" s="29"/>
      <c r="CH655" s="29"/>
      <c r="CI655" s="29"/>
      <c r="CJ655" s="29"/>
      <c r="CK655" s="29"/>
      <c r="CL655" s="29"/>
      <c r="CM655" s="29"/>
      <c r="CN655" s="29"/>
      <c r="CO655" s="29"/>
      <c r="CP655" s="29"/>
      <c r="CQ655" s="29"/>
      <c r="CR655" s="29"/>
      <c r="CS655" s="29"/>
      <c r="CT655" s="29"/>
      <c r="CU655" s="29"/>
      <c r="CV655" s="29"/>
      <c r="CW655" s="29"/>
      <c r="CX655" s="29"/>
      <c r="CY655" s="29"/>
      <c r="CZ655" s="29"/>
      <c r="DA655" s="29"/>
      <c r="DB655" s="29"/>
      <c r="DC655" s="29"/>
      <c r="DD655" s="29"/>
      <c r="DE655" s="29"/>
      <c r="DF655" s="29"/>
      <c r="DG655" s="29"/>
      <c r="DH655" s="29"/>
      <c r="DI655" s="29"/>
      <c r="DJ655" s="29"/>
      <c r="DK655" s="29"/>
      <c r="DL655" s="29"/>
      <c r="DM655" s="29"/>
      <c r="DN655" s="29"/>
      <c r="DO655" s="29"/>
      <c r="DP655" s="29"/>
      <c r="DQ655" s="29"/>
      <c r="DR655" s="29"/>
      <c r="DS655" s="29"/>
      <c r="DT655" s="29"/>
      <c r="DU655" s="29"/>
      <c r="DV655" s="29"/>
      <c r="DW655" s="29"/>
      <c r="DX655" s="29"/>
      <c r="DY655" s="29"/>
      <c r="DZ655" s="29"/>
      <c r="EA655" s="29"/>
      <c r="EB655" s="29"/>
      <c r="EC655" s="29"/>
      <c r="ED655" s="29"/>
      <c r="EE655" s="29"/>
      <c r="EF655" s="29"/>
      <c r="EG655" s="29"/>
      <c r="EH655" s="29"/>
      <c r="EI655" s="29"/>
      <c r="EJ655" s="29"/>
      <c r="EK655" s="29"/>
      <c r="EL655" s="29"/>
      <c r="EM655" s="29"/>
      <c r="EN655" s="29"/>
      <c r="EO655" s="29"/>
      <c r="EP655" s="29"/>
      <c r="EQ655" s="29"/>
      <c r="ER655" s="29"/>
      <c r="ES655" s="29"/>
      <c r="ET655" s="29"/>
      <c r="EU655" s="29"/>
      <c r="EV655" s="29"/>
      <c r="EW655" s="29"/>
      <c r="EX655" s="29"/>
      <c r="EY655" s="29"/>
      <c r="EZ655" s="29"/>
      <c r="FA655" s="29"/>
      <c r="FB655" s="29"/>
      <c r="FC655" s="29"/>
      <c r="FD655" s="29"/>
      <c r="FE655" s="29"/>
      <c r="FF655" s="29"/>
      <c r="FG655" s="29"/>
      <c r="FH655" s="29"/>
      <c r="FI655" s="29"/>
      <c r="FJ655" s="29"/>
      <c r="FK655" s="29"/>
      <c r="FL655" s="29"/>
      <c r="FM655" s="29"/>
      <c r="FN655" s="29"/>
      <c r="FO655" s="29"/>
      <c r="FP655" s="29"/>
      <c r="FQ655" s="29"/>
      <c r="FR655" s="29"/>
      <c r="FS655" s="29"/>
      <c r="FT655" s="29"/>
      <c r="FU655" s="29"/>
      <c r="FV655" s="29"/>
      <c r="FW655" s="29"/>
      <c r="FX655" s="29"/>
      <c r="FY655" s="29"/>
      <c r="FZ655" s="29"/>
      <c r="GA655" s="29"/>
      <c r="GB655" s="29"/>
      <c r="GC655" s="29"/>
      <c r="GD655" s="29"/>
      <c r="GE655" s="29"/>
      <c r="GF655" s="29"/>
      <c r="GG655" s="29"/>
      <c r="GH655" s="29"/>
      <c r="GI655" s="29"/>
      <c r="GJ655" s="29"/>
      <c r="GK655" s="29"/>
      <c r="GL655" s="29"/>
      <c r="GM655" s="29"/>
      <c r="GN655" s="29"/>
      <c r="GO655" s="29"/>
      <c r="GP655" s="29"/>
      <c r="GQ655" s="29"/>
      <c r="GR655" s="29"/>
      <c r="GS655" s="29"/>
      <c r="GT655" s="29"/>
      <c r="GU655" s="29"/>
      <c r="HP655" s="31"/>
      <c r="MX655" s="29"/>
      <c r="MY655" s="29"/>
    </row>
    <row r="656" ht="16.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c r="AY656" s="29"/>
      <c r="AZ656" s="29"/>
      <c r="BA656" s="29"/>
      <c r="BB656" s="29"/>
      <c r="BC656" s="29"/>
      <c r="BD656" s="29"/>
      <c r="BE656" s="29"/>
      <c r="BF656" s="29"/>
      <c r="BG656" s="29"/>
      <c r="BH656" s="29"/>
      <c r="BI656" s="29"/>
      <c r="BJ656" s="29"/>
      <c r="BK656" s="29"/>
      <c r="BL656" s="29"/>
      <c r="BM656" s="29"/>
      <c r="BN656" s="29"/>
      <c r="BO656" s="29"/>
      <c r="BP656" s="29"/>
      <c r="BQ656" s="29"/>
      <c r="BR656" s="29"/>
      <c r="BS656" s="29"/>
      <c r="BT656" s="29"/>
      <c r="BU656" s="29"/>
      <c r="BV656" s="29"/>
      <c r="BW656" s="29"/>
      <c r="BX656" s="29"/>
      <c r="BY656" s="29"/>
      <c r="BZ656" s="29"/>
      <c r="CA656" s="29"/>
      <c r="CB656" s="29"/>
      <c r="CC656" s="29"/>
      <c r="CD656" s="29"/>
      <c r="CE656" s="29"/>
      <c r="CF656" s="29"/>
      <c r="CG656" s="29"/>
      <c r="CH656" s="29"/>
      <c r="CI656" s="29"/>
      <c r="CJ656" s="29"/>
      <c r="CK656" s="29"/>
      <c r="CL656" s="29"/>
      <c r="CM656" s="29"/>
      <c r="CN656" s="29"/>
      <c r="CO656" s="29"/>
      <c r="CP656" s="29"/>
      <c r="CQ656" s="29"/>
      <c r="CR656" s="29"/>
      <c r="CS656" s="29"/>
      <c r="CT656" s="29"/>
      <c r="CU656" s="29"/>
      <c r="CV656" s="29"/>
      <c r="CW656" s="29"/>
      <c r="CX656" s="29"/>
      <c r="CY656" s="29"/>
      <c r="CZ656" s="29"/>
      <c r="DA656" s="29"/>
      <c r="DB656" s="29"/>
      <c r="DC656" s="29"/>
      <c r="DD656" s="29"/>
      <c r="DE656" s="29"/>
      <c r="DF656" s="29"/>
      <c r="DG656" s="29"/>
      <c r="DH656" s="29"/>
      <c r="DI656" s="29"/>
      <c r="DJ656" s="29"/>
      <c r="DK656" s="29"/>
      <c r="DL656" s="29"/>
      <c r="DM656" s="29"/>
      <c r="DN656" s="29"/>
      <c r="DO656" s="29"/>
      <c r="DP656" s="29"/>
      <c r="DQ656" s="29"/>
      <c r="DR656" s="29"/>
      <c r="DS656" s="29"/>
      <c r="DT656" s="29"/>
      <c r="DU656" s="29"/>
      <c r="DV656" s="29"/>
      <c r="DW656" s="29"/>
      <c r="DX656" s="29"/>
      <c r="DY656" s="29"/>
      <c r="DZ656" s="29"/>
      <c r="EA656" s="29"/>
      <c r="EB656" s="29"/>
      <c r="EC656" s="29"/>
      <c r="ED656" s="29"/>
      <c r="EE656" s="29"/>
      <c r="EF656" s="29"/>
      <c r="EG656" s="29"/>
      <c r="EH656" s="29"/>
      <c r="EI656" s="29"/>
      <c r="EJ656" s="29"/>
      <c r="EK656" s="29"/>
      <c r="EL656" s="29"/>
      <c r="EM656" s="29"/>
      <c r="EN656" s="29"/>
      <c r="EO656" s="29"/>
      <c r="EP656" s="29"/>
      <c r="EQ656" s="29"/>
      <c r="ER656" s="29"/>
      <c r="ES656" s="29"/>
      <c r="ET656" s="29"/>
      <c r="EU656" s="29"/>
      <c r="EV656" s="29"/>
      <c r="EW656" s="29"/>
      <c r="EX656" s="29"/>
      <c r="EY656" s="29"/>
      <c r="EZ656" s="29"/>
      <c r="FA656" s="29"/>
      <c r="FB656" s="29"/>
      <c r="FC656" s="29"/>
      <c r="FD656" s="29"/>
      <c r="FE656" s="29"/>
      <c r="FF656" s="29"/>
      <c r="FG656" s="29"/>
      <c r="FH656" s="29"/>
      <c r="FI656" s="29"/>
      <c r="FJ656" s="29"/>
      <c r="FK656" s="29"/>
      <c r="FL656" s="29"/>
      <c r="FM656" s="29"/>
      <c r="FN656" s="29"/>
      <c r="FO656" s="29"/>
      <c r="FP656" s="29"/>
      <c r="FQ656" s="29"/>
      <c r="FR656" s="29"/>
      <c r="FS656" s="29"/>
      <c r="FT656" s="29"/>
      <c r="FU656" s="29"/>
      <c r="FV656" s="29"/>
      <c r="FW656" s="29"/>
      <c r="FX656" s="29"/>
      <c r="FY656" s="29"/>
      <c r="FZ656" s="29"/>
      <c r="GA656" s="29"/>
      <c r="GB656" s="29"/>
      <c r="GC656" s="29"/>
      <c r="GD656" s="29"/>
      <c r="GE656" s="29"/>
      <c r="GF656" s="29"/>
      <c r="GG656" s="29"/>
      <c r="GH656" s="29"/>
      <c r="GI656" s="29"/>
      <c r="GJ656" s="29"/>
      <c r="GK656" s="29"/>
      <c r="GL656" s="29"/>
      <c r="GM656" s="29"/>
      <c r="GN656" s="29"/>
      <c r="GO656" s="29"/>
      <c r="GP656" s="29"/>
      <c r="GQ656" s="29"/>
      <c r="GR656" s="29"/>
      <c r="GS656" s="29"/>
      <c r="GT656" s="29"/>
      <c r="GU656" s="29"/>
      <c r="HP656" s="31"/>
      <c r="MX656" s="29"/>
      <c r="MY656" s="29"/>
    </row>
    <row r="657" ht="16.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c r="BO657" s="29"/>
      <c r="BP657" s="29"/>
      <c r="BQ657" s="29"/>
      <c r="BR657" s="29"/>
      <c r="BS657" s="29"/>
      <c r="BT657" s="29"/>
      <c r="BU657" s="29"/>
      <c r="BV657" s="29"/>
      <c r="BW657" s="29"/>
      <c r="BX657" s="29"/>
      <c r="BY657" s="29"/>
      <c r="BZ657" s="29"/>
      <c r="CA657" s="29"/>
      <c r="CB657" s="29"/>
      <c r="CC657" s="29"/>
      <c r="CD657" s="29"/>
      <c r="CE657" s="29"/>
      <c r="CF657" s="29"/>
      <c r="CG657" s="29"/>
      <c r="CH657" s="29"/>
      <c r="CI657" s="29"/>
      <c r="CJ657" s="29"/>
      <c r="CK657" s="29"/>
      <c r="CL657" s="29"/>
      <c r="CM657" s="29"/>
      <c r="CN657" s="29"/>
      <c r="CO657" s="29"/>
      <c r="CP657" s="29"/>
      <c r="CQ657" s="29"/>
      <c r="CR657" s="29"/>
      <c r="CS657" s="29"/>
      <c r="CT657" s="29"/>
      <c r="CU657" s="29"/>
      <c r="CV657" s="29"/>
      <c r="CW657" s="29"/>
      <c r="CX657" s="29"/>
      <c r="CY657" s="29"/>
      <c r="CZ657" s="29"/>
      <c r="DA657" s="29"/>
      <c r="DB657" s="29"/>
      <c r="DC657" s="29"/>
      <c r="DD657" s="29"/>
      <c r="DE657" s="29"/>
      <c r="DF657" s="29"/>
      <c r="DG657" s="29"/>
      <c r="DH657" s="29"/>
      <c r="DI657" s="29"/>
      <c r="DJ657" s="29"/>
      <c r="DK657" s="29"/>
      <c r="DL657" s="29"/>
      <c r="DM657" s="29"/>
      <c r="DN657" s="29"/>
      <c r="DO657" s="29"/>
      <c r="DP657" s="29"/>
      <c r="DQ657" s="29"/>
      <c r="DR657" s="29"/>
      <c r="DS657" s="29"/>
      <c r="DT657" s="29"/>
      <c r="DU657" s="29"/>
      <c r="DV657" s="29"/>
      <c r="DW657" s="29"/>
      <c r="DX657" s="29"/>
      <c r="DY657" s="29"/>
      <c r="DZ657" s="29"/>
      <c r="EA657" s="29"/>
      <c r="EB657" s="29"/>
      <c r="EC657" s="29"/>
      <c r="ED657" s="29"/>
      <c r="EE657" s="29"/>
      <c r="EF657" s="29"/>
      <c r="EG657" s="29"/>
      <c r="EH657" s="29"/>
      <c r="EI657" s="29"/>
      <c r="EJ657" s="29"/>
      <c r="EK657" s="29"/>
      <c r="EL657" s="29"/>
      <c r="EM657" s="29"/>
      <c r="EN657" s="29"/>
      <c r="EO657" s="29"/>
      <c r="EP657" s="29"/>
      <c r="EQ657" s="29"/>
      <c r="ER657" s="29"/>
      <c r="ES657" s="29"/>
      <c r="ET657" s="29"/>
      <c r="EU657" s="29"/>
      <c r="EV657" s="29"/>
      <c r="EW657" s="29"/>
      <c r="EX657" s="29"/>
      <c r="EY657" s="29"/>
      <c r="EZ657" s="29"/>
      <c r="FA657" s="29"/>
      <c r="FB657" s="29"/>
      <c r="FC657" s="29"/>
      <c r="FD657" s="29"/>
      <c r="FE657" s="29"/>
      <c r="FF657" s="29"/>
      <c r="FG657" s="29"/>
      <c r="FH657" s="29"/>
      <c r="FI657" s="29"/>
      <c r="FJ657" s="29"/>
      <c r="FK657" s="29"/>
      <c r="FL657" s="29"/>
      <c r="FM657" s="29"/>
      <c r="FN657" s="29"/>
      <c r="FO657" s="29"/>
      <c r="FP657" s="29"/>
      <c r="FQ657" s="29"/>
      <c r="FR657" s="29"/>
      <c r="FS657" s="29"/>
      <c r="FT657" s="29"/>
      <c r="FU657" s="29"/>
      <c r="FV657" s="29"/>
      <c r="FW657" s="29"/>
      <c r="FX657" s="29"/>
      <c r="FY657" s="29"/>
      <c r="FZ657" s="29"/>
      <c r="GA657" s="29"/>
      <c r="GB657" s="29"/>
      <c r="GC657" s="29"/>
      <c r="GD657" s="29"/>
      <c r="GE657" s="29"/>
      <c r="GF657" s="29"/>
      <c r="GG657" s="29"/>
      <c r="GH657" s="29"/>
      <c r="GI657" s="29"/>
      <c r="GJ657" s="29"/>
      <c r="GK657" s="29"/>
      <c r="GL657" s="29"/>
      <c r="GM657" s="29"/>
      <c r="GN657" s="29"/>
      <c r="GO657" s="29"/>
      <c r="GP657" s="29"/>
      <c r="GQ657" s="29"/>
      <c r="GR657" s="29"/>
      <c r="GS657" s="29"/>
      <c r="GT657" s="29"/>
      <c r="GU657" s="29"/>
      <c r="HP657" s="31"/>
      <c r="MX657" s="29"/>
      <c r="MY657" s="29"/>
    </row>
    <row r="658" ht="16.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29"/>
      <c r="AY658" s="29"/>
      <c r="AZ658" s="29"/>
      <c r="BA658" s="29"/>
      <c r="BB658" s="29"/>
      <c r="BC658" s="29"/>
      <c r="BD658" s="29"/>
      <c r="BE658" s="29"/>
      <c r="BF658" s="29"/>
      <c r="BG658" s="29"/>
      <c r="BH658" s="29"/>
      <c r="BI658" s="29"/>
      <c r="BJ658" s="29"/>
      <c r="BK658" s="29"/>
      <c r="BL658" s="29"/>
      <c r="BM658" s="29"/>
      <c r="BN658" s="29"/>
      <c r="BO658" s="29"/>
      <c r="BP658" s="29"/>
      <c r="BQ658" s="29"/>
      <c r="BR658" s="29"/>
      <c r="BS658" s="29"/>
      <c r="BT658" s="29"/>
      <c r="BU658" s="29"/>
      <c r="BV658" s="29"/>
      <c r="BW658" s="29"/>
      <c r="BX658" s="29"/>
      <c r="BY658" s="29"/>
      <c r="BZ658" s="29"/>
      <c r="CA658" s="29"/>
      <c r="CB658" s="29"/>
      <c r="CC658" s="29"/>
      <c r="CD658" s="29"/>
      <c r="CE658" s="29"/>
      <c r="CF658" s="29"/>
      <c r="CG658" s="29"/>
      <c r="CH658" s="29"/>
      <c r="CI658" s="29"/>
      <c r="CJ658" s="29"/>
      <c r="CK658" s="29"/>
      <c r="CL658" s="29"/>
      <c r="CM658" s="29"/>
      <c r="CN658" s="29"/>
      <c r="CO658" s="29"/>
      <c r="CP658" s="29"/>
      <c r="CQ658" s="29"/>
      <c r="CR658" s="29"/>
      <c r="CS658" s="29"/>
      <c r="CT658" s="29"/>
      <c r="CU658" s="29"/>
      <c r="CV658" s="29"/>
      <c r="CW658" s="29"/>
      <c r="CX658" s="29"/>
      <c r="CY658" s="29"/>
      <c r="CZ658" s="29"/>
      <c r="DA658" s="29"/>
      <c r="DB658" s="29"/>
      <c r="DC658" s="29"/>
      <c r="DD658" s="29"/>
      <c r="DE658" s="29"/>
      <c r="DF658" s="29"/>
      <c r="DG658" s="29"/>
      <c r="DH658" s="29"/>
      <c r="DI658" s="29"/>
      <c r="DJ658" s="29"/>
      <c r="DK658" s="29"/>
      <c r="DL658" s="29"/>
      <c r="DM658" s="29"/>
      <c r="DN658" s="29"/>
      <c r="DO658" s="29"/>
      <c r="DP658" s="29"/>
      <c r="DQ658" s="29"/>
      <c r="DR658" s="29"/>
      <c r="DS658" s="29"/>
      <c r="DT658" s="29"/>
      <c r="DU658" s="29"/>
      <c r="DV658" s="29"/>
      <c r="DW658" s="29"/>
      <c r="DX658" s="29"/>
      <c r="DY658" s="29"/>
      <c r="DZ658" s="29"/>
      <c r="EA658" s="29"/>
      <c r="EB658" s="29"/>
      <c r="EC658" s="29"/>
      <c r="ED658" s="29"/>
      <c r="EE658" s="29"/>
      <c r="EF658" s="29"/>
      <c r="EG658" s="29"/>
      <c r="EH658" s="29"/>
      <c r="EI658" s="29"/>
      <c r="EJ658" s="29"/>
      <c r="EK658" s="29"/>
      <c r="EL658" s="29"/>
      <c r="EM658" s="29"/>
      <c r="EN658" s="29"/>
      <c r="EO658" s="29"/>
      <c r="EP658" s="29"/>
      <c r="EQ658" s="29"/>
      <c r="ER658" s="29"/>
      <c r="ES658" s="29"/>
      <c r="ET658" s="29"/>
      <c r="EU658" s="29"/>
      <c r="EV658" s="29"/>
      <c r="EW658" s="29"/>
      <c r="EX658" s="29"/>
      <c r="EY658" s="29"/>
      <c r="EZ658" s="29"/>
      <c r="FA658" s="29"/>
      <c r="FB658" s="29"/>
      <c r="FC658" s="29"/>
      <c r="FD658" s="29"/>
      <c r="FE658" s="29"/>
      <c r="FF658" s="29"/>
      <c r="FG658" s="29"/>
      <c r="FH658" s="29"/>
      <c r="FI658" s="29"/>
      <c r="FJ658" s="29"/>
      <c r="FK658" s="29"/>
      <c r="FL658" s="29"/>
      <c r="FM658" s="29"/>
      <c r="FN658" s="29"/>
      <c r="FO658" s="29"/>
      <c r="FP658" s="29"/>
      <c r="FQ658" s="29"/>
      <c r="FR658" s="29"/>
      <c r="FS658" s="29"/>
      <c r="FT658" s="29"/>
      <c r="FU658" s="29"/>
      <c r="FV658" s="29"/>
      <c r="FW658" s="29"/>
      <c r="FX658" s="29"/>
      <c r="FY658" s="29"/>
      <c r="FZ658" s="29"/>
      <c r="GA658" s="29"/>
      <c r="GB658" s="29"/>
      <c r="GC658" s="29"/>
      <c r="GD658" s="29"/>
      <c r="GE658" s="29"/>
      <c r="GF658" s="29"/>
      <c r="GG658" s="29"/>
      <c r="GH658" s="29"/>
      <c r="GI658" s="29"/>
      <c r="GJ658" s="29"/>
      <c r="GK658" s="29"/>
      <c r="GL658" s="29"/>
      <c r="GM658" s="29"/>
      <c r="GN658" s="29"/>
      <c r="GO658" s="29"/>
      <c r="GP658" s="29"/>
      <c r="GQ658" s="29"/>
      <c r="GR658" s="29"/>
      <c r="GS658" s="29"/>
      <c r="GT658" s="29"/>
      <c r="GU658" s="29"/>
      <c r="HP658" s="31"/>
      <c r="MX658" s="29"/>
      <c r="MY658" s="29"/>
    </row>
    <row r="659" ht="16.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c r="BO659" s="29"/>
      <c r="BP659" s="29"/>
      <c r="BQ659" s="29"/>
      <c r="BR659" s="29"/>
      <c r="BS659" s="29"/>
      <c r="BT659" s="29"/>
      <c r="BU659" s="29"/>
      <c r="BV659" s="29"/>
      <c r="BW659" s="29"/>
      <c r="BX659" s="29"/>
      <c r="BY659" s="29"/>
      <c r="BZ659" s="29"/>
      <c r="CA659" s="29"/>
      <c r="CB659" s="29"/>
      <c r="CC659" s="29"/>
      <c r="CD659" s="29"/>
      <c r="CE659" s="29"/>
      <c r="CF659" s="29"/>
      <c r="CG659" s="29"/>
      <c r="CH659" s="29"/>
      <c r="CI659" s="29"/>
      <c r="CJ659" s="29"/>
      <c r="CK659" s="29"/>
      <c r="CL659" s="29"/>
      <c r="CM659" s="29"/>
      <c r="CN659" s="29"/>
      <c r="CO659" s="29"/>
      <c r="CP659" s="29"/>
      <c r="CQ659" s="29"/>
      <c r="CR659" s="29"/>
      <c r="CS659" s="29"/>
      <c r="CT659" s="29"/>
      <c r="CU659" s="29"/>
      <c r="CV659" s="29"/>
      <c r="CW659" s="29"/>
      <c r="CX659" s="29"/>
      <c r="CY659" s="29"/>
      <c r="CZ659" s="29"/>
      <c r="DA659" s="29"/>
      <c r="DB659" s="29"/>
      <c r="DC659" s="29"/>
      <c r="DD659" s="29"/>
      <c r="DE659" s="29"/>
      <c r="DF659" s="29"/>
      <c r="DG659" s="29"/>
      <c r="DH659" s="29"/>
      <c r="DI659" s="29"/>
      <c r="DJ659" s="29"/>
      <c r="DK659" s="29"/>
      <c r="DL659" s="29"/>
      <c r="DM659" s="29"/>
      <c r="DN659" s="29"/>
      <c r="DO659" s="29"/>
      <c r="DP659" s="29"/>
      <c r="DQ659" s="29"/>
      <c r="DR659" s="29"/>
      <c r="DS659" s="29"/>
      <c r="DT659" s="29"/>
      <c r="DU659" s="29"/>
      <c r="DV659" s="29"/>
      <c r="DW659" s="29"/>
      <c r="DX659" s="29"/>
      <c r="DY659" s="29"/>
      <c r="DZ659" s="29"/>
      <c r="EA659" s="29"/>
      <c r="EB659" s="29"/>
      <c r="EC659" s="29"/>
      <c r="ED659" s="29"/>
      <c r="EE659" s="29"/>
      <c r="EF659" s="29"/>
      <c r="EG659" s="29"/>
      <c r="EH659" s="29"/>
      <c r="EI659" s="29"/>
      <c r="EJ659" s="29"/>
      <c r="EK659" s="29"/>
      <c r="EL659" s="29"/>
      <c r="EM659" s="29"/>
      <c r="EN659" s="29"/>
      <c r="EO659" s="29"/>
      <c r="EP659" s="29"/>
      <c r="EQ659" s="29"/>
      <c r="ER659" s="29"/>
      <c r="ES659" s="29"/>
      <c r="ET659" s="29"/>
      <c r="EU659" s="29"/>
      <c r="EV659" s="29"/>
      <c r="EW659" s="29"/>
      <c r="EX659" s="29"/>
      <c r="EY659" s="29"/>
      <c r="EZ659" s="29"/>
      <c r="FA659" s="29"/>
      <c r="FB659" s="29"/>
      <c r="FC659" s="29"/>
      <c r="FD659" s="29"/>
      <c r="FE659" s="29"/>
      <c r="FF659" s="29"/>
      <c r="FG659" s="29"/>
      <c r="FH659" s="29"/>
      <c r="FI659" s="29"/>
      <c r="FJ659" s="29"/>
      <c r="FK659" s="29"/>
      <c r="FL659" s="29"/>
      <c r="FM659" s="29"/>
      <c r="FN659" s="29"/>
      <c r="FO659" s="29"/>
      <c r="FP659" s="29"/>
      <c r="FQ659" s="29"/>
      <c r="FR659" s="29"/>
      <c r="FS659" s="29"/>
      <c r="FT659" s="29"/>
      <c r="FU659" s="29"/>
      <c r="FV659" s="29"/>
      <c r="FW659" s="29"/>
      <c r="FX659" s="29"/>
      <c r="FY659" s="29"/>
      <c r="FZ659" s="29"/>
      <c r="GA659" s="29"/>
      <c r="GB659" s="29"/>
      <c r="GC659" s="29"/>
      <c r="GD659" s="29"/>
      <c r="GE659" s="29"/>
      <c r="GF659" s="29"/>
      <c r="GG659" s="29"/>
      <c r="GH659" s="29"/>
      <c r="GI659" s="29"/>
      <c r="GJ659" s="29"/>
      <c r="GK659" s="29"/>
      <c r="GL659" s="29"/>
      <c r="GM659" s="29"/>
      <c r="GN659" s="29"/>
      <c r="GO659" s="29"/>
      <c r="GP659" s="29"/>
      <c r="GQ659" s="29"/>
      <c r="GR659" s="29"/>
      <c r="GS659" s="29"/>
      <c r="GT659" s="29"/>
      <c r="GU659" s="29"/>
      <c r="HP659" s="31"/>
      <c r="MX659" s="29"/>
      <c r="MY659" s="29"/>
    </row>
    <row r="660" ht="16.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29"/>
      <c r="AY660" s="29"/>
      <c r="AZ660" s="29"/>
      <c r="BA660" s="29"/>
      <c r="BB660" s="29"/>
      <c r="BC660" s="29"/>
      <c r="BD660" s="29"/>
      <c r="BE660" s="29"/>
      <c r="BF660" s="29"/>
      <c r="BG660" s="29"/>
      <c r="BH660" s="29"/>
      <c r="BI660" s="29"/>
      <c r="BJ660" s="29"/>
      <c r="BK660" s="29"/>
      <c r="BL660" s="29"/>
      <c r="BM660" s="29"/>
      <c r="BN660" s="29"/>
      <c r="BO660" s="29"/>
      <c r="BP660" s="29"/>
      <c r="BQ660" s="29"/>
      <c r="BR660" s="29"/>
      <c r="BS660" s="29"/>
      <c r="BT660" s="29"/>
      <c r="BU660" s="29"/>
      <c r="BV660" s="29"/>
      <c r="BW660" s="29"/>
      <c r="BX660" s="29"/>
      <c r="BY660" s="29"/>
      <c r="BZ660" s="29"/>
      <c r="CA660" s="29"/>
      <c r="CB660" s="29"/>
      <c r="CC660" s="29"/>
      <c r="CD660" s="29"/>
      <c r="CE660" s="29"/>
      <c r="CF660" s="29"/>
      <c r="CG660" s="29"/>
      <c r="CH660" s="29"/>
      <c r="CI660" s="29"/>
      <c r="CJ660" s="29"/>
      <c r="CK660" s="29"/>
      <c r="CL660" s="29"/>
      <c r="CM660" s="29"/>
      <c r="CN660" s="29"/>
      <c r="CO660" s="29"/>
      <c r="CP660" s="29"/>
      <c r="CQ660" s="29"/>
      <c r="CR660" s="29"/>
      <c r="CS660" s="29"/>
      <c r="CT660" s="29"/>
      <c r="CU660" s="29"/>
      <c r="CV660" s="29"/>
      <c r="CW660" s="29"/>
      <c r="CX660" s="29"/>
      <c r="CY660" s="29"/>
      <c r="CZ660" s="29"/>
      <c r="DA660" s="29"/>
      <c r="DB660" s="29"/>
      <c r="DC660" s="29"/>
      <c r="DD660" s="29"/>
      <c r="DE660" s="29"/>
      <c r="DF660" s="29"/>
      <c r="DG660" s="29"/>
      <c r="DH660" s="29"/>
      <c r="DI660" s="29"/>
      <c r="DJ660" s="29"/>
      <c r="DK660" s="29"/>
      <c r="DL660" s="29"/>
      <c r="DM660" s="29"/>
      <c r="DN660" s="29"/>
      <c r="DO660" s="29"/>
      <c r="DP660" s="29"/>
      <c r="DQ660" s="29"/>
      <c r="DR660" s="29"/>
      <c r="DS660" s="29"/>
      <c r="DT660" s="29"/>
      <c r="DU660" s="29"/>
      <c r="DV660" s="29"/>
      <c r="DW660" s="29"/>
      <c r="DX660" s="29"/>
      <c r="DY660" s="29"/>
      <c r="DZ660" s="29"/>
      <c r="EA660" s="29"/>
      <c r="EB660" s="29"/>
      <c r="EC660" s="29"/>
      <c r="ED660" s="29"/>
      <c r="EE660" s="29"/>
      <c r="EF660" s="29"/>
      <c r="EG660" s="29"/>
      <c r="EH660" s="29"/>
      <c r="EI660" s="29"/>
      <c r="EJ660" s="29"/>
      <c r="EK660" s="29"/>
      <c r="EL660" s="29"/>
      <c r="EM660" s="29"/>
      <c r="EN660" s="29"/>
      <c r="EO660" s="29"/>
      <c r="EP660" s="29"/>
      <c r="EQ660" s="29"/>
      <c r="ER660" s="29"/>
      <c r="ES660" s="29"/>
      <c r="ET660" s="29"/>
      <c r="EU660" s="29"/>
      <c r="EV660" s="29"/>
      <c r="EW660" s="29"/>
      <c r="EX660" s="29"/>
      <c r="EY660" s="29"/>
      <c r="EZ660" s="29"/>
      <c r="FA660" s="29"/>
      <c r="FB660" s="29"/>
      <c r="FC660" s="29"/>
      <c r="FD660" s="29"/>
      <c r="FE660" s="29"/>
      <c r="FF660" s="29"/>
      <c r="FG660" s="29"/>
      <c r="FH660" s="29"/>
      <c r="FI660" s="29"/>
      <c r="FJ660" s="29"/>
      <c r="FK660" s="29"/>
      <c r="FL660" s="29"/>
      <c r="FM660" s="29"/>
      <c r="FN660" s="29"/>
      <c r="FO660" s="29"/>
      <c r="FP660" s="29"/>
      <c r="FQ660" s="29"/>
      <c r="FR660" s="29"/>
      <c r="FS660" s="29"/>
      <c r="FT660" s="29"/>
      <c r="FU660" s="29"/>
      <c r="FV660" s="29"/>
      <c r="FW660" s="29"/>
      <c r="FX660" s="29"/>
      <c r="FY660" s="29"/>
      <c r="FZ660" s="29"/>
      <c r="GA660" s="29"/>
      <c r="GB660" s="29"/>
      <c r="GC660" s="29"/>
      <c r="GD660" s="29"/>
      <c r="GE660" s="29"/>
      <c r="GF660" s="29"/>
      <c r="GG660" s="29"/>
      <c r="GH660" s="29"/>
      <c r="GI660" s="29"/>
      <c r="GJ660" s="29"/>
      <c r="GK660" s="29"/>
      <c r="GL660" s="29"/>
      <c r="GM660" s="29"/>
      <c r="GN660" s="29"/>
      <c r="GO660" s="29"/>
      <c r="GP660" s="29"/>
      <c r="GQ660" s="29"/>
      <c r="GR660" s="29"/>
      <c r="GS660" s="29"/>
      <c r="GT660" s="29"/>
      <c r="GU660" s="29"/>
      <c r="HP660" s="31"/>
      <c r="MX660" s="29"/>
      <c r="MY660" s="29"/>
    </row>
    <row r="661" ht="16.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c r="BO661" s="29"/>
      <c r="BP661" s="29"/>
      <c r="BQ661" s="29"/>
      <c r="BR661" s="29"/>
      <c r="BS661" s="29"/>
      <c r="BT661" s="29"/>
      <c r="BU661" s="29"/>
      <c r="BV661" s="29"/>
      <c r="BW661" s="29"/>
      <c r="BX661" s="29"/>
      <c r="BY661" s="29"/>
      <c r="BZ661" s="29"/>
      <c r="CA661" s="29"/>
      <c r="CB661" s="29"/>
      <c r="CC661" s="29"/>
      <c r="CD661" s="29"/>
      <c r="CE661" s="29"/>
      <c r="CF661" s="29"/>
      <c r="CG661" s="29"/>
      <c r="CH661" s="29"/>
      <c r="CI661" s="29"/>
      <c r="CJ661" s="29"/>
      <c r="CK661" s="29"/>
      <c r="CL661" s="29"/>
      <c r="CM661" s="29"/>
      <c r="CN661" s="29"/>
      <c r="CO661" s="29"/>
      <c r="CP661" s="29"/>
      <c r="CQ661" s="29"/>
      <c r="CR661" s="29"/>
      <c r="CS661" s="29"/>
      <c r="CT661" s="29"/>
      <c r="CU661" s="29"/>
      <c r="CV661" s="29"/>
      <c r="CW661" s="29"/>
      <c r="CX661" s="29"/>
      <c r="CY661" s="29"/>
      <c r="CZ661" s="29"/>
      <c r="DA661" s="29"/>
      <c r="DB661" s="29"/>
      <c r="DC661" s="29"/>
      <c r="DD661" s="29"/>
      <c r="DE661" s="29"/>
      <c r="DF661" s="29"/>
      <c r="DG661" s="29"/>
      <c r="DH661" s="29"/>
      <c r="DI661" s="29"/>
      <c r="DJ661" s="29"/>
      <c r="DK661" s="29"/>
      <c r="DL661" s="29"/>
      <c r="DM661" s="29"/>
      <c r="DN661" s="29"/>
      <c r="DO661" s="29"/>
      <c r="DP661" s="29"/>
      <c r="DQ661" s="29"/>
      <c r="DR661" s="29"/>
      <c r="DS661" s="29"/>
      <c r="DT661" s="29"/>
      <c r="DU661" s="29"/>
      <c r="DV661" s="29"/>
      <c r="DW661" s="29"/>
      <c r="DX661" s="29"/>
      <c r="DY661" s="29"/>
      <c r="DZ661" s="29"/>
      <c r="EA661" s="29"/>
      <c r="EB661" s="29"/>
      <c r="EC661" s="29"/>
      <c r="ED661" s="29"/>
      <c r="EE661" s="29"/>
      <c r="EF661" s="29"/>
      <c r="EG661" s="29"/>
      <c r="EH661" s="29"/>
      <c r="EI661" s="29"/>
      <c r="EJ661" s="29"/>
      <c r="EK661" s="29"/>
      <c r="EL661" s="29"/>
      <c r="EM661" s="29"/>
      <c r="EN661" s="29"/>
      <c r="EO661" s="29"/>
      <c r="EP661" s="29"/>
      <c r="EQ661" s="29"/>
      <c r="ER661" s="29"/>
      <c r="ES661" s="29"/>
      <c r="ET661" s="29"/>
      <c r="EU661" s="29"/>
      <c r="EV661" s="29"/>
      <c r="EW661" s="29"/>
      <c r="EX661" s="29"/>
      <c r="EY661" s="29"/>
      <c r="EZ661" s="29"/>
      <c r="FA661" s="29"/>
      <c r="FB661" s="29"/>
      <c r="FC661" s="29"/>
      <c r="FD661" s="29"/>
      <c r="FE661" s="29"/>
      <c r="FF661" s="29"/>
      <c r="FG661" s="29"/>
      <c r="FH661" s="29"/>
      <c r="FI661" s="29"/>
      <c r="FJ661" s="29"/>
      <c r="FK661" s="29"/>
      <c r="FL661" s="29"/>
      <c r="FM661" s="29"/>
      <c r="FN661" s="29"/>
      <c r="FO661" s="29"/>
      <c r="FP661" s="29"/>
      <c r="FQ661" s="29"/>
      <c r="FR661" s="29"/>
      <c r="FS661" s="29"/>
      <c r="FT661" s="29"/>
      <c r="FU661" s="29"/>
      <c r="FV661" s="29"/>
      <c r="FW661" s="29"/>
      <c r="FX661" s="29"/>
      <c r="FY661" s="29"/>
      <c r="FZ661" s="29"/>
      <c r="GA661" s="29"/>
      <c r="GB661" s="29"/>
      <c r="GC661" s="29"/>
      <c r="GD661" s="29"/>
      <c r="GE661" s="29"/>
      <c r="GF661" s="29"/>
      <c r="GG661" s="29"/>
      <c r="GH661" s="29"/>
      <c r="GI661" s="29"/>
      <c r="GJ661" s="29"/>
      <c r="GK661" s="29"/>
      <c r="GL661" s="29"/>
      <c r="GM661" s="29"/>
      <c r="GN661" s="29"/>
      <c r="GO661" s="29"/>
      <c r="GP661" s="29"/>
      <c r="GQ661" s="29"/>
      <c r="GR661" s="29"/>
      <c r="GS661" s="29"/>
      <c r="GT661" s="29"/>
      <c r="GU661" s="29"/>
      <c r="HP661" s="31"/>
      <c r="MX661" s="29"/>
      <c r="MY661" s="29"/>
    </row>
    <row r="662" ht="16.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29"/>
      <c r="AY662" s="29"/>
      <c r="AZ662" s="29"/>
      <c r="BA662" s="29"/>
      <c r="BB662" s="29"/>
      <c r="BC662" s="29"/>
      <c r="BD662" s="29"/>
      <c r="BE662" s="29"/>
      <c r="BF662" s="29"/>
      <c r="BG662" s="29"/>
      <c r="BH662" s="29"/>
      <c r="BI662" s="29"/>
      <c r="BJ662" s="29"/>
      <c r="BK662" s="29"/>
      <c r="BL662" s="29"/>
      <c r="BM662" s="29"/>
      <c r="BN662" s="29"/>
      <c r="BO662" s="29"/>
      <c r="BP662" s="29"/>
      <c r="BQ662" s="29"/>
      <c r="BR662" s="29"/>
      <c r="BS662" s="29"/>
      <c r="BT662" s="29"/>
      <c r="BU662" s="29"/>
      <c r="BV662" s="29"/>
      <c r="BW662" s="29"/>
      <c r="BX662" s="29"/>
      <c r="BY662" s="29"/>
      <c r="BZ662" s="29"/>
      <c r="CA662" s="29"/>
      <c r="CB662" s="29"/>
      <c r="CC662" s="29"/>
      <c r="CD662" s="29"/>
      <c r="CE662" s="29"/>
      <c r="CF662" s="29"/>
      <c r="CG662" s="29"/>
      <c r="CH662" s="29"/>
      <c r="CI662" s="29"/>
      <c r="CJ662" s="29"/>
      <c r="CK662" s="29"/>
      <c r="CL662" s="29"/>
      <c r="CM662" s="29"/>
      <c r="CN662" s="29"/>
      <c r="CO662" s="29"/>
      <c r="CP662" s="29"/>
      <c r="CQ662" s="29"/>
      <c r="CR662" s="29"/>
      <c r="CS662" s="29"/>
      <c r="CT662" s="29"/>
      <c r="CU662" s="29"/>
      <c r="CV662" s="29"/>
      <c r="CW662" s="29"/>
      <c r="CX662" s="29"/>
      <c r="CY662" s="29"/>
      <c r="CZ662" s="29"/>
      <c r="DA662" s="29"/>
      <c r="DB662" s="29"/>
      <c r="DC662" s="29"/>
      <c r="DD662" s="29"/>
      <c r="DE662" s="29"/>
      <c r="DF662" s="29"/>
      <c r="DG662" s="29"/>
      <c r="DH662" s="29"/>
      <c r="DI662" s="29"/>
      <c r="DJ662" s="29"/>
      <c r="DK662" s="29"/>
      <c r="DL662" s="29"/>
      <c r="DM662" s="29"/>
      <c r="DN662" s="29"/>
      <c r="DO662" s="29"/>
      <c r="DP662" s="29"/>
      <c r="DQ662" s="29"/>
      <c r="DR662" s="29"/>
      <c r="DS662" s="29"/>
      <c r="DT662" s="29"/>
      <c r="DU662" s="29"/>
      <c r="DV662" s="29"/>
      <c r="DW662" s="29"/>
      <c r="DX662" s="29"/>
      <c r="DY662" s="29"/>
      <c r="DZ662" s="29"/>
      <c r="EA662" s="29"/>
      <c r="EB662" s="29"/>
      <c r="EC662" s="29"/>
      <c r="ED662" s="29"/>
      <c r="EE662" s="29"/>
      <c r="EF662" s="29"/>
      <c r="EG662" s="29"/>
      <c r="EH662" s="29"/>
      <c r="EI662" s="29"/>
      <c r="EJ662" s="29"/>
      <c r="EK662" s="29"/>
      <c r="EL662" s="29"/>
      <c r="EM662" s="29"/>
      <c r="EN662" s="29"/>
      <c r="EO662" s="29"/>
      <c r="EP662" s="29"/>
      <c r="EQ662" s="29"/>
      <c r="ER662" s="29"/>
      <c r="ES662" s="29"/>
      <c r="ET662" s="29"/>
      <c r="EU662" s="29"/>
      <c r="EV662" s="29"/>
      <c r="EW662" s="29"/>
      <c r="EX662" s="29"/>
      <c r="EY662" s="29"/>
      <c r="EZ662" s="29"/>
      <c r="FA662" s="29"/>
      <c r="FB662" s="29"/>
      <c r="FC662" s="29"/>
      <c r="FD662" s="29"/>
      <c r="FE662" s="29"/>
      <c r="FF662" s="29"/>
      <c r="FG662" s="29"/>
      <c r="FH662" s="29"/>
      <c r="FI662" s="29"/>
      <c r="FJ662" s="29"/>
      <c r="FK662" s="29"/>
      <c r="FL662" s="29"/>
      <c r="FM662" s="29"/>
      <c r="FN662" s="29"/>
      <c r="FO662" s="29"/>
      <c r="FP662" s="29"/>
      <c r="FQ662" s="29"/>
      <c r="FR662" s="29"/>
      <c r="FS662" s="29"/>
      <c r="FT662" s="29"/>
      <c r="FU662" s="29"/>
      <c r="FV662" s="29"/>
      <c r="FW662" s="29"/>
      <c r="FX662" s="29"/>
      <c r="FY662" s="29"/>
      <c r="FZ662" s="29"/>
      <c r="GA662" s="29"/>
      <c r="GB662" s="29"/>
      <c r="GC662" s="29"/>
      <c r="GD662" s="29"/>
      <c r="GE662" s="29"/>
      <c r="GF662" s="29"/>
      <c r="GG662" s="29"/>
      <c r="GH662" s="29"/>
      <c r="GI662" s="29"/>
      <c r="GJ662" s="29"/>
      <c r="GK662" s="29"/>
      <c r="GL662" s="29"/>
      <c r="GM662" s="29"/>
      <c r="GN662" s="29"/>
      <c r="GO662" s="29"/>
      <c r="GP662" s="29"/>
      <c r="GQ662" s="29"/>
      <c r="GR662" s="29"/>
      <c r="GS662" s="29"/>
      <c r="GT662" s="29"/>
      <c r="GU662" s="29"/>
      <c r="HP662" s="31"/>
      <c r="MX662" s="29"/>
      <c r="MY662" s="29"/>
    </row>
    <row r="663" ht="16.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c r="BO663" s="29"/>
      <c r="BP663" s="29"/>
      <c r="BQ663" s="29"/>
      <c r="BR663" s="29"/>
      <c r="BS663" s="29"/>
      <c r="BT663" s="29"/>
      <c r="BU663" s="29"/>
      <c r="BV663" s="29"/>
      <c r="BW663" s="29"/>
      <c r="BX663" s="29"/>
      <c r="BY663" s="29"/>
      <c r="BZ663" s="29"/>
      <c r="CA663" s="29"/>
      <c r="CB663" s="29"/>
      <c r="CC663" s="29"/>
      <c r="CD663" s="29"/>
      <c r="CE663" s="29"/>
      <c r="CF663" s="29"/>
      <c r="CG663" s="29"/>
      <c r="CH663" s="29"/>
      <c r="CI663" s="29"/>
      <c r="CJ663" s="29"/>
      <c r="CK663" s="29"/>
      <c r="CL663" s="29"/>
      <c r="CM663" s="29"/>
      <c r="CN663" s="29"/>
      <c r="CO663" s="29"/>
      <c r="CP663" s="29"/>
      <c r="CQ663" s="29"/>
      <c r="CR663" s="29"/>
      <c r="CS663" s="29"/>
      <c r="CT663" s="29"/>
      <c r="CU663" s="29"/>
      <c r="CV663" s="29"/>
      <c r="CW663" s="29"/>
      <c r="CX663" s="29"/>
      <c r="CY663" s="29"/>
      <c r="CZ663" s="29"/>
      <c r="DA663" s="29"/>
      <c r="DB663" s="29"/>
      <c r="DC663" s="29"/>
      <c r="DD663" s="29"/>
      <c r="DE663" s="29"/>
      <c r="DF663" s="29"/>
      <c r="DG663" s="29"/>
      <c r="DH663" s="29"/>
      <c r="DI663" s="29"/>
      <c r="DJ663" s="29"/>
      <c r="DK663" s="29"/>
      <c r="DL663" s="29"/>
      <c r="DM663" s="29"/>
      <c r="DN663" s="29"/>
      <c r="DO663" s="29"/>
      <c r="DP663" s="29"/>
      <c r="DQ663" s="29"/>
      <c r="DR663" s="29"/>
      <c r="DS663" s="29"/>
      <c r="DT663" s="29"/>
      <c r="DU663" s="29"/>
      <c r="DV663" s="29"/>
      <c r="DW663" s="29"/>
      <c r="DX663" s="29"/>
      <c r="DY663" s="29"/>
      <c r="DZ663" s="29"/>
      <c r="EA663" s="29"/>
      <c r="EB663" s="29"/>
      <c r="EC663" s="29"/>
      <c r="ED663" s="29"/>
      <c r="EE663" s="29"/>
      <c r="EF663" s="29"/>
      <c r="EG663" s="29"/>
      <c r="EH663" s="29"/>
      <c r="EI663" s="29"/>
      <c r="EJ663" s="29"/>
      <c r="EK663" s="29"/>
      <c r="EL663" s="29"/>
      <c r="EM663" s="29"/>
      <c r="EN663" s="29"/>
      <c r="EO663" s="29"/>
      <c r="EP663" s="29"/>
      <c r="EQ663" s="29"/>
      <c r="ER663" s="29"/>
      <c r="ES663" s="29"/>
      <c r="ET663" s="29"/>
      <c r="EU663" s="29"/>
      <c r="EV663" s="29"/>
      <c r="EW663" s="29"/>
      <c r="EX663" s="29"/>
      <c r="EY663" s="29"/>
      <c r="EZ663" s="29"/>
      <c r="FA663" s="29"/>
      <c r="FB663" s="29"/>
      <c r="FC663" s="29"/>
      <c r="FD663" s="29"/>
      <c r="FE663" s="29"/>
      <c r="FF663" s="29"/>
      <c r="FG663" s="29"/>
      <c r="FH663" s="29"/>
      <c r="FI663" s="29"/>
      <c r="FJ663" s="29"/>
      <c r="FK663" s="29"/>
      <c r="FL663" s="29"/>
      <c r="FM663" s="29"/>
      <c r="FN663" s="29"/>
      <c r="FO663" s="29"/>
      <c r="FP663" s="29"/>
      <c r="FQ663" s="29"/>
      <c r="FR663" s="29"/>
      <c r="FS663" s="29"/>
      <c r="FT663" s="29"/>
      <c r="FU663" s="29"/>
      <c r="FV663" s="29"/>
      <c r="FW663" s="29"/>
      <c r="FX663" s="29"/>
      <c r="FY663" s="29"/>
      <c r="FZ663" s="29"/>
      <c r="GA663" s="29"/>
      <c r="GB663" s="29"/>
      <c r="GC663" s="29"/>
      <c r="GD663" s="29"/>
      <c r="GE663" s="29"/>
      <c r="GF663" s="29"/>
      <c r="GG663" s="29"/>
      <c r="GH663" s="29"/>
      <c r="GI663" s="29"/>
      <c r="GJ663" s="29"/>
      <c r="GK663" s="29"/>
      <c r="GL663" s="29"/>
      <c r="GM663" s="29"/>
      <c r="GN663" s="29"/>
      <c r="GO663" s="29"/>
      <c r="GP663" s="29"/>
      <c r="GQ663" s="29"/>
      <c r="GR663" s="29"/>
      <c r="GS663" s="29"/>
      <c r="GT663" s="29"/>
      <c r="GU663" s="29"/>
      <c r="HP663" s="31"/>
      <c r="MX663" s="29"/>
      <c r="MY663" s="29"/>
    </row>
    <row r="664" ht="16.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c r="AY664" s="29"/>
      <c r="AZ664" s="29"/>
      <c r="BA664" s="29"/>
      <c r="BB664" s="29"/>
      <c r="BC664" s="29"/>
      <c r="BD664" s="29"/>
      <c r="BE664" s="29"/>
      <c r="BF664" s="29"/>
      <c r="BG664" s="29"/>
      <c r="BH664" s="29"/>
      <c r="BI664" s="29"/>
      <c r="BJ664" s="29"/>
      <c r="BK664" s="29"/>
      <c r="BL664" s="29"/>
      <c r="BM664" s="29"/>
      <c r="BN664" s="29"/>
      <c r="BO664" s="29"/>
      <c r="BP664" s="29"/>
      <c r="BQ664" s="29"/>
      <c r="BR664" s="29"/>
      <c r="BS664" s="29"/>
      <c r="BT664" s="29"/>
      <c r="BU664" s="29"/>
      <c r="BV664" s="29"/>
      <c r="BW664" s="29"/>
      <c r="BX664" s="29"/>
      <c r="BY664" s="29"/>
      <c r="BZ664" s="29"/>
      <c r="CA664" s="29"/>
      <c r="CB664" s="29"/>
      <c r="CC664" s="29"/>
      <c r="CD664" s="29"/>
      <c r="CE664" s="29"/>
      <c r="CF664" s="29"/>
      <c r="CG664" s="29"/>
      <c r="CH664" s="29"/>
      <c r="CI664" s="29"/>
      <c r="CJ664" s="29"/>
      <c r="CK664" s="29"/>
      <c r="CL664" s="29"/>
      <c r="CM664" s="29"/>
      <c r="CN664" s="29"/>
      <c r="CO664" s="29"/>
      <c r="CP664" s="29"/>
      <c r="CQ664" s="29"/>
      <c r="CR664" s="29"/>
      <c r="CS664" s="29"/>
      <c r="CT664" s="29"/>
      <c r="CU664" s="29"/>
      <c r="CV664" s="29"/>
      <c r="CW664" s="29"/>
      <c r="CX664" s="29"/>
      <c r="CY664" s="29"/>
      <c r="CZ664" s="29"/>
      <c r="DA664" s="29"/>
      <c r="DB664" s="29"/>
      <c r="DC664" s="29"/>
      <c r="DD664" s="29"/>
      <c r="DE664" s="29"/>
      <c r="DF664" s="29"/>
      <c r="DG664" s="29"/>
      <c r="DH664" s="29"/>
      <c r="DI664" s="29"/>
      <c r="DJ664" s="29"/>
      <c r="DK664" s="29"/>
      <c r="DL664" s="29"/>
      <c r="DM664" s="29"/>
      <c r="DN664" s="29"/>
      <c r="DO664" s="29"/>
      <c r="DP664" s="29"/>
      <c r="DQ664" s="29"/>
      <c r="DR664" s="29"/>
      <c r="DS664" s="29"/>
      <c r="DT664" s="29"/>
      <c r="DU664" s="29"/>
      <c r="DV664" s="29"/>
      <c r="DW664" s="29"/>
      <c r="DX664" s="29"/>
      <c r="DY664" s="29"/>
      <c r="DZ664" s="29"/>
      <c r="EA664" s="29"/>
      <c r="EB664" s="29"/>
      <c r="EC664" s="29"/>
      <c r="ED664" s="29"/>
      <c r="EE664" s="29"/>
      <c r="EF664" s="29"/>
      <c r="EG664" s="29"/>
      <c r="EH664" s="29"/>
      <c r="EI664" s="29"/>
      <c r="EJ664" s="29"/>
      <c r="EK664" s="29"/>
      <c r="EL664" s="29"/>
      <c r="EM664" s="29"/>
      <c r="EN664" s="29"/>
      <c r="EO664" s="29"/>
      <c r="EP664" s="29"/>
      <c r="EQ664" s="29"/>
      <c r="ER664" s="29"/>
      <c r="ES664" s="29"/>
      <c r="ET664" s="29"/>
      <c r="EU664" s="29"/>
      <c r="EV664" s="29"/>
      <c r="EW664" s="29"/>
      <c r="EX664" s="29"/>
      <c r="EY664" s="29"/>
      <c r="EZ664" s="29"/>
      <c r="FA664" s="29"/>
      <c r="FB664" s="29"/>
      <c r="FC664" s="29"/>
      <c r="FD664" s="29"/>
      <c r="FE664" s="29"/>
      <c r="FF664" s="29"/>
      <c r="FG664" s="29"/>
      <c r="FH664" s="29"/>
      <c r="FI664" s="29"/>
      <c r="FJ664" s="29"/>
      <c r="FK664" s="29"/>
      <c r="FL664" s="29"/>
      <c r="FM664" s="29"/>
      <c r="FN664" s="29"/>
      <c r="FO664" s="29"/>
      <c r="FP664" s="29"/>
      <c r="FQ664" s="29"/>
      <c r="FR664" s="29"/>
      <c r="FS664" s="29"/>
      <c r="FT664" s="29"/>
      <c r="FU664" s="29"/>
      <c r="FV664" s="29"/>
      <c r="FW664" s="29"/>
      <c r="FX664" s="29"/>
      <c r="FY664" s="29"/>
      <c r="FZ664" s="29"/>
      <c r="GA664" s="29"/>
      <c r="GB664" s="29"/>
      <c r="GC664" s="29"/>
      <c r="GD664" s="29"/>
      <c r="GE664" s="29"/>
      <c r="GF664" s="29"/>
      <c r="GG664" s="29"/>
      <c r="GH664" s="29"/>
      <c r="GI664" s="29"/>
      <c r="GJ664" s="29"/>
      <c r="GK664" s="29"/>
      <c r="GL664" s="29"/>
      <c r="GM664" s="29"/>
      <c r="GN664" s="29"/>
      <c r="GO664" s="29"/>
      <c r="GP664" s="29"/>
      <c r="GQ664" s="29"/>
      <c r="GR664" s="29"/>
      <c r="GS664" s="29"/>
      <c r="GT664" s="29"/>
      <c r="GU664" s="29"/>
      <c r="HP664" s="31"/>
      <c r="MX664" s="29"/>
      <c r="MY664" s="29"/>
    </row>
    <row r="665" ht="16.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c r="BO665" s="29"/>
      <c r="BP665" s="29"/>
      <c r="BQ665" s="29"/>
      <c r="BR665" s="29"/>
      <c r="BS665" s="29"/>
      <c r="BT665" s="29"/>
      <c r="BU665" s="29"/>
      <c r="BV665" s="29"/>
      <c r="BW665" s="29"/>
      <c r="BX665" s="29"/>
      <c r="BY665" s="29"/>
      <c r="BZ665" s="29"/>
      <c r="CA665" s="29"/>
      <c r="CB665" s="29"/>
      <c r="CC665" s="29"/>
      <c r="CD665" s="29"/>
      <c r="CE665" s="29"/>
      <c r="CF665" s="29"/>
      <c r="CG665" s="29"/>
      <c r="CH665" s="29"/>
      <c r="CI665" s="29"/>
      <c r="CJ665" s="29"/>
      <c r="CK665" s="29"/>
      <c r="CL665" s="29"/>
      <c r="CM665" s="29"/>
      <c r="CN665" s="29"/>
      <c r="CO665" s="29"/>
      <c r="CP665" s="29"/>
      <c r="CQ665" s="29"/>
      <c r="CR665" s="29"/>
      <c r="CS665" s="29"/>
      <c r="CT665" s="29"/>
      <c r="CU665" s="29"/>
      <c r="CV665" s="29"/>
      <c r="CW665" s="29"/>
      <c r="CX665" s="29"/>
      <c r="CY665" s="29"/>
      <c r="CZ665" s="29"/>
      <c r="DA665" s="29"/>
      <c r="DB665" s="29"/>
      <c r="DC665" s="29"/>
      <c r="DD665" s="29"/>
      <c r="DE665" s="29"/>
      <c r="DF665" s="29"/>
      <c r="DG665" s="29"/>
      <c r="DH665" s="29"/>
      <c r="DI665" s="29"/>
      <c r="DJ665" s="29"/>
      <c r="DK665" s="29"/>
      <c r="DL665" s="29"/>
      <c r="DM665" s="29"/>
      <c r="DN665" s="29"/>
      <c r="DO665" s="29"/>
      <c r="DP665" s="29"/>
      <c r="DQ665" s="29"/>
      <c r="DR665" s="29"/>
      <c r="DS665" s="29"/>
      <c r="DT665" s="29"/>
      <c r="DU665" s="29"/>
      <c r="DV665" s="29"/>
      <c r="DW665" s="29"/>
      <c r="DX665" s="29"/>
      <c r="DY665" s="29"/>
      <c r="DZ665" s="29"/>
      <c r="EA665" s="29"/>
      <c r="EB665" s="29"/>
      <c r="EC665" s="29"/>
      <c r="ED665" s="29"/>
      <c r="EE665" s="29"/>
      <c r="EF665" s="29"/>
      <c r="EG665" s="29"/>
      <c r="EH665" s="29"/>
      <c r="EI665" s="29"/>
      <c r="EJ665" s="29"/>
      <c r="EK665" s="29"/>
      <c r="EL665" s="29"/>
      <c r="EM665" s="29"/>
      <c r="EN665" s="29"/>
      <c r="EO665" s="29"/>
      <c r="EP665" s="29"/>
      <c r="EQ665" s="29"/>
      <c r="ER665" s="29"/>
      <c r="ES665" s="29"/>
      <c r="ET665" s="29"/>
      <c r="EU665" s="29"/>
      <c r="EV665" s="29"/>
      <c r="EW665" s="29"/>
      <c r="EX665" s="29"/>
      <c r="EY665" s="29"/>
      <c r="EZ665" s="29"/>
      <c r="FA665" s="29"/>
      <c r="FB665" s="29"/>
      <c r="FC665" s="29"/>
      <c r="FD665" s="29"/>
      <c r="FE665" s="29"/>
      <c r="FF665" s="29"/>
      <c r="FG665" s="29"/>
      <c r="FH665" s="29"/>
      <c r="FI665" s="29"/>
      <c r="FJ665" s="29"/>
      <c r="FK665" s="29"/>
      <c r="FL665" s="29"/>
      <c r="FM665" s="29"/>
      <c r="FN665" s="29"/>
      <c r="FO665" s="29"/>
      <c r="FP665" s="29"/>
      <c r="FQ665" s="29"/>
      <c r="FR665" s="29"/>
      <c r="FS665" s="29"/>
      <c r="FT665" s="29"/>
      <c r="FU665" s="29"/>
      <c r="FV665" s="29"/>
      <c r="FW665" s="29"/>
      <c r="FX665" s="29"/>
      <c r="FY665" s="29"/>
      <c r="FZ665" s="29"/>
      <c r="GA665" s="29"/>
      <c r="GB665" s="29"/>
      <c r="GC665" s="29"/>
      <c r="GD665" s="29"/>
      <c r="GE665" s="29"/>
      <c r="GF665" s="29"/>
      <c r="GG665" s="29"/>
      <c r="GH665" s="29"/>
      <c r="GI665" s="29"/>
      <c r="GJ665" s="29"/>
      <c r="GK665" s="29"/>
      <c r="GL665" s="29"/>
      <c r="GM665" s="29"/>
      <c r="GN665" s="29"/>
      <c r="GO665" s="29"/>
      <c r="GP665" s="29"/>
      <c r="GQ665" s="29"/>
      <c r="GR665" s="29"/>
      <c r="GS665" s="29"/>
      <c r="GT665" s="29"/>
      <c r="GU665" s="29"/>
      <c r="HP665" s="31"/>
      <c r="MX665" s="29"/>
      <c r="MY665" s="29"/>
    </row>
    <row r="666" ht="16.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c r="AY666" s="29"/>
      <c r="AZ666" s="29"/>
      <c r="BA666" s="29"/>
      <c r="BB666" s="29"/>
      <c r="BC666" s="29"/>
      <c r="BD666" s="29"/>
      <c r="BE666" s="29"/>
      <c r="BF666" s="29"/>
      <c r="BG666" s="29"/>
      <c r="BH666" s="29"/>
      <c r="BI666" s="29"/>
      <c r="BJ666" s="29"/>
      <c r="BK666" s="29"/>
      <c r="BL666" s="29"/>
      <c r="BM666" s="29"/>
      <c r="BN666" s="29"/>
      <c r="BO666" s="29"/>
      <c r="BP666" s="29"/>
      <c r="BQ666" s="29"/>
      <c r="BR666" s="29"/>
      <c r="BS666" s="29"/>
      <c r="BT666" s="29"/>
      <c r="BU666" s="29"/>
      <c r="BV666" s="29"/>
      <c r="BW666" s="29"/>
      <c r="BX666" s="29"/>
      <c r="BY666" s="29"/>
      <c r="BZ666" s="29"/>
      <c r="CA666" s="29"/>
      <c r="CB666" s="29"/>
      <c r="CC666" s="29"/>
      <c r="CD666" s="29"/>
      <c r="CE666" s="29"/>
      <c r="CF666" s="29"/>
      <c r="CG666" s="29"/>
      <c r="CH666" s="29"/>
      <c r="CI666" s="29"/>
      <c r="CJ666" s="29"/>
      <c r="CK666" s="29"/>
      <c r="CL666" s="29"/>
      <c r="CM666" s="29"/>
      <c r="CN666" s="29"/>
      <c r="CO666" s="29"/>
      <c r="CP666" s="29"/>
      <c r="CQ666" s="29"/>
      <c r="CR666" s="29"/>
      <c r="CS666" s="29"/>
      <c r="CT666" s="29"/>
      <c r="CU666" s="29"/>
      <c r="CV666" s="29"/>
      <c r="CW666" s="29"/>
      <c r="CX666" s="29"/>
      <c r="CY666" s="29"/>
      <c r="CZ666" s="29"/>
      <c r="DA666" s="29"/>
      <c r="DB666" s="29"/>
      <c r="DC666" s="29"/>
      <c r="DD666" s="29"/>
      <c r="DE666" s="29"/>
      <c r="DF666" s="29"/>
      <c r="DG666" s="29"/>
      <c r="DH666" s="29"/>
      <c r="DI666" s="29"/>
      <c r="DJ666" s="29"/>
      <c r="DK666" s="29"/>
      <c r="DL666" s="29"/>
      <c r="DM666" s="29"/>
      <c r="DN666" s="29"/>
      <c r="DO666" s="29"/>
      <c r="DP666" s="29"/>
      <c r="DQ666" s="29"/>
      <c r="DR666" s="29"/>
      <c r="DS666" s="29"/>
      <c r="DT666" s="29"/>
      <c r="DU666" s="29"/>
      <c r="DV666" s="29"/>
      <c r="DW666" s="29"/>
      <c r="DX666" s="29"/>
      <c r="DY666" s="29"/>
      <c r="DZ666" s="29"/>
      <c r="EA666" s="29"/>
      <c r="EB666" s="29"/>
      <c r="EC666" s="29"/>
      <c r="ED666" s="29"/>
      <c r="EE666" s="29"/>
      <c r="EF666" s="29"/>
      <c r="EG666" s="29"/>
      <c r="EH666" s="29"/>
      <c r="EI666" s="29"/>
      <c r="EJ666" s="29"/>
      <c r="EK666" s="29"/>
      <c r="EL666" s="29"/>
      <c r="EM666" s="29"/>
      <c r="EN666" s="29"/>
      <c r="EO666" s="29"/>
      <c r="EP666" s="29"/>
      <c r="EQ666" s="29"/>
      <c r="ER666" s="29"/>
      <c r="ES666" s="29"/>
      <c r="ET666" s="29"/>
      <c r="EU666" s="29"/>
      <c r="EV666" s="29"/>
      <c r="EW666" s="29"/>
      <c r="EX666" s="29"/>
      <c r="EY666" s="29"/>
      <c r="EZ666" s="29"/>
      <c r="FA666" s="29"/>
      <c r="FB666" s="29"/>
      <c r="FC666" s="29"/>
      <c r="FD666" s="29"/>
      <c r="FE666" s="29"/>
      <c r="FF666" s="29"/>
      <c r="FG666" s="29"/>
      <c r="FH666" s="29"/>
      <c r="FI666" s="29"/>
      <c r="FJ666" s="29"/>
      <c r="FK666" s="29"/>
      <c r="FL666" s="29"/>
      <c r="FM666" s="29"/>
      <c r="FN666" s="29"/>
      <c r="FO666" s="29"/>
      <c r="FP666" s="29"/>
      <c r="FQ666" s="29"/>
      <c r="FR666" s="29"/>
      <c r="FS666" s="29"/>
      <c r="FT666" s="29"/>
      <c r="FU666" s="29"/>
      <c r="FV666" s="29"/>
      <c r="FW666" s="29"/>
      <c r="FX666" s="29"/>
      <c r="FY666" s="29"/>
      <c r="FZ666" s="29"/>
      <c r="GA666" s="29"/>
      <c r="GB666" s="29"/>
      <c r="GC666" s="29"/>
      <c r="GD666" s="29"/>
      <c r="GE666" s="29"/>
      <c r="GF666" s="29"/>
      <c r="GG666" s="29"/>
      <c r="GH666" s="29"/>
      <c r="GI666" s="29"/>
      <c r="GJ666" s="29"/>
      <c r="GK666" s="29"/>
      <c r="GL666" s="29"/>
      <c r="GM666" s="29"/>
      <c r="GN666" s="29"/>
      <c r="GO666" s="29"/>
      <c r="GP666" s="29"/>
      <c r="GQ666" s="29"/>
      <c r="GR666" s="29"/>
      <c r="GS666" s="29"/>
      <c r="GT666" s="29"/>
      <c r="GU666" s="29"/>
      <c r="HP666" s="31"/>
      <c r="MX666" s="29"/>
      <c r="MY666" s="29"/>
    </row>
    <row r="667" ht="16.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c r="BO667" s="29"/>
      <c r="BP667" s="29"/>
      <c r="BQ667" s="29"/>
      <c r="BR667" s="29"/>
      <c r="BS667" s="29"/>
      <c r="BT667" s="29"/>
      <c r="BU667" s="29"/>
      <c r="BV667" s="29"/>
      <c r="BW667" s="29"/>
      <c r="BX667" s="29"/>
      <c r="BY667" s="29"/>
      <c r="BZ667" s="29"/>
      <c r="CA667" s="29"/>
      <c r="CB667" s="29"/>
      <c r="CC667" s="29"/>
      <c r="CD667" s="29"/>
      <c r="CE667" s="29"/>
      <c r="CF667" s="29"/>
      <c r="CG667" s="29"/>
      <c r="CH667" s="29"/>
      <c r="CI667" s="29"/>
      <c r="CJ667" s="29"/>
      <c r="CK667" s="29"/>
      <c r="CL667" s="29"/>
      <c r="CM667" s="29"/>
      <c r="CN667" s="29"/>
      <c r="CO667" s="29"/>
      <c r="CP667" s="29"/>
      <c r="CQ667" s="29"/>
      <c r="CR667" s="29"/>
      <c r="CS667" s="29"/>
      <c r="CT667" s="29"/>
      <c r="CU667" s="29"/>
      <c r="CV667" s="29"/>
      <c r="CW667" s="29"/>
      <c r="CX667" s="29"/>
      <c r="CY667" s="29"/>
      <c r="CZ667" s="29"/>
      <c r="DA667" s="29"/>
      <c r="DB667" s="29"/>
      <c r="DC667" s="29"/>
      <c r="DD667" s="29"/>
      <c r="DE667" s="29"/>
      <c r="DF667" s="29"/>
      <c r="DG667" s="29"/>
      <c r="DH667" s="29"/>
      <c r="DI667" s="29"/>
      <c r="DJ667" s="29"/>
      <c r="DK667" s="29"/>
      <c r="DL667" s="29"/>
      <c r="DM667" s="29"/>
      <c r="DN667" s="29"/>
      <c r="DO667" s="29"/>
      <c r="DP667" s="29"/>
      <c r="DQ667" s="29"/>
      <c r="DR667" s="29"/>
      <c r="DS667" s="29"/>
      <c r="DT667" s="29"/>
      <c r="DU667" s="29"/>
      <c r="DV667" s="29"/>
      <c r="DW667" s="29"/>
      <c r="DX667" s="29"/>
      <c r="DY667" s="29"/>
      <c r="DZ667" s="29"/>
      <c r="EA667" s="29"/>
      <c r="EB667" s="29"/>
      <c r="EC667" s="29"/>
      <c r="ED667" s="29"/>
      <c r="EE667" s="29"/>
      <c r="EF667" s="29"/>
      <c r="EG667" s="29"/>
      <c r="EH667" s="29"/>
      <c r="EI667" s="29"/>
      <c r="EJ667" s="29"/>
      <c r="EK667" s="29"/>
      <c r="EL667" s="29"/>
      <c r="EM667" s="29"/>
      <c r="EN667" s="29"/>
      <c r="EO667" s="29"/>
      <c r="EP667" s="29"/>
      <c r="EQ667" s="29"/>
      <c r="ER667" s="29"/>
      <c r="ES667" s="29"/>
      <c r="ET667" s="29"/>
      <c r="EU667" s="29"/>
      <c r="EV667" s="29"/>
      <c r="EW667" s="29"/>
      <c r="EX667" s="29"/>
      <c r="EY667" s="29"/>
      <c r="EZ667" s="29"/>
      <c r="FA667" s="29"/>
      <c r="FB667" s="29"/>
      <c r="FC667" s="29"/>
      <c r="FD667" s="29"/>
      <c r="FE667" s="29"/>
      <c r="FF667" s="29"/>
      <c r="FG667" s="29"/>
      <c r="FH667" s="29"/>
      <c r="FI667" s="29"/>
      <c r="FJ667" s="29"/>
      <c r="FK667" s="29"/>
      <c r="FL667" s="29"/>
      <c r="FM667" s="29"/>
      <c r="FN667" s="29"/>
      <c r="FO667" s="29"/>
      <c r="FP667" s="29"/>
      <c r="FQ667" s="29"/>
      <c r="FR667" s="29"/>
      <c r="FS667" s="29"/>
      <c r="FT667" s="29"/>
      <c r="FU667" s="29"/>
      <c r="FV667" s="29"/>
      <c r="FW667" s="29"/>
      <c r="FX667" s="29"/>
      <c r="FY667" s="29"/>
      <c r="FZ667" s="29"/>
      <c r="GA667" s="29"/>
      <c r="GB667" s="29"/>
      <c r="GC667" s="29"/>
      <c r="GD667" s="29"/>
      <c r="GE667" s="29"/>
      <c r="GF667" s="29"/>
      <c r="GG667" s="29"/>
      <c r="GH667" s="29"/>
      <c r="GI667" s="29"/>
      <c r="GJ667" s="29"/>
      <c r="GK667" s="29"/>
      <c r="GL667" s="29"/>
      <c r="GM667" s="29"/>
      <c r="GN667" s="29"/>
      <c r="GO667" s="29"/>
      <c r="GP667" s="29"/>
      <c r="GQ667" s="29"/>
      <c r="GR667" s="29"/>
      <c r="GS667" s="29"/>
      <c r="GT667" s="29"/>
      <c r="GU667" s="29"/>
      <c r="HP667" s="31"/>
      <c r="MX667" s="29"/>
      <c r="MY667" s="29"/>
    </row>
    <row r="668" ht="16.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29"/>
      <c r="AY668" s="29"/>
      <c r="AZ668" s="29"/>
      <c r="BA668" s="29"/>
      <c r="BB668" s="29"/>
      <c r="BC668" s="29"/>
      <c r="BD668" s="29"/>
      <c r="BE668" s="29"/>
      <c r="BF668" s="29"/>
      <c r="BG668" s="29"/>
      <c r="BH668" s="29"/>
      <c r="BI668" s="29"/>
      <c r="BJ668" s="29"/>
      <c r="BK668" s="29"/>
      <c r="BL668" s="29"/>
      <c r="BM668" s="29"/>
      <c r="BN668" s="29"/>
      <c r="BO668" s="29"/>
      <c r="BP668" s="29"/>
      <c r="BQ668" s="29"/>
      <c r="BR668" s="29"/>
      <c r="BS668" s="29"/>
      <c r="BT668" s="29"/>
      <c r="BU668" s="29"/>
      <c r="BV668" s="29"/>
      <c r="BW668" s="29"/>
      <c r="BX668" s="29"/>
      <c r="BY668" s="29"/>
      <c r="BZ668" s="29"/>
      <c r="CA668" s="29"/>
      <c r="CB668" s="29"/>
      <c r="CC668" s="29"/>
      <c r="CD668" s="29"/>
      <c r="CE668" s="29"/>
      <c r="CF668" s="29"/>
      <c r="CG668" s="29"/>
      <c r="CH668" s="29"/>
      <c r="CI668" s="29"/>
      <c r="CJ668" s="29"/>
      <c r="CK668" s="29"/>
      <c r="CL668" s="29"/>
      <c r="CM668" s="29"/>
      <c r="CN668" s="29"/>
      <c r="CO668" s="29"/>
      <c r="CP668" s="29"/>
      <c r="CQ668" s="29"/>
      <c r="CR668" s="29"/>
      <c r="CS668" s="29"/>
      <c r="CT668" s="29"/>
      <c r="CU668" s="29"/>
      <c r="CV668" s="29"/>
      <c r="CW668" s="29"/>
      <c r="CX668" s="29"/>
      <c r="CY668" s="29"/>
      <c r="CZ668" s="29"/>
      <c r="DA668" s="29"/>
      <c r="DB668" s="29"/>
      <c r="DC668" s="29"/>
      <c r="DD668" s="29"/>
      <c r="DE668" s="29"/>
      <c r="DF668" s="29"/>
      <c r="DG668" s="29"/>
      <c r="DH668" s="29"/>
      <c r="DI668" s="29"/>
      <c r="DJ668" s="29"/>
      <c r="DK668" s="29"/>
      <c r="DL668" s="29"/>
      <c r="DM668" s="29"/>
      <c r="DN668" s="29"/>
      <c r="DO668" s="29"/>
      <c r="DP668" s="29"/>
      <c r="DQ668" s="29"/>
      <c r="DR668" s="29"/>
      <c r="DS668" s="29"/>
      <c r="DT668" s="29"/>
      <c r="DU668" s="29"/>
      <c r="DV668" s="29"/>
      <c r="DW668" s="29"/>
      <c r="DX668" s="29"/>
      <c r="DY668" s="29"/>
      <c r="DZ668" s="29"/>
      <c r="EA668" s="29"/>
      <c r="EB668" s="29"/>
      <c r="EC668" s="29"/>
      <c r="ED668" s="29"/>
      <c r="EE668" s="29"/>
      <c r="EF668" s="29"/>
      <c r="EG668" s="29"/>
      <c r="EH668" s="29"/>
      <c r="EI668" s="29"/>
      <c r="EJ668" s="29"/>
      <c r="EK668" s="29"/>
      <c r="EL668" s="29"/>
      <c r="EM668" s="29"/>
      <c r="EN668" s="29"/>
      <c r="EO668" s="29"/>
      <c r="EP668" s="29"/>
      <c r="EQ668" s="29"/>
      <c r="ER668" s="29"/>
      <c r="ES668" s="29"/>
      <c r="ET668" s="29"/>
      <c r="EU668" s="29"/>
      <c r="EV668" s="29"/>
      <c r="EW668" s="29"/>
      <c r="EX668" s="29"/>
      <c r="EY668" s="29"/>
      <c r="EZ668" s="29"/>
      <c r="FA668" s="29"/>
      <c r="FB668" s="29"/>
      <c r="FC668" s="29"/>
      <c r="FD668" s="29"/>
      <c r="FE668" s="29"/>
      <c r="FF668" s="29"/>
      <c r="FG668" s="29"/>
      <c r="FH668" s="29"/>
      <c r="FI668" s="29"/>
      <c r="FJ668" s="29"/>
      <c r="FK668" s="29"/>
      <c r="FL668" s="29"/>
      <c r="FM668" s="29"/>
      <c r="FN668" s="29"/>
      <c r="FO668" s="29"/>
      <c r="FP668" s="29"/>
      <c r="FQ668" s="29"/>
      <c r="FR668" s="29"/>
      <c r="FS668" s="29"/>
      <c r="FT668" s="29"/>
      <c r="FU668" s="29"/>
      <c r="FV668" s="29"/>
      <c r="FW668" s="29"/>
      <c r="FX668" s="29"/>
      <c r="FY668" s="29"/>
      <c r="FZ668" s="29"/>
      <c r="GA668" s="29"/>
      <c r="GB668" s="29"/>
      <c r="GC668" s="29"/>
      <c r="GD668" s="29"/>
      <c r="GE668" s="29"/>
      <c r="GF668" s="29"/>
      <c r="GG668" s="29"/>
      <c r="GH668" s="29"/>
      <c r="GI668" s="29"/>
      <c r="GJ668" s="29"/>
      <c r="GK668" s="29"/>
      <c r="GL668" s="29"/>
      <c r="GM668" s="29"/>
      <c r="GN668" s="29"/>
      <c r="GO668" s="29"/>
      <c r="GP668" s="29"/>
      <c r="GQ668" s="29"/>
      <c r="GR668" s="29"/>
      <c r="GS668" s="29"/>
      <c r="GT668" s="29"/>
      <c r="GU668" s="29"/>
      <c r="HP668" s="31"/>
      <c r="MX668" s="29"/>
      <c r="MY668" s="29"/>
    </row>
    <row r="669" ht="16.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c r="BO669" s="29"/>
      <c r="BP669" s="29"/>
      <c r="BQ669" s="29"/>
      <c r="BR669" s="29"/>
      <c r="BS669" s="29"/>
      <c r="BT669" s="29"/>
      <c r="BU669" s="29"/>
      <c r="BV669" s="29"/>
      <c r="BW669" s="29"/>
      <c r="BX669" s="29"/>
      <c r="BY669" s="29"/>
      <c r="BZ669" s="29"/>
      <c r="CA669" s="29"/>
      <c r="CB669" s="29"/>
      <c r="CC669" s="29"/>
      <c r="CD669" s="29"/>
      <c r="CE669" s="29"/>
      <c r="CF669" s="29"/>
      <c r="CG669" s="29"/>
      <c r="CH669" s="29"/>
      <c r="CI669" s="29"/>
      <c r="CJ669" s="29"/>
      <c r="CK669" s="29"/>
      <c r="CL669" s="29"/>
      <c r="CM669" s="29"/>
      <c r="CN669" s="29"/>
      <c r="CO669" s="29"/>
      <c r="CP669" s="29"/>
      <c r="CQ669" s="29"/>
      <c r="CR669" s="29"/>
      <c r="CS669" s="29"/>
      <c r="CT669" s="29"/>
      <c r="CU669" s="29"/>
      <c r="CV669" s="29"/>
      <c r="CW669" s="29"/>
      <c r="CX669" s="29"/>
      <c r="CY669" s="29"/>
      <c r="CZ669" s="29"/>
      <c r="DA669" s="29"/>
      <c r="DB669" s="29"/>
      <c r="DC669" s="29"/>
      <c r="DD669" s="29"/>
      <c r="DE669" s="29"/>
      <c r="DF669" s="29"/>
      <c r="DG669" s="29"/>
      <c r="DH669" s="29"/>
      <c r="DI669" s="29"/>
      <c r="DJ669" s="29"/>
      <c r="DK669" s="29"/>
      <c r="DL669" s="29"/>
      <c r="DM669" s="29"/>
      <c r="DN669" s="29"/>
      <c r="DO669" s="29"/>
      <c r="DP669" s="29"/>
      <c r="DQ669" s="29"/>
      <c r="DR669" s="29"/>
      <c r="DS669" s="29"/>
      <c r="DT669" s="29"/>
      <c r="DU669" s="29"/>
      <c r="DV669" s="29"/>
      <c r="DW669" s="29"/>
      <c r="DX669" s="29"/>
      <c r="DY669" s="29"/>
      <c r="DZ669" s="29"/>
      <c r="EA669" s="29"/>
      <c r="EB669" s="29"/>
      <c r="EC669" s="29"/>
      <c r="ED669" s="29"/>
      <c r="EE669" s="29"/>
      <c r="EF669" s="29"/>
      <c r="EG669" s="29"/>
      <c r="EH669" s="29"/>
      <c r="EI669" s="29"/>
      <c r="EJ669" s="29"/>
      <c r="EK669" s="29"/>
      <c r="EL669" s="29"/>
      <c r="EM669" s="29"/>
      <c r="EN669" s="29"/>
      <c r="EO669" s="29"/>
      <c r="EP669" s="29"/>
      <c r="EQ669" s="29"/>
      <c r="ER669" s="29"/>
      <c r="ES669" s="29"/>
      <c r="ET669" s="29"/>
      <c r="EU669" s="29"/>
      <c r="EV669" s="29"/>
      <c r="EW669" s="29"/>
      <c r="EX669" s="29"/>
      <c r="EY669" s="29"/>
      <c r="EZ669" s="29"/>
      <c r="FA669" s="29"/>
      <c r="FB669" s="29"/>
      <c r="FC669" s="29"/>
      <c r="FD669" s="29"/>
      <c r="FE669" s="29"/>
      <c r="FF669" s="29"/>
      <c r="FG669" s="29"/>
      <c r="FH669" s="29"/>
      <c r="FI669" s="29"/>
      <c r="FJ669" s="29"/>
      <c r="FK669" s="29"/>
      <c r="FL669" s="29"/>
      <c r="FM669" s="29"/>
      <c r="FN669" s="29"/>
      <c r="FO669" s="29"/>
      <c r="FP669" s="29"/>
      <c r="FQ669" s="29"/>
      <c r="FR669" s="29"/>
      <c r="FS669" s="29"/>
      <c r="FT669" s="29"/>
      <c r="FU669" s="29"/>
      <c r="FV669" s="29"/>
      <c r="FW669" s="29"/>
      <c r="FX669" s="29"/>
      <c r="FY669" s="29"/>
      <c r="FZ669" s="29"/>
      <c r="GA669" s="29"/>
      <c r="GB669" s="29"/>
      <c r="GC669" s="29"/>
      <c r="GD669" s="29"/>
      <c r="GE669" s="29"/>
      <c r="GF669" s="29"/>
      <c r="GG669" s="29"/>
      <c r="GH669" s="29"/>
      <c r="GI669" s="29"/>
      <c r="GJ669" s="29"/>
      <c r="GK669" s="29"/>
      <c r="GL669" s="29"/>
      <c r="GM669" s="29"/>
      <c r="GN669" s="29"/>
      <c r="GO669" s="29"/>
      <c r="GP669" s="29"/>
      <c r="GQ669" s="29"/>
      <c r="GR669" s="29"/>
      <c r="GS669" s="29"/>
      <c r="GT669" s="29"/>
      <c r="GU669" s="29"/>
      <c r="HP669" s="31"/>
      <c r="MX669" s="29"/>
      <c r="MY669" s="29"/>
    </row>
    <row r="670" ht="16.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29"/>
      <c r="AY670" s="29"/>
      <c r="AZ670" s="29"/>
      <c r="BA670" s="29"/>
      <c r="BB670" s="29"/>
      <c r="BC670" s="29"/>
      <c r="BD670" s="29"/>
      <c r="BE670" s="29"/>
      <c r="BF670" s="29"/>
      <c r="BG670" s="29"/>
      <c r="BH670" s="29"/>
      <c r="BI670" s="29"/>
      <c r="BJ670" s="29"/>
      <c r="BK670" s="29"/>
      <c r="BL670" s="29"/>
      <c r="BM670" s="29"/>
      <c r="BN670" s="29"/>
      <c r="BO670" s="29"/>
      <c r="BP670" s="29"/>
      <c r="BQ670" s="29"/>
      <c r="BR670" s="29"/>
      <c r="BS670" s="29"/>
      <c r="BT670" s="29"/>
      <c r="BU670" s="29"/>
      <c r="BV670" s="29"/>
      <c r="BW670" s="29"/>
      <c r="BX670" s="29"/>
      <c r="BY670" s="29"/>
      <c r="BZ670" s="29"/>
      <c r="CA670" s="29"/>
      <c r="CB670" s="29"/>
      <c r="CC670" s="29"/>
      <c r="CD670" s="29"/>
      <c r="CE670" s="29"/>
      <c r="CF670" s="29"/>
      <c r="CG670" s="29"/>
      <c r="CH670" s="29"/>
      <c r="CI670" s="29"/>
      <c r="CJ670" s="29"/>
      <c r="CK670" s="29"/>
      <c r="CL670" s="29"/>
      <c r="CM670" s="29"/>
      <c r="CN670" s="29"/>
      <c r="CO670" s="29"/>
      <c r="CP670" s="29"/>
      <c r="CQ670" s="29"/>
      <c r="CR670" s="29"/>
      <c r="CS670" s="29"/>
      <c r="CT670" s="29"/>
      <c r="CU670" s="29"/>
      <c r="CV670" s="29"/>
      <c r="CW670" s="29"/>
      <c r="CX670" s="29"/>
      <c r="CY670" s="29"/>
      <c r="CZ670" s="29"/>
      <c r="DA670" s="29"/>
      <c r="DB670" s="29"/>
      <c r="DC670" s="29"/>
      <c r="DD670" s="29"/>
      <c r="DE670" s="29"/>
      <c r="DF670" s="29"/>
      <c r="DG670" s="29"/>
      <c r="DH670" s="29"/>
      <c r="DI670" s="29"/>
      <c r="DJ670" s="29"/>
      <c r="DK670" s="29"/>
      <c r="DL670" s="29"/>
      <c r="DM670" s="29"/>
      <c r="DN670" s="29"/>
      <c r="DO670" s="29"/>
      <c r="DP670" s="29"/>
      <c r="DQ670" s="29"/>
      <c r="DR670" s="29"/>
      <c r="DS670" s="29"/>
      <c r="DT670" s="29"/>
      <c r="DU670" s="29"/>
      <c r="DV670" s="29"/>
      <c r="DW670" s="29"/>
      <c r="DX670" s="29"/>
      <c r="DY670" s="29"/>
      <c r="DZ670" s="29"/>
      <c r="EA670" s="29"/>
      <c r="EB670" s="29"/>
      <c r="EC670" s="29"/>
      <c r="ED670" s="29"/>
      <c r="EE670" s="29"/>
      <c r="EF670" s="29"/>
      <c r="EG670" s="29"/>
      <c r="EH670" s="29"/>
      <c r="EI670" s="29"/>
      <c r="EJ670" s="29"/>
      <c r="EK670" s="29"/>
      <c r="EL670" s="29"/>
      <c r="EM670" s="29"/>
      <c r="EN670" s="29"/>
      <c r="EO670" s="29"/>
      <c r="EP670" s="29"/>
      <c r="EQ670" s="29"/>
      <c r="ER670" s="29"/>
      <c r="ES670" s="29"/>
      <c r="ET670" s="29"/>
      <c r="EU670" s="29"/>
      <c r="EV670" s="29"/>
      <c r="EW670" s="29"/>
      <c r="EX670" s="29"/>
      <c r="EY670" s="29"/>
      <c r="EZ670" s="29"/>
      <c r="FA670" s="29"/>
      <c r="FB670" s="29"/>
      <c r="FC670" s="29"/>
      <c r="FD670" s="29"/>
      <c r="FE670" s="29"/>
      <c r="FF670" s="29"/>
      <c r="FG670" s="29"/>
      <c r="FH670" s="29"/>
      <c r="FI670" s="29"/>
      <c r="FJ670" s="29"/>
      <c r="FK670" s="29"/>
      <c r="FL670" s="29"/>
      <c r="FM670" s="29"/>
      <c r="FN670" s="29"/>
      <c r="FO670" s="29"/>
      <c r="FP670" s="29"/>
      <c r="FQ670" s="29"/>
      <c r="FR670" s="29"/>
      <c r="FS670" s="29"/>
      <c r="FT670" s="29"/>
      <c r="FU670" s="29"/>
      <c r="FV670" s="29"/>
      <c r="FW670" s="29"/>
      <c r="FX670" s="29"/>
      <c r="FY670" s="29"/>
      <c r="FZ670" s="29"/>
      <c r="GA670" s="29"/>
      <c r="GB670" s="29"/>
      <c r="GC670" s="29"/>
      <c r="GD670" s="29"/>
      <c r="GE670" s="29"/>
      <c r="GF670" s="29"/>
      <c r="GG670" s="29"/>
      <c r="GH670" s="29"/>
      <c r="GI670" s="29"/>
      <c r="GJ670" s="29"/>
      <c r="GK670" s="29"/>
      <c r="GL670" s="29"/>
      <c r="GM670" s="29"/>
      <c r="GN670" s="29"/>
      <c r="GO670" s="29"/>
      <c r="GP670" s="29"/>
      <c r="GQ670" s="29"/>
      <c r="GR670" s="29"/>
      <c r="GS670" s="29"/>
      <c r="GT670" s="29"/>
      <c r="GU670" s="29"/>
      <c r="HP670" s="31"/>
      <c r="MX670" s="29"/>
      <c r="MY670" s="29"/>
    </row>
    <row r="671" ht="16.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c r="BO671" s="29"/>
      <c r="BP671" s="29"/>
      <c r="BQ671" s="29"/>
      <c r="BR671" s="29"/>
      <c r="BS671" s="29"/>
      <c r="BT671" s="29"/>
      <c r="BU671" s="29"/>
      <c r="BV671" s="29"/>
      <c r="BW671" s="29"/>
      <c r="BX671" s="29"/>
      <c r="BY671" s="29"/>
      <c r="BZ671" s="29"/>
      <c r="CA671" s="29"/>
      <c r="CB671" s="29"/>
      <c r="CC671" s="29"/>
      <c r="CD671" s="29"/>
      <c r="CE671" s="29"/>
      <c r="CF671" s="29"/>
      <c r="CG671" s="29"/>
      <c r="CH671" s="29"/>
      <c r="CI671" s="29"/>
      <c r="CJ671" s="29"/>
      <c r="CK671" s="29"/>
      <c r="CL671" s="29"/>
      <c r="CM671" s="29"/>
      <c r="CN671" s="29"/>
      <c r="CO671" s="29"/>
      <c r="CP671" s="29"/>
      <c r="CQ671" s="29"/>
      <c r="CR671" s="29"/>
      <c r="CS671" s="29"/>
      <c r="CT671" s="29"/>
      <c r="CU671" s="29"/>
      <c r="CV671" s="29"/>
      <c r="CW671" s="29"/>
      <c r="CX671" s="29"/>
      <c r="CY671" s="29"/>
      <c r="CZ671" s="29"/>
      <c r="DA671" s="29"/>
      <c r="DB671" s="29"/>
      <c r="DC671" s="29"/>
      <c r="DD671" s="29"/>
      <c r="DE671" s="29"/>
      <c r="DF671" s="29"/>
      <c r="DG671" s="29"/>
      <c r="DH671" s="29"/>
      <c r="DI671" s="29"/>
      <c r="DJ671" s="29"/>
      <c r="DK671" s="29"/>
      <c r="DL671" s="29"/>
      <c r="DM671" s="29"/>
      <c r="DN671" s="29"/>
      <c r="DO671" s="29"/>
      <c r="DP671" s="29"/>
      <c r="DQ671" s="29"/>
      <c r="DR671" s="29"/>
      <c r="DS671" s="29"/>
      <c r="DT671" s="29"/>
      <c r="DU671" s="29"/>
      <c r="DV671" s="29"/>
      <c r="DW671" s="29"/>
      <c r="DX671" s="29"/>
      <c r="DY671" s="29"/>
      <c r="DZ671" s="29"/>
      <c r="EA671" s="29"/>
      <c r="EB671" s="29"/>
      <c r="EC671" s="29"/>
      <c r="ED671" s="29"/>
      <c r="EE671" s="29"/>
      <c r="EF671" s="29"/>
      <c r="EG671" s="29"/>
      <c r="EH671" s="29"/>
      <c r="EI671" s="29"/>
      <c r="EJ671" s="29"/>
      <c r="EK671" s="29"/>
      <c r="EL671" s="29"/>
      <c r="EM671" s="29"/>
      <c r="EN671" s="29"/>
      <c r="EO671" s="29"/>
      <c r="EP671" s="29"/>
      <c r="EQ671" s="29"/>
      <c r="ER671" s="29"/>
      <c r="ES671" s="29"/>
      <c r="ET671" s="29"/>
      <c r="EU671" s="29"/>
      <c r="EV671" s="29"/>
      <c r="EW671" s="29"/>
      <c r="EX671" s="29"/>
      <c r="EY671" s="29"/>
      <c r="EZ671" s="29"/>
      <c r="FA671" s="29"/>
      <c r="FB671" s="29"/>
      <c r="FC671" s="29"/>
      <c r="FD671" s="29"/>
      <c r="FE671" s="29"/>
      <c r="FF671" s="29"/>
      <c r="FG671" s="29"/>
      <c r="FH671" s="29"/>
      <c r="FI671" s="29"/>
      <c r="FJ671" s="29"/>
      <c r="FK671" s="29"/>
      <c r="FL671" s="29"/>
      <c r="FM671" s="29"/>
      <c r="FN671" s="29"/>
      <c r="FO671" s="29"/>
      <c r="FP671" s="29"/>
      <c r="FQ671" s="29"/>
      <c r="FR671" s="29"/>
      <c r="FS671" s="29"/>
      <c r="FT671" s="29"/>
      <c r="FU671" s="29"/>
      <c r="FV671" s="29"/>
      <c r="FW671" s="29"/>
      <c r="FX671" s="29"/>
      <c r="FY671" s="29"/>
      <c r="FZ671" s="29"/>
      <c r="GA671" s="29"/>
      <c r="GB671" s="29"/>
      <c r="GC671" s="29"/>
      <c r="GD671" s="29"/>
      <c r="GE671" s="29"/>
      <c r="GF671" s="29"/>
      <c r="GG671" s="29"/>
      <c r="GH671" s="29"/>
      <c r="GI671" s="29"/>
      <c r="GJ671" s="29"/>
      <c r="GK671" s="29"/>
      <c r="GL671" s="29"/>
      <c r="GM671" s="29"/>
      <c r="GN671" s="29"/>
      <c r="GO671" s="29"/>
      <c r="GP671" s="29"/>
      <c r="GQ671" s="29"/>
      <c r="GR671" s="29"/>
      <c r="GS671" s="29"/>
      <c r="GT671" s="29"/>
      <c r="GU671" s="29"/>
      <c r="HP671" s="31"/>
      <c r="MX671" s="29"/>
      <c r="MY671" s="29"/>
    </row>
    <row r="672" ht="16.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29"/>
      <c r="AY672" s="29"/>
      <c r="AZ672" s="29"/>
      <c r="BA672" s="29"/>
      <c r="BB672" s="29"/>
      <c r="BC672" s="29"/>
      <c r="BD672" s="29"/>
      <c r="BE672" s="29"/>
      <c r="BF672" s="29"/>
      <c r="BG672" s="29"/>
      <c r="BH672" s="29"/>
      <c r="BI672" s="29"/>
      <c r="BJ672" s="29"/>
      <c r="BK672" s="29"/>
      <c r="BL672" s="29"/>
      <c r="BM672" s="29"/>
      <c r="BN672" s="29"/>
      <c r="BO672" s="29"/>
      <c r="BP672" s="29"/>
      <c r="BQ672" s="29"/>
      <c r="BR672" s="29"/>
      <c r="BS672" s="29"/>
      <c r="BT672" s="29"/>
      <c r="BU672" s="29"/>
      <c r="BV672" s="29"/>
      <c r="BW672" s="29"/>
      <c r="BX672" s="29"/>
      <c r="BY672" s="29"/>
      <c r="BZ672" s="29"/>
      <c r="CA672" s="29"/>
      <c r="CB672" s="29"/>
      <c r="CC672" s="29"/>
      <c r="CD672" s="29"/>
      <c r="CE672" s="29"/>
      <c r="CF672" s="29"/>
      <c r="CG672" s="29"/>
      <c r="CH672" s="29"/>
      <c r="CI672" s="29"/>
      <c r="CJ672" s="29"/>
      <c r="CK672" s="29"/>
      <c r="CL672" s="29"/>
      <c r="CM672" s="29"/>
      <c r="CN672" s="29"/>
      <c r="CO672" s="29"/>
      <c r="CP672" s="29"/>
      <c r="CQ672" s="29"/>
      <c r="CR672" s="29"/>
      <c r="CS672" s="29"/>
      <c r="CT672" s="29"/>
      <c r="CU672" s="29"/>
      <c r="CV672" s="29"/>
      <c r="CW672" s="29"/>
      <c r="CX672" s="29"/>
      <c r="CY672" s="29"/>
      <c r="CZ672" s="29"/>
      <c r="DA672" s="29"/>
      <c r="DB672" s="29"/>
      <c r="DC672" s="29"/>
      <c r="DD672" s="29"/>
      <c r="DE672" s="29"/>
      <c r="DF672" s="29"/>
      <c r="DG672" s="29"/>
      <c r="DH672" s="29"/>
      <c r="DI672" s="29"/>
      <c r="DJ672" s="29"/>
      <c r="DK672" s="29"/>
      <c r="DL672" s="29"/>
      <c r="DM672" s="29"/>
      <c r="DN672" s="29"/>
      <c r="DO672" s="29"/>
      <c r="DP672" s="29"/>
      <c r="DQ672" s="29"/>
      <c r="DR672" s="29"/>
      <c r="DS672" s="29"/>
      <c r="DT672" s="29"/>
      <c r="DU672" s="29"/>
      <c r="DV672" s="29"/>
      <c r="DW672" s="29"/>
      <c r="DX672" s="29"/>
      <c r="DY672" s="29"/>
      <c r="DZ672" s="29"/>
      <c r="EA672" s="29"/>
      <c r="EB672" s="29"/>
      <c r="EC672" s="29"/>
      <c r="ED672" s="29"/>
      <c r="EE672" s="29"/>
      <c r="EF672" s="29"/>
      <c r="EG672" s="29"/>
      <c r="EH672" s="29"/>
      <c r="EI672" s="29"/>
      <c r="EJ672" s="29"/>
      <c r="EK672" s="29"/>
      <c r="EL672" s="29"/>
      <c r="EM672" s="29"/>
      <c r="EN672" s="29"/>
      <c r="EO672" s="29"/>
      <c r="EP672" s="29"/>
      <c r="EQ672" s="29"/>
      <c r="ER672" s="29"/>
      <c r="ES672" s="29"/>
      <c r="ET672" s="29"/>
      <c r="EU672" s="29"/>
      <c r="EV672" s="29"/>
      <c r="EW672" s="29"/>
      <c r="EX672" s="29"/>
      <c r="EY672" s="29"/>
      <c r="EZ672" s="29"/>
      <c r="FA672" s="29"/>
      <c r="FB672" s="29"/>
      <c r="FC672" s="29"/>
      <c r="FD672" s="29"/>
      <c r="FE672" s="29"/>
      <c r="FF672" s="29"/>
      <c r="FG672" s="29"/>
      <c r="FH672" s="29"/>
      <c r="FI672" s="29"/>
      <c r="FJ672" s="29"/>
      <c r="FK672" s="29"/>
      <c r="FL672" s="29"/>
      <c r="FM672" s="29"/>
      <c r="FN672" s="29"/>
      <c r="FO672" s="29"/>
      <c r="FP672" s="29"/>
      <c r="FQ672" s="29"/>
      <c r="FR672" s="29"/>
      <c r="FS672" s="29"/>
      <c r="FT672" s="29"/>
      <c r="FU672" s="29"/>
      <c r="FV672" s="29"/>
      <c r="FW672" s="29"/>
      <c r="FX672" s="29"/>
      <c r="FY672" s="29"/>
      <c r="FZ672" s="29"/>
      <c r="GA672" s="29"/>
      <c r="GB672" s="29"/>
      <c r="GC672" s="29"/>
      <c r="GD672" s="29"/>
      <c r="GE672" s="29"/>
      <c r="GF672" s="29"/>
      <c r="GG672" s="29"/>
      <c r="GH672" s="29"/>
      <c r="GI672" s="29"/>
      <c r="GJ672" s="29"/>
      <c r="GK672" s="29"/>
      <c r="GL672" s="29"/>
      <c r="GM672" s="29"/>
      <c r="GN672" s="29"/>
      <c r="GO672" s="29"/>
      <c r="GP672" s="29"/>
      <c r="GQ672" s="29"/>
      <c r="GR672" s="29"/>
      <c r="GS672" s="29"/>
      <c r="GT672" s="29"/>
      <c r="GU672" s="29"/>
      <c r="HP672" s="31"/>
      <c r="MX672" s="29"/>
      <c r="MY672" s="29"/>
    </row>
    <row r="673" ht="16.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c r="BO673" s="29"/>
      <c r="BP673" s="29"/>
      <c r="BQ673" s="29"/>
      <c r="BR673" s="29"/>
      <c r="BS673" s="29"/>
      <c r="BT673" s="29"/>
      <c r="BU673" s="29"/>
      <c r="BV673" s="29"/>
      <c r="BW673" s="29"/>
      <c r="BX673" s="29"/>
      <c r="BY673" s="29"/>
      <c r="BZ673" s="29"/>
      <c r="CA673" s="29"/>
      <c r="CB673" s="29"/>
      <c r="CC673" s="29"/>
      <c r="CD673" s="29"/>
      <c r="CE673" s="29"/>
      <c r="CF673" s="29"/>
      <c r="CG673" s="29"/>
      <c r="CH673" s="29"/>
      <c r="CI673" s="29"/>
      <c r="CJ673" s="29"/>
      <c r="CK673" s="29"/>
      <c r="CL673" s="29"/>
      <c r="CM673" s="29"/>
      <c r="CN673" s="29"/>
      <c r="CO673" s="29"/>
      <c r="CP673" s="29"/>
      <c r="CQ673" s="29"/>
      <c r="CR673" s="29"/>
      <c r="CS673" s="29"/>
      <c r="CT673" s="29"/>
      <c r="CU673" s="29"/>
      <c r="CV673" s="29"/>
      <c r="CW673" s="29"/>
      <c r="CX673" s="29"/>
      <c r="CY673" s="29"/>
      <c r="CZ673" s="29"/>
      <c r="DA673" s="29"/>
      <c r="DB673" s="29"/>
      <c r="DC673" s="29"/>
      <c r="DD673" s="29"/>
      <c r="DE673" s="29"/>
      <c r="DF673" s="29"/>
      <c r="DG673" s="29"/>
      <c r="DH673" s="29"/>
      <c r="DI673" s="29"/>
      <c r="DJ673" s="29"/>
      <c r="DK673" s="29"/>
      <c r="DL673" s="29"/>
      <c r="DM673" s="29"/>
      <c r="DN673" s="29"/>
      <c r="DO673" s="29"/>
      <c r="DP673" s="29"/>
      <c r="DQ673" s="29"/>
      <c r="DR673" s="29"/>
      <c r="DS673" s="29"/>
      <c r="DT673" s="29"/>
      <c r="DU673" s="29"/>
      <c r="DV673" s="29"/>
      <c r="DW673" s="29"/>
      <c r="DX673" s="29"/>
      <c r="DY673" s="29"/>
      <c r="DZ673" s="29"/>
      <c r="EA673" s="29"/>
      <c r="EB673" s="29"/>
      <c r="EC673" s="29"/>
      <c r="ED673" s="29"/>
      <c r="EE673" s="29"/>
      <c r="EF673" s="29"/>
      <c r="EG673" s="29"/>
      <c r="EH673" s="29"/>
      <c r="EI673" s="29"/>
      <c r="EJ673" s="29"/>
      <c r="EK673" s="29"/>
      <c r="EL673" s="29"/>
      <c r="EM673" s="29"/>
      <c r="EN673" s="29"/>
      <c r="EO673" s="29"/>
      <c r="EP673" s="29"/>
      <c r="EQ673" s="29"/>
      <c r="ER673" s="29"/>
      <c r="ES673" s="29"/>
      <c r="ET673" s="29"/>
      <c r="EU673" s="29"/>
      <c r="EV673" s="29"/>
      <c r="EW673" s="29"/>
      <c r="EX673" s="29"/>
      <c r="EY673" s="29"/>
      <c r="EZ673" s="29"/>
      <c r="FA673" s="29"/>
      <c r="FB673" s="29"/>
      <c r="FC673" s="29"/>
      <c r="FD673" s="29"/>
      <c r="FE673" s="29"/>
      <c r="FF673" s="29"/>
      <c r="FG673" s="29"/>
      <c r="FH673" s="29"/>
      <c r="FI673" s="29"/>
      <c r="FJ673" s="29"/>
      <c r="FK673" s="29"/>
      <c r="FL673" s="29"/>
      <c r="FM673" s="29"/>
      <c r="FN673" s="29"/>
      <c r="FO673" s="29"/>
      <c r="FP673" s="29"/>
      <c r="FQ673" s="29"/>
      <c r="FR673" s="29"/>
      <c r="FS673" s="29"/>
      <c r="FT673" s="29"/>
      <c r="FU673" s="29"/>
      <c r="FV673" s="29"/>
      <c r="FW673" s="29"/>
      <c r="FX673" s="29"/>
      <c r="FY673" s="29"/>
      <c r="FZ673" s="29"/>
      <c r="GA673" s="29"/>
      <c r="GB673" s="29"/>
      <c r="GC673" s="29"/>
      <c r="GD673" s="29"/>
      <c r="GE673" s="29"/>
      <c r="GF673" s="29"/>
      <c r="GG673" s="29"/>
      <c r="GH673" s="29"/>
      <c r="GI673" s="29"/>
      <c r="GJ673" s="29"/>
      <c r="GK673" s="29"/>
      <c r="GL673" s="29"/>
      <c r="GM673" s="29"/>
      <c r="GN673" s="29"/>
      <c r="GO673" s="29"/>
      <c r="GP673" s="29"/>
      <c r="GQ673" s="29"/>
      <c r="GR673" s="29"/>
      <c r="GS673" s="29"/>
      <c r="GT673" s="29"/>
      <c r="GU673" s="29"/>
      <c r="HP673" s="31"/>
      <c r="MX673" s="29"/>
      <c r="MY673" s="29"/>
    </row>
    <row r="674" ht="16.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29"/>
      <c r="AY674" s="29"/>
      <c r="AZ674" s="29"/>
      <c r="BA674" s="29"/>
      <c r="BB674" s="29"/>
      <c r="BC674" s="29"/>
      <c r="BD674" s="29"/>
      <c r="BE674" s="29"/>
      <c r="BF674" s="29"/>
      <c r="BG674" s="29"/>
      <c r="BH674" s="29"/>
      <c r="BI674" s="29"/>
      <c r="BJ674" s="29"/>
      <c r="BK674" s="29"/>
      <c r="BL674" s="29"/>
      <c r="BM674" s="29"/>
      <c r="BN674" s="29"/>
      <c r="BO674" s="29"/>
      <c r="BP674" s="29"/>
      <c r="BQ674" s="29"/>
      <c r="BR674" s="29"/>
      <c r="BS674" s="29"/>
      <c r="BT674" s="29"/>
      <c r="BU674" s="29"/>
      <c r="BV674" s="29"/>
      <c r="BW674" s="29"/>
      <c r="BX674" s="29"/>
      <c r="BY674" s="29"/>
      <c r="BZ674" s="29"/>
      <c r="CA674" s="29"/>
      <c r="CB674" s="29"/>
      <c r="CC674" s="29"/>
      <c r="CD674" s="29"/>
      <c r="CE674" s="29"/>
      <c r="CF674" s="29"/>
      <c r="CG674" s="29"/>
      <c r="CH674" s="29"/>
      <c r="CI674" s="29"/>
      <c r="CJ674" s="29"/>
      <c r="CK674" s="29"/>
      <c r="CL674" s="29"/>
      <c r="CM674" s="29"/>
      <c r="CN674" s="29"/>
      <c r="CO674" s="29"/>
      <c r="CP674" s="29"/>
      <c r="CQ674" s="29"/>
      <c r="CR674" s="29"/>
      <c r="CS674" s="29"/>
      <c r="CT674" s="29"/>
      <c r="CU674" s="29"/>
      <c r="CV674" s="29"/>
      <c r="CW674" s="29"/>
      <c r="CX674" s="29"/>
      <c r="CY674" s="29"/>
      <c r="CZ674" s="29"/>
      <c r="DA674" s="29"/>
      <c r="DB674" s="29"/>
      <c r="DC674" s="29"/>
      <c r="DD674" s="29"/>
      <c r="DE674" s="29"/>
      <c r="DF674" s="29"/>
      <c r="DG674" s="29"/>
      <c r="DH674" s="29"/>
      <c r="DI674" s="29"/>
      <c r="DJ674" s="29"/>
      <c r="DK674" s="29"/>
      <c r="DL674" s="29"/>
      <c r="DM674" s="29"/>
      <c r="DN674" s="29"/>
      <c r="DO674" s="29"/>
      <c r="DP674" s="29"/>
      <c r="DQ674" s="29"/>
      <c r="DR674" s="29"/>
      <c r="DS674" s="29"/>
      <c r="DT674" s="29"/>
      <c r="DU674" s="29"/>
      <c r="DV674" s="29"/>
      <c r="DW674" s="29"/>
      <c r="DX674" s="29"/>
      <c r="DY674" s="29"/>
      <c r="DZ674" s="29"/>
      <c r="EA674" s="29"/>
      <c r="EB674" s="29"/>
      <c r="EC674" s="29"/>
      <c r="ED674" s="29"/>
      <c r="EE674" s="29"/>
      <c r="EF674" s="29"/>
      <c r="EG674" s="29"/>
      <c r="EH674" s="29"/>
      <c r="EI674" s="29"/>
      <c r="EJ674" s="29"/>
      <c r="EK674" s="29"/>
      <c r="EL674" s="29"/>
      <c r="EM674" s="29"/>
      <c r="EN674" s="29"/>
      <c r="EO674" s="29"/>
      <c r="EP674" s="29"/>
      <c r="EQ674" s="29"/>
      <c r="ER674" s="29"/>
      <c r="ES674" s="29"/>
      <c r="ET674" s="29"/>
      <c r="EU674" s="29"/>
      <c r="EV674" s="29"/>
      <c r="EW674" s="29"/>
      <c r="EX674" s="29"/>
      <c r="EY674" s="29"/>
      <c r="EZ674" s="29"/>
      <c r="FA674" s="29"/>
      <c r="FB674" s="29"/>
      <c r="FC674" s="29"/>
      <c r="FD674" s="29"/>
      <c r="FE674" s="29"/>
      <c r="FF674" s="29"/>
      <c r="FG674" s="29"/>
      <c r="FH674" s="29"/>
      <c r="FI674" s="29"/>
      <c r="FJ674" s="29"/>
      <c r="FK674" s="29"/>
      <c r="FL674" s="29"/>
      <c r="FM674" s="29"/>
      <c r="FN674" s="29"/>
      <c r="FO674" s="29"/>
      <c r="FP674" s="29"/>
      <c r="FQ674" s="29"/>
      <c r="FR674" s="29"/>
      <c r="FS674" s="29"/>
      <c r="FT674" s="29"/>
      <c r="FU674" s="29"/>
      <c r="FV674" s="29"/>
      <c r="FW674" s="29"/>
      <c r="FX674" s="29"/>
      <c r="FY674" s="29"/>
      <c r="FZ674" s="29"/>
      <c r="GA674" s="29"/>
      <c r="GB674" s="29"/>
      <c r="GC674" s="29"/>
      <c r="GD674" s="29"/>
      <c r="GE674" s="29"/>
      <c r="GF674" s="29"/>
      <c r="GG674" s="29"/>
      <c r="GH674" s="29"/>
      <c r="GI674" s="29"/>
      <c r="GJ674" s="29"/>
      <c r="GK674" s="29"/>
      <c r="GL674" s="29"/>
      <c r="GM674" s="29"/>
      <c r="GN674" s="29"/>
      <c r="GO674" s="29"/>
      <c r="GP674" s="29"/>
      <c r="GQ674" s="29"/>
      <c r="GR674" s="29"/>
      <c r="GS674" s="29"/>
      <c r="GT674" s="29"/>
      <c r="GU674" s="29"/>
      <c r="HP674" s="31"/>
      <c r="MX674" s="29"/>
      <c r="MY674" s="29"/>
    </row>
    <row r="675" ht="16.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c r="BO675" s="29"/>
      <c r="BP675" s="29"/>
      <c r="BQ675" s="29"/>
      <c r="BR675" s="29"/>
      <c r="BS675" s="29"/>
      <c r="BT675" s="29"/>
      <c r="BU675" s="29"/>
      <c r="BV675" s="29"/>
      <c r="BW675" s="29"/>
      <c r="BX675" s="29"/>
      <c r="BY675" s="29"/>
      <c r="BZ675" s="29"/>
      <c r="CA675" s="29"/>
      <c r="CB675" s="29"/>
      <c r="CC675" s="29"/>
      <c r="CD675" s="29"/>
      <c r="CE675" s="29"/>
      <c r="CF675" s="29"/>
      <c r="CG675" s="29"/>
      <c r="CH675" s="29"/>
      <c r="CI675" s="29"/>
      <c r="CJ675" s="29"/>
      <c r="CK675" s="29"/>
      <c r="CL675" s="29"/>
      <c r="CM675" s="29"/>
      <c r="CN675" s="29"/>
      <c r="CO675" s="29"/>
      <c r="CP675" s="29"/>
      <c r="CQ675" s="29"/>
      <c r="CR675" s="29"/>
      <c r="CS675" s="29"/>
      <c r="CT675" s="29"/>
      <c r="CU675" s="29"/>
      <c r="CV675" s="29"/>
      <c r="CW675" s="29"/>
      <c r="CX675" s="29"/>
      <c r="CY675" s="29"/>
      <c r="CZ675" s="29"/>
      <c r="DA675" s="29"/>
      <c r="DB675" s="29"/>
      <c r="DC675" s="29"/>
      <c r="DD675" s="29"/>
      <c r="DE675" s="29"/>
      <c r="DF675" s="29"/>
      <c r="DG675" s="29"/>
      <c r="DH675" s="29"/>
      <c r="DI675" s="29"/>
      <c r="DJ675" s="29"/>
      <c r="DK675" s="29"/>
      <c r="DL675" s="29"/>
      <c r="DM675" s="29"/>
      <c r="DN675" s="29"/>
      <c r="DO675" s="29"/>
      <c r="DP675" s="29"/>
      <c r="DQ675" s="29"/>
      <c r="DR675" s="29"/>
      <c r="DS675" s="29"/>
      <c r="DT675" s="29"/>
      <c r="DU675" s="29"/>
      <c r="DV675" s="29"/>
      <c r="DW675" s="29"/>
      <c r="DX675" s="29"/>
      <c r="DY675" s="29"/>
      <c r="DZ675" s="29"/>
      <c r="EA675" s="29"/>
      <c r="EB675" s="29"/>
      <c r="EC675" s="29"/>
      <c r="ED675" s="29"/>
      <c r="EE675" s="29"/>
      <c r="EF675" s="29"/>
      <c r="EG675" s="29"/>
      <c r="EH675" s="29"/>
      <c r="EI675" s="29"/>
      <c r="EJ675" s="29"/>
      <c r="EK675" s="29"/>
      <c r="EL675" s="29"/>
      <c r="EM675" s="29"/>
      <c r="EN675" s="29"/>
      <c r="EO675" s="29"/>
      <c r="EP675" s="29"/>
      <c r="EQ675" s="29"/>
      <c r="ER675" s="29"/>
      <c r="ES675" s="29"/>
      <c r="ET675" s="29"/>
      <c r="EU675" s="29"/>
      <c r="EV675" s="29"/>
      <c r="EW675" s="29"/>
      <c r="EX675" s="29"/>
      <c r="EY675" s="29"/>
      <c r="EZ675" s="29"/>
      <c r="FA675" s="29"/>
      <c r="FB675" s="29"/>
      <c r="FC675" s="29"/>
      <c r="FD675" s="29"/>
      <c r="FE675" s="29"/>
      <c r="FF675" s="29"/>
      <c r="FG675" s="29"/>
      <c r="FH675" s="29"/>
      <c r="FI675" s="29"/>
      <c r="FJ675" s="29"/>
      <c r="FK675" s="29"/>
      <c r="FL675" s="29"/>
      <c r="FM675" s="29"/>
      <c r="FN675" s="29"/>
      <c r="FO675" s="29"/>
      <c r="FP675" s="29"/>
      <c r="FQ675" s="29"/>
      <c r="FR675" s="29"/>
      <c r="FS675" s="29"/>
      <c r="FT675" s="29"/>
      <c r="FU675" s="29"/>
      <c r="FV675" s="29"/>
      <c r="FW675" s="29"/>
      <c r="FX675" s="29"/>
      <c r="FY675" s="29"/>
      <c r="FZ675" s="29"/>
      <c r="GA675" s="29"/>
      <c r="GB675" s="29"/>
      <c r="GC675" s="29"/>
      <c r="GD675" s="29"/>
      <c r="GE675" s="29"/>
      <c r="GF675" s="29"/>
      <c r="GG675" s="29"/>
      <c r="GH675" s="29"/>
      <c r="GI675" s="29"/>
      <c r="GJ675" s="29"/>
      <c r="GK675" s="29"/>
      <c r="GL675" s="29"/>
      <c r="GM675" s="29"/>
      <c r="GN675" s="29"/>
      <c r="GO675" s="29"/>
      <c r="GP675" s="29"/>
      <c r="GQ675" s="29"/>
      <c r="GR675" s="29"/>
      <c r="GS675" s="29"/>
      <c r="GT675" s="29"/>
      <c r="GU675" s="29"/>
      <c r="HP675" s="31"/>
      <c r="MX675" s="29"/>
      <c r="MY675" s="29"/>
    </row>
    <row r="676" ht="16.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c r="AV676" s="29"/>
      <c r="AW676" s="29"/>
      <c r="AX676" s="29"/>
      <c r="AY676" s="29"/>
      <c r="AZ676" s="29"/>
      <c r="BA676" s="29"/>
      <c r="BB676" s="29"/>
      <c r="BC676" s="29"/>
      <c r="BD676" s="29"/>
      <c r="BE676" s="29"/>
      <c r="BF676" s="29"/>
      <c r="BG676" s="29"/>
      <c r="BH676" s="29"/>
      <c r="BI676" s="29"/>
      <c r="BJ676" s="29"/>
      <c r="BK676" s="29"/>
      <c r="BL676" s="29"/>
      <c r="BM676" s="29"/>
      <c r="BN676" s="29"/>
      <c r="BO676" s="29"/>
      <c r="BP676" s="29"/>
      <c r="BQ676" s="29"/>
      <c r="BR676" s="29"/>
      <c r="BS676" s="29"/>
      <c r="BT676" s="29"/>
      <c r="BU676" s="29"/>
      <c r="BV676" s="29"/>
      <c r="BW676" s="29"/>
      <c r="BX676" s="29"/>
      <c r="BY676" s="29"/>
      <c r="BZ676" s="29"/>
      <c r="CA676" s="29"/>
      <c r="CB676" s="29"/>
      <c r="CC676" s="29"/>
      <c r="CD676" s="29"/>
      <c r="CE676" s="29"/>
      <c r="CF676" s="29"/>
      <c r="CG676" s="29"/>
      <c r="CH676" s="29"/>
      <c r="CI676" s="29"/>
      <c r="CJ676" s="29"/>
      <c r="CK676" s="29"/>
      <c r="CL676" s="29"/>
      <c r="CM676" s="29"/>
      <c r="CN676" s="29"/>
      <c r="CO676" s="29"/>
      <c r="CP676" s="29"/>
      <c r="CQ676" s="29"/>
      <c r="CR676" s="29"/>
      <c r="CS676" s="29"/>
      <c r="CT676" s="29"/>
      <c r="CU676" s="29"/>
      <c r="CV676" s="29"/>
      <c r="CW676" s="29"/>
      <c r="CX676" s="29"/>
      <c r="CY676" s="29"/>
      <c r="CZ676" s="29"/>
      <c r="DA676" s="29"/>
      <c r="DB676" s="29"/>
      <c r="DC676" s="29"/>
      <c r="DD676" s="29"/>
      <c r="DE676" s="29"/>
      <c r="DF676" s="29"/>
      <c r="DG676" s="29"/>
      <c r="DH676" s="29"/>
      <c r="DI676" s="29"/>
      <c r="DJ676" s="29"/>
      <c r="DK676" s="29"/>
      <c r="DL676" s="29"/>
      <c r="DM676" s="29"/>
      <c r="DN676" s="29"/>
      <c r="DO676" s="29"/>
      <c r="DP676" s="29"/>
      <c r="DQ676" s="29"/>
      <c r="DR676" s="29"/>
      <c r="DS676" s="29"/>
      <c r="DT676" s="29"/>
      <c r="DU676" s="29"/>
      <c r="DV676" s="29"/>
      <c r="DW676" s="29"/>
      <c r="DX676" s="29"/>
      <c r="DY676" s="29"/>
      <c r="DZ676" s="29"/>
      <c r="EA676" s="29"/>
      <c r="EB676" s="29"/>
      <c r="EC676" s="29"/>
      <c r="ED676" s="29"/>
      <c r="EE676" s="29"/>
      <c r="EF676" s="29"/>
      <c r="EG676" s="29"/>
      <c r="EH676" s="29"/>
      <c r="EI676" s="29"/>
      <c r="EJ676" s="29"/>
      <c r="EK676" s="29"/>
      <c r="EL676" s="29"/>
      <c r="EM676" s="29"/>
      <c r="EN676" s="29"/>
      <c r="EO676" s="29"/>
      <c r="EP676" s="29"/>
      <c r="EQ676" s="29"/>
      <c r="ER676" s="29"/>
      <c r="ES676" s="29"/>
      <c r="ET676" s="29"/>
      <c r="EU676" s="29"/>
      <c r="EV676" s="29"/>
      <c r="EW676" s="29"/>
      <c r="EX676" s="29"/>
      <c r="EY676" s="29"/>
      <c r="EZ676" s="29"/>
      <c r="FA676" s="29"/>
      <c r="FB676" s="29"/>
      <c r="FC676" s="29"/>
      <c r="FD676" s="29"/>
      <c r="FE676" s="29"/>
      <c r="FF676" s="29"/>
      <c r="FG676" s="29"/>
      <c r="FH676" s="29"/>
      <c r="FI676" s="29"/>
      <c r="FJ676" s="29"/>
      <c r="FK676" s="29"/>
      <c r="FL676" s="29"/>
      <c r="FM676" s="29"/>
      <c r="FN676" s="29"/>
      <c r="FO676" s="29"/>
      <c r="FP676" s="29"/>
      <c r="FQ676" s="29"/>
      <c r="FR676" s="29"/>
      <c r="FS676" s="29"/>
      <c r="FT676" s="29"/>
      <c r="FU676" s="29"/>
      <c r="FV676" s="29"/>
      <c r="FW676" s="29"/>
      <c r="FX676" s="29"/>
      <c r="FY676" s="29"/>
      <c r="FZ676" s="29"/>
      <c r="GA676" s="29"/>
      <c r="GB676" s="29"/>
      <c r="GC676" s="29"/>
      <c r="GD676" s="29"/>
      <c r="GE676" s="29"/>
      <c r="GF676" s="29"/>
      <c r="GG676" s="29"/>
      <c r="GH676" s="29"/>
      <c r="GI676" s="29"/>
      <c r="GJ676" s="29"/>
      <c r="GK676" s="29"/>
      <c r="GL676" s="29"/>
      <c r="GM676" s="29"/>
      <c r="GN676" s="29"/>
      <c r="GO676" s="29"/>
      <c r="GP676" s="29"/>
      <c r="GQ676" s="29"/>
      <c r="GR676" s="29"/>
      <c r="GS676" s="29"/>
      <c r="GT676" s="29"/>
      <c r="GU676" s="29"/>
      <c r="HP676" s="31"/>
      <c r="MX676" s="29"/>
      <c r="MY676" s="29"/>
    </row>
    <row r="677" ht="16.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c r="BO677" s="29"/>
      <c r="BP677" s="29"/>
      <c r="BQ677" s="29"/>
      <c r="BR677" s="29"/>
      <c r="BS677" s="29"/>
      <c r="BT677" s="29"/>
      <c r="BU677" s="29"/>
      <c r="BV677" s="29"/>
      <c r="BW677" s="29"/>
      <c r="BX677" s="29"/>
      <c r="BY677" s="29"/>
      <c r="BZ677" s="29"/>
      <c r="CA677" s="29"/>
      <c r="CB677" s="29"/>
      <c r="CC677" s="29"/>
      <c r="CD677" s="29"/>
      <c r="CE677" s="29"/>
      <c r="CF677" s="29"/>
      <c r="CG677" s="29"/>
      <c r="CH677" s="29"/>
      <c r="CI677" s="29"/>
      <c r="CJ677" s="29"/>
      <c r="CK677" s="29"/>
      <c r="CL677" s="29"/>
      <c r="CM677" s="29"/>
      <c r="CN677" s="29"/>
      <c r="CO677" s="29"/>
      <c r="CP677" s="29"/>
      <c r="CQ677" s="29"/>
      <c r="CR677" s="29"/>
      <c r="CS677" s="29"/>
      <c r="CT677" s="29"/>
      <c r="CU677" s="29"/>
      <c r="CV677" s="29"/>
      <c r="CW677" s="29"/>
      <c r="CX677" s="29"/>
      <c r="CY677" s="29"/>
      <c r="CZ677" s="29"/>
      <c r="DA677" s="29"/>
      <c r="DB677" s="29"/>
      <c r="DC677" s="29"/>
      <c r="DD677" s="29"/>
      <c r="DE677" s="29"/>
      <c r="DF677" s="29"/>
      <c r="DG677" s="29"/>
      <c r="DH677" s="29"/>
      <c r="DI677" s="29"/>
      <c r="DJ677" s="29"/>
      <c r="DK677" s="29"/>
      <c r="DL677" s="29"/>
      <c r="DM677" s="29"/>
      <c r="DN677" s="29"/>
      <c r="DO677" s="29"/>
      <c r="DP677" s="29"/>
      <c r="DQ677" s="29"/>
      <c r="DR677" s="29"/>
      <c r="DS677" s="29"/>
      <c r="DT677" s="29"/>
      <c r="DU677" s="29"/>
      <c r="DV677" s="29"/>
      <c r="DW677" s="29"/>
      <c r="DX677" s="29"/>
      <c r="DY677" s="29"/>
      <c r="DZ677" s="29"/>
      <c r="EA677" s="29"/>
      <c r="EB677" s="29"/>
      <c r="EC677" s="29"/>
      <c r="ED677" s="29"/>
      <c r="EE677" s="29"/>
      <c r="EF677" s="29"/>
      <c r="EG677" s="29"/>
      <c r="EH677" s="29"/>
      <c r="EI677" s="29"/>
      <c r="EJ677" s="29"/>
      <c r="EK677" s="29"/>
      <c r="EL677" s="29"/>
      <c r="EM677" s="29"/>
      <c r="EN677" s="29"/>
      <c r="EO677" s="29"/>
      <c r="EP677" s="29"/>
      <c r="EQ677" s="29"/>
      <c r="ER677" s="29"/>
      <c r="ES677" s="29"/>
      <c r="ET677" s="29"/>
      <c r="EU677" s="29"/>
      <c r="EV677" s="29"/>
      <c r="EW677" s="29"/>
      <c r="EX677" s="29"/>
      <c r="EY677" s="29"/>
      <c r="EZ677" s="29"/>
      <c r="FA677" s="29"/>
      <c r="FB677" s="29"/>
      <c r="FC677" s="29"/>
      <c r="FD677" s="29"/>
      <c r="FE677" s="29"/>
      <c r="FF677" s="29"/>
      <c r="FG677" s="29"/>
      <c r="FH677" s="29"/>
      <c r="FI677" s="29"/>
      <c r="FJ677" s="29"/>
      <c r="FK677" s="29"/>
      <c r="FL677" s="29"/>
      <c r="FM677" s="29"/>
      <c r="FN677" s="29"/>
      <c r="FO677" s="29"/>
      <c r="FP677" s="29"/>
      <c r="FQ677" s="29"/>
      <c r="FR677" s="29"/>
      <c r="FS677" s="29"/>
      <c r="FT677" s="29"/>
      <c r="FU677" s="29"/>
      <c r="FV677" s="29"/>
      <c r="FW677" s="29"/>
      <c r="FX677" s="29"/>
      <c r="FY677" s="29"/>
      <c r="FZ677" s="29"/>
      <c r="GA677" s="29"/>
      <c r="GB677" s="29"/>
      <c r="GC677" s="29"/>
      <c r="GD677" s="29"/>
      <c r="GE677" s="29"/>
      <c r="GF677" s="29"/>
      <c r="GG677" s="29"/>
      <c r="GH677" s="29"/>
      <c r="GI677" s="29"/>
      <c r="GJ677" s="29"/>
      <c r="GK677" s="29"/>
      <c r="GL677" s="29"/>
      <c r="GM677" s="29"/>
      <c r="GN677" s="29"/>
      <c r="GO677" s="29"/>
      <c r="GP677" s="29"/>
      <c r="GQ677" s="29"/>
      <c r="GR677" s="29"/>
      <c r="GS677" s="29"/>
      <c r="GT677" s="29"/>
      <c r="GU677" s="29"/>
      <c r="HP677" s="31"/>
      <c r="MX677" s="29"/>
      <c r="MY677" s="29"/>
    </row>
    <row r="678" ht="16.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c r="AX678" s="29"/>
      <c r="AY678" s="29"/>
      <c r="AZ678" s="29"/>
      <c r="BA678" s="29"/>
      <c r="BB678" s="29"/>
      <c r="BC678" s="29"/>
      <c r="BD678" s="29"/>
      <c r="BE678" s="29"/>
      <c r="BF678" s="29"/>
      <c r="BG678" s="29"/>
      <c r="BH678" s="29"/>
      <c r="BI678" s="29"/>
      <c r="BJ678" s="29"/>
      <c r="BK678" s="29"/>
      <c r="BL678" s="29"/>
      <c r="BM678" s="29"/>
      <c r="BN678" s="29"/>
      <c r="BO678" s="29"/>
      <c r="BP678" s="29"/>
      <c r="BQ678" s="29"/>
      <c r="BR678" s="29"/>
      <c r="BS678" s="29"/>
      <c r="BT678" s="29"/>
      <c r="BU678" s="29"/>
      <c r="BV678" s="29"/>
      <c r="BW678" s="29"/>
      <c r="BX678" s="29"/>
      <c r="BY678" s="29"/>
      <c r="BZ678" s="29"/>
      <c r="CA678" s="29"/>
      <c r="CB678" s="29"/>
      <c r="CC678" s="29"/>
      <c r="CD678" s="29"/>
      <c r="CE678" s="29"/>
      <c r="CF678" s="29"/>
      <c r="CG678" s="29"/>
      <c r="CH678" s="29"/>
      <c r="CI678" s="29"/>
      <c r="CJ678" s="29"/>
      <c r="CK678" s="29"/>
      <c r="CL678" s="29"/>
      <c r="CM678" s="29"/>
      <c r="CN678" s="29"/>
      <c r="CO678" s="29"/>
      <c r="CP678" s="29"/>
      <c r="CQ678" s="29"/>
      <c r="CR678" s="29"/>
      <c r="CS678" s="29"/>
      <c r="CT678" s="29"/>
      <c r="CU678" s="29"/>
      <c r="CV678" s="29"/>
      <c r="CW678" s="29"/>
      <c r="CX678" s="29"/>
      <c r="CY678" s="29"/>
      <c r="CZ678" s="29"/>
      <c r="DA678" s="29"/>
      <c r="DB678" s="29"/>
      <c r="DC678" s="29"/>
      <c r="DD678" s="29"/>
      <c r="DE678" s="29"/>
      <c r="DF678" s="29"/>
      <c r="DG678" s="29"/>
      <c r="DH678" s="29"/>
      <c r="DI678" s="29"/>
      <c r="DJ678" s="29"/>
      <c r="DK678" s="29"/>
      <c r="DL678" s="29"/>
      <c r="DM678" s="29"/>
      <c r="DN678" s="29"/>
      <c r="DO678" s="29"/>
      <c r="DP678" s="29"/>
      <c r="DQ678" s="29"/>
      <c r="DR678" s="29"/>
      <c r="DS678" s="29"/>
      <c r="DT678" s="29"/>
      <c r="DU678" s="29"/>
      <c r="DV678" s="29"/>
      <c r="DW678" s="29"/>
      <c r="DX678" s="29"/>
      <c r="DY678" s="29"/>
      <c r="DZ678" s="29"/>
      <c r="EA678" s="29"/>
      <c r="EB678" s="29"/>
      <c r="EC678" s="29"/>
      <c r="ED678" s="29"/>
      <c r="EE678" s="29"/>
      <c r="EF678" s="29"/>
      <c r="EG678" s="29"/>
      <c r="EH678" s="29"/>
      <c r="EI678" s="29"/>
      <c r="EJ678" s="29"/>
      <c r="EK678" s="29"/>
      <c r="EL678" s="29"/>
      <c r="EM678" s="29"/>
      <c r="EN678" s="29"/>
      <c r="EO678" s="29"/>
      <c r="EP678" s="29"/>
      <c r="EQ678" s="29"/>
      <c r="ER678" s="29"/>
      <c r="ES678" s="29"/>
      <c r="ET678" s="29"/>
      <c r="EU678" s="29"/>
      <c r="EV678" s="29"/>
      <c r="EW678" s="29"/>
      <c r="EX678" s="29"/>
      <c r="EY678" s="29"/>
      <c r="EZ678" s="29"/>
      <c r="FA678" s="29"/>
      <c r="FB678" s="29"/>
      <c r="FC678" s="29"/>
      <c r="FD678" s="29"/>
      <c r="FE678" s="29"/>
      <c r="FF678" s="29"/>
      <c r="FG678" s="29"/>
      <c r="FH678" s="29"/>
      <c r="FI678" s="29"/>
      <c r="FJ678" s="29"/>
      <c r="FK678" s="29"/>
      <c r="FL678" s="29"/>
      <c r="FM678" s="29"/>
      <c r="FN678" s="29"/>
      <c r="FO678" s="29"/>
      <c r="FP678" s="29"/>
      <c r="FQ678" s="29"/>
      <c r="FR678" s="29"/>
      <c r="FS678" s="29"/>
      <c r="FT678" s="29"/>
      <c r="FU678" s="29"/>
      <c r="FV678" s="29"/>
      <c r="FW678" s="29"/>
      <c r="FX678" s="29"/>
      <c r="FY678" s="29"/>
      <c r="FZ678" s="29"/>
      <c r="GA678" s="29"/>
      <c r="GB678" s="29"/>
      <c r="GC678" s="29"/>
      <c r="GD678" s="29"/>
      <c r="GE678" s="29"/>
      <c r="GF678" s="29"/>
      <c r="GG678" s="29"/>
      <c r="GH678" s="29"/>
      <c r="GI678" s="29"/>
      <c r="GJ678" s="29"/>
      <c r="GK678" s="29"/>
      <c r="GL678" s="29"/>
      <c r="GM678" s="29"/>
      <c r="GN678" s="29"/>
      <c r="GO678" s="29"/>
      <c r="GP678" s="29"/>
      <c r="GQ678" s="29"/>
      <c r="GR678" s="29"/>
      <c r="GS678" s="29"/>
      <c r="GT678" s="29"/>
      <c r="GU678" s="29"/>
      <c r="HP678" s="31"/>
      <c r="MX678" s="29"/>
      <c r="MY678" s="29"/>
    </row>
    <row r="679" ht="16.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c r="BO679" s="29"/>
      <c r="BP679" s="29"/>
      <c r="BQ679" s="29"/>
      <c r="BR679" s="29"/>
      <c r="BS679" s="29"/>
      <c r="BT679" s="29"/>
      <c r="BU679" s="29"/>
      <c r="BV679" s="29"/>
      <c r="BW679" s="29"/>
      <c r="BX679" s="29"/>
      <c r="BY679" s="29"/>
      <c r="BZ679" s="29"/>
      <c r="CA679" s="29"/>
      <c r="CB679" s="29"/>
      <c r="CC679" s="29"/>
      <c r="CD679" s="29"/>
      <c r="CE679" s="29"/>
      <c r="CF679" s="29"/>
      <c r="CG679" s="29"/>
      <c r="CH679" s="29"/>
      <c r="CI679" s="29"/>
      <c r="CJ679" s="29"/>
      <c r="CK679" s="29"/>
      <c r="CL679" s="29"/>
      <c r="CM679" s="29"/>
      <c r="CN679" s="29"/>
      <c r="CO679" s="29"/>
      <c r="CP679" s="29"/>
      <c r="CQ679" s="29"/>
      <c r="CR679" s="29"/>
      <c r="CS679" s="29"/>
      <c r="CT679" s="29"/>
      <c r="CU679" s="29"/>
      <c r="CV679" s="29"/>
      <c r="CW679" s="29"/>
      <c r="CX679" s="29"/>
      <c r="CY679" s="29"/>
      <c r="CZ679" s="29"/>
      <c r="DA679" s="29"/>
      <c r="DB679" s="29"/>
      <c r="DC679" s="29"/>
      <c r="DD679" s="29"/>
      <c r="DE679" s="29"/>
      <c r="DF679" s="29"/>
      <c r="DG679" s="29"/>
      <c r="DH679" s="29"/>
      <c r="DI679" s="29"/>
      <c r="DJ679" s="29"/>
      <c r="DK679" s="29"/>
      <c r="DL679" s="29"/>
      <c r="DM679" s="29"/>
      <c r="DN679" s="29"/>
      <c r="DO679" s="29"/>
      <c r="DP679" s="29"/>
      <c r="DQ679" s="29"/>
      <c r="DR679" s="29"/>
      <c r="DS679" s="29"/>
      <c r="DT679" s="29"/>
      <c r="DU679" s="29"/>
      <c r="DV679" s="29"/>
      <c r="DW679" s="29"/>
      <c r="DX679" s="29"/>
      <c r="DY679" s="29"/>
      <c r="DZ679" s="29"/>
      <c r="EA679" s="29"/>
      <c r="EB679" s="29"/>
      <c r="EC679" s="29"/>
      <c r="ED679" s="29"/>
      <c r="EE679" s="29"/>
      <c r="EF679" s="29"/>
      <c r="EG679" s="29"/>
      <c r="EH679" s="29"/>
      <c r="EI679" s="29"/>
      <c r="EJ679" s="29"/>
      <c r="EK679" s="29"/>
      <c r="EL679" s="29"/>
      <c r="EM679" s="29"/>
      <c r="EN679" s="29"/>
      <c r="EO679" s="29"/>
      <c r="EP679" s="29"/>
      <c r="EQ679" s="29"/>
      <c r="ER679" s="29"/>
      <c r="ES679" s="29"/>
      <c r="ET679" s="29"/>
      <c r="EU679" s="29"/>
      <c r="EV679" s="29"/>
      <c r="EW679" s="29"/>
      <c r="EX679" s="29"/>
      <c r="EY679" s="29"/>
      <c r="EZ679" s="29"/>
      <c r="FA679" s="29"/>
      <c r="FB679" s="29"/>
      <c r="FC679" s="29"/>
      <c r="FD679" s="29"/>
      <c r="FE679" s="29"/>
      <c r="FF679" s="29"/>
      <c r="FG679" s="29"/>
      <c r="FH679" s="29"/>
      <c r="FI679" s="29"/>
      <c r="FJ679" s="29"/>
      <c r="FK679" s="29"/>
      <c r="FL679" s="29"/>
      <c r="FM679" s="29"/>
      <c r="FN679" s="29"/>
      <c r="FO679" s="29"/>
      <c r="FP679" s="29"/>
      <c r="FQ679" s="29"/>
      <c r="FR679" s="29"/>
      <c r="FS679" s="29"/>
      <c r="FT679" s="29"/>
      <c r="FU679" s="29"/>
      <c r="FV679" s="29"/>
      <c r="FW679" s="29"/>
      <c r="FX679" s="29"/>
      <c r="FY679" s="29"/>
      <c r="FZ679" s="29"/>
      <c r="GA679" s="29"/>
      <c r="GB679" s="29"/>
      <c r="GC679" s="29"/>
      <c r="GD679" s="29"/>
      <c r="GE679" s="29"/>
      <c r="GF679" s="29"/>
      <c r="GG679" s="29"/>
      <c r="GH679" s="29"/>
      <c r="GI679" s="29"/>
      <c r="GJ679" s="29"/>
      <c r="GK679" s="29"/>
      <c r="GL679" s="29"/>
      <c r="GM679" s="29"/>
      <c r="GN679" s="29"/>
      <c r="GO679" s="29"/>
      <c r="GP679" s="29"/>
      <c r="GQ679" s="29"/>
      <c r="GR679" s="29"/>
      <c r="GS679" s="29"/>
      <c r="GT679" s="29"/>
      <c r="GU679" s="29"/>
      <c r="HP679" s="31"/>
      <c r="MX679" s="29"/>
      <c r="MY679" s="29"/>
    </row>
    <row r="680" ht="16.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c r="AX680" s="29"/>
      <c r="AY680" s="29"/>
      <c r="AZ680" s="29"/>
      <c r="BA680" s="29"/>
      <c r="BB680" s="29"/>
      <c r="BC680" s="29"/>
      <c r="BD680" s="29"/>
      <c r="BE680" s="29"/>
      <c r="BF680" s="29"/>
      <c r="BG680" s="29"/>
      <c r="BH680" s="29"/>
      <c r="BI680" s="29"/>
      <c r="BJ680" s="29"/>
      <c r="BK680" s="29"/>
      <c r="BL680" s="29"/>
      <c r="BM680" s="29"/>
      <c r="BN680" s="29"/>
      <c r="BO680" s="29"/>
      <c r="BP680" s="29"/>
      <c r="BQ680" s="29"/>
      <c r="BR680" s="29"/>
      <c r="BS680" s="29"/>
      <c r="BT680" s="29"/>
      <c r="BU680" s="29"/>
      <c r="BV680" s="29"/>
      <c r="BW680" s="29"/>
      <c r="BX680" s="29"/>
      <c r="BY680" s="29"/>
      <c r="BZ680" s="29"/>
      <c r="CA680" s="29"/>
      <c r="CB680" s="29"/>
      <c r="CC680" s="29"/>
      <c r="CD680" s="29"/>
      <c r="CE680" s="29"/>
      <c r="CF680" s="29"/>
      <c r="CG680" s="29"/>
      <c r="CH680" s="29"/>
      <c r="CI680" s="29"/>
      <c r="CJ680" s="29"/>
      <c r="CK680" s="29"/>
      <c r="CL680" s="29"/>
      <c r="CM680" s="29"/>
      <c r="CN680" s="29"/>
      <c r="CO680" s="29"/>
      <c r="CP680" s="29"/>
      <c r="CQ680" s="29"/>
      <c r="CR680" s="29"/>
      <c r="CS680" s="29"/>
      <c r="CT680" s="29"/>
      <c r="CU680" s="29"/>
      <c r="CV680" s="29"/>
      <c r="CW680" s="29"/>
      <c r="CX680" s="29"/>
      <c r="CY680" s="29"/>
      <c r="CZ680" s="29"/>
      <c r="DA680" s="29"/>
      <c r="DB680" s="29"/>
      <c r="DC680" s="29"/>
      <c r="DD680" s="29"/>
      <c r="DE680" s="29"/>
      <c r="DF680" s="29"/>
      <c r="DG680" s="29"/>
      <c r="DH680" s="29"/>
      <c r="DI680" s="29"/>
      <c r="DJ680" s="29"/>
      <c r="DK680" s="29"/>
      <c r="DL680" s="29"/>
      <c r="DM680" s="29"/>
      <c r="DN680" s="29"/>
      <c r="DO680" s="29"/>
      <c r="DP680" s="29"/>
      <c r="DQ680" s="29"/>
      <c r="DR680" s="29"/>
      <c r="DS680" s="29"/>
      <c r="DT680" s="29"/>
      <c r="DU680" s="29"/>
      <c r="DV680" s="29"/>
      <c r="DW680" s="29"/>
      <c r="DX680" s="29"/>
      <c r="DY680" s="29"/>
      <c r="DZ680" s="29"/>
      <c r="EA680" s="29"/>
      <c r="EB680" s="29"/>
      <c r="EC680" s="29"/>
      <c r="ED680" s="29"/>
      <c r="EE680" s="29"/>
      <c r="EF680" s="29"/>
      <c r="EG680" s="29"/>
      <c r="EH680" s="29"/>
      <c r="EI680" s="29"/>
      <c r="EJ680" s="29"/>
      <c r="EK680" s="29"/>
      <c r="EL680" s="29"/>
      <c r="EM680" s="29"/>
      <c r="EN680" s="29"/>
      <c r="EO680" s="29"/>
      <c r="EP680" s="29"/>
      <c r="EQ680" s="29"/>
      <c r="ER680" s="29"/>
      <c r="ES680" s="29"/>
      <c r="ET680" s="29"/>
      <c r="EU680" s="29"/>
      <c r="EV680" s="29"/>
      <c r="EW680" s="29"/>
      <c r="EX680" s="29"/>
      <c r="EY680" s="29"/>
      <c r="EZ680" s="29"/>
      <c r="FA680" s="29"/>
      <c r="FB680" s="29"/>
      <c r="FC680" s="29"/>
      <c r="FD680" s="29"/>
      <c r="FE680" s="29"/>
      <c r="FF680" s="29"/>
      <c r="FG680" s="29"/>
      <c r="FH680" s="29"/>
      <c r="FI680" s="29"/>
      <c r="FJ680" s="29"/>
      <c r="FK680" s="29"/>
      <c r="FL680" s="29"/>
      <c r="FM680" s="29"/>
      <c r="FN680" s="29"/>
      <c r="FO680" s="29"/>
      <c r="FP680" s="29"/>
      <c r="FQ680" s="29"/>
      <c r="FR680" s="29"/>
      <c r="FS680" s="29"/>
      <c r="FT680" s="29"/>
      <c r="FU680" s="29"/>
      <c r="FV680" s="29"/>
      <c r="FW680" s="29"/>
      <c r="FX680" s="29"/>
      <c r="FY680" s="29"/>
      <c r="FZ680" s="29"/>
      <c r="GA680" s="29"/>
      <c r="GB680" s="29"/>
      <c r="GC680" s="29"/>
      <c r="GD680" s="29"/>
      <c r="GE680" s="29"/>
      <c r="GF680" s="29"/>
      <c r="GG680" s="29"/>
      <c r="GH680" s="29"/>
      <c r="GI680" s="29"/>
      <c r="GJ680" s="29"/>
      <c r="GK680" s="29"/>
      <c r="GL680" s="29"/>
      <c r="GM680" s="29"/>
      <c r="GN680" s="29"/>
      <c r="GO680" s="29"/>
      <c r="GP680" s="29"/>
      <c r="GQ680" s="29"/>
      <c r="GR680" s="29"/>
      <c r="GS680" s="29"/>
      <c r="GT680" s="29"/>
      <c r="GU680" s="29"/>
      <c r="HP680" s="31"/>
      <c r="MX680" s="29"/>
      <c r="MY680" s="29"/>
    </row>
    <row r="681" ht="16.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c r="BO681" s="29"/>
      <c r="BP681" s="29"/>
      <c r="BQ681" s="29"/>
      <c r="BR681" s="29"/>
      <c r="BS681" s="29"/>
      <c r="BT681" s="29"/>
      <c r="BU681" s="29"/>
      <c r="BV681" s="29"/>
      <c r="BW681" s="29"/>
      <c r="BX681" s="29"/>
      <c r="BY681" s="29"/>
      <c r="BZ681" s="29"/>
      <c r="CA681" s="29"/>
      <c r="CB681" s="29"/>
      <c r="CC681" s="29"/>
      <c r="CD681" s="29"/>
      <c r="CE681" s="29"/>
      <c r="CF681" s="29"/>
      <c r="CG681" s="29"/>
      <c r="CH681" s="29"/>
      <c r="CI681" s="29"/>
      <c r="CJ681" s="29"/>
      <c r="CK681" s="29"/>
      <c r="CL681" s="29"/>
      <c r="CM681" s="29"/>
      <c r="CN681" s="29"/>
      <c r="CO681" s="29"/>
      <c r="CP681" s="29"/>
      <c r="CQ681" s="29"/>
      <c r="CR681" s="29"/>
      <c r="CS681" s="29"/>
      <c r="CT681" s="29"/>
      <c r="CU681" s="29"/>
      <c r="CV681" s="29"/>
      <c r="CW681" s="29"/>
      <c r="CX681" s="29"/>
      <c r="CY681" s="29"/>
      <c r="CZ681" s="29"/>
      <c r="DA681" s="29"/>
      <c r="DB681" s="29"/>
      <c r="DC681" s="29"/>
      <c r="DD681" s="29"/>
      <c r="DE681" s="29"/>
      <c r="DF681" s="29"/>
      <c r="DG681" s="29"/>
      <c r="DH681" s="29"/>
      <c r="DI681" s="29"/>
      <c r="DJ681" s="29"/>
      <c r="DK681" s="29"/>
      <c r="DL681" s="29"/>
      <c r="DM681" s="29"/>
      <c r="DN681" s="29"/>
      <c r="DO681" s="29"/>
      <c r="DP681" s="29"/>
      <c r="DQ681" s="29"/>
      <c r="DR681" s="29"/>
      <c r="DS681" s="29"/>
      <c r="DT681" s="29"/>
      <c r="DU681" s="29"/>
      <c r="DV681" s="29"/>
      <c r="DW681" s="29"/>
      <c r="DX681" s="29"/>
      <c r="DY681" s="29"/>
      <c r="DZ681" s="29"/>
      <c r="EA681" s="29"/>
      <c r="EB681" s="29"/>
      <c r="EC681" s="29"/>
      <c r="ED681" s="29"/>
      <c r="EE681" s="29"/>
      <c r="EF681" s="29"/>
      <c r="EG681" s="29"/>
      <c r="EH681" s="29"/>
      <c r="EI681" s="29"/>
      <c r="EJ681" s="29"/>
      <c r="EK681" s="29"/>
      <c r="EL681" s="29"/>
      <c r="EM681" s="29"/>
      <c r="EN681" s="29"/>
      <c r="EO681" s="29"/>
      <c r="EP681" s="29"/>
      <c r="EQ681" s="29"/>
      <c r="ER681" s="29"/>
      <c r="ES681" s="29"/>
      <c r="ET681" s="29"/>
      <c r="EU681" s="29"/>
      <c r="EV681" s="29"/>
      <c r="EW681" s="29"/>
      <c r="EX681" s="29"/>
      <c r="EY681" s="29"/>
      <c r="EZ681" s="29"/>
      <c r="FA681" s="29"/>
      <c r="FB681" s="29"/>
      <c r="FC681" s="29"/>
      <c r="FD681" s="29"/>
      <c r="FE681" s="29"/>
      <c r="FF681" s="29"/>
      <c r="FG681" s="29"/>
      <c r="FH681" s="29"/>
      <c r="FI681" s="29"/>
      <c r="FJ681" s="29"/>
      <c r="FK681" s="29"/>
      <c r="FL681" s="29"/>
      <c r="FM681" s="29"/>
      <c r="FN681" s="29"/>
      <c r="FO681" s="29"/>
      <c r="FP681" s="29"/>
      <c r="FQ681" s="29"/>
      <c r="FR681" s="29"/>
      <c r="FS681" s="29"/>
      <c r="FT681" s="29"/>
      <c r="FU681" s="29"/>
      <c r="FV681" s="29"/>
      <c r="FW681" s="29"/>
      <c r="FX681" s="29"/>
      <c r="FY681" s="29"/>
      <c r="FZ681" s="29"/>
      <c r="GA681" s="29"/>
      <c r="GB681" s="29"/>
      <c r="GC681" s="29"/>
      <c r="GD681" s="29"/>
      <c r="GE681" s="29"/>
      <c r="GF681" s="29"/>
      <c r="GG681" s="29"/>
      <c r="GH681" s="29"/>
      <c r="GI681" s="29"/>
      <c r="GJ681" s="29"/>
      <c r="GK681" s="29"/>
      <c r="GL681" s="29"/>
      <c r="GM681" s="29"/>
      <c r="GN681" s="29"/>
      <c r="GO681" s="29"/>
      <c r="GP681" s="29"/>
      <c r="GQ681" s="29"/>
      <c r="GR681" s="29"/>
      <c r="GS681" s="29"/>
      <c r="GT681" s="29"/>
      <c r="GU681" s="29"/>
      <c r="HP681" s="31"/>
      <c r="MX681" s="29"/>
      <c r="MY681" s="29"/>
    </row>
    <row r="682" ht="16.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c r="AX682" s="29"/>
      <c r="AY682" s="29"/>
      <c r="AZ682" s="29"/>
      <c r="BA682" s="29"/>
      <c r="BB682" s="29"/>
      <c r="BC682" s="29"/>
      <c r="BD682" s="29"/>
      <c r="BE682" s="29"/>
      <c r="BF682" s="29"/>
      <c r="BG682" s="29"/>
      <c r="BH682" s="29"/>
      <c r="BI682" s="29"/>
      <c r="BJ682" s="29"/>
      <c r="BK682" s="29"/>
      <c r="BL682" s="29"/>
      <c r="BM682" s="29"/>
      <c r="BN682" s="29"/>
      <c r="BO682" s="29"/>
      <c r="BP682" s="29"/>
      <c r="BQ682" s="29"/>
      <c r="BR682" s="29"/>
      <c r="BS682" s="29"/>
      <c r="BT682" s="29"/>
      <c r="BU682" s="29"/>
      <c r="BV682" s="29"/>
      <c r="BW682" s="29"/>
      <c r="BX682" s="29"/>
      <c r="BY682" s="29"/>
      <c r="BZ682" s="29"/>
      <c r="CA682" s="29"/>
      <c r="CB682" s="29"/>
      <c r="CC682" s="29"/>
      <c r="CD682" s="29"/>
      <c r="CE682" s="29"/>
      <c r="CF682" s="29"/>
      <c r="CG682" s="29"/>
      <c r="CH682" s="29"/>
      <c r="CI682" s="29"/>
      <c r="CJ682" s="29"/>
      <c r="CK682" s="29"/>
      <c r="CL682" s="29"/>
      <c r="CM682" s="29"/>
      <c r="CN682" s="29"/>
      <c r="CO682" s="29"/>
      <c r="CP682" s="29"/>
      <c r="CQ682" s="29"/>
      <c r="CR682" s="29"/>
      <c r="CS682" s="29"/>
      <c r="CT682" s="29"/>
      <c r="CU682" s="29"/>
      <c r="CV682" s="29"/>
      <c r="CW682" s="29"/>
      <c r="CX682" s="29"/>
      <c r="CY682" s="29"/>
      <c r="CZ682" s="29"/>
      <c r="DA682" s="29"/>
      <c r="DB682" s="29"/>
      <c r="DC682" s="29"/>
      <c r="DD682" s="29"/>
      <c r="DE682" s="29"/>
      <c r="DF682" s="29"/>
      <c r="DG682" s="29"/>
      <c r="DH682" s="29"/>
      <c r="DI682" s="29"/>
      <c r="DJ682" s="29"/>
      <c r="DK682" s="29"/>
      <c r="DL682" s="29"/>
      <c r="DM682" s="29"/>
      <c r="DN682" s="29"/>
      <c r="DO682" s="29"/>
      <c r="DP682" s="29"/>
      <c r="DQ682" s="29"/>
      <c r="DR682" s="29"/>
      <c r="DS682" s="29"/>
      <c r="DT682" s="29"/>
      <c r="DU682" s="29"/>
      <c r="DV682" s="29"/>
      <c r="DW682" s="29"/>
      <c r="DX682" s="29"/>
      <c r="DY682" s="29"/>
      <c r="DZ682" s="29"/>
      <c r="EA682" s="29"/>
      <c r="EB682" s="29"/>
      <c r="EC682" s="29"/>
      <c r="ED682" s="29"/>
      <c r="EE682" s="29"/>
      <c r="EF682" s="29"/>
      <c r="EG682" s="29"/>
      <c r="EH682" s="29"/>
      <c r="EI682" s="29"/>
      <c r="EJ682" s="29"/>
      <c r="EK682" s="29"/>
      <c r="EL682" s="29"/>
      <c r="EM682" s="29"/>
      <c r="EN682" s="29"/>
      <c r="EO682" s="29"/>
      <c r="EP682" s="29"/>
      <c r="EQ682" s="29"/>
      <c r="ER682" s="29"/>
      <c r="ES682" s="29"/>
      <c r="ET682" s="29"/>
      <c r="EU682" s="29"/>
      <c r="EV682" s="29"/>
      <c r="EW682" s="29"/>
      <c r="EX682" s="29"/>
      <c r="EY682" s="29"/>
      <c r="EZ682" s="29"/>
      <c r="FA682" s="29"/>
      <c r="FB682" s="29"/>
      <c r="FC682" s="29"/>
      <c r="FD682" s="29"/>
      <c r="FE682" s="29"/>
      <c r="FF682" s="29"/>
      <c r="FG682" s="29"/>
      <c r="FH682" s="29"/>
      <c r="FI682" s="29"/>
      <c r="FJ682" s="29"/>
      <c r="FK682" s="29"/>
      <c r="FL682" s="29"/>
      <c r="FM682" s="29"/>
      <c r="FN682" s="29"/>
      <c r="FO682" s="29"/>
      <c r="FP682" s="29"/>
      <c r="FQ682" s="29"/>
      <c r="FR682" s="29"/>
      <c r="FS682" s="29"/>
      <c r="FT682" s="29"/>
      <c r="FU682" s="29"/>
      <c r="FV682" s="29"/>
      <c r="FW682" s="29"/>
      <c r="FX682" s="29"/>
      <c r="FY682" s="29"/>
      <c r="FZ682" s="29"/>
      <c r="GA682" s="29"/>
      <c r="GB682" s="29"/>
      <c r="GC682" s="29"/>
      <c r="GD682" s="29"/>
      <c r="GE682" s="29"/>
      <c r="GF682" s="29"/>
      <c r="GG682" s="29"/>
      <c r="GH682" s="29"/>
      <c r="GI682" s="29"/>
      <c r="GJ682" s="29"/>
      <c r="GK682" s="29"/>
      <c r="GL682" s="29"/>
      <c r="GM682" s="29"/>
      <c r="GN682" s="29"/>
      <c r="GO682" s="29"/>
      <c r="GP682" s="29"/>
      <c r="GQ682" s="29"/>
      <c r="GR682" s="29"/>
      <c r="GS682" s="29"/>
      <c r="GT682" s="29"/>
      <c r="GU682" s="29"/>
      <c r="HP682" s="31"/>
      <c r="MX682" s="29"/>
      <c r="MY682" s="29"/>
    </row>
    <row r="683" ht="16.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c r="BO683" s="29"/>
      <c r="BP683" s="29"/>
      <c r="BQ683" s="29"/>
      <c r="BR683" s="29"/>
      <c r="BS683" s="29"/>
      <c r="BT683" s="29"/>
      <c r="BU683" s="29"/>
      <c r="BV683" s="29"/>
      <c r="BW683" s="29"/>
      <c r="BX683" s="29"/>
      <c r="BY683" s="29"/>
      <c r="BZ683" s="29"/>
      <c r="CA683" s="29"/>
      <c r="CB683" s="29"/>
      <c r="CC683" s="29"/>
      <c r="CD683" s="29"/>
      <c r="CE683" s="29"/>
      <c r="CF683" s="29"/>
      <c r="CG683" s="29"/>
      <c r="CH683" s="29"/>
      <c r="CI683" s="29"/>
      <c r="CJ683" s="29"/>
      <c r="CK683" s="29"/>
      <c r="CL683" s="29"/>
      <c r="CM683" s="29"/>
      <c r="CN683" s="29"/>
      <c r="CO683" s="29"/>
      <c r="CP683" s="29"/>
      <c r="CQ683" s="29"/>
      <c r="CR683" s="29"/>
      <c r="CS683" s="29"/>
      <c r="CT683" s="29"/>
      <c r="CU683" s="29"/>
      <c r="CV683" s="29"/>
      <c r="CW683" s="29"/>
      <c r="CX683" s="29"/>
      <c r="CY683" s="29"/>
      <c r="CZ683" s="29"/>
      <c r="DA683" s="29"/>
      <c r="DB683" s="29"/>
      <c r="DC683" s="29"/>
      <c r="DD683" s="29"/>
      <c r="DE683" s="29"/>
      <c r="DF683" s="29"/>
      <c r="DG683" s="29"/>
      <c r="DH683" s="29"/>
      <c r="DI683" s="29"/>
      <c r="DJ683" s="29"/>
      <c r="DK683" s="29"/>
      <c r="DL683" s="29"/>
      <c r="DM683" s="29"/>
      <c r="DN683" s="29"/>
      <c r="DO683" s="29"/>
      <c r="DP683" s="29"/>
      <c r="DQ683" s="29"/>
      <c r="DR683" s="29"/>
      <c r="DS683" s="29"/>
      <c r="DT683" s="29"/>
      <c r="DU683" s="29"/>
      <c r="DV683" s="29"/>
      <c r="DW683" s="29"/>
      <c r="DX683" s="29"/>
      <c r="DY683" s="29"/>
      <c r="DZ683" s="29"/>
      <c r="EA683" s="29"/>
      <c r="EB683" s="29"/>
      <c r="EC683" s="29"/>
      <c r="ED683" s="29"/>
      <c r="EE683" s="29"/>
      <c r="EF683" s="29"/>
      <c r="EG683" s="29"/>
      <c r="EH683" s="29"/>
      <c r="EI683" s="29"/>
      <c r="EJ683" s="29"/>
      <c r="EK683" s="29"/>
      <c r="EL683" s="29"/>
      <c r="EM683" s="29"/>
      <c r="EN683" s="29"/>
      <c r="EO683" s="29"/>
      <c r="EP683" s="29"/>
      <c r="EQ683" s="29"/>
      <c r="ER683" s="29"/>
      <c r="ES683" s="29"/>
      <c r="ET683" s="29"/>
      <c r="EU683" s="29"/>
      <c r="EV683" s="29"/>
      <c r="EW683" s="29"/>
      <c r="EX683" s="29"/>
      <c r="EY683" s="29"/>
      <c r="EZ683" s="29"/>
      <c r="FA683" s="29"/>
      <c r="FB683" s="29"/>
      <c r="FC683" s="29"/>
      <c r="FD683" s="29"/>
      <c r="FE683" s="29"/>
      <c r="FF683" s="29"/>
      <c r="FG683" s="29"/>
      <c r="FH683" s="29"/>
      <c r="FI683" s="29"/>
      <c r="FJ683" s="29"/>
      <c r="FK683" s="29"/>
      <c r="FL683" s="29"/>
      <c r="FM683" s="29"/>
      <c r="FN683" s="29"/>
      <c r="FO683" s="29"/>
      <c r="FP683" s="29"/>
      <c r="FQ683" s="29"/>
      <c r="FR683" s="29"/>
      <c r="FS683" s="29"/>
      <c r="FT683" s="29"/>
      <c r="FU683" s="29"/>
      <c r="FV683" s="29"/>
      <c r="FW683" s="29"/>
      <c r="FX683" s="29"/>
      <c r="FY683" s="29"/>
      <c r="FZ683" s="29"/>
      <c r="GA683" s="29"/>
      <c r="GB683" s="29"/>
      <c r="GC683" s="29"/>
      <c r="GD683" s="29"/>
      <c r="GE683" s="29"/>
      <c r="GF683" s="29"/>
      <c r="GG683" s="29"/>
      <c r="GH683" s="29"/>
      <c r="GI683" s="29"/>
      <c r="GJ683" s="29"/>
      <c r="GK683" s="29"/>
      <c r="GL683" s="29"/>
      <c r="GM683" s="29"/>
      <c r="GN683" s="29"/>
      <c r="GO683" s="29"/>
      <c r="GP683" s="29"/>
      <c r="GQ683" s="29"/>
      <c r="GR683" s="29"/>
      <c r="GS683" s="29"/>
      <c r="GT683" s="29"/>
      <c r="GU683" s="29"/>
      <c r="HP683" s="31"/>
      <c r="MX683" s="29"/>
      <c r="MY683" s="29"/>
    </row>
    <row r="684" ht="16.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c r="AX684" s="29"/>
      <c r="AY684" s="29"/>
      <c r="AZ684" s="29"/>
      <c r="BA684" s="29"/>
      <c r="BB684" s="29"/>
      <c r="BC684" s="29"/>
      <c r="BD684" s="29"/>
      <c r="BE684" s="29"/>
      <c r="BF684" s="29"/>
      <c r="BG684" s="29"/>
      <c r="BH684" s="29"/>
      <c r="BI684" s="29"/>
      <c r="BJ684" s="29"/>
      <c r="BK684" s="29"/>
      <c r="BL684" s="29"/>
      <c r="BM684" s="29"/>
      <c r="BN684" s="29"/>
      <c r="BO684" s="29"/>
      <c r="BP684" s="29"/>
      <c r="BQ684" s="29"/>
      <c r="BR684" s="29"/>
      <c r="BS684" s="29"/>
      <c r="BT684" s="29"/>
      <c r="BU684" s="29"/>
      <c r="BV684" s="29"/>
      <c r="BW684" s="29"/>
      <c r="BX684" s="29"/>
      <c r="BY684" s="29"/>
      <c r="BZ684" s="29"/>
      <c r="CA684" s="29"/>
      <c r="CB684" s="29"/>
      <c r="CC684" s="29"/>
      <c r="CD684" s="29"/>
      <c r="CE684" s="29"/>
      <c r="CF684" s="29"/>
      <c r="CG684" s="29"/>
      <c r="CH684" s="29"/>
      <c r="CI684" s="29"/>
      <c r="CJ684" s="29"/>
      <c r="CK684" s="29"/>
      <c r="CL684" s="29"/>
      <c r="CM684" s="29"/>
      <c r="CN684" s="29"/>
      <c r="CO684" s="29"/>
      <c r="CP684" s="29"/>
      <c r="CQ684" s="29"/>
      <c r="CR684" s="29"/>
      <c r="CS684" s="29"/>
      <c r="CT684" s="29"/>
      <c r="CU684" s="29"/>
      <c r="CV684" s="29"/>
      <c r="CW684" s="29"/>
      <c r="CX684" s="29"/>
      <c r="CY684" s="29"/>
      <c r="CZ684" s="29"/>
      <c r="DA684" s="29"/>
      <c r="DB684" s="29"/>
      <c r="DC684" s="29"/>
      <c r="DD684" s="29"/>
      <c r="DE684" s="29"/>
      <c r="DF684" s="29"/>
      <c r="DG684" s="29"/>
      <c r="DH684" s="29"/>
      <c r="DI684" s="29"/>
      <c r="DJ684" s="29"/>
      <c r="DK684" s="29"/>
      <c r="DL684" s="29"/>
      <c r="DM684" s="29"/>
      <c r="DN684" s="29"/>
      <c r="DO684" s="29"/>
      <c r="DP684" s="29"/>
      <c r="DQ684" s="29"/>
      <c r="DR684" s="29"/>
      <c r="DS684" s="29"/>
      <c r="DT684" s="29"/>
      <c r="DU684" s="29"/>
      <c r="DV684" s="29"/>
      <c r="DW684" s="29"/>
      <c r="DX684" s="29"/>
      <c r="DY684" s="29"/>
      <c r="DZ684" s="29"/>
      <c r="EA684" s="29"/>
      <c r="EB684" s="29"/>
      <c r="EC684" s="29"/>
      <c r="ED684" s="29"/>
      <c r="EE684" s="29"/>
      <c r="EF684" s="29"/>
      <c r="EG684" s="29"/>
      <c r="EH684" s="29"/>
      <c r="EI684" s="29"/>
      <c r="EJ684" s="29"/>
      <c r="EK684" s="29"/>
      <c r="EL684" s="29"/>
      <c r="EM684" s="29"/>
      <c r="EN684" s="29"/>
      <c r="EO684" s="29"/>
      <c r="EP684" s="29"/>
      <c r="EQ684" s="29"/>
      <c r="ER684" s="29"/>
      <c r="ES684" s="29"/>
      <c r="ET684" s="29"/>
      <c r="EU684" s="29"/>
      <c r="EV684" s="29"/>
      <c r="EW684" s="29"/>
      <c r="EX684" s="29"/>
      <c r="EY684" s="29"/>
      <c r="EZ684" s="29"/>
      <c r="FA684" s="29"/>
      <c r="FB684" s="29"/>
      <c r="FC684" s="29"/>
      <c r="FD684" s="29"/>
      <c r="FE684" s="29"/>
      <c r="FF684" s="29"/>
      <c r="FG684" s="29"/>
      <c r="FH684" s="29"/>
      <c r="FI684" s="29"/>
      <c r="FJ684" s="29"/>
      <c r="FK684" s="29"/>
      <c r="FL684" s="29"/>
      <c r="FM684" s="29"/>
      <c r="FN684" s="29"/>
      <c r="FO684" s="29"/>
      <c r="FP684" s="29"/>
      <c r="FQ684" s="29"/>
      <c r="FR684" s="29"/>
      <c r="FS684" s="29"/>
      <c r="FT684" s="29"/>
      <c r="FU684" s="29"/>
      <c r="FV684" s="29"/>
      <c r="FW684" s="29"/>
      <c r="FX684" s="29"/>
      <c r="FY684" s="29"/>
      <c r="FZ684" s="29"/>
      <c r="GA684" s="29"/>
      <c r="GB684" s="29"/>
      <c r="GC684" s="29"/>
      <c r="GD684" s="29"/>
      <c r="GE684" s="29"/>
      <c r="GF684" s="29"/>
      <c r="GG684" s="29"/>
      <c r="GH684" s="29"/>
      <c r="GI684" s="29"/>
      <c r="GJ684" s="29"/>
      <c r="GK684" s="29"/>
      <c r="GL684" s="29"/>
      <c r="GM684" s="29"/>
      <c r="GN684" s="29"/>
      <c r="GO684" s="29"/>
      <c r="GP684" s="29"/>
      <c r="GQ684" s="29"/>
      <c r="GR684" s="29"/>
      <c r="GS684" s="29"/>
      <c r="GT684" s="29"/>
      <c r="GU684" s="29"/>
      <c r="HP684" s="31"/>
      <c r="MX684" s="29"/>
      <c r="MY684" s="29"/>
    </row>
    <row r="685" ht="16.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c r="BO685" s="29"/>
      <c r="BP685" s="29"/>
      <c r="BQ685" s="29"/>
      <c r="BR685" s="29"/>
      <c r="BS685" s="29"/>
      <c r="BT685" s="29"/>
      <c r="BU685" s="29"/>
      <c r="BV685" s="29"/>
      <c r="BW685" s="29"/>
      <c r="BX685" s="29"/>
      <c r="BY685" s="29"/>
      <c r="BZ685" s="29"/>
      <c r="CA685" s="29"/>
      <c r="CB685" s="29"/>
      <c r="CC685" s="29"/>
      <c r="CD685" s="29"/>
      <c r="CE685" s="29"/>
      <c r="CF685" s="29"/>
      <c r="CG685" s="29"/>
      <c r="CH685" s="29"/>
      <c r="CI685" s="29"/>
      <c r="CJ685" s="29"/>
      <c r="CK685" s="29"/>
      <c r="CL685" s="29"/>
      <c r="CM685" s="29"/>
      <c r="CN685" s="29"/>
      <c r="CO685" s="29"/>
      <c r="CP685" s="29"/>
      <c r="CQ685" s="29"/>
      <c r="CR685" s="29"/>
      <c r="CS685" s="29"/>
      <c r="CT685" s="29"/>
      <c r="CU685" s="29"/>
      <c r="CV685" s="29"/>
      <c r="CW685" s="29"/>
      <c r="CX685" s="29"/>
      <c r="CY685" s="29"/>
      <c r="CZ685" s="29"/>
      <c r="DA685" s="29"/>
      <c r="DB685" s="29"/>
      <c r="DC685" s="29"/>
      <c r="DD685" s="29"/>
      <c r="DE685" s="29"/>
      <c r="DF685" s="29"/>
      <c r="DG685" s="29"/>
      <c r="DH685" s="29"/>
      <c r="DI685" s="29"/>
      <c r="DJ685" s="29"/>
      <c r="DK685" s="29"/>
      <c r="DL685" s="29"/>
      <c r="DM685" s="29"/>
      <c r="DN685" s="29"/>
      <c r="DO685" s="29"/>
      <c r="DP685" s="29"/>
      <c r="DQ685" s="29"/>
      <c r="DR685" s="29"/>
      <c r="DS685" s="29"/>
      <c r="DT685" s="29"/>
      <c r="DU685" s="29"/>
      <c r="DV685" s="29"/>
      <c r="DW685" s="29"/>
      <c r="DX685" s="29"/>
      <c r="DY685" s="29"/>
      <c r="DZ685" s="29"/>
      <c r="EA685" s="29"/>
      <c r="EB685" s="29"/>
      <c r="EC685" s="29"/>
      <c r="ED685" s="29"/>
      <c r="EE685" s="29"/>
      <c r="EF685" s="29"/>
      <c r="EG685" s="29"/>
      <c r="EH685" s="29"/>
      <c r="EI685" s="29"/>
      <c r="EJ685" s="29"/>
      <c r="EK685" s="29"/>
      <c r="EL685" s="29"/>
      <c r="EM685" s="29"/>
      <c r="EN685" s="29"/>
      <c r="EO685" s="29"/>
      <c r="EP685" s="29"/>
      <c r="EQ685" s="29"/>
      <c r="ER685" s="29"/>
      <c r="ES685" s="29"/>
      <c r="ET685" s="29"/>
      <c r="EU685" s="29"/>
      <c r="EV685" s="29"/>
      <c r="EW685" s="29"/>
      <c r="EX685" s="29"/>
      <c r="EY685" s="29"/>
      <c r="EZ685" s="29"/>
      <c r="FA685" s="29"/>
      <c r="FB685" s="29"/>
      <c r="FC685" s="29"/>
      <c r="FD685" s="29"/>
      <c r="FE685" s="29"/>
      <c r="FF685" s="29"/>
      <c r="FG685" s="29"/>
      <c r="FH685" s="29"/>
      <c r="FI685" s="29"/>
      <c r="FJ685" s="29"/>
      <c r="FK685" s="29"/>
      <c r="FL685" s="29"/>
      <c r="FM685" s="29"/>
      <c r="FN685" s="29"/>
      <c r="FO685" s="29"/>
      <c r="FP685" s="29"/>
      <c r="FQ685" s="29"/>
      <c r="FR685" s="29"/>
      <c r="FS685" s="29"/>
      <c r="FT685" s="29"/>
      <c r="FU685" s="29"/>
      <c r="FV685" s="29"/>
      <c r="FW685" s="29"/>
      <c r="FX685" s="29"/>
      <c r="FY685" s="29"/>
      <c r="FZ685" s="29"/>
      <c r="GA685" s="29"/>
      <c r="GB685" s="29"/>
      <c r="GC685" s="29"/>
      <c r="GD685" s="29"/>
      <c r="GE685" s="29"/>
      <c r="GF685" s="29"/>
      <c r="GG685" s="29"/>
      <c r="GH685" s="29"/>
      <c r="GI685" s="29"/>
      <c r="GJ685" s="29"/>
      <c r="GK685" s="29"/>
      <c r="GL685" s="29"/>
      <c r="GM685" s="29"/>
      <c r="GN685" s="29"/>
      <c r="GO685" s="29"/>
      <c r="GP685" s="29"/>
      <c r="GQ685" s="29"/>
      <c r="GR685" s="29"/>
      <c r="GS685" s="29"/>
      <c r="GT685" s="29"/>
      <c r="GU685" s="29"/>
      <c r="HP685" s="31"/>
      <c r="MX685" s="29"/>
      <c r="MY685" s="29"/>
    </row>
    <row r="686" ht="16.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c r="AX686" s="29"/>
      <c r="AY686" s="29"/>
      <c r="AZ686" s="29"/>
      <c r="BA686" s="29"/>
      <c r="BB686" s="29"/>
      <c r="BC686" s="29"/>
      <c r="BD686" s="29"/>
      <c r="BE686" s="29"/>
      <c r="BF686" s="29"/>
      <c r="BG686" s="29"/>
      <c r="BH686" s="29"/>
      <c r="BI686" s="29"/>
      <c r="BJ686" s="29"/>
      <c r="BK686" s="29"/>
      <c r="BL686" s="29"/>
      <c r="BM686" s="29"/>
      <c r="BN686" s="29"/>
      <c r="BO686" s="29"/>
      <c r="BP686" s="29"/>
      <c r="BQ686" s="29"/>
      <c r="BR686" s="29"/>
      <c r="BS686" s="29"/>
      <c r="BT686" s="29"/>
      <c r="BU686" s="29"/>
      <c r="BV686" s="29"/>
      <c r="BW686" s="29"/>
      <c r="BX686" s="29"/>
      <c r="BY686" s="29"/>
      <c r="BZ686" s="29"/>
      <c r="CA686" s="29"/>
      <c r="CB686" s="29"/>
      <c r="CC686" s="29"/>
      <c r="CD686" s="29"/>
      <c r="CE686" s="29"/>
      <c r="CF686" s="29"/>
      <c r="CG686" s="29"/>
      <c r="CH686" s="29"/>
      <c r="CI686" s="29"/>
      <c r="CJ686" s="29"/>
      <c r="CK686" s="29"/>
      <c r="CL686" s="29"/>
      <c r="CM686" s="29"/>
      <c r="CN686" s="29"/>
      <c r="CO686" s="29"/>
      <c r="CP686" s="29"/>
      <c r="CQ686" s="29"/>
      <c r="CR686" s="29"/>
      <c r="CS686" s="29"/>
      <c r="CT686" s="29"/>
      <c r="CU686" s="29"/>
      <c r="CV686" s="29"/>
      <c r="CW686" s="29"/>
      <c r="CX686" s="29"/>
      <c r="CY686" s="29"/>
      <c r="CZ686" s="29"/>
      <c r="DA686" s="29"/>
      <c r="DB686" s="29"/>
      <c r="DC686" s="29"/>
      <c r="DD686" s="29"/>
      <c r="DE686" s="29"/>
      <c r="DF686" s="29"/>
      <c r="DG686" s="29"/>
      <c r="DH686" s="29"/>
      <c r="DI686" s="29"/>
      <c r="DJ686" s="29"/>
      <c r="DK686" s="29"/>
      <c r="DL686" s="29"/>
      <c r="DM686" s="29"/>
      <c r="DN686" s="29"/>
      <c r="DO686" s="29"/>
      <c r="DP686" s="29"/>
      <c r="DQ686" s="29"/>
      <c r="DR686" s="29"/>
      <c r="DS686" s="29"/>
      <c r="DT686" s="29"/>
      <c r="DU686" s="29"/>
      <c r="DV686" s="29"/>
      <c r="DW686" s="29"/>
      <c r="DX686" s="29"/>
      <c r="DY686" s="29"/>
      <c r="DZ686" s="29"/>
      <c r="EA686" s="29"/>
      <c r="EB686" s="29"/>
      <c r="EC686" s="29"/>
      <c r="ED686" s="29"/>
      <c r="EE686" s="29"/>
      <c r="EF686" s="29"/>
      <c r="EG686" s="29"/>
      <c r="EH686" s="29"/>
      <c r="EI686" s="29"/>
      <c r="EJ686" s="29"/>
      <c r="EK686" s="29"/>
      <c r="EL686" s="29"/>
      <c r="EM686" s="29"/>
      <c r="EN686" s="29"/>
      <c r="EO686" s="29"/>
      <c r="EP686" s="29"/>
      <c r="EQ686" s="29"/>
      <c r="ER686" s="29"/>
      <c r="ES686" s="29"/>
      <c r="ET686" s="29"/>
      <c r="EU686" s="29"/>
      <c r="EV686" s="29"/>
      <c r="EW686" s="29"/>
      <c r="EX686" s="29"/>
      <c r="EY686" s="29"/>
      <c r="EZ686" s="29"/>
      <c r="FA686" s="29"/>
      <c r="FB686" s="29"/>
      <c r="FC686" s="29"/>
      <c r="FD686" s="29"/>
      <c r="FE686" s="29"/>
      <c r="FF686" s="29"/>
      <c r="FG686" s="29"/>
      <c r="FH686" s="29"/>
      <c r="FI686" s="29"/>
      <c r="FJ686" s="29"/>
      <c r="FK686" s="29"/>
      <c r="FL686" s="29"/>
      <c r="FM686" s="29"/>
      <c r="FN686" s="29"/>
      <c r="FO686" s="29"/>
      <c r="FP686" s="29"/>
      <c r="FQ686" s="29"/>
      <c r="FR686" s="29"/>
      <c r="FS686" s="29"/>
      <c r="FT686" s="29"/>
      <c r="FU686" s="29"/>
      <c r="FV686" s="29"/>
      <c r="FW686" s="29"/>
      <c r="FX686" s="29"/>
      <c r="FY686" s="29"/>
      <c r="FZ686" s="29"/>
      <c r="GA686" s="29"/>
      <c r="GB686" s="29"/>
      <c r="GC686" s="29"/>
      <c r="GD686" s="29"/>
      <c r="GE686" s="29"/>
      <c r="GF686" s="29"/>
      <c r="GG686" s="29"/>
      <c r="GH686" s="29"/>
      <c r="GI686" s="29"/>
      <c r="GJ686" s="29"/>
      <c r="GK686" s="29"/>
      <c r="GL686" s="29"/>
      <c r="GM686" s="29"/>
      <c r="GN686" s="29"/>
      <c r="GO686" s="29"/>
      <c r="GP686" s="29"/>
      <c r="GQ686" s="29"/>
      <c r="GR686" s="29"/>
      <c r="GS686" s="29"/>
      <c r="GT686" s="29"/>
      <c r="GU686" s="29"/>
      <c r="HP686" s="31"/>
      <c r="MX686" s="29"/>
      <c r="MY686" s="29"/>
    </row>
    <row r="687" ht="16.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c r="BO687" s="29"/>
      <c r="BP687" s="29"/>
      <c r="BQ687" s="29"/>
      <c r="BR687" s="29"/>
      <c r="BS687" s="29"/>
      <c r="BT687" s="29"/>
      <c r="BU687" s="29"/>
      <c r="BV687" s="29"/>
      <c r="BW687" s="29"/>
      <c r="BX687" s="29"/>
      <c r="BY687" s="29"/>
      <c r="BZ687" s="29"/>
      <c r="CA687" s="29"/>
      <c r="CB687" s="29"/>
      <c r="CC687" s="29"/>
      <c r="CD687" s="29"/>
      <c r="CE687" s="29"/>
      <c r="CF687" s="29"/>
      <c r="CG687" s="29"/>
      <c r="CH687" s="29"/>
      <c r="CI687" s="29"/>
      <c r="CJ687" s="29"/>
      <c r="CK687" s="29"/>
      <c r="CL687" s="29"/>
      <c r="CM687" s="29"/>
      <c r="CN687" s="29"/>
      <c r="CO687" s="29"/>
      <c r="CP687" s="29"/>
      <c r="CQ687" s="29"/>
      <c r="CR687" s="29"/>
      <c r="CS687" s="29"/>
      <c r="CT687" s="29"/>
      <c r="CU687" s="29"/>
      <c r="CV687" s="29"/>
      <c r="CW687" s="29"/>
      <c r="CX687" s="29"/>
      <c r="CY687" s="29"/>
      <c r="CZ687" s="29"/>
      <c r="DA687" s="29"/>
      <c r="DB687" s="29"/>
      <c r="DC687" s="29"/>
      <c r="DD687" s="29"/>
      <c r="DE687" s="29"/>
      <c r="DF687" s="29"/>
      <c r="DG687" s="29"/>
      <c r="DH687" s="29"/>
      <c r="DI687" s="29"/>
      <c r="DJ687" s="29"/>
      <c r="DK687" s="29"/>
      <c r="DL687" s="29"/>
      <c r="DM687" s="29"/>
      <c r="DN687" s="29"/>
      <c r="DO687" s="29"/>
      <c r="DP687" s="29"/>
      <c r="DQ687" s="29"/>
      <c r="DR687" s="29"/>
      <c r="DS687" s="29"/>
      <c r="DT687" s="29"/>
      <c r="DU687" s="29"/>
      <c r="DV687" s="29"/>
      <c r="DW687" s="29"/>
      <c r="DX687" s="29"/>
      <c r="DY687" s="29"/>
      <c r="DZ687" s="29"/>
      <c r="EA687" s="29"/>
      <c r="EB687" s="29"/>
      <c r="EC687" s="29"/>
      <c r="ED687" s="29"/>
      <c r="EE687" s="29"/>
      <c r="EF687" s="29"/>
      <c r="EG687" s="29"/>
      <c r="EH687" s="29"/>
      <c r="EI687" s="29"/>
      <c r="EJ687" s="29"/>
      <c r="EK687" s="29"/>
      <c r="EL687" s="29"/>
      <c r="EM687" s="29"/>
      <c r="EN687" s="29"/>
      <c r="EO687" s="29"/>
      <c r="EP687" s="29"/>
      <c r="EQ687" s="29"/>
      <c r="ER687" s="29"/>
      <c r="ES687" s="29"/>
      <c r="ET687" s="29"/>
      <c r="EU687" s="29"/>
      <c r="EV687" s="29"/>
      <c r="EW687" s="29"/>
      <c r="EX687" s="29"/>
      <c r="EY687" s="29"/>
      <c r="EZ687" s="29"/>
      <c r="FA687" s="29"/>
      <c r="FB687" s="29"/>
      <c r="FC687" s="29"/>
      <c r="FD687" s="29"/>
      <c r="FE687" s="29"/>
      <c r="FF687" s="29"/>
      <c r="FG687" s="29"/>
      <c r="FH687" s="29"/>
      <c r="FI687" s="29"/>
      <c r="FJ687" s="29"/>
      <c r="FK687" s="29"/>
      <c r="FL687" s="29"/>
      <c r="FM687" s="29"/>
      <c r="FN687" s="29"/>
      <c r="FO687" s="29"/>
      <c r="FP687" s="29"/>
      <c r="FQ687" s="29"/>
      <c r="FR687" s="29"/>
      <c r="FS687" s="29"/>
      <c r="FT687" s="29"/>
      <c r="FU687" s="29"/>
      <c r="FV687" s="29"/>
      <c r="FW687" s="29"/>
      <c r="FX687" s="29"/>
      <c r="FY687" s="29"/>
      <c r="FZ687" s="29"/>
      <c r="GA687" s="29"/>
      <c r="GB687" s="29"/>
      <c r="GC687" s="29"/>
      <c r="GD687" s="29"/>
      <c r="GE687" s="29"/>
      <c r="GF687" s="29"/>
      <c r="GG687" s="29"/>
      <c r="GH687" s="29"/>
      <c r="GI687" s="29"/>
      <c r="GJ687" s="29"/>
      <c r="GK687" s="29"/>
      <c r="GL687" s="29"/>
      <c r="GM687" s="29"/>
      <c r="GN687" s="29"/>
      <c r="GO687" s="29"/>
      <c r="GP687" s="29"/>
      <c r="GQ687" s="29"/>
      <c r="GR687" s="29"/>
      <c r="GS687" s="29"/>
      <c r="GT687" s="29"/>
      <c r="GU687" s="29"/>
      <c r="HP687" s="31"/>
      <c r="MX687" s="29"/>
      <c r="MY687" s="29"/>
    </row>
    <row r="688" ht="16.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c r="AX688" s="29"/>
      <c r="AY688" s="29"/>
      <c r="AZ688" s="29"/>
      <c r="BA688" s="29"/>
      <c r="BB688" s="29"/>
      <c r="BC688" s="29"/>
      <c r="BD688" s="29"/>
      <c r="BE688" s="29"/>
      <c r="BF688" s="29"/>
      <c r="BG688" s="29"/>
      <c r="BH688" s="29"/>
      <c r="BI688" s="29"/>
      <c r="BJ688" s="29"/>
      <c r="BK688" s="29"/>
      <c r="BL688" s="29"/>
      <c r="BM688" s="29"/>
      <c r="BN688" s="29"/>
      <c r="BO688" s="29"/>
      <c r="BP688" s="29"/>
      <c r="BQ688" s="29"/>
      <c r="BR688" s="29"/>
      <c r="BS688" s="29"/>
      <c r="BT688" s="29"/>
      <c r="BU688" s="29"/>
      <c r="BV688" s="29"/>
      <c r="BW688" s="29"/>
      <c r="BX688" s="29"/>
      <c r="BY688" s="29"/>
      <c r="BZ688" s="29"/>
      <c r="CA688" s="29"/>
      <c r="CB688" s="29"/>
      <c r="CC688" s="29"/>
      <c r="CD688" s="29"/>
      <c r="CE688" s="29"/>
      <c r="CF688" s="29"/>
      <c r="CG688" s="29"/>
      <c r="CH688" s="29"/>
      <c r="CI688" s="29"/>
      <c r="CJ688" s="29"/>
      <c r="CK688" s="29"/>
      <c r="CL688" s="29"/>
      <c r="CM688" s="29"/>
      <c r="CN688" s="29"/>
      <c r="CO688" s="29"/>
      <c r="CP688" s="29"/>
      <c r="CQ688" s="29"/>
      <c r="CR688" s="29"/>
      <c r="CS688" s="29"/>
      <c r="CT688" s="29"/>
      <c r="CU688" s="29"/>
      <c r="CV688" s="29"/>
      <c r="CW688" s="29"/>
      <c r="CX688" s="29"/>
      <c r="CY688" s="29"/>
      <c r="CZ688" s="29"/>
      <c r="DA688" s="29"/>
      <c r="DB688" s="29"/>
      <c r="DC688" s="29"/>
      <c r="DD688" s="29"/>
      <c r="DE688" s="29"/>
      <c r="DF688" s="29"/>
      <c r="DG688" s="29"/>
      <c r="DH688" s="29"/>
      <c r="DI688" s="29"/>
      <c r="DJ688" s="29"/>
      <c r="DK688" s="29"/>
      <c r="DL688" s="29"/>
      <c r="DM688" s="29"/>
      <c r="DN688" s="29"/>
      <c r="DO688" s="29"/>
      <c r="DP688" s="29"/>
      <c r="DQ688" s="29"/>
      <c r="DR688" s="29"/>
      <c r="DS688" s="29"/>
      <c r="DT688" s="29"/>
      <c r="DU688" s="29"/>
      <c r="DV688" s="29"/>
      <c r="DW688" s="29"/>
      <c r="DX688" s="29"/>
      <c r="DY688" s="29"/>
      <c r="DZ688" s="29"/>
      <c r="EA688" s="29"/>
      <c r="EB688" s="29"/>
      <c r="EC688" s="29"/>
      <c r="ED688" s="29"/>
      <c r="EE688" s="29"/>
      <c r="EF688" s="29"/>
      <c r="EG688" s="29"/>
      <c r="EH688" s="29"/>
      <c r="EI688" s="29"/>
      <c r="EJ688" s="29"/>
      <c r="EK688" s="29"/>
      <c r="EL688" s="29"/>
      <c r="EM688" s="29"/>
      <c r="EN688" s="29"/>
      <c r="EO688" s="29"/>
      <c r="EP688" s="29"/>
      <c r="EQ688" s="29"/>
      <c r="ER688" s="29"/>
      <c r="ES688" s="29"/>
      <c r="ET688" s="29"/>
      <c r="EU688" s="29"/>
      <c r="EV688" s="29"/>
      <c r="EW688" s="29"/>
      <c r="EX688" s="29"/>
      <c r="EY688" s="29"/>
      <c r="EZ688" s="29"/>
      <c r="FA688" s="29"/>
      <c r="FB688" s="29"/>
      <c r="FC688" s="29"/>
      <c r="FD688" s="29"/>
      <c r="FE688" s="29"/>
      <c r="FF688" s="29"/>
      <c r="FG688" s="29"/>
      <c r="FH688" s="29"/>
      <c r="FI688" s="29"/>
      <c r="FJ688" s="29"/>
      <c r="FK688" s="29"/>
      <c r="FL688" s="29"/>
      <c r="FM688" s="29"/>
      <c r="FN688" s="29"/>
      <c r="FO688" s="29"/>
      <c r="FP688" s="29"/>
      <c r="FQ688" s="29"/>
      <c r="FR688" s="29"/>
      <c r="FS688" s="29"/>
      <c r="FT688" s="29"/>
      <c r="FU688" s="29"/>
      <c r="FV688" s="29"/>
      <c r="FW688" s="29"/>
      <c r="FX688" s="29"/>
      <c r="FY688" s="29"/>
      <c r="FZ688" s="29"/>
      <c r="GA688" s="29"/>
      <c r="GB688" s="29"/>
      <c r="GC688" s="29"/>
      <c r="GD688" s="29"/>
      <c r="GE688" s="29"/>
      <c r="GF688" s="29"/>
      <c r="GG688" s="29"/>
      <c r="GH688" s="29"/>
      <c r="GI688" s="29"/>
      <c r="GJ688" s="29"/>
      <c r="GK688" s="29"/>
      <c r="GL688" s="29"/>
      <c r="GM688" s="29"/>
      <c r="GN688" s="29"/>
      <c r="GO688" s="29"/>
      <c r="GP688" s="29"/>
      <c r="GQ688" s="29"/>
      <c r="GR688" s="29"/>
      <c r="GS688" s="29"/>
      <c r="GT688" s="29"/>
      <c r="GU688" s="29"/>
      <c r="HP688" s="31"/>
      <c r="MX688" s="29"/>
      <c r="MY688" s="29"/>
    </row>
    <row r="689" ht="16.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c r="BO689" s="29"/>
      <c r="BP689" s="29"/>
      <c r="BQ689" s="29"/>
      <c r="BR689" s="29"/>
      <c r="BS689" s="29"/>
      <c r="BT689" s="29"/>
      <c r="BU689" s="29"/>
      <c r="BV689" s="29"/>
      <c r="BW689" s="29"/>
      <c r="BX689" s="29"/>
      <c r="BY689" s="29"/>
      <c r="BZ689" s="29"/>
      <c r="CA689" s="29"/>
      <c r="CB689" s="29"/>
      <c r="CC689" s="29"/>
      <c r="CD689" s="29"/>
      <c r="CE689" s="29"/>
      <c r="CF689" s="29"/>
      <c r="CG689" s="29"/>
      <c r="CH689" s="29"/>
      <c r="CI689" s="29"/>
      <c r="CJ689" s="29"/>
      <c r="CK689" s="29"/>
      <c r="CL689" s="29"/>
      <c r="CM689" s="29"/>
      <c r="CN689" s="29"/>
      <c r="CO689" s="29"/>
      <c r="CP689" s="29"/>
      <c r="CQ689" s="29"/>
      <c r="CR689" s="29"/>
      <c r="CS689" s="29"/>
      <c r="CT689" s="29"/>
      <c r="CU689" s="29"/>
      <c r="CV689" s="29"/>
      <c r="CW689" s="29"/>
      <c r="CX689" s="29"/>
      <c r="CY689" s="29"/>
      <c r="CZ689" s="29"/>
      <c r="DA689" s="29"/>
      <c r="DB689" s="29"/>
      <c r="DC689" s="29"/>
      <c r="DD689" s="29"/>
      <c r="DE689" s="29"/>
      <c r="DF689" s="29"/>
      <c r="DG689" s="29"/>
      <c r="DH689" s="29"/>
      <c r="DI689" s="29"/>
      <c r="DJ689" s="29"/>
      <c r="DK689" s="29"/>
      <c r="DL689" s="29"/>
      <c r="DM689" s="29"/>
      <c r="DN689" s="29"/>
      <c r="DO689" s="29"/>
      <c r="DP689" s="29"/>
      <c r="DQ689" s="29"/>
      <c r="DR689" s="29"/>
      <c r="DS689" s="29"/>
      <c r="DT689" s="29"/>
      <c r="DU689" s="29"/>
      <c r="DV689" s="29"/>
      <c r="DW689" s="29"/>
      <c r="DX689" s="29"/>
      <c r="DY689" s="29"/>
      <c r="DZ689" s="29"/>
      <c r="EA689" s="29"/>
      <c r="EB689" s="29"/>
      <c r="EC689" s="29"/>
      <c r="ED689" s="29"/>
      <c r="EE689" s="29"/>
      <c r="EF689" s="29"/>
      <c r="EG689" s="29"/>
      <c r="EH689" s="29"/>
      <c r="EI689" s="29"/>
      <c r="EJ689" s="29"/>
      <c r="EK689" s="29"/>
      <c r="EL689" s="29"/>
      <c r="EM689" s="29"/>
      <c r="EN689" s="29"/>
      <c r="EO689" s="29"/>
      <c r="EP689" s="29"/>
      <c r="EQ689" s="29"/>
      <c r="ER689" s="29"/>
      <c r="ES689" s="29"/>
      <c r="ET689" s="29"/>
      <c r="EU689" s="29"/>
      <c r="EV689" s="29"/>
      <c r="EW689" s="29"/>
      <c r="EX689" s="29"/>
      <c r="EY689" s="29"/>
      <c r="EZ689" s="29"/>
      <c r="FA689" s="29"/>
      <c r="FB689" s="29"/>
      <c r="FC689" s="29"/>
      <c r="FD689" s="29"/>
      <c r="FE689" s="29"/>
      <c r="FF689" s="29"/>
      <c r="FG689" s="29"/>
      <c r="FH689" s="29"/>
      <c r="FI689" s="29"/>
      <c r="FJ689" s="29"/>
      <c r="FK689" s="29"/>
      <c r="FL689" s="29"/>
      <c r="FM689" s="29"/>
      <c r="FN689" s="29"/>
      <c r="FO689" s="29"/>
      <c r="FP689" s="29"/>
      <c r="FQ689" s="29"/>
      <c r="FR689" s="29"/>
      <c r="FS689" s="29"/>
      <c r="FT689" s="29"/>
      <c r="FU689" s="29"/>
      <c r="FV689" s="29"/>
      <c r="FW689" s="29"/>
      <c r="FX689" s="29"/>
      <c r="FY689" s="29"/>
      <c r="FZ689" s="29"/>
      <c r="GA689" s="29"/>
      <c r="GB689" s="29"/>
      <c r="GC689" s="29"/>
      <c r="GD689" s="29"/>
      <c r="GE689" s="29"/>
      <c r="GF689" s="29"/>
      <c r="GG689" s="29"/>
      <c r="GH689" s="29"/>
      <c r="GI689" s="29"/>
      <c r="GJ689" s="29"/>
      <c r="GK689" s="29"/>
      <c r="GL689" s="29"/>
      <c r="GM689" s="29"/>
      <c r="GN689" s="29"/>
      <c r="GO689" s="29"/>
      <c r="GP689" s="29"/>
      <c r="GQ689" s="29"/>
      <c r="GR689" s="29"/>
      <c r="GS689" s="29"/>
      <c r="GT689" s="29"/>
      <c r="GU689" s="29"/>
      <c r="HP689" s="31"/>
      <c r="MX689" s="29"/>
      <c r="MY689" s="29"/>
    </row>
    <row r="690" ht="16.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c r="AX690" s="29"/>
      <c r="AY690" s="29"/>
      <c r="AZ690" s="29"/>
      <c r="BA690" s="29"/>
      <c r="BB690" s="29"/>
      <c r="BC690" s="29"/>
      <c r="BD690" s="29"/>
      <c r="BE690" s="29"/>
      <c r="BF690" s="29"/>
      <c r="BG690" s="29"/>
      <c r="BH690" s="29"/>
      <c r="BI690" s="29"/>
      <c r="BJ690" s="29"/>
      <c r="BK690" s="29"/>
      <c r="BL690" s="29"/>
      <c r="BM690" s="29"/>
      <c r="BN690" s="29"/>
      <c r="BO690" s="29"/>
      <c r="BP690" s="29"/>
      <c r="BQ690" s="29"/>
      <c r="BR690" s="29"/>
      <c r="BS690" s="29"/>
      <c r="BT690" s="29"/>
      <c r="BU690" s="29"/>
      <c r="BV690" s="29"/>
      <c r="BW690" s="29"/>
      <c r="BX690" s="29"/>
      <c r="BY690" s="29"/>
      <c r="BZ690" s="29"/>
      <c r="CA690" s="29"/>
      <c r="CB690" s="29"/>
      <c r="CC690" s="29"/>
      <c r="CD690" s="29"/>
      <c r="CE690" s="29"/>
      <c r="CF690" s="29"/>
      <c r="CG690" s="29"/>
      <c r="CH690" s="29"/>
      <c r="CI690" s="29"/>
      <c r="CJ690" s="29"/>
      <c r="CK690" s="29"/>
      <c r="CL690" s="29"/>
      <c r="CM690" s="29"/>
      <c r="CN690" s="29"/>
      <c r="CO690" s="29"/>
      <c r="CP690" s="29"/>
      <c r="CQ690" s="29"/>
      <c r="CR690" s="29"/>
      <c r="CS690" s="29"/>
      <c r="CT690" s="29"/>
      <c r="CU690" s="29"/>
      <c r="CV690" s="29"/>
      <c r="CW690" s="29"/>
      <c r="CX690" s="29"/>
      <c r="CY690" s="29"/>
      <c r="CZ690" s="29"/>
      <c r="DA690" s="29"/>
      <c r="DB690" s="29"/>
      <c r="DC690" s="29"/>
      <c r="DD690" s="29"/>
      <c r="DE690" s="29"/>
      <c r="DF690" s="29"/>
      <c r="DG690" s="29"/>
      <c r="DH690" s="29"/>
      <c r="DI690" s="29"/>
      <c r="DJ690" s="29"/>
      <c r="DK690" s="29"/>
      <c r="DL690" s="29"/>
      <c r="DM690" s="29"/>
      <c r="DN690" s="29"/>
      <c r="DO690" s="29"/>
      <c r="DP690" s="29"/>
      <c r="DQ690" s="29"/>
      <c r="DR690" s="29"/>
      <c r="DS690" s="29"/>
      <c r="DT690" s="29"/>
      <c r="DU690" s="29"/>
      <c r="DV690" s="29"/>
      <c r="DW690" s="29"/>
      <c r="DX690" s="29"/>
      <c r="DY690" s="29"/>
      <c r="DZ690" s="29"/>
      <c r="EA690" s="29"/>
      <c r="EB690" s="29"/>
      <c r="EC690" s="29"/>
      <c r="ED690" s="29"/>
      <c r="EE690" s="29"/>
      <c r="EF690" s="29"/>
      <c r="EG690" s="29"/>
      <c r="EH690" s="29"/>
      <c r="EI690" s="29"/>
      <c r="EJ690" s="29"/>
      <c r="EK690" s="29"/>
      <c r="EL690" s="29"/>
      <c r="EM690" s="29"/>
      <c r="EN690" s="29"/>
      <c r="EO690" s="29"/>
      <c r="EP690" s="29"/>
      <c r="EQ690" s="29"/>
      <c r="ER690" s="29"/>
      <c r="ES690" s="29"/>
      <c r="ET690" s="29"/>
      <c r="EU690" s="29"/>
      <c r="EV690" s="29"/>
      <c r="EW690" s="29"/>
      <c r="EX690" s="29"/>
      <c r="EY690" s="29"/>
      <c r="EZ690" s="29"/>
      <c r="FA690" s="29"/>
      <c r="FB690" s="29"/>
      <c r="FC690" s="29"/>
      <c r="FD690" s="29"/>
      <c r="FE690" s="29"/>
      <c r="FF690" s="29"/>
      <c r="FG690" s="29"/>
      <c r="FH690" s="29"/>
      <c r="FI690" s="29"/>
      <c r="FJ690" s="29"/>
      <c r="FK690" s="29"/>
      <c r="FL690" s="29"/>
      <c r="FM690" s="29"/>
      <c r="FN690" s="29"/>
      <c r="FO690" s="29"/>
      <c r="FP690" s="29"/>
      <c r="FQ690" s="29"/>
      <c r="FR690" s="29"/>
      <c r="FS690" s="29"/>
      <c r="FT690" s="29"/>
      <c r="FU690" s="29"/>
      <c r="FV690" s="29"/>
      <c r="FW690" s="29"/>
      <c r="FX690" s="29"/>
      <c r="FY690" s="29"/>
      <c r="FZ690" s="29"/>
      <c r="GA690" s="29"/>
      <c r="GB690" s="29"/>
      <c r="GC690" s="29"/>
      <c r="GD690" s="29"/>
      <c r="GE690" s="29"/>
      <c r="GF690" s="29"/>
      <c r="GG690" s="29"/>
      <c r="GH690" s="29"/>
      <c r="GI690" s="29"/>
      <c r="GJ690" s="29"/>
      <c r="GK690" s="29"/>
      <c r="GL690" s="29"/>
      <c r="GM690" s="29"/>
      <c r="GN690" s="29"/>
      <c r="GO690" s="29"/>
      <c r="GP690" s="29"/>
      <c r="GQ690" s="29"/>
      <c r="GR690" s="29"/>
      <c r="GS690" s="29"/>
      <c r="GT690" s="29"/>
      <c r="GU690" s="29"/>
      <c r="HP690" s="31"/>
      <c r="MX690" s="29"/>
      <c r="MY690" s="29"/>
    </row>
    <row r="691" ht="16.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c r="BO691" s="29"/>
      <c r="BP691" s="29"/>
      <c r="BQ691" s="29"/>
      <c r="BR691" s="29"/>
      <c r="BS691" s="29"/>
      <c r="BT691" s="29"/>
      <c r="BU691" s="29"/>
      <c r="BV691" s="29"/>
      <c r="BW691" s="29"/>
      <c r="BX691" s="29"/>
      <c r="BY691" s="29"/>
      <c r="BZ691" s="29"/>
      <c r="CA691" s="29"/>
      <c r="CB691" s="29"/>
      <c r="CC691" s="29"/>
      <c r="CD691" s="29"/>
      <c r="CE691" s="29"/>
      <c r="CF691" s="29"/>
      <c r="CG691" s="29"/>
      <c r="CH691" s="29"/>
      <c r="CI691" s="29"/>
      <c r="CJ691" s="29"/>
      <c r="CK691" s="29"/>
      <c r="CL691" s="29"/>
      <c r="CM691" s="29"/>
      <c r="CN691" s="29"/>
      <c r="CO691" s="29"/>
      <c r="CP691" s="29"/>
      <c r="CQ691" s="29"/>
      <c r="CR691" s="29"/>
      <c r="CS691" s="29"/>
      <c r="CT691" s="29"/>
      <c r="CU691" s="29"/>
      <c r="CV691" s="29"/>
      <c r="CW691" s="29"/>
      <c r="CX691" s="29"/>
      <c r="CY691" s="29"/>
      <c r="CZ691" s="29"/>
      <c r="DA691" s="29"/>
      <c r="DB691" s="29"/>
      <c r="DC691" s="29"/>
      <c r="DD691" s="29"/>
      <c r="DE691" s="29"/>
      <c r="DF691" s="29"/>
      <c r="DG691" s="29"/>
      <c r="DH691" s="29"/>
      <c r="DI691" s="29"/>
      <c r="DJ691" s="29"/>
      <c r="DK691" s="29"/>
      <c r="DL691" s="29"/>
      <c r="DM691" s="29"/>
      <c r="DN691" s="29"/>
      <c r="DO691" s="29"/>
      <c r="DP691" s="29"/>
      <c r="DQ691" s="29"/>
      <c r="DR691" s="29"/>
      <c r="DS691" s="29"/>
      <c r="DT691" s="29"/>
      <c r="DU691" s="29"/>
      <c r="DV691" s="29"/>
      <c r="DW691" s="29"/>
      <c r="DX691" s="29"/>
      <c r="DY691" s="29"/>
      <c r="DZ691" s="29"/>
      <c r="EA691" s="29"/>
      <c r="EB691" s="29"/>
      <c r="EC691" s="29"/>
      <c r="ED691" s="29"/>
      <c r="EE691" s="29"/>
      <c r="EF691" s="29"/>
      <c r="EG691" s="29"/>
      <c r="EH691" s="29"/>
      <c r="EI691" s="29"/>
      <c r="EJ691" s="29"/>
      <c r="EK691" s="29"/>
      <c r="EL691" s="29"/>
      <c r="EM691" s="29"/>
      <c r="EN691" s="29"/>
      <c r="EO691" s="29"/>
      <c r="EP691" s="29"/>
      <c r="EQ691" s="29"/>
      <c r="ER691" s="29"/>
      <c r="ES691" s="29"/>
      <c r="ET691" s="29"/>
      <c r="EU691" s="29"/>
      <c r="EV691" s="29"/>
      <c r="EW691" s="29"/>
      <c r="EX691" s="29"/>
      <c r="EY691" s="29"/>
      <c r="EZ691" s="29"/>
      <c r="FA691" s="29"/>
      <c r="FB691" s="29"/>
      <c r="FC691" s="29"/>
      <c r="FD691" s="29"/>
      <c r="FE691" s="29"/>
      <c r="FF691" s="29"/>
      <c r="FG691" s="29"/>
      <c r="FH691" s="29"/>
      <c r="FI691" s="29"/>
      <c r="FJ691" s="29"/>
      <c r="FK691" s="29"/>
      <c r="FL691" s="29"/>
      <c r="FM691" s="29"/>
      <c r="FN691" s="29"/>
      <c r="FO691" s="29"/>
      <c r="FP691" s="29"/>
      <c r="FQ691" s="29"/>
      <c r="FR691" s="29"/>
      <c r="FS691" s="29"/>
      <c r="FT691" s="29"/>
      <c r="FU691" s="29"/>
      <c r="FV691" s="29"/>
      <c r="FW691" s="29"/>
      <c r="FX691" s="29"/>
      <c r="FY691" s="29"/>
      <c r="FZ691" s="29"/>
      <c r="GA691" s="29"/>
      <c r="GB691" s="29"/>
      <c r="GC691" s="29"/>
      <c r="GD691" s="29"/>
      <c r="GE691" s="29"/>
      <c r="GF691" s="29"/>
      <c r="GG691" s="29"/>
      <c r="GH691" s="29"/>
      <c r="GI691" s="29"/>
      <c r="GJ691" s="29"/>
      <c r="GK691" s="29"/>
      <c r="GL691" s="29"/>
      <c r="GM691" s="29"/>
      <c r="GN691" s="29"/>
      <c r="GO691" s="29"/>
      <c r="GP691" s="29"/>
      <c r="GQ691" s="29"/>
      <c r="GR691" s="29"/>
      <c r="GS691" s="29"/>
      <c r="GT691" s="29"/>
      <c r="GU691" s="29"/>
      <c r="HP691" s="31"/>
      <c r="MX691" s="29"/>
      <c r="MY691" s="29"/>
    </row>
    <row r="692" ht="16.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c r="AX692" s="29"/>
      <c r="AY692" s="29"/>
      <c r="AZ692" s="29"/>
      <c r="BA692" s="29"/>
      <c r="BB692" s="29"/>
      <c r="BC692" s="29"/>
      <c r="BD692" s="29"/>
      <c r="BE692" s="29"/>
      <c r="BF692" s="29"/>
      <c r="BG692" s="29"/>
      <c r="BH692" s="29"/>
      <c r="BI692" s="29"/>
      <c r="BJ692" s="29"/>
      <c r="BK692" s="29"/>
      <c r="BL692" s="29"/>
      <c r="BM692" s="29"/>
      <c r="BN692" s="29"/>
      <c r="BO692" s="29"/>
      <c r="BP692" s="29"/>
      <c r="BQ692" s="29"/>
      <c r="BR692" s="29"/>
      <c r="BS692" s="29"/>
      <c r="BT692" s="29"/>
      <c r="BU692" s="29"/>
      <c r="BV692" s="29"/>
      <c r="BW692" s="29"/>
      <c r="BX692" s="29"/>
      <c r="BY692" s="29"/>
      <c r="BZ692" s="29"/>
      <c r="CA692" s="29"/>
      <c r="CB692" s="29"/>
      <c r="CC692" s="29"/>
      <c r="CD692" s="29"/>
      <c r="CE692" s="29"/>
      <c r="CF692" s="29"/>
      <c r="CG692" s="29"/>
      <c r="CH692" s="29"/>
      <c r="CI692" s="29"/>
      <c r="CJ692" s="29"/>
      <c r="CK692" s="29"/>
      <c r="CL692" s="29"/>
      <c r="CM692" s="29"/>
      <c r="CN692" s="29"/>
      <c r="CO692" s="29"/>
      <c r="CP692" s="29"/>
      <c r="CQ692" s="29"/>
      <c r="CR692" s="29"/>
      <c r="CS692" s="29"/>
      <c r="CT692" s="29"/>
      <c r="CU692" s="29"/>
      <c r="CV692" s="29"/>
      <c r="CW692" s="29"/>
      <c r="CX692" s="29"/>
      <c r="CY692" s="29"/>
      <c r="CZ692" s="29"/>
      <c r="DA692" s="29"/>
      <c r="DB692" s="29"/>
      <c r="DC692" s="29"/>
      <c r="DD692" s="29"/>
      <c r="DE692" s="29"/>
      <c r="DF692" s="29"/>
      <c r="DG692" s="29"/>
      <c r="DH692" s="29"/>
      <c r="DI692" s="29"/>
      <c r="DJ692" s="29"/>
      <c r="DK692" s="29"/>
      <c r="DL692" s="29"/>
      <c r="DM692" s="29"/>
      <c r="DN692" s="29"/>
      <c r="DO692" s="29"/>
      <c r="DP692" s="29"/>
      <c r="DQ692" s="29"/>
      <c r="DR692" s="29"/>
      <c r="DS692" s="29"/>
      <c r="DT692" s="29"/>
      <c r="DU692" s="29"/>
      <c r="DV692" s="29"/>
      <c r="DW692" s="29"/>
      <c r="DX692" s="29"/>
      <c r="DY692" s="29"/>
      <c r="DZ692" s="29"/>
      <c r="EA692" s="29"/>
      <c r="EB692" s="29"/>
      <c r="EC692" s="29"/>
      <c r="ED692" s="29"/>
      <c r="EE692" s="29"/>
      <c r="EF692" s="29"/>
      <c r="EG692" s="29"/>
      <c r="EH692" s="29"/>
      <c r="EI692" s="29"/>
      <c r="EJ692" s="29"/>
      <c r="EK692" s="29"/>
      <c r="EL692" s="29"/>
      <c r="EM692" s="29"/>
      <c r="EN692" s="29"/>
      <c r="EO692" s="29"/>
      <c r="EP692" s="29"/>
      <c r="EQ692" s="29"/>
      <c r="ER692" s="29"/>
      <c r="ES692" s="29"/>
      <c r="ET692" s="29"/>
      <c r="EU692" s="29"/>
      <c r="EV692" s="29"/>
      <c r="EW692" s="29"/>
      <c r="EX692" s="29"/>
      <c r="EY692" s="29"/>
      <c r="EZ692" s="29"/>
      <c r="FA692" s="29"/>
      <c r="FB692" s="29"/>
      <c r="FC692" s="29"/>
      <c r="FD692" s="29"/>
      <c r="FE692" s="29"/>
      <c r="FF692" s="29"/>
      <c r="FG692" s="29"/>
      <c r="FH692" s="29"/>
      <c r="FI692" s="29"/>
      <c r="FJ692" s="29"/>
      <c r="FK692" s="29"/>
      <c r="FL692" s="29"/>
      <c r="FM692" s="29"/>
      <c r="FN692" s="29"/>
      <c r="FO692" s="29"/>
      <c r="FP692" s="29"/>
      <c r="FQ692" s="29"/>
      <c r="FR692" s="29"/>
      <c r="FS692" s="29"/>
      <c r="FT692" s="29"/>
      <c r="FU692" s="29"/>
      <c r="FV692" s="29"/>
      <c r="FW692" s="29"/>
      <c r="FX692" s="29"/>
      <c r="FY692" s="29"/>
      <c r="FZ692" s="29"/>
      <c r="GA692" s="29"/>
      <c r="GB692" s="29"/>
      <c r="GC692" s="29"/>
      <c r="GD692" s="29"/>
      <c r="GE692" s="29"/>
      <c r="GF692" s="29"/>
      <c r="GG692" s="29"/>
      <c r="GH692" s="29"/>
      <c r="GI692" s="29"/>
      <c r="GJ692" s="29"/>
      <c r="GK692" s="29"/>
      <c r="GL692" s="29"/>
      <c r="GM692" s="29"/>
      <c r="GN692" s="29"/>
      <c r="GO692" s="29"/>
      <c r="GP692" s="29"/>
      <c r="GQ692" s="29"/>
      <c r="GR692" s="29"/>
      <c r="GS692" s="29"/>
      <c r="GT692" s="29"/>
      <c r="GU692" s="29"/>
      <c r="HP692" s="31"/>
      <c r="MX692" s="29"/>
      <c r="MY692" s="29"/>
    </row>
    <row r="693" ht="16.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c r="BO693" s="29"/>
      <c r="BP693" s="29"/>
      <c r="BQ693" s="29"/>
      <c r="BR693" s="29"/>
      <c r="BS693" s="29"/>
      <c r="BT693" s="29"/>
      <c r="BU693" s="29"/>
      <c r="BV693" s="29"/>
      <c r="BW693" s="29"/>
      <c r="BX693" s="29"/>
      <c r="BY693" s="29"/>
      <c r="BZ693" s="29"/>
      <c r="CA693" s="29"/>
      <c r="CB693" s="29"/>
      <c r="CC693" s="29"/>
      <c r="CD693" s="29"/>
      <c r="CE693" s="29"/>
      <c r="CF693" s="29"/>
      <c r="CG693" s="29"/>
      <c r="CH693" s="29"/>
      <c r="CI693" s="29"/>
      <c r="CJ693" s="29"/>
      <c r="CK693" s="29"/>
      <c r="CL693" s="29"/>
      <c r="CM693" s="29"/>
      <c r="CN693" s="29"/>
      <c r="CO693" s="29"/>
      <c r="CP693" s="29"/>
      <c r="CQ693" s="29"/>
      <c r="CR693" s="29"/>
      <c r="CS693" s="29"/>
      <c r="CT693" s="29"/>
      <c r="CU693" s="29"/>
      <c r="CV693" s="29"/>
      <c r="CW693" s="29"/>
      <c r="CX693" s="29"/>
      <c r="CY693" s="29"/>
      <c r="CZ693" s="29"/>
      <c r="DA693" s="29"/>
      <c r="DB693" s="29"/>
      <c r="DC693" s="29"/>
      <c r="DD693" s="29"/>
      <c r="DE693" s="29"/>
      <c r="DF693" s="29"/>
      <c r="DG693" s="29"/>
      <c r="DH693" s="29"/>
      <c r="DI693" s="29"/>
      <c r="DJ693" s="29"/>
      <c r="DK693" s="29"/>
      <c r="DL693" s="29"/>
      <c r="DM693" s="29"/>
      <c r="DN693" s="29"/>
      <c r="DO693" s="29"/>
      <c r="DP693" s="29"/>
      <c r="DQ693" s="29"/>
      <c r="DR693" s="29"/>
      <c r="DS693" s="29"/>
      <c r="DT693" s="29"/>
      <c r="DU693" s="29"/>
      <c r="DV693" s="29"/>
      <c r="DW693" s="29"/>
      <c r="DX693" s="29"/>
      <c r="DY693" s="29"/>
      <c r="DZ693" s="29"/>
      <c r="EA693" s="29"/>
      <c r="EB693" s="29"/>
      <c r="EC693" s="29"/>
      <c r="ED693" s="29"/>
      <c r="EE693" s="29"/>
      <c r="EF693" s="29"/>
      <c r="EG693" s="29"/>
      <c r="EH693" s="29"/>
      <c r="EI693" s="29"/>
      <c r="EJ693" s="29"/>
      <c r="EK693" s="29"/>
      <c r="EL693" s="29"/>
      <c r="EM693" s="29"/>
      <c r="EN693" s="29"/>
      <c r="EO693" s="29"/>
      <c r="EP693" s="29"/>
      <c r="EQ693" s="29"/>
      <c r="ER693" s="29"/>
      <c r="ES693" s="29"/>
      <c r="ET693" s="29"/>
      <c r="EU693" s="29"/>
      <c r="EV693" s="29"/>
      <c r="EW693" s="29"/>
      <c r="EX693" s="29"/>
      <c r="EY693" s="29"/>
      <c r="EZ693" s="29"/>
      <c r="FA693" s="29"/>
      <c r="FB693" s="29"/>
      <c r="FC693" s="29"/>
      <c r="FD693" s="29"/>
      <c r="FE693" s="29"/>
      <c r="FF693" s="29"/>
      <c r="FG693" s="29"/>
      <c r="FH693" s="29"/>
      <c r="FI693" s="29"/>
      <c r="FJ693" s="29"/>
      <c r="FK693" s="29"/>
      <c r="FL693" s="29"/>
      <c r="FM693" s="29"/>
      <c r="FN693" s="29"/>
      <c r="FO693" s="29"/>
      <c r="FP693" s="29"/>
      <c r="FQ693" s="29"/>
      <c r="FR693" s="29"/>
      <c r="FS693" s="29"/>
      <c r="FT693" s="29"/>
      <c r="FU693" s="29"/>
      <c r="FV693" s="29"/>
      <c r="FW693" s="29"/>
      <c r="FX693" s="29"/>
      <c r="FY693" s="29"/>
      <c r="FZ693" s="29"/>
      <c r="GA693" s="29"/>
      <c r="GB693" s="29"/>
      <c r="GC693" s="29"/>
      <c r="GD693" s="29"/>
      <c r="GE693" s="29"/>
      <c r="GF693" s="29"/>
      <c r="GG693" s="29"/>
      <c r="GH693" s="29"/>
      <c r="GI693" s="29"/>
      <c r="GJ693" s="29"/>
      <c r="GK693" s="29"/>
      <c r="GL693" s="29"/>
      <c r="GM693" s="29"/>
      <c r="GN693" s="29"/>
      <c r="GO693" s="29"/>
      <c r="GP693" s="29"/>
      <c r="GQ693" s="29"/>
      <c r="GR693" s="29"/>
      <c r="GS693" s="29"/>
      <c r="GT693" s="29"/>
      <c r="GU693" s="29"/>
      <c r="HP693" s="31"/>
      <c r="MX693" s="29"/>
      <c r="MY693" s="29"/>
    </row>
    <row r="694" ht="16.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c r="AX694" s="29"/>
      <c r="AY694" s="29"/>
      <c r="AZ694" s="29"/>
      <c r="BA694" s="29"/>
      <c r="BB694" s="29"/>
      <c r="BC694" s="29"/>
      <c r="BD694" s="29"/>
      <c r="BE694" s="29"/>
      <c r="BF694" s="29"/>
      <c r="BG694" s="29"/>
      <c r="BH694" s="29"/>
      <c r="BI694" s="29"/>
      <c r="BJ694" s="29"/>
      <c r="BK694" s="29"/>
      <c r="BL694" s="29"/>
      <c r="BM694" s="29"/>
      <c r="BN694" s="29"/>
      <c r="BO694" s="29"/>
      <c r="BP694" s="29"/>
      <c r="BQ694" s="29"/>
      <c r="BR694" s="29"/>
      <c r="BS694" s="29"/>
      <c r="BT694" s="29"/>
      <c r="BU694" s="29"/>
      <c r="BV694" s="29"/>
      <c r="BW694" s="29"/>
      <c r="BX694" s="29"/>
      <c r="BY694" s="29"/>
      <c r="BZ694" s="29"/>
      <c r="CA694" s="29"/>
      <c r="CB694" s="29"/>
      <c r="CC694" s="29"/>
      <c r="CD694" s="29"/>
      <c r="CE694" s="29"/>
      <c r="CF694" s="29"/>
      <c r="CG694" s="29"/>
      <c r="CH694" s="29"/>
      <c r="CI694" s="29"/>
      <c r="CJ694" s="29"/>
      <c r="CK694" s="29"/>
      <c r="CL694" s="29"/>
      <c r="CM694" s="29"/>
      <c r="CN694" s="29"/>
      <c r="CO694" s="29"/>
      <c r="CP694" s="29"/>
      <c r="CQ694" s="29"/>
      <c r="CR694" s="29"/>
      <c r="CS694" s="29"/>
      <c r="CT694" s="29"/>
      <c r="CU694" s="29"/>
      <c r="CV694" s="29"/>
      <c r="CW694" s="29"/>
      <c r="CX694" s="29"/>
      <c r="CY694" s="29"/>
      <c r="CZ694" s="29"/>
      <c r="DA694" s="29"/>
      <c r="DB694" s="29"/>
      <c r="DC694" s="29"/>
      <c r="DD694" s="29"/>
      <c r="DE694" s="29"/>
      <c r="DF694" s="29"/>
      <c r="DG694" s="29"/>
      <c r="DH694" s="29"/>
      <c r="DI694" s="29"/>
      <c r="DJ694" s="29"/>
      <c r="DK694" s="29"/>
      <c r="DL694" s="29"/>
      <c r="DM694" s="29"/>
      <c r="DN694" s="29"/>
      <c r="DO694" s="29"/>
      <c r="DP694" s="29"/>
      <c r="DQ694" s="29"/>
      <c r="DR694" s="29"/>
      <c r="DS694" s="29"/>
      <c r="DT694" s="29"/>
      <c r="DU694" s="29"/>
      <c r="DV694" s="29"/>
      <c r="DW694" s="29"/>
      <c r="DX694" s="29"/>
      <c r="DY694" s="29"/>
      <c r="DZ694" s="29"/>
      <c r="EA694" s="29"/>
      <c r="EB694" s="29"/>
      <c r="EC694" s="29"/>
      <c r="ED694" s="29"/>
      <c r="EE694" s="29"/>
      <c r="EF694" s="29"/>
      <c r="EG694" s="29"/>
      <c r="EH694" s="29"/>
      <c r="EI694" s="29"/>
      <c r="EJ694" s="29"/>
      <c r="EK694" s="29"/>
      <c r="EL694" s="29"/>
      <c r="EM694" s="29"/>
      <c r="EN694" s="29"/>
      <c r="EO694" s="29"/>
      <c r="EP694" s="29"/>
      <c r="EQ694" s="29"/>
      <c r="ER694" s="29"/>
      <c r="ES694" s="29"/>
      <c r="ET694" s="29"/>
      <c r="EU694" s="29"/>
      <c r="EV694" s="29"/>
      <c r="EW694" s="29"/>
      <c r="EX694" s="29"/>
      <c r="EY694" s="29"/>
      <c r="EZ694" s="29"/>
      <c r="FA694" s="29"/>
      <c r="FB694" s="29"/>
      <c r="FC694" s="29"/>
      <c r="FD694" s="29"/>
      <c r="FE694" s="29"/>
      <c r="FF694" s="29"/>
      <c r="FG694" s="29"/>
      <c r="FH694" s="29"/>
      <c r="FI694" s="29"/>
      <c r="FJ694" s="29"/>
      <c r="FK694" s="29"/>
      <c r="FL694" s="29"/>
      <c r="FM694" s="29"/>
      <c r="FN694" s="29"/>
      <c r="FO694" s="29"/>
      <c r="FP694" s="29"/>
      <c r="FQ694" s="29"/>
      <c r="FR694" s="29"/>
      <c r="FS694" s="29"/>
      <c r="FT694" s="29"/>
      <c r="FU694" s="29"/>
      <c r="FV694" s="29"/>
      <c r="FW694" s="29"/>
      <c r="FX694" s="29"/>
      <c r="FY694" s="29"/>
      <c r="FZ694" s="29"/>
      <c r="GA694" s="29"/>
      <c r="GB694" s="29"/>
      <c r="GC694" s="29"/>
      <c r="GD694" s="29"/>
      <c r="GE694" s="29"/>
      <c r="GF694" s="29"/>
      <c r="GG694" s="29"/>
      <c r="GH694" s="29"/>
      <c r="GI694" s="29"/>
      <c r="GJ694" s="29"/>
      <c r="GK694" s="29"/>
      <c r="GL694" s="29"/>
      <c r="GM694" s="29"/>
      <c r="GN694" s="29"/>
      <c r="GO694" s="29"/>
      <c r="GP694" s="29"/>
      <c r="GQ694" s="29"/>
      <c r="GR694" s="29"/>
      <c r="GS694" s="29"/>
      <c r="GT694" s="29"/>
      <c r="GU694" s="29"/>
      <c r="HP694" s="31"/>
      <c r="MX694" s="29"/>
      <c r="MY694" s="29"/>
    </row>
    <row r="695" ht="16.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c r="BO695" s="29"/>
      <c r="BP695" s="29"/>
      <c r="BQ695" s="29"/>
      <c r="BR695" s="29"/>
      <c r="BS695" s="29"/>
      <c r="BT695" s="29"/>
      <c r="BU695" s="29"/>
      <c r="BV695" s="29"/>
      <c r="BW695" s="29"/>
      <c r="BX695" s="29"/>
      <c r="BY695" s="29"/>
      <c r="BZ695" s="29"/>
      <c r="CA695" s="29"/>
      <c r="CB695" s="29"/>
      <c r="CC695" s="29"/>
      <c r="CD695" s="29"/>
      <c r="CE695" s="29"/>
      <c r="CF695" s="29"/>
      <c r="CG695" s="29"/>
      <c r="CH695" s="29"/>
      <c r="CI695" s="29"/>
      <c r="CJ695" s="29"/>
      <c r="CK695" s="29"/>
      <c r="CL695" s="29"/>
      <c r="CM695" s="29"/>
      <c r="CN695" s="29"/>
      <c r="CO695" s="29"/>
      <c r="CP695" s="29"/>
      <c r="CQ695" s="29"/>
      <c r="CR695" s="29"/>
      <c r="CS695" s="29"/>
      <c r="CT695" s="29"/>
      <c r="CU695" s="29"/>
      <c r="CV695" s="29"/>
      <c r="CW695" s="29"/>
      <c r="CX695" s="29"/>
      <c r="CY695" s="29"/>
      <c r="CZ695" s="29"/>
      <c r="DA695" s="29"/>
      <c r="DB695" s="29"/>
      <c r="DC695" s="29"/>
      <c r="DD695" s="29"/>
      <c r="DE695" s="29"/>
      <c r="DF695" s="29"/>
      <c r="DG695" s="29"/>
      <c r="DH695" s="29"/>
      <c r="DI695" s="29"/>
      <c r="DJ695" s="29"/>
      <c r="DK695" s="29"/>
      <c r="DL695" s="29"/>
      <c r="DM695" s="29"/>
      <c r="DN695" s="29"/>
      <c r="DO695" s="29"/>
      <c r="DP695" s="29"/>
      <c r="DQ695" s="29"/>
      <c r="DR695" s="29"/>
      <c r="DS695" s="29"/>
      <c r="DT695" s="29"/>
      <c r="DU695" s="29"/>
      <c r="DV695" s="29"/>
      <c r="DW695" s="29"/>
      <c r="DX695" s="29"/>
      <c r="DY695" s="29"/>
      <c r="DZ695" s="29"/>
      <c r="EA695" s="29"/>
      <c r="EB695" s="29"/>
      <c r="EC695" s="29"/>
      <c r="ED695" s="29"/>
      <c r="EE695" s="29"/>
      <c r="EF695" s="29"/>
      <c r="EG695" s="29"/>
      <c r="EH695" s="29"/>
      <c r="EI695" s="29"/>
      <c r="EJ695" s="29"/>
      <c r="EK695" s="29"/>
      <c r="EL695" s="29"/>
      <c r="EM695" s="29"/>
      <c r="EN695" s="29"/>
      <c r="EO695" s="29"/>
      <c r="EP695" s="29"/>
      <c r="EQ695" s="29"/>
      <c r="ER695" s="29"/>
      <c r="ES695" s="29"/>
      <c r="ET695" s="29"/>
      <c r="EU695" s="29"/>
      <c r="EV695" s="29"/>
      <c r="EW695" s="29"/>
      <c r="EX695" s="29"/>
      <c r="EY695" s="29"/>
      <c r="EZ695" s="29"/>
      <c r="FA695" s="29"/>
      <c r="FB695" s="29"/>
      <c r="FC695" s="29"/>
      <c r="FD695" s="29"/>
      <c r="FE695" s="29"/>
      <c r="FF695" s="29"/>
      <c r="FG695" s="29"/>
      <c r="FH695" s="29"/>
      <c r="FI695" s="29"/>
      <c r="FJ695" s="29"/>
      <c r="FK695" s="29"/>
      <c r="FL695" s="29"/>
      <c r="FM695" s="29"/>
      <c r="FN695" s="29"/>
      <c r="FO695" s="29"/>
      <c r="FP695" s="29"/>
      <c r="FQ695" s="29"/>
      <c r="FR695" s="29"/>
      <c r="FS695" s="29"/>
      <c r="FT695" s="29"/>
      <c r="FU695" s="29"/>
      <c r="FV695" s="29"/>
      <c r="FW695" s="29"/>
      <c r="FX695" s="29"/>
      <c r="FY695" s="29"/>
      <c r="FZ695" s="29"/>
      <c r="GA695" s="29"/>
      <c r="GB695" s="29"/>
      <c r="GC695" s="29"/>
      <c r="GD695" s="29"/>
      <c r="GE695" s="29"/>
      <c r="GF695" s="29"/>
      <c r="GG695" s="29"/>
      <c r="GH695" s="29"/>
      <c r="GI695" s="29"/>
      <c r="GJ695" s="29"/>
      <c r="GK695" s="29"/>
      <c r="GL695" s="29"/>
      <c r="GM695" s="29"/>
      <c r="GN695" s="29"/>
      <c r="GO695" s="29"/>
      <c r="GP695" s="29"/>
      <c r="GQ695" s="29"/>
      <c r="GR695" s="29"/>
      <c r="GS695" s="29"/>
      <c r="GT695" s="29"/>
      <c r="GU695" s="29"/>
      <c r="HP695" s="31"/>
      <c r="MX695" s="29"/>
      <c r="MY695" s="29"/>
    </row>
    <row r="696" ht="16.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29"/>
      <c r="AW696" s="29"/>
      <c r="AX696" s="29"/>
      <c r="AY696" s="29"/>
      <c r="AZ696" s="29"/>
      <c r="BA696" s="29"/>
      <c r="BB696" s="29"/>
      <c r="BC696" s="29"/>
      <c r="BD696" s="29"/>
      <c r="BE696" s="29"/>
      <c r="BF696" s="29"/>
      <c r="BG696" s="29"/>
      <c r="BH696" s="29"/>
      <c r="BI696" s="29"/>
      <c r="BJ696" s="29"/>
      <c r="BK696" s="29"/>
      <c r="BL696" s="29"/>
      <c r="BM696" s="29"/>
      <c r="BN696" s="29"/>
      <c r="BO696" s="29"/>
      <c r="BP696" s="29"/>
      <c r="BQ696" s="29"/>
      <c r="BR696" s="29"/>
      <c r="BS696" s="29"/>
      <c r="BT696" s="29"/>
      <c r="BU696" s="29"/>
      <c r="BV696" s="29"/>
      <c r="BW696" s="29"/>
      <c r="BX696" s="29"/>
      <c r="BY696" s="29"/>
      <c r="BZ696" s="29"/>
      <c r="CA696" s="29"/>
      <c r="CB696" s="29"/>
      <c r="CC696" s="29"/>
      <c r="CD696" s="29"/>
      <c r="CE696" s="29"/>
      <c r="CF696" s="29"/>
      <c r="CG696" s="29"/>
      <c r="CH696" s="29"/>
      <c r="CI696" s="29"/>
      <c r="CJ696" s="29"/>
      <c r="CK696" s="29"/>
      <c r="CL696" s="29"/>
      <c r="CM696" s="29"/>
      <c r="CN696" s="29"/>
      <c r="CO696" s="29"/>
      <c r="CP696" s="29"/>
      <c r="CQ696" s="29"/>
      <c r="CR696" s="29"/>
      <c r="CS696" s="29"/>
      <c r="CT696" s="29"/>
      <c r="CU696" s="29"/>
      <c r="CV696" s="29"/>
      <c r="CW696" s="29"/>
      <c r="CX696" s="29"/>
      <c r="CY696" s="29"/>
      <c r="CZ696" s="29"/>
      <c r="DA696" s="29"/>
      <c r="DB696" s="29"/>
      <c r="DC696" s="29"/>
      <c r="DD696" s="29"/>
      <c r="DE696" s="29"/>
      <c r="DF696" s="29"/>
      <c r="DG696" s="29"/>
      <c r="DH696" s="29"/>
      <c r="DI696" s="29"/>
      <c r="DJ696" s="29"/>
      <c r="DK696" s="29"/>
      <c r="DL696" s="29"/>
      <c r="DM696" s="29"/>
      <c r="DN696" s="29"/>
      <c r="DO696" s="29"/>
      <c r="DP696" s="29"/>
      <c r="DQ696" s="29"/>
      <c r="DR696" s="29"/>
      <c r="DS696" s="29"/>
      <c r="DT696" s="29"/>
      <c r="DU696" s="29"/>
      <c r="DV696" s="29"/>
      <c r="DW696" s="29"/>
      <c r="DX696" s="29"/>
      <c r="DY696" s="29"/>
      <c r="DZ696" s="29"/>
      <c r="EA696" s="29"/>
      <c r="EB696" s="29"/>
      <c r="EC696" s="29"/>
      <c r="ED696" s="29"/>
      <c r="EE696" s="29"/>
      <c r="EF696" s="29"/>
      <c r="EG696" s="29"/>
      <c r="EH696" s="29"/>
      <c r="EI696" s="29"/>
      <c r="EJ696" s="29"/>
      <c r="EK696" s="29"/>
      <c r="EL696" s="29"/>
      <c r="EM696" s="29"/>
      <c r="EN696" s="29"/>
      <c r="EO696" s="29"/>
      <c r="EP696" s="29"/>
      <c r="EQ696" s="29"/>
      <c r="ER696" s="29"/>
      <c r="ES696" s="29"/>
      <c r="ET696" s="29"/>
      <c r="EU696" s="29"/>
      <c r="EV696" s="29"/>
      <c r="EW696" s="29"/>
      <c r="EX696" s="29"/>
      <c r="EY696" s="29"/>
      <c r="EZ696" s="29"/>
      <c r="FA696" s="29"/>
      <c r="FB696" s="29"/>
      <c r="FC696" s="29"/>
      <c r="FD696" s="29"/>
      <c r="FE696" s="29"/>
      <c r="FF696" s="29"/>
      <c r="FG696" s="29"/>
      <c r="FH696" s="29"/>
      <c r="FI696" s="29"/>
      <c r="FJ696" s="29"/>
      <c r="FK696" s="29"/>
      <c r="FL696" s="29"/>
      <c r="FM696" s="29"/>
      <c r="FN696" s="29"/>
      <c r="FO696" s="29"/>
      <c r="FP696" s="29"/>
      <c r="FQ696" s="29"/>
      <c r="FR696" s="29"/>
      <c r="FS696" s="29"/>
      <c r="FT696" s="29"/>
      <c r="FU696" s="29"/>
      <c r="FV696" s="29"/>
      <c r="FW696" s="29"/>
      <c r="FX696" s="29"/>
      <c r="FY696" s="29"/>
      <c r="FZ696" s="29"/>
      <c r="GA696" s="29"/>
      <c r="GB696" s="29"/>
      <c r="GC696" s="29"/>
      <c r="GD696" s="29"/>
      <c r="GE696" s="29"/>
      <c r="GF696" s="29"/>
      <c r="GG696" s="29"/>
      <c r="GH696" s="29"/>
      <c r="GI696" s="29"/>
      <c r="GJ696" s="29"/>
      <c r="GK696" s="29"/>
      <c r="GL696" s="29"/>
      <c r="GM696" s="29"/>
      <c r="GN696" s="29"/>
      <c r="GO696" s="29"/>
      <c r="GP696" s="29"/>
      <c r="GQ696" s="29"/>
      <c r="GR696" s="29"/>
      <c r="GS696" s="29"/>
      <c r="GT696" s="29"/>
      <c r="GU696" s="29"/>
      <c r="HP696" s="31"/>
      <c r="MX696" s="29"/>
      <c r="MY696" s="29"/>
    </row>
    <row r="697" ht="16.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c r="BO697" s="29"/>
      <c r="BP697" s="29"/>
      <c r="BQ697" s="29"/>
      <c r="BR697" s="29"/>
      <c r="BS697" s="29"/>
      <c r="BT697" s="29"/>
      <c r="BU697" s="29"/>
      <c r="BV697" s="29"/>
      <c r="BW697" s="29"/>
      <c r="BX697" s="29"/>
      <c r="BY697" s="29"/>
      <c r="BZ697" s="29"/>
      <c r="CA697" s="29"/>
      <c r="CB697" s="29"/>
      <c r="CC697" s="29"/>
      <c r="CD697" s="29"/>
      <c r="CE697" s="29"/>
      <c r="CF697" s="29"/>
      <c r="CG697" s="29"/>
      <c r="CH697" s="29"/>
      <c r="CI697" s="29"/>
      <c r="CJ697" s="29"/>
      <c r="CK697" s="29"/>
      <c r="CL697" s="29"/>
      <c r="CM697" s="29"/>
      <c r="CN697" s="29"/>
      <c r="CO697" s="29"/>
      <c r="CP697" s="29"/>
      <c r="CQ697" s="29"/>
      <c r="CR697" s="29"/>
      <c r="CS697" s="29"/>
      <c r="CT697" s="29"/>
      <c r="CU697" s="29"/>
      <c r="CV697" s="29"/>
      <c r="CW697" s="29"/>
      <c r="CX697" s="29"/>
      <c r="CY697" s="29"/>
      <c r="CZ697" s="29"/>
      <c r="DA697" s="29"/>
      <c r="DB697" s="29"/>
      <c r="DC697" s="29"/>
      <c r="DD697" s="29"/>
      <c r="DE697" s="29"/>
      <c r="DF697" s="29"/>
      <c r="DG697" s="29"/>
      <c r="DH697" s="29"/>
      <c r="DI697" s="29"/>
      <c r="DJ697" s="29"/>
      <c r="DK697" s="29"/>
      <c r="DL697" s="29"/>
      <c r="DM697" s="29"/>
      <c r="DN697" s="29"/>
      <c r="DO697" s="29"/>
      <c r="DP697" s="29"/>
      <c r="DQ697" s="29"/>
      <c r="DR697" s="29"/>
      <c r="DS697" s="29"/>
      <c r="DT697" s="29"/>
      <c r="DU697" s="29"/>
      <c r="DV697" s="29"/>
      <c r="DW697" s="29"/>
      <c r="DX697" s="29"/>
      <c r="DY697" s="29"/>
      <c r="DZ697" s="29"/>
      <c r="EA697" s="29"/>
      <c r="EB697" s="29"/>
      <c r="EC697" s="29"/>
      <c r="ED697" s="29"/>
      <c r="EE697" s="29"/>
      <c r="EF697" s="29"/>
      <c r="EG697" s="29"/>
      <c r="EH697" s="29"/>
      <c r="EI697" s="29"/>
      <c r="EJ697" s="29"/>
      <c r="EK697" s="29"/>
      <c r="EL697" s="29"/>
      <c r="EM697" s="29"/>
      <c r="EN697" s="29"/>
      <c r="EO697" s="29"/>
      <c r="EP697" s="29"/>
      <c r="EQ697" s="29"/>
      <c r="ER697" s="29"/>
      <c r="ES697" s="29"/>
      <c r="ET697" s="29"/>
      <c r="EU697" s="29"/>
      <c r="EV697" s="29"/>
      <c r="EW697" s="29"/>
      <c r="EX697" s="29"/>
      <c r="EY697" s="29"/>
      <c r="EZ697" s="29"/>
      <c r="FA697" s="29"/>
      <c r="FB697" s="29"/>
      <c r="FC697" s="29"/>
      <c r="FD697" s="29"/>
      <c r="FE697" s="29"/>
      <c r="FF697" s="29"/>
      <c r="FG697" s="29"/>
      <c r="FH697" s="29"/>
      <c r="FI697" s="29"/>
      <c r="FJ697" s="29"/>
      <c r="FK697" s="29"/>
      <c r="FL697" s="29"/>
      <c r="FM697" s="29"/>
      <c r="FN697" s="29"/>
      <c r="FO697" s="29"/>
      <c r="FP697" s="29"/>
      <c r="FQ697" s="29"/>
      <c r="FR697" s="29"/>
      <c r="FS697" s="29"/>
      <c r="FT697" s="29"/>
      <c r="FU697" s="29"/>
      <c r="FV697" s="29"/>
      <c r="FW697" s="29"/>
      <c r="FX697" s="29"/>
      <c r="FY697" s="29"/>
      <c r="FZ697" s="29"/>
      <c r="GA697" s="29"/>
      <c r="GB697" s="29"/>
      <c r="GC697" s="29"/>
      <c r="GD697" s="29"/>
      <c r="GE697" s="29"/>
      <c r="GF697" s="29"/>
      <c r="GG697" s="29"/>
      <c r="GH697" s="29"/>
      <c r="GI697" s="29"/>
      <c r="GJ697" s="29"/>
      <c r="GK697" s="29"/>
      <c r="GL697" s="29"/>
      <c r="GM697" s="29"/>
      <c r="GN697" s="29"/>
      <c r="GO697" s="29"/>
      <c r="GP697" s="29"/>
      <c r="GQ697" s="29"/>
      <c r="GR697" s="29"/>
      <c r="GS697" s="29"/>
      <c r="GT697" s="29"/>
      <c r="GU697" s="29"/>
      <c r="HP697" s="31"/>
      <c r="MX697" s="29"/>
      <c r="MY697" s="29"/>
    </row>
    <row r="698" ht="16.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c r="AX698" s="29"/>
      <c r="AY698" s="29"/>
      <c r="AZ698" s="29"/>
      <c r="BA698" s="29"/>
      <c r="BB698" s="29"/>
      <c r="BC698" s="29"/>
      <c r="BD698" s="29"/>
      <c r="BE698" s="29"/>
      <c r="BF698" s="29"/>
      <c r="BG698" s="29"/>
      <c r="BH698" s="29"/>
      <c r="BI698" s="29"/>
      <c r="BJ698" s="29"/>
      <c r="BK698" s="29"/>
      <c r="BL698" s="29"/>
      <c r="BM698" s="29"/>
      <c r="BN698" s="29"/>
      <c r="BO698" s="29"/>
      <c r="BP698" s="29"/>
      <c r="BQ698" s="29"/>
      <c r="BR698" s="29"/>
      <c r="BS698" s="29"/>
      <c r="BT698" s="29"/>
      <c r="BU698" s="29"/>
      <c r="BV698" s="29"/>
      <c r="BW698" s="29"/>
      <c r="BX698" s="29"/>
      <c r="BY698" s="29"/>
      <c r="BZ698" s="29"/>
      <c r="CA698" s="29"/>
      <c r="CB698" s="29"/>
      <c r="CC698" s="29"/>
      <c r="CD698" s="29"/>
      <c r="CE698" s="29"/>
      <c r="CF698" s="29"/>
      <c r="CG698" s="29"/>
      <c r="CH698" s="29"/>
      <c r="CI698" s="29"/>
      <c r="CJ698" s="29"/>
      <c r="CK698" s="29"/>
      <c r="CL698" s="29"/>
      <c r="CM698" s="29"/>
      <c r="CN698" s="29"/>
      <c r="CO698" s="29"/>
      <c r="CP698" s="29"/>
      <c r="CQ698" s="29"/>
      <c r="CR698" s="29"/>
      <c r="CS698" s="29"/>
      <c r="CT698" s="29"/>
      <c r="CU698" s="29"/>
      <c r="CV698" s="29"/>
      <c r="CW698" s="29"/>
      <c r="CX698" s="29"/>
      <c r="CY698" s="29"/>
      <c r="CZ698" s="29"/>
      <c r="DA698" s="29"/>
      <c r="DB698" s="29"/>
      <c r="DC698" s="29"/>
      <c r="DD698" s="29"/>
      <c r="DE698" s="29"/>
      <c r="DF698" s="29"/>
      <c r="DG698" s="29"/>
      <c r="DH698" s="29"/>
      <c r="DI698" s="29"/>
      <c r="DJ698" s="29"/>
      <c r="DK698" s="29"/>
      <c r="DL698" s="29"/>
      <c r="DM698" s="29"/>
      <c r="DN698" s="29"/>
      <c r="DO698" s="29"/>
      <c r="DP698" s="29"/>
      <c r="DQ698" s="29"/>
      <c r="DR698" s="29"/>
      <c r="DS698" s="29"/>
      <c r="DT698" s="29"/>
      <c r="DU698" s="29"/>
      <c r="DV698" s="29"/>
      <c r="DW698" s="29"/>
      <c r="DX698" s="29"/>
      <c r="DY698" s="29"/>
      <c r="DZ698" s="29"/>
      <c r="EA698" s="29"/>
      <c r="EB698" s="29"/>
      <c r="EC698" s="29"/>
      <c r="ED698" s="29"/>
      <c r="EE698" s="29"/>
      <c r="EF698" s="29"/>
      <c r="EG698" s="29"/>
      <c r="EH698" s="29"/>
      <c r="EI698" s="29"/>
      <c r="EJ698" s="29"/>
      <c r="EK698" s="29"/>
      <c r="EL698" s="29"/>
      <c r="EM698" s="29"/>
      <c r="EN698" s="29"/>
      <c r="EO698" s="29"/>
      <c r="EP698" s="29"/>
      <c r="EQ698" s="29"/>
      <c r="ER698" s="29"/>
      <c r="ES698" s="29"/>
      <c r="ET698" s="29"/>
      <c r="EU698" s="29"/>
      <c r="EV698" s="29"/>
      <c r="EW698" s="29"/>
      <c r="EX698" s="29"/>
      <c r="EY698" s="29"/>
      <c r="EZ698" s="29"/>
      <c r="FA698" s="29"/>
      <c r="FB698" s="29"/>
      <c r="FC698" s="29"/>
      <c r="FD698" s="29"/>
      <c r="FE698" s="29"/>
      <c r="FF698" s="29"/>
      <c r="FG698" s="29"/>
      <c r="FH698" s="29"/>
      <c r="FI698" s="29"/>
      <c r="FJ698" s="29"/>
      <c r="FK698" s="29"/>
      <c r="FL698" s="29"/>
      <c r="FM698" s="29"/>
      <c r="FN698" s="29"/>
      <c r="FO698" s="29"/>
      <c r="FP698" s="29"/>
      <c r="FQ698" s="29"/>
      <c r="FR698" s="29"/>
      <c r="FS698" s="29"/>
      <c r="FT698" s="29"/>
      <c r="FU698" s="29"/>
      <c r="FV698" s="29"/>
      <c r="FW698" s="29"/>
      <c r="FX698" s="29"/>
      <c r="FY698" s="29"/>
      <c r="FZ698" s="29"/>
      <c r="GA698" s="29"/>
      <c r="GB698" s="29"/>
      <c r="GC698" s="29"/>
      <c r="GD698" s="29"/>
      <c r="GE698" s="29"/>
      <c r="GF698" s="29"/>
      <c r="GG698" s="29"/>
      <c r="GH698" s="29"/>
      <c r="GI698" s="29"/>
      <c r="GJ698" s="29"/>
      <c r="GK698" s="29"/>
      <c r="GL698" s="29"/>
      <c r="GM698" s="29"/>
      <c r="GN698" s="29"/>
      <c r="GO698" s="29"/>
      <c r="GP698" s="29"/>
      <c r="GQ698" s="29"/>
      <c r="GR698" s="29"/>
      <c r="GS698" s="29"/>
      <c r="GT698" s="29"/>
      <c r="GU698" s="29"/>
      <c r="HP698" s="31"/>
      <c r="MX698" s="29"/>
      <c r="MY698" s="29"/>
    </row>
    <row r="699" ht="16.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c r="BO699" s="29"/>
      <c r="BP699" s="29"/>
      <c r="BQ699" s="29"/>
      <c r="BR699" s="29"/>
      <c r="BS699" s="29"/>
      <c r="BT699" s="29"/>
      <c r="BU699" s="29"/>
      <c r="BV699" s="29"/>
      <c r="BW699" s="29"/>
      <c r="BX699" s="29"/>
      <c r="BY699" s="29"/>
      <c r="BZ699" s="29"/>
      <c r="CA699" s="29"/>
      <c r="CB699" s="29"/>
      <c r="CC699" s="29"/>
      <c r="CD699" s="29"/>
      <c r="CE699" s="29"/>
      <c r="CF699" s="29"/>
      <c r="CG699" s="29"/>
      <c r="CH699" s="29"/>
      <c r="CI699" s="29"/>
      <c r="CJ699" s="29"/>
      <c r="CK699" s="29"/>
      <c r="CL699" s="29"/>
      <c r="CM699" s="29"/>
      <c r="CN699" s="29"/>
      <c r="CO699" s="29"/>
      <c r="CP699" s="29"/>
      <c r="CQ699" s="29"/>
      <c r="CR699" s="29"/>
      <c r="CS699" s="29"/>
      <c r="CT699" s="29"/>
      <c r="CU699" s="29"/>
      <c r="CV699" s="29"/>
      <c r="CW699" s="29"/>
      <c r="CX699" s="29"/>
      <c r="CY699" s="29"/>
      <c r="CZ699" s="29"/>
      <c r="DA699" s="29"/>
      <c r="DB699" s="29"/>
      <c r="DC699" s="29"/>
      <c r="DD699" s="29"/>
      <c r="DE699" s="29"/>
      <c r="DF699" s="29"/>
      <c r="DG699" s="29"/>
      <c r="DH699" s="29"/>
      <c r="DI699" s="29"/>
      <c r="DJ699" s="29"/>
      <c r="DK699" s="29"/>
      <c r="DL699" s="29"/>
      <c r="DM699" s="29"/>
      <c r="DN699" s="29"/>
      <c r="DO699" s="29"/>
      <c r="DP699" s="29"/>
      <c r="DQ699" s="29"/>
      <c r="DR699" s="29"/>
      <c r="DS699" s="29"/>
      <c r="DT699" s="29"/>
      <c r="DU699" s="29"/>
      <c r="DV699" s="29"/>
      <c r="DW699" s="29"/>
      <c r="DX699" s="29"/>
      <c r="DY699" s="29"/>
      <c r="DZ699" s="29"/>
      <c r="EA699" s="29"/>
      <c r="EB699" s="29"/>
      <c r="EC699" s="29"/>
      <c r="ED699" s="29"/>
      <c r="EE699" s="29"/>
      <c r="EF699" s="29"/>
      <c r="EG699" s="29"/>
      <c r="EH699" s="29"/>
      <c r="EI699" s="29"/>
      <c r="EJ699" s="29"/>
      <c r="EK699" s="29"/>
      <c r="EL699" s="29"/>
      <c r="EM699" s="29"/>
      <c r="EN699" s="29"/>
      <c r="EO699" s="29"/>
      <c r="EP699" s="29"/>
      <c r="EQ699" s="29"/>
      <c r="ER699" s="29"/>
      <c r="ES699" s="29"/>
      <c r="ET699" s="29"/>
      <c r="EU699" s="29"/>
      <c r="EV699" s="29"/>
      <c r="EW699" s="29"/>
      <c r="EX699" s="29"/>
      <c r="EY699" s="29"/>
      <c r="EZ699" s="29"/>
      <c r="FA699" s="29"/>
      <c r="FB699" s="29"/>
      <c r="FC699" s="29"/>
      <c r="FD699" s="29"/>
      <c r="FE699" s="29"/>
      <c r="FF699" s="29"/>
      <c r="FG699" s="29"/>
      <c r="FH699" s="29"/>
      <c r="FI699" s="29"/>
      <c r="FJ699" s="29"/>
      <c r="FK699" s="29"/>
      <c r="FL699" s="29"/>
      <c r="FM699" s="29"/>
      <c r="FN699" s="29"/>
      <c r="FO699" s="29"/>
      <c r="FP699" s="29"/>
      <c r="FQ699" s="29"/>
      <c r="FR699" s="29"/>
      <c r="FS699" s="29"/>
      <c r="FT699" s="29"/>
      <c r="FU699" s="29"/>
      <c r="FV699" s="29"/>
      <c r="FW699" s="29"/>
      <c r="FX699" s="29"/>
      <c r="FY699" s="29"/>
      <c r="FZ699" s="29"/>
      <c r="GA699" s="29"/>
      <c r="GB699" s="29"/>
      <c r="GC699" s="29"/>
      <c r="GD699" s="29"/>
      <c r="GE699" s="29"/>
      <c r="GF699" s="29"/>
      <c r="GG699" s="29"/>
      <c r="GH699" s="29"/>
      <c r="GI699" s="29"/>
      <c r="GJ699" s="29"/>
      <c r="GK699" s="29"/>
      <c r="GL699" s="29"/>
      <c r="GM699" s="29"/>
      <c r="GN699" s="29"/>
      <c r="GO699" s="29"/>
      <c r="GP699" s="29"/>
      <c r="GQ699" s="29"/>
      <c r="GR699" s="29"/>
      <c r="GS699" s="29"/>
      <c r="GT699" s="29"/>
      <c r="GU699" s="29"/>
      <c r="HP699" s="31"/>
      <c r="MX699" s="29"/>
      <c r="MY699" s="29"/>
    </row>
    <row r="700" ht="16.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c r="AX700" s="29"/>
      <c r="AY700" s="29"/>
      <c r="AZ700" s="29"/>
      <c r="BA700" s="29"/>
      <c r="BB700" s="29"/>
      <c r="BC700" s="29"/>
      <c r="BD700" s="29"/>
      <c r="BE700" s="29"/>
      <c r="BF700" s="29"/>
      <c r="BG700" s="29"/>
      <c r="BH700" s="29"/>
      <c r="BI700" s="29"/>
      <c r="BJ700" s="29"/>
      <c r="BK700" s="29"/>
      <c r="BL700" s="29"/>
      <c r="BM700" s="29"/>
      <c r="BN700" s="29"/>
      <c r="BO700" s="29"/>
      <c r="BP700" s="29"/>
      <c r="BQ700" s="29"/>
      <c r="BR700" s="29"/>
      <c r="BS700" s="29"/>
      <c r="BT700" s="29"/>
      <c r="BU700" s="29"/>
      <c r="BV700" s="29"/>
      <c r="BW700" s="29"/>
      <c r="BX700" s="29"/>
      <c r="BY700" s="29"/>
      <c r="BZ700" s="29"/>
      <c r="CA700" s="29"/>
      <c r="CB700" s="29"/>
      <c r="CC700" s="29"/>
      <c r="CD700" s="29"/>
      <c r="CE700" s="29"/>
      <c r="CF700" s="29"/>
      <c r="CG700" s="29"/>
      <c r="CH700" s="29"/>
      <c r="CI700" s="29"/>
      <c r="CJ700" s="29"/>
      <c r="CK700" s="29"/>
      <c r="CL700" s="29"/>
      <c r="CM700" s="29"/>
      <c r="CN700" s="29"/>
      <c r="CO700" s="29"/>
      <c r="CP700" s="29"/>
      <c r="CQ700" s="29"/>
      <c r="CR700" s="29"/>
      <c r="CS700" s="29"/>
      <c r="CT700" s="29"/>
      <c r="CU700" s="29"/>
      <c r="CV700" s="29"/>
      <c r="CW700" s="29"/>
      <c r="CX700" s="29"/>
      <c r="CY700" s="29"/>
      <c r="CZ700" s="29"/>
      <c r="DA700" s="29"/>
      <c r="DB700" s="29"/>
      <c r="DC700" s="29"/>
      <c r="DD700" s="29"/>
      <c r="DE700" s="29"/>
      <c r="DF700" s="29"/>
      <c r="DG700" s="29"/>
      <c r="DH700" s="29"/>
      <c r="DI700" s="29"/>
      <c r="DJ700" s="29"/>
      <c r="DK700" s="29"/>
      <c r="DL700" s="29"/>
      <c r="DM700" s="29"/>
      <c r="DN700" s="29"/>
      <c r="DO700" s="29"/>
      <c r="DP700" s="29"/>
      <c r="DQ700" s="29"/>
      <c r="DR700" s="29"/>
      <c r="DS700" s="29"/>
      <c r="DT700" s="29"/>
      <c r="DU700" s="29"/>
      <c r="DV700" s="29"/>
      <c r="DW700" s="29"/>
      <c r="DX700" s="29"/>
      <c r="DY700" s="29"/>
      <c r="DZ700" s="29"/>
      <c r="EA700" s="29"/>
      <c r="EB700" s="29"/>
      <c r="EC700" s="29"/>
      <c r="ED700" s="29"/>
      <c r="EE700" s="29"/>
      <c r="EF700" s="29"/>
      <c r="EG700" s="29"/>
      <c r="EH700" s="29"/>
      <c r="EI700" s="29"/>
      <c r="EJ700" s="29"/>
      <c r="EK700" s="29"/>
      <c r="EL700" s="29"/>
      <c r="EM700" s="29"/>
      <c r="EN700" s="29"/>
      <c r="EO700" s="29"/>
      <c r="EP700" s="29"/>
      <c r="EQ700" s="29"/>
      <c r="ER700" s="29"/>
      <c r="ES700" s="29"/>
      <c r="ET700" s="29"/>
      <c r="EU700" s="29"/>
      <c r="EV700" s="29"/>
      <c r="EW700" s="29"/>
      <c r="EX700" s="29"/>
      <c r="EY700" s="29"/>
      <c r="EZ700" s="29"/>
      <c r="FA700" s="29"/>
      <c r="FB700" s="29"/>
      <c r="FC700" s="29"/>
      <c r="FD700" s="29"/>
      <c r="FE700" s="29"/>
      <c r="FF700" s="29"/>
      <c r="FG700" s="29"/>
      <c r="FH700" s="29"/>
      <c r="FI700" s="29"/>
      <c r="FJ700" s="29"/>
      <c r="FK700" s="29"/>
      <c r="FL700" s="29"/>
      <c r="FM700" s="29"/>
      <c r="FN700" s="29"/>
      <c r="FO700" s="29"/>
      <c r="FP700" s="29"/>
      <c r="FQ700" s="29"/>
      <c r="FR700" s="29"/>
      <c r="FS700" s="29"/>
      <c r="FT700" s="29"/>
      <c r="FU700" s="29"/>
      <c r="FV700" s="29"/>
      <c r="FW700" s="29"/>
      <c r="FX700" s="29"/>
      <c r="FY700" s="29"/>
      <c r="FZ700" s="29"/>
      <c r="GA700" s="29"/>
      <c r="GB700" s="29"/>
      <c r="GC700" s="29"/>
      <c r="GD700" s="29"/>
      <c r="GE700" s="29"/>
      <c r="GF700" s="29"/>
      <c r="GG700" s="29"/>
      <c r="GH700" s="29"/>
      <c r="GI700" s="29"/>
      <c r="GJ700" s="29"/>
      <c r="GK700" s="29"/>
      <c r="GL700" s="29"/>
      <c r="GM700" s="29"/>
      <c r="GN700" s="29"/>
      <c r="GO700" s="29"/>
      <c r="GP700" s="29"/>
      <c r="GQ700" s="29"/>
      <c r="GR700" s="29"/>
      <c r="GS700" s="29"/>
      <c r="GT700" s="29"/>
      <c r="GU700" s="29"/>
      <c r="HP700" s="31"/>
      <c r="MX700" s="29"/>
      <c r="MY700" s="29"/>
    </row>
    <row r="701" ht="16.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c r="BO701" s="29"/>
      <c r="BP701" s="29"/>
      <c r="BQ701" s="29"/>
      <c r="BR701" s="29"/>
      <c r="BS701" s="29"/>
      <c r="BT701" s="29"/>
      <c r="BU701" s="29"/>
      <c r="BV701" s="29"/>
      <c r="BW701" s="29"/>
      <c r="BX701" s="29"/>
      <c r="BY701" s="29"/>
      <c r="BZ701" s="29"/>
      <c r="CA701" s="29"/>
      <c r="CB701" s="29"/>
      <c r="CC701" s="29"/>
      <c r="CD701" s="29"/>
      <c r="CE701" s="29"/>
      <c r="CF701" s="29"/>
      <c r="CG701" s="29"/>
      <c r="CH701" s="29"/>
      <c r="CI701" s="29"/>
      <c r="CJ701" s="29"/>
      <c r="CK701" s="29"/>
      <c r="CL701" s="29"/>
      <c r="CM701" s="29"/>
      <c r="CN701" s="29"/>
      <c r="CO701" s="29"/>
      <c r="CP701" s="29"/>
      <c r="CQ701" s="29"/>
      <c r="CR701" s="29"/>
      <c r="CS701" s="29"/>
      <c r="CT701" s="29"/>
      <c r="CU701" s="29"/>
      <c r="CV701" s="29"/>
      <c r="CW701" s="29"/>
      <c r="CX701" s="29"/>
      <c r="CY701" s="29"/>
      <c r="CZ701" s="29"/>
      <c r="DA701" s="29"/>
      <c r="DB701" s="29"/>
      <c r="DC701" s="29"/>
      <c r="DD701" s="29"/>
      <c r="DE701" s="29"/>
      <c r="DF701" s="29"/>
      <c r="DG701" s="29"/>
      <c r="DH701" s="29"/>
      <c r="DI701" s="29"/>
      <c r="DJ701" s="29"/>
      <c r="DK701" s="29"/>
      <c r="DL701" s="29"/>
      <c r="DM701" s="29"/>
      <c r="DN701" s="29"/>
      <c r="DO701" s="29"/>
      <c r="DP701" s="29"/>
      <c r="DQ701" s="29"/>
      <c r="DR701" s="29"/>
      <c r="DS701" s="29"/>
      <c r="DT701" s="29"/>
      <c r="DU701" s="29"/>
      <c r="DV701" s="29"/>
      <c r="DW701" s="29"/>
      <c r="DX701" s="29"/>
      <c r="DY701" s="29"/>
      <c r="DZ701" s="29"/>
      <c r="EA701" s="29"/>
      <c r="EB701" s="29"/>
      <c r="EC701" s="29"/>
      <c r="ED701" s="29"/>
      <c r="EE701" s="29"/>
      <c r="EF701" s="29"/>
      <c r="EG701" s="29"/>
      <c r="EH701" s="29"/>
      <c r="EI701" s="29"/>
      <c r="EJ701" s="29"/>
      <c r="EK701" s="29"/>
      <c r="EL701" s="29"/>
      <c r="EM701" s="29"/>
      <c r="EN701" s="29"/>
      <c r="EO701" s="29"/>
      <c r="EP701" s="29"/>
      <c r="EQ701" s="29"/>
      <c r="ER701" s="29"/>
      <c r="ES701" s="29"/>
      <c r="ET701" s="29"/>
      <c r="EU701" s="29"/>
      <c r="EV701" s="29"/>
      <c r="EW701" s="29"/>
      <c r="EX701" s="29"/>
      <c r="EY701" s="29"/>
      <c r="EZ701" s="29"/>
      <c r="FA701" s="29"/>
      <c r="FB701" s="29"/>
      <c r="FC701" s="29"/>
      <c r="FD701" s="29"/>
      <c r="FE701" s="29"/>
      <c r="FF701" s="29"/>
      <c r="FG701" s="29"/>
      <c r="FH701" s="29"/>
      <c r="FI701" s="29"/>
      <c r="FJ701" s="29"/>
      <c r="FK701" s="29"/>
      <c r="FL701" s="29"/>
      <c r="FM701" s="29"/>
      <c r="FN701" s="29"/>
      <c r="FO701" s="29"/>
      <c r="FP701" s="29"/>
      <c r="FQ701" s="29"/>
      <c r="FR701" s="29"/>
      <c r="FS701" s="29"/>
      <c r="FT701" s="29"/>
      <c r="FU701" s="29"/>
      <c r="FV701" s="29"/>
      <c r="FW701" s="29"/>
      <c r="FX701" s="29"/>
      <c r="FY701" s="29"/>
      <c r="FZ701" s="29"/>
      <c r="GA701" s="29"/>
      <c r="GB701" s="29"/>
      <c r="GC701" s="29"/>
      <c r="GD701" s="29"/>
      <c r="GE701" s="29"/>
      <c r="GF701" s="29"/>
      <c r="GG701" s="29"/>
      <c r="GH701" s="29"/>
      <c r="GI701" s="29"/>
      <c r="GJ701" s="29"/>
      <c r="GK701" s="29"/>
      <c r="GL701" s="29"/>
      <c r="GM701" s="29"/>
      <c r="GN701" s="29"/>
      <c r="GO701" s="29"/>
      <c r="GP701" s="29"/>
      <c r="GQ701" s="29"/>
      <c r="GR701" s="29"/>
      <c r="GS701" s="29"/>
      <c r="GT701" s="29"/>
      <c r="GU701" s="29"/>
      <c r="HP701" s="31"/>
      <c r="MX701" s="29"/>
      <c r="MY701" s="29"/>
    </row>
    <row r="702" ht="16.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c r="AX702" s="29"/>
      <c r="AY702" s="29"/>
      <c r="AZ702" s="29"/>
      <c r="BA702" s="29"/>
      <c r="BB702" s="29"/>
      <c r="BC702" s="29"/>
      <c r="BD702" s="29"/>
      <c r="BE702" s="29"/>
      <c r="BF702" s="29"/>
      <c r="BG702" s="29"/>
      <c r="BH702" s="29"/>
      <c r="BI702" s="29"/>
      <c r="BJ702" s="29"/>
      <c r="BK702" s="29"/>
      <c r="BL702" s="29"/>
      <c r="BM702" s="29"/>
      <c r="BN702" s="29"/>
      <c r="BO702" s="29"/>
      <c r="BP702" s="29"/>
      <c r="BQ702" s="29"/>
      <c r="BR702" s="29"/>
      <c r="BS702" s="29"/>
      <c r="BT702" s="29"/>
      <c r="BU702" s="29"/>
      <c r="BV702" s="29"/>
      <c r="BW702" s="29"/>
      <c r="BX702" s="29"/>
      <c r="BY702" s="29"/>
      <c r="BZ702" s="29"/>
      <c r="CA702" s="29"/>
      <c r="CB702" s="29"/>
      <c r="CC702" s="29"/>
      <c r="CD702" s="29"/>
      <c r="CE702" s="29"/>
      <c r="CF702" s="29"/>
      <c r="CG702" s="29"/>
      <c r="CH702" s="29"/>
      <c r="CI702" s="29"/>
      <c r="CJ702" s="29"/>
      <c r="CK702" s="29"/>
      <c r="CL702" s="29"/>
      <c r="CM702" s="29"/>
      <c r="CN702" s="29"/>
      <c r="CO702" s="29"/>
      <c r="CP702" s="29"/>
      <c r="CQ702" s="29"/>
      <c r="CR702" s="29"/>
      <c r="CS702" s="29"/>
      <c r="CT702" s="29"/>
      <c r="CU702" s="29"/>
      <c r="CV702" s="29"/>
      <c r="CW702" s="29"/>
      <c r="CX702" s="29"/>
      <c r="CY702" s="29"/>
      <c r="CZ702" s="29"/>
      <c r="DA702" s="29"/>
      <c r="DB702" s="29"/>
      <c r="DC702" s="29"/>
      <c r="DD702" s="29"/>
      <c r="DE702" s="29"/>
      <c r="DF702" s="29"/>
      <c r="DG702" s="29"/>
      <c r="DH702" s="29"/>
      <c r="DI702" s="29"/>
      <c r="DJ702" s="29"/>
      <c r="DK702" s="29"/>
      <c r="DL702" s="29"/>
      <c r="DM702" s="29"/>
      <c r="DN702" s="29"/>
      <c r="DO702" s="29"/>
      <c r="DP702" s="29"/>
      <c r="DQ702" s="29"/>
      <c r="DR702" s="29"/>
      <c r="DS702" s="29"/>
      <c r="DT702" s="29"/>
      <c r="DU702" s="29"/>
      <c r="DV702" s="29"/>
      <c r="DW702" s="29"/>
      <c r="DX702" s="29"/>
      <c r="DY702" s="29"/>
      <c r="DZ702" s="29"/>
      <c r="EA702" s="29"/>
      <c r="EB702" s="29"/>
      <c r="EC702" s="29"/>
      <c r="ED702" s="29"/>
      <c r="EE702" s="29"/>
      <c r="EF702" s="29"/>
      <c r="EG702" s="29"/>
      <c r="EH702" s="29"/>
      <c r="EI702" s="29"/>
      <c r="EJ702" s="29"/>
      <c r="EK702" s="29"/>
      <c r="EL702" s="29"/>
      <c r="EM702" s="29"/>
      <c r="EN702" s="29"/>
      <c r="EO702" s="29"/>
      <c r="EP702" s="29"/>
      <c r="EQ702" s="29"/>
      <c r="ER702" s="29"/>
      <c r="ES702" s="29"/>
      <c r="ET702" s="29"/>
      <c r="EU702" s="29"/>
      <c r="EV702" s="29"/>
      <c r="EW702" s="29"/>
      <c r="EX702" s="29"/>
      <c r="EY702" s="29"/>
      <c r="EZ702" s="29"/>
      <c r="FA702" s="29"/>
      <c r="FB702" s="29"/>
      <c r="FC702" s="29"/>
      <c r="FD702" s="29"/>
      <c r="FE702" s="29"/>
      <c r="FF702" s="29"/>
      <c r="FG702" s="29"/>
      <c r="FH702" s="29"/>
      <c r="FI702" s="29"/>
      <c r="FJ702" s="29"/>
      <c r="FK702" s="29"/>
      <c r="FL702" s="29"/>
      <c r="FM702" s="29"/>
      <c r="FN702" s="29"/>
      <c r="FO702" s="29"/>
      <c r="FP702" s="29"/>
      <c r="FQ702" s="29"/>
      <c r="FR702" s="29"/>
      <c r="FS702" s="29"/>
      <c r="FT702" s="29"/>
      <c r="FU702" s="29"/>
      <c r="FV702" s="29"/>
      <c r="FW702" s="29"/>
      <c r="FX702" s="29"/>
      <c r="FY702" s="29"/>
      <c r="FZ702" s="29"/>
      <c r="GA702" s="29"/>
      <c r="GB702" s="29"/>
      <c r="GC702" s="29"/>
      <c r="GD702" s="29"/>
      <c r="GE702" s="29"/>
      <c r="GF702" s="29"/>
      <c r="GG702" s="29"/>
      <c r="GH702" s="29"/>
      <c r="GI702" s="29"/>
      <c r="GJ702" s="29"/>
      <c r="GK702" s="29"/>
      <c r="GL702" s="29"/>
      <c r="GM702" s="29"/>
      <c r="GN702" s="29"/>
      <c r="GO702" s="29"/>
      <c r="GP702" s="29"/>
      <c r="GQ702" s="29"/>
      <c r="GR702" s="29"/>
      <c r="GS702" s="29"/>
      <c r="GT702" s="29"/>
      <c r="GU702" s="29"/>
      <c r="HP702" s="31"/>
      <c r="MX702" s="29"/>
      <c r="MY702" s="29"/>
    </row>
    <row r="703" ht="16.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c r="BO703" s="29"/>
      <c r="BP703" s="29"/>
      <c r="BQ703" s="29"/>
      <c r="BR703" s="29"/>
      <c r="BS703" s="29"/>
      <c r="BT703" s="29"/>
      <c r="BU703" s="29"/>
      <c r="BV703" s="29"/>
      <c r="BW703" s="29"/>
      <c r="BX703" s="29"/>
      <c r="BY703" s="29"/>
      <c r="BZ703" s="29"/>
      <c r="CA703" s="29"/>
      <c r="CB703" s="29"/>
      <c r="CC703" s="29"/>
      <c r="CD703" s="29"/>
      <c r="CE703" s="29"/>
      <c r="CF703" s="29"/>
      <c r="CG703" s="29"/>
      <c r="CH703" s="29"/>
      <c r="CI703" s="29"/>
      <c r="CJ703" s="29"/>
      <c r="CK703" s="29"/>
      <c r="CL703" s="29"/>
      <c r="CM703" s="29"/>
      <c r="CN703" s="29"/>
      <c r="CO703" s="29"/>
      <c r="CP703" s="29"/>
      <c r="CQ703" s="29"/>
      <c r="CR703" s="29"/>
      <c r="CS703" s="29"/>
      <c r="CT703" s="29"/>
      <c r="CU703" s="29"/>
      <c r="CV703" s="29"/>
      <c r="CW703" s="29"/>
      <c r="CX703" s="29"/>
      <c r="CY703" s="29"/>
      <c r="CZ703" s="29"/>
      <c r="DA703" s="29"/>
      <c r="DB703" s="29"/>
      <c r="DC703" s="29"/>
      <c r="DD703" s="29"/>
      <c r="DE703" s="29"/>
      <c r="DF703" s="29"/>
      <c r="DG703" s="29"/>
      <c r="DH703" s="29"/>
      <c r="DI703" s="29"/>
      <c r="DJ703" s="29"/>
      <c r="DK703" s="29"/>
      <c r="DL703" s="29"/>
      <c r="DM703" s="29"/>
      <c r="DN703" s="29"/>
      <c r="DO703" s="29"/>
      <c r="DP703" s="29"/>
      <c r="DQ703" s="29"/>
      <c r="DR703" s="29"/>
      <c r="DS703" s="29"/>
      <c r="DT703" s="29"/>
      <c r="DU703" s="29"/>
      <c r="DV703" s="29"/>
      <c r="DW703" s="29"/>
      <c r="DX703" s="29"/>
      <c r="DY703" s="29"/>
      <c r="DZ703" s="29"/>
      <c r="EA703" s="29"/>
      <c r="EB703" s="29"/>
      <c r="EC703" s="29"/>
      <c r="ED703" s="29"/>
      <c r="EE703" s="29"/>
      <c r="EF703" s="29"/>
      <c r="EG703" s="29"/>
      <c r="EH703" s="29"/>
      <c r="EI703" s="29"/>
      <c r="EJ703" s="29"/>
      <c r="EK703" s="29"/>
      <c r="EL703" s="29"/>
      <c r="EM703" s="29"/>
      <c r="EN703" s="29"/>
      <c r="EO703" s="29"/>
      <c r="EP703" s="29"/>
      <c r="EQ703" s="29"/>
      <c r="ER703" s="29"/>
      <c r="ES703" s="29"/>
      <c r="ET703" s="29"/>
      <c r="EU703" s="29"/>
      <c r="EV703" s="29"/>
      <c r="EW703" s="29"/>
      <c r="EX703" s="29"/>
      <c r="EY703" s="29"/>
      <c r="EZ703" s="29"/>
      <c r="FA703" s="29"/>
      <c r="FB703" s="29"/>
      <c r="FC703" s="29"/>
      <c r="FD703" s="29"/>
      <c r="FE703" s="29"/>
      <c r="FF703" s="29"/>
      <c r="FG703" s="29"/>
      <c r="FH703" s="29"/>
      <c r="FI703" s="29"/>
      <c r="FJ703" s="29"/>
      <c r="FK703" s="29"/>
      <c r="FL703" s="29"/>
      <c r="FM703" s="29"/>
      <c r="FN703" s="29"/>
      <c r="FO703" s="29"/>
      <c r="FP703" s="29"/>
      <c r="FQ703" s="29"/>
      <c r="FR703" s="29"/>
      <c r="FS703" s="29"/>
      <c r="FT703" s="29"/>
      <c r="FU703" s="29"/>
      <c r="FV703" s="29"/>
      <c r="FW703" s="29"/>
      <c r="FX703" s="29"/>
      <c r="FY703" s="29"/>
      <c r="FZ703" s="29"/>
      <c r="GA703" s="29"/>
      <c r="GB703" s="29"/>
      <c r="GC703" s="29"/>
      <c r="GD703" s="29"/>
      <c r="GE703" s="29"/>
      <c r="GF703" s="29"/>
      <c r="GG703" s="29"/>
      <c r="GH703" s="29"/>
      <c r="GI703" s="29"/>
      <c r="GJ703" s="29"/>
      <c r="GK703" s="29"/>
      <c r="GL703" s="29"/>
      <c r="GM703" s="29"/>
      <c r="GN703" s="29"/>
      <c r="GO703" s="29"/>
      <c r="GP703" s="29"/>
      <c r="GQ703" s="29"/>
      <c r="GR703" s="29"/>
      <c r="GS703" s="29"/>
      <c r="GT703" s="29"/>
      <c r="GU703" s="29"/>
      <c r="HP703" s="31"/>
      <c r="MX703" s="29"/>
      <c r="MY703" s="29"/>
    </row>
    <row r="704" ht="16.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c r="AX704" s="29"/>
      <c r="AY704" s="29"/>
      <c r="AZ704" s="29"/>
      <c r="BA704" s="29"/>
      <c r="BB704" s="29"/>
      <c r="BC704" s="29"/>
      <c r="BD704" s="29"/>
      <c r="BE704" s="29"/>
      <c r="BF704" s="29"/>
      <c r="BG704" s="29"/>
      <c r="BH704" s="29"/>
      <c r="BI704" s="29"/>
      <c r="BJ704" s="29"/>
      <c r="BK704" s="29"/>
      <c r="BL704" s="29"/>
      <c r="BM704" s="29"/>
      <c r="BN704" s="29"/>
      <c r="BO704" s="29"/>
      <c r="BP704" s="29"/>
      <c r="BQ704" s="29"/>
      <c r="BR704" s="29"/>
      <c r="BS704" s="29"/>
      <c r="BT704" s="29"/>
      <c r="BU704" s="29"/>
      <c r="BV704" s="29"/>
      <c r="BW704" s="29"/>
      <c r="BX704" s="29"/>
      <c r="BY704" s="29"/>
      <c r="BZ704" s="29"/>
      <c r="CA704" s="29"/>
      <c r="CB704" s="29"/>
      <c r="CC704" s="29"/>
      <c r="CD704" s="29"/>
      <c r="CE704" s="29"/>
      <c r="CF704" s="29"/>
      <c r="CG704" s="29"/>
      <c r="CH704" s="29"/>
      <c r="CI704" s="29"/>
      <c r="CJ704" s="29"/>
      <c r="CK704" s="29"/>
      <c r="CL704" s="29"/>
      <c r="CM704" s="29"/>
      <c r="CN704" s="29"/>
      <c r="CO704" s="29"/>
      <c r="CP704" s="29"/>
      <c r="CQ704" s="29"/>
      <c r="CR704" s="29"/>
      <c r="CS704" s="29"/>
      <c r="CT704" s="29"/>
      <c r="CU704" s="29"/>
      <c r="CV704" s="29"/>
      <c r="CW704" s="29"/>
      <c r="CX704" s="29"/>
      <c r="CY704" s="29"/>
      <c r="CZ704" s="29"/>
      <c r="DA704" s="29"/>
      <c r="DB704" s="29"/>
      <c r="DC704" s="29"/>
      <c r="DD704" s="29"/>
      <c r="DE704" s="29"/>
      <c r="DF704" s="29"/>
      <c r="DG704" s="29"/>
      <c r="DH704" s="29"/>
      <c r="DI704" s="29"/>
      <c r="DJ704" s="29"/>
      <c r="DK704" s="29"/>
      <c r="DL704" s="29"/>
      <c r="DM704" s="29"/>
      <c r="DN704" s="29"/>
      <c r="DO704" s="29"/>
      <c r="DP704" s="29"/>
      <c r="DQ704" s="29"/>
      <c r="DR704" s="29"/>
      <c r="DS704" s="29"/>
      <c r="DT704" s="29"/>
      <c r="DU704" s="29"/>
      <c r="DV704" s="29"/>
      <c r="DW704" s="29"/>
      <c r="DX704" s="29"/>
      <c r="DY704" s="29"/>
      <c r="DZ704" s="29"/>
      <c r="EA704" s="29"/>
      <c r="EB704" s="29"/>
      <c r="EC704" s="29"/>
      <c r="ED704" s="29"/>
      <c r="EE704" s="29"/>
      <c r="EF704" s="29"/>
      <c r="EG704" s="29"/>
      <c r="EH704" s="29"/>
      <c r="EI704" s="29"/>
      <c r="EJ704" s="29"/>
      <c r="EK704" s="29"/>
      <c r="EL704" s="29"/>
      <c r="EM704" s="29"/>
      <c r="EN704" s="29"/>
      <c r="EO704" s="29"/>
      <c r="EP704" s="29"/>
      <c r="EQ704" s="29"/>
      <c r="ER704" s="29"/>
      <c r="ES704" s="29"/>
      <c r="ET704" s="29"/>
      <c r="EU704" s="29"/>
      <c r="EV704" s="29"/>
      <c r="EW704" s="29"/>
      <c r="EX704" s="29"/>
      <c r="EY704" s="29"/>
      <c r="EZ704" s="29"/>
      <c r="FA704" s="29"/>
      <c r="FB704" s="29"/>
      <c r="FC704" s="29"/>
      <c r="FD704" s="29"/>
      <c r="FE704" s="29"/>
      <c r="FF704" s="29"/>
      <c r="FG704" s="29"/>
      <c r="FH704" s="29"/>
      <c r="FI704" s="29"/>
      <c r="FJ704" s="29"/>
      <c r="FK704" s="29"/>
      <c r="FL704" s="29"/>
      <c r="FM704" s="29"/>
      <c r="FN704" s="29"/>
      <c r="FO704" s="29"/>
      <c r="FP704" s="29"/>
      <c r="FQ704" s="29"/>
      <c r="FR704" s="29"/>
      <c r="FS704" s="29"/>
      <c r="FT704" s="29"/>
      <c r="FU704" s="29"/>
      <c r="FV704" s="29"/>
      <c r="FW704" s="29"/>
      <c r="FX704" s="29"/>
      <c r="FY704" s="29"/>
      <c r="FZ704" s="29"/>
      <c r="GA704" s="29"/>
      <c r="GB704" s="29"/>
      <c r="GC704" s="29"/>
      <c r="GD704" s="29"/>
      <c r="GE704" s="29"/>
      <c r="GF704" s="29"/>
      <c r="GG704" s="29"/>
      <c r="GH704" s="29"/>
      <c r="GI704" s="29"/>
      <c r="GJ704" s="29"/>
      <c r="GK704" s="29"/>
      <c r="GL704" s="29"/>
      <c r="GM704" s="29"/>
      <c r="GN704" s="29"/>
      <c r="GO704" s="29"/>
      <c r="GP704" s="29"/>
      <c r="GQ704" s="29"/>
      <c r="GR704" s="29"/>
      <c r="GS704" s="29"/>
      <c r="GT704" s="29"/>
      <c r="GU704" s="29"/>
      <c r="HP704" s="31"/>
      <c r="MX704" s="29"/>
      <c r="MY704" s="29"/>
    </row>
    <row r="705" ht="16.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c r="BO705" s="29"/>
      <c r="BP705" s="29"/>
      <c r="BQ705" s="29"/>
      <c r="BR705" s="29"/>
      <c r="BS705" s="29"/>
      <c r="BT705" s="29"/>
      <c r="BU705" s="29"/>
      <c r="BV705" s="29"/>
      <c r="BW705" s="29"/>
      <c r="BX705" s="29"/>
      <c r="BY705" s="29"/>
      <c r="BZ705" s="29"/>
      <c r="CA705" s="29"/>
      <c r="CB705" s="29"/>
      <c r="CC705" s="29"/>
      <c r="CD705" s="29"/>
      <c r="CE705" s="29"/>
      <c r="CF705" s="29"/>
      <c r="CG705" s="29"/>
      <c r="CH705" s="29"/>
      <c r="CI705" s="29"/>
      <c r="CJ705" s="29"/>
      <c r="CK705" s="29"/>
      <c r="CL705" s="29"/>
      <c r="CM705" s="29"/>
      <c r="CN705" s="29"/>
      <c r="CO705" s="29"/>
      <c r="CP705" s="29"/>
      <c r="CQ705" s="29"/>
      <c r="CR705" s="29"/>
      <c r="CS705" s="29"/>
      <c r="CT705" s="29"/>
      <c r="CU705" s="29"/>
      <c r="CV705" s="29"/>
      <c r="CW705" s="29"/>
      <c r="CX705" s="29"/>
      <c r="CY705" s="29"/>
      <c r="CZ705" s="29"/>
      <c r="DA705" s="29"/>
      <c r="DB705" s="29"/>
      <c r="DC705" s="29"/>
      <c r="DD705" s="29"/>
      <c r="DE705" s="29"/>
      <c r="DF705" s="29"/>
      <c r="DG705" s="29"/>
      <c r="DH705" s="29"/>
      <c r="DI705" s="29"/>
      <c r="DJ705" s="29"/>
      <c r="DK705" s="29"/>
      <c r="DL705" s="29"/>
      <c r="DM705" s="29"/>
      <c r="DN705" s="29"/>
      <c r="DO705" s="29"/>
      <c r="DP705" s="29"/>
      <c r="DQ705" s="29"/>
      <c r="DR705" s="29"/>
      <c r="DS705" s="29"/>
      <c r="DT705" s="29"/>
      <c r="DU705" s="29"/>
      <c r="DV705" s="29"/>
      <c r="DW705" s="29"/>
      <c r="DX705" s="29"/>
      <c r="DY705" s="29"/>
      <c r="DZ705" s="29"/>
      <c r="EA705" s="29"/>
      <c r="EB705" s="29"/>
      <c r="EC705" s="29"/>
      <c r="ED705" s="29"/>
      <c r="EE705" s="29"/>
      <c r="EF705" s="29"/>
      <c r="EG705" s="29"/>
      <c r="EH705" s="29"/>
      <c r="EI705" s="29"/>
      <c r="EJ705" s="29"/>
      <c r="EK705" s="29"/>
      <c r="EL705" s="29"/>
      <c r="EM705" s="29"/>
      <c r="EN705" s="29"/>
      <c r="EO705" s="29"/>
      <c r="EP705" s="29"/>
      <c r="EQ705" s="29"/>
      <c r="ER705" s="29"/>
      <c r="ES705" s="29"/>
      <c r="ET705" s="29"/>
      <c r="EU705" s="29"/>
      <c r="EV705" s="29"/>
      <c r="EW705" s="29"/>
      <c r="EX705" s="29"/>
      <c r="EY705" s="29"/>
      <c r="EZ705" s="29"/>
      <c r="FA705" s="29"/>
      <c r="FB705" s="29"/>
      <c r="FC705" s="29"/>
      <c r="FD705" s="29"/>
      <c r="FE705" s="29"/>
      <c r="FF705" s="29"/>
      <c r="FG705" s="29"/>
      <c r="FH705" s="29"/>
      <c r="FI705" s="29"/>
      <c r="FJ705" s="29"/>
      <c r="FK705" s="29"/>
      <c r="FL705" s="29"/>
      <c r="FM705" s="29"/>
      <c r="FN705" s="29"/>
      <c r="FO705" s="29"/>
      <c r="FP705" s="29"/>
      <c r="FQ705" s="29"/>
      <c r="FR705" s="29"/>
      <c r="FS705" s="29"/>
      <c r="FT705" s="29"/>
      <c r="FU705" s="29"/>
      <c r="FV705" s="29"/>
      <c r="FW705" s="29"/>
      <c r="FX705" s="29"/>
      <c r="FY705" s="29"/>
      <c r="FZ705" s="29"/>
      <c r="GA705" s="29"/>
      <c r="GB705" s="29"/>
      <c r="GC705" s="29"/>
      <c r="GD705" s="29"/>
      <c r="GE705" s="29"/>
      <c r="GF705" s="29"/>
      <c r="GG705" s="29"/>
      <c r="GH705" s="29"/>
      <c r="GI705" s="29"/>
      <c r="GJ705" s="29"/>
      <c r="GK705" s="29"/>
      <c r="GL705" s="29"/>
      <c r="GM705" s="29"/>
      <c r="GN705" s="29"/>
      <c r="GO705" s="29"/>
      <c r="GP705" s="29"/>
      <c r="GQ705" s="29"/>
      <c r="GR705" s="29"/>
      <c r="GS705" s="29"/>
      <c r="GT705" s="29"/>
      <c r="GU705" s="29"/>
      <c r="HP705" s="31"/>
      <c r="MX705" s="29"/>
      <c r="MY705" s="29"/>
    </row>
    <row r="706" ht="16.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c r="AX706" s="29"/>
      <c r="AY706" s="29"/>
      <c r="AZ706" s="29"/>
      <c r="BA706" s="29"/>
      <c r="BB706" s="29"/>
      <c r="BC706" s="29"/>
      <c r="BD706" s="29"/>
      <c r="BE706" s="29"/>
      <c r="BF706" s="29"/>
      <c r="BG706" s="29"/>
      <c r="BH706" s="29"/>
      <c r="BI706" s="29"/>
      <c r="BJ706" s="29"/>
      <c r="BK706" s="29"/>
      <c r="BL706" s="29"/>
      <c r="BM706" s="29"/>
      <c r="BN706" s="29"/>
      <c r="BO706" s="29"/>
      <c r="BP706" s="29"/>
      <c r="BQ706" s="29"/>
      <c r="BR706" s="29"/>
      <c r="BS706" s="29"/>
      <c r="BT706" s="29"/>
      <c r="BU706" s="29"/>
      <c r="BV706" s="29"/>
      <c r="BW706" s="29"/>
      <c r="BX706" s="29"/>
      <c r="BY706" s="29"/>
      <c r="BZ706" s="29"/>
      <c r="CA706" s="29"/>
      <c r="CB706" s="29"/>
      <c r="CC706" s="29"/>
      <c r="CD706" s="29"/>
      <c r="CE706" s="29"/>
      <c r="CF706" s="29"/>
      <c r="CG706" s="29"/>
      <c r="CH706" s="29"/>
      <c r="CI706" s="29"/>
      <c r="CJ706" s="29"/>
      <c r="CK706" s="29"/>
      <c r="CL706" s="29"/>
      <c r="CM706" s="29"/>
      <c r="CN706" s="29"/>
      <c r="CO706" s="29"/>
      <c r="CP706" s="29"/>
      <c r="CQ706" s="29"/>
      <c r="CR706" s="29"/>
      <c r="CS706" s="29"/>
      <c r="CT706" s="29"/>
      <c r="CU706" s="29"/>
      <c r="CV706" s="29"/>
      <c r="CW706" s="29"/>
      <c r="CX706" s="29"/>
      <c r="CY706" s="29"/>
      <c r="CZ706" s="29"/>
      <c r="DA706" s="29"/>
      <c r="DB706" s="29"/>
      <c r="DC706" s="29"/>
      <c r="DD706" s="29"/>
      <c r="DE706" s="29"/>
      <c r="DF706" s="29"/>
      <c r="DG706" s="29"/>
      <c r="DH706" s="29"/>
      <c r="DI706" s="29"/>
      <c r="DJ706" s="29"/>
      <c r="DK706" s="29"/>
      <c r="DL706" s="29"/>
      <c r="DM706" s="29"/>
      <c r="DN706" s="29"/>
      <c r="DO706" s="29"/>
      <c r="DP706" s="29"/>
      <c r="DQ706" s="29"/>
      <c r="DR706" s="29"/>
      <c r="DS706" s="29"/>
      <c r="DT706" s="29"/>
      <c r="DU706" s="29"/>
      <c r="DV706" s="29"/>
      <c r="DW706" s="29"/>
      <c r="DX706" s="29"/>
      <c r="DY706" s="29"/>
      <c r="DZ706" s="29"/>
      <c r="EA706" s="29"/>
      <c r="EB706" s="29"/>
      <c r="EC706" s="29"/>
      <c r="ED706" s="29"/>
      <c r="EE706" s="29"/>
      <c r="EF706" s="29"/>
      <c r="EG706" s="29"/>
      <c r="EH706" s="29"/>
      <c r="EI706" s="29"/>
      <c r="EJ706" s="29"/>
      <c r="EK706" s="29"/>
      <c r="EL706" s="29"/>
      <c r="EM706" s="29"/>
      <c r="EN706" s="29"/>
      <c r="EO706" s="29"/>
      <c r="EP706" s="29"/>
      <c r="EQ706" s="29"/>
      <c r="ER706" s="29"/>
      <c r="ES706" s="29"/>
      <c r="ET706" s="29"/>
      <c r="EU706" s="29"/>
      <c r="EV706" s="29"/>
      <c r="EW706" s="29"/>
      <c r="EX706" s="29"/>
      <c r="EY706" s="29"/>
      <c r="EZ706" s="29"/>
      <c r="FA706" s="29"/>
      <c r="FB706" s="29"/>
      <c r="FC706" s="29"/>
      <c r="FD706" s="29"/>
      <c r="FE706" s="29"/>
      <c r="FF706" s="29"/>
      <c r="FG706" s="29"/>
      <c r="FH706" s="29"/>
      <c r="FI706" s="29"/>
      <c r="FJ706" s="29"/>
      <c r="FK706" s="29"/>
      <c r="FL706" s="29"/>
      <c r="FM706" s="29"/>
      <c r="FN706" s="29"/>
      <c r="FO706" s="29"/>
      <c r="FP706" s="29"/>
      <c r="FQ706" s="29"/>
      <c r="FR706" s="29"/>
      <c r="FS706" s="29"/>
      <c r="FT706" s="29"/>
      <c r="FU706" s="29"/>
      <c r="FV706" s="29"/>
      <c r="FW706" s="29"/>
      <c r="FX706" s="29"/>
      <c r="FY706" s="29"/>
      <c r="FZ706" s="29"/>
      <c r="GA706" s="29"/>
      <c r="GB706" s="29"/>
      <c r="GC706" s="29"/>
      <c r="GD706" s="29"/>
      <c r="GE706" s="29"/>
      <c r="GF706" s="29"/>
      <c r="GG706" s="29"/>
      <c r="GH706" s="29"/>
      <c r="GI706" s="29"/>
      <c r="GJ706" s="29"/>
      <c r="GK706" s="29"/>
      <c r="GL706" s="29"/>
      <c r="GM706" s="29"/>
      <c r="GN706" s="29"/>
      <c r="GO706" s="29"/>
      <c r="GP706" s="29"/>
      <c r="GQ706" s="29"/>
      <c r="GR706" s="29"/>
      <c r="GS706" s="29"/>
      <c r="GT706" s="29"/>
      <c r="GU706" s="29"/>
      <c r="HP706" s="31"/>
      <c r="MX706" s="29"/>
      <c r="MY706" s="29"/>
    </row>
    <row r="707" ht="16.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c r="BO707" s="29"/>
      <c r="BP707" s="29"/>
      <c r="BQ707" s="29"/>
      <c r="BR707" s="29"/>
      <c r="BS707" s="29"/>
      <c r="BT707" s="29"/>
      <c r="BU707" s="29"/>
      <c r="BV707" s="29"/>
      <c r="BW707" s="29"/>
      <c r="BX707" s="29"/>
      <c r="BY707" s="29"/>
      <c r="BZ707" s="29"/>
      <c r="CA707" s="29"/>
      <c r="CB707" s="29"/>
      <c r="CC707" s="29"/>
      <c r="CD707" s="29"/>
      <c r="CE707" s="29"/>
      <c r="CF707" s="29"/>
      <c r="CG707" s="29"/>
      <c r="CH707" s="29"/>
      <c r="CI707" s="29"/>
      <c r="CJ707" s="29"/>
      <c r="CK707" s="29"/>
      <c r="CL707" s="29"/>
      <c r="CM707" s="29"/>
      <c r="CN707" s="29"/>
      <c r="CO707" s="29"/>
      <c r="CP707" s="29"/>
      <c r="CQ707" s="29"/>
      <c r="CR707" s="29"/>
      <c r="CS707" s="29"/>
      <c r="CT707" s="29"/>
      <c r="CU707" s="29"/>
      <c r="CV707" s="29"/>
      <c r="CW707" s="29"/>
      <c r="CX707" s="29"/>
      <c r="CY707" s="29"/>
      <c r="CZ707" s="29"/>
      <c r="DA707" s="29"/>
      <c r="DB707" s="29"/>
      <c r="DC707" s="29"/>
      <c r="DD707" s="29"/>
      <c r="DE707" s="29"/>
      <c r="DF707" s="29"/>
      <c r="DG707" s="29"/>
      <c r="DH707" s="29"/>
      <c r="DI707" s="29"/>
      <c r="DJ707" s="29"/>
      <c r="DK707" s="29"/>
      <c r="DL707" s="29"/>
      <c r="DM707" s="29"/>
      <c r="DN707" s="29"/>
      <c r="DO707" s="29"/>
      <c r="DP707" s="29"/>
      <c r="DQ707" s="29"/>
      <c r="DR707" s="29"/>
      <c r="DS707" s="29"/>
      <c r="DT707" s="29"/>
      <c r="DU707" s="29"/>
      <c r="DV707" s="29"/>
      <c r="DW707" s="29"/>
      <c r="DX707" s="29"/>
      <c r="DY707" s="29"/>
      <c r="DZ707" s="29"/>
      <c r="EA707" s="29"/>
      <c r="EB707" s="29"/>
      <c r="EC707" s="29"/>
      <c r="ED707" s="29"/>
      <c r="EE707" s="29"/>
      <c r="EF707" s="29"/>
      <c r="EG707" s="29"/>
      <c r="EH707" s="29"/>
      <c r="EI707" s="29"/>
      <c r="EJ707" s="29"/>
      <c r="EK707" s="29"/>
      <c r="EL707" s="29"/>
      <c r="EM707" s="29"/>
      <c r="EN707" s="29"/>
      <c r="EO707" s="29"/>
      <c r="EP707" s="29"/>
      <c r="EQ707" s="29"/>
      <c r="ER707" s="29"/>
      <c r="ES707" s="29"/>
      <c r="ET707" s="29"/>
      <c r="EU707" s="29"/>
      <c r="EV707" s="29"/>
      <c r="EW707" s="29"/>
      <c r="EX707" s="29"/>
      <c r="EY707" s="29"/>
      <c r="EZ707" s="29"/>
      <c r="FA707" s="29"/>
      <c r="FB707" s="29"/>
      <c r="FC707" s="29"/>
      <c r="FD707" s="29"/>
      <c r="FE707" s="29"/>
      <c r="FF707" s="29"/>
      <c r="FG707" s="29"/>
      <c r="FH707" s="29"/>
      <c r="FI707" s="29"/>
      <c r="FJ707" s="29"/>
      <c r="FK707" s="29"/>
      <c r="FL707" s="29"/>
      <c r="FM707" s="29"/>
      <c r="FN707" s="29"/>
      <c r="FO707" s="29"/>
      <c r="FP707" s="29"/>
      <c r="FQ707" s="29"/>
      <c r="FR707" s="29"/>
      <c r="FS707" s="29"/>
      <c r="FT707" s="29"/>
      <c r="FU707" s="29"/>
      <c r="FV707" s="29"/>
      <c r="FW707" s="29"/>
      <c r="FX707" s="29"/>
      <c r="FY707" s="29"/>
      <c r="FZ707" s="29"/>
      <c r="GA707" s="29"/>
      <c r="GB707" s="29"/>
      <c r="GC707" s="29"/>
      <c r="GD707" s="29"/>
      <c r="GE707" s="29"/>
      <c r="GF707" s="29"/>
      <c r="GG707" s="29"/>
      <c r="GH707" s="29"/>
      <c r="GI707" s="29"/>
      <c r="GJ707" s="29"/>
      <c r="GK707" s="29"/>
      <c r="GL707" s="29"/>
      <c r="GM707" s="29"/>
      <c r="GN707" s="29"/>
      <c r="GO707" s="29"/>
      <c r="GP707" s="29"/>
      <c r="GQ707" s="29"/>
      <c r="GR707" s="29"/>
      <c r="GS707" s="29"/>
      <c r="GT707" s="29"/>
      <c r="GU707" s="29"/>
      <c r="HP707" s="31"/>
      <c r="MX707" s="29"/>
      <c r="MY707" s="29"/>
    </row>
    <row r="708" ht="16.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c r="AX708" s="29"/>
      <c r="AY708" s="29"/>
      <c r="AZ708" s="29"/>
      <c r="BA708" s="29"/>
      <c r="BB708" s="29"/>
      <c r="BC708" s="29"/>
      <c r="BD708" s="29"/>
      <c r="BE708" s="29"/>
      <c r="BF708" s="29"/>
      <c r="BG708" s="29"/>
      <c r="BH708" s="29"/>
      <c r="BI708" s="29"/>
      <c r="BJ708" s="29"/>
      <c r="BK708" s="29"/>
      <c r="BL708" s="29"/>
      <c r="BM708" s="29"/>
      <c r="BN708" s="29"/>
      <c r="BO708" s="29"/>
      <c r="BP708" s="29"/>
      <c r="BQ708" s="29"/>
      <c r="BR708" s="29"/>
      <c r="BS708" s="29"/>
      <c r="BT708" s="29"/>
      <c r="BU708" s="29"/>
      <c r="BV708" s="29"/>
      <c r="BW708" s="29"/>
      <c r="BX708" s="29"/>
      <c r="BY708" s="29"/>
      <c r="BZ708" s="29"/>
      <c r="CA708" s="29"/>
      <c r="CB708" s="29"/>
      <c r="CC708" s="29"/>
      <c r="CD708" s="29"/>
      <c r="CE708" s="29"/>
      <c r="CF708" s="29"/>
      <c r="CG708" s="29"/>
      <c r="CH708" s="29"/>
      <c r="CI708" s="29"/>
      <c r="CJ708" s="29"/>
      <c r="CK708" s="29"/>
      <c r="CL708" s="29"/>
      <c r="CM708" s="29"/>
      <c r="CN708" s="29"/>
      <c r="CO708" s="29"/>
      <c r="CP708" s="29"/>
      <c r="CQ708" s="29"/>
      <c r="CR708" s="29"/>
      <c r="CS708" s="29"/>
      <c r="CT708" s="29"/>
      <c r="CU708" s="29"/>
      <c r="CV708" s="29"/>
      <c r="CW708" s="29"/>
      <c r="CX708" s="29"/>
      <c r="CY708" s="29"/>
      <c r="CZ708" s="29"/>
      <c r="DA708" s="29"/>
      <c r="DB708" s="29"/>
      <c r="DC708" s="29"/>
      <c r="DD708" s="29"/>
      <c r="DE708" s="29"/>
      <c r="DF708" s="29"/>
      <c r="DG708" s="29"/>
      <c r="DH708" s="29"/>
      <c r="DI708" s="29"/>
      <c r="DJ708" s="29"/>
      <c r="DK708" s="29"/>
      <c r="DL708" s="29"/>
      <c r="DM708" s="29"/>
      <c r="DN708" s="29"/>
      <c r="DO708" s="29"/>
      <c r="DP708" s="29"/>
      <c r="DQ708" s="29"/>
      <c r="DR708" s="29"/>
      <c r="DS708" s="29"/>
      <c r="DT708" s="29"/>
      <c r="DU708" s="29"/>
      <c r="DV708" s="29"/>
      <c r="DW708" s="29"/>
      <c r="DX708" s="29"/>
      <c r="DY708" s="29"/>
      <c r="DZ708" s="29"/>
      <c r="EA708" s="29"/>
      <c r="EB708" s="29"/>
      <c r="EC708" s="29"/>
      <c r="ED708" s="29"/>
      <c r="EE708" s="29"/>
      <c r="EF708" s="29"/>
      <c r="EG708" s="29"/>
      <c r="EH708" s="29"/>
      <c r="EI708" s="29"/>
      <c r="EJ708" s="29"/>
      <c r="EK708" s="29"/>
      <c r="EL708" s="29"/>
      <c r="EM708" s="29"/>
      <c r="EN708" s="29"/>
      <c r="EO708" s="29"/>
      <c r="EP708" s="29"/>
      <c r="EQ708" s="29"/>
      <c r="ER708" s="29"/>
      <c r="ES708" s="29"/>
      <c r="ET708" s="29"/>
      <c r="EU708" s="29"/>
      <c r="EV708" s="29"/>
      <c r="EW708" s="29"/>
      <c r="EX708" s="29"/>
      <c r="EY708" s="29"/>
      <c r="EZ708" s="29"/>
      <c r="FA708" s="29"/>
      <c r="FB708" s="29"/>
      <c r="FC708" s="29"/>
      <c r="FD708" s="29"/>
      <c r="FE708" s="29"/>
      <c r="FF708" s="29"/>
      <c r="FG708" s="29"/>
      <c r="FH708" s="29"/>
      <c r="FI708" s="29"/>
      <c r="FJ708" s="29"/>
      <c r="FK708" s="29"/>
      <c r="FL708" s="29"/>
      <c r="FM708" s="29"/>
      <c r="FN708" s="29"/>
      <c r="FO708" s="29"/>
      <c r="FP708" s="29"/>
      <c r="FQ708" s="29"/>
      <c r="FR708" s="29"/>
      <c r="FS708" s="29"/>
      <c r="FT708" s="29"/>
      <c r="FU708" s="29"/>
      <c r="FV708" s="29"/>
      <c r="FW708" s="29"/>
      <c r="FX708" s="29"/>
      <c r="FY708" s="29"/>
      <c r="FZ708" s="29"/>
      <c r="GA708" s="29"/>
      <c r="GB708" s="29"/>
      <c r="GC708" s="29"/>
      <c r="GD708" s="29"/>
      <c r="GE708" s="29"/>
      <c r="GF708" s="29"/>
      <c r="GG708" s="29"/>
      <c r="GH708" s="29"/>
      <c r="GI708" s="29"/>
      <c r="GJ708" s="29"/>
      <c r="GK708" s="29"/>
      <c r="GL708" s="29"/>
      <c r="GM708" s="29"/>
      <c r="GN708" s="29"/>
      <c r="GO708" s="29"/>
      <c r="GP708" s="29"/>
      <c r="GQ708" s="29"/>
      <c r="GR708" s="29"/>
      <c r="GS708" s="29"/>
      <c r="GT708" s="29"/>
      <c r="GU708" s="29"/>
      <c r="HP708" s="31"/>
      <c r="MX708" s="29"/>
      <c r="MY708" s="29"/>
    </row>
    <row r="709" ht="16.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c r="BO709" s="29"/>
      <c r="BP709" s="29"/>
      <c r="BQ709" s="29"/>
      <c r="BR709" s="29"/>
      <c r="BS709" s="29"/>
      <c r="BT709" s="29"/>
      <c r="BU709" s="29"/>
      <c r="BV709" s="29"/>
      <c r="BW709" s="29"/>
      <c r="BX709" s="29"/>
      <c r="BY709" s="29"/>
      <c r="BZ709" s="29"/>
      <c r="CA709" s="29"/>
      <c r="CB709" s="29"/>
      <c r="CC709" s="29"/>
      <c r="CD709" s="29"/>
      <c r="CE709" s="29"/>
      <c r="CF709" s="29"/>
      <c r="CG709" s="29"/>
      <c r="CH709" s="29"/>
      <c r="CI709" s="29"/>
      <c r="CJ709" s="29"/>
      <c r="CK709" s="29"/>
      <c r="CL709" s="29"/>
      <c r="CM709" s="29"/>
      <c r="CN709" s="29"/>
      <c r="CO709" s="29"/>
      <c r="CP709" s="29"/>
      <c r="CQ709" s="29"/>
      <c r="CR709" s="29"/>
      <c r="CS709" s="29"/>
      <c r="CT709" s="29"/>
      <c r="CU709" s="29"/>
      <c r="CV709" s="29"/>
      <c r="CW709" s="29"/>
      <c r="CX709" s="29"/>
      <c r="CY709" s="29"/>
      <c r="CZ709" s="29"/>
      <c r="DA709" s="29"/>
      <c r="DB709" s="29"/>
      <c r="DC709" s="29"/>
      <c r="DD709" s="29"/>
      <c r="DE709" s="29"/>
      <c r="DF709" s="29"/>
      <c r="DG709" s="29"/>
      <c r="DH709" s="29"/>
      <c r="DI709" s="29"/>
      <c r="DJ709" s="29"/>
      <c r="DK709" s="29"/>
      <c r="DL709" s="29"/>
      <c r="DM709" s="29"/>
      <c r="DN709" s="29"/>
      <c r="DO709" s="29"/>
      <c r="DP709" s="29"/>
      <c r="DQ709" s="29"/>
      <c r="DR709" s="29"/>
      <c r="DS709" s="29"/>
      <c r="DT709" s="29"/>
      <c r="DU709" s="29"/>
      <c r="DV709" s="29"/>
      <c r="DW709" s="29"/>
      <c r="DX709" s="29"/>
      <c r="DY709" s="29"/>
      <c r="DZ709" s="29"/>
      <c r="EA709" s="29"/>
      <c r="EB709" s="29"/>
      <c r="EC709" s="29"/>
      <c r="ED709" s="29"/>
      <c r="EE709" s="29"/>
      <c r="EF709" s="29"/>
      <c r="EG709" s="29"/>
      <c r="EH709" s="29"/>
      <c r="EI709" s="29"/>
      <c r="EJ709" s="29"/>
      <c r="EK709" s="29"/>
      <c r="EL709" s="29"/>
      <c r="EM709" s="29"/>
      <c r="EN709" s="29"/>
      <c r="EO709" s="29"/>
      <c r="EP709" s="29"/>
      <c r="EQ709" s="29"/>
      <c r="ER709" s="29"/>
      <c r="ES709" s="29"/>
      <c r="ET709" s="29"/>
      <c r="EU709" s="29"/>
      <c r="EV709" s="29"/>
      <c r="EW709" s="29"/>
      <c r="EX709" s="29"/>
      <c r="EY709" s="29"/>
      <c r="EZ709" s="29"/>
      <c r="FA709" s="29"/>
      <c r="FB709" s="29"/>
      <c r="FC709" s="29"/>
      <c r="FD709" s="29"/>
      <c r="FE709" s="29"/>
      <c r="FF709" s="29"/>
      <c r="FG709" s="29"/>
      <c r="FH709" s="29"/>
      <c r="FI709" s="29"/>
      <c r="FJ709" s="29"/>
      <c r="FK709" s="29"/>
      <c r="FL709" s="29"/>
      <c r="FM709" s="29"/>
      <c r="FN709" s="29"/>
      <c r="FO709" s="29"/>
      <c r="FP709" s="29"/>
      <c r="FQ709" s="29"/>
      <c r="FR709" s="29"/>
      <c r="FS709" s="29"/>
      <c r="FT709" s="29"/>
      <c r="FU709" s="29"/>
      <c r="FV709" s="29"/>
      <c r="FW709" s="29"/>
      <c r="FX709" s="29"/>
      <c r="FY709" s="29"/>
      <c r="FZ709" s="29"/>
      <c r="GA709" s="29"/>
      <c r="GB709" s="29"/>
      <c r="GC709" s="29"/>
      <c r="GD709" s="29"/>
      <c r="GE709" s="29"/>
      <c r="GF709" s="29"/>
      <c r="GG709" s="29"/>
      <c r="GH709" s="29"/>
      <c r="GI709" s="29"/>
      <c r="GJ709" s="29"/>
      <c r="GK709" s="29"/>
      <c r="GL709" s="29"/>
      <c r="GM709" s="29"/>
      <c r="GN709" s="29"/>
      <c r="GO709" s="29"/>
      <c r="GP709" s="29"/>
      <c r="GQ709" s="29"/>
      <c r="GR709" s="29"/>
      <c r="GS709" s="29"/>
      <c r="GT709" s="29"/>
      <c r="GU709" s="29"/>
      <c r="HP709" s="31"/>
      <c r="MX709" s="29"/>
      <c r="MY709" s="29"/>
    </row>
    <row r="710" ht="16.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c r="AV710" s="29"/>
      <c r="AW710" s="29"/>
      <c r="AX710" s="29"/>
      <c r="AY710" s="29"/>
      <c r="AZ710" s="29"/>
      <c r="BA710" s="29"/>
      <c r="BB710" s="29"/>
      <c r="BC710" s="29"/>
      <c r="BD710" s="29"/>
      <c r="BE710" s="29"/>
      <c r="BF710" s="29"/>
      <c r="BG710" s="29"/>
      <c r="BH710" s="29"/>
      <c r="BI710" s="29"/>
      <c r="BJ710" s="29"/>
      <c r="BK710" s="29"/>
      <c r="BL710" s="29"/>
      <c r="BM710" s="29"/>
      <c r="BN710" s="29"/>
      <c r="BO710" s="29"/>
      <c r="BP710" s="29"/>
      <c r="BQ710" s="29"/>
      <c r="BR710" s="29"/>
      <c r="BS710" s="29"/>
      <c r="BT710" s="29"/>
      <c r="BU710" s="29"/>
      <c r="BV710" s="29"/>
      <c r="BW710" s="29"/>
      <c r="BX710" s="29"/>
      <c r="BY710" s="29"/>
      <c r="BZ710" s="29"/>
      <c r="CA710" s="29"/>
      <c r="CB710" s="29"/>
      <c r="CC710" s="29"/>
      <c r="CD710" s="29"/>
      <c r="CE710" s="29"/>
      <c r="CF710" s="29"/>
      <c r="CG710" s="29"/>
      <c r="CH710" s="29"/>
      <c r="CI710" s="29"/>
      <c r="CJ710" s="29"/>
      <c r="CK710" s="29"/>
      <c r="CL710" s="29"/>
      <c r="CM710" s="29"/>
      <c r="CN710" s="29"/>
      <c r="CO710" s="29"/>
      <c r="CP710" s="29"/>
      <c r="CQ710" s="29"/>
      <c r="CR710" s="29"/>
      <c r="CS710" s="29"/>
      <c r="CT710" s="29"/>
      <c r="CU710" s="29"/>
      <c r="CV710" s="29"/>
      <c r="CW710" s="29"/>
      <c r="CX710" s="29"/>
      <c r="CY710" s="29"/>
      <c r="CZ710" s="29"/>
      <c r="DA710" s="29"/>
      <c r="DB710" s="29"/>
      <c r="DC710" s="29"/>
      <c r="DD710" s="29"/>
      <c r="DE710" s="29"/>
      <c r="DF710" s="29"/>
      <c r="DG710" s="29"/>
      <c r="DH710" s="29"/>
      <c r="DI710" s="29"/>
      <c r="DJ710" s="29"/>
      <c r="DK710" s="29"/>
      <c r="DL710" s="29"/>
      <c r="DM710" s="29"/>
      <c r="DN710" s="29"/>
      <c r="DO710" s="29"/>
      <c r="DP710" s="29"/>
      <c r="DQ710" s="29"/>
      <c r="DR710" s="29"/>
      <c r="DS710" s="29"/>
      <c r="DT710" s="29"/>
      <c r="DU710" s="29"/>
      <c r="DV710" s="29"/>
      <c r="DW710" s="29"/>
      <c r="DX710" s="29"/>
      <c r="DY710" s="29"/>
      <c r="DZ710" s="29"/>
      <c r="EA710" s="29"/>
      <c r="EB710" s="29"/>
      <c r="EC710" s="29"/>
      <c r="ED710" s="29"/>
      <c r="EE710" s="29"/>
      <c r="EF710" s="29"/>
      <c r="EG710" s="29"/>
      <c r="EH710" s="29"/>
      <c r="EI710" s="29"/>
      <c r="EJ710" s="29"/>
      <c r="EK710" s="29"/>
      <c r="EL710" s="29"/>
      <c r="EM710" s="29"/>
      <c r="EN710" s="29"/>
      <c r="EO710" s="29"/>
      <c r="EP710" s="29"/>
      <c r="EQ710" s="29"/>
      <c r="ER710" s="29"/>
      <c r="ES710" s="29"/>
      <c r="ET710" s="29"/>
      <c r="EU710" s="29"/>
      <c r="EV710" s="29"/>
      <c r="EW710" s="29"/>
      <c r="EX710" s="29"/>
      <c r="EY710" s="29"/>
      <c r="EZ710" s="29"/>
      <c r="FA710" s="29"/>
      <c r="FB710" s="29"/>
      <c r="FC710" s="29"/>
      <c r="FD710" s="29"/>
      <c r="FE710" s="29"/>
      <c r="FF710" s="29"/>
      <c r="FG710" s="29"/>
      <c r="FH710" s="29"/>
      <c r="FI710" s="29"/>
      <c r="FJ710" s="29"/>
      <c r="FK710" s="29"/>
      <c r="FL710" s="29"/>
      <c r="FM710" s="29"/>
      <c r="FN710" s="29"/>
      <c r="FO710" s="29"/>
      <c r="FP710" s="29"/>
      <c r="FQ710" s="29"/>
      <c r="FR710" s="29"/>
      <c r="FS710" s="29"/>
      <c r="FT710" s="29"/>
      <c r="FU710" s="29"/>
      <c r="FV710" s="29"/>
      <c r="FW710" s="29"/>
      <c r="FX710" s="29"/>
      <c r="FY710" s="29"/>
      <c r="FZ710" s="29"/>
      <c r="GA710" s="29"/>
      <c r="GB710" s="29"/>
      <c r="GC710" s="29"/>
      <c r="GD710" s="29"/>
      <c r="GE710" s="29"/>
      <c r="GF710" s="29"/>
      <c r="GG710" s="29"/>
      <c r="GH710" s="29"/>
      <c r="GI710" s="29"/>
      <c r="GJ710" s="29"/>
      <c r="GK710" s="29"/>
      <c r="GL710" s="29"/>
      <c r="GM710" s="29"/>
      <c r="GN710" s="29"/>
      <c r="GO710" s="29"/>
      <c r="GP710" s="29"/>
      <c r="GQ710" s="29"/>
      <c r="GR710" s="29"/>
      <c r="GS710" s="29"/>
      <c r="GT710" s="29"/>
      <c r="GU710" s="29"/>
      <c r="HP710" s="31"/>
      <c r="MX710" s="29"/>
      <c r="MY710" s="29"/>
    </row>
    <row r="711" ht="16.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c r="BO711" s="29"/>
      <c r="BP711" s="29"/>
      <c r="BQ711" s="29"/>
      <c r="BR711" s="29"/>
      <c r="BS711" s="29"/>
      <c r="BT711" s="29"/>
      <c r="BU711" s="29"/>
      <c r="BV711" s="29"/>
      <c r="BW711" s="29"/>
      <c r="BX711" s="29"/>
      <c r="BY711" s="29"/>
      <c r="BZ711" s="29"/>
      <c r="CA711" s="29"/>
      <c r="CB711" s="29"/>
      <c r="CC711" s="29"/>
      <c r="CD711" s="29"/>
      <c r="CE711" s="29"/>
      <c r="CF711" s="29"/>
      <c r="CG711" s="29"/>
      <c r="CH711" s="29"/>
      <c r="CI711" s="29"/>
      <c r="CJ711" s="29"/>
      <c r="CK711" s="29"/>
      <c r="CL711" s="29"/>
      <c r="CM711" s="29"/>
      <c r="CN711" s="29"/>
      <c r="CO711" s="29"/>
      <c r="CP711" s="29"/>
      <c r="CQ711" s="29"/>
      <c r="CR711" s="29"/>
      <c r="CS711" s="29"/>
      <c r="CT711" s="29"/>
      <c r="CU711" s="29"/>
      <c r="CV711" s="29"/>
      <c r="CW711" s="29"/>
      <c r="CX711" s="29"/>
      <c r="CY711" s="29"/>
      <c r="CZ711" s="29"/>
      <c r="DA711" s="29"/>
      <c r="DB711" s="29"/>
      <c r="DC711" s="29"/>
      <c r="DD711" s="29"/>
      <c r="DE711" s="29"/>
      <c r="DF711" s="29"/>
      <c r="DG711" s="29"/>
      <c r="DH711" s="29"/>
      <c r="DI711" s="29"/>
      <c r="DJ711" s="29"/>
      <c r="DK711" s="29"/>
      <c r="DL711" s="29"/>
      <c r="DM711" s="29"/>
      <c r="DN711" s="29"/>
      <c r="DO711" s="29"/>
      <c r="DP711" s="29"/>
      <c r="DQ711" s="29"/>
      <c r="DR711" s="29"/>
      <c r="DS711" s="29"/>
      <c r="DT711" s="29"/>
      <c r="DU711" s="29"/>
      <c r="DV711" s="29"/>
      <c r="DW711" s="29"/>
      <c r="DX711" s="29"/>
      <c r="DY711" s="29"/>
      <c r="DZ711" s="29"/>
      <c r="EA711" s="29"/>
      <c r="EB711" s="29"/>
      <c r="EC711" s="29"/>
      <c r="ED711" s="29"/>
      <c r="EE711" s="29"/>
      <c r="EF711" s="29"/>
      <c r="EG711" s="29"/>
      <c r="EH711" s="29"/>
      <c r="EI711" s="29"/>
      <c r="EJ711" s="29"/>
      <c r="EK711" s="29"/>
      <c r="EL711" s="29"/>
      <c r="EM711" s="29"/>
      <c r="EN711" s="29"/>
      <c r="EO711" s="29"/>
      <c r="EP711" s="29"/>
      <c r="EQ711" s="29"/>
      <c r="ER711" s="29"/>
      <c r="ES711" s="29"/>
      <c r="ET711" s="29"/>
      <c r="EU711" s="29"/>
      <c r="EV711" s="29"/>
      <c r="EW711" s="29"/>
      <c r="EX711" s="29"/>
      <c r="EY711" s="29"/>
      <c r="EZ711" s="29"/>
      <c r="FA711" s="29"/>
      <c r="FB711" s="29"/>
      <c r="FC711" s="29"/>
      <c r="FD711" s="29"/>
      <c r="FE711" s="29"/>
      <c r="FF711" s="29"/>
      <c r="FG711" s="29"/>
      <c r="FH711" s="29"/>
      <c r="FI711" s="29"/>
      <c r="FJ711" s="29"/>
      <c r="FK711" s="29"/>
      <c r="FL711" s="29"/>
      <c r="FM711" s="29"/>
      <c r="FN711" s="29"/>
      <c r="FO711" s="29"/>
      <c r="FP711" s="29"/>
      <c r="FQ711" s="29"/>
      <c r="FR711" s="29"/>
      <c r="FS711" s="29"/>
      <c r="FT711" s="29"/>
      <c r="FU711" s="29"/>
      <c r="FV711" s="29"/>
      <c r="FW711" s="29"/>
      <c r="FX711" s="29"/>
      <c r="FY711" s="29"/>
      <c r="FZ711" s="29"/>
      <c r="GA711" s="29"/>
      <c r="GB711" s="29"/>
      <c r="GC711" s="29"/>
      <c r="GD711" s="29"/>
      <c r="GE711" s="29"/>
      <c r="GF711" s="29"/>
      <c r="GG711" s="29"/>
      <c r="GH711" s="29"/>
      <c r="GI711" s="29"/>
      <c r="GJ711" s="29"/>
      <c r="GK711" s="29"/>
      <c r="GL711" s="29"/>
      <c r="GM711" s="29"/>
      <c r="GN711" s="29"/>
      <c r="GO711" s="29"/>
      <c r="GP711" s="29"/>
      <c r="GQ711" s="29"/>
      <c r="GR711" s="29"/>
      <c r="GS711" s="29"/>
      <c r="GT711" s="29"/>
      <c r="GU711" s="29"/>
      <c r="HP711" s="31"/>
      <c r="MX711" s="29"/>
      <c r="MY711" s="29"/>
    </row>
    <row r="712" ht="16.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c r="AX712" s="29"/>
      <c r="AY712" s="29"/>
      <c r="AZ712" s="29"/>
      <c r="BA712" s="29"/>
      <c r="BB712" s="29"/>
      <c r="BC712" s="29"/>
      <c r="BD712" s="29"/>
      <c r="BE712" s="29"/>
      <c r="BF712" s="29"/>
      <c r="BG712" s="29"/>
      <c r="BH712" s="29"/>
      <c r="BI712" s="29"/>
      <c r="BJ712" s="29"/>
      <c r="BK712" s="29"/>
      <c r="BL712" s="29"/>
      <c r="BM712" s="29"/>
      <c r="BN712" s="29"/>
      <c r="BO712" s="29"/>
      <c r="BP712" s="29"/>
      <c r="BQ712" s="29"/>
      <c r="BR712" s="29"/>
      <c r="BS712" s="29"/>
      <c r="BT712" s="29"/>
      <c r="BU712" s="29"/>
      <c r="BV712" s="29"/>
      <c r="BW712" s="29"/>
      <c r="BX712" s="29"/>
      <c r="BY712" s="29"/>
      <c r="BZ712" s="29"/>
      <c r="CA712" s="29"/>
      <c r="CB712" s="29"/>
      <c r="CC712" s="29"/>
      <c r="CD712" s="29"/>
      <c r="CE712" s="29"/>
      <c r="CF712" s="29"/>
      <c r="CG712" s="29"/>
      <c r="CH712" s="29"/>
      <c r="CI712" s="29"/>
      <c r="CJ712" s="29"/>
      <c r="CK712" s="29"/>
      <c r="CL712" s="29"/>
      <c r="CM712" s="29"/>
      <c r="CN712" s="29"/>
      <c r="CO712" s="29"/>
      <c r="CP712" s="29"/>
      <c r="CQ712" s="29"/>
      <c r="CR712" s="29"/>
      <c r="CS712" s="29"/>
      <c r="CT712" s="29"/>
      <c r="CU712" s="29"/>
      <c r="CV712" s="29"/>
      <c r="CW712" s="29"/>
      <c r="CX712" s="29"/>
      <c r="CY712" s="29"/>
      <c r="CZ712" s="29"/>
      <c r="DA712" s="29"/>
      <c r="DB712" s="29"/>
      <c r="DC712" s="29"/>
      <c r="DD712" s="29"/>
      <c r="DE712" s="29"/>
      <c r="DF712" s="29"/>
      <c r="DG712" s="29"/>
      <c r="DH712" s="29"/>
      <c r="DI712" s="29"/>
      <c r="DJ712" s="29"/>
      <c r="DK712" s="29"/>
      <c r="DL712" s="29"/>
      <c r="DM712" s="29"/>
      <c r="DN712" s="29"/>
      <c r="DO712" s="29"/>
      <c r="DP712" s="29"/>
      <c r="DQ712" s="29"/>
      <c r="DR712" s="29"/>
      <c r="DS712" s="29"/>
      <c r="DT712" s="29"/>
      <c r="DU712" s="29"/>
      <c r="DV712" s="29"/>
      <c r="DW712" s="29"/>
      <c r="DX712" s="29"/>
      <c r="DY712" s="29"/>
      <c r="DZ712" s="29"/>
      <c r="EA712" s="29"/>
      <c r="EB712" s="29"/>
      <c r="EC712" s="29"/>
      <c r="ED712" s="29"/>
      <c r="EE712" s="29"/>
      <c r="EF712" s="29"/>
      <c r="EG712" s="29"/>
      <c r="EH712" s="29"/>
      <c r="EI712" s="29"/>
      <c r="EJ712" s="29"/>
      <c r="EK712" s="29"/>
      <c r="EL712" s="29"/>
      <c r="EM712" s="29"/>
      <c r="EN712" s="29"/>
      <c r="EO712" s="29"/>
      <c r="EP712" s="29"/>
      <c r="EQ712" s="29"/>
      <c r="ER712" s="29"/>
      <c r="ES712" s="29"/>
      <c r="ET712" s="29"/>
      <c r="EU712" s="29"/>
      <c r="EV712" s="29"/>
      <c r="EW712" s="29"/>
      <c r="EX712" s="29"/>
      <c r="EY712" s="29"/>
      <c r="EZ712" s="29"/>
      <c r="FA712" s="29"/>
      <c r="FB712" s="29"/>
      <c r="FC712" s="29"/>
      <c r="FD712" s="29"/>
      <c r="FE712" s="29"/>
      <c r="FF712" s="29"/>
      <c r="FG712" s="29"/>
      <c r="FH712" s="29"/>
      <c r="FI712" s="29"/>
      <c r="FJ712" s="29"/>
      <c r="FK712" s="29"/>
      <c r="FL712" s="29"/>
      <c r="FM712" s="29"/>
      <c r="FN712" s="29"/>
      <c r="FO712" s="29"/>
      <c r="FP712" s="29"/>
      <c r="FQ712" s="29"/>
      <c r="FR712" s="29"/>
      <c r="FS712" s="29"/>
      <c r="FT712" s="29"/>
      <c r="FU712" s="29"/>
      <c r="FV712" s="29"/>
      <c r="FW712" s="29"/>
      <c r="FX712" s="29"/>
      <c r="FY712" s="29"/>
      <c r="FZ712" s="29"/>
      <c r="GA712" s="29"/>
      <c r="GB712" s="29"/>
      <c r="GC712" s="29"/>
      <c r="GD712" s="29"/>
      <c r="GE712" s="29"/>
      <c r="GF712" s="29"/>
      <c r="GG712" s="29"/>
      <c r="GH712" s="29"/>
      <c r="GI712" s="29"/>
      <c r="GJ712" s="29"/>
      <c r="GK712" s="29"/>
      <c r="GL712" s="29"/>
      <c r="GM712" s="29"/>
      <c r="GN712" s="29"/>
      <c r="GO712" s="29"/>
      <c r="GP712" s="29"/>
      <c r="GQ712" s="29"/>
      <c r="GR712" s="29"/>
      <c r="GS712" s="29"/>
      <c r="GT712" s="29"/>
      <c r="GU712" s="29"/>
      <c r="HP712" s="31"/>
      <c r="MX712" s="29"/>
      <c r="MY712" s="29"/>
    </row>
    <row r="713" ht="16.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c r="BO713" s="29"/>
      <c r="BP713" s="29"/>
      <c r="BQ713" s="29"/>
      <c r="BR713" s="29"/>
      <c r="BS713" s="29"/>
      <c r="BT713" s="29"/>
      <c r="BU713" s="29"/>
      <c r="BV713" s="29"/>
      <c r="BW713" s="29"/>
      <c r="BX713" s="29"/>
      <c r="BY713" s="29"/>
      <c r="BZ713" s="29"/>
      <c r="CA713" s="29"/>
      <c r="CB713" s="29"/>
      <c r="CC713" s="29"/>
      <c r="CD713" s="29"/>
      <c r="CE713" s="29"/>
      <c r="CF713" s="29"/>
      <c r="CG713" s="29"/>
      <c r="CH713" s="29"/>
      <c r="CI713" s="29"/>
      <c r="CJ713" s="29"/>
      <c r="CK713" s="29"/>
      <c r="CL713" s="29"/>
      <c r="CM713" s="29"/>
      <c r="CN713" s="29"/>
      <c r="CO713" s="29"/>
      <c r="CP713" s="29"/>
      <c r="CQ713" s="29"/>
      <c r="CR713" s="29"/>
      <c r="CS713" s="29"/>
      <c r="CT713" s="29"/>
      <c r="CU713" s="29"/>
      <c r="CV713" s="29"/>
      <c r="CW713" s="29"/>
      <c r="CX713" s="29"/>
      <c r="CY713" s="29"/>
      <c r="CZ713" s="29"/>
      <c r="DA713" s="29"/>
      <c r="DB713" s="29"/>
      <c r="DC713" s="29"/>
      <c r="DD713" s="29"/>
      <c r="DE713" s="29"/>
      <c r="DF713" s="29"/>
      <c r="DG713" s="29"/>
      <c r="DH713" s="29"/>
      <c r="DI713" s="29"/>
      <c r="DJ713" s="29"/>
      <c r="DK713" s="29"/>
      <c r="DL713" s="29"/>
      <c r="DM713" s="29"/>
      <c r="DN713" s="29"/>
      <c r="DO713" s="29"/>
      <c r="DP713" s="29"/>
      <c r="DQ713" s="29"/>
      <c r="DR713" s="29"/>
      <c r="DS713" s="29"/>
      <c r="DT713" s="29"/>
      <c r="DU713" s="29"/>
      <c r="DV713" s="29"/>
      <c r="DW713" s="29"/>
      <c r="DX713" s="29"/>
      <c r="DY713" s="29"/>
      <c r="DZ713" s="29"/>
      <c r="EA713" s="29"/>
      <c r="EB713" s="29"/>
      <c r="EC713" s="29"/>
      <c r="ED713" s="29"/>
      <c r="EE713" s="29"/>
      <c r="EF713" s="29"/>
      <c r="EG713" s="29"/>
      <c r="EH713" s="29"/>
      <c r="EI713" s="29"/>
      <c r="EJ713" s="29"/>
      <c r="EK713" s="29"/>
      <c r="EL713" s="29"/>
      <c r="EM713" s="29"/>
      <c r="EN713" s="29"/>
      <c r="EO713" s="29"/>
      <c r="EP713" s="29"/>
      <c r="EQ713" s="29"/>
      <c r="ER713" s="29"/>
      <c r="ES713" s="29"/>
      <c r="ET713" s="29"/>
      <c r="EU713" s="29"/>
      <c r="EV713" s="29"/>
      <c r="EW713" s="29"/>
      <c r="EX713" s="29"/>
      <c r="EY713" s="29"/>
      <c r="EZ713" s="29"/>
      <c r="FA713" s="29"/>
      <c r="FB713" s="29"/>
      <c r="FC713" s="29"/>
      <c r="FD713" s="29"/>
      <c r="FE713" s="29"/>
      <c r="FF713" s="29"/>
      <c r="FG713" s="29"/>
      <c r="FH713" s="29"/>
      <c r="FI713" s="29"/>
      <c r="FJ713" s="29"/>
      <c r="FK713" s="29"/>
      <c r="FL713" s="29"/>
      <c r="FM713" s="29"/>
      <c r="FN713" s="29"/>
      <c r="FO713" s="29"/>
      <c r="FP713" s="29"/>
      <c r="FQ713" s="29"/>
      <c r="FR713" s="29"/>
      <c r="FS713" s="29"/>
      <c r="FT713" s="29"/>
      <c r="FU713" s="29"/>
      <c r="FV713" s="29"/>
      <c r="FW713" s="29"/>
      <c r="FX713" s="29"/>
      <c r="FY713" s="29"/>
      <c r="FZ713" s="29"/>
      <c r="GA713" s="29"/>
      <c r="GB713" s="29"/>
      <c r="GC713" s="29"/>
      <c r="GD713" s="29"/>
      <c r="GE713" s="29"/>
      <c r="GF713" s="29"/>
      <c r="GG713" s="29"/>
      <c r="GH713" s="29"/>
      <c r="GI713" s="29"/>
      <c r="GJ713" s="29"/>
      <c r="GK713" s="29"/>
      <c r="GL713" s="29"/>
      <c r="GM713" s="29"/>
      <c r="GN713" s="29"/>
      <c r="GO713" s="29"/>
      <c r="GP713" s="29"/>
      <c r="GQ713" s="29"/>
      <c r="GR713" s="29"/>
      <c r="GS713" s="29"/>
      <c r="GT713" s="29"/>
      <c r="GU713" s="29"/>
      <c r="HP713" s="31"/>
      <c r="MX713" s="29"/>
      <c r="MY713" s="29"/>
    </row>
    <row r="714" ht="16.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c r="AX714" s="29"/>
      <c r="AY714" s="29"/>
      <c r="AZ714" s="29"/>
      <c r="BA714" s="29"/>
      <c r="BB714" s="29"/>
      <c r="BC714" s="29"/>
      <c r="BD714" s="29"/>
      <c r="BE714" s="29"/>
      <c r="BF714" s="29"/>
      <c r="BG714" s="29"/>
      <c r="BH714" s="29"/>
      <c r="BI714" s="29"/>
      <c r="BJ714" s="29"/>
      <c r="BK714" s="29"/>
      <c r="BL714" s="29"/>
      <c r="BM714" s="29"/>
      <c r="BN714" s="29"/>
      <c r="BO714" s="29"/>
      <c r="BP714" s="29"/>
      <c r="BQ714" s="29"/>
      <c r="BR714" s="29"/>
      <c r="BS714" s="29"/>
      <c r="BT714" s="29"/>
      <c r="BU714" s="29"/>
      <c r="BV714" s="29"/>
      <c r="BW714" s="29"/>
      <c r="BX714" s="29"/>
      <c r="BY714" s="29"/>
      <c r="BZ714" s="29"/>
      <c r="CA714" s="29"/>
      <c r="CB714" s="29"/>
      <c r="CC714" s="29"/>
      <c r="CD714" s="29"/>
      <c r="CE714" s="29"/>
      <c r="CF714" s="29"/>
      <c r="CG714" s="29"/>
      <c r="CH714" s="29"/>
      <c r="CI714" s="29"/>
      <c r="CJ714" s="29"/>
      <c r="CK714" s="29"/>
      <c r="CL714" s="29"/>
      <c r="CM714" s="29"/>
      <c r="CN714" s="29"/>
      <c r="CO714" s="29"/>
      <c r="CP714" s="29"/>
      <c r="CQ714" s="29"/>
      <c r="CR714" s="29"/>
      <c r="CS714" s="29"/>
      <c r="CT714" s="29"/>
      <c r="CU714" s="29"/>
      <c r="CV714" s="29"/>
      <c r="CW714" s="29"/>
      <c r="CX714" s="29"/>
      <c r="CY714" s="29"/>
      <c r="CZ714" s="29"/>
      <c r="DA714" s="29"/>
      <c r="DB714" s="29"/>
      <c r="DC714" s="29"/>
      <c r="DD714" s="29"/>
      <c r="DE714" s="29"/>
      <c r="DF714" s="29"/>
      <c r="DG714" s="29"/>
      <c r="DH714" s="29"/>
      <c r="DI714" s="29"/>
      <c r="DJ714" s="29"/>
      <c r="DK714" s="29"/>
      <c r="DL714" s="29"/>
      <c r="DM714" s="29"/>
      <c r="DN714" s="29"/>
      <c r="DO714" s="29"/>
      <c r="DP714" s="29"/>
      <c r="DQ714" s="29"/>
      <c r="DR714" s="29"/>
      <c r="DS714" s="29"/>
      <c r="DT714" s="29"/>
      <c r="DU714" s="29"/>
      <c r="DV714" s="29"/>
      <c r="DW714" s="29"/>
      <c r="DX714" s="29"/>
      <c r="DY714" s="29"/>
      <c r="DZ714" s="29"/>
      <c r="EA714" s="29"/>
      <c r="EB714" s="29"/>
      <c r="EC714" s="29"/>
      <c r="ED714" s="29"/>
      <c r="EE714" s="29"/>
      <c r="EF714" s="29"/>
      <c r="EG714" s="29"/>
      <c r="EH714" s="29"/>
      <c r="EI714" s="29"/>
      <c r="EJ714" s="29"/>
      <c r="EK714" s="29"/>
      <c r="EL714" s="29"/>
      <c r="EM714" s="29"/>
      <c r="EN714" s="29"/>
      <c r="EO714" s="29"/>
      <c r="EP714" s="29"/>
      <c r="EQ714" s="29"/>
      <c r="ER714" s="29"/>
      <c r="ES714" s="29"/>
      <c r="ET714" s="29"/>
      <c r="EU714" s="29"/>
      <c r="EV714" s="29"/>
      <c r="EW714" s="29"/>
      <c r="EX714" s="29"/>
      <c r="EY714" s="29"/>
      <c r="EZ714" s="29"/>
      <c r="FA714" s="29"/>
      <c r="FB714" s="29"/>
      <c r="FC714" s="29"/>
      <c r="FD714" s="29"/>
      <c r="FE714" s="29"/>
      <c r="FF714" s="29"/>
      <c r="FG714" s="29"/>
      <c r="FH714" s="29"/>
      <c r="FI714" s="29"/>
      <c r="FJ714" s="29"/>
      <c r="FK714" s="29"/>
      <c r="FL714" s="29"/>
      <c r="FM714" s="29"/>
      <c r="FN714" s="29"/>
      <c r="FO714" s="29"/>
      <c r="FP714" s="29"/>
      <c r="FQ714" s="29"/>
      <c r="FR714" s="29"/>
      <c r="FS714" s="29"/>
      <c r="FT714" s="29"/>
      <c r="FU714" s="29"/>
      <c r="FV714" s="29"/>
      <c r="FW714" s="29"/>
      <c r="FX714" s="29"/>
      <c r="FY714" s="29"/>
      <c r="FZ714" s="29"/>
      <c r="GA714" s="29"/>
      <c r="GB714" s="29"/>
      <c r="GC714" s="29"/>
      <c r="GD714" s="29"/>
      <c r="GE714" s="29"/>
      <c r="GF714" s="29"/>
      <c r="GG714" s="29"/>
      <c r="GH714" s="29"/>
      <c r="GI714" s="29"/>
      <c r="GJ714" s="29"/>
      <c r="GK714" s="29"/>
      <c r="GL714" s="29"/>
      <c r="GM714" s="29"/>
      <c r="GN714" s="29"/>
      <c r="GO714" s="29"/>
      <c r="GP714" s="29"/>
      <c r="GQ714" s="29"/>
      <c r="GR714" s="29"/>
      <c r="GS714" s="29"/>
      <c r="GT714" s="29"/>
      <c r="GU714" s="29"/>
      <c r="HP714" s="31"/>
      <c r="MX714" s="29"/>
      <c r="MY714" s="29"/>
    </row>
    <row r="715" ht="16.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c r="BO715" s="29"/>
      <c r="BP715" s="29"/>
      <c r="BQ715" s="29"/>
      <c r="BR715" s="29"/>
      <c r="BS715" s="29"/>
      <c r="BT715" s="29"/>
      <c r="BU715" s="29"/>
      <c r="BV715" s="29"/>
      <c r="BW715" s="29"/>
      <c r="BX715" s="29"/>
      <c r="BY715" s="29"/>
      <c r="BZ715" s="29"/>
      <c r="CA715" s="29"/>
      <c r="CB715" s="29"/>
      <c r="CC715" s="29"/>
      <c r="CD715" s="29"/>
      <c r="CE715" s="29"/>
      <c r="CF715" s="29"/>
      <c r="CG715" s="29"/>
      <c r="CH715" s="29"/>
      <c r="CI715" s="29"/>
      <c r="CJ715" s="29"/>
      <c r="CK715" s="29"/>
      <c r="CL715" s="29"/>
      <c r="CM715" s="29"/>
      <c r="CN715" s="29"/>
      <c r="CO715" s="29"/>
      <c r="CP715" s="29"/>
      <c r="CQ715" s="29"/>
      <c r="CR715" s="29"/>
      <c r="CS715" s="29"/>
      <c r="CT715" s="29"/>
      <c r="CU715" s="29"/>
      <c r="CV715" s="29"/>
      <c r="CW715" s="29"/>
      <c r="CX715" s="29"/>
      <c r="CY715" s="29"/>
      <c r="CZ715" s="29"/>
      <c r="DA715" s="29"/>
      <c r="DB715" s="29"/>
      <c r="DC715" s="29"/>
      <c r="DD715" s="29"/>
      <c r="DE715" s="29"/>
      <c r="DF715" s="29"/>
      <c r="DG715" s="29"/>
      <c r="DH715" s="29"/>
      <c r="DI715" s="29"/>
      <c r="DJ715" s="29"/>
      <c r="DK715" s="29"/>
      <c r="DL715" s="29"/>
      <c r="DM715" s="29"/>
      <c r="DN715" s="29"/>
      <c r="DO715" s="29"/>
      <c r="DP715" s="29"/>
      <c r="DQ715" s="29"/>
      <c r="DR715" s="29"/>
      <c r="DS715" s="29"/>
      <c r="DT715" s="29"/>
      <c r="DU715" s="29"/>
      <c r="DV715" s="29"/>
      <c r="DW715" s="29"/>
      <c r="DX715" s="29"/>
      <c r="DY715" s="29"/>
      <c r="DZ715" s="29"/>
      <c r="EA715" s="29"/>
      <c r="EB715" s="29"/>
      <c r="EC715" s="29"/>
      <c r="ED715" s="29"/>
      <c r="EE715" s="29"/>
      <c r="EF715" s="29"/>
      <c r="EG715" s="29"/>
      <c r="EH715" s="29"/>
      <c r="EI715" s="29"/>
      <c r="EJ715" s="29"/>
      <c r="EK715" s="29"/>
      <c r="EL715" s="29"/>
      <c r="EM715" s="29"/>
      <c r="EN715" s="29"/>
      <c r="EO715" s="29"/>
      <c r="EP715" s="29"/>
      <c r="EQ715" s="29"/>
      <c r="ER715" s="29"/>
      <c r="ES715" s="29"/>
      <c r="ET715" s="29"/>
      <c r="EU715" s="29"/>
      <c r="EV715" s="29"/>
      <c r="EW715" s="29"/>
      <c r="EX715" s="29"/>
      <c r="EY715" s="29"/>
      <c r="EZ715" s="29"/>
      <c r="FA715" s="29"/>
      <c r="FB715" s="29"/>
      <c r="FC715" s="29"/>
      <c r="FD715" s="29"/>
      <c r="FE715" s="29"/>
      <c r="FF715" s="29"/>
      <c r="FG715" s="29"/>
      <c r="FH715" s="29"/>
      <c r="FI715" s="29"/>
      <c r="FJ715" s="29"/>
      <c r="FK715" s="29"/>
      <c r="FL715" s="29"/>
      <c r="FM715" s="29"/>
      <c r="FN715" s="29"/>
      <c r="FO715" s="29"/>
      <c r="FP715" s="29"/>
      <c r="FQ715" s="29"/>
      <c r="FR715" s="29"/>
      <c r="FS715" s="29"/>
      <c r="FT715" s="29"/>
      <c r="FU715" s="29"/>
      <c r="FV715" s="29"/>
      <c r="FW715" s="29"/>
      <c r="FX715" s="29"/>
      <c r="FY715" s="29"/>
      <c r="FZ715" s="29"/>
      <c r="GA715" s="29"/>
      <c r="GB715" s="29"/>
      <c r="GC715" s="29"/>
      <c r="GD715" s="29"/>
      <c r="GE715" s="29"/>
      <c r="GF715" s="29"/>
      <c r="GG715" s="29"/>
      <c r="GH715" s="29"/>
      <c r="GI715" s="29"/>
      <c r="GJ715" s="29"/>
      <c r="GK715" s="29"/>
      <c r="GL715" s="29"/>
      <c r="GM715" s="29"/>
      <c r="GN715" s="29"/>
      <c r="GO715" s="29"/>
      <c r="GP715" s="29"/>
      <c r="GQ715" s="29"/>
      <c r="GR715" s="29"/>
      <c r="GS715" s="29"/>
      <c r="GT715" s="29"/>
      <c r="GU715" s="29"/>
      <c r="HP715" s="31"/>
      <c r="MX715" s="29"/>
      <c r="MY715" s="29"/>
    </row>
    <row r="716" ht="16.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c r="AX716" s="29"/>
      <c r="AY716" s="29"/>
      <c r="AZ716" s="29"/>
      <c r="BA716" s="29"/>
      <c r="BB716" s="29"/>
      <c r="BC716" s="29"/>
      <c r="BD716" s="29"/>
      <c r="BE716" s="29"/>
      <c r="BF716" s="29"/>
      <c r="BG716" s="29"/>
      <c r="BH716" s="29"/>
      <c r="BI716" s="29"/>
      <c r="BJ716" s="29"/>
      <c r="BK716" s="29"/>
      <c r="BL716" s="29"/>
      <c r="BM716" s="29"/>
      <c r="BN716" s="29"/>
      <c r="BO716" s="29"/>
      <c r="BP716" s="29"/>
      <c r="BQ716" s="29"/>
      <c r="BR716" s="29"/>
      <c r="BS716" s="29"/>
      <c r="BT716" s="29"/>
      <c r="BU716" s="29"/>
      <c r="BV716" s="29"/>
      <c r="BW716" s="29"/>
      <c r="BX716" s="29"/>
      <c r="BY716" s="29"/>
      <c r="BZ716" s="29"/>
      <c r="CA716" s="29"/>
      <c r="CB716" s="29"/>
      <c r="CC716" s="29"/>
      <c r="CD716" s="29"/>
      <c r="CE716" s="29"/>
      <c r="CF716" s="29"/>
      <c r="CG716" s="29"/>
      <c r="CH716" s="29"/>
      <c r="CI716" s="29"/>
      <c r="CJ716" s="29"/>
      <c r="CK716" s="29"/>
      <c r="CL716" s="29"/>
      <c r="CM716" s="29"/>
      <c r="CN716" s="29"/>
      <c r="CO716" s="29"/>
      <c r="CP716" s="29"/>
      <c r="CQ716" s="29"/>
      <c r="CR716" s="29"/>
      <c r="CS716" s="29"/>
      <c r="CT716" s="29"/>
      <c r="CU716" s="29"/>
      <c r="CV716" s="29"/>
      <c r="CW716" s="29"/>
      <c r="CX716" s="29"/>
      <c r="CY716" s="29"/>
      <c r="CZ716" s="29"/>
      <c r="DA716" s="29"/>
      <c r="DB716" s="29"/>
      <c r="DC716" s="29"/>
      <c r="DD716" s="29"/>
      <c r="DE716" s="29"/>
      <c r="DF716" s="29"/>
      <c r="DG716" s="29"/>
      <c r="DH716" s="29"/>
      <c r="DI716" s="29"/>
      <c r="DJ716" s="29"/>
      <c r="DK716" s="29"/>
      <c r="DL716" s="29"/>
      <c r="DM716" s="29"/>
      <c r="DN716" s="29"/>
      <c r="DO716" s="29"/>
      <c r="DP716" s="29"/>
      <c r="DQ716" s="29"/>
      <c r="DR716" s="29"/>
      <c r="DS716" s="29"/>
      <c r="DT716" s="29"/>
      <c r="DU716" s="29"/>
      <c r="DV716" s="29"/>
      <c r="DW716" s="29"/>
      <c r="DX716" s="29"/>
      <c r="DY716" s="29"/>
      <c r="DZ716" s="29"/>
      <c r="EA716" s="29"/>
      <c r="EB716" s="29"/>
      <c r="EC716" s="29"/>
      <c r="ED716" s="29"/>
      <c r="EE716" s="29"/>
      <c r="EF716" s="29"/>
      <c r="EG716" s="29"/>
      <c r="EH716" s="29"/>
      <c r="EI716" s="29"/>
      <c r="EJ716" s="29"/>
      <c r="EK716" s="29"/>
      <c r="EL716" s="29"/>
      <c r="EM716" s="29"/>
      <c r="EN716" s="29"/>
      <c r="EO716" s="29"/>
      <c r="EP716" s="29"/>
      <c r="EQ716" s="29"/>
      <c r="ER716" s="29"/>
      <c r="ES716" s="29"/>
      <c r="ET716" s="29"/>
      <c r="EU716" s="29"/>
      <c r="EV716" s="29"/>
      <c r="EW716" s="29"/>
      <c r="EX716" s="29"/>
      <c r="EY716" s="29"/>
      <c r="EZ716" s="29"/>
      <c r="FA716" s="29"/>
      <c r="FB716" s="29"/>
      <c r="FC716" s="29"/>
      <c r="FD716" s="29"/>
      <c r="FE716" s="29"/>
      <c r="FF716" s="29"/>
      <c r="FG716" s="29"/>
      <c r="FH716" s="29"/>
      <c r="FI716" s="29"/>
      <c r="FJ716" s="29"/>
      <c r="FK716" s="29"/>
      <c r="FL716" s="29"/>
      <c r="FM716" s="29"/>
      <c r="FN716" s="29"/>
      <c r="FO716" s="29"/>
      <c r="FP716" s="29"/>
      <c r="FQ716" s="29"/>
      <c r="FR716" s="29"/>
      <c r="FS716" s="29"/>
      <c r="FT716" s="29"/>
      <c r="FU716" s="29"/>
      <c r="FV716" s="29"/>
      <c r="FW716" s="29"/>
      <c r="FX716" s="29"/>
      <c r="FY716" s="29"/>
      <c r="FZ716" s="29"/>
      <c r="GA716" s="29"/>
      <c r="GB716" s="29"/>
      <c r="GC716" s="29"/>
      <c r="GD716" s="29"/>
      <c r="GE716" s="29"/>
      <c r="GF716" s="29"/>
      <c r="GG716" s="29"/>
      <c r="GH716" s="29"/>
      <c r="GI716" s="29"/>
      <c r="GJ716" s="29"/>
      <c r="GK716" s="29"/>
      <c r="GL716" s="29"/>
      <c r="GM716" s="29"/>
      <c r="GN716" s="29"/>
      <c r="GO716" s="29"/>
      <c r="GP716" s="29"/>
      <c r="GQ716" s="29"/>
      <c r="GR716" s="29"/>
      <c r="GS716" s="29"/>
      <c r="GT716" s="29"/>
      <c r="GU716" s="29"/>
      <c r="HP716" s="31"/>
      <c r="MX716" s="29"/>
      <c r="MY716" s="29"/>
    </row>
    <row r="717" ht="16.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c r="BO717" s="29"/>
      <c r="BP717" s="29"/>
      <c r="BQ717" s="29"/>
      <c r="BR717" s="29"/>
      <c r="BS717" s="29"/>
      <c r="BT717" s="29"/>
      <c r="BU717" s="29"/>
      <c r="BV717" s="29"/>
      <c r="BW717" s="29"/>
      <c r="BX717" s="29"/>
      <c r="BY717" s="29"/>
      <c r="BZ717" s="29"/>
      <c r="CA717" s="29"/>
      <c r="CB717" s="29"/>
      <c r="CC717" s="29"/>
      <c r="CD717" s="29"/>
      <c r="CE717" s="29"/>
      <c r="CF717" s="29"/>
      <c r="CG717" s="29"/>
      <c r="CH717" s="29"/>
      <c r="CI717" s="29"/>
      <c r="CJ717" s="29"/>
      <c r="CK717" s="29"/>
      <c r="CL717" s="29"/>
      <c r="CM717" s="29"/>
      <c r="CN717" s="29"/>
      <c r="CO717" s="29"/>
      <c r="CP717" s="29"/>
      <c r="CQ717" s="29"/>
      <c r="CR717" s="29"/>
      <c r="CS717" s="29"/>
      <c r="CT717" s="29"/>
      <c r="CU717" s="29"/>
      <c r="CV717" s="29"/>
      <c r="CW717" s="29"/>
      <c r="CX717" s="29"/>
      <c r="CY717" s="29"/>
      <c r="CZ717" s="29"/>
      <c r="DA717" s="29"/>
      <c r="DB717" s="29"/>
      <c r="DC717" s="29"/>
      <c r="DD717" s="29"/>
      <c r="DE717" s="29"/>
      <c r="DF717" s="29"/>
      <c r="DG717" s="29"/>
      <c r="DH717" s="29"/>
      <c r="DI717" s="29"/>
      <c r="DJ717" s="29"/>
      <c r="DK717" s="29"/>
      <c r="DL717" s="29"/>
      <c r="DM717" s="29"/>
      <c r="DN717" s="29"/>
      <c r="DO717" s="29"/>
      <c r="DP717" s="29"/>
      <c r="DQ717" s="29"/>
      <c r="DR717" s="29"/>
      <c r="DS717" s="29"/>
      <c r="DT717" s="29"/>
      <c r="DU717" s="29"/>
      <c r="DV717" s="29"/>
      <c r="DW717" s="29"/>
      <c r="DX717" s="29"/>
      <c r="DY717" s="29"/>
      <c r="DZ717" s="29"/>
      <c r="EA717" s="29"/>
      <c r="EB717" s="29"/>
      <c r="EC717" s="29"/>
      <c r="ED717" s="29"/>
      <c r="EE717" s="29"/>
      <c r="EF717" s="29"/>
      <c r="EG717" s="29"/>
      <c r="EH717" s="29"/>
      <c r="EI717" s="29"/>
      <c r="EJ717" s="29"/>
      <c r="EK717" s="29"/>
      <c r="EL717" s="29"/>
      <c r="EM717" s="29"/>
      <c r="EN717" s="29"/>
      <c r="EO717" s="29"/>
      <c r="EP717" s="29"/>
      <c r="EQ717" s="29"/>
      <c r="ER717" s="29"/>
      <c r="ES717" s="29"/>
      <c r="ET717" s="29"/>
      <c r="EU717" s="29"/>
      <c r="EV717" s="29"/>
      <c r="EW717" s="29"/>
      <c r="EX717" s="29"/>
      <c r="EY717" s="29"/>
      <c r="EZ717" s="29"/>
      <c r="FA717" s="29"/>
      <c r="FB717" s="29"/>
      <c r="FC717" s="29"/>
      <c r="FD717" s="29"/>
      <c r="FE717" s="29"/>
      <c r="FF717" s="29"/>
      <c r="FG717" s="29"/>
      <c r="FH717" s="29"/>
      <c r="FI717" s="29"/>
      <c r="FJ717" s="29"/>
      <c r="FK717" s="29"/>
      <c r="FL717" s="29"/>
      <c r="FM717" s="29"/>
      <c r="FN717" s="29"/>
      <c r="FO717" s="29"/>
      <c r="FP717" s="29"/>
      <c r="FQ717" s="29"/>
      <c r="FR717" s="29"/>
      <c r="FS717" s="29"/>
      <c r="FT717" s="29"/>
      <c r="FU717" s="29"/>
      <c r="FV717" s="29"/>
      <c r="FW717" s="29"/>
      <c r="FX717" s="29"/>
      <c r="FY717" s="29"/>
      <c r="FZ717" s="29"/>
      <c r="GA717" s="29"/>
      <c r="GB717" s="29"/>
      <c r="GC717" s="29"/>
      <c r="GD717" s="29"/>
      <c r="GE717" s="29"/>
      <c r="GF717" s="29"/>
      <c r="GG717" s="29"/>
      <c r="GH717" s="29"/>
      <c r="GI717" s="29"/>
      <c r="GJ717" s="29"/>
      <c r="GK717" s="29"/>
      <c r="GL717" s="29"/>
      <c r="GM717" s="29"/>
      <c r="GN717" s="29"/>
      <c r="GO717" s="29"/>
      <c r="GP717" s="29"/>
      <c r="GQ717" s="29"/>
      <c r="GR717" s="29"/>
      <c r="GS717" s="29"/>
      <c r="GT717" s="29"/>
      <c r="GU717" s="29"/>
      <c r="HP717" s="31"/>
      <c r="MX717" s="29"/>
      <c r="MY717" s="29"/>
    </row>
    <row r="718" ht="16.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c r="AX718" s="29"/>
      <c r="AY718" s="29"/>
      <c r="AZ718" s="29"/>
      <c r="BA718" s="29"/>
      <c r="BB718" s="29"/>
      <c r="BC718" s="29"/>
      <c r="BD718" s="29"/>
      <c r="BE718" s="29"/>
      <c r="BF718" s="29"/>
      <c r="BG718" s="29"/>
      <c r="BH718" s="29"/>
      <c r="BI718" s="29"/>
      <c r="BJ718" s="29"/>
      <c r="BK718" s="29"/>
      <c r="BL718" s="29"/>
      <c r="BM718" s="29"/>
      <c r="BN718" s="29"/>
      <c r="BO718" s="29"/>
      <c r="BP718" s="29"/>
      <c r="BQ718" s="29"/>
      <c r="BR718" s="29"/>
      <c r="BS718" s="29"/>
      <c r="BT718" s="29"/>
      <c r="BU718" s="29"/>
      <c r="BV718" s="29"/>
      <c r="BW718" s="29"/>
      <c r="BX718" s="29"/>
      <c r="BY718" s="29"/>
      <c r="BZ718" s="29"/>
      <c r="CA718" s="29"/>
      <c r="CB718" s="29"/>
      <c r="CC718" s="29"/>
      <c r="CD718" s="29"/>
      <c r="CE718" s="29"/>
      <c r="CF718" s="29"/>
      <c r="CG718" s="29"/>
      <c r="CH718" s="29"/>
      <c r="CI718" s="29"/>
      <c r="CJ718" s="29"/>
      <c r="CK718" s="29"/>
      <c r="CL718" s="29"/>
      <c r="CM718" s="29"/>
      <c r="CN718" s="29"/>
      <c r="CO718" s="29"/>
      <c r="CP718" s="29"/>
      <c r="CQ718" s="29"/>
      <c r="CR718" s="29"/>
      <c r="CS718" s="29"/>
      <c r="CT718" s="29"/>
      <c r="CU718" s="29"/>
      <c r="CV718" s="29"/>
      <c r="CW718" s="29"/>
      <c r="CX718" s="29"/>
      <c r="CY718" s="29"/>
      <c r="CZ718" s="29"/>
      <c r="DA718" s="29"/>
      <c r="DB718" s="29"/>
      <c r="DC718" s="29"/>
      <c r="DD718" s="29"/>
      <c r="DE718" s="29"/>
      <c r="DF718" s="29"/>
      <c r="DG718" s="29"/>
      <c r="DH718" s="29"/>
      <c r="DI718" s="29"/>
      <c r="DJ718" s="29"/>
      <c r="DK718" s="29"/>
      <c r="DL718" s="29"/>
      <c r="DM718" s="29"/>
      <c r="DN718" s="29"/>
      <c r="DO718" s="29"/>
      <c r="DP718" s="29"/>
      <c r="DQ718" s="29"/>
      <c r="DR718" s="29"/>
      <c r="DS718" s="29"/>
      <c r="DT718" s="29"/>
      <c r="DU718" s="29"/>
      <c r="DV718" s="29"/>
      <c r="DW718" s="29"/>
      <c r="DX718" s="29"/>
      <c r="DY718" s="29"/>
      <c r="DZ718" s="29"/>
      <c r="EA718" s="29"/>
      <c r="EB718" s="29"/>
      <c r="EC718" s="29"/>
      <c r="ED718" s="29"/>
      <c r="EE718" s="29"/>
      <c r="EF718" s="29"/>
      <c r="EG718" s="29"/>
      <c r="EH718" s="29"/>
      <c r="EI718" s="29"/>
      <c r="EJ718" s="29"/>
      <c r="EK718" s="29"/>
      <c r="EL718" s="29"/>
      <c r="EM718" s="29"/>
      <c r="EN718" s="29"/>
      <c r="EO718" s="29"/>
      <c r="EP718" s="29"/>
      <c r="EQ718" s="29"/>
      <c r="ER718" s="29"/>
      <c r="ES718" s="29"/>
      <c r="ET718" s="29"/>
      <c r="EU718" s="29"/>
      <c r="EV718" s="29"/>
      <c r="EW718" s="29"/>
      <c r="EX718" s="29"/>
      <c r="EY718" s="29"/>
      <c r="EZ718" s="29"/>
      <c r="FA718" s="29"/>
      <c r="FB718" s="29"/>
      <c r="FC718" s="29"/>
      <c r="FD718" s="29"/>
      <c r="FE718" s="29"/>
      <c r="FF718" s="29"/>
      <c r="FG718" s="29"/>
      <c r="FH718" s="29"/>
      <c r="FI718" s="29"/>
      <c r="FJ718" s="29"/>
      <c r="FK718" s="29"/>
      <c r="FL718" s="29"/>
      <c r="FM718" s="29"/>
      <c r="FN718" s="29"/>
      <c r="FO718" s="29"/>
      <c r="FP718" s="29"/>
      <c r="FQ718" s="29"/>
      <c r="FR718" s="29"/>
      <c r="FS718" s="29"/>
      <c r="FT718" s="29"/>
      <c r="FU718" s="29"/>
      <c r="FV718" s="29"/>
      <c r="FW718" s="29"/>
      <c r="FX718" s="29"/>
      <c r="FY718" s="29"/>
      <c r="FZ718" s="29"/>
      <c r="GA718" s="29"/>
      <c r="GB718" s="29"/>
      <c r="GC718" s="29"/>
      <c r="GD718" s="29"/>
      <c r="GE718" s="29"/>
      <c r="GF718" s="29"/>
      <c r="GG718" s="29"/>
      <c r="GH718" s="29"/>
      <c r="GI718" s="29"/>
      <c r="GJ718" s="29"/>
      <c r="GK718" s="29"/>
      <c r="GL718" s="29"/>
      <c r="GM718" s="29"/>
      <c r="GN718" s="29"/>
      <c r="GO718" s="29"/>
      <c r="GP718" s="29"/>
      <c r="GQ718" s="29"/>
      <c r="GR718" s="29"/>
      <c r="GS718" s="29"/>
      <c r="GT718" s="29"/>
      <c r="GU718" s="29"/>
      <c r="HP718" s="31"/>
      <c r="MX718" s="29"/>
      <c r="MY718" s="29"/>
    </row>
    <row r="719" ht="16.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c r="BO719" s="29"/>
      <c r="BP719" s="29"/>
      <c r="BQ719" s="29"/>
      <c r="BR719" s="29"/>
      <c r="BS719" s="29"/>
      <c r="BT719" s="29"/>
      <c r="BU719" s="29"/>
      <c r="BV719" s="29"/>
      <c r="BW719" s="29"/>
      <c r="BX719" s="29"/>
      <c r="BY719" s="29"/>
      <c r="BZ719" s="29"/>
      <c r="CA719" s="29"/>
      <c r="CB719" s="29"/>
      <c r="CC719" s="29"/>
      <c r="CD719" s="29"/>
      <c r="CE719" s="29"/>
      <c r="CF719" s="29"/>
      <c r="CG719" s="29"/>
      <c r="CH719" s="29"/>
      <c r="CI719" s="29"/>
      <c r="CJ719" s="29"/>
      <c r="CK719" s="29"/>
      <c r="CL719" s="29"/>
      <c r="CM719" s="29"/>
      <c r="CN719" s="29"/>
      <c r="CO719" s="29"/>
      <c r="CP719" s="29"/>
      <c r="CQ719" s="29"/>
      <c r="CR719" s="29"/>
      <c r="CS719" s="29"/>
      <c r="CT719" s="29"/>
      <c r="CU719" s="29"/>
      <c r="CV719" s="29"/>
      <c r="CW719" s="29"/>
      <c r="CX719" s="29"/>
      <c r="CY719" s="29"/>
      <c r="CZ719" s="29"/>
      <c r="DA719" s="29"/>
      <c r="DB719" s="29"/>
      <c r="DC719" s="29"/>
      <c r="DD719" s="29"/>
      <c r="DE719" s="29"/>
      <c r="DF719" s="29"/>
      <c r="DG719" s="29"/>
      <c r="DH719" s="29"/>
      <c r="DI719" s="29"/>
      <c r="DJ719" s="29"/>
      <c r="DK719" s="29"/>
      <c r="DL719" s="29"/>
      <c r="DM719" s="29"/>
      <c r="DN719" s="29"/>
      <c r="DO719" s="29"/>
      <c r="DP719" s="29"/>
      <c r="DQ719" s="29"/>
      <c r="DR719" s="29"/>
      <c r="DS719" s="29"/>
      <c r="DT719" s="29"/>
      <c r="DU719" s="29"/>
      <c r="DV719" s="29"/>
      <c r="DW719" s="29"/>
      <c r="DX719" s="29"/>
      <c r="DY719" s="29"/>
      <c r="DZ719" s="29"/>
      <c r="EA719" s="29"/>
      <c r="EB719" s="29"/>
      <c r="EC719" s="29"/>
      <c r="ED719" s="29"/>
      <c r="EE719" s="29"/>
      <c r="EF719" s="29"/>
      <c r="EG719" s="29"/>
      <c r="EH719" s="29"/>
      <c r="EI719" s="29"/>
      <c r="EJ719" s="29"/>
      <c r="EK719" s="29"/>
      <c r="EL719" s="29"/>
      <c r="EM719" s="29"/>
      <c r="EN719" s="29"/>
      <c r="EO719" s="29"/>
      <c r="EP719" s="29"/>
      <c r="EQ719" s="29"/>
      <c r="ER719" s="29"/>
      <c r="ES719" s="29"/>
      <c r="ET719" s="29"/>
      <c r="EU719" s="29"/>
      <c r="EV719" s="29"/>
      <c r="EW719" s="29"/>
      <c r="EX719" s="29"/>
      <c r="EY719" s="29"/>
      <c r="EZ719" s="29"/>
      <c r="FA719" s="29"/>
      <c r="FB719" s="29"/>
      <c r="FC719" s="29"/>
      <c r="FD719" s="29"/>
      <c r="FE719" s="29"/>
      <c r="FF719" s="29"/>
      <c r="FG719" s="29"/>
      <c r="FH719" s="29"/>
      <c r="FI719" s="29"/>
      <c r="FJ719" s="29"/>
      <c r="FK719" s="29"/>
      <c r="FL719" s="29"/>
      <c r="FM719" s="29"/>
      <c r="FN719" s="29"/>
      <c r="FO719" s="29"/>
      <c r="FP719" s="29"/>
      <c r="FQ719" s="29"/>
      <c r="FR719" s="29"/>
      <c r="FS719" s="29"/>
      <c r="FT719" s="29"/>
      <c r="FU719" s="29"/>
      <c r="FV719" s="29"/>
      <c r="FW719" s="29"/>
      <c r="FX719" s="29"/>
      <c r="FY719" s="29"/>
      <c r="FZ719" s="29"/>
      <c r="GA719" s="29"/>
      <c r="GB719" s="29"/>
      <c r="GC719" s="29"/>
      <c r="GD719" s="29"/>
      <c r="GE719" s="29"/>
      <c r="GF719" s="29"/>
      <c r="GG719" s="29"/>
      <c r="GH719" s="29"/>
      <c r="GI719" s="29"/>
      <c r="GJ719" s="29"/>
      <c r="GK719" s="29"/>
      <c r="GL719" s="29"/>
      <c r="GM719" s="29"/>
      <c r="GN719" s="29"/>
      <c r="GO719" s="29"/>
      <c r="GP719" s="29"/>
      <c r="GQ719" s="29"/>
      <c r="GR719" s="29"/>
      <c r="GS719" s="29"/>
      <c r="GT719" s="29"/>
      <c r="GU719" s="29"/>
      <c r="HP719" s="31"/>
      <c r="MX719" s="29"/>
      <c r="MY719" s="29"/>
    </row>
    <row r="720" ht="16.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c r="AX720" s="29"/>
      <c r="AY720" s="29"/>
      <c r="AZ720" s="29"/>
      <c r="BA720" s="29"/>
      <c r="BB720" s="29"/>
      <c r="BC720" s="29"/>
      <c r="BD720" s="29"/>
      <c r="BE720" s="29"/>
      <c r="BF720" s="29"/>
      <c r="BG720" s="29"/>
      <c r="BH720" s="29"/>
      <c r="BI720" s="29"/>
      <c r="BJ720" s="29"/>
      <c r="BK720" s="29"/>
      <c r="BL720" s="29"/>
      <c r="BM720" s="29"/>
      <c r="BN720" s="29"/>
      <c r="BO720" s="29"/>
      <c r="BP720" s="29"/>
      <c r="BQ720" s="29"/>
      <c r="BR720" s="29"/>
      <c r="BS720" s="29"/>
      <c r="BT720" s="29"/>
      <c r="BU720" s="29"/>
      <c r="BV720" s="29"/>
      <c r="BW720" s="29"/>
      <c r="BX720" s="29"/>
      <c r="BY720" s="29"/>
      <c r="BZ720" s="29"/>
      <c r="CA720" s="29"/>
      <c r="CB720" s="29"/>
      <c r="CC720" s="29"/>
      <c r="CD720" s="29"/>
      <c r="CE720" s="29"/>
      <c r="CF720" s="29"/>
      <c r="CG720" s="29"/>
      <c r="CH720" s="29"/>
      <c r="CI720" s="29"/>
      <c r="CJ720" s="29"/>
      <c r="CK720" s="29"/>
      <c r="CL720" s="29"/>
      <c r="CM720" s="29"/>
      <c r="CN720" s="29"/>
      <c r="CO720" s="29"/>
      <c r="CP720" s="29"/>
      <c r="CQ720" s="29"/>
      <c r="CR720" s="29"/>
      <c r="CS720" s="29"/>
      <c r="CT720" s="29"/>
      <c r="CU720" s="29"/>
      <c r="CV720" s="29"/>
      <c r="CW720" s="29"/>
      <c r="CX720" s="29"/>
      <c r="CY720" s="29"/>
      <c r="CZ720" s="29"/>
      <c r="DA720" s="29"/>
      <c r="DB720" s="29"/>
      <c r="DC720" s="29"/>
      <c r="DD720" s="29"/>
      <c r="DE720" s="29"/>
      <c r="DF720" s="29"/>
      <c r="DG720" s="29"/>
      <c r="DH720" s="29"/>
      <c r="DI720" s="29"/>
      <c r="DJ720" s="29"/>
      <c r="DK720" s="29"/>
      <c r="DL720" s="29"/>
      <c r="DM720" s="29"/>
      <c r="DN720" s="29"/>
      <c r="DO720" s="29"/>
      <c r="DP720" s="29"/>
      <c r="DQ720" s="29"/>
      <c r="DR720" s="29"/>
      <c r="DS720" s="29"/>
      <c r="DT720" s="29"/>
      <c r="DU720" s="29"/>
      <c r="DV720" s="29"/>
      <c r="DW720" s="29"/>
      <c r="DX720" s="29"/>
      <c r="DY720" s="29"/>
      <c r="DZ720" s="29"/>
      <c r="EA720" s="29"/>
      <c r="EB720" s="29"/>
      <c r="EC720" s="29"/>
      <c r="ED720" s="29"/>
      <c r="EE720" s="29"/>
      <c r="EF720" s="29"/>
      <c r="EG720" s="29"/>
      <c r="EH720" s="29"/>
      <c r="EI720" s="29"/>
      <c r="EJ720" s="29"/>
      <c r="EK720" s="29"/>
      <c r="EL720" s="29"/>
      <c r="EM720" s="29"/>
      <c r="EN720" s="29"/>
      <c r="EO720" s="29"/>
      <c r="EP720" s="29"/>
      <c r="EQ720" s="29"/>
      <c r="ER720" s="29"/>
      <c r="ES720" s="29"/>
      <c r="ET720" s="29"/>
      <c r="EU720" s="29"/>
      <c r="EV720" s="29"/>
      <c r="EW720" s="29"/>
      <c r="EX720" s="29"/>
      <c r="EY720" s="29"/>
      <c r="EZ720" s="29"/>
      <c r="FA720" s="29"/>
      <c r="FB720" s="29"/>
      <c r="FC720" s="29"/>
      <c r="FD720" s="29"/>
      <c r="FE720" s="29"/>
      <c r="FF720" s="29"/>
      <c r="FG720" s="29"/>
      <c r="FH720" s="29"/>
      <c r="FI720" s="29"/>
      <c r="FJ720" s="29"/>
      <c r="FK720" s="29"/>
      <c r="FL720" s="29"/>
      <c r="FM720" s="29"/>
      <c r="FN720" s="29"/>
      <c r="FO720" s="29"/>
      <c r="FP720" s="29"/>
      <c r="FQ720" s="29"/>
      <c r="FR720" s="29"/>
      <c r="FS720" s="29"/>
      <c r="FT720" s="29"/>
      <c r="FU720" s="29"/>
      <c r="FV720" s="29"/>
      <c r="FW720" s="29"/>
      <c r="FX720" s="29"/>
      <c r="FY720" s="29"/>
      <c r="FZ720" s="29"/>
      <c r="GA720" s="29"/>
      <c r="GB720" s="29"/>
      <c r="GC720" s="29"/>
      <c r="GD720" s="29"/>
      <c r="GE720" s="29"/>
      <c r="GF720" s="29"/>
      <c r="GG720" s="29"/>
      <c r="GH720" s="29"/>
      <c r="GI720" s="29"/>
      <c r="GJ720" s="29"/>
      <c r="GK720" s="29"/>
      <c r="GL720" s="29"/>
      <c r="GM720" s="29"/>
      <c r="GN720" s="29"/>
      <c r="GO720" s="29"/>
      <c r="GP720" s="29"/>
      <c r="GQ720" s="29"/>
      <c r="GR720" s="29"/>
      <c r="GS720" s="29"/>
      <c r="GT720" s="29"/>
      <c r="GU720" s="29"/>
      <c r="HP720" s="31"/>
      <c r="MX720" s="29"/>
      <c r="MY720" s="29"/>
    </row>
    <row r="721" ht="16.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c r="BO721" s="29"/>
      <c r="BP721" s="29"/>
      <c r="BQ721" s="29"/>
      <c r="BR721" s="29"/>
      <c r="BS721" s="29"/>
      <c r="BT721" s="29"/>
      <c r="BU721" s="29"/>
      <c r="BV721" s="29"/>
      <c r="BW721" s="29"/>
      <c r="BX721" s="29"/>
      <c r="BY721" s="29"/>
      <c r="BZ721" s="29"/>
      <c r="CA721" s="29"/>
      <c r="CB721" s="29"/>
      <c r="CC721" s="29"/>
      <c r="CD721" s="29"/>
      <c r="CE721" s="29"/>
      <c r="CF721" s="29"/>
      <c r="CG721" s="29"/>
      <c r="CH721" s="29"/>
      <c r="CI721" s="29"/>
      <c r="CJ721" s="29"/>
      <c r="CK721" s="29"/>
      <c r="CL721" s="29"/>
      <c r="CM721" s="29"/>
      <c r="CN721" s="29"/>
      <c r="CO721" s="29"/>
      <c r="CP721" s="29"/>
      <c r="CQ721" s="29"/>
      <c r="CR721" s="29"/>
      <c r="CS721" s="29"/>
      <c r="CT721" s="29"/>
      <c r="CU721" s="29"/>
      <c r="CV721" s="29"/>
      <c r="CW721" s="29"/>
      <c r="CX721" s="29"/>
      <c r="CY721" s="29"/>
      <c r="CZ721" s="29"/>
      <c r="DA721" s="29"/>
      <c r="DB721" s="29"/>
      <c r="DC721" s="29"/>
      <c r="DD721" s="29"/>
      <c r="DE721" s="29"/>
      <c r="DF721" s="29"/>
      <c r="DG721" s="29"/>
      <c r="DH721" s="29"/>
      <c r="DI721" s="29"/>
      <c r="DJ721" s="29"/>
      <c r="DK721" s="29"/>
      <c r="DL721" s="29"/>
      <c r="DM721" s="29"/>
      <c r="DN721" s="29"/>
      <c r="DO721" s="29"/>
      <c r="DP721" s="29"/>
      <c r="DQ721" s="29"/>
      <c r="DR721" s="29"/>
      <c r="DS721" s="29"/>
      <c r="DT721" s="29"/>
      <c r="DU721" s="29"/>
      <c r="DV721" s="29"/>
      <c r="DW721" s="29"/>
      <c r="DX721" s="29"/>
      <c r="DY721" s="29"/>
      <c r="DZ721" s="29"/>
      <c r="EA721" s="29"/>
      <c r="EB721" s="29"/>
      <c r="EC721" s="29"/>
      <c r="ED721" s="29"/>
      <c r="EE721" s="29"/>
      <c r="EF721" s="29"/>
      <c r="EG721" s="29"/>
      <c r="EH721" s="29"/>
      <c r="EI721" s="29"/>
      <c r="EJ721" s="29"/>
      <c r="EK721" s="29"/>
      <c r="EL721" s="29"/>
      <c r="EM721" s="29"/>
      <c r="EN721" s="29"/>
      <c r="EO721" s="29"/>
      <c r="EP721" s="29"/>
      <c r="EQ721" s="29"/>
      <c r="ER721" s="29"/>
      <c r="ES721" s="29"/>
      <c r="ET721" s="29"/>
      <c r="EU721" s="29"/>
      <c r="EV721" s="29"/>
      <c r="EW721" s="29"/>
      <c r="EX721" s="29"/>
      <c r="EY721" s="29"/>
      <c r="EZ721" s="29"/>
      <c r="FA721" s="29"/>
      <c r="FB721" s="29"/>
      <c r="FC721" s="29"/>
      <c r="FD721" s="29"/>
      <c r="FE721" s="29"/>
      <c r="FF721" s="29"/>
      <c r="FG721" s="29"/>
      <c r="FH721" s="29"/>
      <c r="FI721" s="29"/>
      <c r="FJ721" s="29"/>
      <c r="FK721" s="29"/>
      <c r="FL721" s="29"/>
      <c r="FM721" s="29"/>
      <c r="FN721" s="29"/>
      <c r="FO721" s="29"/>
      <c r="FP721" s="29"/>
      <c r="FQ721" s="29"/>
      <c r="FR721" s="29"/>
      <c r="FS721" s="29"/>
      <c r="FT721" s="29"/>
      <c r="FU721" s="29"/>
      <c r="FV721" s="29"/>
      <c r="FW721" s="29"/>
      <c r="FX721" s="29"/>
      <c r="FY721" s="29"/>
      <c r="FZ721" s="29"/>
      <c r="GA721" s="29"/>
      <c r="GB721" s="29"/>
      <c r="GC721" s="29"/>
      <c r="GD721" s="29"/>
      <c r="GE721" s="29"/>
      <c r="GF721" s="29"/>
      <c r="GG721" s="29"/>
      <c r="GH721" s="29"/>
      <c r="GI721" s="29"/>
      <c r="GJ721" s="29"/>
      <c r="GK721" s="29"/>
      <c r="GL721" s="29"/>
      <c r="GM721" s="29"/>
      <c r="GN721" s="29"/>
      <c r="GO721" s="29"/>
      <c r="GP721" s="29"/>
      <c r="GQ721" s="29"/>
      <c r="GR721" s="29"/>
      <c r="GS721" s="29"/>
      <c r="GT721" s="29"/>
      <c r="GU721" s="29"/>
      <c r="HP721" s="31"/>
      <c r="MX721" s="29"/>
      <c r="MY721" s="29"/>
    </row>
    <row r="722" ht="16.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c r="AX722" s="29"/>
      <c r="AY722" s="29"/>
      <c r="AZ722" s="29"/>
      <c r="BA722" s="29"/>
      <c r="BB722" s="29"/>
      <c r="BC722" s="29"/>
      <c r="BD722" s="29"/>
      <c r="BE722" s="29"/>
      <c r="BF722" s="29"/>
      <c r="BG722" s="29"/>
      <c r="BH722" s="29"/>
      <c r="BI722" s="29"/>
      <c r="BJ722" s="29"/>
      <c r="BK722" s="29"/>
      <c r="BL722" s="29"/>
      <c r="BM722" s="29"/>
      <c r="BN722" s="29"/>
      <c r="BO722" s="29"/>
      <c r="BP722" s="29"/>
      <c r="BQ722" s="29"/>
      <c r="BR722" s="29"/>
      <c r="BS722" s="29"/>
      <c r="BT722" s="29"/>
      <c r="BU722" s="29"/>
      <c r="BV722" s="29"/>
      <c r="BW722" s="29"/>
      <c r="BX722" s="29"/>
      <c r="BY722" s="29"/>
      <c r="BZ722" s="29"/>
      <c r="CA722" s="29"/>
      <c r="CB722" s="29"/>
      <c r="CC722" s="29"/>
      <c r="CD722" s="29"/>
      <c r="CE722" s="29"/>
      <c r="CF722" s="29"/>
      <c r="CG722" s="29"/>
      <c r="CH722" s="29"/>
      <c r="CI722" s="29"/>
      <c r="CJ722" s="29"/>
      <c r="CK722" s="29"/>
      <c r="CL722" s="29"/>
      <c r="CM722" s="29"/>
      <c r="CN722" s="29"/>
      <c r="CO722" s="29"/>
      <c r="CP722" s="29"/>
      <c r="CQ722" s="29"/>
      <c r="CR722" s="29"/>
      <c r="CS722" s="29"/>
      <c r="CT722" s="29"/>
      <c r="CU722" s="29"/>
      <c r="CV722" s="29"/>
      <c r="CW722" s="29"/>
      <c r="CX722" s="29"/>
      <c r="CY722" s="29"/>
      <c r="CZ722" s="29"/>
      <c r="DA722" s="29"/>
      <c r="DB722" s="29"/>
      <c r="DC722" s="29"/>
      <c r="DD722" s="29"/>
      <c r="DE722" s="29"/>
      <c r="DF722" s="29"/>
      <c r="DG722" s="29"/>
      <c r="DH722" s="29"/>
      <c r="DI722" s="29"/>
      <c r="DJ722" s="29"/>
      <c r="DK722" s="29"/>
      <c r="DL722" s="29"/>
      <c r="DM722" s="29"/>
      <c r="DN722" s="29"/>
      <c r="DO722" s="29"/>
      <c r="DP722" s="29"/>
      <c r="DQ722" s="29"/>
      <c r="DR722" s="29"/>
      <c r="DS722" s="29"/>
      <c r="DT722" s="29"/>
      <c r="DU722" s="29"/>
      <c r="DV722" s="29"/>
      <c r="DW722" s="29"/>
      <c r="DX722" s="29"/>
      <c r="DY722" s="29"/>
      <c r="DZ722" s="29"/>
      <c r="EA722" s="29"/>
      <c r="EB722" s="29"/>
      <c r="EC722" s="29"/>
      <c r="ED722" s="29"/>
      <c r="EE722" s="29"/>
      <c r="EF722" s="29"/>
      <c r="EG722" s="29"/>
      <c r="EH722" s="29"/>
      <c r="EI722" s="29"/>
      <c r="EJ722" s="29"/>
      <c r="EK722" s="29"/>
      <c r="EL722" s="29"/>
      <c r="EM722" s="29"/>
      <c r="EN722" s="29"/>
      <c r="EO722" s="29"/>
      <c r="EP722" s="29"/>
      <c r="EQ722" s="29"/>
      <c r="ER722" s="29"/>
      <c r="ES722" s="29"/>
      <c r="ET722" s="29"/>
      <c r="EU722" s="29"/>
      <c r="EV722" s="29"/>
      <c r="EW722" s="29"/>
      <c r="EX722" s="29"/>
      <c r="EY722" s="29"/>
      <c r="EZ722" s="29"/>
      <c r="FA722" s="29"/>
      <c r="FB722" s="29"/>
      <c r="FC722" s="29"/>
      <c r="FD722" s="29"/>
      <c r="FE722" s="29"/>
      <c r="FF722" s="29"/>
      <c r="FG722" s="29"/>
      <c r="FH722" s="29"/>
      <c r="FI722" s="29"/>
      <c r="FJ722" s="29"/>
      <c r="FK722" s="29"/>
      <c r="FL722" s="29"/>
      <c r="FM722" s="29"/>
      <c r="FN722" s="29"/>
      <c r="FO722" s="29"/>
      <c r="FP722" s="29"/>
      <c r="FQ722" s="29"/>
      <c r="FR722" s="29"/>
      <c r="FS722" s="29"/>
      <c r="FT722" s="29"/>
      <c r="FU722" s="29"/>
      <c r="FV722" s="29"/>
      <c r="FW722" s="29"/>
      <c r="FX722" s="29"/>
      <c r="FY722" s="29"/>
      <c r="FZ722" s="29"/>
      <c r="GA722" s="29"/>
      <c r="GB722" s="29"/>
      <c r="GC722" s="29"/>
      <c r="GD722" s="29"/>
      <c r="GE722" s="29"/>
      <c r="GF722" s="29"/>
      <c r="GG722" s="29"/>
      <c r="GH722" s="29"/>
      <c r="GI722" s="29"/>
      <c r="GJ722" s="29"/>
      <c r="GK722" s="29"/>
      <c r="GL722" s="29"/>
      <c r="GM722" s="29"/>
      <c r="GN722" s="29"/>
      <c r="GO722" s="29"/>
      <c r="GP722" s="29"/>
      <c r="GQ722" s="29"/>
      <c r="GR722" s="29"/>
      <c r="GS722" s="29"/>
      <c r="GT722" s="29"/>
      <c r="GU722" s="29"/>
      <c r="HP722" s="31"/>
      <c r="MX722" s="29"/>
      <c r="MY722" s="29"/>
    </row>
    <row r="723" ht="16.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c r="BO723" s="29"/>
      <c r="BP723" s="29"/>
      <c r="BQ723" s="29"/>
      <c r="BR723" s="29"/>
      <c r="BS723" s="29"/>
      <c r="BT723" s="29"/>
      <c r="BU723" s="29"/>
      <c r="BV723" s="29"/>
      <c r="BW723" s="29"/>
      <c r="BX723" s="29"/>
      <c r="BY723" s="29"/>
      <c r="BZ723" s="29"/>
      <c r="CA723" s="29"/>
      <c r="CB723" s="29"/>
      <c r="CC723" s="29"/>
      <c r="CD723" s="29"/>
      <c r="CE723" s="29"/>
      <c r="CF723" s="29"/>
      <c r="CG723" s="29"/>
      <c r="CH723" s="29"/>
      <c r="CI723" s="29"/>
      <c r="CJ723" s="29"/>
      <c r="CK723" s="29"/>
      <c r="CL723" s="29"/>
      <c r="CM723" s="29"/>
      <c r="CN723" s="29"/>
      <c r="CO723" s="29"/>
      <c r="CP723" s="29"/>
      <c r="CQ723" s="29"/>
      <c r="CR723" s="29"/>
      <c r="CS723" s="29"/>
      <c r="CT723" s="29"/>
      <c r="CU723" s="29"/>
      <c r="CV723" s="29"/>
      <c r="CW723" s="29"/>
      <c r="CX723" s="29"/>
      <c r="CY723" s="29"/>
      <c r="CZ723" s="29"/>
      <c r="DA723" s="29"/>
      <c r="DB723" s="29"/>
      <c r="DC723" s="29"/>
      <c r="DD723" s="29"/>
      <c r="DE723" s="29"/>
      <c r="DF723" s="29"/>
      <c r="DG723" s="29"/>
      <c r="DH723" s="29"/>
      <c r="DI723" s="29"/>
      <c r="DJ723" s="29"/>
      <c r="DK723" s="29"/>
      <c r="DL723" s="29"/>
      <c r="DM723" s="29"/>
      <c r="DN723" s="29"/>
      <c r="DO723" s="29"/>
      <c r="DP723" s="29"/>
      <c r="DQ723" s="29"/>
      <c r="DR723" s="29"/>
      <c r="DS723" s="29"/>
      <c r="DT723" s="29"/>
      <c r="DU723" s="29"/>
      <c r="DV723" s="29"/>
      <c r="DW723" s="29"/>
      <c r="DX723" s="29"/>
      <c r="DY723" s="29"/>
      <c r="DZ723" s="29"/>
      <c r="EA723" s="29"/>
      <c r="EB723" s="29"/>
      <c r="EC723" s="29"/>
      <c r="ED723" s="29"/>
      <c r="EE723" s="29"/>
      <c r="EF723" s="29"/>
      <c r="EG723" s="29"/>
      <c r="EH723" s="29"/>
      <c r="EI723" s="29"/>
      <c r="EJ723" s="29"/>
      <c r="EK723" s="29"/>
      <c r="EL723" s="29"/>
      <c r="EM723" s="29"/>
      <c r="EN723" s="29"/>
      <c r="EO723" s="29"/>
      <c r="EP723" s="29"/>
      <c r="EQ723" s="29"/>
      <c r="ER723" s="29"/>
      <c r="ES723" s="29"/>
      <c r="ET723" s="29"/>
      <c r="EU723" s="29"/>
      <c r="EV723" s="29"/>
      <c r="EW723" s="29"/>
      <c r="EX723" s="29"/>
      <c r="EY723" s="29"/>
      <c r="EZ723" s="29"/>
      <c r="FA723" s="29"/>
      <c r="FB723" s="29"/>
      <c r="FC723" s="29"/>
      <c r="FD723" s="29"/>
      <c r="FE723" s="29"/>
      <c r="FF723" s="29"/>
      <c r="FG723" s="29"/>
      <c r="FH723" s="29"/>
      <c r="FI723" s="29"/>
      <c r="FJ723" s="29"/>
      <c r="FK723" s="29"/>
      <c r="FL723" s="29"/>
      <c r="FM723" s="29"/>
      <c r="FN723" s="29"/>
      <c r="FO723" s="29"/>
      <c r="FP723" s="29"/>
      <c r="FQ723" s="29"/>
      <c r="FR723" s="29"/>
      <c r="FS723" s="29"/>
      <c r="FT723" s="29"/>
      <c r="FU723" s="29"/>
      <c r="FV723" s="29"/>
      <c r="FW723" s="29"/>
      <c r="FX723" s="29"/>
      <c r="FY723" s="29"/>
      <c r="FZ723" s="29"/>
      <c r="GA723" s="29"/>
      <c r="GB723" s="29"/>
      <c r="GC723" s="29"/>
      <c r="GD723" s="29"/>
      <c r="GE723" s="29"/>
      <c r="GF723" s="29"/>
      <c r="GG723" s="29"/>
      <c r="GH723" s="29"/>
      <c r="GI723" s="29"/>
      <c r="GJ723" s="29"/>
      <c r="GK723" s="29"/>
      <c r="GL723" s="29"/>
      <c r="GM723" s="29"/>
      <c r="GN723" s="29"/>
      <c r="GO723" s="29"/>
      <c r="GP723" s="29"/>
      <c r="GQ723" s="29"/>
      <c r="GR723" s="29"/>
      <c r="GS723" s="29"/>
      <c r="GT723" s="29"/>
      <c r="GU723" s="29"/>
      <c r="HP723" s="31"/>
      <c r="MX723" s="29"/>
      <c r="MY723" s="29"/>
    </row>
    <row r="724" ht="16.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c r="AX724" s="29"/>
      <c r="AY724" s="29"/>
      <c r="AZ724" s="29"/>
      <c r="BA724" s="29"/>
      <c r="BB724" s="29"/>
      <c r="BC724" s="29"/>
      <c r="BD724" s="29"/>
      <c r="BE724" s="29"/>
      <c r="BF724" s="29"/>
      <c r="BG724" s="29"/>
      <c r="BH724" s="29"/>
      <c r="BI724" s="29"/>
      <c r="BJ724" s="29"/>
      <c r="BK724" s="29"/>
      <c r="BL724" s="29"/>
      <c r="BM724" s="29"/>
      <c r="BN724" s="29"/>
      <c r="BO724" s="29"/>
      <c r="BP724" s="29"/>
      <c r="BQ724" s="29"/>
      <c r="BR724" s="29"/>
      <c r="BS724" s="29"/>
      <c r="BT724" s="29"/>
      <c r="BU724" s="29"/>
      <c r="BV724" s="29"/>
      <c r="BW724" s="29"/>
      <c r="BX724" s="29"/>
      <c r="BY724" s="29"/>
      <c r="BZ724" s="29"/>
      <c r="CA724" s="29"/>
      <c r="CB724" s="29"/>
      <c r="CC724" s="29"/>
      <c r="CD724" s="29"/>
      <c r="CE724" s="29"/>
      <c r="CF724" s="29"/>
      <c r="CG724" s="29"/>
      <c r="CH724" s="29"/>
      <c r="CI724" s="29"/>
      <c r="CJ724" s="29"/>
      <c r="CK724" s="29"/>
      <c r="CL724" s="29"/>
      <c r="CM724" s="29"/>
      <c r="CN724" s="29"/>
      <c r="CO724" s="29"/>
      <c r="CP724" s="29"/>
      <c r="CQ724" s="29"/>
      <c r="CR724" s="29"/>
      <c r="CS724" s="29"/>
      <c r="CT724" s="29"/>
      <c r="CU724" s="29"/>
      <c r="CV724" s="29"/>
      <c r="CW724" s="29"/>
      <c r="CX724" s="29"/>
      <c r="CY724" s="29"/>
      <c r="CZ724" s="29"/>
      <c r="DA724" s="29"/>
      <c r="DB724" s="29"/>
      <c r="DC724" s="29"/>
      <c r="DD724" s="29"/>
      <c r="DE724" s="29"/>
      <c r="DF724" s="29"/>
      <c r="DG724" s="29"/>
      <c r="DH724" s="29"/>
      <c r="DI724" s="29"/>
      <c r="DJ724" s="29"/>
      <c r="DK724" s="29"/>
      <c r="DL724" s="29"/>
      <c r="DM724" s="29"/>
      <c r="DN724" s="29"/>
      <c r="DO724" s="29"/>
      <c r="DP724" s="29"/>
      <c r="DQ724" s="29"/>
      <c r="DR724" s="29"/>
      <c r="DS724" s="29"/>
      <c r="DT724" s="29"/>
      <c r="DU724" s="29"/>
      <c r="DV724" s="29"/>
      <c r="DW724" s="29"/>
      <c r="DX724" s="29"/>
      <c r="DY724" s="29"/>
      <c r="DZ724" s="29"/>
      <c r="EA724" s="29"/>
      <c r="EB724" s="29"/>
      <c r="EC724" s="29"/>
      <c r="ED724" s="29"/>
      <c r="EE724" s="29"/>
      <c r="EF724" s="29"/>
      <c r="EG724" s="29"/>
      <c r="EH724" s="29"/>
      <c r="EI724" s="29"/>
      <c r="EJ724" s="29"/>
      <c r="EK724" s="29"/>
      <c r="EL724" s="29"/>
      <c r="EM724" s="29"/>
      <c r="EN724" s="29"/>
      <c r="EO724" s="29"/>
      <c r="EP724" s="29"/>
      <c r="EQ724" s="29"/>
      <c r="ER724" s="29"/>
      <c r="ES724" s="29"/>
      <c r="ET724" s="29"/>
      <c r="EU724" s="29"/>
      <c r="EV724" s="29"/>
      <c r="EW724" s="29"/>
      <c r="EX724" s="29"/>
      <c r="EY724" s="29"/>
      <c r="EZ724" s="29"/>
      <c r="FA724" s="29"/>
      <c r="FB724" s="29"/>
      <c r="FC724" s="29"/>
      <c r="FD724" s="29"/>
      <c r="FE724" s="29"/>
      <c r="FF724" s="29"/>
      <c r="FG724" s="29"/>
      <c r="FH724" s="29"/>
      <c r="FI724" s="29"/>
      <c r="FJ724" s="29"/>
      <c r="FK724" s="29"/>
      <c r="FL724" s="29"/>
      <c r="FM724" s="29"/>
      <c r="FN724" s="29"/>
      <c r="FO724" s="29"/>
      <c r="FP724" s="29"/>
      <c r="FQ724" s="29"/>
      <c r="FR724" s="29"/>
      <c r="FS724" s="29"/>
      <c r="FT724" s="29"/>
      <c r="FU724" s="29"/>
      <c r="FV724" s="29"/>
      <c r="FW724" s="29"/>
      <c r="FX724" s="29"/>
      <c r="FY724" s="29"/>
      <c r="FZ724" s="29"/>
      <c r="GA724" s="29"/>
      <c r="GB724" s="29"/>
      <c r="GC724" s="29"/>
      <c r="GD724" s="29"/>
      <c r="GE724" s="29"/>
      <c r="GF724" s="29"/>
      <c r="GG724" s="29"/>
      <c r="GH724" s="29"/>
      <c r="GI724" s="29"/>
      <c r="GJ724" s="29"/>
      <c r="GK724" s="29"/>
      <c r="GL724" s="29"/>
      <c r="GM724" s="29"/>
      <c r="GN724" s="29"/>
      <c r="GO724" s="29"/>
      <c r="GP724" s="29"/>
      <c r="GQ724" s="29"/>
      <c r="GR724" s="29"/>
      <c r="GS724" s="29"/>
      <c r="GT724" s="29"/>
      <c r="GU724" s="29"/>
      <c r="HP724" s="31"/>
      <c r="MX724" s="29"/>
      <c r="MY724" s="29"/>
    </row>
    <row r="725" ht="16.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c r="BO725" s="29"/>
      <c r="BP725" s="29"/>
      <c r="BQ725" s="29"/>
      <c r="BR725" s="29"/>
      <c r="BS725" s="29"/>
      <c r="BT725" s="29"/>
      <c r="BU725" s="29"/>
      <c r="BV725" s="29"/>
      <c r="BW725" s="29"/>
      <c r="BX725" s="29"/>
      <c r="BY725" s="29"/>
      <c r="BZ725" s="29"/>
      <c r="CA725" s="29"/>
      <c r="CB725" s="29"/>
      <c r="CC725" s="29"/>
      <c r="CD725" s="29"/>
      <c r="CE725" s="29"/>
      <c r="CF725" s="29"/>
      <c r="CG725" s="29"/>
      <c r="CH725" s="29"/>
      <c r="CI725" s="29"/>
      <c r="CJ725" s="29"/>
      <c r="CK725" s="29"/>
      <c r="CL725" s="29"/>
      <c r="CM725" s="29"/>
      <c r="CN725" s="29"/>
      <c r="CO725" s="29"/>
      <c r="CP725" s="29"/>
      <c r="CQ725" s="29"/>
      <c r="CR725" s="29"/>
      <c r="CS725" s="29"/>
      <c r="CT725" s="29"/>
      <c r="CU725" s="29"/>
      <c r="CV725" s="29"/>
      <c r="CW725" s="29"/>
      <c r="CX725" s="29"/>
      <c r="CY725" s="29"/>
      <c r="CZ725" s="29"/>
      <c r="DA725" s="29"/>
      <c r="DB725" s="29"/>
      <c r="DC725" s="29"/>
      <c r="DD725" s="29"/>
      <c r="DE725" s="29"/>
      <c r="DF725" s="29"/>
      <c r="DG725" s="29"/>
      <c r="DH725" s="29"/>
      <c r="DI725" s="29"/>
      <c r="DJ725" s="29"/>
      <c r="DK725" s="29"/>
      <c r="DL725" s="29"/>
      <c r="DM725" s="29"/>
      <c r="DN725" s="29"/>
      <c r="DO725" s="29"/>
      <c r="DP725" s="29"/>
      <c r="DQ725" s="29"/>
      <c r="DR725" s="29"/>
      <c r="DS725" s="29"/>
      <c r="DT725" s="29"/>
      <c r="DU725" s="29"/>
      <c r="DV725" s="29"/>
      <c r="DW725" s="29"/>
      <c r="DX725" s="29"/>
      <c r="DY725" s="29"/>
      <c r="DZ725" s="29"/>
      <c r="EA725" s="29"/>
      <c r="EB725" s="29"/>
      <c r="EC725" s="29"/>
      <c r="ED725" s="29"/>
      <c r="EE725" s="29"/>
      <c r="EF725" s="29"/>
      <c r="EG725" s="29"/>
      <c r="EH725" s="29"/>
      <c r="EI725" s="29"/>
      <c r="EJ725" s="29"/>
      <c r="EK725" s="29"/>
      <c r="EL725" s="29"/>
      <c r="EM725" s="29"/>
      <c r="EN725" s="29"/>
      <c r="EO725" s="29"/>
      <c r="EP725" s="29"/>
      <c r="EQ725" s="29"/>
      <c r="ER725" s="29"/>
      <c r="ES725" s="29"/>
      <c r="ET725" s="29"/>
      <c r="EU725" s="29"/>
      <c r="EV725" s="29"/>
      <c r="EW725" s="29"/>
      <c r="EX725" s="29"/>
      <c r="EY725" s="29"/>
      <c r="EZ725" s="29"/>
      <c r="FA725" s="29"/>
      <c r="FB725" s="29"/>
      <c r="FC725" s="29"/>
      <c r="FD725" s="29"/>
      <c r="FE725" s="29"/>
      <c r="FF725" s="29"/>
      <c r="FG725" s="29"/>
      <c r="FH725" s="29"/>
      <c r="FI725" s="29"/>
      <c r="FJ725" s="29"/>
      <c r="FK725" s="29"/>
      <c r="FL725" s="29"/>
      <c r="FM725" s="29"/>
      <c r="FN725" s="29"/>
      <c r="FO725" s="29"/>
      <c r="FP725" s="29"/>
      <c r="FQ725" s="29"/>
      <c r="FR725" s="29"/>
      <c r="FS725" s="29"/>
      <c r="FT725" s="29"/>
      <c r="FU725" s="29"/>
      <c r="FV725" s="29"/>
      <c r="FW725" s="29"/>
      <c r="FX725" s="29"/>
      <c r="FY725" s="29"/>
      <c r="FZ725" s="29"/>
      <c r="GA725" s="29"/>
      <c r="GB725" s="29"/>
      <c r="GC725" s="29"/>
      <c r="GD725" s="29"/>
      <c r="GE725" s="29"/>
      <c r="GF725" s="29"/>
      <c r="GG725" s="29"/>
      <c r="GH725" s="29"/>
      <c r="GI725" s="29"/>
      <c r="GJ725" s="29"/>
      <c r="GK725" s="29"/>
      <c r="GL725" s="29"/>
      <c r="GM725" s="29"/>
      <c r="GN725" s="29"/>
      <c r="GO725" s="29"/>
      <c r="GP725" s="29"/>
      <c r="GQ725" s="29"/>
      <c r="GR725" s="29"/>
      <c r="GS725" s="29"/>
      <c r="GT725" s="29"/>
      <c r="GU725" s="29"/>
      <c r="HP725" s="31"/>
      <c r="MX725" s="29"/>
      <c r="MY725" s="29"/>
    </row>
    <row r="726" ht="16.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29"/>
      <c r="AW726" s="29"/>
      <c r="AX726" s="29"/>
      <c r="AY726" s="29"/>
      <c r="AZ726" s="29"/>
      <c r="BA726" s="29"/>
      <c r="BB726" s="29"/>
      <c r="BC726" s="29"/>
      <c r="BD726" s="29"/>
      <c r="BE726" s="29"/>
      <c r="BF726" s="29"/>
      <c r="BG726" s="29"/>
      <c r="BH726" s="29"/>
      <c r="BI726" s="29"/>
      <c r="BJ726" s="29"/>
      <c r="BK726" s="29"/>
      <c r="BL726" s="29"/>
      <c r="BM726" s="29"/>
      <c r="BN726" s="29"/>
      <c r="BO726" s="29"/>
      <c r="BP726" s="29"/>
      <c r="BQ726" s="29"/>
      <c r="BR726" s="29"/>
      <c r="BS726" s="29"/>
      <c r="BT726" s="29"/>
      <c r="BU726" s="29"/>
      <c r="BV726" s="29"/>
      <c r="BW726" s="29"/>
      <c r="BX726" s="29"/>
      <c r="BY726" s="29"/>
      <c r="BZ726" s="29"/>
      <c r="CA726" s="29"/>
      <c r="CB726" s="29"/>
      <c r="CC726" s="29"/>
      <c r="CD726" s="29"/>
      <c r="CE726" s="29"/>
      <c r="CF726" s="29"/>
      <c r="CG726" s="29"/>
      <c r="CH726" s="29"/>
      <c r="CI726" s="29"/>
      <c r="CJ726" s="29"/>
      <c r="CK726" s="29"/>
      <c r="CL726" s="29"/>
      <c r="CM726" s="29"/>
      <c r="CN726" s="29"/>
      <c r="CO726" s="29"/>
      <c r="CP726" s="29"/>
      <c r="CQ726" s="29"/>
      <c r="CR726" s="29"/>
      <c r="CS726" s="29"/>
      <c r="CT726" s="29"/>
      <c r="CU726" s="29"/>
      <c r="CV726" s="29"/>
      <c r="CW726" s="29"/>
      <c r="CX726" s="29"/>
      <c r="CY726" s="29"/>
      <c r="CZ726" s="29"/>
      <c r="DA726" s="29"/>
      <c r="DB726" s="29"/>
      <c r="DC726" s="29"/>
      <c r="DD726" s="29"/>
      <c r="DE726" s="29"/>
      <c r="DF726" s="29"/>
      <c r="DG726" s="29"/>
      <c r="DH726" s="29"/>
      <c r="DI726" s="29"/>
      <c r="DJ726" s="29"/>
      <c r="DK726" s="29"/>
      <c r="DL726" s="29"/>
      <c r="DM726" s="29"/>
      <c r="DN726" s="29"/>
      <c r="DO726" s="29"/>
      <c r="DP726" s="29"/>
      <c r="DQ726" s="29"/>
      <c r="DR726" s="29"/>
      <c r="DS726" s="29"/>
      <c r="DT726" s="29"/>
      <c r="DU726" s="29"/>
      <c r="DV726" s="29"/>
      <c r="DW726" s="29"/>
      <c r="DX726" s="29"/>
      <c r="DY726" s="29"/>
      <c r="DZ726" s="29"/>
      <c r="EA726" s="29"/>
      <c r="EB726" s="29"/>
      <c r="EC726" s="29"/>
      <c r="ED726" s="29"/>
      <c r="EE726" s="29"/>
      <c r="EF726" s="29"/>
      <c r="EG726" s="29"/>
      <c r="EH726" s="29"/>
      <c r="EI726" s="29"/>
      <c r="EJ726" s="29"/>
      <c r="EK726" s="29"/>
      <c r="EL726" s="29"/>
      <c r="EM726" s="29"/>
      <c r="EN726" s="29"/>
      <c r="EO726" s="29"/>
      <c r="EP726" s="29"/>
      <c r="EQ726" s="29"/>
      <c r="ER726" s="29"/>
      <c r="ES726" s="29"/>
      <c r="ET726" s="29"/>
      <c r="EU726" s="29"/>
      <c r="EV726" s="29"/>
      <c r="EW726" s="29"/>
      <c r="EX726" s="29"/>
      <c r="EY726" s="29"/>
      <c r="EZ726" s="29"/>
      <c r="FA726" s="29"/>
      <c r="FB726" s="29"/>
      <c r="FC726" s="29"/>
      <c r="FD726" s="29"/>
      <c r="FE726" s="29"/>
      <c r="FF726" s="29"/>
      <c r="FG726" s="29"/>
      <c r="FH726" s="29"/>
      <c r="FI726" s="29"/>
      <c r="FJ726" s="29"/>
      <c r="FK726" s="29"/>
      <c r="FL726" s="29"/>
      <c r="FM726" s="29"/>
      <c r="FN726" s="29"/>
      <c r="FO726" s="29"/>
      <c r="FP726" s="29"/>
      <c r="FQ726" s="29"/>
      <c r="FR726" s="29"/>
      <c r="FS726" s="29"/>
      <c r="FT726" s="29"/>
      <c r="FU726" s="29"/>
      <c r="FV726" s="29"/>
      <c r="FW726" s="29"/>
      <c r="FX726" s="29"/>
      <c r="FY726" s="29"/>
      <c r="FZ726" s="29"/>
      <c r="GA726" s="29"/>
      <c r="GB726" s="29"/>
      <c r="GC726" s="29"/>
      <c r="GD726" s="29"/>
      <c r="GE726" s="29"/>
      <c r="GF726" s="29"/>
      <c r="GG726" s="29"/>
      <c r="GH726" s="29"/>
      <c r="GI726" s="29"/>
      <c r="GJ726" s="29"/>
      <c r="GK726" s="29"/>
      <c r="GL726" s="29"/>
      <c r="GM726" s="29"/>
      <c r="GN726" s="29"/>
      <c r="GO726" s="29"/>
      <c r="GP726" s="29"/>
      <c r="GQ726" s="29"/>
      <c r="GR726" s="29"/>
      <c r="GS726" s="29"/>
      <c r="GT726" s="29"/>
      <c r="GU726" s="29"/>
      <c r="HP726" s="31"/>
      <c r="MX726" s="29"/>
      <c r="MY726" s="29"/>
    </row>
    <row r="727" ht="16.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c r="BO727" s="29"/>
      <c r="BP727" s="29"/>
      <c r="BQ727" s="29"/>
      <c r="BR727" s="29"/>
      <c r="BS727" s="29"/>
      <c r="BT727" s="29"/>
      <c r="BU727" s="29"/>
      <c r="BV727" s="29"/>
      <c r="BW727" s="29"/>
      <c r="BX727" s="29"/>
      <c r="BY727" s="29"/>
      <c r="BZ727" s="29"/>
      <c r="CA727" s="29"/>
      <c r="CB727" s="29"/>
      <c r="CC727" s="29"/>
      <c r="CD727" s="29"/>
      <c r="CE727" s="29"/>
      <c r="CF727" s="29"/>
      <c r="CG727" s="29"/>
      <c r="CH727" s="29"/>
      <c r="CI727" s="29"/>
      <c r="CJ727" s="29"/>
      <c r="CK727" s="29"/>
      <c r="CL727" s="29"/>
      <c r="CM727" s="29"/>
      <c r="CN727" s="29"/>
      <c r="CO727" s="29"/>
      <c r="CP727" s="29"/>
      <c r="CQ727" s="29"/>
      <c r="CR727" s="29"/>
      <c r="CS727" s="29"/>
      <c r="CT727" s="29"/>
      <c r="CU727" s="29"/>
      <c r="CV727" s="29"/>
      <c r="CW727" s="29"/>
      <c r="CX727" s="29"/>
      <c r="CY727" s="29"/>
      <c r="CZ727" s="29"/>
      <c r="DA727" s="29"/>
      <c r="DB727" s="29"/>
      <c r="DC727" s="29"/>
      <c r="DD727" s="29"/>
      <c r="DE727" s="29"/>
      <c r="DF727" s="29"/>
      <c r="DG727" s="29"/>
      <c r="DH727" s="29"/>
      <c r="DI727" s="29"/>
      <c r="DJ727" s="29"/>
      <c r="DK727" s="29"/>
      <c r="DL727" s="29"/>
      <c r="DM727" s="29"/>
      <c r="DN727" s="29"/>
      <c r="DO727" s="29"/>
      <c r="DP727" s="29"/>
      <c r="DQ727" s="29"/>
      <c r="DR727" s="29"/>
      <c r="DS727" s="29"/>
      <c r="DT727" s="29"/>
      <c r="DU727" s="29"/>
      <c r="DV727" s="29"/>
      <c r="DW727" s="29"/>
      <c r="DX727" s="29"/>
      <c r="DY727" s="29"/>
      <c r="DZ727" s="29"/>
      <c r="EA727" s="29"/>
      <c r="EB727" s="29"/>
      <c r="EC727" s="29"/>
      <c r="ED727" s="29"/>
      <c r="EE727" s="29"/>
      <c r="EF727" s="29"/>
      <c r="EG727" s="29"/>
      <c r="EH727" s="29"/>
      <c r="EI727" s="29"/>
      <c r="EJ727" s="29"/>
      <c r="EK727" s="29"/>
      <c r="EL727" s="29"/>
      <c r="EM727" s="29"/>
      <c r="EN727" s="29"/>
      <c r="EO727" s="29"/>
      <c r="EP727" s="29"/>
      <c r="EQ727" s="29"/>
      <c r="ER727" s="29"/>
      <c r="ES727" s="29"/>
      <c r="ET727" s="29"/>
      <c r="EU727" s="29"/>
      <c r="EV727" s="29"/>
      <c r="EW727" s="29"/>
      <c r="EX727" s="29"/>
      <c r="EY727" s="29"/>
      <c r="EZ727" s="29"/>
      <c r="FA727" s="29"/>
      <c r="FB727" s="29"/>
      <c r="FC727" s="29"/>
      <c r="FD727" s="29"/>
      <c r="FE727" s="29"/>
      <c r="FF727" s="29"/>
      <c r="FG727" s="29"/>
      <c r="FH727" s="29"/>
      <c r="FI727" s="29"/>
      <c r="FJ727" s="29"/>
      <c r="FK727" s="29"/>
      <c r="FL727" s="29"/>
      <c r="FM727" s="29"/>
      <c r="FN727" s="29"/>
      <c r="FO727" s="29"/>
      <c r="FP727" s="29"/>
      <c r="FQ727" s="29"/>
      <c r="FR727" s="29"/>
      <c r="FS727" s="29"/>
      <c r="FT727" s="29"/>
      <c r="FU727" s="29"/>
      <c r="FV727" s="29"/>
      <c r="FW727" s="29"/>
      <c r="FX727" s="29"/>
      <c r="FY727" s="29"/>
      <c r="FZ727" s="29"/>
      <c r="GA727" s="29"/>
      <c r="GB727" s="29"/>
      <c r="GC727" s="29"/>
      <c r="GD727" s="29"/>
      <c r="GE727" s="29"/>
      <c r="GF727" s="29"/>
      <c r="GG727" s="29"/>
      <c r="GH727" s="29"/>
      <c r="GI727" s="29"/>
      <c r="GJ727" s="29"/>
      <c r="GK727" s="29"/>
      <c r="GL727" s="29"/>
      <c r="GM727" s="29"/>
      <c r="GN727" s="29"/>
      <c r="GO727" s="29"/>
      <c r="GP727" s="29"/>
      <c r="GQ727" s="29"/>
      <c r="GR727" s="29"/>
      <c r="GS727" s="29"/>
      <c r="GT727" s="29"/>
      <c r="GU727" s="29"/>
      <c r="HP727" s="31"/>
      <c r="MX727" s="29"/>
      <c r="MY727" s="29"/>
    </row>
    <row r="728" ht="16.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c r="AX728" s="29"/>
      <c r="AY728" s="29"/>
      <c r="AZ728" s="29"/>
      <c r="BA728" s="29"/>
      <c r="BB728" s="29"/>
      <c r="BC728" s="29"/>
      <c r="BD728" s="29"/>
      <c r="BE728" s="29"/>
      <c r="BF728" s="29"/>
      <c r="BG728" s="29"/>
      <c r="BH728" s="29"/>
      <c r="BI728" s="29"/>
      <c r="BJ728" s="29"/>
      <c r="BK728" s="29"/>
      <c r="BL728" s="29"/>
      <c r="BM728" s="29"/>
      <c r="BN728" s="29"/>
      <c r="BO728" s="29"/>
      <c r="BP728" s="29"/>
      <c r="BQ728" s="29"/>
      <c r="BR728" s="29"/>
      <c r="BS728" s="29"/>
      <c r="BT728" s="29"/>
      <c r="BU728" s="29"/>
      <c r="BV728" s="29"/>
      <c r="BW728" s="29"/>
      <c r="BX728" s="29"/>
      <c r="BY728" s="29"/>
      <c r="BZ728" s="29"/>
      <c r="CA728" s="29"/>
      <c r="CB728" s="29"/>
      <c r="CC728" s="29"/>
      <c r="CD728" s="29"/>
      <c r="CE728" s="29"/>
      <c r="CF728" s="29"/>
      <c r="CG728" s="29"/>
      <c r="CH728" s="29"/>
      <c r="CI728" s="29"/>
      <c r="CJ728" s="29"/>
      <c r="CK728" s="29"/>
      <c r="CL728" s="29"/>
      <c r="CM728" s="29"/>
      <c r="CN728" s="29"/>
      <c r="CO728" s="29"/>
      <c r="CP728" s="29"/>
      <c r="CQ728" s="29"/>
      <c r="CR728" s="29"/>
      <c r="CS728" s="29"/>
      <c r="CT728" s="29"/>
      <c r="CU728" s="29"/>
      <c r="CV728" s="29"/>
      <c r="CW728" s="29"/>
      <c r="CX728" s="29"/>
      <c r="CY728" s="29"/>
      <c r="CZ728" s="29"/>
      <c r="DA728" s="29"/>
      <c r="DB728" s="29"/>
      <c r="DC728" s="29"/>
      <c r="DD728" s="29"/>
      <c r="DE728" s="29"/>
      <c r="DF728" s="29"/>
      <c r="DG728" s="29"/>
      <c r="DH728" s="29"/>
      <c r="DI728" s="29"/>
      <c r="DJ728" s="29"/>
      <c r="DK728" s="29"/>
      <c r="DL728" s="29"/>
      <c r="DM728" s="29"/>
      <c r="DN728" s="29"/>
      <c r="DO728" s="29"/>
      <c r="DP728" s="29"/>
      <c r="DQ728" s="29"/>
      <c r="DR728" s="29"/>
      <c r="DS728" s="29"/>
      <c r="DT728" s="29"/>
      <c r="DU728" s="29"/>
      <c r="DV728" s="29"/>
      <c r="DW728" s="29"/>
      <c r="DX728" s="29"/>
      <c r="DY728" s="29"/>
      <c r="DZ728" s="29"/>
      <c r="EA728" s="29"/>
      <c r="EB728" s="29"/>
      <c r="EC728" s="29"/>
      <c r="ED728" s="29"/>
      <c r="EE728" s="29"/>
      <c r="EF728" s="29"/>
      <c r="EG728" s="29"/>
      <c r="EH728" s="29"/>
      <c r="EI728" s="29"/>
      <c r="EJ728" s="29"/>
      <c r="EK728" s="29"/>
      <c r="EL728" s="29"/>
      <c r="EM728" s="29"/>
      <c r="EN728" s="29"/>
      <c r="EO728" s="29"/>
      <c r="EP728" s="29"/>
      <c r="EQ728" s="29"/>
      <c r="ER728" s="29"/>
      <c r="ES728" s="29"/>
      <c r="ET728" s="29"/>
      <c r="EU728" s="29"/>
      <c r="EV728" s="29"/>
      <c r="EW728" s="29"/>
      <c r="EX728" s="29"/>
      <c r="EY728" s="29"/>
      <c r="EZ728" s="29"/>
      <c r="FA728" s="29"/>
      <c r="FB728" s="29"/>
      <c r="FC728" s="29"/>
      <c r="FD728" s="29"/>
      <c r="FE728" s="29"/>
      <c r="FF728" s="29"/>
      <c r="FG728" s="29"/>
      <c r="FH728" s="29"/>
      <c r="FI728" s="29"/>
      <c r="FJ728" s="29"/>
      <c r="FK728" s="29"/>
      <c r="FL728" s="29"/>
      <c r="FM728" s="29"/>
      <c r="FN728" s="29"/>
      <c r="FO728" s="29"/>
      <c r="FP728" s="29"/>
      <c r="FQ728" s="29"/>
      <c r="FR728" s="29"/>
      <c r="FS728" s="29"/>
      <c r="FT728" s="29"/>
      <c r="FU728" s="29"/>
      <c r="FV728" s="29"/>
      <c r="FW728" s="29"/>
      <c r="FX728" s="29"/>
      <c r="FY728" s="29"/>
      <c r="FZ728" s="29"/>
      <c r="GA728" s="29"/>
      <c r="GB728" s="29"/>
      <c r="GC728" s="29"/>
      <c r="GD728" s="29"/>
      <c r="GE728" s="29"/>
      <c r="GF728" s="29"/>
      <c r="GG728" s="29"/>
      <c r="GH728" s="29"/>
      <c r="GI728" s="29"/>
      <c r="GJ728" s="29"/>
      <c r="GK728" s="29"/>
      <c r="GL728" s="29"/>
      <c r="GM728" s="29"/>
      <c r="GN728" s="29"/>
      <c r="GO728" s="29"/>
      <c r="GP728" s="29"/>
      <c r="GQ728" s="29"/>
      <c r="GR728" s="29"/>
      <c r="GS728" s="29"/>
      <c r="GT728" s="29"/>
      <c r="GU728" s="29"/>
      <c r="HP728" s="31"/>
      <c r="MX728" s="29"/>
      <c r="MY728" s="29"/>
    </row>
    <row r="729" ht="16.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c r="BO729" s="29"/>
      <c r="BP729" s="29"/>
      <c r="BQ729" s="29"/>
      <c r="BR729" s="29"/>
      <c r="BS729" s="29"/>
      <c r="BT729" s="29"/>
      <c r="BU729" s="29"/>
      <c r="BV729" s="29"/>
      <c r="BW729" s="29"/>
      <c r="BX729" s="29"/>
      <c r="BY729" s="29"/>
      <c r="BZ729" s="29"/>
      <c r="CA729" s="29"/>
      <c r="CB729" s="29"/>
      <c r="CC729" s="29"/>
      <c r="CD729" s="29"/>
      <c r="CE729" s="29"/>
      <c r="CF729" s="29"/>
      <c r="CG729" s="29"/>
      <c r="CH729" s="29"/>
      <c r="CI729" s="29"/>
      <c r="CJ729" s="29"/>
      <c r="CK729" s="29"/>
      <c r="CL729" s="29"/>
      <c r="CM729" s="29"/>
      <c r="CN729" s="29"/>
      <c r="CO729" s="29"/>
      <c r="CP729" s="29"/>
      <c r="CQ729" s="29"/>
      <c r="CR729" s="29"/>
      <c r="CS729" s="29"/>
      <c r="CT729" s="29"/>
      <c r="CU729" s="29"/>
      <c r="CV729" s="29"/>
      <c r="CW729" s="29"/>
      <c r="CX729" s="29"/>
      <c r="CY729" s="29"/>
      <c r="CZ729" s="29"/>
      <c r="DA729" s="29"/>
      <c r="DB729" s="29"/>
      <c r="DC729" s="29"/>
      <c r="DD729" s="29"/>
      <c r="DE729" s="29"/>
      <c r="DF729" s="29"/>
      <c r="DG729" s="29"/>
      <c r="DH729" s="29"/>
      <c r="DI729" s="29"/>
      <c r="DJ729" s="29"/>
      <c r="DK729" s="29"/>
      <c r="DL729" s="29"/>
      <c r="DM729" s="29"/>
      <c r="DN729" s="29"/>
      <c r="DO729" s="29"/>
      <c r="DP729" s="29"/>
      <c r="DQ729" s="29"/>
      <c r="DR729" s="29"/>
      <c r="DS729" s="29"/>
      <c r="DT729" s="29"/>
      <c r="DU729" s="29"/>
      <c r="DV729" s="29"/>
      <c r="DW729" s="29"/>
      <c r="DX729" s="29"/>
      <c r="DY729" s="29"/>
      <c r="DZ729" s="29"/>
      <c r="EA729" s="29"/>
      <c r="EB729" s="29"/>
      <c r="EC729" s="29"/>
      <c r="ED729" s="29"/>
      <c r="EE729" s="29"/>
      <c r="EF729" s="29"/>
      <c r="EG729" s="29"/>
      <c r="EH729" s="29"/>
      <c r="EI729" s="29"/>
      <c r="EJ729" s="29"/>
      <c r="EK729" s="29"/>
      <c r="EL729" s="29"/>
      <c r="EM729" s="29"/>
      <c r="EN729" s="29"/>
      <c r="EO729" s="29"/>
      <c r="EP729" s="29"/>
      <c r="EQ729" s="29"/>
      <c r="ER729" s="29"/>
      <c r="ES729" s="29"/>
      <c r="ET729" s="29"/>
      <c r="EU729" s="29"/>
      <c r="EV729" s="29"/>
      <c r="EW729" s="29"/>
      <c r="EX729" s="29"/>
      <c r="EY729" s="29"/>
      <c r="EZ729" s="29"/>
      <c r="FA729" s="29"/>
      <c r="FB729" s="29"/>
      <c r="FC729" s="29"/>
      <c r="FD729" s="29"/>
      <c r="FE729" s="29"/>
      <c r="FF729" s="29"/>
      <c r="FG729" s="29"/>
      <c r="FH729" s="29"/>
      <c r="FI729" s="29"/>
      <c r="FJ729" s="29"/>
      <c r="FK729" s="29"/>
      <c r="FL729" s="29"/>
      <c r="FM729" s="29"/>
      <c r="FN729" s="29"/>
      <c r="FO729" s="29"/>
      <c r="FP729" s="29"/>
      <c r="FQ729" s="29"/>
      <c r="FR729" s="29"/>
      <c r="FS729" s="29"/>
      <c r="FT729" s="29"/>
      <c r="FU729" s="29"/>
      <c r="FV729" s="29"/>
      <c r="FW729" s="29"/>
      <c r="FX729" s="29"/>
      <c r="FY729" s="29"/>
      <c r="FZ729" s="29"/>
      <c r="GA729" s="29"/>
      <c r="GB729" s="29"/>
      <c r="GC729" s="29"/>
      <c r="GD729" s="29"/>
      <c r="GE729" s="29"/>
      <c r="GF729" s="29"/>
      <c r="GG729" s="29"/>
      <c r="GH729" s="29"/>
      <c r="GI729" s="29"/>
      <c r="GJ729" s="29"/>
      <c r="GK729" s="29"/>
      <c r="GL729" s="29"/>
      <c r="GM729" s="29"/>
      <c r="GN729" s="29"/>
      <c r="GO729" s="29"/>
      <c r="GP729" s="29"/>
      <c r="GQ729" s="29"/>
      <c r="GR729" s="29"/>
      <c r="GS729" s="29"/>
      <c r="GT729" s="29"/>
      <c r="GU729" s="29"/>
      <c r="HP729" s="31"/>
      <c r="MX729" s="29"/>
      <c r="MY729" s="29"/>
    </row>
    <row r="730" ht="16.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c r="AX730" s="29"/>
      <c r="AY730" s="29"/>
      <c r="AZ730" s="29"/>
      <c r="BA730" s="29"/>
      <c r="BB730" s="29"/>
      <c r="BC730" s="29"/>
      <c r="BD730" s="29"/>
      <c r="BE730" s="29"/>
      <c r="BF730" s="29"/>
      <c r="BG730" s="29"/>
      <c r="BH730" s="29"/>
      <c r="BI730" s="29"/>
      <c r="BJ730" s="29"/>
      <c r="BK730" s="29"/>
      <c r="BL730" s="29"/>
      <c r="BM730" s="29"/>
      <c r="BN730" s="29"/>
      <c r="BO730" s="29"/>
      <c r="BP730" s="29"/>
      <c r="BQ730" s="29"/>
      <c r="BR730" s="29"/>
      <c r="BS730" s="29"/>
      <c r="BT730" s="29"/>
      <c r="BU730" s="29"/>
      <c r="BV730" s="29"/>
      <c r="BW730" s="29"/>
      <c r="BX730" s="29"/>
      <c r="BY730" s="29"/>
      <c r="BZ730" s="29"/>
      <c r="CA730" s="29"/>
      <c r="CB730" s="29"/>
      <c r="CC730" s="29"/>
      <c r="CD730" s="29"/>
      <c r="CE730" s="29"/>
      <c r="CF730" s="29"/>
      <c r="CG730" s="29"/>
      <c r="CH730" s="29"/>
      <c r="CI730" s="29"/>
      <c r="CJ730" s="29"/>
      <c r="CK730" s="29"/>
      <c r="CL730" s="29"/>
      <c r="CM730" s="29"/>
      <c r="CN730" s="29"/>
      <c r="CO730" s="29"/>
      <c r="CP730" s="29"/>
      <c r="CQ730" s="29"/>
      <c r="CR730" s="29"/>
      <c r="CS730" s="29"/>
      <c r="CT730" s="29"/>
      <c r="CU730" s="29"/>
      <c r="CV730" s="29"/>
      <c r="CW730" s="29"/>
      <c r="CX730" s="29"/>
      <c r="CY730" s="29"/>
      <c r="CZ730" s="29"/>
      <c r="DA730" s="29"/>
      <c r="DB730" s="29"/>
      <c r="DC730" s="29"/>
      <c r="DD730" s="29"/>
      <c r="DE730" s="29"/>
      <c r="DF730" s="29"/>
      <c r="DG730" s="29"/>
      <c r="DH730" s="29"/>
      <c r="DI730" s="29"/>
      <c r="DJ730" s="29"/>
      <c r="DK730" s="29"/>
      <c r="DL730" s="29"/>
      <c r="DM730" s="29"/>
      <c r="DN730" s="29"/>
      <c r="DO730" s="29"/>
      <c r="DP730" s="29"/>
      <c r="DQ730" s="29"/>
      <c r="DR730" s="29"/>
      <c r="DS730" s="29"/>
      <c r="DT730" s="29"/>
      <c r="DU730" s="29"/>
      <c r="DV730" s="29"/>
      <c r="DW730" s="29"/>
      <c r="DX730" s="29"/>
      <c r="DY730" s="29"/>
      <c r="DZ730" s="29"/>
      <c r="EA730" s="29"/>
      <c r="EB730" s="29"/>
      <c r="EC730" s="29"/>
      <c r="ED730" s="29"/>
      <c r="EE730" s="29"/>
      <c r="EF730" s="29"/>
      <c r="EG730" s="29"/>
      <c r="EH730" s="29"/>
      <c r="EI730" s="29"/>
      <c r="EJ730" s="29"/>
      <c r="EK730" s="29"/>
      <c r="EL730" s="29"/>
      <c r="EM730" s="29"/>
      <c r="EN730" s="29"/>
      <c r="EO730" s="29"/>
      <c r="EP730" s="29"/>
      <c r="EQ730" s="29"/>
      <c r="ER730" s="29"/>
      <c r="ES730" s="29"/>
      <c r="ET730" s="29"/>
      <c r="EU730" s="29"/>
      <c r="EV730" s="29"/>
      <c r="EW730" s="29"/>
      <c r="EX730" s="29"/>
      <c r="EY730" s="29"/>
      <c r="EZ730" s="29"/>
      <c r="FA730" s="29"/>
      <c r="FB730" s="29"/>
      <c r="FC730" s="29"/>
      <c r="FD730" s="29"/>
      <c r="FE730" s="29"/>
      <c r="FF730" s="29"/>
      <c r="FG730" s="29"/>
      <c r="FH730" s="29"/>
      <c r="FI730" s="29"/>
      <c r="FJ730" s="29"/>
      <c r="FK730" s="29"/>
      <c r="FL730" s="29"/>
      <c r="FM730" s="29"/>
      <c r="FN730" s="29"/>
      <c r="FO730" s="29"/>
      <c r="FP730" s="29"/>
      <c r="FQ730" s="29"/>
      <c r="FR730" s="29"/>
      <c r="FS730" s="29"/>
      <c r="FT730" s="29"/>
      <c r="FU730" s="29"/>
      <c r="FV730" s="29"/>
      <c r="FW730" s="29"/>
      <c r="FX730" s="29"/>
      <c r="FY730" s="29"/>
      <c r="FZ730" s="29"/>
      <c r="GA730" s="29"/>
      <c r="GB730" s="29"/>
      <c r="GC730" s="29"/>
      <c r="GD730" s="29"/>
      <c r="GE730" s="29"/>
      <c r="GF730" s="29"/>
      <c r="GG730" s="29"/>
      <c r="GH730" s="29"/>
      <c r="GI730" s="29"/>
      <c r="GJ730" s="29"/>
      <c r="GK730" s="29"/>
      <c r="GL730" s="29"/>
      <c r="GM730" s="29"/>
      <c r="GN730" s="29"/>
      <c r="GO730" s="29"/>
      <c r="GP730" s="29"/>
      <c r="GQ730" s="29"/>
      <c r="GR730" s="29"/>
      <c r="GS730" s="29"/>
      <c r="GT730" s="29"/>
      <c r="GU730" s="29"/>
      <c r="HP730" s="31"/>
      <c r="MX730" s="29"/>
      <c r="MY730" s="29"/>
    </row>
    <row r="731" ht="16.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c r="BO731" s="29"/>
      <c r="BP731" s="29"/>
      <c r="BQ731" s="29"/>
      <c r="BR731" s="29"/>
      <c r="BS731" s="29"/>
      <c r="BT731" s="29"/>
      <c r="BU731" s="29"/>
      <c r="BV731" s="29"/>
      <c r="BW731" s="29"/>
      <c r="BX731" s="29"/>
      <c r="BY731" s="29"/>
      <c r="BZ731" s="29"/>
      <c r="CA731" s="29"/>
      <c r="CB731" s="29"/>
      <c r="CC731" s="29"/>
      <c r="CD731" s="29"/>
      <c r="CE731" s="29"/>
      <c r="CF731" s="29"/>
      <c r="CG731" s="29"/>
      <c r="CH731" s="29"/>
      <c r="CI731" s="29"/>
      <c r="CJ731" s="29"/>
      <c r="CK731" s="29"/>
      <c r="CL731" s="29"/>
      <c r="CM731" s="29"/>
      <c r="CN731" s="29"/>
      <c r="CO731" s="29"/>
      <c r="CP731" s="29"/>
      <c r="CQ731" s="29"/>
      <c r="CR731" s="29"/>
      <c r="CS731" s="29"/>
      <c r="CT731" s="29"/>
      <c r="CU731" s="29"/>
      <c r="CV731" s="29"/>
      <c r="CW731" s="29"/>
      <c r="CX731" s="29"/>
      <c r="CY731" s="29"/>
      <c r="CZ731" s="29"/>
      <c r="DA731" s="29"/>
      <c r="DB731" s="29"/>
      <c r="DC731" s="29"/>
      <c r="DD731" s="29"/>
      <c r="DE731" s="29"/>
      <c r="DF731" s="29"/>
      <c r="DG731" s="29"/>
      <c r="DH731" s="29"/>
      <c r="DI731" s="29"/>
      <c r="DJ731" s="29"/>
      <c r="DK731" s="29"/>
      <c r="DL731" s="29"/>
      <c r="DM731" s="29"/>
      <c r="DN731" s="29"/>
      <c r="DO731" s="29"/>
      <c r="DP731" s="29"/>
      <c r="DQ731" s="29"/>
      <c r="DR731" s="29"/>
      <c r="DS731" s="29"/>
      <c r="DT731" s="29"/>
      <c r="DU731" s="29"/>
      <c r="DV731" s="29"/>
      <c r="DW731" s="29"/>
      <c r="DX731" s="29"/>
      <c r="DY731" s="29"/>
      <c r="DZ731" s="29"/>
      <c r="EA731" s="29"/>
      <c r="EB731" s="29"/>
      <c r="EC731" s="29"/>
      <c r="ED731" s="29"/>
      <c r="EE731" s="29"/>
      <c r="EF731" s="29"/>
      <c r="EG731" s="29"/>
      <c r="EH731" s="29"/>
      <c r="EI731" s="29"/>
      <c r="EJ731" s="29"/>
      <c r="EK731" s="29"/>
      <c r="EL731" s="29"/>
      <c r="EM731" s="29"/>
      <c r="EN731" s="29"/>
      <c r="EO731" s="29"/>
      <c r="EP731" s="29"/>
      <c r="EQ731" s="29"/>
      <c r="ER731" s="29"/>
      <c r="ES731" s="29"/>
      <c r="ET731" s="29"/>
      <c r="EU731" s="29"/>
      <c r="EV731" s="29"/>
      <c r="EW731" s="29"/>
      <c r="EX731" s="29"/>
      <c r="EY731" s="29"/>
      <c r="EZ731" s="29"/>
      <c r="FA731" s="29"/>
      <c r="FB731" s="29"/>
      <c r="FC731" s="29"/>
      <c r="FD731" s="29"/>
      <c r="FE731" s="29"/>
      <c r="FF731" s="29"/>
      <c r="FG731" s="29"/>
      <c r="FH731" s="29"/>
      <c r="FI731" s="29"/>
      <c r="FJ731" s="29"/>
      <c r="FK731" s="29"/>
      <c r="FL731" s="29"/>
      <c r="FM731" s="29"/>
      <c r="FN731" s="29"/>
      <c r="FO731" s="29"/>
      <c r="FP731" s="29"/>
      <c r="FQ731" s="29"/>
      <c r="FR731" s="29"/>
      <c r="FS731" s="29"/>
      <c r="FT731" s="29"/>
      <c r="FU731" s="29"/>
      <c r="FV731" s="29"/>
      <c r="FW731" s="29"/>
      <c r="FX731" s="29"/>
      <c r="FY731" s="29"/>
      <c r="FZ731" s="29"/>
      <c r="GA731" s="29"/>
      <c r="GB731" s="29"/>
      <c r="GC731" s="29"/>
      <c r="GD731" s="29"/>
      <c r="GE731" s="29"/>
      <c r="GF731" s="29"/>
      <c r="GG731" s="29"/>
      <c r="GH731" s="29"/>
      <c r="GI731" s="29"/>
      <c r="GJ731" s="29"/>
      <c r="GK731" s="29"/>
      <c r="GL731" s="29"/>
      <c r="GM731" s="29"/>
      <c r="GN731" s="29"/>
      <c r="GO731" s="29"/>
      <c r="GP731" s="29"/>
      <c r="GQ731" s="29"/>
      <c r="GR731" s="29"/>
      <c r="GS731" s="29"/>
      <c r="GT731" s="29"/>
      <c r="GU731" s="29"/>
      <c r="HP731" s="31"/>
      <c r="MX731" s="29"/>
      <c r="MY731" s="29"/>
    </row>
    <row r="732" ht="16.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c r="AX732" s="29"/>
      <c r="AY732" s="29"/>
      <c r="AZ732" s="29"/>
      <c r="BA732" s="29"/>
      <c r="BB732" s="29"/>
      <c r="BC732" s="29"/>
      <c r="BD732" s="29"/>
      <c r="BE732" s="29"/>
      <c r="BF732" s="29"/>
      <c r="BG732" s="29"/>
      <c r="BH732" s="29"/>
      <c r="BI732" s="29"/>
      <c r="BJ732" s="29"/>
      <c r="BK732" s="29"/>
      <c r="BL732" s="29"/>
      <c r="BM732" s="29"/>
      <c r="BN732" s="29"/>
      <c r="BO732" s="29"/>
      <c r="BP732" s="29"/>
      <c r="BQ732" s="29"/>
      <c r="BR732" s="29"/>
      <c r="BS732" s="29"/>
      <c r="BT732" s="29"/>
      <c r="BU732" s="29"/>
      <c r="BV732" s="29"/>
      <c r="BW732" s="29"/>
      <c r="BX732" s="29"/>
      <c r="BY732" s="29"/>
      <c r="BZ732" s="29"/>
      <c r="CA732" s="29"/>
      <c r="CB732" s="29"/>
      <c r="CC732" s="29"/>
      <c r="CD732" s="29"/>
      <c r="CE732" s="29"/>
      <c r="CF732" s="29"/>
      <c r="CG732" s="29"/>
      <c r="CH732" s="29"/>
      <c r="CI732" s="29"/>
      <c r="CJ732" s="29"/>
      <c r="CK732" s="29"/>
      <c r="CL732" s="29"/>
      <c r="CM732" s="29"/>
      <c r="CN732" s="29"/>
      <c r="CO732" s="29"/>
      <c r="CP732" s="29"/>
      <c r="CQ732" s="29"/>
      <c r="CR732" s="29"/>
      <c r="CS732" s="29"/>
      <c r="CT732" s="29"/>
      <c r="CU732" s="29"/>
      <c r="CV732" s="29"/>
      <c r="CW732" s="29"/>
      <c r="CX732" s="29"/>
      <c r="CY732" s="29"/>
      <c r="CZ732" s="29"/>
      <c r="DA732" s="29"/>
      <c r="DB732" s="29"/>
      <c r="DC732" s="29"/>
      <c r="DD732" s="29"/>
      <c r="DE732" s="29"/>
      <c r="DF732" s="29"/>
      <c r="DG732" s="29"/>
      <c r="DH732" s="29"/>
      <c r="DI732" s="29"/>
      <c r="DJ732" s="29"/>
      <c r="DK732" s="29"/>
      <c r="DL732" s="29"/>
      <c r="DM732" s="29"/>
      <c r="DN732" s="29"/>
      <c r="DO732" s="29"/>
      <c r="DP732" s="29"/>
      <c r="DQ732" s="29"/>
      <c r="DR732" s="29"/>
      <c r="DS732" s="29"/>
      <c r="DT732" s="29"/>
      <c r="DU732" s="29"/>
      <c r="DV732" s="29"/>
      <c r="DW732" s="29"/>
      <c r="DX732" s="29"/>
      <c r="DY732" s="29"/>
      <c r="DZ732" s="29"/>
      <c r="EA732" s="29"/>
      <c r="EB732" s="29"/>
      <c r="EC732" s="29"/>
      <c r="ED732" s="29"/>
      <c r="EE732" s="29"/>
      <c r="EF732" s="29"/>
      <c r="EG732" s="29"/>
      <c r="EH732" s="29"/>
      <c r="EI732" s="29"/>
      <c r="EJ732" s="29"/>
      <c r="EK732" s="29"/>
      <c r="EL732" s="29"/>
      <c r="EM732" s="29"/>
      <c r="EN732" s="29"/>
      <c r="EO732" s="29"/>
      <c r="EP732" s="29"/>
      <c r="EQ732" s="29"/>
      <c r="ER732" s="29"/>
      <c r="ES732" s="29"/>
      <c r="ET732" s="29"/>
      <c r="EU732" s="29"/>
      <c r="EV732" s="29"/>
      <c r="EW732" s="29"/>
      <c r="EX732" s="29"/>
      <c r="EY732" s="29"/>
      <c r="EZ732" s="29"/>
      <c r="FA732" s="29"/>
      <c r="FB732" s="29"/>
      <c r="FC732" s="29"/>
      <c r="FD732" s="29"/>
      <c r="FE732" s="29"/>
      <c r="FF732" s="29"/>
      <c r="FG732" s="29"/>
      <c r="FH732" s="29"/>
      <c r="FI732" s="29"/>
      <c r="FJ732" s="29"/>
      <c r="FK732" s="29"/>
      <c r="FL732" s="29"/>
      <c r="FM732" s="29"/>
      <c r="FN732" s="29"/>
      <c r="FO732" s="29"/>
      <c r="FP732" s="29"/>
      <c r="FQ732" s="29"/>
      <c r="FR732" s="29"/>
      <c r="FS732" s="29"/>
      <c r="FT732" s="29"/>
      <c r="FU732" s="29"/>
      <c r="FV732" s="29"/>
      <c r="FW732" s="29"/>
      <c r="FX732" s="29"/>
      <c r="FY732" s="29"/>
      <c r="FZ732" s="29"/>
      <c r="GA732" s="29"/>
      <c r="GB732" s="29"/>
      <c r="GC732" s="29"/>
      <c r="GD732" s="29"/>
      <c r="GE732" s="29"/>
      <c r="GF732" s="29"/>
      <c r="GG732" s="29"/>
      <c r="GH732" s="29"/>
      <c r="GI732" s="29"/>
      <c r="GJ732" s="29"/>
      <c r="GK732" s="29"/>
      <c r="GL732" s="29"/>
      <c r="GM732" s="29"/>
      <c r="GN732" s="29"/>
      <c r="GO732" s="29"/>
      <c r="GP732" s="29"/>
      <c r="GQ732" s="29"/>
      <c r="GR732" s="29"/>
      <c r="GS732" s="29"/>
      <c r="GT732" s="29"/>
      <c r="GU732" s="29"/>
      <c r="HP732" s="31"/>
      <c r="MX732" s="29"/>
      <c r="MY732" s="29"/>
    </row>
    <row r="733" ht="16.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c r="BO733" s="29"/>
      <c r="BP733" s="29"/>
      <c r="BQ733" s="29"/>
      <c r="BR733" s="29"/>
      <c r="BS733" s="29"/>
      <c r="BT733" s="29"/>
      <c r="BU733" s="29"/>
      <c r="BV733" s="29"/>
      <c r="BW733" s="29"/>
      <c r="BX733" s="29"/>
      <c r="BY733" s="29"/>
      <c r="BZ733" s="29"/>
      <c r="CA733" s="29"/>
      <c r="CB733" s="29"/>
      <c r="CC733" s="29"/>
      <c r="CD733" s="29"/>
      <c r="CE733" s="29"/>
      <c r="CF733" s="29"/>
      <c r="CG733" s="29"/>
      <c r="CH733" s="29"/>
      <c r="CI733" s="29"/>
      <c r="CJ733" s="29"/>
      <c r="CK733" s="29"/>
      <c r="CL733" s="29"/>
      <c r="CM733" s="29"/>
      <c r="CN733" s="29"/>
      <c r="CO733" s="29"/>
      <c r="CP733" s="29"/>
      <c r="CQ733" s="29"/>
      <c r="CR733" s="29"/>
      <c r="CS733" s="29"/>
      <c r="CT733" s="29"/>
      <c r="CU733" s="29"/>
      <c r="CV733" s="29"/>
      <c r="CW733" s="29"/>
      <c r="CX733" s="29"/>
      <c r="CY733" s="29"/>
      <c r="CZ733" s="29"/>
      <c r="DA733" s="29"/>
      <c r="DB733" s="29"/>
      <c r="DC733" s="29"/>
      <c r="DD733" s="29"/>
      <c r="DE733" s="29"/>
      <c r="DF733" s="29"/>
      <c r="DG733" s="29"/>
      <c r="DH733" s="29"/>
      <c r="DI733" s="29"/>
      <c r="DJ733" s="29"/>
      <c r="DK733" s="29"/>
      <c r="DL733" s="29"/>
      <c r="DM733" s="29"/>
      <c r="DN733" s="29"/>
      <c r="DO733" s="29"/>
      <c r="DP733" s="29"/>
      <c r="DQ733" s="29"/>
      <c r="DR733" s="29"/>
      <c r="DS733" s="29"/>
      <c r="DT733" s="29"/>
      <c r="DU733" s="29"/>
      <c r="DV733" s="29"/>
      <c r="DW733" s="29"/>
      <c r="DX733" s="29"/>
      <c r="DY733" s="29"/>
      <c r="DZ733" s="29"/>
      <c r="EA733" s="29"/>
      <c r="EB733" s="29"/>
      <c r="EC733" s="29"/>
      <c r="ED733" s="29"/>
      <c r="EE733" s="29"/>
      <c r="EF733" s="29"/>
      <c r="EG733" s="29"/>
      <c r="EH733" s="29"/>
      <c r="EI733" s="29"/>
      <c r="EJ733" s="29"/>
      <c r="EK733" s="29"/>
      <c r="EL733" s="29"/>
      <c r="EM733" s="29"/>
      <c r="EN733" s="29"/>
      <c r="EO733" s="29"/>
      <c r="EP733" s="29"/>
      <c r="EQ733" s="29"/>
      <c r="ER733" s="29"/>
      <c r="ES733" s="29"/>
      <c r="ET733" s="29"/>
      <c r="EU733" s="29"/>
      <c r="EV733" s="29"/>
      <c r="EW733" s="29"/>
      <c r="EX733" s="29"/>
      <c r="EY733" s="29"/>
      <c r="EZ733" s="29"/>
      <c r="FA733" s="29"/>
      <c r="FB733" s="29"/>
      <c r="FC733" s="29"/>
      <c r="FD733" s="29"/>
      <c r="FE733" s="29"/>
      <c r="FF733" s="29"/>
      <c r="FG733" s="29"/>
      <c r="FH733" s="29"/>
      <c r="FI733" s="29"/>
      <c r="FJ733" s="29"/>
      <c r="FK733" s="29"/>
      <c r="FL733" s="29"/>
      <c r="FM733" s="29"/>
      <c r="FN733" s="29"/>
      <c r="FO733" s="29"/>
      <c r="FP733" s="29"/>
      <c r="FQ733" s="29"/>
      <c r="FR733" s="29"/>
      <c r="FS733" s="29"/>
      <c r="FT733" s="29"/>
      <c r="FU733" s="29"/>
      <c r="FV733" s="29"/>
      <c r="FW733" s="29"/>
      <c r="FX733" s="29"/>
      <c r="FY733" s="29"/>
      <c r="FZ733" s="29"/>
      <c r="GA733" s="29"/>
      <c r="GB733" s="29"/>
      <c r="GC733" s="29"/>
      <c r="GD733" s="29"/>
      <c r="GE733" s="29"/>
      <c r="GF733" s="29"/>
      <c r="GG733" s="29"/>
      <c r="GH733" s="29"/>
      <c r="GI733" s="29"/>
      <c r="GJ733" s="29"/>
      <c r="GK733" s="29"/>
      <c r="GL733" s="29"/>
      <c r="GM733" s="29"/>
      <c r="GN733" s="29"/>
      <c r="GO733" s="29"/>
      <c r="GP733" s="29"/>
      <c r="GQ733" s="29"/>
      <c r="GR733" s="29"/>
      <c r="GS733" s="29"/>
      <c r="GT733" s="29"/>
      <c r="GU733" s="29"/>
      <c r="HP733" s="31"/>
      <c r="MX733" s="29"/>
      <c r="MY733" s="29"/>
    </row>
    <row r="734" ht="16.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c r="AX734" s="29"/>
      <c r="AY734" s="29"/>
      <c r="AZ734" s="29"/>
      <c r="BA734" s="29"/>
      <c r="BB734" s="29"/>
      <c r="BC734" s="29"/>
      <c r="BD734" s="29"/>
      <c r="BE734" s="29"/>
      <c r="BF734" s="29"/>
      <c r="BG734" s="29"/>
      <c r="BH734" s="29"/>
      <c r="BI734" s="29"/>
      <c r="BJ734" s="29"/>
      <c r="BK734" s="29"/>
      <c r="BL734" s="29"/>
      <c r="BM734" s="29"/>
      <c r="BN734" s="29"/>
      <c r="BO734" s="29"/>
      <c r="BP734" s="29"/>
      <c r="BQ734" s="29"/>
      <c r="BR734" s="29"/>
      <c r="BS734" s="29"/>
      <c r="BT734" s="29"/>
      <c r="BU734" s="29"/>
      <c r="BV734" s="29"/>
      <c r="BW734" s="29"/>
      <c r="BX734" s="29"/>
      <c r="BY734" s="29"/>
      <c r="BZ734" s="29"/>
      <c r="CA734" s="29"/>
      <c r="CB734" s="29"/>
      <c r="CC734" s="29"/>
      <c r="CD734" s="29"/>
      <c r="CE734" s="29"/>
      <c r="CF734" s="29"/>
      <c r="CG734" s="29"/>
      <c r="CH734" s="29"/>
      <c r="CI734" s="29"/>
      <c r="CJ734" s="29"/>
      <c r="CK734" s="29"/>
      <c r="CL734" s="29"/>
      <c r="CM734" s="29"/>
      <c r="CN734" s="29"/>
      <c r="CO734" s="29"/>
      <c r="CP734" s="29"/>
      <c r="CQ734" s="29"/>
      <c r="CR734" s="29"/>
      <c r="CS734" s="29"/>
      <c r="CT734" s="29"/>
      <c r="CU734" s="29"/>
      <c r="CV734" s="29"/>
      <c r="CW734" s="29"/>
      <c r="CX734" s="29"/>
      <c r="CY734" s="29"/>
      <c r="CZ734" s="29"/>
      <c r="DA734" s="29"/>
      <c r="DB734" s="29"/>
      <c r="DC734" s="29"/>
      <c r="DD734" s="29"/>
      <c r="DE734" s="29"/>
      <c r="DF734" s="29"/>
      <c r="DG734" s="29"/>
      <c r="DH734" s="29"/>
      <c r="DI734" s="29"/>
      <c r="DJ734" s="29"/>
      <c r="DK734" s="29"/>
      <c r="DL734" s="29"/>
      <c r="DM734" s="29"/>
      <c r="DN734" s="29"/>
      <c r="DO734" s="29"/>
      <c r="DP734" s="29"/>
      <c r="DQ734" s="29"/>
      <c r="DR734" s="29"/>
      <c r="DS734" s="29"/>
      <c r="DT734" s="29"/>
      <c r="DU734" s="29"/>
      <c r="DV734" s="29"/>
      <c r="DW734" s="29"/>
      <c r="DX734" s="29"/>
      <c r="DY734" s="29"/>
      <c r="DZ734" s="29"/>
      <c r="EA734" s="29"/>
      <c r="EB734" s="29"/>
      <c r="EC734" s="29"/>
      <c r="ED734" s="29"/>
      <c r="EE734" s="29"/>
      <c r="EF734" s="29"/>
      <c r="EG734" s="29"/>
      <c r="EH734" s="29"/>
      <c r="EI734" s="29"/>
      <c r="EJ734" s="29"/>
      <c r="EK734" s="29"/>
      <c r="EL734" s="29"/>
      <c r="EM734" s="29"/>
      <c r="EN734" s="29"/>
      <c r="EO734" s="29"/>
      <c r="EP734" s="29"/>
      <c r="EQ734" s="29"/>
      <c r="ER734" s="29"/>
      <c r="ES734" s="29"/>
      <c r="ET734" s="29"/>
      <c r="EU734" s="29"/>
      <c r="EV734" s="29"/>
      <c r="EW734" s="29"/>
      <c r="EX734" s="29"/>
      <c r="EY734" s="29"/>
      <c r="EZ734" s="29"/>
      <c r="FA734" s="29"/>
      <c r="FB734" s="29"/>
      <c r="FC734" s="29"/>
      <c r="FD734" s="29"/>
      <c r="FE734" s="29"/>
      <c r="FF734" s="29"/>
      <c r="FG734" s="29"/>
      <c r="FH734" s="29"/>
      <c r="FI734" s="29"/>
      <c r="FJ734" s="29"/>
      <c r="FK734" s="29"/>
      <c r="FL734" s="29"/>
      <c r="FM734" s="29"/>
      <c r="FN734" s="29"/>
      <c r="FO734" s="29"/>
      <c r="FP734" s="29"/>
      <c r="FQ734" s="29"/>
      <c r="FR734" s="29"/>
      <c r="FS734" s="29"/>
      <c r="FT734" s="29"/>
      <c r="FU734" s="29"/>
      <c r="FV734" s="29"/>
      <c r="FW734" s="29"/>
      <c r="FX734" s="29"/>
      <c r="FY734" s="29"/>
      <c r="FZ734" s="29"/>
      <c r="GA734" s="29"/>
      <c r="GB734" s="29"/>
      <c r="GC734" s="29"/>
      <c r="GD734" s="29"/>
      <c r="GE734" s="29"/>
      <c r="GF734" s="29"/>
      <c r="GG734" s="29"/>
      <c r="GH734" s="29"/>
      <c r="GI734" s="29"/>
      <c r="GJ734" s="29"/>
      <c r="GK734" s="29"/>
      <c r="GL734" s="29"/>
      <c r="GM734" s="29"/>
      <c r="GN734" s="29"/>
      <c r="GO734" s="29"/>
      <c r="GP734" s="29"/>
      <c r="GQ734" s="29"/>
      <c r="GR734" s="29"/>
      <c r="GS734" s="29"/>
      <c r="GT734" s="29"/>
      <c r="GU734" s="29"/>
      <c r="HP734" s="31"/>
      <c r="MX734" s="29"/>
      <c r="MY734" s="29"/>
    </row>
    <row r="735" ht="16.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c r="BO735" s="29"/>
      <c r="BP735" s="29"/>
      <c r="BQ735" s="29"/>
      <c r="BR735" s="29"/>
      <c r="BS735" s="29"/>
      <c r="BT735" s="29"/>
      <c r="BU735" s="29"/>
      <c r="BV735" s="29"/>
      <c r="BW735" s="29"/>
      <c r="BX735" s="29"/>
      <c r="BY735" s="29"/>
      <c r="BZ735" s="29"/>
      <c r="CA735" s="29"/>
      <c r="CB735" s="29"/>
      <c r="CC735" s="29"/>
      <c r="CD735" s="29"/>
      <c r="CE735" s="29"/>
      <c r="CF735" s="29"/>
      <c r="CG735" s="29"/>
      <c r="CH735" s="29"/>
      <c r="CI735" s="29"/>
      <c r="CJ735" s="29"/>
      <c r="CK735" s="29"/>
      <c r="CL735" s="29"/>
      <c r="CM735" s="29"/>
      <c r="CN735" s="29"/>
      <c r="CO735" s="29"/>
      <c r="CP735" s="29"/>
      <c r="CQ735" s="29"/>
      <c r="CR735" s="29"/>
      <c r="CS735" s="29"/>
      <c r="CT735" s="29"/>
      <c r="CU735" s="29"/>
      <c r="CV735" s="29"/>
      <c r="CW735" s="29"/>
      <c r="CX735" s="29"/>
      <c r="CY735" s="29"/>
      <c r="CZ735" s="29"/>
      <c r="DA735" s="29"/>
      <c r="DB735" s="29"/>
      <c r="DC735" s="29"/>
      <c r="DD735" s="29"/>
      <c r="DE735" s="29"/>
      <c r="DF735" s="29"/>
      <c r="DG735" s="29"/>
      <c r="DH735" s="29"/>
      <c r="DI735" s="29"/>
      <c r="DJ735" s="29"/>
      <c r="DK735" s="29"/>
      <c r="DL735" s="29"/>
      <c r="DM735" s="29"/>
      <c r="DN735" s="29"/>
      <c r="DO735" s="29"/>
      <c r="DP735" s="29"/>
      <c r="DQ735" s="29"/>
      <c r="DR735" s="29"/>
      <c r="DS735" s="29"/>
      <c r="DT735" s="29"/>
      <c r="DU735" s="29"/>
      <c r="DV735" s="29"/>
      <c r="DW735" s="29"/>
      <c r="DX735" s="29"/>
      <c r="DY735" s="29"/>
      <c r="DZ735" s="29"/>
      <c r="EA735" s="29"/>
      <c r="EB735" s="29"/>
      <c r="EC735" s="29"/>
      <c r="ED735" s="29"/>
      <c r="EE735" s="29"/>
      <c r="EF735" s="29"/>
      <c r="EG735" s="29"/>
      <c r="EH735" s="29"/>
      <c r="EI735" s="29"/>
      <c r="EJ735" s="29"/>
      <c r="EK735" s="29"/>
      <c r="EL735" s="29"/>
      <c r="EM735" s="29"/>
      <c r="EN735" s="29"/>
      <c r="EO735" s="29"/>
      <c r="EP735" s="29"/>
      <c r="EQ735" s="29"/>
      <c r="ER735" s="29"/>
      <c r="ES735" s="29"/>
      <c r="ET735" s="29"/>
      <c r="EU735" s="29"/>
      <c r="EV735" s="29"/>
      <c r="EW735" s="29"/>
      <c r="EX735" s="29"/>
      <c r="EY735" s="29"/>
      <c r="EZ735" s="29"/>
      <c r="FA735" s="29"/>
      <c r="FB735" s="29"/>
      <c r="FC735" s="29"/>
      <c r="FD735" s="29"/>
      <c r="FE735" s="29"/>
      <c r="FF735" s="29"/>
      <c r="FG735" s="29"/>
      <c r="FH735" s="29"/>
      <c r="FI735" s="29"/>
      <c r="FJ735" s="29"/>
      <c r="FK735" s="29"/>
      <c r="FL735" s="29"/>
      <c r="FM735" s="29"/>
      <c r="FN735" s="29"/>
      <c r="FO735" s="29"/>
      <c r="FP735" s="29"/>
      <c r="FQ735" s="29"/>
      <c r="FR735" s="29"/>
      <c r="FS735" s="29"/>
      <c r="FT735" s="29"/>
      <c r="FU735" s="29"/>
      <c r="FV735" s="29"/>
      <c r="FW735" s="29"/>
      <c r="FX735" s="29"/>
      <c r="FY735" s="29"/>
      <c r="FZ735" s="29"/>
      <c r="GA735" s="29"/>
      <c r="GB735" s="29"/>
      <c r="GC735" s="29"/>
      <c r="GD735" s="29"/>
      <c r="GE735" s="29"/>
      <c r="GF735" s="29"/>
      <c r="GG735" s="29"/>
      <c r="GH735" s="29"/>
      <c r="GI735" s="29"/>
      <c r="GJ735" s="29"/>
      <c r="GK735" s="29"/>
      <c r="GL735" s="29"/>
      <c r="GM735" s="29"/>
      <c r="GN735" s="29"/>
      <c r="GO735" s="29"/>
      <c r="GP735" s="29"/>
      <c r="GQ735" s="29"/>
      <c r="GR735" s="29"/>
      <c r="GS735" s="29"/>
      <c r="GT735" s="29"/>
      <c r="GU735" s="29"/>
      <c r="HP735" s="31"/>
      <c r="MX735" s="29"/>
      <c r="MY735" s="29"/>
    </row>
    <row r="736" ht="16.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c r="AX736" s="29"/>
      <c r="AY736" s="29"/>
      <c r="AZ736" s="29"/>
      <c r="BA736" s="29"/>
      <c r="BB736" s="29"/>
      <c r="BC736" s="29"/>
      <c r="BD736" s="29"/>
      <c r="BE736" s="29"/>
      <c r="BF736" s="29"/>
      <c r="BG736" s="29"/>
      <c r="BH736" s="29"/>
      <c r="BI736" s="29"/>
      <c r="BJ736" s="29"/>
      <c r="BK736" s="29"/>
      <c r="BL736" s="29"/>
      <c r="BM736" s="29"/>
      <c r="BN736" s="29"/>
      <c r="BO736" s="29"/>
      <c r="BP736" s="29"/>
      <c r="BQ736" s="29"/>
      <c r="BR736" s="29"/>
      <c r="BS736" s="29"/>
      <c r="BT736" s="29"/>
      <c r="BU736" s="29"/>
      <c r="BV736" s="29"/>
      <c r="BW736" s="29"/>
      <c r="BX736" s="29"/>
      <c r="BY736" s="29"/>
      <c r="BZ736" s="29"/>
      <c r="CA736" s="29"/>
      <c r="CB736" s="29"/>
      <c r="CC736" s="29"/>
      <c r="CD736" s="29"/>
      <c r="CE736" s="29"/>
      <c r="CF736" s="29"/>
      <c r="CG736" s="29"/>
      <c r="CH736" s="29"/>
      <c r="CI736" s="29"/>
      <c r="CJ736" s="29"/>
      <c r="CK736" s="29"/>
      <c r="CL736" s="29"/>
      <c r="CM736" s="29"/>
      <c r="CN736" s="29"/>
      <c r="CO736" s="29"/>
      <c r="CP736" s="29"/>
      <c r="CQ736" s="29"/>
      <c r="CR736" s="29"/>
      <c r="CS736" s="29"/>
      <c r="CT736" s="29"/>
      <c r="CU736" s="29"/>
      <c r="CV736" s="29"/>
      <c r="CW736" s="29"/>
      <c r="CX736" s="29"/>
      <c r="CY736" s="29"/>
      <c r="CZ736" s="29"/>
      <c r="DA736" s="29"/>
      <c r="DB736" s="29"/>
      <c r="DC736" s="29"/>
      <c r="DD736" s="29"/>
      <c r="DE736" s="29"/>
      <c r="DF736" s="29"/>
      <c r="DG736" s="29"/>
      <c r="DH736" s="29"/>
      <c r="DI736" s="29"/>
      <c r="DJ736" s="29"/>
      <c r="DK736" s="29"/>
      <c r="DL736" s="29"/>
      <c r="DM736" s="29"/>
      <c r="DN736" s="29"/>
      <c r="DO736" s="29"/>
      <c r="DP736" s="29"/>
      <c r="DQ736" s="29"/>
      <c r="DR736" s="29"/>
      <c r="DS736" s="29"/>
      <c r="DT736" s="29"/>
      <c r="DU736" s="29"/>
      <c r="DV736" s="29"/>
      <c r="DW736" s="29"/>
      <c r="DX736" s="29"/>
      <c r="DY736" s="29"/>
      <c r="DZ736" s="29"/>
      <c r="EA736" s="29"/>
      <c r="EB736" s="29"/>
      <c r="EC736" s="29"/>
      <c r="ED736" s="29"/>
      <c r="EE736" s="29"/>
      <c r="EF736" s="29"/>
      <c r="EG736" s="29"/>
      <c r="EH736" s="29"/>
      <c r="EI736" s="29"/>
      <c r="EJ736" s="29"/>
      <c r="EK736" s="29"/>
      <c r="EL736" s="29"/>
      <c r="EM736" s="29"/>
      <c r="EN736" s="29"/>
      <c r="EO736" s="29"/>
      <c r="EP736" s="29"/>
      <c r="EQ736" s="29"/>
      <c r="ER736" s="29"/>
      <c r="ES736" s="29"/>
      <c r="ET736" s="29"/>
      <c r="EU736" s="29"/>
      <c r="EV736" s="29"/>
      <c r="EW736" s="29"/>
      <c r="EX736" s="29"/>
      <c r="EY736" s="29"/>
      <c r="EZ736" s="29"/>
      <c r="FA736" s="29"/>
      <c r="FB736" s="29"/>
      <c r="FC736" s="29"/>
      <c r="FD736" s="29"/>
      <c r="FE736" s="29"/>
      <c r="FF736" s="29"/>
      <c r="FG736" s="29"/>
      <c r="FH736" s="29"/>
      <c r="FI736" s="29"/>
      <c r="FJ736" s="29"/>
      <c r="FK736" s="29"/>
      <c r="FL736" s="29"/>
      <c r="FM736" s="29"/>
      <c r="FN736" s="29"/>
      <c r="FO736" s="29"/>
      <c r="FP736" s="29"/>
      <c r="FQ736" s="29"/>
      <c r="FR736" s="29"/>
      <c r="FS736" s="29"/>
      <c r="FT736" s="29"/>
      <c r="FU736" s="29"/>
      <c r="FV736" s="29"/>
      <c r="FW736" s="29"/>
      <c r="FX736" s="29"/>
      <c r="FY736" s="29"/>
      <c r="FZ736" s="29"/>
      <c r="GA736" s="29"/>
      <c r="GB736" s="29"/>
      <c r="GC736" s="29"/>
      <c r="GD736" s="29"/>
      <c r="GE736" s="29"/>
      <c r="GF736" s="29"/>
      <c r="GG736" s="29"/>
      <c r="GH736" s="29"/>
      <c r="GI736" s="29"/>
      <c r="GJ736" s="29"/>
      <c r="GK736" s="29"/>
      <c r="GL736" s="29"/>
      <c r="GM736" s="29"/>
      <c r="GN736" s="29"/>
      <c r="GO736" s="29"/>
      <c r="GP736" s="29"/>
      <c r="GQ736" s="29"/>
      <c r="GR736" s="29"/>
      <c r="GS736" s="29"/>
      <c r="GT736" s="29"/>
      <c r="GU736" s="29"/>
      <c r="HP736" s="31"/>
      <c r="MX736" s="29"/>
      <c r="MY736" s="29"/>
    </row>
    <row r="737" ht="16.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c r="BO737" s="29"/>
      <c r="BP737" s="29"/>
      <c r="BQ737" s="29"/>
      <c r="BR737" s="29"/>
      <c r="BS737" s="29"/>
      <c r="BT737" s="29"/>
      <c r="BU737" s="29"/>
      <c r="BV737" s="29"/>
      <c r="BW737" s="29"/>
      <c r="BX737" s="29"/>
      <c r="BY737" s="29"/>
      <c r="BZ737" s="29"/>
      <c r="CA737" s="29"/>
      <c r="CB737" s="29"/>
      <c r="CC737" s="29"/>
      <c r="CD737" s="29"/>
      <c r="CE737" s="29"/>
      <c r="CF737" s="29"/>
      <c r="CG737" s="29"/>
      <c r="CH737" s="29"/>
      <c r="CI737" s="29"/>
      <c r="CJ737" s="29"/>
      <c r="CK737" s="29"/>
      <c r="CL737" s="29"/>
      <c r="CM737" s="29"/>
      <c r="CN737" s="29"/>
      <c r="CO737" s="29"/>
      <c r="CP737" s="29"/>
      <c r="CQ737" s="29"/>
      <c r="CR737" s="29"/>
      <c r="CS737" s="29"/>
      <c r="CT737" s="29"/>
      <c r="CU737" s="29"/>
      <c r="CV737" s="29"/>
      <c r="CW737" s="29"/>
      <c r="CX737" s="29"/>
      <c r="CY737" s="29"/>
      <c r="CZ737" s="29"/>
      <c r="DA737" s="29"/>
      <c r="DB737" s="29"/>
      <c r="DC737" s="29"/>
      <c r="DD737" s="29"/>
      <c r="DE737" s="29"/>
      <c r="DF737" s="29"/>
      <c r="DG737" s="29"/>
      <c r="DH737" s="29"/>
      <c r="DI737" s="29"/>
      <c r="DJ737" s="29"/>
      <c r="DK737" s="29"/>
      <c r="DL737" s="29"/>
      <c r="DM737" s="29"/>
      <c r="DN737" s="29"/>
      <c r="DO737" s="29"/>
      <c r="DP737" s="29"/>
      <c r="DQ737" s="29"/>
      <c r="DR737" s="29"/>
      <c r="DS737" s="29"/>
      <c r="DT737" s="29"/>
      <c r="DU737" s="29"/>
      <c r="DV737" s="29"/>
      <c r="DW737" s="29"/>
      <c r="DX737" s="29"/>
      <c r="DY737" s="29"/>
      <c r="DZ737" s="29"/>
      <c r="EA737" s="29"/>
      <c r="EB737" s="29"/>
      <c r="EC737" s="29"/>
      <c r="ED737" s="29"/>
      <c r="EE737" s="29"/>
      <c r="EF737" s="29"/>
      <c r="EG737" s="29"/>
      <c r="EH737" s="29"/>
      <c r="EI737" s="29"/>
      <c r="EJ737" s="29"/>
      <c r="EK737" s="29"/>
      <c r="EL737" s="29"/>
      <c r="EM737" s="29"/>
      <c r="EN737" s="29"/>
      <c r="EO737" s="29"/>
      <c r="EP737" s="29"/>
      <c r="EQ737" s="29"/>
      <c r="ER737" s="29"/>
      <c r="ES737" s="29"/>
      <c r="ET737" s="29"/>
      <c r="EU737" s="29"/>
      <c r="EV737" s="29"/>
      <c r="EW737" s="29"/>
      <c r="EX737" s="29"/>
      <c r="EY737" s="29"/>
      <c r="EZ737" s="29"/>
      <c r="FA737" s="29"/>
      <c r="FB737" s="29"/>
      <c r="FC737" s="29"/>
      <c r="FD737" s="29"/>
      <c r="FE737" s="29"/>
      <c r="FF737" s="29"/>
      <c r="FG737" s="29"/>
      <c r="FH737" s="29"/>
      <c r="FI737" s="29"/>
      <c r="FJ737" s="29"/>
      <c r="FK737" s="29"/>
      <c r="FL737" s="29"/>
      <c r="FM737" s="29"/>
      <c r="FN737" s="29"/>
      <c r="FO737" s="29"/>
      <c r="FP737" s="29"/>
      <c r="FQ737" s="29"/>
      <c r="FR737" s="29"/>
      <c r="FS737" s="29"/>
      <c r="FT737" s="29"/>
      <c r="FU737" s="29"/>
      <c r="FV737" s="29"/>
      <c r="FW737" s="29"/>
      <c r="FX737" s="29"/>
      <c r="FY737" s="29"/>
      <c r="FZ737" s="29"/>
      <c r="GA737" s="29"/>
      <c r="GB737" s="29"/>
      <c r="GC737" s="29"/>
      <c r="GD737" s="29"/>
      <c r="GE737" s="29"/>
      <c r="GF737" s="29"/>
      <c r="GG737" s="29"/>
      <c r="GH737" s="29"/>
      <c r="GI737" s="29"/>
      <c r="GJ737" s="29"/>
      <c r="GK737" s="29"/>
      <c r="GL737" s="29"/>
      <c r="GM737" s="29"/>
      <c r="GN737" s="29"/>
      <c r="GO737" s="29"/>
      <c r="GP737" s="29"/>
      <c r="GQ737" s="29"/>
      <c r="GR737" s="29"/>
      <c r="GS737" s="29"/>
      <c r="GT737" s="29"/>
      <c r="GU737" s="29"/>
      <c r="HP737" s="31"/>
      <c r="MX737" s="29"/>
      <c r="MY737" s="29"/>
    </row>
    <row r="738" ht="16.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29"/>
      <c r="AW738" s="29"/>
      <c r="AX738" s="29"/>
      <c r="AY738" s="29"/>
      <c r="AZ738" s="29"/>
      <c r="BA738" s="29"/>
      <c r="BB738" s="29"/>
      <c r="BC738" s="29"/>
      <c r="BD738" s="29"/>
      <c r="BE738" s="29"/>
      <c r="BF738" s="29"/>
      <c r="BG738" s="29"/>
      <c r="BH738" s="29"/>
      <c r="BI738" s="29"/>
      <c r="BJ738" s="29"/>
      <c r="BK738" s="29"/>
      <c r="BL738" s="29"/>
      <c r="BM738" s="29"/>
      <c r="BN738" s="29"/>
      <c r="BO738" s="29"/>
      <c r="BP738" s="29"/>
      <c r="BQ738" s="29"/>
      <c r="BR738" s="29"/>
      <c r="BS738" s="29"/>
      <c r="BT738" s="29"/>
      <c r="BU738" s="29"/>
      <c r="BV738" s="29"/>
      <c r="BW738" s="29"/>
      <c r="BX738" s="29"/>
      <c r="BY738" s="29"/>
      <c r="BZ738" s="29"/>
      <c r="CA738" s="29"/>
      <c r="CB738" s="29"/>
      <c r="CC738" s="29"/>
      <c r="CD738" s="29"/>
      <c r="CE738" s="29"/>
      <c r="CF738" s="29"/>
      <c r="CG738" s="29"/>
      <c r="CH738" s="29"/>
      <c r="CI738" s="29"/>
      <c r="CJ738" s="29"/>
      <c r="CK738" s="29"/>
      <c r="CL738" s="29"/>
      <c r="CM738" s="29"/>
      <c r="CN738" s="29"/>
      <c r="CO738" s="29"/>
      <c r="CP738" s="29"/>
      <c r="CQ738" s="29"/>
      <c r="CR738" s="29"/>
      <c r="CS738" s="29"/>
      <c r="CT738" s="29"/>
      <c r="CU738" s="29"/>
      <c r="CV738" s="29"/>
      <c r="CW738" s="29"/>
      <c r="CX738" s="29"/>
      <c r="CY738" s="29"/>
      <c r="CZ738" s="29"/>
      <c r="DA738" s="29"/>
      <c r="DB738" s="29"/>
      <c r="DC738" s="29"/>
      <c r="DD738" s="29"/>
      <c r="DE738" s="29"/>
      <c r="DF738" s="29"/>
      <c r="DG738" s="29"/>
      <c r="DH738" s="29"/>
      <c r="DI738" s="29"/>
      <c r="DJ738" s="29"/>
      <c r="DK738" s="29"/>
      <c r="DL738" s="29"/>
      <c r="DM738" s="29"/>
      <c r="DN738" s="29"/>
      <c r="DO738" s="29"/>
      <c r="DP738" s="29"/>
      <c r="DQ738" s="29"/>
      <c r="DR738" s="29"/>
      <c r="DS738" s="29"/>
      <c r="DT738" s="29"/>
      <c r="DU738" s="29"/>
      <c r="DV738" s="29"/>
      <c r="DW738" s="29"/>
      <c r="DX738" s="29"/>
      <c r="DY738" s="29"/>
      <c r="DZ738" s="29"/>
      <c r="EA738" s="29"/>
      <c r="EB738" s="29"/>
      <c r="EC738" s="29"/>
      <c r="ED738" s="29"/>
      <c r="EE738" s="29"/>
      <c r="EF738" s="29"/>
      <c r="EG738" s="29"/>
      <c r="EH738" s="29"/>
      <c r="EI738" s="29"/>
      <c r="EJ738" s="29"/>
      <c r="EK738" s="29"/>
      <c r="EL738" s="29"/>
      <c r="EM738" s="29"/>
      <c r="EN738" s="29"/>
      <c r="EO738" s="29"/>
      <c r="EP738" s="29"/>
      <c r="EQ738" s="29"/>
      <c r="ER738" s="29"/>
      <c r="ES738" s="29"/>
      <c r="ET738" s="29"/>
      <c r="EU738" s="29"/>
      <c r="EV738" s="29"/>
      <c r="EW738" s="29"/>
      <c r="EX738" s="29"/>
      <c r="EY738" s="29"/>
      <c r="EZ738" s="29"/>
      <c r="FA738" s="29"/>
      <c r="FB738" s="29"/>
      <c r="FC738" s="29"/>
      <c r="FD738" s="29"/>
      <c r="FE738" s="29"/>
      <c r="FF738" s="29"/>
      <c r="FG738" s="29"/>
      <c r="FH738" s="29"/>
      <c r="FI738" s="29"/>
      <c r="FJ738" s="29"/>
      <c r="FK738" s="29"/>
      <c r="FL738" s="29"/>
      <c r="FM738" s="29"/>
      <c r="FN738" s="29"/>
      <c r="FO738" s="29"/>
      <c r="FP738" s="29"/>
      <c r="FQ738" s="29"/>
      <c r="FR738" s="29"/>
      <c r="FS738" s="29"/>
      <c r="FT738" s="29"/>
      <c r="FU738" s="29"/>
      <c r="FV738" s="29"/>
      <c r="FW738" s="29"/>
      <c r="FX738" s="29"/>
      <c r="FY738" s="29"/>
      <c r="FZ738" s="29"/>
      <c r="GA738" s="29"/>
      <c r="GB738" s="29"/>
      <c r="GC738" s="29"/>
      <c r="GD738" s="29"/>
      <c r="GE738" s="29"/>
      <c r="GF738" s="29"/>
      <c r="GG738" s="29"/>
      <c r="GH738" s="29"/>
      <c r="GI738" s="29"/>
      <c r="GJ738" s="29"/>
      <c r="GK738" s="29"/>
      <c r="GL738" s="29"/>
      <c r="GM738" s="29"/>
      <c r="GN738" s="29"/>
      <c r="GO738" s="29"/>
      <c r="GP738" s="29"/>
      <c r="GQ738" s="29"/>
      <c r="GR738" s="29"/>
      <c r="GS738" s="29"/>
      <c r="GT738" s="29"/>
      <c r="GU738" s="29"/>
      <c r="HP738" s="31"/>
      <c r="MX738" s="29"/>
      <c r="MY738" s="29"/>
    </row>
    <row r="739" ht="16.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c r="BO739" s="29"/>
      <c r="BP739" s="29"/>
      <c r="BQ739" s="29"/>
      <c r="BR739" s="29"/>
      <c r="BS739" s="29"/>
      <c r="BT739" s="29"/>
      <c r="BU739" s="29"/>
      <c r="BV739" s="29"/>
      <c r="BW739" s="29"/>
      <c r="BX739" s="29"/>
      <c r="BY739" s="29"/>
      <c r="BZ739" s="29"/>
      <c r="CA739" s="29"/>
      <c r="CB739" s="29"/>
      <c r="CC739" s="29"/>
      <c r="CD739" s="29"/>
      <c r="CE739" s="29"/>
      <c r="CF739" s="29"/>
      <c r="CG739" s="29"/>
      <c r="CH739" s="29"/>
      <c r="CI739" s="29"/>
      <c r="CJ739" s="29"/>
      <c r="CK739" s="29"/>
      <c r="CL739" s="29"/>
      <c r="CM739" s="29"/>
      <c r="CN739" s="29"/>
      <c r="CO739" s="29"/>
      <c r="CP739" s="29"/>
      <c r="CQ739" s="29"/>
      <c r="CR739" s="29"/>
      <c r="CS739" s="29"/>
      <c r="CT739" s="29"/>
      <c r="CU739" s="29"/>
      <c r="CV739" s="29"/>
      <c r="CW739" s="29"/>
      <c r="CX739" s="29"/>
      <c r="CY739" s="29"/>
      <c r="CZ739" s="29"/>
      <c r="DA739" s="29"/>
      <c r="DB739" s="29"/>
      <c r="DC739" s="29"/>
      <c r="DD739" s="29"/>
      <c r="DE739" s="29"/>
      <c r="DF739" s="29"/>
      <c r="DG739" s="29"/>
      <c r="DH739" s="29"/>
      <c r="DI739" s="29"/>
      <c r="DJ739" s="29"/>
      <c r="DK739" s="29"/>
      <c r="DL739" s="29"/>
      <c r="DM739" s="29"/>
      <c r="DN739" s="29"/>
      <c r="DO739" s="29"/>
      <c r="DP739" s="29"/>
      <c r="DQ739" s="29"/>
      <c r="DR739" s="29"/>
      <c r="DS739" s="29"/>
      <c r="DT739" s="29"/>
      <c r="DU739" s="29"/>
      <c r="DV739" s="29"/>
      <c r="DW739" s="29"/>
      <c r="DX739" s="29"/>
      <c r="DY739" s="29"/>
      <c r="DZ739" s="29"/>
      <c r="EA739" s="29"/>
      <c r="EB739" s="29"/>
      <c r="EC739" s="29"/>
      <c r="ED739" s="29"/>
      <c r="EE739" s="29"/>
      <c r="EF739" s="29"/>
      <c r="EG739" s="29"/>
      <c r="EH739" s="29"/>
      <c r="EI739" s="29"/>
      <c r="EJ739" s="29"/>
      <c r="EK739" s="29"/>
      <c r="EL739" s="29"/>
      <c r="EM739" s="29"/>
      <c r="EN739" s="29"/>
      <c r="EO739" s="29"/>
      <c r="EP739" s="29"/>
      <c r="EQ739" s="29"/>
      <c r="ER739" s="29"/>
      <c r="ES739" s="29"/>
      <c r="ET739" s="29"/>
      <c r="EU739" s="29"/>
      <c r="EV739" s="29"/>
      <c r="EW739" s="29"/>
      <c r="EX739" s="29"/>
      <c r="EY739" s="29"/>
      <c r="EZ739" s="29"/>
      <c r="FA739" s="29"/>
      <c r="FB739" s="29"/>
      <c r="FC739" s="29"/>
      <c r="FD739" s="29"/>
      <c r="FE739" s="29"/>
      <c r="FF739" s="29"/>
      <c r="FG739" s="29"/>
      <c r="FH739" s="29"/>
      <c r="FI739" s="29"/>
      <c r="FJ739" s="29"/>
      <c r="FK739" s="29"/>
      <c r="FL739" s="29"/>
      <c r="FM739" s="29"/>
      <c r="FN739" s="29"/>
      <c r="FO739" s="29"/>
      <c r="FP739" s="29"/>
      <c r="FQ739" s="29"/>
      <c r="FR739" s="29"/>
      <c r="FS739" s="29"/>
      <c r="FT739" s="29"/>
      <c r="FU739" s="29"/>
      <c r="FV739" s="29"/>
      <c r="FW739" s="29"/>
      <c r="FX739" s="29"/>
      <c r="FY739" s="29"/>
      <c r="FZ739" s="29"/>
      <c r="GA739" s="29"/>
      <c r="GB739" s="29"/>
      <c r="GC739" s="29"/>
      <c r="GD739" s="29"/>
      <c r="GE739" s="29"/>
      <c r="GF739" s="29"/>
      <c r="GG739" s="29"/>
      <c r="GH739" s="29"/>
      <c r="GI739" s="29"/>
      <c r="GJ739" s="29"/>
      <c r="GK739" s="29"/>
      <c r="GL739" s="29"/>
      <c r="GM739" s="29"/>
      <c r="GN739" s="29"/>
      <c r="GO739" s="29"/>
      <c r="GP739" s="29"/>
      <c r="GQ739" s="29"/>
      <c r="GR739" s="29"/>
      <c r="GS739" s="29"/>
      <c r="GT739" s="29"/>
      <c r="GU739" s="29"/>
      <c r="HP739" s="31"/>
      <c r="MX739" s="29"/>
      <c r="MY739" s="29"/>
    </row>
    <row r="740" ht="16.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29"/>
      <c r="AW740" s="29"/>
      <c r="AX740" s="29"/>
      <c r="AY740" s="29"/>
      <c r="AZ740" s="29"/>
      <c r="BA740" s="29"/>
      <c r="BB740" s="29"/>
      <c r="BC740" s="29"/>
      <c r="BD740" s="29"/>
      <c r="BE740" s="29"/>
      <c r="BF740" s="29"/>
      <c r="BG740" s="29"/>
      <c r="BH740" s="29"/>
      <c r="BI740" s="29"/>
      <c r="BJ740" s="29"/>
      <c r="BK740" s="29"/>
      <c r="BL740" s="29"/>
      <c r="BM740" s="29"/>
      <c r="BN740" s="29"/>
      <c r="BO740" s="29"/>
      <c r="BP740" s="29"/>
      <c r="BQ740" s="29"/>
      <c r="BR740" s="29"/>
      <c r="BS740" s="29"/>
      <c r="BT740" s="29"/>
      <c r="BU740" s="29"/>
      <c r="BV740" s="29"/>
      <c r="BW740" s="29"/>
      <c r="BX740" s="29"/>
      <c r="BY740" s="29"/>
      <c r="BZ740" s="29"/>
      <c r="CA740" s="29"/>
      <c r="CB740" s="29"/>
      <c r="CC740" s="29"/>
      <c r="CD740" s="29"/>
      <c r="CE740" s="29"/>
      <c r="CF740" s="29"/>
      <c r="CG740" s="29"/>
      <c r="CH740" s="29"/>
      <c r="CI740" s="29"/>
      <c r="CJ740" s="29"/>
      <c r="CK740" s="29"/>
      <c r="CL740" s="29"/>
      <c r="CM740" s="29"/>
      <c r="CN740" s="29"/>
      <c r="CO740" s="29"/>
      <c r="CP740" s="29"/>
      <c r="CQ740" s="29"/>
      <c r="CR740" s="29"/>
      <c r="CS740" s="29"/>
      <c r="CT740" s="29"/>
      <c r="CU740" s="29"/>
      <c r="CV740" s="29"/>
      <c r="CW740" s="29"/>
      <c r="CX740" s="29"/>
      <c r="CY740" s="29"/>
      <c r="CZ740" s="29"/>
      <c r="DA740" s="29"/>
      <c r="DB740" s="29"/>
      <c r="DC740" s="29"/>
      <c r="DD740" s="29"/>
      <c r="DE740" s="29"/>
      <c r="DF740" s="29"/>
      <c r="DG740" s="29"/>
      <c r="DH740" s="29"/>
      <c r="DI740" s="29"/>
      <c r="DJ740" s="29"/>
      <c r="DK740" s="29"/>
      <c r="DL740" s="29"/>
      <c r="DM740" s="29"/>
      <c r="DN740" s="29"/>
      <c r="DO740" s="29"/>
      <c r="DP740" s="29"/>
      <c r="DQ740" s="29"/>
      <c r="DR740" s="29"/>
      <c r="DS740" s="29"/>
      <c r="DT740" s="29"/>
      <c r="DU740" s="29"/>
      <c r="DV740" s="29"/>
      <c r="DW740" s="29"/>
      <c r="DX740" s="29"/>
      <c r="DY740" s="29"/>
      <c r="DZ740" s="29"/>
      <c r="EA740" s="29"/>
      <c r="EB740" s="29"/>
      <c r="EC740" s="29"/>
      <c r="ED740" s="29"/>
      <c r="EE740" s="29"/>
      <c r="EF740" s="29"/>
      <c r="EG740" s="29"/>
      <c r="EH740" s="29"/>
      <c r="EI740" s="29"/>
      <c r="EJ740" s="29"/>
      <c r="EK740" s="29"/>
      <c r="EL740" s="29"/>
      <c r="EM740" s="29"/>
      <c r="EN740" s="29"/>
      <c r="EO740" s="29"/>
      <c r="EP740" s="29"/>
      <c r="EQ740" s="29"/>
      <c r="ER740" s="29"/>
      <c r="ES740" s="29"/>
      <c r="ET740" s="29"/>
      <c r="EU740" s="29"/>
      <c r="EV740" s="29"/>
      <c r="EW740" s="29"/>
      <c r="EX740" s="29"/>
      <c r="EY740" s="29"/>
      <c r="EZ740" s="29"/>
      <c r="FA740" s="29"/>
      <c r="FB740" s="29"/>
      <c r="FC740" s="29"/>
      <c r="FD740" s="29"/>
      <c r="FE740" s="29"/>
      <c r="FF740" s="29"/>
      <c r="FG740" s="29"/>
      <c r="FH740" s="29"/>
      <c r="FI740" s="29"/>
      <c r="FJ740" s="29"/>
      <c r="FK740" s="29"/>
      <c r="FL740" s="29"/>
      <c r="FM740" s="29"/>
      <c r="FN740" s="29"/>
      <c r="FO740" s="29"/>
      <c r="FP740" s="29"/>
      <c r="FQ740" s="29"/>
      <c r="FR740" s="29"/>
      <c r="FS740" s="29"/>
      <c r="FT740" s="29"/>
      <c r="FU740" s="29"/>
      <c r="FV740" s="29"/>
      <c r="FW740" s="29"/>
      <c r="FX740" s="29"/>
      <c r="FY740" s="29"/>
      <c r="FZ740" s="29"/>
      <c r="GA740" s="29"/>
      <c r="GB740" s="29"/>
      <c r="GC740" s="29"/>
      <c r="GD740" s="29"/>
      <c r="GE740" s="29"/>
      <c r="GF740" s="29"/>
      <c r="GG740" s="29"/>
      <c r="GH740" s="29"/>
      <c r="GI740" s="29"/>
      <c r="GJ740" s="29"/>
      <c r="GK740" s="29"/>
      <c r="GL740" s="29"/>
      <c r="GM740" s="29"/>
      <c r="GN740" s="29"/>
      <c r="GO740" s="29"/>
      <c r="GP740" s="29"/>
      <c r="GQ740" s="29"/>
      <c r="GR740" s="29"/>
      <c r="GS740" s="29"/>
      <c r="GT740" s="29"/>
      <c r="GU740" s="29"/>
      <c r="HP740" s="31"/>
      <c r="MX740" s="29"/>
      <c r="MY740" s="29"/>
    </row>
    <row r="741" ht="16.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29"/>
      <c r="BR741" s="29"/>
      <c r="BS741" s="29"/>
      <c r="BT741" s="29"/>
      <c r="BU741" s="29"/>
      <c r="BV741" s="29"/>
      <c r="BW741" s="29"/>
      <c r="BX741" s="29"/>
      <c r="BY741" s="29"/>
      <c r="BZ741" s="29"/>
      <c r="CA741" s="29"/>
      <c r="CB741" s="29"/>
      <c r="CC741" s="29"/>
      <c r="CD741" s="29"/>
      <c r="CE741" s="29"/>
      <c r="CF741" s="29"/>
      <c r="CG741" s="29"/>
      <c r="CH741" s="29"/>
      <c r="CI741" s="29"/>
      <c r="CJ741" s="29"/>
      <c r="CK741" s="29"/>
      <c r="CL741" s="29"/>
      <c r="CM741" s="29"/>
      <c r="CN741" s="29"/>
      <c r="CO741" s="29"/>
      <c r="CP741" s="29"/>
      <c r="CQ741" s="29"/>
      <c r="CR741" s="29"/>
      <c r="CS741" s="29"/>
      <c r="CT741" s="29"/>
      <c r="CU741" s="29"/>
      <c r="CV741" s="29"/>
      <c r="CW741" s="29"/>
      <c r="CX741" s="29"/>
      <c r="CY741" s="29"/>
      <c r="CZ741" s="29"/>
      <c r="DA741" s="29"/>
      <c r="DB741" s="29"/>
      <c r="DC741" s="29"/>
      <c r="DD741" s="29"/>
      <c r="DE741" s="29"/>
      <c r="DF741" s="29"/>
      <c r="DG741" s="29"/>
      <c r="DH741" s="29"/>
      <c r="DI741" s="29"/>
      <c r="DJ741" s="29"/>
      <c r="DK741" s="29"/>
      <c r="DL741" s="29"/>
      <c r="DM741" s="29"/>
      <c r="DN741" s="29"/>
      <c r="DO741" s="29"/>
      <c r="DP741" s="29"/>
      <c r="DQ741" s="29"/>
      <c r="DR741" s="29"/>
      <c r="DS741" s="29"/>
      <c r="DT741" s="29"/>
      <c r="DU741" s="29"/>
      <c r="DV741" s="29"/>
      <c r="DW741" s="29"/>
      <c r="DX741" s="29"/>
      <c r="DY741" s="29"/>
      <c r="DZ741" s="29"/>
      <c r="EA741" s="29"/>
      <c r="EB741" s="29"/>
      <c r="EC741" s="29"/>
      <c r="ED741" s="29"/>
      <c r="EE741" s="29"/>
      <c r="EF741" s="29"/>
      <c r="EG741" s="29"/>
      <c r="EH741" s="29"/>
      <c r="EI741" s="29"/>
      <c r="EJ741" s="29"/>
      <c r="EK741" s="29"/>
      <c r="EL741" s="29"/>
      <c r="EM741" s="29"/>
      <c r="EN741" s="29"/>
      <c r="EO741" s="29"/>
      <c r="EP741" s="29"/>
      <c r="EQ741" s="29"/>
      <c r="ER741" s="29"/>
      <c r="ES741" s="29"/>
      <c r="ET741" s="29"/>
      <c r="EU741" s="29"/>
      <c r="EV741" s="29"/>
      <c r="EW741" s="29"/>
      <c r="EX741" s="29"/>
      <c r="EY741" s="29"/>
      <c r="EZ741" s="29"/>
      <c r="FA741" s="29"/>
      <c r="FB741" s="29"/>
      <c r="FC741" s="29"/>
      <c r="FD741" s="29"/>
      <c r="FE741" s="29"/>
      <c r="FF741" s="29"/>
      <c r="FG741" s="29"/>
      <c r="FH741" s="29"/>
      <c r="FI741" s="29"/>
      <c r="FJ741" s="29"/>
      <c r="FK741" s="29"/>
      <c r="FL741" s="29"/>
      <c r="FM741" s="29"/>
      <c r="FN741" s="29"/>
      <c r="FO741" s="29"/>
      <c r="FP741" s="29"/>
      <c r="FQ741" s="29"/>
      <c r="FR741" s="29"/>
      <c r="FS741" s="29"/>
      <c r="FT741" s="29"/>
      <c r="FU741" s="29"/>
      <c r="FV741" s="29"/>
      <c r="FW741" s="29"/>
      <c r="FX741" s="29"/>
      <c r="FY741" s="29"/>
      <c r="FZ741" s="29"/>
      <c r="GA741" s="29"/>
      <c r="GB741" s="29"/>
      <c r="GC741" s="29"/>
      <c r="GD741" s="29"/>
      <c r="GE741" s="29"/>
      <c r="GF741" s="29"/>
      <c r="GG741" s="29"/>
      <c r="GH741" s="29"/>
      <c r="GI741" s="29"/>
      <c r="GJ741" s="29"/>
      <c r="GK741" s="29"/>
      <c r="GL741" s="29"/>
      <c r="GM741" s="29"/>
      <c r="GN741" s="29"/>
      <c r="GO741" s="29"/>
      <c r="GP741" s="29"/>
      <c r="GQ741" s="29"/>
      <c r="GR741" s="29"/>
      <c r="GS741" s="29"/>
      <c r="GT741" s="29"/>
      <c r="GU741" s="29"/>
      <c r="HP741" s="31"/>
      <c r="MX741" s="29"/>
      <c r="MY741" s="29"/>
    </row>
    <row r="742" ht="16.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29"/>
      <c r="AW742" s="29"/>
      <c r="AX742" s="29"/>
      <c r="AY742" s="29"/>
      <c r="AZ742" s="29"/>
      <c r="BA742" s="29"/>
      <c r="BB742" s="29"/>
      <c r="BC742" s="29"/>
      <c r="BD742" s="29"/>
      <c r="BE742" s="29"/>
      <c r="BF742" s="29"/>
      <c r="BG742" s="29"/>
      <c r="BH742" s="29"/>
      <c r="BI742" s="29"/>
      <c r="BJ742" s="29"/>
      <c r="BK742" s="29"/>
      <c r="BL742" s="29"/>
      <c r="BM742" s="29"/>
      <c r="BN742" s="29"/>
      <c r="BO742" s="29"/>
      <c r="BP742" s="29"/>
      <c r="BQ742" s="29"/>
      <c r="BR742" s="29"/>
      <c r="BS742" s="29"/>
      <c r="BT742" s="29"/>
      <c r="BU742" s="29"/>
      <c r="BV742" s="29"/>
      <c r="BW742" s="29"/>
      <c r="BX742" s="29"/>
      <c r="BY742" s="29"/>
      <c r="BZ742" s="29"/>
      <c r="CA742" s="29"/>
      <c r="CB742" s="29"/>
      <c r="CC742" s="29"/>
      <c r="CD742" s="29"/>
      <c r="CE742" s="29"/>
      <c r="CF742" s="29"/>
      <c r="CG742" s="29"/>
      <c r="CH742" s="29"/>
      <c r="CI742" s="29"/>
      <c r="CJ742" s="29"/>
      <c r="CK742" s="29"/>
      <c r="CL742" s="29"/>
      <c r="CM742" s="29"/>
      <c r="CN742" s="29"/>
      <c r="CO742" s="29"/>
      <c r="CP742" s="29"/>
      <c r="CQ742" s="29"/>
      <c r="CR742" s="29"/>
      <c r="CS742" s="29"/>
      <c r="CT742" s="29"/>
      <c r="CU742" s="29"/>
      <c r="CV742" s="29"/>
      <c r="CW742" s="29"/>
      <c r="CX742" s="29"/>
      <c r="CY742" s="29"/>
      <c r="CZ742" s="29"/>
      <c r="DA742" s="29"/>
      <c r="DB742" s="29"/>
      <c r="DC742" s="29"/>
      <c r="DD742" s="29"/>
      <c r="DE742" s="29"/>
      <c r="DF742" s="29"/>
      <c r="DG742" s="29"/>
      <c r="DH742" s="29"/>
      <c r="DI742" s="29"/>
      <c r="DJ742" s="29"/>
      <c r="DK742" s="29"/>
      <c r="DL742" s="29"/>
      <c r="DM742" s="29"/>
      <c r="DN742" s="29"/>
      <c r="DO742" s="29"/>
      <c r="DP742" s="29"/>
      <c r="DQ742" s="29"/>
      <c r="DR742" s="29"/>
      <c r="DS742" s="29"/>
      <c r="DT742" s="29"/>
      <c r="DU742" s="29"/>
      <c r="DV742" s="29"/>
      <c r="DW742" s="29"/>
      <c r="DX742" s="29"/>
      <c r="DY742" s="29"/>
      <c r="DZ742" s="29"/>
      <c r="EA742" s="29"/>
      <c r="EB742" s="29"/>
      <c r="EC742" s="29"/>
      <c r="ED742" s="29"/>
      <c r="EE742" s="29"/>
      <c r="EF742" s="29"/>
      <c r="EG742" s="29"/>
      <c r="EH742" s="29"/>
      <c r="EI742" s="29"/>
      <c r="EJ742" s="29"/>
      <c r="EK742" s="29"/>
      <c r="EL742" s="29"/>
      <c r="EM742" s="29"/>
      <c r="EN742" s="29"/>
      <c r="EO742" s="29"/>
      <c r="EP742" s="29"/>
      <c r="EQ742" s="29"/>
      <c r="ER742" s="29"/>
      <c r="ES742" s="29"/>
      <c r="ET742" s="29"/>
      <c r="EU742" s="29"/>
      <c r="EV742" s="29"/>
      <c r="EW742" s="29"/>
      <c r="EX742" s="29"/>
      <c r="EY742" s="29"/>
      <c r="EZ742" s="29"/>
      <c r="FA742" s="29"/>
      <c r="FB742" s="29"/>
      <c r="FC742" s="29"/>
      <c r="FD742" s="29"/>
      <c r="FE742" s="29"/>
      <c r="FF742" s="29"/>
      <c r="FG742" s="29"/>
      <c r="FH742" s="29"/>
      <c r="FI742" s="29"/>
      <c r="FJ742" s="29"/>
      <c r="FK742" s="29"/>
      <c r="FL742" s="29"/>
      <c r="FM742" s="29"/>
      <c r="FN742" s="29"/>
      <c r="FO742" s="29"/>
      <c r="FP742" s="29"/>
      <c r="FQ742" s="29"/>
      <c r="FR742" s="29"/>
      <c r="FS742" s="29"/>
      <c r="FT742" s="29"/>
      <c r="FU742" s="29"/>
      <c r="FV742" s="29"/>
      <c r="FW742" s="29"/>
      <c r="FX742" s="29"/>
      <c r="FY742" s="29"/>
      <c r="FZ742" s="29"/>
      <c r="GA742" s="29"/>
      <c r="GB742" s="29"/>
      <c r="GC742" s="29"/>
      <c r="GD742" s="29"/>
      <c r="GE742" s="29"/>
      <c r="GF742" s="29"/>
      <c r="GG742" s="29"/>
      <c r="GH742" s="29"/>
      <c r="GI742" s="29"/>
      <c r="GJ742" s="29"/>
      <c r="GK742" s="29"/>
      <c r="GL742" s="29"/>
      <c r="GM742" s="29"/>
      <c r="GN742" s="29"/>
      <c r="GO742" s="29"/>
      <c r="GP742" s="29"/>
      <c r="GQ742" s="29"/>
      <c r="GR742" s="29"/>
      <c r="GS742" s="29"/>
      <c r="GT742" s="29"/>
      <c r="GU742" s="29"/>
      <c r="HP742" s="31"/>
      <c r="MX742" s="29"/>
      <c r="MY742" s="29"/>
    </row>
    <row r="743" ht="16.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c r="BO743" s="29"/>
      <c r="BP743" s="29"/>
      <c r="BQ743" s="29"/>
      <c r="BR743" s="29"/>
      <c r="BS743" s="29"/>
      <c r="BT743" s="29"/>
      <c r="BU743" s="29"/>
      <c r="BV743" s="29"/>
      <c r="BW743" s="29"/>
      <c r="BX743" s="29"/>
      <c r="BY743" s="29"/>
      <c r="BZ743" s="29"/>
      <c r="CA743" s="29"/>
      <c r="CB743" s="29"/>
      <c r="CC743" s="29"/>
      <c r="CD743" s="29"/>
      <c r="CE743" s="29"/>
      <c r="CF743" s="29"/>
      <c r="CG743" s="29"/>
      <c r="CH743" s="29"/>
      <c r="CI743" s="29"/>
      <c r="CJ743" s="29"/>
      <c r="CK743" s="29"/>
      <c r="CL743" s="29"/>
      <c r="CM743" s="29"/>
      <c r="CN743" s="29"/>
      <c r="CO743" s="29"/>
      <c r="CP743" s="29"/>
      <c r="CQ743" s="29"/>
      <c r="CR743" s="29"/>
      <c r="CS743" s="29"/>
      <c r="CT743" s="29"/>
      <c r="CU743" s="29"/>
      <c r="CV743" s="29"/>
      <c r="CW743" s="29"/>
      <c r="CX743" s="29"/>
      <c r="CY743" s="29"/>
      <c r="CZ743" s="29"/>
      <c r="DA743" s="29"/>
      <c r="DB743" s="29"/>
      <c r="DC743" s="29"/>
      <c r="DD743" s="29"/>
      <c r="DE743" s="29"/>
      <c r="DF743" s="29"/>
      <c r="DG743" s="29"/>
      <c r="DH743" s="29"/>
      <c r="DI743" s="29"/>
      <c r="DJ743" s="29"/>
      <c r="DK743" s="29"/>
      <c r="DL743" s="29"/>
      <c r="DM743" s="29"/>
      <c r="DN743" s="29"/>
      <c r="DO743" s="29"/>
      <c r="DP743" s="29"/>
      <c r="DQ743" s="29"/>
      <c r="DR743" s="29"/>
      <c r="DS743" s="29"/>
      <c r="DT743" s="29"/>
      <c r="DU743" s="29"/>
      <c r="DV743" s="29"/>
      <c r="DW743" s="29"/>
      <c r="DX743" s="29"/>
      <c r="DY743" s="29"/>
      <c r="DZ743" s="29"/>
      <c r="EA743" s="29"/>
      <c r="EB743" s="29"/>
      <c r="EC743" s="29"/>
      <c r="ED743" s="29"/>
      <c r="EE743" s="29"/>
      <c r="EF743" s="29"/>
      <c r="EG743" s="29"/>
      <c r="EH743" s="29"/>
      <c r="EI743" s="29"/>
      <c r="EJ743" s="29"/>
      <c r="EK743" s="29"/>
      <c r="EL743" s="29"/>
      <c r="EM743" s="29"/>
      <c r="EN743" s="29"/>
      <c r="EO743" s="29"/>
      <c r="EP743" s="29"/>
      <c r="EQ743" s="29"/>
      <c r="ER743" s="29"/>
      <c r="ES743" s="29"/>
      <c r="ET743" s="29"/>
      <c r="EU743" s="29"/>
      <c r="EV743" s="29"/>
      <c r="EW743" s="29"/>
      <c r="EX743" s="29"/>
      <c r="EY743" s="29"/>
      <c r="EZ743" s="29"/>
      <c r="FA743" s="29"/>
      <c r="FB743" s="29"/>
      <c r="FC743" s="29"/>
      <c r="FD743" s="29"/>
      <c r="FE743" s="29"/>
      <c r="FF743" s="29"/>
      <c r="FG743" s="29"/>
      <c r="FH743" s="29"/>
      <c r="FI743" s="29"/>
      <c r="FJ743" s="29"/>
      <c r="FK743" s="29"/>
      <c r="FL743" s="29"/>
      <c r="FM743" s="29"/>
      <c r="FN743" s="29"/>
      <c r="FO743" s="29"/>
      <c r="FP743" s="29"/>
      <c r="FQ743" s="29"/>
      <c r="FR743" s="29"/>
      <c r="FS743" s="29"/>
      <c r="FT743" s="29"/>
      <c r="FU743" s="29"/>
      <c r="FV743" s="29"/>
      <c r="FW743" s="29"/>
      <c r="FX743" s="29"/>
      <c r="FY743" s="29"/>
      <c r="FZ743" s="29"/>
      <c r="GA743" s="29"/>
      <c r="GB743" s="29"/>
      <c r="GC743" s="29"/>
      <c r="GD743" s="29"/>
      <c r="GE743" s="29"/>
      <c r="GF743" s="29"/>
      <c r="GG743" s="29"/>
      <c r="GH743" s="29"/>
      <c r="GI743" s="29"/>
      <c r="GJ743" s="29"/>
      <c r="GK743" s="29"/>
      <c r="GL743" s="29"/>
      <c r="GM743" s="29"/>
      <c r="GN743" s="29"/>
      <c r="GO743" s="29"/>
      <c r="GP743" s="29"/>
      <c r="GQ743" s="29"/>
      <c r="GR743" s="29"/>
      <c r="GS743" s="29"/>
      <c r="GT743" s="29"/>
      <c r="GU743" s="29"/>
      <c r="HP743" s="31"/>
      <c r="MX743" s="29"/>
      <c r="MY743" s="29"/>
    </row>
    <row r="744" ht="16.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29"/>
      <c r="AW744" s="29"/>
      <c r="AX744" s="29"/>
      <c r="AY744" s="29"/>
      <c r="AZ744" s="29"/>
      <c r="BA744" s="29"/>
      <c r="BB744" s="29"/>
      <c r="BC744" s="29"/>
      <c r="BD744" s="29"/>
      <c r="BE744" s="29"/>
      <c r="BF744" s="29"/>
      <c r="BG744" s="29"/>
      <c r="BH744" s="29"/>
      <c r="BI744" s="29"/>
      <c r="BJ744" s="29"/>
      <c r="BK744" s="29"/>
      <c r="BL744" s="29"/>
      <c r="BM744" s="29"/>
      <c r="BN744" s="29"/>
      <c r="BO744" s="29"/>
      <c r="BP744" s="29"/>
      <c r="BQ744" s="29"/>
      <c r="BR744" s="29"/>
      <c r="BS744" s="29"/>
      <c r="BT744" s="29"/>
      <c r="BU744" s="29"/>
      <c r="BV744" s="29"/>
      <c r="BW744" s="29"/>
      <c r="BX744" s="29"/>
      <c r="BY744" s="29"/>
      <c r="BZ744" s="29"/>
      <c r="CA744" s="29"/>
      <c r="CB744" s="29"/>
      <c r="CC744" s="29"/>
      <c r="CD744" s="29"/>
      <c r="CE744" s="29"/>
      <c r="CF744" s="29"/>
      <c r="CG744" s="29"/>
      <c r="CH744" s="29"/>
      <c r="CI744" s="29"/>
      <c r="CJ744" s="29"/>
      <c r="CK744" s="29"/>
      <c r="CL744" s="29"/>
      <c r="CM744" s="29"/>
      <c r="CN744" s="29"/>
      <c r="CO744" s="29"/>
      <c r="CP744" s="29"/>
      <c r="CQ744" s="29"/>
      <c r="CR744" s="29"/>
      <c r="CS744" s="29"/>
      <c r="CT744" s="29"/>
      <c r="CU744" s="29"/>
      <c r="CV744" s="29"/>
      <c r="CW744" s="29"/>
      <c r="CX744" s="29"/>
      <c r="CY744" s="29"/>
      <c r="CZ744" s="29"/>
      <c r="DA744" s="29"/>
      <c r="DB744" s="29"/>
      <c r="DC744" s="29"/>
      <c r="DD744" s="29"/>
      <c r="DE744" s="29"/>
      <c r="DF744" s="29"/>
      <c r="DG744" s="29"/>
      <c r="DH744" s="29"/>
      <c r="DI744" s="29"/>
      <c r="DJ744" s="29"/>
      <c r="DK744" s="29"/>
      <c r="DL744" s="29"/>
      <c r="DM744" s="29"/>
      <c r="DN744" s="29"/>
      <c r="DO744" s="29"/>
      <c r="DP744" s="29"/>
      <c r="DQ744" s="29"/>
      <c r="DR744" s="29"/>
      <c r="DS744" s="29"/>
      <c r="DT744" s="29"/>
      <c r="DU744" s="29"/>
      <c r="DV744" s="29"/>
      <c r="DW744" s="29"/>
      <c r="DX744" s="29"/>
      <c r="DY744" s="29"/>
      <c r="DZ744" s="29"/>
      <c r="EA744" s="29"/>
      <c r="EB744" s="29"/>
      <c r="EC744" s="29"/>
      <c r="ED744" s="29"/>
      <c r="EE744" s="29"/>
      <c r="EF744" s="29"/>
      <c r="EG744" s="29"/>
      <c r="EH744" s="29"/>
      <c r="EI744" s="29"/>
      <c r="EJ744" s="29"/>
      <c r="EK744" s="29"/>
      <c r="EL744" s="29"/>
      <c r="EM744" s="29"/>
      <c r="EN744" s="29"/>
      <c r="EO744" s="29"/>
      <c r="EP744" s="29"/>
      <c r="EQ744" s="29"/>
      <c r="ER744" s="29"/>
      <c r="ES744" s="29"/>
      <c r="ET744" s="29"/>
      <c r="EU744" s="29"/>
      <c r="EV744" s="29"/>
      <c r="EW744" s="29"/>
      <c r="EX744" s="29"/>
      <c r="EY744" s="29"/>
      <c r="EZ744" s="29"/>
      <c r="FA744" s="29"/>
      <c r="FB744" s="29"/>
      <c r="FC744" s="29"/>
      <c r="FD744" s="29"/>
      <c r="FE744" s="29"/>
      <c r="FF744" s="29"/>
      <c r="FG744" s="29"/>
      <c r="FH744" s="29"/>
      <c r="FI744" s="29"/>
      <c r="FJ744" s="29"/>
      <c r="FK744" s="29"/>
      <c r="FL744" s="29"/>
      <c r="FM744" s="29"/>
      <c r="FN744" s="29"/>
      <c r="FO744" s="29"/>
      <c r="FP744" s="29"/>
      <c r="FQ744" s="29"/>
      <c r="FR744" s="29"/>
      <c r="FS744" s="29"/>
      <c r="FT744" s="29"/>
      <c r="FU744" s="29"/>
      <c r="FV744" s="29"/>
      <c r="FW744" s="29"/>
      <c r="FX744" s="29"/>
      <c r="FY744" s="29"/>
      <c r="FZ744" s="29"/>
      <c r="GA744" s="29"/>
      <c r="GB744" s="29"/>
      <c r="GC744" s="29"/>
      <c r="GD744" s="29"/>
      <c r="GE744" s="29"/>
      <c r="GF744" s="29"/>
      <c r="GG744" s="29"/>
      <c r="GH744" s="29"/>
      <c r="GI744" s="29"/>
      <c r="GJ744" s="29"/>
      <c r="GK744" s="29"/>
      <c r="GL744" s="29"/>
      <c r="GM744" s="29"/>
      <c r="GN744" s="29"/>
      <c r="GO744" s="29"/>
      <c r="GP744" s="29"/>
      <c r="GQ744" s="29"/>
      <c r="GR744" s="29"/>
      <c r="GS744" s="29"/>
      <c r="GT744" s="29"/>
      <c r="GU744" s="29"/>
      <c r="HP744" s="31"/>
      <c r="MX744" s="29"/>
      <c r="MY744" s="29"/>
    </row>
    <row r="745" ht="16.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c r="BO745" s="29"/>
      <c r="BP745" s="29"/>
      <c r="BQ745" s="29"/>
      <c r="BR745" s="29"/>
      <c r="BS745" s="29"/>
      <c r="BT745" s="29"/>
      <c r="BU745" s="29"/>
      <c r="BV745" s="29"/>
      <c r="BW745" s="29"/>
      <c r="BX745" s="29"/>
      <c r="BY745" s="29"/>
      <c r="BZ745" s="29"/>
      <c r="CA745" s="29"/>
      <c r="CB745" s="29"/>
      <c r="CC745" s="29"/>
      <c r="CD745" s="29"/>
      <c r="CE745" s="29"/>
      <c r="CF745" s="29"/>
      <c r="CG745" s="29"/>
      <c r="CH745" s="29"/>
      <c r="CI745" s="29"/>
      <c r="CJ745" s="29"/>
      <c r="CK745" s="29"/>
      <c r="CL745" s="29"/>
      <c r="CM745" s="29"/>
      <c r="CN745" s="29"/>
      <c r="CO745" s="29"/>
      <c r="CP745" s="29"/>
      <c r="CQ745" s="29"/>
      <c r="CR745" s="29"/>
      <c r="CS745" s="29"/>
      <c r="CT745" s="29"/>
      <c r="CU745" s="29"/>
      <c r="CV745" s="29"/>
      <c r="CW745" s="29"/>
      <c r="CX745" s="29"/>
      <c r="CY745" s="29"/>
      <c r="CZ745" s="29"/>
      <c r="DA745" s="29"/>
      <c r="DB745" s="29"/>
      <c r="DC745" s="29"/>
      <c r="DD745" s="29"/>
      <c r="DE745" s="29"/>
      <c r="DF745" s="29"/>
      <c r="DG745" s="29"/>
      <c r="DH745" s="29"/>
      <c r="DI745" s="29"/>
      <c r="DJ745" s="29"/>
      <c r="DK745" s="29"/>
      <c r="DL745" s="29"/>
      <c r="DM745" s="29"/>
      <c r="DN745" s="29"/>
      <c r="DO745" s="29"/>
      <c r="DP745" s="29"/>
      <c r="DQ745" s="29"/>
      <c r="DR745" s="29"/>
      <c r="DS745" s="29"/>
      <c r="DT745" s="29"/>
      <c r="DU745" s="29"/>
      <c r="DV745" s="29"/>
      <c r="DW745" s="29"/>
      <c r="DX745" s="29"/>
      <c r="DY745" s="29"/>
      <c r="DZ745" s="29"/>
      <c r="EA745" s="29"/>
      <c r="EB745" s="29"/>
      <c r="EC745" s="29"/>
      <c r="ED745" s="29"/>
      <c r="EE745" s="29"/>
      <c r="EF745" s="29"/>
      <c r="EG745" s="29"/>
      <c r="EH745" s="29"/>
      <c r="EI745" s="29"/>
      <c r="EJ745" s="29"/>
      <c r="EK745" s="29"/>
      <c r="EL745" s="29"/>
      <c r="EM745" s="29"/>
      <c r="EN745" s="29"/>
      <c r="EO745" s="29"/>
      <c r="EP745" s="29"/>
      <c r="EQ745" s="29"/>
      <c r="ER745" s="29"/>
      <c r="ES745" s="29"/>
      <c r="ET745" s="29"/>
      <c r="EU745" s="29"/>
      <c r="EV745" s="29"/>
      <c r="EW745" s="29"/>
      <c r="EX745" s="29"/>
      <c r="EY745" s="29"/>
      <c r="EZ745" s="29"/>
      <c r="FA745" s="29"/>
      <c r="FB745" s="29"/>
      <c r="FC745" s="29"/>
      <c r="FD745" s="29"/>
      <c r="FE745" s="29"/>
      <c r="FF745" s="29"/>
      <c r="FG745" s="29"/>
      <c r="FH745" s="29"/>
      <c r="FI745" s="29"/>
      <c r="FJ745" s="29"/>
      <c r="FK745" s="29"/>
      <c r="FL745" s="29"/>
      <c r="FM745" s="29"/>
      <c r="FN745" s="29"/>
      <c r="FO745" s="29"/>
      <c r="FP745" s="29"/>
      <c r="FQ745" s="29"/>
      <c r="FR745" s="29"/>
      <c r="FS745" s="29"/>
      <c r="FT745" s="29"/>
      <c r="FU745" s="29"/>
      <c r="FV745" s="29"/>
      <c r="FW745" s="29"/>
      <c r="FX745" s="29"/>
      <c r="FY745" s="29"/>
      <c r="FZ745" s="29"/>
      <c r="GA745" s="29"/>
      <c r="GB745" s="29"/>
      <c r="GC745" s="29"/>
      <c r="GD745" s="29"/>
      <c r="GE745" s="29"/>
      <c r="GF745" s="29"/>
      <c r="GG745" s="29"/>
      <c r="GH745" s="29"/>
      <c r="GI745" s="29"/>
      <c r="GJ745" s="29"/>
      <c r="GK745" s="29"/>
      <c r="GL745" s="29"/>
      <c r="GM745" s="29"/>
      <c r="GN745" s="29"/>
      <c r="GO745" s="29"/>
      <c r="GP745" s="29"/>
      <c r="GQ745" s="29"/>
      <c r="GR745" s="29"/>
      <c r="GS745" s="29"/>
      <c r="GT745" s="29"/>
      <c r="GU745" s="29"/>
      <c r="HP745" s="31"/>
      <c r="MX745" s="29"/>
      <c r="MY745" s="29"/>
    </row>
    <row r="746" ht="16.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29"/>
      <c r="AW746" s="29"/>
      <c r="AX746" s="29"/>
      <c r="AY746" s="29"/>
      <c r="AZ746" s="29"/>
      <c r="BA746" s="29"/>
      <c r="BB746" s="29"/>
      <c r="BC746" s="29"/>
      <c r="BD746" s="29"/>
      <c r="BE746" s="29"/>
      <c r="BF746" s="29"/>
      <c r="BG746" s="29"/>
      <c r="BH746" s="29"/>
      <c r="BI746" s="29"/>
      <c r="BJ746" s="29"/>
      <c r="BK746" s="29"/>
      <c r="BL746" s="29"/>
      <c r="BM746" s="29"/>
      <c r="BN746" s="29"/>
      <c r="BO746" s="29"/>
      <c r="BP746" s="29"/>
      <c r="BQ746" s="29"/>
      <c r="BR746" s="29"/>
      <c r="BS746" s="29"/>
      <c r="BT746" s="29"/>
      <c r="BU746" s="29"/>
      <c r="BV746" s="29"/>
      <c r="BW746" s="29"/>
      <c r="BX746" s="29"/>
      <c r="BY746" s="29"/>
      <c r="BZ746" s="29"/>
      <c r="CA746" s="29"/>
      <c r="CB746" s="29"/>
      <c r="CC746" s="29"/>
      <c r="CD746" s="29"/>
      <c r="CE746" s="29"/>
      <c r="CF746" s="29"/>
      <c r="CG746" s="29"/>
      <c r="CH746" s="29"/>
      <c r="CI746" s="29"/>
      <c r="CJ746" s="29"/>
      <c r="CK746" s="29"/>
      <c r="CL746" s="29"/>
      <c r="CM746" s="29"/>
      <c r="CN746" s="29"/>
      <c r="CO746" s="29"/>
      <c r="CP746" s="29"/>
      <c r="CQ746" s="29"/>
      <c r="CR746" s="29"/>
      <c r="CS746" s="29"/>
      <c r="CT746" s="29"/>
      <c r="CU746" s="29"/>
      <c r="CV746" s="29"/>
      <c r="CW746" s="29"/>
      <c r="CX746" s="29"/>
      <c r="CY746" s="29"/>
      <c r="CZ746" s="29"/>
      <c r="DA746" s="29"/>
      <c r="DB746" s="29"/>
      <c r="DC746" s="29"/>
      <c r="DD746" s="29"/>
      <c r="DE746" s="29"/>
      <c r="DF746" s="29"/>
      <c r="DG746" s="29"/>
      <c r="DH746" s="29"/>
      <c r="DI746" s="29"/>
      <c r="DJ746" s="29"/>
      <c r="DK746" s="29"/>
      <c r="DL746" s="29"/>
      <c r="DM746" s="29"/>
      <c r="DN746" s="29"/>
      <c r="DO746" s="29"/>
      <c r="DP746" s="29"/>
      <c r="DQ746" s="29"/>
      <c r="DR746" s="29"/>
      <c r="DS746" s="29"/>
      <c r="DT746" s="29"/>
      <c r="DU746" s="29"/>
      <c r="DV746" s="29"/>
      <c r="DW746" s="29"/>
      <c r="DX746" s="29"/>
      <c r="DY746" s="29"/>
      <c r="DZ746" s="29"/>
      <c r="EA746" s="29"/>
      <c r="EB746" s="29"/>
      <c r="EC746" s="29"/>
      <c r="ED746" s="29"/>
      <c r="EE746" s="29"/>
      <c r="EF746" s="29"/>
      <c r="EG746" s="29"/>
      <c r="EH746" s="29"/>
      <c r="EI746" s="29"/>
      <c r="EJ746" s="29"/>
      <c r="EK746" s="29"/>
      <c r="EL746" s="29"/>
      <c r="EM746" s="29"/>
      <c r="EN746" s="29"/>
      <c r="EO746" s="29"/>
      <c r="EP746" s="29"/>
      <c r="EQ746" s="29"/>
      <c r="ER746" s="29"/>
      <c r="ES746" s="29"/>
      <c r="ET746" s="29"/>
      <c r="EU746" s="29"/>
      <c r="EV746" s="29"/>
      <c r="EW746" s="29"/>
      <c r="EX746" s="29"/>
      <c r="EY746" s="29"/>
      <c r="EZ746" s="29"/>
      <c r="FA746" s="29"/>
      <c r="FB746" s="29"/>
      <c r="FC746" s="29"/>
      <c r="FD746" s="29"/>
      <c r="FE746" s="29"/>
      <c r="FF746" s="29"/>
      <c r="FG746" s="29"/>
      <c r="FH746" s="29"/>
      <c r="FI746" s="29"/>
      <c r="FJ746" s="29"/>
      <c r="FK746" s="29"/>
      <c r="FL746" s="29"/>
      <c r="FM746" s="29"/>
      <c r="FN746" s="29"/>
      <c r="FO746" s="29"/>
      <c r="FP746" s="29"/>
      <c r="FQ746" s="29"/>
      <c r="FR746" s="29"/>
      <c r="FS746" s="29"/>
      <c r="FT746" s="29"/>
      <c r="FU746" s="29"/>
      <c r="FV746" s="29"/>
      <c r="FW746" s="29"/>
      <c r="FX746" s="29"/>
      <c r="FY746" s="29"/>
      <c r="FZ746" s="29"/>
      <c r="GA746" s="29"/>
      <c r="GB746" s="29"/>
      <c r="GC746" s="29"/>
      <c r="GD746" s="29"/>
      <c r="GE746" s="29"/>
      <c r="GF746" s="29"/>
      <c r="GG746" s="29"/>
      <c r="GH746" s="29"/>
      <c r="GI746" s="29"/>
      <c r="GJ746" s="29"/>
      <c r="GK746" s="29"/>
      <c r="GL746" s="29"/>
      <c r="GM746" s="29"/>
      <c r="GN746" s="29"/>
      <c r="GO746" s="29"/>
      <c r="GP746" s="29"/>
      <c r="GQ746" s="29"/>
      <c r="GR746" s="29"/>
      <c r="GS746" s="29"/>
      <c r="GT746" s="29"/>
      <c r="GU746" s="29"/>
      <c r="HP746" s="31"/>
      <c r="MX746" s="29"/>
      <c r="MY746" s="29"/>
    </row>
    <row r="747" ht="16.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c r="BO747" s="29"/>
      <c r="BP747" s="29"/>
      <c r="BQ747" s="29"/>
      <c r="BR747" s="29"/>
      <c r="BS747" s="29"/>
      <c r="BT747" s="29"/>
      <c r="BU747" s="29"/>
      <c r="BV747" s="29"/>
      <c r="BW747" s="29"/>
      <c r="BX747" s="29"/>
      <c r="BY747" s="29"/>
      <c r="BZ747" s="29"/>
      <c r="CA747" s="29"/>
      <c r="CB747" s="29"/>
      <c r="CC747" s="29"/>
      <c r="CD747" s="29"/>
      <c r="CE747" s="29"/>
      <c r="CF747" s="29"/>
      <c r="CG747" s="29"/>
      <c r="CH747" s="29"/>
      <c r="CI747" s="29"/>
      <c r="CJ747" s="29"/>
      <c r="CK747" s="29"/>
      <c r="CL747" s="29"/>
      <c r="CM747" s="29"/>
      <c r="CN747" s="29"/>
      <c r="CO747" s="29"/>
      <c r="CP747" s="29"/>
      <c r="CQ747" s="29"/>
      <c r="CR747" s="29"/>
      <c r="CS747" s="29"/>
      <c r="CT747" s="29"/>
      <c r="CU747" s="29"/>
      <c r="CV747" s="29"/>
      <c r="CW747" s="29"/>
      <c r="CX747" s="29"/>
      <c r="CY747" s="29"/>
      <c r="CZ747" s="29"/>
      <c r="DA747" s="29"/>
      <c r="DB747" s="29"/>
      <c r="DC747" s="29"/>
      <c r="DD747" s="29"/>
      <c r="DE747" s="29"/>
      <c r="DF747" s="29"/>
      <c r="DG747" s="29"/>
      <c r="DH747" s="29"/>
      <c r="DI747" s="29"/>
      <c r="DJ747" s="29"/>
      <c r="DK747" s="29"/>
      <c r="DL747" s="29"/>
      <c r="DM747" s="29"/>
      <c r="DN747" s="29"/>
      <c r="DO747" s="29"/>
      <c r="DP747" s="29"/>
      <c r="DQ747" s="29"/>
      <c r="DR747" s="29"/>
      <c r="DS747" s="29"/>
      <c r="DT747" s="29"/>
      <c r="DU747" s="29"/>
      <c r="DV747" s="29"/>
      <c r="DW747" s="29"/>
      <c r="DX747" s="29"/>
      <c r="DY747" s="29"/>
      <c r="DZ747" s="29"/>
      <c r="EA747" s="29"/>
      <c r="EB747" s="29"/>
      <c r="EC747" s="29"/>
      <c r="ED747" s="29"/>
      <c r="EE747" s="29"/>
      <c r="EF747" s="29"/>
      <c r="EG747" s="29"/>
      <c r="EH747" s="29"/>
      <c r="EI747" s="29"/>
      <c r="EJ747" s="29"/>
      <c r="EK747" s="29"/>
      <c r="EL747" s="29"/>
      <c r="EM747" s="29"/>
      <c r="EN747" s="29"/>
      <c r="EO747" s="29"/>
      <c r="EP747" s="29"/>
      <c r="EQ747" s="29"/>
      <c r="ER747" s="29"/>
      <c r="ES747" s="29"/>
      <c r="ET747" s="29"/>
      <c r="EU747" s="29"/>
      <c r="EV747" s="29"/>
      <c r="EW747" s="29"/>
      <c r="EX747" s="29"/>
      <c r="EY747" s="29"/>
      <c r="EZ747" s="29"/>
      <c r="FA747" s="29"/>
      <c r="FB747" s="29"/>
      <c r="FC747" s="29"/>
      <c r="FD747" s="29"/>
      <c r="FE747" s="29"/>
      <c r="FF747" s="29"/>
      <c r="FG747" s="29"/>
      <c r="FH747" s="29"/>
      <c r="FI747" s="29"/>
      <c r="FJ747" s="29"/>
      <c r="FK747" s="29"/>
      <c r="FL747" s="29"/>
      <c r="FM747" s="29"/>
      <c r="FN747" s="29"/>
      <c r="FO747" s="29"/>
      <c r="FP747" s="29"/>
      <c r="FQ747" s="29"/>
      <c r="FR747" s="29"/>
      <c r="FS747" s="29"/>
      <c r="FT747" s="29"/>
      <c r="FU747" s="29"/>
      <c r="FV747" s="29"/>
      <c r="FW747" s="29"/>
      <c r="FX747" s="29"/>
      <c r="FY747" s="29"/>
      <c r="FZ747" s="29"/>
      <c r="GA747" s="29"/>
      <c r="GB747" s="29"/>
      <c r="GC747" s="29"/>
      <c r="GD747" s="29"/>
      <c r="GE747" s="29"/>
      <c r="GF747" s="29"/>
      <c r="GG747" s="29"/>
      <c r="GH747" s="29"/>
      <c r="GI747" s="29"/>
      <c r="GJ747" s="29"/>
      <c r="GK747" s="29"/>
      <c r="GL747" s="29"/>
      <c r="GM747" s="29"/>
      <c r="GN747" s="29"/>
      <c r="GO747" s="29"/>
      <c r="GP747" s="29"/>
      <c r="GQ747" s="29"/>
      <c r="GR747" s="29"/>
      <c r="GS747" s="29"/>
      <c r="GT747" s="29"/>
      <c r="GU747" s="29"/>
      <c r="HP747" s="31"/>
      <c r="MX747" s="29"/>
      <c r="MY747" s="29"/>
    </row>
    <row r="748" ht="16.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c r="CB748" s="29"/>
      <c r="CC748" s="29"/>
      <c r="CD748" s="29"/>
      <c r="CE748" s="29"/>
      <c r="CF748" s="29"/>
      <c r="CG748" s="29"/>
      <c r="CH748" s="29"/>
      <c r="CI748" s="29"/>
      <c r="CJ748" s="29"/>
      <c r="CK748" s="29"/>
      <c r="CL748" s="29"/>
      <c r="CM748" s="29"/>
      <c r="CN748" s="29"/>
      <c r="CO748" s="29"/>
      <c r="CP748" s="29"/>
      <c r="CQ748" s="29"/>
      <c r="CR748" s="29"/>
      <c r="CS748" s="29"/>
      <c r="CT748" s="29"/>
      <c r="CU748" s="29"/>
      <c r="CV748" s="29"/>
      <c r="CW748" s="29"/>
      <c r="CX748" s="29"/>
      <c r="CY748" s="29"/>
      <c r="CZ748" s="29"/>
      <c r="DA748" s="29"/>
      <c r="DB748" s="29"/>
      <c r="DC748" s="29"/>
      <c r="DD748" s="29"/>
      <c r="DE748" s="29"/>
      <c r="DF748" s="29"/>
      <c r="DG748" s="29"/>
      <c r="DH748" s="29"/>
      <c r="DI748" s="29"/>
      <c r="DJ748" s="29"/>
      <c r="DK748" s="29"/>
      <c r="DL748" s="29"/>
      <c r="DM748" s="29"/>
      <c r="DN748" s="29"/>
      <c r="DO748" s="29"/>
      <c r="DP748" s="29"/>
      <c r="DQ748" s="29"/>
      <c r="DR748" s="29"/>
      <c r="DS748" s="29"/>
      <c r="DT748" s="29"/>
      <c r="DU748" s="29"/>
      <c r="DV748" s="29"/>
      <c r="DW748" s="29"/>
      <c r="DX748" s="29"/>
      <c r="DY748" s="29"/>
      <c r="DZ748" s="29"/>
      <c r="EA748" s="29"/>
      <c r="EB748" s="29"/>
      <c r="EC748" s="29"/>
      <c r="ED748" s="29"/>
      <c r="EE748" s="29"/>
      <c r="EF748" s="29"/>
      <c r="EG748" s="29"/>
      <c r="EH748" s="29"/>
      <c r="EI748" s="29"/>
      <c r="EJ748" s="29"/>
      <c r="EK748" s="29"/>
      <c r="EL748" s="29"/>
      <c r="EM748" s="29"/>
      <c r="EN748" s="29"/>
      <c r="EO748" s="29"/>
      <c r="EP748" s="29"/>
      <c r="EQ748" s="29"/>
      <c r="ER748" s="29"/>
      <c r="ES748" s="29"/>
      <c r="ET748" s="29"/>
      <c r="EU748" s="29"/>
      <c r="EV748" s="29"/>
      <c r="EW748" s="29"/>
      <c r="EX748" s="29"/>
      <c r="EY748" s="29"/>
      <c r="EZ748" s="29"/>
      <c r="FA748" s="29"/>
      <c r="FB748" s="29"/>
      <c r="FC748" s="29"/>
      <c r="FD748" s="29"/>
      <c r="FE748" s="29"/>
      <c r="FF748" s="29"/>
      <c r="FG748" s="29"/>
      <c r="FH748" s="29"/>
      <c r="FI748" s="29"/>
      <c r="FJ748" s="29"/>
      <c r="FK748" s="29"/>
      <c r="FL748" s="29"/>
      <c r="FM748" s="29"/>
      <c r="FN748" s="29"/>
      <c r="FO748" s="29"/>
      <c r="FP748" s="29"/>
      <c r="FQ748" s="29"/>
      <c r="FR748" s="29"/>
      <c r="FS748" s="29"/>
      <c r="FT748" s="29"/>
      <c r="FU748" s="29"/>
      <c r="FV748" s="29"/>
      <c r="FW748" s="29"/>
      <c r="FX748" s="29"/>
      <c r="FY748" s="29"/>
      <c r="FZ748" s="29"/>
      <c r="GA748" s="29"/>
      <c r="GB748" s="29"/>
      <c r="GC748" s="29"/>
      <c r="GD748" s="29"/>
      <c r="GE748" s="29"/>
      <c r="GF748" s="29"/>
      <c r="GG748" s="29"/>
      <c r="GH748" s="29"/>
      <c r="GI748" s="29"/>
      <c r="GJ748" s="29"/>
      <c r="GK748" s="29"/>
      <c r="GL748" s="29"/>
      <c r="GM748" s="29"/>
      <c r="GN748" s="29"/>
      <c r="GO748" s="29"/>
      <c r="GP748" s="29"/>
      <c r="GQ748" s="29"/>
      <c r="GR748" s="29"/>
      <c r="GS748" s="29"/>
      <c r="GT748" s="29"/>
      <c r="GU748" s="29"/>
      <c r="HP748" s="31"/>
      <c r="MX748" s="29"/>
      <c r="MY748" s="29"/>
    </row>
    <row r="749" ht="16.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c r="BO749" s="29"/>
      <c r="BP749" s="29"/>
      <c r="BQ749" s="29"/>
      <c r="BR749" s="29"/>
      <c r="BS749" s="29"/>
      <c r="BT749" s="29"/>
      <c r="BU749" s="29"/>
      <c r="BV749" s="29"/>
      <c r="BW749" s="29"/>
      <c r="BX749" s="29"/>
      <c r="BY749" s="29"/>
      <c r="BZ749" s="29"/>
      <c r="CA749" s="29"/>
      <c r="CB749" s="29"/>
      <c r="CC749" s="29"/>
      <c r="CD749" s="29"/>
      <c r="CE749" s="29"/>
      <c r="CF749" s="29"/>
      <c r="CG749" s="29"/>
      <c r="CH749" s="29"/>
      <c r="CI749" s="29"/>
      <c r="CJ749" s="29"/>
      <c r="CK749" s="29"/>
      <c r="CL749" s="29"/>
      <c r="CM749" s="29"/>
      <c r="CN749" s="29"/>
      <c r="CO749" s="29"/>
      <c r="CP749" s="29"/>
      <c r="CQ749" s="29"/>
      <c r="CR749" s="29"/>
      <c r="CS749" s="29"/>
      <c r="CT749" s="29"/>
      <c r="CU749" s="29"/>
      <c r="CV749" s="29"/>
      <c r="CW749" s="29"/>
      <c r="CX749" s="29"/>
      <c r="CY749" s="29"/>
      <c r="CZ749" s="29"/>
      <c r="DA749" s="29"/>
      <c r="DB749" s="29"/>
      <c r="DC749" s="29"/>
      <c r="DD749" s="29"/>
      <c r="DE749" s="29"/>
      <c r="DF749" s="29"/>
      <c r="DG749" s="29"/>
      <c r="DH749" s="29"/>
      <c r="DI749" s="29"/>
      <c r="DJ749" s="29"/>
      <c r="DK749" s="29"/>
      <c r="DL749" s="29"/>
      <c r="DM749" s="29"/>
      <c r="DN749" s="29"/>
      <c r="DO749" s="29"/>
      <c r="DP749" s="29"/>
      <c r="DQ749" s="29"/>
      <c r="DR749" s="29"/>
      <c r="DS749" s="29"/>
      <c r="DT749" s="29"/>
      <c r="DU749" s="29"/>
      <c r="DV749" s="29"/>
      <c r="DW749" s="29"/>
      <c r="DX749" s="29"/>
      <c r="DY749" s="29"/>
      <c r="DZ749" s="29"/>
      <c r="EA749" s="29"/>
      <c r="EB749" s="29"/>
      <c r="EC749" s="29"/>
      <c r="ED749" s="29"/>
      <c r="EE749" s="29"/>
      <c r="EF749" s="29"/>
      <c r="EG749" s="29"/>
      <c r="EH749" s="29"/>
      <c r="EI749" s="29"/>
      <c r="EJ749" s="29"/>
      <c r="EK749" s="29"/>
      <c r="EL749" s="29"/>
      <c r="EM749" s="29"/>
      <c r="EN749" s="29"/>
      <c r="EO749" s="29"/>
      <c r="EP749" s="29"/>
      <c r="EQ749" s="29"/>
      <c r="ER749" s="29"/>
      <c r="ES749" s="29"/>
      <c r="ET749" s="29"/>
      <c r="EU749" s="29"/>
      <c r="EV749" s="29"/>
      <c r="EW749" s="29"/>
      <c r="EX749" s="29"/>
      <c r="EY749" s="29"/>
      <c r="EZ749" s="29"/>
      <c r="FA749" s="29"/>
      <c r="FB749" s="29"/>
      <c r="FC749" s="29"/>
      <c r="FD749" s="29"/>
      <c r="FE749" s="29"/>
      <c r="FF749" s="29"/>
      <c r="FG749" s="29"/>
      <c r="FH749" s="29"/>
      <c r="FI749" s="29"/>
      <c r="FJ749" s="29"/>
      <c r="FK749" s="29"/>
      <c r="FL749" s="29"/>
      <c r="FM749" s="29"/>
      <c r="FN749" s="29"/>
      <c r="FO749" s="29"/>
      <c r="FP749" s="29"/>
      <c r="FQ749" s="29"/>
      <c r="FR749" s="29"/>
      <c r="FS749" s="29"/>
      <c r="FT749" s="29"/>
      <c r="FU749" s="29"/>
      <c r="FV749" s="29"/>
      <c r="FW749" s="29"/>
      <c r="FX749" s="29"/>
      <c r="FY749" s="29"/>
      <c r="FZ749" s="29"/>
      <c r="GA749" s="29"/>
      <c r="GB749" s="29"/>
      <c r="GC749" s="29"/>
      <c r="GD749" s="29"/>
      <c r="GE749" s="29"/>
      <c r="GF749" s="29"/>
      <c r="GG749" s="29"/>
      <c r="GH749" s="29"/>
      <c r="GI749" s="29"/>
      <c r="GJ749" s="29"/>
      <c r="GK749" s="29"/>
      <c r="GL749" s="29"/>
      <c r="GM749" s="29"/>
      <c r="GN749" s="29"/>
      <c r="GO749" s="29"/>
      <c r="GP749" s="29"/>
      <c r="GQ749" s="29"/>
      <c r="GR749" s="29"/>
      <c r="GS749" s="29"/>
      <c r="GT749" s="29"/>
      <c r="GU749" s="29"/>
      <c r="HP749" s="31"/>
      <c r="MX749" s="29"/>
      <c r="MY749" s="29"/>
    </row>
    <row r="750" ht="16.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c r="AX750" s="29"/>
      <c r="AY750" s="29"/>
      <c r="AZ750" s="29"/>
      <c r="BA750" s="29"/>
      <c r="BB750" s="29"/>
      <c r="BC750" s="29"/>
      <c r="BD750" s="29"/>
      <c r="BE750" s="29"/>
      <c r="BF750" s="29"/>
      <c r="BG750" s="29"/>
      <c r="BH750" s="29"/>
      <c r="BI750" s="29"/>
      <c r="BJ750" s="29"/>
      <c r="BK750" s="29"/>
      <c r="BL750" s="29"/>
      <c r="BM750" s="29"/>
      <c r="BN750" s="29"/>
      <c r="BO750" s="29"/>
      <c r="BP750" s="29"/>
      <c r="BQ750" s="29"/>
      <c r="BR750" s="29"/>
      <c r="BS750" s="29"/>
      <c r="BT750" s="29"/>
      <c r="BU750" s="29"/>
      <c r="BV750" s="29"/>
      <c r="BW750" s="29"/>
      <c r="BX750" s="29"/>
      <c r="BY750" s="29"/>
      <c r="BZ750" s="29"/>
      <c r="CA750" s="29"/>
      <c r="CB750" s="29"/>
      <c r="CC750" s="29"/>
      <c r="CD750" s="29"/>
      <c r="CE750" s="29"/>
      <c r="CF750" s="29"/>
      <c r="CG750" s="29"/>
      <c r="CH750" s="29"/>
      <c r="CI750" s="29"/>
      <c r="CJ750" s="29"/>
      <c r="CK750" s="29"/>
      <c r="CL750" s="29"/>
      <c r="CM750" s="29"/>
      <c r="CN750" s="29"/>
      <c r="CO750" s="29"/>
      <c r="CP750" s="29"/>
      <c r="CQ750" s="29"/>
      <c r="CR750" s="29"/>
      <c r="CS750" s="29"/>
      <c r="CT750" s="29"/>
      <c r="CU750" s="29"/>
      <c r="CV750" s="29"/>
      <c r="CW750" s="29"/>
      <c r="CX750" s="29"/>
      <c r="CY750" s="29"/>
      <c r="CZ750" s="29"/>
      <c r="DA750" s="29"/>
      <c r="DB750" s="29"/>
      <c r="DC750" s="29"/>
      <c r="DD750" s="29"/>
      <c r="DE750" s="29"/>
      <c r="DF750" s="29"/>
      <c r="DG750" s="29"/>
      <c r="DH750" s="29"/>
      <c r="DI750" s="29"/>
      <c r="DJ750" s="29"/>
      <c r="DK750" s="29"/>
      <c r="DL750" s="29"/>
      <c r="DM750" s="29"/>
      <c r="DN750" s="29"/>
      <c r="DO750" s="29"/>
      <c r="DP750" s="29"/>
      <c r="DQ750" s="29"/>
      <c r="DR750" s="29"/>
      <c r="DS750" s="29"/>
      <c r="DT750" s="29"/>
      <c r="DU750" s="29"/>
      <c r="DV750" s="29"/>
      <c r="DW750" s="29"/>
      <c r="DX750" s="29"/>
      <c r="DY750" s="29"/>
      <c r="DZ750" s="29"/>
      <c r="EA750" s="29"/>
      <c r="EB750" s="29"/>
      <c r="EC750" s="29"/>
      <c r="ED750" s="29"/>
      <c r="EE750" s="29"/>
      <c r="EF750" s="29"/>
      <c r="EG750" s="29"/>
      <c r="EH750" s="29"/>
      <c r="EI750" s="29"/>
      <c r="EJ750" s="29"/>
      <c r="EK750" s="29"/>
      <c r="EL750" s="29"/>
      <c r="EM750" s="29"/>
      <c r="EN750" s="29"/>
      <c r="EO750" s="29"/>
      <c r="EP750" s="29"/>
      <c r="EQ750" s="29"/>
      <c r="ER750" s="29"/>
      <c r="ES750" s="29"/>
      <c r="ET750" s="29"/>
      <c r="EU750" s="29"/>
      <c r="EV750" s="29"/>
      <c r="EW750" s="29"/>
      <c r="EX750" s="29"/>
      <c r="EY750" s="29"/>
      <c r="EZ750" s="29"/>
      <c r="FA750" s="29"/>
      <c r="FB750" s="29"/>
      <c r="FC750" s="29"/>
      <c r="FD750" s="29"/>
      <c r="FE750" s="29"/>
      <c r="FF750" s="29"/>
      <c r="FG750" s="29"/>
      <c r="FH750" s="29"/>
      <c r="FI750" s="29"/>
      <c r="FJ750" s="29"/>
      <c r="FK750" s="29"/>
      <c r="FL750" s="29"/>
      <c r="FM750" s="29"/>
      <c r="FN750" s="29"/>
      <c r="FO750" s="29"/>
      <c r="FP750" s="29"/>
      <c r="FQ750" s="29"/>
      <c r="FR750" s="29"/>
      <c r="FS750" s="29"/>
      <c r="FT750" s="29"/>
      <c r="FU750" s="29"/>
      <c r="FV750" s="29"/>
      <c r="FW750" s="29"/>
      <c r="FX750" s="29"/>
      <c r="FY750" s="29"/>
      <c r="FZ750" s="29"/>
      <c r="GA750" s="29"/>
      <c r="GB750" s="29"/>
      <c r="GC750" s="29"/>
      <c r="GD750" s="29"/>
      <c r="GE750" s="29"/>
      <c r="GF750" s="29"/>
      <c r="GG750" s="29"/>
      <c r="GH750" s="29"/>
      <c r="GI750" s="29"/>
      <c r="GJ750" s="29"/>
      <c r="GK750" s="29"/>
      <c r="GL750" s="29"/>
      <c r="GM750" s="29"/>
      <c r="GN750" s="29"/>
      <c r="GO750" s="29"/>
      <c r="GP750" s="29"/>
      <c r="GQ750" s="29"/>
      <c r="GR750" s="29"/>
      <c r="GS750" s="29"/>
      <c r="GT750" s="29"/>
      <c r="GU750" s="29"/>
      <c r="HP750" s="31"/>
      <c r="MX750" s="29"/>
      <c r="MY750" s="29"/>
    </row>
    <row r="751" ht="16.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c r="BO751" s="29"/>
      <c r="BP751" s="29"/>
      <c r="BQ751" s="29"/>
      <c r="BR751" s="29"/>
      <c r="BS751" s="29"/>
      <c r="BT751" s="29"/>
      <c r="BU751" s="29"/>
      <c r="BV751" s="29"/>
      <c r="BW751" s="29"/>
      <c r="BX751" s="29"/>
      <c r="BY751" s="29"/>
      <c r="BZ751" s="29"/>
      <c r="CA751" s="29"/>
      <c r="CB751" s="29"/>
      <c r="CC751" s="29"/>
      <c r="CD751" s="29"/>
      <c r="CE751" s="29"/>
      <c r="CF751" s="29"/>
      <c r="CG751" s="29"/>
      <c r="CH751" s="29"/>
      <c r="CI751" s="29"/>
      <c r="CJ751" s="29"/>
      <c r="CK751" s="29"/>
      <c r="CL751" s="29"/>
      <c r="CM751" s="29"/>
      <c r="CN751" s="29"/>
      <c r="CO751" s="29"/>
      <c r="CP751" s="29"/>
      <c r="CQ751" s="29"/>
      <c r="CR751" s="29"/>
      <c r="CS751" s="29"/>
      <c r="CT751" s="29"/>
      <c r="CU751" s="29"/>
      <c r="CV751" s="29"/>
      <c r="CW751" s="29"/>
      <c r="CX751" s="29"/>
      <c r="CY751" s="29"/>
      <c r="CZ751" s="29"/>
      <c r="DA751" s="29"/>
      <c r="DB751" s="29"/>
      <c r="DC751" s="29"/>
      <c r="DD751" s="29"/>
      <c r="DE751" s="29"/>
      <c r="DF751" s="29"/>
      <c r="DG751" s="29"/>
      <c r="DH751" s="29"/>
      <c r="DI751" s="29"/>
      <c r="DJ751" s="29"/>
      <c r="DK751" s="29"/>
      <c r="DL751" s="29"/>
      <c r="DM751" s="29"/>
      <c r="DN751" s="29"/>
      <c r="DO751" s="29"/>
      <c r="DP751" s="29"/>
      <c r="DQ751" s="29"/>
      <c r="DR751" s="29"/>
      <c r="DS751" s="29"/>
      <c r="DT751" s="29"/>
      <c r="DU751" s="29"/>
      <c r="DV751" s="29"/>
      <c r="DW751" s="29"/>
      <c r="DX751" s="29"/>
      <c r="DY751" s="29"/>
      <c r="DZ751" s="29"/>
      <c r="EA751" s="29"/>
      <c r="EB751" s="29"/>
      <c r="EC751" s="29"/>
      <c r="ED751" s="29"/>
      <c r="EE751" s="29"/>
      <c r="EF751" s="29"/>
      <c r="EG751" s="29"/>
      <c r="EH751" s="29"/>
      <c r="EI751" s="29"/>
      <c r="EJ751" s="29"/>
      <c r="EK751" s="29"/>
      <c r="EL751" s="29"/>
      <c r="EM751" s="29"/>
      <c r="EN751" s="29"/>
      <c r="EO751" s="29"/>
      <c r="EP751" s="29"/>
      <c r="EQ751" s="29"/>
      <c r="ER751" s="29"/>
      <c r="ES751" s="29"/>
      <c r="ET751" s="29"/>
      <c r="EU751" s="29"/>
      <c r="EV751" s="29"/>
      <c r="EW751" s="29"/>
      <c r="EX751" s="29"/>
      <c r="EY751" s="29"/>
      <c r="EZ751" s="29"/>
      <c r="FA751" s="29"/>
      <c r="FB751" s="29"/>
      <c r="FC751" s="29"/>
      <c r="FD751" s="29"/>
      <c r="FE751" s="29"/>
      <c r="FF751" s="29"/>
      <c r="FG751" s="29"/>
      <c r="FH751" s="29"/>
      <c r="FI751" s="29"/>
      <c r="FJ751" s="29"/>
      <c r="FK751" s="29"/>
      <c r="FL751" s="29"/>
      <c r="FM751" s="29"/>
      <c r="FN751" s="29"/>
      <c r="FO751" s="29"/>
      <c r="FP751" s="29"/>
      <c r="FQ751" s="29"/>
      <c r="FR751" s="29"/>
      <c r="FS751" s="29"/>
      <c r="FT751" s="29"/>
      <c r="FU751" s="29"/>
      <c r="FV751" s="29"/>
      <c r="FW751" s="29"/>
      <c r="FX751" s="29"/>
      <c r="FY751" s="29"/>
      <c r="FZ751" s="29"/>
      <c r="GA751" s="29"/>
      <c r="GB751" s="29"/>
      <c r="GC751" s="29"/>
      <c r="GD751" s="29"/>
      <c r="GE751" s="29"/>
      <c r="GF751" s="29"/>
      <c r="GG751" s="29"/>
      <c r="GH751" s="29"/>
      <c r="GI751" s="29"/>
      <c r="GJ751" s="29"/>
      <c r="GK751" s="29"/>
      <c r="GL751" s="29"/>
      <c r="GM751" s="29"/>
      <c r="GN751" s="29"/>
      <c r="GO751" s="29"/>
      <c r="GP751" s="29"/>
      <c r="GQ751" s="29"/>
      <c r="GR751" s="29"/>
      <c r="GS751" s="29"/>
      <c r="GT751" s="29"/>
      <c r="GU751" s="29"/>
      <c r="HP751" s="31"/>
      <c r="MX751" s="29"/>
      <c r="MY751" s="29"/>
    </row>
    <row r="752" ht="16.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c r="AX752" s="29"/>
      <c r="AY752" s="29"/>
      <c r="AZ752" s="29"/>
      <c r="BA752" s="29"/>
      <c r="BB752" s="29"/>
      <c r="BC752" s="29"/>
      <c r="BD752" s="29"/>
      <c r="BE752" s="29"/>
      <c r="BF752" s="29"/>
      <c r="BG752" s="29"/>
      <c r="BH752" s="29"/>
      <c r="BI752" s="29"/>
      <c r="BJ752" s="29"/>
      <c r="BK752" s="29"/>
      <c r="BL752" s="29"/>
      <c r="BM752" s="29"/>
      <c r="BN752" s="29"/>
      <c r="BO752" s="29"/>
      <c r="BP752" s="29"/>
      <c r="BQ752" s="29"/>
      <c r="BR752" s="29"/>
      <c r="BS752" s="29"/>
      <c r="BT752" s="29"/>
      <c r="BU752" s="29"/>
      <c r="BV752" s="29"/>
      <c r="BW752" s="29"/>
      <c r="BX752" s="29"/>
      <c r="BY752" s="29"/>
      <c r="BZ752" s="29"/>
      <c r="CA752" s="29"/>
      <c r="CB752" s="29"/>
      <c r="CC752" s="29"/>
      <c r="CD752" s="29"/>
      <c r="CE752" s="29"/>
      <c r="CF752" s="29"/>
      <c r="CG752" s="29"/>
      <c r="CH752" s="29"/>
      <c r="CI752" s="29"/>
      <c r="CJ752" s="29"/>
      <c r="CK752" s="29"/>
      <c r="CL752" s="29"/>
      <c r="CM752" s="29"/>
      <c r="CN752" s="29"/>
      <c r="CO752" s="29"/>
      <c r="CP752" s="29"/>
      <c r="CQ752" s="29"/>
      <c r="CR752" s="29"/>
      <c r="CS752" s="29"/>
      <c r="CT752" s="29"/>
      <c r="CU752" s="29"/>
      <c r="CV752" s="29"/>
      <c r="CW752" s="29"/>
      <c r="CX752" s="29"/>
      <c r="CY752" s="29"/>
      <c r="CZ752" s="29"/>
      <c r="DA752" s="29"/>
      <c r="DB752" s="29"/>
      <c r="DC752" s="29"/>
      <c r="DD752" s="29"/>
      <c r="DE752" s="29"/>
      <c r="DF752" s="29"/>
      <c r="DG752" s="29"/>
      <c r="DH752" s="29"/>
      <c r="DI752" s="29"/>
      <c r="DJ752" s="29"/>
      <c r="DK752" s="29"/>
      <c r="DL752" s="29"/>
      <c r="DM752" s="29"/>
      <c r="DN752" s="29"/>
      <c r="DO752" s="29"/>
      <c r="DP752" s="29"/>
      <c r="DQ752" s="29"/>
      <c r="DR752" s="29"/>
      <c r="DS752" s="29"/>
      <c r="DT752" s="29"/>
      <c r="DU752" s="29"/>
      <c r="DV752" s="29"/>
      <c r="DW752" s="29"/>
      <c r="DX752" s="29"/>
      <c r="DY752" s="29"/>
      <c r="DZ752" s="29"/>
      <c r="EA752" s="29"/>
      <c r="EB752" s="29"/>
      <c r="EC752" s="29"/>
      <c r="ED752" s="29"/>
      <c r="EE752" s="29"/>
      <c r="EF752" s="29"/>
      <c r="EG752" s="29"/>
      <c r="EH752" s="29"/>
      <c r="EI752" s="29"/>
      <c r="EJ752" s="29"/>
      <c r="EK752" s="29"/>
      <c r="EL752" s="29"/>
      <c r="EM752" s="29"/>
      <c r="EN752" s="29"/>
      <c r="EO752" s="29"/>
      <c r="EP752" s="29"/>
      <c r="EQ752" s="29"/>
      <c r="ER752" s="29"/>
      <c r="ES752" s="29"/>
      <c r="ET752" s="29"/>
      <c r="EU752" s="29"/>
      <c r="EV752" s="29"/>
      <c r="EW752" s="29"/>
      <c r="EX752" s="29"/>
      <c r="EY752" s="29"/>
      <c r="EZ752" s="29"/>
      <c r="FA752" s="29"/>
      <c r="FB752" s="29"/>
      <c r="FC752" s="29"/>
      <c r="FD752" s="29"/>
      <c r="FE752" s="29"/>
      <c r="FF752" s="29"/>
      <c r="FG752" s="29"/>
      <c r="FH752" s="29"/>
      <c r="FI752" s="29"/>
      <c r="FJ752" s="29"/>
      <c r="FK752" s="29"/>
      <c r="FL752" s="29"/>
      <c r="FM752" s="29"/>
      <c r="FN752" s="29"/>
      <c r="FO752" s="29"/>
      <c r="FP752" s="29"/>
      <c r="FQ752" s="29"/>
      <c r="FR752" s="29"/>
      <c r="FS752" s="29"/>
      <c r="FT752" s="29"/>
      <c r="FU752" s="29"/>
      <c r="FV752" s="29"/>
      <c r="FW752" s="29"/>
      <c r="FX752" s="29"/>
      <c r="FY752" s="29"/>
      <c r="FZ752" s="29"/>
      <c r="GA752" s="29"/>
      <c r="GB752" s="29"/>
      <c r="GC752" s="29"/>
      <c r="GD752" s="29"/>
      <c r="GE752" s="29"/>
      <c r="GF752" s="29"/>
      <c r="GG752" s="29"/>
      <c r="GH752" s="29"/>
      <c r="GI752" s="29"/>
      <c r="GJ752" s="29"/>
      <c r="GK752" s="29"/>
      <c r="GL752" s="29"/>
      <c r="GM752" s="29"/>
      <c r="GN752" s="29"/>
      <c r="GO752" s="29"/>
      <c r="GP752" s="29"/>
      <c r="GQ752" s="29"/>
      <c r="GR752" s="29"/>
      <c r="GS752" s="29"/>
      <c r="GT752" s="29"/>
      <c r="GU752" s="29"/>
      <c r="HP752" s="31"/>
      <c r="MX752" s="29"/>
      <c r="MY752" s="29"/>
    </row>
    <row r="753" ht="16.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c r="BO753" s="29"/>
      <c r="BP753" s="29"/>
      <c r="BQ753" s="29"/>
      <c r="BR753" s="29"/>
      <c r="BS753" s="29"/>
      <c r="BT753" s="29"/>
      <c r="BU753" s="29"/>
      <c r="BV753" s="29"/>
      <c r="BW753" s="29"/>
      <c r="BX753" s="29"/>
      <c r="BY753" s="29"/>
      <c r="BZ753" s="29"/>
      <c r="CA753" s="29"/>
      <c r="CB753" s="29"/>
      <c r="CC753" s="29"/>
      <c r="CD753" s="29"/>
      <c r="CE753" s="29"/>
      <c r="CF753" s="29"/>
      <c r="CG753" s="29"/>
      <c r="CH753" s="29"/>
      <c r="CI753" s="29"/>
      <c r="CJ753" s="29"/>
      <c r="CK753" s="29"/>
      <c r="CL753" s="29"/>
      <c r="CM753" s="29"/>
      <c r="CN753" s="29"/>
      <c r="CO753" s="29"/>
      <c r="CP753" s="29"/>
      <c r="CQ753" s="29"/>
      <c r="CR753" s="29"/>
      <c r="CS753" s="29"/>
      <c r="CT753" s="29"/>
      <c r="CU753" s="29"/>
      <c r="CV753" s="29"/>
      <c r="CW753" s="29"/>
      <c r="CX753" s="29"/>
      <c r="CY753" s="29"/>
      <c r="CZ753" s="29"/>
      <c r="DA753" s="29"/>
      <c r="DB753" s="29"/>
      <c r="DC753" s="29"/>
      <c r="DD753" s="29"/>
      <c r="DE753" s="29"/>
      <c r="DF753" s="29"/>
      <c r="DG753" s="29"/>
      <c r="DH753" s="29"/>
      <c r="DI753" s="29"/>
      <c r="DJ753" s="29"/>
      <c r="DK753" s="29"/>
      <c r="DL753" s="29"/>
      <c r="DM753" s="29"/>
      <c r="DN753" s="29"/>
      <c r="DO753" s="29"/>
      <c r="DP753" s="29"/>
      <c r="DQ753" s="29"/>
      <c r="DR753" s="29"/>
      <c r="DS753" s="29"/>
      <c r="DT753" s="29"/>
      <c r="DU753" s="29"/>
      <c r="DV753" s="29"/>
      <c r="DW753" s="29"/>
      <c r="DX753" s="29"/>
      <c r="DY753" s="29"/>
      <c r="DZ753" s="29"/>
      <c r="EA753" s="29"/>
      <c r="EB753" s="29"/>
      <c r="EC753" s="29"/>
      <c r="ED753" s="29"/>
      <c r="EE753" s="29"/>
      <c r="EF753" s="29"/>
      <c r="EG753" s="29"/>
      <c r="EH753" s="29"/>
      <c r="EI753" s="29"/>
      <c r="EJ753" s="29"/>
      <c r="EK753" s="29"/>
      <c r="EL753" s="29"/>
      <c r="EM753" s="29"/>
      <c r="EN753" s="29"/>
      <c r="EO753" s="29"/>
      <c r="EP753" s="29"/>
      <c r="EQ753" s="29"/>
      <c r="ER753" s="29"/>
      <c r="ES753" s="29"/>
      <c r="ET753" s="29"/>
      <c r="EU753" s="29"/>
      <c r="EV753" s="29"/>
      <c r="EW753" s="29"/>
      <c r="EX753" s="29"/>
      <c r="EY753" s="29"/>
      <c r="EZ753" s="29"/>
      <c r="FA753" s="29"/>
      <c r="FB753" s="29"/>
      <c r="FC753" s="29"/>
      <c r="FD753" s="29"/>
      <c r="FE753" s="29"/>
      <c r="FF753" s="29"/>
      <c r="FG753" s="29"/>
      <c r="FH753" s="29"/>
      <c r="FI753" s="29"/>
      <c r="FJ753" s="29"/>
      <c r="FK753" s="29"/>
      <c r="FL753" s="29"/>
      <c r="FM753" s="29"/>
      <c r="FN753" s="29"/>
      <c r="FO753" s="29"/>
      <c r="FP753" s="29"/>
      <c r="FQ753" s="29"/>
      <c r="FR753" s="29"/>
      <c r="FS753" s="29"/>
      <c r="FT753" s="29"/>
      <c r="FU753" s="29"/>
      <c r="FV753" s="29"/>
      <c r="FW753" s="29"/>
      <c r="FX753" s="29"/>
      <c r="FY753" s="29"/>
      <c r="FZ753" s="29"/>
      <c r="GA753" s="29"/>
      <c r="GB753" s="29"/>
      <c r="GC753" s="29"/>
      <c r="GD753" s="29"/>
      <c r="GE753" s="29"/>
      <c r="GF753" s="29"/>
      <c r="GG753" s="29"/>
      <c r="GH753" s="29"/>
      <c r="GI753" s="29"/>
      <c r="GJ753" s="29"/>
      <c r="GK753" s="29"/>
      <c r="GL753" s="29"/>
      <c r="GM753" s="29"/>
      <c r="GN753" s="29"/>
      <c r="GO753" s="29"/>
      <c r="GP753" s="29"/>
      <c r="GQ753" s="29"/>
      <c r="GR753" s="29"/>
      <c r="GS753" s="29"/>
      <c r="GT753" s="29"/>
      <c r="GU753" s="29"/>
      <c r="HP753" s="31"/>
      <c r="MX753" s="29"/>
      <c r="MY753" s="29"/>
    </row>
    <row r="754" ht="16.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c r="AX754" s="29"/>
      <c r="AY754" s="29"/>
      <c r="AZ754" s="29"/>
      <c r="BA754" s="29"/>
      <c r="BB754" s="29"/>
      <c r="BC754" s="29"/>
      <c r="BD754" s="29"/>
      <c r="BE754" s="29"/>
      <c r="BF754" s="29"/>
      <c r="BG754" s="29"/>
      <c r="BH754" s="29"/>
      <c r="BI754" s="29"/>
      <c r="BJ754" s="29"/>
      <c r="BK754" s="29"/>
      <c r="BL754" s="29"/>
      <c r="BM754" s="29"/>
      <c r="BN754" s="29"/>
      <c r="BO754" s="29"/>
      <c r="BP754" s="29"/>
      <c r="BQ754" s="29"/>
      <c r="BR754" s="29"/>
      <c r="BS754" s="29"/>
      <c r="BT754" s="29"/>
      <c r="BU754" s="29"/>
      <c r="BV754" s="29"/>
      <c r="BW754" s="29"/>
      <c r="BX754" s="29"/>
      <c r="BY754" s="29"/>
      <c r="BZ754" s="29"/>
      <c r="CA754" s="29"/>
      <c r="CB754" s="29"/>
      <c r="CC754" s="29"/>
      <c r="CD754" s="29"/>
      <c r="CE754" s="29"/>
      <c r="CF754" s="29"/>
      <c r="CG754" s="29"/>
      <c r="CH754" s="29"/>
      <c r="CI754" s="29"/>
      <c r="CJ754" s="29"/>
      <c r="CK754" s="29"/>
      <c r="CL754" s="29"/>
      <c r="CM754" s="29"/>
      <c r="CN754" s="29"/>
      <c r="CO754" s="29"/>
      <c r="CP754" s="29"/>
      <c r="CQ754" s="29"/>
      <c r="CR754" s="29"/>
      <c r="CS754" s="29"/>
      <c r="CT754" s="29"/>
      <c r="CU754" s="29"/>
      <c r="CV754" s="29"/>
      <c r="CW754" s="29"/>
      <c r="CX754" s="29"/>
      <c r="CY754" s="29"/>
      <c r="CZ754" s="29"/>
      <c r="DA754" s="29"/>
      <c r="DB754" s="29"/>
      <c r="DC754" s="29"/>
      <c r="DD754" s="29"/>
      <c r="DE754" s="29"/>
      <c r="DF754" s="29"/>
      <c r="DG754" s="29"/>
      <c r="DH754" s="29"/>
      <c r="DI754" s="29"/>
      <c r="DJ754" s="29"/>
      <c r="DK754" s="29"/>
      <c r="DL754" s="29"/>
      <c r="DM754" s="29"/>
      <c r="DN754" s="29"/>
      <c r="DO754" s="29"/>
      <c r="DP754" s="29"/>
      <c r="DQ754" s="29"/>
      <c r="DR754" s="29"/>
      <c r="DS754" s="29"/>
      <c r="DT754" s="29"/>
      <c r="DU754" s="29"/>
      <c r="DV754" s="29"/>
      <c r="DW754" s="29"/>
      <c r="DX754" s="29"/>
      <c r="DY754" s="29"/>
      <c r="DZ754" s="29"/>
      <c r="EA754" s="29"/>
      <c r="EB754" s="29"/>
      <c r="EC754" s="29"/>
      <c r="ED754" s="29"/>
      <c r="EE754" s="29"/>
      <c r="EF754" s="29"/>
      <c r="EG754" s="29"/>
      <c r="EH754" s="29"/>
      <c r="EI754" s="29"/>
      <c r="EJ754" s="29"/>
      <c r="EK754" s="29"/>
      <c r="EL754" s="29"/>
      <c r="EM754" s="29"/>
      <c r="EN754" s="29"/>
      <c r="EO754" s="29"/>
      <c r="EP754" s="29"/>
      <c r="EQ754" s="29"/>
      <c r="ER754" s="29"/>
      <c r="ES754" s="29"/>
      <c r="ET754" s="29"/>
      <c r="EU754" s="29"/>
      <c r="EV754" s="29"/>
      <c r="EW754" s="29"/>
      <c r="EX754" s="29"/>
      <c r="EY754" s="29"/>
      <c r="EZ754" s="29"/>
      <c r="FA754" s="29"/>
      <c r="FB754" s="29"/>
      <c r="FC754" s="29"/>
      <c r="FD754" s="29"/>
      <c r="FE754" s="29"/>
      <c r="FF754" s="29"/>
      <c r="FG754" s="29"/>
      <c r="FH754" s="29"/>
      <c r="FI754" s="29"/>
      <c r="FJ754" s="29"/>
      <c r="FK754" s="29"/>
      <c r="FL754" s="29"/>
      <c r="FM754" s="29"/>
      <c r="FN754" s="29"/>
      <c r="FO754" s="29"/>
      <c r="FP754" s="29"/>
      <c r="FQ754" s="29"/>
      <c r="FR754" s="29"/>
      <c r="FS754" s="29"/>
      <c r="FT754" s="29"/>
      <c r="FU754" s="29"/>
      <c r="FV754" s="29"/>
      <c r="FW754" s="29"/>
      <c r="FX754" s="29"/>
      <c r="FY754" s="29"/>
      <c r="FZ754" s="29"/>
      <c r="GA754" s="29"/>
      <c r="GB754" s="29"/>
      <c r="GC754" s="29"/>
      <c r="GD754" s="29"/>
      <c r="GE754" s="29"/>
      <c r="GF754" s="29"/>
      <c r="GG754" s="29"/>
      <c r="GH754" s="29"/>
      <c r="GI754" s="29"/>
      <c r="GJ754" s="29"/>
      <c r="GK754" s="29"/>
      <c r="GL754" s="29"/>
      <c r="GM754" s="29"/>
      <c r="GN754" s="29"/>
      <c r="GO754" s="29"/>
      <c r="GP754" s="29"/>
      <c r="GQ754" s="29"/>
      <c r="GR754" s="29"/>
      <c r="GS754" s="29"/>
      <c r="GT754" s="29"/>
      <c r="GU754" s="29"/>
      <c r="HP754" s="31"/>
      <c r="MX754" s="29"/>
      <c r="MY754" s="29"/>
    </row>
    <row r="755" ht="16.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c r="BO755" s="29"/>
      <c r="BP755" s="29"/>
      <c r="BQ755" s="29"/>
      <c r="BR755" s="29"/>
      <c r="BS755" s="29"/>
      <c r="BT755" s="29"/>
      <c r="BU755" s="29"/>
      <c r="BV755" s="29"/>
      <c r="BW755" s="29"/>
      <c r="BX755" s="29"/>
      <c r="BY755" s="29"/>
      <c r="BZ755" s="29"/>
      <c r="CA755" s="29"/>
      <c r="CB755" s="29"/>
      <c r="CC755" s="29"/>
      <c r="CD755" s="29"/>
      <c r="CE755" s="29"/>
      <c r="CF755" s="29"/>
      <c r="CG755" s="29"/>
      <c r="CH755" s="29"/>
      <c r="CI755" s="29"/>
      <c r="CJ755" s="29"/>
      <c r="CK755" s="29"/>
      <c r="CL755" s="29"/>
      <c r="CM755" s="29"/>
      <c r="CN755" s="29"/>
      <c r="CO755" s="29"/>
      <c r="CP755" s="29"/>
      <c r="CQ755" s="29"/>
      <c r="CR755" s="29"/>
      <c r="CS755" s="29"/>
      <c r="CT755" s="29"/>
      <c r="CU755" s="29"/>
      <c r="CV755" s="29"/>
      <c r="CW755" s="29"/>
      <c r="CX755" s="29"/>
      <c r="CY755" s="29"/>
      <c r="CZ755" s="29"/>
      <c r="DA755" s="29"/>
      <c r="DB755" s="29"/>
      <c r="DC755" s="29"/>
      <c r="DD755" s="29"/>
      <c r="DE755" s="29"/>
      <c r="DF755" s="29"/>
      <c r="DG755" s="29"/>
      <c r="DH755" s="29"/>
      <c r="DI755" s="29"/>
      <c r="DJ755" s="29"/>
      <c r="DK755" s="29"/>
      <c r="DL755" s="29"/>
      <c r="DM755" s="29"/>
      <c r="DN755" s="29"/>
      <c r="DO755" s="29"/>
      <c r="DP755" s="29"/>
      <c r="DQ755" s="29"/>
      <c r="DR755" s="29"/>
      <c r="DS755" s="29"/>
      <c r="DT755" s="29"/>
      <c r="DU755" s="29"/>
      <c r="DV755" s="29"/>
      <c r="DW755" s="29"/>
      <c r="DX755" s="29"/>
      <c r="DY755" s="29"/>
      <c r="DZ755" s="29"/>
      <c r="EA755" s="29"/>
      <c r="EB755" s="29"/>
      <c r="EC755" s="29"/>
      <c r="ED755" s="29"/>
      <c r="EE755" s="29"/>
      <c r="EF755" s="29"/>
      <c r="EG755" s="29"/>
      <c r="EH755" s="29"/>
      <c r="EI755" s="29"/>
      <c r="EJ755" s="29"/>
      <c r="EK755" s="29"/>
      <c r="EL755" s="29"/>
      <c r="EM755" s="29"/>
      <c r="EN755" s="29"/>
      <c r="EO755" s="29"/>
      <c r="EP755" s="29"/>
      <c r="EQ755" s="29"/>
      <c r="ER755" s="29"/>
      <c r="ES755" s="29"/>
      <c r="ET755" s="29"/>
      <c r="EU755" s="29"/>
      <c r="EV755" s="29"/>
      <c r="EW755" s="29"/>
      <c r="EX755" s="29"/>
      <c r="EY755" s="29"/>
      <c r="EZ755" s="29"/>
      <c r="FA755" s="29"/>
      <c r="FB755" s="29"/>
      <c r="FC755" s="29"/>
      <c r="FD755" s="29"/>
      <c r="FE755" s="29"/>
      <c r="FF755" s="29"/>
      <c r="FG755" s="29"/>
      <c r="FH755" s="29"/>
      <c r="FI755" s="29"/>
      <c r="FJ755" s="29"/>
      <c r="FK755" s="29"/>
      <c r="FL755" s="29"/>
      <c r="FM755" s="29"/>
      <c r="FN755" s="29"/>
      <c r="FO755" s="29"/>
      <c r="FP755" s="29"/>
      <c r="FQ755" s="29"/>
      <c r="FR755" s="29"/>
      <c r="FS755" s="29"/>
      <c r="FT755" s="29"/>
      <c r="FU755" s="29"/>
      <c r="FV755" s="29"/>
      <c r="FW755" s="29"/>
      <c r="FX755" s="29"/>
      <c r="FY755" s="29"/>
      <c r="FZ755" s="29"/>
      <c r="GA755" s="29"/>
      <c r="GB755" s="29"/>
      <c r="GC755" s="29"/>
      <c r="GD755" s="29"/>
      <c r="GE755" s="29"/>
      <c r="GF755" s="29"/>
      <c r="GG755" s="29"/>
      <c r="GH755" s="29"/>
      <c r="GI755" s="29"/>
      <c r="GJ755" s="29"/>
      <c r="GK755" s="29"/>
      <c r="GL755" s="29"/>
      <c r="GM755" s="29"/>
      <c r="GN755" s="29"/>
      <c r="GO755" s="29"/>
      <c r="GP755" s="29"/>
      <c r="GQ755" s="29"/>
      <c r="GR755" s="29"/>
      <c r="GS755" s="29"/>
      <c r="GT755" s="29"/>
      <c r="GU755" s="29"/>
      <c r="HP755" s="31"/>
      <c r="MX755" s="29"/>
      <c r="MY755" s="29"/>
    </row>
    <row r="756" ht="16.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c r="AX756" s="29"/>
      <c r="AY756" s="29"/>
      <c r="AZ756" s="29"/>
      <c r="BA756" s="29"/>
      <c r="BB756" s="29"/>
      <c r="BC756" s="29"/>
      <c r="BD756" s="29"/>
      <c r="BE756" s="29"/>
      <c r="BF756" s="29"/>
      <c r="BG756" s="29"/>
      <c r="BH756" s="29"/>
      <c r="BI756" s="29"/>
      <c r="BJ756" s="29"/>
      <c r="BK756" s="29"/>
      <c r="BL756" s="29"/>
      <c r="BM756" s="29"/>
      <c r="BN756" s="29"/>
      <c r="BO756" s="29"/>
      <c r="BP756" s="29"/>
      <c r="BQ756" s="29"/>
      <c r="BR756" s="29"/>
      <c r="BS756" s="29"/>
      <c r="BT756" s="29"/>
      <c r="BU756" s="29"/>
      <c r="BV756" s="29"/>
      <c r="BW756" s="29"/>
      <c r="BX756" s="29"/>
      <c r="BY756" s="29"/>
      <c r="BZ756" s="29"/>
      <c r="CA756" s="29"/>
      <c r="CB756" s="29"/>
      <c r="CC756" s="29"/>
      <c r="CD756" s="29"/>
      <c r="CE756" s="29"/>
      <c r="CF756" s="29"/>
      <c r="CG756" s="29"/>
      <c r="CH756" s="29"/>
      <c r="CI756" s="29"/>
      <c r="CJ756" s="29"/>
      <c r="CK756" s="29"/>
      <c r="CL756" s="29"/>
      <c r="CM756" s="29"/>
      <c r="CN756" s="29"/>
      <c r="CO756" s="29"/>
      <c r="CP756" s="29"/>
      <c r="CQ756" s="29"/>
      <c r="CR756" s="29"/>
      <c r="CS756" s="29"/>
      <c r="CT756" s="29"/>
      <c r="CU756" s="29"/>
      <c r="CV756" s="29"/>
      <c r="CW756" s="29"/>
      <c r="CX756" s="29"/>
      <c r="CY756" s="29"/>
      <c r="CZ756" s="29"/>
      <c r="DA756" s="29"/>
      <c r="DB756" s="29"/>
      <c r="DC756" s="29"/>
      <c r="DD756" s="29"/>
      <c r="DE756" s="29"/>
      <c r="DF756" s="29"/>
      <c r="DG756" s="29"/>
      <c r="DH756" s="29"/>
      <c r="DI756" s="29"/>
      <c r="DJ756" s="29"/>
      <c r="DK756" s="29"/>
      <c r="DL756" s="29"/>
      <c r="DM756" s="29"/>
      <c r="DN756" s="29"/>
      <c r="DO756" s="29"/>
      <c r="DP756" s="29"/>
      <c r="DQ756" s="29"/>
      <c r="DR756" s="29"/>
      <c r="DS756" s="29"/>
      <c r="DT756" s="29"/>
      <c r="DU756" s="29"/>
      <c r="DV756" s="29"/>
      <c r="DW756" s="29"/>
      <c r="DX756" s="29"/>
      <c r="DY756" s="29"/>
      <c r="DZ756" s="29"/>
      <c r="EA756" s="29"/>
      <c r="EB756" s="29"/>
      <c r="EC756" s="29"/>
      <c r="ED756" s="29"/>
      <c r="EE756" s="29"/>
      <c r="EF756" s="29"/>
      <c r="EG756" s="29"/>
      <c r="EH756" s="29"/>
      <c r="EI756" s="29"/>
      <c r="EJ756" s="29"/>
      <c r="EK756" s="29"/>
      <c r="EL756" s="29"/>
      <c r="EM756" s="29"/>
      <c r="EN756" s="29"/>
      <c r="EO756" s="29"/>
      <c r="EP756" s="29"/>
      <c r="EQ756" s="29"/>
      <c r="ER756" s="29"/>
      <c r="ES756" s="29"/>
      <c r="ET756" s="29"/>
      <c r="EU756" s="29"/>
      <c r="EV756" s="29"/>
      <c r="EW756" s="29"/>
      <c r="EX756" s="29"/>
      <c r="EY756" s="29"/>
      <c r="EZ756" s="29"/>
      <c r="FA756" s="29"/>
      <c r="FB756" s="29"/>
      <c r="FC756" s="29"/>
      <c r="FD756" s="29"/>
      <c r="FE756" s="29"/>
      <c r="FF756" s="29"/>
      <c r="FG756" s="29"/>
      <c r="FH756" s="29"/>
      <c r="FI756" s="29"/>
      <c r="FJ756" s="29"/>
      <c r="FK756" s="29"/>
      <c r="FL756" s="29"/>
      <c r="FM756" s="29"/>
      <c r="FN756" s="29"/>
      <c r="FO756" s="29"/>
      <c r="FP756" s="29"/>
      <c r="FQ756" s="29"/>
      <c r="FR756" s="29"/>
      <c r="FS756" s="29"/>
      <c r="FT756" s="29"/>
      <c r="FU756" s="29"/>
      <c r="FV756" s="29"/>
      <c r="FW756" s="29"/>
      <c r="FX756" s="29"/>
      <c r="FY756" s="29"/>
      <c r="FZ756" s="29"/>
      <c r="GA756" s="29"/>
      <c r="GB756" s="29"/>
      <c r="GC756" s="29"/>
      <c r="GD756" s="29"/>
      <c r="GE756" s="29"/>
      <c r="GF756" s="29"/>
      <c r="GG756" s="29"/>
      <c r="GH756" s="29"/>
      <c r="GI756" s="29"/>
      <c r="GJ756" s="29"/>
      <c r="GK756" s="29"/>
      <c r="GL756" s="29"/>
      <c r="GM756" s="29"/>
      <c r="GN756" s="29"/>
      <c r="GO756" s="29"/>
      <c r="GP756" s="29"/>
      <c r="GQ756" s="29"/>
      <c r="GR756" s="29"/>
      <c r="GS756" s="29"/>
      <c r="GT756" s="29"/>
      <c r="GU756" s="29"/>
      <c r="HP756" s="31"/>
      <c r="MX756" s="29"/>
      <c r="MY756" s="29"/>
    </row>
    <row r="757" ht="16.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c r="BO757" s="29"/>
      <c r="BP757" s="29"/>
      <c r="BQ757" s="29"/>
      <c r="BR757" s="29"/>
      <c r="BS757" s="29"/>
      <c r="BT757" s="29"/>
      <c r="BU757" s="29"/>
      <c r="BV757" s="29"/>
      <c r="BW757" s="29"/>
      <c r="BX757" s="29"/>
      <c r="BY757" s="29"/>
      <c r="BZ757" s="29"/>
      <c r="CA757" s="29"/>
      <c r="CB757" s="29"/>
      <c r="CC757" s="29"/>
      <c r="CD757" s="29"/>
      <c r="CE757" s="29"/>
      <c r="CF757" s="29"/>
      <c r="CG757" s="29"/>
      <c r="CH757" s="29"/>
      <c r="CI757" s="29"/>
      <c r="CJ757" s="29"/>
      <c r="CK757" s="29"/>
      <c r="CL757" s="29"/>
      <c r="CM757" s="29"/>
      <c r="CN757" s="29"/>
      <c r="CO757" s="29"/>
      <c r="CP757" s="29"/>
      <c r="CQ757" s="29"/>
      <c r="CR757" s="29"/>
      <c r="CS757" s="29"/>
      <c r="CT757" s="29"/>
      <c r="CU757" s="29"/>
      <c r="CV757" s="29"/>
      <c r="CW757" s="29"/>
      <c r="CX757" s="29"/>
      <c r="CY757" s="29"/>
      <c r="CZ757" s="29"/>
      <c r="DA757" s="29"/>
      <c r="DB757" s="29"/>
      <c r="DC757" s="29"/>
      <c r="DD757" s="29"/>
      <c r="DE757" s="29"/>
      <c r="DF757" s="29"/>
      <c r="DG757" s="29"/>
      <c r="DH757" s="29"/>
      <c r="DI757" s="29"/>
      <c r="DJ757" s="29"/>
      <c r="DK757" s="29"/>
      <c r="DL757" s="29"/>
      <c r="DM757" s="29"/>
      <c r="DN757" s="29"/>
      <c r="DO757" s="29"/>
      <c r="DP757" s="29"/>
      <c r="DQ757" s="29"/>
      <c r="DR757" s="29"/>
      <c r="DS757" s="29"/>
      <c r="DT757" s="29"/>
      <c r="DU757" s="29"/>
      <c r="DV757" s="29"/>
      <c r="DW757" s="29"/>
      <c r="DX757" s="29"/>
      <c r="DY757" s="29"/>
      <c r="DZ757" s="29"/>
      <c r="EA757" s="29"/>
      <c r="EB757" s="29"/>
      <c r="EC757" s="29"/>
      <c r="ED757" s="29"/>
      <c r="EE757" s="29"/>
      <c r="EF757" s="29"/>
      <c r="EG757" s="29"/>
      <c r="EH757" s="29"/>
      <c r="EI757" s="29"/>
      <c r="EJ757" s="29"/>
      <c r="EK757" s="29"/>
      <c r="EL757" s="29"/>
      <c r="EM757" s="29"/>
      <c r="EN757" s="29"/>
      <c r="EO757" s="29"/>
      <c r="EP757" s="29"/>
      <c r="EQ757" s="29"/>
      <c r="ER757" s="29"/>
      <c r="ES757" s="29"/>
      <c r="ET757" s="29"/>
      <c r="EU757" s="29"/>
      <c r="EV757" s="29"/>
      <c r="EW757" s="29"/>
      <c r="EX757" s="29"/>
      <c r="EY757" s="29"/>
      <c r="EZ757" s="29"/>
      <c r="FA757" s="29"/>
      <c r="FB757" s="29"/>
      <c r="FC757" s="29"/>
      <c r="FD757" s="29"/>
      <c r="FE757" s="29"/>
      <c r="FF757" s="29"/>
      <c r="FG757" s="29"/>
      <c r="FH757" s="29"/>
      <c r="FI757" s="29"/>
      <c r="FJ757" s="29"/>
      <c r="FK757" s="29"/>
      <c r="FL757" s="29"/>
      <c r="FM757" s="29"/>
      <c r="FN757" s="29"/>
      <c r="FO757" s="29"/>
      <c r="FP757" s="29"/>
      <c r="FQ757" s="29"/>
      <c r="FR757" s="29"/>
      <c r="FS757" s="29"/>
      <c r="FT757" s="29"/>
      <c r="FU757" s="29"/>
      <c r="FV757" s="29"/>
      <c r="FW757" s="29"/>
      <c r="FX757" s="29"/>
      <c r="FY757" s="29"/>
      <c r="FZ757" s="29"/>
      <c r="GA757" s="29"/>
      <c r="GB757" s="29"/>
      <c r="GC757" s="29"/>
      <c r="GD757" s="29"/>
      <c r="GE757" s="29"/>
      <c r="GF757" s="29"/>
      <c r="GG757" s="29"/>
      <c r="GH757" s="29"/>
      <c r="GI757" s="29"/>
      <c r="GJ757" s="29"/>
      <c r="GK757" s="29"/>
      <c r="GL757" s="29"/>
      <c r="GM757" s="29"/>
      <c r="GN757" s="29"/>
      <c r="GO757" s="29"/>
      <c r="GP757" s="29"/>
      <c r="GQ757" s="29"/>
      <c r="GR757" s="29"/>
      <c r="GS757" s="29"/>
      <c r="GT757" s="29"/>
      <c r="GU757" s="29"/>
      <c r="HP757" s="31"/>
      <c r="MX757" s="29"/>
      <c r="MY757" s="29"/>
    </row>
    <row r="758" ht="16.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29"/>
      <c r="AW758" s="29"/>
      <c r="AX758" s="29"/>
      <c r="AY758" s="29"/>
      <c r="AZ758" s="29"/>
      <c r="BA758" s="29"/>
      <c r="BB758" s="29"/>
      <c r="BC758" s="29"/>
      <c r="BD758" s="29"/>
      <c r="BE758" s="29"/>
      <c r="BF758" s="29"/>
      <c r="BG758" s="29"/>
      <c r="BH758" s="29"/>
      <c r="BI758" s="29"/>
      <c r="BJ758" s="29"/>
      <c r="BK758" s="29"/>
      <c r="BL758" s="29"/>
      <c r="BM758" s="29"/>
      <c r="BN758" s="29"/>
      <c r="BO758" s="29"/>
      <c r="BP758" s="29"/>
      <c r="BQ758" s="29"/>
      <c r="BR758" s="29"/>
      <c r="BS758" s="29"/>
      <c r="BT758" s="29"/>
      <c r="BU758" s="29"/>
      <c r="BV758" s="29"/>
      <c r="BW758" s="29"/>
      <c r="BX758" s="29"/>
      <c r="BY758" s="29"/>
      <c r="BZ758" s="29"/>
      <c r="CA758" s="29"/>
      <c r="CB758" s="29"/>
      <c r="CC758" s="29"/>
      <c r="CD758" s="29"/>
      <c r="CE758" s="29"/>
      <c r="CF758" s="29"/>
      <c r="CG758" s="29"/>
      <c r="CH758" s="29"/>
      <c r="CI758" s="29"/>
      <c r="CJ758" s="29"/>
      <c r="CK758" s="29"/>
      <c r="CL758" s="29"/>
      <c r="CM758" s="29"/>
      <c r="CN758" s="29"/>
      <c r="CO758" s="29"/>
      <c r="CP758" s="29"/>
      <c r="CQ758" s="29"/>
      <c r="CR758" s="29"/>
      <c r="CS758" s="29"/>
      <c r="CT758" s="29"/>
      <c r="CU758" s="29"/>
      <c r="CV758" s="29"/>
      <c r="CW758" s="29"/>
      <c r="CX758" s="29"/>
      <c r="CY758" s="29"/>
      <c r="CZ758" s="29"/>
      <c r="DA758" s="29"/>
      <c r="DB758" s="29"/>
      <c r="DC758" s="29"/>
      <c r="DD758" s="29"/>
      <c r="DE758" s="29"/>
      <c r="DF758" s="29"/>
      <c r="DG758" s="29"/>
      <c r="DH758" s="29"/>
      <c r="DI758" s="29"/>
      <c r="DJ758" s="29"/>
      <c r="DK758" s="29"/>
      <c r="DL758" s="29"/>
      <c r="DM758" s="29"/>
      <c r="DN758" s="29"/>
      <c r="DO758" s="29"/>
      <c r="DP758" s="29"/>
      <c r="DQ758" s="29"/>
      <c r="DR758" s="29"/>
      <c r="DS758" s="29"/>
      <c r="DT758" s="29"/>
      <c r="DU758" s="29"/>
      <c r="DV758" s="29"/>
      <c r="DW758" s="29"/>
      <c r="DX758" s="29"/>
      <c r="DY758" s="29"/>
      <c r="DZ758" s="29"/>
      <c r="EA758" s="29"/>
      <c r="EB758" s="29"/>
      <c r="EC758" s="29"/>
      <c r="ED758" s="29"/>
      <c r="EE758" s="29"/>
      <c r="EF758" s="29"/>
      <c r="EG758" s="29"/>
      <c r="EH758" s="29"/>
      <c r="EI758" s="29"/>
      <c r="EJ758" s="29"/>
      <c r="EK758" s="29"/>
      <c r="EL758" s="29"/>
      <c r="EM758" s="29"/>
      <c r="EN758" s="29"/>
      <c r="EO758" s="29"/>
      <c r="EP758" s="29"/>
      <c r="EQ758" s="29"/>
      <c r="ER758" s="29"/>
      <c r="ES758" s="29"/>
      <c r="ET758" s="29"/>
      <c r="EU758" s="29"/>
      <c r="EV758" s="29"/>
      <c r="EW758" s="29"/>
      <c r="EX758" s="29"/>
      <c r="EY758" s="29"/>
      <c r="EZ758" s="29"/>
      <c r="FA758" s="29"/>
      <c r="FB758" s="29"/>
      <c r="FC758" s="29"/>
      <c r="FD758" s="29"/>
      <c r="FE758" s="29"/>
      <c r="FF758" s="29"/>
      <c r="FG758" s="29"/>
      <c r="FH758" s="29"/>
      <c r="FI758" s="29"/>
      <c r="FJ758" s="29"/>
      <c r="FK758" s="29"/>
      <c r="FL758" s="29"/>
      <c r="FM758" s="29"/>
      <c r="FN758" s="29"/>
      <c r="FO758" s="29"/>
      <c r="FP758" s="29"/>
      <c r="FQ758" s="29"/>
      <c r="FR758" s="29"/>
      <c r="FS758" s="29"/>
      <c r="FT758" s="29"/>
      <c r="FU758" s="29"/>
      <c r="FV758" s="29"/>
      <c r="FW758" s="29"/>
      <c r="FX758" s="29"/>
      <c r="FY758" s="29"/>
      <c r="FZ758" s="29"/>
      <c r="GA758" s="29"/>
      <c r="GB758" s="29"/>
      <c r="GC758" s="29"/>
      <c r="GD758" s="29"/>
      <c r="GE758" s="29"/>
      <c r="GF758" s="29"/>
      <c r="GG758" s="29"/>
      <c r="GH758" s="29"/>
      <c r="GI758" s="29"/>
      <c r="GJ758" s="29"/>
      <c r="GK758" s="29"/>
      <c r="GL758" s="29"/>
      <c r="GM758" s="29"/>
      <c r="GN758" s="29"/>
      <c r="GO758" s="29"/>
      <c r="GP758" s="29"/>
      <c r="GQ758" s="29"/>
      <c r="GR758" s="29"/>
      <c r="GS758" s="29"/>
      <c r="GT758" s="29"/>
      <c r="GU758" s="29"/>
      <c r="HP758" s="31"/>
      <c r="MX758" s="29"/>
      <c r="MY758" s="29"/>
    </row>
    <row r="759" ht="16.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c r="BO759" s="29"/>
      <c r="BP759" s="29"/>
      <c r="BQ759" s="29"/>
      <c r="BR759" s="29"/>
      <c r="BS759" s="29"/>
      <c r="BT759" s="29"/>
      <c r="BU759" s="29"/>
      <c r="BV759" s="29"/>
      <c r="BW759" s="29"/>
      <c r="BX759" s="29"/>
      <c r="BY759" s="29"/>
      <c r="BZ759" s="29"/>
      <c r="CA759" s="29"/>
      <c r="CB759" s="29"/>
      <c r="CC759" s="29"/>
      <c r="CD759" s="29"/>
      <c r="CE759" s="29"/>
      <c r="CF759" s="29"/>
      <c r="CG759" s="29"/>
      <c r="CH759" s="29"/>
      <c r="CI759" s="29"/>
      <c r="CJ759" s="29"/>
      <c r="CK759" s="29"/>
      <c r="CL759" s="29"/>
      <c r="CM759" s="29"/>
      <c r="CN759" s="29"/>
      <c r="CO759" s="29"/>
      <c r="CP759" s="29"/>
      <c r="CQ759" s="29"/>
      <c r="CR759" s="29"/>
      <c r="CS759" s="29"/>
      <c r="CT759" s="29"/>
      <c r="CU759" s="29"/>
      <c r="CV759" s="29"/>
      <c r="CW759" s="29"/>
      <c r="CX759" s="29"/>
      <c r="CY759" s="29"/>
      <c r="CZ759" s="29"/>
      <c r="DA759" s="29"/>
      <c r="DB759" s="29"/>
      <c r="DC759" s="29"/>
      <c r="DD759" s="29"/>
      <c r="DE759" s="29"/>
      <c r="DF759" s="29"/>
      <c r="DG759" s="29"/>
      <c r="DH759" s="29"/>
      <c r="DI759" s="29"/>
      <c r="DJ759" s="29"/>
      <c r="DK759" s="29"/>
      <c r="DL759" s="29"/>
      <c r="DM759" s="29"/>
      <c r="DN759" s="29"/>
      <c r="DO759" s="29"/>
      <c r="DP759" s="29"/>
      <c r="DQ759" s="29"/>
      <c r="DR759" s="29"/>
      <c r="DS759" s="29"/>
      <c r="DT759" s="29"/>
      <c r="DU759" s="29"/>
      <c r="DV759" s="29"/>
      <c r="DW759" s="29"/>
      <c r="DX759" s="29"/>
      <c r="DY759" s="29"/>
      <c r="DZ759" s="29"/>
      <c r="EA759" s="29"/>
      <c r="EB759" s="29"/>
      <c r="EC759" s="29"/>
      <c r="ED759" s="29"/>
      <c r="EE759" s="29"/>
      <c r="EF759" s="29"/>
      <c r="EG759" s="29"/>
      <c r="EH759" s="29"/>
      <c r="EI759" s="29"/>
      <c r="EJ759" s="29"/>
      <c r="EK759" s="29"/>
      <c r="EL759" s="29"/>
      <c r="EM759" s="29"/>
      <c r="EN759" s="29"/>
      <c r="EO759" s="29"/>
      <c r="EP759" s="29"/>
      <c r="EQ759" s="29"/>
      <c r="ER759" s="29"/>
      <c r="ES759" s="29"/>
      <c r="ET759" s="29"/>
      <c r="EU759" s="29"/>
      <c r="EV759" s="29"/>
      <c r="EW759" s="29"/>
      <c r="EX759" s="29"/>
      <c r="EY759" s="29"/>
      <c r="EZ759" s="29"/>
      <c r="FA759" s="29"/>
      <c r="FB759" s="29"/>
      <c r="FC759" s="29"/>
      <c r="FD759" s="29"/>
      <c r="FE759" s="29"/>
      <c r="FF759" s="29"/>
      <c r="FG759" s="29"/>
      <c r="FH759" s="29"/>
      <c r="FI759" s="29"/>
      <c r="FJ759" s="29"/>
      <c r="FK759" s="29"/>
      <c r="FL759" s="29"/>
      <c r="FM759" s="29"/>
      <c r="FN759" s="29"/>
      <c r="FO759" s="29"/>
      <c r="FP759" s="29"/>
      <c r="FQ759" s="29"/>
      <c r="FR759" s="29"/>
      <c r="FS759" s="29"/>
      <c r="FT759" s="29"/>
      <c r="FU759" s="29"/>
      <c r="FV759" s="29"/>
      <c r="FW759" s="29"/>
      <c r="FX759" s="29"/>
      <c r="FY759" s="29"/>
      <c r="FZ759" s="29"/>
      <c r="GA759" s="29"/>
      <c r="GB759" s="29"/>
      <c r="GC759" s="29"/>
      <c r="GD759" s="29"/>
      <c r="GE759" s="29"/>
      <c r="GF759" s="29"/>
      <c r="GG759" s="29"/>
      <c r="GH759" s="29"/>
      <c r="GI759" s="29"/>
      <c r="GJ759" s="29"/>
      <c r="GK759" s="29"/>
      <c r="GL759" s="29"/>
      <c r="GM759" s="29"/>
      <c r="GN759" s="29"/>
      <c r="GO759" s="29"/>
      <c r="GP759" s="29"/>
      <c r="GQ759" s="29"/>
      <c r="GR759" s="29"/>
      <c r="GS759" s="29"/>
      <c r="GT759" s="29"/>
      <c r="GU759" s="29"/>
      <c r="HP759" s="31"/>
      <c r="MX759" s="29"/>
      <c r="MY759" s="29"/>
    </row>
    <row r="760" ht="16.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c r="AX760" s="29"/>
      <c r="AY760" s="29"/>
      <c r="AZ760" s="29"/>
      <c r="BA760" s="29"/>
      <c r="BB760" s="29"/>
      <c r="BC760" s="29"/>
      <c r="BD760" s="29"/>
      <c r="BE760" s="29"/>
      <c r="BF760" s="29"/>
      <c r="BG760" s="29"/>
      <c r="BH760" s="29"/>
      <c r="BI760" s="29"/>
      <c r="BJ760" s="29"/>
      <c r="BK760" s="29"/>
      <c r="BL760" s="29"/>
      <c r="BM760" s="29"/>
      <c r="BN760" s="29"/>
      <c r="BO760" s="29"/>
      <c r="BP760" s="29"/>
      <c r="BQ760" s="29"/>
      <c r="BR760" s="29"/>
      <c r="BS760" s="29"/>
      <c r="BT760" s="29"/>
      <c r="BU760" s="29"/>
      <c r="BV760" s="29"/>
      <c r="BW760" s="29"/>
      <c r="BX760" s="29"/>
      <c r="BY760" s="29"/>
      <c r="BZ760" s="29"/>
      <c r="CA760" s="29"/>
      <c r="CB760" s="29"/>
      <c r="CC760" s="29"/>
      <c r="CD760" s="29"/>
      <c r="CE760" s="29"/>
      <c r="CF760" s="29"/>
      <c r="CG760" s="29"/>
      <c r="CH760" s="29"/>
      <c r="CI760" s="29"/>
      <c r="CJ760" s="29"/>
      <c r="CK760" s="29"/>
      <c r="CL760" s="29"/>
      <c r="CM760" s="29"/>
      <c r="CN760" s="29"/>
      <c r="CO760" s="29"/>
      <c r="CP760" s="29"/>
      <c r="CQ760" s="29"/>
      <c r="CR760" s="29"/>
      <c r="CS760" s="29"/>
      <c r="CT760" s="29"/>
      <c r="CU760" s="29"/>
      <c r="CV760" s="29"/>
      <c r="CW760" s="29"/>
      <c r="CX760" s="29"/>
      <c r="CY760" s="29"/>
      <c r="CZ760" s="29"/>
      <c r="DA760" s="29"/>
      <c r="DB760" s="29"/>
      <c r="DC760" s="29"/>
      <c r="DD760" s="29"/>
      <c r="DE760" s="29"/>
      <c r="DF760" s="29"/>
      <c r="DG760" s="29"/>
      <c r="DH760" s="29"/>
      <c r="DI760" s="29"/>
      <c r="DJ760" s="29"/>
      <c r="DK760" s="29"/>
      <c r="DL760" s="29"/>
      <c r="DM760" s="29"/>
      <c r="DN760" s="29"/>
      <c r="DO760" s="29"/>
      <c r="DP760" s="29"/>
      <c r="DQ760" s="29"/>
      <c r="DR760" s="29"/>
      <c r="DS760" s="29"/>
      <c r="DT760" s="29"/>
      <c r="DU760" s="29"/>
      <c r="DV760" s="29"/>
      <c r="DW760" s="29"/>
      <c r="DX760" s="29"/>
      <c r="DY760" s="29"/>
      <c r="DZ760" s="29"/>
      <c r="EA760" s="29"/>
      <c r="EB760" s="29"/>
      <c r="EC760" s="29"/>
      <c r="ED760" s="29"/>
      <c r="EE760" s="29"/>
      <c r="EF760" s="29"/>
      <c r="EG760" s="29"/>
      <c r="EH760" s="29"/>
      <c r="EI760" s="29"/>
      <c r="EJ760" s="29"/>
      <c r="EK760" s="29"/>
      <c r="EL760" s="29"/>
      <c r="EM760" s="29"/>
      <c r="EN760" s="29"/>
      <c r="EO760" s="29"/>
      <c r="EP760" s="29"/>
      <c r="EQ760" s="29"/>
      <c r="ER760" s="29"/>
      <c r="ES760" s="29"/>
      <c r="ET760" s="29"/>
      <c r="EU760" s="29"/>
      <c r="EV760" s="29"/>
      <c r="EW760" s="29"/>
      <c r="EX760" s="29"/>
      <c r="EY760" s="29"/>
      <c r="EZ760" s="29"/>
      <c r="FA760" s="29"/>
      <c r="FB760" s="29"/>
      <c r="FC760" s="29"/>
      <c r="FD760" s="29"/>
      <c r="FE760" s="29"/>
      <c r="FF760" s="29"/>
      <c r="FG760" s="29"/>
      <c r="FH760" s="29"/>
      <c r="FI760" s="29"/>
      <c r="FJ760" s="29"/>
      <c r="FK760" s="29"/>
      <c r="FL760" s="29"/>
      <c r="FM760" s="29"/>
      <c r="FN760" s="29"/>
      <c r="FO760" s="29"/>
      <c r="FP760" s="29"/>
      <c r="FQ760" s="29"/>
      <c r="FR760" s="29"/>
      <c r="FS760" s="29"/>
      <c r="FT760" s="29"/>
      <c r="FU760" s="29"/>
      <c r="FV760" s="29"/>
      <c r="FW760" s="29"/>
      <c r="FX760" s="29"/>
      <c r="FY760" s="29"/>
      <c r="FZ760" s="29"/>
      <c r="GA760" s="29"/>
      <c r="GB760" s="29"/>
      <c r="GC760" s="29"/>
      <c r="GD760" s="29"/>
      <c r="GE760" s="29"/>
      <c r="GF760" s="29"/>
      <c r="GG760" s="29"/>
      <c r="GH760" s="29"/>
      <c r="GI760" s="29"/>
      <c r="GJ760" s="29"/>
      <c r="GK760" s="29"/>
      <c r="GL760" s="29"/>
      <c r="GM760" s="29"/>
      <c r="GN760" s="29"/>
      <c r="GO760" s="29"/>
      <c r="GP760" s="29"/>
      <c r="GQ760" s="29"/>
      <c r="GR760" s="29"/>
      <c r="GS760" s="29"/>
      <c r="GT760" s="29"/>
      <c r="GU760" s="29"/>
      <c r="HP760" s="31"/>
      <c r="MX760" s="29"/>
      <c r="MY760" s="29"/>
    </row>
    <row r="761" ht="16.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c r="BO761" s="29"/>
      <c r="BP761" s="29"/>
      <c r="BQ761" s="29"/>
      <c r="BR761" s="29"/>
      <c r="BS761" s="29"/>
      <c r="BT761" s="29"/>
      <c r="BU761" s="29"/>
      <c r="BV761" s="29"/>
      <c r="BW761" s="29"/>
      <c r="BX761" s="29"/>
      <c r="BY761" s="29"/>
      <c r="BZ761" s="29"/>
      <c r="CA761" s="29"/>
      <c r="CB761" s="29"/>
      <c r="CC761" s="29"/>
      <c r="CD761" s="29"/>
      <c r="CE761" s="29"/>
      <c r="CF761" s="29"/>
      <c r="CG761" s="29"/>
      <c r="CH761" s="29"/>
      <c r="CI761" s="29"/>
      <c r="CJ761" s="29"/>
      <c r="CK761" s="29"/>
      <c r="CL761" s="29"/>
      <c r="CM761" s="29"/>
      <c r="CN761" s="29"/>
      <c r="CO761" s="29"/>
      <c r="CP761" s="29"/>
      <c r="CQ761" s="29"/>
      <c r="CR761" s="29"/>
      <c r="CS761" s="29"/>
      <c r="CT761" s="29"/>
      <c r="CU761" s="29"/>
      <c r="CV761" s="29"/>
      <c r="CW761" s="29"/>
      <c r="CX761" s="29"/>
      <c r="CY761" s="29"/>
      <c r="CZ761" s="29"/>
      <c r="DA761" s="29"/>
      <c r="DB761" s="29"/>
      <c r="DC761" s="29"/>
      <c r="DD761" s="29"/>
      <c r="DE761" s="29"/>
      <c r="DF761" s="29"/>
      <c r="DG761" s="29"/>
      <c r="DH761" s="29"/>
      <c r="DI761" s="29"/>
      <c r="DJ761" s="29"/>
      <c r="DK761" s="29"/>
      <c r="DL761" s="29"/>
      <c r="DM761" s="29"/>
      <c r="DN761" s="29"/>
      <c r="DO761" s="29"/>
      <c r="DP761" s="29"/>
      <c r="DQ761" s="29"/>
      <c r="DR761" s="29"/>
      <c r="DS761" s="29"/>
      <c r="DT761" s="29"/>
      <c r="DU761" s="29"/>
      <c r="DV761" s="29"/>
      <c r="DW761" s="29"/>
      <c r="DX761" s="29"/>
      <c r="DY761" s="29"/>
      <c r="DZ761" s="29"/>
      <c r="EA761" s="29"/>
      <c r="EB761" s="29"/>
      <c r="EC761" s="29"/>
      <c r="ED761" s="29"/>
      <c r="EE761" s="29"/>
      <c r="EF761" s="29"/>
      <c r="EG761" s="29"/>
      <c r="EH761" s="29"/>
      <c r="EI761" s="29"/>
      <c r="EJ761" s="29"/>
      <c r="EK761" s="29"/>
      <c r="EL761" s="29"/>
      <c r="EM761" s="29"/>
      <c r="EN761" s="29"/>
      <c r="EO761" s="29"/>
      <c r="EP761" s="29"/>
      <c r="EQ761" s="29"/>
      <c r="ER761" s="29"/>
      <c r="ES761" s="29"/>
      <c r="ET761" s="29"/>
      <c r="EU761" s="29"/>
      <c r="EV761" s="29"/>
      <c r="EW761" s="29"/>
      <c r="EX761" s="29"/>
      <c r="EY761" s="29"/>
      <c r="EZ761" s="29"/>
      <c r="FA761" s="29"/>
      <c r="FB761" s="29"/>
      <c r="FC761" s="29"/>
      <c r="FD761" s="29"/>
      <c r="FE761" s="29"/>
      <c r="FF761" s="29"/>
      <c r="FG761" s="29"/>
      <c r="FH761" s="29"/>
      <c r="FI761" s="29"/>
      <c r="FJ761" s="29"/>
      <c r="FK761" s="29"/>
      <c r="FL761" s="29"/>
      <c r="FM761" s="29"/>
      <c r="FN761" s="29"/>
      <c r="FO761" s="29"/>
      <c r="FP761" s="29"/>
      <c r="FQ761" s="29"/>
      <c r="FR761" s="29"/>
      <c r="FS761" s="29"/>
      <c r="FT761" s="29"/>
      <c r="FU761" s="29"/>
      <c r="FV761" s="29"/>
      <c r="FW761" s="29"/>
      <c r="FX761" s="29"/>
      <c r="FY761" s="29"/>
      <c r="FZ761" s="29"/>
      <c r="GA761" s="29"/>
      <c r="GB761" s="29"/>
      <c r="GC761" s="29"/>
      <c r="GD761" s="29"/>
      <c r="GE761" s="29"/>
      <c r="GF761" s="29"/>
      <c r="GG761" s="29"/>
      <c r="GH761" s="29"/>
      <c r="GI761" s="29"/>
      <c r="GJ761" s="29"/>
      <c r="GK761" s="29"/>
      <c r="GL761" s="29"/>
      <c r="GM761" s="29"/>
      <c r="GN761" s="29"/>
      <c r="GO761" s="29"/>
      <c r="GP761" s="29"/>
      <c r="GQ761" s="29"/>
      <c r="GR761" s="29"/>
      <c r="GS761" s="29"/>
      <c r="GT761" s="29"/>
      <c r="GU761" s="29"/>
      <c r="HP761" s="31"/>
      <c r="MX761" s="29"/>
      <c r="MY761" s="29"/>
    </row>
    <row r="762" ht="16.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c r="AX762" s="29"/>
      <c r="AY762" s="29"/>
      <c r="AZ762" s="29"/>
      <c r="BA762" s="29"/>
      <c r="BB762" s="29"/>
      <c r="BC762" s="29"/>
      <c r="BD762" s="29"/>
      <c r="BE762" s="29"/>
      <c r="BF762" s="29"/>
      <c r="BG762" s="29"/>
      <c r="BH762" s="29"/>
      <c r="BI762" s="29"/>
      <c r="BJ762" s="29"/>
      <c r="BK762" s="29"/>
      <c r="BL762" s="29"/>
      <c r="BM762" s="29"/>
      <c r="BN762" s="29"/>
      <c r="BO762" s="29"/>
      <c r="BP762" s="29"/>
      <c r="BQ762" s="29"/>
      <c r="BR762" s="29"/>
      <c r="BS762" s="29"/>
      <c r="BT762" s="29"/>
      <c r="BU762" s="29"/>
      <c r="BV762" s="29"/>
      <c r="BW762" s="29"/>
      <c r="BX762" s="29"/>
      <c r="BY762" s="29"/>
      <c r="BZ762" s="29"/>
      <c r="CA762" s="29"/>
      <c r="CB762" s="29"/>
      <c r="CC762" s="29"/>
      <c r="CD762" s="29"/>
      <c r="CE762" s="29"/>
      <c r="CF762" s="29"/>
      <c r="CG762" s="29"/>
      <c r="CH762" s="29"/>
      <c r="CI762" s="29"/>
      <c r="CJ762" s="29"/>
      <c r="CK762" s="29"/>
      <c r="CL762" s="29"/>
      <c r="CM762" s="29"/>
      <c r="CN762" s="29"/>
      <c r="CO762" s="29"/>
      <c r="CP762" s="29"/>
      <c r="CQ762" s="29"/>
      <c r="CR762" s="29"/>
      <c r="CS762" s="29"/>
      <c r="CT762" s="29"/>
      <c r="CU762" s="29"/>
      <c r="CV762" s="29"/>
      <c r="CW762" s="29"/>
      <c r="CX762" s="29"/>
      <c r="CY762" s="29"/>
      <c r="CZ762" s="29"/>
      <c r="DA762" s="29"/>
      <c r="DB762" s="29"/>
      <c r="DC762" s="29"/>
      <c r="DD762" s="29"/>
      <c r="DE762" s="29"/>
      <c r="DF762" s="29"/>
      <c r="DG762" s="29"/>
      <c r="DH762" s="29"/>
      <c r="DI762" s="29"/>
      <c r="DJ762" s="29"/>
      <c r="DK762" s="29"/>
      <c r="DL762" s="29"/>
      <c r="DM762" s="29"/>
      <c r="DN762" s="29"/>
      <c r="DO762" s="29"/>
      <c r="DP762" s="29"/>
      <c r="DQ762" s="29"/>
      <c r="DR762" s="29"/>
      <c r="DS762" s="29"/>
      <c r="DT762" s="29"/>
      <c r="DU762" s="29"/>
      <c r="DV762" s="29"/>
      <c r="DW762" s="29"/>
      <c r="DX762" s="29"/>
      <c r="DY762" s="29"/>
      <c r="DZ762" s="29"/>
      <c r="EA762" s="29"/>
      <c r="EB762" s="29"/>
      <c r="EC762" s="29"/>
      <c r="ED762" s="29"/>
      <c r="EE762" s="29"/>
      <c r="EF762" s="29"/>
      <c r="EG762" s="29"/>
      <c r="EH762" s="29"/>
      <c r="EI762" s="29"/>
      <c r="EJ762" s="29"/>
      <c r="EK762" s="29"/>
      <c r="EL762" s="29"/>
      <c r="EM762" s="29"/>
      <c r="EN762" s="29"/>
      <c r="EO762" s="29"/>
      <c r="EP762" s="29"/>
      <c r="EQ762" s="29"/>
      <c r="ER762" s="29"/>
      <c r="ES762" s="29"/>
      <c r="ET762" s="29"/>
      <c r="EU762" s="29"/>
      <c r="EV762" s="29"/>
      <c r="EW762" s="29"/>
      <c r="EX762" s="29"/>
      <c r="EY762" s="29"/>
      <c r="EZ762" s="29"/>
      <c r="FA762" s="29"/>
      <c r="FB762" s="29"/>
      <c r="FC762" s="29"/>
      <c r="FD762" s="29"/>
      <c r="FE762" s="29"/>
      <c r="FF762" s="29"/>
      <c r="FG762" s="29"/>
      <c r="FH762" s="29"/>
      <c r="FI762" s="29"/>
      <c r="FJ762" s="29"/>
      <c r="FK762" s="29"/>
      <c r="FL762" s="29"/>
      <c r="FM762" s="29"/>
      <c r="FN762" s="29"/>
      <c r="FO762" s="29"/>
      <c r="FP762" s="29"/>
      <c r="FQ762" s="29"/>
      <c r="FR762" s="29"/>
      <c r="FS762" s="29"/>
      <c r="FT762" s="29"/>
      <c r="FU762" s="29"/>
      <c r="FV762" s="29"/>
      <c r="FW762" s="29"/>
      <c r="FX762" s="29"/>
      <c r="FY762" s="29"/>
      <c r="FZ762" s="29"/>
      <c r="GA762" s="29"/>
      <c r="GB762" s="29"/>
      <c r="GC762" s="29"/>
      <c r="GD762" s="29"/>
      <c r="GE762" s="29"/>
      <c r="GF762" s="29"/>
      <c r="GG762" s="29"/>
      <c r="GH762" s="29"/>
      <c r="GI762" s="29"/>
      <c r="GJ762" s="29"/>
      <c r="GK762" s="29"/>
      <c r="GL762" s="29"/>
      <c r="GM762" s="29"/>
      <c r="GN762" s="29"/>
      <c r="GO762" s="29"/>
      <c r="GP762" s="29"/>
      <c r="GQ762" s="29"/>
      <c r="GR762" s="29"/>
      <c r="GS762" s="29"/>
      <c r="GT762" s="29"/>
      <c r="GU762" s="29"/>
      <c r="HP762" s="31"/>
      <c r="MX762" s="29"/>
      <c r="MY762" s="29"/>
    </row>
    <row r="763" ht="16.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c r="BO763" s="29"/>
      <c r="BP763" s="29"/>
      <c r="BQ763" s="29"/>
      <c r="BR763" s="29"/>
      <c r="BS763" s="29"/>
      <c r="BT763" s="29"/>
      <c r="BU763" s="29"/>
      <c r="BV763" s="29"/>
      <c r="BW763" s="29"/>
      <c r="BX763" s="29"/>
      <c r="BY763" s="29"/>
      <c r="BZ763" s="29"/>
      <c r="CA763" s="29"/>
      <c r="CB763" s="29"/>
      <c r="CC763" s="29"/>
      <c r="CD763" s="29"/>
      <c r="CE763" s="29"/>
      <c r="CF763" s="29"/>
      <c r="CG763" s="29"/>
      <c r="CH763" s="29"/>
      <c r="CI763" s="29"/>
      <c r="CJ763" s="29"/>
      <c r="CK763" s="29"/>
      <c r="CL763" s="29"/>
      <c r="CM763" s="29"/>
      <c r="CN763" s="29"/>
      <c r="CO763" s="29"/>
      <c r="CP763" s="29"/>
      <c r="CQ763" s="29"/>
      <c r="CR763" s="29"/>
      <c r="CS763" s="29"/>
      <c r="CT763" s="29"/>
      <c r="CU763" s="29"/>
      <c r="CV763" s="29"/>
      <c r="CW763" s="29"/>
      <c r="CX763" s="29"/>
      <c r="CY763" s="29"/>
      <c r="CZ763" s="29"/>
      <c r="DA763" s="29"/>
      <c r="DB763" s="29"/>
      <c r="DC763" s="29"/>
      <c r="DD763" s="29"/>
      <c r="DE763" s="29"/>
      <c r="DF763" s="29"/>
      <c r="DG763" s="29"/>
      <c r="DH763" s="29"/>
      <c r="DI763" s="29"/>
      <c r="DJ763" s="29"/>
      <c r="DK763" s="29"/>
      <c r="DL763" s="29"/>
      <c r="DM763" s="29"/>
      <c r="DN763" s="29"/>
      <c r="DO763" s="29"/>
      <c r="DP763" s="29"/>
      <c r="DQ763" s="29"/>
      <c r="DR763" s="29"/>
      <c r="DS763" s="29"/>
      <c r="DT763" s="29"/>
      <c r="DU763" s="29"/>
      <c r="DV763" s="29"/>
      <c r="DW763" s="29"/>
      <c r="DX763" s="29"/>
      <c r="DY763" s="29"/>
      <c r="DZ763" s="29"/>
      <c r="EA763" s="29"/>
      <c r="EB763" s="29"/>
      <c r="EC763" s="29"/>
      <c r="ED763" s="29"/>
      <c r="EE763" s="29"/>
      <c r="EF763" s="29"/>
      <c r="EG763" s="29"/>
      <c r="EH763" s="29"/>
      <c r="EI763" s="29"/>
      <c r="EJ763" s="29"/>
      <c r="EK763" s="29"/>
      <c r="EL763" s="29"/>
      <c r="EM763" s="29"/>
      <c r="EN763" s="29"/>
      <c r="EO763" s="29"/>
      <c r="EP763" s="29"/>
      <c r="EQ763" s="29"/>
      <c r="ER763" s="29"/>
      <c r="ES763" s="29"/>
      <c r="ET763" s="29"/>
      <c r="EU763" s="29"/>
      <c r="EV763" s="29"/>
      <c r="EW763" s="29"/>
      <c r="EX763" s="29"/>
      <c r="EY763" s="29"/>
      <c r="EZ763" s="29"/>
      <c r="FA763" s="29"/>
      <c r="FB763" s="29"/>
      <c r="FC763" s="29"/>
      <c r="FD763" s="29"/>
      <c r="FE763" s="29"/>
      <c r="FF763" s="29"/>
      <c r="FG763" s="29"/>
      <c r="FH763" s="29"/>
      <c r="FI763" s="29"/>
      <c r="FJ763" s="29"/>
      <c r="FK763" s="29"/>
      <c r="FL763" s="29"/>
      <c r="FM763" s="29"/>
      <c r="FN763" s="29"/>
      <c r="FO763" s="29"/>
      <c r="FP763" s="29"/>
      <c r="FQ763" s="29"/>
      <c r="FR763" s="29"/>
      <c r="FS763" s="29"/>
      <c r="FT763" s="29"/>
      <c r="FU763" s="29"/>
      <c r="FV763" s="29"/>
      <c r="FW763" s="29"/>
      <c r="FX763" s="29"/>
      <c r="FY763" s="29"/>
      <c r="FZ763" s="29"/>
      <c r="GA763" s="29"/>
      <c r="GB763" s="29"/>
      <c r="GC763" s="29"/>
      <c r="GD763" s="29"/>
      <c r="GE763" s="29"/>
      <c r="GF763" s="29"/>
      <c r="GG763" s="29"/>
      <c r="GH763" s="29"/>
      <c r="GI763" s="29"/>
      <c r="GJ763" s="29"/>
      <c r="GK763" s="29"/>
      <c r="GL763" s="29"/>
      <c r="GM763" s="29"/>
      <c r="GN763" s="29"/>
      <c r="GO763" s="29"/>
      <c r="GP763" s="29"/>
      <c r="GQ763" s="29"/>
      <c r="GR763" s="29"/>
      <c r="GS763" s="29"/>
      <c r="GT763" s="29"/>
      <c r="GU763" s="29"/>
      <c r="HP763" s="31"/>
      <c r="MX763" s="29"/>
      <c r="MY763" s="29"/>
    </row>
    <row r="764" ht="16.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c r="AX764" s="29"/>
      <c r="AY764" s="29"/>
      <c r="AZ764" s="29"/>
      <c r="BA764" s="29"/>
      <c r="BB764" s="29"/>
      <c r="BC764" s="29"/>
      <c r="BD764" s="29"/>
      <c r="BE764" s="29"/>
      <c r="BF764" s="29"/>
      <c r="BG764" s="29"/>
      <c r="BH764" s="29"/>
      <c r="BI764" s="29"/>
      <c r="BJ764" s="29"/>
      <c r="BK764" s="29"/>
      <c r="BL764" s="29"/>
      <c r="BM764" s="29"/>
      <c r="BN764" s="29"/>
      <c r="BO764" s="29"/>
      <c r="BP764" s="29"/>
      <c r="BQ764" s="29"/>
      <c r="BR764" s="29"/>
      <c r="BS764" s="29"/>
      <c r="BT764" s="29"/>
      <c r="BU764" s="29"/>
      <c r="BV764" s="29"/>
      <c r="BW764" s="29"/>
      <c r="BX764" s="29"/>
      <c r="BY764" s="29"/>
      <c r="BZ764" s="29"/>
      <c r="CA764" s="29"/>
      <c r="CB764" s="29"/>
      <c r="CC764" s="29"/>
      <c r="CD764" s="29"/>
      <c r="CE764" s="29"/>
      <c r="CF764" s="29"/>
      <c r="CG764" s="29"/>
      <c r="CH764" s="29"/>
      <c r="CI764" s="29"/>
      <c r="CJ764" s="29"/>
      <c r="CK764" s="29"/>
      <c r="CL764" s="29"/>
      <c r="CM764" s="29"/>
      <c r="CN764" s="29"/>
      <c r="CO764" s="29"/>
      <c r="CP764" s="29"/>
      <c r="CQ764" s="29"/>
      <c r="CR764" s="29"/>
      <c r="CS764" s="29"/>
      <c r="CT764" s="29"/>
      <c r="CU764" s="29"/>
      <c r="CV764" s="29"/>
      <c r="CW764" s="29"/>
      <c r="CX764" s="29"/>
      <c r="CY764" s="29"/>
      <c r="CZ764" s="29"/>
      <c r="DA764" s="29"/>
      <c r="DB764" s="29"/>
      <c r="DC764" s="29"/>
      <c r="DD764" s="29"/>
      <c r="DE764" s="29"/>
      <c r="DF764" s="29"/>
      <c r="DG764" s="29"/>
      <c r="DH764" s="29"/>
      <c r="DI764" s="29"/>
      <c r="DJ764" s="29"/>
      <c r="DK764" s="29"/>
      <c r="DL764" s="29"/>
      <c r="DM764" s="29"/>
      <c r="DN764" s="29"/>
      <c r="DO764" s="29"/>
      <c r="DP764" s="29"/>
      <c r="DQ764" s="29"/>
      <c r="DR764" s="29"/>
      <c r="DS764" s="29"/>
      <c r="DT764" s="29"/>
      <c r="DU764" s="29"/>
      <c r="DV764" s="29"/>
      <c r="DW764" s="29"/>
      <c r="DX764" s="29"/>
      <c r="DY764" s="29"/>
      <c r="DZ764" s="29"/>
      <c r="EA764" s="29"/>
      <c r="EB764" s="29"/>
      <c r="EC764" s="29"/>
      <c r="ED764" s="29"/>
      <c r="EE764" s="29"/>
      <c r="EF764" s="29"/>
      <c r="EG764" s="29"/>
      <c r="EH764" s="29"/>
      <c r="EI764" s="29"/>
      <c r="EJ764" s="29"/>
      <c r="EK764" s="29"/>
      <c r="EL764" s="29"/>
      <c r="EM764" s="29"/>
      <c r="EN764" s="29"/>
      <c r="EO764" s="29"/>
      <c r="EP764" s="29"/>
      <c r="EQ764" s="29"/>
      <c r="ER764" s="29"/>
      <c r="ES764" s="29"/>
      <c r="ET764" s="29"/>
      <c r="EU764" s="29"/>
      <c r="EV764" s="29"/>
      <c r="EW764" s="29"/>
      <c r="EX764" s="29"/>
      <c r="EY764" s="29"/>
      <c r="EZ764" s="29"/>
      <c r="FA764" s="29"/>
      <c r="FB764" s="29"/>
      <c r="FC764" s="29"/>
      <c r="FD764" s="29"/>
      <c r="FE764" s="29"/>
      <c r="FF764" s="29"/>
      <c r="FG764" s="29"/>
      <c r="FH764" s="29"/>
      <c r="FI764" s="29"/>
      <c r="FJ764" s="29"/>
      <c r="FK764" s="29"/>
      <c r="FL764" s="29"/>
      <c r="FM764" s="29"/>
      <c r="FN764" s="29"/>
      <c r="FO764" s="29"/>
      <c r="FP764" s="29"/>
      <c r="FQ764" s="29"/>
      <c r="FR764" s="29"/>
      <c r="FS764" s="29"/>
      <c r="FT764" s="29"/>
      <c r="FU764" s="29"/>
      <c r="FV764" s="29"/>
      <c r="FW764" s="29"/>
      <c r="FX764" s="29"/>
      <c r="FY764" s="29"/>
      <c r="FZ764" s="29"/>
      <c r="GA764" s="29"/>
      <c r="GB764" s="29"/>
      <c r="GC764" s="29"/>
      <c r="GD764" s="29"/>
      <c r="GE764" s="29"/>
      <c r="GF764" s="29"/>
      <c r="GG764" s="29"/>
      <c r="GH764" s="29"/>
      <c r="GI764" s="29"/>
      <c r="GJ764" s="29"/>
      <c r="GK764" s="29"/>
      <c r="GL764" s="29"/>
      <c r="GM764" s="29"/>
      <c r="GN764" s="29"/>
      <c r="GO764" s="29"/>
      <c r="GP764" s="29"/>
      <c r="GQ764" s="29"/>
      <c r="GR764" s="29"/>
      <c r="GS764" s="29"/>
      <c r="GT764" s="29"/>
      <c r="GU764" s="29"/>
      <c r="HP764" s="31"/>
      <c r="MX764" s="29"/>
      <c r="MY764" s="29"/>
    </row>
    <row r="765" ht="16.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c r="BO765" s="29"/>
      <c r="BP765" s="29"/>
      <c r="BQ765" s="29"/>
      <c r="BR765" s="29"/>
      <c r="BS765" s="29"/>
      <c r="BT765" s="29"/>
      <c r="BU765" s="29"/>
      <c r="BV765" s="29"/>
      <c r="BW765" s="29"/>
      <c r="BX765" s="29"/>
      <c r="BY765" s="29"/>
      <c r="BZ765" s="29"/>
      <c r="CA765" s="29"/>
      <c r="CB765" s="29"/>
      <c r="CC765" s="29"/>
      <c r="CD765" s="29"/>
      <c r="CE765" s="29"/>
      <c r="CF765" s="29"/>
      <c r="CG765" s="29"/>
      <c r="CH765" s="29"/>
      <c r="CI765" s="29"/>
      <c r="CJ765" s="29"/>
      <c r="CK765" s="29"/>
      <c r="CL765" s="29"/>
      <c r="CM765" s="29"/>
      <c r="CN765" s="29"/>
      <c r="CO765" s="29"/>
      <c r="CP765" s="29"/>
      <c r="CQ765" s="29"/>
      <c r="CR765" s="29"/>
      <c r="CS765" s="29"/>
      <c r="CT765" s="29"/>
      <c r="CU765" s="29"/>
      <c r="CV765" s="29"/>
      <c r="CW765" s="29"/>
      <c r="CX765" s="29"/>
      <c r="CY765" s="29"/>
      <c r="CZ765" s="29"/>
      <c r="DA765" s="29"/>
      <c r="DB765" s="29"/>
      <c r="DC765" s="29"/>
      <c r="DD765" s="29"/>
      <c r="DE765" s="29"/>
      <c r="DF765" s="29"/>
      <c r="DG765" s="29"/>
      <c r="DH765" s="29"/>
      <c r="DI765" s="29"/>
      <c r="DJ765" s="29"/>
      <c r="DK765" s="29"/>
      <c r="DL765" s="29"/>
      <c r="DM765" s="29"/>
      <c r="DN765" s="29"/>
      <c r="DO765" s="29"/>
      <c r="DP765" s="29"/>
      <c r="DQ765" s="29"/>
      <c r="DR765" s="29"/>
      <c r="DS765" s="29"/>
      <c r="DT765" s="29"/>
      <c r="DU765" s="29"/>
      <c r="DV765" s="29"/>
      <c r="DW765" s="29"/>
      <c r="DX765" s="29"/>
      <c r="DY765" s="29"/>
      <c r="DZ765" s="29"/>
      <c r="EA765" s="29"/>
      <c r="EB765" s="29"/>
      <c r="EC765" s="29"/>
      <c r="ED765" s="29"/>
      <c r="EE765" s="29"/>
      <c r="EF765" s="29"/>
      <c r="EG765" s="29"/>
      <c r="EH765" s="29"/>
      <c r="EI765" s="29"/>
      <c r="EJ765" s="29"/>
      <c r="EK765" s="29"/>
      <c r="EL765" s="29"/>
      <c r="EM765" s="29"/>
      <c r="EN765" s="29"/>
      <c r="EO765" s="29"/>
      <c r="EP765" s="29"/>
      <c r="EQ765" s="29"/>
      <c r="ER765" s="29"/>
      <c r="ES765" s="29"/>
      <c r="ET765" s="29"/>
      <c r="EU765" s="29"/>
      <c r="EV765" s="29"/>
      <c r="EW765" s="29"/>
      <c r="EX765" s="29"/>
      <c r="EY765" s="29"/>
      <c r="EZ765" s="29"/>
      <c r="FA765" s="29"/>
      <c r="FB765" s="29"/>
      <c r="FC765" s="29"/>
      <c r="FD765" s="29"/>
      <c r="FE765" s="29"/>
      <c r="FF765" s="29"/>
      <c r="FG765" s="29"/>
      <c r="FH765" s="29"/>
      <c r="FI765" s="29"/>
      <c r="FJ765" s="29"/>
      <c r="FK765" s="29"/>
      <c r="FL765" s="29"/>
      <c r="FM765" s="29"/>
      <c r="FN765" s="29"/>
      <c r="FO765" s="29"/>
      <c r="FP765" s="29"/>
      <c r="FQ765" s="29"/>
      <c r="FR765" s="29"/>
      <c r="FS765" s="29"/>
      <c r="FT765" s="29"/>
      <c r="FU765" s="29"/>
      <c r="FV765" s="29"/>
      <c r="FW765" s="29"/>
      <c r="FX765" s="29"/>
      <c r="FY765" s="29"/>
      <c r="FZ765" s="29"/>
      <c r="GA765" s="29"/>
      <c r="GB765" s="29"/>
      <c r="GC765" s="29"/>
      <c r="GD765" s="29"/>
      <c r="GE765" s="29"/>
      <c r="GF765" s="29"/>
      <c r="GG765" s="29"/>
      <c r="GH765" s="29"/>
      <c r="GI765" s="29"/>
      <c r="GJ765" s="29"/>
      <c r="GK765" s="29"/>
      <c r="GL765" s="29"/>
      <c r="GM765" s="29"/>
      <c r="GN765" s="29"/>
      <c r="GO765" s="29"/>
      <c r="GP765" s="29"/>
      <c r="GQ765" s="29"/>
      <c r="GR765" s="29"/>
      <c r="GS765" s="29"/>
      <c r="GT765" s="29"/>
      <c r="GU765" s="29"/>
      <c r="HP765" s="31"/>
      <c r="MX765" s="29"/>
      <c r="MY765" s="29"/>
    </row>
    <row r="766" ht="16.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c r="AX766" s="29"/>
      <c r="AY766" s="29"/>
      <c r="AZ766" s="29"/>
      <c r="BA766" s="29"/>
      <c r="BB766" s="29"/>
      <c r="BC766" s="29"/>
      <c r="BD766" s="29"/>
      <c r="BE766" s="29"/>
      <c r="BF766" s="29"/>
      <c r="BG766" s="29"/>
      <c r="BH766" s="29"/>
      <c r="BI766" s="29"/>
      <c r="BJ766" s="29"/>
      <c r="BK766" s="29"/>
      <c r="BL766" s="29"/>
      <c r="BM766" s="29"/>
      <c r="BN766" s="29"/>
      <c r="BO766" s="29"/>
      <c r="BP766" s="29"/>
      <c r="BQ766" s="29"/>
      <c r="BR766" s="29"/>
      <c r="BS766" s="29"/>
      <c r="BT766" s="29"/>
      <c r="BU766" s="29"/>
      <c r="BV766" s="29"/>
      <c r="BW766" s="29"/>
      <c r="BX766" s="29"/>
      <c r="BY766" s="29"/>
      <c r="BZ766" s="29"/>
      <c r="CA766" s="29"/>
      <c r="CB766" s="29"/>
      <c r="CC766" s="29"/>
      <c r="CD766" s="29"/>
      <c r="CE766" s="29"/>
      <c r="CF766" s="29"/>
      <c r="CG766" s="29"/>
      <c r="CH766" s="29"/>
      <c r="CI766" s="29"/>
      <c r="CJ766" s="29"/>
      <c r="CK766" s="29"/>
      <c r="CL766" s="29"/>
      <c r="CM766" s="29"/>
      <c r="CN766" s="29"/>
      <c r="CO766" s="29"/>
      <c r="CP766" s="29"/>
      <c r="CQ766" s="29"/>
      <c r="CR766" s="29"/>
      <c r="CS766" s="29"/>
      <c r="CT766" s="29"/>
      <c r="CU766" s="29"/>
      <c r="CV766" s="29"/>
      <c r="CW766" s="29"/>
      <c r="CX766" s="29"/>
      <c r="CY766" s="29"/>
      <c r="CZ766" s="29"/>
      <c r="DA766" s="29"/>
      <c r="DB766" s="29"/>
      <c r="DC766" s="29"/>
      <c r="DD766" s="29"/>
      <c r="DE766" s="29"/>
      <c r="DF766" s="29"/>
      <c r="DG766" s="29"/>
      <c r="DH766" s="29"/>
      <c r="DI766" s="29"/>
      <c r="DJ766" s="29"/>
      <c r="DK766" s="29"/>
      <c r="DL766" s="29"/>
      <c r="DM766" s="29"/>
      <c r="DN766" s="29"/>
      <c r="DO766" s="29"/>
      <c r="DP766" s="29"/>
      <c r="DQ766" s="29"/>
      <c r="DR766" s="29"/>
      <c r="DS766" s="29"/>
      <c r="DT766" s="29"/>
      <c r="DU766" s="29"/>
      <c r="DV766" s="29"/>
      <c r="DW766" s="29"/>
      <c r="DX766" s="29"/>
      <c r="DY766" s="29"/>
      <c r="DZ766" s="29"/>
      <c r="EA766" s="29"/>
      <c r="EB766" s="29"/>
      <c r="EC766" s="29"/>
      <c r="ED766" s="29"/>
      <c r="EE766" s="29"/>
      <c r="EF766" s="29"/>
      <c r="EG766" s="29"/>
      <c r="EH766" s="29"/>
      <c r="EI766" s="29"/>
      <c r="EJ766" s="29"/>
      <c r="EK766" s="29"/>
      <c r="EL766" s="29"/>
      <c r="EM766" s="29"/>
      <c r="EN766" s="29"/>
      <c r="EO766" s="29"/>
      <c r="EP766" s="29"/>
      <c r="EQ766" s="29"/>
      <c r="ER766" s="29"/>
      <c r="ES766" s="29"/>
      <c r="ET766" s="29"/>
      <c r="EU766" s="29"/>
      <c r="EV766" s="29"/>
      <c r="EW766" s="29"/>
      <c r="EX766" s="29"/>
      <c r="EY766" s="29"/>
      <c r="EZ766" s="29"/>
      <c r="FA766" s="29"/>
      <c r="FB766" s="29"/>
      <c r="FC766" s="29"/>
      <c r="FD766" s="29"/>
      <c r="FE766" s="29"/>
      <c r="FF766" s="29"/>
      <c r="FG766" s="29"/>
      <c r="FH766" s="29"/>
      <c r="FI766" s="29"/>
      <c r="FJ766" s="29"/>
      <c r="FK766" s="29"/>
      <c r="FL766" s="29"/>
      <c r="FM766" s="29"/>
      <c r="FN766" s="29"/>
      <c r="FO766" s="29"/>
      <c r="FP766" s="29"/>
      <c r="FQ766" s="29"/>
      <c r="FR766" s="29"/>
      <c r="FS766" s="29"/>
      <c r="FT766" s="29"/>
      <c r="FU766" s="29"/>
      <c r="FV766" s="29"/>
      <c r="FW766" s="29"/>
      <c r="FX766" s="29"/>
      <c r="FY766" s="29"/>
      <c r="FZ766" s="29"/>
      <c r="GA766" s="29"/>
      <c r="GB766" s="29"/>
      <c r="GC766" s="29"/>
      <c r="GD766" s="29"/>
      <c r="GE766" s="29"/>
      <c r="GF766" s="29"/>
      <c r="GG766" s="29"/>
      <c r="GH766" s="29"/>
      <c r="GI766" s="29"/>
      <c r="GJ766" s="29"/>
      <c r="GK766" s="29"/>
      <c r="GL766" s="29"/>
      <c r="GM766" s="29"/>
      <c r="GN766" s="29"/>
      <c r="GO766" s="29"/>
      <c r="GP766" s="29"/>
      <c r="GQ766" s="29"/>
      <c r="GR766" s="29"/>
      <c r="GS766" s="29"/>
      <c r="GT766" s="29"/>
      <c r="GU766" s="29"/>
      <c r="HP766" s="31"/>
      <c r="MX766" s="29"/>
      <c r="MY766" s="29"/>
    </row>
    <row r="767" ht="16.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c r="BO767" s="29"/>
      <c r="BP767" s="29"/>
      <c r="BQ767" s="29"/>
      <c r="BR767" s="29"/>
      <c r="BS767" s="29"/>
      <c r="BT767" s="29"/>
      <c r="BU767" s="29"/>
      <c r="BV767" s="29"/>
      <c r="BW767" s="29"/>
      <c r="BX767" s="29"/>
      <c r="BY767" s="29"/>
      <c r="BZ767" s="29"/>
      <c r="CA767" s="29"/>
      <c r="CB767" s="29"/>
      <c r="CC767" s="29"/>
      <c r="CD767" s="29"/>
      <c r="CE767" s="29"/>
      <c r="CF767" s="29"/>
      <c r="CG767" s="29"/>
      <c r="CH767" s="29"/>
      <c r="CI767" s="29"/>
      <c r="CJ767" s="29"/>
      <c r="CK767" s="29"/>
      <c r="CL767" s="29"/>
      <c r="CM767" s="29"/>
      <c r="CN767" s="29"/>
      <c r="CO767" s="29"/>
      <c r="CP767" s="29"/>
      <c r="CQ767" s="29"/>
      <c r="CR767" s="29"/>
      <c r="CS767" s="29"/>
      <c r="CT767" s="29"/>
      <c r="CU767" s="29"/>
      <c r="CV767" s="29"/>
      <c r="CW767" s="29"/>
      <c r="CX767" s="29"/>
      <c r="CY767" s="29"/>
      <c r="CZ767" s="29"/>
      <c r="DA767" s="29"/>
      <c r="DB767" s="29"/>
      <c r="DC767" s="29"/>
      <c r="DD767" s="29"/>
      <c r="DE767" s="29"/>
      <c r="DF767" s="29"/>
      <c r="DG767" s="29"/>
      <c r="DH767" s="29"/>
      <c r="DI767" s="29"/>
      <c r="DJ767" s="29"/>
      <c r="DK767" s="29"/>
      <c r="DL767" s="29"/>
      <c r="DM767" s="29"/>
      <c r="DN767" s="29"/>
      <c r="DO767" s="29"/>
      <c r="DP767" s="29"/>
      <c r="DQ767" s="29"/>
      <c r="DR767" s="29"/>
      <c r="DS767" s="29"/>
      <c r="DT767" s="29"/>
      <c r="DU767" s="29"/>
      <c r="DV767" s="29"/>
      <c r="DW767" s="29"/>
      <c r="DX767" s="29"/>
      <c r="DY767" s="29"/>
      <c r="DZ767" s="29"/>
      <c r="EA767" s="29"/>
      <c r="EB767" s="29"/>
      <c r="EC767" s="29"/>
      <c r="ED767" s="29"/>
      <c r="EE767" s="29"/>
      <c r="EF767" s="29"/>
      <c r="EG767" s="29"/>
      <c r="EH767" s="29"/>
      <c r="EI767" s="29"/>
      <c r="EJ767" s="29"/>
      <c r="EK767" s="29"/>
      <c r="EL767" s="29"/>
      <c r="EM767" s="29"/>
      <c r="EN767" s="29"/>
      <c r="EO767" s="29"/>
      <c r="EP767" s="29"/>
      <c r="EQ767" s="29"/>
      <c r="ER767" s="29"/>
      <c r="ES767" s="29"/>
      <c r="ET767" s="29"/>
      <c r="EU767" s="29"/>
      <c r="EV767" s="29"/>
      <c r="EW767" s="29"/>
      <c r="EX767" s="29"/>
      <c r="EY767" s="29"/>
      <c r="EZ767" s="29"/>
      <c r="FA767" s="29"/>
      <c r="FB767" s="29"/>
      <c r="FC767" s="29"/>
      <c r="FD767" s="29"/>
      <c r="FE767" s="29"/>
      <c r="FF767" s="29"/>
      <c r="FG767" s="29"/>
      <c r="FH767" s="29"/>
      <c r="FI767" s="29"/>
      <c r="FJ767" s="29"/>
      <c r="FK767" s="29"/>
      <c r="FL767" s="29"/>
      <c r="FM767" s="29"/>
      <c r="FN767" s="29"/>
      <c r="FO767" s="29"/>
      <c r="FP767" s="29"/>
      <c r="FQ767" s="29"/>
      <c r="FR767" s="29"/>
      <c r="FS767" s="29"/>
      <c r="FT767" s="29"/>
      <c r="FU767" s="29"/>
      <c r="FV767" s="29"/>
      <c r="FW767" s="29"/>
      <c r="FX767" s="29"/>
      <c r="FY767" s="29"/>
      <c r="FZ767" s="29"/>
      <c r="GA767" s="29"/>
      <c r="GB767" s="29"/>
      <c r="GC767" s="29"/>
      <c r="GD767" s="29"/>
      <c r="GE767" s="29"/>
      <c r="GF767" s="29"/>
      <c r="GG767" s="29"/>
      <c r="GH767" s="29"/>
      <c r="GI767" s="29"/>
      <c r="GJ767" s="29"/>
      <c r="GK767" s="29"/>
      <c r="GL767" s="29"/>
      <c r="GM767" s="29"/>
      <c r="GN767" s="29"/>
      <c r="GO767" s="29"/>
      <c r="GP767" s="29"/>
      <c r="GQ767" s="29"/>
      <c r="GR767" s="29"/>
      <c r="GS767" s="29"/>
      <c r="GT767" s="29"/>
      <c r="GU767" s="29"/>
      <c r="HP767" s="31"/>
      <c r="MX767" s="29"/>
      <c r="MY767" s="29"/>
    </row>
    <row r="768" ht="16.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c r="AX768" s="29"/>
      <c r="AY768" s="29"/>
      <c r="AZ768" s="29"/>
      <c r="BA768" s="29"/>
      <c r="BB768" s="29"/>
      <c r="BC768" s="29"/>
      <c r="BD768" s="29"/>
      <c r="BE768" s="29"/>
      <c r="BF768" s="29"/>
      <c r="BG768" s="29"/>
      <c r="BH768" s="29"/>
      <c r="BI768" s="29"/>
      <c r="BJ768" s="29"/>
      <c r="BK768" s="29"/>
      <c r="BL768" s="29"/>
      <c r="BM768" s="29"/>
      <c r="BN768" s="29"/>
      <c r="BO768" s="29"/>
      <c r="BP768" s="29"/>
      <c r="BQ768" s="29"/>
      <c r="BR768" s="29"/>
      <c r="BS768" s="29"/>
      <c r="BT768" s="29"/>
      <c r="BU768" s="29"/>
      <c r="BV768" s="29"/>
      <c r="BW768" s="29"/>
      <c r="BX768" s="29"/>
      <c r="BY768" s="29"/>
      <c r="BZ768" s="29"/>
      <c r="CA768" s="29"/>
      <c r="CB768" s="29"/>
      <c r="CC768" s="29"/>
      <c r="CD768" s="29"/>
      <c r="CE768" s="29"/>
      <c r="CF768" s="29"/>
      <c r="CG768" s="29"/>
      <c r="CH768" s="29"/>
      <c r="CI768" s="29"/>
      <c r="CJ768" s="29"/>
      <c r="CK768" s="29"/>
      <c r="CL768" s="29"/>
      <c r="CM768" s="29"/>
      <c r="CN768" s="29"/>
      <c r="CO768" s="29"/>
      <c r="CP768" s="29"/>
      <c r="CQ768" s="29"/>
      <c r="CR768" s="29"/>
      <c r="CS768" s="29"/>
      <c r="CT768" s="29"/>
      <c r="CU768" s="29"/>
      <c r="CV768" s="29"/>
      <c r="CW768" s="29"/>
      <c r="CX768" s="29"/>
      <c r="CY768" s="29"/>
      <c r="CZ768" s="29"/>
      <c r="DA768" s="29"/>
      <c r="DB768" s="29"/>
      <c r="DC768" s="29"/>
      <c r="DD768" s="29"/>
      <c r="DE768" s="29"/>
      <c r="DF768" s="29"/>
      <c r="DG768" s="29"/>
      <c r="DH768" s="29"/>
      <c r="DI768" s="29"/>
      <c r="DJ768" s="29"/>
      <c r="DK768" s="29"/>
      <c r="DL768" s="29"/>
      <c r="DM768" s="29"/>
      <c r="DN768" s="29"/>
      <c r="DO768" s="29"/>
      <c r="DP768" s="29"/>
      <c r="DQ768" s="29"/>
      <c r="DR768" s="29"/>
      <c r="DS768" s="29"/>
      <c r="DT768" s="29"/>
      <c r="DU768" s="29"/>
      <c r="DV768" s="29"/>
      <c r="DW768" s="29"/>
      <c r="DX768" s="29"/>
      <c r="DY768" s="29"/>
      <c r="DZ768" s="29"/>
      <c r="EA768" s="29"/>
      <c r="EB768" s="29"/>
      <c r="EC768" s="29"/>
      <c r="ED768" s="29"/>
      <c r="EE768" s="29"/>
      <c r="EF768" s="29"/>
      <c r="EG768" s="29"/>
      <c r="EH768" s="29"/>
      <c r="EI768" s="29"/>
      <c r="EJ768" s="29"/>
      <c r="EK768" s="29"/>
      <c r="EL768" s="29"/>
      <c r="EM768" s="29"/>
      <c r="EN768" s="29"/>
      <c r="EO768" s="29"/>
      <c r="EP768" s="29"/>
      <c r="EQ768" s="29"/>
      <c r="ER768" s="29"/>
      <c r="ES768" s="29"/>
      <c r="ET768" s="29"/>
      <c r="EU768" s="29"/>
      <c r="EV768" s="29"/>
      <c r="EW768" s="29"/>
      <c r="EX768" s="29"/>
      <c r="EY768" s="29"/>
      <c r="EZ768" s="29"/>
      <c r="FA768" s="29"/>
      <c r="FB768" s="29"/>
      <c r="FC768" s="29"/>
      <c r="FD768" s="29"/>
      <c r="FE768" s="29"/>
      <c r="FF768" s="29"/>
      <c r="FG768" s="29"/>
      <c r="FH768" s="29"/>
      <c r="FI768" s="29"/>
      <c r="FJ768" s="29"/>
      <c r="FK768" s="29"/>
      <c r="FL768" s="29"/>
      <c r="FM768" s="29"/>
      <c r="FN768" s="29"/>
      <c r="FO768" s="29"/>
      <c r="FP768" s="29"/>
      <c r="FQ768" s="29"/>
      <c r="FR768" s="29"/>
      <c r="FS768" s="29"/>
      <c r="FT768" s="29"/>
      <c r="FU768" s="29"/>
      <c r="FV768" s="29"/>
      <c r="FW768" s="29"/>
      <c r="FX768" s="29"/>
      <c r="FY768" s="29"/>
      <c r="FZ768" s="29"/>
      <c r="GA768" s="29"/>
      <c r="GB768" s="29"/>
      <c r="GC768" s="29"/>
      <c r="GD768" s="29"/>
      <c r="GE768" s="29"/>
      <c r="GF768" s="29"/>
      <c r="GG768" s="29"/>
      <c r="GH768" s="29"/>
      <c r="GI768" s="29"/>
      <c r="GJ768" s="29"/>
      <c r="GK768" s="29"/>
      <c r="GL768" s="29"/>
      <c r="GM768" s="29"/>
      <c r="GN768" s="29"/>
      <c r="GO768" s="29"/>
      <c r="GP768" s="29"/>
      <c r="GQ768" s="29"/>
      <c r="GR768" s="29"/>
      <c r="GS768" s="29"/>
      <c r="GT768" s="29"/>
      <c r="GU768" s="29"/>
      <c r="HP768" s="31"/>
      <c r="MX768" s="29"/>
      <c r="MY768" s="29"/>
    </row>
    <row r="769" ht="16.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29"/>
      <c r="BR769" s="29"/>
      <c r="BS769" s="29"/>
      <c r="BT769" s="29"/>
      <c r="BU769" s="29"/>
      <c r="BV769" s="29"/>
      <c r="BW769" s="29"/>
      <c r="BX769" s="29"/>
      <c r="BY769" s="29"/>
      <c r="BZ769" s="29"/>
      <c r="CA769" s="29"/>
      <c r="CB769" s="29"/>
      <c r="CC769" s="29"/>
      <c r="CD769" s="29"/>
      <c r="CE769" s="29"/>
      <c r="CF769" s="29"/>
      <c r="CG769" s="29"/>
      <c r="CH769" s="29"/>
      <c r="CI769" s="29"/>
      <c r="CJ769" s="29"/>
      <c r="CK769" s="29"/>
      <c r="CL769" s="29"/>
      <c r="CM769" s="29"/>
      <c r="CN769" s="29"/>
      <c r="CO769" s="29"/>
      <c r="CP769" s="29"/>
      <c r="CQ769" s="29"/>
      <c r="CR769" s="29"/>
      <c r="CS769" s="29"/>
      <c r="CT769" s="29"/>
      <c r="CU769" s="29"/>
      <c r="CV769" s="29"/>
      <c r="CW769" s="29"/>
      <c r="CX769" s="29"/>
      <c r="CY769" s="29"/>
      <c r="CZ769" s="29"/>
      <c r="DA769" s="29"/>
      <c r="DB769" s="29"/>
      <c r="DC769" s="29"/>
      <c r="DD769" s="29"/>
      <c r="DE769" s="29"/>
      <c r="DF769" s="29"/>
      <c r="DG769" s="29"/>
      <c r="DH769" s="29"/>
      <c r="DI769" s="29"/>
      <c r="DJ769" s="29"/>
      <c r="DK769" s="29"/>
      <c r="DL769" s="29"/>
      <c r="DM769" s="29"/>
      <c r="DN769" s="29"/>
      <c r="DO769" s="29"/>
      <c r="DP769" s="29"/>
      <c r="DQ769" s="29"/>
      <c r="DR769" s="29"/>
      <c r="DS769" s="29"/>
      <c r="DT769" s="29"/>
      <c r="DU769" s="29"/>
      <c r="DV769" s="29"/>
      <c r="DW769" s="29"/>
      <c r="DX769" s="29"/>
      <c r="DY769" s="29"/>
      <c r="DZ769" s="29"/>
      <c r="EA769" s="29"/>
      <c r="EB769" s="29"/>
      <c r="EC769" s="29"/>
      <c r="ED769" s="29"/>
      <c r="EE769" s="29"/>
      <c r="EF769" s="29"/>
      <c r="EG769" s="29"/>
      <c r="EH769" s="29"/>
      <c r="EI769" s="29"/>
      <c r="EJ769" s="29"/>
      <c r="EK769" s="29"/>
      <c r="EL769" s="29"/>
      <c r="EM769" s="29"/>
      <c r="EN769" s="29"/>
      <c r="EO769" s="29"/>
      <c r="EP769" s="29"/>
      <c r="EQ769" s="29"/>
      <c r="ER769" s="29"/>
      <c r="ES769" s="29"/>
      <c r="ET769" s="29"/>
      <c r="EU769" s="29"/>
      <c r="EV769" s="29"/>
      <c r="EW769" s="29"/>
      <c r="EX769" s="29"/>
      <c r="EY769" s="29"/>
      <c r="EZ769" s="29"/>
      <c r="FA769" s="29"/>
      <c r="FB769" s="29"/>
      <c r="FC769" s="29"/>
      <c r="FD769" s="29"/>
      <c r="FE769" s="29"/>
      <c r="FF769" s="29"/>
      <c r="FG769" s="29"/>
      <c r="FH769" s="29"/>
      <c r="FI769" s="29"/>
      <c r="FJ769" s="29"/>
      <c r="FK769" s="29"/>
      <c r="FL769" s="29"/>
      <c r="FM769" s="29"/>
      <c r="FN769" s="29"/>
      <c r="FO769" s="29"/>
      <c r="FP769" s="29"/>
      <c r="FQ769" s="29"/>
      <c r="FR769" s="29"/>
      <c r="FS769" s="29"/>
      <c r="FT769" s="29"/>
      <c r="FU769" s="29"/>
      <c r="FV769" s="29"/>
      <c r="FW769" s="29"/>
      <c r="FX769" s="29"/>
      <c r="FY769" s="29"/>
      <c r="FZ769" s="29"/>
      <c r="GA769" s="29"/>
      <c r="GB769" s="29"/>
      <c r="GC769" s="29"/>
      <c r="GD769" s="29"/>
      <c r="GE769" s="29"/>
      <c r="GF769" s="29"/>
      <c r="GG769" s="29"/>
      <c r="GH769" s="29"/>
      <c r="GI769" s="29"/>
      <c r="GJ769" s="29"/>
      <c r="GK769" s="29"/>
      <c r="GL769" s="29"/>
      <c r="GM769" s="29"/>
      <c r="GN769" s="29"/>
      <c r="GO769" s="29"/>
      <c r="GP769" s="29"/>
      <c r="GQ769" s="29"/>
      <c r="GR769" s="29"/>
      <c r="GS769" s="29"/>
      <c r="GT769" s="29"/>
      <c r="GU769" s="29"/>
      <c r="HP769" s="31"/>
      <c r="MX769" s="29"/>
      <c r="MY769" s="29"/>
    </row>
    <row r="770" ht="16.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29"/>
      <c r="BR770" s="29"/>
      <c r="BS770" s="29"/>
      <c r="BT770" s="29"/>
      <c r="BU770" s="29"/>
      <c r="BV770" s="29"/>
      <c r="BW770" s="29"/>
      <c r="BX770" s="29"/>
      <c r="BY770" s="29"/>
      <c r="BZ770" s="29"/>
      <c r="CA770" s="29"/>
      <c r="CB770" s="29"/>
      <c r="CC770" s="29"/>
      <c r="CD770" s="29"/>
      <c r="CE770" s="29"/>
      <c r="CF770" s="29"/>
      <c r="CG770" s="29"/>
      <c r="CH770" s="29"/>
      <c r="CI770" s="29"/>
      <c r="CJ770" s="29"/>
      <c r="CK770" s="29"/>
      <c r="CL770" s="29"/>
      <c r="CM770" s="29"/>
      <c r="CN770" s="29"/>
      <c r="CO770" s="29"/>
      <c r="CP770" s="29"/>
      <c r="CQ770" s="29"/>
      <c r="CR770" s="29"/>
      <c r="CS770" s="29"/>
      <c r="CT770" s="29"/>
      <c r="CU770" s="29"/>
      <c r="CV770" s="29"/>
      <c r="CW770" s="29"/>
      <c r="CX770" s="29"/>
      <c r="CY770" s="29"/>
      <c r="CZ770" s="29"/>
      <c r="DA770" s="29"/>
      <c r="DB770" s="29"/>
      <c r="DC770" s="29"/>
      <c r="DD770" s="29"/>
      <c r="DE770" s="29"/>
      <c r="DF770" s="29"/>
      <c r="DG770" s="29"/>
      <c r="DH770" s="29"/>
      <c r="DI770" s="29"/>
      <c r="DJ770" s="29"/>
      <c r="DK770" s="29"/>
      <c r="DL770" s="29"/>
      <c r="DM770" s="29"/>
      <c r="DN770" s="29"/>
      <c r="DO770" s="29"/>
      <c r="DP770" s="29"/>
      <c r="DQ770" s="29"/>
      <c r="DR770" s="29"/>
      <c r="DS770" s="29"/>
      <c r="DT770" s="29"/>
      <c r="DU770" s="29"/>
      <c r="DV770" s="29"/>
      <c r="DW770" s="29"/>
      <c r="DX770" s="29"/>
      <c r="DY770" s="29"/>
      <c r="DZ770" s="29"/>
      <c r="EA770" s="29"/>
      <c r="EB770" s="29"/>
      <c r="EC770" s="29"/>
      <c r="ED770" s="29"/>
      <c r="EE770" s="29"/>
      <c r="EF770" s="29"/>
      <c r="EG770" s="29"/>
      <c r="EH770" s="29"/>
      <c r="EI770" s="29"/>
      <c r="EJ770" s="29"/>
      <c r="EK770" s="29"/>
      <c r="EL770" s="29"/>
      <c r="EM770" s="29"/>
      <c r="EN770" s="29"/>
      <c r="EO770" s="29"/>
      <c r="EP770" s="29"/>
      <c r="EQ770" s="29"/>
      <c r="ER770" s="29"/>
      <c r="ES770" s="29"/>
      <c r="ET770" s="29"/>
      <c r="EU770" s="29"/>
      <c r="EV770" s="29"/>
      <c r="EW770" s="29"/>
      <c r="EX770" s="29"/>
      <c r="EY770" s="29"/>
      <c r="EZ770" s="29"/>
      <c r="FA770" s="29"/>
      <c r="FB770" s="29"/>
      <c r="FC770" s="29"/>
      <c r="FD770" s="29"/>
      <c r="FE770" s="29"/>
      <c r="FF770" s="29"/>
      <c r="FG770" s="29"/>
      <c r="FH770" s="29"/>
      <c r="FI770" s="29"/>
      <c r="FJ770" s="29"/>
      <c r="FK770" s="29"/>
      <c r="FL770" s="29"/>
      <c r="FM770" s="29"/>
      <c r="FN770" s="29"/>
      <c r="FO770" s="29"/>
      <c r="FP770" s="29"/>
      <c r="FQ770" s="29"/>
      <c r="FR770" s="29"/>
      <c r="FS770" s="29"/>
      <c r="FT770" s="29"/>
      <c r="FU770" s="29"/>
      <c r="FV770" s="29"/>
      <c r="FW770" s="29"/>
      <c r="FX770" s="29"/>
      <c r="FY770" s="29"/>
      <c r="FZ770" s="29"/>
      <c r="GA770" s="29"/>
      <c r="GB770" s="29"/>
      <c r="GC770" s="29"/>
      <c r="GD770" s="29"/>
      <c r="GE770" s="29"/>
      <c r="GF770" s="29"/>
      <c r="GG770" s="29"/>
      <c r="GH770" s="29"/>
      <c r="GI770" s="29"/>
      <c r="GJ770" s="29"/>
      <c r="GK770" s="29"/>
      <c r="GL770" s="29"/>
      <c r="GM770" s="29"/>
      <c r="GN770" s="29"/>
      <c r="GO770" s="29"/>
      <c r="GP770" s="29"/>
      <c r="GQ770" s="29"/>
      <c r="GR770" s="29"/>
      <c r="GS770" s="29"/>
      <c r="GT770" s="29"/>
      <c r="GU770" s="29"/>
      <c r="HP770" s="31"/>
      <c r="MX770" s="29"/>
      <c r="MY770" s="29"/>
    </row>
    <row r="771" ht="16.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c r="BO771" s="29"/>
      <c r="BP771" s="29"/>
      <c r="BQ771" s="29"/>
      <c r="BR771" s="29"/>
      <c r="BS771" s="29"/>
      <c r="BT771" s="29"/>
      <c r="BU771" s="29"/>
      <c r="BV771" s="29"/>
      <c r="BW771" s="29"/>
      <c r="BX771" s="29"/>
      <c r="BY771" s="29"/>
      <c r="BZ771" s="29"/>
      <c r="CA771" s="29"/>
      <c r="CB771" s="29"/>
      <c r="CC771" s="29"/>
      <c r="CD771" s="29"/>
      <c r="CE771" s="29"/>
      <c r="CF771" s="29"/>
      <c r="CG771" s="29"/>
      <c r="CH771" s="29"/>
      <c r="CI771" s="29"/>
      <c r="CJ771" s="29"/>
      <c r="CK771" s="29"/>
      <c r="CL771" s="29"/>
      <c r="CM771" s="29"/>
      <c r="CN771" s="29"/>
      <c r="CO771" s="29"/>
      <c r="CP771" s="29"/>
      <c r="CQ771" s="29"/>
      <c r="CR771" s="29"/>
      <c r="CS771" s="29"/>
      <c r="CT771" s="29"/>
      <c r="CU771" s="29"/>
      <c r="CV771" s="29"/>
      <c r="CW771" s="29"/>
      <c r="CX771" s="29"/>
      <c r="CY771" s="29"/>
      <c r="CZ771" s="29"/>
      <c r="DA771" s="29"/>
      <c r="DB771" s="29"/>
      <c r="DC771" s="29"/>
      <c r="DD771" s="29"/>
      <c r="DE771" s="29"/>
      <c r="DF771" s="29"/>
      <c r="DG771" s="29"/>
      <c r="DH771" s="29"/>
      <c r="DI771" s="29"/>
      <c r="DJ771" s="29"/>
      <c r="DK771" s="29"/>
      <c r="DL771" s="29"/>
      <c r="DM771" s="29"/>
      <c r="DN771" s="29"/>
      <c r="DO771" s="29"/>
      <c r="DP771" s="29"/>
      <c r="DQ771" s="29"/>
      <c r="DR771" s="29"/>
      <c r="DS771" s="29"/>
      <c r="DT771" s="29"/>
      <c r="DU771" s="29"/>
      <c r="DV771" s="29"/>
      <c r="DW771" s="29"/>
      <c r="DX771" s="29"/>
      <c r="DY771" s="29"/>
      <c r="DZ771" s="29"/>
      <c r="EA771" s="29"/>
      <c r="EB771" s="29"/>
      <c r="EC771" s="29"/>
      <c r="ED771" s="29"/>
      <c r="EE771" s="29"/>
      <c r="EF771" s="29"/>
      <c r="EG771" s="29"/>
      <c r="EH771" s="29"/>
      <c r="EI771" s="29"/>
      <c r="EJ771" s="29"/>
      <c r="EK771" s="29"/>
      <c r="EL771" s="29"/>
      <c r="EM771" s="29"/>
      <c r="EN771" s="29"/>
      <c r="EO771" s="29"/>
      <c r="EP771" s="29"/>
      <c r="EQ771" s="29"/>
      <c r="ER771" s="29"/>
      <c r="ES771" s="29"/>
      <c r="ET771" s="29"/>
      <c r="EU771" s="29"/>
      <c r="EV771" s="29"/>
      <c r="EW771" s="29"/>
      <c r="EX771" s="29"/>
      <c r="EY771" s="29"/>
      <c r="EZ771" s="29"/>
      <c r="FA771" s="29"/>
      <c r="FB771" s="29"/>
      <c r="FC771" s="29"/>
      <c r="FD771" s="29"/>
      <c r="FE771" s="29"/>
      <c r="FF771" s="29"/>
      <c r="FG771" s="29"/>
      <c r="FH771" s="29"/>
      <c r="FI771" s="29"/>
      <c r="FJ771" s="29"/>
      <c r="FK771" s="29"/>
      <c r="FL771" s="29"/>
      <c r="FM771" s="29"/>
      <c r="FN771" s="29"/>
      <c r="FO771" s="29"/>
      <c r="FP771" s="29"/>
      <c r="FQ771" s="29"/>
      <c r="FR771" s="29"/>
      <c r="FS771" s="29"/>
      <c r="FT771" s="29"/>
      <c r="FU771" s="29"/>
      <c r="FV771" s="29"/>
      <c r="FW771" s="29"/>
      <c r="FX771" s="29"/>
      <c r="FY771" s="29"/>
      <c r="FZ771" s="29"/>
      <c r="GA771" s="29"/>
      <c r="GB771" s="29"/>
      <c r="GC771" s="29"/>
      <c r="GD771" s="29"/>
      <c r="GE771" s="29"/>
      <c r="GF771" s="29"/>
      <c r="GG771" s="29"/>
      <c r="GH771" s="29"/>
      <c r="GI771" s="29"/>
      <c r="GJ771" s="29"/>
      <c r="GK771" s="29"/>
      <c r="GL771" s="29"/>
      <c r="GM771" s="29"/>
      <c r="GN771" s="29"/>
      <c r="GO771" s="29"/>
      <c r="GP771" s="29"/>
      <c r="GQ771" s="29"/>
      <c r="GR771" s="29"/>
      <c r="GS771" s="29"/>
      <c r="GT771" s="29"/>
      <c r="GU771" s="29"/>
      <c r="HP771" s="31"/>
      <c r="MX771" s="29"/>
      <c r="MY771" s="29"/>
    </row>
    <row r="772" ht="16.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c r="BR772" s="29"/>
      <c r="BS772" s="29"/>
      <c r="BT772" s="29"/>
      <c r="BU772" s="29"/>
      <c r="BV772" s="29"/>
      <c r="BW772" s="29"/>
      <c r="BX772" s="29"/>
      <c r="BY772" s="29"/>
      <c r="BZ772" s="29"/>
      <c r="CA772" s="29"/>
      <c r="CB772" s="29"/>
      <c r="CC772" s="29"/>
      <c r="CD772" s="29"/>
      <c r="CE772" s="29"/>
      <c r="CF772" s="29"/>
      <c r="CG772" s="29"/>
      <c r="CH772" s="29"/>
      <c r="CI772" s="29"/>
      <c r="CJ772" s="29"/>
      <c r="CK772" s="29"/>
      <c r="CL772" s="29"/>
      <c r="CM772" s="29"/>
      <c r="CN772" s="29"/>
      <c r="CO772" s="29"/>
      <c r="CP772" s="29"/>
      <c r="CQ772" s="29"/>
      <c r="CR772" s="29"/>
      <c r="CS772" s="29"/>
      <c r="CT772" s="29"/>
      <c r="CU772" s="29"/>
      <c r="CV772" s="29"/>
      <c r="CW772" s="29"/>
      <c r="CX772" s="29"/>
      <c r="CY772" s="29"/>
      <c r="CZ772" s="29"/>
      <c r="DA772" s="29"/>
      <c r="DB772" s="29"/>
      <c r="DC772" s="29"/>
      <c r="DD772" s="29"/>
      <c r="DE772" s="29"/>
      <c r="DF772" s="29"/>
      <c r="DG772" s="29"/>
      <c r="DH772" s="29"/>
      <c r="DI772" s="29"/>
      <c r="DJ772" s="29"/>
      <c r="DK772" s="29"/>
      <c r="DL772" s="29"/>
      <c r="DM772" s="29"/>
      <c r="DN772" s="29"/>
      <c r="DO772" s="29"/>
      <c r="DP772" s="29"/>
      <c r="DQ772" s="29"/>
      <c r="DR772" s="29"/>
      <c r="DS772" s="29"/>
      <c r="DT772" s="29"/>
      <c r="DU772" s="29"/>
      <c r="DV772" s="29"/>
      <c r="DW772" s="29"/>
      <c r="DX772" s="29"/>
      <c r="DY772" s="29"/>
      <c r="DZ772" s="29"/>
      <c r="EA772" s="29"/>
      <c r="EB772" s="29"/>
      <c r="EC772" s="29"/>
      <c r="ED772" s="29"/>
      <c r="EE772" s="29"/>
      <c r="EF772" s="29"/>
      <c r="EG772" s="29"/>
      <c r="EH772" s="29"/>
      <c r="EI772" s="29"/>
      <c r="EJ772" s="29"/>
      <c r="EK772" s="29"/>
      <c r="EL772" s="29"/>
      <c r="EM772" s="29"/>
      <c r="EN772" s="29"/>
      <c r="EO772" s="29"/>
      <c r="EP772" s="29"/>
      <c r="EQ772" s="29"/>
      <c r="ER772" s="29"/>
      <c r="ES772" s="29"/>
      <c r="ET772" s="29"/>
      <c r="EU772" s="29"/>
      <c r="EV772" s="29"/>
      <c r="EW772" s="29"/>
      <c r="EX772" s="29"/>
      <c r="EY772" s="29"/>
      <c r="EZ772" s="29"/>
      <c r="FA772" s="29"/>
      <c r="FB772" s="29"/>
      <c r="FC772" s="29"/>
      <c r="FD772" s="29"/>
      <c r="FE772" s="29"/>
      <c r="FF772" s="29"/>
      <c r="FG772" s="29"/>
      <c r="FH772" s="29"/>
      <c r="FI772" s="29"/>
      <c r="FJ772" s="29"/>
      <c r="FK772" s="29"/>
      <c r="FL772" s="29"/>
      <c r="FM772" s="29"/>
      <c r="FN772" s="29"/>
      <c r="FO772" s="29"/>
      <c r="FP772" s="29"/>
      <c r="FQ772" s="29"/>
      <c r="FR772" s="29"/>
      <c r="FS772" s="29"/>
      <c r="FT772" s="29"/>
      <c r="FU772" s="29"/>
      <c r="FV772" s="29"/>
      <c r="FW772" s="29"/>
      <c r="FX772" s="29"/>
      <c r="FY772" s="29"/>
      <c r="FZ772" s="29"/>
      <c r="GA772" s="29"/>
      <c r="GB772" s="29"/>
      <c r="GC772" s="29"/>
      <c r="GD772" s="29"/>
      <c r="GE772" s="29"/>
      <c r="GF772" s="29"/>
      <c r="GG772" s="29"/>
      <c r="GH772" s="29"/>
      <c r="GI772" s="29"/>
      <c r="GJ772" s="29"/>
      <c r="GK772" s="29"/>
      <c r="GL772" s="29"/>
      <c r="GM772" s="29"/>
      <c r="GN772" s="29"/>
      <c r="GO772" s="29"/>
      <c r="GP772" s="29"/>
      <c r="GQ772" s="29"/>
      <c r="GR772" s="29"/>
      <c r="GS772" s="29"/>
      <c r="GT772" s="29"/>
      <c r="GU772" s="29"/>
      <c r="HP772" s="31"/>
      <c r="MX772" s="29"/>
      <c r="MY772" s="29"/>
    </row>
    <row r="773" ht="16.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c r="BR773" s="29"/>
      <c r="BS773" s="29"/>
      <c r="BT773" s="29"/>
      <c r="BU773" s="29"/>
      <c r="BV773" s="29"/>
      <c r="BW773" s="29"/>
      <c r="BX773" s="29"/>
      <c r="BY773" s="29"/>
      <c r="BZ773" s="29"/>
      <c r="CA773" s="29"/>
      <c r="CB773" s="29"/>
      <c r="CC773" s="29"/>
      <c r="CD773" s="29"/>
      <c r="CE773" s="29"/>
      <c r="CF773" s="29"/>
      <c r="CG773" s="29"/>
      <c r="CH773" s="29"/>
      <c r="CI773" s="29"/>
      <c r="CJ773" s="29"/>
      <c r="CK773" s="29"/>
      <c r="CL773" s="29"/>
      <c r="CM773" s="29"/>
      <c r="CN773" s="29"/>
      <c r="CO773" s="29"/>
      <c r="CP773" s="29"/>
      <c r="CQ773" s="29"/>
      <c r="CR773" s="29"/>
      <c r="CS773" s="29"/>
      <c r="CT773" s="29"/>
      <c r="CU773" s="29"/>
      <c r="CV773" s="29"/>
      <c r="CW773" s="29"/>
      <c r="CX773" s="29"/>
      <c r="CY773" s="29"/>
      <c r="CZ773" s="29"/>
      <c r="DA773" s="29"/>
      <c r="DB773" s="29"/>
      <c r="DC773" s="29"/>
      <c r="DD773" s="29"/>
      <c r="DE773" s="29"/>
      <c r="DF773" s="29"/>
      <c r="DG773" s="29"/>
      <c r="DH773" s="29"/>
      <c r="DI773" s="29"/>
      <c r="DJ773" s="29"/>
      <c r="DK773" s="29"/>
      <c r="DL773" s="29"/>
      <c r="DM773" s="29"/>
      <c r="DN773" s="29"/>
      <c r="DO773" s="29"/>
      <c r="DP773" s="29"/>
      <c r="DQ773" s="29"/>
      <c r="DR773" s="29"/>
      <c r="DS773" s="29"/>
      <c r="DT773" s="29"/>
      <c r="DU773" s="29"/>
      <c r="DV773" s="29"/>
      <c r="DW773" s="29"/>
      <c r="DX773" s="29"/>
      <c r="DY773" s="29"/>
      <c r="DZ773" s="29"/>
      <c r="EA773" s="29"/>
      <c r="EB773" s="29"/>
      <c r="EC773" s="29"/>
      <c r="ED773" s="29"/>
      <c r="EE773" s="29"/>
      <c r="EF773" s="29"/>
      <c r="EG773" s="29"/>
      <c r="EH773" s="29"/>
      <c r="EI773" s="29"/>
      <c r="EJ773" s="29"/>
      <c r="EK773" s="29"/>
      <c r="EL773" s="29"/>
      <c r="EM773" s="29"/>
      <c r="EN773" s="29"/>
      <c r="EO773" s="29"/>
      <c r="EP773" s="29"/>
      <c r="EQ773" s="29"/>
      <c r="ER773" s="29"/>
      <c r="ES773" s="29"/>
      <c r="ET773" s="29"/>
      <c r="EU773" s="29"/>
      <c r="EV773" s="29"/>
      <c r="EW773" s="29"/>
      <c r="EX773" s="29"/>
      <c r="EY773" s="29"/>
      <c r="EZ773" s="29"/>
      <c r="FA773" s="29"/>
      <c r="FB773" s="29"/>
      <c r="FC773" s="29"/>
      <c r="FD773" s="29"/>
      <c r="FE773" s="29"/>
      <c r="FF773" s="29"/>
      <c r="FG773" s="29"/>
      <c r="FH773" s="29"/>
      <c r="FI773" s="29"/>
      <c r="FJ773" s="29"/>
      <c r="FK773" s="29"/>
      <c r="FL773" s="29"/>
      <c r="FM773" s="29"/>
      <c r="FN773" s="29"/>
      <c r="FO773" s="29"/>
      <c r="FP773" s="29"/>
      <c r="FQ773" s="29"/>
      <c r="FR773" s="29"/>
      <c r="FS773" s="29"/>
      <c r="FT773" s="29"/>
      <c r="FU773" s="29"/>
      <c r="FV773" s="29"/>
      <c r="FW773" s="29"/>
      <c r="FX773" s="29"/>
      <c r="FY773" s="29"/>
      <c r="FZ773" s="29"/>
      <c r="GA773" s="29"/>
      <c r="GB773" s="29"/>
      <c r="GC773" s="29"/>
      <c r="GD773" s="29"/>
      <c r="GE773" s="29"/>
      <c r="GF773" s="29"/>
      <c r="GG773" s="29"/>
      <c r="GH773" s="29"/>
      <c r="GI773" s="29"/>
      <c r="GJ773" s="29"/>
      <c r="GK773" s="29"/>
      <c r="GL773" s="29"/>
      <c r="GM773" s="29"/>
      <c r="GN773" s="29"/>
      <c r="GO773" s="29"/>
      <c r="GP773" s="29"/>
      <c r="GQ773" s="29"/>
      <c r="GR773" s="29"/>
      <c r="GS773" s="29"/>
      <c r="GT773" s="29"/>
      <c r="GU773" s="29"/>
      <c r="HP773" s="31"/>
      <c r="MX773" s="29"/>
      <c r="MY773" s="29"/>
    </row>
    <row r="774" ht="16.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c r="BR774" s="29"/>
      <c r="BS774" s="29"/>
      <c r="BT774" s="29"/>
      <c r="BU774" s="29"/>
      <c r="BV774" s="29"/>
      <c r="BW774" s="29"/>
      <c r="BX774" s="29"/>
      <c r="BY774" s="29"/>
      <c r="BZ774" s="29"/>
      <c r="CA774" s="29"/>
      <c r="CB774" s="29"/>
      <c r="CC774" s="29"/>
      <c r="CD774" s="29"/>
      <c r="CE774" s="29"/>
      <c r="CF774" s="29"/>
      <c r="CG774" s="29"/>
      <c r="CH774" s="29"/>
      <c r="CI774" s="29"/>
      <c r="CJ774" s="29"/>
      <c r="CK774" s="29"/>
      <c r="CL774" s="29"/>
      <c r="CM774" s="29"/>
      <c r="CN774" s="29"/>
      <c r="CO774" s="29"/>
      <c r="CP774" s="29"/>
      <c r="CQ774" s="29"/>
      <c r="CR774" s="29"/>
      <c r="CS774" s="29"/>
      <c r="CT774" s="29"/>
      <c r="CU774" s="29"/>
      <c r="CV774" s="29"/>
      <c r="CW774" s="29"/>
      <c r="CX774" s="29"/>
      <c r="CY774" s="29"/>
      <c r="CZ774" s="29"/>
      <c r="DA774" s="29"/>
      <c r="DB774" s="29"/>
      <c r="DC774" s="29"/>
      <c r="DD774" s="29"/>
      <c r="DE774" s="29"/>
      <c r="DF774" s="29"/>
      <c r="DG774" s="29"/>
      <c r="DH774" s="29"/>
      <c r="DI774" s="29"/>
      <c r="DJ774" s="29"/>
      <c r="DK774" s="29"/>
      <c r="DL774" s="29"/>
      <c r="DM774" s="29"/>
      <c r="DN774" s="29"/>
      <c r="DO774" s="29"/>
      <c r="DP774" s="29"/>
      <c r="DQ774" s="29"/>
      <c r="DR774" s="29"/>
      <c r="DS774" s="29"/>
      <c r="DT774" s="29"/>
      <c r="DU774" s="29"/>
      <c r="DV774" s="29"/>
      <c r="DW774" s="29"/>
      <c r="DX774" s="29"/>
      <c r="DY774" s="29"/>
      <c r="DZ774" s="29"/>
      <c r="EA774" s="29"/>
      <c r="EB774" s="29"/>
      <c r="EC774" s="29"/>
      <c r="ED774" s="29"/>
      <c r="EE774" s="29"/>
      <c r="EF774" s="29"/>
      <c r="EG774" s="29"/>
      <c r="EH774" s="29"/>
      <c r="EI774" s="29"/>
      <c r="EJ774" s="29"/>
      <c r="EK774" s="29"/>
      <c r="EL774" s="29"/>
      <c r="EM774" s="29"/>
      <c r="EN774" s="29"/>
      <c r="EO774" s="29"/>
      <c r="EP774" s="29"/>
      <c r="EQ774" s="29"/>
      <c r="ER774" s="29"/>
      <c r="ES774" s="29"/>
      <c r="ET774" s="29"/>
      <c r="EU774" s="29"/>
      <c r="EV774" s="29"/>
      <c r="EW774" s="29"/>
      <c r="EX774" s="29"/>
      <c r="EY774" s="29"/>
      <c r="EZ774" s="29"/>
      <c r="FA774" s="29"/>
      <c r="FB774" s="29"/>
      <c r="FC774" s="29"/>
      <c r="FD774" s="29"/>
      <c r="FE774" s="29"/>
      <c r="FF774" s="29"/>
      <c r="FG774" s="29"/>
      <c r="FH774" s="29"/>
      <c r="FI774" s="29"/>
      <c r="FJ774" s="29"/>
      <c r="FK774" s="29"/>
      <c r="FL774" s="29"/>
      <c r="FM774" s="29"/>
      <c r="FN774" s="29"/>
      <c r="FO774" s="29"/>
      <c r="FP774" s="29"/>
      <c r="FQ774" s="29"/>
      <c r="FR774" s="29"/>
      <c r="FS774" s="29"/>
      <c r="FT774" s="29"/>
      <c r="FU774" s="29"/>
      <c r="FV774" s="29"/>
      <c r="FW774" s="29"/>
      <c r="FX774" s="29"/>
      <c r="FY774" s="29"/>
      <c r="FZ774" s="29"/>
      <c r="GA774" s="29"/>
      <c r="GB774" s="29"/>
      <c r="GC774" s="29"/>
      <c r="GD774" s="29"/>
      <c r="GE774" s="29"/>
      <c r="GF774" s="29"/>
      <c r="GG774" s="29"/>
      <c r="GH774" s="29"/>
      <c r="GI774" s="29"/>
      <c r="GJ774" s="29"/>
      <c r="GK774" s="29"/>
      <c r="GL774" s="29"/>
      <c r="GM774" s="29"/>
      <c r="GN774" s="29"/>
      <c r="GO774" s="29"/>
      <c r="GP774" s="29"/>
      <c r="GQ774" s="29"/>
      <c r="GR774" s="29"/>
      <c r="GS774" s="29"/>
      <c r="GT774" s="29"/>
      <c r="GU774" s="29"/>
      <c r="HP774" s="31"/>
      <c r="MX774" s="29"/>
      <c r="MY774" s="29"/>
    </row>
    <row r="775" ht="16.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c r="BR775" s="29"/>
      <c r="BS775" s="29"/>
      <c r="BT775" s="29"/>
      <c r="BU775" s="29"/>
      <c r="BV775" s="29"/>
      <c r="BW775" s="29"/>
      <c r="BX775" s="29"/>
      <c r="BY775" s="29"/>
      <c r="BZ775" s="29"/>
      <c r="CA775" s="29"/>
      <c r="CB775" s="29"/>
      <c r="CC775" s="29"/>
      <c r="CD775" s="29"/>
      <c r="CE775" s="29"/>
      <c r="CF775" s="29"/>
      <c r="CG775" s="29"/>
      <c r="CH775" s="29"/>
      <c r="CI775" s="29"/>
      <c r="CJ775" s="29"/>
      <c r="CK775" s="29"/>
      <c r="CL775" s="29"/>
      <c r="CM775" s="29"/>
      <c r="CN775" s="29"/>
      <c r="CO775" s="29"/>
      <c r="CP775" s="29"/>
      <c r="CQ775" s="29"/>
      <c r="CR775" s="29"/>
      <c r="CS775" s="29"/>
      <c r="CT775" s="29"/>
      <c r="CU775" s="29"/>
      <c r="CV775" s="29"/>
      <c r="CW775" s="29"/>
      <c r="CX775" s="29"/>
      <c r="CY775" s="29"/>
      <c r="CZ775" s="29"/>
      <c r="DA775" s="29"/>
      <c r="DB775" s="29"/>
      <c r="DC775" s="29"/>
      <c r="DD775" s="29"/>
      <c r="DE775" s="29"/>
      <c r="DF775" s="29"/>
      <c r="DG775" s="29"/>
      <c r="DH775" s="29"/>
      <c r="DI775" s="29"/>
      <c r="DJ775" s="29"/>
      <c r="DK775" s="29"/>
      <c r="DL775" s="29"/>
      <c r="DM775" s="29"/>
      <c r="DN775" s="29"/>
      <c r="DO775" s="29"/>
      <c r="DP775" s="29"/>
      <c r="DQ775" s="29"/>
      <c r="DR775" s="29"/>
      <c r="DS775" s="29"/>
      <c r="DT775" s="29"/>
      <c r="DU775" s="29"/>
      <c r="DV775" s="29"/>
      <c r="DW775" s="29"/>
      <c r="DX775" s="29"/>
      <c r="DY775" s="29"/>
      <c r="DZ775" s="29"/>
      <c r="EA775" s="29"/>
      <c r="EB775" s="29"/>
      <c r="EC775" s="29"/>
      <c r="ED775" s="29"/>
      <c r="EE775" s="29"/>
      <c r="EF775" s="29"/>
      <c r="EG775" s="29"/>
      <c r="EH775" s="29"/>
      <c r="EI775" s="29"/>
      <c r="EJ775" s="29"/>
      <c r="EK775" s="29"/>
      <c r="EL775" s="29"/>
      <c r="EM775" s="29"/>
      <c r="EN775" s="29"/>
      <c r="EO775" s="29"/>
      <c r="EP775" s="29"/>
      <c r="EQ775" s="29"/>
      <c r="ER775" s="29"/>
      <c r="ES775" s="29"/>
      <c r="ET775" s="29"/>
      <c r="EU775" s="29"/>
      <c r="EV775" s="29"/>
      <c r="EW775" s="29"/>
      <c r="EX775" s="29"/>
      <c r="EY775" s="29"/>
      <c r="EZ775" s="29"/>
      <c r="FA775" s="29"/>
      <c r="FB775" s="29"/>
      <c r="FC775" s="29"/>
      <c r="FD775" s="29"/>
      <c r="FE775" s="29"/>
      <c r="FF775" s="29"/>
      <c r="FG775" s="29"/>
      <c r="FH775" s="29"/>
      <c r="FI775" s="29"/>
      <c r="FJ775" s="29"/>
      <c r="FK775" s="29"/>
      <c r="FL775" s="29"/>
      <c r="FM775" s="29"/>
      <c r="FN775" s="29"/>
      <c r="FO775" s="29"/>
      <c r="FP775" s="29"/>
      <c r="FQ775" s="29"/>
      <c r="FR775" s="29"/>
      <c r="FS775" s="29"/>
      <c r="FT775" s="29"/>
      <c r="FU775" s="29"/>
      <c r="FV775" s="29"/>
      <c r="FW775" s="29"/>
      <c r="FX775" s="29"/>
      <c r="FY775" s="29"/>
      <c r="FZ775" s="29"/>
      <c r="GA775" s="29"/>
      <c r="GB775" s="29"/>
      <c r="GC775" s="29"/>
      <c r="GD775" s="29"/>
      <c r="GE775" s="29"/>
      <c r="GF775" s="29"/>
      <c r="GG775" s="29"/>
      <c r="GH775" s="29"/>
      <c r="GI775" s="29"/>
      <c r="GJ775" s="29"/>
      <c r="GK775" s="29"/>
      <c r="GL775" s="29"/>
      <c r="GM775" s="29"/>
      <c r="GN775" s="29"/>
      <c r="GO775" s="29"/>
      <c r="GP775" s="29"/>
      <c r="GQ775" s="29"/>
      <c r="GR775" s="29"/>
      <c r="GS775" s="29"/>
      <c r="GT775" s="29"/>
      <c r="GU775" s="29"/>
      <c r="HP775" s="31"/>
      <c r="MX775" s="29"/>
      <c r="MY775" s="29"/>
    </row>
    <row r="776" ht="16.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29"/>
      <c r="BY776" s="29"/>
      <c r="BZ776" s="29"/>
      <c r="CA776" s="29"/>
      <c r="CB776" s="29"/>
      <c r="CC776" s="29"/>
      <c r="CD776" s="29"/>
      <c r="CE776" s="29"/>
      <c r="CF776" s="29"/>
      <c r="CG776" s="29"/>
      <c r="CH776" s="29"/>
      <c r="CI776" s="29"/>
      <c r="CJ776" s="29"/>
      <c r="CK776" s="29"/>
      <c r="CL776" s="29"/>
      <c r="CM776" s="29"/>
      <c r="CN776" s="29"/>
      <c r="CO776" s="29"/>
      <c r="CP776" s="29"/>
      <c r="CQ776" s="29"/>
      <c r="CR776" s="29"/>
      <c r="CS776" s="29"/>
      <c r="CT776" s="29"/>
      <c r="CU776" s="29"/>
      <c r="CV776" s="29"/>
      <c r="CW776" s="29"/>
      <c r="CX776" s="29"/>
      <c r="CY776" s="29"/>
      <c r="CZ776" s="29"/>
      <c r="DA776" s="29"/>
      <c r="DB776" s="29"/>
      <c r="DC776" s="29"/>
      <c r="DD776" s="29"/>
      <c r="DE776" s="29"/>
      <c r="DF776" s="29"/>
      <c r="DG776" s="29"/>
      <c r="DH776" s="29"/>
      <c r="DI776" s="29"/>
      <c r="DJ776" s="29"/>
      <c r="DK776" s="29"/>
      <c r="DL776" s="29"/>
      <c r="DM776" s="29"/>
      <c r="DN776" s="29"/>
      <c r="DO776" s="29"/>
      <c r="DP776" s="29"/>
      <c r="DQ776" s="29"/>
      <c r="DR776" s="29"/>
      <c r="DS776" s="29"/>
      <c r="DT776" s="29"/>
      <c r="DU776" s="29"/>
      <c r="DV776" s="29"/>
      <c r="DW776" s="29"/>
      <c r="DX776" s="29"/>
      <c r="DY776" s="29"/>
      <c r="DZ776" s="29"/>
      <c r="EA776" s="29"/>
      <c r="EB776" s="29"/>
      <c r="EC776" s="29"/>
      <c r="ED776" s="29"/>
      <c r="EE776" s="29"/>
      <c r="EF776" s="29"/>
      <c r="EG776" s="29"/>
      <c r="EH776" s="29"/>
      <c r="EI776" s="29"/>
      <c r="EJ776" s="29"/>
      <c r="EK776" s="29"/>
      <c r="EL776" s="29"/>
      <c r="EM776" s="29"/>
      <c r="EN776" s="29"/>
      <c r="EO776" s="29"/>
      <c r="EP776" s="29"/>
      <c r="EQ776" s="29"/>
      <c r="ER776" s="29"/>
      <c r="ES776" s="29"/>
      <c r="ET776" s="29"/>
      <c r="EU776" s="29"/>
      <c r="EV776" s="29"/>
      <c r="EW776" s="29"/>
      <c r="EX776" s="29"/>
      <c r="EY776" s="29"/>
      <c r="EZ776" s="29"/>
      <c r="FA776" s="29"/>
      <c r="FB776" s="29"/>
      <c r="FC776" s="29"/>
      <c r="FD776" s="29"/>
      <c r="FE776" s="29"/>
      <c r="FF776" s="29"/>
      <c r="FG776" s="29"/>
      <c r="FH776" s="29"/>
      <c r="FI776" s="29"/>
      <c r="FJ776" s="29"/>
      <c r="FK776" s="29"/>
      <c r="FL776" s="29"/>
      <c r="FM776" s="29"/>
      <c r="FN776" s="29"/>
      <c r="FO776" s="29"/>
      <c r="FP776" s="29"/>
      <c r="FQ776" s="29"/>
      <c r="FR776" s="29"/>
      <c r="FS776" s="29"/>
      <c r="FT776" s="29"/>
      <c r="FU776" s="29"/>
      <c r="FV776" s="29"/>
      <c r="FW776" s="29"/>
      <c r="FX776" s="29"/>
      <c r="FY776" s="29"/>
      <c r="FZ776" s="29"/>
      <c r="GA776" s="29"/>
      <c r="GB776" s="29"/>
      <c r="GC776" s="29"/>
      <c r="GD776" s="29"/>
      <c r="GE776" s="29"/>
      <c r="GF776" s="29"/>
      <c r="GG776" s="29"/>
      <c r="GH776" s="29"/>
      <c r="GI776" s="29"/>
      <c r="GJ776" s="29"/>
      <c r="GK776" s="29"/>
      <c r="GL776" s="29"/>
      <c r="GM776" s="29"/>
      <c r="GN776" s="29"/>
      <c r="GO776" s="29"/>
      <c r="GP776" s="29"/>
      <c r="GQ776" s="29"/>
      <c r="GR776" s="29"/>
      <c r="GS776" s="29"/>
      <c r="GT776" s="29"/>
      <c r="GU776" s="29"/>
      <c r="HP776" s="31"/>
      <c r="MX776" s="29"/>
      <c r="MY776" s="29"/>
    </row>
    <row r="777" ht="16.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c r="BR777" s="29"/>
      <c r="BS777" s="29"/>
      <c r="BT777" s="29"/>
      <c r="BU777" s="29"/>
      <c r="BV777" s="29"/>
      <c r="BW777" s="29"/>
      <c r="BX777" s="29"/>
      <c r="BY777" s="29"/>
      <c r="BZ777" s="29"/>
      <c r="CA777" s="29"/>
      <c r="CB777" s="29"/>
      <c r="CC777" s="29"/>
      <c r="CD777" s="29"/>
      <c r="CE777" s="29"/>
      <c r="CF777" s="29"/>
      <c r="CG777" s="29"/>
      <c r="CH777" s="29"/>
      <c r="CI777" s="29"/>
      <c r="CJ777" s="29"/>
      <c r="CK777" s="29"/>
      <c r="CL777" s="29"/>
      <c r="CM777" s="29"/>
      <c r="CN777" s="29"/>
      <c r="CO777" s="29"/>
      <c r="CP777" s="29"/>
      <c r="CQ777" s="29"/>
      <c r="CR777" s="29"/>
      <c r="CS777" s="29"/>
      <c r="CT777" s="29"/>
      <c r="CU777" s="29"/>
      <c r="CV777" s="29"/>
      <c r="CW777" s="29"/>
      <c r="CX777" s="29"/>
      <c r="CY777" s="29"/>
      <c r="CZ777" s="29"/>
      <c r="DA777" s="29"/>
      <c r="DB777" s="29"/>
      <c r="DC777" s="29"/>
      <c r="DD777" s="29"/>
      <c r="DE777" s="29"/>
      <c r="DF777" s="29"/>
      <c r="DG777" s="29"/>
      <c r="DH777" s="29"/>
      <c r="DI777" s="29"/>
      <c r="DJ777" s="29"/>
      <c r="DK777" s="29"/>
      <c r="DL777" s="29"/>
      <c r="DM777" s="29"/>
      <c r="DN777" s="29"/>
      <c r="DO777" s="29"/>
      <c r="DP777" s="29"/>
      <c r="DQ777" s="29"/>
      <c r="DR777" s="29"/>
      <c r="DS777" s="29"/>
      <c r="DT777" s="29"/>
      <c r="DU777" s="29"/>
      <c r="DV777" s="29"/>
      <c r="DW777" s="29"/>
      <c r="DX777" s="29"/>
      <c r="DY777" s="29"/>
      <c r="DZ777" s="29"/>
      <c r="EA777" s="29"/>
      <c r="EB777" s="29"/>
      <c r="EC777" s="29"/>
      <c r="ED777" s="29"/>
      <c r="EE777" s="29"/>
      <c r="EF777" s="29"/>
      <c r="EG777" s="29"/>
      <c r="EH777" s="29"/>
      <c r="EI777" s="29"/>
      <c r="EJ777" s="29"/>
      <c r="EK777" s="29"/>
      <c r="EL777" s="29"/>
      <c r="EM777" s="29"/>
      <c r="EN777" s="29"/>
      <c r="EO777" s="29"/>
      <c r="EP777" s="29"/>
      <c r="EQ777" s="29"/>
      <c r="ER777" s="29"/>
      <c r="ES777" s="29"/>
      <c r="ET777" s="29"/>
      <c r="EU777" s="29"/>
      <c r="EV777" s="29"/>
      <c r="EW777" s="29"/>
      <c r="EX777" s="29"/>
      <c r="EY777" s="29"/>
      <c r="EZ777" s="29"/>
      <c r="FA777" s="29"/>
      <c r="FB777" s="29"/>
      <c r="FC777" s="29"/>
      <c r="FD777" s="29"/>
      <c r="FE777" s="29"/>
      <c r="FF777" s="29"/>
      <c r="FG777" s="29"/>
      <c r="FH777" s="29"/>
      <c r="FI777" s="29"/>
      <c r="FJ777" s="29"/>
      <c r="FK777" s="29"/>
      <c r="FL777" s="29"/>
      <c r="FM777" s="29"/>
      <c r="FN777" s="29"/>
      <c r="FO777" s="29"/>
      <c r="FP777" s="29"/>
      <c r="FQ777" s="29"/>
      <c r="FR777" s="29"/>
      <c r="FS777" s="29"/>
      <c r="FT777" s="29"/>
      <c r="FU777" s="29"/>
      <c r="FV777" s="29"/>
      <c r="FW777" s="29"/>
      <c r="FX777" s="29"/>
      <c r="FY777" s="29"/>
      <c r="FZ777" s="29"/>
      <c r="GA777" s="29"/>
      <c r="GB777" s="29"/>
      <c r="GC777" s="29"/>
      <c r="GD777" s="29"/>
      <c r="GE777" s="29"/>
      <c r="GF777" s="29"/>
      <c r="GG777" s="29"/>
      <c r="GH777" s="29"/>
      <c r="GI777" s="29"/>
      <c r="GJ777" s="29"/>
      <c r="GK777" s="29"/>
      <c r="GL777" s="29"/>
      <c r="GM777" s="29"/>
      <c r="GN777" s="29"/>
      <c r="GO777" s="29"/>
      <c r="GP777" s="29"/>
      <c r="GQ777" s="29"/>
      <c r="GR777" s="29"/>
      <c r="GS777" s="29"/>
      <c r="GT777" s="29"/>
      <c r="GU777" s="29"/>
      <c r="HP777" s="31"/>
      <c r="MX777" s="29"/>
      <c r="MY777" s="29"/>
    </row>
    <row r="778" ht="16.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29"/>
      <c r="BR778" s="29"/>
      <c r="BS778" s="29"/>
      <c r="BT778" s="29"/>
      <c r="BU778" s="29"/>
      <c r="BV778" s="29"/>
      <c r="BW778" s="29"/>
      <c r="BX778" s="29"/>
      <c r="BY778" s="29"/>
      <c r="BZ778" s="29"/>
      <c r="CA778" s="29"/>
      <c r="CB778" s="29"/>
      <c r="CC778" s="29"/>
      <c r="CD778" s="29"/>
      <c r="CE778" s="29"/>
      <c r="CF778" s="29"/>
      <c r="CG778" s="29"/>
      <c r="CH778" s="29"/>
      <c r="CI778" s="29"/>
      <c r="CJ778" s="29"/>
      <c r="CK778" s="29"/>
      <c r="CL778" s="29"/>
      <c r="CM778" s="29"/>
      <c r="CN778" s="29"/>
      <c r="CO778" s="29"/>
      <c r="CP778" s="29"/>
      <c r="CQ778" s="29"/>
      <c r="CR778" s="29"/>
      <c r="CS778" s="29"/>
      <c r="CT778" s="29"/>
      <c r="CU778" s="29"/>
      <c r="CV778" s="29"/>
      <c r="CW778" s="29"/>
      <c r="CX778" s="29"/>
      <c r="CY778" s="29"/>
      <c r="CZ778" s="29"/>
      <c r="DA778" s="29"/>
      <c r="DB778" s="29"/>
      <c r="DC778" s="29"/>
      <c r="DD778" s="29"/>
      <c r="DE778" s="29"/>
      <c r="DF778" s="29"/>
      <c r="DG778" s="29"/>
      <c r="DH778" s="29"/>
      <c r="DI778" s="29"/>
      <c r="DJ778" s="29"/>
      <c r="DK778" s="29"/>
      <c r="DL778" s="29"/>
      <c r="DM778" s="29"/>
      <c r="DN778" s="29"/>
      <c r="DO778" s="29"/>
      <c r="DP778" s="29"/>
      <c r="DQ778" s="29"/>
      <c r="DR778" s="29"/>
      <c r="DS778" s="29"/>
      <c r="DT778" s="29"/>
      <c r="DU778" s="29"/>
      <c r="DV778" s="29"/>
      <c r="DW778" s="29"/>
      <c r="DX778" s="29"/>
      <c r="DY778" s="29"/>
      <c r="DZ778" s="29"/>
      <c r="EA778" s="29"/>
      <c r="EB778" s="29"/>
      <c r="EC778" s="29"/>
      <c r="ED778" s="29"/>
      <c r="EE778" s="29"/>
      <c r="EF778" s="29"/>
      <c r="EG778" s="29"/>
      <c r="EH778" s="29"/>
      <c r="EI778" s="29"/>
      <c r="EJ778" s="29"/>
      <c r="EK778" s="29"/>
      <c r="EL778" s="29"/>
      <c r="EM778" s="29"/>
      <c r="EN778" s="29"/>
      <c r="EO778" s="29"/>
      <c r="EP778" s="29"/>
      <c r="EQ778" s="29"/>
      <c r="ER778" s="29"/>
      <c r="ES778" s="29"/>
      <c r="ET778" s="29"/>
      <c r="EU778" s="29"/>
      <c r="EV778" s="29"/>
      <c r="EW778" s="29"/>
      <c r="EX778" s="29"/>
      <c r="EY778" s="29"/>
      <c r="EZ778" s="29"/>
      <c r="FA778" s="29"/>
      <c r="FB778" s="29"/>
      <c r="FC778" s="29"/>
      <c r="FD778" s="29"/>
      <c r="FE778" s="29"/>
      <c r="FF778" s="29"/>
      <c r="FG778" s="29"/>
      <c r="FH778" s="29"/>
      <c r="FI778" s="29"/>
      <c r="FJ778" s="29"/>
      <c r="FK778" s="29"/>
      <c r="FL778" s="29"/>
      <c r="FM778" s="29"/>
      <c r="FN778" s="29"/>
      <c r="FO778" s="29"/>
      <c r="FP778" s="29"/>
      <c r="FQ778" s="29"/>
      <c r="FR778" s="29"/>
      <c r="FS778" s="29"/>
      <c r="FT778" s="29"/>
      <c r="FU778" s="29"/>
      <c r="FV778" s="29"/>
      <c r="FW778" s="29"/>
      <c r="FX778" s="29"/>
      <c r="FY778" s="29"/>
      <c r="FZ778" s="29"/>
      <c r="GA778" s="29"/>
      <c r="GB778" s="29"/>
      <c r="GC778" s="29"/>
      <c r="GD778" s="29"/>
      <c r="GE778" s="29"/>
      <c r="GF778" s="29"/>
      <c r="GG778" s="29"/>
      <c r="GH778" s="29"/>
      <c r="GI778" s="29"/>
      <c r="GJ778" s="29"/>
      <c r="GK778" s="29"/>
      <c r="GL778" s="29"/>
      <c r="GM778" s="29"/>
      <c r="GN778" s="29"/>
      <c r="GO778" s="29"/>
      <c r="GP778" s="29"/>
      <c r="GQ778" s="29"/>
      <c r="GR778" s="29"/>
      <c r="GS778" s="29"/>
      <c r="GT778" s="29"/>
      <c r="GU778" s="29"/>
      <c r="HP778" s="31"/>
      <c r="MX778" s="29"/>
      <c r="MY778" s="29"/>
    </row>
    <row r="779" ht="16.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29"/>
      <c r="BR779" s="29"/>
      <c r="BS779" s="29"/>
      <c r="BT779" s="29"/>
      <c r="BU779" s="29"/>
      <c r="BV779" s="29"/>
      <c r="BW779" s="29"/>
      <c r="BX779" s="29"/>
      <c r="BY779" s="29"/>
      <c r="BZ779" s="29"/>
      <c r="CA779" s="29"/>
      <c r="CB779" s="29"/>
      <c r="CC779" s="29"/>
      <c r="CD779" s="29"/>
      <c r="CE779" s="29"/>
      <c r="CF779" s="29"/>
      <c r="CG779" s="29"/>
      <c r="CH779" s="29"/>
      <c r="CI779" s="29"/>
      <c r="CJ779" s="29"/>
      <c r="CK779" s="29"/>
      <c r="CL779" s="29"/>
      <c r="CM779" s="29"/>
      <c r="CN779" s="29"/>
      <c r="CO779" s="29"/>
      <c r="CP779" s="29"/>
      <c r="CQ779" s="29"/>
      <c r="CR779" s="29"/>
      <c r="CS779" s="29"/>
      <c r="CT779" s="29"/>
      <c r="CU779" s="29"/>
      <c r="CV779" s="29"/>
      <c r="CW779" s="29"/>
      <c r="CX779" s="29"/>
      <c r="CY779" s="29"/>
      <c r="CZ779" s="29"/>
      <c r="DA779" s="29"/>
      <c r="DB779" s="29"/>
      <c r="DC779" s="29"/>
      <c r="DD779" s="29"/>
      <c r="DE779" s="29"/>
      <c r="DF779" s="29"/>
      <c r="DG779" s="29"/>
      <c r="DH779" s="29"/>
      <c r="DI779" s="29"/>
      <c r="DJ779" s="29"/>
      <c r="DK779" s="29"/>
      <c r="DL779" s="29"/>
      <c r="DM779" s="29"/>
      <c r="DN779" s="29"/>
      <c r="DO779" s="29"/>
      <c r="DP779" s="29"/>
      <c r="DQ779" s="29"/>
      <c r="DR779" s="29"/>
      <c r="DS779" s="29"/>
      <c r="DT779" s="29"/>
      <c r="DU779" s="29"/>
      <c r="DV779" s="29"/>
      <c r="DW779" s="29"/>
      <c r="DX779" s="29"/>
      <c r="DY779" s="29"/>
      <c r="DZ779" s="29"/>
      <c r="EA779" s="29"/>
      <c r="EB779" s="29"/>
      <c r="EC779" s="29"/>
      <c r="ED779" s="29"/>
      <c r="EE779" s="29"/>
      <c r="EF779" s="29"/>
      <c r="EG779" s="29"/>
      <c r="EH779" s="29"/>
      <c r="EI779" s="29"/>
      <c r="EJ779" s="29"/>
      <c r="EK779" s="29"/>
      <c r="EL779" s="29"/>
      <c r="EM779" s="29"/>
      <c r="EN779" s="29"/>
      <c r="EO779" s="29"/>
      <c r="EP779" s="29"/>
      <c r="EQ779" s="29"/>
      <c r="ER779" s="29"/>
      <c r="ES779" s="29"/>
      <c r="ET779" s="29"/>
      <c r="EU779" s="29"/>
      <c r="EV779" s="29"/>
      <c r="EW779" s="29"/>
      <c r="EX779" s="29"/>
      <c r="EY779" s="29"/>
      <c r="EZ779" s="29"/>
      <c r="FA779" s="29"/>
      <c r="FB779" s="29"/>
      <c r="FC779" s="29"/>
      <c r="FD779" s="29"/>
      <c r="FE779" s="29"/>
      <c r="FF779" s="29"/>
      <c r="FG779" s="29"/>
      <c r="FH779" s="29"/>
      <c r="FI779" s="29"/>
      <c r="FJ779" s="29"/>
      <c r="FK779" s="29"/>
      <c r="FL779" s="29"/>
      <c r="FM779" s="29"/>
      <c r="FN779" s="29"/>
      <c r="FO779" s="29"/>
      <c r="FP779" s="29"/>
      <c r="FQ779" s="29"/>
      <c r="FR779" s="29"/>
      <c r="FS779" s="29"/>
      <c r="FT779" s="29"/>
      <c r="FU779" s="29"/>
      <c r="FV779" s="29"/>
      <c r="FW779" s="29"/>
      <c r="FX779" s="29"/>
      <c r="FY779" s="29"/>
      <c r="FZ779" s="29"/>
      <c r="GA779" s="29"/>
      <c r="GB779" s="29"/>
      <c r="GC779" s="29"/>
      <c r="GD779" s="29"/>
      <c r="GE779" s="29"/>
      <c r="GF779" s="29"/>
      <c r="GG779" s="29"/>
      <c r="GH779" s="29"/>
      <c r="GI779" s="29"/>
      <c r="GJ779" s="29"/>
      <c r="GK779" s="29"/>
      <c r="GL779" s="29"/>
      <c r="GM779" s="29"/>
      <c r="GN779" s="29"/>
      <c r="GO779" s="29"/>
      <c r="GP779" s="29"/>
      <c r="GQ779" s="29"/>
      <c r="GR779" s="29"/>
      <c r="GS779" s="29"/>
      <c r="GT779" s="29"/>
      <c r="GU779" s="29"/>
      <c r="HP779" s="31"/>
      <c r="MX779" s="29"/>
      <c r="MY779" s="29"/>
    </row>
    <row r="780" ht="16.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29"/>
      <c r="BR780" s="29"/>
      <c r="BS780" s="29"/>
      <c r="BT780" s="29"/>
      <c r="BU780" s="29"/>
      <c r="BV780" s="29"/>
      <c r="BW780" s="29"/>
      <c r="BX780" s="29"/>
      <c r="BY780" s="29"/>
      <c r="BZ780" s="29"/>
      <c r="CA780" s="29"/>
      <c r="CB780" s="29"/>
      <c r="CC780" s="29"/>
      <c r="CD780" s="29"/>
      <c r="CE780" s="29"/>
      <c r="CF780" s="29"/>
      <c r="CG780" s="29"/>
      <c r="CH780" s="29"/>
      <c r="CI780" s="29"/>
      <c r="CJ780" s="29"/>
      <c r="CK780" s="29"/>
      <c r="CL780" s="29"/>
      <c r="CM780" s="29"/>
      <c r="CN780" s="29"/>
      <c r="CO780" s="29"/>
      <c r="CP780" s="29"/>
      <c r="CQ780" s="29"/>
      <c r="CR780" s="29"/>
      <c r="CS780" s="29"/>
      <c r="CT780" s="29"/>
      <c r="CU780" s="29"/>
      <c r="CV780" s="29"/>
      <c r="CW780" s="29"/>
      <c r="CX780" s="29"/>
      <c r="CY780" s="29"/>
      <c r="CZ780" s="29"/>
      <c r="DA780" s="29"/>
      <c r="DB780" s="29"/>
      <c r="DC780" s="29"/>
      <c r="DD780" s="29"/>
      <c r="DE780" s="29"/>
      <c r="DF780" s="29"/>
      <c r="DG780" s="29"/>
      <c r="DH780" s="29"/>
      <c r="DI780" s="29"/>
      <c r="DJ780" s="29"/>
      <c r="DK780" s="29"/>
      <c r="DL780" s="29"/>
      <c r="DM780" s="29"/>
      <c r="DN780" s="29"/>
      <c r="DO780" s="29"/>
      <c r="DP780" s="29"/>
      <c r="DQ780" s="29"/>
      <c r="DR780" s="29"/>
      <c r="DS780" s="29"/>
      <c r="DT780" s="29"/>
      <c r="DU780" s="29"/>
      <c r="DV780" s="29"/>
      <c r="DW780" s="29"/>
      <c r="DX780" s="29"/>
      <c r="DY780" s="29"/>
      <c r="DZ780" s="29"/>
      <c r="EA780" s="29"/>
      <c r="EB780" s="29"/>
      <c r="EC780" s="29"/>
      <c r="ED780" s="29"/>
      <c r="EE780" s="29"/>
      <c r="EF780" s="29"/>
      <c r="EG780" s="29"/>
      <c r="EH780" s="29"/>
      <c r="EI780" s="29"/>
      <c r="EJ780" s="29"/>
      <c r="EK780" s="29"/>
      <c r="EL780" s="29"/>
      <c r="EM780" s="29"/>
      <c r="EN780" s="29"/>
      <c r="EO780" s="29"/>
      <c r="EP780" s="29"/>
      <c r="EQ780" s="29"/>
      <c r="ER780" s="29"/>
      <c r="ES780" s="29"/>
      <c r="ET780" s="29"/>
      <c r="EU780" s="29"/>
      <c r="EV780" s="29"/>
      <c r="EW780" s="29"/>
      <c r="EX780" s="29"/>
      <c r="EY780" s="29"/>
      <c r="EZ780" s="29"/>
      <c r="FA780" s="29"/>
      <c r="FB780" s="29"/>
      <c r="FC780" s="29"/>
      <c r="FD780" s="29"/>
      <c r="FE780" s="29"/>
      <c r="FF780" s="29"/>
      <c r="FG780" s="29"/>
      <c r="FH780" s="29"/>
      <c r="FI780" s="29"/>
      <c r="FJ780" s="29"/>
      <c r="FK780" s="29"/>
      <c r="FL780" s="29"/>
      <c r="FM780" s="29"/>
      <c r="FN780" s="29"/>
      <c r="FO780" s="29"/>
      <c r="FP780" s="29"/>
      <c r="FQ780" s="29"/>
      <c r="FR780" s="29"/>
      <c r="FS780" s="29"/>
      <c r="FT780" s="29"/>
      <c r="FU780" s="29"/>
      <c r="FV780" s="29"/>
      <c r="FW780" s="29"/>
      <c r="FX780" s="29"/>
      <c r="FY780" s="29"/>
      <c r="FZ780" s="29"/>
      <c r="GA780" s="29"/>
      <c r="GB780" s="29"/>
      <c r="GC780" s="29"/>
      <c r="GD780" s="29"/>
      <c r="GE780" s="29"/>
      <c r="GF780" s="29"/>
      <c r="GG780" s="29"/>
      <c r="GH780" s="29"/>
      <c r="GI780" s="29"/>
      <c r="GJ780" s="29"/>
      <c r="GK780" s="29"/>
      <c r="GL780" s="29"/>
      <c r="GM780" s="29"/>
      <c r="GN780" s="29"/>
      <c r="GO780" s="29"/>
      <c r="GP780" s="29"/>
      <c r="GQ780" s="29"/>
      <c r="GR780" s="29"/>
      <c r="GS780" s="29"/>
      <c r="GT780" s="29"/>
      <c r="GU780" s="29"/>
      <c r="HP780" s="31"/>
      <c r="MX780" s="29"/>
      <c r="MY780" s="29"/>
    </row>
    <row r="781" ht="16.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29"/>
      <c r="BR781" s="29"/>
      <c r="BS781" s="29"/>
      <c r="BT781" s="29"/>
      <c r="BU781" s="29"/>
      <c r="BV781" s="29"/>
      <c r="BW781" s="29"/>
      <c r="BX781" s="29"/>
      <c r="BY781" s="29"/>
      <c r="BZ781" s="29"/>
      <c r="CA781" s="29"/>
      <c r="CB781" s="29"/>
      <c r="CC781" s="29"/>
      <c r="CD781" s="29"/>
      <c r="CE781" s="29"/>
      <c r="CF781" s="29"/>
      <c r="CG781" s="29"/>
      <c r="CH781" s="29"/>
      <c r="CI781" s="29"/>
      <c r="CJ781" s="29"/>
      <c r="CK781" s="29"/>
      <c r="CL781" s="29"/>
      <c r="CM781" s="29"/>
      <c r="CN781" s="29"/>
      <c r="CO781" s="29"/>
      <c r="CP781" s="29"/>
      <c r="CQ781" s="29"/>
      <c r="CR781" s="29"/>
      <c r="CS781" s="29"/>
      <c r="CT781" s="29"/>
      <c r="CU781" s="29"/>
      <c r="CV781" s="29"/>
      <c r="CW781" s="29"/>
      <c r="CX781" s="29"/>
      <c r="CY781" s="29"/>
      <c r="CZ781" s="29"/>
      <c r="DA781" s="29"/>
      <c r="DB781" s="29"/>
      <c r="DC781" s="29"/>
      <c r="DD781" s="29"/>
      <c r="DE781" s="29"/>
      <c r="DF781" s="29"/>
      <c r="DG781" s="29"/>
      <c r="DH781" s="29"/>
      <c r="DI781" s="29"/>
      <c r="DJ781" s="29"/>
      <c r="DK781" s="29"/>
      <c r="DL781" s="29"/>
      <c r="DM781" s="29"/>
      <c r="DN781" s="29"/>
      <c r="DO781" s="29"/>
      <c r="DP781" s="29"/>
      <c r="DQ781" s="29"/>
      <c r="DR781" s="29"/>
      <c r="DS781" s="29"/>
      <c r="DT781" s="29"/>
      <c r="DU781" s="29"/>
      <c r="DV781" s="29"/>
      <c r="DW781" s="29"/>
      <c r="DX781" s="29"/>
      <c r="DY781" s="29"/>
      <c r="DZ781" s="29"/>
      <c r="EA781" s="29"/>
      <c r="EB781" s="29"/>
      <c r="EC781" s="29"/>
      <c r="ED781" s="29"/>
      <c r="EE781" s="29"/>
      <c r="EF781" s="29"/>
      <c r="EG781" s="29"/>
      <c r="EH781" s="29"/>
      <c r="EI781" s="29"/>
      <c r="EJ781" s="29"/>
      <c r="EK781" s="29"/>
      <c r="EL781" s="29"/>
      <c r="EM781" s="29"/>
      <c r="EN781" s="29"/>
      <c r="EO781" s="29"/>
      <c r="EP781" s="29"/>
      <c r="EQ781" s="29"/>
      <c r="ER781" s="29"/>
      <c r="ES781" s="29"/>
      <c r="ET781" s="29"/>
      <c r="EU781" s="29"/>
      <c r="EV781" s="29"/>
      <c r="EW781" s="29"/>
      <c r="EX781" s="29"/>
      <c r="EY781" s="29"/>
      <c r="EZ781" s="29"/>
      <c r="FA781" s="29"/>
      <c r="FB781" s="29"/>
      <c r="FC781" s="29"/>
      <c r="FD781" s="29"/>
      <c r="FE781" s="29"/>
      <c r="FF781" s="29"/>
      <c r="FG781" s="29"/>
      <c r="FH781" s="29"/>
      <c r="FI781" s="29"/>
      <c r="FJ781" s="29"/>
      <c r="FK781" s="29"/>
      <c r="FL781" s="29"/>
      <c r="FM781" s="29"/>
      <c r="FN781" s="29"/>
      <c r="FO781" s="29"/>
      <c r="FP781" s="29"/>
      <c r="FQ781" s="29"/>
      <c r="FR781" s="29"/>
      <c r="FS781" s="29"/>
      <c r="FT781" s="29"/>
      <c r="FU781" s="29"/>
      <c r="FV781" s="29"/>
      <c r="FW781" s="29"/>
      <c r="FX781" s="29"/>
      <c r="FY781" s="29"/>
      <c r="FZ781" s="29"/>
      <c r="GA781" s="29"/>
      <c r="GB781" s="29"/>
      <c r="GC781" s="29"/>
      <c r="GD781" s="29"/>
      <c r="GE781" s="29"/>
      <c r="GF781" s="29"/>
      <c r="GG781" s="29"/>
      <c r="GH781" s="29"/>
      <c r="GI781" s="29"/>
      <c r="GJ781" s="29"/>
      <c r="GK781" s="29"/>
      <c r="GL781" s="29"/>
      <c r="GM781" s="29"/>
      <c r="GN781" s="29"/>
      <c r="GO781" s="29"/>
      <c r="GP781" s="29"/>
      <c r="GQ781" s="29"/>
      <c r="GR781" s="29"/>
      <c r="GS781" s="29"/>
      <c r="GT781" s="29"/>
      <c r="GU781" s="29"/>
      <c r="HP781" s="31"/>
      <c r="MX781" s="29"/>
      <c r="MY781" s="29"/>
    </row>
    <row r="782" ht="16.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29"/>
      <c r="BR782" s="29"/>
      <c r="BS782" s="29"/>
      <c r="BT782" s="29"/>
      <c r="BU782" s="29"/>
      <c r="BV782" s="29"/>
      <c r="BW782" s="29"/>
      <c r="BX782" s="29"/>
      <c r="BY782" s="29"/>
      <c r="BZ782" s="29"/>
      <c r="CA782" s="29"/>
      <c r="CB782" s="29"/>
      <c r="CC782" s="29"/>
      <c r="CD782" s="29"/>
      <c r="CE782" s="29"/>
      <c r="CF782" s="29"/>
      <c r="CG782" s="29"/>
      <c r="CH782" s="29"/>
      <c r="CI782" s="29"/>
      <c r="CJ782" s="29"/>
      <c r="CK782" s="29"/>
      <c r="CL782" s="29"/>
      <c r="CM782" s="29"/>
      <c r="CN782" s="29"/>
      <c r="CO782" s="29"/>
      <c r="CP782" s="29"/>
      <c r="CQ782" s="29"/>
      <c r="CR782" s="29"/>
      <c r="CS782" s="29"/>
      <c r="CT782" s="29"/>
      <c r="CU782" s="29"/>
      <c r="CV782" s="29"/>
      <c r="CW782" s="29"/>
      <c r="CX782" s="29"/>
      <c r="CY782" s="29"/>
      <c r="CZ782" s="29"/>
      <c r="DA782" s="29"/>
      <c r="DB782" s="29"/>
      <c r="DC782" s="29"/>
      <c r="DD782" s="29"/>
      <c r="DE782" s="29"/>
      <c r="DF782" s="29"/>
      <c r="DG782" s="29"/>
      <c r="DH782" s="29"/>
      <c r="DI782" s="29"/>
      <c r="DJ782" s="29"/>
      <c r="DK782" s="29"/>
      <c r="DL782" s="29"/>
      <c r="DM782" s="29"/>
      <c r="DN782" s="29"/>
      <c r="DO782" s="29"/>
      <c r="DP782" s="29"/>
      <c r="DQ782" s="29"/>
      <c r="DR782" s="29"/>
      <c r="DS782" s="29"/>
      <c r="DT782" s="29"/>
      <c r="DU782" s="29"/>
      <c r="DV782" s="29"/>
      <c r="DW782" s="29"/>
      <c r="DX782" s="29"/>
      <c r="DY782" s="29"/>
      <c r="DZ782" s="29"/>
      <c r="EA782" s="29"/>
      <c r="EB782" s="29"/>
      <c r="EC782" s="29"/>
      <c r="ED782" s="29"/>
      <c r="EE782" s="29"/>
      <c r="EF782" s="29"/>
      <c r="EG782" s="29"/>
      <c r="EH782" s="29"/>
      <c r="EI782" s="29"/>
      <c r="EJ782" s="29"/>
      <c r="EK782" s="29"/>
      <c r="EL782" s="29"/>
      <c r="EM782" s="29"/>
      <c r="EN782" s="29"/>
      <c r="EO782" s="29"/>
      <c r="EP782" s="29"/>
      <c r="EQ782" s="29"/>
      <c r="ER782" s="29"/>
      <c r="ES782" s="29"/>
      <c r="ET782" s="29"/>
      <c r="EU782" s="29"/>
      <c r="EV782" s="29"/>
      <c r="EW782" s="29"/>
      <c r="EX782" s="29"/>
      <c r="EY782" s="29"/>
      <c r="EZ782" s="29"/>
      <c r="FA782" s="29"/>
      <c r="FB782" s="29"/>
      <c r="FC782" s="29"/>
      <c r="FD782" s="29"/>
      <c r="FE782" s="29"/>
      <c r="FF782" s="29"/>
      <c r="FG782" s="29"/>
      <c r="FH782" s="29"/>
      <c r="FI782" s="29"/>
      <c r="FJ782" s="29"/>
      <c r="FK782" s="29"/>
      <c r="FL782" s="29"/>
      <c r="FM782" s="29"/>
      <c r="FN782" s="29"/>
      <c r="FO782" s="29"/>
      <c r="FP782" s="29"/>
      <c r="FQ782" s="29"/>
      <c r="FR782" s="29"/>
      <c r="FS782" s="29"/>
      <c r="FT782" s="29"/>
      <c r="FU782" s="29"/>
      <c r="FV782" s="29"/>
      <c r="FW782" s="29"/>
      <c r="FX782" s="29"/>
      <c r="FY782" s="29"/>
      <c r="FZ782" s="29"/>
      <c r="GA782" s="29"/>
      <c r="GB782" s="29"/>
      <c r="GC782" s="29"/>
      <c r="GD782" s="29"/>
      <c r="GE782" s="29"/>
      <c r="GF782" s="29"/>
      <c r="GG782" s="29"/>
      <c r="GH782" s="29"/>
      <c r="GI782" s="29"/>
      <c r="GJ782" s="29"/>
      <c r="GK782" s="29"/>
      <c r="GL782" s="29"/>
      <c r="GM782" s="29"/>
      <c r="GN782" s="29"/>
      <c r="GO782" s="29"/>
      <c r="GP782" s="29"/>
      <c r="GQ782" s="29"/>
      <c r="GR782" s="29"/>
      <c r="GS782" s="29"/>
      <c r="GT782" s="29"/>
      <c r="GU782" s="29"/>
      <c r="HP782" s="31"/>
      <c r="MX782" s="29"/>
      <c r="MY782" s="29"/>
    </row>
    <row r="783" ht="16.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c r="BR783" s="29"/>
      <c r="BS783" s="29"/>
      <c r="BT783" s="29"/>
      <c r="BU783" s="29"/>
      <c r="BV783" s="29"/>
      <c r="BW783" s="29"/>
      <c r="BX783" s="29"/>
      <c r="BY783" s="29"/>
      <c r="BZ783" s="29"/>
      <c r="CA783" s="29"/>
      <c r="CB783" s="29"/>
      <c r="CC783" s="29"/>
      <c r="CD783" s="29"/>
      <c r="CE783" s="29"/>
      <c r="CF783" s="29"/>
      <c r="CG783" s="29"/>
      <c r="CH783" s="29"/>
      <c r="CI783" s="29"/>
      <c r="CJ783" s="29"/>
      <c r="CK783" s="29"/>
      <c r="CL783" s="29"/>
      <c r="CM783" s="29"/>
      <c r="CN783" s="29"/>
      <c r="CO783" s="29"/>
      <c r="CP783" s="29"/>
      <c r="CQ783" s="29"/>
      <c r="CR783" s="29"/>
      <c r="CS783" s="29"/>
      <c r="CT783" s="29"/>
      <c r="CU783" s="29"/>
      <c r="CV783" s="29"/>
      <c r="CW783" s="29"/>
      <c r="CX783" s="29"/>
      <c r="CY783" s="29"/>
      <c r="CZ783" s="29"/>
      <c r="DA783" s="29"/>
      <c r="DB783" s="29"/>
      <c r="DC783" s="29"/>
      <c r="DD783" s="29"/>
      <c r="DE783" s="29"/>
      <c r="DF783" s="29"/>
      <c r="DG783" s="29"/>
      <c r="DH783" s="29"/>
      <c r="DI783" s="29"/>
      <c r="DJ783" s="29"/>
      <c r="DK783" s="29"/>
      <c r="DL783" s="29"/>
      <c r="DM783" s="29"/>
      <c r="DN783" s="29"/>
      <c r="DO783" s="29"/>
      <c r="DP783" s="29"/>
      <c r="DQ783" s="29"/>
      <c r="DR783" s="29"/>
      <c r="DS783" s="29"/>
      <c r="DT783" s="29"/>
      <c r="DU783" s="29"/>
      <c r="DV783" s="29"/>
      <c r="DW783" s="29"/>
      <c r="DX783" s="29"/>
      <c r="DY783" s="29"/>
      <c r="DZ783" s="29"/>
      <c r="EA783" s="29"/>
      <c r="EB783" s="29"/>
      <c r="EC783" s="29"/>
      <c r="ED783" s="29"/>
      <c r="EE783" s="29"/>
      <c r="EF783" s="29"/>
      <c r="EG783" s="29"/>
      <c r="EH783" s="29"/>
      <c r="EI783" s="29"/>
      <c r="EJ783" s="29"/>
      <c r="EK783" s="29"/>
      <c r="EL783" s="29"/>
      <c r="EM783" s="29"/>
      <c r="EN783" s="29"/>
      <c r="EO783" s="29"/>
      <c r="EP783" s="29"/>
      <c r="EQ783" s="29"/>
      <c r="ER783" s="29"/>
      <c r="ES783" s="29"/>
      <c r="ET783" s="29"/>
      <c r="EU783" s="29"/>
      <c r="EV783" s="29"/>
      <c r="EW783" s="29"/>
      <c r="EX783" s="29"/>
      <c r="EY783" s="29"/>
      <c r="EZ783" s="29"/>
      <c r="FA783" s="29"/>
      <c r="FB783" s="29"/>
      <c r="FC783" s="29"/>
      <c r="FD783" s="29"/>
      <c r="FE783" s="29"/>
      <c r="FF783" s="29"/>
      <c r="FG783" s="29"/>
      <c r="FH783" s="29"/>
      <c r="FI783" s="29"/>
      <c r="FJ783" s="29"/>
      <c r="FK783" s="29"/>
      <c r="FL783" s="29"/>
      <c r="FM783" s="29"/>
      <c r="FN783" s="29"/>
      <c r="FO783" s="29"/>
      <c r="FP783" s="29"/>
      <c r="FQ783" s="29"/>
      <c r="FR783" s="29"/>
      <c r="FS783" s="29"/>
      <c r="FT783" s="29"/>
      <c r="FU783" s="29"/>
      <c r="FV783" s="29"/>
      <c r="FW783" s="29"/>
      <c r="FX783" s="29"/>
      <c r="FY783" s="29"/>
      <c r="FZ783" s="29"/>
      <c r="GA783" s="29"/>
      <c r="GB783" s="29"/>
      <c r="GC783" s="29"/>
      <c r="GD783" s="29"/>
      <c r="GE783" s="29"/>
      <c r="GF783" s="29"/>
      <c r="GG783" s="29"/>
      <c r="GH783" s="29"/>
      <c r="GI783" s="29"/>
      <c r="GJ783" s="29"/>
      <c r="GK783" s="29"/>
      <c r="GL783" s="29"/>
      <c r="GM783" s="29"/>
      <c r="GN783" s="29"/>
      <c r="GO783" s="29"/>
      <c r="GP783" s="29"/>
      <c r="GQ783" s="29"/>
      <c r="GR783" s="29"/>
      <c r="GS783" s="29"/>
      <c r="GT783" s="29"/>
      <c r="GU783" s="29"/>
      <c r="HP783" s="31"/>
      <c r="MX783" s="29"/>
      <c r="MY783" s="29"/>
    </row>
    <row r="784" ht="16.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c r="BR784" s="29"/>
      <c r="BS784" s="29"/>
      <c r="BT784" s="29"/>
      <c r="BU784" s="29"/>
      <c r="BV784" s="29"/>
      <c r="BW784" s="29"/>
      <c r="BX784" s="29"/>
      <c r="BY784" s="29"/>
      <c r="BZ784" s="29"/>
      <c r="CA784" s="29"/>
      <c r="CB784" s="29"/>
      <c r="CC784" s="29"/>
      <c r="CD784" s="29"/>
      <c r="CE784" s="29"/>
      <c r="CF784" s="29"/>
      <c r="CG784" s="29"/>
      <c r="CH784" s="29"/>
      <c r="CI784" s="29"/>
      <c r="CJ784" s="29"/>
      <c r="CK784" s="29"/>
      <c r="CL784" s="29"/>
      <c r="CM784" s="29"/>
      <c r="CN784" s="29"/>
      <c r="CO784" s="29"/>
      <c r="CP784" s="29"/>
      <c r="CQ784" s="29"/>
      <c r="CR784" s="29"/>
      <c r="CS784" s="29"/>
      <c r="CT784" s="29"/>
      <c r="CU784" s="29"/>
      <c r="CV784" s="29"/>
      <c r="CW784" s="29"/>
      <c r="CX784" s="29"/>
      <c r="CY784" s="29"/>
      <c r="CZ784" s="29"/>
      <c r="DA784" s="29"/>
      <c r="DB784" s="29"/>
      <c r="DC784" s="29"/>
      <c r="DD784" s="29"/>
      <c r="DE784" s="29"/>
      <c r="DF784" s="29"/>
      <c r="DG784" s="29"/>
      <c r="DH784" s="29"/>
      <c r="DI784" s="29"/>
      <c r="DJ784" s="29"/>
      <c r="DK784" s="29"/>
      <c r="DL784" s="29"/>
      <c r="DM784" s="29"/>
      <c r="DN784" s="29"/>
      <c r="DO784" s="29"/>
      <c r="DP784" s="29"/>
      <c r="DQ784" s="29"/>
      <c r="DR784" s="29"/>
      <c r="DS784" s="29"/>
      <c r="DT784" s="29"/>
      <c r="DU784" s="29"/>
      <c r="DV784" s="29"/>
      <c r="DW784" s="29"/>
      <c r="DX784" s="29"/>
      <c r="DY784" s="29"/>
      <c r="DZ784" s="29"/>
      <c r="EA784" s="29"/>
      <c r="EB784" s="29"/>
      <c r="EC784" s="29"/>
      <c r="ED784" s="29"/>
      <c r="EE784" s="29"/>
      <c r="EF784" s="29"/>
      <c r="EG784" s="29"/>
      <c r="EH784" s="29"/>
      <c r="EI784" s="29"/>
      <c r="EJ784" s="29"/>
      <c r="EK784" s="29"/>
      <c r="EL784" s="29"/>
      <c r="EM784" s="29"/>
      <c r="EN784" s="29"/>
      <c r="EO784" s="29"/>
      <c r="EP784" s="29"/>
      <c r="EQ784" s="29"/>
      <c r="ER784" s="29"/>
      <c r="ES784" s="29"/>
      <c r="ET784" s="29"/>
      <c r="EU784" s="29"/>
      <c r="EV784" s="29"/>
      <c r="EW784" s="29"/>
      <c r="EX784" s="29"/>
      <c r="EY784" s="29"/>
      <c r="EZ784" s="29"/>
      <c r="FA784" s="29"/>
      <c r="FB784" s="29"/>
      <c r="FC784" s="29"/>
      <c r="FD784" s="29"/>
      <c r="FE784" s="29"/>
      <c r="FF784" s="29"/>
      <c r="FG784" s="29"/>
      <c r="FH784" s="29"/>
      <c r="FI784" s="29"/>
      <c r="FJ784" s="29"/>
      <c r="FK784" s="29"/>
      <c r="FL784" s="29"/>
      <c r="FM784" s="29"/>
      <c r="FN784" s="29"/>
      <c r="FO784" s="29"/>
      <c r="FP784" s="29"/>
      <c r="FQ784" s="29"/>
      <c r="FR784" s="29"/>
      <c r="FS784" s="29"/>
      <c r="FT784" s="29"/>
      <c r="FU784" s="29"/>
      <c r="FV784" s="29"/>
      <c r="FW784" s="29"/>
      <c r="FX784" s="29"/>
      <c r="FY784" s="29"/>
      <c r="FZ784" s="29"/>
      <c r="GA784" s="29"/>
      <c r="GB784" s="29"/>
      <c r="GC784" s="29"/>
      <c r="GD784" s="29"/>
      <c r="GE784" s="29"/>
      <c r="GF784" s="29"/>
      <c r="GG784" s="29"/>
      <c r="GH784" s="29"/>
      <c r="GI784" s="29"/>
      <c r="GJ784" s="29"/>
      <c r="GK784" s="29"/>
      <c r="GL784" s="29"/>
      <c r="GM784" s="29"/>
      <c r="GN784" s="29"/>
      <c r="GO784" s="29"/>
      <c r="GP784" s="29"/>
      <c r="GQ784" s="29"/>
      <c r="GR784" s="29"/>
      <c r="GS784" s="29"/>
      <c r="GT784" s="29"/>
      <c r="GU784" s="29"/>
      <c r="HP784" s="31"/>
      <c r="MX784" s="29"/>
      <c r="MY784" s="29"/>
    </row>
    <row r="785" ht="16.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c r="BO785" s="29"/>
      <c r="BP785" s="29"/>
      <c r="BQ785" s="29"/>
      <c r="BR785" s="29"/>
      <c r="BS785" s="29"/>
      <c r="BT785" s="29"/>
      <c r="BU785" s="29"/>
      <c r="BV785" s="29"/>
      <c r="BW785" s="29"/>
      <c r="BX785" s="29"/>
      <c r="BY785" s="29"/>
      <c r="BZ785" s="29"/>
      <c r="CA785" s="29"/>
      <c r="CB785" s="29"/>
      <c r="CC785" s="29"/>
      <c r="CD785" s="29"/>
      <c r="CE785" s="29"/>
      <c r="CF785" s="29"/>
      <c r="CG785" s="29"/>
      <c r="CH785" s="29"/>
      <c r="CI785" s="29"/>
      <c r="CJ785" s="29"/>
      <c r="CK785" s="29"/>
      <c r="CL785" s="29"/>
      <c r="CM785" s="29"/>
      <c r="CN785" s="29"/>
      <c r="CO785" s="29"/>
      <c r="CP785" s="29"/>
      <c r="CQ785" s="29"/>
      <c r="CR785" s="29"/>
      <c r="CS785" s="29"/>
      <c r="CT785" s="29"/>
      <c r="CU785" s="29"/>
      <c r="CV785" s="29"/>
      <c r="CW785" s="29"/>
      <c r="CX785" s="29"/>
      <c r="CY785" s="29"/>
      <c r="CZ785" s="29"/>
      <c r="DA785" s="29"/>
      <c r="DB785" s="29"/>
      <c r="DC785" s="29"/>
      <c r="DD785" s="29"/>
      <c r="DE785" s="29"/>
      <c r="DF785" s="29"/>
      <c r="DG785" s="29"/>
      <c r="DH785" s="29"/>
      <c r="DI785" s="29"/>
      <c r="DJ785" s="29"/>
      <c r="DK785" s="29"/>
      <c r="DL785" s="29"/>
      <c r="DM785" s="29"/>
      <c r="DN785" s="29"/>
      <c r="DO785" s="29"/>
      <c r="DP785" s="29"/>
      <c r="DQ785" s="29"/>
      <c r="DR785" s="29"/>
      <c r="DS785" s="29"/>
      <c r="DT785" s="29"/>
      <c r="DU785" s="29"/>
      <c r="DV785" s="29"/>
      <c r="DW785" s="29"/>
      <c r="DX785" s="29"/>
      <c r="DY785" s="29"/>
      <c r="DZ785" s="29"/>
      <c r="EA785" s="29"/>
      <c r="EB785" s="29"/>
      <c r="EC785" s="29"/>
      <c r="ED785" s="29"/>
      <c r="EE785" s="29"/>
      <c r="EF785" s="29"/>
      <c r="EG785" s="29"/>
      <c r="EH785" s="29"/>
      <c r="EI785" s="29"/>
      <c r="EJ785" s="29"/>
      <c r="EK785" s="29"/>
      <c r="EL785" s="29"/>
      <c r="EM785" s="29"/>
      <c r="EN785" s="29"/>
      <c r="EO785" s="29"/>
      <c r="EP785" s="29"/>
      <c r="EQ785" s="29"/>
      <c r="ER785" s="29"/>
      <c r="ES785" s="29"/>
      <c r="ET785" s="29"/>
      <c r="EU785" s="29"/>
      <c r="EV785" s="29"/>
      <c r="EW785" s="29"/>
      <c r="EX785" s="29"/>
      <c r="EY785" s="29"/>
      <c r="EZ785" s="29"/>
      <c r="FA785" s="29"/>
      <c r="FB785" s="29"/>
      <c r="FC785" s="29"/>
      <c r="FD785" s="29"/>
      <c r="FE785" s="29"/>
      <c r="FF785" s="29"/>
      <c r="FG785" s="29"/>
      <c r="FH785" s="29"/>
      <c r="FI785" s="29"/>
      <c r="FJ785" s="29"/>
      <c r="FK785" s="29"/>
      <c r="FL785" s="29"/>
      <c r="FM785" s="29"/>
      <c r="FN785" s="29"/>
      <c r="FO785" s="29"/>
      <c r="FP785" s="29"/>
      <c r="FQ785" s="29"/>
      <c r="FR785" s="29"/>
      <c r="FS785" s="29"/>
      <c r="FT785" s="29"/>
      <c r="FU785" s="29"/>
      <c r="FV785" s="29"/>
      <c r="FW785" s="29"/>
      <c r="FX785" s="29"/>
      <c r="FY785" s="29"/>
      <c r="FZ785" s="29"/>
      <c r="GA785" s="29"/>
      <c r="GB785" s="29"/>
      <c r="GC785" s="29"/>
      <c r="GD785" s="29"/>
      <c r="GE785" s="29"/>
      <c r="GF785" s="29"/>
      <c r="GG785" s="29"/>
      <c r="GH785" s="29"/>
      <c r="GI785" s="29"/>
      <c r="GJ785" s="29"/>
      <c r="GK785" s="29"/>
      <c r="GL785" s="29"/>
      <c r="GM785" s="29"/>
      <c r="GN785" s="29"/>
      <c r="GO785" s="29"/>
      <c r="GP785" s="29"/>
      <c r="GQ785" s="29"/>
      <c r="GR785" s="29"/>
      <c r="GS785" s="29"/>
      <c r="GT785" s="29"/>
      <c r="GU785" s="29"/>
      <c r="HP785" s="31"/>
      <c r="MX785" s="29"/>
      <c r="MY785" s="29"/>
    </row>
    <row r="786" ht="16.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29"/>
      <c r="AW786" s="29"/>
      <c r="AX786" s="29"/>
      <c r="AY786" s="29"/>
      <c r="AZ786" s="29"/>
      <c r="BA786" s="29"/>
      <c r="BB786" s="29"/>
      <c r="BC786" s="29"/>
      <c r="BD786" s="29"/>
      <c r="BE786" s="29"/>
      <c r="BF786" s="29"/>
      <c r="BG786" s="29"/>
      <c r="BH786" s="29"/>
      <c r="BI786" s="29"/>
      <c r="BJ786" s="29"/>
      <c r="BK786" s="29"/>
      <c r="BL786" s="29"/>
      <c r="BM786" s="29"/>
      <c r="BN786" s="29"/>
      <c r="BO786" s="29"/>
      <c r="BP786" s="29"/>
      <c r="BQ786" s="29"/>
      <c r="BR786" s="29"/>
      <c r="BS786" s="29"/>
      <c r="BT786" s="29"/>
      <c r="BU786" s="29"/>
      <c r="BV786" s="29"/>
      <c r="BW786" s="29"/>
      <c r="BX786" s="29"/>
      <c r="BY786" s="29"/>
      <c r="BZ786" s="29"/>
      <c r="CA786" s="29"/>
      <c r="CB786" s="29"/>
      <c r="CC786" s="29"/>
      <c r="CD786" s="29"/>
      <c r="CE786" s="29"/>
      <c r="CF786" s="29"/>
      <c r="CG786" s="29"/>
      <c r="CH786" s="29"/>
      <c r="CI786" s="29"/>
      <c r="CJ786" s="29"/>
      <c r="CK786" s="29"/>
      <c r="CL786" s="29"/>
      <c r="CM786" s="29"/>
      <c r="CN786" s="29"/>
      <c r="CO786" s="29"/>
      <c r="CP786" s="29"/>
      <c r="CQ786" s="29"/>
      <c r="CR786" s="29"/>
      <c r="CS786" s="29"/>
      <c r="CT786" s="29"/>
      <c r="CU786" s="29"/>
      <c r="CV786" s="29"/>
      <c r="CW786" s="29"/>
      <c r="CX786" s="29"/>
      <c r="CY786" s="29"/>
      <c r="CZ786" s="29"/>
      <c r="DA786" s="29"/>
      <c r="DB786" s="29"/>
      <c r="DC786" s="29"/>
      <c r="DD786" s="29"/>
      <c r="DE786" s="29"/>
      <c r="DF786" s="29"/>
      <c r="DG786" s="29"/>
      <c r="DH786" s="29"/>
      <c r="DI786" s="29"/>
      <c r="DJ786" s="29"/>
      <c r="DK786" s="29"/>
      <c r="DL786" s="29"/>
      <c r="DM786" s="29"/>
      <c r="DN786" s="29"/>
      <c r="DO786" s="29"/>
      <c r="DP786" s="29"/>
      <c r="DQ786" s="29"/>
      <c r="DR786" s="29"/>
      <c r="DS786" s="29"/>
      <c r="DT786" s="29"/>
      <c r="DU786" s="29"/>
      <c r="DV786" s="29"/>
      <c r="DW786" s="29"/>
      <c r="DX786" s="29"/>
      <c r="DY786" s="29"/>
      <c r="DZ786" s="29"/>
      <c r="EA786" s="29"/>
      <c r="EB786" s="29"/>
      <c r="EC786" s="29"/>
      <c r="ED786" s="29"/>
      <c r="EE786" s="29"/>
      <c r="EF786" s="29"/>
      <c r="EG786" s="29"/>
      <c r="EH786" s="29"/>
      <c r="EI786" s="29"/>
      <c r="EJ786" s="29"/>
      <c r="EK786" s="29"/>
      <c r="EL786" s="29"/>
      <c r="EM786" s="29"/>
      <c r="EN786" s="29"/>
      <c r="EO786" s="29"/>
      <c r="EP786" s="29"/>
      <c r="EQ786" s="29"/>
      <c r="ER786" s="29"/>
      <c r="ES786" s="29"/>
      <c r="ET786" s="29"/>
      <c r="EU786" s="29"/>
      <c r="EV786" s="29"/>
      <c r="EW786" s="29"/>
      <c r="EX786" s="29"/>
      <c r="EY786" s="29"/>
      <c r="EZ786" s="29"/>
      <c r="FA786" s="29"/>
      <c r="FB786" s="29"/>
      <c r="FC786" s="29"/>
      <c r="FD786" s="29"/>
      <c r="FE786" s="29"/>
      <c r="FF786" s="29"/>
      <c r="FG786" s="29"/>
      <c r="FH786" s="29"/>
      <c r="FI786" s="29"/>
      <c r="FJ786" s="29"/>
      <c r="FK786" s="29"/>
      <c r="FL786" s="29"/>
      <c r="FM786" s="29"/>
      <c r="FN786" s="29"/>
      <c r="FO786" s="29"/>
      <c r="FP786" s="29"/>
      <c r="FQ786" s="29"/>
      <c r="FR786" s="29"/>
      <c r="FS786" s="29"/>
      <c r="FT786" s="29"/>
      <c r="FU786" s="29"/>
      <c r="FV786" s="29"/>
      <c r="FW786" s="29"/>
      <c r="FX786" s="29"/>
      <c r="FY786" s="29"/>
      <c r="FZ786" s="29"/>
      <c r="GA786" s="29"/>
      <c r="GB786" s="29"/>
      <c r="GC786" s="29"/>
      <c r="GD786" s="29"/>
      <c r="GE786" s="29"/>
      <c r="GF786" s="29"/>
      <c r="GG786" s="29"/>
      <c r="GH786" s="29"/>
      <c r="GI786" s="29"/>
      <c r="GJ786" s="29"/>
      <c r="GK786" s="29"/>
      <c r="GL786" s="29"/>
      <c r="GM786" s="29"/>
      <c r="GN786" s="29"/>
      <c r="GO786" s="29"/>
      <c r="GP786" s="29"/>
      <c r="GQ786" s="29"/>
      <c r="GR786" s="29"/>
      <c r="GS786" s="29"/>
      <c r="GT786" s="29"/>
      <c r="GU786" s="29"/>
      <c r="HP786" s="31"/>
      <c r="MX786" s="29"/>
      <c r="MY786" s="29"/>
    </row>
    <row r="787" ht="16.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c r="BO787" s="29"/>
      <c r="BP787" s="29"/>
      <c r="BQ787" s="29"/>
      <c r="BR787" s="29"/>
      <c r="BS787" s="29"/>
      <c r="BT787" s="29"/>
      <c r="BU787" s="29"/>
      <c r="BV787" s="29"/>
      <c r="BW787" s="29"/>
      <c r="BX787" s="29"/>
      <c r="BY787" s="29"/>
      <c r="BZ787" s="29"/>
      <c r="CA787" s="29"/>
      <c r="CB787" s="29"/>
      <c r="CC787" s="29"/>
      <c r="CD787" s="29"/>
      <c r="CE787" s="29"/>
      <c r="CF787" s="29"/>
      <c r="CG787" s="29"/>
      <c r="CH787" s="29"/>
      <c r="CI787" s="29"/>
      <c r="CJ787" s="29"/>
      <c r="CK787" s="29"/>
      <c r="CL787" s="29"/>
      <c r="CM787" s="29"/>
      <c r="CN787" s="29"/>
      <c r="CO787" s="29"/>
      <c r="CP787" s="29"/>
      <c r="CQ787" s="29"/>
      <c r="CR787" s="29"/>
      <c r="CS787" s="29"/>
      <c r="CT787" s="29"/>
      <c r="CU787" s="29"/>
      <c r="CV787" s="29"/>
      <c r="CW787" s="29"/>
      <c r="CX787" s="29"/>
      <c r="CY787" s="29"/>
      <c r="CZ787" s="29"/>
      <c r="DA787" s="29"/>
      <c r="DB787" s="29"/>
      <c r="DC787" s="29"/>
      <c r="DD787" s="29"/>
      <c r="DE787" s="29"/>
      <c r="DF787" s="29"/>
      <c r="DG787" s="29"/>
      <c r="DH787" s="29"/>
      <c r="DI787" s="29"/>
      <c r="DJ787" s="29"/>
      <c r="DK787" s="29"/>
      <c r="DL787" s="29"/>
      <c r="DM787" s="29"/>
      <c r="DN787" s="29"/>
      <c r="DO787" s="29"/>
      <c r="DP787" s="29"/>
      <c r="DQ787" s="29"/>
      <c r="DR787" s="29"/>
      <c r="DS787" s="29"/>
      <c r="DT787" s="29"/>
      <c r="DU787" s="29"/>
      <c r="DV787" s="29"/>
      <c r="DW787" s="29"/>
      <c r="DX787" s="29"/>
      <c r="DY787" s="29"/>
      <c r="DZ787" s="29"/>
      <c r="EA787" s="29"/>
      <c r="EB787" s="29"/>
      <c r="EC787" s="29"/>
      <c r="ED787" s="29"/>
      <c r="EE787" s="29"/>
      <c r="EF787" s="29"/>
      <c r="EG787" s="29"/>
      <c r="EH787" s="29"/>
      <c r="EI787" s="29"/>
      <c r="EJ787" s="29"/>
      <c r="EK787" s="29"/>
      <c r="EL787" s="29"/>
      <c r="EM787" s="29"/>
      <c r="EN787" s="29"/>
      <c r="EO787" s="29"/>
      <c r="EP787" s="29"/>
      <c r="EQ787" s="29"/>
      <c r="ER787" s="29"/>
      <c r="ES787" s="29"/>
      <c r="ET787" s="29"/>
      <c r="EU787" s="29"/>
      <c r="EV787" s="29"/>
      <c r="EW787" s="29"/>
      <c r="EX787" s="29"/>
      <c r="EY787" s="29"/>
      <c r="EZ787" s="29"/>
      <c r="FA787" s="29"/>
      <c r="FB787" s="29"/>
      <c r="FC787" s="29"/>
      <c r="FD787" s="29"/>
      <c r="FE787" s="29"/>
      <c r="FF787" s="29"/>
      <c r="FG787" s="29"/>
      <c r="FH787" s="29"/>
      <c r="FI787" s="29"/>
      <c r="FJ787" s="29"/>
      <c r="FK787" s="29"/>
      <c r="FL787" s="29"/>
      <c r="FM787" s="29"/>
      <c r="FN787" s="29"/>
      <c r="FO787" s="29"/>
      <c r="FP787" s="29"/>
      <c r="FQ787" s="29"/>
      <c r="FR787" s="29"/>
      <c r="FS787" s="29"/>
      <c r="FT787" s="29"/>
      <c r="FU787" s="29"/>
      <c r="FV787" s="29"/>
      <c r="FW787" s="29"/>
      <c r="FX787" s="29"/>
      <c r="FY787" s="29"/>
      <c r="FZ787" s="29"/>
      <c r="GA787" s="29"/>
      <c r="GB787" s="29"/>
      <c r="GC787" s="29"/>
      <c r="GD787" s="29"/>
      <c r="GE787" s="29"/>
      <c r="GF787" s="29"/>
      <c r="GG787" s="29"/>
      <c r="GH787" s="29"/>
      <c r="GI787" s="29"/>
      <c r="GJ787" s="29"/>
      <c r="GK787" s="29"/>
      <c r="GL787" s="29"/>
      <c r="GM787" s="29"/>
      <c r="GN787" s="29"/>
      <c r="GO787" s="29"/>
      <c r="GP787" s="29"/>
      <c r="GQ787" s="29"/>
      <c r="GR787" s="29"/>
      <c r="GS787" s="29"/>
      <c r="GT787" s="29"/>
      <c r="GU787" s="29"/>
      <c r="HP787" s="31"/>
      <c r="MX787" s="29"/>
      <c r="MY787" s="29"/>
    </row>
    <row r="788" ht="16.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29"/>
      <c r="BR788" s="29"/>
      <c r="BS788" s="29"/>
      <c r="BT788" s="29"/>
      <c r="BU788" s="29"/>
      <c r="BV788" s="29"/>
      <c r="BW788" s="29"/>
      <c r="BX788" s="29"/>
      <c r="BY788" s="29"/>
      <c r="BZ788" s="29"/>
      <c r="CA788" s="29"/>
      <c r="CB788" s="29"/>
      <c r="CC788" s="29"/>
      <c r="CD788" s="29"/>
      <c r="CE788" s="29"/>
      <c r="CF788" s="29"/>
      <c r="CG788" s="29"/>
      <c r="CH788" s="29"/>
      <c r="CI788" s="29"/>
      <c r="CJ788" s="29"/>
      <c r="CK788" s="29"/>
      <c r="CL788" s="29"/>
      <c r="CM788" s="29"/>
      <c r="CN788" s="29"/>
      <c r="CO788" s="29"/>
      <c r="CP788" s="29"/>
      <c r="CQ788" s="29"/>
      <c r="CR788" s="29"/>
      <c r="CS788" s="29"/>
      <c r="CT788" s="29"/>
      <c r="CU788" s="29"/>
      <c r="CV788" s="29"/>
      <c r="CW788" s="29"/>
      <c r="CX788" s="29"/>
      <c r="CY788" s="29"/>
      <c r="CZ788" s="29"/>
      <c r="DA788" s="29"/>
      <c r="DB788" s="29"/>
      <c r="DC788" s="29"/>
      <c r="DD788" s="29"/>
      <c r="DE788" s="29"/>
      <c r="DF788" s="29"/>
      <c r="DG788" s="29"/>
      <c r="DH788" s="29"/>
      <c r="DI788" s="29"/>
      <c r="DJ788" s="29"/>
      <c r="DK788" s="29"/>
      <c r="DL788" s="29"/>
      <c r="DM788" s="29"/>
      <c r="DN788" s="29"/>
      <c r="DO788" s="29"/>
      <c r="DP788" s="29"/>
      <c r="DQ788" s="29"/>
      <c r="DR788" s="29"/>
      <c r="DS788" s="29"/>
      <c r="DT788" s="29"/>
      <c r="DU788" s="29"/>
      <c r="DV788" s="29"/>
      <c r="DW788" s="29"/>
      <c r="DX788" s="29"/>
      <c r="DY788" s="29"/>
      <c r="DZ788" s="29"/>
      <c r="EA788" s="29"/>
      <c r="EB788" s="29"/>
      <c r="EC788" s="29"/>
      <c r="ED788" s="29"/>
      <c r="EE788" s="29"/>
      <c r="EF788" s="29"/>
      <c r="EG788" s="29"/>
      <c r="EH788" s="29"/>
      <c r="EI788" s="29"/>
      <c r="EJ788" s="29"/>
      <c r="EK788" s="29"/>
      <c r="EL788" s="29"/>
      <c r="EM788" s="29"/>
      <c r="EN788" s="29"/>
      <c r="EO788" s="29"/>
      <c r="EP788" s="29"/>
      <c r="EQ788" s="29"/>
      <c r="ER788" s="29"/>
      <c r="ES788" s="29"/>
      <c r="ET788" s="29"/>
      <c r="EU788" s="29"/>
      <c r="EV788" s="29"/>
      <c r="EW788" s="29"/>
      <c r="EX788" s="29"/>
      <c r="EY788" s="29"/>
      <c r="EZ788" s="29"/>
      <c r="FA788" s="29"/>
      <c r="FB788" s="29"/>
      <c r="FC788" s="29"/>
      <c r="FD788" s="29"/>
      <c r="FE788" s="29"/>
      <c r="FF788" s="29"/>
      <c r="FG788" s="29"/>
      <c r="FH788" s="29"/>
      <c r="FI788" s="29"/>
      <c r="FJ788" s="29"/>
      <c r="FK788" s="29"/>
      <c r="FL788" s="29"/>
      <c r="FM788" s="29"/>
      <c r="FN788" s="29"/>
      <c r="FO788" s="29"/>
      <c r="FP788" s="29"/>
      <c r="FQ788" s="29"/>
      <c r="FR788" s="29"/>
      <c r="FS788" s="29"/>
      <c r="FT788" s="29"/>
      <c r="FU788" s="29"/>
      <c r="FV788" s="29"/>
      <c r="FW788" s="29"/>
      <c r="FX788" s="29"/>
      <c r="FY788" s="29"/>
      <c r="FZ788" s="29"/>
      <c r="GA788" s="29"/>
      <c r="GB788" s="29"/>
      <c r="GC788" s="29"/>
      <c r="GD788" s="29"/>
      <c r="GE788" s="29"/>
      <c r="GF788" s="29"/>
      <c r="GG788" s="29"/>
      <c r="GH788" s="29"/>
      <c r="GI788" s="29"/>
      <c r="GJ788" s="29"/>
      <c r="GK788" s="29"/>
      <c r="GL788" s="29"/>
      <c r="GM788" s="29"/>
      <c r="GN788" s="29"/>
      <c r="GO788" s="29"/>
      <c r="GP788" s="29"/>
      <c r="GQ788" s="29"/>
      <c r="GR788" s="29"/>
      <c r="GS788" s="29"/>
      <c r="GT788" s="29"/>
      <c r="GU788" s="29"/>
      <c r="HP788" s="31"/>
      <c r="MX788" s="29"/>
      <c r="MY788" s="29"/>
    </row>
    <row r="789" ht="16.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29"/>
      <c r="BR789" s="29"/>
      <c r="BS789" s="29"/>
      <c r="BT789" s="29"/>
      <c r="BU789" s="29"/>
      <c r="BV789" s="29"/>
      <c r="BW789" s="29"/>
      <c r="BX789" s="29"/>
      <c r="BY789" s="29"/>
      <c r="BZ789" s="29"/>
      <c r="CA789" s="29"/>
      <c r="CB789" s="29"/>
      <c r="CC789" s="29"/>
      <c r="CD789" s="29"/>
      <c r="CE789" s="29"/>
      <c r="CF789" s="29"/>
      <c r="CG789" s="29"/>
      <c r="CH789" s="29"/>
      <c r="CI789" s="29"/>
      <c r="CJ789" s="29"/>
      <c r="CK789" s="29"/>
      <c r="CL789" s="29"/>
      <c r="CM789" s="29"/>
      <c r="CN789" s="29"/>
      <c r="CO789" s="29"/>
      <c r="CP789" s="29"/>
      <c r="CQ789" s="29"/>
      <c r="CR789" s="29"/>
      <c r="CS789" s="29"/>
      <c r="CT789" s="29"/>
      <c r="CU789" s="29"/>
      <c r="CV789" s="29"/>
      <c r="CW789" s="29"/>
      <c r="CX789" s="29"/>
      <c r="CY789" s="29"/>
      <c r="CZ789" s="29"/>
      <c r="DA789" s="29"/>
      <c r="DB789" s="29"/>
      <c r="DC789" s="29"/>
      <c r="DD789" s="29"/>
      <c r="DE789" s="29"/>
      <c r="DF789" s="29"/>
      <c r="DG789" s="29"/>
      <c r="DH789" s="29"/>
      <c r="DI789" s="29"/>
      <c r="DJ789" s="29"/>
      <c r="DK789" s="29"/>
      <c r="DL789" s="29"/>
      <c r="DM789" s="29"/>
      <c r="DN789" s="29"/>
      <c r="DO789" s="29"/>
      <c r="DP789" s="29"/>
      <c r="DQ789" s="29"/>
      <c r="DR789" s="29"/>
      <c r="DS789" s="29"/>
      <c r="DT789" s="29"/>
      <c r="DU789" s="29"/>
      <c r="DV789" s="29"/>
      <c r="DW789" s="29"/>
      <c r="DX789" s="29"/>
      <c r="DY789" s="29"/>
      <c r="DZ789" s="29"/>
      <c r="EA789" s="29"/>
      <c r="EB789" s="29"/>
      <c r="EC789" s="29"/>
      <c r="ED789" s="29"/>
      <c r="EE789" s="29"/>
      <c r="EF789" s="29"/>
      <c r="EG789" s="29"/>
      <c r="EH789" s="29"/>
      <c r="EI789" s="29"/>
      <c r="EJ789" s="29"/>
      <c r="EK789" s="29"/>
      <c r="EL789" s="29"/>
      <c r="EM789" s="29"/>
      <c r="EN789" s="29"/>
      <c r="EO789" s="29"/>
      <c r="EP789" s="29"/>
      <c r="EQ789" s="29"/>
      <c r="ER789" s="29"/>
      <c r="ES789" s="29"/>
      <c r="ET789" s="29"/>
      <c r="EU789" s="29"/>
      <c r="EV789" s="29"/>
      <c r="EW789" s="29"/>
      <c r="EX789" s="29"/>
      <c r="EY789" s="29"/>
      <c r="EZ789" s="29"/>
      <c r="FA789" s="29"/>
      <c r="FB789" s="29"/>
      <c r="FC789" s="29"/>
      <c r="FD789" s="29"/>
      <c r="FE789" s="29"/>
      <c r="FF789" s="29"/>
      <c r="FG789" s="29"/>
      <c r="FH789" s="29"/>
      <c r="FI789" s="29"/>
      <c r="FJ789" s="29"/>
      <c r="FK789" s="29"/>
      <c r="FL789" s="29"/>
      <c r="FM789" s="29"/>
      <c r="FN789" s="29"/>
      <c r="FO789" s="29"/>
      <c r="FP789" s="29"/>
      <c r="FQ789" s="29"/>
      <c r="FR789" s="29"/>
      <c r="FS789" s="29"/>
      <c r="FT789" s="29"/>
      <c r="FU789" s="29"/>
      <c r="FV789" s="29"/>
      <c r="FW789" s="29"/>
      <c r="FX789" s="29"/>
      <c r="FY789" s="29"/>
      <c r="FZ789" s="29"/>
      <c r="GA789" s="29"/>
      <c r="GB789" s="29"/>
      <c r="GC789" s="29"/>
      <c r="GD789" s="29"/>
      <c r="GE789" s="29"/>
      <c r="GF789" s="29"/>
      <c r="GG789" s="29"/>
      <c r="GH789" s="29"/>
      <c r="GI789" s="29"/>
      <c r="GJ789" s="29"/>
      <c r="GK789" s="29"/>
      <c r="GL789" s="29"/>
      <c r="GM789" s="29"/>
      <c r="GN789" s="29"/>
      <c r="GO789" s="29"/>
      <c r="GP789" s="29"/>
      <c r="GQ789" s="29"/>
      <c r="GR789" s="29"/>
      <c r="GS789" s="29"/>
      <c r="GT789" s="29"/>
      <c r="GU789" s="29"/>
      <c r="HP789" s="31"/>
      <c r="MX789" s="29"/>
      <c r="MY789" s="29"/>
    </row>
    <row r="790" ht="16.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29"/>
      <c r="AW790" s="29"/>
      <c r="AX790" s="29"/>
      <c r="AY790" s="29"/>
      <c r="AZ790" s="29"/>
      <c r="BA790" s="29"/>
      <c r="BB790" s="29"/>
      <c r="BC790" s="29"/>
      <c r="BD790" s="29"/>
      <c r="BE790" s="29"/>
      <c r="BF790" s="29"/>
      <c r="BG790" s="29"/>
      <c r="BH790" s="29"/>
      <c r="BI790" s="29"/>
      <c r="BJ790" s="29"/>
      <c r="BK790" s="29"/>
      <c r="BL790" s="29"/>
      <c r="BM790" s="29"/>
      <c r="BN790" s="29"/>
      <c r="BO790" s="29"/>
      <c r="BP790" s="29"/>
      <c r="BQ790" s="29"/>
      <c r="BR790" s="29"/>
      <c r="BS790" s="29"/>
      <c r="BT790" s="29"/>
      <c r="BU790" s="29"/>
      <c r="BV790" s="29"/>
      <c r="BW790" s="29"/>
      <c r="BX790" s="29"/>
      <c r="BY790" s="29"/>
      <c r="BZ790" s="29"/>
      <c r="CA790" s="29"/>
      <c r="CB790" s="29"/>
      <c r="CC790" s="29"/>
      <c r="CD790" s="29"/>
      <c r="CE790" s="29"/>
      <c r="CF790" s="29"/>
      <c r="CG790" s="29"/>
      <c r="CH790" s="29"/>
      <c r="CI790" s="29"/>
      <c r="CJ790" s="29"/>
      <c r="CK790" s="29"/>
      <c r="CL790" s="29"/>
      <c r="CM790" s="29"/>
      <c r="CN790" s="29"/>
      <c r="CO790" s="29"/>
      <c r="CP790" s="29"/>
      <c r="CQ790" s="29"/>
      <c r="CR790" s="29"/>
      <c r="CS790" s="29"/>
      <c r="CT790" s="29"/>
      <c r="CU790" s="29"/>
      <c r="CV790" s="29"/>
      <c r="CW790" s="29"/>
      <c r="CX790" s="29"/>
      <c r="CY790" s="29"/>
      <c r="CZ790" s="29"/>
      <c r="DA790" s="29"/>
      <c r="DB790" s="29"/>
      <c r="DC790" s="29"/>
      <c r="DD790" s="29"/>
      <c r="DE790" s="29"/>
      <c r="DF790" s="29"/>
      <c r="DG790" s="29"/>
      <c r="DH790" s="29"/>
      <c r="DI790" s="29"/>
      <c r="DJ790" s="29"/>
      <c r="DK790" s="29"/>
      <c r="DL790" s="29"/>
      <c r="DM790" s="29"/>
      <c r="DN790" s="29"/>
      <c r="DO790" s="29"/>
      <c r="DP790" s="29"/>
      <c r="DQ790" s="29"/>
      <c r="DR790" s="29"/>
      <c r="DS790" s="29"/>
      <c r="DT790" s="29"/>
      <c r="DU790" s="29"/>
      <c r="DV790" s="29"/>
      <c r="DW790" s="29"/>
      <c r="DX790" s="29"/>
      <c r="DY790" s="29"/>
      <c r="DZ790" s="29"/>
      <c r="EA790" s="29"/>
      <c r="EB790" s="29"/>
      <c r="EC790" s="29"/>
      <c r="ED790" s="29"/>
      <c r="EE790" s="29"/>
      <c r="EF790" s="29"/>
      <c r="EG790" s="29"/>
      <c r="EH790" s="29"/>
      <c r="EI790" s="29"/>
      <c r="EJ790" s="29"/>
      <c r="EK790" s="29"/>
      <c r="EL790" s="29"/>
      <c r="EM790" s="29"/>
      <c r="EN790" s="29"/>
      <c r="EO790" s="29"/>
      <c r="EP790" s="29"/>
      <c r="EQ790" s="29"/>
      <c r="ER790" s="29"/>
      <c r="ES790" s="29"/>
      <c r="ET790" s="29"/>
      <c r="EU790" s="29"/>
      <c r="EV790" s="29"/>
      <c r="EW790" s="29"/>
      <c r="EX790" s="29"/>
      <c r="EY790" s="29"/>
      <c r="EZ790" s="29"/>
      <c r="FA790" s="29"/>
      <c r="FB790" s="29"/>
      <c r="FC790" s="29"/>
      <c r="FD790" s="29"/>
      <c r="FE790" s="29"/>
      <c r="FF790" s="29"/>
      <c r="FG790" s="29"/>
      <c r="FH790" s="29"/>
      <c r="FI790" s="29"/>
      <c r="FJ790" s="29"/>
      <c r="FK790" s="29"/>
      <c r="FL790" s="29"/>
      <c r="FM790" s="29"/>
      <c r="FN790" s="29"/>
      <c r="FO790" s="29"/>
      <c r="FP790" s="29"/>
      <c r="FQ790" s="29"/>
      <c r="FR790" s="29"/>
      <c r="FS790" s="29"/>
      <c r="FT790" s="29"/>
      <c r="FU790" s="29"/>
      <c r="FV790" s="29"/>
      <c r="FW790" s="29"/>
      <c r="FX790" s="29"/>
      <c r="FY790" s="29"/>
      <c r="FZ790" s="29"/>
      <c r="GA790" s="29"/>
      <c r="GB790" s="29"/>
      <c r="GC790" s="29"/>
      <c r="GD790" s="29"/>
      <c r="GE790" s="29"/>
      <c r="GF790" s="29"/>
      <c r="GG790" s="29"/>
      <c r="GH790" s="29"/>
      <c r="GI790" s="29"/>
      <c r="GJ790" s="29"/>
      <c r="GK790" s="29"/>
      <c r="GL790" s="29"/>
      <c r="GM790" s="29"/>
      <c r="GN790" s="29"/>
      <c r="GO790" s="29"/>
      <c r="GP790" s="29"/>
      <c r="GQ790" s="29"/>
      <c r="GR790" s="29"/>
      <c r="GS790" s="29"/>
      <c r="GT790" s="29"/>
      <c r="GU790" s="29"/>
      <c r="HP790" s="31"/>
      <c r="MX790" s="29"/>
      <c r="MY790" s="29"/>
    </row>
    <row r="791" ht="16.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29"/>
      <c r="BR791" s="29"/>
      <c r="BS791" s="29"/>
      <c r="BT791" s="29"/>
      <c r="BU791" s="29"/>
      <c r="BV791" s="29"/>
      <c r="BW791" s="29"/>
      <c r="BX791" s="29"/>
      <c r="BY791" s="29"/>
      <c r="BZ791" s="29"/>
      <c r="CA791" s="29"/>
      <c r="CB791" s="29"/>
      <c r="CC791" s="29"/>
      <c r="CD791" s="29"/>
      <c r="CE791" s="29"/>
      <c r="CF791" s="29"/>
      <c r="CG791" s="29"/>
      <c r="CH791" s="29"/>
      <c r="CI791" s="29"/>
      <c r="CJ791" s="29"/>
      <c r="CK791" s="29"/>
      <c r="CL791" s="29"/>
      <c r="CM791" s="29"/>
      <c r="CN791" s="29"/>
      <c r="CO791" s="29"/>
      <c r="CP791" s="29"/>
      <c r="CQ791" s="29"/>
      <c r="CR791" s="29"/>
      <c r="CS791" s="29"/>
      <c r="CT791" s="29"/>
      <c r="CU791" s="29"/>
      <c r="CV791" s="29"/>
      <c r="CW791" s="29"/>
      <c r="CX791" s="29"/>
      <c r="CY791" s="29"/>
      <c r="CZ791" s="29"/>
      <c r="DA791" s="29"/>
      <c r="DB791" s="29"/>
      <c r="DC791" s="29"/>
      <c r="DD791" s="29"/>
      <c r="DE791" s="29"/>
      <c r="DF791" s="29"/>
      <c r="DG791" s="29"/>
      <c r="DH791" s="29"/>
      <c r="DI791" s="29"/>
      <c r="DJ791" s="29"/>
      <c r="DK791" s="29"/>
      <c r="DL791" s="29"/>
      <c r="DM791" s="29"/>
      <c r="DN791" s="29"/>
      <c r="DO791" s="29"/>
      <c r="DP791" s="29"/>
      <c r="DQ791" s="29"/>
      <c r="DR791" s="29"/>
      <c r="DS791" s="29"/>
      <c r="DT791" s="29"/>
      <c r="DU791" s="29"/>
      <c r="DV791" s="29"/>
      <c r="DW791" s="29"/>
      <c r="DX791" s="29"/>
      <c r="DY791" s="29"/>
      <c r="DZ791" s="29"/>
      <c r="EA791" s="29"/>
      <c r="EB791" s="29"/>
      <c r="EC791" s="29"/>
      <c r="ED791" s="29"/>
      <c r="EE791" s="29"/>
      <c r="EF791" s="29"/>
      <c r="EG791" s="29"/>
      <c r="EH791" s="29"/>
      <c r="EI791" s="29"/>
      <c r="EJ791" s="29"/>
      <c r="EK791" s="29"/>
      <c r="EL791" s="29"/>
      <c r="EM791" s="29"/>
      <c r="EN791" s="29"/>
      <c r="EO791" s="29"/>
      <c r="EP791" s="29"/>
      <c r="EQ791" s="29"/>
      <c r="ER791" s="29"/>
      <c r="ES791" s="29"/>
      <c r="ET791" s="29"/>
      <c r="EU791" s="29"/>
      <c r="EV791" s="29"/>
      <c r="EW791" s="29"/>
      <c r="EX791" s="29"/>
      <c r="EY791" s="29"/>
      <c r="EZ791" s="29"/>
      <c r="FA791" s="29"/>
      <c r="FB791" s="29"/>
      <c r="FC791" s="29"/>
      <c r="FD791" s="29"/>
      <c r="FE791" s="29"/>
      <c r="FF791" s="29"/>
      <c r="FG791" s="29"/>
      <c r="FH791" s="29"/>
      <c r="FI791" s="29"/>
      <c r="FJ791" s="29"/>
      <c r="FK791" s="29"/>
      <c r="FL791" s="29"/>
      <c r="FM791" s="29"/>
      <c r="FN791" s="29"/>
      <c r="FO791" s="29"/>
      <c r="FP791" s="29"/>
      <c r="FQ791" s="29"/>
      <c r="FR791" s="29"/>
      <c r="FS791" s="29"/>
      <c r="FT791" s="29"/>
      <c r="FU791" s="29"/>
      <c r="FV791" s="29"/>
      <c r="FW791" s="29"/>
      <c r="FX791" s="29"/>
      <c r="FY791" s="29"/>
      <c r="FZ791" s="29"/>
      <c r="GA791" s="29"/>
      <c r="GB791" s="29"/>
      <c r="GC791" s="29"/>
      <c r="GD791" s="29"/>
      <c r="GE791" s="29"/>
      <c r="GF791" s="29"/>
      <c r="GG791" s="29"/>
      <c r="GH791" s="29"/>
      <c r="GI791" s="29"/>
      <c r="GJ791" s="29"/>
      <c r="GK791" s="29"/>
      <c r="GL791" s="29"/>
      <c r="GM791" s="29"/>
      <c r="GN791" s="29"/>
      <c r="GO791" s="29"/>
      <c r="GP791" s="29"/>
      <c r="GQ791" s="29"/>
      <c r="GR791" s="29"/>
      <c r="GS791" s="29"/>
      <c r="GT791" s="29"/>
      <c r="GU791" s="29"/>
      <c r="HP791" s="31"/>
      <c r="MX791" s="29"/>
      <c r="MY791" s="29"/>
    </row>
    <row r="792" ht="16.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29"/>
      <c r="AW792" s="29"/>
      <c r="AX792" s="29"/>
      <c r="AY792" s="29"/>
      <c r="AZ792" s="29"/>
      <c r="BA792" s="29"/>
      <c r="BB792" s="29"/>
      <c r="BC792" s="29"/>
      <c r="BD792" s="29"/>
      <c r="BE792" s="29"/>
      <c r="BF792" s="29"/>
      <c r="BG792" s="29"/>
      <c r="BH792" s="29"/>
      <c r="BI792" s="29"/>
      <c r="BJ792" s="29"/>
      <c r="BK792" s="29"/>
      <c r="BL792" s="29"/>
      <c r="BM792" s="29"/>
      <c r="BN792" s="29"/>
      <c r="BO792" s="29"/>
      <c r="BP792" s="29"/>
      <c r="BQ792" s="29"/>
      <c r="BR792" s="29"/>
      <c r="BS792" s="29"/>
      <c r="BT792" s="29"/>
      <c r="BU792" s="29"/>
      <c r="BV792" s="29"/>
      <c r="BW792" s="29"/>
      <c r="BX792" s="29"/>
      <c r="BY792" s="29"/>
      <c r="BZ792" s="29"/>
      <c r="CA792" s="29"/>
      <c r="CB792" s="29"/>
      <c r="CC792" s="29"/>
      <c r="CD792" s="29"/>
      <c r="CE792" s="29"/>
      <c r="CF792" s="29"/>
      <c r="CG792" s="29"/>
      <c r="CH792" s="29"/>
      <c r="CI792" s="29"/>
      <c r="CJ792" s="29"/>
      <c r="CK792" s="29"/>
      <c r="CL792" s="29"/>
      <c r="CM792" s="29"/>
      <c r="CN792" s="29"/>
      <c r="CO792" s="29"/>
      <c r="CP792" s="29"/>
      <c r="CQ792" s="29"/>
      <c r="CR792" s="29"/>
      <c r="CS792" s="29"/>
      <c r="CT792" s="29"/>
      <c r="CU792" s="29"/>
      <c r="CV792" s="29"/>
      <c r="CW792" s="29"/>
      <c r="CX792" s="29"/>
      <c r="CY792" s="29"/>
      <c r="CZ792" s="29"/>
      <c r="DA792" s="29"/>
      <c r="DB792" s="29"/>
      <c r="DC792" s="29"/>
      <c r="DD792" s="29"/>
      <c r="DE792" s="29"/>
      <c r="DF792" s="29"/>
      <c r="DG792" s="29"/>
      <c r="DH792" s="29"/>
      <c r="DI792" s="29"/>
      <c r="DJ792" s="29"/>
      <c r="DK792" s="29"/>
      <c r="DL792" s="29"/>
      <c r="DM792" s="29"/>
      <c r="DN792" s="29"/>
      <c r="DO792" s="29"/>
      <c r="DP792" s="29"/>
      <c r="DQ792" s="29"/>
      <c r="DR792" s="29"/>
      <c r="DS792" s="29"/>
      <c r="DT792" s="29"/>
      <c r="DU792" s="29"/>
      <c r="DV792" s="29"/>
      <c r="DW792" s="29"/>
      <c r="DX792" s="29"/>
      <c r="DY792" s="29"/>
      <c r="DZ792" s="29"/>
      <c r="EA792" s="29"/>
      <c r="EB792" s="29"/>
      <c r="EC792" s="29"/>
      <c r="ED792" s="29"/>
      <c r="EE792" s="29"/>
      <c r="EF792" s="29"/>
      <c r="EG792" s="29"/>
      <c r="EH792" s="29"/>
      <c r="EI792" s="29"/>
      <c r="EJ792" s="29"/>
      <c r="EK792" s="29"/>
      <c r="EL792" s="29"/>
      <c r="EM792" s="29"/>
      <c r="EN792" s="29"/>
      <c r="EO792" s="29"/>
      <c r="EP792" s="29"/>
      <c r="EQ792" s="29"/>
      <c r="ER792" s="29"/>
      <c r="ES792" s="29"/>
      <c r="ET792" s="29"/>
      <c r="EU792" s="29"/>
      <c r="EV792" s="29"/>
      <c r="EW792" s="29"/>
      <c r="EX792" s="29"/>
      <c r="EY792" s="29"/>
      <c r="EZ792" s="29"/>
      <c r="FA792" s="29"/>
      <c r="FB792" s="29"/>
      <c r="FC792" s="29"/>
      <c r="FD792" s="29"/>
      <c r="FE792" s="29"/>
      <c r="FF792" s="29"/>
      <c r="FG792" s="29"/>
      <c r="FH792" s="29"/>
      <c r="FI792" s="29"/>
      <c r="FJ792" s="29"/>
      <c r="FK792" s="29"/>
      <c r="FL792" s="29"/>
      <c r="FM792" s="29"/>
      <c r="FN792" s="29"/>
      <c r="FO792" s="29"/>
      <c r="FP792" s="29"/>
      <c r="FQ792" s="29"/>
      <c r="FR792" s="29"/>
      <c r="FS792" s="29"/>
      <c r="FT792" s="29"/>
      <c r="FU792" s="29"/>
      <c r="FV792" s="29"/>
      <c r="FW792" s="29"/>
      <c r="FX792" s="29"/>
      <c r="FY792" s="29"/>
      <c r="FZ792" s="29"/>
      <c r="GA792" s="29"/>
      <c r="GB792" s="29"/>
      <c r="GC792" s="29"/>
      <c r="GD792" s="29"/>
      <c r="GE792" s="29"/>
      <c r="GF792" s="29"/>
      <c r="GG792" s="29"/>
      <c r="GH792" s="29"/>
      <c r="GI792" s="29"/>
      <c r="GJ792" s="29"/>
      <c r="GK792" s="29"/>
      <c r="GL792" s="29"/>
      <c r="GM792" s="29"/>
      <c r="GN792" s="29"/>
      <c r="GO792" s="29"/>
      <c r="GP792" s="29"/>
      <c r="GQ792" s="29"/>
      <c r="GR792" s="29"/>
      <c r="GS792" s="29"/>
      <c r="GT792" s="29"/>
      <c r="GU792" s="29"/>
      <c r="HP792" s="31"/>
      <c r="MX792" s="29"/>
      <c r="MY792" s="29"/>
    </row>
    <row r="793" ht="16.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29"/>
      <c r="BR793" s="29"/>
      <c r="BS793" s="29"/>
      <c r="BT793" s="29"/>
      <c r="BU793" s="29"/>
      <c r="BV793" s="29"/>
      <c r="BW793" s="29"/>
      <c r="BX793" s="29"/>
      <c r="BY793" s="29"/>
      <c r="BZ793" s="29"/>
      <c r="CA793" s="29"/>
      <c r="CB793" s="29"/>
      <c r="CC793" s="29"/>
      <c r="CD793" s="29"/>
      <c r="CE793" s="29"/>
      <c r="CF793" s="29"/>
      <c r="CG793" s="29"/>
      <c r="CH793" s="29"/>
      <c r="CI793" s="29"/>
      <c r="CJ793" s="29"/>
      <c r="CK793" s="29"/>
      <c r="CL793" s="29"/>
      <c r="CM793" s="29"/>
      <c r="CN793" s="29"/>
      <c r="CO793" s="29"/>
      <c r="CP793" s="29"/>
      <c r="CQ793" s="29"/>
      <c r="CR793" s="29"/>
      <c r="CS793" s="29"/>
      <c r="CT793" s="29"/>
      <c r="CU793" s="29"/>
      <c r="CV793" s="29"/>
      <c r="CW793" s="29"/>
      <c r="CX793" s="29"/>
      <c r="CY793" s="29"/>
      <c r="CZ793" s="29"/>
      <c r="DA793" s="29"/>
      <c r="DB793" s="29"/>
      <c r="DC793" s="29"/>
      <c r="DD793" s="29"/>
      <c r="DE793" s="29"/>
      <c r="DF793" s="29"/>
      <c r="DG793" s="29"/>
      <c r="DH793" s="29"/>
      <c r="DI793" s="29"/>
      <c r="DJ793" s="29"/>
      <c r="DK793" s="29"/>
      <c r="DL793" s="29"/>
      <c r="DM793" s="29"/>
      <c r="DN793" s="29"/>
      <c r="DO793" s="29"/>
      <c r="DP793" s="29"/>
      <c r="DQ793" s="29"/>
      <c r="DR793" s="29"/>
      <c r="DS793" s="29"/>
      <c r="DT793" s="29"/>
      <c r="DU793" s="29"/>
      <c r="DV793" s="29"/>
      <c r="DW793" s="29"/>
      <c r="DX793" s="29"/>
      <c r="DY793" s="29"/>
      <c r="DZ793" s="29"/>
      <c r="EA793" s="29"/>
      <c r="EB793" s="29"/>
      <c r="EC793" s="29"/>
      <c r="ED793" s="29"/>
      <c r="EE793" s="29"/>
      <c r="EF793" s="29"/>
      <c r="EG793" s="29"/>
      <c r="EH793" s="29"/>
      <c r="EI793" s="29"/>
      <c r="EJ793" s="29"/>
      <c r="EK793" s="29"/>
      <c r="EL793" s="29"/>
      <c r="EM793" s="29"/>
      <c r="EN793" s="29"/>
      <c r="EO793" s="29"/>
      <c r="EP793" s="29"/>
      <c r="EQ793" s="29"/>
      <c r="ER793" s="29"/>
      <c r="ES793" s="29"/>
      <c r="ET793" s="29"/>
      <c r="EU793" s="29"/>
      <c r="EV793" s="29"/>
      <c r="EW793" s="29"/>
      <c r="EX793" s="29"/>
      <c r="EY793" s="29"/>
      <c r="EZ793" s="29"/>
      <c r="FA793" s="29"/>
      <c r="FB793" s="29"/>
      <c r="FC793" s="29"/>
      <c r="FD793" s="29"/>
      <c r="FE793" s="29"/>
      <c r="FF793" s="29"/>
      <c r="FG793" s="29"/>
      <c r="FH793" s="29"/>
      <c r="FI793" s="29"/>
      <c r="FJ793" s="29"/>
      <c r="FK793" s="29"/>
      <c r="FL793" s="29"/>
      <c r="FM793" s="29"/>
      <c r="FN793" s="29"/>
      <c r="FO793" s="29"/>
      <c r="FP793" s="29"/>
      <c r="FQ793" s="29"/>
      <c r="FR793" s="29"/>
      <c r="FS793" s="29"/>
      <c r="FT793" s="29"/>
      <c r="FU793" s="29"/>
      <c r="FV793" s="29"/>
      <c r="FW793" s="29"/>
      <c r="FX793" s="29"/>
      <c r="FY793" s="29"/>
      <c r="FZ793" s="29"/>
      <c r="GA793" s="29"/>
      <c r="GB793" s="29"/>
      <c r="GC793" s="29"/>
      <c r="GD793" s="29"/>
      <c r="GE793" s="29"/>
      <c r="GF793" s="29"/>
      <c r="GG793" s="29"/>
      <c r="GH793" s="29"/>
      <c r="GI793" s="29"/>
      <c r="GJ793" s="29"/>
      <c r="GK793" s="29"/>
      <c r="GL793" s="29"/>
      <c r="GM793" s="29"/>
      <c r="GN793" s="29"/>
      <c r="GO793" s="29"/>
      <c r="GP793" s="29"/>
      <c r="GQ793" s="29"/>
      <c r="GR793" s="29"/>
      <c r="GS793" s="29"/>
      <c r="GT793" s="29"/>
      <c r="GU793" s="29"/>
      <c r="HP793" s="31"/>
      <c r="MX793" s="29"/>
      <c r="MY793" s="29"/>
    </row>
    <row r="794" ht="16.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29"/>
      <c r="BR794" s="29"/>
      <c r="BS794" s="29"/>
      <c r="BT794" s="29"/>
      <c r="BU794" s="29"/>
      <c r="BV794" s="29"/>
      <c r="BW794" s="29"/>
      <c r="BX794" s="29"/>
      <c r="BY794" s="29"/>
      <c r="BZ794" s="29"/>
      <c r="CA794" s="29"/>
      <c r="CB794" s="29"/>
      <c r="CC794" s="29"/>
      <c r="CD794" s="29"/>
      <c r="CE794" s="29"/>
      <c r="CF794" s="29"/>
      <c r="CG794" s="29"/>
      <c r="CH794" s="29"/>
      <c r="CI794" s="29"/>
      <c r="CJ794" s="29"/>
      <c r="CK794" s="29"/>
      <c r="CL794" s="29"/>
      <c r="CM794" s="29"/>
      <c r="CN794" s="29"/>
      <c r="CO794" s="29"/>
      <c r="CP794" s="29"/>
      <c r="CQ794" s="29"/>
      <c r="CR794" s="29"/>
      <c r="CS794" s="29"/>
      <c r="CT794" s="29"/>
      <c r="CU794" s="29"/>
      <c r="CV794" s="29"/>
      <c r="CW794" s="29"/>
      <c r="CX794" s="29"/>
      <c r="CY794" s="29"/>
      <c r="CZ794" s="29"/>
      <c r="DA794" s="29"/>
      <c r="DB794" s="29"/>
      <c r="DC794" s="29"/>
      <c r="DD794" s="29"/>
      <c r="DE794" s="29"/>
      <c r="DF794" s="29"/>
      <c r="DG794" s="29"/>
      <c r="DH794" s="29"/>
      <c r="DI794" s="29"/>
      <c r="DJ794" s="29"/>
      <c r="DK794" s="29"/>
      <c r="DL794" s="29"/>
      <c r="DM794" s="29"/>
      <c r="DN794" s="29"/>
      <c r="DO794" s="29"/>
      <c r="DP794" s="29"/>
      <c r="DQ794" s="29"/>
      <c r="DR794" s="29"/>
      <c r="DS794" s="29"/>
      <c r="DT794" s="29"/>
      <c r="DU794" s="29"/>
      <c r="DV794" s="29"/>
      <c r="DW794" s="29"/>
      <c r="DX794" s="29"/>
      <c r="DY794" s="29"/>
      <c r="DZ794" s="29"/>
      <c r="EA794" s="29"/>
      <c r="EB794" s="29"/>
      <c r="EC794" s="29"/>
      <c r="ED794" s="29"/>
      <c r="EE794" s="29"/>
      <c r="EF794" s="29"/>
      <c r="EG794" s="29"/>
      <c r="EH794" s="29"/>
      <c r="EI794" s="29"/>
      <c r="EJ794" s="29"/>
      <c r="EK794" s="29"/>
      <c r="EL794" s="29"/>
      <c r="EM794" s="29"/>
      <c r="EN794" s="29"/>
      <c r="EO794" s="29"/>
      <c r="EP794" s="29"/>
      <c r="EQ794" s="29"/>
      <c r="ER794" s="29"/>
      <c r="ES794" s="29"/>
      <c r="ET794" s="29"/>
      <c r="EU794" s="29"/>
      <c r="EV794" s="29"/>
      <c r="EW794" s="29"/>
      <c r="EX794" s="29"/>
      <c r="EY794" s="29"/>
      <c r="EZ794" s="29"/>
      <c r="FA794" s="29"/>
      <c r="FB794" s="29"/>
      <c r="FC794" s="29"/>
      <c r="FD794" s="29"/>
      <c r="FE794" s="29"/>
      <c r="FF794" s="29"/>
      <c r="FG794" s="29"/>
      <c r="FH794" s="29"/>
      <c r="FI794" s="29"/>
      <c r="FJ794" s="29"/>
      <c r="FK794" s="29"/>
      <c r="FL794" s="29"/>
      <c r="FM794" s="29"/>
      <c r="FN794" s="29"/>
      <c r="FO794" s="29"/>
      <c r="FP794" s="29"/>
      <c r="FQ794" s="29"/>
      <c r="FR794" s="29"/>
      <c r="FS794" s="29"/>
      <c r="FT794" s="29"/>
      <c r="FU794" s="29"/>
      <c r="FV794" s="29"/>
      <c r="FW794" s="29"/>
      <c r="FX794" s="29"/>
      <c r="FY794" s="29"/>
      <c r="FZ794" s="29"/>
      <c r="GA794" s="29"/>
      <c r="GB794" s="29"/>
      <c r="GC794" s="29"/>
      <c r="GD794" s="29"/>
      <c r="GE794" s="29"/>
      <c r="GF794" s="29"/>
      <c r="GG794" s="29"/>
      <c r="GH794" s="29"/>
      <c r="GI794" s="29"/>
      <c r="GJ794" s="29"/>
      <c r="GK794" s="29"/>
      <c r="GL794" s="29"/>
      <c r="GM794" s="29"/>
      <c r="GN794" s="29"/>
      <c r="GO794" s="29"/>
      <c r="GP794" s="29"/>
      <c r="GQ794" s="29"/>
      <c r="GR794" s="29"/>
      <c r="GS794" s="29"/>
      <c r="GT794" s="29"/>
      <c r="GU794" s="29"/>
      <c r="HP794" s="31"/>
      <c r="MX794" s="29"/>
      <c r="MY794" s="29"/>
    </row>
    <row r="795" ht="16.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29"/>
      <c r="BR795" s="29"/>
      <c r="BS795" s="29"/>
      <c r="BT795" s="29"/>
      <c r="BU795" s="29"/>
      <c r="BV795" s="29"/>
      <c r="BW795" s="29"/>
      <c r="BX795" s="29"/>
      <c r="BY795" s="29"/>
      <c r="BZ795" s="29"/>
      <c r="CA795" s="29"/>
      <c r="CB795" s="29"/>
      <c r="CC795" s="29"/>
      <c r="CD795" s="29"/>
      <c r="CE795" s="29"/>
      <c r="CF795" s="29"/>
      <c r="CG795" s="29"/>
      <c r="CH795" s="29"/>
      <c r="CI795" s="29"/>
      <c r="CJ795" s="29"/>
      <c r="CK795" s="29"/>
      <c r="CL795" s="29"/>
      <c r="CM795" s="29"/>
      <c r="CN795" s="29"/>
      <c r="CO795" s="29"/>
      <c r="CP795" s="29"/>
      <c r="CQ795" s="29"/>
      <c r="CR795" s="29"/>
      <c r="CS795" s="29"/>
      <c r="CT795" s="29"/>
      <c r="CU795" s="29"/>
      <c r="CV795" s="29"/>
      <c r="CW795" s="29"/>
      <c r="CX795" s="29"/>
      <c r="CY795" s="29"/>
      <c r="CZ795" s="29"/>
      <c r="DA795" s="29"/>
      <c r="DB795" s="29"/>
      <c r="DC795" s="29"/>
      <c r="DD795" s="29"/>
      <c r="DE795" s="29"/>
      <c r="DF795" s="29"/>
      <c r="DG795" s="29"/>
      <c r="DH795" s="29"/>
      <c r="DI795" s="29"/>
      <c r="DJ795" s="29"/>
      <c r="DK795" s="29"/>
      <c r="DL795" s="29"/>
      <c r="DM795" s="29"/>
      <c r="DN795" s="29"/>
      <c r="DO795" s="29"/>
      <c r="DP795" s="29"/>
      <c r="DQ795" s="29"/>
      <c r="DR795" s="29"/>
      <c r="DS795" s="29"/>
      <c r="DT795" s="29"/>
      <c r="DU795" s="29"/>
      <c r="DV795" s="29"/>
      <c r="DW795" s="29"/>
      <c r="DX795" s="29"/>
      <c r="DY795" s="29"/>
      <c r="DZ795" s="29"/>
      <c r="EA795" s="29"/>
      <c r="EB795" s="29"/>
      <c r="EC795" s="29"/>
      <c r="ED795" s="29"/>
      <c r="EE795" s="29"/>
      <c r="EF795" s="29"/>
      <c r="EG795" s="29"/>
      <c r="EH795" s="29"/>
      <c r="EI795" s="29"/>
      <c r="EJ795" s="29"/>
      <c r="EK795" s="29"/>
      <c r="EL795" s="29"/>
      <c r="EM795" s="29"/>
      <c r="EN795" s="29"/>
      <c r="EO795" s="29"/>
      <c r="EP795" s="29"/>
      <c r="EQ795" s="29"/>
      <c r="ER795" s="29"/>
      <c r="ES795" s="29"/>
      <c r="ET795" s="29"/>
      <c r="EU795" s="29"/>
      <c r="EV795" s="29"/>
      <c r="EW795" s="29"/>
      <c r="EX795" s="29"/>
      <c r="EY795" s="29"/>
      <c r="EZ795" s="29"/>
      <c r="FA795" s="29"/>
      <c r="FB795" s="29"/>
      <c r="FC795" s="29"/>
      <c r="FD795" s="29"/>
      <c r="FE795" s="29"/>
      <c r="FF795" s="29"/>
      <c r="FG795" s="29"/>
      <c r="FH795" s="29"/>
      <c r="FI795" s="29"/>
      <c r="FJ795" s="29"/>
      <c r="FK795" s="29"/>
      <c r="FL795" s="29"/>
      <c r="FM795" s="29"/>
      <c r="FN795" s="29"/>
      <c r="FO795" s="29"/>
      <c r="FP795" s="29"/>
      <c r="FQ795" s="29"/>
      <c r="FR795" s="29"/>
      <c r="FS795" s="29"/>
      <c r="FT795" s="29"/>
      <c r="FU795" s="29"/>
      <c r="FV795" s="29"/>
      <c r="FW795" s="29"/>
      <c r="FX795" s="29"/>
      <c r="FY795" s="29"/>
      <c r="FZ795" s="29"/>
      <c r="GA795" s="29"/>
      <c r="GB795" s="29"/>
      <c r="GC795" s="29"/>
      <c r="GD795" s="29"/>
      <c r="GE795" s="29"/>
      <c r="GF795" s="29"/>
      <c r="GG795" s="29"/>
      <c r="GH795" s="29"/>
      <c r="GI795" s="29"/>
      <c r="GJ795" s="29"/>
      <c r="GK795" s="29"/>
      <c r="GL795" s="29"/>
      <c r="GM795" s="29"/>
      <c r="GN795" s="29"/>
      <c r="GO795" s="29"/>
      <c r="GP795" s="29"/>
      <c r="GQ795" s="29"/>
      <c r="GR795" s="29"/>
      <c r="GS795" s="29"/>
      <c r="GT795" s="29"/>
      <c r="GU795" s="29"/>
      <c r="HP795" s="31"/>
      <c r="MX795" s="29"/>
      <c r="MY795" s="29"/>
    </row>
    <row r="796" ht="16.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29"/>
      <c r="AW796" s="29"/>
      <c r="AX796" s="29"/>
      <c r="AY796" s="29"/>
      <c r="AZ796" s="29"/>
      <c r="BA796" s="29"/>
      <c r="BB796" s="29"/>
      <c r="BC796" s="29"/>
      <c r="BD796" s="29"/>
      <c r="BE796" s="29"/>
      <c r="BF796" s="29"/>
      <c r="BG796" s="29"/>
      <c r="BH796" s="29"/>
      <c r="BI796" s="29"/>
      <c r="BJ796" s="29"/>
      <c r="BK796" s="29"/>
      <c r="BL796" s="29"/>
      <c r="BM796" s="29"/>
      <c r="BN796" s="29"/>
      <c r="BO796" s="29"/>
      <c r="BP796" s="29"/>
      <c r="BQ796" s="29"/>
      <c r="BR796" s="29"/>
      <c r="BS796" s="29"/>
      <c r="BT796" s="29"/>
      <c r="BU796" s="29"/>
      <c r="BV796" s="29"/>
      <c r="BW796" s="29"/>
      <c r="BX796" s="29"/>
      <c r="BY796" s="29"/>
      <c r="BZ796" s="29"/>
      <c r="CA796" s="29"/>
      <c r="CB796" s="29"/>
      <c r="CC796" s="29"/>
      <c r="CD796" s="29"/>
      <c r="CE796" s="29"/>
      <c r="CF796" s="29"/>
      <c r="CG796" s="29"/>
      <c r="CH796" s="29"/>
      <c r="CI796" s="29"/>
      <c r="CJ796" s="29"/>
      <c r="CK796" s="29"/>
      <c r="CL796" s="29"/>
      <c r="CM796" s="29"/>
      <c r="CN796" s="29"/>
      <c r="CO796" s="29"/>
      <c r="CP796" s="29"/>
      <c r="CQ796" s="29"/>
      <c r="CR796" s="29"/>
      <c r="CS796" s="29"/>
      <c r="CT796" s="29"/>
      <c r="CU796" s="29"/>
      <c r="CV796" s="29"/>
      <c r="CW796" s="29"/>
      <c r="CX796" s="29"/>
      <c r="CY796" s="29"/>
      <c r="CZ796" s="29"/>
      <c r="DA796" s="29"/>
      <c r="DB796" s="29"/>
      <c r="DC796" s="29"/>
      <c r="DD796" s="29"/>
      <c r="DE796" s="29"/>
      <c r="DF796" s="29"/>
      <c r="DG796" s="29"/>
      <c r="DH796" s="29"/>
      <c r="DI796" s="29"/>
      <c r="DJ796" s="29"/>
      <c r="DK796" s="29"/>
      <c r="DL796" s="29"/>
      <c r="DM796" s="29"/>
      <c r="DN796" s="29"/>
      <c r="DO796" s="29"/>
      <c r="DP796" s="29"/>
      <c r="DQ796" s="29"/>
      <c r="DR796" s="29"/>
      <c r="DS796" s="29"/>
      <c r="DT796" s="29"/>
      <c r="DU796" s="29"/>
      <c r="DV796" s="29"/>
      <c r="DW796" s="29"/>
      <c r="DX796" s="29"/>
      <c r="DY796" s="29"/>
      <c r="DZ796" s="29"/>
      <c r="EA796" s="29"/>
      <c r="EB796" s="29"/>
      <c r="EC796" s="29"/>
      <c r="ED796" s="29"/>
      <c r="EE796" s="29"/>
      <c r="EF796" s="29"/>
      <c r="EG796" s="29"/>
      <c r="EH796" s="29"/>
      <c r="EI796" s="29"/>
      <c r="EJ796" s="29"/>
      <c r="EK796" s="29"/>
      <c r="EL796" s="29"/>
      <c r="EM796" s="29"/>
      <c r="EN796" s="29"/>
      <c r="EO796" s="29"/>
      <c r="EP796" s="29"/>
      <c r="EQ796" s="29"/>
      <c r="ER796" s="29"/>
      <c r="ES796" s="29"/>
      <c r="ET796" s="29"/>
      <c r="EU796" s="29"/>
      <c r="EV796" s="29"/>
      <c r="EW796" s="29"/>
      <c r="EX796" s="29"/>
      <c r="EY796" s="29"/>
      <c r="EZ796" s="29"/>
      <c r="FA796" s="29"/>
      <c r="FB796" s="29"/>
      <c r="FC796" s="29"/>
      <c r="FD796" s="29"/>
      <c r="FE796" s="29"/>
      <c r="FF796" s="29"/>
      <c r="FG796" s="29"/>
      <c r="FH796" s="29"/>
      <c r="FI796" s="29"/>
      <c r="FJ796" s="29"/>
      <c r="FK796" s="29"/>
      <c r="FL796" s="29"/>
      <c r="FM796" s="29"/>
      <c r="FN796" s="29"/>
      <c r="FO796" s="29"/>
      <c r="FP796" s="29"/>
      <c r="FQ796" s="29"/>
      <c r="FR796" s="29"/>
      <c r="FS796" s="29"/>
      <c r="FT796" s="29"/>
      <c r="FU796" s="29"/>
      <c r="FV796" s="29"/>
      <c r="FW796" s="29"/>
      <c r="FX796" s="29"/>
      <c r="FY796" s="29"/>
      <c r="FZ796" s="29"/>
      <c r="GA796" s="29"/>
      <c r="GB796" s="29"/>
      <c r="GC796" s="29"/>
      <c r="GD796" s="29"/>
      <c r="GE796" s="29"/>
      <c r="GF796" s="29"/>
      <c r="GG796" s="29"/>
      <c r="GH796" s="29"/>
      <c r="GI796" s="29"/>
      <c r="GJ796" s="29"/>
      <c r="GK796" s="29"/>
      <c r="GL796" s="29"/>
      <c r="GM796" s="29"/>
      <c r="GN796" s="29"/>
      <c r="GO796" s="29"/>
      <c r="GP796" s="29"/>
      <c r="GQ796" s="29"/>
      <c r="GR796" s="29"/>
      <c r="GS796" s="29"/>
      <c r="GT796" s="29"/>
      <c r="GU796" s="29"/>
      <c r="HP796" s="31"/>
      <c r="MX796" s="29"/>
      <c r="MY796" s="29"/>
    </row>
    <row r="797" ht="16.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c r="BO797" s="29"/>
      <c r="BP797" s="29"/>
      <c r="BQ797" s="29"/>
      <c r="BR797" s="29"/>
      <c r="BS797" s="29"/>
      <c r="BT797" s="29"/>
      <c r="BU797" s="29"/>
      <c r="BV797" s="29"/>
      <c r="BW797" s="29"/>
      <c r="BX797" s="29"/>
      <c r="BY797" s="29"/>
      <c r="BZ797" s="29"/>
      <c r="CA797" s="29"/>
      <c r="CB797" s="29"/>
      <c r="CC797" s="29"/>
      <c r="CD797" s="29"/>
      <c r="CE797" s="29"/>
      <c r="CF797" s="29"/>
      <c r="CG797" s="29"/>
      <c r="CH797" s="29"/>
      <c r="CI797" s="29"/>
      <c r="CJ797" s="29"/>
      <c r="CK797" s="29"/>
      <c r="CL797" s="29"/>
      <c r="CM797" s="29"/>
      <c r="CN797" s="29"/>
      <c r="CO797" s="29"/>
      <c r="CP797" s="29"/>
      <c r="CQ797" s="29"/>
      <c r="CR797" s="29"/>
      <c r="CS797" s="29"/>
      <c r="CT797" s="29"/>
      <c r="CU797" s="29"/>
      <c r="CV797" s="29"/>
      <c r="CW797" s="29"/>
      <c r="CX797" s="29"/>
      <c r="CY797" s="29"/>
      <c r="CZ797" s="29"/>
      <c r="DA797" s="29"/>
      <c r="DB797" s="29"/>
      <c r="DC797" s="29"/>
      <c r="DD797" s="29"/>
      <c r="DE797" s="29"/>
      <c r="DF797" s="29"/>
      <c r="DG797" s="29"/>
      <c r="DH797" s="29"/>
      <c r="DI797" s="29"/>
      <c r="DJ797" s="29"/>
      <c r="DK797" s="29"/>
      <c r="DL797" s="29"/>
      <c r="DM797" s="29"/>
      <c r="DN797" s="29"/>
      <c r="DO797" s="29"/>
      <c r="DP797" s="29"/>
      <c r="DQ797" s="29"/>
      <c r="DR797" s="29"/>
      <c r="DS797" s="29"/>
      <c r="DT797" s="29"/>
      <c r="DU797" s="29"/>
      <c r="DV797" s="29"/>
      <c r="DW797" s="29"/>
      <c r="DX797" s="29"/>
      <c r="DY797" s="29"/>
      <c r="DZ797" s="29"/>
      <c r="EA797" s="29"/>
      <c r="EB797" s="29"/>
      <c r="EC797" s="29"/>
      <c r="ED797" s="29"/>
      <c r="EE797" s="29"/>
      <c r="EF797" s="29"/>
      <c r="EG797" s="29"/>
      <c r="EH797" s="29"/>
      <c r="EI797" s="29"/>
      <c r="EJ797" s="29"/>
      <c r="EK797" s="29"/>
      <c r="EL797" s="29"/>
      <c r="EM797" s="29"/>
      <c r="EN797" s="29"/>
      <c r="EO797" s="29"/>
      <c r="EP797" s="29"/>
      <c r="EQ797" s="29"/>
      <c r="ER797" s="29"/>
      <c r="ES797" s="29"/>
      <c r="ET797" s="29"/>
      <c r="EU797" s="29"/>
      <c r="EV797" s="29"/>
      <c r="EW797" s="29"/>
      <c r="EX797" s="29"/>
      <c r="EY797" s="29"/>
      <c r="EZ797" s="29"/>
      <c r="FA797" s="29"/>
      <c r="FB797" s="29"/>
      <c r="FC797" s="29"/>
      <c r="FD797" s="29"/>
      <c r="FE797" s="29"/>
      <c r="FF797" s="29"/>
      <c r="FG797" s="29"/>
      <c r="FH797" s="29"/>
      <c r="FI797" s="29"/>
      <c r="FJ797" s="29"/>
      <c r="FK797" s="29"/>
      <c r="FL797" s="29"/>
      <c r="FM797" s="29"/>
      <c r="FN797" s="29"/>
      <c r="FO797" s="29"/>
      <c r="FP797" s="29"/>
      <c r="FQ797" s="29"/>
      <c r="FR797" s="29"/>
      <c r="FS797" s="29"/>
      <c r="FT797" s="29"/>
      <c r="FU797" s="29"/>
      <c r="FV797" s="29"/>
      <c r="FW797" s="29"/>
      <c r="FX797" s="29"/>
      <c r="FY797" s="29"/>
      <c r="FZ797" s="29"/>
      <c r="GA797" s="29"/>
      <c r="GB797" s="29"/>
      <c r="GC797" s="29"/>
      <c r="GD797" s="29"/>
      <c r="GE797" s="29"/>
      <c r="GF797" s="29"/>
      <c r="GG797" s="29"/>
      <c r="GH797" s="29"/>
      <c r="GI797" s="29"/>
      <c r="GJ797" s="29"/>
      <c r="GK797" s="29"/>
      <c r="GL797" s="29"/>
      <c r="GM797" s="29"/>
      <c r="GN797" s="29"/>
      <c r="GO797" s="29"/>
      <c r="GP797" s="29"/>
      <c r="GQ797" s="29"/>
      <c r="GR797" s="29"/>
      <c r="GS797" s="29"/>
      <c r="GT797" s="29"/>
      <c r="GU797" s="29"/>
      <c r="HP797" s="31"/>
      <c r="MX797" s="29"/>
      <c r="MY797" s="29"/>
    </row>
    <row r="798" ht="16.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29"/>
      <c r="AW798" s="29"/>
      <c r="AX798" s="29"/>
      <c r="AY798" s="29"/>
      <c r="AZ798" s="29"/>
      <c r="BA798" s="29"/>
      <c r="BB798" s="29"/>
      <c r="BC798" s="29"/>
      <c r="BD798" s="29"/>
      <c r="BE798" s="29"/>
      <c r="BF798" s="29"/>
      <c r="BG798" s="29"/>
      <c r="BH798" s="29"/>
      <c r="BI798" s="29"/>
      <c r="BJ798" s="29"/>
      <c r="BK798" s="29"/>
      <c r="BL798" s="29"/>
      <c r="BM798" s="29"/>
      <c r="BN798" s="29"/>
      <c r="BO798" s="29"/>
      <c r="BP798" s="29"/>
      <c r="BQ798" s="29"/>
      <c r="BR798" s="29"/>
      <c r="BS798" s="29"/>
      <c r="BT798" s="29"/>
      <c r="BU798" s="29"/>
      <c r="BV798" s="29"/>
      <c r="BW798" s="29"/>
      <c r="BX798" s="29"/>
      <c r="BY798" s="29"/>
      <c r="BZ798" s="29"/>
      <c r="CA798" s="29"/>
      <c r="CB798" s="29"/>
      <c r="CC798" s="29"/>
      <c r="CD798" s="29"/>
      <c r="CE798" s="29"/>
      <c r="CF798" s="29"/>
      <c r="CG798" s="29"/>
      <c r="CH798" s="29"/>
      <c r="CI798" s="29"/>
      <c r="CJ798" s="29"/>
      <c r="CK798" s="29"/>
      <c r="CL798" s="29"/>
      <c r="CM798" s="29"/>
      <c r="CN798" s="29"/>
      <c r="CO798" s="29"/>
      <c r="CP798" s="29"/>
      <c r="CQ798" s="29"/>
      <c r="CR798" s="29"/>
      <c r="CS798" s="29"/>
      <c r="CT798" s="29"/>
      <c r="CU798" s="29"/>
      <c r="CV798" s="29"/>
      <c r="CW798" s="29"/>
      <c r="CX798" s="29"/>
      <c r="CY798" s="29"/>
      <c r="CZ798" s="29"/>
      <c r="DA798" s="29"/>
      <c r="DB798" s="29"/>
      <c r="DC798" s="29"/>
      <c r="DD798" s="29"/>
      <c r="DE798" s="29"/>
      <c r="DF798" s="29"/>
      <c r="DG798" s="29"/>
      <c r="DH798" s="29"/>
      <c r="DI798" s="29"/>
      <c r="DJ798" s="29"/>
      <c r="DK798" s="29"/>
      <c r="DL798" s="29"/>
      <c r="DM798" s="29"/>
      <c r="DN798" s="29"/>
      <c r="DO798" s="29"/>
      <c r="DP798" s="29"/>
      <c r="DQ798" s="29"/>
      <c r="DR798" s="29"/>
      <c r="DS798" s="29"/>
      <c r="DT798" s="29"/>
      <c r="DU798" s="29"/>
      <c r="DV798" s="29"/>
      <c r="DW798" s="29"/>
      <c r="DX798" s="29"/>
      <c r="DY798" s="29"/>
      <c r="DZ798" s="29"/>
      <c r="EA798" s="29"/>
      <c r="EB798" s="29"/>
      <c r="EC798" s="29"/>
      <c r="ED798" s="29"/>
      <c r="EE798" s="29"/>
      <c r="EF798" s="29"/>
      <c r="EG798" s="29"/>
      <c r="EH798" s="29"/>
      <c r="EI798" s="29"/>
      <c r="EJ798" s="29"/>
      <c r="EK798" s="29"/>
      <c r="EL798" s="29"/>
      <c r="EM798" s="29"/>
      <c r="EN798" s="29"/>
      <c r="EO798" s="29"/>
      <c r="EP798" s="29"/>
      <c r="EQ798" s="29"/>
      <c r="ER798" s="29"/>
      <c r="ES798" s="29"/>
      <c r="ET798" s="29"/>
      <c r="EU798" s="29"/>
      <c r="EV798" s="29"/>
      <c r="EW798" s="29"/>
      <c r="EX798" s="29"/>
      <c r="EY798" s="29"/>
      <c r="EZ798" s="29"/>
      <c r="FA798" s="29"/>
      <c r="FB798" s="29"/>
      <c r="FC798" s="29"/>
      <c r="FD798" s="29"/>
      <c r="FE798" s="29"/>
      <c r="FF798" s="29"/>
      <c r="FG798" s="29"/>
      <c r="FH798" s="29"/>
      <c r="FI798" s="29"/>
      <c r="FJ798" s="29"/>
      <c r="FK798" s="29"/>
      <c r="FL798" s="29"/>
      <c r="FM798" s="29"/>
      <c r="FN798" s="29"/>
      <c r="FO798" s="29"/>
      <c r="FP798" s="29"/>
      <c r="FQ798" s="29"/>
      <c r="FR798" s="29"/>
      <c r="FS798" s="29"/>
      <c r="FT798" s="29"/>
      <c r="FU798" s="29"/>
      <c r="FV798" s="29"/>
      <c r="FW798" s="29"/>
      <c r="FX798" s="29"/>
      <c r="FY798" s="29"/>
      <c r="FZ798" s="29"/>
      <c r="GA798" s="29"/>
      <c r="GB798" s="29"/>
      <c r="GC798" s="29"/>
      <c r="GD798" s="29"/>
      <c r="GE798" s="29"/>
      <c r="GF798" s="29"/>
      <c r="GG798" s="29"/>
      <c r="GH798" s="29"/>
      <c r="GI798" s="29"/>
      <c r="GJ798" s="29"/>
      <c r="GK798" s="29"/>
      <c r="GL798" s="29"/>
      <c r="GM798" s="29"/>
      <c r="GN798" s="29"/>
      <c r="GO798" s="29"/>
      <c r="GP798" s="29"/>
      <c r="GQ798" s="29"/>
      <c r="GR798" s="29"/>
      <c r="GS798" s="29"/>
      <c r="GT798" s="29"/>
      <c r="GU798" s="29"/>
      <c r="HP798" s="31"/>
      <c r="MX798" s="29"/>
      <c r="MY798" s="29"/>
    </row>
    <row r="799" ht="16.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29"/>
      <c r="BR799" s="29"/>
      <c r="BS799" s="29"/>
      <c r="BT799" s="29"/>
      <c r="BU799" s="29"/>
      <c r="BV799" s="29"/>
      <c r="BW799" s="29"/>
      <c r="BX799" s="29"/>
      <c r="BY799" s="29"/>
      <c r="BZ799" s="29"/>
      <c r="CA799" s="29"/>
      <c r="CB799" s="29"/>
      <c r="CC799" s="29"/>
      <c r="CD799" s="29"/>
      <c r="CE799" s="29"/>
      <c r="CF799" s="29"/>
      <c r="CG799" s="29"/>
      <c r="CH799" s="29"/>
      <c r="CI799" s="29"/>
      <c r="CJ799" s="29"/>
      <c r="CK799" s="29"/>
      <c r="CL799" s="29"/>
      <c r="CM799" s="29"/>
      <c r="CN799" s="29"/>
      <c r="CO799" s="29"/>
      <c r="CP799" s="29"/>
      <c r="CQ799" s="29"/>
      <c r="CR799" s="29"/>
      <c r="CS799" s="29"/>
      <c r="CT799" s="29"/>
      <c r="CU799" s="29"/>
      <c r="CV799" s="29"/>
      <c r="CW799" s="29"/>
      <c r="CX799" s="29"/>
      <c r="CY799" s="29"/>
      <c r="CZ799" s="29"/>
      <c r="DA799" s="29"/>
      <c r="DB799" s="29"/>
      <c r="DC799" s="29"/>
      <c r="DD799" s="29"/>
      <c r="DE799" s="29"/>
      <c r="DF799" s="29"/>
      <c r="DG799" s="29"/>
      <c r="DH799" s="29"/>
      <c r="DI799" s="29"/>
      <c r="DJ799" s="29"/>
      <c r="DK799" s="29"/>
      <c r="DL799" s="29"/>
      <c r="DM799" s="29"/>
      <c r="DN799" s="29"/>
      <c r="DO799" s="29"/>
      <c r="DP799" s="29"/>
      <c r="DQ799" s="29"/>
      <c r="DR799" s="29"/>
      <c r="DS799" s="29"/>
      <c r="DT799" s="29"/>
      <c r="DU799" s="29"/>
      <c r="DV799" s="29"/>
      <c r="DW799" s="29"/>
      <c r="DX799" s="29"/>
      <c r="DY799" s="29"/>
      <c r="DZ799" s="29"/>
      <c r="EA799" s="29"/>
      <c r="EB799" s="29"/>
      <c r="EC799" s="29"/>
      <c r="ED799" s="29"/>
      <c r="EE799" s="29"/>
      <c r="EF799" s="29"/>
      <c r="EG799" s="29"/>
      <c r="EH799" s="29"/>
      <c r="EI799" s="29"/>
      <c r="EJ799" s="29"/>
      <c r="EK799" s="29"/>
      <c r="EL799" s="29"/>
      <c r="EM799" s="29"/>
      <c r="EN799" s="29"/>
      <c r="EO799" s="29"/>
      <c r="EP799" s="29"/>
      <c r="EQ799" s="29"/>
      <c r="ER799" s="29"/>
      <c r="ES799" s="29"/>
      <c r="ET799" s="29"/>
      <c r="EU799" s="29"/>
      <c r="EV799" s="29"/>
      <c r="EW799" s="29"/>
      <c r="EX799" s="29"/>
      <c r="EY799" s="29"/>
      <c r="EZ799" s="29"/>
      <c r="FA799" s="29"/>
      <c r="FB799" s="29"/>
      <c r="FC799" s="29"/>
      <c r="FD799" s="29"/>
      <c r="FE799" s="29"/>
      <c r="FF799" s="29"/>
      <c r="FG799" s="29"/>
      <c r="FH799" s="29"/>
      <c r="FI799" s="29"/>
      <c r="FJ799" s="29"/>
      <c r="FK799" s="29"/>
      <c r="FL799" s="29"/>
      <c r="FM799" s="29"/>
      <c r="FN799" s="29"/>
      <c r="FO799" s="29"/>
      <c r="FP799" s="29"/>
      <c r="FQ799" s="29"/>
      <c r="FR799" s="29"/>
      <c r="FS799" s="29"/>
      <c r="FT799" s="29"/>
      <c r="FU799" s="29"/>
      <c r="FV799" s="29"/>
      <c r="FW799" s="29"/>
      <c r="FX799" s="29"/>
      <c r="FY799" s="29"/>
      <c r="FZ799" s="29"/>
      <c r="GA799" s="29"/>
      <c r="GB799" s="29"/>
      <c r="GC799" s="29"/>
      <c r="GD799" s="29"/>
      <c r="GE799" s="29"/>
      <c r="GF799" s="29"/>
      <c r="GG799" s="29"/>
      <c r="GH799" s="29"/>
      <c r="GI799" s="29"/>
      <c r="GJ799" s="29"/>
      <c r="GK799" s="29"/>
      <c r="GL799" s="29"/>
      <c r="GM799" s="29"/>
      <c r="GN799" s="29"/>
      <c r="GO799" s="29"/>
      <c r="GP799" s="29"/>
      <c r="GQ799" s="29"/>
      <c r="GR799" s="29"/>
      <c r="GS799" s="29"/>
      <c r="GT799" s="29"/>
      <c r="GU799" s="29"/>
      <c r="HP799" s="31"/>
      <c r="MX799" s="29"/>
      <c r="MY799" s="29"/>
    </row>
    <row r="800" ht="16.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29"/>
      <c r="AW800" s="29"/>
      <c r="AX800" s="29"/>
      <c r="AY800" s="29"/>
      <c r="AZ800" s="29"/>
      <c r="BA800" s="29"/>
      <c r="BB800" s="29"/>
      <c r="BC800" s="29"/>
      <c r="BD800" s="29"/>
      <c r="BE800" s="29"/>
      <c r="BF800" s="29"/>
      <c r="BG800" s="29"/>
      <c r="BH800" s="29"/>
      <c r="BI800" s="29"/>
      <c r="BJ800" s="29"/>
      <c r="BK800" s="29"/>
      <c r="BL800" s="29"/>
      <c r="BM800" s="29"/>
      <c r="BN800" s="29"/>
      <c r="BO800" s="29"/>
      <c r="BP800" s="29"/>
      <c r="BQ800" s="29"/>
      <c r="BR800" s="29"/>
      <c r="BS800" s="29"/>
      <c r="BT800" s="29"/>
      <c r="BU800" s="29"/>
      <c r="BV800" s="29"/>
      <c r="BW800" s="29"/>
      <c r="BX800" s="29"/>
      <c r="BY800" s="29"/>
      <c r="BZ800" s="29"/>
      <c r="CA800" s="29"/>
      <c r="CB800" s="29"/>
      <c r="CC800" s="29"/>
      <c r="CD800" s="29"/>
      <c r="CE800" s="29"/>
      <c r="CF800" s="29"/>
      <c r="CG800" s="29"/>
      <c r="CH800" s="29"/>
      <c r="CI800" s="29"/>
      <c r="CJ800" s="29"/>
      <c r="CK800" s="29"/>
      <c r="CL800" s="29"/>
      <c r="CM800" s="29"/>
      <c r="CN800" s="29"/>
      <c r="CO800" s="29"/>
      <c r="CP800" s="29"/>
      <c r="CQ800" s="29"/>
      <c r="CR800" s="29"/>
      <c r="CS800" s="29"/>
      <c r="CT800" s="29"/>
      <c r="CU800" s="29"/>
      <c r="CV800" s="29"/>
      <c r="CW800" s="29"/>
      <c r="CX800" s="29"/>
      <c r="CY800" s="29"/>
      <c r="CZ800" s="29"/>
      <c r="DA800" s="29"/>
      <c r="DB800" s="29"/>
      <c r="DC800" s="29"/>
      <c r="DD800" s="29"/>
      <c r="DE800" s="29"/>
      <c r="DF800" s="29"/>
      <c r="DG800" s="29"/>
      <c r="DH800" s="29"/>
      <c r="DI800" s="29"/>
      <c r="DJ800" s="29"/>
      <c r="DK800" s="29"/>
      <c r="DL800" s="29"/>
      <c r="DM800" s="29"/>
      <c r="DN800" s="29"/>
      <c r="DO800" s="29"/>
      <c r="DP800" s="29"/>
      <c r="DQ800" s="29"/>
      <c r="DR800" s="29"/>
      <c r="DS800" s="29"/>
      <c r="DT800" s="29"/>
      <c r="DU800" s="29"/>
      <c r="DV800" s="29"/>
      <c r="DW800" s="29"/>
      <c r="DX800" s="29"/>
      <c r="DY800" s="29"/>
      <c r="DZ800" s="29"/>
      <c r="EA800" s="29"/>
      <c r="EB800" s="29"/>
      <c r="EC800" s="29"/>
      <c r="ED800" s="29"/>
      <c r="EE800" s="29"/>
      <c r="EF800" s="29"/>
      <c r="EG800" s="29"/>
      <c r="EH800" s="29"/>
      <c r="EI800" s="29"/>
      <c r="EJ800" s="29"/>
      <c r="EK800" s="29"/>
      <c r="EL800" s="29"/>
      <c r="EM800" s="29"/>
      <c r="EN800" s="29"/>
      <c r="EO800" s="29"/>
      <c r="EP800" s="29"/>
      <c r="EQ800" s="29"/>
      <c r="ER800" s="29"/>
      <c r="ES800" s="29"/>
      <c r="ET800" s="29"/>
      <c r="EU800" s="29"/>
      <c r="EV800" s="29"/>
      <c r="EW800" s="29"/>
      <c r="EX800" s="29"/>
      <c r="EY800" s="29"/>
      <c r="EZ800" s="29"/>
      <c r="FA800" s="29"/>
      <c r="FB800" s="29"/>
      <c r="FC800" s="29"/>
      <c r="FD800" s="29"/>
      <c r="FE800" s="29"/>
      <c r="FF800" s="29"/>
      <c r="FG800" s="29"/>
      <c r="FH800" s="29"/>
      <c r="FI800" s="29"/>
      <c r="FJ800" s="29"/>
      <c r="FK800" s="29"/>
      <c r="FL800" s="29"/>
      <c r="FM800" s="29"/>
      <c r="FN800" s="29"/>
      <c r="FO800" s="29"/>
      <c r="FP800" s="29"/>
      <c r="FQ800" s="29"/>
      <c r="FR800" s="29"/>
      <c r="FS800" s="29"/>
      <c r="FT800" s="29"/>
      <c r="FU800" s="29"/>
      <c r="FV800" s="29"/>
      <c r="FW800" s="29"/>
      <c r="FX800" s="29"/>
      <c r="FY800" s="29"/>
      <c r="FZ800" s="29"/>
      <c r="GA800" s="29"/>
      <c r="GB800" s="29"/>
      <c r="GC800" s="29"/>
      <c r="GD800" s="29"/>
      <c r="GE800" s="29"/>
      <c r="GF800" s="29"/>
      <c r="GG800" s="29"/>
      <c r="GH800" s="29"/>
      <c r="GI800" s="29"/>
      <c r="GJ800" s="29"/>
      <c r="GK800" s="29"/>
      <c r="GL800" s="29"/>
      <c r="GM800" s="29"/>
      <c r="GN800" s="29"/>
      <c r="GO800" s="29"/>
      <c r="GP800" s="29"/>
      <c r="GQ800" s="29"/>
      <c r="GR800" s="29"/>
      <c r="GS800" s="29"/>
      <c r="GT800" s="29"/>
      <c r="GU800" s="29"/>
      <c r="HP800" s="31"/>
      <c r="MX800" s="29"/>
      <c r="MY800" s="29"/>
    </row>
    <row r="801" ht="16.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c r="BO801" s="29"/>
      <c r="BP801" s="29"/>
      <c r="BQ801" s="29"/>
      <c r="BR801" s="29"/>
      <c r="BS801" s="29"/>
      <c r="BT801" s="29"/>
      <c r="BU801" s="29"/>
      <c r="BV801" s="29"/>
      <c r="BW801" s="29"/>
      <c r="BX801" s="29"/>
      <c r="BY801" s="29"/>
      <c r="BZ801" s="29"/>
      <c r="CA801" s="29"/>
      <c r="CB801" s="29"/>
      <c r="CC801" s="29"/>
      <c r="CD801" s="29"/>
      <c r="CE801" s="29"/>
      <c r="CF801" s="29"/>
      <c r="CG801" s="29"/>
      <c r="CH801" s="29"/>
      <c r="CI801" s="29"/>
      <c r="CJ801" s="29"/>
      <c r="CK801" s="29"/>
      <c r="CL801" s="29"/>
      <c r="CM801" s="29"/>
      <c r="CN801" s="29"/>
      <c r="CO801" s="29"/>
      <c r="CP801" s="29"/>
      <c r="CQ801" s="29"/>
      <c r="CR801" s="29"/>
      <c r="CS801" s="29"/>
      <c r="CT801" s="29"/>
      <c r="CU801" s="29"/>
      <c r="CV801" s="29"/>
      <c r="CW801" s="29"/>
      <c r="CX801" s="29"/>
      <c r="CY801" s="29"/>
      <c r="CZ801" s="29"/>
      <c r="DA801" s="29"/>
      <c r="DB801" s="29"/>
      <c r="DC801" s="29"/>
      <c r="DD801" s="29"/>
      <c r="DE801" s="29"/>
      <c r="DF801" s="29"/>
      <c r="DG801" s="29"/>
      <c r="DH801" s="29"/>
      <c r="DI801" s="29"/>
      <c r="DJ801" s="29"/>
      <c r="DK801" s="29"/>
      <c r="DL801" s="29"/>
      <c r="DM801" s="29"/>
      <c r="DN801" s="29"/>
      <c r="DO801" s="29"/>
      <c r="DP801" s="29"/>
      <c r="DQ801" s="29"/>
      <c r="DR801" s="29"/>
      <c r="DS801" s="29"/>
      <c r="DT801" s="29"/>
      <c r="DU801" s="29"/>
      <c r="DV801" s="29"/>
      <c r="DW801" s="29"/>
      <c r="DX801" s="29"/>
      <c r="DY801" s="29"/>
      <c r="DZ801" s="29"/>
      <c r="EA801" s="29"/>
      <c r="EB801" s="29"/>
      <c r="EC801" s="29"/>
      <c r="ED801" s="29"/>
      <c r="EE801" s="29"/>
      <c r="EF801" s="29"/>
      <c r="EG801" s="29"/>
      <c r="EH801" s="29"/>
      <c r="EI801" s="29"/>
      <c r="EJ801" s="29"/>
      <c r="EK801" s="29"/>
      <c r="EL801" s="29"/>
      <c r="EM801" s="29"/>
      <c r="EN801" s="29"/>
      <c r="EO801" s="29"/>
      <c r="EP801" s="29"/>
      <c r="EQ801" s="29"/>
      <c r="ER801" s="29"/>
      <c r="ES801" s="29"/>
      <c r="ET801" s="29"/>
      <c r="EU801" s="29"/>
      <c r="EV801" s="29"/>
      <c r="EW801" s="29"/>
      <c r="EX801" s="29"/>
      <c r="EY801" s="29"/>
      <c r="EZ801" s="29"/>
      <c r="FA801" s="29"/>
      <c r="FB801" s="29"/>
      <c r="FC801" s="29"/>
      <c r="FD801" s="29"/>
      <c r="FE801" s="29"/>
      <c r="FF801" s="29"/>
      <c r="FG801" s="29"/>
      <c r="FH801" s="29"/>
      <c r="FI801" s="29"/>
      <c r="FJ801" s="29"/>
      <c r="FK801" s="29"/>
      <c r="FL801" s="29"/>
      <c r="FM801" s="29"/>
      <c r="FN801" s="29"/>
      <c r="FO801" s="29"/>
      <c r="FP801" s="29"/>
      <c r="FQ801" s="29"/>
      <c r="FR801" s="29"/>
      <c r="FS801" s="29"/>
      <c r="FT801" s="29"/>
      <c r="FU801" s="29"/>
      <c r="FV801" s="29"/>
      <c r="FW801" s="29"/>
      <c r="FX801" s="29"/>
      <c r="FY801" s="29"/>
      <c r="FZ801" s="29"/>
      <c r="GA801" s="29"/>
      <c r="GB801" s="29"/>
      <c r="GC801" s="29"/>
      <c r="GD801" s="29"/>
      <c r="GE801" s="29"/>
      <c r="GF801" s="29"/>
      <c r="GG801" s="29"/>
      <c r="GH801" s="29"/>
      <c r="GI801" s="29"/>
      <c r="GJ801" s="29"/>
      <c r="GK801" s="29"/>
      <c r="GL801" s="29"/>
      <c r="GM801" s="29"/>
      <c r="GN801" s="29"/>
      <c r="GO801" s="29"/>
      <c r="GP801" s="29"/>
      <c r="GQ801" s="29"/>
      <c r="GR801" s="29"/>
      <c r="GS801" s="29"/>
      <c r="GT801" s="29"/>
      <c r="GU801" s="29"/>
      <c r="HP801" s="31"/>
      <c r="MX801" s="29"/>
      <c r="MY801" s="29"/>
    </row>
    <row r="802" ht="16.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29"/>
      <c r="AW802" s="29"/>
      <c r="AX802" s="29"/>
      <c r="AY802" s="29"/>
      <c r="AZ802" s="29"/>
      <c r="BA802" s="29"/>
      <c r="BB802" s="29"/>
      <c r="BC802" s="29"/>
      <c r="BD802" s="29"/>
      <c r="BE802" s="29"/>
      <c r="BF802" s="29"/>
      <c r="BG802" s="29"/>
      <c r="BH802" s="29"/>
      <c r="BI802" s="29"/>
      <c r="BJ802" s="29"/>
      <c r="BK802" s="29"/>
      <c r="BL802" s="29"/>
      <c r="BM802" s="29"/>
      <c r="BN802" s="29"/>
      <c r="BO802" s="29"/>
      <c r="BP802" s="29"/>
      <c r="BQ802" s="29"/>
      <c r="BR802" s="29"/>
      <c r="BS802" s="29"/>
      <c r="BT802" s="29"/>
      <c r="BU802" s="29"/>
      <c r="BV802" s="29"/>
      <c r="BW802" s="29"/>
      <c r="BX802" s="29"/>
      <c r="BY802" s="29"/>
      <c r="BZ802" s="29"/>
      <c r="CA802" s="29"/>
      <c r="CB802" s="29"/>
      <c r="CC802" s="29"/>
      <c r="CD802" s="29"/>
      <c r="CE802" s="29"/>
      <c r="CF802" s="29"/>
      <c r="CG802" s="29"/>
      <c r="CH802" s="29"/>
      <c r="CI802" s="29"/>
      <c r="CJ802" s="29"/>
      <c r="CK802" s="29"/>
      <c r="CL802" s="29"/>
      <c r="CM802" s="29"/>
      <c r="CN802" s="29"/>
      <c r="CO802" s="29"/>
      <c r="CP802" s="29"/>
      <c r="CQ802" s="29"/>
      <c r="CR802" s="29"/>
      <c r="CS802" s="29"/>
      <c r="CT802" s="29"/>
      <c r="CU802" s="29"/>
      <c r="CV802" s="29"/>
      <c r="CW802" s="29"/>
      <c r="CX802" s="29"/>
      <c r="CY802" s="29"/>
      <c r="CZ802" s="29"/>
      <c r="DA802" s="29"/>
      <c r="DB802" s="29"/>
      <c r="DC802" s="29"/>
      <c r="DD802" s="29"/>
      <c r="DE802" s="29"/>
      <c r="DF802" s="29"/>
      <c r="DG802" s="29"/>
      <c r="DH802" s="29"/>
      <c r="DI802" s="29"/>
      <c r="DJ802" s="29"/>
      <c r="DK802" s="29"/>
      <c r="DL802" s="29"/>
      <c r="DM802" s="29"/>
      <c r="DN802" s="29"/>
      <c r="DO802" s="29"/>
      <c r="DP802" s="29"/>
      <c r="DQ802" s="29"/>
      <c r="DR802" s="29"/>
      <c r="DS802" s="29"/>
      <c r="DT802" s="29"/>
      <c r="DU802" s="29"/>
      <c r="DV802" s="29"/>
      <c r="DW802" s="29"/>
      <c r="DX802" s="29"/>
      <c r="DY802" s="29"/>
      <c r="DZ802" s="29"/>
      <c r="EA802" s="29"/>
      <c r="EB802" s="29"/>
      <c r="EC802" s="29"/>
      <c r="ED802" s="29"/>
      <c r="EE802" s="29"/>
      <c r="EF802" s="29"/>
      <c r="EG802" s="29"/>
      <c r="EH802" s="29"/>
      <c r="EI802" s="29"/>
      <c r="EJ802" s="29"/>
      <c r="EK802" s="29"/>
      <c r="EL802" s="29"/>
      <c r="EM802" s="29"/>
      <c r="EN802" s="29"/>
      <c r="EO802" s="29"/>
      <c r="EP802" s="29"/>
      <c r="EQ802" s="29"/>
      <c r="ER802" s="29"/>
      <c r="ES802" s="29"/>
      <c r="ET802" s="29"/>
      <c r="EU802" s="29"/>
      <c r="EV802" s="29"/>
      <c r="EW802" s="29"/>
      <c r="EX802" s="29"/>
      <c r="EY802" s="29"/>
      <c r="EZ802" s="29"/>
      <c r="FA802" s="29"/>
      <c r="FB802" s="29"/>
      <c r="FC802" s="29"/>
      <c r="FD802" s="29"/>
      <c r="FE802" s="29"/>
      <c r="FF802" s="29"/>
      <c r="FG802" s="29"/>
      <c r="FH802" s="29"/>
      <c r="FI802" s="29"/>
      <c r="FJ802" s="29"/>
      <c r="FK802" s="29"/>
      <c r="FL802" s="29"/>
      <c r="FM802" s="29"/>
      <c r="FN802" s="29"/>
      <c r="FO802" s="29"/>
      <c r="FP802" s="29"/>
      <c r="FQ802" s="29"/>
      <c r="FR802" s="29"/>
      <c r="FS802" s="29"/>
      <c r="FT802" s="29"/>
      <c r="FU802" s="29"/>
      <c r="FV802" s="29"/>
      <c r="FW802" s="29"/>
      <c r="FX802" s="29"/>
      <c r="FY802" s="29"/>
      <c r="FZ802" s="29"/>
      <c r="GA802" s="29"/>
      <c r="GB802" s="29"/>
      <c r="GC802" s="29"/>
      <c r="GD802" s="29"/>
      <c r="GE802" s="29"/>
      <c r="GF802" s="29"/>
      <c r="GG802" s="29"/>
      <c r="GH802" s="29"/>
      <c r="GI802" s="29"/>
      <c r="GJ802" s="29"/>
      <c r="GK802" s="29"/>
      <c r="GL802" s="29"/>
      <c r="GM802" s="29"/>
      <c r="GN802" s="29"/>
      <c r="GO802" s="29"/>
      <c r="GP802" s="29"/>
      <c r="GQ802" s="29"/>
      <c r="GR802" s="29"/>
      <c r="GS802" s="29"/>
      <c r="GT802" s="29"/>
      <c r="GU802" s="29"/>
      <c r="HP802" s="31"/>
      <c r="MX802" s="29"/>
      <c r="MY802" s="29"/>
    </row>
    <row r="803" ht="16.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c r="BO803" s="29"/>
      <c r="BP803" s="29"/>
      <c r="BQ803" s="29"/>
      <c r="BR803" s="29"/>
      <c r="BS803" s="29"/>
      <c r="BT803" s="29"/>
      <c r="BU803" s="29"/>
      <c r="BV803" s="29"/>
      <c r="BW803" s="29"/>
      <c r="BX803" s="29"/>
      <c r="BY803" s="29"/>
      <c r="BZ803" s="29"/>
      <c r="CA803" s="29"/>
      <c r="CB803" s="29"/>
      <c r="CC803" s="29"/>
      <c r="CD803" s="29"/>
      <c r="CE803" s="29"/>
      <c r="CF803" s="29"/>
      <c r="CG803" s="29"/>
      <c r="CH803" s="29"/>
      <c r="CI803" s="29"/>
      <c r="CJ803" s="29"/>
      <c r="CK803" s="29"/>
      <c r="CL803" s="29"/>
      <c r="CM803" s="29"/>
      <c r="CN803" s="29"/>
      <c r="CO803" s="29"/>
      <c r="CP803" s="29"/>
      <c r="CQ803" s="29"/>
      <c r="CR803" s="29"/>
      <c r="CS803" s="29"/>
      <c r="CT803" s="29"/>
      <c r="CU803" s="29"/>
      <c r="CV803" s="29"/>
      <c r="CW803" s="29"/>
      <c r="CX803" s="29"/>
      <c r="CY803" s="29"/>
      <c r="CZ803" s="29"/>
      <c r="DA803" s="29"/>
      <c r="DB803" s="29"/>
      <c r="DC803" s="29"/>
      <c r="DD803" s="29"/>
      <c r="DE803" s="29"/>
      <c r="DF803" s="29"/>
      <c r="DG803" s="29"/>
      <c r="DH803" s="29"/>
      <c r="DI803" s="29"/>
      <c r="DJ803" s="29"/>
      <c r="DK803" s="29"/>
      <c r="DL803" s="29"/>
      <c r="DM803" s="29"/>
      <c r="DN803" s="29"/>
      <c r="DO803" s="29"/>
      <c r="DP803" s="29"/>
      <c r="DQ803" s="29"/>
      <c r="DR803" s="29"/>
      <c r="DS803" s="29"/>
      <c r="DT803" s="29"/>
      <c r="DU803" s="29"/>
      <c r="DV803" s="29"/>
      <c r="DW803" s="29"/>
      <c r="DX803" s="29"/>
      <c r="DY803" s="29"/>
      <c r="DZ803" s="29"/>
      <c r="EA803" s="29"/>
      <c r="EB803" s="29"/>
      <c r="EC803" s="29"/>
      <c r="ED803" s="29"/>
      <c r="EE803" s="29"/>
      <c r="EF803" s="29"/>
      <c r="EG803" s="29"/>
      <c r="EH803" s="29"/>
      <c r="EI803" s="29"/>
      <c r="EJ803" s="29"/>
      <c r="EK803" s="29"/>
      <c r="EL803" s="29"/>
      <c r="EM803" s="29"/>
      <c r="EN803" s="29"/>
      <c r="EO803" s="29"/>
      <c r="EP803" s="29"/>
      <c r="EQ803" s="29"/>
      <c r="ER803" s="29"/>
      <c r="ES803" s="29"/>
      <c r="ET803" s="29"/>
      <c r="EU803" s="29"/>
      <c r="EV803" s="29"/>
      <c r="EW803" s="29"/>
      <c r="EX803" s="29"/>
      <c r="EY803" s="29"/>
      <c r="EZ803" s="29"/>
      <c r="FA803" s="29"/>
      <c r="FB803" s="29"/>
      <c r="FC803" s="29"/>
      <c r="FD803" s="29"/>
      <c r="FE803" s="29"/>
      <c r="FF803" s="29"/>
      <c r="FG803" s="29"/>
      <c r="FH803" s="29"/>
      <c r="FI803" s="29"/>
      <c r="FJ803" s="29"/>
      <c r="FK803" s="29"/>
      <c r="FL803" s="29"/>
      <c r="FM803" s="29"/>
      <c r="FN803" s="29"/>
      <c r="FO803" s="29"/>
      <c r="FP803" s="29"/>
      <c r="FQ803" s="29"/>
      <c r="FR803" s="29"/>
      <c r="FS803" s="29"/>
      <c r="FT803" s="29"/>
      <c r="FU803" s="29"/>
      <c r="FV803" s="29"/>
      <c r="FW803" s="29"/>
      <c r="FX803" s="29"/>
      <c r="FY803" s="29"/>
      <c r="FZ803" s="29"/>
      <c r="GA803" s="29"/>
      <c r="GB803" s="29"/>
      <c r="GC803" s="29"/>
      <c r="GD803" s="29"/>
      <c r="GE803" s="29"/>
      <c r="GF803" s="29"/>
      <c r="GG803" s="29"/>
      <c r="GH803" s="29"/>
      <c r="GI803" s="29"/>
      <c r="GJ803" s="29"/>
      <c r="GK803" s="29"/>
      <c r="GL803" s="29"/>
      <c r="GM803" s="29"/>
      <c r="GN803" s="29"/>
      <c r="GO803" s="29"/>
      <c r="GP803" s="29"/>
      <c r="GQ803" s="29"/>
      <c r="GR803" s="29"/>
      <c r="GS803" s="29"/>
      <c r="GT803" s="29"/>
      <c r="GU803" s="29"/>
      <c r="HP803" s="31"/>
      <c r="MX803" s="29"/>
      <c r="MY803" s="29"/>
    </row>
    <row r="804" ht="16.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29"/>
      <c r="AW804" s="29"/>
      <c r="AX804" s="29"/>
      <c r="AY804" s="29"/>
      <c r="AZ804" s="29"/>
      <c r="BA804" s="29"/>
      <c r="BB804" s="29"/>
      <c r="BC804" s="29"/>
      <c r="BD804" s="29"/>
      <c r="BE804" s="29"/>
      <c r="BF804" s="29"/>
      <c r="BG804" s="29"/>
      <c r="BH804" s="29"/>
      <c r="BI804" s="29"/>
      <c r="BJ804" s="29"/>
      <c r="BK804" s="29"/>
      <c r="BL804" s="29"/>
      <c r="BM804" s="29"/>
      <c r="BN804" s="29"/>
      <c r="BO804" s="29"/>
      <c r="BP804" s="29"/>
      <c r="BQ804" s="29"/>
      <c r="BR804" s="29"/>
      <c r="BS804" s="29"/>
      <c r="BT804" s="29"/>
      <c r="BU804" s="29"/>
      <c r="BV804" s="29"/>
      <c r="BW804" s="29"/>
      <c r="BX804" s="29"/>
      <c r="BY804" s="29"/>
      <c r="BZ804" s="29"/>
      <c r="CA804" s="29"/>
      <c r="CB804" s="29"/>
      <c r="CC804" s="29"/>
      <c r="CD804" s="29"/>
      <c r="CE804" s="29"/>
      <c r="CF804" s="29"/>
      <c r="CG804" s="29"/>
      <c r="CH804" s="29"/>
      <c r="CI804" s="29"/>
      <c r="CJ804" s="29"/>
      <c r="CK804" s="29"/>
      <c r="CL804" s="29"/>
      <c r="CM804" s="29"/>
      <c r="CN804" s="29"/>
      <c r="CO804" s="29"/>
      <c r="CP804" s="29"/>
      <c r="CQ804" s="29"/>
      <c r="CR804" s="29"/>
      <c r="CS804" s="29"/>
      <c r="CT804" s="29"/>
      <c r="CU804" s="29"/>
      <c r="CV804" s="29"/>
      <c r="CW804" s="29"/>
      <c r="CX804" s="29"/>
      <c r="CY804" s="29"/>
      <c r="CZ804" s="29"/>
      <c r="DA804" s="29"/>
      <c r="DB804" s="29"/>
      <c r="DC804" s="29"/>
      <c r="DD804" s="29"/>
      <c r="DE804" s="29"/>
      <c r="DF804" s="29"/>
      <c r="DG804" s="29"/>
      <c r="DH804" s="29"/>
      <c r="DI804" s="29"/>
      <c r="DJ804" s="29"/>
      <c r="DK804" s="29"/>
      <c r="DL804" s="29"/>
      <c r="DM804" s="29"/>
      <c r="DN804" s="29"/>
      <c r="DO804" s="29"/>
      <c r="DP804" s="29"/>
      <c r="DQ804" s="29"/>
      <c r="DR804" s="29"/>
      <c r="DS804" s="29"/>
      <c r="DT804" s="29"/>
      <c r="DU804" s="29"/>
      <c r="DV804" s="29"/>
      <c r="DW804" s="29"/>
      <c r="DX804" s="29"/>
      <c r="DY804" s="29"/>
      <c r="DZ804" s="29"/>
      <c r="EA804" s="29"/>
      <c r="EB804" s="29"/>
      <c r="EC804" s="29"/>
      <c r="ED804" s="29"/>
      <c r="EE804" s="29"/>
      <c r="EF804" s="29"/>
      <c r="EG804" s="29"/>
      <c r="EH804" s="29"/>
      <c r="EI804" s="29"/>
      <c r="EJ804" s="29"/>
      <c r="EK804" s="29"/>
      <c r="EL804" s="29"/>
      <c r="EM804" s="29"/>
      <c r="EN804" s="29"/>
      <c r="EO804" s="29"/>
      <c r="EP804" s="29"/>
      <c r="EQ804" s="29"/>
      <c r="ER804" s="29"/>
      <c r="ES804" s="29"/>
      <c r="ET804" s="29"/>
      <c r="EU804" s="29"/>
      <c r="EV804" s="29"/>
      <c r="EW804" s="29"/>
      <c r="EX804" s="29"/>
      <c r="EY804" s="29"/>
      <c r="EZ804" s="29"/>
      <c r="FA804" s="29"/>
      <c r="FB804" s="29"/>
      <c r="FC804" s="29"/>
      <c r="FD804" s="29"/>
      <c r="FE804" s="29"/>
      <c r="FF804" s="29"/>
      <c r="FG804" s="29"/>
      <c r="FH804" s="29"/>
      <c r="FI804" s="29"/>
      <c r="FJ804" s="29"/>
      <c r="FK804" s="29"/>
      <c r="FL804" s="29"/>
      <c r="FM804" s="29"/>
      <c r="FN804" s="29"/>
      <c r="FO804" s="29"/>
      <c r="FP804" s="29"/>
      <c r="FQ804" s="29"/>
      <c r="FR804" s="29"/>
      <c r="FS804" s="29"/>
      <c r="FT804" s="29"/>
      <c r="FU804" s="29"/>
      <c r="FV804" s="29"/>
      <c r="FW804" s="29"/>
      <c r="FX804" s="29"/>
      <c r="FY804" s="29"/>
      <c r="FZ804" s="29"/>
      <c r="GA804" s="29"/>
      <c r="GB804" s="29"/>
      <c r="GC804" s="29"/>
      <c r="GD804" s="29"/>
      <c r="GE804" s="29"/>
      <c r="GF804" s="29"/>
      <c r="GG804" s="29"/>
      <c r="GH804" s="29"/>
      <c r="GI804" s="29"/>
      <c r="GJ804" s="29"/>
      <c r="GK804" s="29"/>
      <c r="GL804" s="29"/>
      <c r="GM804" s="29"/>
      <c r="GN804" s="29"/>
      <c r="GO804" s="29"/>
      <c r="GP804" s="29"/>
      <c r="GQ804" s="29"/>
      <c r="GR804" s="29"/>
      <c r="GS804" s="29"/>
      <c r="GT804" s="29"/>
      <c r="GU804" s="29"/>
      <c r="HP804" s="31"/>
      <c r="MX804" s="29"/>
      <c r="MY804" s="29"/>
    </row>
    <row r="805" ht="16.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c r="BO805" s="29"/>
      <c r="BP805" s="29"/>
      <c r="BQ805" s="29"/>
      <c r="BR805" s="29"/>
      <c r="BS805" s="29"/>
      <c r="BT805" s="29"/>
      <c r="BU805" s="29"/>
      <c r="BV805" s="29"/>
      <c r="BW805" s="29"/>
      <c r="BX805" s="29"/>
      <c r="BY805" s="29"/>
      <c r="BZ805" s="29"/>
      <c r="CA805" s="29"/>
      <c r="CB805" s="29"/>
      <c r="CC805" s="29"/>
      <c r="CD805" s="29"/>
      <c r="CE805" s="29"/>
      <c r="CF805" s="29"/>
      <c r="CG805" s="29"/>
      <c r="CH805" s="29"/>
      <c r="CI805" s="29"/>
      <c r="CJ805" s="29"/>
      <c r="CK805" s="29"/>
      <c r="CL805" s="29"/>
      <c r="CM805" s="29"/>
      <c r="CN805" s="29"/>
      <c r="CO805" s="29"/>
      <c r="CP805" s="29"/>
      <c r="CQ805" s="29"/>
      <c r="CR805" s="29"/>
      <c r="CS805" s="29"/>
      <c r="CT805" s="29"/>
      <c r="CU805" s="29"/>
      <c r="CV805" s="29"/>
      <c r="CW805" s="29"/>
      <c r="CX805" s="29"/>
      <c r="CY805" s="29"/>
      <c r="CZ805" s="29"/>
      <c r="DA805" s="29"/>
      <c r="DB805" s="29"/>
      <c r="DC805" s="29"/>
      <c r="DD805" s="29"/>
      <c r="DE805" s="29"/>
      <c r="DF805" s="29"/>
      <c r="DG805" s="29"/>
      <c r="DH805" s="29"/>
      <c r="DI805" s="29"/>
      <c r="DJ805" s="29"/>
      <c r="DK805" s="29"/>
      <c r="DL805" s="29"/>
      <c r="DM805" s="29"/>
      <c r="DN805" s="29"/>
      <c r="DO805" s="29"/>
      <c r="DP805" s="29"/>
      <c r="DQ805" s="29"/>
      <c r="DR805" s="29"/>
      <c r="DS805" s="29"/>
      <c r="DT805" s="29"/>
      <c r="DU805" s="29"/>
      <c r="DV805" s="29"/>
      <c r="DW805" s="29"/>
      <c r="DX805" s="29"/>
      <c r="DY805" s="29"/>
      <c r="DZ805" s="29"/>
      <c r="EA805" s="29"/>
      <c r="EB805" s="29"/>
      <c r="EC805" s="29"/>
      <c r="ED805" s="29"/>
      <c r="EE805" s="29"/>
      <c r="EF805" s="29"/>
      <c r="EG805" s="29"/>
      <c r="EH805" s="29"/>
      <c r="EI805" s="29"/>
      <c r="EJ805" s="29"/>
      <c r="EK805" s="29"/>
      <c r="EL805" s="29"/>
      <c r="EM805" s="29"/>
      <c r="EN805" s="29"/>
      <c r="EO805" s="29"/>
      <c r="EP805" s="29"/>
      <c r="EQ805" s="29"/>
      <c r="ER805" s="29"/>
      <c r="ES805" s="29"/>
      <c r="ET805" s="29"/>
      <c r="EU805" s="29"/>
      <c r="EV805" s="29"/>
      <c r="EW805" s="29"/>
      <c r="EX805" s="29"/>
      <c r="EY805" s="29"/>
      <c r="EZ805" s="29"/>
      <c r="FA805" s="29"/>
      <c r="FB805" s="29"/>
      <c r="FC805" s="29"/>
      <c r="FD805" s="29"/>
      <c r="FE805" s="29"/>
      <c r="FF805" s="29"/>
      <c r="FG805" s="29"/>
      <c r="FH805" s="29"/>
      <c r="FI805" s="29"/>
      <c r="FJ805" s="29"/>
      <c r="FK805" s="29"/>
      <c r="FL805" s="29"/>
      <c r="FM805" s="29"/>
      <c r="FN805" s="29"/>
      <c r="FO805" s="29"/>
      <c r="FP805" s="29"/>
      <c r="FQ805" s="29"/>
      <c r="FR805" s="29"/>
      <c r="FS805" s="29"/>
      <c r="FT805" s="29"/>
      <c r="FU805" s="29"/>
      <c r="FV805" s="29"/>
      <c r="FW805" s="29"/>
      <c r="FX805" s="29"/>
      <c r="FY805" s="29"/>
      <c r="FZ805" s="29"/>
      <c r="GA805" s="29"/>
      <c r="GB805" s="29"/>
      <c r="GC805" s="29"/>
      <c r="GD805" s="29"/>
      <c r="GE805" s="29"/>
      <c r="GF805" s="29"/>
      <c r="GG805" s="29"/>
      <c r="GH805" s="29"/>
      <c r="GI805" s="29"/>
      <c r="GJ805" s="29"/>
      <c r="GK805" s="29"/>
      <c r="GL805" s="29"/>
      <c r="GM805" s="29"/>
      <c r="GN805" s="29"/>
      <c r="GO805" s="29"/>
      <c r="GP805" s="29"/>
      <c r="GQ805" s="29"/>
      <c r="GR805" s="29"/>
      <c r="GS805" s="29"/>
      <c r="GT805" s="29"/>
      <c r="GU805" s="29"/>
      <c r="HP805" s="31"/>
      <c r="MX805" s="29"/>
      <c r="MY805" s="29"/>
    </row>
    <row r="806" ht="16.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c r="AX806" s="29"/>
      <c r="AY806" s="29"/>
      <c r="AZ806" s="29"/>
      <c r="BA806" s="29"/>
      <c r="BB806" s="29"/>
      <c r="BC806" s="29"/>
      <c r="BD806" s="29"/>
      <c r="BE806" s="29"/>
      <c r="BF806" s="29"/>
      <c r="BG806" s="29"/>
      <c r="BH806" s="29"/>
      <c r="BI806" s="29"/>
      <c r="BJ806" s="29"/>
      <c r="BK806" s="29"/>
      <c r="BL806" s="29"/>
      <c r="BM806" s="29"/>
      <c r="BN806" s="29"/>
      <c r="BO806" s="29"/>
      <c r="BP806" s="29"/>
      <c r="BQ806" s="29"/>
      <c r="BR806" s="29"/>
      <c r="BS806" s="29"/>
      <c r="BT806" s="29"/>
      <c r="BU806" s="29"/>
      <c r="BV806" s="29"/>
      <c r="BW806" s="29"/>
      <c r="BX806" s="29"/>
      <c r="BY806" s="29"/>
      <c r="BZ806" s="29"/>
      <c r="CA806" s="29"/>
      <c r="CB806" s="29"/>
      <c r="CC806" s="29"/>
      <c r="CD806" s="29"/>
      <c r="CE806" s="29"/>
      <c r="CF806" s="29"/>
      <c r="CG806" s="29"/>
      <c r="CH806" s="29"/>
      <c r="CI806" s="29"/>
      <c r="CJ806" s="29"/>
      <c r="CK806" s="29"/>
      <c r="CL806" s="29"/>
      <c r="CM806" s="29"/>
      <c r="CN806" s="29"/>
      <c r="CO806" s="29"/>
      <c r="CP806" s="29"/>
      <c r="CQ806" s="29"/>
      <c r="CR806" s="29"/>
      <c r="CS806" s="29"/>
      <c r="CT806" s="29"/>
      <c r="CU806" s="29"/>
      <c r="CV806" s="29"/>
      <c r="CW806" s="29"/>
      <c r="CX806" s="29"/>
      <c r="CY806" s="29"/>
      <c r="CZ806" s="29"/>
      <c r="DA806" s="29"/>
      <c r="DB806" s="29"/>
      <c r="DC806" s="29"/>
      <c r="DD806" s="29"/>
      <c r="DE806" s="29"/>
      <c r="DF806" s="29"/>
      <c r="DG806" s="29"/>
      <c r="DH806" s="29"/>
      <c r="DI806" s="29"/>
      <c r="DJ806" s="29"/>
      <c r="DK806" s="29"/>
      <c r="DL806" s="29"/>
      <c r="DM806" s="29"/>
      <c r="DN806" s="29"/>
      <c r="DO806" s="29"/>
      <c r="DP806" s="29"/>
      <c r="DQ806" s="29"/>
      <c r="DR806" s="29"/>
      <c r="DS806" s="29"/>
      <c r="DT806" s="29"/>
      <c r="DU806" s="29"/>
      <c r="DV806" s="29"/>
      <c r="DW806" s="29"/>
      <c r="DX806" s="29"/>
      <c r="DY806" s="29"/>
      <c r="DZ806" s="29"/>
      <c r="EA806" s="29"/>
      <c r="EB806" s="29"/>
      <c r="EC806" s="29"/>
      <c r="ED806" s="29"/>
      <c r="EE806" s="29"/>
      <c r="EF806" s="29"/>
      <c r="EG806" s="29"/>
      <c r="EH806" s="29"/>
      <c r="EI806" s="29"/>
      <c r="EJ806" s="29"/>
      <c r="EK806" s="29"/>
      <c r="EL806" s="29"/>
      <c r="EM806" s="29"/>
      <c r="EN806" s="29"/>
      <c r="EO806" s="29"/>
      <c r="EP806" s="29"/>
      <c r="EQ806" s="29"/>
      <c r="ER806" s="29"/>
      <c r="ES806" s="29"/>
      <c r="ET806" s="29"/>
      <c r="EU806" s="29"/>
      <c r="EV806" s="29"/>
      <c r="EW806" s="29"/>
      <c r="EX806" s="29"/>
      <c r="EY806" s="29"/>
      <c r="EZ806" s="29"/>
      <c r="FA806" s="29"/>
      <c r="FB806" s="29"/>
      <c r="FC806" s="29"/>
      <c r="FD806" s="29"/>
      <c r="FE806" s="29"/>
      <c r="FF806" s="29"/>
      <c r="FG806" s="29"/>
      <c r="FH806" s="29"/>
      <c r="FI806" s="29"/>
      <c r="FJ806" s="29"/>
      <c r="FK806" s="29"/>
      <c r="FL806" s="29"/>
      <c r="FM806" s="29"/>
      <c r="FN806" s="29"/>
      <c r="FO806" s="29"/>
      <c r="FP806" s="29"/>
      <c r="FQ806" s="29"/>
      <c r="FR806" s="29"/>
      <c r="FS806" s="29"/>
      <c r="FT806" s="29"/>
      <c r="FU806" s="29"/>
      <c r="FV806" s="29"/>
      <c r="FW806" s="29"/>
      <c r="FX806" s="29"/>
      <c r="FY806" s="29"/>
      <c r="FZ806" s="29"/>
      <c r="GA806" s="29"/>
      <c r="GB806" s="29"/>
      <c r="GC806" s="29"/>
      <c r="GD806" s="29"/>
      <c r="GE806" s="29"/>
      <c r="GF806" s="29"/>
      <c r="GG806" s="29"/>
      <c r="GH806" s="29"/>
      <c r="GI806" s="29"/>
      <c r="GJ806" s="29"/>
      <c r="GK806" s="29"/>
      <c r="GL806" s="29"/>
      <c r="GM806" s="29"/>
      <c r="GN806" s="29"/>
      <c r="GO806" s="29"/>
      <c r="GP806" s="29"/>
      <c r="GQ806" s="29"/>
      <c r="GR806" s="29"/>
      <c r="GS806" s="29"/>
      <c r="GT806" s="29"/>
      <c r="GU806" s="29"/>
      <c r="HP806" s="31"/>
      <c r="MX806" s="29"/>
      <c r="MY806" s="29"/>
    </row>
    <row r="807" ht="16.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c r="BO807" s="29"/>
      <c r="BP807" s="29"/>
      <c r="BQ807" s="29"/>
      <c r="BR807" s="29"/>
      <c r="BS807" s="29"/>
      <c r="BT807" s="29"/>
      <c r="BU807" s="29"/>
      <c r="BV807" s="29"/>
      <c r="BW807" s="29"/>
      <c r="BX807" s="29"/>
      <c r="BY807" s="29"/>
      <c r="BZ807" s="29"/>
      <c r="CA807" s="29"/>
      <c r="CB807" s="29"/>
      <c r="CC807" s="29"/>
      <c r="CD807" s="29"/>
      <c r="CE807" s="29"/>
      <c r="CF807" s="29"/>
      <c r="CG807" s="29"/>
      <c r="CH807" s="29"/>
      <c r="CI807" s="29"/>
      <c r="CJ807" s="29"/>
      <c r="CK807" s="29"/>
      <c r="CL807" s="29"/>
      <c r="CM807" s="29"/>
      <c r="CN807" s="29"/>
      <c r="CO807" s="29"/>
      <c r="CP807" s="29"/>
      <c r="CQ807" s="29"/>
      <c r="CR807" s="29"/>
      <c r="CS807" s="29"/>
      <c r="CT807" s="29"/>
      <c r="CU807" s="29"/>
      <c r="CV807" s="29"/>
      <c r="CW807" s="29"/>
      <c r="CX807" s="29"/>
      <c r="CY807" s="29"/>
      <c r="CZ807" s="29"/>
      <c r="DA807" s="29"/>
      <c r="DB807" s="29"/>
      <c r="DC807" s="29"/>
      <c r="DD807" s="29"/>
      <c r="DE807" s="29"/>
      <c r="DF807" s="29"/>
      <c r="DG807" s="29"/>
      <c r="DH807" s="29"/>
      <c r="DI807" s="29"/>
      <c r="DJ807" s="29"/>
      <c r="DK807" s="29"/>
      <c r="DL807" s="29"/>
      <c r="DM807" s="29"/>
      <c r="DN807" s="29"/>
      <c r="DO807" s="29"/>
      <c r="DP807" s="29"/>
      <c r="DQ807" s="29"/>
      <c r="DR807" s="29"/>
      <c r="DS807" s="29"/>
      <c r="DT807" s="29"/>
      <c r="DU807" s="29"/>
      <c r="DV807" s="29"/>
      <c r="DW807" s="29"/>
      <c r="DX807" s="29"/>
      <c r="DY807" s="29"/>
      <c r="DZ807" s="29"/>
      <c r="EA807" s="29"/>
      <c r="EB807" s="29"/>
      <c r="EC807" s="29"/>
      <c r="ED807" s="29"/>
      <c r="EE807" s="29"/>
      <c r="EF807" s="29"/>
      <c r="EG807" s="29"/>
      <c r="EH807" s="29"/>
      <c r="EI807" s="29"/>
      <c r="EJ807" s="29"/>
      <c r="EK807" s="29"/>
      <c r="EL807" s="29"/>
      <c r="EM807" s="29"/>
      <c r="EN807" s="29"/>
      <c r="EO807" s="29"/>
      <c r="EP807" s="29"/>
      <c r="EQ807" s="29"/>
      <c r="ER807" s="29"/>
      <c r="ES807" s="29"/>
      <c r="ET807" s="29"/>
      <c r="EU807" s="29"/>
      <c r="EV807" s="29"/>
      <c r="EW807" s="29"/>
      <c r="EX807" s="29"/>
      <c r="EY807" s="29"/>
      <c r="EZ807" s="29"/>
      <c r="FA807" s="29"/>
      <c r="FB807" s="29"/>
      <c r="FC807" s="29"/>
      <c r="FD807" s="29"/>
      <c r="FE807" s="29"/>
      <c r="FF807" s="29"/>
      <c r="FG807" s="29"/>
      <c r="FH807" s="29"/>
      <c r="FI807" s="29"/>
      <c r="FJ807" s="29"/>
      <c r="FK807" s="29"/>
      <c r="FL807" s="29"/>
      <c r="FM807" s="29"/>
      <c r="FN807" s="29"/>
      <c r="FO807" s="29"/>
      <c r="FP807" s="29"/>
      <c r="FQ807" s="29"/>
      <c r="FR807" s="29"/>
      <c r="FS807" s="29"/>
      <c r="FT807" s="29"/>
      <c r="FU807" s="29"/>
      <c r="FV807" s="29"/>
      <c r="FW807" s="29"/>
      <c r="FX807" s="29"/>
      <c r="FY807" s="29"/>
      <c r="FZ807" s="29"/>
      <c r="GA807" s="29"/>
      <c r="GB807" s="29"/>
      <c r="GC807" s="29"/>
      <c r="GD807" s="29"/>
      <c r="GE807" s="29"/>
      <c r="GF807" s="29"/>
      <c r="GG807" s="29"/>
      <c r="GH807" s="29"/>
      <c r="GI807" s="29"/>
      <c r="GJ807" s="29"/>
      <c r="GK807" s="29"/>
      <c r="GL807" s="29"/>
      <c r="GM807" s="29"/>
      <c r="GN807" s="29"/>
      <c r="GO807" s="29"/>
      <c r="GP807" s="29"/>
      <c r="GQ807" s="29"/>
      <c r="GR807" s="29"/>
      <c r="GS807" s="29"/>
      <c r="GT807" s="29"/>
      <c r="GU807" s="29"/>
      <c r="HP807" s="31"/>
      <c r="MX807" s="29"/>
      <c r="MY807" s="29"/>
    </row>
    <row r="808" ht="16.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c r="AX808" s="29"/>
      <c r="AY808" s="29"/>
      <c r="AZ808" s="29"/>
      <c r="BA808" s="29"/>
      <c r="BB808" s="29"/>
      <c r="BC808" s="29"/>
      <c r="BD808" s="29"/>
      <c r="BE808" s="29"/>
      <c r="BF808" s="29"/>
      <c r="BG808" s="29"/>
      <c r="BH808" s="29"/>
      <c r="BI808" s="29"/>
      <c r="BJ808" s="29"/>
      <c r="BK808" s="29"/>
      <c r="BL808" s="29"/>
      <c r="BM808" s="29"/>
      <c r="BN808" s="29"/>
      <c r="BO808" s="29"/>
      <c r="BP808" s="29"/>
      <c r="BQ808" s="29"/>
      <c r="BR808" s="29"/>
      <c r="BS808" s="29"/>
      <c r="BT808" s="29"/>
      <c r="BU808" s="29"/>
      <c r="BV808" s="29"/>
      <c r="BW808" s="29"/>
      <c r="BX808" s="29"/>
      <c r="BY808" s="29"/>
      <c r="BZ808" s="29"/>
      <c r="CA808" s="29"/>
      <c r="CB808" s="29"/>
      <c r="CC808" s="29"/>
      <c r="CD808" s="29"/>
      <c r="CE808" s="29"/>
      <c r="CF808" s="29"/>
      <c r="CG808" s="29"/>
      <c r="CH808" s="29"/>
      <c r="CI808" s="29"/>
      <c r="CJ808" s="29"/>
      <c r="CK808" s="29"/>
      <c r="CL808" s="29"/>
      <c r="CM808" s="29"/>
      <c r="CN808" s="29"/>
      <c r="CO808" s="29"/>
      <c r="CP808" s="29"/>
      <c r="CQ808" s="29"/>
      <c r="CR808" s="29"/>
      <c r="CS808" s="29"/>
      <c r="CT808" s="29"/>
      <c r="CU808" s="29"/>
      <c r="CV808" s="29"/>
      <c r="CW808" s="29"/>
      <c r="CX808" s="29"/>
      <c r="CY808" s="29"/>
      <c r="CZ808" s="29"/>
      <c r="DA808" s="29"/>
      <c r="DB808" s="29"/>
      <c r="DC808" s="29"/>
      <c r="DD808" s="29"/>
      <c r="DE808" s="29"/>
      <c r="DF808" s="29"/>
      <c r="DG808" s="29"/>
      <c r="DH808" s="29"/>
      <c r="DI808" s="29"/>
      <c r="DJ808" s="29"/>
      <c r="DK808" s="29"/>
      <c r="DL808" s="29"/>
      <c r="DM808" s="29"/>
      <c r="DN808" s="29"/>
      <c r="DO808" s="29"/>
      <c r="DP808" s="29"/>
      <c r="DQ808" s="29"/>
      <c r="DR808" s="29"/>
      <c r="DS808" s="29"/>
      <c r="DT808" s="29"/>
      <c r="DU808" s="29"/>
      <c r="DV808" s="29"/>
      <c r="DW808" s="29"/>
      <c r="DX808" s="29"/>
      <c r="DY808" s="29"/>
      <c r="DZ808" s="29"/>
      <c r="EA808" s="29"/>
      <c r="EB808" s="29"/>
      <c r="EC808" s="29"/>
      <c r="ED808" s="29"/>
      <c r="EE808" s="29"/>
      <c r="EF808" s="29"/>
      <c r="EG808" s="29"/>
      <c r="EH808" s="29"/>
      <c r="EI808" s="29"/>
      <c r="EJ808" s="29"/>
      <c r="EK808" s="29"/>
      <c r="EL808" s="29"/>
      <c r="EM808" s="29"/>
      <c r="EN808" s="29"/>
      <c r="EO808" s="29"/>
      <c r="EP808" s="29"/>
      <c r="EQ808" s="29"/>
      <c r="ER808" s="29"/>
      <c r="ES808" s="29"/>
      <c r="ET808" s="29"/>
      <c r="EU808" s="29"/>
      <c r="EV808" s="29"/>
      <c r="EW808" s="29"/>
      <c r="EX808" s="29"/>
      <c r="EY808" s="29"/>
      <c r="EZ808" s="29"/>
      <c r="FA808" s="29"/>
      <c r="FB808" s="29"/>
      <c r="FC808" s="29"/>
      <c r="FD808" s="29"/>
      <c r="FE808" s="29"/>
      <c r="FF808" s="29"/>
      <c r="FG808" s="29"/>
      <c r="FH808" s="29"/>
      <c r="FI808" s="29"/>
      <c r="FJ808" s="29"/>
      <c r="FK808" s="29"/>
      <c r="FL808" s="29"/>
      <c r="FM808" s="29"/>
      <c r="FN808" s="29"/>
      <c r="FO808" s="29"/>
      <c r="FP808" s="29"/>
      <c r="FQ808" s="29"/>
      <c r="FR808" s="29"/>
      <c r="FS808" s="29"/>
      <c r="FT808" s="29"/>
      <c r="FU808" s="29"/>
      <c r="FV808" s="29"/>
      <c r="FW808" s="29"/>
      <c r="FX808" s="29"/>
      <c r="FY808" s="29"/>
      <c r="FZ808" s="29"/>
      <c r="GA808" s="29"/>
      <c r="GB808" s="29"/>
      <c r="GC808" s="29"/>
      <c r="GD808" s="29"/>
      <c r="GE808" s="29"/>
      <c r="GF808" s="29"/>
      <c r="GG808" s="29"/>
      <c r="GH808" s="29"/>
      <c r="GI808" s="29"/>
      <c r="GJ808" s="29"/>
      <c r="GK808" s="29"/>
      <c r="GL808" s="29"/>
      <c r="GM808" s="29"/>
      <c r="GN808" s="29"/>
      <c r="GO808" s="29"/>
      <c r="GP808" s="29"/>
      <c r="GQ808" s="29"/>
      <c r="GR808" s="29"/>
      <c r="GS808" s="29"/>
      <c r="GT808" s="29"/>
      <c r="GU808" s="29"/>
      <c r="HP808" s="31"/>
      <c r="MX808" s="29"/>
      <c r="MY808" s="29"/>
    </row>
    <row r="809" ht="16.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c r="BO809" s="29"/>
      <c r="BP809" s="29"/>
      <c r="BQ809" s="29"/>
      <c r="BR809" s="29"/>
      <c r="BS809" s="29"/>
      <c r="BT809" s="29"/>
      <c r="BU809" s="29"/>
      <c r="BV809" s="29"/>
      <c r="BW809" s="29"/>
      <c r="BX809" s="29"/>
      <c r="BY809" s="29"/>
      <c r="BZ809" s="29"/>
      <c r="CA809" s="29"/>
      <c r="CB809" s="29"/>
      <c r="CC809" s="29"/>
      <c r="CD809" s="29"/>
      <c r="CE809" s="29"/>
      <c r="CF809" s="29"/>
      <c r="CG809" s="29"/>
      <c r="CH809" s="29"/>
      <c r="CI809" s="29"/>
      <c r="CJ809" s="29"/>
      <c r="CK809" s="29"/>
      <c r="CL809" s="29"/>
      <c r="CM809" s="29"/>
      <c r="CN809" s="29"/>
      <c r="CO809" s="29"/>
      <c r="CP809" s="29"/>
      <c r="CQ809" s="29"/>
      <c r="CR809" s="29"/>
      <c r="CS809" s="29"/>
      <c r="CT809" s="29"/>
      <c r="CU809" s="29"/>
      <c r="CV809" s="29"/>
      <c r="CW809" s="29"/>
      <c r="CX809" s="29"/>
      <c r="CY809" s="29"/>
      <c r="CZ809" s="29"/>
      <c r="DA809" s="29"/>
      <c r="DB809" s="29"/>
      <c r="DC809" s="29"/>
      <c r="DD809" s="29"/>
      <c r="DE809" s="29"/>
      <c r="DF809" s="29"/>
      <c r="DG809" s="29"/>
      <c r="DH809" s="29"/>
      <c r="DI809" s="29"/>
      <c r="DJ809" s="29"/>
      <c r="DK809" s="29"/>
      <c r="DL809" s="29"/>
      <c r="DM809" s="29"/>
      <c r="DN809" s="29"/>
      <c r="DO809" s="29"/>
      <c r="DP809" s="29"/>
      <c r="DQ809" s="29"/>
      <c r="DR809" s="29"/>
      <c r="DS809" s="29"/>
      <c r="DT809" s="29"/>
      <c r="DU809" s="29"/>
      <c r="DV809" s="29"/>
      <c r="DW809" s="29"/>
      <c r="DX809" s="29"/>
      <c r="DY809" s="29"/>
      <c r="DZ809" s="29"/>
      <c r="EA809" s="29"/>
      <c r="EB809" s="29"/>
      <c r="EC809" s="29"/>
      <c r="ED809" s="29"/>
      <c r="EE809" s="29"/>
      <c r="EF809" s="29"/>
      <c r="EG809" s="29"/>
      <c r="EH809" s="29"/>
      <c r="EI809" s="29"/>
      <c r="EJ809" s="29"/>
      <c r="EK809" s="29"/>
      <c r="EL809" s="29"/>
      <c r="EM809" s="29"/>
      <c r="EN809" s="29"/>
      <c r="EO809" s="29"/>
      <c r="EP809" s="29"/>
      <c r="EQ809" s="29"/>
      <c r="ER809" s="29"/>
      <c r="ES809" s="29"/>
      <c r="ET809" s="29"/>
      <c r="EU809" s="29"/>
      <c r="EV809" s="29"/>
      <c r="EW809" s="29"/>
      <c r="EX809" s="29"/>
      <c r="EY809" s="29"/>
      <c r="EZ809" s="29"/>
      <c r="FA809" s="29"/>
      <c r="FB809" s="29"/>
      <c r="FC809" s="29"/>
      <c r="FD809" s="29"/>
      <c r="FE809" s="29"/>
      <c r="FF809" s="29"/>
      <c r="FG809" s="29"/>
      <c r="FH809" s="29"/>
      <c r="FI809" s="29"/>
      <c r="FJ809" s="29"/>
      <c r="FK809" s="29"/>
      <c r="FL809" s="29"/>
      <c r="FM809" s="29"/>
      <c r="FN809" s="29"/>
      <c r="FO809" s="29"/>
      <c r="FP809" s="29"/>
      <c r="FQ809" s="29"/>
      <c r="FR809" s="29"/>
      <c r="FS809" s="29"/>
      <c r="FT809" s="29"/>
      <c r="FU809" s="29"/>
      <c r="FV809" s="29"/>
      <c r="FW809" s="29"/>
      <c r="FX809" s="29"/>
      <c r="FY809" s="29"/>
      <c r="FZ809" s="29"/>
      <c r="GA809" s="29"/>
      <c r="GB809" s="29"/>
      <c r="GC809" s="29"/>
      <c r="GD809" s="29"/>
      <c r="GE809" s="29"/>
      <c r="GF809" s="29"/>
      <c r="GG809" s="29"/>
      <c r="GH809" s="29"/>
      <c r="GI809" s="29"/>
      <c r="GJ809" s="29"/>
      <c r="GK809" s="29"/>
      <c r="GL809" s="29"/>
      <c r="GM809" s="29"/>
      <c r="GN809" s="29"/>
      <c r="GO809" s="29"/>
      <c r="GP809" s="29"/>
      <c r="GQ809" s="29"/>
      <c r="GR809" s="29"/>
      <c r="GS809" s="29"/>
      <c r="GT809" s="29"/>
      <c r="GU809" s="29"/>
      <c r="HP809" s="31"/>
      <c r="MX809" s="29"/>
      <c r="MY809" s="29"/>
    </row>
    <row r="810" ht="16.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29"/>
      <c r="AW810" s="29"/>
      <c r="AX810" s="29"/>
      <c r="AY810" s="29"/>
      <c r="AZ810" s="29"/>
      <c r="BA810" s="29"/>
      <c r="BB810" s="29"/>
      <c r="BC810" s="29"/>
      <c r="BD810" s="29"/>
      <c r="BE810" s="29"/>
      <c r="BF810" s="29"/>
      <c r="BG810" s="29"/>
      <c r="BH810" s="29"/>
      <c r="BI810" s="29"/>
      <c r="BJ810" s="29"/>
      <c r="BK810" s="29"/>
      <c r="BL810" s="29"/>
      <c r="BM810" s="29"/>
      <c r="BN810" s="29"/>
      <c r="BO810" s="29"/>
      <c r="BP810" s="29"/>
      <c r="BQ810" s="29"/>
      <c r="BR810" s="29"/>
      <c r="BS810" s="29"/>
      <c r="BT810" s="29"/>
      <c r="BU810" s="29"/>
      <c r="BV810" s="29"/>
      <c r="BW810" s="29"/>
      <c r="BX810" s="29"/>
      <c r="BY810" s="29"/>
      <c r="BZ810" s="29"/>
      <c r="CA810" s="29"/>
      <c r="CB810" s="29"/>
      <c r="CC810" s="29"/>
      <c r="CD810" s="29"/>
      <c r="CE810" s="29"/>
      <c r="CF810" s="29"/>
      <c r="CG810" s="29"/>
      <c r="CH810" s="29"/>
      <c r="CI810" s="29"/>
      <c r="CJ810" s="29"/>
      <c r="CK810" s="29"/>
      <c r="CL810" s="29"/>
      <c r="CM810" s="29"/>
      <c r="CN810" s="29"/>
      <c r="CO810" s="29"/>
      <c r="CP810" s="29"/>
      <c r="CQ810" s="29"/>
      <c r="CR810" s="29"/>
      <c r="CS810" s="29"/>
      <c r="CT810" s="29"/>
      <c r="CU810" s="29"/>
      <c r="CV810" s="29"/>
      <c r="CW810" s="29"/>
      <c r="CX810" s="29"/>
      <c r="CY810" s="29"/>
      <c r="CZ810" s="29"/>
      <c r="DA810" s="29"/>
      <c r="DB810" s="29"/>
      <c r="DC810" s="29"/>
      <c r="DD810" s="29"/>
      <c r="DE810" s="29"/>
      <c r="DF810" s="29"/>
      <c r="DG810" s="29"/>
      <c r="DH810" s="29"/>
      <c r="DI810" s="29"/>
      <c r="DJ810" s="29"/>
      <c r="DK810" s="29"/>
      <c r="DL810" s="29"/>
      <c r="DM810" s="29"/>
      <c r="DN810" s="29"/>
      <c r="DO810" s="29"/>
      <c r="DP810" s="29"/>
      <c r="DQ810" s="29"/>
      <c r="DR810" s="29"/>
      <c r="DS810" s="29"/>
      <c r="DT810" s="29"/>
      <c r="DU810" s="29"/>
      <c r="DV810" s="29"/>
      <c r="DW810" s="29"/>
      <c r="DX810" s="29"/>
      <c r="DY810" s="29"/>
      <c r="DZ810" s="29"/>
      <c r="EA810" s="29"/>
      <c r="EB810" s="29"/>
      <c r="EC810" s="29"/>
      <c r="ED810" s="29"/>
      <c r="EE810" s="29"/>
      <c r="EF810" s="29"/>
      <c r="EG810" s="29"/>
      <c r="EH810" s="29"/>
      <c r="EI810" s="29"/>
      <c r="EJ810" s="29"/>
      <c r="EK810" s="29"/>
      <c r="EL810" s="29"/>
      <c r="EM810" s="29"/>
      <c r="EN810" s="29"/>
      <c r="EO810" s="29"/>
      <c r="EP810" s="29"/>
      <c r="EQ810" s="29"/>
      <c r="ER810" s="29"/>
      <c r="ES810" s="29"/>
      <c r="ET810" s="29"/>
      <c r="EU810" s="29"/>
      <c r="EV810" s="29"/>
      <c r="EW810" s="29"/>
      <c r="EX810" s="29"/>
      <c r="EY810" s="29"/>
      <c r="EZ810" s="29"/>
      <c r="FA810" s="29"/>
      <c r="FB810" s="29"/>
      <c r="FC810" s="29"/>
      <c r="FD810" s="29"/>
      <c r="FE810" s="29"/>
      <c r="FF810" s="29"/>
      <c r="FG810" s="29"/>
      <c r="FH810" s="29"/>
      <c r="FI810" s="29"/>
      <c r="FJ810" s="29"/>
      <c r="FK810" s="29"/>
      <c r="FL810" s="29"/>
      <c r="FM810" s="29"/>
      <c r="FN810" s="29"/>
      <c r="FO810" s="29"/>
      <c r="FP810" s="29"/>
      <c r="FQ810" s="29"/>
      <c r="FR810" s="29"/>
      <c r="FS810" s="29"/>
      <c r="FT810" s="29"/>
      <c r="FU810" s="29"/>
      <c r="FV810" s="29"/>
      <c r="FW810" s="29"/>
      <c r="FX810" s="29"/>
      <c r="FY810" s="29"/>
      <c r="FZ810" s="29"/>
      <c r="GA810" s="29"/>
      <c r="GB810" s="29"/>
      <c r="GC810" s="29"/>
      <c r="GD810" s="29"/>
      <c r="GE810" s="29"/>
      <c r="GF810" s="29"/>
      <c r="GG810" s="29"/>
      <c r="GH810" s="29"/>
      <c r="GI810" s="29"/>
      <c r="GJ810" s="29"/>
      <c r="GK810" s="29"/>
      <c r="GL810" s="29"/>
      <c r="GM810" s="29"/>
      <c r="GN810" s="29"/>
      <c r="GO810" s="29"/>
      <c r="GP810" s="29"/>
      <c r="GQ810" s="29"/>
      <c r="GR810" s="29"/>
      <c r="GS810" s="29"/>
      <c r="GT810" s="29"/>
      <c r="GU810" s="29"/>
      <c r="HP810" s="31"/>
      <c r="MX810" s="29"/>
      <c r="MY810" s="29"/>
    </row>
    <row r="811" ht="16.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c r="BO811" s="29"/>
      <c r="BP811" s="29"/>
      <c r="BQ811" s="29"/>
      <c r="BR811" s="29"/>
      <c r="BS811" s="29"/>
      <c r="BT811" s="29"/>
      <c r="BU811" s="29"/>
      <c r="BV811" s="29"/>
      <c r="BW811" s="29"/>
      <c r="BX811" s="29"/>
      <c r="BY811" s="29"/>
      <c r="BZ811" s="29"/>
      <c r="CA811" s="29"/>
      <c r="CB811" s="29"/>
      <c r="CC811" s="29"/>
      <c r="CD811" s="29"/>
      <c r="CE811" s="29"/>
      <c r="CF811" s="29"/>
      <c r="CG811" s="29"/>
      <c r="CH811" s="29"/>
      <c r="CI811" s="29"/>
      <c r="CJ811" s="29"/>
      <c r="CK811" s="29"/>
      <c r="CL811" s="29"/>
      <c r="CM811" s="29"/>
      <c r="CN811" s="29"/>
      <c r="CO811" s="29"/>
      <c r="CP811" s="29"/>
      <c r="CQ811" s="29"/>
      <c r="CR811" s="29"/>
      <c r="CS811" s="29"/>
      <c r="CT811" s="29"/>
      <c r="CU811" s="29"/>
      <c r="CV811" s="29"/>
      <c r="CW811" s="29"/>
      <c r="CX811" s="29"/>
      <c r="CY811" s="29"/>
      <c r="CZ811" s="29"/>
      <c r="DA811" s="29"/>
      <c r="DB811" s="29"/>
      <c r="DC811" s="29"/>
      <c r="DD811" s="29"/>
      <c r="DE811" s="29"/>
      <c r="DF811" s="29"/>
      <c r="DG811" s="29"/>
      <c r="DH811" s="29"/>
      <c r="DI811" s="29"/>
      <c r="DJ811" s="29"/>
      <c r="DK811" s="29"/>
      <c r="DL811" s="29"/>
      <c r="DM811" s="29"/>
      <c r="DN811" s="29"/>
      <c r="DO811" s="29"/>
      <c r="DP811" s="29"/>
      <c r="DQ811" s="29"/>
      <c r="DR811" s="29"/>
      <c r="DS811" s="29"/>
      <c r="DT811" s="29"/>
      <c r="DU811" s="29"/>
      <c r="DV811" s="29"/>
      <c r="DW811" s="29"/>
      <c r="DX811" s="29"/>
      <c r="DY811" s="29"/>
      <c r="DZ811" s="29"/>
      <c r="EA811" s="29"/>
      <c r="EB811" s="29"/>
      <c r="EC811" s="29"/>
      <c r="ED811" s="29"/>
      <c r="EE811" s="29"/>
      <c r="EF811" s="29"/>
      <c r="EG811" s="29"/>
      <c r="EH811" s="29"/>
      <c r="EI811" s="29"/>
      <c r="EJ811" s="29"/>
      <c r="EK811" s="29"/>
      <c r="EL811" s="29"/>
      <c r="EM811" s="29"/>
      <c r="EN811" s="29"/>
      <c r="EO811" s="29"/>
      <c r="EP811" s="29"/>
      <c r="EQ811" s="29"/>
      <c r="ER811" s="29"/>
      <c r="ES811" s="29"/>
      <c r="ET811" s="29"/>
      <c r="EU811" s="29"/>
      <c r="EV811" s="29"/>
      <c r="EW811" s="29"/>
      <c r="EX811" s="29"/>
      <c r="EY811" s="29"/>
      <c r="EZ811" s="29"/>
      <c r="FA811" s="29"/>
      <c r="FB811" s="29"/>
      <c r="FC811" s="29"/>
      <c r="FD811" s="29"/>
      <c r="FE811" s="29"/>
      <c r="FF811" s="29"/>
      <c r="FG811" s="29"/>
      <c r="FH811" s="29"/>
      <c r="FI811" s="29"/>
      <c r="FJ811" s="29"/>
      <c r="FK811" s="29"/>
      <c r="FL811" s="29"/>
      <c r="FM811" s="29"/>
      <c r="FN811" s="29"/>
      <c r="FO811" s="29"/>
      <c r="FP811" s="29"/>
      <c r="FQ811" s="29"/>
      <c r="FR811" s="29"/>
      <c r="FS811" s="29"/>
      <c r="FT811" s="29"/>
      <c r="FU811" s="29"/>
      <c r="FV811" s="29"/>
      <c r="FW811" s="29"/>
      <c r="FX811" s="29"/>
      <c r="FY811" s="29"/>
      <c r="FZ811" s="29"/>
      <c r="GA811" s="29"/>
      <c r="GB811" s="29"/>
      <c r="GC811" s="29"/>
      <c r="GD811" s="29"/>
      <c r="GE811" s="29"/>
      <c r="GF811" s="29"/>
      <c r="GG811" s="29"/>
      <c r="GH811" s="29"/>
      <c r="GI811" s="29"/>
      <c r="GJ811" s="29"/>
      <c r="GK811" s="29"/>
      <c r="GL811" s="29"/>
      <c r="GM811" s="29"/>
      <c r="GN811" s="29"/>
      <c r="GO811" s="29"/>
      <c r="GP811" s="29"/>
      <c r="GQ811" s="29"/>
      <c r="GR811" s="29"/>
      <c r="GS811" s="29"/>
      <c r="GT811" s="29"/>
      <c r="GU811" s="29"/>
      <c r="HP811" s="31"/>
      <c r="MX811" s="29"/>
      <c r="MY811" s="29"/>
    </row>
    <row r="812" ht="16.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c r="AX812" s="29"/>
      <c r="AY812" s="29"/>
      <c r="AZ812" s="29"/>
      <c r="BA812" s="29"/>
      <c r="BB812" s="29"/>
      <c r="BC812" s="29"/>
      <c r="BD812" s="29"/>
      <c r="BE812" s="29"/>
      <c r="BF812" s="29"/>
      <c r="BG812" s="29"/>
      <c r="BH812" s="29"/>
      <c r="BI812" s="29"/>
      <c r="BJ812" s="29"/>
      <c r="BK812" s="29"/>
      <c r="BL812" s="29"/>
      <c r="BM812" s="29"/>
      <c r="BN812" s="29"/>
      <c r="BO812" s="29"/>
      <c r="BP812" s="29"/>
      <c r="BQ812" s="29"/>
      <c r="BR812" s="29"/>
      <c r="BS812" s="29"/>
      <c r="BT812" s="29"/>
      <c r="BU812" s="29"/>
      <c r="BV812" s="29"/>
      <c r="BW812" s="29"/>
      <c r="BX812" s="29"/>
      <c r="BY812" s="29"/>
      <c r="BZ812" s="29"/>
      <c r="CA812" s="29"/>
      <c r="CB812" s="29"/>
      <c r="CC812" s="29"/>
      <c r="CD812" s="29"/>
      <c r="CE812" s="29"/>
      <c r="CF812" s="29"/>
      <c r="CG812" s="29"/>
      <c r="CH812" s="29"/>
      <c r="CI812" s="29"/>
      <c r="CJ812" s="29"/>
      <c r="CK812" s="29"/>
      <c r="CL812" s="29"/>
      <c r="CM812" s="29"/>
      <c r="CN812" s="29"/>
      <c r="CO812" s="29"/>
      <c r="CP812" s="29"/>
      <c r="CQ812" s="29"/>
      <c r="CR812" s="29"/>
      <c r="CS812" s="29"/>
      <c r="CT812" s="29"/>
      <c r="CU812" s="29"/>
      <c r="CV812" s="29"/>
      <c r="CW812" s="29"/>
      <c r="CX812" s="29"/>
      <c r="CY812" s="29"/>
      <c r="CZ812" s="29"/>
      <c r="DA812" s="29"/>
      <c r="DB812" s="29"/>
      <c r="DC812" s="29"/>
      <c r="DD812" s="29"/>
      <c r="DE812" s="29"/>
      <c r="DF812" s="29"/>
      <c r="DG812" s="29"/>
      <c r="DH812" s="29"/>
      <c r="DI812" s="29"/>
      <c r="DJ812" s="29"/>
      <c r="DK812" s="29"/>
      <c r="DL812" s="29"/>
      <c r="DM812" s="29"/>
      <c r="DN812" s="29"/>
      <c r="DO812" s="29"/>
      <c r="DP812" s="29"/>
      <c r="DQ812" s="29"/>
      <c r="DR812" s="29"/>
      <c r="DS812" s="29"/>
      <c r="DT812" s="29"/>
      <c r="DU812" s="29"/>
      <c r="DV812" s="29"/>
      <c r="DW812" s="29"/>
      <c r="DX812" s="29"/>
      <c r="DY812" s="29"/>
      <c r="DZ812" s="29"/>
      <c r="EA812" s="29"/>
      <c r="EB812" s="29"/>
      <c r="EC812" s="29"/>
      <c r="ED812" s="29"/>
      <c r="EE812" s="29"/>
      <c r="EF812" s="29"/>
      <c r="EG812" s="29"/>
      <c r="EH812" s="29"/>
      <c r="EI812" s="29"/>
      <c r="EJ812" s="29"/>
      <c r="EK812" s="29"/>
      <c r="EL812" s="29"/>
      <c r="EM812" s="29"/>
      <c r="EN812" s="29"/>
      <c r="EO812" s="29"/>
      <c r="EP812" s="29"/>
      <c r="EQ812" s="29"/>
      <c r="ER812" s="29"/>
      <c r="ES812" s="29"/>
      <c r="ET812" s="29"/>
      <c r="EU812" s="29"/>
      <c r="EV812" s="29"/>
      <c r="EW812" s="29"/>
      <c r="EX812" s="29"/>
      <c r="EY812" s="29"/>
      <c r="EZ812" s="29"/>
      <c r="FA812" s="29"/>
      <c r="FB812" s="29"/>
      <c r="FC812" s="29"/>
      <c r="FD812" s="29"/>
      <c r="FE812" s="29"/>
      <c r="FF812" s="29"/>
      <c r="FG812" s="29"/>
      <c r="FH812" s="29"/>
      <c r="FI812" s="29"/>
      <c r="FJ812" s="29"/>
      <c r="FK812" s="29"/>
      <c r="FL812" s="29"/>
      <c r="FM812" s="29"/>
      <c r="FN812" s="29"/>
      <c r="FO812" s="29"/>
      <c r="FP812" s="29"/>
      <c r="FQ812" s="29"/>
      <c r="FR812" s="29"/>
      <c r="FS812" s="29"/>
      <c r="FT812" s="29"/>
      <c r="FU812" s="29"/>
      <c r="FV812" s="29"/>
      <c r="FW812" s="29"/>
      <c r="FX812" s="29"/>
      <c r="FY812" s="29"/>
      <c r="FZ812" s="29"/>
      <c r="GA812" s="29"/>
      <c r="GB812" s="29"/>
      <c r="GC812" s="29"/>
      <c r="GD812" s="29"/>
      <c r="GE812" s="29"/>
      <c r="GF812" s="29"/>
      <c r="GG812" s="29"/>
      <c r="GH812" s="29"/>
      <c r="GI812" s="29"/>
      <c r="GJ812" s="29"/>
      <c r="GK812" s="29"/>
      <c r="GL812" s="29"/>
      <c r="GM812" s="29"/>
      <c r="GN812" s="29"/>
      <c r="GO812" s="29"/>
      <c r="GP812" s="29"/>
      <c r="GQ812" s="29"/>
      <c r="GR812" s="29"/>
      <c r="GS812" s="29"/>
      <c r="GT812" s="29"/>
      <c r="GU812" s="29"/>
      <c r="HP812" s="31"/>
      <c r="MX812" s="29"/>
      <c r="MY812" s="29"/>
    </row>
    <row r="813" ht="16.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c r="BO813" s="29"/>
      <c r="BP813" s="29"/>
      <c r="BQ813" s="29"/>
      <c r="BR813" s="29"/>
      <c r="BS813" s="29"/>
      <c r="BT813" s="29"/>
      <c r="BU813" s="29"/>
      <c r="BV813" s="29"/>
      <c r="BW813" s="29"/>
      <c r="BX813" s="29"/>
      <c r="BY813" s="29"/>
      <c r="BZ813" s="29"/>
      <c r="CA813" s="29"/>
      <c r="CB813" s="29"/>
      <c r="CC813" s="29"/>
      <c r="CD813" s="29"/>
      <c r="CE813" s="29"/>
      <c r="CF813" s="29"/>
      <c r="CG813" s="29"/>
      <c r="CH813" s="29"/>
      <c r="CI813" s="29"/>
      <c r="CJ813" s="29"/>
      <c r="CK813" s="29"/>
      <c r="CL813" s="29"/>
      <c r="CM813" s="29"/>
      <c r="CN813" s="29"/>
      <c r="CO813" s="29"/>
      <c r="CP813" s="29"/>
      <c r="CQ813" s="29"/>
      <c r="CR813" s="29"/>
      <c r="CS813" s="29"/>
      <c r="CT813" s="29"/>
      <c r="CU813" s="29"/>
      <c r="CV813" s="29"/>
      <c r="CW813" s="29"/>
      <c r="CX813" s="29"/>
      <c r="CY813" s="29"/>
      <c r="CZ813" s="29"/>
      <c r="DA813" s="29"/>
      <c r="DB813" s="29"/>
      <c r="DC813" s="29"/>
      <c r="DD813" s="29"/>
      <c r="DE813" s="29"/>
      <c r="DF813" s="29"/>
      <c r="DG813" s="29"/>
      <c r="DH813" s="29"/>
      <c r="DI813" s="29"/>
      <c r="DJ813" s="29"/>
      <c r="DK813" s="29"/>
      <c r="DL813" s="29"/>
      <c r="DM813" s="29"/>
      <c r="DN813" s="29"/>
      <c r="DO813" s="29"/>
      <c r="DP813" s="29"/>
      <c r="DQ813" s="29"/>
      <c r="DR813" s="29"/>
      <c r="DS813" s="29"/>
      <c r="DT813" s="29"/>
      <c r="DU813" s="29"/>
      <c r="DV813" s="29"/>
      <c r="DW813" s="29"/>
      <c r="DX813" s="29"/>
      <c r="DY813" s="29"/>
      <c r="DZ813" s="29"/>
      <c r="EA813" s="29"/>
      <c r="EB813" s="29"/>
      <c r="EC813" s="29"/>
      <c r="ED813" s="29"/>
      <c r="EE813" s="29"/>
      <c r="EF813" s="29"/>
      <c r="EG813" s="29"/>
      <c r="EH813" s="29"/>
      <c r="EI813" s="29"/>
      <c r="EJ813" s="29"/>
      <c r="EK813" s="29"/>
      <c r="EL813" s="29"/>
      <c r="EM813" s="29"/>
      <c r="EN813" s="29"/>
      <c r="EO813" s="29"/>
      <c r="EP813" s="29"/>
      <c r="EQ813" s="29"/>
      <c r="ER813" s="29"/>
      <c r="ES813" s="29"/>
      <c r="ET813" s="29"/>
      <c r="EU813" s="29"/>
      <c r="EV813" s="29"/>
      <c r="EW813" s="29"/>
      <c r="EX813" s="29"/>
      <c r="EY813" s="29"/>
      <c r="EZ813" s="29"/>
      <c r="FA813" s="29"/>
      <c r="FB813" s="29"/>
      <c r="FC813" s="29"/>
      <c r="FD813" s="29"/>
      <c r="FE813" s="29"/>
      <c r="FF813" s="29"/>
      <c r="FG813" s="29"/>
      <c r="FH813" s="29"/>
      <c r="FI813" s="29"/>
      <c r="FJ813" s="29"/>
      <c r="FK813" s="29"/>
      <c r="FL813" s="29"/>
      <c r="FM813" s="29"/>
      <c r="FN813" s="29"/>
      <c r="FO813" s="29"/>
      <c r="FP813" s="29"/>
      <c r="FQ813" s="29"/>
      <c r="FR813" s="29"/>
      <c r="FS813" s="29"/>
      <c r="FT813" s="29"/>
      <c r="FU813" s="29"/>
      <c r="FV813" s="29"/>
      <c r="FW813" s="29"/>
      <c r="FX813" s="29"/>
      <c r="FY813" s="29"/>
      <c r="FZ813" s="29"/>
      <c r="GA813" s="29"/>
      <c r="GB813" s="29"/>
      <c r="GC813" s="29"/>
      <c r="GD813" s="29"/>
      <c r="GE813" s="29"/>
      <c r="GF813" s="29"/>
      <c r="GG813" s="29"/>
      <c r="GH813" s="29"/>
      <c r="GI813" s="29"/>
      <c r="GJ813" s="29"/>
      <c r="GK813" s="29"/>
      <c r="GL813" s="29"/>
      <c r="GM813" s="29"/>
      <c r="GN813" s="29"/>
      <c r="GO813" s="29"/>
      <c r="GP813" s="29"/>
      <c r="GQ813" s="29"/>
      <c r="GR813" s="29"/>
      <c r="GS813" s="29"/>
      <c r="GT813" s="29"/>
      <c r="GU813" s="29"/>
      <c r="HP813" s="31"/>
      <c r="MX813" s="29"/>
      <c r="MY813" s="29"/>
    </row>
    <row r="814" ht="16.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c r="AX814" s="29"/>
      <c r="AY814" s="29"/>
      <c r="AZ814" s="29"/>
      <c r="BA814" s="29"/>
      <c r="BB814" s="29"/>
      <c r="BC814" s="29"/>
      <c r="BD814" s="29"/>
      <c r="BE814" s="29"/>
      <c r="BF814" s="29"/>
      <c r="BG814" s="29"/>
      <c r="BH814" s="29"/>
      <c r="BI814" s="29"/>
      <c r="BJ814" s="29"/>
      <c r="BK814" s="29"/>
      <c r="BL814" s="29"/>
      <c r="BM814" s="29"/>
      <c r="BN814" s="29"/>
      <c r="BO814" s="29"/>
      <c r="BP814" s="29"/>
      <c r="BQ814" s="29"/>
      <c r="BR814" s="29"/>
      <c r="BS814" s="29"/>
      <c r="BT814" s="29"/>
      <c r="BU814" s="29"/>
      <c r="BV814" s="29"/>
      <c r="BW814" s="29"/>
      <c r="BX814" s="29"/>
      <c r="BY814" s="29"/>
      <c r="BZ814" s="29"/>
      <c r="CA814" s="29"/>
      <c r="CB814" s="29"/>
      <c r="CC814" s="29"/>
      <c r="CD814" s="29"/>
      <c r="CE814" s="29"/>
      <c r="CF814" s="29"/>
      <c r="CG814" s="29"/>
      <c r="CH814" s="29"/>
      <c r="CI814" s="29"/>
      <c r="CJ814" s="29"/>
      <c r="CK814" s="29"/>
      <c r="CL814" s="29"/>
      <c r="CM814" s="29"/>
      <c r="CN814" s="29"/>
      <c r="CO814" s="29"/>
      <c r="CP814" s="29"/>
      <c r="CQ814" s="29"/>
      <c r="CR814" s="29"/>
      <c r="CS814" s="29"/>
      <c r="CT814" s="29"/>
      <c r="CU814" s="29"/>
      <c r="CV814" s="29"/>
      <c r="CW814" s="29"/>
      <c r="CX814" s="29"/>
      <c r="CY814" s="29"/>
      <c r="CZ814" s="29"/>
      <c r="DA814" s="29"/>
      <c r="DB814" s="29"/>
      <c r="DC814" s="29"/>
      <c r="DD814" s="29"/>
      <c r="DE814" s="29"/>
      <c r="DF814" s="29"/>
      <c r="DG814" s="29"/>
      <c r="DH814" s="29"/>
      <c r="DI814" s="29"/>
      <c r="DJ814" s="29"/>
      <c r="DK814" s="29"/>
      <c r="DL814" s="29"/>
      <c r="DM814" s="29"/>
      <c r="DN814" s="29"/>
      <c r="DO814" s="29"/>
      <c r="DP814" s="29"/>
      <c r="DQ814" s="29"/>
      <c r="DR814" s="29"/>
      <c r="DS814" s="29"/>
      <c r="DT814" s="29"/>
      <c r="DU814" s="29"/>
      <c r="DV814" s="29"/>
      <c r="DW814" s="29"/>
      <c r="DX814" s="29"/>
      <c r="DY814" s="29"/>
      <c r="DZ814" s="29"/>
      <c r="EA814" s="29"/>
      <c r="EB814" s="29"/>
      <c r="EC814" s="29"/>
      <c r="ED814" s="29"/>
      <c r="EE814" s="29"/>
      <c r="EF814" s="29"/>
      <c r="EG814" s="29"/>
      <c r="EH814" s="29"/>
      <c r="EI814" s="29"/>
      <c r="EJ814" s="29"/>
      <c r="EK814" s="29"/>
      <c r="EL814" s="29"/>
      <c r="EM814" s="29"/>
      <c r="EN814" s="29"/>
      <c r="EO814" s="29"/>
      <c r="EP814" s="29"/>
      <c r="EQ814" s="29"/>
      <c r="ER814" s="29"/>
      <c r="ES814" s="29"/>
      <c r="ET814" s="29"/>
      <c r="EU814" s="29"/>
      <c r="EV814" s="29"/>
      <c r="EW814" s="29"/>
      <c r="EX814" s="29"/>
      <c r="EY814" s="29"/>
      <c r="EZ814" s="29"/>
      <c r="FA814" s="29"/>
      <c r="FB814" s="29"/>
      <c r="FC814" s="29"/>
      <c r="FD814" s="29"/>
      <c r="FE814" s="29"/>
      <c r="FF814" s="29"/>
      <c r="FG814" s="29"/>
      <c r="FH814" s="29"/>
      <c r="FI814" s="29"/>
      <c r="FJ814" s="29"/>
      <c r="FK814" s="29"/>
      <c r="FL814" s="29"/>
      <c r="FM814" s="29"/>
      <c r="FN814" s="29"/>
      <c r="FO814" s="29"/>
      <c r="FP814" s="29"/>
      <c r="FQ814" s="29"/>
      <c r="FR814" s="29"/>
      <c r="FS814" s="29"/>
      <c r="FT814" s="29"/>
      <c r="FU814" s="29"/>
      <c r="FV814" s="29"/>
      <c r="FW814" s="29"/>
      <c r="FX814" s="29"/>
      <c r="FY814" s="29"/>
      <c r="FZ814" s="29"/>
      <c r="GA814" s="29"/>
      <c r="GB814" s="29"/>
      <c r="GC814" s="29"/>
      <c r="GD814" s="29"/>
      <c r="GE814" s="29"/>
      <c r="GF814" s="29"/>
      <c r="GG814" s="29"/>
      <c r="GH814" s="29"/>
      <c r="GI814" s="29"/>
      <c r="GJ814" s="29"/>
      <c r="GK814" s="29"/>
      <c r="GL814" s="29"/>
      <c r="GM814" s="29"/>
      <c r="GN814" s="29"/>
      <c r="GO814" s="29"/>
      <c r="GP814" s="29"/>
      <c r="GQ814" s="29"/>
      <c r="GR814" s="29"/>
      <c r="GS814" s="29"/>
      <c r="GT814" s="29"/>
      <c r="GU814" s="29"/>
      <c r="HP814" s="31"/>
      <c r="MX814" s="29"/>
      <c r="MY814" s="29"/>
    </row>
    <row r="815" ht="16.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c r="BO815" s="29"/>
      <c r="BP815" s="29"/>
      <c r="BQ815" s="29"/>
      <c r="BR815" s="29"/>
      <c r="BS815" s="29"/>
      <c r="BT815" s="29"/>
      <c r="BU815" s="29"/>
      <c r="BV815" s="29"/>
      <c r="BW815" s="29"/>
      <c r="BX815" s="29"/>
      <c r="BY815" s="29"/>
      <c r="BZ815" s="29"/>
      <c r="CA815" s="29"/>
      <c r="CB815" s="29"/>
      <c r="CC815" s="29"/>
      <c r="CD815" s="29"/>
      <c r="CE815" s="29"/>
      <c r="CF815" s="29"/>
      <c r="CG815" s="29"/>
      <c r="CH815" s="29"/>
      <c r="CI815" s="29"/>
      <c r="CJ815" s="29"/>
      <c r="CK815" s="29"/>
      <c r="CL815" s="29"/>
      <c r="CM815" s="29"/>
      <c r="CN815" s="29"/>
      <c r="CO815" s="29"/>
      <c r="CP815" s="29"/>
      <c r="CQ815" s="29"/>
      <c r="CR815" s="29"/>
      <c r="CS815" s="29"/>
      <c r="CT815" s="29"/>
      <c r="CU815" s="29"/>
      <c r="CV815" s="29"/>
      <c r="CW815" s="29"/>
      <c r="CX815" s="29"/>
      <c r="CY815" s="29"/>
      <c r="CZ815" s="29"/>
      <c r="DA815" s="29"/>
      <c r="DB815" s="29"/>
      <c r="DC815" s="29"/>
      <c r="DD815" s="29"/>
      <c r="DE815" s="29"/>
      <c r="DF815" s="29"/>
      <c r="DG815" s="29"/>
      <c r="DH815" s="29"/>
      <c r="DI815" s="29"/>
      <c r="DJ815" s="29"/>
      <c r="DK815" s="29"/>
      <c r="DL815" s="29"/>
      <c r="DM815" s="29"/>
      <c r="DN815" s="29"/>
      <c r="DO815" s="29"/>
      <c r="DP815" s="29"/>
      <c r="DQ815" s="29"/>
      <c r="DR815" s="29"/>
      <c r="DS815" s="29"/>
      <c r="DT815" s="29"/>
      <c r="DU815" s="29"/>
      <c r="DV815" s="29"/>
      <c r="DW815" s="29"/>
      <c r="DX815" s="29"/>
      <c r="DY815" s="29"/>
      <c r="DZ815" s="29"/>
      <c r="EA815" s="29"/>
      <c r="EB815" s="29"/>
      <c r="EC815" s="29"/>
      <c r="ED815" s="29"/>
      <c r="EE815" s="29"/>
      <c r="EF815" s="29"/>
      <c r="EG815" s="29"/>
      <c r="EH815" s="29"/>
      <c r="EI815" s="29"/>
      <c r="EJ815" s="29"/>
      <c r="EK815" s="29"/>
      <c r="EL815" s="29"/>
      <c r="EM815" s="29"/>
      <c r="EN815" s="29"/>
      <c r="EO815" s="29"/>
      <c r="EP815" s="29"/>
      <c r="EQ815" s="29"/>
      <c r="ER815" s="29"/>
      <c r="ES815" s="29"/>
      <c r="ET815" s="29"/>
      <c r="EU815" s="29"/>
      <c r="EV815" s="29"/>
      <c r="EW815" s="29"/>
      <c r="EX815" s="29"/>
      <c r="EY815" s="29"/>
      <c r="EZ815" s="29"/>
      <c r="FA815" s="29"/>
      <c r="FB815" s="29"/>
      <c r="FC815" s="29"/>
      <c r="FD815" s="29"/>
      <c r="FE815" s="29"/>
      <c r="FF815" s="29"/>
      <c r="FG815" s="29"/>
      <c r="FH815" s="29"/>
      <c r="FI815" s="29"/>
      <c r="FJ815" s="29"/>
      <c r="FK815" s="29"/>
      <c r="FL815" s="29"/>
      <c r="FM815" s="29"/>
      <c r="FN815" s="29"/>
      <c r="FO815" s="29"/>
      <c r="FP815" s="29"/>
      <c r="FQ815" s="29"/>
      <c r="FR815" s="29"/>
      <c r="FS815" s="29"/>
      <c r="FT815" s="29"/>
      <c r="FU815" s="29"/>
      <c r="FV815" s="29"/>
      <c r="FW815" s="29"/>
      <c r="FX815" s="29"/>
      <c r="FY815" s="29"/>
      <c r="FZ815" s="29"/>
      <c r="GA815" s="29"/>
      <c r="GB815" s="29"/>
      <c r="GC815" s="29"/>
      <c r="GD815" s="29"/>
      <c r="GE815" s="29"/>
      <c r="GF815" s="29"/>
      <c r="GG815" s="29"/>
      <c r="GH815" s="29"/>
      <c r="GI815" s="29"/>
      <c r="GJ815" s="29"/>
      <c r="GK815" s="29"/>
      <c r="GL815" s="29"/>
      <c r="GM815" s="29"/>
      <c r="GN815" s="29"/>
      <c r="GO815" s="29"/>
      <c r="GP815" s="29"/>
      <c r="GQ815" s="29"/>
      <c r="GR815" s="29"/>
      <c r="GS815" s="29"/>
      <c r="GT815" s="29"/>
      <c r="GU815" s="29"/>
      <c r="HP815" s="31"/>
      <c r="MX815" s="29"/>
      <c r="MY815" s="29"/>
    </row>
    <row r="816" ht="16.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c r="AX816" s="29"/>
      <c r="AY816" s="29"/>
      <c r="AZ816" s="29"/>
      <c r="BA816" s="29"/>
      <c r="BB816" s="29"/>
      <c r="BC816" s="29"/>
      <c r="BD816" s="29"/>
      <c r="BE816" s="29"/>
      <c r="BF816" s="29"/>
      <c r="BG816" s="29"/>
      <c r="BH816" s="29"/>
      <c r="BI816" s="29"/>
      <c r="BJ816" s="29"/>
      <c r="BK816" s="29"/>
      <c r="BL816" s="29"/>
      <c r="BM816" s="29"/>
      <c r="BN816" s="29"/>
      <c r="BO816" s="29"/>
      <c r="BP816" s="29"/>
      <c r="BQ816" s="29"/>
      <c r="BR816" s="29"/>
      <c r="BS816" s="29"/>
      <c r="BT816" s="29"/>
      <c r="BU816" s="29"/>
      <c r="BV816" s="29"/>
      <c r="BW816" s="29"/>
      <c r="BX816" s="29"/>
      <c r="BY816" s="29"/>
      <c r="BZ816" s="29"/>
      <c r="CA816" s="29"/>
      <c r="CB816" s="29"/>
      <c r="CC816" s="29"/>
      <c r="CD816" s="29"/>
      <c r="CE816" s="29"/>
      <c r="CF816" s="29"/>
      <c r="CG816" s="29"/>
      <c r="CH816" s="29"/>
      <c r="CI816" s="29"/>
      <c r="CJ816" s="29"/>
      <c r="CK816" s="29"/>
      <c r="CL816" s="29"/>
      <c r="CM816" s="29"/>
      <c r="CN816" s="29"/>
      <c r="CO816" s="29"/>
      <c r="CP816" s="29"/>
      <c r="CQ816" s="29"/>
      <c r="CR816" s="29"/>
      <c r="CS816" s="29"/>
      <c r="CT816" s="29"/>
      <c r="CU816" s="29"/>
      <c r="CV816" s="29"/>
      <c r="CW816" s="29"/>
      <c r="CX816" s="29"/>
      <c r="CY816" s="29"/>
      <c r="CZ816" s="29"/>
      <c r="DA816" s="29"/>
      <c r="DB816" s="29"/>
      <c r="DC816" s="29"/>
      <c r="DD816" s="29"/>
      <c r="DE816" s="29"/>
      <c r="DF816" s="29"/>
      <c r="DG816" s="29"/>
      <c r="DH816" s="29"/>
      <c r="DI816" s="29"/>
      <c r="DJ816" s="29"/>
      <c r="DK816" s="29"/>
      <c r="DL816" s="29"/>
      <c r="DM816" s="29"/>
      <c r="DN816" s="29"/>
      <c r="DO816" s="29"/>
      <c r="DP816" s="29"/>
      <c r="DQ816" s="29"/>
      <c r="DR816" s="29"/>
      <c r="DS816" s="29"/>
      <c r="DT816" s="29"/>
      <c r="DU816" s="29"/>
      <c r="DV816" s="29"/>
      <c r="DW816" s="29"/>
      <c r="DX816" s="29"/>
      <c r="DY816" s="29"/>
      <c r="DZ816" s="29"/>
      <c r="EA816" s="29"/>
      <c r="EB816" s="29"/>
      <c r="EC816" s="29"/>
      <c r="ED816" s="29"/>
      <c r="EE816" s="29"/>
      <c r="EF816" s="29"/>
      <c r="EG816" s="29"/>
      <c r="EH816" s="29"/>
      <c r="EI816" s="29"/>
      <c r="EJ816" s="29"/>
      <c r="EK816" s="29"/>
      <c r="EL816" s="29"/>
      <c r="EM816" s="29"/>
      <c r="EN816" s="29"/>
      <c r="EO816" s="29"/>
      <c r="EP816" s="29"/>
      <c r="EQ816" s="29"/>
      <c r="ER816" s="29"/>
      <c r="ES816" s="29"/>
      <c r="ET816" s="29"/>
      <c r="EU816" s="29"/>
      <c r="EV816" s="29"/>
      <c r="EW816" s="29"/>
      <c r="EX816" s="29"/>
      <c r="EY816" s="29"/>
      <c r="EZ816" s="29"/>
      <c r="FA816" s="29"/>
      <c r="FB816" s="29"/>
      <c r="FC816" s="29"/>
      <c r="FD816" s="29"/>
      <c r="FE816" s="29"/>
      <c r="FF816" s="29"/>
      <c r="FG816" s="29"/>
      <c r="FH816" s="29"/>
      <c r="FI816" s="29"/>
      <c r="FJ816" s="29"/>
      <c r="FK816" s="29"/>
      <c r="FL816" s="29"/>
      <c r="FM816" s="29"/>
      <c r="FN816" s="29"/>
      <c r="FO816" s="29"/>
      <c r="FP816" s="29"/>
      <c r="FQ816" s="29"/>
      <c r="FR816" s="29"/>
      <c r="FS816" s="29"/>
      <c r="FT816" s="29"/>
      <c r="FU816" s="29"/>
      <c r="FV816" s="29"/>
      <c r="FW816" s="29"/>
      <c r="FX816" s="29"/>
      <c r="FY816" s="29"/>
      <c r="FZ816" s="29"/>
      <c r="GA816" s="29"/>
      <c r="GB816" s="29"/>
      <c r="GC816" s="29"/>
      <c r="GD816" s="29"/>
      <c r="GE816" s="29"/>
      <c r="GF816" s="29"/>
      <c r="GG816" s="29"/>
      <c r="GH816" s="29"/>
      <c r="GI816" s="29"/>
      <c r="GJ816" s="29"/>
      <c r="GK816" s="29"/>
      <c r="GL816" s="29"/>
      <c r="GM816" s="29"/>
      <c r="GN816" s="29"/>
      <c r="GO816" s="29"/>
      <c r="GP816" s="29"/>
      <c r="GQ816" s="29"/>
      <c r="GR816" s="29"/>
      <c r="GS816" s="29"/>
      <c r="GT816" s="29"/>
      <c r="GU816" s="29"/>
      <c r="HP816" s="31"/>
      <c r="MX816" s="29"/>
      <c r="MY816" s="29"/>
    </row>
    <row r="817" ht="16.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c r="BO817" s="29"/>
      <c r="BP817" s="29"/>
      <c r="BQ817" s="29"/>
      <c r="BR817" s="29"/>
      <c r="BS817" s="29"/>
      <c r="BT817" s="29"/>
      <c r="BU817" s="29"/>
      <c r="BV817" s="29"/>
      <c r="BW817" s="29"/>
      <c r="BX817" s="29"/>
      <c r="BY817" s="29"/>
      <c r="BZ817" s="29"/>
      <c r="CA817" s="29"/>
      <c r="CB817" s="29"/>
      <c r="CC817" s="29"/>
      <c r="CD817" s="29"/>
      <c r="CE817" s="29"/>
      <c r="CF817" s="29"/>
      <c r="CG817" s="29"/>
      <c r="CH817" s="29"/>
      <c r="CI817" s="29"/>
      <c r="CJ817" s="29"/>
      <c r="CK817" s="29"/>
      <c r="CL817" s="29"/>
      <c r="CM817" s="29"/>
      <c r="CN817" s="29"/>
      <c r="CO817" s="29"/>
      <c r="CP817" s="29"/>
      <c r="CQ817" s="29"/>
      <c r="CR817" s="29"/>
      <c r="CS817" s="29"/>
      <c r="CT817" s="29"/>
      <c r="CU817" s="29"/>
      <c r="CV817" s="29"/>
      <c r="CW817" s="29"/>
      <c r="CX817" s="29"/>
      <c r="CY817" s="29"/>
      <c r="CZ817" s="29"/>
      <c r="DA817" s="29"/>
      <c r="DB817" s="29"/>
      <c r="DC817" s="29"/>
      <c r="DD817" s="29"/>
      <c r="DE817" s="29"/>
      <c r="DF817" s="29"/>
      <c r="DG817" s="29"/>
      <c r="DH817" s="29"/>
      <c r="DI817" s="29"/>
      <c r="DJ817" s="29"/>
      <c r="DK817" s="29"/>
      <c r="DL817" s="29"/>
      <c r="DM817" s="29"/>
      <c r="DN817" s="29"/>
      <c r="DO817" s="29"/>
      <c r="DP817" s="29"/>
      <c r="DQ817" s="29"/>
      <c r="DR817" s="29"/>
      <c r="DS817" s="29"/>
      <c r="DT817" s="29"/>
      <c r="DU817" s="29"/>
      <c r="DV817" s="29"/>
      <c r="DW817" s="29"/>
      <c r="DX817" s="29"/>
      <c r="DY817" s="29"/>
      <c r="DZ817" s="29"/>
      <c r="EA817" s="29"/>
      <c r="EB817" s="29"/>
      <c r="EC817" s="29"/>
      <c r="ED817" s="29"/>
      <c r="EE817" s="29"/>
      <c r="EF817" s="29"/>
      <c r="EG817" s="29"/>
      <c r="EH817" s="29"/>
      <c r="EI817" s="29"/>
      <c r="EJ817" s="29"/>
      <c r="EK817" s="29"/>
      <c r="EL817" s="29"/>
      <c r="EM817" s="29"/>
      <c r="EN817" s="29"/>
      <c r="EO817" s="29"/>
      <c r="EP817" s="29"/>
      <c r="EQ817" s="29"/>
      <c r="ER817" s="29"/>
      <c r="ES817" s="29"/>
      <c r="ET817" s="29"/>
      <c r="EU817" s="29"/>
      <c r="EV817" s="29"/>
      <c r="EW817" s="29"/>
      <c r="EX817" s="29"/>
      <c r="EY817" s="29"/>
      <c r="EZ817" s="29"/>
      <c r="FA817" s="29"/>
      <c r="FB817" s="29"/>
      <c r="FC817" s="29"/>
      <c r="FD817" s="29"/>
      <c r="FE817" s="29"/>
      <c r="FF817" s="29"/>
      <c r="FG817" s="29"/>
      <c r="FH817" s="29"/>
      <c r="FI817" s="29"/>
      <c r="FJ817" s="29"/>
      <c r="FK817" s="29"/>
      <c r="FL817" s="29"/>
      <c r="FM817" s="29"/>
      <c r="FN817" s="29"/>
      <c r="FO817" s="29"/>
      <c r="FP817" s="29"/>
      <c r="FQ817" s="29"/>
      <c r="FR817" s="29"/>
      <c r="FS817" s="29"/>
      <c r="FT817" s="29"/>
      <c r="FU817" s="29"/>
      <c r="FV817" s="29"/>
      <c r="FW817" s="29"/>
      <c r="FX817" s="29"/>
      <c r="FY817" s="29"/>
      <c r="FZ817" s="29"/>
      <c r="GA817" s="29"/>
      <c r="GB817" s="29"/>
      <c r="GC817" s="29"/>
      <c r="GD817" s="29"/>
      <c r="GE817" s="29"/>
      <c r="GF817" s="29"/>
      <c r="GG817" s="29"/>
      <c r="GH817" s="29"/>
      <c r="GI817" s="29"/>
      <c r="GJ817" s="29"/>
      <c r="GK817" s="29"/>
      <c r="GL817" s="29"/>
      <c r="GM817" s="29"/>
      <c r="GN817" s="29"/>
      <c r="GO817" s="29"/>
      <c r="GP817" s="29"/>
      <c r="GQ817" s="29"/>
      <c r="GR817" s="29"/>
      <c r="GS817" s="29"/>
      <c r="GT817" s="29"/>
      <c r="GU817" s="29"/>
      <c r="HP817" s="31"/>
      <c r="MX817" s="29"/>
      <c r="MY817" s="29"/>
    </row>
    <row r="818" ht="16.5" customHeight="1">
      <c r="HP818" s="31"/>
      <c r="MX818" s="29"/>
      <c r="MY818" s="29"/>
    </row>
    <row r="819" ht="16.5" customHeight="1">
      <c r="HP819" s="31"/>
      <c r="MX819" s="29"/>
      <c r="MY819" s="29"/>
    </row>
    <row r="820" ht="16.5" customHeight="1">
      <c r="HP820" s="31"/>
      <c r="MX820" s="29"/>
      <c r="MY820" s="29"/>
    </row>
    <row r="821" ht="16.5" customHeight="1">
      <c r="HP821" s="31"/>
      <c r="MX821" s="29"/>
      <c r="MY821" s="29"/>
    </row>
    <row r="822" ht="16.5" customHeight="1">
      <c r="HP822" s="31"/>
      <c r="MX822" s="29"/>
      <c r="MY822" s="29"/>
    </row>
    <row r="823" ht="16.5" customHeight="1">
      <c r="HP823" s="31"/>
      <c r="MX823" s="29"/>
      <c r="MY823" s="29"/>
    </row>
    <row r="824" ht="16.5" customHeight="1">
      <c r="HP824" s="31"/>
      <c r="MX824" s="29"/>
      <c r="MY824" s="29"/>
    </row>
    <row r="825" ht="16.5" customHeight="1">
      <c r="HP825" s="31"/>
      <c r="MX825" s="29"/>
      <c r="MY825" s="29"/>
    </row>
    <row r="826" ht="16.5" customHeight="1">
      <c r="HP826" s="31"/>
      <c r="MX826" s="29"/>
      <c r="MY826" s="29"/>
    </row>
    <row r="827" ht="16.5" customHeight="1">
      <c r="HP827" s="31"/>
      <c r="MX827" s="29"/>
      <c r="MY827" s="29"/>
    </row>
    <row r="828" ht="16.5" customHeight="1">
      <c r="HP828" s="31"/>
      <c r="MX828" s="29"/>
      <c r="MY828" s="29"/>
    </row>
    <row r="829" ht="16.5" customHeight="1">
      <c r="HP829" s="31"/>
      <c r="MX829" s="29"/>
      <c r="MY829" s="29"/>
    </row>
    <row r="830" ht="16.5" customHeight="1">
      <c r="HP830" s="31"/>
      <c r="MX830" s="29"/>
      <c r="MY830" s="29"/>
    </row>
    <row r="831" ht="16.5" customHeight="1">
      <c r="HP831" s="31"/>
      <c r="MX831" s="29"/>
      <c r="MY831" s="29"/>
    </row>
    <row r="832" ht="16.5" customHeight="1">
      <c r="HP832" s="31"/>
      <c r="MX832" s="29"/>
      <c r="MY832" s="29"/>
    </row>
    <row r="833" ht="16.5" customHeight="1">
      <c r="HP833" s="31"/>
      <c r="MX833" s="29"/>
      <c r="MY833" s="29"/>
    </row>
    <row r="834" ht="16.5" customHeight="1">
      <c r="HP834" s="31"/>
      <c r="MX834" s="29"/>
      <c r="MY834" s="29"/>
    </row>
    <row r="835" ht="16.5" customHeight="1">
      <c r="HP835" s="31"/>
      <c r="MX835" s="29"/>
      <c r="MY835" s="29"/>
    </row>
    <row r="836" ht="16.5" customHeight="1">
      <c r="HP836" s="31"/>
      <c r="MX836" s="29"/>
      <c r="MY836" s="29"/>
    </row>
    <row r="837" ht="16.5" customHeight="1">
      <c r="HP837" s="31"/>
      <c r="MX837" s="29"/>
      <c r="MY837" s="29"/>
    </row>
    <row r="838" ht="16.5" customHeight="1">
      <c r="HP838" s="31"/>
      <c r="MX838" s="29"/>
      <c r="MY838" s="29"/>
    </row>
    <row r="839" ht="16.5" customHeight="1">
      <c r="HP839" s="31"/>
      <c r="MX839" s="29"/>
      <c r="MY839" s="29"/>
    </row>
    <row r="840" ht="16.5" customHeight="1">
      <c r="HP840" s="31"/>
      <c r="MX840" s="29"/>
      <c r="MY840" s="29"/>
    </row>
    <row r="841" ht="16.5" customHeight="1">
      <c r="HP841" s="31"/>
      <c r="MX841" s="29"/>
      <c r="MY841" s="29"/>
    </row>
    <row r="842" ht="16.5" customHeight="1">
      <c r="HP842" s="31"/>
      <c r="MX842" s="29"/>
      <c r="MY842" s="29"/>
    </row>
    <row r="843" ht="16.5" customHeight="1">
      <c r="HP843" s="31"/>
      <c r="MX843" s="29"/>
      <c r="MY843" s="29"/>
    </row>
    <row r="844" ht="16.5" customHeight="1">
      <c r="HP844" s="31"/>
      <c r="MX844" s="29"/>
      <c r="MY844" s="29"/>
    </row>
    <row r="845" ht="16.5" customHeight="1">
      <c r="HP845" s="31"/>
      <c r="MX845" s="29"/>
      <c r="MY845" s="29"/>
    </row>
    <row r="846" ht="16.5" customHeight="1">
      <c r="HP846" s="31"/>
      <c r="MX846" s="29"/>
      <c r="MY846" s="29"/>
    </row>
    <row r="847" ht="16.5" customHeight="1">
      <c r="HP847" s="31"/>
      <c r="MX847" s="29"/>
      <c r="MY847" s="29"/>
    </row>
    <row r="848" ht="16.5" customHeight="1">
      <c r="HP848" s="31"/>
      <c r="MX848" s="29"/>
      <c r="MY848" s="29"/>
    </row>
    <row r="849" ht="16.5" customHeight="1">
      <c r="HP849" s="31"/>
      <c r="MX849" s="29"/>
      <c r="MY849" s="29"/>
    </row>
    <row r="850" ht="16.5" customHeight="1">
      <c r="HP850" s="31"/>
      <c r="MX850" s="29"/>
      <c r="MY850" s="29"/>
    </row>
    <row r="851" ht="16.5" customHeight="1">
      <c r="HP851" s="31"/>
      <c r="MX851" s="29"/>
      <c r="MY851" s="29"/>
    </row>
    <row r="852" ht="16.5" customHeight="1">
      <c r="HP852" s="31"/>
      <c r="MX852" s="29"/>
      <c r="MY852" s="29"/>
    </row>
    <row r="853" ht="16.5" customHeight="1">
      <c r="HP853" s="31"/>
      <c r="MX853" s="29"/>
      <c r="MY853" s="29"/>
    </row>
    <row r="854" ht="16.5" customHeight="1">
      <c r="HP854" s="31"/>
      <c r="MX854" s="29"/>
      <c r="MY854" s="29"/>
    </row>
    <row r="855" ht="16.5" customHeight="1">
      <c r="HP855" s="31"/>
      <c r="MX855" s="29"/>
      <c r="MY855" s="29"/>
    </row>
    <row r="856" ht="16.5" customHeight="1">
      <c r="HP856" s="31"/>
      <c r="MX856" s="29"/>
      <c r="MY856" s="29"/>
    </row>
    <row r="857" ht="16.5" customHeight="1">
      <c r="HP857" s="31"/>
      <c r="MX857" s="29"/>
      <c r="MY857" s="29"/>
    </row>
    <row r="858" ht="16.5" customHeight="1">
      <c r="HP858" s="31"/>
      <c r="MX858" s="29"/>
      <c r="MY858" s="29"/>
    </row>
    <row r="859" ht="16.5" customHeight="1">
      <c r="HP859" s="31"/>
      <c r="MX859" s="29"/>
      <c r="MY859" s="29"/>
    </row>
    <row r="860" ht="16.5" customHeight="1">
      <c r="HP860" s="31"/>
      <c r="MX860" s="29"/>
      <c r="MY860" s="29"/>
    </row>
    <row r="861" ht="16.5" customHeight="1">
      <c r="HP861" s="31"/>
      <c r="MX861" s="29"/>
      <c r="MY861" s="29"/>
    </row>
    <row r="862" ht="16.5" customHeight="1">
      <c r="HP862" s="31"/>
      <c r="MX862" s="29"/>
      <c r="MY862" s="29"/>
    </row>
    <row r="863" ht="16.5" customHeight="1">
      <c r="HP863" s="31"/>
      <c r="MX863" s="29"/>
      <c r="MY863" s="29"/>
    </row>
    <row r="864" ht="16.5" customHeight="1">
      <c r="HP864" s="31"/>
      <c r="MX864" s="29"/>
      <c r="MY864" s="29"/>
    </row>
    <row r="865" ht="16.5" customHeight="1">
      <c r="HP865" s="31"/>
      <c r="MX865" s="29"/>
      <c r="MY865" s="29"/>
    </row>
    <row r="866" ht="16.5" customHeight="1">
      <c r="HP866" s="31"/>
      <c r="MX866" s="29"/>
      <c r="MY866" s="29"/>
    </row>
    <row r="867" ht="16.5" customHeight="1">
      <c r="HP867" s="31"/>
      <c r="MX867" s="29"/>
      <c r="MY867" s="29"/>
    </row>
    <row r="868" ht="16.5" customHeight="1">
      <c r="HP868" s="31"/>
      <c r="MX868" s="29"/>
      <c r="MY868" s="29"/>
    </row>
    <row r="869" ht="16.5" customHeight="1">
      <c r="HP869" s="31"/>
      <c r="MX869" s="29"/>
      <c r="MY869" s="29"/>
    </row>
    <row r="870" ht="16.5" customHeight="1">
      <c r="HP870" s="31"/>
      <c r="MX870" s="29"/>
      <c r="MY870" s="29"/>
    </row>
    <row r="871" ht="16.5" customHeight="1">
      <c r="HP871" s="31"/>
      <c r="MX871" s="29"/>
      <c r="MY871" s="29"/>
    </row>
    <row r="872" ht="16.5" customHeight="1">
      <c r="HP872" s="31"/>
      <c r="MX872" s="29"/>
      <c r="MY872" s="29"/>
    </row>
    <row r="873" ht="16.5" customHeight="1">
      <c r="HP873" s="31"/>
      <c r="MX873" s="29"/>
      <c r="MY873" s="29"/>
    </row>
    <row r="874" ht="16.5" customHeight="1">
      <c r="HP874" s="31"/>
      <c r="MX874" s="29"/>
      <c r="MY874" s="29"/>
    </row>
    <row r="875" ht="16.5" customHeight="1">
      <c r="HP875" s="31"/>
      <c r="MX875" s="29"/>
      <c r="MY875" s="29"/>
    </row>
    <row r="876" ht="16.5" customHeight="1">
      <c r="HP876" s="31"/>
      <c r="MX876" s="29"/>
      <c r="MY876" s="29"/>
    </row>
    <row r="877" ht="16.5" customHeight="1">
      <c r="HP877" s="31"/>
      <c r="MX877" s="29"/>
      <c r="MY877" s="29"/>
    </row>
    <row r="878" ht="16.5" customHeight="1">
      <c r="HP878" s="31"/>
      <c r="MX878" s="29"/>
      <c r="MY878" s="29"/>
    </row>
    <row r="879" ht="16.5" customHeight="1">
      <c r="HP879" s="31"/>
      <c r="MX879" s="29"/>
      <c r="MY879" s="29"/>
    </row>
    <row r="880" ht="16.5" customHeight="1">
      <c r="HP880" s="31"/>
      <c r="MX880" s="29"/>
      <c r="MY880" s="29"/>
    </row>
    <row r="881" ht="16.5" customHeight="1">
      <c r="HP881" s="31"/>
      <c r="MX881" s="29"/>
      <c r="MY881" s="29"/>
    </row>
    <row r="882" ht="16.5" customHeight="1">
      <c r="HP882" s="31"/>
      <c r="MX882" s="29"/>
      <c r="MY882" s="29"/>
    </row>
    <row r="883" ht="16.5" customHeight="1">
      <c r="HP883" s="31"/>
      <c r="MX883" s="29"/>
      <c r="MY883" s="29"/>
    </row>
    <row r="884" ht="16.5" customHeight="1">
      <c r="HP884" s="31"/>
      <c r="MX884" s="29"/>
      <c r="MY884" s="29"/>
    </row>
    <row r="885" ht="16.5" customHeight="1">
      <c r="HP885" s="31"/>
      <c r="MX885" s="29"/>
      <c r="MY885" s="29"/>
    </row>
    <row r="886" ht="16.5" customHeight="1">
      <c r="HP886" s="31"/>
      <c r="MX886" s="29"/>
      <c r="MY886" s="29"/>
    </row>
    <row r="887" ht="16.5" customHeight="1">
      <c r="HP887" s="31"/>
      <c r="MX887" s="29"/>
      <c r="MY887" s="29"/>
    </row>
    <row r="888" ht="16.5" customHeight="1">
      <c r="HP888" s="31"/>
      <c r="MX888" s="29"/>
      <c r="MY888" s="29"/>
    </row>
    <row r="889" ht="16.5" customHeight="1">
      <c r="HP889" s="31"/>
      <c r="MX889" s="29"/>
      <c r="MY889" s="29"/>
    </row>
    <row r="890" ht="16.5" customHeight="1">
      <c r="HP890" s="31"/>
      <c r="MX890" s="29"/>
      <c r="MY890" s="29"/>
    </row>
    <row r="891" ht="16.5" customHeight="1">
      <c r="HP891" s="31"/>
      <c r="MX891" s="29"/>
      <c r="MY891" s="29"/>
    </row>
    <row r="892" ht="16.5" customHeight="1">
      <c r="HP892" s="31"/>
      <c r="MX892" s="29"/>
      <c r="MY892" s="29"/>
    </row>
    <row r="893" ht="16.5" customHeight="1">
      <c r="HP893" s="31"/>
      <c r="MX893" s="29"/>
      <c r="MY893" s="29"/>
    </row>
    <row r="894" ht="16.5" customHeight="1">
      <c r="HP894" s="31"/>
      <c r="MX894" s="29"/>
      <c r="MY894" s="29"/>
    </row>
    <row r="895" ht="16.5" customHeight="1">
      <c r="HP895" s="31"/>
      <c r="MX895" s="29"/>
      <c r="MY895" s="29"/>
    </row>
    <row r="896" ht="16.5" customHeight="1">
      <c r="HP896" s="31"/>
      <c r="MX896" s="29"/>
      <c r="MY896" s="29"/>
    </row>
    <row r="897" ht="16.5" customHeight="1">
      <c r="HP897" s="31"/>
      <c r="MX897" s="29"/>
      <c r="MY897" s="29"/>
    </row>
    <row r="898" ht="16.5" customHeight="1">
      <c r="HP898" s="31"/>
      <c r="MX898" s="29"/>
      <c r="MY898" s="29"/>
    </row>
    <row r="899" ht="16.5" customHeight="1">
      <c r="HP899" s="31"/>
      <c r="MX899" s="29"/>
      <c r="MY899" s="29"/>
    </row>
    <row r="900" ht="16.5" customHeight="1">
      <c r="HP900" s="31"/>
      <c r="MX900" s="29"/>
      <c r="MY900" s="29"/>
    </row>
    <row r="901" ht="16.5" customHeight="1">
      <c r="HP901" s="31"/>
      <c r="MX901" s="29"/>
      <c r="MY901" s="29"/>
    </row>
    <row r="902" ht="16.5" customHeight="1">
      <c r="HP902" s="31"/>
      <c r="MX902" s="29"/>
      <c r="MY902" s="29"/>
    </row>
    <row r="903" ht="16.5" customHeight="1">
      <c r="HP903" s="31"/>
      <c r="MX903" s="29"/>
      <c r="MY903" s="29"/>
    </row>
    <row r="904" ht="16.5" customHeight="1">
      <c r="HP904" s="31"/>
      <c r="MX904" s="29"/>
      <c r="MY904" s="29"/>
    </row>
    <row r="905" ht="16.5" customHeight="1">
      <c r="HP905" s="31"/>
      <c r="MX905" s="29"/>
      <c r="MY905" s="29"/>
    </row>
    <row r="906" ht="16.5" customHeight="1">
      <c r="HP906" s="31"/>
      <c r="MX906" s="29"/>
      <c r="MY906" s="29"/>
    </row>
    <row r="907" ht="16.5" customHeight="1">
      <c r="HP907" s="31"/>
      <c r="MX907" s="29"/>
      <c r="MY907" s="29"/>
    </row>
    <row r="908" ht="16.5" customHeight="1">
      <c r="HP908" s="31"/>
      <c r="MX908" s="29"/>
      <c r="MY908" s="29"/>
    </row>
    <row r="909" ht="16.5" customHeight="1">
      <c r="HP909" s="31"/>
      <c r="MX909" s="29"/>
      <c r="MY909" s="29"/>
    </row>
    <row r="910" ht="16.5" customHeight="1">
      <c r="HP910" s="31"/>
      <c r="MX910" s="29"/>
      <c r="MY910" s="29"/>
    </row>
    <row r="911" ht="16.5" customHeight="1">
      <c r="HP911" s="31"/>
      <c r="MX911" s="29"/>
      <c r="MY911" s="29"/>
    </row>
    <row r="912" ht="16.5" customHeight="1">
      <c r="HP912" s="31"/>
      <c r="MX912" s="29"/>
      <c r="MY912" s="29"/>
    </row>
    <row r="913" ht="16.5" customHeight="1">
      <c r="HP913" s="31"/>
      <c r="MX913" s="29"/>
      <c r="MY913" s="29"/>
    </row>
    <row r="914" ht="16.5" customHeight="1">
      <c r="HP914" s="31"/>
      <c r="MX914" s="29"/>
      <c r="MY914" s="29"/>
    </row>
    <row r="915" ht="16.5" customHeight="1">
      <c r="HP915" s="31"/>
      <c r="MX915" s="29"/>
      <c r="MY915" s="29"/>
    </row>
    <row r="916" ht="16.5" customHeight="1">
      <c r="HP916" s="31"/>
      <c r="MX916" s="29"/>
      <c r="MY916" s="29"/>
    </row>
    <row r="917" ht="16.5" customHeight="1">
      <c r="HP917" s="31"/>
      <c r="MX917" s="29"/>
      <c r="MY917" s="29"/>
    </row>
    <row r="918" ht="16.5" customHeight="1">
      <c r="HP918" s="31"/>
      <c r="MX918" s="29"/>
      <c r="MY918" s="29"/>
    </row>
    <row r="919" ht="16.5" customHeight="1">
      <c r="HP919" s="31"/>
      <c r="MX919" s="29"/>
      <c r="MY919" s="29"/>
    </row>
    <row r="920" ht="16.5" customHeight="1">
      <c r="HP920" s="31"/>
      <c r="MX920" s="29"/>
      <c r="MY920" s="29"/>
    </row>
    <row r="921" ht="16.5" customHeight="1">
      <c r="HP921" s="31"/>
      <c r="MX921" s="29"/>
      <c r="MY921" s="29"/>
    </row>
    <row r="922" ht="16.5" customHeight="1">
      <c r="HP922" s="31"/>
      <c r="MX922" s="29"/>
      <c r="MY922" s="29"/>
    </row>
    <row r="923" ht="16.5" customHeight="1">
      <c r="HP923" s="31"/>
      <c r="MX923" s="29"/>
      <c r="MY923" s="29"/>
    </row>
    <row r="924" ht="16.5" customHeight="1">
      <c r="HP924" s="31"/>
      <c r="MX924" s="29"/>
      <c r="MY924" s="29"/>
    </row>
    <row r="925" ht="16.5" customHeight="1">
      <c r="HP925" s="31"/>
      <c r="MX925" s="29"/>
      <c r="MY925" s="29"/>
    </row>
    <row r="926" ht="16.5" customHeight="1">
      <c r="HP926" s="31"/>
      <c r="MX926" s="29"/>
      <c r="MY926" s="29"/>
    </row>
    <row r="927" ht="16.5" customHeight="1">
      <c r="HP927" s="31"/>
      <c r="MX927" s="29"/>
      <c r="MY927" s="29"/>
    </row>
    <row r="928" ht="16.5" customHeight="1">
      <c r="HP928" s="31"/>
      <c r="MX928" s="29"/>
      <c r="MY928" s="29"/>
    </row>
    <row r="929" ht="16.5" customHeight="1">
      <c r="HP929" s="31"/>
      <c r="MX929" s="29"/>
      <c r="MY929" s="29"/>
    </row>
    <row r="930" ht="16.5" customHeight="1">
      <c r="HP930" s="31"/>
      <c r="MX930" s="29"/>
      <c r="MY930" s="29"/>
    </row>
    <row r="931" ht="16.5" customHeight="1">
      <c r="HP931" s="31"/>
      <c r="MX931" s="29"/>
      <c r="MY931" s="29"/>
    </row>
    <row r="932" ht="16.5" customHeight="1">
      <c r="HP932" s="31"/>
      <c r="MX932" s="29"/>
      <c r="MY932" s="29"/>
    </row>
    <row r="933" ht="16.5" customHeight="1">
      <c r="HP933" s="31"/>
      <c r="MX933" s="29"/>
      <c r="MY933" s="29"/>
    </row>
    <row r="934" ht="16.5" customHeight="1">
      <c r="HP934" s="31"/>
      <c r="MX934" s="29"/>
      <c r="MY934" s="29"/>
    </row>
    <row r="935" ht="16.5" customHeight="1">
      <c r="HP935" s="31"/>
      <c r="MX935" s="29"/>
      <c r="MY935" s="29"/>
    </row>
    <row r="936" ht="16.5" customHeight="1">
      <c r="HP936" s="31"/>
      <c r="MX936" s="29"/>
      <c r="MY936" s="29"/>
    </row>
    <row r="937" ht="16.5" customHeight="1">
      <c r="HP937" s="31"/>
      <c r="MX937" s="29"/>
      <c r="MY937" s="29"/>
    </row>
    <row r="938" ht="16.5" customHeight="1">
      <c r="HP938" s="31"/>
      <c r="MX938" s="29"/>
      <c r="MY938" s="29"/>
    </row>
    <row r="939" ht="16.5" customHeight="1">
      <c r="HP939" s="31"/>
      <c r="MX939" s="29"/>
      <c r="MY939" s="29"/>
    </row>
    <row r="940" ht="16.5" customHeight="1">
      <c r="HP940" s="31"/>
      <c r="MX940" s="29"/>
      <c r="MY940" s="29"/>
    </row>
    <row r="941" ht="16.5" customHeight="1">
      <c r="HP941" s="31"/>
      <c r="MX941" s="29"/>
      <c r="MY941" s="29"/>
    </row>
    <row r="942" ht="16.5" customHeight="1">
      <c r="HP942" s="31"/>
      <c r="MX942" s="29"/>
      <c r="MY942" s="29"/>
    </row>
    <row r="943" ht="16.5" customHeight="1">
      <c r="HP943" s="31"/>
      <c r="MX943" s="29"/>
      <c r="MY943" s="29"/>
    </row>
    <row r="944" ht="16.5" customHeight="1">
      <c r="HP944" s="31"/>
      <c r="MX944" s="29"/>
      <c r="MY944" s="29"/>
    </row>
    <row r="945" ht="16.5" customHeight="1">
      <c r="HP945" s="31"/>
      <c r="MX945" s="29"/>
      <c r="MY945" s="29"/>
    </row>
    <row r="946" ht="16.5" customHeight="1">
      <c r="HP946" s="31"/>
      <c r="MX946" s="29"/>
      <c r="MY946" s="29"/>
    </row>
    <row r="947" ht="16.5" customHeight="1">
      <c r="HP947" s="31"/>
      <c r="MX947" s="29"/>
      <c r="MY947" s="29"/>
    </row>
    <row r="948" ht="16.5" customHeight="1">
      <c r="HP948" s="31"/>
      <c r="MX948" s="29"/>
      <c r="MY948" s="29"/>
    </row>
    <row r="949" ht="16.5" customHeight="1">
      <c r="HP949" s="31"/>
      <c r="MX949" s="29"/>
      <c r="MY949" s="29"/>
    </row>
    <row r="950" ht="16.5" customHeight="1">
      <c r="HP950" s="31"/>
      <c r="MX950" s="29"/>
      <c r="MY950" s="29"/>
    </row>
    <row r="951" ht="16.5" customHeight="1">
      <c r="HP951" s="31"/>
      <c r="MX951" s="29"/>
      <c r="MY951" s="29"/>
    </row>
    <row r="952" ht="16.5" customHeight="1">
      <c r="HP952" s="31"/>
      <c r="MX952" s="29"/>
      <c r="MY952" s="29"/>
    </row>
    <row r="953" ht="16.5" customHeight="1">
      <c r="HP953" s="31"/>
      <c r="MX953" s="29"/>
      <c r="MY953" s="29"/>
    </row>
    <row r="954" ht="16.5" customHeight="1">
      <c r="HP954" s="31"/>
      <c r="MX954" s="29"/>
      <c r="MY954" s="29"/>
    </row>
    <row r="955" ht="16.5" customHeight="1">
      <c r="HP955" s="31"/>
      <c r="MX955" s="29"/>
      <c r="MY955" s="29"/>
    </row>
    <row r="956" ht="16.5" customHeight="1">
      <c r="HP956" s="31"/>
      <c r="MX956" s="29"/>
      <c r="MY956" s="29"/>
    </row>
    <row r="957" ht="16.5" customHeight="1">
      <c r="HP957" s="31"/>
      <c r="MX957" s="29"/>
      <c r="MY957" s="29"/>
    </row>
    <row r="958" ht="16.5" customHeight="1">
      <c r="HP958" s="31"/>
      <c r="MX958" s="29"/>
      <c r="MY958" s="29"/>
    </row>
    <row r="959" ht="16.5" customHeight="1">
      <c r="HP959" s="31"/>
      <c r="MX959" s="29"/>
      <c r="MY959" s="29"/>
    </row>
    <row r="960" ht="16.5" customHeight="1">
      <c r="HP960" s="31"/>
      <c r="MX960" s="29"/>
      <c r="MY960" s="29"/>
    </row>
    <row r="961" ht="16.5" customHeight="1">
      <c r="HP961" s="31"/>
      <c r="MX961" s="29"/>
      <c r="MY961" s="29"/>
    </row>
    <row r="962" ht="16.5" customHeight="1">
      <c r="HP962" s="31"/>
      <c r="MX962" s="29"/>
      <c r="MY962" s="29"/>
    </row>
    <row r="963" ht="16.5" customHeight="1">
      <c r="HP963" s="31"/>
      <c r="MX963" s="29"/>
      <c r="MY963" s="29"/>
    </row>
    <row r="964" ht="16.5" customHeight="1">
      <c r="HP964" s="31"/>
      <c r="MX964" s="29"/>
      <c r="MY964" s="29"/>
    </row>
    <row r="965" ht="16.5" customHeight="1">
      <c r="HP965" s="31"/>
      <c r="MX965" s="29"/>
      <c r="MY965" s="29"/>
    </row>
    <row r="966" ht="16.5" customHeight="1">
      <c r="HP966" s="31"/>
      <c r="MX966" s="29"/>
      <c r="MY966" s="29"/>
    </row>
    <row r="967" ht="16.5" customHeight="1">
      <c r="HP967" s="31"/>
      <c r="MX967" s="29"/>
      <c r="MY967" s="29"/>
    </row>
    <row r="968" ht="16.5" customHeight="1">
      <c r="HP968" s="31"/>
      <c r="MX968" s="29"/>
      <c r="MY968" s="29"/>
    </row>
    <row r="969" ht="16.5" customHeight="1">
      <c r="HP969" s="31"/>
      <c r="MX969" s="29"/>
      <c r="MY969" s="29"/>
    </row>
    <row r="970" ht="16.5" customHeight="1">
      <c r="HP970" s="31"/>
      <c r="MX970" s="29"/>
      <c r="MY970" s="29"/>
    </row>
    <row r="971" ht="16.5" customHeight="1">
      <c r="HP971" s="31"/>
      <c r="MX971" s="29"/>
      <c r="MY971" s="29"/>
    </row>
    <row r="972" ht="16.5" customHeight="1">
      <c r="HP972" s="31"/>
      <c r="MX972" s="29"/>
      <c r="MY972" s="29"/>
    </row>
    <row r="973" ht="16.5" customHeight="1">
      <c r="HP973" s="31"/>
      <c r="MX973" s="29"/>
      <c r="MY973" s="29"/>
    </row>
    <row r="974" ht="16.5" customHeight="1">
      <c r="HP974" s="31"/>
      <c r="MX974" s="29"/>
      <c r="MY974" s="29"/>
    </row>
    <row r="975" ht="16.5" customHeight="1">
      <c r="HP975" s="31"/>
      <c r="MX975" s="29"/>
      <c r="MY975" s="29"/>
    </row>
    <row r="976" ht="16.5" customHeight="1">
      <c r="HP976" s="31"/>
      <c r="MX976" s="29"/>
      <c r="MY976" s="29"/>
    </row>
    <row r="977" ht="16.5" customHeight="1">
      <c r="HP977" s="31"/>
      <c r="MX977" s="29"/>
      <c r="MY977" s="29"/>
    </row>
    <row r="978" ht="16.5" customHeight="1">
      <c r="HP978" s="31"/>
      <c r="MX978" s="29"/>
      <c r="MY978" s="29"/>
    </row>
    <row r="979" ht="16.5" customHeight="1">
      <c r="HP979" s="31"/>
      <c r="MX979" s="29"/>
      <c r="MY979" s="29"/>
    </row>
    <row r="980" ht="16.5" customHeight="1">
      <c r="HP980" s="31"/>
      <c r="MX980" s="29"/>
      <c r="MY980" s="29"/>
    </row>
    <row r="981" ht="16.5" customHeight="1">
      <c r="HP981" s="31"/>
      <c r="MX981" s="29"/>
      <c r="MY981" s="29"/>
    </row>
    <row r="982" ht="16.5" customHeight="1">
      <c r="HP982" s="31"/>
      <c r="MX982" s="29"/>
      <c r="MY982" s="29"/>
    </row>
    <row r="983" ht="16.5" customHeight="1">
      <c r="HP983" s="31"/>
      <c r="MX983" s="29"/>
      <c r="MY983" s="29"/>
    </row>
    <row r="984" ht="16.5" customHeight="1">
      <c r="HP984" s="31"/>
      <c r="MX984" s="29"/>
      <c r="MY984" s="29"/>
    </row>
    <row r="985" ht="16.5" customHeight="1">
      <c r="HP985" s="31"/>
      <c r="MX985" s="29"/>
      <c r="MY985" s="29"/>
    </row>
    <row r="986" ht="16.5" customHeight="1">
      <c r="HP986" s="31"/>
      <c r="MX986" s="29"/>
      <c r="MY986" s="29"/>
    </row>
    <row r="987" ht="16.5" customHeight="1">
      <c r="HP987" s="31"/>
      <c r="MX987" s="29"/>
      <c r="MY987" s="29"/>
    </row>
    <row r="988" ht="16.5" customHeight="1">
      <c r="HP988" s="31"/>
      <c r="MX988" s="29"/>
      <c r="MY988" s="29"/>
    </row>
    <row r="989" ht="16.5" customHeight="1">
      <c r="HP989" s="31"/>
      <c r="MX989" s="29"/>
      <c r="MY989" s="29"/>
    </row>
    <row r="990" ht="16.5" customHeight="1">
      <c r="HP990" s="31"/>
      <c r="MX990" s="29"/>
      <c r="MY990" s="29"/>
    </row>
    <row r="991" ht="16.5" customHeight="1">
      <c r="HP991" s="31"/>
      <c r="MX991" s="29"/>
      <c r="MY991" s="29"/>
    </row>
    <row r="992" ht="16.5" customHeight="1">
      <c r="HP992" s="31"/>
      <c r="MX992" s="29"/>
      <c r="MY992" s="29"/>
    </row>
    <row r="993" ht="16.5" customHeight="1">
      <c r="HP993" s="31"/>
      <c r="MX993" s="29"/>
      <c r="MY993" s="29"/>
    </row>
    <row r="994" ht="16.5" customHeight="1">
      <c r="HP994" s="31"/>
      <c r="MX994" s="29"/>
      <c r="MY994" s="29"/>
    </row>
    <row r="995" ht="16.5" customHeight="1">
      <c r="HP995" s="31"/>
      <c r="MX995" s="29"/>
      <c r="MY995" s="29"/>
    </row>
    <row r="996" ht="16.5" customHeight="1">
      <c r="HP996" s="31"/>
      <c r="MX996" s="29"/>
      <c r="MY996" s="29"/>
    </row>
    <row r="997" ht="16.5" customHeight="1">
      <c r="HP997" s="31"/>
      <c r="MX997" s="29"/>
      <c r="MY997" s="29"/>
    </row>
    <row r="998" ht="16.5" customHeight="1">
      <c r="HP998" s="31"/>
      <c r="MX998" s="29"/>
      <c r="MY998" s="29"/>
    </row>
    <row r="999" ht="16.5" customHeight="1">
      <c r="HP999" s="31"/>
      <c r="MX999" s="29"/>
      <c r="MY999" s="29"/>
    </row>
    <row r="1000" ht="16.5" customHeight="1">
      <c r="HP1000" s="31"/>
      <c r="MX1000" s="29"/>
      <c r="MY1000" s="29"/>
    </row>
    <row r="1001" ht="16.5" customHeight="1">
      <c r="HP1001" s="31"/>
    </row>
  </sheetData>
  <autoFilter ref="$A$1:$HQ$243"/>
  <hyperlinks>
    <hyperlink r:id="rId1" ref="GQ140"/>
    <hyperlink r:id="rId2" ref="GQ145"/>
    <hyperlink r:id="rId3" ref="GQ243"/>
    <hyperlink r:id="rId4" ref="GD409"/>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36.5"/>
    <col customWidth="1" min="3" max="3" width="35.25"/>
  </cols>
  <sheetData>
    <row r="1">
      <c r="A1" s="35" t="s">
        <v>10403</v>
      </c>
      <c r="B1" s="35" t="s">
        <v>10404</v>
      </c>
      <c r="C1" s="35" t="s">
        <v>10405</v>
      </c>
      <c r="D1" s="35" t="s">
        <v>10406</v>
      </c>
      <c r="E1" s="35" t="s">
        <v>10407</v>
      </c>
    </row>
    <row r="2" hidden="1">
      <c r="A2" s="29" t="str">
        <f>IFERROR(__xludf.DUMMYFUNCTION("QUERY({
  QUERY('Transformed Responses'!A3:GN3423, ""SELECT Col1, Col66, 'Orgasm Intensity', Col49 WHERE Col66 IS NOT NULL AND Col49 IS NOT NULL"", 0);
  QUERY('Transformed Responses'!A3:GN3423, ""SELECT Col1, Col66, 'Orgasm Duration', Col29 WHERE Col66 I"&amp;"S NOT NULL AND Col29 IS NOT NULL"", 0);
  QUERY('Transformed Responses'!A3:GN3423, ""SELECT Col1, Col66, 'Ease of Orgasm', Col49 WHERE Col66 IS NOT NULL AND Col49 IS NOT NULL"", 0);
  QUERY('Transformed Responses'!A3:GN3423, ""SELECT Col1, Col66, 'Light T"&amp;"ouch Sensitivity', Col52 WHERE Col66 IS NOT NULL AND Col52 IS NOT NULL"", 0);
  QUERY('Transformed Responses'!A3:GN3423, ""SELECT Col1, Col66, 'Pleasure from Mobile Skin', Col53 WHERE Col66 IS NOT NULL AND Col53 IS NOT NULL"", 0);
  QUERY('Transformed Res"&amp;"ponses'!A3:GN3423, ""SELECT Col1, Col66, 'Variety of Sensation', Col54 WHERE Col66 IS NOT NULL AND Col54 IS NOT NULL"", 0)
}, ""SELECT * WHERE Col1 IS NOT NULL"")"),"")</f>
        <v/>
      </c>
      <c r="B2" s="29" t="str">
        <f>IFERROR(__xludf.DUMMYFUNCTION("""COMPUTED_VALUE"""),"")</f>
        <v/>
      </c>
      <c r="C2" s="29" t="str">
        <f>IFERROR(__xludf.DUMMYFUNCTION("""COMPUTED_VALUE"""),"""Orgasm Intensity""()")</f>
        <v>"Orgasm Intensity"()</v>
      </c>
      <c r="D2" s="29" t="str">
        <f>IFERROR(__xludf.DUMMYFUNCTION("""COMPUTED_VALUE"""),"")</f>
        <v/>
      </c>
      <c r="E2" s="29" t="str">
        <f>IFERROR(__xludf.DUMMYFUNCTION("ARRAYFORMULA(IFERROR(VALUE(REGEXEXTRACT(D2:D3423, ""\d+""))))"),"")</f>
        <v/>
      </c>
    </row>
    <row r="3">
      <c r="A3" s="33">
        <f>IFERROR(__xludf.DUMMYFUNCTION("""COMPUTED_VALUE"""),45825.046766956024)</f>
        <v>45825.04677</v>
      </c>
      <c r="B3" s="29" t="str">
        <f>IFERROR(__xludf.DUMMYFUNCTION("""COMPUTED_VALUE"""),"Actively restoring my foreskin / I consider myself restored")</f>
        <v>Actively restoring my foreskin / I consider myself restored</v>
      </c>
      <c r="C3" s="29" t="str">
        <f>IFERROR(__xludf.DUMMYFUNCTION("""COMPUTED_VALUE"""),"Orgasm Intensity")</f>
        <v>Orgasm Intensity</v>
      </c>
      <c r="D3" s="29" t="str">
        <f>IFERROR(__xludf.DUMMYFUNCTION("""COMPUTED_VALUE"""),"2")</f>
        <v>2</v>
      </c>
      <c r="E3" s="29">
        <f>IFERROR(__xludf.DUMMYFUNCTION("""COMPUTED_VALUE"""),2.0)</f>
        <v>2</v>
      </c>
    </row>
    <row r="4">
      <c r="A4" s="33">
        <f>IFERROR(__xludf.DUMMYFUNCTION("""COMPUTED_VALUE"""),45825.05825144676)</f>
        <v>45825.05825</v>
      </c>
      <c r="B4" s="29" t="str">
        <f>IFERROR(__xludf.DUMMYFUNCTION("""COMPUTED_VALUE"""),"Circumcised")</f>
        <v>Circumcised</v>
      </c>
      <c r="C4" s="29" t="str">
        <f>IFERROR(__xludf.DUMMYFUNCTION("""COMPUTED_VALUE"""),"Orgasm Intensity")</f>
        <v>Orgasm Intensity</v>
      </c>
      <c r="D4" s="29" t="str">
        <f>IFERROR(__xludf.DUMMYFUNCTION("""COMPUTED_VALUE"""),"1 (Low/Poor)")</f>
        <v>1 (Low/Poor)</v>
      </c>
      <c r="E4" s="29">
        <f>IFERROR(__xludf.DUMMYFUNCTION("""COMPUTED_VALUE"""),1.0)</f>
        <v>1</v>
      </c>
    </row>
    <row r="5">
      <c r="A5" s="33">
        <f>IFERROR(__xludf.DUMMYFUNCTION("""COMPUTED_VALUE"""),45825.103313796295)</f>
        <v>45825.10331</v>
      </c>
      <c r="B5" s="29" t="str">
        <f>IFERROR(__xludf.DUMMYFUNCTION("""COMPUTED_VALUE"""),"Actively restoring my foreskin / I consider myself restored")</f>
        <v>Actively restoring my foreskin / I consider myself restored</v>
      </c>
      <c r="C5" s="29" t="str">
        <f>IFERROR(__xludf.DUMMYFUNCTION("""COMPUTED_VALUE"""),"Orgasm Intensity")</f>
        <v>Orgasm Intensity</v>
      </c>
      <c r="D5" s="29" t="str">
        <f>IFERROR(__xludf.DUMMYFUNCTION("""COMPUTED_VALUE"""),"3 (Medium/Average)")</f>
        <v>3 (Medium/Average)</v>
      </c>
      <c r="E5" s="29">
        <f>IFERROR(__xludf.DUMMYFUNCTION("""COMPUTED_VALUE"""),3.0)</f>
        <v>3</v>
      </c>
    </row>
    <row r="6">
      <c r="A6" s="33">
        <f>IFERROR(__xludf.DUMMYFUNCTION("""COMPUTED_VALUE"""),45825.223511655095)</f>
        <v>45825.22351</v>
      </c>
      <c r="B6" s="29" t="str">
        <f>IFERROR(__xludf.DUMMYFUNCTION("""COMPUTED_VALUE"""),"Actively restoring my foreskin / I consider myself restored")</f>
        <v>Actively restoring my foreskin / I consider myself restored</v>
      </c>
      <c r="C6" s="29" t="str">
        <f>IFERROR(__xludf.DUMMYFUNCTION("""COMPUTED_VALUE"""),"Orgasm Intensity")</f>
        <v>Orgasm Intensity</v>
      </c>
      <c r="D6" s="29" t="str">
        <f>IFERROR(__xludf.DUMMYFUNCTION("""COMPUTED_VALUE"""),"4")</f>
        <v>4</v>
      </c>
      <c r="E6" s="29">
        <f>IFERROR(__xludf.DUMMYFUNCTION("""COMPUTED_VALUE"""),4.0)</f>
        <v>4</v>
      </c>
    </row>
    <row r="7">
      <c r="A7" s="33">
        <f>IFERROR(__xludf.DUMMYFUNCTION("""COMPUTED_VALUE"""),45825.25907047454)</f>
        <v>45825.25907</v>
      </c>
      <c r="B7" s="29" t="str">
        <f>IFERROR(__xludf.DUMMYFUNCTION("""COMPUTED_VALUE"""),"Circumcised")</f>
        <v>Circumcised</v>
      </c>
      <c r="C7" s="29" t="str">
        <f>IFERROR(__xludf.DUMMYFUNCTION("""COMPUTED_VALUE"""),"Orgasm Intensity")</f>
        <v>Orgasm Intensity</v>
      </c>
      <c r="D7" s="29" t="str">
        <f>IFERROR(__xludf.DUMMYFUNCTION("""COMPUTED_VALUE"""),"2")</f>
        <v>2</v>
      </c>
      <c r="E7" s="29">
        <f>IFERROR(__xludf.DUMMYFUNCTION("""COMPUTED_VALUE"""),2.0)</f>
        <v>2</v>
      </c>
    </row>
    <row r="8">
      <c r="A8" s="33">
        <f>IFERROR(__xludf.DUMMYFUNCTION("""COMPUTED_VALUE"""),45825.4346852662)</f>
        <v>45825.43469</v>
      </c>
      <c r="B8" s="29" t="str">
        <f>IFERROR(__xludf.DUMMYFUNCTION("""COMPUTED_VALUE"""),"Actively restoring my foreskin / I consider myself restored")</f>
        <v>Actively restoring my foreskin / I consider myself restored</v>
      </c>
      <c r="C8" s="29" t="str">
        <f>IFERROR(__xludf.DUMMYFUNCTION("""COMPUTED_VALUE"""),"Orgasm Intensity")</f>
        <v>Orgasm Intensity</v>
      </c>
      <c r="D8" s="29" t="str">
        <f>IFERROR(__xludf.DUMMYFUNCTION("""COMPUTED_VALUE"""),"3 (Medium/Average)")</f>
        <v>3 (Medium/Average)</v>
      </c>
      <c r="E8" s="29">
        <f>IFERROR(__xludf.DUMMYFUNCTION("""COMPUTED_VALUE"""),3.0)</f>
        <v>3</v>
      </c>
    </row>
    <row r="9">
      <c r="A9" s="33">
        <f>IFERROR(__xludf.DUMMYFUNCTION("""COMPUTED_VALUE"""),45826.77728232639)</f>
        <v>45826.77728</v>
      </c>
      <c r="B9" s="29" t="str">
        <f>IFERROR(__xludf.DUMMYFUNCTION("""COMPUTED_VALUE"""),"Actively restoring my foreskin / I consider myself restored")</f>
        <v>Actively restoring my foreskin / I consider myself restored</v>
      </c>
      <c r="C9" s="29" t="str">
        <f>IFERROR(__xludf.DUMMYFUNCTION("""COMPUTED_VALUE"""),"Orgasm Intensity")</f>
        <v>Orgasm Intensity</v>
      </c>
      <c r="D9" s="29" t="str">
        <f>IFERROR(__xludf.DUMMYFUNCTION("""COMPUTED_VALUE"""),"2")</f>
        <v>2</v>
      </c>
      <c r="E9" s="29">
        <f>IFERROR(__xludf.DUMMYFUNCTION("""COMPUTED_VALUE"""),2.0)</f>
        <v>2</v>
      </c>
    </row>
    <row r="10">
      <c r="A10" s="33">
        <f>IFERROR(__xludf.DUMMYFUNCTION("""COMPUTED_VALUE"""),45826.853455763885)</f>
        <v>45826.85346</v>
      </c>
      <c r="B10" s="29" t="str">
        <f>IFERROR(__xludf.DUMMYFUNCTION("""COMPUTED_VALUE"""),"Circumcised")</f>
        <v>Circumcised</v>
      </c>
      <c r="C10" s="29" t="str">
        <f>IFERROR(__xludf.DUMMYFUNCTION("""COMPUTED_VALUE"""),"Orgasm Intensity")</f>
        <v>Orgasm Intensity</v>
      </c>
      <c r="D10" s="29" t="str">
        <f>IFERROR(__xludf.DUMMYFUNCTION("""COMPUTED_VALUE"""),"1 (Low/Poor)")</f>
        <v>1 (Low/Poor)</v>
      </c>
      <c r="E10" s="29">
        <f>IFERROR(__xludf.DUMMYFUNCTION("""COMPUTED_VALUE"""),1.0)</f>
        <v>1</v>
      </c>
    </row>
    <row r="11">
      <c r="A11" s="33">
        <f>IFERROR(__xludf.DUMMYFUNCTION("""COMPUTED_VALUE"""),45826.85406060185)</f>
        <v>45826.85406</v>
      </c>
      <c r="B11" s="29" t="str">
        <f>IFERROR(__xludf.DUMMYFUNCTION("""COMPUTED_VALUE"""),"Circumcised")</f>
        <v>Circumcised</v>
      </c>
      <c r="C11" s="29" t="str">
        <f>IFERROR(__xludf.DUMMYFUNCTION("""COMPUTED_VALUE"""),"Orgasm Intensity")</f>
        <v>Orgasm Intensity</v>
      </c>
      <c r="D11" s="29" t="str">
        <f>IFERROR(__xludf.DUMMYFUNCTION("""COMPUTED_VALUE"""),"2")</f>
        <v>2</v>
      </c>
      <c r="E11" s="29">
        <f>IFERROR(__xludf.DUMMYFUNCTION("""COMPUTED_VALUE"""),2.0)</f>
        <v>2</v>
      </c>
    </row>
    <row r="12">
      <c r="A12" s="33">
        <f>IFERROR(__xludf.DUMMYFUNCTION("""COMPUTED_VALUE"""),45826.879537835644)</f>
        <v>45826.87954</v>
      </c>
      <c r="B12" s="29" t="str">
        <f>IFERROR(__xludf.DUMMYFUNCTION("""COMPUTED_VALUE"""),"Actively restoring my foreskin / I consider myself restored")</f>
        <v>Actively restoring my foreskin / I consider myself restored</v>
      </c>
      <c r="C12" s="29" t="str">
        <f>IFERROR(__xludf.DUMMYFUNCTION("""COMPUTED_VALUE"""),"Orgasm Intensity")</f>
        <v>Orgasm Intensity</v>
      </c>
      <c r="D12" s="29" t="str">
        <f>IFERROR(__xludf.DUMMYFUNCTION("""COMPUTED_VALUE"""),"3 (Medium/Average)")</f>
        <v>3 (Medium/Average)</v>
      </c>
      <c r="E12" s="29">
        <f>IFERROR(__xludf.DUMMYFUNCTION("""COMPUTED_VALUE"""),3.0)</f>
        <v>3</v>
      </c>
    </row>
    <row r="13">
      <c r="A13" s="33">
        <f>IFERROR(__xludf.DUMMYFUNCTION("""COMPUTED_VALUE"""),45826.87984899305)</f>
        <v>45826.87985</v>
      </c>
      <c r="B13" s="29" t="str">
        <f>IFERROR(__xludf.DUMMYFUNCTION("""COMPUTED_VALUE"""),"Actively restoring my foreskin / I consider myself restored")</f>
        <v>Actively restoring my foreskin / I consider myself restored</v>
      </c>
      <c r="C13" s="29" t="str">
        <f>IFERROR(__xludf.DUMMYFUNCTION("""COMPUTED_VALUE"""),"Orgasm Intensity")</f>
        <v>Orgasm Intensity</v>
      </c>
      <c r="D13" s="29" t="str">
        <f>IFERROR(__xludf.DUMMYFUNCTION("""COMPUTED_VALUE"""),"1 (Low/Poor)")</f>
        <v>1 (Low/Poor)</v>
      </c>
      <c r="E13" s="29">
        <f>IFERROR(__xludf.DUMMYFUNCTION("""COMPUTED_VALUE"""),1.0)</f>
        <v>1</v>
      </c>
    </row>
    <row r="14">
      <c r="A14" s="33">
        <f>IFERROR(__xludf.DUMMYFUNCTION("""COMPUTED_VALUE"""),45826.90960921296)</f>
        <v>45826.90961</v>
      </c>
      <c r="B14" s="29" t="str">
        <f>IFERROR(__xludf.DUMMYFUNCTION("""COMPUTED_VALUE"""),"Circumcised")</f>
        <v>Circumcised</v>
      </c>
      <c r="C14" s="29" t="str">
        <f>IFERROR(__xludf.DUMMYFUNCTION("""COMPUTED_VALUE"""),"Orgasm Intensity")</f>
        <v>Orgasm Intensity</v>
      </c>
      <c r="D14" s="29" t="str">
        <f>IFERROR(__xludf.DUMMYFUNCTION("""COMPUTED_VALUE"""),"3 (Medium/Average)")</f>
        <v>3 (Medium/Average)</v>
      </c>
      <c r="E14" s="29">
        <f>IFERROR(__xludf.DUMMYFUNCTION("""COMPUTED_VALUE"""),3.0)</f>
        <v>3</v>
      </c>
    </row>
    <row r="15">
      <c r="A15" s="33">
        <f>IFERROR(__xludf.DUMMYFUNCTION("""COMPUTED_VALUE"""),45826.92376010417)</f>
        <v>45826.92376</v>
      </c>
      <c r="B15" s="29" t="str">
        <f>IFERROR(__xludf.DUMMYFUNCTION("""COMPUTED_VALUE"""),"Circumcised")</f>
        <v>Circumcised</v>
      </c>
      <c r="C15" s="29" t="str">
        <f>IFERROR(__xludf.DUMMYFUNCTION("""COMPUTED_VALUE"""),"Orgasm Intensity")</f>
        <v>Orgasm Intensity</v>
      </c>
      <c r="D15" s="29" t="str">
        <f>IFERROR(__xludf.DUMMYFUNCTION("""COMPUTED_VALUE"""),"1 (Low/Poor)")</f>
        <v>1 (Low/Poor)</v>
      </c>
      <c r="E15" s="29">
        <f>IFERROR(__xludf.DUMMYFUNCTION("""COMPUTED_VALUE"""),1.0)</f>
        <v>1</v>
      </c>
    </row>
    <row r="16">
      <c r="A16" s="33">
        <f>IFERROR(__xludf.DUMMYFUNCTION("""COMPUTED_VALUE"""),45826.92420601851)</f>
        <v>45826.92421</v>
      </c>
      <c r="B16" s="29" t="str">
        <f>IFERROR(__xludf.DUMMYFUNCTION("""COMPUTED_VALUE"""),"Circumcised")</f>
        <v>Circumcised</v>
      </c>
      <c r="C16" s="29" t="str">
        <f>IFERROR(__xludf.DUMMYFUNCTION("""COMPUTED_VALUE"""),"Orgasm Intensity")</f>
        <v>Orgasm Intensity</v>
      </c>
      <c r="D16" s="29" t="str">
        <f>IFERROR(__xludf.DUMMYFUNCTION("""COMPUTED_VALUE"""),"2")</f>
        <v>2</v>
      </c>
      <c r="E16" s="29">
        <f>IFERROR(__xludf.DUMMYFUNCTION("""COMPUTED_VALUE"""),2.0)</f>
        <v>2</v>
      </c>
    </row>
    <row r="17">
      <c r="A17" s="33">
        <f>IFERROR(__xludf.DUMMYFUNCTION("""COMPUTED_VALUE"""),45826.94651975695)</f>
        <v>45826.94652</v>
      </c>
      <c r="B17" s="29" t="str">
        <f>IFERROR(__xludf.DUMMYFUNCTION("""COMPUTED_VALUE"""),"Circumcised")</f>
        <v>Circumcised</v>
      </c>
      <c r="C17" s="29" t="str">
        <f>IFERROR(__xludf.DUMMYFUNCTION("""COMPUTED_VALUE"""),"Orgasm Intensity")</f>
        <v>Orgasm Intensity</v>
      </c>
      <c r="D17" s="29" t="str">
        <f>IFERROR(__xludf.DUMMYFUNCTION("""COMPUTED_VALUE"""),"4")</f>
        <v>4</v>
      </c>
      <c r="E17" s="29">
        <f>IFERROR(__xludf.DUMMYFUNCTION("""COMPUTED_VALUE"""),4.0)</f>
        <v>4</v>
      </c>
    </row>
    <row r="18">
      <c r="A18" s="33">
        <f>IFERROR(__xludf.DUMMYFUNCTION("""COMPUTED_VALUE"""),45826.96069337963)</f>
        <v>45826.96069</v>
      </c>
      <c r="B18" s="29" t="str">
        <f>IFERROR(__xludf.DUMMYFUNCTION("""COMPUTED_VALUE"""),"Circumcised")</f>
        <v>Circumcised</v>
      </c>
      <c r="C18" s="29" t="str">
        <f>IFERROR(__xludf.DUMMYFUNCTION("""COMPUTED_VALUE"""),"Orgasm Intensity")</f>
        <v>Orgasm Intensity</v>
      </c>
      <c r="D18" s="29" t="str">
        <f>IFERROR(__xludf.DUMMYFUNCTION("""COMPUTED_VALUE"""),"3 (Medium/Average)")</f>
        <v>3 (Medium/Average)</v>
      </c>
      <c r="E18" s="29">
        <f>IFERROR(__xludf.DUMMYFUNCTION("""COMPUTED_VALUE"""),3.0)</f>
        <v>3</v>
      </c>
    </row>
    <row r="19">
      <c r="A19" s="33">
        <f>IFERROR(__xludf.DUMMYFUNCTION("""COMPUTED_VALUE"""),45826.965006562496)</f>
        <v>45826.96501</v>
      </c>
      <c r="B19" s="29" t="str">
        <f>IFERROR(__xludf.DUMMYFUNCTION("""COMPUTED_VALUE"""),"Circumcised")</f>
        <v>Circumcised</v>
      </c>
      <c r="C19" s="29" t="str">
        <f>IFERROR(__xludf.DUMMYFUNCTION("""COMPUTED_VALUE"""),"Orgasm Intensity")</f>
        <v>Orgasm Intensity</v>
      </c>
      <c r="D19" s="29" t="str">
        <f>IFERROR(__xludf.DUMMYFUNCTION("""COMPUTED_VALUE"""),"3 (Medium/Average)")</f>
        <v>3 (Medium/Average)</v>
      </c>
      <c r="E19" s="29">
        <f>IFERROR(__xludf.DUMMYFUNCTION("""COMPUTED_VALUE"""),3.0)</f>
        <v>3</v>
      </c>
    </row>
    <row r="20">
      <c r="A20" s="33">
        <f>IFERROR(__xludf.DUMMYFUNCTION("""COMPUTED_VALUE"""),45826.98130766204)</f>
        <v>45826.98131</v>
      </c>
      <c r="B20" s="29" t="str">
        <f>IFERROR(__xludf.DUMMYFUNCTION("""COMPUTED_VALUE"""),"Actively restoring my foreskin / I consider myself restored")</f>
        <v>Actively restoring my foreskin / I consider myself restored</v>
      </c>
      <c r="C20" s="29" t="str">
        <f>IFERROR(__xludf.DUMMYFUNCTION("""COMPUTED_VALUE"""),"Orgasm Intensity")</f>
        <v>Orgasm Intensity</v>
      </c>
      <c r="D20" s="29" t="str">
        <f>IFERROR(__xludf.DUMMYFUNCTION("""COMPUTED_VALUE"""),"4")</f>
        <v>4</v>
      </c>
      <c r="E20" s="29">
        <f>IFERROR(__xludf.DUMMYFUNCTION("""COMPUTED_VALUE"""),4.0)</f>
        <v>4</v>
      </c>
    </row>
    <row r="21">
      <c r="A21" s="33">
        <f>IFERROR(__xludf.DUMMYFUNCTION("""COMPUTED_VALUE"""),45826.999987523144)</f>
        <v>45826.99999</v>
      </c>
      <c r="B21" s="29" t="str">
        <f>IFERROR(__xludf.DUMMYFUNCTION("""COMPUTED_VALUE"""),"Circumcised")</f>
        <v>Circumcised</v>
      </c>
      <c r="C21" s="29" t="str">
        <f>IFERROR(__xludf.DUMMYFUNCTION("""COMPUTED_VALUE"""),"Orgasm Intensity")</f>
        <v>Orgasm Intensity</v>
      </c>
      <c r="D21" s="29" t="str">
        <f>IFERROR(__xludf.DUMMYFUNCTION("""COMPUTED_VALUE"""),"1 (Low/Poor)")</f>
        <v>1 (Low/Poor)</v>
      </c>
      <c r="E21" s="29">
        <f>IFERROR(__xludf.DUMMYFUNCTION("""COMPUTED_VALUE"""),1.0)</f>
        <v>1</v>
      </c>
    </row>
    <row r="22">
      <c r="A22" s="33">
        <f>IFERROR(__xludf.DUMMYFUNCTION("""COMPUTED_VALUE"""),45827.03329590277)</f>
        <v>45827.0333</v>
      </c>
      <c r="B22" s="29" t="str">
        <f>IFERROR(__xludf.DUMMYFUNCTION("""COMPUTED_VALUE"""),"Actively restoring my foreskin / I consider myself restored")</f>
        <v>Actively restoring my foreskin / I consider myself restored</v>
      </c>
      <c r="C22" s="29" t="str">
        <f>IFERROR(__xludf.DUMMYFUNCTION("""COMPUTED_VALUE"""),"Orgasm Intensity")</f>
        <v>Orgasm Intensity</v>
      </c>
      <c r="D22" s="29" t="str">
        <f>IFERROR(__xludf.DUMMYFUNCTION("""COMPUTED_VALUE"""),"3 (Medium/Average)")</f>
        <v>3 (Medium/Average)</v>
      </c>
      <c r="E22" s="29">
        <f>IFERROR(__xludf.DUMMYFUNCTION("""COMPUTED_VALUE"""),3.0)</f>
        <v>3</v>
      </c>
    </row>
    <row r="23">
      <c r="A23" s="33">
        <f>IFERROR(__xludf.DUMMYFUNCTION("""COMPUTED_VALUE"""),45827.04287230324)</f>
        <v>45827.04287</v>
      </c>
      <c r="B23" s="29" t="str">
        <f>IFERROR(__xludf.DUMMYFUNCTION("""COMPUTED_VALUE"""),"Actively restoring my foreskin / I consider myself restored")</f>
        <v>Actively restoring my foreskin / I consider myself restored</v>
      </c>
      <c r="C23" s="29" t="str">
        <f>IFERROR(__xludf.DUMMYFUNCTION("""COMPUTED_VALUE"""),"Orgasm Intensity")</f>
        <v>Orgasm Intensity</v>
      </c>
      <c r="D23" s="29" t="str">
        <f>IFERROR(__xludf.DUMMYFUNCTION("""COMPUTED_VALUE"""),"3 (Medium/Average)")</f>
        <v>3 (Medium/Average)</v>
      </c>
      <c r="E23" s="29">
        <f>IFERROR(__xludf.DUMMYFUNCTION("""COMPUTED_VALUE"""),3.0)</f>
        <v>3</v>
      </c>
    </row>
    <row r="24">
      <c r="A24" s="33">
        <f>IFERROR(__xludf.DUMMYFUNCTION("""COMPUTED_VALUE"""),45827.10090055556)</f>
        <v>45827.1009</v>
      </c>
      <c r="B24" s="29" t="str">
        <f>IFERROR(__xludf.DUMMYFUNCTION("""COMPUTED_VALUE"""),"Circumcised")</f>
        <v>Circumcised</v>
      </c>
      <c r="C24" s="29" t="str">
        <f>IFERROR(__xludf.DUMMYFUNCTION("""COMPUTED_VALUE"""),"Orgasm Intensity")</f>
        <v>Orgasm Intensity</v>
      </c>
      <c r="D24" s="29" t="str">
        <f>IFERROR(__xludf.DUMMYFUNCTION("""COMPUTED_VALUE"""),"3 (Medium/Average)")</f>
        <v>3 (Medium/Average)</v>
      </c>
      <c r="E24" s="29">
        <f>IFERROR(__xludf.DUMMYFUNCTION("""COMPUTED_VALUE"""),3.0)</f>
        <v>3</v>
      </c>
    </row>
    <row r="25">
      <c r="A25" s="33">
        <f>IFERROR(__xludf.DUMMYFUNCTION("""COMPUTED_VALUE"""),45827.10245875)</f>
        <v>45827.10246</v>
      </c>
      <c r="B25" s="29" t="str">
        <f>IFERROR(__xludf.DUMMYFUNCTION("""COMPUTED_VALUE"""),"Actively restoring my foreskin / I consider myself restored")</f>
        <v>Actively restoring my foreskin / I consider myself restored</v>
      </c>
      <c r="C25" s="29" t="str">
        <f>IFERROR(__xludf.DUMMYFUNCTION("""COMPUTED_VALUE"""),"Orgasm Intensity")</f>
        <v>Orgasm Intensity</v>
      </c>
      <c r="D25" s="29" t="str">
        <f>IFERROR(__xludf.DUMMYFUNCTION("""COMPUTED_VALUE"""),"3 (Medium/Average)")</f>
        <v>3 (Medium/Average)</v>
      </c>
      <c r="E25" s="29">
        <f>IFERROR(__xludf.DUMMYFUNCTION("""COMPUTED_VALUE"""),3.0)</f>
        <v>3</v>
      </c>
    </row>
    <row r="26">
      <c r="A26" s="33">
        <f>IFERROR(__xludf.DUMMYFUNCTION("""COMPUTED_VALUE"""),45827.13108915509)</f>
        <v>45827.13109</v>
      </c>
      <c r="B26" s="29" t="str">
        <f>IFERROR(__xludf.DUMMYFUNCTION("""COMPUTED_VALUE"""),"Actively restoring my foreskin / I consider myself restored")</f>
        <v>Actively restoring my foreskin / I consider myself restored</v>
      </c>
      <c r="C26" s="29" t="str">
        <f>IFERROR(__xludf.DUMMYFUNCTION("""COMPUTED_VALUE"""),"Orgasm Intensity")</f>
        <v>Orgasm Intensity</v>
      </c>
      <c r="D26" s="29" t="str">
        <f>IFERROR(__xludf.DUMMYFUNCTION("""COMPUTED_VALUE"""),"1 (Low/Poor)")</f>
        <v>1 (Low/Poor)</v>
      </c>
      <c r="E26" s="29">
        <f>IFERROR(__xludf.DUMMYFUNCTION("""COMPUTED_VALUE"""),1.0)</f>
        <v>1</v>
      </c>
    </row>
    <row r="27">
      <c r="A27" s="33">
        <f>IFERROR(__xludf.DUMMYFUNCTION("""COMPUTED_VALUE"""),45827.1437643287)</f>
        <v>45827.14376</v>
      </c>
      <c r="B27" s="29" t="str">
        <f>IFERROR(__xludf.DUMMYFUNCTION("""COMPUTED_VALUE"""),"Circumcised")</f>
        <v>Circumcised</v>
      </c>
      <c r="C27" s="29" t="str">
        <f>IFERROR(__xludf.DUMMYFUNCTION("""COMPUTED_VALUE"""),"Orgasm Intensity")</f>
        <v>Orgasm Intensity</v>
      </c>
      <c r="D27" s="29" t="str">
        <f>IFERROR(__xludf.DUMMYFUNCTION("""COMPUTED_VALUE"""),"3 (Medium/Average)")</f>
        <v>3 (Medium/Average)</v>
      </c>
      <c r="E27" s="29">
        <f>IFERROR(__xludf.DUMMYFUNCTION("""COMPUTED_VALUE"""),3.0)</f>
        <v>3</v>
      </c>
    </row>
    <row r="28">
      <c r="A28" s="33">
        <f>IFERROR(__xludf.DUMMYFUNCTION("""COMPUTED_VALUE"""),45827.154774386574)</f>
        <v>45827.15477</v>
      </c>
      <c r="B28" s="29" t="str">
        <f>IFERROR(__xludf.DUMMYFUNCTION("""COMPUTED_VALUE"""),"Actively restoring my foreskin / I consider myself restored")</f>
        <v>Actively restoring my foreskin / I consider myself restored</v>
      </c>
      <c r="C28" s="29" t="str">
        <f>IFERROR(__xludf.DUMMYFUNCTION("""COMPUTED_VALUE"""),"Orgasm Intensity")</f>
        <v>Orgasm Intensity</v>
      </c>
      <c r="D28" s="29" t="str">
        <f>IFERROR(__xludf.DUMMYFUNCTION("""COMPUTED_VALUE"""),"3 (Medium/Average)")</f>
        <v>3 (Medium/Average)</v>
      </c>
      <c r="E28" s="29">
        <f>IFERROR(__xludf.DUMMYFUNCTION("""COMPUTED_VALUE"""),3.0)</f>
        <v>3</v>
      </c>
    </row>
    <row r="29">
      <c r="A29" s="33">
        <f>IFERROR(__xludf.DUMMYFUNCTION("""COMPUTED_VALUE"""),45827.166781851854)</f>
        <v>45827.16678</v>
      </c>
      <c r="B29" s="29" t="str">
        <f>IFERROR(__xludf.DUMMYFUNCTION("""COMPUTED_VALUE"""),"Intact (Never circumcised)")</f>
        <v>Intact (Never circumcised)</v>
      </c>
      <c r="C29" s="29" t="str">
        <f>IFERROR(__xludf.DUMMYFUNCTION("""COMPUTED_VALUE"""),"Orgasm Intensity")</f>
        <v>Orgasm Intensity</v>
      </c>
      <c r="D29" s="29" t="str">
        <f>IFERROR(__xludf.DUMMYFUNCTION("""COMPUTED_VALUE"""),"5 (High/Excellent)")</f>
        <v>5 (High/Excellent)</v>
      </c>
      <c r="E29" s="29">
        <f>IFERROR(__xludf.DUMMYFUNCTION("""COMPUTED_VALUE"""),5.0)</f>
        <v>5</v>
      </c>
    </row>
    <row r="30">
      <c r="A30" s="33">
        <f>IFERROR(__xludf.DUMMYFUNCTION("""COMPUTED_VALUE"""),45827.22959027778)</f>
        <v>45827.22959</v>
      </c>
      <c r="B30" s="29" t="str">
        <f>IFERROR(__xludf.DUMMYFUNCTION("""COMPUTED_VALUE"""),"Actively restoring my foreskin / I consider myself restored")</f>
        <v>Actively restoring my foreskin / I consider myself restored</v>
      </c>
      <c r="C30" s="29" t="str">
        <f>IFERROR(__xludf.DUMMYFUNCTION("""COMPUTED_VALUE"""),"Orgasm Intensity")</f>
        <v>Orgasm Intensity</v>
      </c>
      <c r="D30" s="29" t="str">
        <f>IFERROR(__xludf.DUMMYFUNCTION("""COMPUTED_VALUE"""),"1 (Low/Poor)")</f>
        <v>1 (Low/Poor)</v>
      </c>
      <c r="E30" s="29">
        <f>IFERROR(__xludf.DUMMYFUNCTION("""COMPUTED_VALUE"""),1.0)</f>
        <v>1</v>
      </c>
    </row>
    <row r="31">
      <c r="A31" s="33">
        <f>IFERROR(__xludf.DUMMYFUNCTION("""COMPUTED_VALUE"""),45827.23603613426)</f>
        <v>45827.23604</v>
      </c>
      <c r="B31" s="29" t="str">
        <f>IFERROR(__xludf.DUMMYFUNCTION("""COMPUTED_VALUE"""),"Actively restoring my foreskin / I consider myself restored")</f>
        <v>Actively restoring my foreskin / I consider myself restored</v>
      </c>
      <c r="C31" s="29" t="str">
        <f>IFERROR(__xludf.DUMMYFUNCTION("""COMPUTED_VALUE"""),"Orgasm Intensity")</f>
        <v>Orgasm Intensity</v>
      </c>
      <c r="D31" s="29" t="str">
        <f>IFERROR(__xludf.DUMMYFUNCTION("""COMPUTED_VALUE"""),"5 (High/Excellent)")</f>
        <v>5 (High/Excellent)</v>
      </c>
      <c r="E31" s="29">
        <f>IFERROR(__xludf.DUMMYFUNCTION("""COMPUTED_VALUE"""),5.0)</f>
        <v>5</v>
      </c>
    </row>
    <row r="32">
      <c r="A32" s="33">
        <f>IFERROR(__xludf.DUMMYFUNCTION("""COMPUTED_VALUE"""),45827.23853277778)</f>
        <v>45827.23853</v>
      </c>
      <c r="B32" s="29" t="str">
        <f>IFERROR(__xludf.DUMMYFUNCTION("""COMPUTED_VALUE"""),"Actively restoring my foreskin / I consider myself restored")</f>
        <v>Actively restoring my foreskin / I consider myself restored</v>
      </c>
      <c r="C32" s="29" t="str">
        <f>IFERROR(__xludf.DUMMYFUNCTION("""COMPUTED_VALUE"""),"Orgasm Intensity")</f>
        <v>Orgasm Intensity</v>
      </c>
      <c r="D32" s="29" t="str">
        <f>IFERROR(__xludf.DUMMYFUNCTION("""COMPUTED_VALUE"""),"4")</f>
        <v>4</v>
      </c>
      <c r="E32" s="29">
        <f>IFERROR(__xludf.DUMMYFUNCTION("""COMPUTED_VALUE"""),4.0)</f>
        <v>4</v>
      </c>
    </row>
    <row r="33">
      <c r="A33" s="33">
        <f>IFERROR(__xludf.DUMMYFUNCTION("""COMPUTED_VALUE"""),45827.245649062505)</f>
        <v>45827.24565</v>
      </c>
      <c r="B33" s="29" t="str">
        <f>IFERROR(__xludf.DUMMYFUNCTION("""COMPUTED_VALUE"""),"Actively restoring my foreskin / I consider myself restored")</f>
        <v>Actively restoring my foreskin / I consider myself restored</v>
      </c>
      <c r="C33" s="29" t="str">
        <f>IFERROR(__xludf.DUMMYFUNCTION("""COMPUTED_VALUE"""),"Orgasm Intensity")</f>
        <v>Orgasm Intensity</v>
      </c>
      <c r="D33" s="29" t="str">
        <f>IFERROR(__xludf.DUMMYFUNCTION("""COMPUTED_VALUE"""),"2")</f>
        <v>2</v>
      </c>
      <c r="E33" s="29">
        <f>IFERROR(__xludf.DUMMYFUNCTION("""COMPUTED_VALUE"""),2.0)</f>
        <v>2</v>
      </c>
    </row>
    <row r="34">
      <c r="A34" s="33">
        <f>IFERROR(__xludf.DUMMYFUNCTION("""COMPUTED_VALUE"""),45827.372200185186)</f>
        <v>45827.3722</v>
      </c>
      <c r="B34" s="29" t="str">
        <f>IFERROR(__xludf.DUMMYFUNCTION("""COMPUTED_VALUE"""),"Actively restoring my foreskin / I consider myself restored")</f>
        <v>Actively restoring my foreskin / I consider myself restored</v>
      </c>
      <c r="C34" s="29" t="str">
        <f>IFERROR(__xludf.DUMMYFUNCTION("""COMPUTED_VALUE"""),"Orgasm Intensity")</f>
        <v>Orgasm Intensity</v>
      </c>
      <c r="D34" s="29" t="str">
        <f>IFERROR(__xludf.DUMMYFUNCTION("""COMPUTED_VALUE"""),"4")</f>
        <v>4</v>
      </c>
      <c r="E34" s="29">
        <f>IFERROR(__xludf.DUMMYFUNCTION("""COMPUTED_VALUE"""),4.0)</f>
        <v>4</v>
      </c>
    </row>
    <row r="35">
      <c r="A35" s="33">
        <f>IFERROR(__xludf.DUMMYFUNCTION("""COMPUTED_VALUE"""),45827.37673142362)</f>
        <v>45827.37673</v>
      </c>
      <c r="B35" s="29" t="str">
        <f>IFERROR(__xludf.DUMMYFUNCTION("""COMPUTED_VALUE"""),"Circumcised")</f>
        <v>Circumcised</v>
      </c>
      <c r="C35" s="29" t="str">
        <f>IFERROR(__xludf.DUMMYFUNCTION("""COMPUTED_VALUE"""),"Orgasm Intensity")</f>
        <v>Orgasm Intensity</v>
      </c>
      <c r="D35" s="29" t="str">
        <f>IFERROR(__xludf.DUMMYFUNCTION("""COMPUTED_VALUE"""),"2")</f>
        <v>2</v>
      </c>
      <c r="E35" s="29">
        <f>IFERROR(__xludf.DUMMYFUNCTION("""COMPUTED_VALUE"""),2.0)</f>
        <v>2</v>
      </c>
    </row>
    <row r="36">
      <c r="A36" s="33">
        <f>IFERROR(__xludf.DUMMYFUNCTION("""COMPUTED_VALUE"""),45827.39404474538)</f>
        <v>45827.39404</v>
      </c>
      <c r="B36" s="29" t="str">
        <f>IFERROR(__xludf.DUMMYFUNCTION("""COMPUTED_VALUE"""),"Circumcised")</f>
        <v>Circumcised</v>
      </c>
      <c r="C36" s="29" t="str">
        <f>IFERROR(__xludf.DUMMYFUNCTION("""COMPUTED_VALUE"""),"Orgasm Intensity")</f>
        <v>Orgasm Intensity</v>
      </c>
      <c r="D36" s="29" t="str">
        <f>IFERROR(__xludf.DUMMYFUNCTION("""COMPUTED_VALUE"""),"1 (Low/Poor)")</f>
        <v>1 (Low/Poor)</v>
      </c>
      <c r="E36" s="29">
        <f>IFERROR(__xludf.DUMMYFUNCTION("""COMPUTED_VALUE"""),1.0)</f>
        <v>1</v>
      </c>
    </row>
    <row r="37">
      <c r="A37" s="33">
        <f>IFERROR(__xludf.DUMMYFUNCTION("""COMPUTED_VALUE"""),45827.396721377314)</f>
        <v>45827.39672</v>
      </c>
      <c r="B37" s="29" t="str">
        <f>IFERROR(__xludf.DUMMYFUNCTION("""COMPUTED_VALUE"""),"Circumcised")</f>
        <v>Circumcised</v>
      </c>
      <c r="C37" s="29" t="str">
        <f>IFERROR(__xludf.DUMMYFUNCTION("""COMPUTED_VALUE"""),"Orgasm Intensity")</f>
        <v>Orgasm Intensity</v>
      </c>
      <c r="D37" s="29" t="str">
        <f>IFERROR(__xludf.DUMMYFUNCTION("""COMPUTED_VALUE"""),"4")</f>
        <v>4</v>
      </c>
      <c r="E37" s="29">
        <f>IFERROR(__xludf.DUMMYFUNCTION("""COMPUTED_VALUE"""),4.0)</f>
        <v>4</v>
      </c>
    </row>
    <row r="38">
      <c r="A38" s="33">
        <f>IFERROR(__xludf.DUMMYFUNCTION("""COMPUTED_VALUE"""),45827.40643686343)</f>
        <v>45827.40644</v>
      </c>
      <c r="B38" s="29" t="str">
        <f>IFERROR(__xludf.DUMMYFUNCTION("""COMPUTED_VALUE"""),"Actively restoring my foreskin / I consider myself restored")</f>
        <v>Actively restoring my foreskin / I consider myself restored</v>
      </c>
      <c r="C38" s="29" t="str">
        <f>IFERROR(__xludf.DUMMYFUNCTION("""COMPUTED_VALUE"""),"Orgasm Intensity")</f>
        <v>Orgasm Intensity</v>
      </c>
      <c r="D38" s="29" t="str">
        <f>IFERROR(__xludf.DUMMYFUNCTION("""COMPUTED_VALUE"""),"3 (Medium/Average)")</f>
        <v>3 (Medium/Average)</v>
      </c>
      <c r="E38" s="29">
        <f>IFERROR(__xludf.DUMMYFUNCTION("""COMPUTED_VALUE"""),3.0)</f>
        <v>3</v>
      </c>
    </row>
    <row r="39">
      <c r="A39" s="33">
        <f>IFERROR(__xludf.DUMMYFUNCTION("""COMPUTED_VALUE"""),45827.41032530092)</f>
        <v>45827.41033</v>
      </c>
      <c r="B39" s="29" t="str">
        <f>IFERROR(__xludf.DUMMYFUNCTION("""COMPUTED_VALUE"""),"Circumcised")</f>
        <v>Circumcised</v>
      </c>
      <c r="C39" s="29" t="str">
        <f>IFERROR(__xludf.DUMMYFUNCTION("""COMPUTED_VALUE"""),"Orgasm Intensity")</f>
        <v>Orgasm Intensity</v>
      </c>
      <c r="D39" s="29" t="str">
        <f>IFERROR(__xludf.DUMMYFUNCTION("""COMPUTED_VALUE"""),"4")</f>
        <v>4</v>
      </c>
      <c r="E39" s="29">
        <f>IFERROR(__xludf.DUMMYFUNCTION("""COMPUTED_VALUE"""),4.0)</f>
        <v>4</v>
      </c>
    </row>
    <row r="40">
      <c r="A40" s="33">
        <f>IFERROR(__xludf.DUMMYFUNCTION("""COMPUTED_VALUE"""),45827.43042048611)</f>
        <v>45827.43042</v>
      </c>
      <c r="B40" s="29" t="str">
        <f>IFERROR(__xludf.DUMMYFUNCTION("""COMPUTED_VALUE"""),"Circumcised")</f>
        <v>Circumcised</v>
      </c>
      <c r="C40" s="29" t="str">
        <f>IFERROR(__xludf.DUMMYFUNCTION("""COMPUTED_VALUE"""),"Orgasm Intensity")</f>
        <v>Orgasm Intensity</v>
      </c>
      <c r="D40" s="29" t="str">
        <f>IFERROR(__xludf.DUMMYFUNCTION("""COMPUTED_VALUE"""),"1 (Low/Poor)")</f>
        <v>1 (Low/Poor)</v>
      </c>
      <c r="E40" s="29">
        <f>IFERROR(__xludf.DUMMYFUNCTION("""COMPUTED_VALUE"""),1.0)</f>
        <v>1</v>
      </c>
    </row>
    <row r="41">
      <c r="A41" s="33">
        <f>IFERROR(__xludf.DUMMYFUNCTION("""COMPUTED_VALUE"""),45827.43160585649)</f>
        <v>45827.43161</v>
      </c>
      <c r="B41" s="29" t="str">
        <f>IFERROR(__xludf.DUMMYFUNCTION("""COMPUTED_VALUE"""),"Circumcised")</f>
        <v>Circumcised</v>
      </c>
      <c r="C41" s="29" t="str">
        <f>IFERROR(__xludf.DUMMYFUNCTION("""COMPUTED_VALUE"""),"Orgasm Intensity")</f>
        <v>Orgasm Intensity</v>
      </c>
      <c r="D41" s="29" t="str">
        <f>IFERROR(__xludf.DUMMYFUNCTION("""COMPUTED_VALUE"""),"2")</f>
        <v>2</v>
      </c>
      <c r="E41" s="29">
        <f>IFERROR(__xludf.DUMMYFUNCTION("""COMPUTED_VALUE"""),2.0)</f>
        <v>2</v>
      </c>
    </row>
    <row r="42">
      <c r="A42" s="33">
        <f>IFERROR(__xludf.DUMMYFUNCTION("""COMPUTED_VALUE"""),45827.434389699076)</f>
        <v>45827.43439</v>
      </c>
      <c r="B42" s="29" t="str">
        <f>IFERROR(__xludf.DUMMYFUNCTION("""COMPUTED_VALUE"""),"Actively restoring my foreskin / I consider myself restored")</f>
        <v>Actively restoring my foreskin / I consider myself restored</v>
      </c>
      <c r="C42" s="29" t="str">
        <f>IFERROR(__xludf.DUMMYFUNCTION("""COMPUTED_VALUE"""),"Orgasm Intensity")</f>
        <v>Orgasm Intensity</v>
      </c>
      <c r="D42" s="29" t="str">
        <f>IFERROR(__xludf.DUMMYFUNCTION("""COMPUTED_VALUE"""),"5 (High/Excellent)")</f>
        <v>5 (High/Excellent)</v>
      </c>
      <c r="E42" s="29">
        <f>IFERROR(__xludf.DUMMYFUNCTION("""COMPUTED_VALUE"""),5.0)</f>
        <v>5</v>
      </c>
    </row>
    <row r="43">
      <c r="A43" s="33">
        <f>IFERROR(__xludf.DUMMYFUNCTION("""COMPUTED_VALUE"""),45827.45617319444)</f>
        <v>45827.45617</v>
      </c>
      <c r="B43" s="29" t="str">
        <f>IFERROR(__xludf.DUMMYFUNCTION("""COMPUTED_VALUE"""),"Actively restoring my foreskin / I consider myself restored")</f>
        <v>Actively restoring my foreskin / I consider myself restored</v>
      </c>
      <c r="C43" s="29" t="str">
        <f>IFERROR(__xludf.DUMMYFUNCTION("""COMPUTED_VALUE"""),"Orgasm Intensity")</f>
        <v>Orgasm Intensity</v>
      </c>
      <c r="D43" s="29" t="str">
        <f>IFERROR(__xludf.DUMMYFUNCTION("""COMPUTED_VALUE"""),"4")</f>
        <v>4</v>
      </c>
      <c r="E43" s="29">
        <f>IFERROR(__xludf.DUMMYFUNCTION("""COMPUTED_VALUE"""),4.0)</f>
        <v>4</v>
      </c>
    </row>
    <row r="44">
      <c r="A44" s="33">
        <f>IFERROR(__xludf.DUMMYFUNCTION("""COMPUTED_VALUE"""),45827.47113355324)</f>
        <v>45827.47113</v>
      </c>
      <c r="B44" s="29" t="str">
        <f>IFERROR(__xludf.DUMMYFUNCTION("""COMPUTED_VALUE"""),"Actively restoring my foreskin / I consider myself restored")</f>
        <v>Actively restoring my foreskin / I consider myself restored</v>
      </c>
      <c r="C44" s="29" t="str">
        <f>IFERROR(__xludf.DUMMYFUNCTION("""COMPUTED_VALUE"""),"Orgasm Intensity")</f>
        <v>Orgasm Intensity</v>
      </c>
      <c r="D44" s="29" t="str">
        <f>IFERROR(__xludf.DUMMYFUNCTION("""COMPUTED_VALUE"""),"2")</f>
        <v>2</v>
      </c>
      <c r="E44" s="29">
        <f>IFERROR(__xludf.DUMMYFUNCTION("""COMPUTED_VALUE"""),2.0)</f>
        <v>2</v>
      </c>
    </row>
    <row r="45">
      <c r="A45" s="33">
        <f>IFERROR(__xludf.DUMMYFUNCTION("""COMPUTED_VALUE"""),45827.504890868055)</f>
        <v>45827.50489</v>
      </c>
      <c r="B45" s="29" t="str">
        <f>IFERROR(__xludf.DUMMYFUNCTION("""COMPUTED_VALUE"""),"Actively restoring my foreskin / I consider myself restored")</f>
        <v>Actively restoring my foreskin / I consider myself restored</v>
      </c>
      <c r="C45" s="29" t="str">
        <f>IFERROR(__xludf.DUMMYFUNCTION("""COMPUTED_VALUE"""),"Orgasm Intensity")</f>
        <v>Orgasm Intensity</v>
      </c>
      <c r="D45" s="29" t="str">
        <f>IFERROR(__xludf.DUMMYFUNCTION("""COMPUTED_VALUE"""),"3 (Medium/Average)")</f>
        <v>3 (Medium/Average)</v>
      </c>
      <c r="E45" s="29">
        <f>IFERROR(__xludf.DUMMYFUNCTION("""COMPUTED_VALUE"""),3.0)</f>
        <v>3</v>
      </c>
    </row>
    <row r="46">
      <c r="A46" s="33">
        <f>IFERROR(__xludf.DUMMYFUNCTION("""COMPUTED_VALUE"""),45827.56687807871)</f>
        <v>45827.56688</v>
      </c>
      <c r="B46" s="29" t="str">
        <f>IFERROR(__xludf.DUMMYFUNCTION("""COMPUTED_VALUE"""),"Circumcised")</f>
        <v>Circumcised</v>
      </c>
      <c r="C46" s="29" t="str">
        <f>IFERROR(__xludf.DUMMYFUNCTION("""COMPUTED_VALUE"""),"Orgasm Intensity")</f>
        <v>Orgasm Intensity</v>
      </c>
      <c r="D46" s="29" t="str">
        <f>IFERROR(__xludf.DUMMYFUNCTION("""COMPUTED_VALUE"""),"1 (Low/Poor)")</f>
        <v>1 (Low/Poor)</v>
      </c>
      <c r="E46" s="29">
        <f>IFERROR(__xludf.DUMMYFUNCTION("""COMPUTED_VALUE"""),1.0)</f>
        <v>1</v>
      </c>
    </row>
    <row r="47">
      <c r="A47" s="33">
        <f>IFERROR(__xludf.DUMMYFUNCTION("""COMPUTED_VALUE"""),45827.582390254625)</f>
        <v>45827.58239</v>
      </c>
      <c r="B47" s="29" t="str">
        <f>IFERROR(__xludf.DUMMYFUNCTION("""COMPUTED_VALUE"""),"Intact (Never circumcised)")</f>
        <v>Intact (Never circumcised)</v>
      </c>
      <c r="C47" s="29" t="str">
        <f>IFERROR(__xludf.DUMMYFUNCTION("""COMPUTED_VALUE"""),"Orgasm Intensity")</f>
        <v>Orgasm Intensity</v>
      </c>
      <c r="D47" s="29" t="str">
        <f>IFERROR(__xludf.DUMMYFUNCTION("""COMPUTED_VALUE"""),"4")</f>
        <v>4</v>
      </c>
      <c r="E47" s="29">
        <f>IFERROR(__xludf.DUMMYFUNCTION("""COMPUTED_VALUE"""),4.0)</f>
        <v>4</v>
      </c>
    </row>
    <row r="48">
      <c r="A48" s="33">
        <f>IFERROR(__xludf.DUMMYFUNCTION("""COMPUTED_VALUE"""),45827.59833847222)</f>
        <v>45827.59834</v>
      </c>
      <c r="B48" s="29" t="str">
        <f>IFERROR(__xludf.DUMMYFUNCTION("""COMPUTED_VALUE"""),"Intact (Never circumcised)")</f>
        <v>Intact (Never circumcised)</v>
      </c>
      <c r="C48" s="29" t="str">
        <f>IFERROR(__xludf.DUMMYFUNCTION("""COMPUTED_VALUE"""),"Orgasm Intensity")</f>
        <v>Orgasm Intensity</v>
      </c>
      <c r="D48" s="29" t="str">
        <f>IFERROR(__xludf.DUMMYFUNCTION("""COMPUTED_VALUE"""),"5 (High/Excellent)")</f>
        <v>5 (High/Excellent)</v>
      </c>
      <c r="E48" s="29">
        <f>IFERROR(__xludf.DUMMYFUNCTION("""COMPUTED_VALUE"""),5.0)</f>
        <v>5</v>
      </c>
    </row>
    <row r="49">
      <c r="A49" s="33">
        <f>IFERROR(__xludf.DUMMYFUNCTION("""COMPUTED_VALUE"""),45827.666499756946)</f>
        <v>45827.6665</v>
      </c>
      <c r="B49" s="29" t="str">
        <f>IFERROR(__xludf.DUMMYFUNCTION("""COMPUTED_VALUE"""),"Intact (Never circumcised)")</f>
        <v>Intact (Never circumcised)</v>
      </c>
      <c r="C49" s="29" t="str">
        <f>IFERROR(__xludf.DUMMYFUNCTION("""COMPUTED_VALUE"""),"Orgasm Intensity")</f>
        <v>Orgasm Intensity</v>
      </c>
      <c r="D49" s="29" t="str">
        <f>IFERROR(__xludf.DUMMYFUNCTION("""COMPUTED_VALUE"""),"5 (High/Excellent)")</f>
        <v>5 (High/Excellent)</v>
      </c>
      <c r="E49" s="29">
        <f>IFERROR(__xludf.DUMMYFUNCTION("""COMPUTED_VALUE"""),5.0)</f>
        <v>5</v>
      </c>
    </row>
    <row r="50">
      <c r="A50" s="33">
        <f>IFERROR(__xludf.DUMMYFUNCTION("""COMPUTED_VALUE"""),45827.70323135417)</f>
        <v>45827.70323</v>
      </c>
      <c r="B50" s="29" t="str">
        <f>IFERROR(__xludf.DUMMYFUNCTION("""COMPUTED_VALUE"""),"Intact (Never circumcised)")</f>
        <v>Intact (Never circumcised)</v>
      </c>
      <c r="C50" s="29" t="str">
        <f>IFERROR(__xludf.DUMMYFUNCTION("""COMPUTED_VALUE"""),"Orgasm Intensity")</f>
        <v>Orgasm Intensity</v>
      </c>
      <c r="D50" s="29" t="str">
        <f>IFERROR(__xludf.DUMMYFUNCTION("""COMPUTED_VALUE"""),"5 (High/Excellent)")</f>
        <v>5 (High/Excellent)</v>
      </c>
      <c r="E50" s="29">
        <f>IFERROR(__xludf.DUMMYFUNCTION("""COMPUTED_VALUE"""),5.0)</f>
        <v>5</v>
      </c>
    </row>
    <row r="51">
      <c r="A51" s="33">
        <f>IFERROR(__xludf.DUMMYFUNCTION("""COMPUTED_VALUE"""),45827.705325347226)</f>
        <v>45827.70533</v>
      </c>
      <c r="B51" s="29" t="str">
        <f>IFERROR(__xludf.DUMMYFUNCTION("""COMPUTED_VALUE"""),"Intact (Never circumcised)")</f>
        <v>Intact (Never circumcised)</v>
      </c>
      <c r="C51" s="29" t="str">
        <f>IFERROR(__xludf.DUMMYFUNCTION("""COMPUTED_VALUE"""),"Orgasm Intensity")</f>
        <v>Orgasm Intensity</v>
      </c>
      <c r="D51" s="29" t="str">
        <f>IFERROR(__xludf.DUMMYFUNCTION("""COMPUTED_VALUE"""),"5 (High/Excellent)")</f>
        <v>5 (High/Excellent)</v>
      </c>
      <c r="E51" s="29">
        <f>IFERROR(__xludf.DUMMYFUNCTION("""COMPUTED_VALUE"""),5.0)</f>
        <v>5</v>
      </c>
    </row>
    <row r="52">
      <c r="A52" s="33">
        <f>IFERROR(__xludf.DUMMYFUNCTION("""COMPUTED_VALUE"""),45827.709368090276)</f>
        <v>45827.70937</v>
      </c>
      <c r="B52" s="29" t="str">
        <f>IFERROR(__xludf.DUMMYFUNCTION("""COMPUTED_VALUE"""),"Intact (Never circumcised)")</f>
        <v>Intact (Never circumcised)</v>
      </c>
      <c r="C52" s="29" t="str">
        <f>IFERROR(__xludf.DUMMYFUNCTION("""COMPUTED_VALUE"""),"Orgasm Intensity")</f>
        <v>Orgasm Intensity</v>
      </c>
      <c r="D52" s="29" t="str">
        <f>IFERROR(__xludf.DUMMYFUNCTION("""COMPUTED_VALUE"""),"5 (High/Excellent)")</f>
        <v>5 (High/Excellent)</v>
      </c>
      <c r="E52" s="29">
        <f>IFERROR(__xludf.DUMMYFUNCTION("""COMPUTED_VALUE"""),5.0)</f>
        <v>5</v>
      </c>
    </row>
    <row r="53">
      <c r="A53" s="33">
        <f>IFERROR(__xludf.DUMMYFUNCTION("""COMPUTED_VALUE"""),45827.7507882986)</f>
        <v>45827.75079</v>
      </c>
      <c r="B53" s="29" t="str">
        <f>IFERROR(__xludf.DUMMYFUNCTION("""COMPUTED_VALUE"""),"Actively restoring my foreskin / I consider myself restored")</f>
        <v>Actively restoring my foreskin / I consider myself restored</v>
      </c>
      <c r="C53" s="29" t="str">
        <f>IFERROR(__xludf.DUMMYFUNCTION("""COMPUTED_VALUE"""),"Orgasm Intensity")</f>
        <v>Orgasm Intensity</v>
      </c>
      <c r="D53" s="29" t="str">
        <f>IFERROR(__xludf.DUMMYFUNCTION("""COMPUTED_VALUE"""),"1 (Low/Poor)")</f>
        <v>1 (Low/Poor)</v>
      </c>
      <c r="E53" s="29">
        <f>IFERROR(__xludf.DUMMYFUNCTION("""COMPUTED_VALUE"""),1.0)</f>
        <v>1</v>
      </c>
    </row>
    <row r="54">
      <c r="A54" s="33">
        <f>IFERROR(__xludf.DUMMYFUNCTION("""COMPUTED_VALUE"""),45827.75108425925)</f>
        <v>45827.75108</v>
      </c>
      <c r="B54" s="29" t="str">
        <f>IFERROR(__xludf.DUMMYFUNCTION("""COMPUTED_VALUE"""),"Intact (Never circumcised)")</f>
        <v>Intact (Never circumcised)</v>
      </c>
      <c r="C54" s="29" t="str">
        <f>IFERROR(__xludf.DUMMYFUNCTION("""COMPUTED_VALUE"""),"Orgasm Intensity")</f>
        <v>Orgasm Intensity</v>
      </c>
      <c r="D54" s="29" t="str">
        <f>IFERROR(__xludf.DUMMYFUNCTION("""COMPUTED_VALUE"""),"5 (High/Excellent)")</f>
        <v>5 (High/Excellent)</v>
      </c>
      <c r="E54" s="29">
        <f>IFERROR(__xludf.DUMMYFUNCTION("""COMPUTED_VALUE"""),5.0)</f>
        <v>5</v>
      </c>
    </row>
    <row r="55">
      <c r="A55" s="33">
        <f>IFERROR(__xludf.DUMMYFUNCTION("""COMPUTED_VALUE"""),45827.75616498842)</f>
        <v>45827.75616</v>
      </c>
      <c r="B55" s="29" t="str">
        <f>IFERROR(__xludf.DUMMYFUNCTION("""COMPUTED_VALUE"""),"Circumcised")</f>
        <v>Circumcised</v>
      </c>
      <c r="C55" s="29" t="str">
        <f>IFERROR(__xludf.DUMMYFUNCTION("""COMPUTED_VALUE"""),"Orgasm Intensity")</f>
        <v>Orgasm Intensity</v>
      </c>
      <c r="D55" s="29" t="str">
        <f>IFERROR(__xludf.DUMMYFUNCTION("""COMPUTED_VALUE"""),"4")</f>
        <v>4</v>
      </c>
      <c r="E55" s="29">
        <f>IFERROR(__xludf.DUMMYFUNCTION("""COMPUTED_VALUE"""),4.0)</f>
        <v>4</v>
      </c>
    </row>
    <row r="56">
      <c r="A56" s="33">
        <f>IFERROR(__xludf.DUMMYFUNCTION("""COMPUTED_VALUE"""),45827.76179119213)</f>
        <v>45827.76179</v>
      </c>
      <c r="B56" s="29" t="str">
        <f>IFERROR(__xludf.DUMMYFUNCTION("""COMPUTED_VALUE"""),"Circumcised")</f>
        <v>Circumcised</v>
      </c>
      <c r="C56" s="29" t="str">
        <f>IFERROR(__xludf.DUMMYFUNCTION("""COMPUTED_VALUE"""),"Orgasm Intensity")</f>
        <v>Orgasm Intensity</v>
      </c>
      <c r="D56" s="29" t="str">
        <f>IFERROR(__xludf.DUMMYFUNCTION("""COMPUTED_VALUE"""),"5 (High/Excellent)")</f>
        <v>5 (High/Excellent)</v>
      </c>
      <c r="E56" s="29">
        <f>IFERROR(__xludf.DUMMYFUNCTION("""COMPUTED_VALUE"""),5.0)</f>
        <v>5</v>
      </c>
    </row>
    <row r="57">
      <c r="A57" s="33">
        <f>IFERROR(__xludf.DUMMYFUNCTION("""COMPUTED_VALUE"""),45827.775080740736)</f>
        <v>45827.77508</v>
      </c>
      <c r="B57" s="29" t="str">
        <f>IFERROR(__xludf.DUMMYFUNCTION("""COMPUTED_VALUE"""),"Actively restoring my foreskin / I consider myself restored")</f>
        <v>Actively restoring my foreskin / I consider myself restored</v>
      </c>
      <c r="C57" s="29" t="str">
        <f>IFERROR(__xludf.DUMMYFUNCTION("""COMPUTED_VALUE"""),"Orgasm Intensity")</f>
        <v>Orgasm Intensity</v>
      </c>
      <c r="D57" s="29" t="str">
        <f>IFERROR(__xludf.DUMMYFUNCTION("""COMPUTED_VALUE"""),"3 (Medium/Average)")</f>
        <v>3 (Medium/Average)</v>
      </c>
      <c r="E57" s="29">
        <f>IFERROR(__xludf.DUMMYFUNCTION("""COMPUTED_VALUE"""),3.0)</f>
        <v>3</v>
      </c>
    </row>
    <row r="58">
      <c r="A58" s="33">
        <f>IFERROR(__xludf.DUMMYFUNCTION("""COMPUTED_VALUE"""),45827.80988215278)</f>
        <v>45827.80988</v>
      </c>
      <c r="B58" s="29" t="str">
        <f>IFERROR(__xludf.DUMMYFUNCTION("""COMPUTED_VALUE"""),"Intact (Never circumcised)")</f>
        <v>Intact (Never circumcised)</v>
      </c>
      <c r="C58" s="29" t="str">
        <f>IFERROR(__xludf.DUMMYFUNCTION("""COMPUTED_VALUE"""),"Orgasm Intensity")</f>
        <v>Orgasm Intensity</v>
      </c>
      <c r="D58" s="29" t="str">
        <f>IFERROR(__xludf.DUMMYFUNCTION("""COMPUTED_VALUE"""),"4")</f>
        <v>4</v>
      </c>
      <c r="E58" s="29">
        <f>IFERROR(__xludf.DUMMYFUNCTION("""COMPUTED_VALUE"""),4.0)</f>
        <v>4</v>
      </c>
    </row>
    <row r="59">
      <c r="A59" s="33">
        <f>IFERROR(__xludf.DUMMYFUNCTION("""COMPUTED_VALUE"""),45827.82377087963)</f>
        <v>45827.82377</v>
      </c>
      <c r="B59" s="29" t="str">
        <f>IFERROR(__xludf.DUMMYFUNCTION("""COMPUTED_VALUE"""),"Circumcised")</f>
        <v>Circumcised</v>
      </c>
      <c r="C59" s="29" t="str">
        <f>IFERROR(__xludf.DUMMYFUNCTION("""COMPUTED_VALUE"""),"Orgasm Intensity")</f>
        <v>Orgasm Intensity</v>
      </c>
      <c r="D59" s="29" t="str">
        <f>IFERROR(__xludf.DUMMYFUNCTION("""COMPUTED_VALUE"""),"1 (Low/Poor)")</f>
        <v>1 (Low/Poor)</v>
      </c>
      <c r="E59" s="29">
        <f>IFERROR(__xludf.DUMMYFUNCTION("""COMPUTED_VALUE"""),1.0)</f>
        <v>1</v>
      </c>
    </row>
    <row r="60">
      <c r="A60" s="33">
        <f>IFERROR(__xludf.DUMMYFUNCTION("""COMPUTED_VALUE"""),45827.84110394676)</f>
        <v>45827.8411</v>
      </c>
      <c r="B60" s="29" t="str">
        <f>IFERROR(__xludf.DUMMYFUNCTION("""COMPUTED_VALUE"""),"Intact (Never circumcised)")</f>
        <v>Intact (Never circumcised)</v>
      </c>
      <c r="C60" s="29" t="str">
        <f>IFERROR(__xludf.DUMMYFUNCTION("""COMPUTED_VALUE"""),"Orgasm Intensity")</f>
        <v>Orgasm Intensity</v>
      </c>
      <c r="D60" s="29" t="str">
        <f>IFERROR(__xludf.DUMMYFUNCTION("""COMPUTED_VALUE"""),"5 (High/Excellent)")</f>
        <v>5 (High/Excellent)</v>
      </c>
      <c r="E60" s="29">
        <f>IFERROR(__xludf.DUMMYFUNCTION("""COMPUTED_VALUE"""),5.0)</f>
        <v>5</v>
      </c>
    </row>
    <row r="61">
      <c r="A61" s="33">
        <f>IFERROR(__xludf.DUMMYFUNCTION("""COMPUTED_VALUE"""),45827.86569578704)</f>
        <v>45827.8657</v>
      </c>
      <c r="B61" s="29" t="str">
        <f>IFERROR(__xludf.DUMMYFUNCTION("""COMPUTED_VALUE"""),"Circumcised")</f>
        <v>Circumcised</v>
      </c>
      <c r="C61" s="29" t="str">
        <f>IFERROR(__xludf.DUMMYFUNCTION("""COMPUTED_VALUE"""),"Orgasm Intensity")</f>
        <v>Orgasm Intensity</v>
      </c>
      <c r="D61" s="29" t="str">
        <f>IFERROR(__xludf.DUMMYFUNCTION("""COMPUTED_VALUE"""),"2")</f>
        <v>2</v>
      </c>
      <c r="E61" s="29">
        <f>IFERROR(__xludf.DUMMYFUNCTION("""COMPUTED_VALUE"""),2.0)</f>
        <v>2</v>
      </c>
    </row>
    <row r="62">
      <c r="A62" s="33">
        <f>IFERROR(__xludf.DUMMYFUNCTION("""COMPUTED_VALUE"""),45827.8672928588)</f>
        <v>45827.86729</v>
      </c>
      <c r="B62" s="29" t="str">
        <f>IFERROR(__xludf.DUMMYFUNCTION("""COMPUTED_VALUE"""),"Actively restoring my foreskin / I consider myself restored")</f>
        <v>Actively restoring my foreskin / I consider myself restored</v>
      </c>
      <c r="C62" s="29" t="str">
        <f>IFERROR(__xludf.DUMMYFUNCTION("""COMPUTED_VALUE"""),"Orgasm Intensity")</f>
        <v>Orgasm Intensity</v>
      </c>
      <c r="D62" s="29" t="str">
        <f>IFERROR(__xludf.DUMMYFUNCTION("""COMPUTED_VALUE"""),"4")</f>
        <v>4</v>
      </c>
      <c r="E62" s="29">
        <f>IFERROR(__xludf.DUMMYFUNCTION("""COMPUTED_VALUE"""),4.0)</f>
        <v>4</v>
      </c>
    </row>
    <row r="63">
      <c r="A63" s="33">
        <f>IFERROR(__xludf.DUMMYFUNCTION("""COMPUTED_VALUE"""),45827.871949594904)</f>
        <v>45827.87195</v>
      </c>
      <c r="B63" s="29" t="str">
        <f>IFERROR(__xludf.DUMMYFUNCTION("""COMPUTED_VALUE"""),"Circumcised")</f>
        <v>Circumcised</v>
      </c>
      <c r="C63" s="29" t="str">
        <f>IFERROR(__xludf.DUMMYFUNCTION("""COMPUTED_VALUE"""),"Orgasm Intensity")</f>
        <v>Orgasm Intensity</v>
      </c>
      <c r="D63" s="29" t="str">
        <f>IFERROR(__xludf.DUMMYFUNCTION("""COMPUTED_VALUE"""),"5 (High/Excellent)")</f>
        <v>5 (High/Excellent)</v>
      </c>
      <c r="E63" s="29">
        <f>IFERROR(__xludf.DUMMYFUNCTION("""COMPUTED_VALUE"""),5.0)</f>
        <v>5</v>
      </c>
    </row>
    <row r="64">
      <c r="A64" s="33">
        <f>IFERROR(__xludf.DUMMYFUNCTION("""COMPUTED_VALUE"""),45827.892397233794)</f>
        <v>45827.8924</v>
      </c>
      <c r="B64" s="29" t="str">
        <f>IFERROR(__xludf.DUMMYFUNCTION("""COMPUTED_VALUE"""),"Intact (Never circumcised)")</f>
        <v>Intact (Never circumcised)</v>
      </c>
      <c r="C64" s="29" t="str">
        <f>IFERROR(__xludf.DUMMYFUNCTION("""COMPUTED_VALUE"""),"Orgasm Intensity")</f>
        <v>Orgasm Intensity</v>
      </c>
      <c r="D64" s="29" t="str">
        <f>IFERROR(__xludf.DUMMYFUNCTION("""COMPUTED_VALUE"""),"4")</f>
        <v>4</v>
      </c>
      <c r="E64" s="29">
        <f>IFERROR(__xludf.DUMMYFUNCTION("""COMPUTED_VALUE"""),4.0)</f>
        <v>4</v>
      </c>
    </row>
    <row r="65">
      <c r="A65" s="33">
        <f>IFERROR(__xludf.DUMMYFUNCTION("""COMPUTED_VALUE"""),45827.910598622686)</f>
        <v>45827.9106</v>
      </c>
      <c r="B65" s="29" t="str">
        <f>IFERROR(__xludf.DUMMYFUNCTION("""COMPUTED_VALUE"""),"Circumcised")</f>
        <v>Circumcised</v>
      </c>
      <c r="C65" s="29" t="str">
        <f>IFERROR(__xludf.DUMMYFUNCTION("""COMPUTED_VALUE"""),"Orgasm Intensity")</f>
        <v>Orgasm Intensity</v>
      </c>
      <c r="D65" s="29" t="str">
        <f>IFERROR(__xludf.DUMMYFUNCTION("""COMPUTED_VALUE"""),"1 (Low/Poor)")</f>
        <v>1 (Low/Poor)</v>
      </c>
      <c r="E65" s="29">
        <f>IFERROR(__xludf.DUMMYFUNCTION("""COMPUTED_VALUE"""),1.0)</f>
        <v>1</v>
      </c>
    </row>
    <row r="66">
      <c r="A66" s="33">
        <f>IFERROR(__xludf.DUMMYFUNCTION("""COMPUTED_VALUE"""),45827.9134716551)</f>
        <v>45827.91347</v>
      </c>
      <c r="B66" s="29" t="str">
        <f>IFERROR(__xludf.DUMMYFUNCTION("""COMPUTED_VALUE"""),"Intact (Never circumcised)")</f>
        <v>Intact (Never circumcised)</v>
      </c>
      <c r="C66" s="29" t="str">
        <f>IFERROR(__xludf.DUMMYFUNCTION("""COMPUTED_VALUE"""),"Orgasm Intensity")</f>
        <v>Orgasm Intensity</v>
      </c>
      <c r="D66" s="29" t="str">
        <f>IFERROR(__xludf.DUMMYFUNCTION("""COMPUTED_VALUE"""),"5 (High/Excellent)")</f>
        <v>5 (High/Excellent)</v>
      </c>
      <c r="E66" s="29">
        <f>IFERROR(__xludf.DUMMYFUNCTION("""COMPUTED_VALUE"""),5.0)</f>
        <v>5</v>
      </c>
    </row>
    <row r="67">
      <c r="A67" s="33">
        <f>IFERROR(__xludf.DUMMYFUNCTION("""COMPUTED_VALUE"""),45827.91495508102)</f>
        <v>45827.91496</v>
      </c>
      <c r="B67" s="29" t="str">
        <f>IFERROR(__xludf.DUMMYFUNCTION("""COMPUTED_VALUE"""),"Intact (Never circumcised)")</f>
        <v>Intact (Never circumcised)</v>
      </c>
      <c r="C67" s="29" t="str">
        <f>IFERROR(__xludf.DUMMYFUNCTION("""COMPUTED_VALUE"""),"Orgasm Intensity")</f>
        <v>Orgasm Intensity</v>
      </c>
      <c r="D67" s="29" t="str">
        <f>IFERROR(__xludf.DUMMYFUNCTION("""COMPUTED_VALUE"""),"4")</f>
        <v>4</v>
      </c>
      <c r="E67" s="29">
        <f>IFERROR(__xludf.DUMMYFUNCTION("""COMPUTED_VALUE"""),4.0)</f>
        <v>4</v>
      </c>
    </row>
    <row r="68">
      <c r="A68" s="33">
        <f>IFERROR(__xludf.DUMMYFUNCTION("""COMPUTED_VALUE"""),45827.94294872685)</f>
        <v>45827.94295</v>
      </c>
      <c r="B68" s="29" t="str">
        <f>IFERROR(__xludf.DUMMYFUNCTION("""COMPUTED_VALUE"""),"Intact (Never circumcised)")</f>
        <v>Intact (Never circumcised)</v>
      </c>
      <c r="C68" s="29" t="str">
        <f>IFERROR(__xludf.DUMMYFUNCTION("""COMPUTED_VALUE"""),"Orgasm Intensity")</f>
        <v>Orgasm Intensity</v>
      </c>
      <c r="D68" s="29" t="str">
        <f>IFERROR(__xludf.DUMMYFUNCTION("""COMPUTED_VALUE"""),"4")</f>
        <v>4</v>
      </c>
      <c r="E68" s="29">
        <f>IFERROR(__xludf.DUMMYFUNCTION("""COMPUTED_VALUE"""),4.0)</f>
        <v>4</v>
      </c>
    </row>
    <row r="69">
      <c r="A69" s="33">
        <f>IFERROR(__xludf.DUMMYFUNCTION("""COMPUTED_VALUE"""),45827.94687665509)</f>
        <v>45827.94688</v>
      </c>
      <c r="B69" s="29" t="str">
        <f>IFERROR(__xludf.DUMMYFUNCTION("""COMPUTED_VALUE"""),"Intact (Never circumcised)")</f>
        <v>Intact (Never circumcised)</v>
      </c>
      <c r="C69" s="29" t="str">
        <f>IFERROR(__xludf.DUMMYFUNCTION("""COMPUTED_VALUE"""),"Orgasm Intensity")</f>
        <v>Orgasm Intensity</v>
      </c>
      <c r="D69" s="29" t="str">
        <f>IFERROR(__xludf.DUMMYFUNCTION("""COMPUTED_VALUE"""),"5 (High/Excellent)")</f>
        <v>5 (High/Excellent)</v>
      </c>
      <c r="E69" s="29">
        <f>IFERROR(__xludf.DUMMYFUNCTION("""COMPUTED_VALUE"""),5.0)</f>
        <v>5</v>
      </c>
    </row>
    <row r="70">
      <c r="A70" s="33">
        <f>IFERROR(__xludf.DUMMYFUNCTION("""COMPUTED_VALUE"""),45827.95053562501)</f>
        <v>45827.95054</v>
      </c>
      <c r="B70" s="29" t="str">
        <f>IFERROR(__xludf.DUMMYFUNCTION("""COMPUTED_VALUE"""),"Intact (Never circumcised)")</f>
        <v>Intact (Never circumcised)</v>
      </c>
      <c r="C70" s="29" t="str">
        <f>IFERROR(__xludf.DUMMYFUNCTION("""COMPUTED_VALUE"""),"Orgasm Intensity")</f>
        <v>Orgasm Intensity</v>
      </c>
      <c r="D70" s="29" t="str">
        <f>IFERROR(__xludf.DUMMYFUNCTION("""COMPUTED_VALUE"""),"3 (Medium/Average)")</f>
        <v>3 (Medium/Average)</v>
      </c>
      <c r="E70" s="29">
        <f>IFERROR(__xludf.DUMMYFUNCTION("""COMPUTED_VALUE"""),3.0)</f>
        <v>3</v>
      </c>
    </row>
    <row r="71">
      <c r="A71" s="33">
        <f>IFERROR(__xludf.DUMMYFUNCTION("""COMPUTED_VALUE"""),45827.95437741898)</f>
        <v>45827.95438</v>
      </c>
      <c r="B71" s="29" t="str">
        <f>IFERROR(__xludf.DUMMYFUNCTION("""COMPUTED_VALUE"""),"Circumcised")</f>
        <v>Circumcised</v>
      </c>
      <c r="C71" s="29" t="str">
        <f>IFERROR(__xludf.DUMMYFUNCTION("""COMPUTED_VALUE"""),"Orgasm Intensity")</f>
        <v>Orgasm Intensity</v>
      </c>
      <c r="D71" s="29" t="str">
        <f>IFERROR(__xludf.DUMMYFUNCTION("""COMPUTED_VALUE"""),"3 (Medium/Average)")</f>
        <v>3 (Medium/Average)</v>
      </c>
      <c r="E71" s="29">
        <f>IFERROR(__xludf.DUMMYFUNCTION("""COMPUTED_VALUE"""),3.0)</f>
        <v>3</v>
      </c>
    </row>
    <row r="72">
      <c r="A72" s="33">
        <f>IFERROR(__xludf.DUMMYFUNCTION("""COMPUTED_VALUE"""),45828.00873828704)</f>
        <v>45828.00874</v>
      </c>
      <c r="B72" s="29" t="str">
        <f>IFERROR(__xludf.DUMMYFUNCTION("""COMPUTED_VALUE"""),"Intact (Never circumcised)")</f>
        <v>Intact (Never circumcised)</v>
      </c>
      <c r="C72" s="29" t="str">
        <f>IFERROR(__xludf.DUMMYFUNCTION("""COMPUTED_VALUE"""),"Orgasm Intensity")</f>
        <v>Orgasm Intensity</v>
      </c>
      <c r="D72" s="29" t="str">
        <f>IFERROR(__xludf.DUMMYFUNCTION("""COMPUTED_VALUE"""),"5 (High/Excellent)")</f>
        <v>5 (High/Excellent)</v>
      </c>
      <c r="E72" s="29">
        <f>IFERROR(__xludf.DUMMYFUNCTION("""COMPUTED_VALUE"""),5.0)</f>
        <v>5</v>
      </c>
    </row>
    <row r="73">
      <c r="A73" s="33">
        <f>IFERROR(__xludf.DUMMYFUNCTION("""COMPUTED_VALUE"""),45828.01005491898)</f>
        <v>45828.01005</v>
      </c>
      <c r="B73" s="29" t="str">
        <f>IFERROR(__xludf.DUMMYFUNCTION("""COMPUTED_VALUE"""),"Actively restoring my foreskin / I consider myself restored")</f>
        <v>Actively restoring my foreskin / I consider myself restored</v>
      </c>
      <c r="C73" s="29" t="str">
        <f>IFERROR(__xludf.DUMMYFUNCTION("""COMPUTED_VALUE"""),"Orgasm Intensity")</f>
        <v>Orgasm Intensity</v>
      </c>
      <c r="D73" s="29" t="str">
        <f>IFERROR(__xludf.DUMMYFUNCTION("""COMPUTED_VALUE"""),"3 (Medium/Average)")</f>
        <v>3 (Medium/Average)</v>
      </c>
      <c r="E73" s="29">
        <f>IFERROR(__xludf.DUMMYFUNCTION("""COMPUTED_VALUE"""),3.0)</f>
        <v>3</v>
      </c>
    </row>
    <row r="74">
      <c r="A74" s="33">
        <f>IFERROR(__xludf.DUMMYFUNCTION("""COMPUTED_VALUE"""),45828.05815188657)</f>
        <v>45828.05815</v>
      </c>
      <c r="B74" s="29" t="str">
        <f>IFERROR(__xludf.DUMMYFUNCTION("""COMPUTED_VALUE"""),"Intact (Never circumcised)")</f>
        <v>Intact (Never circumcised)</v>
      </c>
      <c r="C74" s="29" t="str">
        <f>IFERROR(__xludf.DUMMYFUNCTION("""COMPUTED_VALUE"""),"Orgasm Intensity")</f>
        <v>Orgasm Intensity</v>
      </c>
      <c r="D74" s="29" t="str">
        <f>IFERROR(__xludf.DUMMYFUNCTION("""COMPUTED_VALUE"""),"3 (Medium/Average)")</f>
        <v>3 (Medium/Average)</v>
      </c>
      <c r="E74" s="29">
        <f>IFERROR(__xludf.DUMMYFUNCTION("""COMPUTED_VALUE"""),3.0)</f>
        <v>3</v>
      </c>
    </row>
    <row r="75">
      <c r="A75" s="33">
        <f>IFERROR(__xludf.DUMMYFUNCTION("""COMPUTED_VALUE"""),45828.06036765046)</f>
        <v>45828.06037</v>
      </c>
      <c r="B75" s="29" t="str">
        <f>IFERROR(__xludf.DUMMYFUNCTION("""COMPUTED_VALUE"""),"Circumcised")</f>
        <v>Circumcised</v>
      </c>
      <c r="C75" s="29" t="str">
        <f>IFERROR(__xludf.DUMMYFUNCTION("""COMPUTED_VALUE"""),"Orgasm Intensity")</f>
        <v>Orgasm Intensity</v>
      </c>
      <c r="D75" s="29" t="str">
        <f>IFERROR(__xludf.DUMMYFUNCTION("""COMPUTED_VALUE"""),"1 (Low/Poor)")</f>
        <v>1 (Low/Poor)</v>
      </c>
      <c r="E75" s="29">
        <f>IFERROR(__xludf.DUMMYFUNCTION("""COMPUTED_VALUE"""),1.0)</f>
        <v>1</v>
      </c>
    </row>
    <row r="76">
      <c r="A76" s="33">
        <f>IFERROR(__xludf.DUMMYFUNCTION("""COMPUTED_VALUE"""),45828.06330849537)</f>
        <v>45828.06331</v>
      </c>
      <c r="B76" s="29" t="str">
        <f>IFERROR(__xludf.DUMMYFUNCTION("""COMPUTED_VALUE"""),"Circumcised")</f>
        <v>Circumcised</v>
      </c>
      <c r="C76" s="29" t="str">
        <f>IFERROR(__xludf.DUMMYFUNCTION("""COMPUTED_VALUE"""),"Orgasm Intensity")</f>
        <v>Orgasm Intensity</v>
      </c>
      <c r="D76" s="29" t="str">
        <f>IFERROR(__xludf.DUMMYFUNCTION("""COMPUTED_VALUE"""),"5 (High/Excellent)")</f>
        <v>5 (High/Excellent)</v>
      </c>
      <c r="E76" s="29">
        <f>IFERROR(__xludf.DUMMYFUNCTION("""COMPUTED_VALUE"""),5.0)</f>
        <v>5</v>
      </c>
    </row>
    <row r="77">
      <c r="A77" s="33">
        <f>IFERROR(__xludf.DUMMYFUNCTION("""COMPUTED_VALUE"""),45828.12018145833)</f>
        <v>45828.12018</v>
      </c>
      <c r="B77" s="29" t="str">
        <f>IFERROR(__xludf.DUMMYFUNCTION("""COMPUTED_VALUE"""),"Circumcised")</f>
        <v>Circumcised</v>
      </c>
      <c r="C77" s="29" t="str">
        <f>IFERROR(__xludf.DUMMYFUNCTION("""COMPUTED_VALUE"""),"Orgasm Intensity")</f>
        <v>Orgasm Intensity</v>
      </c>
      <c r="D77" s="29" t="str">
        <f>IFERROR(__xludf.DUMMYFUNCTION("""COMPUTED_VALUE"""),"4")</f>
        <v>4</v>
      </c>
      <c r="E77" s="29">
        <f>IFERROR(__xludf.DUMMYFUNCTION("""COMPUTED_VALUE"""),4.0)</f>
        <v>4</v>
      </c>
    </row>
    <row r="78">
      <c r="A78" s="33">
        <f>IFERROR(__xludf.DUMMYFUNCTION("""COMPUTED_VALUE"""),45828.15012672453)</f>
        <v>45828.15013</v>
      </c>
      <c r="B78" s="29" t="str">
        <f>IFERROR(__xludf.DUMMYFUNCTION("""COMPUTED_VALUE"""),"Intact (Never circumcised)")</f>
        <v>Intact (Never circumcised)</v>
      </c>
      <c r="C78" s="29" t="str">
        <f>IFERROR(__xludf.DUMMYFUNCTION("""COMPUTED_VALUE"""),"Orgasm Intensity")</f>
        <v>Orgasm Intensity</v>
      </c>
      <c r="D78" s="29" t="str">
        <f>IFERROR(__xludf.DUMMYFUNCTION("""COMPUTED_VALUE"""),"4")</f>
        <v>4</v>
      </c>
      <c r="E78" s="29">
        <f>IFERROR(__xludf.DUMMYFUNCTION("""COMPUTED_VALUE"""),4.0)</f>
        <v>4</v>
      </c>
    </row>
    <row r="79">
      <c r="A79" s="33">
        <f>IFERROR(__xludf.DUMMYFUNCTION("""COMPUTED_VALUE"""),45828.202019930555)</f>
        <v>45828.20202</v>
      </c>
      <c r="B79" s="29" t="str">
        <f>IFERROR(__xludf.DUMMYFUNCTION("""COMPUTED_VALUE"""),"Intact (Never circumcised)")</f>
        <v>Intact (Never circumcised)</v>
      </c>
      <c r="C79" s="29" t="str">
        <f>IFERROR(__xludf.DUMMYFUNCTION("""COMPUTED_VALUE"""),"Orgasm Intensity")</f>
        <v>Orgasm Intensity</v>
      </c>
      <c r="D79" s="29" t="str">
        <f>IFERROR(__xludf.DUMMYFUNCTION("""COMPUTED_VALUE"""),"4")</f>
        <v>4</v>
      </c>
      <c r="E79" s="29">
        <f>IFERROR(__xludf.DUMMYFUNCTION("""COMPUTED_VALUE"""),4.0)</f>
        <v>4</v>
      </c>
    </row>
    <row r="80">
      <c r="A80" s="33">
        <f>IFERROR(__xludf.DUMMYFUNCTION("""COMPUTED_VALUE"""),45828.21023520834)</f>
        <v>45828.21024</v>
      </c>
      <c r="B80" s="29" t="str">
        <f>IFERROR(__xludf.DUMMYFUNCTION("""COMPUTED_VALUE"""),"Intact (Never circumcised)")</f>
        <v>Intact (Never circumcised)</v>
      </c>
      <c r="C80" s="29" t="str">
        <f>IFERROR(__xludf.DUMMYFUNCTION("""COMPUTED_VALUE"""),"Orgasm Intensity")</f>
        <v>Orgasm Intensity</v>
      </c>
      <c r="D80" s="29" t="str">
        <f>IFERROR(__xludf.DUMMYFUNCTION("""COMPUTED_VALUE"""),"5 (High/Excellent)")</f>
        <v>5 (High/Excellent)</v>
      </c>
      <c r="E80" s="29">
        <f>IFERROR(__xludf.DUMMYFUNCTION("""COMPUTED_VALUE"""),5.0)</f>
        <v>5</v>
      </c>
    </row>
    <row r="81">
      <c r="A81" s="33">
        <f>IFERROR(__xludf.DUMMYFUNCTION("""COMPUTED_VALUE"""),45828.22725708334)</f>
        <v>45828.22726</v>
      </c>
      <c r="B81" s="29" t="str">
        <f>IFERROR(__xludf.DUMMYFUNCTION("""COMPUTED_VALUE"""),"Circumcised")</f>
        <v>Circumcised</v>
      </c>
      <c r="C81" s="29" t="str">
        <f>IFERROR(__xludf.DUMMYFUNCTION("""COMPUTED_VALUE"""),"Orgasm Intensity")</f>
        <v>Orgasm Intensity</v>
      </c>
      <c r="D81" s="29" t="str">
        <f>IFERROR(__xludf.DUMMYFUNCTION("""COMPUTED_VALUE"""),"3 (Medium/Average)")</f>
        <v>3 (Medium/Average)</v>
      </c>
      <c r="E81" s="29">
        <f>IFERROR(__xludf.DUMMYFUNCTION("""COMPUTED_VALUE"""),3.0)</f>
        <v>3</v>
      </c>
    </row>
    <row r="82">
      <c r="A82" s="33">
        <f>IFERROR(__xludf.DUMMYFUNCTION("""COMPUTED_VALUE"""),45828.25383616898)</f>
        <v>45828.25384</v>
      </c>
      <c r="B82" s="29" t="str">
        <f>IFERROR(__xludf.DUMMYFUNCTION("""COMPUTED_VALUE"""),"Intact (Never circumcised)")</f>
        <v>Intact (Never circumcised)</v>
      </c>
      <c r="C82" s="29" t="str">
        <f>IFERROR(__xludf.DUMMYFUNCTION("""COMPUTED_VALUE"""),"Orgasm Intensity")</f>
        <v>Orgasm Intensity</v>
      </c>
      <c r="D82" s="29" t="str">
        <f>IFERROR(__xludf.DUMMYFUNCTION("""COMPUTED_VALUE"""),"4")</f>
        <v>4</v>
      </c>
      <c r="E82" s="29">
        <f>IFERROR(__xludf.DUMMYFUNCTION("""COMPUTED_VALUE"""),4.0)</f>
        <v>4</v>
      </c>
    </row>
    <row r="83">
      <c r="A83" s="33">
        <f>IFERROR(__xludf.DUMMYFUNCTION("""COMPUTED_VALUE"""),45828.2956471412)</f>
        <v>45828.29565</v>
      </c>
      <c r="B83" s="29" t="str">
        <f>IFERROR(__xludf.DUMMYFUNCTION("""COMPUTED_VALUE"""),"Intact (Never circumcised)")</f>
        <v>Intact (Never circumcised)</v>
      </c>
      <c r="C83" s="29" t="str">
        <f>IFERROR(__xludf.DUMMYFUNCTION("""COMPUTED_VALUE"""),"Orgasm Intensity")</f>
        <v>Orgasm Intensity</v>
      </c>
      <c r="D83" s="29" t="str">
        <f>IFERROR(__xludf.DUMMYFUNCTION("""COMPUTED_VALUE"""),"4")</f>
        <v>4</v>
      </c>
      <c r="E83" s="29">
        <f>IFERROR(__xludf.DUMMYFUNCTION("""COMPUTED_VALUE"""),4.0)</f>
        <v>4</v>
      </c>
    </row>
    <row r="84">
      <c r="A84" s="33">
        <f>IFERROR(__xludf.DUMMYFUNCTION("""COMPUTED_VALUE"""),45828.31245334491)</f>
        <v>45828.31245</v>
      </c>
      <c r="B84" s="29" t="str">
        <f>IFERROR(__xludf.DUMMYFUNCTION("""COMPUTED_VALUE"""),"Circumcised")</f>
        <v>Circumcised</v>
      </c>
      <c r="C84" s="29" t="str">
        <f>IFERROR(__xludf.DUMMYFUNCTION("""COMPUTED_VALUE"""),"Orgasm Intensity")</f>
        <v>Orgasm Intensity</v>
      </c>
      <c r="D84" s="29" t="str">
        <f>IFERROR(__xludf.DUMMYFUNCTION("""COMPUTED_VALUE"""),"1 (Low/Poor)")</f>
        <v>1 (Low/Poor)</v>
      </c>
      <c r="E84" s="29">
        <f>IFERROR(__xludf.DUMMYFUNCTION("""COMPUTED_VALUE"""),1.0)</f>
        <v>1</v>
      </c>
    </row>
    <row r="85">
      <c r="A85" s="33">
        <f>IFERROR(__xludf.DUMMYFUNCTION("""COMPUTED_VALUE"""),45828.31539207176)</f>
        <v>45828.31539</v>
      </c>
      <c r="B85" s="29" t="str">
        <f>IFERROR(__xludf.DUMMYFUNCTION("""COMPUTED_VALUE"""),"Circumcised")</f>
        <v>Circumcised</v>
      </c>
      <c r="C85" s="29" t="str">
        <f>IFERROR(__xludf.DUMMYFUNCTION("""COMPUTED_VALUE"""),"Orgasm Intensity")</f>
        <v>Orgasm Intensity</v>
      </c>
      <c r="D85" s="29" t="str">
        <f>IFERROR(__xludf.DUMMYFUNCTION("""COMPUTED_VALUE"""),"2")</f>
        <v>2</v>
      </c>
      <c r="E85" s="29">
        <f>IFERROR(__xludf.DUMMYFUNCTION("""COMPUTED_VALUE"""),2.0)</f>
        <v>2</v>
      </c>
    </row>
    <row r="86">
      <c r="A86" s="33">
        <f>IFERROR(__xludf.DUMMYFUNCTION("""COMPUTED_VALUE"""),45828.341003518515)</f>
        <v>45828.341</v>
      </c>
      <c r="B86" s="29" t="str">
        <f>IFERROR(__xludf.DUMMYFUNCTION("""COMPUTED_VALUE"""),"Intact (Never circumcised)")</f>
        <v>Intact (Never circumcised)</v>
      </c>
      <c r="C86" s="29" t="str">
        <f>IFERROR(__xludf.DUMMYFUNCTION("""COMPUTED_VALUE"""),"Orgasm Intensity")</f>
        <v>Orgasm Intensity</v>
      </c>
      <c r="D86" s="29" t="str">
        <f>IFERROR(__xludf.DUMMYFUNCTION("""COMPUTED_VALUE"""),"5 (High/Excellent)")</f>
        <v>5 (High/Excellent)</v>
      </c>
      <c r="E86" s="29">
        <f>IFERROR(__xludf.DUMMYFUNCTION("""COMPUTED_VALUE"""),5.0)</f>
        <v>5</v>
      </c>
    </row>
    <row r="87">
      <c r="A87" s="33">
        <f>IFERROR(__xludf.DUMMYFUNCTION("""COMPUTED_VALUE"""),45828.3511699537)</f>
        <v>45828.35117</v>
      </c>
      <c r="B87" s="29" t="str">
        <f>IFERROR(__xludf.DUMMYFUNCTION("""COMPUTED_VALUE"""),"Intact (Never circumcised)")</f>
        <v>Intact (Never circumcised)</v>
      </c>
      <c r="C87" s="29" t="str">
        <f>IFERROR(__xludf.DUMMYFUNCTION("""COMPUTED_VALUE"""),"Orgasm Intensity")</f>
        <v>Orgasm Intensity</v>
      </c>
      <c r="D87" s="29" t="str">
        <f>IFERROR(__xludf.DUMMYFUNCTION("""COMPUTED_VALUE"""),"5 (High/Excellent)")</f>
        <v>5 (High/Excellent)</v>
      </c>
      <c r="E87" s="29">
        <f>IFERROR(__xludf.DUMMYFUNCTION("""COMPUTED_VALUE"""),5.0)</f>
        <v>5</v>
      </c>
    </row>
    <row r="88">
      <c r="A88" s="33">
        <f>IFERROR(__xludf.DUMMYFUNCTION("""COMPUTED_VALUE"""),45828.35833436343)</f>
        <v>45828.35833</v>
      </c>
      <c r="B88" s="29" t="str">
        <f>IFERROR(__xludf.DUMMYFUNCTION("""COMPUTED_VALUE"""),"Actively restoring my foreskin / I consider myself restored")</f>
        <v>Actively restoring my foreskin / I consider myself restored</v>
      </c>
      <c r="C88" s="29" t="str">
        <f>IFERROR(__xludf.DUMMYFUNCTION("""COMPUTED_VALUE"""),"Orgasm Intensity")</f>
        <v>Orgasm Intensity</v>
      </c>
      <c r="D88" s="29" t="str">
        <f>IFERROR(__xludf.DUMMYFUNCTION("""COMPUTED_VALUE"""),"3 (Medium/Average)")</f>
        <v>3 (Medium/Average)</v>
      </c>
      <c r="E88" s="29">
        <f>IFERROR(__xludf.DUMMYFUNCTION("""COMPUTED_VALUE"""),3.0)</f>
        <v>3</v>
      </c>
    </row>
    <row r="89">
      <c r="A89" s="33">
        <f>IFERROR(__xludf.DUMMYFUNCTION("""COMPUTED_VALUE"""),45828.35893381945)</f>
        <v>45828.35893</v>
      </c>
      <c r="B89" s="29" t="str">
        <f>IFERROR(__xludf.DUMMYFUNCTION("""COMPUTED_VALUE"""),"Intact (Never circumcised)")</f>
        <v>Intact (Never circumcised)</v>
      </c>
      <c r="C89" s="29" t="str">
        <f>IFERROR(__xludf.DUMMYFUNCTION("""COMPUTED_VALUE"""),"Orgasm Intensity")</f>
        <v>Orgasm Intensity</v>
      </c>
      <c r="D89" s="29" t="str">
        <f>IFERROR(__xludf.DUMMYFUNCTION("""COMPUTED_VALUE"""),"5 (High/Excellent)")</f>
        <v>5 (High/Excellent)</v>
      </c>
      <c r="E89" s="29">
        <f>IFERROR(__xludf.DUMMYFUNCTION("""COMPUTED_VALUE"""),5.0)</f>
        <v>5</v>
      </c>
    </row>
    <row r="90">
      <c r="A90" s="33">
        <f>IFERROR(__xludf.DUMMYFUNCTION("""COMPUTED_VALUE"""),45828.35894726852)</f>
        <v>45828.35895</v>
      </c>
      <c r="B90" s="29" t="str">
        <f>IFERROR(__xludf.DUMMYFUNCTION("""COMPUTED_VALUE"""),"Intact (Never circumcised)")</f>
        <v>Intact (Never circumcised)</v>
      </c>
      <c r="C90" s="29" t="str">
        <f>IFERROR(__xludf.DUMMYFUNCTION("""COMPUTED_VALUE"""),"Orgasm Intensity")</f>
        <v>Orgasm Intensity</v>
      </c>
      <c r="D90" s="29" t="str">
        <f>IFERROR(__xludf.DUMMYFUNCTION("""COMPUTED_VALUE"""),"4")</f>
        <v>4</v>
      </c>
      <c r="E90" s="29">
        <f>IFERROR(__xludf.DUMMYFUNCTION("""COMPUTED_VALUE"""),4.0)</f>
        <v>4</v>
      </c>
    </row>
    <row r="91">
      <c r="A91" s="33">
        <f>IFERROR(__xludf.DUMMYFUNCTION("""COMPUTED_VALUE"""),45828.36039090277)</f>
        <v>45828.36039</v>
      </c>
      <c r="B91" s="29" t="str">
        <f>IFERROR(__xludf.DUMMYFUNCTION("""COMPUTED_VALUE"""),"Circumcised")</f>
        <v>Circumcised</v>
      </c>
      <c r="C91" s="29" t="str">
        <f>IFERROR(__xludf.DUMMYFUNCTION("""COMPUTED_VALUE"""),"Orgasm Intensity")</f>
        <v>Orgasm Intensity</v>
      </c>
      <c r="D91" s="29" t="str">
        <f>IFERROR(__xludf.DUMMYFUNCTION("""COMPUTED_VALUE"""),"3 (Medium/Average)")</f>
        <v>3 (Medium/Average)</v>
      </c>
      <c r="E91" s="29">
        <f>IFERROR(__xludf.DUMMYFUNCTION("""COMPUTED_VALUE"""),3.0)</f>
        <v>3</v>
      </c>
    </row>
    <row r="92">
      <c r="A92" s="33">
        <f>IFERROR(__xludf.DUMMYFUNCTION("""COMPUTED_VALUE"""),45828.39941795139)</f>
        <v>45828.39942</v>
      </c>
      <c r="B92" s="29" t="str">
        <f>IFERROR(__xludf.DUMMYFUNCTION("""COMPUTED_VALUE"""),"Circumcised")</f>
        <v>Circumcised</v>
      </c>
      <c r="C92" s="29" t="str">
        <f>IFERROR(__xludf.DUMMYFUNCTION("""COMPUTED_VALUE"""),"Orgasm Intensity")</f>
        <v>Orgasm Intensity</v>
      </c>
      <c r="D92" s="29" t="str">
        <f>IFERROR(__xludf.DUMMYFUNCTION("""COMPUTED_VALUE"""),"3 (Medium/Average)")</f>
        <v>3 (Medium/Average)</v>
      </c>
      <c r="E92" s="29">
        <f>IFERROR(__xludf.DUMMYFUNCTION("""COMPUTED_VALUE"""),3.0)</f>
        <v>3</v>
      </c>
    </row>
    <row r="93">
      <c r="A93" s="33">
        <f>IFERROR(__xludf.DUMMYFUNCTION("""COMPUTED_VALUE"""),45828.46985780093)</f>
        <v>45828.46986</v>
      </c>
      <c r="B93" s="29" t="str">
        <f>IFERROR(__xludf.DUMMYFUNCTION("""COMPUTED_VALUE"""),"Intact (Never circumcised)")</f>
        <v>Intact (Never circumcised)</v>
      </c>
      <c r="C93" s="29" t="str">
        <f>IFERROR(__xludf.DUMMYFUNCTION("""COMPUTED_VALUE"""),"Orgasm Intensity")</f>
        <v>Orgasm Intensity</v>
      </c>
      <c r="D93" s="29" t="str">
        <f>IFERROR(__xludf.DUMMYFUNCTION("""COMPUTED_VALUE"""),"5 (High/Excellent)")</f>
        <v>5 (High/Excellent)</v>
      </c>
      <c r="E93" s="29">
        <f>IFERROR(__xludf.DUMMYFUNCTION("""COMPUTED_VALUE"""),5.0)</f>
        <v>5</v>
      </c>
    </row>
    <row r="94">
      <c r="A94" s="33">
        <f>IFERROR(__xludf.DUMMYFUNCTION("""COMPUTED_VALUE"""),45828.4853855324)</f>
        <v>45828.48539</v>
      </c>
      <c r="B94" s="29" t="str">
        <f>IFERROR(__xludf.DUMMYFUNCTION("""COMPUTED_VALUE"""),"Actively restoring my foreskin / I consider myself restored")</f>
        <v>Actively restoring my foreskin / I consider myself restored</v>
      </c>
      <c r="C94" s="29" t="str">
        <f>IFERROR(__xludf.DUMMYFUNCTION("""COMPUTED_VALUE"""),"Orgasm Intensity")</f>
        <v>Orgasm Intensity</v>
      </c>
      <c r="D94" s="29" t="str">
        <f>IFERROR(__xludf.DUMMYFUNCTION("""COMPUTED_VALUE"""),"3 (Medium/Average)")</f>
        <v>3 (Medium/Average)</v>
      </c>
      <c r="E94" s="29">
        <f>IFERROR(__xludf.DUMMYFUNCTION("""COMPUTED_VALUE"""),3.0)</f>
        <v>3</v>
      </c>
    </row>
    <row r="95">
      <c r="A95" s="33">
        <f>IFERROR(__xludf.DUMMYFUNCTION("""COMPUTED_VALUE"""),45828.49643018519)</f>
        <v>45828.49643</v>
      </c>
      <c r="B95" s="29" t="str">
        <f>IFERROR(__xludf.DUMMYFUNCTION("""COMPUTED_VALUE"""),"Circumcised")</f>
        <v>Circumcised</v>
      </c>
      <c r="C95" s="29" t="str">
        <f>IFERROR(__xludf.DUMMYFUNCTION("""COMPUTED_VALUE"""),"Orgasm Intensity")</f>
        <v>Orgasm Intensity</v>
      </c>
      <c r="D95" s="29" t="str">
        <f>IFERROR(__xludf.DUMMYFUNCTION("""COMPUTED_VALUE"""),"5 (High/Excellent)")</f>
        <v>5 (High/Excellent)</v>
      </c>
      <c r="E95" s="29">
        <f>IFERROR(__xludf.DUMMYFUNCTION("""COMPUTED_VALUE"""),5.0)</f>
        <v>5</v>
      </c>
    </row>
    <row r="96">
      <c r="A96" s="33">
        <f>IFERROR(__xludf.DUMMYFUNCTION("""COMPUTED_VALUE"""),45828.52431340278)</f>
        <v>45828.52431</v>
      </c>
      <c r="B96" s="29" t="str">
        <f>IFERROR(__xludf.DUMMYFUNCTION("""COMPUTED_VALUE"""),"Intact (Never circumcised)")</f>
        <v>Intact (Never circumcised)</v>
      </c>
      <c r="C96" s="29" t="str">
        <f>IFERROR(__xludf.DUMMYFUNCTION("""COMPUTED_VALUE"""),"Orgasm Intensity")</f>
        <v>Orgasm Intensity</v>
      </c>
      <c r="D96" s="29" t="str">
        <f>IFERROR(__xludf.DUMMYFUNCTION("""COMPUTED_VALUE"""),"1 (Low/Poor)")</f>
        <v>1 (Low/Poor)</v>
      </c>
      <c r="E96" s="29">
        <f>IFERROR(__xludf.DUMMYFUNCTION("""COMPUTED_VALUE"""),1.0)</f>
        <v>1</v>
      </c>
    </row>
    <row r="97">
      <c r="A97" s="33">
        <f>IFERROR(__xludf.DUMMYFUNCTION("""COMPUTED_VALUE"""),45828.5412253125)</f>
        <v>45828.54123</v>
      </c>
      <c r="B97" s="29" t="str">
        <f>IFERROR(__xludf.DUMMYFUNCTION("""COMPUTED_VALUE"""),"Circumcised")</f>
        <v>Circumcised</v>
      </c>
      <c r="C97" s="29" t="str">
        <f>IFERROR(__xludf.DUMMYFUNCTION("""COMPUTED_VALUE"""),"Orgasm Intensity")</f>
        <v>Orgasm Intensity</v>
      </c>
      <c r="D97" s="29" t="str">
        <f>IFERROR(__xludf.DUMMYFUNCTION("""COMPUTED_VALUE"""),"3 (Medium/Average)")</f>
        <v>3 (Medium/Average)</v>
      </c>
      <c r="E97" s="29">
        <f>IFERROR(__xludf.DUMMYFUNCTION("""COMPUTED_VALUE"""),3.0)</f>
        <v>3</v>
      </c>
    </row>
    <row r="98">
      <c r="A98" s="33">
        <f>IFERROR(__xludf.DUMMYFUNCTION("""COMPUTED_VALUE"""),45828.55194200231)</f>
        <v>45828.55194</v>
      </c>
      <c r="B98" s="29" t="str">
        <f>IFERROR(__xludf.DUMMYFUNCTION("""COMPUTED_VALUE"""),"Intact (Never circumcised)")</f>
        <v>Intact (Never circumcised)</v>
      </c>
      <c r="C98" s="29" t="str">
        <f>IFERROR(__xludf.DUMMYFUNCTION("""COMPUTED_VALUE"""),"Orgasm Intensity")</f>
        <v>Orgasm Intensity</v>
      </c>
      <c r="D98" s="29" t="str">
        <f>IFERROR(__xludf.DUMMYFUNCTION("""COMPUTED_VALUE"""),"4")</f>
        <v>4</v>
      </c>
      <c r="E98" s="29">
        <f>IFERROR(__xludf.DUMMYFUNCTION("""COMPUTED_VALUE"""),4.0)</f>
        <v>4</v>
      </c>
    </row>
    <row r="99">
      <c r="A99" s="33">
        <f>IFERROR(__xludf.DUMMYFUNCTION("""COMPUTED_VALUE"""),45828.57699451389)</f>
        <v>45828.57699</v>
      </c>
      <c r="B99" s="29" t="str">
        <f>IFERROR(__xludf.DUMMYFUNCTION("""COMPUTED_VALUE"""),"Circumcised")</f>
        <v>Circumcised</v>
      </c>
      <c r="C99" s="29" t="str">
        <f>IFERROR(__xludf.DUMMYFUNCTION("""COMPUTED_VALUE"""),"Orgasm Intensity")</f>
        <v>Orgasm Intensity</v>
      </c>
      <c r="D99" s="29" t="str">
        <f>IFERROR(__xludf.DUMMYFUNCTION("""COMPUTED_VALUE"""),"2")</f>
        <v>2</v>
      </c>
      <c r="E99" s="29">
        <f>IFERROR(__xludf.DUMMYFUNCTION("""COMPUTED_VALUE"""),2.0)</f>
        <v>2</v>
      </c>
    </row>
    <row r="100">
      <c r="A100" s="33">
        <f>IFERROR(__xludf.DUMMYFUNCTION("""COMPUTED_VALUE"""),45828.57987178241)</f>
        <v>45828.57987</v>
      </c>
      <c r="B100" s="29" t="str">
        <f>IFERROR(__xludf.DUMMYFUNCTION("""COMPUTED_VALUE"""),"Intact (Never circumcised)")</f>
        <v>Intact (Never circumcised)</v>
      </c>
      <c r="C100" s="29" t="str">
        <f>IFERROR(__xludf.DUMMYFUNCTION("""COMPUTED_VALUE"""),"Orgasm Intensity")</f>
        <v>Orgasm Intensity</v>
      </c>
      <c r="D100" s="29" t="str">
        <f>IFERROR(__xludf.DUMMYFUNCTION("""COMPUTED_VALUE"""),"3 (Medium/Average)")</f>
        <v>3 (Medium/Average)</v>
      </c>
      <c r="E100" s="29">
        <f>IFERROR(__xludf.DUMMYFUNCTION("""COMPUTED_VALUE"""),3.0)</f>
        <v>3</v>
      </c>
    </row>
    <row r="101">
      <c r="A101" s="33">
        <f>IFERROR(__xludf.DUMMYFUNCTION("""COMPUTED_VALUE"""),45828.60358170139)</f>
        <v>45828.60358</v>
      </c>
      <c r="B101" s="29" t="str">
        <f>IFERROR(__xludf.DUMMYFUNCTION("""COMPUTED_VALUE"""),"Circumcised")</f>
        <v>Circumcised</v>
      </c>
      <c r="C101" s="29" t="str">
        <f>IFERROR(__xludf.DUMMYFUNCTION("""COMPUTED_VALUE"""),"Orgasm Intensity")</f>
        <v>Orgasm Intensity</v>
      </c>
      <c r="D101" s="29" t="str">
        <f>IFERROR(__xludf.DUMMYFUNCTION("""COMPUTED_VALUE"""),"3 (Medium/Average)")</f>
        <v>3 (Medium/Average)</v>
      </c>
      <c r="E101" s="29">
        <f>IFERROR(__xludf.DUMMYFUNCTION("""COMPUTED_VALUE"""),3.0)</f>
        <v>3</v>
      </c>
    </row>
    <row r="102">
      <c r="A102" s="33">
        <f>IFERROR(__xludf.DUMMYFUNCTION("""COMPUTED_VALUE"""),45828.64029736111)</f>
        <v>45828.6403</v>
      </c>
      <c r="B102" s="29" t="str">
        <f>IFERROR(__xludf.DUMMYFUNCTION("""COMPUTED_VALUE"""),"Intact (Never circumcised)")</f>
        <v>Intact (Never circumcised)</v>
      </c>
      <c r="C102" s="29" t="str">
        <f>IFERROR(__xludf.DUMMYFUNCTION("""COMPUTED_VALUE"""),"Orgasm Intensity")</f>
        <v>Orgasm Intensity</v>
      </c>
      <c r="D102" s="29" t="str">
        <f>IFERROR(__xludf.DUMMYFUNCTION("""COMPUTED_VALUE"""),"5 (High/Excellent)")</f>
        <v>5 (High/Excellent)</v>
      </c>
      <c r="E102" s="29">
        <f>IFERROR(__xludf.DUMMYFUNCTION("""COMPUTED_VALUE"""),5.0)</f>
        <v>5</v>
      </c>
    </row>
    <row r="103">
      <c r="A103" s="33">
        <f>IFERROR(__xludf.DUMMYFUNCTION("""COMPUTED_VALUE"""),45828.643401828704)</f>
        <v>45828.6434</v>
      </c>
      <c r="B103" s="29" t="str">
        <f>IFERROR(__xludf.DUMMYFUNCTION("""COMPUTED_VALUE"""),"Intact (Never circumcised)")</f>
        <v>Intact (Never circumcised)</v>
      </c>
      <c r="C103" s="29" t="str">
        <f>IFERROR(__xludf.DUMMYFUNCTION("""COMPUTED_VALUE"""),"Orgasm Intensity")</f>
        <v>Orgasm Intensity</v>
      </c>
      <c r="D103" s="29" t="str">
        <f>IFERROR(__xludf.DUMMYFUNCTION("""COMPUTED_VALUE"""),"5 (High/Excellent)")</f>
        <v>5 (High/Excellent)</v>
      </c>
      <c r="E103" s="29">
        <f>IFERROR(__xludf.DUMMYFUNCTION("""COMPUTED_VALUE"""),5.0)</f>
        <v>5</v>
      </c>
    </row>
    <row r="104">
      <c r="A104" s="33">
        <f>IFERROR(__xludf.DUMMYFUNCTION("""COMPUTED_VALUE"""),45828.78532109953)</f>
        <v>45828.78532</v>
      </c>
      <c r="B104" s="29" t="str">
        <f>IFERROR(__xludf.DUMMYFUNCTION("""COMPUTED_VALUE"""),"Actively restoring my foreskin / I consider myself restored")</f>
        <v>Actively restoring my foreskin / I consider myself restored</v>
      </c>
      <c r="C104" s="29" t="str">
        <f>IFERROR(__xludf.DUMMYFUNCTION("""COMPUTED_VALUE"""),"Orgasm Intensity")</f>
        <v>Orgasm Intensity</v>
      </c>
      <c r="D104" s="29" t="str">
        <f>IFERROR(__xludf.DUMMYFUNCTION("""COMPUTED_VALUE"""),"5 (High/Excellent)")</f>
        <v>5 (High/Excellent)</v>
      </c>
      <c r="E104" s="29">
        <f>IFERROR(__xludf.DUMMYFUNCTION("""COMPUTED_VALUE"""),5.0)</f>
        <v>5</v>
      </c>
    </row>
    <row r="105">
      <c r="A105" s="33">
        <f>IFERROR(__xludf.DUMMYFUNCTION("""COMPUTED_VALUE"""),45828.791163622685)</f>
        <v>45828.79116</v>
      </c>
      <c r="B105" s="29" t="str">
        <f>IFERROR(__xludf.DUMMYFUNCTION("""COMPUTED_VALUE"""),"Circumcised")</f>
        <v>Circumcised</v>
      </c>
      <c r="C105" s="29" t="str">
        <f>IFERROR(__xludf.DUMMYFUNCTION("""COMPUTED_VALUE"""),"Orgasm Intensity")</f>
        <v>Orgasm Intensity</v>
      </c>
      <c r="D105" s="29" t="str">
        <f>IFERROR(__xludf.DUMMYFUNCTION("""COMPUTED_VALUE"""),"3 (Medium/Average)")</f>
        <v>3 (Medium/Average)</v>
      </c>
      <c r="E105" s="29">
        <f>IFERROR(__xludf.DUMMYFUNCTION("""COMPUTED_VALUE"""),3.0)</f>
        <v>3</v>
      </c>
    </row>
    <row r="106">
      <c r="A106" s="33">
        <f>IFERROR(__xludf.DUMMYFUNCTION("""COMPUTED_VALUE"""),45828.88566534722)</f>
        <v>45828.88567</v>
      </c>
      <c r="B106" s="29" t="str">
        <f>IFERROR(__xludf.DUMMYFUNCTION("""COMPUTED_VALUE"""),"Circumcised")</f>
        <v>Circumcised</v>
      </c>
      <c r="C106" s="29" t="str">
        <f>IFERROR(__xludf.DUMMYFUNCTION("""COMPUTED_VALUE"""),"Orgasm Intensity")</f>
        <v>Orgasm Intensity</v>
      </c>
      <c r="D106" s="29" t="str">
        <f>IFERROR(__xludf.DUMMYFUNCTION("""COMPUTED_VALUE"""),"5 (High/Excellent)")</f>
        <v>5 (High/Excellent)</v>
      </c>
      <c r="E106" s="29">
        <f>IFERROR(__xludf.DUMMYFUNCTION("""COMPUTED_VALUE"""),5.0)</f>
        <v>5</v>
      </c>
    </row>
    <row r="107">
      <c r="A107" s="33">
        <f>IFERROR(__xludf.DUMMYFUNCTION("""COMPUTED_VALUE"""),45828.891574270834)</f>
        <v>45828.89157</v>
      </c>
      <c r="B107" s="29" t="str">
        <f>IFERROR(__xludf.DUMMYFUNCTION("""COMPUTED_VALUE"""),"Circumcised")</f>
        <v>Circumcised</v>
      </c>
      <c r="C107" s="29" t="str">
        <f>IFERROR(__xludf.DUMMYFUNCTION("""COMPUTED_VALUE"""),"Orgasm Intensity")</f>
        <v>Orgasm Intensity</v>
      </c>
      <c r="D107" s="29" t="str">
        <f>IFERROR(__xludf.DUMMYFUNCTION("""COMPUTED_VALUE"""),"2")</f>
        <v>2</v>
      </c>
      <c r="E107" s="29">
        <f>IFERROR(__xludf.DUMMYFUNCTION("""COMPUTED_VALUE"""),2.0)</f>
        <v>2</v>
      </c>
    </row>
    <row r="108">
      <c r="A108" s="33">
        <f>IFERROR(__xludf.DUMMYFUNCTION("""COMPUTED_VALUE"""),45828.92868631945)</f>
        <v>45828.92869</v>
      </c>
      <c r="B108" s="29" t="str">
        <f>IFERROR(__xludf.DUMMYFUNCTION("""COMPUTED_VALUE"""),"Actively restoring my foreskin / I consider myself restored")</f>
        <v>Actively restoring my foreskin / I consider myself restored</v>
      </c>
      <c r="C108" s="29" t="str">
        <f>IFERROR(__xludf.DUMMYFUNCTION("""COMPUTED_VALUE"""),"Orgasm Intensity")</f>
        <v>Orgasm Intensity</v>
      </c>
      <c r="D108" s="29" t="str">
        <f>IFERROR(__xludf.DUMMYFUNCTION("""COMPUTED_VALUE"""),"5 (High/Excellent)")</f>
        <v>5 (High/Excellent)</v>
      </c>
      <c r="E108" s="29">
        <f>IFERROR(__xludf.DUMMYFUNCTION("""COMPUTED_VALUE"""),5.0)</f>
        <v>5</v>
      </c>
    </row>
    <row r="109">
      <c r="A109" s="33">
        <f>IFERROR(__xludf.DUMMYFUNCTION("""COMPUTED_VALUE"""),45829.002409062494)</f>
        <v>45829.00241</v>
      </c>
      <c r="B109" s="29" t="str">
        <f>IFERROR(__xludf.DUMMYFUNCTION("""COMPUTED_VALUE"""),"Circumcised")</f>
        <v>Circumcised</v>
      </c>
      <c r="C109" s="29" t="str">
        <f>IFERROR(__xludf.DUMMYFUNCTION("""COMPUTED_VALUE"""),"Orgasm Intensity")</f>
        <v>Orgasm Intensity</v>
      </c>
      <c r="D109" s="29" t="str">
        <f>IFERROR(__xludf.DUMMYFUNCTION("""COMPUTED_VALUE"""),"3 (Medium/Average)")</f>
        <v>3 (Medium/Average)</v>
      </c>
      <c r="E109" s="29">
        <f>IFERROR(__xludf.DUMMYFUNCTION("""COMPUTED_VALUE"""),3.0)</f>
        <v>3</v>
      </c>
    </row>
    <row r="110">
      <c r="A110" s="33">
        <f>IFERROR(__xludf.DUMMYFUNCTION("""COMPUTED_VALUE"""),45829.01592366899)</f>
        <v>45829.01592</v>
      </c>
      <c r="B110" s="29" t="str">
        <f>IFERROR(__xludf.DUMMYFUNCTION("""COMPUTED_VALUE"""),"Circumcised")</f>
        <v>Circumcised</v>
      </c>
      <c r="C110" s="29" t="str">
        <f>IFERROR(__xludf.DUMMYFUNCTION("""COMPUTED_VALUE"""),"Orgasm Intensity")</f>
        <v>Orgasm Intensity</v>
      </c>
      <c r="D110" s="29" t="str">
        <f>IFERROR(__xludf.DUMMYFUNCTION("""COMPUTED_VALUE"""),"3 (Medium/Average)")</f>
        <v>3 (Medium/Average)</v>
      </c>
      <c r="E110" s="29">
        <f>IFERROR(__xludf.DUMMYFUNCTION("""COMPUTED_VALUE"""),3.0)</f>
        <v>3</v>
      </c>
    </row>
    <row r="111">
      <c r="A111" s="33">
        <f>IFERROR(__xludf.DUMMYFUNCTION("""COMPUTED_VALUE"""),45829.15104336806)</f>
        <v>45829.15104</v>
      </c>
      <c r="B111" s="29" t="str">
        <f>IFERROR(__xludf.DUMMYFUNCTION("""COMPUTED_VALUE"""),"Circumcised")</f>
        <v>Circumcised</v>
      </c>
      <c r="C111" s="29" t="str">
        <f>IFERROR(__xludf.DUMMYFUNCTION("""COMPUTED_VALUE"""),"Orgasm Intensity")</f>
        <v>Orgasm Intensity</v>
      </c>
      <c r="D111" s="29" t="str">
        <f>IFERROR(__xludf.DUMMYFUNCTION("""COMPUTED_VALUE"""),"2")</f>
        <v>2</v>
      </c>
      <c r="E111" s="29">
        <f>IFERROR(__xludf.DUMMYFUNCTION("""COMPUTED_VALUE"""),2.0)</f>
        <v>2</v>
      </c>
    </row>
    <row r="112">
      <c r="A112" s="33">
        <f>IFERROR(__xludf.DUMMYFUNCTION("""COMPUTED_VALUE"""),45829.217301041666)</f>
        <v>45829.2173</v>
      </c>
      <c r="B112" s="29" t="str">
        <f>IFERROR(__xludf.DUMMYFUNCTION("""COMPUTED_VALUE"""),"Intact (Never circumcised)")</f>
        <v>Intact (Never circumcised)</v>
      </c>
      <c r="C112" s="29" t="str">
        <f>IFERROR(__xludf.DUMMYFUNCTION("""COMPUTED_VALUE"""),"Orgasm Intensity")</f>
        <v>Orgasm Intensity</v>
      </c>
      <c r="D112" s="29" t="str">
        <f>IFERROR(__xludf.DUMMYFUNCTION("""COMPUTED_VALUE"""),"4")</f>
        <v>4</v>
      </c>
      <c r="E112" s="29">
        <f>IFERROR(__xludf.DUMMYFUNCTION("""COMPUTED_VALUE"""),4.0)</f>
        <v>4</v>
      </c>
    </row>
    <row r="113">
      <c r="A113" s="33">
        <f>IFERROR(__xludf.DUMMYFUNCTION("""COMPUTED_VALUE"""),45829.2520430324)</f>
        <v>45829.25204</v>
      </c>
      <c r="B113" s="29" t="str">
        <f>IFERROR(__xludf.DUMMYFUNCTION("""COMPUTED_VALUE"""),"Intact (Never circumcised)")</f>
        <v>Intact (Never circumcised)</v>
      </c>
      <c r="C113" s="29" t="str">
        <f>IFERROR(__xludf.DUMMYFUNCTION("""COMPUTED_VALUE"""),"Orgasm Intensity")</f>
        <v>Orgasm Intensity</v>
      </c>
      <c r="D113" s="29" t="str">
        <f>IFERROR(__xludf.DUMMYFUNCTION("""COMPUTED_VALUE"""),"3 (Medium/Average)")</f>
        <v>3 (Medium/Average)</v>
      </c>
      <c r="E113" s="29">
        <f>IFERROR(__xludf.DUMMYFUNCTION("""COMPUTED_VALUE"""),3.0)</f>
        <v>3</v>
      </c>
    </row>
    <row r="114">
      <c r="A114" s="33">
        <f>IFERROR(__xludf.DUMMYFUNCTION("""COMPUTED_VALUE"""),45829.310797962964)</f>
        <v>45829.3108</v>
      </c>
      <c r="B114" s="29" t="str">
        <f>IFERROR(__xludf.DUMMYFUNCTION("""COMPUTED_VALUE"""),"Actively restoring my foreskin / I consider myself restored")</f>
        <v>Actively restoring my foreskin / I consider myself restored</v>
      </c>
      <c r="C114" s="29" t="str">
        <f>IFERROR(__xludf.DUMMYFUNCTION("""COMPUTED_VALUE"""),"Orgasm Intensity")</f>
        <v>Orgasm Intensity</v>
      </c>
      <c r="D114" s="29" t="str">
        <f>IFERROR(__xludf.DUMMYFUNCTION("""COMPUTED_VALUE"""),"1 (Low/Poor)")</f>
        <v>1 (Low/Poor)</v>
      </c>
      <c r="E114" s="29">
        <f>IFERROR(__xludf.DUMMYFUNCTION("""COMPUTED_VALUE"""),1.0)</f>
        <v>1</v>
      </c>
    </row>
    <row r="115">
      <c r="A115" s="33">
        <f>IFERROR(__xludf.DUMMYFUNCTION("""COMPUTED_VALUE"""),45829.33800960648)</f>
        <v>45829.33801</v>
      </c>
      <c r="B115" s="29" t="str">
        <f>IFERROR(__xludf.DUMMYFUNCTION("""COMPUTED_VALUE"""),"Intact (Never circumcised)")</f>
        <v>Intact (Never circumcised)</v>
      </c>
      <c r="C115" s="29" t="str">
        <f>IFERROR(__xludf.DUMMYFUNCTION("""COMPUTED_VALUE"""),"Orgasm Intensity")</f>
        <v>Orgasm Intensity</v>
      </c>
      <c r="D115" s="29" t="str">
        <f>IFERROR(__xludf.DUMMYFUNCTION("""COMPUTED_VALUE"""),"3 (Medium/Average)")</f>
        <v>3 (Medium/Average)</v>
      </c>
      <c r="E115" s="29">
        <f>IFERROR(__xludf.DUMMYFUNCTION("""COMPUTED_VALUE"""),3.0)</f>
        <v>3</v>
      </c>
    </row>
    <row r="116">
      <c r="A116" s="33">
        <f>IFERROR(__xludf.DUMMYFUNCTION("""COMPUTED_VALUE"""),45829.41961525463)</f>
        <v>45829.41962</v>
      </c>
      <c r="B116" s="29" t="str">
        <f>IFERROR(__xludf.DUMMYFUNCTION("""COMPUTED_VALUE"""),"Intact (Never circumcised)")</f>
        <v>Intact (Never circumcised)</v>
      </c>
      <c r="C116" s="29" t="str">
        <f>IFERROR(__xludf.DUMMYFUNCTION("""COMPUTED_VALUE"""),"Orgasm Intensity")</f>
        <v>Orgasm Intensity</v>
      </c>
      <c r="D116" s="29" t="str">
        <f>IFERROR(__xludf.DUMMYFUNCTION("""COMPUTED_VALUE"""),"3 (Medium/Average)")</f>
        <v>3 (Medium/Average)</v>
      </c>
      <c r="E116" s="29">
        <f>IFERROR(__xludf.DUMMYFUNCTION("""COMPUTED_VALUE"""),3.0)</f>
        <v>3</v>
      </c>
    </row>
    <row r="117">
      <c r="A117" s="33">
        <f>IFERROR(__xludf.DUMMYFUNCTION("""COMPUTED_VALUE"""),45829.42277583333)</f>
        <v>45829.42278</v>
      </c>
      <c r="B117" s="29" t="str">
        <f>IFERROR(__xludf.DUMMYFUNCTION("""COMPUTED_VALUE"""),"Actively restoring my foreskin / I consider myself restored")</f>
        <v>Actively restoring my foreskin / I consider myself restored</v>
      </c>
      <c r="C117" s="29" t="str">
        <f>IFERROR(__xludf.DUMMYFUNCTION("""COMPUTED_VALUE"""),"Orgasm Intensity")</f>
        <v>Orgasm Intensity</v>
      </c>
      <c r="D117" s="29" t="str">
        <f>IFERROR(__xludf.DUMMYFUNCTION("""COMPUTED_VALUE"""),"5 (High/Excellent)")</f>
        <v>5 (High/Excellent)</v>
      </c>
      <c r="E117" s="29">
        <f>IFERROR(__xludf.DUMMYFUNCTION("""COMPUTED_VALUE"""),5.0)</f>
        <v>5</v>
      </c>
    </row>
    <row r="118">
      <c r="A118" s="33">
        <f>IFERROR(__xludf.DUMMYFUNCTION("""COMPUTED_VALUE"""),45829.585866458336)</f>
        <v>45829.58587</v>
      </c>
      <c r="B118" s="29" t="str">
        <f>IFERROR(__xludf.DUMMYFUNCTION("""COMPUTED_VALUE"""),"Actively restoring my foreskin / I consider myself restored")</f>
        <v>Actively restoring my foreskin / I consider myself restored</v>
      </c>
      <c r="C118" s="29" t="str">
        <f>IFERROR(__xludf.DUMMYFUNCTION("""COMPUTED_VALUE"""),"Orgasm Intensity")</f>
        <v>Orgasm Intensity</v>
      </c>
      <c r="D118" s="29" t="str">
        <f>IFERROR(__xludf.DUMMYFUNCTION("""COMPUTED_VALUE"""),"5 (High/Excellent)")</f>
        <v>5 (High/Excellent)</v>
      </c>
      <c r="E118" s="29">
        <f>IFERROR(__xludf.DUMMYFUNCTION("""COMPUTED_VALUE"""),5.0)</f>
        <v>5</v>
      </c>
    </row>
    <row r="119">
      <c r="A119" s="33">
        <f>IFERROR(__xludf.DUMMYFUNCTION("""COMPUTED_VALUE"""),45829.60614784722)</f>
        <v>45829.60615</v>
      </c>
      <c r="B119" s="29" t="str">
        <f>IFERROR(__xludf.DUMMYFUNCTION("""COMPUTED_VALUE"""),"Intact (Never circumcised)")</f>
        <v>Intact (Never circumcised)</v>
      </c>
      <c r="C119" s="29" t="str">
        <f>IFERROR(__xludf.DUMMYFUNCTION("""COMPUTED_VALUE"""),"Orgasm Intensity")</f>
        <v>Orgasm Intensity</v>
      </c>
      <c r="D119" s="29" t="str">
        <f>IFERROR(__xludf.DUMMYFUNCTION("""COMPUTED_VALUE"""),"5 (High/Excellent)")</f>
        <v>5 (High/Excellent)</v>
      </c>
      <c r="E119" s="29">
        <f>IFERROR(__xludf.DUMMYFUNCTION("""COMPUTED_VALUE"""),5.0)</f>
        <v>5</v>
      </c>
    </row>
    <row r="120">
      <c r="A120" s="33">
        <f>IFERROR(__xludf.DUMMYFUNCTION("""COMPUTED_VALUE"""),45829.64056644676)</f>
        <v>45829.64057</v>
      </c>
      <c r="B120" s="29" t="str">
        <f>IFERROR(__xludf.DUMMYFUNCTION("""COMPUTED_VALUE"""),"Actively restoring my foreskin / I consider myself restored")</f>
        <v>Actively restoring my foreskin / I consider myself restored</v>
      </c>
      <c r="C120" s="29" t="str">
        <f>IFERROR(__xludf.DUMMYFUNCTION("""COMPUTED_VALUE"""),"Orgasm Intensity")</f>
        <v>Orgasm Intensity</v>
      </c>
      <c r="D120" s="29" t="str">
        <f>IFERROR(__xludf.DUMMYFUNCTION("""COMPUTED_VALUE"""),"2")</f>
        <v>2</v>
      </c>
      <c r="E120" s="29">
        <f>IFERROR(__xludf.DUMMYFUNCTION("""COMPUTED_VALUE"""),2.0)</f>
        <v>2</v>
      </c>
    </row>
    <row r="121">
      <c r="A121" s="33">
        <f>IFERROR(__xludf.DUMMYFUNCTION("""COMPUTED_VALUE"""),45829.679237766206)</f>
        <v>45829.67924</v>
      </c>
      <c r="B121" s="29" t="str">
        <f>IFERROR(__xludf.DUMMYFUNCTION("""COMPUTED_VALUE"""),"Intact (Never circumcised)")</f>
        <v>Intact (Never circumcised)</v>
      </c>
      <c r="C121" s="29" t="str">
        <f>IFERROR(__xludf.DUMMYFUNCTION("""COMPUTED_VALUE"""),"Orgasm Intensity")</f>
        <v>Orgasm Intensity</v>
      </c>
      <c r="D121" s="29" t="str">
        <f>IFERROR(__xludf.DUMMYFUNCTION("""COMPUTED_VALUE"""),"4")</f>
        <v>4</v>
      </c>
      <c r="E121" s="29">
        <f>IFERROR(__xludf.DUMMYFUNCTION("""COMPUTED_VALUE"""),4.0)</f>
        <v>4</v>
      </c>
    </row>
    <row r="122">
      <c r="A122" s="33">
        <f>IFERROR(__xludf.DUMMYFUNCTION("""COMPUTED_VALUE"""),45829.99185576389)</f>
        <v>45829.99186</v>
      </c>
      <c r="B122" s="29" t="str">
        <f>IFERROR(__xludf.DUMMYFUNCTION("""COMPUTED_VALUE"""),"Circumcised")</f>
        <v>Circumcised</v>
      </c>
      <c r="C122" s="29" t="str">
        <f>IFERROR(__xludf.DUMMYFUNCTION("""COMPUTED_VALUE"""),"Orgasm Intensity")</f>
        <v>Orgasm Intensity</v>
      </c>
      <c r="D122" s="29" t="str">
        <f>IFERROR(__xludf.DUMMYFUNCTION("""COMPUTED_VALUE"""),"1 (Low/Poor)")</f>
        <v>1 (Low/Poor)</v>
      </c>
      <c r="E122" s="29">
        <f>IFERROR(__xludf.DUMMYFUNCTION("""COMPUTED_VALUE"""),1.0)</f>
        <v>1</v>
      </c>
    </row>
    <row r="123">
      <c r="A123" s="33">
        <f>IFERROR(__xludf.DUMMYFUNCTION("""COMPUTED_VALUE"""),45829.99663518518)</f>
        <v>45829.99664</v>
      </c>
      <c r="B123" s="29" t="str">
        <f>IFERROR(__xludf.DUMMYFUNCTION("""COMPUTED_VALUE"""),"Circumcised")</f>
        <v>Circumcised</v>
      </c>
      <c r="C123" s="29" t="str">
        <f>IFERROR(__xludf.DUMMYFUNCTION("""COMPUTED_VALUE"""),"Orgasm Intensity")</f>
        <v>Orgasm Intensity</v>
      </c>
      <c r="D123" s="29" t="str">
        <f>IFERROR(__xludf.DUMMYFUNCTION("""COMPUTED_VALUE"""),"4")</f>
        <v>4</v>
      </c>
      <c r="E123" s="29">
        <f>IFERROR(__xludf.DUMMYFUNCTION("""COMPUTED_VALUE"""),4.0)</f>
        <v>4</v>
      </c>
    </row>
    <row r="124">
      <c r="A124" s="33">
        <f>IFERROR(__xludf.DUMMYFUNCTION("""COMPUTED_VALUE"""),45830.26074947917)</f>
        <v>45830.26075</v>
      </c>
      <c r="B124" s="29" t="str">
        <f>IFERROR(__xludf.DUMMYFUNCTION("""COMPUTED_VALUE"""),"Circumcised")</f>
        <v>Circumcised</v>
      </c>
      <c r="C124" s="29" t="str">
        <f>IFERROR(__xludf.DUMMYFUNCTION("""COMPUTED_VALUE"""),"Orgasm Intensity")</f>
        <v>Orgasm Intensity</v>
      </c>
      <c r="D124" s="29" t="str">
        <f>IFERROR(__xludf.DUMMYFUNCTION("""COMPUTED_VALUE"""),"3 (Medium/Average)")</f>
        <v>3 (Medium/Average)</v>
      </c>
      <c r="E124" s="29">
        <f>IFERROR(__xludf.DUMMYFUNCTION("""COMPUTED_VALUE"""),3.0)</f>
        <v>3</v>
      </c>
    </row>
    <row r="125">
      <c r="A125" s="33">
        <f>IFERROR(__xludf.DUMMYFUNCTION("""COMPUTED_VALUE"""),45830.275929791664)</f>
        <v>45830.27593</v>
      </c>
      <c r="B125" s="29" t="str">
        <f>IFERROR(__xludf.DUMMYFUNCTION("""COMPUTED_VALUE"""),"Intact (Never circumcised)")</f>
        <v>Intact (Never circumcised)</v>
      </c>
      <c r="C125" s="29" t="str">
        <f>IFERROR(__xludf.DUMMYFUNCTION("""COMPUTED_VALUE"""),"Orgasm Intensity")</f>
        <v>Orgasm Intensity</v>
      </c>
      <c r="D125" s="29" t="str">
        <f>IFERROR(__xludf.DUMMYFUNCTION("""COMPUTED_VALUE"""),"3 (Medium/Average)")</f>
        <v>3 (Medium/Average)</v>
      </c>
      <c r="E125" s="29">
        <f>IFERROR(__xludf.DUMMYFUNCTION("""COMPUTED_VALUE"""),3.0)</f>
        <v>3</v>
      </c>
    </row>
    <row r="126">
      <c r="A126" s="33">
        <f>IFERROR(__xludf.DUMMYFUNCTION("""COMPUTED_VALUE"""),45830.342906412036)</f>
        <v>45830.34291</v>
      </c>
      <c r="B126" s="29" t="str">
        <f>IFERROR(__xludf.DUMMYFUNCTION("""COMPUTED_VALUE"""),"Intact (Never circumcised)")</f>
        <v>Intact (Never circumcised)</v>
      </c>
      <c r="C126" s="29" t="str">
        <f>IFERROR(__xludf.DUMMYFUNCTION("""COMPUTED_VALUE"""),"Orgasm Intensity")</f>
        <v>Orgasm Intensity</v>
      </c>
      <c r="D126" s="29" t="str">
        <f>IFERROR(__xludf.DUMMYFUNCTION("""COMPUTED_VALUE"""),"5 (High/Excellent)")</f>
        <v>5 (High/Excellent)</v>
      </c>
      <c r="E126" s="29">
        <f>IFERROR(__xludf.DUMMYFUNCTION("""COMPUTED_VALUE"""),5.0)</f>
        <v>5</v>
      </c>
    </row>
    <row r="127">
      <c r="A127" s="33">
        <f>IFERROR(__xludf.DUMMYFUNCTION("""COMPUTED_VALUE"""),45830.397428067125)</f>
        <v>45830.39743</v>
      </c>
      <c r="B127" s="29" t="str">
        <f>IFERROR(__xludf.DUMMYFUNCTION("""COMPUTED_VALUE"""),"Actively restoring my foreskin / I consider myself restored")</f>
        <v>Actively restoring my foreskin / I consider myself restored</v>
      </c>
      <c r="C127" s="29" t="str">
        <f>IFERROR(__xludf.DUMMYFUNCTION("""COMPUTED_VALUE"""),"Orgasm Intensity")</f>
        <v>Orgasm Intensity</v>
      </c>
      <c r="D127" s="29" t="str">
        <f>IFERROR(__xludf.DUMMYFUNCTION("""COMPUTED_VALUE"""),"2")</f>
        <v>2</v>
      </c>
      <c r="E127" s="29">
        <f>IFERROR(__xludf.DUMMYFUNCTION("""COMPUTED_VALUE"""),2.0)</f>
        <v>2</v>
      </c>
    </row>
    <row r="128">
      <c r="A128" s="33">
        <f>IFERROR(__xludf.DUMMYFUNCTION("""COMPUTED_VALUE"""),45830.414605439815)</f>
        <v>45830.41461</v>
      </c>
      <c r="B128" s="29" t="str">
        <f>IFERROR(__xludf.DUMMYFUNCTION("""COMPUTED_VALUE"""),"Intact (Never circumcised)")</f>
        <v>Intact (Never circumcised)</v>
      </c>
      <c r="C128" s="29" t="str">
        <f>IFERROR(__xludf.DUMMYFUNCTION("""COMPUTED_VALUE"""),"Orgasm Intensity")</f>
        <v>Orgasm Intensity</v>
      </c>
      <c r="D128" s="29" t="str">
        <f>IFERROR(__xludf.DUMMYFUNCTION("""COMPUTED_VALUE"""),"5 (High/Excellent)")</f>
        <v>5 (High/Excellent)</v>
      </c>
      <c r="E128" s="29">
        <f>IFERROR(__xludf.DUMMYFUNCTION("""COMPUTED_VALUE"""),5.0)</f>
        <v>5</v>
      </c>
    </row>
    <row r="129">
      <c r="A129" s="33">
        <f>IFERROR(__xludf.DUMMYFUNCTION("""COMPUTED_VALUE"""),45830.43470159722)</f>
        <v>45830.4347</v>
      </c>
      <c r="B129" s="29" t="str">
        <f>IFERROR(__xludf.DUMMYFUNCTION("""COMPUTED_VALUE"""),"Intact (Never circumcised)")</f>
        <v>Intact (Never circumcised)</v>
      </c>
      <c r="C129" s="29" t="str">
        <f>IFERROR(__xludf.DUMMYFUNCTION("""COMPUTED_VALUE"""),"Orgasm Intensity")</f>
        <v>Orgasm Intensity</v>
      </c>
      <c r="D129" s="29" t="str">
        <f>IFERROR(__xludf.DUMMYFUNCTION("""COMPUTED_VALUE"""),"2")</f>
        <v>2</v>
      </c>
      <c r="E129" s="29">
        <f>IFERROR(__xludf.DUMMYFUNCTION("""COMPUTED_VALUE"""),2.0)</f>
        <v>2</v>
      </c>
    </row>
    <row r="130">
      <c r="A130" s="33">
        <f>IFERROR(__xludf.DUMMYFUNCTION("""COMPUTED_VALUE"""),45830.46624547454)</f>
        <v>45830.46625</v>
      </c>
      <c r="B130" s="29" t="str">
        <f>IFERROR(__xludf.DUMMYFUNCTION("""COMPUTED_VALUE"""),"Circumcised")</f>
        <v>Circumcised</v>
      </c>
      <c r="C130" s="29" t="str">
        <f>IFERROR(__xludf.DUMMYFUNCTION("""COMPUTED_VALUE"""),"Orgasm Intensity")</f>
        <v>Orgasm Intensity</v>
      </c>
      <c r="D130" s="29" t="str">
        <f>IFERROR(__xludf.DUMMYFUNCTION("""COMPUTED_VALUE"""),"5 (High/Excellent)")</f>
        <v>5 (High/Excellent)</v>
      </c>
      <c r="E130" s="29">
        <f>IFERROR(__xludf.DUMMYFUNCTION("""COMPUTED_VALUE"""),5.0)</f>
        <v>5</v>
      </c>
    </row>
    <row r="131">
      <c r="A131" s="33">
        <f>IFERROR(__xludf.DUMMYFUNCTION("""COMPUTED_VALUE"""),45830.47800052084)</f>
        <v>45830.478</v>
      </c>
      <c r="B131" s="29" t="str">
        <f>IFERROR(__xludf.DUMMYFUNCTION("""COMPUTED_VALUE"""),"Intact (Never circumcised)")</f>
        <v>Intact (Never circumcised)</v>
      </c>
      <c r="C131" s="29" t="str">
        <f>IFERROR(__xludf.DUMMYFUNCTION("""COMPUTED_VALUE"""),"Orgasm Intensity")</f>
        <v>Orgasm Intensity</v>
      </c>
      <c r="D131" s="29" t="str">
        <f>IFERROR(__xludf.DUMMYFUNCTION("""COMPUTED_VALUE"""),"4")</f>
        <v>4</v>
      </c>
      <c r="E131" s="29">
        <f>IFERROR(__xludf.DUMMYFUNCTION("""COMPUTED_VALUE"""),4.0)</f>
        <v>4</v>
      </c>
    </row>
    <row r="132">
      <c r="A132" s="33">
        <f>IFERROR(__xludf.DUMMYFUNCTION("""COMPUTED_VALUE"""),45830.5357296875)</f>
        <v>45830.53573</v>
      </c>
      <c r="B132" s="29" t="str">
        <f>IFERROR(__xludf.DUMMYFUNCTION("""COMPUTED_VALUE"""),"Intact (Never circumcised)")</f>
        <v>Intact (Never circumcised)</v>
      </c>
      <c r="C132" s="29" t="str">
        <f>IFERROR(__xludf.DUMMYFUNCTION("""COMPUTED_VALUE"""),"Orgasm Intensity")</f>
        <v>Orgasm Intensity</v>
      </c>
      <c r="D132" s="29" t="str">
        <f>IFERROR(__xludf.DUMMYFUNCTION("""COMPUTED_VALUE"""),"5 (High/Excellent)")</f>
        <v>5 (High/Excellent)</v>
      </c>
      <c r="E132" s="29">
        <f>IFERROR(__xludf.DUMMYFUNCTION("""COMPUTED_VALUE"""),5.0)</f>
        <v>5</v>
      </c>
    </row>
    <row r="133">
      <c r="A133" s="33">
        <f>IFERROR(__xludf.DUMMYFUNCTION("""COMPUTED_VALUE"""),45830.61729040509)</f>
        <v>45830.61729</v>
      </c>
      <c r="B133" s="29" t="str">
        <f>IFERROR(__xludf.DUMMYFUNCTION("""COMPUTED_VALUE"""),"Intact (Never circumcised)")</f>
        <v>Intact (Never circumcised)</v>
      </c>
      <c r="C133" s="29" t="str">
        <f>IFERROR(__xludf.DUMMYFUNCTION("""COMPUTED_VALUE"""),"Orgasm Intensity")</f>
        <v>Orgasm Intensity</v>
      </c>
      <c r="D133" s="29" t="str">
        <f>IFERROR(__xludf.DUMMYFUNCTION("""COMPUTED_VALUE"""),"4")</f>
        <v>4</v>
      </c>
      <c r="E133" s="29">
        <f>IFERROR(__xludf.DUMMYFUNCTION("""COMPUTED_VALUE"""),4.0)</f>
        <v>4</v>
      </c>
    </row>
    <row r="134">
      <c r="A134" s="33">
        <f>IFERROR(__xludf.DUMMYFUNCTION("""COMPUTED_VALUE"""),45830.62220851852)</f>
        <v>45830.62221</v>
      </c>
      <c r="B134" s="29" t="str">
        <f>IFERROR(__xludf.DUMMYFUNCTION("""COMPUTED_VALUE"""),"Intact (Never circumcised)")</f>
        <v>Intact (Never circumcised)</v>
      </c>
      <c r="C134" s="29" t="str">
        <f>IFERROR(__xludf.DUMMYFUNCTION("""COMPUTED_VALUE"""),"Orgasm Intensity")</f>
        <v>Orgasm Intensity</v>
      </c>
      <c r="D134" s="29" t="str">
        <f>IFERROR(__xludf.DUMMYFUNCTION("""COMPUTED_VALUE"""),"3 (Medium/Average)")</f>
        <v>3 (Medium/Average)</v>
      </c>
      <c r="E134" s="29">
        <f>IFERROR(__xludf.DUMMYFUNCTION("""COMPUTED_VALUE"""),3.0)</f>
        <v>3</v>
      </c>
    </row>
    <row r="135">
      <c r="A135" s="33">
        <f>IFERROR(__xludf.DUMMYFUNCTION("""COMPUTED_VALUE"""),45830.63773170139)</f>
        <v>45830.63773</v>
      </c>
      <c r="B135" s="29" t="str">
        <f>IFERROR(__xludf.DUMMYFUNCTION("""COMPUTED_VALUE"""),"Intact (Never circumcised)")</f>
        <v>Intact (Never circumcised)</v>
      </c>
      <c r="C135" s="29" t="str">
        <f>IFERROR(__xludf.DUMMYFUNCTION("""COMPUTED_VALUE"""),"Orgasm Intensity")</f>
        <v>Orgasm Intensity</v>
      </c>
      <c r="D135" s="29" t="str">
        <f>IFERROR(__xludf.DUMMYFUNCTION("""COMPUTED_VALUE"""),"3 (Medium/Average)")</f>
        <v>3 (Medium/Average)</v>
      </c>
      <c r="E135" s="29">
        <f>IFERROR(__xludf.DUMMYFUNCTION("""COMPUTED_VALUE"""),3.0)</f>
        <v>3</v>
      </c>
    </row>
    <row r="136">
      <c r="A136" s="33">
        <f>IFERROR(__xludf.DUMMYFUNCTION("""COMPUTED_VALUE"""),45830.745157337966)</f>
        <v>45830.74516</v>
      </c>
      <c r="B136" s="29" t="str">
        <f>IFERROR(__xludf.DUMMYFUNCTION("""COMPUTED_VALUE"""),"Actively restoring my foreskin / I consider myself restored")</f>
        <v>Actively restoring my foreskin / I consider myself restored</v>
      </c>
      <c r="C136" s="29" t="str">
        <f>IFERROR(__xludf.DUMMYFUNCTION("""COMPUTED_VALUE"""),"Orgasm Intensity")</f>
        <v>Orgasm Intensity</v>
      </c>
      <c r="D136" s="29" t="str">
        <f>IFERROR(__xludf.DUMMYFUNCTION("""COMPUTED_VALUE"""),"4")</f>
        <v>4</v>
      </c>
      <c r="E136" s="29">
        <f>IFERROR(__xludf.DUMMYFUNCTION("""COMPUTED_VALUE"""),4.0)</f>
        <v>4</v>
      </c>
    </row>
    <row r="137">
      <c r="A137" s="33">
        <f>IFERROR(__xludf.DUMMYFUNCTION("""COMPUTED_VALUE"""),45830.74782991898)</f>
        <v>45830.74783</v>
      </c>
      <c r="B137" s="29" t="str">
        <f>IFERROR(__xludf.DUMMYFUNCTION("""COMPUTED_VALUE"""),"Circumcised")</f>
        <v>Circumcised</v>
      </c>
      <c r="C137" s="29" t="str">
        <f>IFERROR(__xludf.DUMMYFUNCTION("""COMPUTED_VALUE"""),"Orgasm Intensity")</f>
        <v>Orgasm Intensity</v>
      </c>
      <c r="D137" s="29" t="str">
        <f>IFERROR(__xludf.DUMMYFUNCTION("""COMPUTED_VALUE"""),"4")</f>
        <v>4</v>
      </c>
      <c r="E137" s="29">
        <f>IFERROR(__xludf.DUMMYFUNCTION("""COMPUTED_VALUE"""),4.0)</f>
        <v>4</v>
      </c>
    </row>
    <row r="138">
      <c r="A138" s="33">
        <f>IFERROR(__xludf.DUMMYFUNCTION("""COMPUTED_VALUE"""),45830.76834444444)</f>
        <v>45830.76834</v>
      </c>
      <c r="B138" s="29" t="str">
        <f>IFERROR(__xludf.DUMMYFUNCTION("""COMPUTED_VALUE"""),"Circumcised")</f>
        <v>Circumcised</v>
      </c>
      <c r="C138" s="29" t="str">
        <f>IFERROR(__xludf.DUMMYFUNCTION("""COMPUTED_VALUE"""),"Orgasm Intensity")</f>
        <v>Orgasm Intensity</v>
      </c>
      <c r="D138" s="29" t="str">
        <f>IFERROR(__xludf.DUMMYFUNCTION("""COMPUTED_VALUE"""),"2")</f>
        <v>2</v>
      </c>
      <c r="E138" s="29">
        <f>IFERROR(__xludf.DUMMYFUNCTION("""COMPUTED_VALUE"""),2.0)</f>
        <v>2</v>
      </c>
    </row>
    <row r="139">
      <c r="A139" s="33">
        <f>IFERROR(__xludf.DUMMYFUNCTION("""COMPUTED_VALUE"""),45830.77002224537)</f>
        <v>45830.77002</v>
      </c>
      <c r="B139" s="29" t="str">
        <f>IFERROR(__xludf.DUMMYFUNCTION("""COMPUTED_VALUE"""),"Actively restoring my foreskin / I consider myself restored")</f>
        <v>Actively restoring my foreskin / I consider myself restored</v>
      </c>
      <c r="C139" s="29" t="str">
        <f>IFERROR(__xludf.DUMMYFUNCTION("""COMPUTED_VALUE"""),"Orgasm Intensity")</f>
        <v>Orgasm Intensity</v>
      </c>
      <c r="D139" s="29" t="str">
        <f>IFERROR(__xludf.DUMMYFUNCTION("""COMPUTED_VALUE"""),"4")</f>
        <v>4</v>
      </c>
      <c r="E139" s="29">
        <f>IFERROR(__xludf.DUMMYFUNCTION("""COMPUTED_VALUE"""),4.0)</f>
        <v>4</v>
      </c>
    </row>
    <row r="140">
      <c r="A140" s="33">
        <f>IFERROR(__xludf.DUMMYFUNCTION("""COMPUTED_VALUE"""),45830.85278008102)</f>
        <v>45830.85278</v>
      </c>
      <c r="B140" s="29" t="str">
        <f>IFERROR(__xludf.DUMMYFUNCTION("""COMPUTED_VALUE"""),"Intact (Never circumcised)")</f>
        <v>Intact (Never circumcised)</v>
      </c>
      <c r="C140" s="29" t="str">
        <f>IFERROR(__xludf.DUMMYFUNCTION("""COMPUTED_VALUE"""),"Orgasm Intensity")</f>
        <v>Orgasm Intensity</v>
      </c>
      <c r="D140" s="29" t="str">
        <f>IFERROR(__xludf.DUMMYFUNCTION("""COMPUTED_VALUE"""),"4")</f>
        <v>4</v>
      </c>
      <c r="E140" s="29">
        <f>IFERROR(__xludf.DUMMYFUNCTION("""COMPUTED_VALUE"""),4.0)</f>
        <v>4</v>
      </c>
    </row>
    <row r="141">
      <c r="A141" s="33">
        <f>IFERROR(__xludf.DUMMYFUNCTION("""COMPUTED_VALUE"""),45830.87385914352)</f>
        <v>45830.87386</v>
      </c>
      <c r="B141" s="29" t="str">
        <f>IFERROR(__xludf.DUMMYFUNCTION("""COMPUTED_VALUE"""),"Circumcised")</f>
        <v>Circumcised</v>
      </c>
      <c r="C141" s="29" t="str">
        <f>IFERROR(__xludf.DUMMYFUNCTION("""COMPUTED_VALUE"""),"Orgasm Intensity")</f>
        <v>Orgasm Intensity</v>
      </c>
      <c r="D141" s="29" t="str">
        <f>IFERROR(__xludf.DUMMYFUNCTION("""COMPUTED_VALUE"""),"2")</f>
        <v>2</v>
      </c>
      <c r="E141" s="29">
        <f>IFERROR(__xludf.DUMMYFUNCTION("""COMPUTED_VALUE"""),2.0)</f>
        <v>2</v>
      </c>
    </row>
    <row r="142">
      <c r="A142" s="33">
        <f>IFERROR(__xludf.DUMMYFUNCTION("""COMPUTED_VALUE"""),45830.97040641204)</f>
        <v>45830.97041</v>
      </c>
      <c r="B142" s="29" t="str">
        <f>IFERROR(__xludf.DUMMYFUNCTION("""COMPUTED_VALUE"""),"Actively restoring my foreskin / I consider myself restored")</f>
        <v>Actively restoring my foreskin / I consider myself restored</v>
      </c>
      <c r="C142" s="29" t="str">
        <f>IFERROR(__xludf.DUMMYFUNCTION("""COMPUTED_VALUE"""),"Orgasm Intensity")</f>
        <v>Orgasm Intensity</v>
      </c>
      <c r="D142" s="29" t="str">
        <f>IFERROR(__xludf.DUMMYFUNCTION("""COMPUTED_VALUE"""),"3 (Medium/Average)")</f>
        <v>3 (Medium/Average)</v>
      </c>
      <c r="E142" s="29">
        <f>IFERROR(__xludf.DUMMYFUNCTION("""COMPUTED_VALUE"""),3.0)</f>
        <v>3</v>
      </c>
    </row>
    <row r="143">
      <c r="A143" s="33">
        <f>IFERROR(__xludf.DUMMYFUNCTION("""COMPUTED_VALUE"""),45831.06838657407)</f>
        <v>45831.06839</v>
      </c>
      <c r="B143" s="29" t="str">
        <f>IFERROR(__xludf.DUMMYFUNCTION("""COMPUTED_VALUE"""),"Circumcised")</f>
        <v>Circumcised</v>
      </c>
      <c r="C143" s="29" t="str">
        <f>IFERROR(__xludf.DUMMYFUNCTION("""COMPUTED_VALUE"""),"Orgasm Intensity")</f>
        <v>Orgasm Intensity</v>
      </c>
      <c r="D143" s="29" t="str">
        <f>IFERROR(__xludf.DUMMYFUNCTION("""COMPUTED_VALUE"""),"2")</f>
        <v>2</v>
      </c>
      <c r="E143" s="29">
        <f>IFERROR(__xludf.DUMMYFUNCTION("""COMPUTED_VALUE"""),2.0)</f>
        <v>2</v>
      </c>
    </row>
    <row r="144">
      <c r="A144" s="33">
        <f>IFERROR(__xludf.DUMMYFUNCTION("""COMPUTED_VALUE"""),45831.087313819444)</f>
        <v>45831.08731</v>
      </c>
      <c r="B144" s="29" t="str">
        <f>IFERROR(__xludf.DUMMYFUNCTION("""COMPUTED_VALUE"""),"Intact (Never circumcised)")</f>
        <v>Intact (Never circumcised)</v>
      </c>
      <c r="C144" s="29" t="str">
        <f>IFERROR(__xludf.DUMMYFUNCTION("""COMPUTED_VALUE"""),"Orgasm Intensity")</f>
        <v>Orgasm Intensity</v>
      </c>
      <c r="D144" s="29" t="str">
        <f>IFERROR(__xludf.DUMMYFUNCTION("""COMPUTED_VALUE"""),"5 (High/Excellent)")</f>
        <v>5 (High/Excellent)</v>
      </c>
      <c r="E144" s="29">
        <f>IFERROR(__xludf.DUMMYFUNCTION("""COMPUTED_VALUE"""),5.0)</f>
        <v>5</v>
      </c>
    </row>
    <row r="145">
      <c r="A145" s="33">
        <f>IFERROR(__xludf.DUMMYFUNCTION("""COMPUTED_VALUE"""),45831.14147674769)</f>
        <v>45831.14148</v>
      </c>
      <c r="B145" s="29" t="str">
        <f>IFERROR(__xludf.DUMMYFUNCTION("""COMPUTED_VALUE"""),"Intact (Never circumcised)")</f>
        <v>Intact (Never circumcised)</v>
      </c>
      <c r="C145" s="29" t="str">
        <f>IFERROR(__xludf.DUMMYFUNCTION("""COMPUTED_VALUE"""),"Orgasm Intensity")</f>
        <v>Orgasm Intensity</v>
      </c>
      <c r="D145" s="29" t="str">
        <f>IFERROR(__xludf.DUMMYFUNCTION("""COMPUTED_VALUE"""),"4")</f>
        <v>4</v>
      </c>
      <c r="E145" s="29">
        <f>IFERROR(__xludf.DUMMYFUNCTION("""COMPUTED_VALUE"""),4.0)</f>
        <v>4</v>
      </c>
    </row>
    <row r="146">
      <c r="A146" s="33">
        <f>IFERROR(__xludf.DUMMYFUNCTION("""COMPUTED_VALUE"""),45831.20082736111)</f>
        <v>45831.20083</v>
      </c>
      <c r="B146" s="29" t="str">
        <f>IFERROR(__xludf.DUMMYFUNCTION("""COMPUTED_VALUE"""),"Intact (Never circumcised)")</f>
        <v>Intact (Never circumcised)</v>
      </c>
      <c r="C146" s="29" t="str">
        <f>IFERROR(__xludf.DUMMYFUNCTION("""COMPUTED_VALUE"""),"Orgasm Intensity")</f>
        <v>Orgasm Intensity</v>
      </c>
      <c r="D146" s="29" t="str">
        <f>IFERROR(__xludf.DUMMYFUNCTION("""COMPUTED_VALUE"""),"4")</f>
        <v>4</v>
      </c>
      <c r="E146" s="29">
        <f>IFERROR(__xludf.DUMMYFUNCTION("""COMPUTED_VALUE"""),4.0)</f>
        <v>4</v>
      </c>
    </row>
    <row r="147">
      <c r="A147" s="33">
        <f>IFERROR(__xludf.DUMMYFUNCTION("""COMPUTED_VALUE"""),45831.280710312494)</f>
        <v>45831.28071</v>
      </c>
      <c r="B147" s="29" t="str">
        <f>IFERROR(__xludf.DUMMYFUNCTION("""COMPUTED_VALUE"""),"Intact (Never circumcised)")</f>
        <v>Intact (Never circumcised)</v>
      </c>
      <c r="C147" s="29" t="str">
        <f>IFERROR(__xludf.DUMMYFUNCTION("""COMPUTED_VALUE"""),"Orgasm Intensity")</f>
        <v>Orgasm Intensity</v>
      </c>
      <c r="D147" s="29" t="str">
        <f>IFERROR(__xludf.DUMMYFUNCTION("""COMPUTED_VALUE"""),"4")</f>
        <v>4</v>
      </c>
      <c r="E147" s="29">
        <f>IFERROR(__xludf.DUMMYFUNCTION("""COMPUTED_VALUE"""),4.0)</f>
        <v>4</v>
      </c>
    </row>
    <row r="148">
      <c r="A148" s="33">
        <f>IFERROR(__xludf.DUMMYFUNCTION("""COMPUTED_VALUE"""),45831.2901250463)</f>
        <v>45831.29013</v>
      </c>
      <c r="B148" s="29" t="str">
        <f>IFERROR(__xludf.DUMMYFUNCTION("""COMPUTED_VALUE"""),"Actively restoring my foreskin / I consider myself restored")</f>
        <v>Actively restoring my foreskin / I consider myself restored</v>
      </c>
      <c r="C148" s="29" t="str">
        <f>IFERROR(__xludf.DUMMYFUNCTION("""COMPUTED_VALUE"""),"Orgasm Intensity")</f>
        <v>Orgasm Intensity</v>
      </c>
      <c r="D148" s="29" t="str">
        <f>IFERROR(__xludf.DUMMYFUNCTION("""COMPUTED_VALUE"""),"2")</f>
        <v>2</v>
      </c>
      <c r="E148" s="29">
        <f>IFERROR(__xludf.DUMMYFUNCTION("""COMPUTED_VALUE"""),2.0)</f>
        <v>2</v>
      </c>
    </row>
    <row r="149">
      <c r="A149" s="33">
        <f>IFERROR(__xludf.DUMMYFUNCTION("""COMPUTED_VALUE"""),45831.31184445602)</f>
        <v>45831.31184</v>
      </c>
      <c r="B149" s="29" t="str">
        <f>IFERROR(__xludf.DUMMYFUNCTION("""COMPUTED_VALUE"""),"Actively restoring my foreskin / I consider myself restored")</f>
        <v>Actively restoring my foreskin / I consider myself restored</v>
      </c>
      <c r="C149" s="29" t="str">
        <f>IFERROR(__xludf.DUMMYFUNCTION("""COMPUTED_VALUE"""),"Orgasm Intensity")</f>
        <v>Orgasm Intensity</v>
      </c>
      <c r="D149" s="29" t="str">
        <f>IFERROR(__xludf.DUMMYFUNCTION("""COMPUTED_VALUE"""),"3 (Medium/Average)")</f>
        <v>3 (Medium/Average)</v>
      </c>
      <c r="E149" s="29">
        <f>IFERROR(__xludf.DUMMYFUNCTION("""COMPUTED_VALUE"""),3.0)</f>
        <v>3</v>
      </c>
    </row>
    <row r="150">
      <c r="A150" s="33">
        <f>IFERROR(__xludf.DUMMYFUNCTION("""COMPUTED_VALUE"""),45831.337022465275)</f>
        <v>45831.33702</v>
      </c>
      <c r="B150" s="29" t="str">
        <f>IFERROR(__xludf.DUMMYFUNCTION("""COMPUTED_VALUE"""),"Actively restoring my foreskin / I consider myself restored")</f>
        <v>Actively restoring my foreskin / I consider myself restored</v>
      </c>
      <c r="C150" s="29" t="str">
        <f>IFERROR(__xludf.DUMMYFUNCTION("""COMPUTED_VALUE"""),"Orgasm Intensity")</f>
        <v>Orgasm Intensity</v>
      </c>
      <c r="D150" s="29" t="str">
        <f>IFERROR(__xludf.DUMMYFUNCTION("""COMPUTED_VALUE"""),"2")</f>
        <v>2</v>
      </c>
      <c r="E150" s="29">
        <f>IFERROR(__xludf.DUMMYFUNCTION("""COMPUTED_VALUE"""),2.0)</f>
        <v>2</v>
      </c>
    </row>
    <row r="151">
      <c r="A151" s="33">
        <f>IFERROR(__xludf.DUMMYFUNCTION("""COMPUTED_VALUE"""),45831.37880005787)</f>
        <v>45831.3788</v>
      </c>
      <c r="B151" s="29" t="str">
        <f>IFERROR(__xludf.DUMMYFUNCTION("""COMPUTED_VALUE"""),"Circumcised")</f>
        <v>Circumcised</v>
      </c>
      <c r="C151" s="29" t="str">
        <f>IFERROR(__xludf.DUMMYFUNCTION("""COMPUTED_VALUE"""),"Orgasm Intensity")</f>
        <v>Orgasm Intensity</v>
      </c>
      <c r="D151" s="29" t="str">
        <f>IFERROR(__xludf.DUMMYFUNCTION("""COMPUTED_VALUE"""),"3 (Medium/Average)")</f>
        <v>3 (Medium/Average)</v>
      </c>
      <c r="E151" s="29">
        <f>IFERROR(__xludf.DUMMYFUNCTION("""COMPUTED_VALUE"""),3.0)</f>
        <v>3</v>
      </c>
    </row>
    <row r="152">
      <c r="A152" s="33">
        <f>IFERROR(__xludf.DUMMYFUNCTION("""COMPUTED_VALUE"""),45831.437976030094)</f>
        <v>45831.43798</v>
      </c>
      <c r="B152" s="29" t="str">
        <f>IFERROR(__xludf.DUMMYFUNCTION("""COMPUTED_VALUE"""),"Intact (Never circumcised)")</f>
        <v>Intact (Never circumcised)</v>
      </c>
      <c r="C152" s="29" t="str">
        <f>IFERROR(__xludf.DUMMYFUNCTION("""COMPUTED_VALUE"""),"Orgasm Intensity")</f>
        <v>Orgasm Intensity</v>
      </c>
      <c r="D152" s="29" t="str">
        <f>IFERROR(__xludf.DUMMYFUNCTION("""COMPUTED_VALUE"""),"5 (High/Excellent)")</f>
        <v>5 (High/Excellent)</v>
      </c>
      <c r="E152" s="29">
        <f>IFERROR(__xludf.DUMMYFUNCTION("""COMPUTED_VALUE"""),5.0)</f>
        <v>5</v>
      </c>
    </row>
    <row r="153">
      <c r="A153" s="33">
        <f>IFERROR(__xludf.DUMMYFUNCTION("""COMPUTED_VALUE"""),45831.46863284722)</f>
        <v>45831.46863</v>
      </c>
      <c r="B153" s="29" t="str">
        <f>IFERROR(__xludf.DUMMYFUNCTION("""COMPUTED_VALUE"""),"Actively restoring my foreskin / I consider myself restored")</f>
        <v>Actively restoring my foreskin / I consider myself restored</v>
      </c>
      <c r="C153" s="29" t="str">
        <f>IFERROR(__xludf.DUMMYFUNCTION("""COMPUTED_VALUE"""),"Orgasm Intensity")</f>
        <v>Orgasm Intensity</v>
      </c>
      <c r="D153" s="29" t="str">
        <f>IFERROR(__xludf.DUMMYFUNCTION("""COMPUTED_VALUE"""),"2")</f>
        <v>2</v>
      </c>
      <c r="E153" s="29">
        <f>IFERROR(__xludf.DUMMYFUNCTION("""COMPUTED_VALUE"""),2.0)</f>
        <v>2</v>
      </c>
    </row>
    <row r="154">
      <c r="A154" s="33">
        <f>IFERROR(__xludf.DUMMYFUNCTION("""COMPUTED_VALUE"""),45831.47309501158)</f>
        <v>45831.4731</v>
      </c>
      <c r="B154" s="29" t="str">
        <f>IFERROR(__xludf.DUMMYFUNCTION("""COMPUTED_VALUE"""),"Actively restoring my foreskin / I consider myself restored")</f>
        <v>Actively restoring my foreskin / I consider myself restored</v>
      </c>
      <c r="C154" s="29" t="str">
        <f>IFERROR(__xludf.DUMMYFUNCTION("""COMPUTED_VALUE"""),"Orgasm Intensity")</f>
        <v>Orgasm Intensity</v>
      </c>
      <c r="D154" s="29" t="str">
        <f>IFERROR(__xludf.DUMMYFUNCTION("""COMPUTED_VALUE"""),"3 (Medium/Average)")</f>
        <v>3 (Medium/Average)</v>
      </c>
      <c r="E154" s="29">
        <f>IFERROR(__xludf.DUMMYFUNCTION("""COMPUTED_VALUE"""),3.0)</f>
        <v>3</v>
      </c>
    </row>
    <row r="155">
      <c r="A155" s="33">
        <f>IFERROR(__xludf.DUMMYFUNCTION("""COMPUTED_VALUE"""),45831.54904612269)</f>
        <v>45831.54905</v>
      </c>
      <c r="B155" s="29" t="str">
        <f>IFERROR(__xludf.DUMMYFUNCTION("""COMPUTED_VALUE"""),"Intact (Never circumcised)")</f>
        <v>Intact (Never circumcised)</v>
      </c>
      <c r="C155" s="29" t="str">
        <f>IFERROR(__xludf.DUMMYFUNCTION("""COMPUTED_VALUE"""),"Orgasm Intensity")</f>
        <v>Orgasm Intensity</v>
      </c>
      <c r="D155" s="29" t="str">
        <f>IFERROR(__xludf.DUMMYFUNCTION("""COMPUTED_VALUE"""),"5 (High/Excellent)")</f>
        <v>5 (High/Excellent)</v>
      </c>
      <c r="E155" s="29">
        <f>IFERROR(__xludf.DUMMYFUNCTION("""COMPUTED_VALUE"""),5.0)</f>
        <v>5</v>
      </c>
    </row>
    <row r="156">
      <c r="A156" s="33">
        <f>IFERROR(__xludf.DUMMYFUNCTION("""COMPUTED_VALUE"""),45831.61556234954)</f>
        <v>45831.61556</v>
      </c>
      <c r="B156" s="29" t="str">
        <f>IFERROR(__xludf.DUMMYFUNCTION("""COMPUTED_VALUE"""),"Intact (Never circumcised)")</f>
        <v>Intact (Never circumcised)</v>
      </c>
      <c r="C156" s="29" t="str">
        <f>IFERROR(__xludf.DUMMYFUNCTION("""COMPUTED_VALUE"""),"Orgasm Intensity")</f>
        <v>Orgasm Intensity</v>
      </c>
      <c r="D156" s="29" t="str">
        <f>IFERROR(__xludf.DUMMYFUNCTION("""COMPUTED_VALUE"""),"5 (High/Excellent)")</f>
        <v>5 (High/Excellent)</v>
      </c>
      <c r="E156" s="29">
        <f>IFERROR(__xludf.DUMMYFUNCTION("""COMPUTED_VALUE"""),5.0)</f>
        <v>5</v>
      </c>
    </row>
    <row r="157">
      <c r="A157" s="33">
        <f>IFERROR(__xludf.DUMMYFUNCTION("""COMPUTED_VALUE"""),45831.70324116898)</f>
        <v>45831.70324</v>
      </c>
      <c r="B157" s="29" t="str">
        <f>IFERROR(__xludf.DUMMYFUNCTION("""COMPUTED_VALUE"""),"Actively restoring my foreskin / I consider myself restored")</f>
        <v>Actively restoring my foreskin / I consider myself restored</v>
      </c>
      <c r="C157" s="29" t="str">
        <f>IFERROR(__xludf.DUMMYFUNCTION("""COMPUTED_VALUE"""),"Orgasm Intensity")</f>
        <v>Orgasm Intensity</v>
      </c>
      <c r="D157" s="29" t="str">
        <f>IFERROR(__xludf.DUMMYFUNCTION("""COMPUTED_VALUE"""),"3 (Medium/Average)")</f>
        <v>3 (Medium/Average)</v>
      </c>
      <c r="E157" s="29">
        <f>IFERROR(__xludf.DUMMYFUNCTION("""COMPUTED_VALUE"""),3.0)</f>
        <v>3</v>
      </c>
    </row>
    <row r="158">
      <c r="A158" s="33">
        <f>IFERROR(__xludf.DUMMYFUNCTION("""COMPUTED_VALUE"""),45831.70685833333)</f>
        <v>45831.70686</v>
      </c>
      <c r="B158" s="29" t="str">
        <f>IFERROR(__xludf.DUMMYFUNCTION("""COMPUTED_VALUE"""),"Intact (Never circumcised)")</f>
        <v>Intact (Never circumcised)</v>
      </c>
      <c r="C158" s="29" t="str">
        <f>IFERROR(__xludf.DUMMYFUNCTION("""COMPUTED_VALUE"""),"Orgasm Intensity")</f>
        <v>Orgasm Intensity</v>
      </c>
      <c r="D158" s="29" t="str">
        <f>IFERROR(__xludf.DUMMYFUNCTION("""COMPUTED_VALUE"""),"3 (Medium/Average)")</f>
        <v>3 (Medium/Average)</v>
      </c>
      <c r="E158" s="29">
        <f>IFERROR(__xludf.DUMMYFUNCTION("""COMPUTED_VALUE"""),3.0)</f>
        <v>3</v>
      </c>
    </row>
    <row r="159">
      <c r="A159" s="33">
        <f>IFERROR(__xludf.DUMMYFUNCTION("""COMPUTED_VALUE"""),45831.785180127314)</f>
        <v>45831.78518</v>
      </c>
      <c r="B159" s="29" t="str">
        <f>IFERROR(__xludf.DUMMYFUNCTION("""COMPUTED_VALUE"""),"Intact (Never circumcised)")</f>
        <v>Intact (Never circumcised)</v>
      </c>
      <c r="C159" s="29" t="str">
        <f>IFERROR(__xludf.DUMMYFUNCTION("""COMPUTED_VALUE"""),"Orgasm Intensity")</f>
        <v>Orgasm Intensity</v>
      </c>
      <c r="D159" s="29" t="str">
        <f>IFERROR(__xludf.DUMMYFUNCTION("""COMPUTED_VALUE"""),"5 (High/Excellent)")</f>
        <v>5 (High/Excellent)</v>
      </c>
      <c r="E159" s="29">
        <f>IFERROR(__xludf.DUMMYFUNCTION("""COMPUTED_VALUE"""),5.0)</f>
        <v>5</v>
      </c>
    </row>
    <row r="160">
      <c r="A160" s="33">
        <f>IFERROR(__xludf.DUMMYFUNCTION("""COMPUTED_VALUE"""),45831.81648645833)</f>
        <v>45831.81649</v>
      </c>
      <c r="B160" s="29" t="str">
        <f>IFERROR(__xludf.DUMMYFUNCTION("""COMPUTED_VALUE"""),"Intact (Never circumcised)")</f>
        <v>Intact (Never circumcised)</v>
      </c>
      <c r="C160" s="29" t="str">
        <f>IFERROR(__xludf.DUMMYFUNCTION("""COMPUTED_VALUE"""),"Orgasm Intensity")</f>
        <v>Orgasm Intensity</v>
      </c>
      <c r="D160" s="29" t="str">
        <f>IFERROR(__xludf.DUMMYFUNCTION("""COMPUTED_VALUE"""),"2")</f>
        <v>2</v>
      </c>
      <c r="E160" s="29">
        <f>IFERROR(__xludf.DUMMYFUNCTION("""COMPUTED_VALUE"""),2.0)</f>
        <v>2</v>
      </c>
    </row>
    <row r="161">
      <c r="A161" s="33">
        <f>IFERROR(__xludf.DUMMYFUNCTION("""COMPUTED_VALUE"""),45831.93652824074)</f>
        <v>45831.93653</v>
      </c>
      <c r="B161" s="29" t="str">
        <f>IFERROR(__xludf.DUMMYFUNCTION("""COMPUTED_VALUE"""),"Actively restoring my foreskin / I consider myself restored")</f>
        <v>Actively restoring my foreskin / I consider myself restored</v>
      </c>
      <c r="C161" s="29" t="str">
        <f>IFERROR(__xludf.DUMMYFUNCTION("""COMPUTED_VALUE"""),"Orgasm Intensity")</f>
        <v>Orgasm Intensity</v>
      </c>
      <c r="D161" s="29" t="str">
        <f>IFERROR(__xludf.DUMMYFUNCTION("""COMPUTED_VALUE"""),"1 (Low/Poor)")</f>
        <v>1 (Low/Poor)</v>
      </c>
      <c r="E161" s="29">
        <f>IFERROR(__xludf.DUMMYFUNCTION("""COMPUTED_VALUE"""),1.0)</f>
        <v>1</v>
      </c>
    </row>
    <row r="162">
      <c r="A162" s="33">
        <f>IFERROR(__xludf.DUMMYFUNCTION("""COMPUTED_VALUE"""),45832.168814212964)</f>
        <v>45832.16881</v>
      </c>
      <c r="B162" s="29" t="str">
        <f>IFERROR(__xludf.DUMMYFUNCTION("""COMPUTED_VALUE"""),"Circumcised")</f>
        <v>Circumcised</v>
      </c>
      <c r="C162" s="29" t="str">
        <f>IFERROR(__xludf.DUMMYFUNCTION("""COMPUTED_VALUE"""),"Orgasm Intensity")</f>
        <v>Orgasm Intensity</v>
      </c>
      <c r="D162" s="29" t="str">
        <f>IFERROR(__xludf.DUMMYFUNCTION("""COMPUTED_VALUE"""),"1 (Low/Poor)")</f>
        <v>1 (Low/Poor)</v>
      </c>
      <c r="E162" s="29">
        <f>IFERROR(__xludf.DUMMYFUNCTION("""COMPUTED_VALUE"""),1.0)</f>
        <v>1</v>
      </c>
    </row>
    <row r="163">
      <c r="A163" s="33">
        <f>IFERROR(__xludf.DUMMYFUNCTION("""COMPUTED_VALUE"""),45832.22020383101)</f>
        <v>45832.2202</v>
      </c>
      <c r="B163" s="29" t="str">
        <f>IFERROR(__xludf.DUMMYFUNCTION("""COMPUTED_VALUE"""),"Intact (Never circumcised)")</f>
        <v>Intact (Never circumcised)</v>
      </c>
      <c r="C163" s="29" t="str">
        <f>IFERROR(__xludf.DUMMYFUNCTION("""COMPUTED_VALUE"""),"Orgasm Intensity")</f>
        <v>Orgasm Intensity</v>
      </c>
      <c r="D163" s="29" t="str">
        <f>IFERROR(__xludf.DUMMYFUNCTION("""COMPUTED_VALUE"""),"5 (High/Excellent)")</f>
        <v>5 (High/Excellent)</v>
      </c>
      <c r="E163" s="29">
        <f>IFERROR(__xludf.DUMMYFUNCTION("""COMPUTED_VALUE"""),5.0)</f>
        <v>5</v>
      </c>
    </row>
    <row r="164">
      <c r="A164" s="33">
        <f>IFERROR(__xludf.DUMMYFUNCTION("""COMPUTED_VALUE"""),45832.38233418982)</f>
        <v>45832.38233</v>
      </c>
      <c r="B164" s="29" t="str">
        <f>IFERROR(__xludf.DUMMYFUNCTION("""COMPUTED_VALUE"""),"Intact (Never circumcised)")</f>
        <v>Intact (Never circumcised)</v>
      </c>
      <c r="C164" s="29" t="str">
        <f>IFERROR(__xludf.DUMMYFUNCTION("""COMPUTED_VALUE"""),"Orgasm Intensity")</f>
        <v>Orgasm Intensity</v>
      </c>
      <c r="D164" s="29" t="str">
        <f>IFERROR(__xludf.DUMMYFUNCTION("""COMPUTED_VALUE"""),"5 (High/Excellent)")</f>
        <v>5 (High/Excellent)</v>
      </c>
      <c r="E164" s="29">
        <f>IFERROR(__xludf.DUMMYFUNCTION("""COMPUTED_VALUE"""),5.0)</f>
        <v>5</v>
      </c>
    </row>
    <row r="165">
      <c r="A165" s="33">
        <f>IFERROR(__xludf.DUMMYFUNCTION("""COMPUTED_VALUE"""),45832.38844354167)</f>
        <v>45832.38844</v>
      </c>
      <c r="B165" s="29" t="str">
        <f>IFERROR(__xludf.DUMMYFUNCTION("""COMPUTED_VALUE"""),"Intact (Never circumcised)")</f>
        <v>Intact (Never circumcised)</v>
      </c>
      <c r="C165" s="29" t="str">
        <f>IFERROR(__xludf.DUMMYFUNCTION("""COMPUTED_VALUE"""),"Orgasm Intensity")</f>
        <v>Orgasm Intensity</v>
      </c>
      <c r="D165" s="29" t="str">
        <f>IFERROR(__xludf.DUMMYFUNCTION("""COMPUTED_VALUE"""),"5 (High/Excellent)")</f>
        <v>5 (High/Excellent)</v>
      </c>
      <c r="E165" s="29">
        <f>IFERROR(__xludf.DUMMYFUNCTION("""COMPUTED_VALUE"""),5.0)</f>
        <v>5</v>
      </c>
    </row>
    <row r="166">
      <c r="A166" s="33">
        <f>IFERROR(__xludf.DUMMYFUNCTION("""COMPUTED_VALUE"""),45832.400918541665)</f>
        <v>45832.40092</v>
      </c>
      <c r="B166" s="29" t="str">
        <f>IFERROR(__xludf.DUMMYFUNCTION("""COMPUTED_VALUE"""),"Intact (Never circumcised)")</f>
        <v>Intact (Never circumcised)</v>
      </c>
      <c r="C166" s="29" t="str">
        <f>IFERROR(__xludf.DUMMYFUNCTION("""COMPUTED_VALUE"""),"Orgasm Intensity")</f>
        <v>Orgasm Intensity</v>
      </c>
      <c r="D166" s="29" t="str">
        <f>IFERROR(__xludf.DUMMYFUNCTION("""COMPUTED_VALUE"""),"5 (High/Excellent)")</f>
        <v>5 (High/Excellent)</v>
      </c>
      <c r="E166" s="29">
        <f>IFERROR(__xludf.DUMMYFUNCTION("""COMPUTED_VALUE"""),5.0)</f>
        <v>5</v>
      </c>
    </row>
    <row r="167">
      <c r="A167" s="33">
        <f>IFERROR(__xludf.DUMMYFUNCTION("""COMPUTED_VALUE"""),45832.53223854167)</f>
        <v>45832.53224</v>
      </c>
      <c r="B167" s="29" t="str">
        <f>IFERROR(__xludf.DUMMYFUNCTION("""COMPUTED_VALUE"""),"Actively restoring my foreskin / I consider myself restored")</f>
        <v>Actively restoring my foreskin / I consider myself restored</v>
      </c>
      <c r="C167" s="29" t="str">
        <f>IFERROR(__xludf.DUMMYFUNCTION("""COMPUTED_VALUE"""),"Orgasm Intensity")</f>
        <v>Orgasm Intensity</v>
      </c>
      <c r="D167" s="29" t="str">
        <f>IFERROR(__xludf.DUMMYFUNCTION("""COMPUTED_VALUE"""),"5 (High/Excellent)")</f>
        <v>5 (High/Excellent)</v>
      </c>
      <c r="E167" s="29">
        <f>IFERROR(__xludf.DUMMYFUNCTION("""COMPUTED_VALUE"""),5.0)</f>
        <v>5</v>
      </c>
    </row>
    <row r="168">
      <c r="A168" s="33">
        <f>IFERROR(__xludf.DUMMYFUNCTION("""COMPUTED_VALUE"""),45832.613582488426)</f>
        <v>45832.61358</v>
      </c>
      <c r="B168" s="29" t="str">
        <f>IFERROR(__xludf.DUMMYFUNCTION("""COMPUTED_VALUE"""),"Circumcised")</f>
        <v>Circumcised</v>
      </c>
      <c r="C168" s="29" t="str">
        <f>IFERROR(__xludf.DUMMYFUNCTION("""COMPUTED_VALUE"""),"Orgasm Intensity")</f>
        <v>Orgasm Intensity</v>
      </c>
      <c r="D168" s="29" t="str">
        <f>IFERROR(__xludf.DUMMYFUNCTION("""COMPUTED_VALUE"""),"3 (Medium/Average)")</f>
        <v>3 (Medium/Average)</v>
      </c>
      <c r="E168" s="29">
        <f>IFERROR(__xludf.DUMMYFUNCTION("""COMPUTED_VALUE"""),3.0)</f>
        <v>3</v>
      </c>
    </row>
    <row r="169">
      <c r="A169" s="33">
        <f>IFERROR(__xludf.DUMMYFUNCTION("""COMPUTED_VALUE"""),45833.016503148145)</f>
        <v>45833.0165</v>
      </c>
      <c r="B169" s="29" t="str">
        <f>IFERROR(__xludf.DUMMYFUNCTION("""COMPUTED_VALUE"""),"Intact (Never circumcised)")</f>
        <v>Intact (Never circumcised)</v>
      </c>
      <c r="C169" s="29" t="str">
        <f>IFERROR(__xludf.DUMMYFUNCTION("""COMPUTED_VALUE"""),"Orgasm Intensity")</f>
        <v>Orgasm Intensity</v>
      </c>
      <c r="D169" s="29" t="str">
        <f>IFERROR(__xludf.DUMMYFUNCTION("""COMPUTED_VALUE"""),"5 (High/Excellent)")</f>
        <v>5 (High/Excellent)</v>
      </c>
      <c r="E169" s="29">
        <f>IFERROR(__xludf.DUMMYFUNCTION("""COMPUTED_VALUE"""),5.0)</f>
        <v>5</v>
      </c>
    </row>
    <row r="170">
      <c r="A170" s="33">
        <f>IFERROR(__xludf.DUMMYFUNCTION("""COMPUTED_VALUE"""),45833.09466783565)</f>
        <v>45833.09467</v>
      </c>
      <c r="B170" s="29" t="str">
        <f>IFERROR(__xludf.DUMMYFUNCTION("""COMPUTED_VALUE"""),"Circumcised")</f>
        <v>Circumcised</v>
      </c>
      <c r="C170" s="29" t="str">
        <f>IFERROR(__xludf.DUMMYFUNCTION("""COMPUTED_VALUE"""),"Orgasm Intensity")</f>
        <v>Orgasm Intensity</v>
      </c>
      <c r="D170" s="29" t="str">
        <f>IFERROR(__xludf.DUMMYFUNCTION("""COMPUTED_VALUE"""),"3 (Medium/Average)")</f>
        <v>3 (Medium/Average)</v>
      </c>
      <c r="E170" s="29">
        <f>IFERROR(__xludf.DUMMYFUNCTION("""COMPUTED_VALUE"""),3.0)</f>
        <v>3</v>
      </c>
    </row>
    <row r="171">
      <c r="A171" s="33">
        <f>IFERROR(__xludf.DUMMYFUNCTION("""COMPUTED_VALUE"""),45833.27167458333)</f>
        <v>45833.27167</v>
      </c>
      <c r="B171" s="29" t="str">
        <f>IFERROR(__xludf.DUMMYFUNCTION("""COMPUTED_VALUE"""),"Intact (Never circumcised)")</f>
        <v>Intact (Never circumcised)</v>
      </c>
      <c r="C171" s="29" t="str">
        <f>IFERROR(__xludf.DUMMYFUNCTION("""COMPUTED_VALUE"""),"Orgasm Intensity")</f>
        <v>Orgasm Intensity</v>
      </c>
      <c r="D171" s="29" t="str">
        <f>IFERROR(__xludf.DUMMYFUNCTION("""COMPUTED_VALUE"""),"4")</f>
        <v>4</v>
      </c>
      <c r="E171" s="29">
        <f>IFERROR(__xludf.DUMMYFUNCTION("""COMPUTED_VALUE"""),4.0)</f>
        <v>4</v>
      </c>
    </row>
    <row r="172">
      <c r="A172" s="33">
        <f>IFERROR(__xludf.DUMMYFUNCTION("""COMPUTED_VALUE"""),45833.341107002314)</f>
        <v>45833.34111</v>
      </c>
      <c r="B172" s="29" t="str">
        <f>IFERROR(__xludf.DUMMYFUNCTION("""COMPUTED_VALUE"""),"Actively restoring my foreskin / I consider myself restored")</f>
        <v>Actively restoring my foreskin / I consider myself restored</v>
      </c>
      <c r="C172" s="29" t="str">
        <f>IFERROR(__xludf.DUMMYFUNCTION("""COMPUTED_VALUE"""),"Orgasm Intensity")</f>
        <v>Orgasm Intensity</v>
      </c>
      <c r="D172" s="29" t="str">
        <f>IFERROR(__xludf.DUMMYFUNCTION("""COMPUTED_VALUE"""),"2")</f>
        <v>2</v>
      </c>
      <c r="E172" s="29">
        <f>IFERROR(__xludf.DUMMYFUNCTION("""COMPUTED_VALUE"""),2.0)</f>
        <v>2</v>
      </c>
    </row>
    <row r="173">
      <c r="A173" s="33">
        <f>IFERROR(__xludf.DUMMYFUNCTION("""COMPUTED_VALUE"""),45833.43214159722)</f>
        <v>45833.43214</v>
      </c>
      <c r="B173" s="29" t="str">
        <f>IFERROR(__xludf.DUMMYFUNCTION("""COMPUTED_VALUE"""),"Circumcised")</f>
        <v>Circumcised</v>
      </c>
      <c r="C173" s="29" t="str">
        <f>IFERROR(__xludf.DUMMYFUNCTION("""COMPUTED_VALUE"""),"Orgasm Intensity")</f>
        <v>Orgasm Intensity</v>
      </c>
      <c r="D173" s="29" t="str">
        <f>IFERROR(__xludf.DUMMYFUNCTION("""COMPUTED_VALUE"""),"2")</f>
        <v>2</v>
      </c>
      <c r="E173" s="29">
        <f>IFERROR(__xludf.DUMMYFUNCTION("""COMPUTED_VALUE"""),2.0)</f>
        <v>2</v>
      </c>
    </row>
    <row r="174">
      <c r="A174" s="33">
        <f>IFERROR(__xludf.DUMMYFUNCTION("""COMPUTED_VALUE"""),45833.572022002314)</f>
        <v>45833.57202</v>
      </c>
      <c r="B174" s="29" t="str">
        <f>IFERROR(__xludf.DUMMYFUNCTION("""COMPUTED_VALUE"""),"Circumcised")</f>
        <v>Circumcised</v>
      </c>
      <c r="C174" s="29" t="str">
        <f>IFERROR(__xludf.DUMMYFUNCTION("""COMPUTED_VALUE"""),"Orgasm Intensity")</f>
        <v>Orgasm Intensity</v>
      </c>
      <c r="D174" s="29" t="str">
        <f>IFERROR(__xludf.DUMMYFUNCTION("""COMPUTED_VALUE"""),"5 (High/Excellent)")</f>
        <v>5 (High/Excellent)</v>
      </c>
      <c r="E174" s="29">
        <f>IFERROR(__xludf.DUMMYFUNCTION("""COMPUTED_VALUE"""),5.0)</f>
        <v>5</v>
      </c>
    </row>
    <row r="175">
      <c r="A175" s="33">
        <f>IFERROR(__xludf.DUMMYFUNCTION("""COMPUTED_VALUE"""),45833.82247668981)</f>
        <v>45833.82248</v>
      </c>
      <c r="B175" s="29" t="str">
        <f>IFERROR(__xludf.DUMMYFUNCTION("""COMPUTED_VALUE"""),"Intact (Never circumcised)")</f>
        <v>Intact (Never circumcised)</v>
      </c>
      <c r="C175" s="29" t="str">
        <f>IFERROR(__xludf.DUMMYFUNCTION("""COMPUTED_VALUE"""),"Orgasm Intensity")</f>
        <v>Orgasm Intensity</v>
      </c>
      <c r="D175" s="29" t="str">
        <f>IFERROR(__xludf.DUMMYFUNCTION("""COMPUTED_VALUE"""),"3 (Medium/Average)")</f>
        <v>3 (Medium/Average)</v>
      </c>
      <c r="E175" s="29">
        <f>IFERROR(__xludf.DUMMYFUNCTION("""COMPUTED_VALUE"""),3.0)</f>
        <v>3</v>
      </c>
    </row>
    <row r="176">
      <c r="A176" s="33">
        <f>IFERROR(__xludf.DUMMYFUNCTION("""COMPUTED_VALUE"""),45833.822846944444)</f>
        <v>45833.82285</v>
      </c>
      <c r="B176" s="29" t="str">
        <f>IFERROR(__xludf.DUMMYFUNCTION("""COMPUTED_VALUE"""),"Circumcised")</f>
        <v>Circumcised</v>
      </c>
      <c r="C176" s="29" t="str">
        <f>IFERROR(__xludf.DUMMYFUNCTION("""COMPUTED_VALUE"""),"Orgasm Intensity")</f>
        <v>Orgasm Intensity</v>
      </c>
      <c r="D176" s="29" t="str">
        <f>IFERROR(__xludf.DUMMYFUNCTION("""COMPUTED_VALUE"""),"5 (High/Excellent)")</f>
        <v>5 (High/Excellent)</v>
      </c>
      <c r="E176" s="29">
        <f>IFERROR(__xludf.DUMMYFUNCTION("""COMPUTED_VALUE"""),5.0)</f>
        <v>5</v>
      </c>
    </row>
    <row r="177">
      <c r="A177" s="33">
        <f>IFERROR(__xludf.DUMMYFUNCTION("""COMPUTED_VALUE"""),45833.886279039354)</f>
        <v>45833.88628</v>
      </c>
      <c r="B177" s="29" t="str">
        <f>IFERROR(__xludf.DUMMYFUNCTION("""COMPUTED_VALUE"""),"Circumcised")</f>
        <v>Circumcised</v>
      </c>
      <c r="C177" s="29" t="str">
        <f>IFERROR(__xludf.DUMMYFUNCTION("""COMPUTED_VALUE"""),"Orgasm Intensity")</f>
        <v>Orgasm Intensity</v>
      </c>
      <c r="D177" s="29" t="str">
        <f>IFERROR(__xludf.DUMMYFUNCTION("""COMPUTED_VALUE"""),"4")</f>
        <v>4</v>
      </c>
      <c r="E177" s="29">
        <f>IFERROR(__xludf.DUMMYFUNCTION("""COMPUTED_VALUE"""),4.0)</f>
        <v>4</v>
      </c>
    </row>
    <row r="178">
      <c r="A178" s="33">
        <f>IFERROR(__xludf.DUMMYFUNCTION("""COMPUTED_VALUE"""),45834.08521821759)</f>
        <v>45834.08522</v>
      </c>
      <c r="B178" s="29" t="str">
        <f>IFERROR(__xludf.DUMMYFUNCTION("""COMPUTED_VALUE"""),"Circumcised")</f>
        <v>Circumcised</v>
      </c>
      <c r="C178" s="29" t="str">
        <f>IFERROR(__xludf.DUMMYFUNCTION("""COMPUTED_VALUE"""),"Orgasm Intensity")</f>
        <v>Orgasm Intensity</v>
      </c>
      <c r="D178" s="29" t="str">
        <f>IFERROR(__xludf.DUMMYFUNCTION("""COMPUTED_VALUE"""),"3 (Medium/Average)")</f>
        <v>3 (Medium/Average)</v>
      </c>
      <c r="E178" s="29">
        <f>IFERROR(__xludf.DUMMYFUNCTION("""COMPUTED_VALUE"""),3.0)</f>
        <v>3</v>
      </c>
    </row>
    <row r="179">
      <c r="A179" s="33">
        <f>IFERROR(__xludf.DUMMYFUNCTION("""COMPUTED_VALUE"""),45834.09703479167)</f>
        <v>45834.09703</v>
      </c>
      <c r="B179" s="29" t="str">
        <f>IFERROR(__xludf.DUMMYFUNCTION("""COMPUTED_VALUE"""),"Circumcised")</f>
        <v>Circumcised</v>
      </c>
      <c r="C179" s="29" t="str">
        <f>IFERROR(__xludf.DUMMYFUNCTION("""COMPUTED_VALUE"""),"Orgasm Intensity")</f>
        <v>Orgasm Intensity</v>
      </c>
      <c r="D179" s="29" t="str">
        <f>IFERROR(__xludf.DUMMYFUNCTION("""COMPUTED_VALUE"""),"2")</f>
        <v>2</v>
      </c>
      <c r="E179" s="29">
        <f>IFERROR(__xludf.DUMMYFUNCTION("""COMPUTED_VALUE"""),2.0)</f>
        <v>2</v>
      </c>
    </row>
    <row r="180">
      <c r="A180" s="33">
        <f>IFERROR(__xludf.DUMMYFUNCTION("""COMPUTED_VALUE"""),45834.14087384259)</f>
        <v>45834.14087</v>
      </c>
      <c r="B180" s="29" t="str">
        <f>IFERROR(__xludf.DUMMYFUNCTION("""COMPUTED_VALUE"""),"Intact (Never circumcised)")</f>
        <v>Intact (Never circumcised)</v>
      </c>
      <c r="C180" s="29" t="str">
        <f>IFERROR(__xludf.DUMMYFUNCTION("""COMPUTED_VALUE"""),"Orgasm Intensity")</f>
        <v>Orgasm Intensity</v>
      </c>
      <c r="D180" s="29" t="str">
        <f>IFERROR(__xludf.DUMMYFUNCTION("""COMPUTED_VALUE"""),"5 (High/Excellent)")</f>
        <v>5 (High/Excellent)</v>
      </c>
      <c r="E180" s="29">
        <f>IFERROR(__xludf.DUMMYFUNCTION("""COMPUTED_VALUE"""),5.0)</f>
        <v>5</v>
      </c>
    </row>
    <row r="181">
      <c r="A181" s="33">
        <f>IFERROR(__xludf.DUMMYFUNCTION("""COMPUTED_VALUE"""),45834.45642371528)</f>
        <v>45834.45642</v>
      </c>
      <c r="B181" s="29" t="str">
        <f>IFERROR(__xludf.DUMMYFUNCTION("""COMPUTED_VALUE"""),"Circumcised")</f>
        <v>Circumcised</v>
      </c>
      <c r="C181" s="29" t="str">
        <f>IFERROR(__xludf.DUMMYFUNCTION("""COMPUTED_VALUE"""),"Orgasm Intensity")</f>
        <v>Orgasm Intensity</v>
      </c>
      <c r="D181" s="29" t="str">
        <f>IFERROR(__xludf.DUMMYFUNCTION("""COMPUTED_VALUE"""),"1 (Low/Poor)")</f>
        <v>1 (Low/Poor)</v>
      </c>
      <c r="E181" s="29">
        <f>IFERROR(__xludf.DUMMYFUNCTION("""COMPUTED_VALUE"""),1.0)</f>
        <v>1</v>
      </c>
    </row>
    <row r="182">
      <c r="A182" s="33">
        <f>IFERROR(__xludf.DUMMYFUNCTION("""COMPUTED_VALUE"""),45834.524166041665)</f>
        <v>45834.52417</v>
      </c>
      <c r="B182" s="29" t="str">
        <f>IFERROR(__xludf.DUMMYFUNCTION("""COMPUTED_VALUE"""),"Intact (Never circumcised)")</f>
        <v>Intact (Never circumcised)</v>
      </c>
      <c r="C182" s="29" t="str">
        <f>IFERROR(__xludf.DUMMYFUNCTION("""COMPUTED_VALUE"""),"Orgasm Intensity")</f>
        <v>Orgasm Intensity</v>
      </c>
      <c r="D182" s="29" t="str">
        <f>IFERROR(__xludf.DUMMYFUNCTION("""COMPUTED_VALUE"""),"5 (High/Excellent)")</f>
        <v>5 (High/Excellent)</v>
      </c>
      <c r="E182" s="29">
        <f>IFERROR(__xludf.DUMMYFUNCTION("""COMPUTED_VALUE"""),5.0)</f>
        <v>5</v>
      </c>
    </row>
    <row r="183">
      <c r="A183" s="33">
        <f>IFERROR(__xludf.DUMMYFUNCTION("""COMPUTED_VALUE"""),45834.83290418982)</f>
        <v>45834.8329</v>
      </c>
      <c r="B183" s="29" t="str">
        <f>IFERROR(__xludf.DUMMYFUNCTION("""COMPUTED_VALUE"""),"Circumcised")</f>
        <v>Circumcised</v>
      </c>
      <c r="C183" s="29" t="str">
        <f>IFERROR(__xludf.DUMMYFUNCTION("""COMPUTED_VALUE"""),"Orgasm Intensity")</f>
        <v>Orgasm Intensity</v>
      </c>
      <c r="D183" s="29" t="str">
        <f>IFERROR(__xludf.DUMMYFUNCTION("""COMPUTED_VALUE"""),"1 (Low/Poor)")</f>
        <v>1 (Low/Poor)</v>
      </c>
      <c r="E183" s="29">
        <f>IFERROR(__xludf.DUMMYFUNCTION("""COMPUTED_VALUE"""),1.0)</f>
        <v>1</v>
      </c>
    </row>
    <row r="184">
      <c r="A184" s="33">
        <f>IFERROR(__xludf.DUMMYFUNCTION("""COMPUTED_VALUE"""),45835.44492405092)</f>
        <v>45835.44492</v>
      </c>
      <c r="B184" s="29" t="str">
        <f>IFERROR(__xludf.DUMMYFUNCTION("""COMPUTED_VALUE"""),"Actively restoring my foreskin / I consider myself restored")</f>
        <v>Actively restoring my foreskin / I consider myself restored</v>
      </c>
      <c r="C184" s="29" t="str">
        <f>IFERROR(__xludf.DUMMYFUNCTION("""COMPUTED_VALUE"""),"Orgasm Intensity")</f>
        <v>Orgasm Intensity</v>
      </c>
      <c r="D184" s="29" t="str">
        <f>IFERROR(__xludf.DUMMYFUNCTION("""COMPUTED_VALUE"""),"3 (Medium/Average)")</f>
        <v>3 (Medium/Average)</v>
      </c>
      <c r="E184" s="29">
        <f>IFERROR(__xludf.DUMMYFUNCTION("""COMPUTED_VALUE"""),3.0)</f>
        <v>3</v>
      </c>
    </row>
    <row r="185">
      <c r="A185" s="33">
        <f>IFERROR(__xludf.DUMMYFUNCTION("""COMPUTED_VALUE"""),45835.706102581025)</f>
        <v>45835.7061</v>
      </c>
      <c r="B185" s="29" t="str">
        <f>IFERROR(__xludf.DUMMYFUNCTION("""COMPUTED_VALUE"""),"Circumcised")</f>
        <v>Circumcised</v>
      </c>
      <c r="C185" s="29" t="str">
        <f>IFERROR(__xludf.DUMMYFUNCTION("""COMPUTED_VALUE"""),"Orgasm Intensity")</f>
        <v>Orgasm Intensity</v>
      </c>
      <c r="D185" s="29" t="str">
        <f>IFERROR(__xludf.DUMMYFUNCTION("""COMPUTED_VALUE"""),"3 (Medium/Average)")</f>
        <v>3 (Medium/Average)</v>
      </c>
      <c r="E185" s="29">
        <f>IFERROR(__xludf.DUMMYFUNCTION("""COMPUTED_VALUE"""),3.0)</f>
        <v>3</v>
      </c>
    </row>
    <row r="186">
      <c r="A186" s="33">
        <f>IFERROR(__xludf.DUMMYFUNCTION("""COMPUTED_VALUE"""),45835.889590937506)</f>
        <v>45835.88959</v>
      </c>
      <c r="B186" s="29" t="str">
        <f>IFERROR(__xludf.DUMMYFUNCTION("""COMPUTED_VALUE"""),"Intact (Never circumcised)")</f>
        <v>Intact (Never circumcised)</v>
      </c>
      <c r="C186" s="29" t="str">
        <f>IFERROR(__xludf.DUMMYFUNCTION("""COMPUTED_VALUE"""),"Orgasm Intensity")</f>
        <v>Orgasm Intensity</v>
      </c>
      <c r="D186" s="29" t="str">
        <f>IFERROR(__xludf.DUMMYFUNCTION("""COMPUTED_VALUE"""),"5 (High/Excellent)")</f>
        <v>5 (High/Excellent)</v>
      </c>
      <c r="E186" s="29">
        <f>IFERROR(__xludf.DUMMYFUNCTION("""COMPUTED_VALUE"""),5.0)</f>
        <v>5</v>
      </c>
    </row>
    <row r="187">
      <c r="A187" s="33">
        <f>IFERROR(__xludf.DUMMYFUNCTION("""COMPUTED_VALUE"""),45836.08061851852)</f>
        <v>45836.08062</v>
      </c>
      <c r="B187" s="29" t="str">
        <f>IFERROR(__xludf.DUMMYFUNCTION("""COMPUTED_VALUE"""),"Actively restoring my foreskin / I consider myself restored")</f>
        <v>Actively restoring my foreskin / I consider myself restored</v>
      </c>
      <c r="C187" s="29" t="str">
        <f>IFERROR(__xludf.DUMMYFUNCTION("""COMPUTED_VALUE"""),"Orgasm Intensity")</f>
        <v>Orgasm Intensity</v>
      </c>
      <c r="D187" s="29" t="str">
        <f>IFERROR(__xludf.DUMMYFUNCTION("""COMPUTED_VALUE"""),"3 (Medium/Average)")</f>
        <v>3 (Medium/Average)</v>
      </c>
      <c r="E187" s="29">
        <f>IFERROR(__xludf.DUMMYFUNCTION("""COMPUTED_VALUE"""),3.0)</f>
        <v>3</v>
      </c>
    </row>
    <row r="188">
      <c r="A188" s="33">
        <f>IFERROR(__xludf.DUMMYFUNCTION("""COMPUTED_VALUE"""),45836.205108657414)</f>
        <v>45836.20511</v>
      </c>
      <c r="B188" s="29" t="str">
        <f>IFERROR(__xludf.DUMMYFUNCTION("""COMPUTED_VALUE"""),"Circumcised")</f>
        <v>Circumcised</v>
      </c>
      <c r="C188" s="29" t="str">
        <f>IFERROR(__xludf.DUMMYFUNCTION("""COMPUTED_VALUE"""),"Orgasm Intensity")</f>
        <v>Orgasm Intensity</v>
      </c>
      <c r="D188" s="29" t="str">
        <f>IFERROR(__xludf.DUMMYFUNCTION("""COMPUTED_VALUE"""),"1 (Low/Poor)")</f>
        <v>1 (Low/Poor)</v>
      </c>
      <c r="E188" s="29">
        <f>IFERROR(__xludf.DUMMYFUNCTION("""COMPUTED_VALUE"""),1.0)</f>
        <v>1</v>
      </c>
    </row>
    <row r="189">
      <c r="A189" s="33">
        <f>IFERROR(__xludf.DUMMYFUNCTION("""COMPUTED_VALUE"""),45836.34391229167)</f>
        <v>45836.34391</v>
      </c>
      <c r="B189" s="29" t="str">
        <f>IFERROR(__xludf.DUMMYFUNCTION("""COMPUTED_VALUE"""),"Intact (Never circumcised)")</f>
        <v>Intact (Never circumcised)</v>
      </c>
      <c r="C189" s="29" t="str">
        <f>IFERROR(__xludf.DUMMYFUNCTION("""COMPUTED_VALUE"""),"Orgasm Intensity")</f>
        <v>Orgasm Intensity</v>
      </c>
      <c r="D189" s="29" t="str">
        <f>IFERROR(__xludf.DUMMYFUNCTION("""COMPUTED_VALUE"""),"5 (High/Excellent)")</f>
        <v>5 (High/Excellent)</v>
      </c>
      <c r="E189" s="29">
        <f>IFERROR(__xludf.DUMMYFUNCTION("""COMPUTED_VALUE"""),5.0)</f>
        <v>5</v>
      </c>
    </row>
    <row r="190">
      <c r="A190" s="33">
        <f>IFERROR(__xludf.DUMMYFUNCTION("""COMPUTED_VALUE"""),45836.46845483797)</f>
        <v>45836.46845</v>
      </c>
      <c r="B190" s="29" t="str">
        <f>IFERROR(__xludf.DUMMYFUNCTION("""COMPUTED_VALUE"""),"Actively restoring my foreskin / I consider myself restored")</f>
        <v>Actively restoring my foreskin / I consider myself restored</v>
      </c>
      <c r="C190" s="29" t="str">
        <f>IFERROR(__xludf.DUMMYFUNCTION("""COMPUTED_VALUE"""),"Orgasm Intensity")</f>
        <v>Orgasm Intensity</v>
      </c>
      <c r="D190" s="29" t="str">
        <f>IFERROR(__xludf.DUMMYFUNCTION("""COMPUTED_VALUE"""),"2")</f>
        <v>2</v>
      </c>
      <c r="E190" s="29">
        <f>IFERROR(__xludf.DUMMYFUNCTION("""COMPUTED_VALUE"""),2.0)</f>
        <v>2</v>
      </c>
    </row>
    <row r="191">
      <c r="A191" s="33">
        <f>IFERROR(__xludf.DUMMYFUNCTION("""COMPUTED_VALUE"""),45836.50647361111)</f>
        <v>45836.50647</v>
      </c>
      <c r="B191" s="29" t="str">
        <f>IFERROR(__xludf.DUMMYFUNCTION("""COMPUTED_VALUE"""),"Intact (Never circumcised)")</f>
        <v>Intact (Never circumcised)</v>
      </c>
      <c r="C191" s="29" t="str">
        <f>IFERROR(__xludf.DUMMYFUNCTION("""COMPUTED_VALUE"""),"Orgasm Intensity")</f>
        <v>Orgasm Intensity</v>
      </c>
      <c r="D191" s="29" t="str">
        <f>IFERROR(__xludf.DUMMYFUNCTION("""COMPUTED_VALUE"""),"3 (Medium/Average)")</f>
        <v>3 (Medium/Average)</v>
      </c>
      <c r="E191" s="29">
        <f>IFERROR(__xludf.DUMMYFUNCTION("""COMPUTED_VALUE"""),3.0)</f>
        <v>3</v>
      </c>
    </row>
    <row r="192">
      <c r="A192" s="33">
        <f>IFERROR(__xludf.DUMMYFUNCTION("""COMPUTED_VALUE"""),45836.70248601852)</f>
        <v>45836.70249</v>
      </c>
      <c r="B192" s="29" t="str">
        <f>IFERROR(__xludf.DUMMYFUNCTION("""COMPUTED_VALUE"""),"Circumcised")</f>
        <v>Circumcised</v>
      </c>
      <c r="C192" s="29" t="str">
        <f>IFERROR(__xludf.DUMMYFUNCTION("""COMPUTED_VALUE"""),"Orgasm Intensity")</f>
        <v>Orgasm Intensity</v>
      </c>
      <c r="D192" s="29" t="str">
        <f>IFERROR(__xludf.DUMMYFUNCTION("""COMPUTED_VALUE"""),"4")</f>
        <v>4</v>
      </c>
      <c r="E192" s="29">
        <f>IFERROR(__xludf.DUMMYFUNCTION("""COMPUTED_VALUE"""),4.0)</f>
        <v>4</v>
      </c>
    </row>
    <row r="193">
      <c r="A193" s="33">
        <f>IFERROR(__xludf.DUMMYFUNCTION("""COMPUTED_VALUE"""),45836.71771464121)</f>
        <v>45836.71771</v>
      </c>
      <c r="B193" s="29" t="str">
        <f>IFERROR(__xludf.DUMMYFUNCTION("""COMPUTED_VALUE"""),"Circumcised")</f>
        <v>Circumcised</v>
      </c>
      <c r="C193" s="29" t="str">
        <f>IFERROR(__xludf.DUMMYFUNCTION("""COMPUTED_VALUE"""),"Orgasm Intensity")</f>
        <v>Orgasm Intensity</v>
      </c>
      <c r="D193" s="29" t="str">
        <f>IFERROR(__xludf.DUMMYFUNCTION("""COMPUTED_VALUE"""),"2")</f>
        <v>2</v>
      </c>
      <c r="E193" s="29">
        <f>IFERROR(__xludf.DUMMYFUNCTION("""COMPUTED_VALUE"""),2.0)</f>
        <v>2</v>
      </c>
    </row>
    <row r="194">
      <c r="A194" s="33">
        <f>IFERROR(__xludf.DUMMYFUNCTION("""COMPUTED_VALUE"""),45836.826351354175)</f>
        <v>45836.82635</v>
      </c>
      <c r="B194" s="29" t="str">
        <f>IFERROR(__xludf.DUMMYFUNCTION("""COMPUTED_VALUE"""),"Circumcised")</f>
        <v>Circumcised</v>
      </c>
      <c r="C194" s="29" t="str">
        <f>IFERROR(__xludf.DUMMYFUNCTION("""COMPUTED_VALUE"""),"Orgasm Intensity")</f>
        <v>Orgasm Intensity</v>
      </c>
      <c r="D194" s="29" t="str">
        <f>IFERROR(__xludf.DUMMYFUNCTION("""COMPUTED_VALUE"""),"1 (Low/Poor)")</f>
        <v>1 (Low/Poor)</v>
      </c>
      <c r="E194" s="29">
        <f>IFERROR(__xludf.DUMMYFUNCTION("""COMPUTED_VALUE"""),1.0)</f>
        <v>1</v>
      </c>
    </row>
    <row r="195">
      <c r="A195" s="33">
        <f>IFERROR(__xludf.DUMMYFUNCTION("""COMPUTED_VALUE"""),45836.92451064815)</f>
        <v>45836.92451</v>
      </c>
      <c r="B195" s="29" t="str">
        <f>IFERROR(__xludf.DUMMYFUNCTION("""COMPUTED_VALUE"""),"Intact (Never circumcised)")</f>
        <v>Intact (Never circumcised)</v>
      </c>
      <c r="C195" s="29" t="str">
        <f>IFERROR(__xludf.DUMMYFUNCTION("""COMPUTED_VALUE"""),"Orgasm Intensity")</f>
        <v>Orgasm Intensity</v>
      </c>
      <c r="D195" s="29" t="str">
        <f>IFERROR(__xludf.DUMMYFUNCTION("""COMPUTED_VALUE"""),"4")</f>
        <v>4</v>
      </c>
      <c r="E195" s="29">
        <f>IFERROR(__xludf.DUMMYFUNCTION("""COMPUTED_VALUE"""),4.0)</f>
        <v>4</v>
      </c>
    </row>
    <row r="196">
      <c r="A196" s="33">
        <f>IFERROR(__xludf.DUMMYFUNCTION("""COMPUTED_VALUE"""),45837.0323637037)</f>
        <v>45837.03236</v>
      </c>
      <c r="B196" s="29" t="str">
        <f>IFERROR(__xludf.DUMMYFUNCTION("""COMPUTED_VALUE"""),"Circumcised")</f>
        <v>Circumcised</v>
      </c>
      <c r="C196" s="29" t="str">
        <f>IFERROR(__xludf.DUMMYFUNCTION("""COMPUTED_VALUE"""),"Orgasm Intensity")</f>
        <v>Orgasm Intensity</v>
      </c>
      <c r="D196" s="29" t="str">
        <f>IFERROR(__xludf.DUMMYFUNCTION("""COMPUTED_VALUE"""),"3 (Medium/Average)")</f>
        <v>3 (Medium/Average)</v>
      </c>
      <c r="E196" s="29">
        <f>IFERROR(__xludf.DUMMYFUNCTION("""COMPUTED_VALUE"""),3.0)</f>
        <v>3</v>
      </c>
    </row>
    <row r="197">
      <c r="A197" s="33">
        <f>IFERROR(__xludf.DUMMYFUNCTION("""COMPUTED_VALUE"""),45837.456585266205)</f>
        <v>45837.45659</v>
      </c>
      <c r="B197" s="29" t="str">
        <f>IFERROR(__xludf.DUMMYFUNCTION("""COMPUTED_VALUE"""),"Circumcised")</f>
        <v>Circumcised</v>
      </c>
      <c r="C197" s="29" t="str">
        <f>IFERROR(__xludf.DUMMYFUNCTION("""COMPUTED_VALUE"""),"Orgasm Intensity")</f>
        <v>Orgasm Intensity</v>
      </c>
      <c r="D197" s="29" t="str">
        <f>IFERROR(__xludf.DUMMYFUNCTION("""COMPUTED_VALUE"""),"1 (Low/Poor)")</f>
        <v>1 (Low/Poor)</v>
      </c>
      <c r="E197" s="29">
        <f>IFERROR(__xludf.DUMMYFUNCTION("""COMPUTED_VALUE"""),1.0)</f>
        <v>1</v>
      </c>
    </row>
    <row r="198">
      <c r="A198" s="33">
        <f>IFERROR(__xludf.DUMMYFUNCTION("""COMPUTED_VALUE"""),45837.54343665509)</f>
        <v>45837.54344</v>
      </c>
      <c r="B198" s="29" t="str">
        <f>IFERROR(__xludf.DUMMYFUNCTION("""COMPUTED_VALUE"""),"Circumcised")</f>
        <v>Circumcised</v>
      </c>
      <c r="C198" s="29" t="str">
        <f>IFERROR(__xludf.DUMMYFUNCTION("""COMPUTED_VALUE"""),"Orgasm Intensity")</f>
        <v>Orgasm Intensity</v>
      </c>
      <c r="D198" s="29" t="str">
        <f>IFERROR(__xludf.DUMMYFUNCTION("""COMPUTED_VALUE"""),"1 (Low/Poor)")</f>
        <v>1 (Low/Poor)</v>
      </c>
      <c r="E198" s="29">
        <f>IFERROR(__xludf.DUMMYFUNCTION("""COMPUTED_VALUE"""),1.0)</f>
        <v>1</v>
      </c>
    </row>
    <row r="199">
      <c r="A199" s="33">
        <f>IFERROR(__xludf.DUMMYFUNCTION("""COMPUTED_VALUE"""),45837.65933071759)</f>
        <v>45837.65933</v>
      </c>
      <c r="B199" s="29" t="str">
        <f>IFERROR(__xludf.DUMMYFUNCTION("""COMPUTED_VALUE"""),"Actively restoring my foreskin / I consider myself restored")</f>
        <v>Actively restoring my foreskin / I consider myself restored</v>
      </c>
      <c r="C199" s="29" t="str">
        <f>IFERROR(__xludf.DUMMYFUNCTION("""COMPUTED_VALUE"""),"Orgasm Intensity")</f>
        <v>Orgasm Intensity</v>
      </c>
      <c r="D199" s="29" t="str">
        <f>IFERROR(__xludf.DUMMYFUNCTION("""COMPUTED_VALUE"""),"5 (High/Excellent)")</f>
        <v>5 (High/Excellent)</v>
      </c>
      <c r="E199" s="29">
        <f>IFERROR(__xludf.DUMMYFUNCTION("""COMPUTED_VALUE"""),5.0)</f>
        <v>5</v>
      </c>
    </row>
    <row r="200">
      <c r="A200" s="33">
        <f>IFERROR(__xludf.DUMMYFUNCTION("""COMPUTED_VALUE"""),45838.117896192125)</f>
        <v>45838.1179</v>
      </c>
      <c r="B200" s="29" t="str">
        <f>IFERROR(__xludf.DUMMYFUNCTION("""COMPUTED_VALUE"""),"Circumcised")</f>
        <v>Circumcised</v>
      </c>
      <c r="C200" s="29" t="str">
        <f>IFERROR(__xludf.DUMMYFUNCTION("""COMPUTED_VALUE"""),"Orgasm Intensity")</f>
        <v>Orgasm Intensity</v>
      </c>
      <c r="D200" s="29" t="str">
        <f>IFERROR(__xludf.DUMMYFUNCTION("""COMPUTED_VALUE"""),"2")</f>
        <v>2</v>
      </c>
      <c r="E200" s="29">
        <f>IFERROR(__xludf.DUMMYFUNCTION("""COMPUTED_VALUE"""),2.0)</f>
        <v>2</v>
      </c>
    </row>
    <row r="201">
      <c r="A201" s="33">
        <f>IFERROR(__xludf.DUMMYFUNCTION("""COMPUTED_VALUE"""),45838.703877291664)</f>
        <v>45838.70388</v>
      </c>
      <c r="B201" s="29" t="str">
        <f>IFERROR(__xludf.DUMMYFUNCTION("""COMPUTED_VALUE"""),"Actively restoring my foreskin / I consider myself restored")</f>
        <v>Actively restoring my foreskin / I consider myself restored</v>
      </c>
      <c r="C201" s="29" t="str">
        <f>IFERROR(__xludf.DUMMYFUNCTION("""COMPUTED_VALUE"""),"Orgasm Intensity")</f>
        <v>Orgasm Intensity</v>
      </c>
      <c r="D201" s="29" t="str">
        <f>IFERROR(__xludf.DUMMYFUNCTION("""COMPUTED_VALUE"""),"4")</f>
        <v>4</v>
      </c>
      <c r="E201" s="29">
        <f>IFERROR(__xludf.DUMMYFUNCTION("""COMPUTED_VALUE"""),4.0)</f>
        <v>4</v>
      </c>
    </row>
    <row r="202">
      <c r="A202" s="33">
        <f>IFERROR(__xludf.DUMMYFUNCTION("""COMPUTED_VALUE"""),45839.585315289354)</f>
        <v>45839.58532</v>
      </c>
      <c r="B202" s="29" t="str">
        <f>IFERROR(__xludf.DUMMYFUNCTION("""COMPUTED_VALUE"""),"Circumcised")</f>
        <v>Circumcised</v>
      </c>
      <c r="C202" s="29" t="str">
        <f>IFERROR(__xludf.DUMMYFUNCTION("""COMPUTED_VALUE"""),"Orgasm Intensity")</f>
        <v>Orgasm Intensity</v>
      </c>
      <c r="D202" s="29" t="str">
        <f>IFERROR(__xludf.DUMMYFUNCTION("""COMPUTED_VALUE"""),"2")</f>
        <v>2</v>
      </c>
      <c r="E202" s="29">
        <f>IFERROR(__xludf.DUMMYFUNCTION("""COMPUTED_VALUE"""),2.0)</f>
        <v>2</v>
      </c>
    </row>
    <row r="203">
      <c r="A203" s="33">
        <f>IFERROR(__xludf.DUMMYFUNCTION("""COMPUTED_VALUE"""),45839.9002066551)</f>
        <v>45839.90021</v>
      </c>
      <c r="B203" s="29" t="str">
        <f>IFERROR(__xludf.DUMMYFUNCTION("""COMPUTED_VALUE"""),"Circumcised")</f>
        <v>Circumcised</v>
      </c>
      <c r="C203" s="29" t="str">
        <f>IFERROR(__xludf.DUMMYFUNCTION("""COMPUTED_VALUE"""),"Orgasm Intensity")</f>
        <v>Orgasm Intensity</v>
      </c>
      <c r="D203" s="29" t="str">
        <f>IFERROR(__xludf.DUMMYFUNCTION("""COMPUTED_VALUE"""),"4")</f>
        <v>4</v>
      </c>
      <c r="E203" s="29">
        <f>IFERROR(__xludf.DUMMYFUNCTION("""COMPUTED_VALUE"""),4.0)</f>
        <v>4</v>
      </c>
    </row>
    <row r="204">
      <c r="A204" s="33">
        <f>IFERROR(__xludf.DUMMYFUNCTION("""COMPUTED_VALUE"""),45840.28386831019)</f>
        <v>45840.28387</v>
      </c>
      <c r="B204" s="29" t="str">
        <f>IFERROR(__xludf.DUMMYFUNCTION("""COMPUTED_VALUE"""),"Actively restoring my foreskin / I consider myself restored")</f>
        <v>Actively restoring my foreskin / I consider myself restored</v>
      </c>
      <c r="C204" s="29" t="str">
        <f>IFERROR(__xludf.DUMMYFUNCTION("""COMPUTED_VALUE"""),"Orgasm Intensity")</f>
        <v>Orgasm Intensity</v>
      </c>
      <c r="D204" s="29" t="str">
        <f>IFERROR(__xludf.DUMMYFUNCTION("""COMPUTED_VALUE"""),"5 (High/Excellent)")</f>
        <v>5 (High/Excellent)</v>
      </c>
      <c r="E204" s="29">
        <f>IFERROR(__xludf.DUMMYFUNCTION("""COMPUTED_VALUE"""),5.0)</f>
        <v>5</v>
      </c>
    </row>
    <row r="205">
      <c r="A205" s="33">
        <f>IFERROR(__xludf.DUMMYFUNCTION("""COMPUTED_VALUE"""),45841.941682199074)</f>
        <v>45841.94168</v>
      </c>
      <c r="B205" s="29" t="str">
        <f>IFERROR(__xludf.DUMMYFUNCTION("""COMPUTED_VALUE"""),"Intact (Never circumcised)")</f>
        <v>Intact (Never circumcised)</v>
      </c>
      <c r="C205" s="29" t="str">
        <f>IFERROR(__xludf.DUMMYFUNCTION("""COMPUTED_VALUE"""),"Orgasm Intensity")</f>
        <v>Orgasm Intensity</v>
      </c>
      <c r="D205" s="29" t="str">
        <f>IFERROR(__xludf.DUMMYFUNCTION("""COMPUTED_VALUE"""),"3 (Medium/Average)")</f>
        <v>3 (Medium/Average)</v>
      </c>
      <c r="E205" s="29">
        <f>IFERROR(__xludf.DUMMYFUNCTION("""COMPUTED_VALUE"""),3.0)</f>
        <v>3</v>
      </c>
    </row>
    <row r="206">
      <c r="A206" s="33">
        <f>IFERROR(__xludf.DUMMYFUNCTION("""COMPUTED_VALUE"""),45842.01290361111)</f>
        <v>45842.0129</v>
      </c>
      <c r="B206" s="29" t="str">
        <f>IFERROR(__xludf.DUMMYFUNCTION("""COMPUTED_VALUE"""),"Actively restoring my foreskin / I consider myself restored")</f>
        <v>Actively restoring my foreskin / I consider myself restored</v>
      </c>
      <c r="C206" s="29" t="str">
        <f>IFERROR(__xludf.DUMMYFUNCTION("""COMPUTED_VALUE"""),"Orgasm Intensity")</f>
        <v>Orgasm Intensity</v>
      </c>
      <c r="D206" s="29" t="str">
        <f>IFERROR(__xludf.DUMMYFUNCTION("""COMPUTED_VALUE"""),"2")</f>
        <v>2</v>
      </c>
      <c r="E206" s="29">
        <f>IFERROR(__xludf.DUMMYFUNCTION("""COMPUTED_VALUE"""),2.0)</f>
        <v>2</v>
      </c>
    </row>
    <row r="207">
      <c r="A207" s="33">
        <f>IFERROR(__xludf.DUMMYFUNCTION("""COMPUTED_VALUE"""),45842.59654684028)</f>
        <v>45842.59655</v>
      </c>
      <c r="B207" s="29" t="str">
        <f>IFERROR(__xludf.DUMMYFUNCTION("""COMPUTED_VALUE"""),"Intact (Never circumcised)")</f>
        <v>Intact (Never circumcised)</v>
      </c>
      <c r="C207" s="29" t="str">
        <f>IFERROR(__xludf.DUMMYFUNCTION("""COMPUTED_VALUE"""),"Orgasm Intensity")</f>
        <v>Orgasm Intensity</v>
      </c>
      <c r="D207" s="29" t="str">
        <f>IFERROR(__xludf.DUMMYFUNCTION("""COMPUTED_VALUE"""),"5 (High/Excellent)")</f>
        <v>5 (High/Excellent)</v>
      </c>
      <c r="E207" s="29">
        <f>IFERROR(__xludf.DUMMYFUNCTION("""COMPUTED_VALUE"""),5.0)</f>
        <v>5</v>
      </c>
    </row>
    <row r="208">
      <c r="A208" s="33">
        <f>IFERROR(__xludf.DUMMYFUNCTION("""COMPUTED_VALUE"""),45842.74864692129)</f>
        <v>45842.74865</v>
      </c>
      <c r="B208" s="29" t="str">
        <f>IFERROR(__xludf.DUMMYFUNCTION("""COMPUTED_VALUE"""),"Intact (Never circumcised)")</f>
        <v>Intact (Never circumcised)</v>
      </c>
      <c r="C208" s="29" t="str">
        <f>IFERROR(__xludf.DUMMYFUNCTION("""COMPUTED_VALUE"""),"Orgasm Intensity")</f>
        <v>Orgasm Intensity</v>
      </c>
      <c r="D208" s="29" t="str">
        <f>IFERROR(__xludf.DUMMYFUNCTION("""COMPUTED_VALUE"""),"4")</f>
        <v>4</v>
      </c>
      <c r="E208" s="29">
        <f>IFERROR(__xludf.DUMMYFUNCTION("""COMPUTED_VALUE"""),4.0)</f>
        <v>4</v>
      </c>
    </row>
    <row r="209">
      <c r="A209" s="33">
        <f>IFERROR(__xludf.DUMMYFUNCTION("""COMPUTED_VALUE"""),45842.78131636574)</f>
        <v>45842.78132</v>
      </c>
      <c r="B209" s="29" t="str">
        <f>IFERROR(__xludf.DUMMYFUNCTION("""COMPUTED_VALUE"""),"Intact (Never circumcised)")</f>
        <v>Intact (Never circumcised)</v>
      </c>
      <c r="C209" s="29" t="str">
        <f>IFERROR(__xludf.DUMMYFUNCTION("""COMPUTED_VALUE"""),"Orgasm Intensity")</f>
        <v>Orgasm Intensity</v>
      </c>
      <c r="D209" s="29" t="str">
        <f>IFERROR(__xludf.DUMMYFUNCTION("""COMPUTED_VALUE"""),"5 (High/Excellent)")</f>
        <v>5 (High/Excellent)</v>
      </c>
      <c r="E209" s="29">
        <f>IFERROR(__xludf.DUMMYFUNCTION("""COMPUTED_VALUE"""),5.0)</f>
        <v>5</v>
      </c>
    </row>
    <row r="210">
      <c r="A210" s="33">
        <f>IFERROR(__xludf.DUMMYFUNCTION("""COMPUTED_VALUE"""),45843.44344015046)</f>
        <v>45843.44344</v>
      </c>
      <c r="B210" s="29" t="str">
        <f>IFERROR(__xludf.DUMMYFUNCTION("""COMPUTED_VALUE"""),"Intact (Never circumcised)")</f>
        <v>Intact (Never circumcised)</v>
      </c>
      <c r="C210" s="29" t="str">
        <f>IFERROR(__xludf.DUMMYFUNCTION("""COMPUTED_VALUE"""),"Orgasm Intensity")</f>
        <v>Orgasm Intensity</v>
      </c>
      <c r="D210" s="29" t="str">
        <f>IFERROR(__xludf.DUMMYFUNCTION("""COMPUTED_VALUE"""),"4")</f>
        <v>4</v>
      </c>
      <c r="E210" s="29">
        <f>IFERROR(__xludf.DUMMYFUNCTION("""COMPUTED_VALUE"""),4.0)</f>
        <v>4</v>
      </c>
    </row>
    <row r="211">
      <c r="A211" s="33">
        <f>IFERROR(__xludf.DUMMYFUNCTION("""COMPUTED_VALUE"""),45844.052393356484)</f>
        <v>45844.05239</v>
      </c>
      <c r="B211" s="29" t="str">
        <f>IFERROR(__xludf.DUMMYFUNCTION("""COMPUTED_VALUE"""),"Intact (Never circumcised)")</f>
        <v>Intact (Never circumcised)</v>
      </c>
      <c r="C211" s="29" t="str">
        <f>IFERROR(__xludf.DUMMYFUNCTION("""COMPUTED_VALUE"""),"Orgasm Intensity")</f>
        <v>Orgasm Intensity</v>
      </c>
      <c r="D211" s="29" t="str">
        <f>IFERROR(__xludf.DUMMYFUNCTION("""COMPUTED_VALUE"""),"5 (High/Excellent)")</f>
        <v>5 (High/Excellent)</v>
      </c>
      <c r="E211" s="29">
        <f>IFERROR(__xludf.DUMMYFUNCTION("""COMPUTED_VALUE"""),5.0)</f>
        <v>5</v>
      </c>
    </row>
    <row r="212">
      <c r="A212" s="33">
        <f>IFERROR(__xludf.DUMMYFUNCTION("""COMPUTED_VALUE"""),45844.41842277777)</f>
        <v>45844.41842</v>
      </c>
      <c r="B212" s="29" t="str">
        <f>IFERROR(__xludf.DUMMYFUNCTION("""COMPUTED_VALUE"""),"Circumcised")</f>
        <v>Circumcised</v>
      </c>
      <c r="C212" s="29" t="str">
        <f>IFERROR(__xludf.DUMMYFUNCTION("""COMPUTED_VALUE"""),"Orgasm Intensity")</f>
        <v>Orgasm Intensity</v>
      </c>
      <c r="D212" s="29" t="str">
        <f>IFERROR(__xludf.DUMMYFUNCTION("""COMPUTED_VALUE"""),"5 (High/Excellent)")</f>
        <v>5 (High/Excellent)</v>
      </c>
      <c r="E212" s="29">
        <f>IFERROR(__xludf.DUMMYFUNCTION("""COMPUTED_VALUE"""),5.0)</f>
        <v>5</v>
      </c>
    </row>
    <row r="213">
      <c r="A213" s="33">
        <f>IFERROR(__xludf.DUMMYFUNCTION("""COMPUTED_VALUE"""),45844.46542105324)</f>
        <v>45844.46542</v>
      </c>
      <c r="B213" s="29" t="str">
        <f>IFERROR(__xludf.DUMMYFUNCTION("""COMPUTED_VALUE"""),"Intact (Never circumcised)")</f>
        <v>Intact (Never circumcised)</v>
      </c>
      <c r="C213" s="29" t="str">
        <f>IFERROR(__xludf.DUMMYFUNCTION("""COMPUTED_VALUE"""),"Orgasm Intensity")</f>
        <v>Orgasm Intensity</v>
      </c>
      <c r="D213" s="29" t="str">
        <f>IFERROR(__xludf.DUMMYFUNCTION("""COMPUTED_VALUE"""),"5 (High/Excellent)")</f>
        <v>5 (High/Excellent)</v>
      </c>
      <c r="E213" s="29">
        <f>IFERROR(__xludf.DUMMYFUNCTION("""COMPUTED_VALUE"""),5.0)</f>
        <v>5</v>
      </c>
    </row>
    <row r="214">
      <c r="A214" s="33">
        <f>IFERROR(__xludf.DUMMYFUNCTION("""COMPUTED_VALUE"""),45845.519693240734)</f>
        <v>45845.51969</v>
      </c>
      <c r="B214" s="29" t="str">
        <f>IFERROR(__xludf.DUMMYFUNCTION("""COMPUTED_VALUE"""),"Circumcised")</f>
        <v>Circumcised</v>
      </c>
      <c r="C214" s="29" t="str">
        <f>IFERROR(__xludf.DUMMYFUNCTION("""COMPUTED_VALUE"""),"Orgasm Intensity")</f>
        <v>Orgasm Intensity</v>
      </c>
      <c r="D214" s="29" t="str">
        <f>IFERROR(__xludf.DUMMYFUNCTION("""COMPUTED_VALUE"""),"4")</f>
        <v>4</v>
      </c>
      <c r="E214" s="29">
        <f>IFERROR(__xludf.DUMMYFUNCTION("""COMPUTED_VALUE"""),4.0)</f>
        <v>4</v>
      </c>
    </row>
    <row r="215">
      <c r="A215" s="33">
        <f>IFERROR(__xludf.DUMMYFUNCTION("""COMPUTED_VALUE"""),45846.13157090278)</f>
        <v>45846.13157</v>
      </c>
      <c r="B215" s="29" t="str">
        <f>IFERROR(__xludf.DUMMYFUNCTION("""COMPUTED_VALUE"""),"Circumcised")</f>
        <v>Circumcised</v>
      </c>
      <c r="C215" s="29" t="str">
        <f>IFERROR(__xludf.DUMMYFUNCTION("""COMPUTED_VALUE"""),"Orgasm Intensity")</f>
        <v>Orgasm Intensity</v>
      </c>
      <c r="D215" s="29" t="str">
        <f>IFERROR(__xludf.DUMMYFUNCTION("""COMPUTED_VALUE"""),"2")</f>
        <v>2</v>
      </c>
      <c r="E215" s="29">
        <f>IFERROR(__xludf.DUMMYFUNCTION("""COMPUTED_VALUE"""),2.0)</f>
        <v>2</v>
      </c>
    </row>
    <row r="216">
      <c r="A216" s="33">
        <f>IFERROR(__xludf.DUMMYFUNCTION("""COMPUTED_VALUE"""),45849.67123201389)</f>
        <v>45849.67123</v>
      </c>
      <c r="B216" s="29" t="str">
        <f>IFERROR(__xludf.DUMMYFUNCTION("""COMPUTED_VALUE"""),"Intact (Never circumcised)")</f>
        <v>Intact (Never circumcised)</v>
      </c>
      <c r="C216" s="29" t="str">
        <f>IFERROR(__xludf.DUMMYFUNCTION("""COMPUTED_VALUE"""),"Orgasm Intensity")</f>
        <v>Orgasm Intensity</v>
      </c>
      <c r="D216" s="29" t="str">
        <f>IFERROR(__xludf.DUMMYFUNCTION("""COMPUTED_VALUE"""),"5 (High/Excellent)")</f>
        <v>5 (High/Excellent)</v>
      </c>
      <c r="E216" s="29">
        <f>IFERROR(__xludf.DUMMYFUNCTION("""COMPUTED_VALUE"""),5.0)</f>
        <v>5</v>
      </c>
    </row>
    <row r="217">
      <c r="A217" s="33">
        <f>IFERROR(__xludf.DUMMYFUNCTION("""COMPUTED_VALUE"""),45850.18852405093)</f>
        <v>45850.18852</v>
      </c>
      <c r="B217" s="29" t="str">
        <f>IFERROR(__xludf.DUMMYFUNCTION("""COMPUTED_VALUE"""),"Circumcised")</f>
        <v>Circumcised</v>
      </c>
      <c r="C217" s="29" t="str">
        <f>IFERROR(__xludf.DUMMYFUNCTION("""COMPUTED_VALUE"""),"Orgasm Intensity")</f>
        <v>Orgasm Intensity</v>
      </c>
      <c r="D217" s="29" t="str">
        <f>IFERROR(__xludf.DUMMYFUNCTION("""COMPUTED_VALUE"""),"5 (High/Excellent)")</f>
        <v>5 (High/Excellent)</v>
      </c>
      <c r="E217" s="29">
        <f>IFERROR(__xludf.DUMMYFUNCTION("""COMPUTED_VALUE"""),5.0)</f>
        <v>5</v>
      </c>
    </row>
    <row r="218">
      <c r="A218" s="33">
        <f>IFERROR(__xludf.DUMMYFUNCTION("""COMPUTED_VALUE"""),45850.64452353009)</f>
        <v>45850.64452</v>
      </c>
      <c r="B218" s="29" t="str">
        <f>IFERROR(__xludf.DUMMYFUNCTION("""COMPUTED_VALUE"""),"Circumcised")</f>
        <v>Circumcised</v>
      </c>
      <c r="C218" s="29" t="str">
        <f>IFERROR(__xludf.DUMMYFUNCTION("""COMPUTED_VALUE"""),"Orgasm Intensity")</f>
        <v>Orgasm Intensity</v>
      </c>
      <c r="D218" s="29" t="str">
        <f>IFERROR(__xludf.DUMMYFUNCTION("""COMPUTED_VALUE"""),"3 (Medium/Average)")</f>
        <v>3 (Medium/Average)</v>
      </c>
      <c r="E218" s="29">
        <f>IFERROR(__xludf.DUMMYFUNCTION("""COMPUTED_VALUE"""),3.0)</f>
        <v>3</v>
      </c>
    </row>
    <row r="219">
      <c r="A219" s="33">
        <f>IFERROR(__xludf.DUMMYFUNCTION("""COMPUTED_VALUE"""),45850.886114953704)</f>
        <v>45850.88611</v>
      </c>
      <c r="B219" s="29" t="str">
        <f>IFERROR(__xludf.DUMMYFUNCTION("""COMPUTED_VALUE"""),"Intact (Never circumcised)")</f>
        <v>Intact (Never circumcised)</v>
      </c>
      <c r="C219" s="29" t="str">
        <f>IFERROR(__xludf.DUMMYFUNCTION("""COMPUTED_VALUE"""),"Orgasm Intensity")</f>
        <v>Orgasm Intensity</v>
      </c>
      <c r="D219" s="29" t="str">
        <f>IFERROR(__xludf.DUMMYFUNCTION("""COMPUTED_VALUE"""),"5 (High/Excellent)")</f>
        <v>5 (High/Excellent)</v>
      </c>
      <c r="E219" s="29">
        <f>IFERROR(__xludf.DUMMYFUNCTION("""COMPUTED_VALUE"""),5.0)</f>
        <v>5</v>
      </c>
    </row>
    <row r="220">
      <c r="A220" s="33">
        <f>IFERROR(__xludf.DUMMYFUNCTION("""COMPUTED_VALUE"""),45852.678005532405)</f>
        <v>45852.67801</v>
      </c>
      <c r="B220" s="29" t="str">
        <f>IFERROR(__xludf.DUMMYFUNCTION("""COMPUTED_VALUE"""),"Intact (Never circumcised)")</f>
        <v>Intact (Never circumcised)</v>
      </c>
      <c r="C220" s="29" t="str">
        <f>IFERROR(__xludf.DUMMYFUNCTION("""COMPUTED_VALUE"""),"Orgasm Intensity")</f>
        <v>Orgasm Intensity</v>
      </c>
      <c r="D220" s="29" t="str">
        <f>IFERROR(__xludf.DUMMYFUNCTION("""COMPUTED_VALUE"""),"5 (High/Excellent)")</f>
        <v>5 (High/Excellent)</v>
      </c>
      <c r="E220" s="29">
        <f>IFERROR(__xludf.DUMMYFUNCTION("""COMPUTED_VALUE"""),5.0)</f>
        <v>5</v>
      </c>
    </row>
    <row r="221">
      <c r="A221" s="33">
        <f>IFERROR(__xludf.DUMMYFUNCTION("""COMPUTED_VALUE"""),45852.891580891206)</f>
        <v>45852.89158</v>
      </c>
      <c r="B221" s="29" t="str">
        <f>IFERROR(__xludf.DUMMYFUNCTION("""COMPUTED_VALUE"""),"Intact (Never circumcised)")</f>
        <v>Intact (Never circumcised)</v>
      </c>
      <c r="C221" s="29" t="str">
        <f>IFERROR(__xludf.DUMMYFUNCTION("""COMPUTED_VALUE"""),"Orgasm Intensity")</f>
        <v>Orgasm Intensity</v>
      </c>
      <c r="D221" s="29" t="str">
        <f>IFERROR(__xludf.DUMMYFUNCTION("""COMPUTED_VALUE"""),"5 (High/Excellent)")</f>
        <v>5 (High/Excellent)</v>
      </c>
      <c r="E221" s="29">
        <f>IFERROR(__xludf.DUMMYFUNCTION("""COMPUTED_VALUE"""),5.0)</f>
        <v>5</v>
      </c>
    </row>
    <row r="222">
      <c r="A222" s="33">
        <f>IFERROR(__xludf.DUMMYFUNCTION("""COMPUTED_VALUE"""),45853.37019545138)</f>
        <v>45853.3702</v>
      </c>
      <c r="B222" s="29" t="str">
        <f>IFERROR(__xludf.DUMMYFUNCTION("""COMPUTED_VALUE"""),"Intact (Never circumcised)")</f>
        <v>Intact (Never circumcised)</v>
      </c>
      <c r="C222" s="29" t="str">
        <f>IFERROR(__xludf.DUMMYFUNCTION("""COMPUTED_VALUE"""),"Orgasm Intensity")</f>
        <v>Orgasm Intensity</v>
      </c>
      <c r="D222" s="29" t="str">
        <f>IFERROR(__xludf.DUMMYFUNCTION("""COMPUTED_VALUE"""),"5 (High/Excellent)")</f>
        <v>5 (High/Excellent)</v>
      </c>
      <c r="E222" s="29">
        <f>IFERROR(__xludf.DUMMYFUNCTION("""COMPUTED_VALUE"""),5.0)</f>
        <v>5</v>
      </c>
    </row>
    <row r="223">
      <c r="A223" s="33">
        <f>IFERROR(__xludf.DUMMYFUNCTION("""COMPUTED_VALUE"""),45853.81523930556)</f>
        <v>45853.81524</v>
      </c>
      <c r="B223" s="29" t="str">
        <f>IFERROR(__xludf.DUMMYFUNCTION("""COMPUTED_VALUE"""),"Circumcised")</f>
        <v>Circumcised</v>
      </c>
      <c r="C223" s="29" t="str">
        <f>IFERROR(__xludf.DUMMYFUNCTION("""COMPUTED_VALUE"""),"Orgasm Intensity")</f>
        <v>Orgasm Intensity</v>
      </c>
      <c r="D223" s="29" t="str">
        <f>IFERROR(__xludf.DUMMYFUNCTION("""COMPUTED_VALUE"""),"1 (Low/Poor)")</f>
        <v>1 (Low/Poor)</v>
      </c>
      <c r="E223" s="29">
        <f>IFERROR(__xludf.DUMMYFUNCTION("""COMPUTED_VALUE"""),1.0)</f>
        <v>1</v>
      </c>
    </row>
    <row r="224">
      <c r="A224" s="33">
        <f>IFERROR(__xludf.DUMMYFUNCTION("""COMPUTED_VALUE"""),45853.917537939815)</f>
        <v>45853.91754</v>
      </c>
      <c r="B224" s="29" t="str">
        <f>IFERROR(__xludf.DUMMYFUNCTION("""COMPUTED_VALUE"""),"Actively restoring my foreskin / I consider myself restored")</f>
        <v>Actively restoring my foreskin / I consider myself restored</v>
      </c>
      <c r="C224" s="29" t="str">
        <f>IFERROR(__xludf.DUMMYFUNCTION("""COMPUTED_VALUE"""),"Orgasm Intensity")</f>
        <v>Orgasm Intensity</v>
      </c>
      <c r="D224" s="29" t="str">
        <f>IFERROR(__xludf.DUMMYFUNCTION("""COMPUTED_VALUE"""),"3 (Medium/Average)")</f>
        <v>3 (Medium/Average)</v>
      </c>
      <c r="E224" s="29">
        <f>IFERROR(__xludf.DUMMYFUNCTION("""COMPUTED_VALUE"""),3.0)</f>
        <v>3</v>
      </c>
    </row>
    <row r="225">
      <c r="A225" s="33">
        <f>IFERROR(__xludf.DUMMYFUNCTION("""COMPUTED_VALUE"""),45854.425925324074)</f>
        <v>45854.42593</v>
      </c>
      <c r="B225" s="29" t="str">
        <f>IFERROR(__xludf.DUMMYFUNCTION("""COMPUTED_VALUE"""),"Circumcised")</f>
        <v>Circumcised</v>
      </c>
      <c r="C225" s="29" t="str">
        <f>IFERROR(__xludf.DUMMYFUNCTION("""COMPUTED_VALUE"""),"Orgasm Intensity")</f>
        <v>Orgasm Intensity</v>
      </c>
      <c r="D225" s="29" t="str">
        <f>IFERROR(__xludf.DUMMYFUNCTION("""COMPUTED_VALUE"""),"5 (High/Excellent)")</f>
        <v>5 (High/Excellent)</v>
      </c>
      <c r="E225" s="29">
        <f>IFERROR(__xludf.DUMMYFUNCTION("""COMPUTED_VALUE"""),5.0)</f>
        <v>5</v>
      </c>
    </row>
    <row r="226">
      <c r="A226" s="33">
        <f>IFERROR(__xludf.DUMMYFUNCTION("""COMPUTED_VALUE"""),45855.06532899306)</f>
        <v>45855.06533</v>
      </c>
      <c r="B226" s="29" t="str">
        <f>IFERROR(__xludf.DUMMYFUNCTION("""COMPUTED_VALUE"""),"Circumcised")</f>
        <v>Circumcised</v>
      </c>
      <c r="C226" s="29" t="str">
        <f>IFERROR(__xludf.DUMMYFUNCTION("""COMPUTED_VALUE"""),"Orgasm Intensity")</f>
        <v>Orgasm Intensity</v>
      </c>
      <c r="D226" s="29" t="str">
        <f>IFERROR(__xludf.DUMMYFUNCTION("""COMPUTED_VALUE"""),"2")</f>
        <v>2</v>
      </c>
      <c r="E226" s="29">
        <f>IFERROR(__xludf.DUMMYFUNCTION("""COMPUTED_VALUE"""),2.0)</f>
        <v>2</v>
      </c>
    </row>
    <row r="227">
      <c r="A227" s="33">
        <f>IFERROR(__xludf.DUMMYFUNCTION("""COMPUTED_VALUE"""),45857.18312947916)</f>
        <v>45857.18313</v>
      </c>
      <c r="B227" s="29" t="str">
        <f>IFERROR(__xludf.DUMMYFUNCTION("""COMPUTED_VALUE"""),"Intact (Never circumcised)")</f>
        <v>Intact (Never circumcised)</v>
      </c>
      <c r="C227" s="29" t="str">
        <f>IFERROR(__xludf.DUMMYFUNCTION("""COMPUTED_VALUE"""),"Orgasm Intensity")</f>
        <v>Orgasm Intensity</v>
      </c>
      <c r="D227" s="29" t="str">
        <f>IFERROR(__xludf.DUMMYFUNCTION("""COMPUTED_VALUE"""),"5 (High/Excellent)")</f>
        <v>5 (High/Excellent)</v>
      </c>
      <c r="E227" s="29">
        <f>IFERROR(__xludf.DUMMYFUNCTION("""COMPUTED_VALUE"""),5.0)</f>
        <v>5</v>
      </c>
    </row>
    <row r="228">
      <c r="A228" s="33">
        <f>IFERROR(__xludf.DUMMYFUNCTION("""COMPUTED_VALUE"""),45858.85559804398)</f>
        <v>45858.8556</v>
      </c>
      <c r="B228" s="29" t="str">
        <f>IFERROR(__xludf.DUMMYFUNCTION("""COMPUTED_VALUE"""),"Circumcised")</f>
        <v>Circumcised</v>
      </c>
      <c r="C228" s="29" t="str">
        <f>IFERROR(__xludf.DUMMYFUNCTION("""COMPUTED_VALUE"""),"Orgasm Intensity")</f>
        <v>Orgasm Intensity</v>
      </c>
      <c r="D228" s="29" t="str">
        <f>IFERROR(__xludf.DUMMYFUNCTION("""COMPUTED_VALUE"""),"4")</f>
        <v>4</v>
      </c>
      <c r="E228" s="29">
        <f>IFERROR(__xludf.DUMMYFUNCTION("""COMPUTED_VALUE"""),4.0)</f>
        <v>4</v>
      </c>
    </row>
    <row r="229">
      <c r="A229" s="33">
        <f>IFERROR(__xludf.DUMMYFUNCTION("""COMPUTED_VALUE"""),45861.16600383102)</f>
        <v>45861.166</v>
      </c>
      <c r="B229" s="29" t="str">
        <f>IFERROR(__xludf.DUMMYFUNCTION("""COMPUTED_VALUE"""),"Intact (Never circumcised)")</f>
        <v>Intact (Never circumcised)</v>
      </c>
      <c r="C229" s="29" t="str">
        <f>IFERROR(__xludf.DUMMYFUNCTION("""COMPUTED_VALUE"""),"Orgasm Intensity")</f>
        <v>Orgasm Intensity</v>
      </c>
      <c r="D229" s="29" t="str">
        <f>IFERROR(__xludf.DUMMYFUNCTION("""COMPUTED_VALUE"""),"5 (High/Excellent)")</f>
        <v>5 (High/Excellent)</v>
      </c>
      <c r="E229" s="29">
        <f>IFERROR(__xludf.DUMMYFUNCTION("""COMPUTED_VALUE"""),5.0)</f>
        <v>5</v>
      </c>
    </row>
    <row r="230" hidden="1">
      <c r="A230" s="33">
        <f>IFERROR(__xludf.DUMMYFUNCTION("""COMPUTED_VALUE"""),45864.54673815972)</f>
        <v>45864.54674</v>
      </c>
      <c r="B230" s="29" t="str">
        <f>IFERROR(__xludf.DUMMYFUNCTION("""COMPUTED_VALUE"""),"Intact (Never circumcised)")</f>
        <v>Intact (Never circumcised)</v>
      </c>
      <c r="C230" s="29" t="str">
        <f>IFERROR(__xludf.DUMMYFUNCTION("""COMPUTED_VALUE"""),"Orgasm Intensity")</f>
        <v>Orgasm Intensity</v>
      </c>
      <c r="D230" s="29" t="str">
        <f>IFERROR(__xludf.DUMMYFUNCTION("""COMPUTED_VALUE"""),"5 (High/Excellent)")</f>
        <v>5 (High/Excellent)</v>
      </c>
      <c r="E230" s="29">
        <f>IFERROR(__xludf.DUMMYFUNCTION("""COMPUTED_VALUE"""),5.0)</f>
        <v>5</v>
      </c>
    </row>
    <row r="231" hidden="1">
      <c r="A231" s="33">
        <f>IFERROR(__xludf.DUMMYFUNCTION("""COMPUTED_VALUE"""),45864.76644127315)</f>
        <v>45864.76644</v>
      </c>
      <c r="B231" s="29" t="str">
        <f>IFERROR(__xludf.DUMMYFUNCTION("""COMPUTED_VALUE"""),"Intact (Never circumcised)")</f>
        <v>Intact (Never circumcised)</v>
      </c>
      <c r="C231" s="29" t="str">
        <f>IFERROR(__xludf.DUMMYFUNCTION("""COMPUTED_VALUE"""),"Orgasm Intensity")</f>
        <v>Orgasm Intensity</v>
      </c>
      <c r="D231" s="29" t="str">
        <f>IFERROR(__xludf.DUMMYFUNCTION("""COMPUTED_VALUE"""),"5 (High/Excellent)")</f>
        <v>5 (High/Excellent)</v>
      </c>
      <c r="E231" s="29">
        <f>IFERROR(__xludf.DUMMYFUNCTION("""COMPUTED_VALUE"""),5.0)</f>
        <v>5</v>
      </c>
    </row>
    <row r="232" hidden="1">
      <c r="A232" s="33">
        <f>IFERROR(__xludf.DUMMYFUNCTION("""COMPUTED_VALUE"""),45865.26090908565)</f>
        <v>45865.26091</v>
      </c>
      <c r="B232" s="29" t="str">
        <f>IFERROR(__xludf.DUMMYFUNCTION("""COMPUTED_VALUE"""),"Circumcised")</f>
        <v>Circumcised</v>
      </c>
      <c r="C232" s="29" t="str">
        <f>IFERROR(__xludf.DUMMYFUNCTION("""COMPUTED_VALUE"""),"Orgasm Intensity")</f>
        <v>Orgasm Intensity</v>
      </c>
      <c r="D232" s="29" t="str">
        <f>IFERROR(__xludf.DUMMYFUNCTION("""COMPUTED_VALUE"""),"4")</f>
        <v>4</v>
      </c>
      <c r="E232" s="29">
        <f>IFERROR(__xludf.DUMMYFUNCTION("""COMPUTED_VALUE"""),4.0)</f>
        <v>4</v>
      </c>
    </row>
    <row r="233" hidden="1">
      <c r="A233" s="33">
        <f>IFERROR(__xludf.DUMMYFUNCTION("""COMPUTED_VALUE"""),45865.286593275465)</f>
        <v>45865.28659</v>
      </c>
      <c r="B233" s="29" t="str">
        <f>IFERROR(__xludf.DUMMYFUNCTION("""COMPUTED_VALUE"""),"Circumcised")</f>
        <v>Circumcised</v>
      </c>
      <c r="C233" s="29" t="str">
        <f>IFERROR(__xludf.DUMMYFUNCTION("""COMPUTED_VALUE"""),"Orgasm Intensity")</f>
        <v>Orgasm Intensity</v>
      </c>
      <c r="D233" s="29" t="str">
        <f>IFERROR(__xludf.DUMMYFUNCTION("""COMPUTED_VALUE"""),"3 (Medium/Average)")</f>
        <v>3 (Medium/Average)</v>
      </c>
      <c r="E233" s="29">
        <f>IFERROR(__xludf.DUMMYFUNCTION("""COMPUTED_VALUE"""),3.0)</f>
        <v>3</v>
      </c>
    </row>
    <row r="234" hidden="1">
      <c r="A234" s="33">
        <f>IFERROR(__xludf.DUMMYFUNCTION("""COMPUTED_VALUE"""),45865.61642836805)</f>
        <v>45865.61643</v>
      </c>
      <c r="B234" s="29" t="str">
        <f>IFERROR(__xludf.DUMMYFUNCTION("""COMPUTED_VALUE"""),"Circumcised")</f>
        <v>Circumcised</v>
      </c>
      <c r="C234" s="29" t="str">
        <f>IFERROR(__xludf.DUMMYFUNCTION("""COMPUTED_VALUE"""),"Orgasm Intensity")</f>
        <v>Orgasm Intensity</v>
      </c>
      <c r="D234" s="29" t="str">
        <f>IFERROR(__xludf.DUMMYFUNCTION("""COMPUTED_VALUE"""),"1 (Low/Poor)")</f>
        <v>1 (Low/Poor)</v>
      </c>
      <c r="E234" s="29">
        <f>IFERROR(__xludf.DUMMYFUNCTION("""COMPUTED_VALUE"""),1.0)</f>
        <v>1</v>
      </c>
    </row>
    <row r="235" hidden="1">
      <c r="A235" s="33">
        <f>IFERROR(__xludf.DUMMYFUNCTION("""COMPUTED_VALUE"""),45866.35659802083)</f>
        <v>45866.3566</v>
      </c>
      <c r="B235" s="29" t="str">
        <f>IFERROR(__xludf.DUMMYFUNCTION("""COMPUTED_VALUE"""),"Actively restoring my foreskin / I consider myself restored")</f>
        <v>Actively restoring my foreskin / I consider myself restored</v>
      </c>
      <c r="C235" s="29" t="str">
        <f>IFERROR(__xludf.DUMMYFUNCTION("""COMPUTED_VALUE"""),"Orgasm Intensity")</f>
        <v>Orgasm Intensity</v>
      </c>
      <c r="D235" s="29" t="str">
        <f>IFERROR(__xludf.DUMMYFUNCTION("""COMPUTED_VALUE"""),"3 (Medium/Average)")</f>
        <v>3 (Medium/Average)</v>
      </c>
      <c r="E235" s="29">
        <f>IFERROR(__xludf.DUMMYFUNCTION("""COMPUTED_VALUE"""),3.0)</f>
        <v>3</v>
      </c>
    </row>
    <row r="236">
      <c r="A236" s="33">
        <f>IFERROR(__xludf.DUMMYFUNCTION("""COMPUTED_VALUE"""),45866.36920435186)</f>
        <v>45866.3692</v>
      </c>
      <c r="B236" s="29" t="str">
        <f>IFERROR(__xludf.DUMMYFUNCTION("""COMPUTED_VALUE"""),"Circumcised")</f>
        <v>Circumcised</v>
      </c>
      <c r="C236" s="29" t="str">
        <f>IFERROR(__xludf.DUMMYFUNCTION("""COMPUTED_VALUE"""),"Orgasm Intensity")</f>
        <v>Orgasm Intensity</v>
      </c>
      <c r="D236" s="29" t="str">
        <f>IFERROR(__xludf.DUMMYFUNCTION("""COMPUTED_VALUE"""),"3 (Medium/Average)")</f>
        <v>3 (Medium/Average)</v>
      </c>
      <c r="E236" s="29">
        <f>IFERROR(__xludf.DUMMYFUNCTION("""COMPUTED_VALUE"""),3.0)</f>
        <v>3</v>
      </c>
    </row>
    <row r="237">
      <c r="A237" s="33">
        <f>IFERROR(__xludf.DUMMYFUNCTION("""COMPUTED_VALUE"""),45866.706210324075)</f>
        <v>45866.70621</v>
      </c>
      <c r="B237" s="29" t="str">
        <f>IFERROR(__xludf.DUMMYFUNCTION("""COMPUTED_VALUE"""),"Intact (Never circumcised)")</f>
        <v>Intact (Never circumcised)</v>
      </c>
      <c r="C237" s="29" t="str">
        <f>IFERROR(__xludf.DUMMYFUNCTION("""COMPUTED_VALUE"""),"Orgasm Intensity")</f>
        <v>Orgasm Intensity</v>
      </c>
      <c r="D237" s="29" t="str">
        <f>IFERROR(__xludf.DUMMYFUNCTION("""COMPUTED_VALUE"""),"4")</f>
        <v>4</v>
      </c>
      <c r="E237" s="29">
        <f>IFERROR(__xludf.DUMMYFUNCTION("""COMPUTED_VALUE"""),4.0)</f>
        <v>4</v>
      </c>
    </row>
    <row r="238">
      <c r="A238" s="33">
        <f>IFERROR(__xludf.DUMMYFUNCTION("""COMPUTED_VALUE"""),45867.465542523154)</f>
        <v>45867.46554</v>
      </c>
      <c r="B238" s="29" t="str">
        <f>IFERROR(__xludf.DUMMYFUNCTION("""COMPUTED_VALUE"""),"Intact (Never circumcised)")</f>
        <v>Intact (Never circumcised)</v>
      </c>
      <c r="C238" s="29" t="str">
        <f>IFERROR(__xludf.DUMMYFUNCTION("""COMPUTED_VALUE"""),"Orgasm Intensity")</f>
        <v>Orgasm Intensity</v>
      </c>
      <c r="D238" s="29" t="str">
        <f>IFERROR(__xludf.DUMMYFUNCTION("""COMPUTED_VALUE"""),"5 (High/Excellent)")</f>
        <v>5 (High/Excellent)</v>
      </c>
      <c r="E238" s="29">
        <f>IFERROR(__xludf.DUMMYFUNCTION("""COMPUTED_VALUE"""),5.0)</f>
        <v>5</v>
      </c>
    </row>
    <row r="239">
      <c r="A239" s="33">
        <f>IFERROR(__xludf.DUMMYFUNCTION("""COMPUTED_VALUE"""),45869.6256671875)</f>
        <v>45869.62567</v>
      </c>
      <c r="B239" s="29" t="str">
        <f>IFERROR(__xludf.DUMMYFUNCTION("""COMPUTED_VALUE"""),"Circumcised")</f>
        <v>Circumcised</v>
      </c>
      <c r="C239" s="29" t="str">
        <f>IFERROR(__xludf.DUMMYFUNCTION("""COMPUTED_VALUE"""),"Orgasm Intensity")</f>
        <v>Orgasm Intensity</v>
      </c>
      <c r="D239" s="29" t="str">
        <f>IFERROR(__xludf.DUMMYFUNCTION("""COMPUTED_VALUE"""),"4")</f>
        <v>4</v>
      </c>
      <c r="E239" s="29">
        <f>IFERROR(__xludf.DUMMYFUNCTION("""COMPUTED_VALUE"""),4.0)</f>
        <v>4</v>
      </c>
    </row>
    <row r="240">
      <c r="A240" s="33">
        <f>IFERROR(__xludf.DUMMYFUNCTION("""COMPUTED_VALUE"""),45870.66304393519)</f>
        <v>45870.66304</v>
      </c>
      <c r="B240" s="29" t="str">
        <f>IFERROR(__xludf.DUMMYFUNCTION("""COMPUTED_VALUE"""),"Circumcised")</f>
        <v>Circumcised</v>
      </c>
      <c r="C240" s="29" t="str">
        <f>IFERROR(__xludf.DUMMYFUNCTION("""COMPUTED_VALUE"""),"Orgasm Intensity")</f>
        <v>Orgasm Intensity</v>
      </c>
      <c r="D240" s="29" t="str">
        <f>IFERROR(__xludf.DUMMYFUNCTION("""COMPUTED_VALUE"""),"5 (High/Excellent)")</f>
        <v>5 (High/Excellent)</v>
      </c>
      <c r="E240" s="29">
        <f>IFERROR(__xludf.DUMMYFUNCTION("""COMPUTED_VALUE"""),5.0)</f>
        <v>5</v>
      </c>
    </row>
    <row r="241">
      <c r="A241" s="33">
        <f>IFERROR(__xludf.DUMMYFUNCTION("""COMPUTED_VALUE"""),45871.494499988425)</f>
        <v>45871.4945</v>
      </c>
      <c r="B241" s="29" t="str">
        <f>IFERROR(__xludf.DUMMYFUNCTION("""COMPUTED_VALUE"""),"Circumcised")</f>
        <v>Circumcised</v>
      </c>
      <c r="C241" s="29" t="str">
        <f>IFERROR(__xludf.DUMMYFUNCTION("""COMPUTED_VALUE"""),"Orgasm Intensity")</f>
        <v>Orgasm Intensity</v>
      </c>
      <c r="D241" s="29" t="str">
        <f>IFERROR(__xludf.DUMMYFUNCTION("""COMPUTED_VALUE"""),"3 (Medium/Average)")</f>
        <v>3 (Medium/Average)</v>
      </c>
      <c r="E241" s="29">
        <f>IFERROR(__xludf.DUMMYFUNCTION("""COMPUTED_VALUE"""),3.0)</f>
        <v>3</v>
      </c>
    </row>
    <row r="242">
      <c r="A242" s="33">
        <f>IFERROR(__xludf.DUMMYFUNCTION("""COMPUTED_VALUE"""),45872.30185957176)</f>
        <v>45872.30186</v>
      </c>
      <c r="B242" s="29" t="str">
        <f>IFERROR(__xludf.DUMMYFUNCTION("""COMPUTED_VALUE"""),"Intact (Never circumcised)")</f>
        <v>Intact (Never circumcised)</v>
      </c>
      <c r="C242" s="29" t="str">
        <f>IFERROR(__xludf.DUMMYFUNCTION("""COMPUTED_VALUE"""),"Orgasm Intensity")</f>
        <v>Orgasm Intensity</v>
      </c>
      <c r="D242" s="29" t="str">
        <f>IFERROR(__xludf.DUMMYFUNCTION("""COMPUTED_VALUE"""),"4")</f>
        <v>4</v>
      </c>
      <c r="E242" s="29">
        <f>IFERROR(__xludf.DUMMYFUNCTION("""COMPUTED_VALUE"""),4.0)</f>
        <v>4</v>
      </c>
    </row>
    <row r="243">
      <c r="A243" s="33">
        <f>IFERROR(__xludf.DUMMYFUNCTION("""COMPUTED_VALUE"""),45872.47329465277)</f>
        <v>45872.47329</v>
      </c>
      <c r="B243" s="29" t="str">
        <f>IFERROR(__xludf.DUMMYFUNCTION("""COMPUTED_VALUE"""),"Circumcised")</f>
        <v>Circumcised</v>
      </c>
      <c r="C243" s="29" t="str">
        <f>IFERROR(__xludf.DUMMYFUNCTION("""COMPUTED_VALUE"""),"Orgasm Intensity")</f>
        <v>Orgasm Intensity</v>
      </c>
      <c r="D243" s="29" t="str">
        <f>IFERROR(__xludf.DUMMYFUNCTION("""COMPUTED_VALUE"""),"4")</f>
        <v>4</v>
      </c>
      <c r="E243" s="29">
        <f>IFERROR(__xludf.DUMMYFUNCTION("""COMPUTED_VALUE"""),4.0)</f>
        <v>4</v>
      </c>
    </row>
    <row r="244">
      <c r="A244" s="33">
        <f>IFERROR(__xludf.DUMMYFUNCTION("""COMPUTED_VALUE"""),45876.17624883102)</f>
        <v>45876.17625</v>
      </c>
      <c r="B244" s="29" t="str">
        <f>IFERROR(__xludf.DUMMYFUNCTION("""COMPUTED_VALUE"""),"Intact (Never circumcised)")</f>
        <v>Intact (Never circumcised)</v>
      </c>
      <c r="C244" s="29" t="str">
        <f>IFERROR(__xludf.DUMMYFUNCTION("""COMPUTED_VALUE"""),"Orgasm Intensity")</f>
        <v>Orgasm Intensity</v>
      </c>
      <c r="D244" s="29" t="str">
        <f>IFERROR(__xludf.DUMMYFUNCTION("""COMPUTED_VALUE"""),"4")</f>
        <v>4</v>
      </c>
      <c r="E244" s="29">
        <f>IFERROR(__xludf.DUMMYFUNCTION("""COMPUTED_VALUE"""),4.0)</f>
        <v>4</v>
      </c>
    </row>
    <row r="245">
      <c r="A245" s="33">
        <f>IFERROR(__xludf.DUMMYFUNCTION("""COMPUTED_VALUE"""),45876.63808144676)</f>
        <v>45876.63808</v>
      </c>
      <c r="B245" s="29" t="str">
        <f>IFERROR(__xludf.DUMMYFUNCTION("""COMPUTED_VALUE"""),"Intact (Never circumcised)")</f>
        <v>Intact (Never circumcised)</v>
      </c>
      <c r="C245" s="29" t="str">
        <f>IFERROR(__xludf.DUMMYFUNCTION("""COMPUTED_VALUE"""),"Orgasm Intensity")</f>
        <v>Orgasm Intensity</v>
      </c>
      <c r="D245" s="29" t="str">
        <f>IFERROR(__xludf.DUMMYFUNCTION("""COMPUTED_VALUE"""),"4")</f>
        <v>4</v>
      </c>
      <c r="E245" s="29">
        <f>IFERROR(__xludf.DUMMYFUNCTION("""COMPUTED_VALUE"""),4.0)</f>
        <v>4</v>
      </c>
    </row>
    <row r="246">
      <c r="A246" s="33">
        <f>IFERROR(__xludf.DUMMYFUNCTION("""COMPUTED_VALUE"""),45879.53425473379)</f>
        <v>45879.53425</v>
      </c>
      <c r="B246" s="29" t="str">
        <f>IFERROR(__xludf.DUMMYFUNCTION("""COMPUTED_VALUE"""),"Actively restoring my foreskin / I consider myself restored")</f>
        <v>Actively restoring my foreskin / I consider myself restored</v>
      </c>
      <c r="C246" s="29" t="str">
        <f>IFERROR(__xludf.DUMMYFUNCTION("""COMPUTED_VALUE"""),"Orgasm Intensity")</f>
        <v>Orgasm Intensity</v>
      </c>
      <c r="D246" s="29" t="str">
        <f>IFERROR(__xludf.DUMMYFUNCTION("""COMPUTED_VALUE"""),"5 (High/Excellent)")</f>
        <v>5 (High/Excellent)</v>
      </c>
      <c r="E246" s="29">
        <f>IFERROR(__xludf.DUMMYFUNCTION("""COMPUTED_VALUE"""),5.0)</f>
        <v>5</v>
      </c>
    </row>
    <row r="247">
      <c r="A247" s="33">
        <f>IFERROR(__xludf.DUMMYFUNCTION("""COMPUTED_VALUE"""),45879.723996388886)</f>
        <v>45879.724</v>
      </c>
      <c r="B247" s="29" t="str">
        <f>IFERROR(__xludf.DUMMYFUNCTION("""COMPUTED_VALUE"""),"Circumcised")</f>
        <v>Circumcised</v>
      </c>
      <c r="C247" s="29" t="str">
        <f>IFERROR(__xludf.DUMMYFUNCTION("""COMPUTED_VALUE"""),"Orgasm Intensity")</f>
        <v>Orgasm Intensity</v>
      </c>
      <c r="D247" s="29" t="str">
        <f>IFERROR(__xludf.DUMMYFUNCTION("""COMPUTED_VALUE"""),"3 (Medium/Average)")</f>
        <v>3 (Medium/Average)</v>
      </c>
      <c r="E247" s="29">
        <f>IFERROR(__xludf.DUMMYFUNCTION("""COMPUTED_VALUE"""),3.0)</f>
        <v>3</v>
      </c>
    </row>
    <row r="248">
      <c r="A248" s="33">
        <f>IFERROR(__xludf.DUMMYFUNCTION("""COMPUTED_VALUE"""),45880.35085082176)</f>
        <v>45880.35085</v>
      </c>
      <c r="B248" s="29" t="str">
        <f>IFERROR(__xludf.DUMMYFUNCTION("""COMPUTED_VALUE"""),"Actively restoring my foreskin / I consider myself restored")</f>
        <v>Actively restoring my foreskin / I consider myself restored</v>
      </c>
      <c r="C248" s="29" t="str">
        <f>IFERROR(__xludf.DUMMYFUNCTION("""COMPUTED_VALUE"""),"Orgasm Intensity")</f>
        <v>Orgasm Intensity</v>
      </c>
      <c r="D248" s="29" t="str">
        <f>IFERROR(__xludf.DUMMYFUNCTION("""COMPUTED_VALUE"""),"2")</f>
        <v>2</v>
      </c>
      <c r="E248" s="29">
        <f>IFERROR(__xludf.DUMMYFUNCTION("""COMPUTED_VALUE"""),2.0)</f>
        <v>2</v>
      </c>
    </row>
    <row r="249">
      <c r="A249" s="33">
        <f>IFERROR(__xludf.DUMMYFUNCTION("""COMPUTED_VALUE"""),45880.668832337964)</f>
        <v>45880.66883</v>
      </c>
      <c r="B249" s="29" t="str">
        <f>IFERROR(__xludf.DUMMYFUNCTION("""COMPUTED_VALUE"""),"Circumcised")</f>
        <v>Circumcised</v>
      </c>
      <c r="C249" s="29" t="str">
        <f>IFERROR(__xludf.DUMMYFUNCTION("""COMPUTED_VALUE"""),"Orgasm Intensity")</f>
        <v>Orgasm Intensity</v>
      </c>
      <c r="D249" s="29" t="str">
        <f>IFERROR(__xludf.DUMMYFUNCTION("""COMPUTED_VALUE"""),"2")</f>
        <v>2</v>
      </c>
      <c r="E249" s="29">
        <f>IFERROR(__xludf.DUMMYFUNCTION("""COMPUTED_VALUE"""),2.0)</f>
        <v>2</v>
      </c>
    </row>
    <row r="250">
      <c r="A250" s="33">
        <f>IFERROR(__xludf.DUMMYFUNCTION("""COMPUTED_VALUE"""),45880.90769810185)</f>
        <v>45880.9077</v>
      </c>
      <c r="B250" s="29" t="str">
        <f>IFERROR(__xludf.DUMMYFUNCTION("""COMPUTED_VALUE"""),"Actively restoring my foreskin / I consider myself restored")</f>
        <v>Actively restoring my foreskin / I consider myself restored</v>
      </c>
      <c r="C250" s="29" t="str">
        <f>IFERROR(__xludf.DUMMYFUNCTION("""COMPUTED_VALUE"""),"Orgasm Intensity")</f>
        <v>Orgasm Intensity</v>
      </c>
      <c r="D250" s="29" t="str">
        <f>IFERROR(__xludf.DUMMYFUNCTION("""COMPUTED_VALUE"""),"2")</f>
        <v>2</v>
      </c>
      <c r="E250" s="29">
        <f>IFERROR(__xludf.DUMMYFUNCTION("""COMPUTED_VALUE"""),2.0)</f>
        <v>2</v>
      </c>
    </row>
    <row r="251">
      <c r="A251" s="33">
        <f>IFERROR(__xludf.DUMMYFUNCTION("""COMPUTED_VALUE"""),45881.71131423611)</f>
        <v>45881.71131</v>
      </c>
      <c r="B251" s="29" t="str">
        <f>IFERROR(__xludf.DUMMYFUNCTION("""COMPUTED_VALUE"""),"Circumcised")</f>
        <v>Circumcised</v>
      </c>
      <c r="C251" s="29" t="str">
        <f>IFERROR(__xludf.DUMMYFUNCTION("""COMPUTED_VALUE"""),"Orgasm Intensity")</f>
        <v>Orgasm Intensity</v>
      </c>
      <c r="D251" s="29" t="str">
        <f>IFERROR(__xludf.DUMMYFUNCTION("""COMPUTED_VALUE"""),"4")</f>
        <v>4</v>
      </c>
      <c r="E251" s="29">
        <f>IFERROR(__xludf.DUMMYFUNCTION("""COMPUTED_VALUE"""),4.0)</f>
        <v>4</v>
      </c>
    </row>
    <row r="252">
      <c r="A252" s="33">
        <f>IFERROR(__xludf.DUMMYFUNCTION("""COMPUTED_VALUE"""),45881.76282621528)</f>
        <v>45881.76283</v>
      </c>
      <c r="B252" s="29" t="str">
        <f>IFERROR(__xludf.DUMMYFUNCTION("""COMPUTED_VALUE"""),"Actively restoring my foreskin / I consider myself restored")</f>
        <v>Actively restoring my foreskin / I consider myself restored</v>
      </c>
      <c r="C252" s="29" t="str">
        <f>IFERROR(__xludf.DUMMYFUNCTION("""COMPUTED_VALUE"""),"Orgasm Intensity")</f>
        <v>Orgasm Intensity</v>
      </c>
      <c r="D252" s="29" t="str">
        <f>IFERROR(__xludf.DUMMYFUNCTION("""COMPUTED_VALUE"""),"4")</f>
        <v>4</v>
      </c>
      <c r="E252" s="29">
        <f>IFERROR(__xludf.DUMMYFUNCTION("""COMPUTED_VALUE"""),4.0)</f>
        <v>4</v>
      </c>
    </row>
    <row r="253">
      <c r="A253" s="33">
        <f>IFERROR(__xludf.DUMMYFUNCTION("""COMPUTED_VALUE"""),45891.315471574075)</f>
        <v>45891.31547</v>
      </c>
      <c r="B253" s="29" t="str">
        <f>IFERROR(__xludf.DUMMYFUNCTION("""COMPUTED_VALUE"""),"Circumcised")</f>
        <v>Circumcised</v>
      </c>
      <c r="C253" s="29" t="str">
        <f>IFERROR(__xludf.DUMMYFUNCTION("""COMPUTED_VALUE"""),"Orgasm Intensity")</f>
        <v>Orgasm Intensity</v>
      </c>
      <c r="D253" s="29" t="str">
        <f>IFERROR(__xludf.DUMMYFUNCTION("""COMPUTED_VALUE"""),"4")</f>
        <v>4</v>
      </c>
      <c r="E253" s="29">
        <f>IFERROR(__xludf.DUMMYFUNCTION("""COMPUTED_VALUE"""),4.0)</f>
        <v>4</v>
      </c>
    </row>
    <row r="254">
      <c r="A254" s="33">
        <f>IFERROR(__xludf.DUMMYFUNCTION("""COMPUTED_VALUE"""),45896.146926319445)</f>
        <v>45896.14693</v>
      </c>
      <c r="B254" s="29" t="str">
        <f>IFERROR(__xludf.DUMMYFUNCTION("""COMPUTED_VALUE"""),"Circumcised")</f>
        <v>Circumcised</v>
      </c>
      <c r="C254" s="29" t="str">
        <f>IFERROR(__xludf.DUMMYFUNCTION("""COMPUTED_VALUE"""),"Orgasm Intensity")</f>
        <v>Orgasm Intensity</v>
      </c>
      <c r="D254" s="29" t="str">
        <f>IFERROR(__xludf.DUMMYFUNCTION("""COMPUTED_VALUE"""),"4")</f>
        <v>4</v>
      </c>
      <c r="E254" s="29">
        <f>IFERROR(__xludf.DUMMYFUNCTION("""COMPUTED_VALUE"""),4.0)</f>
        <v>4</v>
      </c>
    </row>
    <row r="255">
      <c r="A255" s="33">
        <f>IFERROR(__xludf.DUMMYFUNCTION("""COMPUTED_VALUE"""),45896.65199521991)</f>
        <v>45896.652</v>
      </c>
      <c r="B255" s="29" t="str">
        <f>IFERROR(__xludf.DUMMYFUNCTION("""COMPUTED_VALUE"""),"Circumcised")</f>
        <v>Circumcised</v>
      </c>
      <c r="C255" s="29" t="str">
        <f>IFERROR(__xludf.DUMMYFUNCTION("""COMPUTED_VALUE"""),"Orgasm Intensity")</f>
        <v>Orgasm Intensity</v>
      </c>
      <c r="D255" s="29" t="str">
        <f>IFERROR(__xludf.DUMMYFUNCTION("""COMPUTED_VALUE"""),"3 (Medium/Average)")</f>
        <v>3 (Medium/Average)</v>
      </c>
      <c r="E255" s="29">
        <f>IFERROR(__xludf.DUMMYFUNCTION("""COMPUTED_VALUE"""),3.0)</f>
        <v>3</v>
      </c>
    </row>
    <row r="256">
      <c r="A256" s="33">
        <f>IFERROR(__xludf.DUMMYFUNCTION("""COMPUTED_VALUE"""),45898.58556331019)</f>
        <v>45898.58556</v>
      </c>
      <c r="B256" s="29" t="str">
        <f>IFERROR(__xludf.DUMMYFUNCTION("""COMPUTED_VALUE"""),"Intact (Never circumcised)")</f>
        <v>Intact (Never circumcised)</v>
      </c>
      <c r="C256" s="29" t="str">
        <f>IFERROR(__xludf.DUMMYFUNCTION("""COMPUTED_VALUE"""),"Orgasm Intensity")</f>
        <v>Orgasm Intensity</v>
      </c>
      <c r="D256" s="29" t="str">
        <f>IFERROR(__xludf.DUMMYFUNCTION("""COMPUTED_VALUE"""),"5 (High/Excellent)")</f>
        <v>5 (High/Excellent)</v>
      </c>
      <c r="E256" s="29">
        <f>IFERROR(__xludf.DUMMYFUNCTION("""COMPUTED_VALUE"""),5.0)</f>
        <v>5</v>
      </c>
    </row>
    <row r="257">
      <c r="A257" s="33">
        <f>IFERROR(__xludf.DUMMYFUNCTION("""COMPUTED_VALUE"""),45899.51747539352)</f>
        <v>45899.51748</v>
      </c>
      <c r="B257" s="29" t="str">
        <f>IFERROR(__xludf.DUMMYFUNCTION("""COMPUTED_VALUE"""),"Actively restoring my foreskin / I consider myself restored")</f>
        <v>Actively restoring my foreskin / I consider myself restored</v>
      </c>
      <c r="C257" s="29" t="str">
        <f>IFERROR(__xludf.DUMMYFUNCTION("""COMPUTED_VALUE"""),"Orgasm Intensity")</f>
        <v>Orgasm Intensity</v>
      </c>
      <c r="D257" s="29" t="str">
        <f>IFERROR(__xludf.DUMMYFUNCTION("""COMPUTED_VALUE"""),"5 (High/Excellent)")</f>
        <v>5 (High/Excellent)</v>
      </c>
      <c r="E257" s="29">
        <f>IFERROR(__xludf.DUMMYFUNCTION("""COMPUTED_VALUE"""),5.0)</f>
        <v>5</v>
      </c>
    </row>
    <row r="258">
      <c r="A258" s="33">
        <f>IFERROR(__xludf.DUMMYFUNCTION("""COMPUTED_VALUE"""),45900.64462908564)</f>
        <v>45900.64463</v>
      </c>
      <c r="B258" s="29" t="str">
        <f>IFERROR(__xludf.DUMMYFUNCTION("""COMPUTED_VALUE"""),"Circumcised")</f>
        <v>Circumcised</v>
      </c>
      <c r="C258" s="29" t="str">
        <f>IFERROR(__xludf.DUMMYFUNCTION("""COMPUTED_VALUE"""),"Orgasm Intensity")</f>
        <v>Orgasm Intensity</v>
      </c>
      <c r="D258" s="29" t="str">
        <f>IFERROR(__xludf.DUMMYFUNCTION("""COMPUTED_VALUE"""),"5 (High/Excellent)")</f>
        <v>5 (High/Excellent)</v>
      </c>
      <c r="E258" s="29">
        <f>IFERROR(__xludf.DUMMYFUNCTION("""COMPUTED_VALUE"""),5.0)</f>
        <v>5</v>
      </c>
    </row>
    <row r="259">
      <c r="A259" s="33">
        <f>IFERROR(__xludf.DUMMYFUNCTION("""COMPUTED_VALUE"""),45902.88397509259)</f>
        <v>45902.88398</v>
      </c>
      <c r="B259" s="29" t="str">
        <f>IFERROR(__xludf.DUMMYFUNCTION("""COMPUTED_VALUE"""),"Intact (Never circumcised)")</f>
        <v>Intact (Never circumcised)</v>
      </c>
      <c r="C259" s="29" t="str">
        <f>IFERROR(__xludf.DUMMYFUNCTION("""COMPUTED_VALUE"""),"Orgasm Intensity")</f>
        <v>Orgasm Intensity</v>
      </c>
      <c r="D259" s="29" t="str">
        <f>IFERROR(__xludf.DUMMYFUNCTION("""COMPUTED_VALUE"""),"5 (High/Excellent)")</f>
        <v>5 (High/Excellent)</v>
      </c>
      <c r="E259" s="29">
        <f>IFERROR(__xludf.DUMMYFUNCTION("""COMPUTED_VALUE"""),5.0)</f>
        <v>5</v>
      </c>
    </row>
    <row r="260">
      <c r="A260" s="33">
        <f>IFERROR(__xludf.DUMMYFUNCTION("""COMPUTED_VALUE"""),45902.91345981481)</f>
        <v>45902.91346</v>
      </c>
      <c r="B260" s="29" t="str">
        <f>IFERROR(__xludf.DUMMYFUNCTION("""COMPUTED_VALUE"""),"Circumcised")</f>
        <v>Circumcised</v>
      </c>
      <c r="C260" s="29" t="str">
        <f>IFERROR(__xludf.DUMMYFUNCTION("""COMPUTED_VALUE"""),"Orgasm Intensity")</f>
        <v>Orgasm Intensity</v>
      </c>
      <c r="D260" s="29" t="str">
        <f>IFERROR(__xludf.DUMMYFUNCTION("""COMPUTED_VALUE"""),"2")</f>
        <v>2</v>
      </c>
      <c r="E260" s="29">
        <f>IFERROR(__xludf.DUMMYFUNCTION("""COMPUTED_VALUE"""),2.0)</f>
        <v>2</v>
      </c>
    </row>
    <row r="261">
      <c r="A261" s="33">
        <f>IFERROR(__xludf.DUMMYFUNCTION("""COMPUTED_VALUE"""),45902.93139501157)</f>
        <v>45902.9314</v>
      </c>
      <c r="B261" s="29" t="str">
        <f>IFERROR(__xludf.DUMMYFUNCTION("""COMPUTED_VALUE"""),"Circumcised")</f>
        <v>Circumcised</v>
      </c>
      <c r="C261" s="29" t="str">
        <f>IFERROR(__xludf.DUMMYFUNCTION("""COMPUTED_VALUE"""),"Orgasm Intensity")</f>
        <v>Orgasm Intensity</v>
      </c>
      <c r="D261" s="29" t="str">
        <f>IFERROR(__xludf.DUMMYFUNCTION("""COMPUTED_VALUE"""),"3 (Medium/Average)")</f>
        <v>3 (Medium/Average)</v>
      </c>
      <c r="E261" s="29">
        <f>IFERROR(__xludf.DUMMYFUNCTION("""COMPUTED_VALUE"""),3.0)</f>
        <v>3</v>
      </c>
    </row>
    <row r="262">
      <c r="A262" s="33">
        <f>IFERROR(__xludf.DUMMYFUNCTION("""COMPUTED_VALUE"""),45902.9375257639)</f>
        <v>45902.93753</v>
      </c>
      <c r="B262" s="29" t="str">
        <f>IFERROR(__xludf.DUMMYFUNCTION("""COMPUTED_VALUE"""),"Intact (Never circumcised)")</f>
        <v>Intact (Never circumcised)</v>
      </c>
      <c r="C262" s="29" t="str">
        <f>IFERROR(__xludf.DUMMYFUNCTION("""COMPUTED_VALUE"""),"Orgasm Intensity")</f>
        <v>Orgasm Intensity</v>
      </c>
      <c r="D262" s="29" t="str">
        <f>IFERROR(__xludf.DUMMYFUNCTION("""COMPUTED_VALUE"""),"3 (Medium/Average)")</f>
        <v>3 (Medium/Average)</v>
      </c>
      <c r="E262" s="29">
        <f>IFERROR(__xludf.DUMMYFUNCTION("""COMPUTED_VALUE"""),3.0)</f>
        <v>3</v>
      </c>
    </row>
    <row r="263">
      <c r="A263" s="33">
        <f>IFERROR(__xludf.DUMMYFUNCTION("""COMPUTED_VALUE"""),45903.44211505787)</f>
        <v>45903.44212</v>
      </c>
      <c r="B263" s="29" t="str">
        <f>IFERROR(__xludf.DUMMYFUNCTION("""COMPUTED_VALUE"""),"Intact (Never circumcised)")</f>
        <v>Intact (Never circumcised)</v>
      </c>
      <c r="C263" s="29" t="str">
        <f>IFERROR(__xludf.DUMMYFUNCTION("""COMPUTED_VALUE"""),"Orgasm Intensity")</f>
        <v>Orgasm Intensity</v>
      </c>
      <c r="D263" s="29" t="str">
        <f>IFERROR(__xludf.DUMMYFUNCTION("""COMPUTED_VALUE"""),"2")</f>
        <v>2</v>
      </c>
      <c r="E263" s="29">
        <f>IFERROR(__xludf.DUMMYFUNCTION("""COMPUTED_VALUE"""),2.0)</f>
        <v>2</v>
      </c>
    </row>
    <row r="264">
      <c r="A264" s="33">
        <f>IFERROR(__xludf.DUMMYFUNCTION("""COMPUTED_VALUE"""),45903.48758677083)</f>
        <v>45903.48759</v>
      </c>
      <c r="B264" s="29" t="str">
        <f>IFERROR(__xludf.DUMMYFUNCTION("""COMPUTED_VALUE"""),"Circumcised")</f>
        <v>Circumcised</v>
      </c>
      <c r="C264" s="29" t="str">
        <f>IFERROR(__xludf.DUMMYFUNCTION("""COMPUTED_VALUE"""),"Orgasm Intensity")</f>
        <v>Orgasm Intensity</v>
      </c>
      <c r="D264" s="29" t="str">
        <f>IFERROR(__xludf.DUMMYFUNCTION("""COMPUTED_VALUE"""),"4")</f>
        <v>4</v>
      </c>
      <c r="E264" s="29">
        <f>IFERROR(__xludf.DUMMYFUNCTION("""COMPUTED_VALUE"""),4.0)</f>
        <v>4</v>
      </c>
    </row>
    <row r="265">
      <c r="A265" s="33">
        <f>IFERROR(__xludf.DUMMYFUNCTION("""COMPUTED_VALUE"""),45903.51030376158)</f>
        <v>45903.5103</v>
      </c>
      <c r="B265" s="29" t="str">
        <f>IFERROR(__xludf.DUMMYFUNCTION("""COMPUTED_VALUE"""),"Intact (Never circumcised)")</f>
        <v>Intact (Never circumcised)</v>
      </c>
      <c r="C265" s="29" t="str">
        <f>IFERROR(__xludf.DUMMYFUNCTION("""COMPUTED_VALUE"""),"Orgasm Intensity")</f>
        <v>Orgasm Intensity</v>
      </c>
      <c r="D265" s="29" t="str">
        <f>IFERROR(__xludf.DUMMYFUNCTION("""COMPUTED_VALUE"""),"2")</f>
        <v>2</v>
      </c>
      <c r="E265" s="29">
        <f>IFERROR(__xludf.DUMMYFUNCTION("""COMPUTED_VALUE"""),2.0)</f>
        <v>2</v>
      </c>
    </row>
    <row r="266">
      <c r="A266" s="33">
        <f>IFERROR(__xludf.DUMMYFUNCTION("""COMPUTED_VALUE"""),45903.51222153935)</f>
        <v>45903.51222</v>
      </c>
      <c r="B266" s="29" t="str">
        <f>IFERROR(__xludf.DUMMYFUNCTION("""COMPUTED_VALUE"""),"Circumcised")</f>
        <v>Circumcised</v>
      </c>
      <c r="C266" s="29" t="str">
        <f>IFERROR(__xludf.DUMMYFUNCTION("""COMPUTED_VALUE"""),"Orgasm Intensity")</f>
        <v>Orgasm Intensity</v>
      </c>
      <c r="D266" s="29" t="str">
        <f>IFERROR(__xludf.DUMMYFUNCTION("""COMPUTED_VALUE"""),"3 (Medium/Average)")</f>
        <v>3 (Medium/Average)</v>
      </c>
      <c r="E266" s="29">
        <f>IFERROR(__xludf.DUMMYFUNCTION("""COMPUTED_VALUE"""),3.0)</f>
        <v>3</v>
      </c>
    </row>
    <row r="267">
      <c r="A267" s="33">
        <f>IFERROR(__xludf.DUMMYFUNCTION("""COMPUTED_VALUE"""),45903.55631206019)</f>
        <v>45903.55631</v>
      </c>
      <c r="B267" s="29" t="str">
        <f>IFERROR(__xludf.DUMMYFUNCTION("""COMPUTED_VALUE"""),"Intact (Never circumcised)")</f>
        <v>Intact (Never circumcised)</v>
      </c>
      <c r="C267" s="29" t="str">
        <f>IFERROR(__xludf.DUMMYFUNCTION("""COMPUTED_VALUE"""),"Orgasm Intensity")</f>
        <v>Orgasm Intensity</v>
      </c>
      <c r="D267" s="29" t="str">
        <f>IFERROR(__xludf.DUMMYFUNCTION("""COMPUTED_VALUE"""),"4")</f>
        <v>4</v>
      </c>
      <c r="E267" s="29">
        <f>IFERROR(__xludf.DUMMYFUNCTION("""COMPUTED_VALUE"""),4.0)</f>
        <v>4</v>
      </c>
    </row>
    <row r="268">
      <c r="A268" s="33">
        <f>IFERROR(__xludf.DUMMYFUNCTION("""COMPUTED_VALUE"""),45903.60210783565)</f>
        <v>45903.60211</v>
      </c>
      <c r="B268" s="29" t="str">
        <f>IFERROR(__xludf.DUMMYFUNCTION("""COMPUTED_VALUE"""),"Intact (Never circumcised)")</f>
        <v>Intact (Never circumcised)</v>
      </c>
      <c r="C268" s="29" t="str">
        <f>IFERROR(__xludf.DUMMYFUNCTION("""COMPUTED_VALUE"""),"Orgasm Intensity")</f>
        <v>Orgasm Intensity</v>
      </c>
      <c r="D268" s="29" t="str">
        <f>IFERROR(__xludf.DUMMYFUNCTION("""COMPUTED_VALUE"""),"3 (Medium/Average)")</f>
        <v>3 (Medium/Average)</v>
      </c>
      <c r="E268" s="29">
        <f>IFERROR(__xludf.DUMMYFUNCTION("""COMPUTED_VALUE"""),3.0)</f>
        <v>3</v>
      </c>
    </row>
    <row r="269">
      <c r="A269" s="33">
        <f>IFERROR(__xludf.DUMMYFUNCTION("""COMPUTED_VALUE"""),45903.61053475695)</f>
        <v>45903.61053</v>
      </c>
      <c r="B269" s="29" t="str">
        <f>IFERROR(__xludf.DUMMYFUNCTION("""COMPUTED_VALUE"""),"Circumcised")</f>
        <v>Circumcised</v>
      </c>
      <c r="C269" s="29" t="str">
        <f>IFERROR(__xludf.DUMMYFUNCTION("""COMPUTED_VALUE"""),"Orgasm Intensity")</f>
        <v>Orgasm Intensity</v>
      </c>
      <c r="D269" s="29" t="str">
        <f>IFERROR(__xludf.DUMMYFUNCTION("""COMPUTED_VALUE"""),"4")</f>
        <v>4</v>
      </c>
      <c r="E269" s="29">
        <f>IFERROR(__xludf.DUMMYFUNCTION("""COMPUTED_VALUE"""),4.0)</f>
        <v>4</v>
      </c>
    </row>
    <row r="270">
      <c r="A270" s="33">
        <f>IFERROR(__xludf.DUMMYFUNCTION("""COMPUTED_VALUE"""),45903.6418905324)</f>
        <v>45903.64189</v>
      </c>
      <c r="B270" s="29" t="str">
        <f>IFERROR(__xludf.DUMMYFUNCTION("""COMPUTED_VALUE"""),"Circumcised")</f>
        <v>Circumcised</v>
      </c>
      <c r="C270" s="29" t="str">
        <f>IFERROR(__xludf.DUMMYFUNCTION("""COMPUTED_VALUE"""),"Orgasm Intensity")</f>
        <v>Orgasm Intensity</v>
      </c>
      <c r="D270" s="29" t="str">
        <f>IFERROR(__xludf.DUMMYFUNCTION("""COMPUTED_VALUE"""),"3 (Medium/Average)")</f>
        <v>3 (Medium/Average)</v>
      </c>
      <c r="E270" s="29">
        <f>IFERROR(__xludf.DUMMYFUNCTION("""COMPUTED_VALUE"""),3.0)</f>
        <v>3</v>
      </c>
    </row>
    <row r="271">
      <c r="A271" s="33">
        <f>IFERROR(__xludf.DUMMYFUNCTION("""COMPUTED_VALUE"""),45903.651005266205)</f>
        <v>45903.65101</v>
      </c>
      <c r="B271" s="29" t="str">
        <f>IFERROR(__xludf.DUMMYFUNCTION("""COMPUTED_VALUE"""),"Circumcised")</f>
        <v>Circumcised</v>
      </c>
      <c r="C271" s="29" t="str">
        <f>IFERROR(__xludf.DUMMYFUNCTION("""COMPUTED_VALUE"""),"Orgasm Intensity")</f>
        <v>Orgasm Intensity</v>
      </c>
      <c r="D271" s="29" t="str">
        <f>IFERROR(__xludf.DUMMYFUNCTION("""COMPUTED_VALUE"""),"4")</f>
        <v>4</v>
      </c>
      <c r="E271" s="29">
        <f>IFERROR(__xludf.DUMMYFUNCTION("""COMPUTED_VALUE"""),4.0)</f>
        <v>4</v>
      </c>
    </row>
    <row r="272">
      <c r="A272" s="33">
        <f>IFERROR(__xludf.DUMMYFUNCTION("""COMPUTED_VALUE"""),45903.6764394213)</f>
        <v>45903.67644</v>
      </c>
      <c r="B272" s="29" t="str">
        <f>IFERROR(__xludf.DUMMYFUNCTION("""COMPUTED_VALUE"""),"Circumcised")</f>
        <v>Circumcised</v>
      </c>
      <c r="C272" s="29" t="str">
        <f>IFERROR(__xludf.DUMMYFUNCTION("""COMPUTED_VALUE"""),"Orgasm Intensity")</f>
        <v>Orgasm Intensity</v>
      </c>
      <c r="D272" s="29" t="str">
        <f>IFERROR(__xludf.DUMMYFUNCTION("""COMPUTED_VALUE"""),"3 (Medium/Average)")</f>
        <v>3 (Medium/Average)</v>
      </c>
      <c r="E272" s="29">
        <f>IFERROR(__xludf.DUMMYFUNCTION("""COMPUTED_VALUE"""),3.0)</f>
        <v>3</v>
      </c>
    </row>
    <row r="273">
      <c r="A273" s="33">
        <f>IFERROR(__xludf.DUMMYFUNCTION("""COMPUTED_VALUE"""),45903.70256416666)</f>
        <v>45903.70256</v>
      </c>
      <c r="B273" s="29" t="str">
        <f>IFERROR(__xludf.DUMMYFUNCTION("""COMPUTED_VALUE"""),"Actively restoring my foreskin / I consider myself restored")</f>
        <v>Actively restoring my foreskin / I consider myself restored</v>
      </c>
      <c r="C273" s="29" t="str">
        <f>IFERROR(__xludf.DUMMYFUNCTION("""COMPUTED_VALUE"""),"Orgasm Intensity")</f>
        <v>Orgasm Intensity</v>
      </c>
      <c r="D273" s="29" t="str">
        <f>IFERROR(__xludf.DUMMYFUNCTION("""COMPUTED_VALUE"""),"4")</f>
        <v>4</v>
      </c>
      <c r="E273" s="29">
        <f>IFERROR(__xludf.DUMMYFUNCTION("""COMPUTED_VALUE"""),4.0)</f>
        <v>4</v>
      </c>
    </row>
    <row r="274">
      <c r="A274" s="33">
        <f>IFERROR(__xludf.DUMMYFUNCTION("""COMPUTED_VALUE"""),45904.68773384259)</f>
        <v>45904.68773</v>
      </c>
      <c r="B274" s="29" t="str">
        <f>IFERROR(__xludf.DUMMYFUNCTION("""COMPUTED_VALUE"""),"Circumcised")</f>
        <v>Circumcised</v>
      </c>
      <c r="C274" s="29" t="str">
        <f>IFERROR(__xludf.DUMMYFUNCTION("""COMPUTED_VALUE"""),"Orgasm Intensity")</f>
        <v>Orgasm Intensity</v>
      </c>
      <c r="D274" s="29" t="str">
        <f>IFERROR(__xludf.DUMMYFUNCTION("""COMPUTED_VALUE"""),"5 (High/Excellent)")</f>
        <v>5 (High/Excellent)</v>
      </c>
      <c r="E274" s="29">
        <f>IFERROR(__xludf.DUMMYFUNCTION("""COMPUTED_VALUE"""),5.0)</f>
        <v>5</v>
      </c>
    </row>
    <row r="275">
      <c r="A275" s="33">
        <f>IFERROR(__xludf.DUMMYFUNCTION("""COMPUTED_VALUE"""),45908.39691986111)</f>
        <v>45908.39692</v>
      </c>
      <c r="B275" s="29" t="str">
        <f>IFERROR(__xludf.DUMMYFUNCTION("""COMPUTED_VALUE"""),"Actively restoring my foreskin / I consider myself restored")</f>
        <v>Actively restoring my foreskin / I consider myself restored</v>
      </c>
      <c r="C275" s="29" t="str">
        <f>IFERROR(__xludf.DUMMYFUNCTION("""COMPUTED_VALUE"""),"Orgasm Intensity")</f>
        <v>Orgasm Intensity</v>
      </c>
      <c r="D275" s="29" t="str">
        <f>IFERROR(__xludf.DUMMYFUNCTION("""COMPUTED_VALUE"""),"3 (Medium/Average)")</f>
        <v>3 (Medium/Average)</v>
      </c>
      <c r="E275" s="29">
        <f>IFERROR(__xludf.DUMMYFUNCTION("""COMPUTED_VALUE"""),3.0)</f>
        <v>3</v>
      </c>
    </row>
    <row r="276">
      <c r="A276" s="33">
        <f>IFERROR(__xludf.DUMMYFUNCTION("""COMPUTED_VALUE"""),45908.43864734953)</f>
        <v>45908.43865</v>
      </c>
      <c r="B276" s="29" t="str">
        <f>IFERROR(__xludf.DUMMYFUNCTION("""COMPUTED_VALUE"""),"Intact (Never circumcised)")</f>
        <v>Intact (Never circumcised)</v>
      </c>
      <c r="C276" s="29" t="str">
        <f>IFERROR(__xludf.DUMMYFUNCTION("""COMPUTED_VALUE"""),"Orgasm Intensity")</f>
        <v>Orgasm Intensity</v>
      </c>
      <c r="D276" s="29" t="str">
        <f>IFERROR(__xludf.DUMMYFUNCTION("""COMPUTED_VALUE"""),"4")</f>
        <v>4</v>
      </c>
      <c r="E276" s="29">
        <f>IFERROR(__xludf.DUMMYFUNCTION("""COMPUTED_VALUE"""),4.0)</f>
        <v>4</v>
      </c>
    </row>
    <row r="277">
      <c r="A277" s="33">
        <f>IFERROR(__xludf.DUMMYFUNCTION("""COMPUTED_VALUE"""),45909.61754627315)</f>
        <v>45909.61755</v>
      </c>
      <c r="B277" s="29" t="str">
        <f>IFERROR(__xludf.DUMMYFUNCTION("""COMPUTED_VALUE"""),"Intact (Never circumcised)")</f>
        <v>Intact (Never circumcised)</v>
      </c>
      <c r="C277" s="29" t="str">
        <f>IFERROR(__xludf.DUMMYFUNCTION("""COMPUTED_VALUE"""),"Orgasm Intensity")</f>
        <v>Orgasm Intensity</v>
      </c>
      <c r="D277" s="29" t="str">
        <f>IFERROR(__xludf.DUMMYFUNCTION("""COMPUTED_VALUE"""),"3 (Medium/Average)")</f>
        <v>3 (Medium/Average)</v>
      </c>
      <c r="E277" s="29">
        <f>IFERROR(__xludf.DUMMYFUNCTION("""COMPUTED_VALUE"""),3.0)</f>
        <v>3</v>
      </c>
    </row>
    <row r="278">
      <c r="A278" s="33">
        <f>IFERROR(__xludf.DUMMYFUNCTION("""COMPUTED_VALUE"""),45909.787554953706)</f>
        <v>45909.78755</v>
      </c>
      <c r="B278" s="29" t="str">
        <f>IFERROR(__xludf.DUMMYFUNCTION("""COMPUTED_VALUE"""),"Actively restoring my foreskin / I consider myself restored")</f>
        <v>Actively restoring my foreskin / I consider myself restored</v>
      </c>
      <c r="C278" s="29" t="str">
        <f>IFERROR(__xludf.DUMMYFUNCTION("""COMPUTED_VALUE"""),"Orgasm Intensity")</f>
        <v>Orgasm Intensity</v>
      </c>
      <c r="D278" s="29" t="str">
        <f>IFERROR(__xludf.DUMMYFUNCTION("""COMPUTED_VALUE"""),"3 (Medium/Average)")</f>
        <v>3 (Medium/Average)</v>
      </c>
      <c r="E278" s="29">
        <f>IFERROR(__xludf.DUMMYFUNCTION("""COMPUTED_VALUE"""),3.0)</f>
        <v>3</v>
      </c>
    </row>
    <row r="279">
      <c r="A279" s="33">
        <f>IFERROR(__xludf.DUMMYFUNCTION("""COMPUTED_VALUE"""),45915.3204787963)</f>
        <v>45915.32048</v>
      </c>
      <c r="B279" s="29" t="str">
        <f>IFERROR(__xludf.DUMMYFUNCTION("""COMPUTED_VALUE"""),"Actively restoring my foreskin / I consider myself restored")</f>
        <v>Actively restoring my foreskin / I consider myself restored</v>
      </c>
      <c r="C279" s="29" t="str">
        <f>IFERROR(__xludf.DUMMYFUNCTION("""COMPUTED_VALUE"""),"Orgasm Intensity")</f>
        <v>Orgasm Intensity</v>
      </c>
      <c r="D279" s="29" t="str">
        <f>IFERROR(__xludf.DUMMYFUNCTION("""COMPUTED_VALUE"""),"1 (Low/Poor)")</f>
        <v>1 (Low/Poor)</v>
      </c>
      <c r="E279" s="29">
        <f>IFERROR(__xludf.DUMMYFUNCTION("""COMPUTED_VALUE"""),1.0)</f>
        <v>1</v>
      </c>
    </row>
    <row r="280">
      <c r="A280" s="33">
        <f>IFERROR(__xludf.DUMMYFUNCTION("""COMPUTED_VALUE"""),45917.67038480324)</f>
        <v>45917.67038</v>
      </c>
      <c r="B280" s="29" t="str">
        <f>IFERROR(__xludf.DUMMYFUNCTION("""COMPUTED_VALUE"""),"Actively restoring my foreskin / I consider myself restored")</f>
        <v>Actively restoring my foreskin / I consider myself restored</v>
      </c>
      <c r="C280" s="29" t="str">
        <f>IFERROR(__xludf.DUMMYFUNCTION("""COMPUTED_VALUE"""),"Orgasm Intensity")</f>
        <v>Orgasm Intensity</v>
      </c>
      <c r="D280" s="29" t="str">
        <f>IFERROR(__xludf.DUMMYFUNCTION("""COMPUTED_VALUE"""),"3 (Medium/Average)")</f>
        <v>3 (Medium/Average)</v>
      </c>
      <c r="E280" s="29">
        <f>IFERROR(__xludf.DUMMYFUNCTION("""COMPUTED_VALUE"""),3.0)</f>
        <v>3</v>
      </c>
    </row>
    <row r="281">
      <c r="A281" s="33">
        <f>IFERROR(__xludf.DUMMYFUNCTION("""COMPUTED_VALUE"""),45917.73239077546)</f>
        <v>45917.73239</v>
      </c>
      <c r="B281" s="29" t="str">
        <f>IFERROR(__xludf.DUMMYFUNCTION("""COMPUTED_VALUE"""),"Circumcised")</f>
        <v>Circumcised</v>
      </c>
      <c r="C281" s="29" t="str">
        <f>IFERROR(__xludf.DUMMYFUNCTION("""COMPUTED_VALUE"""),"Orgasm Intensity")</f>
        <v>Orgasm Intensity</v>
      </c>
      <c r="D281" s="29" t="str">
        <f>IFERROR(__xludf.DUMMYFUNCTION("""COMPUTED_VALUE"""),"3 (Medium/Average)")</f>
        <v>3 (Medium/Average)</v>
      </c>
      <c r="E281" s="29">
        <f>IFERROR(__xludf.DUMMYFUNCTION("""COMPUTED_VALUE"""),3.0)</f>
        <v>3</v>
      </c>
    </row>
    <row r="282">
      <c r="A282" s="33">
        <f>IFERROR(__xludf.DUMMYFUNCTION("""COMPUTED_VALUE"""),45918.237352870376)</f>
        <v>45918.23735</v>
      </c>
      <c r="B282" s="29" t="str">
        <f>IFERROR(__xludf.DUMMYFUNCTION("""COMPUTED_VALUE"""),"Circumcised")</f>
        <v>Circumcised</v>
      </c>
      <c r="C282" s="29" t="str">
        <f>IFERROR(__xludf.DUMMYFUNCTION("""COMPUTED_VALUE"""),"Orgasm Intensity")</f>
        <v>Orgasm Intensity</v>
      </c>
      <c r="D282" s="29" t="str">
        <f>IFERROR(__xludf.DUMMYFUNCTION("""COMPUTED_VALUE"""),"5 (High/Excellent)")</f>
        <v>5 (High/Excellent)</v>
      </c>
      <c r="E282" s="29">
        <f>IFERROR(__xludf.DUMMYFUNCTION("""COMPUTED_VALUE"""),5.0)</f>
        <v>5</v>
      </c>
    </row>
    <row r="283">
      <c r="A283" s="33">
        <f>IFERROR(__xludf.DUMMYFUNCTION("""COMPUTED_VALUE"""),45920.67861195602)</f>
        <v>45920.67861</v>
      </c>
      <c r="B283" s="29" t="str">
        <f>IFERROR(__xludf.DUMMYFUNCTION("""COMPUTED_VALUE"""),"Intact (Never circumcised)")</f>
        <v>Intact (Never circumcised)</v>
      </c>
      <c r="C283" s="29" t="str">
        <f>IFERROR(__xludf.DUMMYFUNCTION("""COMPUTED_VALUE"""),"Orgasm Intensity")</f>
        <v>Orgasm Intensity</v>
      </c>
      <c r="D283" s="29" t="str">
        <f>IFERROR(__xludf.DUMMYFUNCTION("""COMPUTED_VALUE"""),"2")</f>
        <v>2</v>
      </c>
      <c r="E283" s="29">
        <f>IFERROR(__xludf.DUMMYFUNCTION("""COMPUTED_VALUE"""),2.0)</f>
        <v>2</v>
      </c>
    </row>
    <row r="284">
      <c r="A284" s="33">
        <f>IFERROR(__xludf.DUMMYFUNCTION("""COMPUTED_VALUE"""),45921.55637546296)</f>
        <v>45921.55638</v>
      </c>
      <c r="B284" s="29" t="str">
        <f>IFERROR(__xludf.DUMMYFUNCTION("""COMPUTED_VALUE"""),"Circumcised")</f>
        <v>Circumcised</v>
      </c>
      <c r="C284" s="29" t="str">
        <f>IFERROR(__xludf.DUMMYFUNCTION("""COMPUTED_VALUE"""),"Orgasm Intensity")</f>
        <v>Orgasm Intensity</v>
      </c>
      <c r="D284" s="29" t="str">
        <f>IFERROR(__xludf.DUMMYFUNCTION("""COMPUTED_VALUE"""),"4")</f>
        <v>4</v>
      </c>
      <c r="E284" s="29">
        <f>IFERROR(__xludf.DUMMYFUNCTION("""COMPUTED_VALUE"""),4.0)</f>
        <v>4</v>
      </c>
    </row>
    <row r="285">
      <c r="A285" s="33">
        <f>IFERROR(__xludf.DUMMYFUNCTION("""COMPUTED_VALUE"""),45921.55864135417)</f>
        <v>45921.55864</v>
      </c>
      <c r="B285" s="29" t="str">
        <f>IFERROR(__xludf.DUMMYFUNCTION("""COMPUTED_VALUE"""),"Intact (Never circumcised)")</f>
        <v>Intact (Never circumcised)</v>
      </c>
      <c r="C285" s="29" t="str">
        <f>IFERROR(__xludf.DUMMYFUNCTION("""COMPUTED_VALUE"""),"Orgasm Intensity")</f>
        <v>Orgasm Intensity</v>
      </c>
      <c r="D285" s="29" t="str">
        <f>IFERROR(__xludf.DUMMYFUNCTION("""COMPUTED_VALUE"""),"4")</f>
        <v>4</v>
      </c>
      <c r="E285" s="29">
        <f>IFERROR(__xludf.DUMMYFUNCTION("""COMPUTED_VALUE"""),4.0)</f>
        <v>4</v>
      </c>
    </row>
    <row r="286">
      <c r="A286" s="33">
        <f>IFERROR(__xludf.DUMMYFUNCTION("""COMPUTED_VALUE"""),45921.571817627315)</f>
        <v>45921.57182</v>
      </c>
      <c r="B286" s="29" t="str">
        <f>IFERROR(__xludf.DUMMYFUNCTION("""COMPUTED_VALUE"""),"Actively restoring my foreskin / I consider myself restored")</f>
        <v>Actively restoring my foreskin / I consider myself restored</v>
      </c>
      <c r="C286" s="29" t="str">
        <f>IFERROR(__xludf.DUMMYFUNCTION("""COMPUTED_VALUE"""),"Orgasm Intensity")</f>
        <v>Orgasm Intensity</v>
      </c>
      <c r="D286" s="29" t="str">
        <f>IFERROR(__xludf.DUMMYFUNCTION("""COMPUTED_VALUE"""),"3 (Medium/Average)")</f>
        <v>3 (Medium/Average)</v>
      </c>
      <c r="E286" s="29">
        <f>IFERROR(__xludf.DUMMYFUNCTION("""COMPUTED_VALUE"""),3.0)</f>
        <v>3</v>
      </c>
    </row>
    <row r="287">
      <c r="A287" s="33">
        <f>IFERROR(__xludf.DUMMYFUNCTION("""COMPUTED_VALUE"""),45921.58873783565)</f>
        <v>45921.58874</v>
      </c>
      <c r="B287" s="29" t="str">
        <f>IFERROR(__xludf.DUMMYFUNCTION("""COMPUTED_VALUE"""),"Circumcised")</f>
        <v>Circumcised</v>
      </c>
      <c r="C287" s="29" t="str">
        <f>IFERROR(__xludf.DUMMYFUNCTION("""COMPUTED_VALUE"""),"Orgasm Intensity")</f>
        <v>Orgasm Intensity</v>
      </c>
      <c r="D287" s="29" t="str">
        <f>IFERROR(__xludf.DUMMYFUNCTION("""COMPUTED_VALUE"""),"3 (Medium/Average)")</f>
        <v>3 (Medium/Average)</v>
      </c>
      <c r="E287" s="29">
        <f>IFERROR(__xludf.DUMMYFUNCTION("""COMPUTED_VALUE"""),3.0)</f>
        <v>3</v>
      </c>
    </row>
    <row r="288">
      <c r="A288" s="33">
        <f>IFERROR(__xludf.DUMMYFUNCTION("""COMPUTED_VALUE"""),45922.126089375)</f>
        <v>45922.12609</v>
      </c>
      <c r="B288" s="29" t="str">
        <f>IFERROR(__xludf.DUMMYFUNCTION("""COMPUTED_VALUE"""),"Circumcised")</f>
        <v>Circumcised</v>
      </c>
      <c r="C288" s="29" t="str">
        <f>IFERROR(__xludf.DUMMYFUNCTION("""COMPUTED_VALUE"""),"Orgasm Intensity")</f>
        <v>Orgasm Intensity</v>
      </c>
      <c r="D288" s="29" t="str">
        <f>IFERROR(__xludf.DUMMYFUNCTION("""COMPUTED_VALUE"""),"5 (High/Excellent)")</f>
        <v>5 (High/Excellent)</v>
      </c>
      <c r="E288" s="29">
        <f>IFERROR(__xludf.DUMMYFUNCTION("""COMPUTED_VALUE"""),5.0)</f>
        <v>5</v>
      </c>
    </row>
    <row r="289">
      <c r="A289" s="33">
        <f>IFERROR(__xludf.DUMMYFUNCTION("""COMPUTED_VALUE"""),45922.53526744213)</f>
        <v>45922.53527</v>
      </c>
      <c r="B289" s="29" t="str">
        <f>IFERROR(__xludf.DUMMYFUNCTION("""COMPUTED_VALUE"""),"Circumcised")</f>
        <v>Circumcised</v>
      </c>
      <c r="C289" s="29" t="str">
        <f>IFERROR(__xludf.DUMMYFUNCTION("""COMPUTED_VALUE"""),"Orgasm Intensity")</f>
        <v>Orgasm Intensity</v>
      </c>
      <c r="D289" s="29" t="str">
        <f>IFERROR(__xludf.DUMMYFUNCTION("""COMPUTED_VALUE"""),"3 (Medium/Average)")</f>
        <v>3 (Medium/Average)</v>
      </c>
      <c r="E289" s="29">
        <f>IFERROR(__xludf.DUMMYFUNCTION("""COMPUTED_VALUE"""),3.0)</f>
        <v>3</v>
      </c>
    </row>
    <row r="290">
      <c r="A290" s="33">
        <f>IFERROR(__xludf.DUMMYFUNCTION("""COMPUTED_VALUE"""),45922.540856585656)</f>
        <v>45922.54086</v>
      </c>
      <c r="B290" s="29" t="str">
        <f>IFERROR(__xludf.DUMMYFUNCTION("""COMPUTED_VALUE"""),"Actively restoring my foreskin / I consider myself restored")</f>
        <v>Actively restoring my foreskin / I consider myself restored</v>
      </c>
      <c r="C290" s="29" t="str">
        <f>IFERROR(__xludf.DUMMYFUNCTION("""COMPUTED_VALUE"""),"Orgasm Intensity")</f>
        <v>Orgasm Intensity</v>
      </c>
      <c r="D290" s="29" t="str">
        <f>IFERROR(__xludf.DUMMYFUNCTION("""COMPUTED_VALUE"""),"2")</f>
        <v>2</v>
      </c>
      <c r="E290" s="29">
        <f>IFERROR(__xludf.DUMMYFUNCTION("""COMPUTED_VALUE"""),2.0)</f>
        <v>2</v>
      </c>
    </row>
    <row r="291">
      <c r="A291" s="33">
        <f>IFERROR(__xludf.DUMMYFUNCTION("""COMPUTED_VALUE"""),45922.60076869212)</f>
        <v>45922.60077</v>
      </c>
      <c r="B291" s="29" t="str">
        <f>IFERROR(__xludf.DUMMYFUNCTION("""COMPUTED_VALUE"""),"Intact (Never circumcised)")</f>
        <v>Intact (Never circumcised)</v>
      </c>
      <c r="C291" s="29" t="str">
        <f>IFERROR(__xludf.DUMMYFUNCTION("""COMPUTED_VALUE"""),"Orgasm Intensity")</f>
        <v>Orgasm Intensity</v>
      </c>
      <c r="D291" s="29" t="str">
        <f>IFERROR(__xludf.DUMMYFUNCTION("""COMPUTED_VALUE"""),"5 (High/Excellent)")</f>
        <v>5 (High/Excellent)</v>
      </c>
      <c r="E291" s="29">
        <f>IFERROR(__xludf.DUMMYFUNCTION("""COMPUTED_VALUE"""),5.0)</f>
        <v>5</v>
      </c>
    </row>
    <row r="292">
      <c r="A292" s="33">
        <f>IFERROR(__xludf.DUMMYFUNCTION("""COMPUTED_VALUE"""),45922.61636423611)</f>
        <v>45922.61636</v>
      </c>
      <c r="B292" s="29" t="str">
        <f>IFERROR(__xludf.DUMMYFUNCTION("""COMPUTED_VALUE"""),"Circumcised")</f>
        <v>Circumcised</v>
      </c>
      <c r="C292" s="29" t="str">
        <f>IFERROR(__xludf.DUMMYFUNCTION("""COMPUTED_VALUE"""),"Orgasm Intensity")</f>
        <v>Orgasm Intensity</v>
      </c>
      <c r="D292" s="29" t="str">
        <f>IFERROR(__xludf.DUMMYFUNCTION("""COMPUTED_VALUE"""),"3 (Medium/Average)")</f>
        <v>3 (Medium/Average)</v>
      </c>
      <c r="E292" s="29">
        <f>IFERROR(__xludf.DUMMYFUNCTION("""COMPUTED_VALUE"""),3.0)</f>
        <v>3</v>
      </c>
    </row>
    <row r="293">
      <c r="A293" s="33">
        <f>IFERROR(__xludf.DUMMYFUNCTION("""COMPUTED_VALUE"""),45923.83860096065)</f>
        <v>45923.8386</v>
      </c>
      <c r="B293" s="29" t="str">
        <f>IFERROR(__xludf.DUMMYFUNCTION("""COMPUTED_VALUE"""),"Intact (Never circumcised)")</f>
        <v>Intact (Never circumcised)</v>
      </c>
      <c r="C293" s="29" t="str">
        <f>IFERROR(__xludf.DUMMYFUNCTION("""COMPUTED_VALUE"""),"Orgasm Intensity")</f>
        <v>Orgasm Intensity</v>
      </c>
      <c r="D293" s="29" t="str">
        <f>IFERROR(__xludf.DUMMYFUNCTION("""COMPUTED_VALUE"""),"5 (High/Excellent)")</f>
        <v>5 (High/Excellent)</v>
      </c>
      <c r="E293" s="29">
        <f>IFERROR(__xludf.DUMMYFUNCTION("""COMPUTED_VALUE"""),5.0)</f>
        <v>5</v>
      </c>
    </row>
    <row r="294">
      <c r="A294" s="33">
        <f>IFERROR(__xludf.DUMMYFUNCTION("""COMPUTED_VALUE"""),45924.36109353009)</f>
        <v>45924.36109</v>
      </c>
      <c r="B294" s="29" t="str">
        <f>IFERROR(__xludf.DUMMYFUNCTION("""COMPUTED_VALUE"""),"Circumcised")</f>
        <v>Circumcised</v>
      </c>
      <c r="C294" s="29" t="str">
        <f>IFERROR(__xludf.DUMMYFUNCTION("""COMPUTED_VALUE"""),"Orgasm Intensity")</f>
        <v>Orgasm Intensity</v>
      </c>
      <c r="D294" s="29" t="str">
        <f>IFERROR(__xludf.DUMMYFUNCTION("""COMPUTED_VALUE"""),"3 (Medium/Average)")</f>
        <v>3 (Medium/Average)</v>
      </c>
      <c r="E294" s="29">
        <f>IFERROR(__xludf.DUMMYFUNCTION("""COMPUTED_VALUE"""),3.0)</f>
        <v>3</v>
      </c>
    </row>
    <row r="295">
      <c r="A295" s="33">
        <f>IFERROR(__xludf.DUMMYFUNCTION("""COMPUTED_VALUE"""),45924.62656627315)</f>
        <v>45924.62657</v>
      </c>
      <c r="B295" s="29" t="str">
        <f>IFERROR(__xludf.DUMMYFUNCTION("""COMPUTED_VALUE"""),"Actively restoring my foreskin / I consider myself restored")</f>
        <v>Actively restoring my foreskin / I consider myself restored</v>
      </c>
      <c r="C295" s="29" t="str">
        <f>IFERROR(__xludf.DUMMYFUNCTION("""COMPUTED_VALUE"""),"Orgasm Intensity")</f>
        <v>Orgasm Intensity</v>
      </c>
      <c r="D295" s="29" t="str">
        <f>IFERROR(__xludf.DUMMYFUNCTION("""COMPUTED_VALUE"""),"4")</f>
        <v>4</v>
      </c>
      <c r="E295" s="29">
        <f>IFERROR(__xludf.DUMMYFUNCTION("""COMPUTED_VALUE"""),4.0)</f>
        <v>4</v>
      </c>
    </row>
    <row r="296">
      <c r="A296" s="33">
        <f>IFERROR(__xludf.DUMMYFUNCTION("""COMPUTED_VALUE"""),45926.096344583326)</f>
        <v>45926.09634</v>
      </c>
      <c r="B296" s="29" t="str">
        <f>IFERROR(__xludf.DUMMYFUNCTION("""COMPUTED_VALUE"""),"Circumcised")</f>
        <v>Circumcised</v>
      </c>
      <c r="C296" s="29" t="str">
        <f>IFERROR(__xludf.DUMMYFUNCTION("""COMPUTED_VALUE"""),"Orgasm Intensity")</f>
        <v>Orgasm Intensity</v>
      </c>
      <c r="D296" s="29" t="str">
        <f>IFERROR(__xludf.DUMMYFUNCTION("""COMPUTED_VALUE"""),"2")</f>
        <v>2</v>
      </c>
      <c r="E296" s="29">
        <f>IFERROR(__xludf.DUMMYFUNCTION("""COMPUTED_VALUE"""),2.0)</f>
        <v>2</v>
      </c>
    </row>
    <row r="297">
      <c r="A297" s="33">
        <f>IFERROR(__xludf.DUMMYFUNCTION("""COMPUTED_VALUE"""),45926.12340616898)</f>
        <v>45926.12341</v>
      </c>
      <c r="B297" s="29" t="str">
        <f>IFERROR(__xludf.DUMMYFUNCTION("""COMPUTED_VALUE"""),"Circumcised")</f>
        <v>Circumcised</v>
      </c>
      <c r="C297" s="29" t="str">
        <f>IFERROR(__xludf.DUMMYFUNCTION("""COMPUTED_VALUE"""),"Orgasm Intensity")</f>
        <v>Orgasm Intensity</v>
      </c>
      <c r="D297" s="29" t="str">
        <f>IFERROR(__xludf.DUMMYFUNCTION("""COMPUTED_VALUE"""),"5 (High/Excellent)")</f>
        <v>5 (High/Excellent)</v>
      </c>
      <c r="E297" s="29">
        <f>IFERROR(__xludf.DUMMYFUNCTION("""COMPUTED_VALUE"""),5.0)</f>
        <v>5</v>
      </c>
    </row>
    <row r="298">
      <c r="A298" s="33">
        <f>IFERROR(__xludf.DUMMYFUNCTION("""COMPUTED_VALUE"""),45927.602613229166)</f>
        <v>45927.60261</v>
      </c>
      <c r="B298" s="29" t="str">
        <f>IFERROR(__xludf.DUMMYFUNCTION("""COMPUTED_VALUE"""),"Circumcised")</f>
        <v>Circumcised</v>
      </c>
      <c r="C298" s="29" t="str">
        <f>IFERROR(__xludf.DUMMYFUNCTION("""COMPUTED_VALUE"""),"Orgasm Intensity")</f>
        <v>Orgasm Intensity</v>
      </c>
      <c r="D298" s="29" t="str">
        <f>IFERROR(__xludf.DUMMYFUNCTION("""COMPUTED_VALUE"""),"3 (Medium/Average)")</f>
        <v>3 (Medium/Average)</v>
      </c>
      <c r="E298" s="29">
        <f>IFERROR(__xludf.DUMMYFUNCTION("""COMPUTED_VALUE"""),3.0)</f>
        <v>3</v>
      </c>
    </row>
    <row r="299">
      <c r="A299" s="33">
        <f>IFERROR(__xludf.DUMMYFUNCTION("""COMPUTED_VALUE"""),45929.419320416666)</f>
        <v>45929.41932</v>
      </c>
      <c r="B299" s="29" t="str">
        <f>IFERROR(__xludf.DUMMYFUNCTION("""COMPUTED_VALUE"""),"Circumcised")</f>
        <v>Circumcised</v>
      </c>
      <c r="C299" s="29" t="str">
        <f>IFERROR(__xludf.DUMMYFUNCTION("""COMPUTED_VALUE"""),"Orgasm Intensity")</f>
        <v>Orgasm Intensity</v>
      </c>
      <c r="D299" s="29" t="str">
        <f>IFERROR(__xludf.DUMMYFUNCTION("""COMPUTED_VALUE"""),"3 (Medium/Average)")</f>
        <v>3 (Medium/Average)</v>
      </c>
      <c r="E299" s="29">
        <f>IFERROR(__xludf.DUMMYFUNCTION("""COMPUTED_VALUE"""),3.0)</f>
        <v>3</v>
      </c>
    </row>
    <row r="300">
      <c r="A300" s="33">
        <f>IFERROR(__xludf.DUMMYFUNCTION("""COMPUTED_VALUE"""),45929.53502336806)</f>
        <v>45929.53502</v>
      </c>
      <c r="B300" s="29" t="str">
        <f>IFERROR(__xludf.DUMMYFUNCTION("""COMPUTED_VALUE"""),"Intact (Never circumcised)")</f>
        <v>Intact (Never circumcised)</v>
      </c>
      <c r="C300" s="29" t="str">
        <f>IFERROR(__xludf.DUMMYFUNCTION("""COMPUTED_VALUE"""),"Orgasm Intensity")</f>
        <v>Orgasm Intensity</v>
      </c>
      <c r="D300" s="29" t="str">
        <f>IFERROR(__xludf.DUMMYFUNCTION("""COMPUTED_VALUE"""),"5 (High/Excellent)")</f>
        <v>5 (High/Excellent)</v>
      </c>
      <c r="E300" s="29">
        <f>IFERROR(__xludf.DUMMYFUNCTION("""COMPUTED_VALUE"""),5.0)</f>
        <v>5</v>
      </c>
    </row>
    <row r="301">
      <c r="A301" s="33">
        <f>IFERROR(__xludf.DUMMYFUNCTION("""COMPUTED_VALUE"""),45929.659956793985)</f>
        <v>45929.65996</v>
      </c>
      <c r="B301" s="29" t="str">
        <f>IFERROR(__xludf.DUMMYFUNCTION("""COMPUTED_VALUE"""),"Circumcised")</f>
        <v>Circumcised</v>
      </c>
      <c r="C301" s="29" t="str">
        <f>IFERROR(__xludf.DUMMYFUNCTION("""COMPUTED_VALUE"""),"Orgasm Intensity")</f>
        <v>Orgasm Intensity</v>
      </c>
      <c r="D301" s="29" t="str">
        <f>IFERROR(__xludf.DUMMYFUNCTION("""COMPUTED_VALUE"""),"2")</f>
        <v>2</v>
      </c>
      <c r="E301" s="29">
        <f>IFERROR(__xludf.DUMMYFUNCTION("""COMPUTED_VALUE"""),2.0)</f>
        <v>2</v>
      </c>
    </row>
    <row r="302">
      <c r="A302" s="33">
        <f>IFERROR(__xludf.DUMMYFUNCTION("""COMPUTED_VALUE"""),45929.82908622685)</f>
        <v>45929.82909</v>
      </c>
      <c r="B302" s="29" t="str">
        <f>IFERROR(__xludf.DUMMYFUNCTION("""COMPUTED_VALUE"""),"Circumcised")</f>
        <v>Circumcised</v>
      </c>
      <c r="C302" s="29" t="str">
        <f>IFERROR(__xludf.DUMMYFUNCTION("""COMPUTED_VALUE"""),"Orgasm Intensity")</f>
        <v>Orgasm Intensity</v>
      </c>
      <c r="D302" s="29" t="str">
        <f>IFERROR(__xludf.DUMMYFUNCTION("""COMPUTED_VALUE"""),"1 (Low/Poor)")</f>
        <v>1 (Low/Poor)</v>
      </c>
      <c r="E302" s="29">
        <f>IFERROR(__xludf.DUMMYFUNCTION("""COMPUTED_VALUE"""),1.0)</f>
        <v>1</v>
      </c>
    </row>
    <row r="303">
      <c r="A303" s="33">
        <f>IFERROR(__xludf.DUMMYFUNCTION("""COMPUTED_VALUE"""),45931.49685126157)</f>
        <v>45931.49685</v>
      </c>
      <c r="B303" s="29" t="str">
        <f>IFERROR(__xludf.DUMMYFUNCTION("""COMPUTED_VALUE"""),"Circumcised")</f>
        <v>Circumcised</v>
      </c>
      <c r="C303" s="29" t="str">
        <f>IFERROR(__xludf.DUMMYFUNCTION("""COMPUTED_VALUE"""),"Orgasm Intensity")</f>
        <v>Orgasm Intensity</v>
      </c>
      <c r="D303" s="29" t="str">
        <f>IFERROR(__xludf.DUMMYFUNCTION("""COMPUTED_VALUE"""),"1 (Low/Poor)")</f>
        <v>1 (Low/Poor)</v>
      </c>
      <c r="E303" s="29">
        <f>IFERROR(__xludf.DUMMYFUNCTION("""COMPUTED_VALUE"""),1.0)</f>
        <v>1</v>
      </c>
    </row>
    <row r="304">
      <c r="A304" s="33">
        <f>IFERROR(__xludf.DUMMYFUNCTION("""COMPUTED_VALUE"""),45933.70498268518)</f>
        <v>45933.70498</v>
      </c>
      <c r="B304" s="29" t="str">
        <f>IFERROR(__xludf.DUMMYFUNCTION("""COMPUTED_VALUE"""),"Circumcised")</f>
        <v>Circumcised</v>
      </c>
      <c r="C304" s="29" t="str">
        <f>IFERROR(__xludf.DUMMYFUNCTION("""COMPUTED_VALUE"""),"Orgasm Intensity")</f>
        <v>Orgasm Intensity</v>
      </c>
      <c r="D304" s="29" t="str">
        <f>IFERROR(__xludf.DUMMYFUNCTION("""COMPUTED_VALUE"""),"3 (Medium/Average)")</f>
        <v>3 (Medium/Average)</v>
      </c>
      <c r="E304" s="29">
        <f>IFERROR(__xludf.DUMMYFUNCTION("""COMPUTED_VALUE"""),3.0)</f>
        <v>3</v>
      </c>
    </row>
    <row r="305">
      <c r="A305" s="33">
        <f>IFERROR(__xludf.DUMMYFUNCTION("""COMPUTED_VALUE"""),45937.01626369212)</f>
        <v>45937.01626</v>
      </c>
      <c r="B305" s="29" t="str">
        <f>IFERROR(__xludf.DUMMYFUNCTION("""COMPUTED_VALUE"""),"Actively restoring my foreskin / I consider myself restored")</f>
        <v>Actively restoring my foreskin / I consider myself restored</v>
      </c>
      <c r="C305" s="29" t="str">
        <f>IFERROR(__xludf.DUMMYFUNCTION("""COMPUTED_VALUE"""),"Orgasm Intensity")</f>
        <v>Orgasm Intensity</v>
      </c>
      <c r="D305" s="29" t="str">
        <f>IFERROR(__xludf.DUMMYFUNCTION("""COMPUTED_VALUE"""),"3 (Medium/Average)")</f>
        <v>3 (Medium/Average)</v>
      </c>
      <c r="E305" s="29">
        <f>IFERROR(__xludf.DUMMYFUNCTION("""COMPUTED_VALUE"""),3.0)</f>
        <v>3</v>
      </c>
    </row>
    <row r="306">
      <c r="A306" s="33">
        <f>IFERROR(__xludf.DUMMYFUNCTION("""COMPUTED_VALUE"""),45937.46064668982)</f>
        <v>45937.46065</v>
      </c>
      <c r="B306" s="29" t="str">
        <f>IFERROR(__xludf.DUMMYFUNCTION("""COMPUTED_VALUE"""),"Circumcised")</f>
        <v>Circumcised</v>
      </c>
      <c r="C306" s="29" t="str">
        <f>IFERROR(__xludf.DUMMYFUNCTION("""COMPUTED_VALUE"""),"Orgasm Intensity")</f>
        <v>Orgasm Intensity</v>
      </c>
      <c r="D306" s="29" t="str">
        <f>IFERROR(__xludf.DUMMYFUNCTION("""COMPUTED_VALUE"""),"3 (Medium/Average)")</f>
        <v>3 (Medium/Average)</v>
      </c>
      <c r="E306" s="29">
        <f>IFERROR(__xludf.DUMMYFUNCTION("""COMPUTED_VALUE"""),3.0)</f>
        <v>3</v>
      </c>
    </row>
    <row r="307">
      <c r="A307" s="33">
        <f>IFERROR(__xludf.DUMMYFUNCTION("""COMPUTED_VALUE"""),45938.78715348379)</f>
        <v>45938.78715</v>
      </c>
      <c r="B307" s="29" t="str">
        <f>IFERROR(__xludf.DUMMYFUNCTION("""COMPUTED_VALUE"""),"Circumcised")</f>
        <v>Circumcised</v>
      </c>
      <c r="C307" s="29" t="str">
        <f>IFERROR(__xludf.DUMMYFUNCTION("""COMPUTED_VALUE"""),"Orgasm Intensity")</f>
        <v>Orgasm Intensity</v>
      </c>
      <c r="D307" s="29" t="str">
        <f>IFERROR(__xludf.DUMMYFUNCTION("""COMPUTED_VALUE"""),"1 (Low/Poor)")</f>
        <v>1 (Low/Poor)</v>
      </c>
      <c r="E307" s="29">
        <f>IFERROR(__xludf.DUMMYFUNCTION("""COMPUTED_VALUE"""),1.0)</f>
        <v>1</v>
      </c>
    </row>
    <row r="308">
      <c r="A308" s="33">
        <f>IFERROR(__xludf.DUMMYFUNCTION("""COMPUTED_VALUE"""),45939.365505891205)</f>
        <v>45939.36551</v>
      </c>
      <c r="B308" s="29" t="str">
        <f>IFERROR(__xludf.DUMMYFUNCTION("""COMPUTED_VALUE"""),"Circumcised")</f>
        <v>Circumcised</v>
      </c>
      <c r="C308" s="29" t="str">
        <f>IFERROR(__xludf.DUMMYFUNCTION("""COMPUTED_VALUE"""),"Orgasm Intensity")</f>
        <v>Orgasm Intensity</v>
      </c>
      <c r="D308" s="29" t="str">
        <f>IFERROR(__xludf.DUMMYFUNCTION("""COMPUTED_VALUE"""),"4")</f>
        <v>4</v>
      </c>
      <c r="E308" s="29">
        <f>IFERROR(__xludf.DUMMYFUNCTION("""COMPUTED_VALUE"""),4.0)</f>
        <v>4</v>
      </c>
    </row>
    <row r="309">
      <c r="A309" s="33">
        <f>IFERROR(__xludf.DUMMYFUNCTION("""COMPUTED_VALUE"""),45939.62882127315)</f>
        <v>45939.62882</v>
      </c>
      <c r="B309" s="29" t="str">
        <f>IFERROR(__xludf.DUMMYFUNCTION("""COMPUTED_VALUE"""),"Circumcised")</f>
        <v>Circumcised</v>
      </c>
      <c r="C309" s="29" t="str">
        <f>IFERROR(__xludf.DUMMYFUNCTION("""COMPUTED_VALUE"""),"Orgasm Intensity")</f>
        <v>Orgasm Intensity</v>
      </c>
      <c r="D309" s="29" t="str">
        <f>IFERROR(__xludf.DUMMYFUNCTION("""COMPUTED_VALUE"""),"5 (High/Excellent)")</f>
        <v>5 (High/Excellent)</v>
      </c>
      <c r="E309" s="29">
        <f>IFERROR(__xludf.DUMMYFUNCTION("""COMPUTED_VALUE"""),5.0)</f>
        <v>5</v>
      </c>
    </row>
    <row r="310">
      <c r="A310" s="33">
        <f>IFERROR(__xludf.DUMMYFUNCTION("""COMPUTED_VALUE"""),45939.6626910301)</f>
        <v>45939.66269</v>
      </c>
      <c r="B310" s="29" t="str">
        <f>IFERROR(__xludf.DUMMYFUNCTION("""COMPUTED_VALUE"""),"Circumcised")</f>
        <v>Circumcised</v>
      </c>
      <c r="C310" s="29" t="str">
        <f>IFERROR(__xludf.DUMMYFUNCTION("""COMPUTED_VALUE"""),"Orgasm Intensity")</f>
        <v>Orgasm Intensity</v>
      </c>
      <c r="D310" s="29" t="str">
        <f>IFERROR(__xludf.DUMMYFUNCTION("""COMPUTED_VALUE"""),"1 (Low/Poor)")</f>
        <v>1 (Low/Poor)</v>
      </c>
      <c r="E310" s="29">
        <f>IFERROR(__xludf.DUMMYFUNCTION("""COMPUTED_VALUE"""),1.0)</f>
        <v>1</v>
      </c>
    </row>
    <row r="311">
      <c r="A311" s="33">
        <f>IFERROR(__xludf.DUMMYFUNCTION("""COMPUTED_VALUE"""),45939.87349773148)</f>
        <v>45939.8735</v>
      </c>
      <c r="B311" s="29" t="str">
        <f>IFERROR(__xludf.DUMMYFUNCTION("""COMPUTED_VALUE"""),"Circumcised")</f>
        <v>Circumcised</v>
      </c>
      <c r="C311" s="29" t="str">
        <f>IFERROR(__xludf.DUMMYFUNCTION("""COMPUTED_VALUE"""),"Orgasm Intensity")</f>
        <v>Orgasm Intensity</v>
      </c>
      <c r="D311" s="29" t="str">
        <f>IFERROR(__xludf.DUMMYFUNCTION("""COMPUTED_VALUE"""),"1 (Low/Poor)")</f>
        <v>1 (Low/Poor)</v>
      </c>
      <c r="E311" s="29">
        <f>IFERROR(__xludf.DUMMYFUNCTION("""COMPUTED_VALUE"""),1.0)</f>
        <v>1</v>
      </c>
    </row>
    <row r="312">
      <c r="A312" s="33">
        <f>IFERROR(__xludf.DUMMYFUNCTION("""COMPUTED_VALUE"""),45940.273669965274)</f>
        <v>45940.27367</v>
      </c>
      <c r="B312" s="29" t="str">
        <f>IFERROR(__xludf.DUMMYFUNCTION("""COMPUTED_VALUE"""),"Intact (Never circumcised)")</f>
        <v>Intact (Never circumcised)</v>
      </c>
      <c r="C312" s="29" t="str">
        <f>IFERROR(__xludf.DUMMYFUNCTION("""COMPUTED_VALUE"""),"Orgasm Intensity")</f>
        <v>Orgasm Intensity</v>
      </c>
      <c r="D312" s="29" t="str">
        <f>IFERROR(__xludf.DUMMYFUNCTION("""COMPUTED_VALUE"""),"4")</f>
        <v>4</v>
      </c>
      <c r="E312" s="29">
        <f>IFERROR(__xludf.DUMMYFUNCTION("""COMPUTED_VALUE"""),4.0)</f>
        <v>4</v>
      </c>
    </row>
    <row r="313">
      <c r="A313" s="33">
        <f>IFERROR(__xludf.DUMMYFUNCTION("""COMPUTED_VALUE"""),45940.32423372685)</f>
        <v>45940.32423</v>
      </c>
      <c r="B313" s="29" t="str">
        <f>IFERROR(__xludf.DUMMYFUNCTION("""COMPUTED_VALUE"""),"Intact (Never circumcised)")</f>
        <v>Intact (Never circumcised)</v>
      </c>
      <c r="C313" s="29" t="str">
        <f>IFERROR(__xludf.DUMMYFUNCTION("""COMPUTED_VALUE"""),"Orgasm Intensity")</f>
        <v>Orgasm Intensity</v>
      </c>
      <c r="D313" s="29" t="str">
        <f>IFERROR(__xludf.DUMMYFUNCTION("""COMPUTED_VALUE"""),"4")</f>
        <v>4</v>
      </c>
      <c r="E313" s="29">
        <f>IFERROR(__xludf.DUMMYFUNCTION("""COMPUTED_VALUE"""),4.0)</f>
        <v>4</v>
      </c>
    </row>
    <row r="314">
      <c r="A314" s="33">
        <f>IFERROR(__xludf.DUMMYFUNCTION("""COMPUTED_VALUE"""),45940.56854714121)</f>
        <v>45940.56855</v>
      </c>
      <c r="B314" s="29" t="str">
        <f>IFERROR(__xludf.DUMMYFUNCTION("""COMPUTED_VALUE"""),"Actively restoring my foreskin / I consider myself restored")</f>
        <v>Actively restoring my foreskin / I consider myself restored</v>
      </c>
      <c r="C314" s="29" t="str">
        <f>IFERROR(__xludf.DUMMYFUNCTION("""COMPUTED_VALUE"""),"Orgasm Intensity")</f>
        <v>Orgasm Intensity</v>
      </c>
      <c r="D314" s="29" t="str">
        <f>IFERROR(__xludf.DUMMYFUNCTION("""COMPUTED_VALUE"""),"2")</f>
        <v>2</v>
      </c>
      <c r="E314" s="29">
        <f>IFERROR(__xludf.DUMMYFUNCTION("""COMPUTED_VALUE"""),2.0)</f>
        <v>2</v>
      </c>
    </row>
    <row r="315">
      <c r="A315" s="33">
        <f>IFERROR(__xludf.DUMMYFUNCTION("""COMPUTED_VALUE"""),45941.29232648148)</f>
        <v>45941.29233</v>
      </c>
      <c r="B315" s="29" t="str">
        <f>IFERROR(__xludf.DUMMYFUNCTION("""COMPUTED_VALUE"""),"Circumcised")</f>
        <v>Circumcised</v>
      </c>
      <c r="C315" s="29" t="str">
        <f>IFERROR(__xludf.DUMMYFUNCTION("""COMPUTED_VALUE"""),"Orgasm Intensity")</f>
        <v>Orgasm Intensity</v>
      </c>
      <c r="D315" s="29" t="str">
        <f>IFERROR(__xludf.DUMMYFUNCTION("""COMPUTED_VALUE"""),"3 (Medium/Average)")</f>
        <v>3 (Medium/Average)</v>
      </c>
      <c r="E315" s="29">
        <f>IFERROR(__xludf.DUMMYFUNCTION("""COMPUTED_VALUE"""),3.0)</f>
        <v>3</v>
      </c>
    </row>
    <row r="316">
      <c r="A316" s="33">
        <f>IFERROR(__xludf.DUMMYFUNCTION("""COMPUTED_VALUE"""),45941.37621672454)</f>
        <v>45941.37622</v>
      </c>
      <c r="B316" s="29" t="str">
        <f>IFERROR(__xludf.DUMMYFUNCTION("""COMPUTED_VALUE"""),"Actively restoring my foreskin / I consider myself restored")</f>
        <v>Actively restoring my foreskin / I consider myself restored</v>
      </c>
      <c r="C316" s="29" t="str">
        <f>IFERROR(__xludf.DUMMYFUNCTION("""COMPUTED_VALUE"""),"Orgasm Intensity")</f>
        <v>Orgasm Intensity</v>
      </c>
      <c r="D316" s="29" t="str">
        <f>IFERROR(__xludf.DUMMYFUNCTION("""COMPUTED_VALUE"""),"1 (Low/Poor)")</f>
        <v>1 (Low/Poor)</v>
      </c>
      <c r="E316" s="29">
        <f>IFERROR(__xludf.DUMMYFUNCTION("""COMPUTED_VALUE"""),1.0)</f>
        <v>1</v>
      </c>
    </row>
    <row r="317">
      <c r="A317" s="33">
        <f>IFERROR(__xludf.DUMMYFUNCTION("""COMPUTED_VALUE"""),45945.13833958333)</f>
        <v>45945.13834</v>
      </c>
      <c r="B317" s="29" t="str">
        <f>IFERROR(__xludf.DUMMYFUNCTION("""COMPUTED_VALUE"""),"Circumcised")</f>
        <v>Circumcised</v>
      </c>
      <c r="C317" s="29" t="str">
        <f>IFERROR(__xludf.DUMMYFUNCTION("""COMPUTED_VALUE"""),"Orgasm Intensity")</f>
        <v>Orgasm Intensity</v>
      </c>
      <c r="D317" s="29" t="str">
        <f>IFERROR(__xludf.DUMMYFUNCTION("""COMPUTED_VALUE"""),"4")</f>
        <v>4</v>
      </c>
      <c r="E317" s="29">
        <f>IFERROR(__xludf.DUMMYFUNCTION("""COMPUTED_VALUE"""),4.0)</f>
        <v>4</v>
      </c>
    </row>
    <row r="318">
      <c r="A318" s="33">
        <f>IFERROR(__xludf.DUMMYFUNCTION("""COMPUTED_VALUE"""),45945.52582347223)</f>
        <v>45945.52582</v>
      </c>
      <c r="B318" s="29" t="str">
        <f>IFERROR(__xludf.DUMMYFUNCTION("""COMPUTED_VALUE"""),"Intact (Never circumcised)")</f>
        <v>Intact (Never circumcised)</v>
      </c>
      <c r="C318" s="29" t="str">
        <f>IFERROR(__xludf.DUMMYFUNCTION("""COMPUTED_VALUE"""),"Orgasm Intensity")</f>
        <v>Orgasm Intensity</v>
      </c>
      <c r="D318" s="29" t="str">
        <f>IFERROR(__xludf.DUMMYFUNCTION("""COMPUTED_VALUE"""),"4")</f>
        <v>4</v>
      </c>
      <c r="E318" s="29">
        <f>IFERROR(__xludf.DUMMYFUNCTION("""COMPUTED_VALUE"""),4.0)</f>
        <v>4</v>
      </c>
    </row>
    <row r="319">
      <c r="A319" s="33">
        <f>IFERROR(__xludf.DUMMYFUNCTION("""COMPUTED_VALUE"""),45947.59925792824)</f>
        <v>45947.59926</v>
      </c>
      <c r="B319" s="29" t="str">
        <f>IFERROR(__xludf.DUMMYFUNCTION("""COMPUTED_VALUE"""),"Actively restoring my foreskin / I consider myself restored")</f>
        <v>Actively restoring my foreskin / I consider myself restored</v>
      </c>
      <c r="C319" s="29" t="str">
        <f>IFERROR(__xludf.DUMMYFUNCTION("""COMPUTED_VALUE"""),"Orgasm Intensity")</f>
        <v>Orgasm Intensity</v>
      </c>
      <c r="D319" s="29" t="str">
        <f>IFERROR(__xludf.DUMMYFUNCTION("""COMPUTED_VALUE"""),"4")</f>
        <v>4</v>
      </c>
      <c r="E319" s="29">
        <f>IFERROR(__xludf.DUMMYFUNCTION("""COMPUTED_VALUE"""),4.0)</f>
        <v>4</v>
      </c>
    </row>
    <row r="320">
      <c r="A320" s="33">
        <f>IFERROR(__xludf.DUMMYFUNCTION("""COMPUTED_VALUE"""),45948.43710914352)</f>
        <v>45948.43711</v>
      </c>
      <c r="B320" s="29" t="str">
        <f>IFERROR(__xludf.DUMMYFUNCTION("""COMPUTED_VALUE"""),"Circumcised")</f>
        <v>Circumcised</v>
      </c>
      <c r="C320" s="29" t="str">
        <f>IFERROR(__xludf.DUMMYFUNCTION("""COMPUTED_VALUE"""),"Orgasm Intensity")</f>
        <v>Orgasm Intensity</v>
      </c>
      <c r="D320" s="29" t="str">
        <f>IFERROR(__xludf.DUMMYFUNCTION("""COMPUTED_VALUE"""),"5 (High/Excellent)")</f>
        <v>5 (High/Excellent)</v>
      </c>
      <c r="E320" s="29">
        <f>IFERROR(__xludf.DUMMYFUNCTION("""COMPUTED_VALUE"""),5.0)</f>
        <v>5</v>
      </c>
    </row>
    <row r="321">
      <c r="A321" s="33">
        <f>IFERROR(__xludf.DUMMYFUNCTION("""COMPUTED_VALUE"""),45951.280845023146)</f>
        <v>45951.28085</v>
      </c>
      <c r="B321" s="29" t="str">
        <f>IFERROR(__xludf.DUMMYFUNCTION("""COMPUTED_VALUE"""),"Circumcised")</f>
        <v>Circumcised</v>
      </c>
      <c r="C321" s="29" t="str">
        <f>IFERROR(__xludf.DUMMYFUNCTION("""COMPUTED_VALUE"""),"Orgasm Intensity")</f>
        <v>Orgasm Intensity</v>
      </c>
      <c r="D321" s="29" t="str">
        <f>IFERROR(__xludf.DUMMYFUNCTION("""COMPUTED_VALUE"""),"3 (Medium/Average)")</f>
        <v>3 (Medium/Average)</v>
      </c>
      <c r="E321" s="29">
        <f>IFERROR(__xludf.DUMMYFUNCTION("""COMPUTED_VALUE"""),3.0)</f>
        <v>3</v>
      </c>
    </row>
    <row r="322">
      <c r="A322" s="33">
        <f>IFERROR(__xludf.DUMMYFUNCTION("""COMPUTED_VALUE"""),45953.0329640162)</f>
        <v>45953.03296</v>
      </c>
      <c r="B322" s="29" t="str">
        <f>IFERROR(__xludf.DUMMYFUNCTION("""COMPUTED_VALUE"""),"Intact (Never circumcised)")</f>
        <v>Intact (Never circumcised)</v>
      </c>
      <c r="C322" s="29" t="str">
        <f>IFERROR(__xludf.DUMMYFUNCTION("""COMPUTED_VALUE"""),"Orgasm Intensity")</f>
        <v>Orgasm Intensity</v>
      </c>
      <c r="D322" s="29" t="str">
        <f>IFERROR(__xludf.DUMMYFUNCTION("""COMPUTED_VALUE"""),"3 (Medium/Average)")</f>
        <v>3 (Medium/Average)</v>
      </c>
      <c r="E322" s="29">
        <f>IFERROR(__xludf.DUMMYFUNCTION("""COMPUTED_VALUE"""),3.0)</f>
        <v>3</v>
      </c>
    </row>
    <row r="323">
      <c r="A323" s="33">
        <f>IFERROR(__xludf.DUMMYFUNCTION("""COMPUTED_VALUE"""),45953.438401666666)</f>
        <v>45953.4384</v>
      </c>
      <c r="B323" s="29" t="str">
        <f>IFERROR(__xludf.DUMMYFUNCTION("""COMPUTED_VALUE"""),"Intact (Never circumcised)")</f>
        <v>Intact (Never circumcised)</v>
      </c>
      <c r="C323" s="29" t="str">
        <f>IFERROR(__xludf.DUMMYFUNCTION("""COMPUTED_VALUE"""),"Orgasm Intensity")</f>
        <v>Orgasm Intensity</v>
      </c>
      <c r="D323" s="29" t="str">
        <f>IFERROR(__xludf.DUMMYFUNCTION("""COMPUTED_VALUE"""),"3 (Medium/Average)")</f>
        <v>3 (Medium/Average)</v>
      </c>
      <c r="E323" s="29">
        <f>IFERROR(__xludf.DUMMYFUNCTION("""COMPUTED_VALUE"""),3.0)</f>
        <v>3</v>
      </c>
    </row>
    <row r="324">
      <c r="A324" s="33">
        <f>IFERROR(__xludf.DUMMYFUNCTION("""COMPUTED_VALUE"""),45956.00984539352)</f>
        <v>45956.00985</v>
      </c>
      <c r="B324" s="29" t="str">
        <f>IFERROR(__xludf.DUMMYFUNCTION("""COMPUTED_VALUE"""),"Circumcised")</f>
        <v>Circumcised</v>
      </c>
      <c r="C324" s="29" t="str">
        <f>IFERROR(__xludf.DUMMYFUNCTION("""COMPUTED_VALUE"""),"Orgasm Intensity")</f>
        <v>Orgasm Intensity</v>
      </c>
      <c r="D324" s="29" t="str">
        <f>IFERROR(__xludf.DUMMYFUNCTION("""COMPUTED_VALUE"""),"3 (Medium/Average)")</f>
        <v>3 (Medium/Average)</v>
      </c>
      <c r="E324" s="29">
        <f>IFERROR(__xludf.DUMMYFUNCTION("""COMPUTED_VALUE"""),3.0)</f>
        <v>3</v>
      </c>
    </row>
    <row r="325">
      <c r="A325" s="33">
        <f>IFERROR(__xludf.DUMMYFUNCTION("""COMPUTED_VALUE"""),45956.86146025463)</f>
        <v>45956.86146</v>
      </c>
      <c r="B325" s="29" t="str">
        <f>IFERROR(__xludf.DUMMYFUNCTION("""COMPUTED_VALUE"""),"Circumcised")</f>
        <v>Circumcised</v>
      </c>
      <c r="C325" s="29" t="str">
        <f>IFERROR(__xludf.DUMMYFUNCTION("""COMPUTED_VALUE"""),"Orgasm Intensity")</f>
        <v>Orgasm Intensity</v>
      </c>
      <c r="D325" s="29" t="str">
        <f>IFERROR(__xludf.DUMMYFUNCTION("""COMPUTED_VALUE"""),"3 (Medium/Average)")</f>
        <v>3 (Medium/Average)</v>
      </c>
      <c r="E325" s="29">
        <f>IFERROR(__xludf.DUMMYFUNCTION("""COMPUTED_VALUE"""),3.0)</f>
        <v>3</v>
      </c>
    </row>
    <row r="326">
      <c r="A326" s="33">
        <f>IFERROR(__xludf.DUMMYFUNCTION("""COMPUTED_VALUE"""),45956.90730827546)</f>
        <v>45956.90731</v>
      </c>
      <c r="B326" s="29" t="str">
        <f>IFERROR(__xludf.DUMMYFUNCTION("""COMPUTED_VALUE"""),"Circumcised")</f>
        <v>Circumcised</v>
      </c>
      <c r="C326" s="29" t="str">
        <f>IFERROR(__xludf.DUMMYFUNCTION("""COMPUTED_VALUE"""),"Orgasm Intensity")</f>
        <v>Orgasm Intensity</v>
      </c>
      <c r="D326" s="29" t="str">
        <f>IFERROR(__xludf.DUMMYFUNCTION("""COMPUTED_VALUE"""),"3 (Medium/Average)")</f>
        <v>3 (Medium/Average)</v>
      </c>
      <c r="E326" s="29">
        <f>IFERROR(__xludf.DUMMYFUNCTION("""COMPUTED_VALUE"""),3.0)</f>
        <v>3</v>
      </c>
    </row>
    <row r="327">
      <c r="A327" s="33">
        <f>IFERROR(__xludf.DUMMYFUNCTION("""COMPUTED_VALUE"""),45956.911861469904)</f>
        <v>45956.91186</v>
      </c>
      <c r="B327" s="29" t="str">
        <f>IFERROR(__xludf.DUMMYFUNCTION("""COMPUTED_VALUE"""),"Actively restoring my foreskin / I consider myself restored")</f>
        <v>Actively restoring my foreskin / I consider myself restored</v>
      </c>
      <c r="C327" s="29" t="str">
        <f>IFERROR(__xludf.DUMMYFUNCTION("""COMPUTED_VALUE"""),"Orgasm Intensity")</f>
        <v>Orgasm Intensity</v>
      </c>
      <c r="D327" s="29" t="str">
        <f>IFERROR(__xludf.DUMMYFUNCTION("""COMPUTED_VALUE"""),"3 (Medium/Average)")</f>
        <v>3 (Medium/Average)</v>
      </c>
      <c r="E327" s="29">
        <f>IFERROR(__xludf.DUMMYFUNCTION("""COMPUTED_VALUE"""),3.0)</f>
        <v>3</v>
      </c>
    </row>
    <row r="328">
      <c r="A328" s="33">
        <f>IFERROR(__xludf.DUMMYFUNCTION("""COMPUTED_VALUE"""),45957.40870927083)</f>
        <v>45957.40871</v>
      </c>
      <c r="B328" s="29" t="str">
        <f>IFERROR(__xludf.DUMMYFUNCTION("""COMPUTED_VALUE"""),"Intact (Never circumcised)")</f>
        <v>Intact (Never circumcised)</v>
      </c>
      <c r="C328" s="29" t="str">
        <f>IFERROR(__xludf.DUMMYFUNCTION("""COMPUTED_VALUE"""),"Orgasm Intensity")</f>
        <v>Orgasm Intensity</v>
      </c>
      <c r="D328" s="29" t="str">
        <f>IFERROR(__xludf.DUMMYFUNCTION("""COMPUTED_VALUE"""),"5 (High/Excellent)")</f>
        <v>5 (High/Excellent)</v>
      </c>
      <c r="E328" s="29">
        <f>IFERROR(__xludf.DUMMYFUNCTION("""COMPUTED_VALUE"""),5.0)</f>
        <v>5</v>
      </c>
    </row>
    <row r="329">
      <c r="A329" s="33">
        <f>IFERROR(__xludf.DUMMYFUNCTION("""COMPUTED_VALUE"""),45957.667292418984)</f>
        <v>45957.66729</v>
      </c>
      <c r="B329" s="29" t="str">
        <f>IFERROR(__xludf.DUMMYFUNCTION("""COMPUTED_VALUE"""),"Actively restoring my foreskin / I consider myself restored")</f>
        <v>Actively restoring my foreskin / I consider myself restored</v>
      </c>
      <c r="C329" s="29" t="str">
        <f>IFERROR(__xludf.DUMMYFUNCTION("""COMPUTED_VALUE"""),"Orgasm Intensity")</f>
        <v>Orgasm Intensity</v>
      </c>
      <c r="D329" s="29" t="str">
        <f>IFERROR(__xludf.DUMMYFUNCTION("""COMPUTED_VALUE"""),"2")</f>
        <v>2</v>
      </c>
      <c r="E329" s="29">
        <f>IFERROR(__xludf.DUMMYFUNCTION("""COMPUTED_VALUE"""),2.0)</f>
        <v>2</v>
      </c>
    </row>
    <row r="330">
      <c r="A330" s="33">
        <f>IFERROR(__xludf.DUMMYFUNCTION("""COMPUTED_VALUE"""),45959.10253167824)</f>
        <v>45959.10253</v>
      </c>
      <c r="B330" s="29" t="str">
        <f>IFERROR(__xludf.DUMMYFUNCTION("""COMPUTED_VALUE"""),"Circumcised")</f>
        <v>Circumcised</v>
      </c>
      <c r="C330" s="29" t="str">
        <f>IFERROR(__xludf.DUMMYFUNCTION("""COMPUTED_VALUE"""),"Orgasm Intensity")</f>
        <v>Orgasm Intensity</v>
      </c>
      <c r="D330" s="29" t="str">
        <f>IFERROR(__xludf.DUMMYFUNCTION("""COMPUTED_VALUE"""),"1 (Low/Poor)")</f>
        <v>1 (Low/Poor)</v>
      </c>
      <c r="E330" s="29">
        <f>IFERROR(__xludf.DUMMYFUNCTION("""COMPUTED_VALUE"""),1.0)</f>
        <v>1</v>
      </c>
    </row>
    <row r="331">
      <c r="A331" s="33">
        <f>IFERROR(__xludf.DUMMYFUNCTION("""COMPUTED_VALUE"""),45959.17554484954)</f>
        <v>45959.17554</v>
      </c>
      <c r="B331" s="29" t="str">
        <f>IFERROR(__xludf.DUMMYFUNCTION("""COMPUTED_VALUE"""),"Circumcised")</f>
        <v>Circumcised</v>
      </c>
      <c r="C331" s="29" t="str">
        <f>IFERROR(__xludf.DUMMYFUNCTION("""COMPUTED_VALUE"""),"Orgasm Intensity")</f>
        <v>Orgasm Intensity</v>
      </c>
      <c r="D331" s="29" t="str">
        <f>IFERROR(__xludf.DUMMYFUNCTION("""COMPUTED_VALUE"""),"2")</f>
        <v>2</v>
      </c>
      <c r="E331" s="29">
        <f>IFERROR(__xludf.DUMMYFUNCTION("""COMPUTED_VALUE"""),2.0)</f>
        <v>2</v>
      </c>
    </row>
    <row r="332">
      <c r="A332" s="33">
        <f>IFERROR(__xludf.DUMMYFUNCTION("""COMPUTED_VALUE"""),45959.8298531713)</f>
        <v>45959.82985</v>
      </c>
      <c r="B332" s="29" t="str">
        <f>IFERROR(__xludf.DUMMYFUNCTION("""COMPUTED_VALUE"""),"Actively restoring my foreskin / I consider myself restored")</f>
        <v>Actively restoring my foreskin / I consider myself restored</v>
      </c>
      <c r="C332" s="29" t="str">
        <f>IFERROR(__xludf.DUMMYFUNCTION("""COMPUTED_VALUE"""),"Orgasm Intensity")</f>
        <v>Orgasm Intensity</v>
      </c>
      <c r="D332" s="29" t="str">
        <f>IFERROR(__xludf.DUMMYFUNCTION("""COMPUTED_VALUE"""),"1 (Low/Poor)")</f>
        <v>1 (Low/Poor)</v>
      </c>
      <c r="E332" s="29">
        <f>IFERROR(__xludf.DUMMYFUNCTION("""COMPUTED_VALUE"""),1.0)</f>
        <v>1</v>
      </c>
    </row>
    <row r="333">
      <c r="A333" s="33">
        <f>IFERROR(__xludf.DUMMYFUNCTION("""COMPUTED_VALUE"""),45960.621607500005)</f>
        <v>45960.62161</v>
      </c>
      <c r="B333" s="29" t="str">
        <f>IFERROR(__xludf.DUMMYFUNCTION("""COMPUTED_VALUE"""),"Circumcised")</f>
        <v>Circumcised</v>
      </c>
      <c r="C333" s="29" t="str">
        <f>IFERROR(__xludf.DUMMYFUNCTION("""COMPUTED_VALUE"""),"Orgasm Intensity")</f>
        <v>Orgasm Intensity</v>
      </c>
      <c r="D333" s="29" t="str">
        <f>IFERROR(__xludf.DUMMYFUNCTION("""COMPUTED_VALUE"""),"3 (Medium/Average)")</f>
        <v>3 (Medium/Average)</v>
      </c>
      <c r="E333" s="29">
        <f>IFERROR(__xludf.DUMMYFUNCTION("""COMPUTED_VALUE"""),3.0)</f>
        <v>3</v>
      </c>
    </row>
    <row r="334">
      <c r="A334" s="33">
        <f>IFERROR(__xludf.DUMMYFUNCTION("""COMPUTED_VALUE"""),45960.99731127315)</f>
        <v>45960.99731</v>
      </c>
      <c r="B334" s="29" t="str">
        <f>IFERROR(__xludf.DUMMYFUNCTION("""COMPUTED_VALUE"""),"Actively restoring my foreskin / I consider myself restored")</f>
        <v>Actively restoring my foreskin / I consider myself restored</v>
      </c>
      <c r="C334" s="29" t="str">
        <f>IFERROR(__xludf.DUMMYFUNCTION("""COMPUTED_VALUE"""),"Orgasm Intensity")</f>
        <v>Orgasm Intensity</v>
      </c>
      <c r="D334" s="29" t="str">
        <f>IFERROR(__xludf.DUMMYFUNCTION("""COMPUTED_VALUE"""),"3 (Medium/Average)")</f>
        <v>3 (Medium/Average)</v>
      </c>
      <c r="E334" s="29">
        <f>IFERROR(__xludf.DUMMYFUNCTION("""COMPUTED_VALUE"""),3.0)</f>
        <v>3</v>
      </c>
    </row>
    <row r="335">
      <c r="A335" s="33">
        <f>IFERROR(__xludf.DUMMYFUNCTION("""COMPUTED_VALUE"""),45963.67673798611)</f>
        <v>45963.67674</v>
      </c>
      <c r="B335" s="29" t="str">
        <f>IFERROR(__xludf.DUMMYFUNCTION("""COMPUTED_VALUE"""),"Actively restoring my foreskin / I consider myself restored")</f>
        <v>Actively restoring my foreskin / I consider myself restored</v>
      </c>
      <c r="C335" s="29" t="str">
        <f>IFERROR(__xludf.DUMMYFUNCTION("""COMPUTED_VALUE"""),"Orgasm Intensity")</f>
        <v>Orgasm Intensity</v>
      </c>
      <c r="D335" s="29" t="str">
        <f>IFERROR(__xludf.DUMMYFUNCTION("""COMPUTED_VALUE"""),"3 (Medium/Average)")</f>
        <v>3 (Medium/Average)</v>
      </c>
      <c r="E335" s="29">
        <f>IFERROR(__xludf.DUMMYFUNCTION("""COMPUTED_VALUE"""),3.0)</f>
        <v>3</v>
      </c>
    </row>
    <row r="336">
      <c r="A336" s="33">
        <f>IFERROR(__xludf.DUMMYFUNCTION("""COMPUTED_VALUE"""),45969.39095245371)</f>
        <v>45969.39095</v>
      </c>
      <c r="B336" s="29" t="str">
        <f>IFERROR(__xludf.DUMMYFUNCTION("""COMPUTED_VALUE"""),"Circumcised")</f>
        <v>Circumcised</v>
      </c>
      <c r="C336" s="29" t="str">
        <f>IFERROR(__xludf.DUMMYFUNCTION("""COMPUTED_VALUE"""),"Orgasm Intensity")</f>
        <v>Orgasm Intensity</v>
      </c>
      <c r="D336" s="29" t="str">
        <f>IFERROR(__xludf.DUMMYFUNCTION("""COMPUTED_VALUE"""),"5 (High/Excellent)")</f>
        <v>5 (High/Excellent)</v>
      </c>
      <c r="E336" s="29">
        <f>IFERROR(__xludf.DUMMYFUNCTION("""COMPUTED_VALUE"""),5.0)</f>
        <v>5</v>
      </c>
    </row>
    <row r="337">
      <c r="A337" s="33">
        <f>IFERROR(__xludf.DUMMYFUNCTION("""COMPUTED_VALUE"""),45969.849535775465)</f>
        <v>45969.84954</v>
      </c>
      <c r="B337" s="29" t="str">
        <f>IFERROR(__xludf.DUMMYFUNCTION("""COMPUTED_VALUE"""),"Actively restoring my foreskin / I consider myself restored")</f>
        <v>Actively restoring my foreskin / I consider myself restored</v>
      </c>
      <c r="C337" s="29" t="str">
        <f>IFERROR(__xludf.DUMMYFUNCTION("""COMPUTED_VALUE"""),"Orgasm Intensity")</f>
        <v>Orgasm Intensity</v>
      </c>
      <c r="D337" s="29" t="str">
        <f>IFERROR(__xludf.DUMMYFUNCTION("""COMPUTED_VALUE"""),"4")</f>
        <v>4</v>
      </c>
      <c r="E337" s="29">
        <f>IFERROR(__xludf.DUMMYFUNCTION("""COMPUTED_VALUE"""),4.0)</f>
        <v>4</v>
      </c>
    </row>
    <row r="338">
      <c r="A338" s="33">
        <f>IFERROR(__xludf.DUMMYFUNCTION("""COMPUTED_VALUE"""),45969.897841296304)</f>
        <v>45969.89784</v>
      </c>
      <c r="B338" s="29" t="str">
        <f>IFERROR(__xludf.DUMMYFUNCTION("""COMPUTED_VALUE"""),"Actively restoring my foreskin / I consider myself restored")</f>
        <v>Actively restoring my foreskin / I consider myself restored</v>
      </c>
      <c r="C338" s="29" t="str">
        <f>IFERROR(__xludf.DUMMYFUNCTION("""COMPUTED_VALUE"""),"Orgasm Intensity")</f>
        <v>Orgasm Intensity</v>
      </c>
      <c r="D338" s="29" t="str">
        <f>IFERROR(__xludf.DUMMYFUNCTION("""COMPUTED_VALUE"""),"1 (Low/Poor)")</f>
        <v>1 (Low/Poor)</v>
      </c>
      <c r="E338" s="29">
        <f>IFERROR(__xludf.DUMMYFUNCTION("""COMPUTED_VALUE"""),1.0)</f>
        <v>1</v>
      </c>
    </row>
    <row r="339">
      <c r="A339" s="33">
        <f>IFERROR(__xludf.DUMMYFUNCTION("""COMPUTED_VALUE"""),45969.90605799769)</f>
        <v>45969.90606</v>
      </c>
      <c r="B339" s="29" t="str">
        <f>IFERROR(__xludf.DUMMYFUNCTION("""COMPUTED_VALUE"""),"Circumcised")</f>
        <v>Circumcised</v>
      </c>
      <c r="C339" s="29" t="str">
        <f>IFERROR(__xludf.DUMMYFUNCTION("""COMPUTED_VALUE"""),"Orgasm Intensity")</f>
        <v>Orgasm Intensity</v>
      </c>
      <c r="D339" s="29" t="str">
        <f>IFERROR(__xludf.DUMMYFUNCTION("""COMPUTED_VALUE"""),"2")</f>
        <v>2</v>
      </c>
      <c r="E339" s="29">
        <f>IFERROR(__xludf.DUMMYFUNCTION("""COMPUTED_VALUE"""),2.0)</f>
        <v>2</v>
      </c>
    </row>
    <row r="340">
      <c r="A340" s="33">
        <f>IFERROR(__xludf.DUMMYFUNCTION("""COMPUTED_VALUE"""),45970.06699965278)</f>
        <v>45970.067</v>
      </c>
      <c r="B340" s="29" t="str">
        <f>IFERROR(__xludf.DUMMYFUNCTION("""COMPUTED_VALUE"""),"Circumcised")</f>
        <v>Circumcised</v>
      </c>
      <c r="C340" s="29" t="str">
        <f>IFERROR(__xludf.DUMMYFUNCTION("""COMPUTED_VALUE"""),"Orgasm Intensity")</f>
        <v>Orgasm Intensity</v>
      </c>
      <c r="D340" s="29" t="str">
        <f>IFERROR(__xludf.DUMMYFUNCTION("""COMPUTED_VALUE"""),"4")</f>
        <v>4</v>
      </c>
      <c r="E340" s="29">
        <f>IFERROR(__xludf.DUMMYFUNCTION("""COMPUTED_VALUE"""),4.0)</f>
        <v>4</v>
      </c>
    </row>
    <row r="341">
      <c r="A341" s="33">
        <f>IFERROR(__xludf.DUMMYFUNCTION("""COMPUTED_VALUE"""),45970.38046627314)</f>
        <v>45970.38047</v>
      </c>
      <c r="B341" s="29" t="str">
        <f>IFERROR(__xludf.DUMMYFUNCTION("""COMPUTED_VALUE"""),"Circumcised")</f>
        <v>Circumcised</v>
      </c>
      <c r="C341" s="29" t="str">
        <f>IFERROR(__xludf.DUMMYFUNCTION("""COMPUTED_VALUE"""),"Orgasm Intensity")</f>
        <v>Orgasm Intensity</v>
      </c>
      <c r="D341" s="29" t="str">
        <f>IFERROR(__xludf.DUMMYFUNCTION("""COMPUTED_VALUE"""),"3 (Medium/Average)")</f>
        <v>3 (Medium/Average)</v>
      </c>
      <c r="E341" s="29">
        <f>IFERROR(__xludf.DUMMYFUNCTION("""COMPUTED_VALUE"""),3.0)</f>
        <v>3</v>
      </c>
    </row>
    <row r="342">
      <c r="A342" s="33">
        <f>IFERROR(__xludf.DUMMYFUNCTION("""COMPUTED_VALUE"""),45970.48485820602)</f>
        <v>45970.48486</v>
      </c>
      <c r="B342" s="29" t="str">
        <f>IFERROR(__xludf.DUMMYFUNCTION("""COMPUTED_VALUE"""),"Intact (Never circumcised)")</f>
        <v>Intact (Never circumcised)</v>
      </c>
      <c r="C342" s="29" t="str">
        <f>IFERROR(__xludf.DUMMYFUNCTION("""COMPUTED_VALUE"""),"Orgasm Intensity")</f>
        <v>Orgasm Intensity</v>
      </c>
      <c r="D342" s="29" t="str">
        <f>IFERROR(__xludf.DUMMYFUNCTION("""COMPUTED_VALUE"""),"5 (High/Excellent)")</f>
        <v>5 (High/Excellent)</v>
      </c>
      <c r="E342" s="29">
        <f>IFERROR(__xludf.DUMMYFUNCTION("""COMPUTED_VALUE"""),5.0)</f>
        <v>5</v>
      </c>
    </row>
    <row r="343">
      <c r="A343" s="33">
        <f>IFERROR(__xludf.DUMMYFUNCTION("""COMPUTED_VALUE"""),45970.66629606481)</f>
        <v>45970.6663</v>
      </c>
      <c r="B343" s="29" t="str">
        <f>IFERROR(__xludf.DUMMYFUNCTION("""COMPUTED_VALUE"""),"Circumcised")</f>
        <v>Circumcised</v>
      </c>
      <c r="C343" s="29" t="str">
        <f>IFERROR(__xludf.DUMMYFUNCTION("""COMPUTED_VALUE"""),"Orgasm Intensity")</f>
        <v>Orgasm Intensity</v>
      </c>
      <c r="D343" s="29" t="str">
        <f>IFERROR(__xludf.DUMMYFUNCTION("""COMPUTED_VALUE"""),"2")</f>
        <v>2</v>
      </c>
      <c r="E343" s="29">
        <f>IFERROR(__xludf.DUMMYFUNCTION("""COMPUTED_VALUE"""),2.0)</f>
        <v>2</v>
      </c>
    </row>
    <row r="344">
      <c r="A344" s="33">
        <f>IFERROR(__xludf.DUMMYFUNCTION("""COMPUTED_VALUE"""),45971.65164621528)</f>
        <v>45971.65165</v>
      </c>
      <c r="B344" s="29" t="str">
        <f>IFERROR(__xludf.DUMMYFUNCTION("""COMPUTED_VALUE"""),"Circumcised")</f>
        <v>Circumcised</v>
      </c>
      <c r="C344" s="29" t="str">
        <f>IFERROR(__xludf.DUMMYFUNCTION("""COMPUTED_VALUE"""),"Orgasm Intensity")</f>
        <v>Orgasm Intensity</v>
      </c>
      <c r="D344" s="29" t="str">
        <f>IFERROR(__xludf.DUMMYFUNCTION("""COMPUTED_VALUE"""),"3 (Medium/Average)")</f>
        <v>3 (Medium/Average)</v>
      </c>
      <c r="E344" s="29">
        <f>IFERROR(__xludf.DUMMYFUNCTION("""COMPUTED_VALUE"""),3.0)</f>
        <v>3</v>
      </c>
    </row>
    <row r="345">
      <c r="A345" s="33">
        <f>IFERROR(__xludf.DUMMYFUNCTION("""COMPUTED_VALUE"""),45971.66754105324)</f>
        <v>45971.66754</v>
      </c>
      <c r="B345" s="29" t="str">
        <f>IFERROR(__xludf.DUMMYFUNCTION("""COMPUTED_VALUE"""),"Intact (Never circumcised)")</f>
        <v>Intact (Never circumcised)</v>
      </c>
      <c r="C345" s="29" t="str">
        <f>IFERROR(__xludf.DUMMYFUNCTION("""COMPUTED_VALUE"""),"Orgasm Intensity")</f>
        <v>Orgasm Intensity</v>
      </c>
      <c r="D345" s="29" t="str">
        <f>IFERROR(__xludf.DUMMYFUNCTION("""COMPUTED_VALUE"""),"5 (High/Excellent)")</f>
        <v>5 (High/Excellent)</v>
      </c>
      <c r="E345" s="29">
        <f>IFERROR(__xludf.DUMMYFUNCTION("""COMPUTED_VALUE"""),5.0)</f>
        <v>5</v>
      </c>
    </row>
    <row r="346">
      <c r="A346" s="33">
        <f>IFERROR(__xludf.DUMMYFUNCTION("""COMPUTED_VALUE"""),45972.193447893515)</f>
        <v>45972.19345</v>
      </c>
      <c r="B346" s="29" t="str">
        <f>IFERROR(__xludf.DUMMYFUNCTION("""COMPUTED_VALUE"""),"Intact (Never circumcised)")</f>
        <v>Intact (Never circumcised)</v>
      </c>
      <c r="C346" s="29" t="str">
        <f>IFERROR(__xludf.DUMMYFUNCTION("""COMPUTED_VALUE"""),"Orgasm Intensity")</f>
        <v>Orgasm Intensity</v>
      </c>
      <c r="D346" s="29" t="str">
        <f>IFERROR(__xludf.DUMMYFUNCTION("""COMPUTED_VALUE"""),"5 (High/Excellent)")</f>
        <v>5 (High/Excellent)</v>
      </c>
      <c r="E346" s="29">
        <f>IFERROR(__xludf.DUMMYFUNCTION("""COMPUTED_VALUE"""),5.0)</f>
        <v>5</v>
      </c>
    </row>
    <row r="347">
      <c r="A347" s="33">
        <f>IFERROR(__xludf.DUMMYFUNCTION("""COMPUTED_VALUE"""),45972.63994190972)</f>
        <v>45972.63994</v>
      </c>
      <c r="B347" s="29" t="str">
        <f>IFERROR(__xludf.DUMMYFUNCTION("""COMPUTED_VALUE"""),"Circumcised")</f>
        <v>Circumcised</v>
      </c>
      <c r="C347" s="29" t="str">
        <f>IFERROR(__xludf.DUMMYFUNCTION("""COMPUTED_VALUE"""),"Orgasm Intensity")</f>
        <v>Orgasm Intensity</v>
      </c>
      <c r="D347" s="29" t="str">
        <f>IFERROR(__xludf.DUMMYFUNCTION("""COMPUTED_VALUE"""),"5 (High/Excellent)")</f>
        <v>5 (High/Excellent)</v>
      </c>
      <c r="E347" s="29">
        <f>IFERROR(__xludf.DUMMYFUNCTION("""COMPUTED_VALUE"""),5.0)</f>
        <v>5</v>
      </c>
    </row>
    <row r="348">
      <c r="A348" s="33">
        <f>IFERROR(__xludf.DUMMYFUNCTION("""COMPUTED_VALUE"""),45978.17339207176)</f>
        <v>45978.17339</v>
      </c>
      <c r="B348" s="29" t="str">
        <f>IFERROR(__xludf.DUMMYFUNCTION("""COMPUTED_VALUE"""),"Intact (Never circumcised)")</f>
        <v>Intact (Never circumcised)</v>
      </c>
      <c r="C348" s="29" t="str">
        <f>IFERROR(__xludf.DUMMYFUNCTION("""COMPUTED_VALUE"""),"Orgasm Intensity")</f>
        <v>Orgasm Intensity</v>
      </c>
      <c r="D348" s="29" t="str">
        <f>IFERROR(__xludf.DUMMYFUNCTION("""COMPUTED_VALUE"""),"5 (High/Excellent)")</f>
        <v>5 (High/Excellent)</v>
      </c>
      <c r="E348" s="29">
        <f>IFERROR(__xludf.DUMMYFUNCTION("""COMPUTED_VALUE"""),5.0)</f>
        <v>5</v>
      </c>
    </row>
    <row r="349">
      <c r="A349" s="33">
        <f>IFERROR(__xludf.DUMMYFUNCTION("""COMPUTED_VALUE"""),45979.00060761574)</f>
        <v>45979.00061</v>
      </c>
      <c r="B349" s="29" t="str">
        <f>IFERROR(__xludf.DUMMYFUNCTION("""COMPUTED_VALUE"""),"Circumcised")</f>
        <v>Circumcised</v>
      </c>
      <c r="C349" s="29" t="str">
        <f>IFERROR(__xludf.DUMMYFUNCTION("""COMPUTED_VALUE"""),"Orgasm Intensity")</f>
        <v>Orgasm Intensity</v>
      </c>
      <c r="D349" s="29" t="str">
        <f>IFERROR(__xludf.DUMMYFUNCTION("""COMPUTED_VALUE"""),"1 (Low/Poor)")</f>
        <v>1 (Low/Poor)</v>
      </c>
      <c r="E349" s="29">
        <f>IFERROR(__xludf.DUMMYFUNCTION("""COMPUTED_VALUE"""),1.0)</f>
        <v>1</v>
      </c>
    </row>
    <row r="350">
      <c r="A350" s="33">
        <f>IFERROR(__xludf.DUMMYFUNCTION("""COMPUTED_VALUE"""),45979.79978149306)</f>
        <v>45979.79978</v>
      </c>
      <c r="B350" s="29" t="str">
        <f>IFERROR(__xludf.DUMMYFUNCTION("""COMPUTED_VALUE"""),"Actively restoring my foreskin / I consider myself restored")</f>
        <v>Actively restoring my foreskin / I consider myself restored</v>
      </c>
      <c r="C350" s="29" t="str">
        <f>IFERROR(__xludf.DUMMYFUNCTION("""COMPUTED_VALUE"""),"Orgasm Intensity")</f>
        <v>Orgasm Intensity</v>
      </c>
      <c r="D350" s="29" t="str">
        <f>IFERROR(__xludf.DUMMYFUNCTION("""COMPUTED_VALUE"""),"5 (High/Excellent)")</f>
        <v>5 (High/Excellent)</v>
      </c>
      <c r="E350" s="29">
        <f>IFERROR(__xludf.DUMMYFUNCTION("""COMPUTED_VALUE"""),5.0)</f>
        <v>5</v>
      </c>
    </row>
    <row r="351">
      <c r="A351" s="33">
        <f>IFERROR(__xludf.DUMMYFUNCTION("""COMPUTED_VALUE"""),45979.96655393518)</f>
        <v>45979.96655</v>
      </c>
      <c r="B351" s="29" t="str">
        <f>IFERROR(__xludf.DUMMYFUNCTION("""COMPUTED_VALUE"""),"Circumcised")</f>
        <v>Circumcised</v>
      </c>
      <c r="C351" s="29" t="str">
        <f>IFERROR(__xludf.DUMMYFUNCTION("""COMPUTED_VALUE"""),"Orgasm Intensity")</f>
        <v>Orgasm Intensity</v>
      </c>
      <c r="D351" s="29" t="str">
        <f>IFERROR(__xludf.DUMMYFUNCTION("""COMPUTED_VALUE"""),"5 (High/Excellent)")</f>
        <v>5 (High/Excellent)</v>
      </c>
      <c r="E351" s="29">
        <f>IFERROR(__xludf.DUMMYFUNCTION("""COMPUTED_VALUE"""),5.0)</f>
        <v>5</v>
      </c>
    </row>
    <row r="352">
      <c r="A352" s="33">
        <f>IFERROR(__xludf.DUMMYFUNCTION("""COMPUTED_VALUE"""),45980.70007561342)</f>
        <v>45980.70008</v>
      </c>
      <c r="B352" s="29" t="str">
        <f>IFERROR(__xludf.DUMMYFUNCTION("""COMPUTED_VALUE"""),"Actively restoring my foreskin / I consider myself restored")</f>
        <v>Actively restoring my foreskin / I consider myself restored</v>
      </c>
      <c r="C352" s="29" t="str">
        <f>IFERROR(__xludf.DUMMYFUNCTION("""COMPUTED_VALUE"""),"Orgasm Intensity")</f>
        <v>Orgasm Intensity</v>
      </c>
      <c r="D352" s="29" t="str">
        <f>IFERROR(__xludf.DUMMYFUNCTION("""COMPUTED_VALUE"""),"4")</f>
        <v>4</v>
      </c>
      <c r="E352" s="29">
        <f>IFERROR(__xludf.DUMMYFUNCTION("""COMPUTED_VALUE"""),4.0)</f>
        <v>4</v>
      </c>
    </row>
    <row r="353">
      <c r="A353" s="33">
        <f>IFERROR(__xludf.DUMMYFUNCTION("""COMPUTED_VALUE"""),45983.2148534375)</f>
        <v>45983.21485</v>
      </c>
      <c r="B353" s="29" t="str">
        <f>IFERROR(__xludf.DUMMYFUNCTION("""COMPUTED_VALUE"""),"Circumcised")</f>
        <v>Circumcised</v>
      </c>
      <c r="C353" s="29" t="str">
        <f>IFERROR(__xludf.DUMMYFUNCTION("""COMPUTED_VALUE"""),"Orgasm Intensity")</f>
        <v>Orgasm Intensity</v>
      </c>
      <c r="D353" s="29" t="str">
        <f>IFERROR(__xludf.DUMMYFUNCTION("""COMPUTED_VALUE"""),"2")</f>
        <v>2</v>
      </c>
      <c r="E353" s="29">
        <f>IFERROR(__xludf.DUMMYFUNCTION("""COMPUTED_VALUE"""),2.0)</f>
        <v>2</v>
      </c>
    </row>
    <row r="354">
      <c r="A354" s="33">
        <f>IFERROR(__xludf.DUMMYFUNCTION("""COMPUTED_VALUE"""),45983.6917247338)</f>
        <v>45983.69172</v>
      </c>
      <c r="B354" s="29" t="str">
        <f>IFERROR(__xludf.DUMMYFUNCTION("""COMPUTED_VALUE"""),"Actively restoring my foreskin / I consider myself restored")</f>
        <v>Actively restoring my foreskin / I consider myself restored</v>
      </c>
      <c r="C354" s="29" t="str">
        <f>IFERROR(__xludf.DUMMYFUNCTION("""COMPUTED_VALUE"""),"Orgasm Intensity")</f>
        <v>Orgasm Intensity</v>
      </c>
      <c r="D354" s="29" t="str">
        <f>IFERROR(__xludf.DUMMYFUNCTION("""COMPUTED_VALUE"""),"3 (Medium/Average)")</f>
        <v>3 (Medium/Average)</v>
      </c>
      <c r="E354" s="29">
        <f>IFERROR(__xludf.DUMMYFUNCTION("""COMPUTED_VALUE"""),3.0)</f>
        <v>3</v>
      </c>
    </row>
    <row r="355">
      <c r="A355" s="33">
        <f>IFERROR(__xludf.DUMMYFUNCTION("""COMPUTED_VALUE"""),45983.925561076394)</f>
        <v>45983.92556</v>
      </c>
      <c r="B355" s="29" t="str">
        <f>IFERROR(__xludf.DUMMYFUNCTION("""COMPUTED_VALUE"""),"Intact (Never circumcised)")</f>
        <v>Intact (Never circumcised)</v>
      </c>
      <c r="C355" s="29" t="str">
        <f>IFERROR(__xludf.DUMMYFUNCTION("""COMPUTED_VALUE"""),"Orgasm Intensity")</f>
        <v>Orgasm Intensity</v>
      </c>
      <c r="D355" s="29" t="str">
        <f>IFERROR(__xludf.DUMMYFUNCTION("""COMPUTED_VALUE"""),"4")</f>
        <v>4</v>
      </c>
      <c r="E355" s="29">
        <f>IFERROR(__xludf.DUMMYFUNCTION("""COMPUTED_VALUE"""),4.0)</f>
        <v>4</v>
      </c>
    </row>
    <row r="356">
      <c r="A356" s="33">
        <f>IFERROR(__xludf.DUMMYFUNCTION("""COMPUTED_VALUE"""),45983.95113446759)</f>
        <v>45983.95113</v>
      </c>
      <c r="B356" s="29" t="str">
        <f>IFERROR(__xludf.DUMMYFUNCTION("""COMPUTED_VALUE"""),"Intact (Never circumcised)")</f>
        <v>Intact (Never circumcised)</v>
      </c>
      <c r="C356" s="29" t="str">
        <f>IFERROR(__xludf.DUMMYFUNCTION("""COMPUTED_VALUE"""),"Orgasm Intensity")</f>
        <v>Orgasm Intensity</v>
      </c>
      <c r="D356" s="29" t="str">
        <f>IFERROR(__xludf.DUMMYFUNCTION("""COMPUTED_VALUE"""),"5 (High/Excellent)")</f>
        <v>5 (High/Excellent)</v>
      </c>
      <c r="E356" s="29">
        <f>IFERROR(__xludf.DUMMYFUNCTION("""COMPUTED_VALUE"""),5.0)</f>
        <v>5</v>
      </c>
    </row>
    <row r="357">
      <c r="A357" s="33">
        <f>IFERROR(__xludf.DUMMYFUNCTION("""COMPUTED_VALUE"""),45992.05210868055)</f>
        <v>45992.05211</v>
      </c>
      <c r="B357" s="29" t="str">
        <f>IFERROR(__xludf.DUMMYFUNCTION("""COMPUTED_VALUE"""),"Circumcised")</f>
        <v>Circumcised</v>
      </c>
      <c r="C357" s="29" t="str">
        <f>IFERROR(__xludf.DUMMYFUNCTION("""COMPUTED_VALUE"""),"Orgasm Intensity")</f>
        <v>Orgasm Intensity</v>
      </c>
      <c r="D357" s="29" t="str">
        <f>IFERROR(__xludf.DUMMYFUNCTION("""COMPUTED_VALUE"""),"2")</f>
        <v>2</v>
      </c>
      <c r="E357" s="29">
        <f>IFERROR(__xludf.DUMMYFUNCTION("""COMPUTED_VALUE"""),2.0)</f>
        <v>2</v>
      </c>
    </row>
    <row r="358">
      <c r="A358" s="33">
        <f>IFERROR(__xludf.DUMMYFUNCTION("""COMPUTED_VALUE"""),45992.67591680555)</f>
        <v>45992.67592</v>
      </c>
      <c r="B358" s="29" t="str">
        <f>IFERROR(__xludf.DUMMYFUNCTION("""COMPUTED_VALUE"""),"Circumcised")</f>
        <v>Circumcised</v>
      </c>
      <c r="C358" s="29" t="str">
        <f>IFERROR(__xludf.DUMMYFUNCTION("""COMPUTED_VALUE"""),"Orgasm Intensity")</f>
        <v>Orgasm Intensity</v>
      </c>
      <c r="D358" s="29" t="str">
        <f>IFERROR(__xludf.DUMMYFUNCTION("""COMPUTED_VALUE"""),"5 (High/Excellent)")</f>
        <v>5 (High/Excellent)</v>
      </c>
      <c r="E358" s="29">
        <f>IFERROR(__xludf.DUMMYFUNCTION("""COMPUTED_VALUE"""),5.0)</f>
        <v>5</v>
      </c>
    </row>
    <row r="359">
      <c r="A359" s="33">
        <f>IFERROR(__xludf.DUMMYFUNCTION("""COMPUTED_VALUE"""),45996.37980859953)</f>
        <v>45996.37981</v>
      </c>
      <c r="B359" s="29" t="str">
        <f>IFERROR(__xludf.DUMMYFUNCTION("""COMPUTED_VALUE"""),"Circumcised")</f>
        <v>Circumcised</v>
      </c>
      <c r="C359" s="29" t="str">
        <f>IFERROR(__xludf.DUMMYFUNCTION("""COMPUTED_VALUE"""),"Orgasm Intensity")</f>
        <v>Orgasm Intensity</v>
      </c>
      <c r="D359" s="29" t="str">
        <f>IFERROR(__xludf.DUMMYFUNCTION("""COMPUTED_VALUE"""),"3 (Medium/Average)")</f>
        <v>3 (Medium/Average)</v>
      </c>
      <c r="E359" s="29">
        <f>IFERROR(__xludf.DUMMYFUNCTION("""COMPUTED_VALUE"""),3.0)</f>
        <v>3</v>
      </c>
    </row>
    <row r="360">
      <c r="A360" s="33">
        <f>IFERROR(__xludf.DUMMYFUNCTION("""COMPUTED_VALUE"""),45996.56378877315)</f>
        <v>45996.56379</v>
      </c>
      <c r="B360" s="29" t="str">
        <f>IFERROR(__xludf.DUMMYFUNCTION("""COMPUTED_VALUE"""),"Circumcised")</f>
        <v>Circumcised</v>
      </c>
      <c r="C360" s="29" t="str">
        <f>IFERROR(__xludf.DUMMYFUNCTION("""COMPUTED_VALUE"""),"Orgasm Intensity")</f>
        <v>Orgasm Intensity</v>
      </c>
      <c r="D360" s="29" t="str">
        <f>IFERROR(__xludf.DUMMYFUNCTION("""COMPUTED_VALUE"""),"5 (High/Excellent)")</f>
        <v>5 (High/Excellent)</v>
      </c>
      <c r="E360" s="29">
        <f>IFERROR(__xludf.DUMMYFUNCTION("""COMPUTED_VALUE"""),5.0)</f>
        <v>5</v>
      </c>
    </row>
    <row r="361">
      <c r="A361" s="33">
        <f>IFERROR(__xludf.DUMMYFUNCTION("""COMPUTED_VALUE"""),45999.3960019213)</f>
        <v>45999.396</v>
      </c>
      <c r="B361" s="29" t="str">
        <f>IFERROR(__xludf.DUMMYFUNCTION("""COMPUTED_VALUE"""),"Circumcised")</f>
        <v>Circumcised</v>
      </c>
      <c r="C361" s="29" t="str">
        <f>IFERROR(__xludf.DUMMYFUNCTION("""COMPUTED_VALUE"""),"Orgasm Intensity")</f>
        <v>Orgasm Intensity</v>
      </c>
      <c r="D361" s="29" t="str">
        <f>IFERROR(__xludf.DUMMYFUNCTION("""COMPUTED_VALUE"""),"4")</f>
        <v>4</v>
      </c>
      <c r="E361" s="29">
        <f>IFERROR(__xludf.DUMMYFUNCTION("""COMPUTED_VALUE"""),4.0)</f>
        <v>4</v>
      </c>
    </row>
    <row r="362">
      <c r="A362" s="33">
        <f>IFERROR(__xludf.DUMMYFUNCTION("""COMPUTED_VALUE"""),46001.23924292824)</f>
        <v>46001.23924</v>
      </c>
      <c r="B362" s="29" t="str">
        <f>IFERROR(__xludf.DUMMYFUNCTION("""COMPUTED_VALUE"""),"Circumcised")</f>
        <v>Circumcised</v>
      </c>
      <c r="C362" s="29" t="str">
        <f>IFERROR(__xludf.DUMMYFUNCTION("""COMPUTED_VALUE"""),"Orgasm Intensity")</f>
        <v>Orgasm Intensity</v>
      </c>
      <c r="D362" s="29" t="str">
        <f>IFERROR(__xludf.DUMMYFUNCTION("""COMPUTED_VALUE"""),"3 (Medium/Average)")</f>
        <v>3 (Medium/Average)</v>
      </c>
      <c r="E362" s="29">
        <f>IFERROR(__xludf.DUMMYFUNCTION("""COMPUTED_VALUE"""),3.0)</f>
        <v>3</v>
      </c>
    </row>
    <row r="363">
      <c r="A363" s="33">
        <f>IFERROR(__xludf.DUMMYFUNCTION("""COMPUTED_VALUE"""),46003.78513780092)</f>
        <v>46003.78514</v>
      </c>
      <c r="B363" s="29" t="str">
        <f>IFERROR(__xludf.DUMMYFUNCTION("""COMPUTED_VALUE"""),"Circumcised")</f>
        <v>Circumcised</v>
      </c>
      <c r="C363" s="29" t="str">
        <f>IFERROR(__xludf.DUMMYFUNCTION("""COMPUTED_VALUE"""),"Orgasm Intensity")</f>
        <v>Orgasm Intensity</v>
      </c>
      <c r="D363" s="29" t="str">
        <f>IFERROR(__xludf.DUMMYFUNCTION("""COMPUTED_VALUE"""),"1 (Low/Poor)")</f>
        <v>1 (Low/Poor)</v>
      </c>
      <c r="E363" s="29">
        <f>IFERROR(__xludf.DUMMYFUNCTION("""COMPUTED_VALUE"""),1.0)</f>
        <v>1</v>
      </c>
    </row>
    <row r="364">
      <c r="A364" s="33">
        <f>IFERROR(__xludf.DUMMYFUNCTION("""COMPUTED_VALUE"""),46009.51232134259)</f>
        <v>46009.51232</v>
      </c>
      <c r="B364" s="29" t="str">
        <f>IFERROR(__xludf.DUMMYFUNCTION("""COMPUTED_VALUE"""),"Circumcised")</f>
        <v>Circumcised</v>
      </c>
      <c r="C364" s="29" t="str">
        <f>IFERROR(__xludf.DUMMYFUNCTION("""COMPUTED_VALUE"""),"Orgasm Intensity")</f>
        <v>Orgasm Intensity</v>
      </c>
      <c r="D364" s="29" t="str">
        <f>IFERROR(__xludf.DUMMYFUNCTION("""COMPUTED_VALUE"""),"3 (Medium/Average)")</f>
        <v>3 (Medium/Average)</v>
      </c>
      <c r="E364" s="29">
        <f>IFERROR(__xludf.DUMMYFUNCTION("""COMPUTED_VALUE"""),3.0)</f>
        <v>3</v>
      </c>
    </row>
    <row r="365">
      <c r="A365" s="33">
        <f>IFERROR(__xludf.DUMMYFUNCTION("""COMPUTED_VALUE"""),46012.822104016195)</f>
        <v>46012.8221</v>
      </c>
      <c r="B365" s="29" t="str">
        <f>IFERROR(__xludf.DUMMYFUNCTION("""COMPUTED_VALUE"""),"Actively restoring my foreskin / I consider myself restored")</f>
        <v>Actively restoring my foreskin / I consider myself restored</v>
      </c>
      <c r="C365" s="29" t="str">
        <f>IFERROR(__xludf.DUMMYFUNCTION("""COMPUTED_VALUE"""),"Orgasm Intensity")</f>
        <v>Orgasm Intensity</v>
      </c>
      <c r="D365" s="29" t="str">
        <f>IFERROR(__xludf.DUMMYFUNCTION("""COMPUTED_VALUE"""),"5 (High/Excellent)")</f>
        <v>5 (High/Excellent)</v>
      </c>
      <c r="E365" s="29">
        <f>IFERROR(__xludf.DUMMYFUNCTION("""COMPUTED_VALUE"""),5.0)</f>
        <v>5</v>
      </c>
    </row>
    <row r="366">
      <c r="A366" s="33">
        <f>IFERROR(__xludf.DUMMYFUNCTION("""COMPUTED_VALUE"""),46012.99766703704)</f>
        <v>46012.99767</v>
      </c>
      <c r="B366" s="29" t="str">
        <f>IFERROR(__xludf.DUMMYFUNCTION("""COMPUTED_VALUE"""),"Circumcised")</f>
        <v>Circumcised</v>
      </c>
      <c r="C366" s="29" t="str">
        <f>IFERROR(__xludf.DUMMYFUNCTION("""COMPUTED_VALUE"""),"Orgasm Intensity")</f>
        <v>Orgasm Intensity</v>
      </c>
      <c r="D366" s="29" t="str">
        <f>IFERROR(__xludf.DUMMYFUNCTION("""COMPUTED_VALUE"""),"2")</f>
        <v>2</v>
      </c>
      <c r="E366" s="29">
        <f>IFERROR(__xludf.DUMMYFUNCTION("""COMPUTED_VALUE"""),2.0)</f>
        <v>2</v>
      </c>
    </row>
    <row r="367">
      <c r="A367" s="33">
        <f>IFERROR(__xludf.DUMMYFUNCTION("""COMPUTED_VALUE"""),46019.43110707175)</f>
        <v>46019.43111</v>
      </c>
      <c r="B367" s="29" t="str">
        <f>IFERROR(__xludf.DUMMYFUNCTION("""COMPUTED_VALUE"""),"Circumcised")</f>
        <v>Circumcised</v>
      </c>
      <c r="C367" s="29" t="str">
        <f>IFERROR(__xludf.DUMMYFUNCTION("""COMPUTED_VALUE"""),"Orgasm Intensity")</f>
        <v>Orgasm Intensity</v>
      </c>
      <c r="D367" s="29" t="str">
        <f>IFERROR(__xludf.DUMMYFUNCTION("""COMPUTED_VALUE"""),"1 (Low/Poor)")</f>
        <v>1 (Low/Poor)</v>
      </c>
      <c r="E367" s="29">
        <f>IFERROR(__xludf.DUMMYFUNCTION("""COMPUTED_VALUE"""),1.0)</f>
        <v>1</v>
      </c>
    </row>
    <row r="368">
      <c r="A368" s="33">
        <f>IFERROR(__xludf.DUMMYFUNCTION("""COMPUTED_VALUE"""),46019.70274966436)</f>
        <v>46019.70275</v>
      </c>
      <c r="B368" s="29" t="str">
        <f>IFERROR(__xludf.DUMMYFUNCTION("""COMPUTED_VALUE"""),"Circumcised")</f>
        <v>Circumcised</v>
      </c>
      <c r="C368" s="29" t="str">
        <f>IFERROR(__xludf.DUMMYFUNCTION("""COMPUTED_VALUE"""),"Orgasm Intensity")</f>
        <v>Orgasm Intensity</v>
      </c>
      <c r="D368" s="29" t="str">
        <f>IFERROR(__xludf.DUMMYFUNCTION("""COMPUTED_VALUE"""),"4")</f>
        <v>4</v>
      </c>
      <c r="E368" s="29">
        <f>IFERROR(__xludf.DUMMYFUNCTION("""COMPUTED_VALUE"""),4.0)</f>
        <v>4</v>
      </c>
    </row>
    <row r="369">
      <c r="A369" s="33">
        <f>IFERROR(__xludf.DUMMYFUNCTION("""COMPUTED_VALUE"""),46025.157875034725)</f>
        <v>46025.15788</v>
      </c>
      <c r="B369" s="29" t="str">
        <f>IFERROR(__xludf.DUMMYFUNCTION("""COMPUTED_VALUE"""),"Circumcised")</f>
        <v>Circumcised</v>
      </c>
      <c r="C369" s="29" t="str">
        <f>IFERROR(__xludf.DUMMYFUNCTION("""COMPUTED_VALUE"""),"Orgasm Intensity")</f>
        <v>Orgasm Intensity</v>
      </c>
      <c r="D369" s="29" t="str">
        <f>IFERROR(__xludf.DUMMYFUNCTION("""COMPUTED_VALUE"""),"4")</f>
        <v>4</v>
      </c>
      <c r="E369" s="29">
        <f>IFERROR(__xludf.DUMMYFUNCTION("""COMPUTED_VALUE"""),4.0)</f>
        <v>4</v>
      </c>
    </row>
    <row r="370">
      <c r="A370" s="33">
        <f>IFERROR(__xludf.DUMMYFUNCTION("""COMPUTED_VALUE"""),46025.18449309027)</f>
        <v>46025.18449</v>
      </c>
      <c r="B370" s="29" t="str">
        <f>IFERROR(__xludf.DUMMYFUNCTION("""COMPUTED_VALUE"""),"Intact (Never circumcised)")</f>
        <v>Intact (Never circumcised)</v>
      </c>
      <c r="C370" s="29" t="str">
        <f>IFERROR(__xludf.DUMMYFUNCTION("""COMPUTED_VALUE"""),"Orgasm Intensity")</f>
        <v>Orgasm Intensity</v>
      </c>
      <c r="D370" s="29" t="str">
        <f>IFERROR(__xludf.DUMMYFUNCTION("""COMPUTED_VALUE"""),"5 (High/Excellent)")</f>
        <v>5 (High/Excellent)</v>
      </c>
      <c r="E370" s="29">
        <f>IFERROR(__xludf.DUMMYFUNCTION("""COMPUTED_VALUE"""),5.0)</f>
        <v>5</v>
      </c>
    </row>
    <row r="371">
      <c r="A371" s="33">
        <f>IFERROR(__xludf.DUMMYFUNCTION("""COMPUTED_VALUE"""),46026.317358437496)</f>
        <v>46026.31736</v>
      </c>
      <c r="B371" s="29" t="str">
        <f>IFERROR(__xludf.DUMMYFUNCTION("""COMPUTED_VALUE"""),"Actively restoring my foreskin / I consider myself restored")</f>
        <v>Actively restoring my foreskin / I consider myself restored</v>
      </c>
      <c r="C371" s="29" t="str">
        <f>IFERROR(__xludf.DUMMYFUNCTION("""COMPUTED_VALUE"""),"Orgasm Intensity")</f>
        <v>Orgasm Intensity</v>
      </c>
      <c r="D371" s="29" t="str">
        <f>IFERROR(__xludf.DUMMYFUNCTION("""COMPUTED_VALUE"""),"3 (Medium/Average)")</f>
        <v>3 (Medium/Average)</v>
      </c>
      <c r="E371" s="29">
        <f>IFERROR(__xludf.DUMMYFUNCTION("""COMPUTED_VALUE"""),3.0)</f>
        <v>3</v>
      </c>
    </row>
    <row r="372">
      <c r="A372" s="33">
        <f>IFERROR(__xludf.DUMMYFUNCTION("""COMPUTED_VALUE"""),46028.958640625)</f>
        <v>46028.95864</v>
      </c>
      <c r="B372" s="29" t="str">
        <f>IFERROR(__xludf.DUMMYFUNCTION("""COMPUTED_VALUE"""),"Circumcised")</f>
        <v>Circumcised</v>
      </c>
      <c r="C372" s="29" t="str">
        <f>IFERROR(__xludf.DUMMYFUNCTION("""COMPUTED_VALUE"""),"Orgasm Intensity")</f>
        <v>Orgasm Intensity</v>
      </c>
      <c r="D372" s="29" t="str">
        <f>IFERROR(__xludf.DUMMYFUNCTION("""COMPUTED_VALUE"""),"2")</f>
        <v>2</v>
      </c>
      <c r="E372" s="29">
        <f>IFERROR(__xludf.DUMMYFUNCTION("""COMPUTED_VALUE"""),2.0)</f>
        <v>2</v>
      </c>
    </row>
    <row r="373">
      <c r="A373" s="33">
        <f>IFERROR(__xludf.DUMMYFUNCTION("""COMPUTED_VALUE"""),46029.12269635416)</f>
        <v>46029.1227</v>
      </c>
      <c r="B373" s="29" t="str">
        <f>IFERROR(__xludf.DUMMYFUNCTION("""COMPUTED_VALUE"""),"Intact (Never circumcised)")</f>
        <v>Intact (Never circumcised)</v>
      </c>
      <c r="C373" s="29" t="str">
        <f>IFERROR(__xludf.DUMMYFUNCTION("""COMPUTED_VALUE"""),"Orgasm Intensity")</f>
        <v>Orgasm Intensity</v>
      </c>
      <c r="D373" s="29" t="str">
        <f>IFERROR(__xludf.DUMMYFUNCTION("""COMPUTED_VALUE"""),"4")</f>
        <v>4</v>
      </c>
      <c r="E373" s="29">
        <f>IFERROR(__xludf.DUMMYFUNCTION("""COMPUTED_VALUE"""),4.0)</f>
        <v>4</v>
      </c>
    </row>
    <row r="374">
      <c r="A374" s="33">
        <f>IFERROR(__xludf.DUMMYFUNCTION("""COMPUTED_VALUE"""),46032.64016930556)</f>
        <v>46032.64017</v>
      </c>
      <c r="B374" s="29" t="str">
        <f>IFERROR(__xludf.DUMMYFUNCTION("""COMPUTED_VALUE"""),"Actively restoring my foreskin / I consider myself restored")</f>
        <v>Actively restoring my foreskin / I consider myself restored</v>
      </c>
      <c r="C374" s="29" t="str">
        <f>IFERROR(__xludf.DUMMYFUNCTION("""COMPUTED_VALUE"""),"Orgasm Intensity")</f>
        <v>Orgasm Intensity</v>
      </c>
      <c r="D374" s="29" t="str">
        <f>IFERROR(__xludf.DUMMYFUNCTION("""COMPUTED_VALUE"""),"4")</f>
        <v>4</v>
      </c>
      <c r="E374" s="29">
        <f>IFERROR(__xludf.DUMMYFUNCTION("""COMPUTED_VALUE"""),4.0)</f>
        <v>4</v>
      </c>
    </row>
    <row r="375">
      <c r="A375" s="33">
        <f>IFERROR(__xludf.DUMMYFUNCTION("""COMPUTED_VALUE"""),46037.4918693287)</f>
        <v>46037.49187</v>
      </c>
      <c r="B375" s="29" t="str">
        <f>IFERROR(__xludf.DUMMYFUNCTION("""COMPUTED_VALUE"""),"Actively restoring my foreskin / I consider myself restored")</f>
        <v>Actively restoring my foreskin / I consider myself restored</v>
      </c>
      <c r="C375" s="29" t="str">
        <f>IFERROR(__xludf.DUMMYFUNCTION("""COMPUTED_VALUE"""),"Orgasm Intensity")</f>
        <v>Orgasm Intensity</v>
      </c>
      <c r="D375" s="29" t="str">
        <f>IFERROR(__xludf.DUMMYFUNCTION("""COMPUTED_VALUE"""),"2")</f>
        <v>2</v>
      </c>
      <c r="E375" s="29">
        <f>IFERROR(__xludf.DUMMYFUNCTION("""COMPUTED_VALUE"""),2.0)</f>
        <v>2</v>
      </c>
    </row>
    <row r="376">
      <c r="A376" s="33">
        <f>IFERROR(__xludf.DUMMYFUNCTION("""COMPUTED_VALUE"""),46037.5570009375)</f>
        <v>46037.557</v>
      </c>
      <c r="B376" s="29" t="str">
        <f>IFERROR(__xludf.DUMMYFUNCTION("""COMPUTED_VALUE"""),"Intact (Never circumcised)")</f>
        <v>Intact (Never circumcised)</v>
      </c>
      <c r="C376" s="29" t="str">
        <f>IFERROR(__xludf.DUMMYFUNCTION("""COMPUTED_VALUE"""),"Orgasm Intensity")</f>
        <v>Orgasm Intensity</v>
      </c>
      <c r="D376" s="29" t="str">
        <f>IFERROR(__xludf.DUMMYFUNCTION("""COMPUTED_VALUE"""),"4")</f>
        <v>4</v>
      </c>
      <c r="E376" s="29">
        <f>IFERROR(__xludf.DUMMYFUNCTION("""COMPUTED_VALUE"""),4.0)</f>
        <v>4</v>
      </c>
    </row>
    <row r="377">
      <c r="A377" s="33">
        <f>IFERROR(__xludf.DUMMYFUNCTION("""COMPUTED_VALUE"""),46053.61221619213)</f>
        <v>46053.61222</v>
      </c>
      <c r="B377" s="29" t="str">
        <f>IFERROR(__xludf.DUMMYFUNCTION("""COMPUTED_VALUE"""),"Circumcised")</f>
        <v>Circumcised</v>
      </c>
      <c r="C377" s="29" t="str">
        <f>IFERROR(__xludf.DUMMYFUNCTION("""COMPUTED_VALUE"""),"Orgasm Intensity")</f>
        <v>Orgasm Intensity</v>
      </c>
      <c r="D377" s="29" t="str">
        <f>IFERROR(__xludf.DUMMYFUNCTION("""COMPUTED_VALUE"""),"5 (High/Excellent)")</f>
        <v>5 (High/Excellent)</v>
      </c>
      <c r="E377" s="29">
        <f>IFERROR(__xludf.DUMMYFUNCTION("""COMPUTED_VALUE"""),5.0)</f>
        <v>5</v>
      </c>
    </row>
    <row r="378">
      <c r="A378" s="33">
        <f>IFERROR(__xludf.DUMMYFUNCTION("""COMPUTED_VALUE"""),46053.776607708336)</f>
        <v>46053.77661</v>
      </c>
      <c r="B378" s="29" t="str">
        <f>IFERROR(__xludf.DUMMYFUNCTION("""COMPUTED_VALUE"""),"Circumcised")</f>
        <v>Circumcised</v>
      </c>
      <c r="C378" s="29" t="str">
        <f>IFERROR(__xludf.DUMMYFUNCTION("""COMPUTED_VALUE"""),"Orgasm Intensity")</f>
        <v>Orgasm Intensity</v>
      </c>
      <c r="D378" s="29" t="str">
        <f>IFERROR(__xludf.DUMMYFUNCTION("""COMPUTED_VALUE"""),"5 (High/Excellent)")</f>
        <v>5 (High/Excellent)</v>
      </c>
      <c r="E378" s="29">
        <f>IFERROR(__xludf.DUMMYFUNCTION("""COMPUTED_VALUE"""),5.0)</f>
        <v>5</v>
      </c>
    </row>
    <row r="379">
      <c r="A379" s="33">
        <f>IFERROR(__xludf.DUMMYFUNCTION("""COMPUTED_VALUE"""),46055.729800081026)</f>
        <v>46055.7298</v>
      </c>
      <c r="B379" s="29" t="str">
        <f>IFERROR(__xludf.DUMMYFUNCTION("""COMPUTED_VALUE"""),"Circumcised")</f>
        <v>Circumcised</v>
      </c>
      <c r="C379" s="29" t="str">
        <f>IFERROR(__xludf.DUMMYFUNCTION("""COMPUTED_VALUE"""),"Orgasm Intensity")</f>
        <v>Orgasm Intensity</v>
      </c>
      <c r="D379" s="29" t="str">
        <f>IFERROR(__xludf.DUMMYFUNCTION("""COMPUTED_VALUE"""),"2")</f>
        <v>2</v>
      </c>
      <c r="E379" s="29">
        <f>IFERROR(__xludf.DUMMYFUNCTION("""COMPUTED_VALUE"""),2.0)</f>
        <v>2</v>
      </c>
    </row>
    <row r="380">
      <c r="A380" s="33">
        <f>IFERROR(__xludf.DUMMYFUNCTION("""COMPUTED_VALUE"""),46060.45633940972)</f>
        <v>46060.45634</v>
      </c>
      <c r="B380" s="29" t="str">
        <f>IFERROR(__xludf.DUMMYFUNCTION("""COMPUTED_VALUE"""),"Circumcised")</f>
        <v>Circumcised</v>
      </c>
      <c r="C380" s="29" t="str">
        <f>IFERROR(__xludf.DUMMYFUNCTION("""COMPUTED_VALUE"""),"Orgasm Intensity")</f>
        <v>Orgasm Intensity</v>
      </c>
      <c r="D380" s="29" t="str">
        <f>IFERROR(__xludf.DUMMYFUNCTION("""COMPUTED_VALUE"""),"3 (Medium/Average)")</f>
        <v>3 (Medium/Average)</v>
      </c>
      <c r="E380" s="29">
        <f>IFERROR(__xludf.DUMMYFUNCTION("""COMPUTED_VALUE"""),3.0)</f>
        <v>3</v>
      </c>
    </row>
    <row r="381">
      <c r="A381" s="33">
        <f>IFERROR(__xludf.DUMMYFUNCTION("""COMPUTED_VALUE"""),46061.530180625006)</f>
        <v>46061.53018</v>
      </c>
      <c r="B381" s="29" t="str">
        <f>IFERROR(__xludf.DUMMYFUNCTION("""COMPUTED_VALUE"""),"Intact (Never circumcised)")</f>
        <v>Intact (Never circumcised)</v>
      </c>
      <c r="C381" s="29" t="str">
        <f>IFERROR(__xludf.DUMMYFUNCTION("""COMPUTED_VALUE"""),"Orgasm Intensity")</f>
        <v>Orgasm Intensity</v>
      </c>
      <c r="D381" s="29" t="str">
        <f>IFERROR(__xludf.DUMMYFUNCTION("""COMPUTED_VALUE"""),"5 (High/Excellent)")</f>
        <v>5 (High/Excellent)</v>
      </c>
      <c r="E381" s="29">
        <f>IFERROR(__xludf.DUMMYFUNCTION("""COMPUTED_VALUE"""),5.0)</f>
        <v>5</v>
      </c>
    </row>
    <row r="382">
      <c r="A382" s="33">
        <f>IFERROR(__xludf.DUMMYFUNCTION("""COMPUTED_VALUE"""),46064.90010012731)</f>
        <v>46064.9001</v>
      </c>
      <c r="B382" s="29" t="str">
        <f>IFERROR(__xludf.DUMMYFUNCTION("""COMPUTED_VALUE"""),"Intact (Never circumcised)")</f>
        <v>Intact (Never circumcised)</v>
      </c>
      <c r="C382" s="29" t="str">
        <f>IFERROR(__xludf.DUMMYFUNCTION("""COMPUTED_VALUE"""),"Orgasm Intensity")</f>
        <v>Orgasm Intensity</v>
      </c>
      <c r="D382" s="29" t="str">
        <f>IFERROR(__xludf.DUMMYFUNCTION("""COMPUTED_VALUE"""),"5 (High/Excellent)")</f>
        <v>5 (High/Excellent)</v>
      </c>
      <c r="E382" s="29">
        <f>IFERROR(__xludf.DUMMYFUNCTION("""COMPUTED_VALUE"""),5.0)</f>
        <v>5</v>
      </c>
    </row>
    <row r="383">
      <c r="A383" s="33">
        <f>IFERROR(__xludf.DUMMYFUNCTION("""COMPUTED_VALUE"""),46064.99989840278)</f>
        <v>46064.9999</v>
      </c>
      <c r="B383" s="29" t="str">
        <f>IFERROR(__xludf.DUMMYFUNCTION("""COMPUTED_VALUE"""),"Circumcised")</f>
        <v>Circumcised</v>
      </c>
      <c r="C383" s="29" t="str">
        <f>IFERROR(__xludf.DUMMYFUNCTION("""COMPUTED_VALUE"""),"Orgasm Intensity")</f>
        <v>Orgasm Intensity</v>
      </c>
      <c r="D383" s="29" t="str">
        <f>IFERROR(__xludf.DUMMYFUNCTION("""COMPUTED_VALUE"""),"2")</f>
        <v>2</v>
      </c>
      <c r="E383" s="29">
        <f>IFERROR(__xludf.DUMMYFUNCTION("""COMPUTED_VALUE"""),2.0)</f>
        <v>2</v>
      </c>
    </row>
    <row r="384">
      <c r="A384" s="33">
        <f>IFERROR(__xludf.DUMMYFUNCTION("""COMPUTED_VALUE"""),46065.31308600695)</f>
        <v>46065.31309</v>
      </c>
      <c r="B384" s="29" t="str">
        <f>IFERROR(__xludf.DUMMYFUNCTION("""COMPUTED_VALUE"""),"Circumcised")</f>
        <v>Circumcised</v>
      </c>
      <c r="C384" s="29" t="str">
        <f>IFERROR(__xludf.DUMMYFUNCTION("""COMPUTED_VALUE"""),"Orgasm Intensity")</f>
        <v>Orgasm Intensity</v>
      </c>
      <c r="D384" s="29" t="str">
        <f>IFERROR(__xludf.DUMMYFUNCTION("""COMPUTED_VALUE"""),"1 (Low/Poor)")</f>
        <v>1 (Low/Poor)</v>
      </c>
      <c r="E384" s="29">
        <f>IFERROR(__xludf.DUMMYFUNCTION("""COMPUTED_VALUE"""),1.0)</f>
        <v>1</v>
      </c>
    </row>
    <row r="385">
      <c r="A385" s="33">
        <f>IFERROR(__xludf.DUMMYFUNCTION("""COMPUTED_VALUE"""),46065.52200550926)</f>
        <v>46065.52201</v>
      </c>
      <c r="B385" s="29" t="str">
        <f>IFERROR(__xludf.DUMMYFUNCTION("""COMPUTED_VALUE"""),"Circumcised")</f>
        <v>Circumcised</v>
      </c>
      <c r="C385" s="29" t="str">
        <f>IFERROR(__xludf.DUMMYFUNCTION("""COMPUTED_VALUE"""),"Orgasm Intensity")</f>
        <v>Orgasm Intensity</v>
      </c>
      <c r="D385" s="29" t="str">
        <f>IFERROR(__xludf.DUMMYFUNCTION("""COMPUTED_VALUE"""),"2")</f>
        <v>2</v>
      </c>
      <c r="E385" s="29">
        <f>IFERROR(__xludf.DUMMYFUNCTION("""COMPUTED_VALUE"""),2.0)</f>
        <v>2</v>
      </c>
    </row>
    <row r="386">
      <c r="A386" s="33">
        <f>IFERROR(__xludf.DUMMYFUNCTION("""COMPUTED_VALUE"""),46065.61208627315)</f>
        <v>46065.61209</v>
      </c>
      <c r="B386" s="29" t="str">
        <f>IFERROR(__xludf.DUMMYFUNCTION("""COMPUTED_VALUE"""),"Intact (Never circumcised)")</f>
        <v>Intact (Never circumcised)</v>
      </c>
      <c r="C386" s="29" t="str">
        <f>IFERROR(__xludf.DUMMYFUNCTION("""COMPUTED_VALUE"""),"Orgasm Intensity")</f>
        <v>Orgasm Intensity</v>
      </c>
      <c r="D386" s="29" t="str">
        <f>IFERROR(__xludf.DUMMYFUNCTION("""COMPUTED_VALUE"""),"3 (Medium/Average)")</f>
        <v>3 (Medium/Average)</v>
      </c>
      <c r="E386" s="29">
        <f>IFERROR(__xludf.DUMMYFUNCTION("""COMPUTED_VALUE"""),3.0)</f>
        <v>3</v>
      </c>
    </row>
    <row r="387">
      <c r="A387" s="33">
        <f>IFERROR(__xludf.DUMMYFUNCTION("""COMPUTED_VALUE"""),46066.35949877315)</f>
        <v>46066.3595</v>
      </c>
      <c r="B387" s="29" t="str">
        <f>IFERROR(__xludf.DUMMYFUNCTION("""COMPUTED_VALUE"""),"Circumcised")</f>
        <v>Circumcised</v>
      </c>
      <c r="C387" s="29" t="str">
        <f>IFERROR(__xludf.DUMMYFUNCTION("""COMPUTED_VALUE"""),"Orgasm Intensity")</f>
        <v>Orgasm Intensity</v>
      </c>
      <c r="D387" s="29" t="str">
        <f>IFERROR(__xludf.DUMMYFUNCTION("""COMPUTED_VALUE"""),"1 (Low/Poor)")</f>
        <v>1 (Low/Poor)</v>
      </c>
      <c r="E387" s="29">
        <f>IFERROR(__xludf.DUMMYFUNCTION("""COMPUTED_VALUE"""),1.0)</f>
        <v>1</v>
      </c>
    </row>
    <row r="388">
      <c r="A388" s="33">
        <f>IFERROR(__xludf.DUMMYFUNCTION("""COMPUTED_VALUE"""),46066.93613185186)</f>
        <v>46066.93613</v>
      </c>
      <c r="B388" s="29" t="str">
        <f>IFERROR(__xludf.DUMMYFUNCTION("""COMPUTED_VALUE"""),"Circumcised")</f>
        <v>Circumcised</v>
      </c>
      <c r="C388" s="29" t="str">
        <f>IFERROR(__xludf.DUMMYFUNCTION("""COMPUTED_VALUE"""),"Orgasm Intensity")</f>
        <v>Orgasm Intensity</v>
      </c>
      <c r="D388" s="29" t="str">
        <f>IFERROR(__xludf.DUMMYFUNCTION("""COMPUTED_VALUE"""),"4")</f>
        <v>4</v>
      </c>
      <c r="E388" s="29">
        <f>IFERROR(__xludf.DUMMYFUNCTION("""COMPUTED_VALUE"""),4.0)</f>
        <v>4</v>
      </c>
    </row>
    <row r="389">
      <c r="A389" s="33">
        <f>IFERROR(__xludf.DUMMYFUNCTION("""COMPUTED_VALUE"""),46067.17601916667)</f>
        <v>46067.17602</v>
      </c>
      <c r="B389" s="29" t="str">
        <f>IFERROR(__xludf.DUMMYFUNCTION("""COMPUTED_VALUE"""),"Intact (Never circumcised)")</f>
        <v>Intact (Never circumcised)</v>
      </c>
      <c r="C389" s="29" t="str">
        <f>IFERROR(__xludf.DUMMYFUNCTION("""COMPUTED_VALUE"""),"Orgasm Intensity")</f>
        <v>Orgasm Intensity</v>
      </c>
      <c r="D389" s="29" t="str">
        <f>IFERROR(__xludf.DUMMYFUNCTION("""COMPUTED_VALUE"""),"3 (Medium/Average)")</f>
        <v>3 (Medium/Average)</v>
      </c>
      <c r="E389" s="29">
        <f>IFERROR(__xludf.DUMMYFUNCTION("""COMPUTED_VALUE"""),3.0)</f>
        <v>3</v>
      </c>
    </row>
    <row r="390">
      <c r="A390" s="33">
        <f>IFERROR(__xludf.DUMMYFUNCTION("""COMPUTED_VALUE"""),46069.69560907408)</f>
        <v>46069.69561</v>
      </c>
      <c r="B390" s="29" t="str">
        <f>IFERROR(__xludf.DUMMYFUNCTION("""COMPUTED_VALUE"""),"Circumcised")</f>
        <v>Circumcised</v>
      </c>
      <c r="C390" s="29" t="str">
        <f>IFERROR(__xludf.DUMMYFUNCTION("""COMPUTED_VALUE"""),"Orgasm Intensity")</f>
        <v>Orgasm Intensity</v>
      </c>
      <c r="D390" s="29" t="str">
        <f>IFERROR(__xludf.DUMMYFUNCTION("""COMPUTED_VALUE"""),"4")</f>
        <v>4</v>
      </c>
      <c r="E390" s="29">
        <f>IFERROR(__xludf.DUMMYFUNCTION("""COMPUTED_VALUE"""),4.0)</f>
        <v>4</v>
      </c>
    </row>
    <row r="391">
      <c r="A391" s="33">
        <f>IFERROR(__xludf.DUMMYFUNCTION("""COMPUTED_VALUE"""),46069.74153994213)</f>
        <v>46069.74154</v>
      </c>
      <c r="B391" s="29" t="str">
        <f>IFERROR(__xludf.DUMMYFUNCTION("""COMPUTED_VALUE"""),"Actively restoring my foreskin / I consider myself restored")</f>
        <v>Actively restoring my foreskin / I consider myself restored</v>
      </c>
      <c r="C391" s="29" t="str">
        <f>IFERROR(__xludf.DUMMYFUNCTION("""COMPUTED_VALUE"""),"Orgasm Intensity")</f>
        <v>Orgasm Intensity</v>
      </c>
      <c r="D391" s="29" t="str">
        <f>IFERROR(__xludf.DUMMYFUNCTION("""COMPUTED_VALUE"""),"4")</f>
        <v>4</v>
      </c>
      <c r="E391" s="29">
        <f>IFERROR(__xludf.DUMMYFUNCTION("""COMPUTED_VALUE"""),4.0)</f>
        <v>4</v>
      </c>
    </row>
    <row r="392">
      <c r="A392" s="33">
        <f>IFERROR(__xludf.DUMMYFUNCTION("""COMPUTED_VALUE"""),46070.524625185186)</f>
        <v>46070.52463</v>
      </c>
      <c r="B392" s="29" t="str">
        <f>IFERROR(__xludf.DUMMYFUNCTION("""COMPUTED_VALUE"""),"Intact (Never circumcised)")</f>
        <v>Intact (Never circumcised)</v>
      </c>
      <c r="C392" s="29" t="str">
        <f>IFERROR(__xludf.DUMMYFUNCTION("""COMPUTED_VALUE"""),"Orgasm Intensity")</f>
        <v>Orgasm Intensity</v>
      </c>
      <c r="D392" s="29" t="str">
        <f>IFERROR(__xludf.DUMMYFUNCTION("""COMPUTED_VALUE"""),"5 (High/Excellent)")</f>
        <v>5 (High/Excellent)</v>
      </c>
      <c r="E392" s="29">
        <f>IFERROR(__xludf.DUMMYFUNCTION("""COMPUTED_VALUE"""),5.0)</f>
        <v>5</v>
      </c>
    </row>
    <row r="393">
      <c r="A393" s="33">
        <f>IFERROR(__xludf.DUMMYFUNCTION("""COMPUTED_VALUE"""),46076.66878359954)</f>
        <v>46076.66878</v>
      </c>
      <c r="B393" s="29" t="str">
        <f>IFERROR(__xludf.DUMMYFUNCTION("""COMPUTED_VALUE"""),"Circumcised")</f>
        <v>Circumcised</v>
      </c>
      <c r="C393" s="29" t="str">
        <f>IFERROR(__xludf.DUMMYFUNCTION("""COMPUTED_VALUE"""),"Orgasm Intensity")</f>
        <v>Orgasm Intensity</v>
      </c>
      <c r="D393" s="29" t="str">
        <f>IFERROR(__xludf.DUMMYFUNCTION("""COMPUTED_VALUE"""),"1 (Low/Poor)")</f>
        <v>1 (Low/Poor)</v>
      </c>
      <c r="E393" s="29">
        <f>IFERROR(__xludf.DUMMYFUNCTION("""COMPUTED_VALUE"""),1.0)</f>
        <v>1</v>
      </c>
    </row>
    <row r="394">
      <c r="A394" s="33">
        <f>IFERROR(__xludf.DUMMYFUNCTION("""COMPUTED_VALUE"""),46078.59408679398)</f>
        <v>46078.59409</v>
      </c>
      <c r="B394" s="29" t="str">
        <f>IFERROR(__xludf.DUMMYFUNCTION("""COMPUTED_VALUE"""),"Circumcised")</f>
        <v>Circumcised</v>
      </c>
      <c r="C394" s="29" t="str">
        <f>IFERROR(__xludf.DUMMYFUNCTION("""COMPUTED_VALUE"""),"Orgasm Intensity")</f>
        <v>Orgasm Intensity</v>
      </c>
      <c r="D394" s="29" t="str">
        <f>IFERROR(__xludf.DUMMYFUNCTION("""COMPUTED_VALUE"""),"3 (Medium/Average)")</f>
        <v>3 (Medium/Average)</v>
      </c>
      <c r="E394" s="29">
        <f>IFERROR(__xludf.DUMMYFUNCTION("""COMPUTED_VALUE"""),3.0)</f>
        <v>3</v>
      </c>
    </row>
    <row r="395">
      <c r="A395" s="33">
        <f>IFERROR(__xludf.DUMMYFUNCTION("""COMPUTED_VALUE"""),46089.89088146991)</f>
        <v>46089.89088</v>
      </c>
      <c r="B395" s="29" t="str">
        <f>IFERROR(__xludf.DUMMYFUNCTION("""COMPUTED_VALUE"""),"Actively restoring my foreskin / I consider myself restored")</f>
        <v>Actively restoring my foreskin / I consider myself restored</v>
      </c>
      <c r="C395" s="29" t="str">
        <f>IFERROR(__xludf.DUMMYFUNCTION("""COMPUTED_VALUE"""),"Orgasm Intensity")</f>
        <v>Orgasm Intensity</v>
      </c>
      <c r="D395" s="29" t="str">
        <f>IFERROR(__xludf.DUMMYFUNCTION("""COMPUTED_VALUE"""),"4")</f>
        <v>4</v>
      </c>
      <c r="E395" s="29">
        <f>IFERROR(__xludf.DUMMYFUNCTION("""COMPUTED_VALUE"""),4.0)</f>
        <v>4</v>
      </c>
    </row>
    <row r="396">
      <c r="A396" s="33">
        <f>IFERROR(__xludf.DUMMYFUNCTION("""COMPUTED_VALUE"""),46091.30222179399)</f>
        <v>46091.30222</v>
      </c>
      <c r="B396" s="29" t="str">
        <f>IFERROR(__xludf.DUMMYFUNCTION("""COMPUTED_VALUE"""),"Circumcised")</f>
        <v>Circumcised</v>
      </c>
      <c r="C396" s="29" t="str">
        <f>IFERROR(__xludf.DUMMYFUNCTION("""COMPUTED_VALUE"""),"Orgasm Intensity")</f>
        <v>Orgasm Intensity</v>
      </c>
      <c r="D396" s="29" t="str">
        <f>IFERROR(__xludf.DUMMYFUNCTION("""COMPUTED_VALUE"""),"3 (Medium/Average)")</f>
        <v>3 (Medium/Average)</v>
      </c>
      <c r="E396" s="29">
        <f>IFERROR(__xludf.DUMMYFUNCTION("""COMPUTED_VALUE"""),3.0)</f>
        <v>3</v>
      </c>
    </row>
    <row r="397">
      <c r="A397" s="33">
        <f>IFERROR(__xludf.DUMMYFUNCTION("""COMPUTED_VALUE"""),46091.744138333335)</f>
        <v>46091.74414</v>
      </c>
      <c r="B397" s="29" t="str">
        <f>IFERROR(__xludf.DUMMYFUNCTION("""COMPUTED_VALUE"""),"Circumcised")</f>
        <v>Circumcised</v>
      </c>
      <c r="C397" s="29" t="str">
        <f>IFERROR(__xludf.DUMMYFUNCTION("""COMPUTED_VALUE"""),"Orgasm Intensity")</f>
        <v>Orgasm Intensity</v>
      </c>
      <c r="D397" s="29" t="str">
        <f>IFERROR(__xludf.DUMMYFUNCTION("""COMPUTED_VALUE"""),"3 (Medium/Average)")</f>
        <v>3 (Medium/Average)</v>
      </c>
      <c r="E397" s="29">
        <f>IFERROR(__xludf.DUMMYFUNCTION("""COMPUTED_VALUE"""),3.0)</f>
        <v>3</v>
      </c>
    </row>
    <row r="398">
      <c r="A398" s="33">
        <f>IFERROR(__xludf.DUMMYFUNCTION("""COMPUTED_VALUE"""),46093.81161307871)</f>
        <v>46093.81161</v>
      </c>
      <c r="B398" s="29" t="str">
        <f>IFERROR(__xludf.DUMMYFUNCTION("""COMPUTED_VALUE"""),"Circumcised")</f>
        <v>Circumcised</v>
      </c>
      <c r="C398" s="29" t="str">
        <f>IFERROR(__xludf.DUMMYFUNCTION("""COMPUTED_VALUE"""),"Orgasm Intensity")</f>
        <v>Orgasm Intensity</v>
      </c>
      <c r="D398" s="29" t="str">
        <f>IFERROR(__xludf.DUMMYFUNCTION("""COMPUTED_VALUE"""),"3 (Medium/Average)")</f>
        <v>3 (Medium/Average)</v>
      </c>
      <c r="E398" s="29">
        <f>IFERROR(__xludf.DUMMYFUNCTION("""COMPUTED_VALUE"""),3.0)</f>
        <v>3</v>
      </c>
    </row>
    <row r="399">
      <c r="A399" s="33">
        <f>IFERROR(__xludf.DUMMYFUNCTION("""COMPUTED_VALUE"""),46095.51932767361)</f>
        <v>46095.51933</v>
      </c>
      <c r="B399" s="29" t="str">
        <f>IFERROR(__xludf.DUMMYFUNCTION("""COMPUTED_VALUE"""),"Circumcised")</f>
        <v>Circumcised</v>
      </c>
      <c r="C399" s="29" t="str">
        <f>IFERROR(__xludf.DUMMYFUNCTION("""COMPUTED_VALUE"""),"Orgasm Intensity")</f>
        <v>Orgasm Intensity</v>
      </c>
      <c r="D399" s="29" t="str">
        <f>IFERROR(__xludf.DUMMYFUNCTION("""COMPUTED_VALUE"""),"1 (Low/Poor)")</f>
        <v>1 (Low/Poor)</v>
      </c>
      <c r="E399" s="29">
        <f>IFERROR(__xludf.DUMMYFUNCTION("""COMPUTED_VALUE"""),1.0)</f>
        <v>1</v>
      </c>
    </row>
    <row r="400">
      <c r="A400" s="33">
        <f>IFERROR(__xludf.DUMMYFUNCTION("""COMPUTED_VALUE"""),46098.99564787037)</f>
        <v>46098.99565</v>
      </c>
      <c r="B400" s="29" t="str">
        <f>IFERROR(__xludf.DUMMYFUNCTION("""COMPUTED_VALUE"""),"Actively restoring my foreskin / I consider myself restored")</f>
        <v>Actively restoring my foreskin / I consider myself restored</v>
      </c>
      <c r="C400" s="29" t="str">
        <f>IFERROR(__xludf.DUMMYFUNCTION("""COMPUTED_VALUE"""),"Orgasm Intensity")</f>
        <v>Orgasm Intensity</v>
      </c>
      <c r="D400" s="29" t="str">
        <f>IFERROR(__xludf.DUMMYFUNCTION("""COMPUTED_VALUE"""),"5 (High/Excellent)")</f>
        <v>5 (High/Excellent)</v>
      </c>
      <c r="E400" s="29">
        <f>IFERROR(__xludf.DUMMYFUNCTION("""COMPUTED_VALUE"""),5.0)</f>
        <v>5</v>
      </c>
    </row>
    <row r="401">
      <c r="A401" s="33">
        <f>IFERROR(__xludf.DUMMYFUNCTION("""COMPUTED_VALUE"""),46100.79148802084)</f>
        <v>46100.79149</v>
      </c>
      <c r="B401" s="29" t="str">
        <f>IFERROR(__xludf.DUMMYFUNCTION("""COMPUTED_VALUE"""),"Actively restoring my foreskin / I consider myself restored")</f>
        <v>Actively restoring my foreskin / I consider myself restored</v>
      </c>
      <c r="C401" s="29" t="str">
        <f>IFERROR(__xludf.DUMMYFUNCTION("""COMPUTED_VALUE"""),"Orgasm Intensity")</f>
        <v>Orgasm Intensity</v>
      </c>
      <c r="D401" s="29" t="str">
        <f>IFERROR(__xludf.DUMMYFUNCTION("""COMPUTED_VALUE"""),"5 (High/Excellent)")</f>
        <v>5 (High/Excellent)</v>
      </c>
      <c r="E401" s="29">
        <f>IFERROR(__xludf.DUMMYFUNCTION("""COMPUTED_VALUE"""),5.0)</f>
        <v>5</v>
      </c>
    </row>
    <row r="402">
      <c r="A402" s="33">
        <f>IFERROR(__xludf.DUMMYFUNCTION("""COMPUTED_VALUE"""),46104.68932258101)</f>
        <v>46104.68932</v>
      </c>
      <c r="B402" s="29" t="str">
        <f>IFERROR(__xludf.DUMMYFUNCTION("""COMPUTED_VALUE"""),"Intact (Never circumcised)")</f>
        <v>Intact (Never circumcised)</v>
      </c>
      <c r="C402" s="29" t="str">
        <f>IFERROR(__xludf.DUMMYFUNCTION("""COMPUTED_VALUE"""),"Orgasm Intensity")</f>
        <v>Orgasm Intensity</v>
      </c>
      <c r="D402" s="29" t="str">
        <f>IFERROR(__xludf.DUMMYFUNCTION("""COMPUTED_VALUE"""),"2")</f>
        <v>2</v>
      </c>
      <c r="E402" s="29">
        <f>IFERROR(__xludf.DUMMYFUNCTION("""COMPUTED_VALUE"""),2.0)</f>
        <v>2</v>
      </c>
    </row>
    <row r="403">
      <c r="A403" s="33">
        <f>IFERROR(__xludf.DUMMYFUNCTION("""COMPUTED_VALUE"""),46111.22171283565)</f>
        <v>46111.22171</v>
      </c>
      <c r="B403" s="29" t="str">
        <f>IFERROR(__xludf.DUMMYFUNCTION("""COMPUTED_VALUE"""),"Circumcised")</f>
        <v>Circumcised</v>
      </c>
      <c r="C403" s="29" t="str">
        <f>IFERROR(__xludf.DUMMYFUNCTION("""COMPUTED_VALUE"""),"Orgasm Intensity")</f>
        <v>Orgasm Intensity</v>
      </c>
      <c r="D403" s="29" t="str">
        <f>IFERROR(__xludf.DUMMYFUNCTION("""COMPUTED_VALUE"""),"3 (Medium/Average)")</f>
        <v>3 (Medium/Average)</v>
      </c>
      <c r="E403" s="29">
        <f>IFERROR(__xludf.DUMMYFUNCTION("""COMPUTED_VALUE"""),3.0)</f>
        <v>3</v>
      </c>
    </row>
    <row r="404">
      <c r="A404" s="33">
        <f>IFERROR(__xludf.DUMMYFUNCTION("""COMPUTED_VALUE"""),46114.45798623843)</f>
        <v>46114.45799</v>
      </c>
      <c r="B404" s="29" t="str">
        <f>IFERROR(__xludf.DUMMYFUNCTION("""COMPUTED_VALUE"""),"Circumcised")</f>
        <v>Circumcised</v>
      </c>
      <c r="C404" s="29" t="str">
        <f>IFERROR(__xludf.DUMMYFUNCTION("""COMPUTED_VALUE"""),"Orgasm Intensity")</f>
        <v>Orgasm Intensity</v>
      </c>
      <c r="D404" s="29" t="str">
        <f>IFERROR(__xludf.DUMMYFUNCTION("""COMPUTED_VALUE"""),"5 (High/Excellent)")</f>
        <v>5 (High/Excellent)</v>
      </c>
      <c r="E404" s="29">
        <f>IFERROR(__xludf.DUMMYFUNCTION("""COMPUTED_VALUE"""),5.0)</f>
        <v>5</v>
      </c>
    </row>
    <row r="405">
      <c r="A405" s="33">
        <f>IFERROR(__xludf.DUMMYFUNCTION("""COMPUTED_VALUE"""),46116.70468314815)</f>
        <v>46116.70468</v>
      </c>
      <c r="B405" s="29" t="str">
        <f>IFERROR(__xludf.DUMMYFUNCTION("""COMPUTED_VALUE"""),"Circumcised")</f>
        <v>Circumcised</v>
      </c>
      <c r="C405" s="29" t="str">
        <f>IFERROR(__xludf.DUMMYFUNCTION("""COMPUTED_VALUE"""),"Orgasm Intensity")</f>
        <v>Orgasm Intensity</v>
      </c>
      <c r="D405" s="29" t="str">
        <f>IFERROR(__xludf.DUMMYFUNCTION("""COMPUTED_VALUE"""),"1 (Low/Poor)")</f>
        <v>1 (Low/Poor)</v>
      </c>
      <c r="E405" s="29">
        <f>IFERROR(__xludf.DUMMYFUNCTION("""COMPUTED_VALUE"""),1.0)</f>
        <v>1</v>
      </c>
    </row>
    <row r="406">
      <c r="A406" s="33">
        <f>IFERROR(__xludf.DUMMYFUNCTION("""COMPUTED_VALUE"""),46116.71896637732)</f>
        <v>46116.71897</v>
      </c>
      <c r="B406" s="29" t="str">
        <f>IFERROR(__xludf.DUMMYFUNCTION("""COMPUTED_VALUE"""),"Intact (Never circumcised)")</f>
        <v>Intact (Never circumcised)</v>
      </c>
      <c r="C406" s="29" t="str">
        <f>IFERROR(__xludf.DUMMYFUNCTION("""COMPUTED_VALUE"""),"Orgasm Intensity")</f>
        <v>Orgasm Intensity</v>
      </c>
      <c r="D406" s="29" t="str">
        <f>IFERROR(__xludf.DUMMYFUNCTION("""COMPUTED_VALUE"""),"5 (High/Excellent)")</f>
        <v>5 (High/Excellent)</v>
      </c>
      <c r="E406" s="29">
        <f>IFERROR(__xludf.DUMMYFUNCTION("""COMPUTED_VALUE"""),5.0)</f>
        <v>5</v>
      </c>
    </row>
    <row r="407">
      <c r="A407" s="33">
        <f>IFERROR(__xludf.DUMMYFUNCTION("""COMPUTED_VALUE"""),46116.83796020834)</f>
        <v>46116.83796</v>
      </c>
      <c r="B407" s="29" t="str">
        <f>IFERROR(__xludf.DUMMYFUNCTION("""COMPUTED_VALUE"""),"Circumcised")</f>
        <v>Circumcised</v>
      </c>
      <c r="C407" s="29" t="str">
        <f>IFERROR(__xludf.DUMMYFUNCTION("""COMPUTED_VALUE"""),"Orgasm Intensity")</f>
        <v>Orgasm Intensity</v>
      </c>
      <c r="D407" s="29" t="str">
        <f>IFERROR(__xludf.DUMMYFUNCTION("""COMPUTED_VALUE"""),"3 (Medium/Average)")</f>
        <v>3 (Medium/Average)</v>
      </c>
      <c r="E407" s="29">
        <f>IFERROR(__xludf.DUMMYFUNCTION("""COMPUTED_VALUE"""),3.0)</f>
        <v>3</v>
      </c>
    </row>
    <row r="408">
      <c r="A408" s="33">
        <f>IFERROR(__xludf.DUMMYFUNCTION("""COMPUTED_VALUE"""),46117.02418079861)</f>
        <v>46117.02418</v>
      </c>
      <c r="B408" s="29" t="str">
        <f>IFERROR(__xludf.DUMMYFUNCTION("""COMPUTED_VALUE"""),"Intact (Never circumcised)")</f>
        <v>Intact (Never circumcised)</v>
      </c>
      <c r="C408" s="29" t="str">
        <f>IFERROR(__xludf.DUMMYFUNCTION("""COMPUTED_VALUE"""),"Orgasm Intensity")</f>
        <v>Orgasm Intensity</v>
      </c>
      <c r="D408" s="29" t="str">
        <f>IFERROR(__xludf.DUMMYFUNCTION("""COMPUTED_VALUE"""),"5 (High/Excellent)")</f>
        <v>5 (High/Excellent)</v>
      </c>
      <c r="E408" s="29">
        <f>IFERROR(__xludf.DUMMYFUNCTION("""COMPUTED_VALUE"""),5.0)</f>
        <v>5</v>
      </c>
    </row>
    <row r="409">
      <c r="A409" s="33">
        <f>IFERROR(__xludf.DUMMYFUNCTION("""COMPUTED_VALUE"""),46117.10372409722)</f>
        <v>46117.10372</v>
      </c>
      <c r="B409" s="29" t="str">
        <f>IFERROR(__xludf.DUMMYFUNCTION("""COMPUTED_VALUE"""),"Intact (Never circumcised)")</f>
        <v>Intact (Never circumcised)</v>
      </c>
      <c r="C409" s="29" t="str">
        <f>IFERROR(__xludf.DUMMYFUNCTION("""COMPUTED_VALUE"""),"Orgasm Intensity")</f>
        <v>Orgasm Intensity</v>
      </c>
      <c r="D409" s="29" t="str">
        <f>IFERROR(__xludf.DUMMYFUNCTION("""COMPUTED_VALUE"""),"4")</f>
        <v>4</v>
      </c>
      <c r="E409" s="29">
        <f>IFERROR(__xludf.DUMMYFUNCTION("""COMPUTED_VALUE"""),4.0)</f>
        <v>4</v>
      </c>
    </row>
    <row r="410">
      <c r="A410" s="33">
        <f>IFERROR(__xludf.DUMMYFUNCTION("""COMPUTED_VALUE"""),46117.11012297453)</f>
        <v>46117.11012</v>
      </c>
      <c r="B410" s="29" t="str">
        <f>IFERROR(__xludf.DUMMYFUNCTION("""COMPUTED_VALUE"""),"Circumcised")</f>
        <v>Circumcised</v>
      </c>
      <c r="C410" s="29" t="str">
        <f>IFERROR(__xludf.DUMMYFUNCTION("""COMPUTED_VALUE"""),"Orgasm Intensity")</f>
        <v>Orgasm Intensity</v>
      </c>
      <c r="D410" s="29" t="str">
        <f>IFERROR(__xludf.DUMMYFUNCTION("""COMPUTED_VALUE"""),"3 (Medium/Average)")</f>
        <v>3 (Medium/Average)</v>
      </c>
      <c r="E410" s="29">
        <f>IFERROR(__xludf.DUMMYFUNCTION("""COMPUTED_VALUE"""),3.0)</f>
        <v>3</v>
      </c>
    </row>
    <row r="411">
      <c r="A411" s="33">
        <f>IFERROR(__xludf.DUMMYFUNCTION("""COMPUTED_VALUE"""),46117.37274850695)</f>
        <v>46117.37275</v>
      </c>
      <c r="B411" s="29" t="str">
        <f>IFERROR(__xludf.DUMMYFUNCTION("""COMPUTED_VALUE"""),"Circumcised")</f>
        <v>Circumcised</v>
      </c>
      <c r="C411" s="29" t="str">
        <f>IFERROR(__xludf.DUMMYFUNCTION("""COMPUTED_VALUE"""),"Orgasm Intensity")</f>
        <v>Orgasm Intensity</v>
      </c>
      <c r="D411" s="29" t="str">
        <f>IFERROR(__xludf.DUMMYFUNCTION("""COMPUTED_VALUE"""),"3 (Medium/Average)")</f>
        <v>3 (Medium/Average)</v>
      </c>
      <c r="E411" s="29">
        <f>IFERROR(__xludf.DUMMYFUNCTION("""COMPUTED_VALUE"""),3.0)</f>
        <v>3</v>
      </c>
    </row>
    <row r="412">
      <c r="A412" s="33">
        <f>IFERROR(__xludf.DUMMYFUNCTION("""COMPUTED_VALUE"""),46117.40241266204)</f>
        <v>46117.40241</v>
      </c>
      <c r="B412" s="29" t="str">
        <f>IFERROR(__xludf.DUMMYFUNCTION("""COMPUTED_VALUE"""),"Circumcised")</f>
        <v>Circumcised</v>
      </c>
      <c r="C412" s="29" t="str">
        <f>IFERROR(__xludf.DUMMYFUNCTION("""COMPUTED_VALUE"""),"Orgasm Intensity")</f>
        <v>Orgasm Intensity</v>
      </c>
      <c r="D412" s="29" t="str">
        <f>IFERROR(__xludf.DUMMYFUNCTION("""COMPUTED_VALUE"""),"5 (High/Excellent)")</f>
        <v>5 (High/Excellent)</v>
      </c>
      <c r="E412" s="29">
        <f>IFERROR(__xludf.DUMMYFUNCTION("""COMPUTED_VALUE"""),5.0)</f>
        <v>5</v>
      </c>
    </row>
    <row r="413">
      <c r="A413" s="33">
        <f>IFERROR(__xludf.DUMMYFUNCTION("""COMPUTED_VALUE"""),46117.406726597226)</f>
        <v>46117.40673</v>
      </c>
      <c r="B413" s="29" t="str">
        <f>IFERROR(__xludf.DUMMYFUNCTION("""COMPUTED_VALUE"""),"Actively restoring my foreskin / I consider myself restored")</f>
        <v>Actively restoring my foreskin / I consider myself restored</v>
      </c>
      <c r="C413" s="29" t="str">
        <f>IFERROR(__xludf.DUMMYFUNCTION("""COMPUTED_VALUE"""),"Orgasm Intensity")</f>
        <v>Orgasm Intensity</v>
      </c>
      <c r="D413" s="29" t="str">
        <f>IFERROR(__xludf.DUMMYFUNCTION("""COMPUTED_VALUE"""),"3 (Medium/Average)")</f>
        <v>3 (Medium/Average)</v>
      </c>
      <c r="E413" s="29">
        <f>IFERROR(__xludf.DUMMYFUNCTION("""COMPUTED_VALUE"""),3.0)</f>
        <v>3</v>
      </c>
    </row>
    <row r="414">
      <c r="A414" s="33">
        <f>IFERROR(__xludf.DUMMYFUNCTION("""COMPUTED_VALUE"""),46117.43835497685)</f>
        <v>46117.43835</v>
      </c>
      <c r="B414" s="29" t="str">
        <f>IFERROR(__xludf.DUMMYFUNCTION("""COMPUTED_VALUE"""),"Circumcised")</f>
        <v>Circumcised</v>
      </c>
      <c r="C414" s="29" t="str">
        <f>IFERROR(__xludf.DUMMYFUNCTION("""COMPUTED_VALUE"""),"Orgasm Intensity")</f>
        <v>Orgasm Intensity</v>
      </c>
      <c r="D414" s="29" t="str">
        <f>IFERROR(__xludf.DUMMYFUNCTION("""COMPUTED_VALUE"""),"3 (Medium/Average)")</f>
        <v>3 (Medium/Average)</v>
      </c>
      <c r="E414" s="29">
        <f>IFERROR(__xludf.DUMMYFUNCTION("""COMPUTED_VALUE"""),3.0)</f>
        <v>3</v>
      </c>
    </row>
    <row r="415">
      <c r="A415" s="33">
        <f>IFERROR(__xludf.DUMMYFUNCTION("""COMPUTED_VALUE"""),46117.52108172454)</f>
        <v>46117.52108</v>
      </c>
      <c r="B415" s="29" t="str">
        <f>IFERROR(__xludf.DUMMYFUNCTION("""COMPUTED_VALUE"""),"Actively restoring my foreskin / I consider myself restored")</f>
        <v>Actively restoring my foreskin / I consider myself restored</v>
      </c>
      <c r="C415" s="29" t="str">
        <f>IFERROR(__xludf.DUMMYFUNCTION("""COMPUTED_VALUE"""),"Orgasm Intensity")</f>
        <v>Orgasm Intensity</v>
      </c>
      <c r="D415" s="29" t="str">
        <f>IFERROR(__xludf.DUMMYFUNCTION("""COMPUTED_VALUE"""),"4")</f>
        <v>4</v>
      </c>
      <c r="E415" s="29">
        <f>IFERROR(__xludf.DUMMYFUNCTION("""COMPUTED_VALUE"""),4.0)</f>
        <v>4</v>
      </c>
    </row>
    <row r="416">
      <c r="A416" s="33">
        <f>IFERROR(__xludf.DUMMYFUNCTION("""COMPUTED_VALUE"""),46117.65196458333)</f>
        <v>46117.65196</v>
      </c>
      <c r="B416" s="29" t="str">
        <f>IFERROR(__xludf.DUMMYFUNCTION("""COMPUTED_VALUE"""),"Actively restoring my foreskin / I consider myself restored")</f>
        <v>Actively restoring my foreskin / I consider myself restored</v>
      </c>
      <c r="C416" s="29" t="str">
        <f>IFERROR(__xludf.DUMMYFUNCTION("""COMPUTED_VALUE"""),"Orgasm Intensity")</f>
        <v>Orgasm Intensity</v>
      </c>
      <c r="D416" s="29" t="str">
        <f>IFERROR(__xludf.DUMMYFUNCTION("""COMPUTED_VALUE"""),"1 (Low/Poor)")</f>
        <v>1 (Low/Poor)</v>
      </c>
      <c r="E416" s="29">
        <f>IFERROR(__xludf.DUMMYFUNCTION("""COMPUTED_VALUE"""),1.0)</f>
        <v>1</v>
      </c>
    </row>
    <row r="417">
      <c r="A417" s="33">
        <f>IFERROR(__xludf.DUMMYFUNCTION("""COMPUTED_VALUE"""),46117.68275197917)</f>
        <v>46117.68275</v>
      </c>
      <c r="B417" s="29" t="str">
        <f>IFERROR(__xludf.DUMMYFUNCTION("""COMPUTED_VALUE"""),"Circumcised")</f>
        <v>Circumcised</v>
      </c>
      <c r="C417" s="29" t="str">
        <f>IFERROR(__xludf.DUMMYFUNCTION("""COMPUTED_VALUE"""),"Orgasm Intensity")</f>
        <v>Orgasm Intensity</v>
      </c>
      <c r="D417" s="29" t="str">
        <f>IFERROR(__xludf.DUMMYFUNCTION("""COMPUTED_VALUE"""),"3 (Medium/Average)")</f>
        <v>3 (Medium/Average)</v>
      </c>
      <c r="E417" s="29">
        <f>IFERROR(__xludf.DUMMYFUNCTION("""COMPUTED_VALUE"""),3.0)</f>
        <v>3</v>
      </c>
    </row>
    <row r="418">
      <c r="A418" s="33">
        <f>IFERROR(__xludf.DUMMYFUNCTION("""COMPUTED_VALUE"""),46117.68807715278)</f>
        <v>46117.68808</v>
      </c>
      <c r="B418" s="29" t="str">
        <f>IFERROR(__xludf.DUMMYFUNCTION("""COMPUTED_VALUE"""),"Actively restoring my foreskin / I consider myself restored")</f>
        <v>Actively restoring my foreskin / I consider myself restored</v>
      </c>
      <c r="C418" s="29" t="str">
        <f>IFERROR(__xludf.DUMMYFUNCTION("""COMPUTED_VALUE"""),"Orgasm Intensity")</f>
        <v>Orgasm Intensity</v>
      </c>
      <c r="D418" s="29" t="str">
        <f>IFERROR(__xludf.DUMMYFUNCTION("""COMPUTED_VALUE"""),"4")</f>
        <v>4</v>
      </c>
      <c r="E418" s="29">
        <f>IFERROR(__xludf.DUMMYFUNCTION("""COMPUTED_VALUE"""),4.0)</f>
        <v>4</v>
      </c>
    </row>
    <row r="419">
      <c r="A419" s="33">
        <f>IFERROR(__xludf.DUMMYFUNCTION("""COMPUTED_VALUE"""),46118.06487167824)</f>
        <v>46118.06487</v>
      </c>
      <c r="B419" s="29" t="str">
        <f>IFERROR(__xludf.DUMMYFUNCTION("""COMPUTED_VALUE"""),"Actively restoring my foreskin / I consider myself restored")</f>
        <v>Actively restoring my foreskin / I consider myself restored</v>
      </c>
      <c r="C419" s="29" t="str">
        <f>IFERROR(__xludf.DUMMYFUNCTION("""COMPUTED_VALUE"""),"Orgasm Intensity")</f>
        <v>Orgasm Intensity</v>
      </c>
      <c r="D419" s="29" t="str">
        <f>IFERROR(__xludf.DUMMYFUNCTION("""COMPUTED_VALUE"""),"3 (Medium/Average)")</f>
        <v>3 (Medium/Average)</v>
      </c>
      <c r="E419" s="29">
        <f>IFERROR(__xludf.DUMMYFUNCTION("""COMPUTED_VALUE"""),3.0)</f>
        <v>3</v>
      </c>
    </row>
    <row r="420">
      <c r="A420" s="33">
        <f>IFERROR(__xludf.DUMMYFUNCTION("""COMPUTED_VALUE"""),46118.1994543287)</f>
        <v>46118.19945</v>
      </c>
      <c r="B420" s="29" t="str">
        <f>IFERROR(__xludf.DUMMYFUNCTION("""COMPUTED_VALUE"""),"Actively restoring my foreskin / I consider myself restored")</f>
        <v>Actively restoring my foreskin / I consider myself restored</v>
      </c>
      <c r="C420" s="29" t="str">
        <f>IFERROR(__xludf.DUMMYFUNCTION("""COMPUTED_VALUE"""),"Orgasm Intensity")</f>
        <v>Orgasm Intensity</v>
      </c>
      <c r="D420" s="29" t="str">
        <f>IFERROR(__xludf.DUMMYFUNCTION("""COMPUTED_VALUE"""),"2")</f>
        <v>2</v>
      </c>
      <c r="E420" s="29">
        <f>IFERROR(__xludf.DUMMYFUNCTION("""COMPUTED_VALUE"""),2.0)</f>
        <v>2</v>
      </c>
    </row>
    <row r="421">
      <c r="A421" s="33">
        <f>IFERROR(__xludf.DUMMYFUNCTION("""COMPUTED_VALUE"""),46118.532824270835)</f>
        <v>46118.53282</v>
      </c>
      <c r="B421" s="29" t="str">
        <f>IFERROR(__xludf.DUMMYFUNCTION("""COMPUTED_VALUE"""),"Actively restoring my foreskin / I consider myself restored")</f>
        <v>Actively restoring my foreskin / I consider myself restored</v>
      </c>
      <c r="C421" s="29" t="str">
        <f>IFERROR(__xludf.DUMMYFUNCTION("""COMPUTED_VALUE"""),"Orgasm Intensity")</f>
        <v>Orgasm Intensity</v>
      </c>
      <c r="D421" s="29" t="str">
        <f>IFERROR(__xludf.DUMMYFUNCTION("""COMPUTED_VALUE"""),"4")</f>
        <v>4</v>
      </c>
      <c r="E421" s="29">
        <f>IFERROR(__xludf.DUMMYFUNCTION("""COMPUTED_VALUE"""),4.0)</f>
        <v>4</v>
      </c>
    </row>
    <row r="422">
      <c r="A422" s="33">
        <f>IFERROR(__xludf.DUMMYFUNCTION("""COMPUTED_VALUE"""),46118.63432261574)</f>
        <v>46118.63432</v>
      </c>
      <c r="B422" s="29" t="str">
        <f>IFERROR(__xludf.DUMMYFUNCTION("""COMPUTED_VALUE"""),"Circumcised")</f>
        <v>Circumcised</v>
      </c>
      <c r="C422" s="29" t="str">
        <f>IFERROR(__xludf.DUMMYFUNCTION("""COMPUTED_VALUE"""),"Orgasm Intensity")</f>
        <v>Orgasm Intensity</v>
      </c>
      <c r="D422" s="29" t="str">
        <f>IFERROR(__xludf.DUMMYFUNCTION("""COMPUTED_VALUE"""),"1 (Low/Poor)")</f>
        <v>1 (Low/Poor)</v>
      </c>
      <c r="E422" s="29">
        <f>IFERROR(__xludf.DUMMYFUNCTION("""COMPUTED_VALUE"""),1.0)</f>
        <v>1</v>
      </c>
    </row>
    <row r="423">
      <c r="A423" s="33">
        <f>IFERROR(__xludf.DUMMYFUNCTION("""COMPUTED_VALUE"""),46118.69740087963)</f>
        <v>46118.6974</v>
      </c>
      <c r="B423" s="29" t="str">
        <f>IFERROR(__xludf.DUMMYFUNCTION("""COMPUTED_VALUE"""),"Intact (Never circumcised)")</f>
        <v>Intact (Never circumcised)</v>
      </c>
      <c r="C423" s="29" t="str">
        <f>IFERROR(__xludf.DUMMYFUNCTION("""COMPUTED_VALUE"""),"Orgasm Intensity")</f>
        <v>Orgasm Intensity</v>
      </c>
      <c r="D423" s="29" t="str">
        <f>IFERROR(__xludf.DUMMYFUNCTION("""COMPUTED_VALUE"""),"4")</f>
        <v>4</v>
      </c>
      <c r="E423" s="29">
        <f>IFERROR(__xludf.DUMMYFUNCTION("""COMPUTED_VALUE"""),4.0)</f>
        <v>4</v>
      </c>
    </row>
    <row r="424">
      <c r="A424" s="33">
        <f>IFERROR(__xludf.DUMMYFUNCTION("""COMPUTED_VALUE"""),46118.738876469906)</f>
        <v>46118.73888</v>
      </c>
      <c r="B424" s="29" t="str">
        <f>IFERROR(__xludf.DUMMYFUNCTION("""COMPUTED_VALUE"""),"Actively restoring my foreskin / I consider myself restored")</f>
        <v>Actively restoring my foreskin / I consider myself restored</v>
      </c>
      <c r="C424" s="29" t="str">
        <f>IFERROR(__xludf.DUMMYFUNCTION("""COMPUTED_VALUE"""),"Orgasm Intensity")</f>
        <v>Orgasm Intensity</v>
      </c>
      <c r="D424" s="29" t="str">
        <f>IFERROR(__xludf.DUMMYFUNCTION("""COMPUTED_VALUE"""),"2")</f>
        <v>2</v>
      </c>
      <c r="E424" s="29">
        <f>IFERROR(__xludf.DUMMYFUNCTION("""COMPUTED_VALUE"""),2.0)</f>
        <v>2</v>
      </c>
    </row>
    <row r="425">
      <c r="A425" s="33">
        <f>IFERROR(__xludf.DUMMYFUNCTION("""COMPUTED_VALUE"""),46118.77396358796)</f>
        <v>46118.77396</v>
      </c>
      <c r="B425" s="29" t="str">
        <f>IFERROR(__xludf.DUMMYFUNCTION("""COMPUTED_VALUE"""),"Intact (Never circumcised)")</f>
        <v>Intact (Never circumcised)</v>
      </c>
      <c r="C425" s="29" t="str">
        <f>IFERROR(__xludf.DUMMYFUNCTION("""COMPUTED_VALUE"""),"Orgasm Intensity")</f>
        <v>Orgasm Intensity</v>
      </c>
      <c r="D425" s="29" t="str">
        <f>IFERROR(__xludf.DUMMYFUNCTION("""COMPUTED_VALUE"""),"5 (High/Excellent)")</f>
        <v>5 (High/Excellent)</v>
      </c>
      <c r="E425" s="29">
        <f>IFERROR(__xludf.DUMMYFUNCTION("""COMPUTED_VALUE"""),5.0)</f>
        <v>5</v>
      </c>
    </row>
    <row r="426">
      <c r="A426" s="33">
        <f>IFERROR(__xludf.DUMMYFUNCTION("""COMPUTED_VALUE"""),46118.83804181713)</f>
        <v>46118.83804</v>
      </c>
      <c r="B426" s="29" t="str">
        <f>IFERROR(__xludf.DUMMYFUNCTION("""COMPUTED_VALUE"""),"Circumcised")</f>
        <v>Circumcised</v>
      </c>
      <c r="C426" s="29" t="str">
        <f>IFERROR(__xludf.DUMMYFUNCTION("""COMPUTED_VALUE"""),"Orgasm Intensity")</f>
        <v>Orgasm Intensity</v>
      </c>
      <c r="D426" s="29" t="str">
        <f>IFERROR(__xludf.DUMMYFUNCTION("""COMPUTED_VALUE"""),"3 (Medium/Average)")</f>
        <v>3 (Medium/Average)</v>
      </c>
      <c r="E426" s="29">
        <f>IFERROR(__xludf.DUMMYFUNCTION("""COMPUTED_VALUE"""),3.0)</f>
        <v>3</v>
      </c>
    </row>
    <row r="427">
      <c r="A427" s="33">
        <f>IFERROR(__xludf.DUMMYFUNCTION("""COMPUTED_VALUE"""),46118.86745592592)</f>
        <v>46118.86746</v>
      </c>
      <c r="B427" s="29" t="str">
        <f>IFERROR(__xludf.DUMMYFUNCTION("""COMPUTED_VALUE"""),"Circumcised")</f>
        <v>Circumcised</v>
      </c>
      <c r="C427" s="29" t="str">
        <f>IFERROR(__xludf.DUMMYFUNCTION("""COMPUTED_VALUE"""),"Orgasm Intensity")</f>
        <v>Orgasm Intensity</v>
      </c>
      <c r="D427" s="29" t="str">
        <f>IFERROR(__xludf.DUMMYFUNCTION("""COMPUTED_VALUE"""),"5 (High/Excellent)")</f>
        <v>5 (High/Excellent)</v>
      </c>
      <c r="E427" s="29">
        <f>IFERROR(__xludf.DUMMYFUNCTION("""COMPUTED_VALUE"""),5.0)</f>
        <v>5</v>
      </c>
    </row>
    <row r="428">
      <c r="A428" s="33">
        <f>IFERROR(__xludf.DUMMYFUNCTION("""COMPUTED_VALUE"""),46118.906964062495)</f>
        <v>46118.90696</v>
      </c>
      <c r="B428" s="29" t="str">
        <f>IFERROR(__xludf.DUMMYFUNCTION("""COMPUTED_VALUE"""),"Actively restoring my foreskin / I consider myself restored")</f>
        <v>Actively restoring my foreskin / I consider myself restored</v>
      </c>
      <c r="C428" s="29" t="str">
        <f>IFERROR(__xludf.DUMMYFUNCTION("""COMPUTED_VALUE"""),"Orgasm Intensity")</f>
        <v>Orgasm Intensity</v>
      </c>
      <c r="D428" s="29" t="str">
        <f>IFERROR(__xludf.DUMMYFUNCTION("""COMPUTED_VALUE"""),"2")</f>
        <v>2</v>
      </c>
      <c r="E428" s="29">
        <f>IFERROR(__xludf.DUMMYFUNCTION("""COMPUTED_VALUE"""),2.0)</f>
        <v>2</v>
      </c>
    </row>
    <row r="429">
      <c r="A429" s="33">
        <f>IFERROR(__xludf.DUMMYFUNCTION("""COMPUTED_VALUE"""),46118.94306069445)</f>
        <v>46118.94306</v>
      </c>
      <c r="B429" s="29" t="str">
        <f>IFERROR(__xludf.DUMMYFUNCTION("""COMPUTED_VALUE"""),"Actively restoring my foreskin / I consider myself restored")</f>
        <v>Actively restoring my foreskin / I consider myself restored</v>
      </c>
      <c r="C429" s="29" t="str">
        <f>IFERROR(__xludf.DUMMYFUNCTION("""COMPUTED_VALUE"""),"Orgasm Intensity")</f>
        <v>Orgasm Intensity</v>
      </c>
      <c r="D429" s="29" t="str">
        <f>IFERROR(__xludf.DUMMYFUNCTION("""COMPUTED_VALUE"""),"2")</f>
        <v>2</v>
      </c>
      <c r="E429" s="29">
        <f>IFERROR(__xludf.DUMMYFUNCTION("""COMPUTED_VALUE"""),2.0)</f>
        <v>2</v>
      </c>
    </row>
    <row r="430">
      <c r="A430" s="33">
        <f>IFERROR(__xludf.DUMMYFUNCTION("""COMPUTED_VALUE"""),46119.19832857639)</f>
        <v>46119.19833</v>
      </c>
      <c r="B430" s="29" t="str">
        <f>IFERROR(__xludf.DUMMYFUNCTION("""COMPUTED_VALUE"""),"Circumcised")</f>
        <v>Circumcised</v>
      </c>
      <c r="C430" s="29" t="str">
        <f>IFERROR(__xludf.DUMMYFUNCTION("""COMPUTED_VALUE"""),"Orgasm Intensity")</f>
        <v>Orgasm Intensity</v>
      </c>
      <c r="D430" s="29" t="str">
        <f>IFERROR(__xludf.DUMMYFUNCTION("""COMPUTED_VALUE"""),"3 (Medium/Average)")</f>
        <v>3 (Medium/Average)</v>
      </c>
      <c r="E430" s="29">
        <f>IFERROR(__xludf.DUMMYFUNCTION("""COMPUTED_VALUE"""),3.0)</f>
        <v>3</v>
      </c>
    </row>
    <row r="431">
      <c r="A431" s="33">
        <f>IFERROR(__xludf.DUMMYFUNCTION("""COMPUTED_VALUE"""),46119.33508711806)</f>
        <v>46119.33509</v>
      </c>
      <c r="B431" s="29" t="str">
        <f>IFERROR(__xludf.DUMMYFUNCTION("""COMPUTED_VALUE"""),"Circumcised")</f>
        <v>Circumcised</v>
      </c>
      <c r="C431" s="29" t="str">
        <f>IFERROR(__xludf.DUMMYFUNCTION("""COMPUTED_VALUE"""),"Orgasm Intensity")</f>
        <v>Orgasm Intensity</v>
      </c>
      <c r="D431" s="29" t="str">
        <f>IFERROR(__xludf.DUMMYFUNCTION("""COMPUTED_VALUE"""),"4")</f>
        <v>4</v>
      </c>
      <c r="E431" s="29">
        <f>IFERROR(__xludf.DUMMYFUNCTION("""COMPUTED_VALUE"""),4.0)</f>
        <v>4</v>
      </c>
    </row>
    <row r="432">
      <c r="A432" s="33">
        <f>IFERROR(__xludf.DUMMYFUNCTION("""COMPUTED_VALUE"""),46119.630449895834)</f>
        <v>46119.63045</v>
      </c>
      <c r="B432" s="29" t="str">
        <f>IFERROR(__xludf.DUMMYFUNCTION("""COMPUTED_VALUE"""),"Actively restoring my foreskin / I consider myself restored")</f>
        <v>Actively restoring my foreskin / I consider myself restored</v>
      </c>
      <c r="C432" s="29" t="str">
        <f>IFERROR(__xludf.DUMMYFUNCTION("""COMPUTED_VALUE"""),"Orgasm Intensity")</f>
        <v>Orgasm Intensity</v>
      </c>
      <c r="D432" s="29" t="str">
        <f>IFERROR(__xludf.DUMMYFUNCTION("""COMPUTED_VALUE"""),"2")</f>
        <v>2</v>
      </c>
      <c r="E432" s="29">
        <f>IFERROR(__xludf.DUMMYFUNCTION("""COMPUTED_VALUE"""),2.0)</f>
        <v>2</v>
      </c>
    </row>
    <row r="433">
      <c r="A433" s="33">
        <f>IFERROR(__xludf.DUMMYFUNCTION("""COMPUTED_VALUE"""),46119.998828379634)</f>
        <v>46119.99883</v>
      </c>
      <c r="B433" s="29" t="str">
        <f>IFERROR(__xludf.DUMMYFUNCTION("""COMPUTED_VALUE"""),"Intact (Never circumcised)")</f>
        <v>Intact (Never circumcised)</v>
      </c>
      <c r="C433" s="29" t="str">
        <f>IFERROR(__xludf.DUMMYFUNCTION("""COMPUTED_VALUE"""),"Orgasm Intensity")</f>
        <v>Orgasm Intensity</v>
      </c>
      <c r="D433" s="29" t="str">
        <f>IFERROR(__xludf.DUMMYFUNCTION("""COMPUTED_VALUE"""),"5 (High/Excellent)")</f>
        <v>5 (High/Excellent)</v>
      </c>
      <c r="E433" s="29">
        <f>IFERROR(__xludf.DUMMYFUNCTION("""COMPUTED_VALUE"""),5.0)</f>
        <v>5</v>
      </c>
    </row>
    <row r="434">
      <c r="A434" s="33">
        <f>IFERROR(__xludf.DUMMYFUNCTION("""COMPUTED_VALUE"""),46120.45189376157)</f>
        <v>46120.45189</v>
      </c>
      <c r="B434" s="29" t="str">
        <f>IFERROR(__xludf.DUMMYFUNCTION("""COMPUTED_VALUE"""),"Circumcised")</f>
        <v>Circumcised</v>
      </c>
      <c r="C434" s="29" t="str">
        <f>IFERROR(__xludf.DUMMYFUNCTION("""COMPUTED_VALUE"""),"Orgasm Intensity")</f>
        <v>Orgasm Intensity</v>
      </c>
      <c r="D434" s="29" t="str">
        <f>IFERROR(__xludf.DUMMYFUNCTION("""COMPUTED_VALUE"""),"5 (High/Excellent)")</f>
        <v>5 (High/Excellent)</v>
      </c>
      <c r="E434" s="29">
        <f>IFERROR(__xludf.DUMMYFUNCTION("""COMPUTED_VALUE"""),5.0)</f>
        <v>5</v>
      </c>
    </row>
    <row r="435">
      <c r="A435" s="33">
        <f>IFERROR(__xludf.DUMMYFUNCTION("""COMPUTED_VALUE"""),46121.04974232639)</f>
        <v>46121.04974</v>
      </c>
      <c r="B435" s="29" t="str">
        <f>IFERROR(__xludf.DUMMYFUNCTION("""COMPUTED_VALUE"""),"Circumcised")</f>
        <v>Circumcised</v>
      </c>
      <c r="C435" s="29" t="str">
        <f>IFERROR(__xludf.DUMMYFUNCTION("""COMPUTED_VALUE"""),"Orgasm Intensity")</f>
        <v>Orgasm Intensity</v>
      </c>
      <c r="D435" s="29" t="str">
        <f>IFERROR(__xludf.DUMMYFUNCTION("""COMPUTED_VALUE"""),"4")</f>
        <v>4</v>
      </c>
      <c r="E435" s="29">
        <f>IFERROR(__xludf.DUMMYFUNCTION("""COMPUTED_VALUE"""),4.0)</f>
        <v>4</v>
      </c>
    </row>
    <row r="436">
      <c r="A436" s="33">
        <f>IFERROR(__xludf.DUMMYFUNCTION("""COMPUTED_VALUE"""),46121.27570546296)</f>
        <v>46121.27571</v>
      </c>
      <c r="B436" s="29" t="str">
        <f>IFERROR(__xludf.DUMMYFUNCTION("""COMPUTED_VALUE"""),"Actively restoring my foreskin / I consider myself restored")</f>
        <v>Actively restoring my foreskin / I consider myself restored</v>
      </c>
      <c r="C436" s="29" t="str">
        <f>IFERROR(__xludf.DUMMYFUNCTION("""COMPUTED_VALUE"""),"Orgasm Intensity")</f>
        <v>Orgasm Intensity</v>
      </c>
      <c r="D436" s="29" t="str">
        <f>IFERROR(__xludf.DUMMYFUNCTION("""COMPUTED_VALUE"""),"3 (Medium/Average)")</f>
        <v>3 (Medium/Average)</v>
      </c>
      <c r="E436" s="29">
        <f>IFERROR(__xludf.DUMMYFUNCTION("""COMPUTED_VALUE"""),3.0)</f>
        <v>3</v>
      </c>
    </row>
    <row r="437">
      <c r="A437" s="33">
        <f>IFERROR(__xludf.DUMMYFUNCTION("""COMPUTED_VALUE"""),46121.93295483796)</f>
        <v>46121.93295</v>
      </c>
      <c r="B437" s="29" t="str">
        <f>IFERROR(__xludf.DUMMYFUNCTION("""COMPUTED_VALUE"""),"Circumcised")</f>
        <v>Circumcised</v>
      </c>
      <c r="C437" s="29" t="str">
        <f>IFERROR(__xludf.DUMMYFUNCTION("""COMPUTED_VALUE"""),"Orgasm Intensity")</f>
        <v>Orgasm Intensity</v>
      </c>
      <c r="D437" s="29" t="str">
        <f>IFERROR(__xludf.DUMMYFUNCTION("""COMPUTED_VALUE"""),"5 (High/Excellent)")</f>
        <v>5 (High/Excellent)</v>
      </c>
      <c r="E437" s="29">
        <f>IFERROR(__xludf.DUMMYFUNCTION("""COMPUTED_VALUE"""),5.0)</f>
        <v>5</v>
      </c>
    </row>
    <row r="438">
      <c r="A438" s="33">
        <f>IFERROR(__xludf.DUMMYFUNCTION("""COMPUTED_VALUE"""),46122.46081304398)</f>
        <v>46122.46081</v>
      </c>
      <c r="B438" s="29" t="str">
        <f>IFERROR(__xludf.DUMMYFUNCTION("""COMPUTED_VALUE"""),"Circumcised")</f>
        <v>Circumcised</v>
      </c>
      <c r="C438" s="29" t="str">
        <f>IFERROR(__xludf.DUMMYFUNCTION("""COMPUTED_VALUE"""),"Orgasm Intensity")</f>
        <v>Orgasm Intensity</v>
      </c>
      <c r="D438" s="29" t="str">
        <f>IFERROR(__xludf.DUMMYFUNCTION("""COMPUTED_VALUE"""),"4")</f>
        <v>4</v>
      </c>
      <c r="E438" s="29">
        <f>IFERROR(__xludf.DUMMYFUNCTION("""COMPUTED_VALUE"""),4.0)</f>
        <v>4</v>
      </c>
    </row>
    <row r="439">
      <c r="A439" s="33">
        <f>IFERROR(__xludf.DUMMYFUNCTION("""COMPUTED_VALUE"""),46122.94345912037)</f>
        <v>46122.94346</v>
      </c>
      <c r="B439" s="29" t="str">
        <f>IFERROR(__xludf.DUMMYFUNCTION("""COMPUTED_VALUE"""),"Circumcised")</f>
        <v>Circumcised</v>
      </c>
      <c r="C439" s="29" t="str">
        <f>IFERROR(__xludf.DUMMYFUNCTION("""COMPUTED_VALUE"""),"Orgasm Intensity")</f>
        <v>Orgasm Intensity</v>
      </c>
      <c r="D439" s="29" t="str">
        <f>IFERROR(__xludf.DUMMYFUNCTION("""COMPUTED_VALUE"""),"1 (Low/Poor)")</f>
        <v>1 (Low/Poor)</v>
      </c>
      <c r="E439" s="29">
        <f>IFERROR(__xludf.DUMMYFUNCTION("""COMPUTED_VALUE"""),1.0)</f>
        <v>1</v>
      </c>
    </row>
    <row r="440">
      <c r="A440" s="33">
        <f>IFERROR(__xludf.DUMMYFUNCTION("""COMPUTED_VALUE"""),46123.0318577199)</f>
        <v>46123.03186</v>
      </c>
      <c r="B440" s="29" t="str">
        <f>IFERROR(__xludf.DUMMYFUNCTION("""COMPUTED_VALUE"""),"Intact (Never circumcised)")</f>
        <v>Intact (Never circumcised)</v>
      </c>
      <c r="C440" s="29" t="str">
        <f>IFERROR(__xludf.DUMMYFUNCTION("""COMPUTED_VALUE"""),"Orgasm Intensity")</f>
        <v>Orgasm Intensity</v>
      </c>
      <c r="D440" s="29" t="str">
        <f>IFERROR(__xludf.DUMMYFUNCTION("""COMPUTED_VALUE"""),"5 (High/Excellent)")</f>
        <v>5 (High/Excellent)</v>
      </c>
      <c r="E440" s="29">
        <f>IFERROR(__xludf.DUMMYFUNCTION("""COMPUTED_VALUE"""),5.0)</f>
        <v>5</v>
      </c>
    </row>
    <row r="441">
      <c r="A441" s="33">
        <f>IFERROR(__xludf.DUMMYFUNCTION("""COMPUTED_VALUE"""),46123.75352236111)</f>
        <v>46123.75352</v>
      </c>
      <c r="B441" s="29" t="str">
        <f>IFERROR(__xludf.DUMMYFUNCTION("""COMPUTED_VALUE"""),"Actively restoring my foreskin / I consider myself restored")</f>
        <v>Actively restoring my foreskin / I consider myself restored</v>
      </c>
      <c r="C441" s="29" t="str">
        <f>IFERROR(__xludf.DUMMYFUNCTION("""COMPUTED_VALUE"""),"Orgasm Intensity")</f>
        <v>Orgasm Intensity</v>
      </c>
      <c r="D441" s="29" t="str">
        <f>IFERROR(__xludf.DUMMYFUNCTION("""COMPUTED_VALUE"""),"2")</f>
        <v>2</v>
      </c>
      <c r="E441" s="29">
        <f>IFERROR(__xludf.DUMMYFUNCTION("""COMPUTED_VALUE"""),2.0)</f>
        <v>2</v>
      </c>
    </row>
    <row r="442">
      <c r="A442" s="33">
        <f>IFERROR(__xludf.DUMMYFUNCTION("""COMPUTED_VALUE"""),46124.27076814815)</f>
        <v>46124.27077</v>
      </c>
      <c r="B442" s="29" t="str">
        <f>IFERROR(__xludf.DUMMYFUNCTION("""COMPUTED_VALUE"""),"Circumcised")</f>
        <v>Circumcised</v>
      </c>
      <c r="C442" s="29" t="str">
        <f>IFERROR(__xludf.DUMMYFUNCTION("""COMPUTED_VALUE"""),"Orgasm Intensity")</f>
        <v>Orgasm Intensity</v>
      </c>
      <c r="D442" s="29" t="str">
        <f>IFERROR(__xludf.DUMMYFUNCTION("""COMPUTED_VALUE"""),"5 (High/Excellent)")</f>
        <v>5 (High/Excellent)</v>
      </c>
      <c r="E442" s="29">
        <f>IFERROR(__xludf.DUMMYFUNCTION("""COMPUTED_VALUE"""),5.0)</f>
        <v>5</v>
      </c>
    </row>
    <row r="443">
      <c r="A443" s="33">
        <f>IFERROR(__xludf.DUMMYFUNCTION("""COMPUTED_VALUE"""),46124.78037094907)</f>
        <v>46124.78037</v>
      </c>
      <c r="B443" s="29" t="str">
        <f>IFERROR(__xludf.DUMMYFUNCTION("""COMPUTED_VALUE"""),"Circumcised")</f>
        <v>Circumcised</v>
      </c>
      <c r="C443" s="29" t="str">
        <f>IFERROR(__xludf.DUMMYFUNCTION("""COMPUTED_VALUE"""),"Orgasm Intensity")</f>
        <v>Orgasm Intensity</v>
      </c>
      <c r="D443" s="29" t="str">
        <f>IFERROR(__xludf.DUMMYFUNCTION("""COMPUTED_VALUE"""),"3 (Medium/Average)")</f>
        <v>3 (Medium/Average)</v>
      </c>
      <c r="E443" s="29">
        <f>IFERROR(__xludf.DUMMYFUNCTION("""COMPUTED_VALUE"""),3.0)</f>
        <v>3</v>
      </c>
    </row>
    <row r="444">
      <c r="A444" s="33">
        <f>IFERROR(__xludf.DUMMYFUNCTION("""COMPUTED_VALUE"""),46125.61132210649)</f>
        <v>46125.61132</v>
      </c>
      <c r="B444" s="29" t="str">
        <f>IFERROR(__xludf.DUMMYFUNCTION("""COMPUTED_VALUE"""),"Circumcised")</f>
        <v>Circumcised</v>
      </c>
      <c r="C444" s="29" t="str">
        <f>IFERROR(__xludf.DUMMYFUNCTION("""COMPUTED_VALUE"""),"Orgasm Intensity")</f>
        <v>Orgasm Intensity</v>
      </c>
      <c r="D444" s="29" t="str">
        <f>IFERROR(__xludf.DUMMYFUNCTION("""COMPUTED_VALUE"""),"5 (High/Excellent)")</f>
        <v>5 (High/Excellent)</v>
      </c>
      <c r="E444" s="29">
        <f>IFERROR(__xludf.DUMMYFUNCTION("""COMPUTED_VALUE"""),5.0)</f>
        <v>5</v>
      </c>
    </row>
    <row r="445">
      <c r="A445" s="33">
        <f>IFERROR(__xludf.DUMMYFUNCTION("""COMPUTED_VALUE"""),46126.37213568287)</f>
        <v>46126.37214</v>
      </c>
      <c r="B445" s="29" t="str">
        <f>IFERROR(__xludf.DUMMYFUNCTION("""COMPUTED_VALUE"""),"Intact (Never circumcised)")</f>
        <v>Intact (Never circumcised)</v>
      </c>
      <c r="C445" s="29" t="str">
        <f>IFERROR(__xludf.DUMMYFUNCTION("""COMPUTED_VALUE"""),"Orgasm Intensity")</f>
        <v>Orgasm Intensity</v>
      </c>
      <c r="D445" s="29" t="str">
        <f>IFERROR(__xludf.DUMMYFUNCTION("""COMPUTED_VALUE"""),"4")</f>
        <v>4</v>
      </c>
      <c r="E445" s="29">
        <f>IFERROR(__xludf.DUMMYFUNCTION("""COMPUTED_VALUE"""),4.0)</f>
        <v>4</v>
      </c>
    </row>
    <row r="446">
      <c r="A446" s="33">
        <f>IFERROR(__xludf.DUMMYFUNCTION("""COMPUTED_VALUE"""),46126.609716817125)</f>
        <v>46126.60972</v>
      </c>
      <c r="B446" s="29" t="str">
        <f>IFERROR(__xludf.DUMMYFUNCTION("""COMPUTED_VALUE"""),"Intact (Never circumcised)")</f>
        <v>Intact (Never circumcised)</v>
      </c>
      <c r="C446" s="29" t="str">
        <f>IFERROR(__xludf.DUMMYFUNCTION("""COMPUTED_VALUE"""),"Orgasm Intensity")</f>
        <v>Orgasm Intensity</v>
      </c>
      <c r="D446" s="29" t="str">
        <f>IFERROR(__xludf.DUMMYFUNCTION("""COMPUTED_VALUE"""),"5 (High/Excellent)")</f>
        <v>5 (High/Excellent)</v>
      </c>
      <c r="E446" s="29">
        <f>IFERROR(__xludf.DUMMYFUNCTION("""COMPUTED_VALUE"""),5.0)</f>
        <v>5</v>
      </c>
    </row>
    <row r="447">
      <c r="A447" s="33">
        <f>IFERROR(__xludf.DUMMYFUNCTION("""COMPUTED_VALUE"""),46129.64641299768)</f>
        <v>46129.64641</v>
      </c>
      <c r="B447" s="29" t="str">
        <f>IFERROR(__xludf.DUMMYFUNCTION("""COMPUTED_VALUE"""),"Circumcised")</f>
        <v>Circumcised</v>
      </c>
      <c r="C447" s="29" t="str">
        <f>IFERROR(__xludf.DUMMYFUNCTION("""COMPUTED_VALUE"""),"Orgasm Intensity")</f>
        <v>Orgasm Intensity</v>
      </c>
      <c r="D447" s="29" t="str">
        <f>IFERROR(__xludf.DUMMYFUNCTION("""COMPUTED_VALUE"""),"4")</f>
        <v>4</v>
      </c>
      <c r="E447" s="29">
        <f>IFERROR(__xludf.DUMMYFUNCTION("""COMPUTED_VALUE"""),4.0)</f>
        <v>4</v>
      </c>
    </row>
    <row r="448">
      <c r="A448" s="33">
        <f>IFERROR(__xludf.DUMMYFUNCTION("""COMPUTED_VALUE"""),46131.52759640047)</f>
        <v>46131.5276</v>
      </c>
      <c r="B448" s="29" t="str">
        <f>IFERROR(__xludf.DUMMYFUNCTION("""COMPUTED_VALUE"""),"Circumcised")</f>
        <v>Circumcised</v>
      </c>
      <c r="C448" s="29" t="str">
        <f>IFERROR(__xludf.DUMMYFUNCTION("""COMPUTED_VALUE"""),"Orgasm Intensity")</f>
        <v>Orgasm Intensity</v>
      </c>
      <c r="D448" s="29" t="str">
        <f>IFERROR(__xludf.DUMMYFUNCTION("""COMPUTED_VALUE"""),"1 (Low/Poor)")</f>
        <v>1 (Low/Poor)</v>
      </c>
      <c r="E448" s="29">
        <f>IFERROR(__xludf.DUMMYFUNCTION("""COMPUTED_VALUE"""),1.0)</f>
        <v>1</v>
      </c>
    </row>
    <row r="449">
      <c r="A449" s="33">
        <f>IFERROR(__xludf.DUMMYFUNCTION("""COMPUTED_VALUE"""),46132.226501157405)</f>
        <v>46132.2265</v>
      </c>
      <c r="B449" s="29" t="str">
        <f>IFERROR(__xludf.DUMMYFUNCTION("""COMPUTED_VALUE"""),"Intact (Never circumcised)")</f>
        <v>Intact (Never circumcised)</v>
      </c>
      <c r="C449" s="29" t="str">
        <f>IFERROR(__xludf.DUMMYFUNCTION("""COMPUTED_VALUE"""),"Orgasm Intensity")</f>
        <v>Orgasm Intensity</v>
      </c>
      <c r="D449" s="29" t="str">
        <f>IFERROR(__xludf.DUMMYFUNCTION("""COMPUTED_VALUE"""),"5 (High/Excellent)")</f>
        <v>5 (High/Excellent)</v>
      </c>
      <c r="E449" s="29">
        <f>IFERROR(__xludf.DUMMYFUNCTION("""COMPUTED_VALUE"""),5.0)</f>
        <v>5</v>
      </c>
    </row>
    <row r="450">
      <c r="A450" s="33">
        <f>IFERROR(__xludf.DUMMYFUNCTION("""COMPUTED_VALUE"""),46133.03297357639)</f>
        <v>46133.03297</v>
      </c>
      <c r="B450" s="29" t="str">
        <f>IFERROR(__xludf.DUMMYFUNCTION("""COMPUTED_VALUE"""),"Intact (Never circumcised)")</f>
        <v>Intact (Never circumcised)</v>
      </c>
      <c r="C450" s="29" t="str">
        <f>IFERROR(__xludf.DUMMYFUNCTION("""COMPUTED_VALUE"""),"Orgasm Intensity")</f>
        <v>Orgasm Intensity</v>
      </c>
      <c r="D450" s="29" t="str">
        <f>IFERROR(__xludf.DUMMYFUNCTION("""COMPUTED_VALUE"""),"3 (Medium/Average)")</f>
        <v>3 (Medium/Average)</v>
      </c>
      <c r="E450" s="29">
        <f>IFERROR(__xludf.DUMMYFUNCTION("""COMPUTED_VALUE"""),3.0)</f>
        <v>3</v>
      </c>
    </row>
    <row r="451">
      <c r="A451" s="33">
        <f>IFERROR(__xludf.DUMMYFUNCTION("""COMPUTED_VALUE"""),46133.186501759265)</f>
        <v>46133.1865</v>
      </c>
      <c r="B451" s="29" t="str">
        <f>IFERROR(__xludf.DUMMYFUNCTION("""COMPUTED_VALUE"""),"Circumcised")</f>
        <v>Circumcised</v>
      </c>
      <c r="C451" s="29" t="str">
        <f>IFERROR(__xludf.DUMMYFUNCTION("""COMPUTED_VALUE"""),"Orgasm Intensity")</f>
        <v>Orgasm Intensity</v>
      </c>
      <c r="D451" s="29" t="str">
        <f>IFERROR(__xludf.DUMMYFUNCTION("""COMPUTED_VALUE"""),"2")</f>
        <v>2</v>
      </c>
      <c r="E451" s="29">
        <f>IFERROR(__xludf.DUMMYFUNCTION("""COMPUTED_VALUE"""),2.0)</f>
        <v>2</v>
      </c>
    </row>
    <row r="452">
      <c r="A452" s="33">
        <f>IFERROR(__xludf.DUMMYFUNCTION("""COMPUTED_VALUE"""),46134.22396824074)</f>
        <v>46134.22397</v>
      </c>
      <c r="B452" s="29" t="str">
        <f>IFERROR(__xludf.DUMMYFUNCTION("""COMPUTED_VALUE"""),"Circumcised")</f>
        <v>Circumcised</v>
      </c>
      <c r="C452" s="29" t="str">
        <f>IFERROR(__xludf.DUMMYFUNCTION("""COMPUTED_VALUE"""),"Orgasm Intensity")</f>
        <v>Orgasm Intensity</v>
      </c>
      <c r="D452" s="29" t="str">
        <f>IFERROR(__xludf.DUMMYFUNCTION("""COMPUTED_VALUE"""),"4")</f>
        <v>4</v>
      </c>
      <c r="E452" s="29">
        <f>IFERROR(__xludf.DUMMYFUNCTION("""COMPUTED_VALUE"""),4.0)</f>
        <v>4</v>
      </c>
    </row>
    <row r="453">
      <c r="A453" s="33">
        <f>IFERROR(__xludf.DUMMYFUNCTION("""COMPUTED_VALUE"""),46139.22647099537)</f>
        <v>46139.22647</v>
      </c>
      <c r="B453" s="29" t="str">
        <f>IFERROR(__xludf.DUMMYFUNCTION("""COMPUTED_VALUE"""),"Circumcised")</f>
        <v>Circumcised</v>
      </c>
      <c r="C453" s="29" t="str">
        <f>IFERROR(__xludf.DUMMYFUNCTION("""COMPUTED_VALUE"""),"Orgasm Intensity")</f>
        <v>Orgasm Intensity</v>
      </c>
      <c r="D453" s="29" t="str">
        <f>IFERROR(__xludf.DUMMYFUNCTION("""COMPUTED_VALUE"""),"4")</f>
        <v>4</v>
      </c>
      <c r="E453" s="29">
        <f>IFERROR(__xludf.DUMMYFUNCTION("""COMPUTED_VALUE"""),4.0)</f>
        <v>4</v>
      </c>
    </row>
    <row r="454">
      <c r="A454" s="33">
        <f>IFERROR(__xludf.DUMMYFUNCTION("""COMPUTED_VALUE"""),46143.65511586805)</f>
        <v>46143.65512</v>
      </c>
      <c r="B454" s="29" t="str">
        <f>IFERROR(__xludf.DUMMYFUNCTION("""COMPUTED_VALUE"""),"Circumcised")</f>
        <v>Circumcised</v>
      </c>
      <c r="C454" s="29" t="str">
        <f>IFERROR(__xludf.DUMMYFUNCTION("""COMPUTED_VALUE"""),"Orgasm Intensity")</f>
        <v>Orgasm Intensity</v>
      </c>
      <c r="D454" s="29" t="str">
        <f>IFERROR(__xludf.DUMMYFUNCTION("""COMPUTED_VALUE"""),"2")</f>
        <v>2</v>
      </c>
      <c r="E454" s="29">
        <f>IFERROR(__xludf.DUMMYFUNCTION("""COMPUTED_VALUE"""),2.0)</f>
        <v>2</v>
      </c>
    </row>
    <row r="455">
      <c r="A455" s="33">
        <f>IFERROR(__xludf.DUMMYFUNCTION("""COMPUTED_VALUE"""),46146.244808854164)</f>
        <v>46146.24481</v>
      </c>
      <c r="B455" s="29" t="str">
        <f>IFERROR(__xludf.DUMMYFUNCTION("""COMPUTED_VALUE"""),"Circumcised")</f>
        <v>Circumcised</v>
      </c>
      <c r="C455" s="29" t="str">
        <f>IFERROR(__xludf.DUMMYFUNCTION("""COMPUTED_VALUE"""),"Orgasm Intensity")</f>
        <v>Orgasm Intensity</v>
      </c>
      <c r="D455" s="29" t="str">
        <f>IFERROR(__xludf.DUMMYFUNCTION("""COMPUTED_VALUE"""),"1 (Low/Poor)")</f>
        <v>1 (Low/Poor)</v>
      </c>
      <c r="E455" s="29">
        <f>IFERROR(__xludf.DUMMYFUNCTION("""COMPUTED_VALUE"""),1.0)</f>
        <v>1</v>
      </c>
    </row>
    <row r="456">
      <c r="A456" s="33">
        <f>IFERROR(__xludf.DUMMYFUNCTION("""COMPUTED_VALUE"""),46150.09750815973)</f>
        <v>46150.09751</v>
      </c>
      <c r="B456" s="29" t="str">
        <f>IFERROR(__xludf.DUMMYFUNCTION("""COMPUTED_VALUE"""),"Circumcised")</f>
        <v>Circumcised</v>
      </c>
      <c r="C456" s="29" t="str">
        <f>IFERROR(__xludf.DUMMYFUNCTION("""COMPUTED_VALUE"""),"Orgasm Intensity")</f>
        <v>Orgasm Intensity</v>
      </c>
      <c r="D456" s="29" t="str">
        <f>IFERROR(__xludf.DUMMYFUNCTION("""COMPUTED_VALUE"""),"3 (Medium/Average)")</f>
        <v>3 (Medium/Average)</v>
      </c>
      <c r="E456" s="29">
        <f>IFERROR(__xludf.DUMMYFUNCTION("""COMPUTED_VALUE"""),3.0)</f>
        <v>3</v>
      </c>
    </row>
    <row r="457">
      <c r="A457" s="33">
        <f>IFERROR(__xludf.DUMMYFUNCTION("""COMPUTED_VALUE"""),46159.019054930555)</f>
        <v>46159.01905</v>
      </c>
      <c r="B457" s="29" t="str">
        <f>IFERROR(__xludf.DUMMYFUNCTION("""COMPUTED_VALUE"""),"Circumcised")</f>
        <v>Circumcised</v>
      </c>
      <c r="C457" s="29" t="str">
        <f>IFERROR(__xludf.DUMMYFUNCTION("""COMPUTED_VALUE"""),"Orgasm Intensity")</f>
        <v>Orgasm Intensity</v>
      </c>
      <c r="D457" s="29" t="str">
        <f>IFERROR(__xludf.DUMMYFUNCTION("""COMPUTED_VALUE"""),"4")</f>
        <v>4</v>
      </c>
      <c r="E457" s="29">
        <f>IFERROR(__xludf.DUMMYFUNCTION("""COMPUTED_VALUE"""),4.0)</f>
        <v>4</v>
      </c>
    </row>
    <row r="458">
      <c r="A458" s="33">
        <f>IFERROR(__xludf.DUMMYFUNCTION("""COMPUTED_VALUE"""),46163.04970236112)</f>
        <v>46163.0497</v>
      </c>
      <c r="B458" s="29" t="str">
        <f>IFERROR(__xludf.DUMMYFUNCTION("""COMPUTED_VALUE"""),"Circumcised")</f>
        <v>Circumcised</v>
      </c>
      <c r="C458" s="29" t="str">
        <f>IFERROR(__xludf.DUMMYFUNCTION("""COMPUTED_VALUE"""),"Orgasm Intensity")</f>
        <v>Orgasm Intensity</v>
      </c>
      <c r="D458" s="29" t="str">
        <f>IFERROR(__xludf.DUMMYFUNCTION("""COMPUTED_VALUE"""),"3 (Medium/Average)")</f>
        <v>3 (Medium/Average)</v>
      </c>
      <c r="E458" s="29">
        <f>IFERROR(__xludf.DUMMYFUNCTION("""COMPUTED_VALUE"""),3.0)</f>
        <v>3</v>
      </c>
    </row>
    <row r="459">
      <c r="A459" s="33">
        <f>IFERROR(__xludf.DUMMYFUNCTION("""COMPUTED_VALUE"""),46172.316871793984)</f>
        <v>46172.31687</v>
      </c>
      <c r="B459" s="29" t="str">
        <f>IFERROR(__xludf.DUMMYFUNCTION("""COMPUTED_VALUE"""),"Intact (Never circumcised)")</f>
        <v>Intact (Never circumcised)</v>
      </c>
      <c r="C459" s="29" t="str">
        <f>IFERROR(__xludf.DUMMYFUNCTION("""COMPUTED_VALUE"""),"Orgasm Intensity")</f>
        <v>Orgasm Intensity</v>
      </c>
      <c r="D459" s="29" t="str">
        <f>IFERROR(__xludf.DUMMYFUNCTION("""COMPUTED_VALUE"""),"5 (High/Excellent)")</f>
        <v>5 (High/Excellent)</v>
      </c>
      <c r="E459" s="29">
        <f>IFERROR(__xludf.DUMMYFUNCTION("""COMPUTED_VALUE"""),5.0)</f>
        <v>5</v>
      </c>
    </row>
    <row r="460">
      <c r="A460" s="33">
        <f>IFERROR(__xludf.DUMMYFUNCTION("""COMPUTED_VALUE"""),46176.16395915509)</f>
        <v>46176.16396</v>
      </c>
      <c r="B460" s="29" t="str">
        <f>IFERROR(__xludf.DUMMYFUNCTION("""COMPUTED_VALUE"""),"Circumcised")</f>
        <v>Circumcised</v>
      </c>
      <c r="C460" s="29" t="str">
        <f>IFERROR(__xludf.DUMMYFUNCTION("""COMPUTED_VALUE"""),"Orgasm Intensity")</f>
        <v>Orgasm Intensity</v>
      </c>
      <c r="D460" s="29" t="str">
        <f>IFERROR(__xludf.DUMMYFUNCTION("""COMPUTED_VALUE"""),"5 (High/Excellent)")</f>
        <v>5 (High/Excellent)</v>
      </c>
      <c r="E460" s="29">
        <f>IFERROR(__xludf.DUMMYFUNCTION("""COMPUTED_VALUE"""),5.0)</f>
        <v>5</v>
      </c>
    </row>
    <row r="461">
      <c r="A461" s="33">
        <f>IFERROR(__xludf.DUMMYFUNCTION("""COMPUTED_VALUE"""),46179.82143106481)</f>
        <v>46179.82143</v>
      </c>
      <c r="B461" s="29" t="str">
        <f>IFERROR(__xludf.DUMMYFUNCTION("""COMPUTED_VALUE"""),"Intact (Never circumcised)")</f>
        <v>Intact (Never circumcised)</v>
      </c>
      <c r="C461" s="29" t="str">
        <f>IFERROR(__xludf.DUMMYFUNCTION("""COMPUTED_VALUE"""),"Orgasm Intensity")</f>
        <v>Orgasm Intensity</v>
      </c>
      <c r="D461" s="29" t="str">
        <f>IFERROR(__xludf.DUMMYFUNCTION("""COMPUTED_VALUE"""),"4")</f>
        <v>4</v>
      </c>
      <c r="E461" s="29">
        <f>IFERROR(__xludf.DUMMYFUNCTION("""COMPUTED_VALUE"""),4.0)</f>
        <v>4</v>
      </c>
    </row>
    <row r="462">
      <c r="A462" s="33">
        <f>IFERROR(__xludf.DUMMYFUNCTION("""COMPUTED_VALUE"""),46181.34934444445)</f>
        <v>46181.34934</v>
      </c>
      <c r="B462" s="29" t="str">
        <f>IFERROR(__xludf.DUMMYFUNCTION("""COMPUTED_VALUE"""),"Intact (Never circumcised)")</f>
        <v>Intact (Never circumcised)</v>
      </c>
      <c r="C462" s="29" t="str">
        <f>IFERROR(__xludf.DUMMYFUNCTION("""COMPUTED_VALUE"""),"Orgasm Intensity")</f>
        <v>Orgasm Intensity</v>
      </c>
      <c r="D462" s="29" t="str">
        <f>IFERROR(__xludf.DUMMYFUNCTION("""COMPUTED_VALUE"""),"4")</f>
        <v>4</v>
      </c>
      <c r="E462" s="29">
        <f>IFERROR(__xludf.DUMMYFUNCTION("""COMPUTED_VALUE"""),4.0)</f>
        <v>4</v>
      </c>
    </row>
    <row r="463">
      <c r="A463" s="33">
        <f>IFERROR(__xludf.DUMMYFUNCTION("""COMPUTED_VALUE"""),46181.86271541667)</f>
        <v>46181.86272</v>
      </c>
      <c r="B463" s="29" t="str">
        <f>IFERROR(__xludf.DUMMYFUNCTION("""COMPUTED_VALUE"""),"Circumcised")</f>
        <v>Circumcised</v>
      </c>
      <c r="C463" s="29" t="str">
        <f>IFERROR(__xludf.DUMMYFUNCTION("""COMPUTED_VALUE"""),"Orgasm Intensity")</f>
        <v>Orgasm Intensity</v>
      </c>
      <c r="D463" s="29" t="str">
        <f>IFERROR(__xludf.DUMMYFUNCTION("""COMPUTED_VALUE"""),"5 (High/Excellent)")</f>
        <v>5 (High/Excellent)</v>
      </c>
      <c r="E463" s="29">
        <f>IFERROR(__xludf.DUMMYFUNCTION("""COMPUTED_VALUE"""),5.0)</f>
        <v>5</v>
      </c>
    </row>
    <row r="464">
      <c r="A464" s="33">
        <f>IFERROR(__xludf.DUMMYFUNCTION("""COMPUTED_VALUE"""),46182.806710358804)</f>
        <v>46182.80671</v>
      </c>
      <c r="B464" s="29" t="str">
        <f>IFERROR(__xludf.DUMMYFUNCTION("""COMPUTED_VALUE"""),"Intact (Never circumcised)")</f>
        <v>Intact (Never circumcised)</v>
      </c>
      <c r="C464" s="29" t="str">
        <f>IFERROR(__xludf.DUMMYFUNCTION("""COMPUTED_VALUE"""),"Orgasm Intensity")</f>
        <v>Orgasm Intensity</v>
      </c>
      <c r="D464" s="29" t="str">
        <f>IFERROR(__xludf.DUMMYFUNCTION("""COMPUTED_VALUE"""),"2")</f>
        <v>2</v>
      </c>
      <c r="E464" s="29">
        <f>IFERROR(__xludf.DUMMYFUNCTION("""COMPUTED_VALUE"""),2.0)</f>
        <v>2</v>
      </c>
    </row>
    <row r="465">
      <c r="A465" s="33">
        <f>IFERROR(__xludf.DUMMYFUNCTION("""COMPUTED_VALUE"""),46187.824254467596)</f>
        <v>46187.82425</v>
      </c>
      <c r="B465" s="29" t="str">
        <f>IFERROR(__xludf.DUMMYFUNCTION("""COMPUTED_VALUE"""),"Circumcised")</f>
        <v>Circumcised</v>
      </c>
      <c r="C465" s="29" t="str">
        <f>IFERROR(__xludf.DUMMYFUNCTION("""COMPUTED_VALUE"""),"Orgasm Intensity")</f>
        <v>Orgasm Intensity</v>
      </c>
      <c r="D465" s="29" t="str">
        <f>IFERROR(__xludf.DUMMYFUNCTION("""COMPUTED_VALUE"""),"5 (High/Excellent)")</f>
        <v>5 (High/Excellent)</v>
      </c>
      <c r="E465" s="29">
        <f>IFERROR(__xludf.DUMMYFUNCTION("""COMPUTED_VALUE"""),5.0)</f>
        <v>5</v>
      </c>
    </row>
    <row r="466">
      <c r="A466" s="33">
        <f>IFERROR(__xludf.DUMMYFUNCTION("""COMPUTED_VALUE"""),45827.666499756946)</f>
        <v>45827.6665</v>
      </c>
      <c r="B466" s="29" t="str">
        <f>IFERROR(__xludf.DUMMYFUNCTION("""COMPUTED_VALUE"""),"Intact (Never circumcised)")</f>
        <v>Intact (Never circumcised)</v>
      </c>
      <c r="C466" s="29" t="str">
        <f>IFERROR(__xludf.DUMMYFUNCTION("""COMPUTED_VALUE"""),"Orgasm Duration")</f>
        <v>Orgasm Duration</v>
      </c>
      <c r="D466" s="29" t="str">
        <f>IFERROR(__xludf.DUMMYFUNCTION("""COMPUTED_VALUE"""),"Secular / Cultural Jewish")</f>
        <v>Secular / Cultural Jewish</v>
      </c>
      <c r="E466" s="29"/>
    </row>
    <row r="467">
      <c r="A467" s="33">
        <f>IFERROR(__xludf.DUMMYFUNCTION("""COMPUTED_VALUE"""),45827.82377087963)</f>
        <v>45827.82377</v>
      </c>
      <c r="B467" s="29" t="str">
        <f>IFERROR(__xludf.DUMMYFUNCTION("""COMPUTED_VALUE"""),"Circumcised")</f>
        <v>Circumcised</v>
      </c>
      <c r="C467" s="29" t="str">
        <f>IFERROR(__xludf.DUMMYFUNCTION("""COMPUTED_VALUE"""),"Orgasm Duration")</f>
        <v>Orgasm Duration</v>
      </c>
      <c r="D467" s="29" t="str">
        <f>IFERROR(__xludf.DUMMYFUNCTION("""COMPUTED_VALUE"""),"Secular / Cultural Jewish")</f>
        <v>Secular / Cultural Jewish</v>
      </c>
      <c r="E467" s="29"/>
    </row>
    <row r="468">
      <c r="A468" s="33">
        <f>IFERROR(__xludf.DUMMYFUNCTION("""COMPUTED_VALUE"""),45827.8672928588)</f>
        <v>45827.86729</v>
      </c>
      <c r="B468" s="29" t="str">
        <f>IFERROR(__xludf.DUMMYFUNCTION("""COMPUTED_VALUE"""),"Actively restoring my foreskin / I consider myself restored")</f>
        <v>Actively restoring my foreskin / I consider myself restored</v>
      </c>
      <c r="C468" s="29" t="str">
        <f>IFERROR(__xludf.DUMMYFUNCTION("""COMPUTED_VALUE"""),"Orgasm Duration")</f>
        <v>Orgasm Duration</v>
      </c>
      <c r="D468" s="29" t="str">
        <f>IFERROR(__xludf.DUMMYFUNCTION("""COMPUTED_VALUE"""),"Reform (Liberal/Progressive)")</f>
        <v>Reform (Liberal/Progressive)</v>
      </c>
      <c r="E468" s="29"/>
    </row>
    <row r="469">
      <c r="A469" s="33">
        <f>IFERROR(__xludf.DUMMYFUNCTION("""COMPUTED_VALUE"""),45828.21023520834)</f>
        <v>45828.21024</v>
      </c>
      <c r="B469" s="29" t="str">
        <f>IFERROR(__xludf.DUMMYFUNCTION("""COMPUTED_VALUE"""),"Intact (Never circumcised)")</f>
        <v>Intact (Never circumcised)</v>
      </c>
      <c r="C469" s="29" t="str">
        <f>IFERROR(__xludf.DUMMYFUNCTION("""COMPUTED_VALUE"""),"Orgasm Duration")</f>
        <v>Orgasm Duration</v>
      </c>
      <c r="D469" s="29" t="str">
        <f>IFERROR(__xludf.DUMMYFUNCTION("""COMPUTED_VALUE"""),"Secular / Cultural Jewish")</f>
        <v>Secular / Cultural Jewish</v>
      </c>
      <c r="E469" s="29"/>
    </row>
    <row r="470">
      <c r="A470" s="33">
        <f>IFERROR(__xludf.DUMMYFUNCTION("""COMPUTED_VALUE"""),45829.002409062494)</f>
        <v>45829.00241</v>
      </c>
      <c r="B470" s="29" t="str">
        <f>IFERROR(__xludf.DUMMYFUNCTION("""COMPUTED_VALUE"""),"Circumcised")</f>
        <v>Circumcised</v>
      </c>
      <c r="C470" s="29" t="str">
        <f>IFERROR(__xludf.DUMMYFUNCTION("""COMPUTED_VALUE"""),"Orgasm Duration")</f>
        <v>Orgasm Duration</v>
      </c>
      <c r="D470" s="29" t="str">
        <f>IFERROR(__xludf.DUMMYFUNCTION("""COMPUTED_VALUE"""),"Just Jewish / Non-denominational / Post-denominational")</f>
        <v>Just Jewish / Non-denominational / Post-denominational</v>
      </c>
      <c r="E470" s="29"/>
    </row>
    <row r="471">
      <c r="A471" s="33">
        <f>IFERROR(__xludf.DUMMYFUNCTION("""COMPUTED_VALUE"""),45829.64056644676)</f>
        <v>45829.64057</v>
      </c>
      <c r="B471" s="29" t="str">
        <f>IFERROR(__xludf.DUMMYFUNCTION("""COMPUTED_VALUE"""),"Actively restoring my foreskin / I consider myself restored")</f>
        <v>Actively restoring my foreskin / I consider myself restored</v>
      </c>
      <c r="C471" s="29" t="str">
        <f>IFERROR(__xludf.DUMMYFUNCTION("""COMPUTED_VALUE"""),"Orgasm Duration")</f>
        <v>Orgasm Duration</v>
      </c>
      <c r="D471" s="29" t="str">
        <f>IFERROR(__xludf.DUMMYFUNCTION("""COMPUTED_VALUE"""),"Orthodox (including Modern Orthodox, Haredi, Hasidic, etc.)")</f>
        <v>Orthodox (including Modern Orthodox, Haredi, Hasidic, etc.)</v>
      </c>
      <c r="E471" s="29"/>
    </row>
    <row r="472">
      <c r="A472" s="33">
        <f>IFERROR(__xludf.DUMMYFUNCTION("""COMPUTED_VALUE"""),45953.438401666666)</f>
        <v>45953.4384</v>
      </c>
      <c r="B472" s="29" t="str">
        <f>IFERROR(__xludf.DUMMYFUNCTION("""COMPUTED_VALUE"""),"Intact (Never circumcised)")</f>
        <v>Intact (Never circumcised)</v>
      </c>
      <c r="C472" s="29" t="str">
        <f>IFERROR(__xludf.DUMMYFUNCTION("""COMPUTED_VALUE"""),"Orgasm Duration")</f>
        <v>Orgasm Duration</v>
      </c>
      <c r="D472" s="29" t="str">
        <f>IFERROR(__xludf.DUMMYFUNCTION("""COMPUTED_VALUE"""),"Reform (Liberal/Progressive)")</f>
        <v>Reform (Liberal/Progressive)</v>
      </c>
      <c r="E472" s="29"/>
    </row>
    <row r="473">
      <c r="A473" s="33">
        <f>IFERROR(__xludf.DUMMYFUNCTION("""COMPUTED_VALUE"""),46114.45798623843)</f>
        <v>46114.45799</v>
      </c>
      <c r="B473" s="29" t="str">
        <f>IFERROR(__xludf.DUMMYFUNCTION("""COMPUTED_VALUE"""),"Circumcised")</f>
        <v>Circumcised</v>
      </c>
      <c r="C473" s="29" t="str">
        <f>IFERROR(__xludf.DUMMYFUNCTION("""COMPUTED_VALUE"""),"Orgasm Duration")</f>
        <v>Orgasm Duration</v>
      </c>
      <c r="D473" s="29" t="str">
        <f>IFERROR(__xludf.DUMMYFUNCTION("""COMPUTED_VALUE"""),"Conservative (Masorti)")</f>
        <v>Conservative (Masorti)</v>
      </c>
      <c r="E473" s="29"/>
    </row>
    <row r="474">
      <c r="A474" s="33">
        <f>IFERROR(__xludf.DUMMYFUNCTION("""COMPUTED_VALUE"""),46117.406726597226)</f>
        <v>46117.40673</v>
      </c>
      <c r="B474" s="29" t="str">
        <f>IFERROR(__xludf.DUMMYFUNCTION("""COMPUTED_VALUE"""),"Actively restoring my foreskin / I consider myself restored")</f>
        <v>Actively restoring my foreskin / I consider myself restored</v>
      </c>
      <c r="C474" s="29" t="str">
        <f>IFERROR(__xludf.DUMMYFUNCTION("""COMPUTED_VALUE"""),"Orgasm Duration")</f>
        <v>Orgasm Duration</v>
      </c>
      <c r="D474" s="29" t="str">
        <f>IFERROR(__xludf.DUMMYFUNCTION("""COMPUTED_VALUE"""),"Secular / Cultural Jewish")</f>
        <v>Secular / Cultural Jewish</v>
      </c>
      <c r="E474" s="29"/>
    </row>
    <row r="475">
      <c r="A475" s="33">
        <f>IFERROR(__xludf.DUMMYFUNCTION("""COMPUTED_VALUE"""),46119.630449895834)</f>
        <v>46119.63045</v>
      </c>
      <c r="B475" s="29" t="str">
        <f>IFERROR(__xludf.DUMMYFUNCTION("""COMPUTED_VALUE"""),"Actively restoring my foreskin / I consider myself restored")</f>
        <v>Actively restoring my foreskin / I consider myself restored</v>
      </c>
      <c r="C475" s="29" t="str">
        <f>IFERROR(__xludf.DUMMYFUNCTION("""COMPUTED_VALUE"""),"Orgasm Duration")</f>
        <v>Orgasm Duration</v>
      </c>
      <c r="D475" s="29" t="str">
        <f>IFERROR(__xludf.DUMMYFUNCTION("""COMPUTED_VALUE"""),"Just Jewish / Non-denominational / Post-denominational")</f>
        <v>Just Jewish / Non-denominational / Post-denominational</v>
      </c>
      <c r="E475" s="29"/>
    </row>
    <row r="476">
      <c r="A476" s="33">
        <f>IFERROR(__xludf.DUMMYFUNCTION("""COMPUTED_VALUE"""),45825.046766956024)</f>
        <v>45825.04677</v>
      </c>
      <c r="B476" s="29" t="str">
        <f>IFERROR(__xludf.DUMMYFUNCTION("""COMPUTED_VALUE"""),"Actively restoring my foreskin / I consider myself restored")</f>
        <v>Actively restoring my foreskin / I consider myself restored</v>
      </c>
      <c r="C476" s="29" t="str">
        <f>IFERROR(__xludf.DUMMYFUNCTION("""COMPUTED_VALUE"""),"Ease of Orgasm")</f>
        <v>Ease of Orgasm</v>
      </c>
      <c r="D476" s="29" t="str">
        <f>IFERROR(__xludf.DUMMYFUNCTION("""COMPUTED_VALUE"""),"2")</f>
        <v>2</v>
      </c>
      <c r="E476" s="29">
        <f>IFERROR(__xludf.DUMMYFUNCTION("""COMPUTED_VALUE"""),2.0)</f>
        <v>2</v>
      </c>
    </row>
    <row r="477">
      <c r="A477" s="33">
        <f>IFERROR(__xludf.DUMMYFUNCTION("""COMPUTED_VALUE"""),45825.05825144676)</f>
        <v>45825.05825</v>
      </c>
      <c r="B477" s="29" t="str">
        <f>IFERROR(__xludf.DUMMYFUNCTION("""COMPUTED_VALUE"""),"Circumcised")</f>
        <v>Circumcised</v>
      </c>
      <c r="C477" s="29" t="str">
        <f>IFERROR(__xludf.DUMMYFUNCTION("""COMPUTED_VALUE"""),"Ease of Orgasm")</f>
        <v>Ease of Orgasm</v>
      </c>
      <c r="D477" s="29" t="str">
        <f>IFERROR(__xludf.DUMMYFUNCTION("""COMPUTED_VALUE"""),"1 (Low/Poor)")</f>
        <v>1 (Low/Poor)</v>
      </c>
      <c r="E477" s="29">
        <f>IFERROR(__xludf.DUMMYFUNCTION("""COMPUTED_VALUE"""),1.0)</f>
        <v>1</v>
      </c>
    </row>
    <row r="478">
      <c r="A478" s="33">
        <f>IFERROR(__xludf.DUMMYFUNCTION("""COMPUTED_VALUE"""),45825.103313796295)</f>
        <v>45825.10331</v>
      </c>
      <c r="B478" s="29" t="str">
        <f>IFERROR(__xludf.DUMMYFUNCTION("""COMPUTED_VALUE"""),"Actively restoring my foreskin / I consider myself restored")</f>
        <v>Actively restoring my foreskin / I consider myself restored</v>
      </c>
      <c r="C478" s="29" t="str">
        <f>IFERROR(__xludf.DUMMYFUNCTION("""COMPUTED_VALUE"""),"Ease of Orgasm")</f>
        <v>Ease of Orgasm</v>
      </c>
      <c r="D478" s="29" t="str">
        <f>IFERROR(__xludf.DUMMYFUNCTION("""COMPUTED_VALUE"""),"3 (Medium/Average)")</f>
        <v>3 (Medium/Average)</v>
      </c>
      <c r="E478" s="29">
        <f>IFERROR(__xludf.DUMMYFUNCTION("""COMPUTED_VALUE"""),3.0)</f>
        <v>3</v>
      </c>
    </row>
    <row r="479">
      <c r="A479" s="33">
        <f>IFERROR(__xludf.DUMMYFUNCTION("""COMPUTED_VALUE"""),45825.223511655095)</f>
        <v>45825.22351</v>
      </c>
      <c r="B479" s="29" t="str">
        <f>IFERROR(__xludf.DUMMYFUNCTION("""COMPUTED_VALUE"""),"Actively restoring my foreskin / I consider myself restored")</f>
        <v>Actively restoring my foreskin / I consider myself restored</v>
      </c>
      <c r="C479" s="29" t="str">
        <f>IFERROR(__xludf.DUMMYFUNCTION("""COMPUTED_VALUE"""),"Ease of Orgasm")</f>
        <v>Ease of Orgasm</v>
      </c>
      <c r="D479" s="29" t="str">
        <f>IFERROR(__xludf.DUMMYFUNCTION("""COMPUTED_VALUE"""),"4")</f>
        <v>4</v>
      </c>
      <c r="E479" s="29">
        <f>IFERROR(__xludf.DUMMYFUNCTION("""COMPUTED_VALUE"""),4.0)</f>
        <v>4</v>
      </c>
    </row>
    <row r="480">
      <c r="A480" s="33">
        <f>IFERROR(__xludf.DUMMYFUNCTION("""COMPUTED_VALUE"""),45825.25907047454)</f>
        <v>45825.25907</v>
      </c>
      <c r="B480" s="29" t="str">
        <f>IFERROR(__xludf.DUMMYFUNCTION("""COMPUTED_VALUE"""),"Circumcised")</f>
        <v>Circumcised</v>
      </c>
      <c r="C480" s="29" t="str">
        <f>IFERROR(__xludf.DUMMYFUNCTION("""COMPUTED_VALUE"""),"Ease of Orgasm")</f>
        <v>Ease of Orgasm</v>
      </c>
      <c r="D480" s="29" t="str">
        <f>IFERROR(__xludf.DUMMYFUNCTION("""COMPUTED_VALUE"""),"2")</f>
        <v>2</v>
      </c>
      <c r="E480" s="29">
        <f>IFERROR(__xludf.DUMMYFUNCTION("""COMPUTED_VALUE"""),2.0)</f>
        <v>2</v>
      </c>
    </row>
    <row r="481">
      <c r="A481" s="33">
        <f>IFERROR(__xludf.DUMMYFUNCTION("""COMPUTED_VALUE"""),45825.4346852662)</f>
        <v>45825.43469</v>
      </c>
      <c r="B481" s="29" t="str">
        <f>IFERROR(__xludf.DUMMYFUNCTION("""COMPUTED_VALUE"""),"Actively restoring my foreskin / I consider myself restored")</f>
        <v>Actively restoring my foreskin / I consider myself restored</v>
      </c>
      <c r="C481" s="29" t="str">
        <f>IFERROR(__xludf.DUMMYFUNCTION("""COMPUTED_VALUE"""),"Ease of Orgasm")</f>
        <v>Ease of Orgasm</v>
      </c>
      <c r="D481" s="29" t="str">
        <f>IFERROR(__xludf.DUMMYFUNCTION("""COMPUTED_VALUE"""),"3 (Medium/Average)")</f>
        <v>3 (Medium/Average)</v>
      </c>
      <c r="E481" s="29">
        <f>IFERROR(__xludf.DUMMYFUNCTION("""COMPUTED_VALUE"""),3.0)</f>
        <v>3</v>
      </c>
    </row>
    <row r="482">
      <c r="A482" s="33">
        <f>IFERROR(__xludf.DUMMYFUNCTION("""COMPUTED_VALUE"""),45826.77728232639)</f>
        <v>45826.77728</v>
      </c>
      <c r="B482" s="29" t="str">
        <f>IFERROR(__xludf.DUMMYFUNCTION("""COMPUTED_VALUE"""),"Actively restoring my foreskin / I consider myself restored")</f>
        <v>Actively restoring my foreskin / I consider myself restored</v>
      </c>
      <c r="C482" s="29" t="str">
        <f>IFERROR(__xludf.DUMMYFUNCTION("""COMPUTED_VALUE"""),"Ease of Orgasm")</f>
        <v>Ease of Orgasm</v>
      </c>
      <c r="D482" s="29" t="str">
        <f>IFERROR(__xludf.DUMMYFUNCTION("""COMPUTED_VALUE"""),"2")</f>
        <v>2</v>
      </c>
      <c r="E482" s="29">
        <f>IFERROR(__xludf.DUMMYFUNCTION("""COMPUTED_VALUE"""),2.0)</f>
        <v>2</v>
      </c>
    </row>
    <row r="483">
      <c r="A483" s="33">
        <f>IFERROR(__xludf.DUMMYFUNCTION("""COMPUTED_VALUE"""),45826.853455763885)</f>
        <v>45826.85346</v>
      </c>
      <c r="B483" s="29" t="str">
        <f>IFERROR(__xludf.DUMMYFUNCTION("""COMPUTED_VALUE"""),"Circumcised")</f>
        <v>Circumcised</v>
      </c>
      <c r="C483" s="29" t="str">
        <f>IFERROR(__xludf.DUMMYFUNCTION("""COMPUTED_VALUE"""),"Ease of Orgasm")</f>
        <v>Ease of Orgasm</v>
      </c>
      <c r="D483" s="29" t="str">
        <f>IFERROR(__xludf.DUMMYFUNCTION("""COMPUTED_VALUE"""),"1 (Low/Poor)")</f>
        <v>1 (Low/Poor)</v>
      </c>
      <c r="E483" s="29">
        <f>IFERROR(__xludf.DUMMYFUNCTION("""COMPUTED_VALUE"""),1.0)</f>
        <v>1</v>
      </c>
    </row>
    <row r="484">
      <c r="A484" s="33">
        <f>IFERROR(__xludf.DUMMYFUNCTION("""COMPUTED_VALUE"""),45826.85406060185)</f>
        <v>45826.85406</v>
      </c>
      <c r="B484" s="29" t="str">
        <f>IFERROR(__xludf.DUMMYFUNCTION("""COMPUTED_VALUE"""),"Circumcised")</f>
        <v>Circumcised</v>
      </c>
      <c r="C484" s="29" t="str">
        <f>IFERROR(__xludf.DUMMYFUNCTION("""COMPUTED_VALUE"""),"Ease of Orgasm")</f>
        <v>Ease of Orgasm</v>
      </c>
      <c r="D484" s="29" t="str">
        <f>IFERROR(__xludf.DUMMYFUNCTION("""COMPUTED_VALUE"""),"2")</f>
        <v>2</v>
      </c>
      <c r="E484" s="29">
        <f>IFERROR(__xludf.DUMMYFUNCTION("""COMPUTED_VALUE"""),2.0)</f>
        <v>2</v>
      </c>
    </row>
    <row r="485">
      <c r="A485" s="33">
        <f>IFERROR(__xludf.DUMMYFUNCTION("""COMPUTED_VALUE"""),45826.879537835644)</f>
        <v>45826.87954</v>
      </c>
      <c r="B485" s="29" t="str">
        <f>IFERROR(__xludf.DUMMYFUNCTION("""COMPUTED_VALUE"""),"Actively restoring my foreskin / I consider myself restored")</f>
        <v>Actively restoring my foreskin / I consider myself restored</v>
      </c>
      <c r="C485" s="29" t="str">
        <f>IFERROR(__xludf.DUMMYFUNCTION("""COMPUTED_VALUE"""),"Ease of Orgasm")</f>
        <v>Ease of Orgasm</v>
      </c>
      <c r="D485" s="29" t="str">
        <f>IFERROR(__xludf.DUMMYFUNCTION("""COMPUTED_VALUE"""),"3 (Medium/Average)")</f>
        <v>3 (Medium/Average)</v>
      </c>
      <c r="E485" s="29">
        <f>IFERROR(__xludf.DUMMYFUNCTION("""COMPUTED_VALUE"""),3.0)</f>
        <v>3</v>
      </c>
    </row>
    <row r="486">
      <c r="A486" s="33">
        <f>IFERROR(__xludf.DUMMYFUNCTION("""COMPUTED_VALUE"""),45826.87984899305)</f>
        <v>45826.87985</v>
      </c>
      <c r="B486" s="29" t="str">
        <f>IFERROR(__xludf.DUMMYFUNCTION("""COMPUTED_VALUE"""),"Actively restoring my foreskin / I consider myself restored")</f>
        <v>Actively restoring my foreskin / I consider myself restored</v>
      </c>
      <c r="C486" s="29" t="str">
        <f>IFERROR(__xludf.DUMMYFUNCTION("""COMPUTED_VALUE"""),"Ease of Orgasm")</f>
        <v>Ease of Orgasm</v>
      </c>
      <c r="D486" s="29" t="str">
        <f>IFERROR(__xludf.DUMMYFUNCTION("""COMPUTED_VALUE"""),"1 (Low/Poor)")</f>
        <v>1 (Low/Poor)</v>
      </c>
      <c r="E486" s="29">
        <f>IFERROR(__xludf.DUMMYFUNCTION("""COMPUTED_VALUE"""),1.0)</f>
        <v>1</v>
      </c>
    </row>
    <row r="487">
      <c r="A487" s="33">
        <f>IFERROR(__xludf.DUMMYFUNCTION("""COMPUTED_VALUE"""),45826.90960921296)</f>
        <v>45826.90961</v>
      </c>
      <c r="B487" s="29" t="str">
        <f>IFERROR(__xludf.DUMMYFUNCTION("""COMPUTED_VALUE"""),"Circumcised")</f>
        <v>Circumcised</v>
      </c>
      <c r="C487" s="29" t="str">
        <f>IFERROR(__xludf.DUMMYFUNCTION("""COMPUTED_VALUE"""),"Ease of Orgasm")</f>
        <v>Ease of Orgasm</v>
      </c>
      <c r="D487" s="29" t="str">
        <f>IFERROR(__xludf.DUMMYFUNCTION("""COMPUTED_VALUE"""),"3 (Medium/Average)")</f>
        <v>3 (Medium/Average)</v>
      </c>
      <c r="E487" s="29">
        <f>IFERROR(__xludf.DUMMYFUNCTION("""COMPUTED_VALUE"""),3.0)</f>
        <v>3</v>
      </c>
    </row>
    <row r="488">
      <c r="A488" s="33">
        <f>IFERROR(__xludf.DUMMYFUNCTION("""COMPUTED_VALUE"""),45826.92376010417)</f>
        <v>45826.92376</v>
      </c>
      <c r="B488" s="29" t="str">
        <f>IFERROR(__xludf.DUMMYFUNCTION("""COMPUTED_VALUE"""),"Circumcised")</f>
        <v>Circumcised</v>
      </c>
      <c r="C488" s="29" t="str">
        <f>IFERROR(__xludf.DUMMYFUNCTION("""COMPUTED_VALUE"""),"Ease of Orgasm")</f>
        <v>Ease of Orgasm</v>
      </c>
      <c r="D488" s="29" t="str">
        <f>IFERROR(__xludf.DUMMYFUNCTION("""COMPUTED_VALUE"""),"1 (Low/Poor)")</f>
        <v>1 (Low/Poor)</v>
      </c>
      <c r="E488" s="29">
        <f>IFERROR(__xludf.DUMMYFUNCTION("""COMPUTED_VALUE"""),1.0)</f>
        <v>1</v>
      </c>
    </row>
    <row r="489">
      <c r="A489" s="33">
        <f>IFERROR(__xludf.DUMMYFUNCTION("""COMPUTED_VALUE"""),45826.92420601851)</f>
        <v>45826.92421</v>
      </c>
      <c r="B489" s="29" t="str">
        <f>IFERROR(__xludf.DUMMYFUNCTION("""COMPUTED_VALUE"""),"Circumcised")</f>
        <v>Circumcised</v>
      </c>
      <c r="C489" s="29" t="str">
        <f>IFERROR(__xludf.DUMMYFUNCTION("""COMPUTED_VALUE"""),"Ease of Orgasm")</f>
        <v>Ease of Orgasm</v>
      </c>
      <c r="D489" s="29" t="str">
        <f>IFERROR(__xludf.DUMMYFUNCTION("""COMPUTED_VALUE"""),"2")</f>
        <v>2</v>
      </c>
      <c r="E489" s="29">
        <f>IFERROR(__xludf.DUMMYFUNCTION("""COMPUTED_VALUE"""),2.0)</f>
        <v>2</v>
      </c>
    </row>
    <row r="490">
      <c r="A490" s="33">
        <f>IFERROR(__xludf.DUMMYFUNCTION("""COMPUTED_VALUE"""),45826.94651975695)</f>
        <v>45826.94652</v>
      </c>
      <c r="B490" s="29" t="str">
        <f>IFERROR(__xludf.DUMMYFUNCTION("""COMPUTED_VALUE"""),"Circumcised")</f>
        <v>Circumcised</v>
      </c>
      <c r="C490" s="29" t="str">
        <f>IFERROR(__xludf.DUMMYFUNCTION("""COMPUTED_VALUE"""),"Ease of Orgasm")</f>
        <v>Ease of Orgasm</v>
      </c>
      <c r="D490" s="29" t="str">
        <f>IFERROR(__xludf.DUMMYFUNCTION("""COMPUTED_VALUE"""),"4")</f>
        <v>4</v>
      </c>
      <c r="E490" s="29">
        <f>IFERROR(__xludf.DUMMYFUNCTION("""COMPUTED_VALUE"""),4.0)</f>
        <v>4</v>
      </c>
    </row>
    <row r="491">
      <c r="A491" s="33">
        <f>IFERROR(__xludf.DUMMYFUNCTION("""COMPUTED_VALUE"""),45826.96069337963)</f>
        <v>45826.96069</v>
      </c>
      <c r="B491" s="29" t="str">
        <f>IFERROR(__xludf.DUMMYFUNCTION("""COMPUTED_VALUE"""),"Circumcised")</f>
        <v>Circumcised</v>
      </c>
      <c r="C491" s="29" t="str">
        <f>IFERROR(__xludf.DUMMYFUNCTION("""COMPUTED_VALUE"""),"Ease of Orgasm")</f>
        <v>Ease of Orgasm</v>
      </c>
      <c r="D491" s="29" t="str">
        <f>IFERROR(__xludf.DUMMYFUNCTION("""COMPUTED_VALUE"""),"3 (Medium/Average)")</f>
        <v>3 (Medium/Average)</v>
      </c>
      <c r="E491" s="29">
        <f>IFERROR(__xludf.DUMMYFUNCTION("""COMPUTED_VALUE"""),3.0)</f>
        <v>3</v>
      </c>
    </row>
    <row r="492">
      <c r="A492" s="33">
        <f>IFERROR(__xludf.DUMMYFUNCTION("""COMPUTED_VALUE"""),45826.965006562496)</f>
        <v>45826.96501</v>
      </c>
      <c r="B492" s="29" t="str">
        <f>IFERROR(__xludf.DUMMYFUNCTION("""COMPUTED_VALUE"""),"Circumcised")</f>
        <v>Circumcised</v>
      </c>
      <c r="C492" s="29" t="str">
        <f>IFERROR(__xludf.DUMMYFUNCTION("""COMPUTED_VALUE"""),"Ease of Orgasm")</f>
        <v>Ease of Orgasm</v>
      </c>
      <c r="D492" s="29" t="str">
        <f>IFERROR(__xludf.DUMMYFUNCTION("""COMPUTED_VALUE"""),"3 (Medium/Average)")</f>
        <v>3 (Medium/Average)</v>
      </c>
      <c r="E492" s="29">
        <f>IFERROR(__xludf.DUMMYFUNCTION("""COMPUTED_VALUE"""),3.0)</f>
        <v>3</v>
      </c>
    </row>
    <row r="493">
      <c r="A493" s="33">
        <f>IFERROR(__xludf.DUMMYFUNCTION("""COMPUTED_VALUE"""),45826.98130766204)</f>
        <v>45826.98131</v>
      </c>
      <c r="B493" s="29" t="str">
        <f>IFERROR(__xludf.DUMMYFUNCTION("""COMPUTED_VALUE"""),"Actively restoring my foreskin / I consider myself restored")</f>
        <v>Actively restoring my foreskin / I consider myself restored</v>
      </c>
      <c r="C493" s="29" t="str">
        <f>IFERROR(__xludf.DUMMYFUNCTION("""COMPUTED_VALUE"""),"Ease of Orgasm")</f>
        <v>Ease of Orgasm</v>
      </c>
      <c r="D493" s="29" t="str">
        <f>IFERROR(__xludf.DUMMYFUNCTION("""COMPUTED_VALUE"""),"4")</f>
        <v>4</v>
      </c>
      <c r="E493" s="29">
        <f>IFERROR(__xludf.DUMMYFUNCTION("""COMPUTED_VALUE"""),4.0)</f>
        <v>4</v>
      </c>
    </row>
    <row r="494">
      <c r="A494" s="33">
        <f>IFERROR(__xludf.DUMMYFUNCTION("""COMPUTED_VALUE"""),45826.999987523144)</f>
        <v>45826.99999</v>
      </c>
      <c r="B494" s="29" t="str">
        <f>IFERROR(__xludf.DUMMYFUNCTION("""COMPUTED_VALUE"""),"Circumcised")</f>
        <v>Circumcised</v>
      </c>
      <c r="C494" s="29" t="str">
        <f>IFERROR(__xludf.DUMMYFUNCTION("""COMPUTED_VALUE"""),"Ease of Orgasm")</f>
        <v>Ease of Orgasm</v>
      </c>
      <c r="D494" s="29" t="str">
        <f>IFERROR(__xludf.DUMMYFUNCTION("""COMPUTED_VALUE"""),"1 (Low/Poor)")</f>
        <v>1 (Low/Poor)</v>
      </c>
      <c r="E494" s="29">
        <f>IFERROR(__xludf.DUMMYFUNCTION("""COMPUTED_VALUE"""),1.0)</f>
        <v>1</v>
      </c>
    </row>
    <row r="495">
      <c r="A495" s="33">
        <f>IFERROR(__xludf.DUMMYFUNCTION("""COMPUTED_VALUE"""),45827.03329590277)</f>
        <v>45827.0333</v>
      </c>
      <c r="B495" s="29" t="str">
        <f>IFERROR(__xludf.DUMMYFUNCTION("""COMPUTED_VALUE"""),"Actively restoring my foreskin / I consider myself restored")</f>
        <v>Actively restoring my foreskin / I consider myself restored</v>
      </c>
      <c r="C495" s="29" t="str">
        <f>IFERROR(__xludf.DUMMYFUNCTION("""COMPUTED_VALUE"""),"Ease of Orgasm")</f>
        <v>Ease of Orgasm</v>
      </c>
      <c r="D495" s="29" t="str">
        <f>IFERROR(__xludf.DUMMYFUNCTION("""COMPUTED_VALUE"""),"3 (Medium/Average)")</f>
        <v>3 (Medium/Average)</v>
      </c>
      <c r="E495" s="29">
        <f>IFERROR(__xludf.DUMMYFUNCTION("""COMPUTED_VALUE"""),3.0)</f>
        <v>3</v>
      </c>
    </row>
    <row r="496">
      <c r="A496" s="33">
        <f>IFERROR(__xludf.DUMMYFUNCTION("""COMPUTED_VALUE"""),45827.04287230324)</f>
        <v>45827.04287</v>
      </c>
      <c r="B496" s="29" t="str">
        <f>IFERROR(__xludf.DUMMYFUNCTION("""COMPUTED_VALUE"""),"Actively restoring my foreskin / I consider myself restored")</f>
        <v>Actively restoring my foreskin / I consider myself restored</v>
      </c>
      <c r="C496" s="29" t="str">
        <f>IFERROR(__xludf.DUMMYFUNCTION("""COMPUTED_VALUE"""),"Ease of Orgasm")</f>
        <v>Ease of Orgasm</v>
      </c>
      <c r="D496" s="29" t="str">
        <f>IFERROR(__xludf.DUMMYFUNCTION("""COMPUTED_VALUE"""),"3 (Medium/Average)")</f>
        <v>3 (Medium/Average)</v>
      </c>
      <c r="E496" s="29">
        <f>IFERROR(__xludf.DUMMYFUNCTION("""COMPUTED_VALUE"""),3.0)</f>
        <v>3</v>
      </c>
    </row>
    <row r="497">
      <c r="A497" s="33">
        <f>IFERROR(__xludf.DUMMYFUNCTION("""COMPUTED_VALUE"""),45827.10090055556)</f>
        <v>45827.1009</v>
      </c>
      <c r="B497" s="29" t="str">
        <f>IFERROR(__xludf.DUMMYFUNCTION("""COMPUTED_VALUE"""),"Circumcised")</f>
        <v>Circumcised</v>
      </c>
      <c r="C497" s="29" t="str">
        <f>IFERROR(__xludf.DUMMYFUNCTION("""COMPUTED_VALUE"""),"Ease of Orgasm")</f>
        <v>Ease of Orgasm</v>
      </c>
      <c r="D497" s="29" t="str">
        <f>IFERROR(__xludf.DUMMYFUNCTION("""COMPUTED_VALUE"""),"3 (Medium/Average)")</f>
        <v>3 (Medium/Average)</v>
      </c>
      <c r="E497" s="29">
        <f>IFERROR(__xludf.DUMMYFUNCTION("""COMPUTED_VALUE"""),3.0)</f>
        <v>3</v>
      </c>
    </row>
    <row r="498">
      <c r="A498" s="33">
        <f>IFERROR(__xludf.DUMMYFUNCTION("""COMPUTED_VALUE"""),45827.10245875)</f>
        <v>45827.10246</v>
      </c>
      <c r="B498" s="29" t="str">
        <f>IFERROR(__xludf.DUMMYFUNCTION("""COMPUTED_VALUE"""),"Actively restoring my foreskin / I consider myself restored")</f>
        <v>Actively restoring my foreskin / I consider myself restored</v>
      </c>
      <c r="C498" s="29" t="str">
        <f>IFERROR(__xludf.DUMMYFUNCTION("""COMPUTED_VALUE"""),"Ease of Orgasm")</f>
        <v>Ease of Orgasm</v>
      </c>
      <c r="D498" s="29" t="str">
        <f>IFERROR(__xludf.DUMMYFUNCTION("""COMPUTED_VALUE"""),"3 (Medium/Average)")</f>
        <v>3 (Medium/Average)</v>
      </c>
      <c r="E498" s="29">
        <f>IFERROR(__xludf.DUMMYFUNCTION("""COMPUTED_VALUE"""),3.0)</f>
        <v>3</v>
      </c>
    </row>
    <row r="499">
      <c r="A499" s="33">
        <f>IFERROR(__xludf.DUMMYFUNCTION("""COMPUTED_VALUE"""),45827.13108915509)</f>
        <v>45827.13109</v>
      </c>
      <c r="B499" s="29" t="str">
        <f>IFERROR(__xludf.DUMMYFUNCTION("""COMPUTED_VALUE"""),"Actively restoring my foreskin / I consider myself restored")</f>
        <v>Actively restoring my foreskin / I consider myself restored</v>
      </c>
      <c r="C499" s="29" t="str">
        <f>IFERROR(__xludf.DUMMYFUNCTION("""COMPUTED_VALUE"""),"Ease of Orgasm")</f>
        <v>Ease of Orgasm</v>
      </c>
      <c r="D499" s="29" t="str">
        <f>IFERROR(__xludf.DUMMYFUNCTION("""COMPUTED_VALUE"""),"1 (Low/Poor)")</f>
        <v>1 (Low/Poor)</v>
      </c>
      <c r="E499" s="29">
        <f>IFERROR(__xludf.DUMMYFUNCTION("""COMPUTED_VALUE"""),1.0)</f>
        <v>1</v>
      </c>
    </row>
    <row r="500">
      <c r="A500" s="33">
        <f>IFERROR(__xludf.DUMMYFUNCTION("""COMPUTED_VALUE"""),45827.1437643287)</f>
        <v>45827.14376</v>
      </c>
      <c r="B500" s="29" t="str">
        <f>IFERROR(__xludf.DUMMYFUNCTION("""COMPUTED_VALUE"""),"Circumcised")</f>
        <v>Circumcised</v>
      </c>
      <c r="C500" s="29" t="str">
        <f>IFERROR(__xludf.DUMMYFUNCTION("""COMPUTED_VALUE"""),"Ease of Orgasm")</f>
        <v>Ease of Orgasm</v>
      </c>
      <c r="D500" s="29" t="str">
        <f>IFERROR(__xludf.DUMMYFUNCTION("""COMPUTED_VALUE"""),"3 (Medium/Average)")</f>
        <v>3 (Medium/Average)</v>
      </c>
      <c r="E500" s="29">
        <f>IFERROR(__xludf.DUMMYFUNCTION("""COMPUTED_VALUE"""),3.0)</f>
        <v>3</v>
      </c>
    </row>
    <row r="501">
      <c r="A501" s="33">
        <f>IFERROR(__xludf.DUMMYFUNCTION("""COMPUTED_VALUE"""),45827.154774386574)</f>
        <v>45827.15477</v>
      </c>
      <c r="B501" s="29" t="str">
        <f>IFERROR(__xludf.DUMMYFUNCTION("""COMPUTED_VALUE"""),"Actively restoring my foreskin / I consider myself restored")</f>
        <v>Actively restoring my foreskin / I consider myself restored</v>
      </c>
      <c r="C501" s="29" t="str">
        <f>IFERROR(__xludf.DUMMYFUNCTION("""COMPUTED_VALUE"""),"Ease of Orgasm")</f>
        <v>Ease of Orgasm</v>
      </c>
      <c r="D501" s="29" t="str">
        <f>IFERROR(__xludf.DUMMYFUNCTION("""COMPUTED_VALUE"""),"3 (Medium/Average)")</f>
        <v>3 (Medium/Average)</v>
      </c>
      <c r="E501" s="29">
        <f>IFERROR(__xludf.DUMMYFUNCTION("""COMPUTED_VALUE"""),3.0)</f>
        <v>3</v>
      </c>
    </row>
    <row r="502">
      <c r="A502" s="33">
        <f>IFERROR(__xludf.DUMMYFUNCTION("""COMPUTED_VALUE"""),45827.166781851854)</f>
        <v>45827.16678</v>
      </c>
      <c r="B502" s="29" t="str">
        <f>IFERROR(__xludf.DUMMYFUNCTION("""COMPUTED_VALUE"""),"Intact (Never circumcised)")</f>
        <v>Intact (Never circumcised)</v>
      </c>
      <c r="C502" s="29" t="str">
        <f>IFERROR(__xludf.DUMMYFUNCTION("""COMPUTED_VALUE"""),"Ease of Orgasm")</f>
        <v>Ease of Orgasm</v>
      </c>
      <c r="D502" s="29" t="str">
        <f>IFERROR(__xludf.DUMMYFUNCTION("""COMPUTED_VALUE"""),"5 (High/Excellent)")</f>
        <v>5 (High/Excellent)</v>
      </c>
      <c r="E502" s="29">
        <f>IFERROR(__xludf.DUMMYFUNCTION("""COMPUTED_VALUE"""),5.0)</f>
        <v>5</v>
      </c>
    </row>
    <row r="503">
      <c r="A503" s="33">
        <f>IFERROR(__xludf.DUMMYFUNCTION("""COMPUTED_VALUE"""),45827.22959027778)</f>
        <v>45827.22959</v>
      </c>
      <c r="B503" s="29" t="str">
        <f>IFERROR(__xludf.DUMMYFUNCTION("""COMPUTED_VALUE"""),"Actively restoring my foreskin / I consider myself restored")</f>
        <v>Actively restoring my foreskin / I consider myself restored</v>
      </c>
      <c r="C503" s="29" t="str">
        <f>IFERROR(__xludf.DUMMYFUNCTION("""COMPUTED_VALUE"""),"Ease of Orgasm")</f>
        <v>Ease of Orgasm</v>
      </c>
      <c r="D503" s="29" t="str">
        <f>IFERROR(__xludf.DUMMYFUNCTION("""COMPUTED_VALUE"""),"1 (Low/Poor)")</f>
        <v>1 (Low/Poor)</v>
      </c>
      <c r="E503" s="29">
        <f>IFERROR(__xludf.DUMMYFUNCTION("""COMPUTED_VALUE"""),1.0)</f>
        <v>1</v>
      </c>
    </row>
    <row r="504">
      <c r="A504" s="33">
        <f>IFERROR(__xludf.DUMMYFUNCTION("""COMPUTED_VALUE"""),45827.23603613426)</f>
        <v>45827.23604</v>
      </c>
      <c r="B504" s="29" t="str">
        <f>IFERROR(__xludf.DUMMYFUNCTION("""COMPUTED_VALUE"""),"Actively restoring my foreskin / I consider myself restored")</f>
        <v>Actively restoring my foreskin / I consider myself restored</v>
      </c>
      <c r="C504" s="29" t="str">
        <f>IFERROR(__xludf.DUMMYFUNCTION("""COMPUTED_VALUE"""),"Ease of Orgasm")</f>
        <v>Ease of Orgasm</v>
      </c>
      <c r="D504" s="29" t="str">
        <f>IFERROR(__xludf.DUMMYFUNCTION("""COMPUTED_VALUE"""),"5 (High/Excellent)")</f>
        <v>5 (High/Excellent)</v>
      </c>
      <c r="E504" s="29">
        <f>IFERROR(__xludf.DUMMYFUNCTION("""COMPUTED_VALUE"""),5.0)</f>
        <v>5</v>
      </c>
    </row>
    <row r="505">
      <c r="A505" s="33">
        <f>IFERROR(__xludf.DUMMYFUNCTION("""COMPUTED_VALUE"""),45827.23853277778)</f>
        <v>45827.23853</v>
      </c>
      <c r="B505" s="29" t="str">
        <f>IFERROR(__xludf.DUMMYFUNCTION("""COMPUTED_VALUE"""),"Actively restoring my foreskin / I consider myself restored")</f>
        <v>Actively restoring my foreskin / I consider myself restored</v>
      </c>
      <c r="C505" s="29" t="str">
        <f>IFERROR(__xludf.DUMMYFUNCTION("""COMPUTED_VALUE"""),"Ease of Orgasm")</f>
        <v>Ease of Orgasm</v>
      </c>
      <c r="D505" s="29" t="str">
        <f>IFERROR(__xludf.DUMMYFUNCTION("""COMPUTED_VALUE"""),"4")</f>
        <v>4</v>
      </c>
      <c r="E505" s="29">
        <f>IFERROR(__xludf.DUMMYFUNCTION("""COMPUTED_VALUE"""),4.0)</f>
        <v>4</v>
      </c>
    </row>
    <row r="506">
      <c r="A506" s="33">
        <f>IFERROR(__xludf.DUMMYFUNCTION("""COMPUTED_VALUE"""),45827.245649062505)</f>
        <v>45827.24565</v>
      </c>
      <c r="B506" s="29" t="str">
        <f>IFERROR(__xludf.DUMMYFUNCTION("""COMPUTED_VALUE"""),"Actively restoring my foreskin / I consider myself restored")</f>
        <v>Actively restoring my foreskin / I consider myself restored</v>
      </c>
      <c r="C506" s="29" t="str">
        <f>IFERROR(__xludf.DUMMYFUNCTION("""COMPUTED_VALUE"""),"Ease of Orgasm")</f>
        <v>Ease of Orgasm</v>
      </c>
      <c r="D506" s="29" t="str">
        <f>IFERROR(__xludf.DUMMYFUNCTION("""COMPUTED_VALUE"""),"2")</f>
        <v>2</v>
      </c>
      <c r="E506" s="29">
        <f>IFERROR(__xludf.DUMMYFUNCTION("""COMPUTED_VALUE"""),2.0)</f>
        <v>2</v>
      </c>
    </row>
    <row r="507">
      <c r="A507" s="33">
        <f>IFERROR(__xludf.DUMMYFUNCTION("""COMPUTED_VALUE"""),45827.372200185186)</f>
        <v>45827.3722</v>
      </c>
      <c r="B507" s="29" t="str">
        <f>IFERROR(__xludf.DUMMYFUNCTION("""COMPUTED_VALUE"""),"Actively restoring my foreskin / I consider myself restored")</f>
        <v>Actively restoring my foreskin / I consider myself restored</v>
      </c>
      <c r="C507" s="29" t="str">
        <f>IFERROR(__xludf.DUMMYFUNCTION("""COMPUTED_VALUE"""),"Ease of Orgasm")</f>
        <v>Ease of Orgasm</v>
      </c>
      <c r="D507" s="29" t="str">
        <f>IFERROR(__xludf.DUMMYFUNCTION("""COMPUTED_VALUE"""),"4")</f>
        <v>4</v>
      </c>
      <c r="E507" s="29">
        <f>IFERROR(__xludf.DUMMYFUNCTION("""COMPUTED_VALUE"""),4.0)</f>
        <v>4</v>
      </c>
    </row>
    <row r="508">
      <c r="A508" s="33">
        <f>IFERROR(__xludf.DUMMYFUNCTION("""COMPUTED_VALUE"""),45827.37673142362)</f>
        <v>45827.37673</v>
      </c>
      <c r="B508" s="29" t="str">
        <f>IFERROR(__xludf.DUMMYFUNCTION("""COMPUTED_VALUE"""),"Circumcised")</f>
        <v>Circumcised</v>
      </c>
      <c r="C508" s="29" t="str">
        <f>IFERROR(__xludf.DUMMYFUNCTION("""COMPUTED_VALUE"""),"Ease of Orgasm")</f>
        <v>Ease of Orgasm</v>
      </c>
      <c r="D508" s="29" t="str">
        <f>IFERROR(__xludf.DUMMYFUNCTION("""COMPUTED_VALUE"""),"2")</f>
        <v>2</v>
      </c>
      <c r="E508" s="29">
        <f>IFERROR(__xludf.DUMMYFUNCTION("""COMPUTED_VALUE"""),2.0)</f>
        <v>2</v>
      </c>
    </row>
    <row r="509">
      <c r="A509" s="33">
        <f>IFERROR(__xludf.DUMMYFUNCTION("""COMPUTED_VALUE"""),45827.39404474538)</f>
        <v>45827.39404</v>
      </c>
      <c r="B509" s="29" t="str">
        <f>IFERROR(__xludf.DUMMYFUNCTION("""COMPUTED_VALUE"""),"Circumcised")</f>
        <v>Circumcised</v>
      </c>
      <c r="C509" s="29" t="str">
        <f>IFERROR(__xludf.DUMMYFUNCTION("""COMPUTED_VALUE"""),"Ease of Orgasm")</f>
        <v>Ease of Orgasm</v>
      </c>
      <c r="D509" s="29" t="str">
        <f>IFERROR(__xludf.DUMMYFUNCTION("""COMPUTED_VALUE"""),"1 (Low/Poor)")</f>
        <v>1 (Low/Poor)</v>
      </c>
      <c r="E509" s="29">
        <f>IFERROR(__xludf.DUMMYFUNCTION("""COMPUTED_VALUE"""),1.0)</f>
        <v>1</v>
      </c>
    </row>
    <row r="510">
      <c r="A510" s="33">
        <f>IFERROR(__xludf.DUMMYFUNCTION("""COMPUTED_VALUE"""),45827.396721377314)</f>
        <v>45827.39672</v>
      </c>
      <c r="B510" s="29" t="str">
        <f>IFERROR(__xludf.DUMMYFUNCTION("""COMPUTED_VALUE"""),"Circumcised")</f>
        <v>Circumcised</v>
      </c>
      <c r="C510" s="29" t="str">
        <f>IFERROR(__xludf.DUMMYFUNCTION("""COMPUTED_VALUE"""),"Ease of Orgasm")</f>
        <v>Ease of Orgasm</v>
      </c>
      <c r="D510" s="29" t="str">
        <f>IFERROR(__xludf.DUMMYFUNCTION("""COMPUTED_VALUE"""),"4")</f>
        <v>4</v>
      </c>
      <c r="E510" s="29">
        <f>IFERROR(__xludf.DUMMYFUNCTION("""COMPUTED_VALUE"""),4.0)</f>
        <v>4</v>
      </c>
    </row>
    <row r="511">
      <c r="A511" s="33">
        <f>IFERROR(__xludf.DUMMYFUNCTION("""COMPUTED_VALUE"""),45827.40643686343)</f>
        <v>45827.40644</v>
      </c>
      <c r="B511" s="29" t="str">
        <f>IFERROR(__xludf.DUMMYFUNCTION("""COMPUTED_VALUE"""),"Actively restoring my foreskin / I consider myself restored")</f>
        <v>Actively restoring my foreskin / I consider myself restored</v>
      </c>
      <c r="C511" s="29" t="str">
        <f>IFERROR(__xludf.DUMMYFUNCTION("""COMPUTED_VALUE"""),"Ease of Orgasm")</f>
        <v>Ease of Orgasm</v>
      </c>
      <c r="D511" s="29" t="str">
        <f>IFERROR(__xludf.DUMMYFUNCTION("""COMPUTED_VALUE"""),"3 (Medium/Average)")</f>
        <v>3 (Medium/Average)</v>
      </c>
      <c r="E511" s="29">
        <f>IFERROR(__xludf.DUMMYFUNCTION("""COMPUTED_VALUE"""),3.0)</f>
        <v>3</v>
      </c>
    </row>
    <row r="512">
      <c r="A512" s="33">
        <f>IFERROR(__xludf.DUMMYFUNCTION("""COMPUTED_VALUE"""),45827.41032530092)</f>
        <v>45827.41033</v>
      </c>
      <c r="B512" s="29" t="str">
        <f>IFERROR(__xludf.DUMMYFUNCTION("""COMPUTED_VALUE"""),"Circumcised")</f>
        <v>Circumcised</v>
      </c>
      <c r="C512" s="29" t="str">
        <f>IFERROR(__xludf.DUMMYFUNCTION("""COMPUTED_VALUE"""),"Ease of Orgasm")</f>
        <v>Ease of Orgasm</v>
      </c>
      <c r="D512" s="29" t="str">
        <f>IFERROR(__xludf.DUMMYFUNCTION("""COMPUTED_VALUE"""),"4")</f>
        <v>4</v>
      </c>
      <c r="E512" s="29">
        <f>IFERROR(__xludf.DUMMYFUNCTION("""COMPUTED_VALUE"""),4.0)</f>
        <v>4</v>
      </c>
    </row>
    <row r="513">
      <c r="A513" s="33">
        <f>IFERROR(__xludf.DUMMYFUNCTION("""COMPUTED_VALUE"""),45827.43042048611)</f>
        <v>45827.43042</v>
      </c>
      <c r="B513" s="29" t="str">
        <f>IFERROR(__xludf.DUMMYFUNCTION("""COMPUTED_VALUE"""),"Circumcised")</f>
        <v>Circumcised</v>
      </c>
      <c r="C513" s="29" t="str">
        <f>IFERROR(__xludf.DUMMYFUNCTION("""COMPUTED_VALUE"""),"Ease of Orgasm")</f>
        <v>Ease of Orgasm</v>
      </c>
      <c r="D513" s="29" t="str">
        <f>IFERROR(__xludf.DUMMYFUNCTION("""COMPUTED_VALUE"""),"1 (Low/Poor)")</f>
        <v>1 (Low/Poor)</v>
      </c>
      <c r="E513" s="29">
        <f>IFERROR(__xludf.DUMMYFUNCTION("""COMPUTED_VALUE"""),1.0)</f>
        <v>1</v>
      </c>
    </row>
    <row r="514">
      <c r="A514" s="33">
        <f>IFERROR(__xludf.DUMMYFUNCTION("""COMPUTED_VALUE"""),45827.43160585649)</f>
        <v>45827.43161</v>
      </c>
      <c r="B514" s="29" t="str">
        <f>IFERROR(__xludf.DUMMYFUNCTION("""COMPUTED_VALUE"""),"Circumcised")</f>
        <v>Circumcised</v>
      </c>
      <c r="C514" s="29" t="str">
        <f>IFERROR(__xludf.DUMMYFUNCTION("""COMPUTED_VALUE"""),"Ease of Orgasm")</f>
        <v>Ease of Orgasm</v>
      </c>
      <c r="D514" s="29" t="str">
        <f>IFERROR(__xludf.DUMMYFUNCTION("""COMPUTED_VALUE"""),"2")</f>
        <v>2</v>
      </c>
      <c r="E514" s="29">
        <f>IFERROR(__xludf.DUMMYFUNCTION("""COMPUTED_VALUE"""),2.0)</f>
        <v>2</v>
      </c>
    </row>
    <row r="515">
      <c r="A515" s="33">
        <f>IFERROR(__xludf.DUMMYFUNCTION("""COMPUTED_VALUE"""),45827.434389699076)</f>
        <v>45827.43439</v>
      </c>
      <c r="B515" s="29" t="str">
        <f>IFERROR(__xludf.DUMMYFUNCTION("""COMPUTED_VALUE"""),"Actively restoring my foreskin / I consider myself restored")</f>
        <v>Actively restoring my foreskin / I consider myself restored</v>
      </c>
      <c r="C515" s="29" t="str">
        <f>IFERROR(__xludf.DUMMYFUNCTION("""COMPUTED_VALUE"""),"Ease of Orgasm")</f>
        <v>Ease of Orgasm</v>
      </c>
      <c r="D515" s="29" t="str">
        <f>IFERROR(__xludf.DUMMYFUNCTION("""COMPUTED_VALUE"""),"5 (High/Excellent)")</f>
        <v>5 (High/Excellent)</v>
      </c>
      <c r="E515" s="29">
        <f>IFERROR(__xludf.DUMMYFUNCTION("""COMPUTED_VALUE"""),5.0)</f>
        <v>5</v>
      </c>
    </row>
    <row r="516">
      <c r="A516" s="33">
        <f>IFERROR(__xludf.DUMMYFUNCTION("""COMPUTED_VALUE"""),45827.45617319444)</f>
        <v>45827.45617</v>
      </c>
      <c r="B516" s="29" t="str">
        <f>IFERROR(__xludf.DUMMYFUNCTION("""COMPUTED_VALUE"""),"Actively restoring my foreskin / I consider myself restored")</f>
        <v>Actively restoring my foreskin / I consider myself restored</v>
      </c>
      <c r="C516" s="29" t="str">
        <f>IFERROR(__xludf.DUMMYFUNCTION("""COMPUTED_VALUE"""),"Ease of Orgasm")</f>
        <v>Ease of Orgasm</v>
      </c>
      <c r="D516" s="29" t="str">
        <f>IFERROR(__xludf.DUMMYFUNCTION("""COMPUTED_VALUE"""),"4")</f>
        <v>4</v>
      </c>
      <c r="E516" s="29">
        <f>IFERROR(__xludf.DUMMYFUNCTION("""COMPUTED_VALUE"""),4.0)</f>
        <v>4</v>
      </c>
    </row>
    <row r="517">
      <c r="A517" s="33">
        <f>IFERROR(__xludf.DUMMYFUNCTION("""COMPUTED_VALUE"""),45827.47113355324)</f>
        <v>45827.47113</v>
      </c>
      <c r="B517" s="29" t="str">
        <f>IFERROR(__xludf.DUMMYFUNCTION("""COMPUTED_VALUE"""),"Actively restoring my foreskin / I consider myself restored")</f>
        <v>Actively restoring my foreskin / I consider myself restored</v>
      </c>
      <c r="C517" s="29" t="str">
        <f>IFERROR(__xludf.DUMMYFUNCTION("""COMPUTED_VALUE"""),"Ease of Orgasm")</f>
        <v>Ease of Orgasm</v>
      </c>
      <c r="D517" s="29" t="str">
        <f>IFERROR(__xludf.DUMMYFUNCTION("""COMPUTED_VALUE"""),"2")</f>
        <v>2</v>
      </c>
      <c r="E517" s="29">
        <f>IFERROR(__xludf.DUMMYFUNCTION("""COMPUTED_VALUE"""),2.0)</f>
        <v>2</v>
      </c>
    </row>
    <row r="518">
      <c r="A518" s="33">
        <f>IFERROR(__xludf.DUMMYFUNCTION("""COMPUTED_VALUE"""),45827.504890868055)</f>
        <v>45827.50489</v>
      </c>
      <c r="B518" s="29" t="str">
        <f>IFERROR(__xludf.DUMMYFUNCTION("""COMPUTED_VALUE"""),"Actively restoring my foreskin / I consider myself restored")</f>
        <v>Actively restoring my foreskin / I consider myself restored</v>
      </c>
      <c r="C518" s="29" t="str">
        <f>IFERROR(__xludf.DUMMYFUNCTION("""COMPUTED_VALUE"""),"Ease of Orgasm")</f>
        <v>Ease of Orgasm</v>
      </c>
      <c r="D518" s="29" t="str">
        <f>IFERROR(__xludf.DUMMYFUNCTION("""COMPUTED_VALUE"""),"3 (Medium/Average)")</f>
        <v>3 (Medium/Average)</v>
      </c>
      <c r="E518" s="29">
        <f>IFERROR(__xludf.DUMMYFUNCTION("""COMPUTED_VALUE"""),3.0)</f>
        <v>3</v>
      </c>
    </row>
    <row r="519">
      <c r="A519" s="33">
        <f>IFERROR(__xludf.DUMMYFUNCTION("""COMPUTED_VALUE"""),45827.56687807871)</f>
        <v>45827.56688</v>
      </c>
      <c r="B519" s="29" t="str">
        <f>IFERROR(__xludf.DUMMYFUNCTION("""COMPUTED_VALUE"""),"Circumcised")</f>
        <v>Circumcised</v>
      </c>
      <c r="C519" s="29" t="str">
        <f>IFERROR(__xludf.DUMMYFUNCTION("""COMPUTED_VALUE"""),"Ease of Orgasm")</f>
        <v>Ease of Orgasm</v>
      </c>
      <c r="D519" s="29" t="str">
        <f>IFERROR(__xludf.DUMMYFUNCTION("""COMPUTED_VALUE"""),"1 (Low/Poor)")</f>
        <v>1 (Low/Poor)</v>
      </c>
      <c r="E519" s="29">
        <f>IFERROR(__xludf.DUMMYFUNCTION("""COMPUTED_VALUE"""),1.0)</f>
        <v>1</v>
      </c>
    </row>
    <row r="520">
      <c r="A520" s="33">
        <f>IFERROR(__xludf.DUMMYFUNCTION("""COMPUTED_VALUE"""),45827.582390254625)</f>
        <v>45827.58239</v>
      </c>
      <c r="B520" s="29" t="str">
        <f>IFERROR(__xludf.DUMMYFUNCTION("""COMPUTED_VALUE"""),"Intact (Never circumcised)")</f>
        <v>Intact (Never circumcised)</v>
      </c>
      <c r="C520" s="29" t="str">
        <f>IFERROR(__xludf.DUMMYFUNCTION("""COMPUTED_VALUE"""),"Ease of Orgasm")</f>
        <v>Ease of Orgasm</v>
      </c>
      <c r="D520" s="29" t="str">
        <f>IFERROR(__xludf.DUMMYFUNCTION("""COMPUTED_VALUE"""),"4")</f>
        <v>4</v>
      </c>
      <c r="E520" s="29">
        <f>IFERROR(__xludf.DUMMYFUNCTION("""COMPUTED_VALUE"""),4.0)</f>
        <v>4</v>
      </c>
    </row>
    <row r="521">
      <c r="A521" s="33">
        <f>IFERROR(__xludf.DUMMYFUNCTION("""COMPUTED_VALUE"""),45827.59833847222)</f>
        <v>45827.59834</v>
      </c>
      <c r="B521" s="29" t="str">
        <f>IFERROR(__xludf.DUMMYFUNCTION("""COMPUTED_VALUE"""),"Intact (Never circumcised)")</f>
        <v>Intact (Never circumcised)</v>
      </c>
      <c r="C521" s="29" t="str">
        <f>IFERROR(__xludf.DUMMYFUNCTION("""COMPUTED_VALUE"""),"Ease of Orgasm")</f>
        <v>Ease of Orgasm</v>
      </c>
      <c r="D521" s="29" t="str">
        <f>IFERROR(__xludf.DUMMYFUNCTION("""COMPUTED_VALUE"""),"5 (High/Excellent)")</f>
        <v>5 (High/Excellent)</v>
      </c>
      <c r="E521" s="29">
        <f>IFERROR(__xludf.DUMMYFUNCTION("""COMPUTED_VALUE"""),5.0)</f>
        <v>5</v>
      </c>
    </row>
    <row r="522">
      <c r="A522" s="33">
        <f>IFERROR(__xludf.DUMMYFUNCTION("""COMPUTED_VALUE"""),45827.666499756946)</f>
        <v>45827.6665</v>
      </c>
      <c r="B522" s="29" t="str">
        <f>IFERROR(__xludf.DUMMYFUNCTION("""COMPUTED_VALUE"""),"Intact (Never circumcised)")</f>
        <v>Intact (Never circumcised)</v>
      </c>
      <c r="C522" s="29" t="str">
        <f>IFERROR(__xludf.DUMMYFUNCTION("""COMPUTED_VALUE"""),"Ease of Orgasm")</f>
        <v>Ease of Orgasm</v>
      </c>
      <c r="D522" s="29" t="str">
        <f>IFERROR(__xludf.DUMMYFUNCTION("""COMPUTED_VALUE"""),"5 (High/Excellent)")</f>
        <v>5 (High/Excellent)</v>
      </c>
      <c r="E522" s="29">
        <f>IFERROR(__xludf.DUMMYFUNCTION("""COMPUTED_VALUE"""),5.0)</f>
        <v>5</v>
      </c>
    </row>
    <row r="523">
      <c r="A523" s="33">
        <f>IFERROR(__xludf.DUMMYFUNCTION("""COMPUTED_VALUE"""),45827.70323135417)</f>
        <v>45827.70323</v>
      </c>
      <c r="B523" s="29" t="str">
        <f>IFERROR(__xludf.DUMMYFUNCTION("""COMPUTED_VALUE"""),"Intact (Never circumcised)")</f>
        <v>Intact (Never circumcised)</v>
      </c>
      <c r="C523" s="29" t="str">
        <f>IFERROR(__xludf.DUMMYFUNCTION("""COMPUTED_VALUE"""),"Ease of Orgasm")</f>
        <v>Ease of Orgasm</v>
      </c>
      <c r="D523" s="29" t="str">
        <f>IFERROR(__xludf.DUMMYFUNCTION("""COMPUTED_VALUE"""),"5 (High/Excellent)")</f>
        <v>5 (High/Excellent)</v>
      </c>
      <c r="E523" s="29">
        <f>IFERROR(__xludf.DUMMYFUNCTION("""COMPUTED_VALUE"""),5.0)</f>
        <v>5</v>
      </c>
    </row>
    <row r="524">
      <c r="A524" s="33">
        <f>IFERROR(__xludf.DUMMYFUNCTION("""COMPUTED_VALUE"""),45827.705325347226)</f>
        <v>45827.70533</v>
      </c>
      <c r="B524" s="29" t="str">
        <f>IFERROR(__xludf.DUMMYFUNCTION("""COMPUTED_VALUE"""),"Intact (Never circumcised)")</f>
        <v>Intact (Never circumcised)</v>
      </c>
      <c r="C524" s="29" t="str">
        <f>IFERROR(__xludf.DUMMYFUNCTION("""COMPUTED_VALUE"""),"Ease of Orgasm")</f>
        <v>Ease of Orgasm</v>
      </c>
      <c r="D524" s="29" t="str">
        <f>IFERROR(__xludf.DUMMYFUNCTION("""COMPUTED_VALUE"""),"5 (High/Excellent)")</f>
        <v>5 (High/Excellent)</v>
      </c>
      <c r="E524" s="29">
        <f>IFERROR(__xludf.DUMMYFUNCTION("""COMPUTED_VALUE"""),5.0)</f>
        <v>5</v>
      </c>
    </row>
    <row r="525">
      <c r="A525" s="33">
        <f>IFERROR(__xludf.DUMMYFUNCTION("""COMPUTED_VALUE"""),45827.709368090276)</f>
        <v>45827.70937</v>
      </c>
      <c r="B525" s="29" t="str">
        <f>IFERROR(__xludf.DUMMYFUNCTION("""COMPUTED_VALUE"""),"Intact (Never circumcised)")</f>
        <v>Intact (Never circumcised)</v>
      </c>
      <c r="C525" s="29" t="str">
        <f>IFERROR(__xludf.DUMMYFUNCTION("""COMPUTED_VALUE"""),"Ease of Orgasm")</f>
        <v>Ease of Orgasm</v>
      </c>
      <c r="D525" s="29" t="str">
        <f>IFERROR(__xludf.DUMMYFUNCTION("""COMPUTED_VALUE"""),"5 (High/Excellent)")</f>
        <v>5 (High/Excellent)</v>
      </c>
      <c r="E525" s="29">
        <f>IFERROR(__xludf.DUMMYFUNCTION("""COMPUTED_VALUE"""),5.0)</f>
        <v>5</v>
      </c>
    </row>
    <row r="526">
      <c r="A526" s="33">
        <f>IFERROR(__xludf.DUMMYFUNCTION("""COMPUTED_VALUE"""),45827.7507882986)</f>
        <v>45827.75079</v>
      </c>
      <c r="B526" s="29" t="str">
        <f>IFERROR(__xludf.DUMMYFUNCTION("""COMPUTED_VALUE"""),"Actively restoring my foreskin / I consider myself restored")</f>
        <v>Actively restoring my foreskin / I consider myself restored</v>
      </c>
      <c r="C526" s="29" t="str">
        <f>IFERROR(__xludf.DUMMYFUNCTION("""COMPUTED_VALUE"""),"Ease of Orgasm")</f>
        <v>Ease of Orgasm</v>
      </c>
      <c r="D526" s="29" t="str">
        <f>IFERROR(__xludf.DUMMYFUNCTION("""COMPUTED_VALUE"""),"1 (Low/Poor)")</f>
        <v>1 (Low/Poor)</v>
      </c>
      <c r="E526" s="29">
        <f>IFERROR(__xludf.DUMMYFUNCTION("""COMPUTED_VALUE"""),1.0)</f>
        <v>1</v>
      </c>
    </row>
    <row r="527">
      <c r="A527" s="33">
        <f>IFERROR(__xludf.DUMMYFUNCTION("""COMPUTED_VALUE"""),45827.75108425925)</f>
        <v>45827.75108</v>
      </c>
      <c r="B527" s="29" t="str">
        <f>IFERROR(__xludf.DUMMYFUNCTION("""COMPUTED_VALUE"""),"Intact (Never circumcised)")</f>
        <v>Intact (Never circumcised)</v>
      </c>
      <c r="C527" s="29" t="str">
        <f>IFERROR(__xludf.DUMMYFUNCTION("""COMPUTED_VALUE"""),"Ease of Orgasm")</f>
        <v>Ease of Orgasm</v>
      </c>
      <c r="D527" s="29" t="str">
        <f>IFERROR(__xludf.DUMMYFUNCTION("""COMPUTED_VALUE"""),"5 (High/Excellent)")</f>
        <v>5 (High/Excellent)</v>
      </c>
      <c r="E527" s="29">
        <f>IFERROR(__xludf.DUMMYFUNCTION("""COMPUTED_VALUE"""),5.0)</f>
        <v>5</v>
      </c>
    </row>
    <row r="528">
      <c r="A528" s="33">
        <f>IFERROR(__xludf.DUMMYFUNCTION("""COMPUTED_VALUE"""),45827.75616498842)</f>
        <v>45827.75616</v>
      </c>
      <c r="B528" s="29" t="str">
        <f>IFERROR(__xludf.DUMMYFUNCTION("""COMPUTED_VALUE"""),"Circumcised")</f>
        <v>Circumcised</v>
      </c>
      <c r="C528" s="29" t="str">
        <f>IFERROR(__xludf.DUMMYFUNCTION("""COMPUTED_VALUE"""),"Ease of Orgasm")</f>
        <v>Ease of Orgasm</v>
      </c>
      <c r="D528" s="29" t="str">
        <f>IFERROR(__xludf.DUMMYFUNCTION("""COMPUTED_VALUE"""),"4")</f>
        <v>4</v>
      </c>
      <c r="E528" s="29">
        <f>IFERROR(__xludf.DUMMYFUNCTION("""COMPUTED_VALUE"""),4.0)</f>
        <v>4</v>
      </c>
    </row>
    <row r="529">
      <c r="A529" s="33">
        <f>IFERROR(__xludf.DUMMYFUNCTION("""COMPUTED_VALUE"""),45827.76179119213)</f>
        <v>45827.76179</v>
      </c>
      <c r="B529" s="29" t="str">
        <f>IFERROR(__xludf.DUMMYFUNCTION("""COMPUTED_VALUE"""),"Circumcised")</f>
        <v>Circumcised</v>
      </c>
      <c r="C529" s="29" t="str">
        <f>IFERROR(__xludf.DUMMYFUNCTION("""COMPUTED_VALUE"""),"Ease of Orgasm")</f>
        <v>Ease of Orgasm</v>
      </c>
      <c r="D529" s="29" t="str">
        <f>IFERROR(__xludf.DUMMYFUNCTION("""COMPUTED_VALUE"""),"5 (High/Excellent)")</f>
        <v>5 (High/Excellent)</v>
      </c>
      <c r="E529" s="29">
        <f>IFERROR(__xludf.DUMMYFUNCTION("""COMPUTED_VALUE"""),5.0)</f>
        <v>5</v>
      </c>
    </row>
    <row r="530">
      <c r="A530" s="33">
        <f>IFERROR(__xludf.DUMMYFUNCTION("""COMPUTED_VALUE"""),45827.775080740736)</f>
        <v>45827.77508</v>
      </c>
      <c r="B530" s="29" t="str">
        <f>IFERROR(__xludf.DUMMYFUNCTION("""COMPUTED_VALUE"""),"Actively restoring my foreskin / I consider myself restored")</f>
        <v>Actively restoring my foreskin / I consider myself restored</v>
      </c>
      <c r="C530" s="29" t="str">
        <f>IFERROR(__xludf.DUMMYFUNCTION("""COMPUTED_VALUE"""),"Ease of Orgasm")</f>
        <v>Ease of Orgasm</v>
      </c>
      <c r="D530" s="29" t="str">
        <f>IFERROR(__xludf.DUMMYFUNCTION("""COMPUTED_VALUE"""),"3 (Medium/Average)")</f>
        <v>3 (Medium/Average)</v>
      </c>
      <c r="E530" s="29">
        <f>IFERROR(__xludf.DUMMYFUNCTION("""COMPUTED_VALUE"""),3.0)</f>
        <v>3</v>
      </c>
    </row>
    <row r="531">
      <c r="A531" s="33">
        <f>IFERROR(__xludf.DUMMYFUNCTION("""COMPUTED_VALUE"""),45827.80988215278)</f>
        <v>45827.80988</v>
      </c>
      <c r="B531" s="29" t="str">
        <f>IFERROR(__xludf.DUMMYFUNCTION("""COMPUTED_VALUE"""),"Intact (Never circumcised)")</f>
        <v>Intact (Never circumcised)</v>
      </c>
      <c r="C531" s="29" t="str">
        <f>IFERROR(__xludf.DUMMYFUNCTION("""COMPUTED_VALUE"""),"Ease of Orgasm")</f>
        <v>Ease of Orgasm</v>
      </c>
      <c r="D531" s="29" t="str">
        <f>IFERROR(__xludf.DUMMYFUNCTION("""COMPUTED_VALUE"""),"4")</f>
        <v>4</v>
      </c>
      <c r="E531" s="29">
        <f>IFERROR(__xludf.DUMMYFUNCTION("""COMPUTED_VALUE"""),4.0)</f>
        <v>4</v>
      </c>
    </row>
    <row r="532">
      <c r="A532" s="33">
        <f>IFERROR(__xludf.DUMMYFUNCTION("""COMPUTED_VALUE"""),45827.82377087963)</f>
        <v>45827.82377</v>
      </c>
      <c r="B532" s="29" t="str">
        <f>IFERROR(__xludf.DUMMYFUNCTION("""COMPUTED_VALUE"""),"Circumcised")</f>
        <v>Circumcised</v>
      </c>
      <c r="C532" s="29" t="str">
        <f>IFERROR(__xludf.DUMMYFUNCTION("""COMPUTED_VALUE"""),"Ease of Orgasm")</f>
        <v>Ease of Orgasm</v>
      </c>
      <c r="D532" s="29" t="str">
        <f>IFERROR(__xludf.DUMMYFUNCTION("""COMPUTED_VALUE"""),"1 (Low/Poor)")</f>
        <v>1 (Low/Poor)</v>
      </c>
      <c r="E532" s="29">
        <f>IFERROR(__xludf.DUMMYFUNCTION("""COMPUTED_VALUE"""),1.0)</f>
        <v>1</v>
      </c>
    </row>
    <row r="533">
      <c r="A533" s="33">
        <f>IFERROR(__xludf.DUMMYFUNCTION("""COMPUTED_VALUE"""),45827.84110394676)</f>
        <v>45827.8411</v>
      </c>
      <c r="B533" s="29" t="str">
        <f>IFERROR(__xludf.DUMMYFUNCTION("""COMPUTED_VALUE"""),"Intact (Never circumcised)")</f>
        <v>Intact (Never circumcised)</v>
      </c>
      <c r="C533" s="29" t="str">
        <f>IFERROR(__xludf.DUMMYFUNCTION("""COMPUTED_VALUE"""),"Ease of Orgasm")</f>
        <v>Ease of Orgasm</v>
      </c>
      <c r="D533" s="29" t="str">
        <f>IFERROR(__xludf.DUMMYFUNCTION("""COMPUTED_VALUE"""),"5 (High/Excellent)")</f>
        <v>5 (High/Excellent)</v>
      </c>
      <c r="E533" s="29">
        <f>IFERROR(__xludf.DUMMYFUNCTION("""COMPUTED_VALUE"""),5.0)</f>
        <v>5</v>
      </c>
    </row>
    <row r="534">
      <c r="A534" s="33">
        <f>IFERROR(__xludf.DUMMYFUNCTION("""COMPUTED_VALUE"""),45827.86569578704)</f>
        <v>45827.8657</v>
      </c>
      <c r="B534" s="29" t="str">
        <f>IFERROR(__xludf.DUMMYFUNCTION("""COMPUTED_VALUE"""),"Circumcised")</f>
        <v>Circumcised</v>
      </c>
      <c r="C534" s="29" t="str">
        <f>IFERROR(__xludf.DUMMYFUNCTION("""COMPUTED_VALUE"""),"Ease of Orgasm")</f>
        <v>Ease of Orgasm</v>
      </c>
      <c r="D534" s="29" t="str">
        <f>IFERROR(__xludf.DUMMYFUNCTION("""COMPUTED_VALUE"""),"2")</f>
        <v>2</v>
      </c>
      <c r="E534" s="29">
        <f>IFERROR(__xludf.DUMMYFUNCTION("""COMPUTED_VALUE"""),2.0)</f>
        <v>2</v>
      </c>
    </row>
    <row r="535">
      <c r="A535" s="33">
        <f>IFERROR(__xludf.DUMMYFUNCTION("""COMPUTED_VALUE"""),45827.8672928588)</f>
        <v>45827.86729</v>
      </c>
      <c r="B535" s="29" t="str">
        <f>IFERROR(__xludf.DUMMYFUNCTION("""COMPUTED_VALUE"""),"Actively restoring my foreskin / I consider myself restored")</f>
        <v>Actively restoring my foreskin / I consider myself restored</v>
      </c>
      <c r="C535" s="29" t="str">
        <f>IFERROR(__xludf.DUMMYFUNCTION("""COMPUTED_VALUE"""),"Ease of Orgasm")</f>
        <v>Ease of Orgasm</v>
      </c>
      <c r="D535" s="29" t="str">
        <f>IFERROR(__xludf.DUMMYFUNCTION("""COMPUTED_VALUE"""),"4")</f>
        <v>4</v>
      </c>
      <c r="E535" s="29">
        <f>IFERROR(__xludf.DUMMYFUNCTION("""COMPUTED_VALUE"""),4.0)</f>
        <v>4</v>
      </c>
    </row>
    <row r="536">
      <c r="A536" s="33">
        <f>IFERROR(__xludf.DUMMYFUNCTION("""COMPUTED_VALUE"""),45827.871949594904)</f>
        <v>45827.87195</v>
      </c>
      <c r="B536" s="29" t="str">
        <f>IFERROR(__xludf.DUMMYFUNCTION("""COMPUTED_VALUE"""),"Circumcised")</f>
        <v>Circumcised</v>
      </c>
      <c r="C536" s="29" t="str">
        <f>IFERROR(__xludf.DUMMYFUNCTION("""COMPUTED_VALUE"""),"Ease of Orgasm")</f>
        <v>Ease of Orgasm</v>
      </c>
      <c r="D536" s="29" t="str">
        <f>IFERROR(__xludf.DUMMYFUNCTION("""COMPUTED_VALUE"""),"5 (High/Excellent)")</f>
        <v>5 (High/Excellent)</v>
      </c>
      <c r="E536" s="29">
        <f>IFERROR(__xludf.DUMMYFUNCTION("""COMPUTED_VALUE"""),5.0)</f>
        <v>5</v>
      </c>
    </row>
    <row r="537">
      <c r="A537" s="33">
        <f>IFERROR(__xludf.DUMMYFUNCTION("""COMPUTED_VALUE"""),45827.892397233794)</f>
        <v>45827.8924</v>
      </c>
      <c r="B537" s="29" t="str">
        <f>IFERROR(__xludf.DUMMYFUNCTION("""COMPUTED_VALUE"""),"Intact (Never circumcised)")</f>
        <v>Intact (Never circumcised)</v>
      </c>
      <c r="C537" s="29" t="str">
        <f>IFERROR(__xludf.DUMMYFUNCTION("""COMPUTED_VALUE"""),"Ease of Orgasm")</f>
        <v>Ease of Orgasm</v>
      </c>
      <c r="D537" s="29" t="str">
        <f>IFERROR(__xludf.DUMMYFUNCTION("""COMPUTED_VALUE"""),"4")</f>
        <v>4</v>
      </c>
      <c r="E537" s="29">
        <f>IFERROR(__xludf.DUMMYFUNCTION("""COMPUTED_VALUE"""),4.0)</f>
        <v>4</v>
      </c>
    </row>
    <row r="538">
      <c r="A538" s="33">
        <f>IFERROR(__xludf.DUMMYFUNCTION("""COMPUTED_VALUE"""),45827.910598622686)</f>
        <v>45827.9106</v>
      </c>
      <c r="B538" s="29" t="str">
        <f>IFERROR(__xludf.DUMMYFUNCTION("""COMPUTED_VALUE"""),"Circumcised")</f>
        <v>Circumcised</v>
      </c>
      <c r="C538" s="29" t="str">
        <f>IFERROR(__xludf.DUMMYFUNCTION("""COMPUTED_VALUE"""),"Ease of Orgasm")</f>
        <v>Ease of Orgasm</v>
      </c>
      <c r="D538" s="29" t="str">
        <f>IFERROR(__xludf.DUMMYFUNCTION("""COMPUTED_VALUE"""),"1 (Low/Poor)")</f>
        <v>1 (Low/Poor)</v>
      </c>
      <c r="E538" s="29">
        <f>IFERROR(__xludf.DUMMYFUNCTION("""COMPUTED_VALUE"""),1.0)</f>
        <v>1</v>
      </c>
    </row>
    <row r="539">
      <c r="A539" s="33">
        <f>IFERROR(__xludf.DUMMYFUNCTION("""COMPUTED_VALUE"""),45827.9134716551)</f>
        <v>45827.91347</v>
      </c>
      <c r="B539" s="29" t="str">
        <f>IFERROR(__xludf.DUMMYFUNCTION("""COMPUTED_VALUE"""),"Intact (Never circumcised)")</f>
        <v>Intact (Never circumcised)</v>
      </c>
      <c r="C539" s="29" t="str">
        <f>IFERROR(__xludf.DUMMYFUNCTION("""COMPUTED_VALUE"""),"Ease of Orgasm")</f>
        <v>Ease of Orgasm</v>
      </c>
      <c r="D539" s="29" t="str">
        <f>IFERROR(__xludf.DUMMYFUNCTION("""COMPUTED_VALUE"""),"5 (High/Excellent)")</f>
        <v>5 (High/Excellent)</v>
      </c>
      <c r="E539" s="29">
        <f>IFERROR(__xludf.DUMMYFUNCTION("""COMPUTED_VALUE"""),5.0)</f>
        <v>5</v>
      </c>
    </row>
    <row r="540">
      <c r="A540" s="33">
        <f>IFERROR(__xludf.DUMMYFUNCTION("""COMPUTED_VALUE"""),45827.91495508102)</f>
        <v>45827.91496</v>
      </c>
      <c r="B540" s="29" t="str">
        <f>IFERROR(__xludf.DUMMYFUNCTION("""COMPUTED_VALUE"""),"Intact (Never circumcised)")</f>
        <v>Intact (Never circumcised)</v>
      </c>
      <c r="C540" s="29" t="str">
        <f>IFERROR(__xludf.DUMMYFUNCTION("""COMPUTED_VALUE"""),"Ease of Orgasm")</f>
        <v>Ease of Orgasm</v>
      </c>
      <c r="D540" s="29" t="str">
        <f>IFERROR(__xludf.DUMMYFUNCTION("""COMPUTED_VALUE"""),"4")</f>
        <v>4</v>
      </c>
      <c r="E540" s="29">
        <f>IFERROR(__xludf.DUMMYFUNCTION("""COMPUTED_VALUE"""),4.0)</f>
        <v>4</v>
      </c>
    </row>
    <row r="541">
      <c r="A541" s="33">
        <f>IFERROR(__xludf.DUMMYFUNCTION("""COMPUTED_VALUE"""),45827.94294872685)</f>
        <v>45827.94295</v>
      </c>
      <c r="B541" s="29" t="str">
        <f>IFERROR(__xludf.DUMMYFUNCTION("""COMPUTED_VALUE"""),"Intact (Never circumcised)")</f>
        <v>Intact (Never circumcised)</v>
      </c>
      <c r="C541" s="29" t="str">
        <f>IFERROR(__xludf.DUMMYFUNCTION("""COMPUTED_VALUE"""),"Ease of Orgasm")</f>
        <v>Ease of Orgasm</v>
      </c>
      <c r="D541" s="29" t="str">
        <f>IFERROR(__xludf.DUMMYFUNCTION("""COMPUTED_VALUE"""),"4")</f>
        <v>4</v>
      </c>
      <c r="E541" s="29">
        <f>IFERROR(__xludf.DUMMYFUNCTION("""COMPUTED_VALUE"""),4.0)</f>
        <v>4</v>
      </c>
    </row>
    <row r="542">
      <c r="A542" s="33">
        <f>IFERROR(__xludf.DUMMYFUNCTION("""COMPUTED_VALUE"""),45827.94687665509)</f>
        <v>45827.94688</v>
      </c>
      <c r="B542" s="29" t="str">
        <f>IFERROR(__xludf.DUMMYFUNCTION("""COMPUTED_VALUE"""),"Intact (Never circumcised)")</f>
        <v>Intact (Never circumcised)</v>
      </c>
      <c r="C542" s="29" t="str">
        <f>IFERROR(__xludf.DUMMYFUNCTION("""COMPUTED_VALUE"""),"Ease of Orgasm")</f>
        <v>Ease of Orgasm</v>
      </c>
      <c r="D542" s="29" t="str">
        <f>IFERROR(__xludf.DUMMYFUNCTION("""COMPUTED_VALUE"""),"5 (High/Excellent)")</f>
        <v>5 (High/Excellent)</v>
      </c>
      <c r="E542" s="29">
        <f>IFERROR(__xludf.DUMMYFUNCTION("""COMPUTED_VALUE"""),5.0)</f>
        <v>5</v>
      </c>
    </row>
    <row r="543">
      <c r="A543" s="33">
        <f>IFERROR(__xludf.DUMMYFUNCTION("""COMPUTED_VALUE"""),45827.95053562501)</f>
        <v>45827.95054</v>
      </c>
      <c r="B543" s="29" t="str">
        <f>IFERROR(__xludf.DUMMYFUNCTION("""COMPUTED_VALUE"""),"Intact (Never circumcised)")</f>
        <v>Intact (Never circumcised)</v>
      </c>
      <c r="C543" s="29" t="str">
        <f>IFERROR(__xludf.DUMMYFUNCTION("""COMPUTED_VALUE"""),"Ease of Orgasm")</f>
        <v>Ease of Orgasm</v>
      </c>
      <c r="D543" s="29" t="str">
        <f>IFERROR(__xludf.DUMMYFUNCTION("""COMPUTED_VALUE"""),"3 (Medium/Average)")</f>
        <v>3 (Medium/Average)</v>
      </c>
      <c r="E543" s="29">
        <f>IFERROR(__xludf.DUMMYFUNCTION("""COMPUTED_VALUE"""),3.0)</f>
        <v>3</v>
      </c>
    </row>
    <row r="544">
      <c r="A544" s="33">
        <f>IFERROR(__xludf.DUMMYFUNCTION("""COMPUTED_VALUE"""),45827.95437741898)</f>
        <v>45827.95438</v>
      </c>
      <c r="B544" s="29" t="str">
        <f>IFERROR(__xludf.DUMMYFUNCTION("""COMPUTED_VALUE"""),"Circumcised")</f>
        <v>Circumcised</v>
      </c>
      <c r="C544" s="29" t="str">
        <f>IFERROR(__xludf.DUMMYFUNCTION("""COMPUTED_VALUE"""),"Ease of Orgasm")</f>
        <v>Ease of Orgasm</v>
      </c>
      <c r="D544" s="29" t="str">
        <f>IFERROR(__xludf.DUMMYFUNCTION("""COMPUTED_VALUE"""),"3 (Medium/Average)")</f>
        <v>3 (Medium/Average)</v>
      </c>
      <c r="E544" s="29">
        <f>IFERROR(__xludf.DUMMYFUNCTION("""COMPUTED_VALUE"""),3.0)</f>
        <v>3</v>
      </c>
    </row>
    <row r="545">
      <c r="A545" s="33">
        <f>IFERROR(__xludf.DUMMYFUNCTION("""COMPUTED_VALUE"""),45828.00873828704)</f>
        <v>45828.00874</v>
      </c>
      <c r="B545" s="29" t="str">
        <f>IFERROR(__xludf.DUMMYFUNCTION("""COMPUTED_VALUE"""),"Intact (Never circumcised)")</f>
        <v>Intact (Never circumcised)</v>
      </c>
      <c r="C545" s="29" t="str">
        <f>IFERROR(__xludf.DUMMYFUNCTION("""COMPUTED_VALUE"""),"Ease of Orgasm")</f>
        <v>Ease of Orgasm</v>
      </c>
      <c r="D545" s="29" t="str">
        <f>IFERROR(__xludf.DUMMYFUNCTION("""COMPUTED_VALUE"""),"5 (High/Excellent)")</f>
        <v>5 (High/Excellent)</v>
      </c>
      <c r="E545" s="29">
        <f>IFERROR(__xludf.DUMMYFUNCTION("""COMPUTED_VALUE"""),5.0)</f>
        <v>5</v>
      </c>
    </row>
    <row r="546">
      <c r="A546" s="33">
        <f>IFERROR(__xludf.DUMMYFUNCTION("""COMPUTED_VALUE"""),45828.01005491898)</f>
        <v>45828.01005</v>
      </c>
      <c r="B546" s="29" t="str">
        <f>IFERROR(__xludf.DUMMYFUNCTION("""COMPUTED_VALUE"""),"Actively restoring my foreskin / I consider myself restored")</f>
        <v>Actively restoring my foreskin / I consider myself restored</v>
      </c>
      <c r="C546" s="29" t="str">
        <f>IFERROR(__xludf.DUMMYFUNCTION("""COMPUTED_VALUE"""),"Ease of Orgasm")</f>
        <v>Ease of Orgasm</v>
      </c>
      <c r="D546" s="29" t="str">
        <f>IFERROR(__xludf.DUMMYFUNCTION("""COMPUTED_VALUE"""),"3 (Medium/Average)")</f>
        <v>3 (Medium/Average)</v>
      </c>
      <c r="E546" s="29">
        <f>IFERROR(__xludf.DUMMYFUNCTION("""COMPUTED_VALUE"""),3.0)</f>
        <v>3</v>
      </c>
    </row>
    <row r="547">
      <c r="A547" s="33">
        <f>IFERROR(__xludf.DUMMYFUNCTION("""COMPUTED_VALUE"""),45828.05815188657)</f>
        <v>45828.05815</v>
      </c>
      <c r="B547" s="29" t="str">
        <f>IFERROR(__xludf.DUMMYFUNCTION("""COMPUTED_VALUE"""),"Intact (Never circumcised)")</f>
        <v>Intact (Never circumcised)</v>
      </c>
      <c r="C547" s="29" t="str">
        <f>IFERROR(__xludf.DUMMYFUNCTION("""COMPUTED_VALUE"""),"Ease of Orgasm")</f>
        <v>Ease of Orgasm</v>
      </c>
      <c r="D547" s="29" t="str">
        <f>IFERROR(__xludf.DUMMYFUNCTION("""COMPUTED_VALUE"""),"3 (Medium/Average)")</f>
        <v>3 (Medium/Average)</v>
      </c>
      <c r="E547" s="29">
        <f>IFERROR(__xludf.DUMMYFUNCTION("""COMPUTED_VALUE"""),3.0)</f>
        <v>3</v>
      </c>
    </row>
    <row r="548">
      <c r="A548" s="33">
        <f>IFERROR(__xludf.DUMMYFUNCTION("""COMPUTED_VALUE"""),45828.06036765046)</f>
        <v>45828.06037</v>
      </c>
      <c r="B548" s="29" t="str">
        <f>IFERROR(__xludf.DUMMYFUNCTION("""COMPUTED_VALUE"""),"Circumcised")</f>
        <v>Circumcised</v>
      </c>
      <c r="C548" s="29" t="str">
        <f>IFERROR(__xludf.DUMMYFUNCTION("""COMPUTED_VALUE"""),"Ease of Orgasm")</f>
        <v>Ease of Orgasm</v>
      </c>
      <c r="D548" s="29" t="str">
        <f>IFERROR(__xludf.DUMMYFUNCTION("""COMPUTED_VALUE"""),"1 (Low/Poor)")</f>
        <v>1 (Low/Poor)</v>
      </c>
      <c r="E548" s="29">
        <f>IFERROR(__xludf.DUMMYFUNCTION("""COMPUTED_VALUE"""),1.0)</f>
        <v>1</v>
      </c>
    </row>
    <row r="549">
      <c r="A549" s="33">
        <f>IFERROR(__xludf.DUMMYFUNCTION("""COMPUTED_VALUE"""),45828.06330849537)</f>
        <v>45828.06331</v>
      </c>
      <c r="B549" s="29" t="str">
        <f>IFERROR(__xludf.DUMMYFUNCTION("""COMPUTED_VALUE"""),"Circumcised")</f>
        <v>Circumcised</v>
      </c>
      <c r="C549" s="29" t="str">
        <f>IFERROR(__xludf.DUMMYFUNCTION("""COMPUTED_VALUE"""),"Ease of Orgasm")</f>
        <v>Ease of Orgasm</v>
      </c>
      <c r="D549" s="29" t="str">
        <f>IFERROR(__xludf.DUMMYFUNCTION("""COMPUTED_VALUE"""),"5 (High/Excellent)")</f>
        <v>5 (High/Excellent)</v>
      </c>
      <c r="E549" s="29">
        <f>IFERROR(__xludf.DUMMYFUNCTION("""COMPUTED_VALUE"""),5.0)</f>
        <v>5</v>
      </c>
    </row>
    <row r="550">
      <c r="A550" s="33">
        <f>IFERROR(__xludf.DUMMYFUNCTION("""COMPUTED_VALUE"""),45828.12018145833)</f>
        <v>45828.12018</v>
      </c>
      <c r="B550" s="29" t="str">
        <f>IFERROR(__xludf.DUMMYFUNCTION("""COMPUTED_VALUE"""),"Circumcised")</f>
        <v>Circumcised</v>
      </c>
      <c r="C550" s="29" t="str">
        <f>IFERROR(__xludf.DUMMYFUNCTION("""COMPUTED_VALUE"""),"Ease of Orgasm")</f>
        <v>Ease of Orgasm</v>
      </c>
      <c r="D550" s="29" t="str">
        <f>IFERROR(__xludf.DUMMYFUNCTION("""COMPUTED_VALUE"""),"4")</f>
        <v>4</v>
      </c>
      <c r="E550" s="29">
        <f>IFERROR(__xludf.DUMMYFUNCTION("""COMPUTED_VALUE"""),4.0)</f>
        <v>4</v>
      </c>
    </row>
    <row r="551">
      <c r="A551" s="33">
        <f>IFERROR(__xludf.DUMMYFUNCTION("""COMPUTED_VALUE"""),45828.15012672453)</f>
        <v>45828.15013</v>
      </c>
      <c r="B551" s="29" t="str">
        <f>IFERROR(__xludf.DUMMYFUNCTION("""COMPUTED_VALUE"""),"Intact (Never circumcised)")</f>
        <v>Intact (Never circumcised)</v>
      </c>
      <c r="C551" s="29" t="str">
        <f>IFERROR(__xludf.DUMMYFUNCTION("""COMPUTED_VALUE"""),"Ease of Orgasm")</f>
        <v>Ease of Orgasm</v>
      </c>
      <c r="D551" s="29" t="str">
        <f>IFERROR(__xludf.DUMMYFUNCTION("""COMPUTED_VALUE"""),"4")</f>
        <v>4</v>
      </c>
      <c r="E551" s="29">
        <f>IFERROR(__xludf.DUMMYFUNCTION("""COMPUTED_VALUE"""),4.0)</f>
        <v>4</v>
      </c>
    </row>
    <row r="552">
      <c r="A552" s="33">
        <f>IFERROR(__xludf.DUMMYFUNCTION("""COMPUTED_VALUE"""),45828.202019930555)</f>
        <v>45828.20202</v>
      </c>
      <c r="B552" s="29" t="str">
        <f>IFERROR(__xludf.DUMMYFUNCTION("""COMPUTED_VALUE"""),"Intact (Never circumcised)")</f>
        <v>Intact (Never circumcised)</v>
      </c>
      <c r="C552" s="29" t="str">
        <f>IFERROR(__xludf.DUMMYFUNCTION("""COMPUTED_VALUE"""),"Ease of Orgasm")</f>
        <v>Ease of Orgasm</v>
      </c>
      <c r="D552" s="29" t="str">
        <f>IFERROR(__xludf.DUMMYFUNCTION("""COMPUTED_VALUE"""),"4")</f>
        <v>4</v>
      </c>
      <c r="E552" s="29">
        <f>IFERROR(__xludf.DUMMYFUNCTION("""COMPUTED_VALUE"""),4.0)</f>
        <v>4</v>
      </c>
    </row>
    <row r="553">
      <c r="A553" s="33">
        <f>IFERROR(__xludf.DUMMYFUNCTION("""COMPUTED_VALUE"""),45828.21023520834)</f>
        <v>45828.21024</v>
      </c>
      <c r="B553" s="29" t="str">
        <f>IFERROR(__xludf.DUMMYFUNCTION("""COMPUTED_VALUE"""),"Intact (Never circumcised)")</f>
        <v>Intact (Never circumcised)</v>
      </c>
      <c r="C553" s="29" t="str">
        <f>IFERROR(__xludf.DUMMYFUNCTION("""COMPUTED_VALUE"""),"Ease of Orgasm")</f>
        <v>Ease of Orgasm</v>
      </c>
      <c r="D553" s="29" t="str">
        <f>IFERROR(__xludf.DUMMYFUNCTION("""COMPUTED_VALUE"""),"5 (High/Excellent)")</f>
        <v>5 (High/Excellent)</v>
      </c>
      <c r="E553" s="29">
        <f>IFERROR(__xludf.DUMMYFUNCTION("""COMPUTED_VALUE"""),5.0)</f>
        <v>5</v>
      </c>
    </row>
    <row r="554">
      <c r="A554" s="33">
        <f>IFERROR(__xludf.DUMMYFUNCTION("""COMPUTED_VALUE"""),45828.22725708334)</f>
        <v>45828.22726</v>
      </c>
      <c r="B554" s="29" t="str">
        <f>IFERROR(__xludf.DUMMYFUNCTION("""COMPUTED_VALUE"""),"Circumcised")</f>
        <v>Circumcised</v>
      </c>
      <c r="C554" s="29" t="str">
        <f>IFERROR(__xludf.DUMMYFUNCTION("""COMPUTED_VALUE"""),"Ease of Orgasm")</f>
        <v>Ease of Orgasm</v>
      </c>
      <c r="D554" s="29" t="str">
        <f>IFERROR(__xludf.DUMMYFUNCTION("""COMPUTED_VALUE"""),"3 (Medium/Average)")</f>
        <v>3 (Medium/Average)</v>
      </c>
      <c r="E554" s="29">
        <f>IFERROR(__xludf.DUMMYFUNCTION("""COMPUTED_VALUE"""),3.0)</f>
        <v>3</v>
      </c>
    </row>
    <row r="555">
      <c r="A555" s="33">
        <f>IFERROR(__xludf.DUMMYFUNCTION("""COMPUTED_VALUE"""),45828.25383616898)</f>
        <v>45828.25384</v>
      </c>
      <c r="B555" s="29" t="str">
        <f>IFERROR(__xludf.DUMMYFUNCTION("""COMPUTED_VALUE"""),"Intact (Never circumcised)")</f>
        <v>Intact (Never circumcised)</v>
      </c>
      <c r="C555" s="29" t="str">
        <f>IFERROR(__xludf.DUMMYFUNCTION("""COMPUTED_VALUE"""),"Ease of Orgasm")</f>
        <v>Ease of Orgasm</v>
      </c>
      <c r="D555" s="29" t="str">
        <f>IFERROR(__xludf.DUMMYFUNCTION("""COMPUTED_VALUE"""),"4")</f>
        <v>4</v>
      </c>
      <c r="E555" s="29">
        <f>IFERROR(__xludf.DUMMYFUNCTION("""COMPUTED_VALUE"""),4.0)</f>
        <v>4</v>
      </c>
    </row>
    <row r="556">
      <c r="A556" s="33">
        <f>IFERROR(__xludf.DUMMYFUNCTION("""COMPUTED_VALUE"""),45828.2956471412)</f>
        <v>45828.29565</v>
      </c>
      <c r="B556" s="29" t="str">
        <f>IFERROR(__xludf.DUMMYFUNCTION("""COMPUTED_VALUE"""),"Intact (Never circumcised)")</f>
        <v>Intact (Never circumcised)</v>
      </c>
      <c r="C556" s="29" t="str">
        <f>IFERROR(__xludf.DUMMYFUNCTION("""COMPUTED_VALUE"""),"Ease of Orgasm")</f>
        <v>Ease of Orgasm</v>
      </c>
      <c r="D556" s="29" t="str">
        <f>IFERROR(__xludf.DUMMYFUNCTION("""COMPUTED_VALUE"""),"4")</f>
        <v>4</v>
      </c>
      <c r="E556" s="29">
        <f>IFERROR(__xludf.DUMMYFUNCTION("""COMPUTED_VALUE"""),4.0)</f>
        <v>4</v>
      </c>
    </row>
    <row r="557">
      <c r="A557" s="33">
        <f>IFERROR(__xludf.DUMMYFUNCTION("""COMPUTED_VALUE"""),45828.31245334491)</f>
        <v>45828.31245</v>
      </c>
      <c r="B557" s="29" t="str">
        <f>IFERROR(__xludf.DUMMYFUNCTION("""COMPUTED_VALUE"""),"Circumcised")</f>
        <v>Circumcised</v>
      </c>
      <c r="C557" s="29" t="str">
        <f>IFERROR(__xludf.DUMMYFUNCTION("""COMPUTED_VALUE"""),"Ease of Orgasm")</f>
        <v>Ease of Orgasm</v>
      </c>
      <c r="D557" s="29" t="str">
        <f>IFERROR(__xludf.DUMMYFUNCTION("""COMPUTED_VALUE"""),"1 (Low/Poor)")</f>
        <v>1 (Low/Poor)</v>
      </c>
      <c r="E557" s="29">
        <f>IFERROR(__xludf.DUMMYFUNCTION("""COMPUTED_VALUE"""),1.0)</f>
        <v>1</v>
      </c>
    </row>
    <row r="558">
      <c r="A558" s="33">
        <f>IFERROR(__xludf.DUMMYFUNCTION("""COMPUTED_VALUE"""),45828.31539207176)</f>
        <v>45828.31539</v>
      </c>
      <c r="B558" s="29" t="str">
        <f>IFERROR(__xludf.DUMMYFUNCTION("""COMPUTED_VALUE"""),"Circumcised")</f>
        <v>Circumcised</v>
      </c>
      <c r="C558" s="29" t="str">
        <f>IFERROR(__xludf.DUMMYFUNCTION("""COMPUTED_VALUE"""),"Ease of Orgasm")</f>
        <v>Ease of Orgasm</v>
      </c>
      <c r="D558" s="29" t="str">
        <f>IFERROR(__xludf.DUMMYFUNCTION("""COMPUTED_VALUE"""),"2")</f>
        <v>2</v>
      </c>
      <c r="E558" s="29">
        <f>IFERROR(__xludf.DUMMYFUNCTION("""COMPUTED_VALUE"""),2.0)</f>
        <v>2</v>
      </c>
    </row>
    <row r="559">
      <c r="A559" s="33">
        <f>IFERROR(__xludf.DUMMYFUNCTION("""COMPUTED_VALUE"""),45828.341003518515)</f>
        <v>45828.341</v>
      </c>
      <c r="B559" s="29" t="str">
        <f>IFERROR(__xludf.DUMMYFUNCTION("""COMPUTED_VALUE"""),"Intact (Never circumcised)")</f>
        <v>Intact (Never circumcised)</v>
      </c>
      <c r="C559" s="29" t="str">
        <f>IFERROR(__xludf.DUMMYFUNCTION("""COMPUTED_VALUE"""),"Ease of Orgasm")</f>
        <v>Ease of Orgasm</v>
      </c>
      <c r="D559" s="29" t="str">
        <f>IFERROR(__xludf.DUMMYFUNCTION("""COMPUTED_VALUE"""),"5 (High/Excellent)")</f>
        <v>5 (High/Excellent)</v>
      </c>
      <c r="E559" s="29">
        <f>IFERROR(__xludf.DUMMYFUNCTION("""COMPUTED_VALUE"""),5.0)</f>
        <v>5</v>
      </c>
    </row>
    <row r="560">
      <c r="A560" s="33">
        <f>IFERROR(__xludf.DUMMYFUNCTION("""COMPUTED_VALUE"""),45828.3511699537)</f>
        <v>45828.35117</v>
      </c>
      <c r="B560" s="29" t="str">
        <f>IFERROR(__xludf.DUMMYFUNCTION("""COMPUTED_VALUE"""),"Intact (Never circumcised)")</f>
        <v>Intact (Never circumcised)</v>
      </c>
      <c r="C560" s="29" t="str">
        <f>IFERROR(__xludf.DUMMYFUNCTION("""COMPUTED_VALUE"""),"Ease of Orgasm")</f>
        <v>Ease of Orgasm</v>
      </c>
      <c r="D560" s="29" t="str">
        <f>IFERROR(__xludf.DUMMYFUNCTION("""COMPUTED_VALUE"""),"5 (High/Excellent)")</f>
        <v>5 (High/Excellent)</v>
      </c>
      <c r="E560" s="29">
        <f>IFERROR(__xludf.DUMMYFUNCTION("""COMPUTED_VALUE"""),5.0)</f>
        <v>5</v>
      </c>
    </row>
    <row r="561">
      <c r="A561" s="33">
        <f>IFERROR(__xludf.DUMMYFUNCTION("""COMPUTED_VALUE"""),45828.35833436343)</f>
        <v>45828.35833</v>
      </c>
      <c r="B561" s="29" t="str">
        <f>IFERROR(__xludf.DUMMYFUNCTION("""COMPUTED_VALUE"""),"Actively restoring my foreskin / I consider myself restored")</f>
        <v>Actively restoring my foreskin / I consider myself restored</v>
      </c>
      <c r="C561" s="29" t="str">
        <f>IFERROR(__xludf.DUMMYFUNCTION("""COMPUTED_VALUE"""),"Ease of Orgasm")</f>
        <v>Ease of Orgasm</v>
      </c>
      <c r="D561" s="29" t="str">
        <f>IFERROR(__xludf.DUMMYFUNCTION("""COMPUTED_VALUE"""),"3 (Medium/Average)")</f>
        <v>3 (Medium/Average)</v>
      </c>
      <c r="E561" s="29">
        <f>IFERROR(__xludf.DUMMYFUNCTION("""COMPUTED_VALUE"""),3.0)</f>
        <v>3</v>
      </c>
    </row>
    <row r="562">
      <c r="A562" s="33">
        <f>IFERROR(__xludf.DUMMYFUNCTION("""COMPUTED_VALUE"""),45828.35893381945)</f>
        <v>45828.35893</v>
      </c>
      <c r="B562" s="29" t="str">
        <f>IFERROR(__xludf.DUMMYFUNCTION("""COMPUTED_VALUE"""),"Intact (Never circumcised)")</f>
        <v>Intact (Never circumcised)</v>
      </c>
      <c r="C562" s="29" t="str">
        <f>IFERROR(__xludf.DUMMYFUNCTION("""COMPUTED_VALUE"""),"Ease of Orgasm")</f>
        <v>Ease of Orgasm</v>
      </c>
      <c r="D562" s="29" t="str">
        <f>IFERROR(__xludf.DUMMYFUNCTION("""COMPUTED_VALUE"""),"5 (High/Excellent)")</f>
        <v>5 (High/Excellent)</v>
      </c>
      <c r="E562" s="29">
        <f>IFERROR(__xludf.DUMMYFUNCTION("""COMPUTED_VALUE"""),5.0)</f>
        <v>5</v>
      </c>
    </row>
    <row r="563">
      <c r="A563" s="33">
        <f>IFERROR(__xludf.DUMMYFUNCTION("""COMPUTED_VALUE"""),45828.35894726852)</f>
        <v>45828.35895</v>
      </c>
      <c r="B563" s="29" t="str">
        <f>IFERROR(__xludf.DUMMYFUNCTION("""COMPUTED_VALUE"""),"Intact (Never circumcised)")</f>
        <v>Intact (Never circumcised)</v>
      </c>
      <c r="C563" s="29" t="str">
        <f>IFERROR(__xludf.DUMMYFUNCTION("""COMPUTED_VALUE"""),"Ease of Orgasm")</f>
        <v>Ease of Orgasm</v>
      </c>
      <c r="D563" s="29" t="str">
        <f>IFERROR(__xludf.DUMMYFUNCTION("""COMPUTED_VALUE"""),"4")</f>
        <v>4</v>
      </c>
      <c r="E563" s="29">
        <f>IFERROR(__xludf.DUMMYFUNCTION("""COMPUTED_VALUE"""),4.0)</f>
        <v>4</v>
      </c>
    </row>
    <row r="564">
      <c r="A564" s="33">
        <f>IFERROR(__xludf.DUMMYFUNCTION("""COMPUTED_VALUE"""),45828.36039090277)</f>
        <v>45828.36039</v>
      </c>
      <c r="B564" s="29" t="str">
        <f>IFERROR(__xludf.DUMMYFUNCTION("""COMPUTED_VALUE"""),"Circumcised")</f>
        <v>Circumcised</v>
      </c>
      <c r="C564" s="29" t="str">
        <f>IFERROR(__xludf.DUMMYFUNCTION("""COMPUTED_VALUE"""),"Ease of Orgasm")</f>
        <v>Ease of Orgasm</v>
      </c>
      <c r="D564" s="29" t="str">
        <f>IFERROR(__xludf.DUMMYFUNCTION("""COMPUTED_VALUE"""),"3 (Medium/Average)")</f>
        <v>3 (Medium/Average)</v>
      </c>
      <c r="E564" s="29">
        <f>IFERROR(__xludf.DUMMYFUNCTION("""COMPUTED_VALUE"""),3.0)</f>
        <v>3</v>
      </c>
    </row>
    <row r="565">
      <c r="A565" s="33">
        <f>IFERROR(__xludf.DUMMYFUNCTION("""COMPUTED_VALUE"""),45828.39941795139)</f>
        <v>45828.39942</v>
      </c>
      <c r="B565" s="29" t="str">
        <f>IFERROR(__xludf.DUMMYFUNCTION("""COMPUTED_VALUE"""),"Circumcised")</f>
        <v>Circumcised</v>
      </c>
      <c r="C565" s="29" t="str">
        <f>IFERROR(__xludf.DUMMYFUNCTION("""COMPUTED_VALUE"""),"Ease of Orgasm")</f>
        <v>Ease of Orgasm</v>
      </c>
      <c r="D565" s="29" t="str">
        <f>IFERROR(__xludf.DUMMYFUNCTION("""COMPUTED_VALUE"""),"3 (Medium/Average)")</f>
        <v>3 (Medium/Average)</v>
      </c>
      <c r="E565" s="29">
        <f>IFERROR(__xludf.DUMMYFUNCTION("""COMPUTED_VALUE"""),3.0)</f>
        <v>3</v>
      </c>
    </row>
    <row r="566">
      <c r="A566" s="33">
        <f>IFERROR(__xludf.DUMMYFUNCTION("""COMPUTED_VALUE"""),45828.46985780093)</f>
        <v>45828.46986</v>
      </c>
      <c r="B566" s="29" t="str">
        <f>IFERROR(__xludf.DUMMYFUNCTION("""COMPUTED_VALUE"""),"Intact (Never circumcised)")</f>
        <v>Intact (Never circumcised)</v>
      </c>
      <c r="C566" s="29" t="str">
        <f>IFERROR(__xludf.DUMMYFUNCTION("""COMPUTED_VALUE"""),"Ease of Orgasm")</f>
        <v>Ease of Orgasm</v>
      </c>
      <c r="D566" s="29" t="str">
        <f>IFERROR(__xludf.DUMMYFUNCTION("""COMPUTED_VALUE"""),"5 (High/Excellent)")</f>
        <v>5 (High/Excellent)</v>
      </c>
      <c r="E566" s="29">
        <f>IFERROR(__xludf.DUMMYFUNCTION("""COMPUTED_VALUE"""),5.0)</f>
        <v>5</v>
      </c>
    </row>
    <row r="567">
      <c r="A567" s="33">
        <f>IFERROR(__xludf.DUMMYFUNCTION("""COMPUTED_VALUE"""),45828.4853855324)</f>
        <v>45828.48539</v>
      </c>
      <c r="B567" s="29" t="str">
        <f>IFERROR(__xludf.DUMMYFUNCTION("""COMPUTED_VALUE"""),"Actively restoring my foreskin / I consider myself restored")</f>
        <v>Actively restoring my foreskin / I consider myself restored</v>
      </c>
      <c r="C567" s="29" t="str">
        <f>IFERROR(__xludf.DUMMYFUNCTION("""COMPUTED_VALUE"""),"Ease of Orgasm")</f>
        <v>Ease of Orgasm</v>
      </c>
      <c r="D567" s="29" t="str">
        <f>IFERROR(__xludf.DUMMYFUNCTION("""COMPUTED_VALUE"""),"3 (Medium/Average)")</f>
        <v>3 (Medium/Average)</v>
      </c>
      <c r="E567" s="29">
        <f>IFERROR(__xludf.DUMMYFUNCTION("""COMPUTED_VALUE"""),3.0)</f>
        <v>3</v>
      </c>
    </row>
    <row r="568">
      <c r="A568" s="33">
        <f>IFERROR(__xludf.DUMMYFUNCTION("""COMPUTED_VALUE"""),45828.49643018519)</f>
        <v>45828.49643</v>
      </c>
      <c r="B568" s="29" t="str">
        <f>IFERROR(__xludf.DUMMYFUNCTION("""COMPUTED_VALUE"""),"Circumcised")</f>
        <v>Circumcised</v>
      </c>
      <c r="C568" s="29" t="str">
        <f>IFERROR(__xludf.DUMMYFUNCTION("""COMPUTED_VALUE"""),"Ease of Orgasm")</f>
        <v>Ease of Orgasm</v>
      </c>
      <c r="D568" s="29" t="str">
        <f>IFERROR(__xludf.DUMMYFUNCTION("""COMPUTED_VALUE"""),"5 (High/Excellent)")</f>
        <v>5 (High/Excellent)</v>
      </c>
      <c r="E568" s="29">
        <f>IFERROR(__xludf.DUMMYFUNCTION("""COMPUTED_VALUE"""),5.0)</f>
        <v>5</v>
      </c>
    </row>
    <row r="569">
      <c r="A569" s="33">
        <f>IFERROR(__xludf.DUMMYFUNCTION("""COMPUTED_VALUE"""),45828.52431340278)</f>
        <v>45828.52431</v>
      </c>
      <c r="B569" s="29" t="str">
        <f>IFERROR(__xludf.DUMMYFUNCTION("""COMPUTED_VALUE"""),"Intact (Never circumcised)")</f>
        <v>Intact (Never circumcised)</v>
      </c>
      <c r="C569" s="29" t="str">
        <f>IFERROR(__xludf.DUMMYFUNCTION("""COMPUTED_VALUE"""),"Ease of Orgasm")</f>
        <v>Ease of Orgasm</v>
      </c>
      <c r="D569" s="29" t="str">
        <f>IFERROR(__xludf.DUMMYFUNCTION("""COMPUTED_VALUE"""),"1 (Low/Poor)")</f>
        <v>1 (Low/Poor)</v>
      </c>
      <c r="E569" s="29">
        <f>IFERROR(__xludf.DUMMYFUNCTION("""COMPUTED_VALUE"""),1.0)</f>
        <v>1</v>
      </c>
    </row>
    <row r="570">
      <c r="A570" s="33">
        <f>IFERROR(__xludf.DUMMYFUNCTION("""COMPUTED_VALUE"""),45828.5412253125)</f>
        <v>45828.54123</v>
      </c>
      <c r="B570" s="29" t="str">
        <f>IFERROR(__xludf.DUMMYFUNCTION("""COMPUTED_VALUE"""),"Circumcised")</f>
        <v>Circumcised</v>
      </c>
      <c r="C570" s="29" t="str">
        <f>IFERROR(__xludf.DUMMYFUNCTION("""COMPUTED_VALUE"""),"Ease of Orgasm")</f>
        <v>Ease of Orgasm</v>
      </c>
      <c r="D570" s="29" t="str">
        <f>IFERROR(__xludf.DUMMYFUNCTION("""COMPUTED_VALUE"""),"3 (Medium/Average)")</f>
        <v>3 (Medium/Average)</v>
      </c>
      <c r="E570" s="29">
        <f>IFERROR(__xludf.DUMMYFUNCTION("""COMPUTED_VALUE"""),3.0)</f>
        <v>3</v>
      </c>
    </row>
    <row r="571">
      <c r="A571" s="33">
        <f>IFERROR(__xludf.DUMMYFUNCTION("""COMPUTED_VALUE"""),45828.55194200231)</f>
        <v>45828.55194</v>
      </c>
      <c r="B571" s="29" t="str">
        <f>IFERROR(__xludf.DUMMYFUNCTION("""COMPUTED_VALUE"""),"Intact (Never circumcised)")</f>
        <v>Intact (Never circumcised)</v>
      </c>
      <c r="C571" s="29" t="str">
        <f>IFERROR(__xludf.DUMMYFUNCTION("""COMPUTED_VALUE"""),"Ease of Orgasm")</f>
        <v>Ease of Orgasm</v>
      </c>
      <c r="D571" s="29" t="str">
        <f>IFERROR(__xludf.DUMMYFUNCTION("""COMPUTED_VALUE"""),"4")</f>
        <v>4</v>
      </c>
      <c r="E571" s="29">
        <f>IFERROR(__xludf.DUMMYFUNCTION("""COMPUTED_VALUE"""),4.0)</f>
        <v>4</v>
      </c>
    </row>
    <row r="572">
      <c r="A572" s="33">
        <f>IFERROR(__xludf.DUMMYFUNCTION("""COMPUTED_VALUE"""),45828.57699451389)</f>
        <v>45828.57699</v>
      </c>
      <c r="B572" s="29" t="str">
        <f>IFERROR(__xludf.DUMMYFUNCTION("""COMPUTED_VALUE"""),"Circumcised")</f>
        <v>Circumcised</v>
      </c>
      <c r="C572" s="29" t="str">
        <f>IFERROR(__xludf.DUMMYFUNCTION("""COMPUTED_VALUE"""),"Ease of Orgasm")</f>
        <v>Ease of Orgasm</v>
      </c>
      <c r="D572" s="29" t="str">
        <f>IFERROR(__xludf.DUMMYFUNCTION("""COMPUTED_VALUE"""),"2")</f>
        <v>2</v>
      </c>
      <c r="E572" s="29">
        <f>IFERROR(__xludf.DUMMYFUNCTION("""COMPUTED_VALUE"""),2.0)</f>
        <v>2</v>
      </c>
    </row>
    <row r="573">
      <c r="A573" s="33">
        <f>IFERROR(__xludf.DUMMYFUNCTION("""COMPUTED_VALUE"""),45828.57987178241)</f>
        <v>45828.57987</v>
      </c>
      <c r="B573" s="29" t="str">
        <f>IFERROR(__xludf.DUMMYFUNCTION("""COMPUTED_VALUE"""),"Intact (Never circumcised)")</f>
        <v>Intact (Never circumcised)</v>
      </c>
      <c r="C573" s="29" t="str">
        <f>IFERROR(__xludf.DUMMYFUNCTION("""COMPUTED_VALUE"""),"Ease of Orgasm")</f>
        <v>Ease of Orgasm</v>
      </c>
      <c r="D573" s="29" t="str">
        <f>IFERROR(__xludf.DUMMYFUNCTION("""COMPUTED_VALUE"""),"3 (Medium/Average)")</f>
        <v>3 (Medium/Average)</v>
      </c>
      <c r="E573" s="29">
        <f>IFERROR(__xludf.DUMMYFUNCTION("""COMPUTED_VALUE"""),3.0)</f>
        <v>3</v>
      </c>
    </row>
    <row r="574">
      <c r="A574" s="33">
        <f>IFERROR(__xludf.DUMMYFUNCTION("""COMPUTED_VALUE"""),45828.60358170139)</f>
        <v>45828.60358</v>
      </c>
      <c r="B574" s="29" t="str">
        <f>IFERROR(__xludf.DUMMYFUNCTION("""COMPUTED_VALUE"""),"Circumcised")</f>
        <v>Circumcised</v>
      </c>
      <c r="C574" s="29" t="str">
        <f>IFERROR(__xludf.DUMMYFUNCTION("""COMPUTED_VALUE"""),"Ease of Orgasm")</f>
        <v>Ease of Orgasm</v>
      </c>
      <c r="D574" s="29" t="str">
        <f>IFERROR(__xludf.DUMMYFUNCTION("""COMPUTED_VALUE"""),"3 (Medium/Average)")</f>
        <v>3 (Medium/Average)</v>
      </c>
      <c r="E574" s="29">
        <f>IFERROR(__xludf.DUMMYFUNCTION("""COMPUTED_VALUE"""),3.0)</f>
        <v>3</v>
      </c>
    </row>
    <row r="575">
      <c r="A575" s="33">
        <f>IFERROR(__xludf.DUMMYFUNCTION("""COMPUTED_VALUE"""),45828.64029736111)</f>
        <v>45828.6403</v>
      </c>
      <c r="B575" s="29" t="str">
        <f>IFERROR(__xludf.DUMMYFUNCTION("""COMPUTED_VALUE"""),"Intact (Never circumcised)")</f>
        <v>Intact (Never circumcised)</v>
      </c>
      <c r="C575" s="29" t="str">
        <f>IFERROR(__xludf.DUMMYFUNCTION("""COMPUTED_VALUE"""),"Ease of Orgasm")</f>
        <v>Ease of Orgasm</v>
      </c>
      <c r="D575" s="29" t="str">
        <f>IFERROR(__xludf.DUMMYFUNCTION("""COMPUTED_VALUE"""),"5 (High/Excellent)")</f>
        <v>5 (High/Excellent)</v>
      </c>
      <c r="E575" s="29">
        <f>IFERROR(__xludf.DUMMYFUNCTION("""COMPUTED_VALUE"""),5.0)</f>
        <v>5</v>
      </c>
    </row>
    <row r="576">
      <c r="A576" s="33">
        <f>IFERROR(__xludf.DUMMYFUNCTION("""COMPUTED_VALUE"""),45828.643401828704)</f>
        <v>45828.6434</v>
      </c>
      <c r="B576" s="29" t="str">
        <f>IFERROR(__xludf.DUMMYFUNCTION("""COMPUTED_VALUE"""),"Intact (Never circumcised)")</f>
        <v>Intact (Never circumcised)</v>
      </c>
      <c r="C576" s="29" t="str">
        <f>IFERROR(__xludf.DUMMYFUNCTION("""COMPUTED_VALUE"""),"Ease of Orgasm")</f>
        <v>Ease of Orgasm</v>
      </c>
      <c r="D576" s="29" t="str">
        <f>IFERROR(__xludf.DUMMYFUNCTION("""COMPUTED_VALUE"""),"5 (High/Excellent)")</f>
        <v>5 (High/Excellent)</v>
      </c>
      <c r="E576" s="29">
        <f>IFERROR(__xludf.DUMMYFUNCTION("""COMPUTED_VALUE"""),5.0)</f>
        <v>5</v>
      </c>
    </row>
    <row r="577">
      <c r="A577" s="33">
        <f>IFERROR(__xludf.DUMMYFUNCTION("""COMPUTED_VALUE"""),45828.78532109953)</f>
        <v>45828.78532</v>
      </c>
      <c r="B577" s="29" t="str">
        <f>IFERROR(__xludf.DUMMYFUNCTION("""COMPUTED_VALUE"""),"Actively restoring my foreskin / I consider myself restored")</f>
        <v>Actively restoring my foreskin / I consider myself restored</v>
      </c>
      <c r="C577" s="29" t="str">
        <f>IFERROR(__xludf.DUMMYFUNCTION("""COMPUTED_VALUE"""),"Ease of Orgasm")</f>
        <v>Ease of Orgasm</v>
      </c>
      <c r="D577" s="29" t="str">
        <f>IFERROR(__xludf.DUMMYFUNCTION("""COMPUTED_VALUE"""),"5 (High/Excellent)")</f>
        <v>5 (High/Excellent)</v>
      </c>
      <c r="E577" s="29">
        <f>IFERROR(__xludf.DUMMYFUNCTION("""COMPUTED_VALUE"""),5.0)</f>
        <v>5</v>
      </c>
    </row>
    <row r="578">
      <c r="A578" s="33">
        <f>IFERROR(__xludf.DUMMYFUNCTION("""COMPUTED_VALUE"""),45828.791163622685)</f>
        <v>45828.79116</v>
      </c>
      <c r="B578" s="29" t="str">
        <f>IFERROR(__xludf.DUMMYFUNCTION("""COMPUTED_VALUE"""),"Circumcised")</f>
        <v>Circumcised</v>
      </c>
      <c r="C578" s="29" t="str">
        <f>IFERROR(__xludf.DUMMYFUNCTION("""COMPUTED_VALUE"""),"Ease of Orgasm")</f>
        <v>Ease of Orgasm</v>
      </c>
      <c r="D578" s="29" t="str">
        <f>IFERROR(__xludf.DUMMYFUNCTION("""COMPUTED_VALUE"""),"3 (Medium/Average)")</f>
        <v>3 (Medium/Average)</v>
      </c>
      <c r="E578" s="29">
        <f>IFERROR(__xludf.DUMMYFUNCTION("""COMPUTED_VALUE"""),3.0)</f>
        <v>3</v>
      </c>
    </row>
    <row r="579">
      <c r="A579" s="33">
        <f>IFERROR(__xludf.DUMMYFUNCTION("""COMPUTED_VALUE"""),45828.88566534722)</f>
        <v>45828.88567</v>
      </c>
      <c r="B579" s="29" t="str">
        <f>IFERROR(__xludf.DUMMYFUNCTION("""COMPUTED_VALUE"""),"Circumcised")</f>
        <v>Circumcised</v>
      </c>
      <c r="C579" s="29" t="str">
        <f>IFERROR(__xludf.DUMMYFUNCTION("""COMPUTED_VALUE"""),"Ease of Orgasm")</f>
        <v>Ease of Orgasm</v>
      </c>
      <c r="D579" s="29" t="str">
        <f>IFERROR(__xludf.DUMMYFUNCTION("""COMPUTED_VALUE"""),"5 (High/Excellent)")</f>
        <v>5 (High/Excellent)</v>
      </c>
      <c r="E579" s="29">
        <f>IFERROR(__xludf.DUMMYFUNCTION("""COMPUTED_VALUE"""),5.0)</f>
        <v>5</v>
      </c>
    </row>
    <row r="580">
      <c r="A580" s="33">
        <f>IFERROR(__xludf.DUMMYFUNCTION("""COMPUTED_VALUE"""),45828.891574270834)</f>
        <v>45828.89157</v>
      </c>
      <c r="B580" s="29" t="str">
        <f>IFERROR(__xludf.DUMMYFUNCTION("""COMPUTED_VALUE"""),"Circumcised")</f>
        <v>Circumcised</v>
      </c>
      <c r="C580" s="29" t="str">
        <f>IFERROR(__xludf.DUMMYFUNCTION("""COMPUTED_VALUE"""),"Ease of Orgasm")</f>
        <v>Ease of Orgasm</v>
      </c>
      <c r="D580" s="29" t="str">
        <f>IFERROR(__xludf.DUMMYFUNCTION("""COMPUTED_VALUE"""),"2")</f>
        <v>2</v>
      </c>
      <c r="E580" s="29">
        <f>IFERROR(__xludf.DUMMYFUNCTION("""COMPUTED_VALUE"""),2.0)</f>
        <v>2</v>
      </c>
    </row>
    <row r="581">
      <c r="A581" s="33">
        <f>IFERROR(__xludf.DUMMYFUNCTION("""COMPUTED_VALUE"""),45828.92868631945)</f>
        <v>45828.92869</v>
      </c>
      <c r="B581" s="29" t="str">
        <f>IFERROR(__xludf.DUMMYFUNCTION("""COMPUTED_VALUE"""),"Actively restoring my foreskin / I consider myself restored")</f>
        <v>Actively restoring my foreskin / I consider myself restored</v>
      </c>
      <c r="C581" s="29" t="str">
        <f>IFERROR(__xludf.DUMMYFUNCTION("""COMPUTED_VALUE"""),"Ease of Orgasm")</f>
        <v>Ease of Orgasm</v>
      </c>
      <c r="D581" s="29" t="str">
        <f>IFERROR(__xludf.DUMMYFUNCTION("""COMPUTED_VALUE"""),"5 (High/Excellent)")</f>
        <v>5 (High/Excellent)</v>
      </c>
      <c r="E581" s="29">
        <f>IFERROR(__xludf.DUMMYFUNCTION("""COMPUTED_VALUE"""),5.0)</f>
        <v>5</v>
      </c>
    </row>
    <row r="582">
      <c r="A582" s="33">
        <f>IFERROR(__xludf.DUMMYFUNCTION("""COMPUTED_VALUE"""),45829.002409062494)</f>
        <v>45829.00241</v>
      </c>
      <c r="B582" s="29" t="str">
        <f>IFERROR(__xludf.DUMMYFUNCTION("""COMPUTED_VALUE"""),"Circumcised")</f>
        <v>Circumcised</v>
      </c>
      <c r="C582" s="29" t="str">
        <f>IFERROR(__xludf.DUMMYFUNCTION("""COMPUTED_VALUE"""),"Ease of Orgasm")</f>
        <v>Ease of Orgasm</v>
      </c>
      <c r="D582" s="29" t="str">
        <f>IFERROR(__xludf.DUMMYFUNCTION("""COMPUTED_VALUE"""),"3 (Medium/Average)")</f>
        <v>3 (Medium/Average)</v>
      </c>
      <c r="E582" s="29">
        <f>IFERROR(__xludf.DUMMYFUNCTION("""COMPUTED_VALUE"""),3.0)</f>
        <v>3</v>
      </c>
    </row>
    <row r="583">
      <c r="A583" s="33">
        <f>IFERROR(__xludf.DUMMYFUNCTION("""COMPUTED_VALUE"""),45829.01592366899)</f>
        <v>45829.01592</v>
      </c>
      <c r="B583" s="29" t="str">
        <f>IFERROR(__xludf.DUMMYFUNCTION("""COMPUTED_VALUE"""),"Circumcised")</f>
        <v>Circumcised</v>
      </c>
      <c r="C583" s="29" t="str">
        <f>IFERROR(__xludf.DUMMYFUNCTION("""COMPUTED_VALUE"""),"Ease of Orgasm")</f>
        <v>Ease of Orgasm</v>
      </c>
      <c r="D583" s="29" t="str">
        <f>IFERROR(__xludf.DUMMYFUNCTION("""COMPUTED_VALUE"""),"3 (Medium/Average)")</f>
        <v>3 (Medium/Average)</v>
      </c>
      <c r="E583" s="29">
        <f>IFERROR(__xludf.DUMMYFUNCTION("""COMPUTED_VALUE"""),3.0)</f>
        <v>3</v>
      </c>
    </row>
    <row r="584">
      <c r="A584" s="33">
        <f>IFERROR(__xludf.DUMMYFUNCTION("""COMPUTED_VALUE"""),45829.15104336806)</f>
        <v>45829.15104</v>
      </c>
      <c r="B584" s="29" t="str">
        <f>IFERROR(__xludf.DUMMYFUNCTION("""COMPUTED_VALUE"""),"Circumcised")</f>
        <v>Circumcised</v>
      </c>
      <c r="C584" s="29" t="str">
        <f>IFERROR(__xludf.DUMMYFUNCTION("""COMPUTED_VALUE"""),"Ease of Orgasm")</f>
        <v>Ease of Orgasm</v>
      </c>
      <c r="D584" s="29" t="str">
        <f>IFERROR(__xludf.DUMMYFUNCTION("""COMPUTED_VALUE"""),"2")</f>
        <v>2</v>
      </c>
      <c r="E584" s="29">
        <f>IFERROR(__xludf.DUMMYFUNCTION("""COMPUTED_VALUE"""),2.0)</f>
        <v>2</v>
      </c>
    </row>
    <row r="585">
      <c r="A585" s="33">
        <f>IFERROR(__xludf.DUMMYFUNCTION("""COMPUTED_VALUE"""),45829.217301041666)</f>
        <v>45829.2173</v>
      </c>
      <c r="B585" s="29" t="str">
        <f>IFERROR(__xludf.DUMMYFUNCTION("""COMPUTED_VALUE"""),"Intact (Never circumcised)")</f>
        <v>Intact (Never circumcised)</v>
      </c>
      <c r="C585" s="29" t="str">
        <f>IFERROR(__xludf.DUMMYFUNCTION("""COMPUTED_VALUE"""),"Ease of Orgasm")</f>
        <v>Ease of Orgasm</v>
      </c>
      <c r="D585" s="29" t="str">
        <f>IFERROR(__xludf.DUMMYFUNCTION("""COMPUTED_VALUE"""),"4")</f>
        <v>4</v>
      </c>
      <c r="E585" s="29">
        <f>IFERROR(__xludf.DUMMYFUNCTION("""COMPUTED_VALUE"""),4.0)</f>
        <v>4</v>
      </c>
    </row>
    <row r="586">
      <c r="A586" s="33">
        <f>IFERROR(__xludf.DUMMYFUNCTION("""COMPUTED_VALUE"""),45829.2520430324)</f>
        <v>45829.25204</v>
      </c>
      <c r="B586" s="29" t="str">
        <f>IFERROR(__xludf.DUMMYFUNCTION("""COMPUTED_VALUE"""),"Intact (Never circumcised)")</f>
        <v>Intact (Never circumcised)</v>
      </c>
      <c r="C586" s="29" t="str">
        <f>IFERROR(__xludf.DUMMYFUNCTION("""COMPUTED_VALUE"""),"Ease of Orgasm")</f>
        <v>Ease of Orgasm</v>
      </c>
      <c r="D586" s="29" t="str">
        <f>IFERROR(__xludf.DUMMYFUNCTION("""COMPUTED_VALUE"""),"3 (Medium/Average)")</f>
        <v>3 (Medium/Average)</v>
      </c>
      <c r="E586" s="29">
        <f>IFERROR(__xludf.DUMMYFUNCTION("""COMPUTED_VALUE"""),3.0)</f>
        <v>3</v>
      </c>
    </row>
    <row r="587">
      <c r="A587" s="33">
        <f>IFERROR(__xludf.DUMMYFUNCTION("""COMPUTED_VALUE"""),45829.310797962964)</f>
        <v>45829.3108</v>
      </c>
      <c r="B587" s="29" t="str">
        <f>IFERROR(__xludf.DUMMYFUNCTION("""COMPUTED_VALUE"""),"Actively restoring my foreskin / I consider myself restored")</f>
        <v>Actively restoring my foreskin / I consider myself restored</v>
      </c>
      <c r="C587" s="29" t="str">
        <f>IFERROR(__xludf.DUMMYFUNCTION("""COMPUTED_VALUE"""),"Ease of Orgasm")</f>
        <v>Ease of Orgasm</v>
      </c>
      <c r="D587" s="29" t="str">
        <f>IFERROR(__xludf.DUMMYFUNCTION("""COMPUTED_VALUE"""),"1 (Low/Poor)")</f>
        <v>1 (Low/Poor)</v>
      </c>
      <c r="E587" s="29">
        <f>IFERROR(__xludf.DUMMYFUNCTION("""COMPUTED_VALUE"""),1.0)</f>
        <v>1</v>
      </c>
    </row>
    <row r="588">
      <c r="A588" s="33">
        <f>IFERROR(__xludf.DUMMYFUNCTION("""COMPUTED_VALUE"""),45829.33800960648)</f>
        <v>45829.33801</v>
      </c>
      <c r="B588" s="29" t="str">
        <f>IFERROR(__xludf.DUMMYFUNCTION("""COMPUTED_VALUE"""),"Intact (Never circumcised)")</f>
        <v>Intact (Never circumcised)</v>
      </c>
      <c r="C588" s="29" t="str">
        <f>IFERROR(__xludf.DUMMYFUNCTION("""COMPUTED_VALUE"""),"Ease of Orgasm")</f>
        <v>Ease of Orgasm</v>
      </c>
      <c r="D588" s="29" t="str">
        <f>IFERROR(__xludf.DUMMYFUNCTION("""COMPUTED_VALUE"""),"3 (Medium/Average)")</f>
        <v>3 (Medium/Average)</v>
      </c>
      <c r="E588" s="29">
        <f>IFERROR(__xludf.DUMMYFUNCTION("""COMPUTED_VALUE"""),3.0)</f>
        <v>3</v>
      </c>
    </row>
    <row r="589">
      <c r="A589" s="33">
        <f>IFERROR(__xludf.DUMMYFUNCTION("""COMPUTED_VALUE"""),45829.41961525463)</f>
        <v>45829.41962</v>
      </c>
      <c r="B589" s="29" t="str">
        <f>IFERROR(__xludf.DUMMYFUNCTION("""COMPUTED_VALUE"""),"Intact (Never circumcised)")</f>
        <v>Intact (Never circumcised)</v>
      </c>
      <c r="C589" s="29" t="str">
        <f>IFERROR(__xludf.DUMMYFUNCTION("""COMPUTED_VALUE"""),"Ease of Orgasm")</f>
        <v>Ease of Orgasm</v>
      </c>
      <c r="D589" s="29" t="str">
        <f>IFERROR(__xludf.DUMMYFUNCTION("""COMPUTED_VALUE"""),"3 (Medium/Average)")</f>
        <v>3 (Medium/Average)</v>
      </c>
      <c r="E589" s="29">
        <f>IFERROR(__xludf.DUMMYFUNCTION("""COMPUTED_VALUE"""),3.0)</f>
        <v>3</v>
      </c>
    </row>
    <row r="590">
      <c r="A590" s="33">
        <f>IFERROR(__xludf.DUMMYFUNCTION("""COMPUTED_VALUE"""),45829.42277583333)</f>
        <v>45829.42278</v>
      </c>
      <c r="B590" s="29" t="str">
        <f>IFERROR(__xludf.DUMMYFUNCTION("""COMPUTED_VALUE"""),"Actively restoring my foreskin / I consider myself restored")</f>
        <v>Actively restoring my foreskin / I consider myself restored</v>
      </c>
      <c r="C590" s="29" t="str">
        <f>IFERROR(__xludf.DUMMYFUNCTION("""COMPUTED_VALUE"""),"Ease of Orgasm")</f>
        <v>Ease of Orgasm</v>
      </c>
      <c r="D590" s="29" t="str">
        <f>IFERROR(__xludf.DUMMYFUNCTION("""COMPUTED_VALUE"""),"5 (High/Excellent)")</f>
        <v>5 (High/Excellent)</v>
      </c>
      <c r="E590" s="29">
        <f>IFERROR(__xludf.DUMMYFUNCTION("""COMPUTED_VALUE"""),5.0)</f>
        <v>5</v>
      </c>
    </row>
    <row r="591">
      <c r="A591" s="33">
        <f>IFERROR(__xludf.DUMMYFUNCTION("""COMPUTED_VALUE"""),45829.585866458336)</f>
        <v>45829.58587</v>
      </c>
      <c r="B591" s="29" t="str">
        <f>IFERROR(__xludf.DUMMYFUNCTION("""COMPUTED_VALUE"""),"Actively restoring my foreskin / I consider myself restored")</f>
        <v>Actively restoring my foreskin / I consider myself restored</v>
      </c>
      <c r="C591" s="29" t="str">
        <f>IFERROR(__xludf.DUMMYFUNCTION("""COMPUTED_VALUE"""),"Ease of Orgasm")</f>
        <v>Ease of Orgasm</v>
      </c>
      <c r="D591" s="29" t="str">
        <f>IFERROR(__xludf.DUMMYFUNCTION("""COMPUTED_VALUE"""),"5 (High/Excellent)")</f>
        <v>5 (High/Excellent)</v>
      </c>
      <c r="E591" s="29">
        <f>IFERROR(__xludf.DUMMYFUNCTION("""COMPUTED_VALUE"""),5.0)</f>
        <v>5</v>
      </c>
    </row>
    <row r="592">
      <c r="A592" s="33">
        <f>IFERROR(__xludf.DUMMYFUNCTION("""COMPUTED_VALUE"""),45829.60614784722)</f>
        <v>45829.60615</v>
      </c>
      <c r="B592" s="29" t="str">
        <f>IFERROR(__xludf.DUMMYFUNCTION("""COMPUTED_VALUE"""),"Intact (Never circumcised)")</f>
        <v>Intact (Never circumcised)</v>
      </c>
      <c r="C592" s="29" t="str">
        <f>IFERROR(__xludf.DUMMYFUNCTION("""COMPUTED_VALUE"""),"Ease of Orgasm")</f>
        <v>Ease of Orgasm</v>
      </c>
      <c r="D592" s="29" t="str">
        <f>IFERROR(__xludf.DUMMYFUNCTION("""COMPUTED_VALUE"""),"5 (High/Excellent)")</f>
        <v>5 (High/Excellent)</v>
      </c>
      <c r="E592" s="29">
        <f>IFERROR(__xludf.DUMMYFUNCTION("""COMPUTED_VALUE"""),5.0)</f>
        <v>5</v>
      </c>
    </row>
    <row r="593">
      <c r="A593" s="33">
        <f>IFERROR(__xludf.DUMMYFUNCTION("""COMPUTED_VALUE"""),45829.64056644676)</f>
        <v>45829.64057</v>
      </c>
      <c r="B593" s="29" t="str">
        <f>IFERROR(__xludf.DUMMYFUNCTION("""COMPUTED_VALUE"""),"Actively restoring my foreskin / I consider myself restored")</f>
        <v>Actively restoring my foreskin / I consider myself restored</v>
      </c>
      <c r="C593" s="29" t="str">
        <f>IFERROR(__xludf.DUMMYFUNCTION("""COMPUTED_VALUE"""),"Ease of Orgasm")</f>
        <v>Ease of Orgasm</v>
      </c>
      <c r="D593" s="29" t="str">
        <f>IFERROR(__xludf.DUMMYFUNCTION("""COMPUTED_VALUE"""),"2")</f>
        <v>2</v>
      </c>
      <c r="E593" s="29">
        <f>IFERROR(__xludf.DUMMYFUNCTION("""COMPUTED_VALUE"""),2.0)</f>
        <v>2</v>
      </c>
    </row>
    <row r="594">
      <c r="A594" s="33">
        <f>IFERROR(__xludf.DUMMYFUNCTION("""COMPUTED_VALUE"""),45829.679237766206)</f>
        <v>45829.67924</v>
      </c>
      <c r="B594" s="29" t="str">
        <f>IFERROR(__xludf.DUMMYFUNCTION("""COMPUTED_VALUE"""),"Intact (Never circumcised)")</f>
        <v>Intact (Never circumcised)</v>
      </c>
      <c r="C594" s="29" t="str">
        <f>IFERROR(__xludf.DUMMYFUNCTION("""COMPUTED_VALUE"""),"Ease of Orgasm")</f>
        <v>Ease of Orgasm</v>
      </c>
      <c r="D594" s="29" t="str">
        <f>IFERROR(__xludf.DUMMYFUNCTION("""COMPUTED_VALUE"""),"4")</f>
        <v>4</v>
      </c>
      <c r="E594" s="29">
        <f>IFERROR(__xludf.DUMMYFUNCTION("""COMPUTED_VALUE"""),4.0)</f>
        <v>4</v>
      </c>
    </row>
    <row r="595">
      <c r="A595" s="33">
        <f>IFERROR(__xludf.DUMMYFUNCTION("""COMPUTED_VALUE"""),45829.99185576389)</f>
        <v>45829.99186</v>
      </c>
      <c r="B595" s="29" t="str">
        <f>IFERROR(__xludf.DUMMYFUNCTION("""COMPUTED_VALUE"""),"Circumcised")</f>
        <v>Circumcised</v>
      </c>
      <c r="C595" s="29" t="str">
        <f>IFERROR(__xludf.DUMMYFUNCTION("""COMPUTED_VALUE"""),"Ease of Orgasm")</f>
        <v>Ease of Orgasm</v>
      </c>
      <c r="D595" s="29" t="str">
        <f>IFERROR(__xludf.DUMMYFUNCTION("""COMPUTED_VALUE"""),"1 (Low/Poor)")</f>
        <v>1 (Low/Poor)</v>
      </c>
      <c r="E595" s="29">
        <f>IFERROR(__xludf.DUMMYFUNCTION("""COMPUTED_VALUE"""),1.0)</f>
        <v>1</v>
      </c>
    </row>
    <row r="596">
      <c r="A596" s="33">
        <f>IFERROR(__xludf.DUMMYFUNCTION("""COMPUTED_VALUE"""),45829.99663518518)</f>
        <v>45829.99664</v>
      </c>
      <c r="B596" s="29" t="str">
        <f>IFERROR(__xludf.DUMMYFUNCTION("""COMPUTED_VALUE"""),"Circumcised")</f>
        <v>Circumcised</v>
      </c>
      <c r="C596" s="29" t="str">
        <f>IFERROR(__xludf.DUMMYFUNCTION("""COMPUTED_VALUE"""),"Ease of Orgasm")</f>
        <v>Ease of Orgasm</v>
      </c>
      <c r="D596" s="29" t="str">
        <f>IFERROR(__xludf.DUMMYFUNCTION("""COMPUTED_VALUE"""),"4")</f>
        <v>4</v>
      </c>
      <c r="E596" s="29">
        <f>IFERROR(__xludf.DUMMYFUNCTION("""COMPUTED_VALUE"""),4.0)</f>
        <v>4</v>
      </c>
    </row>
    <row r="597">
      <c r="A597" s="33">
        <f>IFERROR(__xludf.DUMMYFUNCTION("""COMPUTED_VALUE"""),45830.26074947917)</f>
        <v>45830.26075</v>
      </c>
      <c r="B597" s="29" t="str">
        <f>IFERROR(__xludf.DUMMYFUNCTION("""COMPUTED_VALUE"""),"Circumcised")</f>
        <v>Circumcised</v>
      </c>
      <c r="C597" s="29" t="str">
        <f>IFERROR(__xludf.DUMMYFUNCTION("""COMPUTED_VALUE"""),"Ease of Orgasm")</f>
        <v>Ease of Orgasm</v>
      </c>
      <c r="D597" s="29" t="str">
        <f>IFERROR(__xludf.DUMMYFUNCTION("""COMPUTED_VALUE"""),"3 (Medium/Average)")</f>
        <v>3 (Medium/Average)</v>
      </c>
      <c r="E597" s="29">
        <f>IFERROR(__xludf.DUMMYFUNCTION("""COMPUTED_VALUE"""),3.0)</f>
        <v>3</v>
      </c>
    </row>
    <row r="598">
      <c r="A598" s="33">
        <f>IFERROR(__xludf.DUMMYFUNCTION("""COMPUTED_VALUE"""),45830.275929791664)</f>
        <v>45830.27593</v>
      </c>
      <c r="B598" s="29" t="str">
        <f>IFERROR(__xludf.DUMMYFUNCTION("""COMPUTED_VALUE"""),"Intact (Never circumcised)")</f>
        <v>Intact (Never circumcised)</v>
      </c>
      <c r="C598" s="29" t="str">
        <f>IFERROR(__xludf.DUMMYFUNCTION("""COMPUTED_VALUE"""),"Ease of Orgasm")</f>
        <v>Ease of Orgasm</v>
      </c>
      <c r="D598" s="29" t="str">
        <f>IFERROR(__xludf.DUMMYFUNCTION("""COMPUTED_VALUE"""),"3 (Medium/Average)")</f>
        <v>3 (Medium/Average)</v>
      </c>
      <c r="E598" s="29">
        <f>IFERROR(__xludf.DUMMYFUNCTION("""COMPUTED_VALUE"""),3.0)</f>
        <v>3</v>
      </c>
    </row>
    <row r="599">
      <c r="A599" s="33">
        <f>IFERROR(__xludf.DUMMYFUNCTION("""COMPUTED_VALUE"""),45830.342906412036)</f>
        <v>45830.34291</v>
      </c>
      <c r="B599" s="29" t="str">
        <f>IFERROR(__xludf.DUMMYFUNCTION("""COMPUTED_VALUE"""),"Intact (Never circumcised)")</f>
        <v>Intact (Never circumcised)</v>
      </c>
      <c r="C599" s="29" t="str">
        <f>IFERROR(__xludf.DUMMYFUNCTION("""COMPUTED_VALUE"""),"Ease of Orgasm")</f>
        <v>Ease of Orgasm</v>
      </c>
      <c r="D599" s="29" t="str">
        <f>IFERROR(__xludf.DUMMYFUNCTION("""COMPUTED_VALUE"""),"5 (High/Excellent)")</f>
        <v>5 (High/Excellent)</v>
      </c>
      <c r="E599" s="29">
        <f>IFERROR(__xludf.DUMMYFUNCTION("""COMPUTED_VALUE"""),5.0)</f>
        <v>5</v>
      </c>
    </row>
    <row r="600">
      <c r="A600" s="33">
        <f>IFERROR(__xludf.DUMMYFUNCTION("""COMPUTED_VALUE"""),45830.397428067125)</f>
        <v>45830.39743</v>
      </c>
      <c r="B600" s="29" t="str">
        <f>IFERROR(__xludf.DUMMYFUNCTION("""COMPUTED_VALUE"""),"Actively restoring my foreskin / I consider myself restored")</f>
        <v>Actively restoring my foreskin / I consider myself restored</v>
      </c>
      <c r="C600" s="29" t="str">
        <f>IFERROR(__xludf.DUMMYFUNCTION("""COMPUTED_VALUE"""),"Ease of Orgasm")</f>
        <v>Ease of Orgasm</v>
      </c>
      <c r="D600" s="29" t="str">
        <f>IFERROR(__xludf.DUMMYFUNCTION("""COMPUTED_VALUE"""),"2")</f>
        <v>2</v>
      </c>
      <c r="E600" s="29">
        <f>IFERROR(__xludf.DUMMYFUNCTION("""COMPUTED_VALUE"""),2.0)</f>
        <v>2</v>
      </c>
    </row>
    <row r="601">
      <c r="A601" s="33">
        <f>IFERROR(__xludf.DUMMYFUNCTION("""COMPUTED_VALUE"""),45830.414605439815)</f>
        <v>45830.41461</v>
      </c>
      <c r="B601" s="29" t="str">
        <f>IFERROR(__xludf.DUMMYFUNCTION("""COMPUTED_VALUE"""),"Intact (Never circumcised)")</f>
        <v>Intact (Never circumcised)</v>
      </c>
      <c r="C601" s="29" t="str">
        <f>IFERROR(__xludf.DUMMYFUNCTION("""COMPUTED_VALUE"""),"Ease of Orgasm")</f>
        <v>Ease of Orgasm</v>
      </c>
      <c r="D601" s="29" t="str">
        <f>IFERROR(__xludf.DUMMYFUNCTION("""COMPUTED_VALUE"""),"5 (High/Excellent)")</f>
        <v>5 (High/Excellent)</v>
      </c>
      <c r="E601" s="29">
        <f>IFERROR(__xludf.DUMMYFUNCTION("""COMPUTED_VALUE"""),5.0)</f>
        <v>5</v>
      </c>
    </row>
    <row r="602">
      <c r="A602" s="33">
        <f>IFERROR(__xludf.DUMMYFUNCTION("""COMPUTED_VALUE"""),45830.43470159722)</f>
        <v>45830.4347</v>
      </c>
      <c r="B602" s="29" t="str">
        <f>IFERROR(__xludf.DUMMYFUNCTION("""COMPUTED_VALUE"""),"Intact (Never circumcised)")</f>
        <v>Intact (Never circumcised)</v>
      </c>
      <c r="C602" s="29" t="str">
        <f>IFERROR(__xludf.DUMMYFUNCTION("""COMPUTED_VALUE"""),"Ease of Orgasm")</f>
        <v>Ease of Orgasm</v>
      </c>
      <c r="D602" s="29" t="str">
        <f>IFERROR(__xludf.DUMMYFUNCTION("""COMPUTED_VALUE"""),"2")</f>
        <v>2</v>
      </c>
      <c r="E602" s="29">
        <f>IFERROR(__xludf.DUMMYFUNCTION("""COMPUTED_VALUE"""),2.0)</f>
        <v>2</v>
      </c>
    </row>
    <row r="603">
      <c r="A603" s="33">
        <f>IFERROR(__xludf.DUMMYFUNCTION("""COMPUTED_VALUE"""),45830.46624547454)</f>
        <v>45830.46625</v>
      </c>
      <c r="B603" s="29" t="str">
        <f>IFERROR(__xludf.DUMMYFUNCTION("""COMPUTED_VALUE"""),"Circumcised")</f>
        <v>Circumcised</v>
      </c>
      <c r="C603" s="29" t="str">
        <f>IFERROR(__xludf.DUMMYFUNCTION("""COMPUTED_VALUE"""),"Ease of Orgasm")</f>
        <v>Ease of Orgasm</v>
      </c>
      <c r="D603" s="29" t="str">
        <f>IFERROR(__xludf.DUMMYFUNCTION("""COMPUTED_VALUE"""),"5 (High/Excellent)")</f>
        <v>5 (High/Excellent)</v>
      </c>
      <c r="E603" s="29">
        <f>IFERROR(__xludf.DUMMYFUNCTION("""COMPUTED_VALUE"""),5.0)</f>
        <v>5</v>
      </c>
    </row>
    <row r="604">
      <c r="A604" s="33">
        <f>IFERROR(__xludf.DUMMYFUNCTION("""COMPUTED_VALUE"""),45830.47800052084)</f>
        <v>45830.478</v>
      </c>
      <c r="B604" s="29" t="str">
        <f>IFERROR(__xludf.DUMMYFUNCTION("""COMPUTED_VALUE"""),"Intact (Never circumcised)")</f>
        <v>Intact (Never circumcised)</v>
      </c>
      <c r="C604" s="29" t="str">
        <f>IFERROR(__xludf.DUMMYFUNCTION("""COMPUTED_VALUE"""),"Ease of Orgasm")</f>
        <v>Ease of Orgasm</v>
      </c>
      <c r="D604" s="29" t="str">
        <f>IFERROR(__xludf.DUMMYFUNCTION("""COMPUTED_VALUE"""),"4")</f>
        <v>4</v>
      </c>
      <c r="E604" s="29">
        <f>IFERROR(__xludf.DUMMYFUNCTION("""COMPUTED_VALUE"""),4.0)</f>
        <v>4</v>
      </c>
    </row>
    <row r="605">
      <c r="A605" s="33">
        <f>IFERROR(__xludf.DUMMYFUNCTION("""COMPUTED_VALUE"""),45830.5357296875)</f>
        <v>45830.53573</v>
      </c>
      <c r="B605" s="29" t="str">
        <f>IFERROR(__xludf.DUMMYFUNCTION("""COMPUTED_VALUE"""),"Intact (Never circumcised)")</f>
        <v>Intact (Never circumcised)</v>
      </c>
      <c r="C605" s="29" t="str">
        <f>IFERROR(__xludf.DUMMYFUNCTION("""COMPUTED_VALUE"""),"Ease of Orgasm")</f>
        <v>Ease of Orgasm</v>
      </c>
      <c r="D605" s="29" t="str">
        <f>IFERROR(__xludf.DUMMYFUNCTION("""COMPUTED_VALUE"""),"5 (High/Excellent)")</f>
        <v>5 (High/Excellent)</v>
      </c>
      <c r="E605" s="29">
        <f>IFERROR(__xludf.DUMMYFUNCTION("""COMPUTED_VALUE"""),5.0)</f>
        <v>5</v>
      </c>
    </row>
    <row r="606">
      <c r="A606" s="33">
        <f>IFERROR(__xludf.DUMMYFUNCTION("""COMPUTED_VALUE"""),45830.61729040509)</f>
        <v>45830.61729</v>
      </c>
      <c r="B606" s="29" t="str">
        <f>IFERROR(__xludf.DUMMYFUNCTION("""COMPUTED_VALUE"""),"Intact (Never circumcised)")</f>
        <v>Intact (Never circumcised)</v>
      </c>
      <c r="C606" s="29" t="str">
        <f>IFERROR(__xludf.DUMMYFUNCTION("""COMPUTED_VALUE"""),"Ease of Orgasm")</f>
        <v>Ease of Orgasm</v>
      </c>
      <c r="D606" s="29" t="str">
        <f>IFERROR(__xludf.DUMMYFUNCTION("""COMPUTED_VALUE"""),"4")</f>
        <v>4</v>
      </c>
      <c r="E606" s="29">
        <f>IFERROR(__xludf.DUMMYFUNCTION("""COMPUTED_VALUE"""),4.0)</f>
        <v>4</v>
      </c>
    </row>
    <row r="607">
      <c r="A607" s="33">
        <f>IFERROR(__xludf.DUMMYFUNCTION("""COMPUTED_VALUE"""),45830.62220851852)</f>
        <v>45830.62221</v>
      </c>
      <c r="B607" s="29" t="str">
        <f>IFERROR(__xludf.DUMMYFUNCTION("""COMPUTED_VALUE"""),"Intact (Never circumcised)")</f>
        <v>Intact (Never circumcised)</v>
      </c>
      <c r="C607" s="29" t="str">
        <f>IFERROR(__xludf.DUMMYFUNCTION("""COMPUTED_VALUE"""),"Ease of Orgasm")</f>
        <v>Ease of Orgasm</v>
      </c>
      <c r="D607" s="29" t="str">
        <f>IFERROR(__xludf.DUMMYFUNCTION("""COMPUTED_VALUE"""),"3 (Medium/Average)")</f>
        <v>3 (Medium/Average)</v>
      </c>
      <c r="E607" s="29">
        <f>IFERROR(__xludf.DUMMYFUNCTION("""COMPUTED_VALUE"""),3.0)</f>
        <v>3</v>
      </c>
    </row>
    <row r="608">
      <c r="A608" s="33">
        <f>IFERROR(__xludf.DUMMYFUNCTION("""COMPUTED_VALUE"""),45830.63773170139)</f>
        <v>45830.63773</v>
      </c>
      <c r="B608" s="29" t="str">
        <f>IFERROR(__xludf.DUMMYFUNCTION("""COMPUTED_VALUE"""),"Intact (Never circumcised)")</f>
        <v>Intact (Never circumcised)</v>
      </c>
      <c r="C608" s="29" t="str">
        <f>IFERROR(__xludf.DUMMYFUNCTION("""COMPUTED_VALUE"""),"Ease of Orgasm")</f>
        <v>Ease of Orgasm</v>
      </c>
      <c r="D608" s="29" t="str">
        <f>IFERROR(__xludf.DUMMYFUNCTION("""COMPUTED_VALUE"""),"3 (Medium/Average)")</f>
        <v>3 (Medium/Average)</v>
      </c>
      <c r="E608" s="29">
        <f>IFERROR(__xludf.DUMMYFUNCTION("""COMPUTED_VALUE"""),3.0)</f>
        <v>3</v>
      </c>
    </row>
    <row r="609">
      <c r="A609" s="33">
        <f>IFERROR(__xludf.DUMMYFUNCTION("""COMPUTED_VALUE"""),45830.745157337966)</f>
        <v>45830.74516</v>
      </c>
      <c r="B609" s="29" t="str">
        <f>IFERROR(__xludf.DUMMYFUNCTION("""COMPUTED_VALUE"""),"Actively restoring my foreskin / I consider myself restored")</f>
        <v>Actively restoring my foreskin / I consider myself restored</v>
      </c>
      <c r="C609" s="29" t="str">
        <f>IFERROR(__xludf.DUMMYFUNCTION("""COMPUTED_VALUE"""),"Ease of Orgasm")</f>
        <v>Ease of Orgasm</v>
      </c>
      <c r="D609" s="29" t="str">
        <f>IFERROR(__xludf.DUMMYFUNCTION("""COMPUTED_VALUE"""),"4")</f>
        <v>4</v>
      </c>
      <c r="E609" s="29">
        <f>IFERROR(__xludf.DUMMYFUNCTION("""COMPUTED_VALUE"""),4.0)</f>
        <v>4</v>
      </c>
    </row>
    <row r="610">
      <c r="A610" s="33">
        <f>IFERROR(__xludf.DUMMYFUNCTION("""COMPUTED_VALUE"""),45830.74782991898)</f>
        <v>45830.74783</v>
      </c>
      <c r="B610" s="29" t="str">
        <f>IFERROR(__xludf.DUMMYFUNCTION("""COMPUTED_VALUE"""),"Circumcised")</f>
        <v>Circumcised</v>
      </c>
      <c r="C610" s="29" t="str">
        <f>IFERROR(__xludf.DUMMYFUNCTION("""COMPUTED_VALUE"""),"Ease of Orgasm")</f>
        <v>Ease of Orgasm</v>
      </c>
      <c r="D610" s="29" t="str">
        <f>IFERROR(__xludf.DUMMYFUNCTION("""COMPUTED_VALUE"""),"4")</f>
        <v>4</v>
      </c>
      <c r="E610" s="29">
        <f>IFERROR(__xludf.DUMMYFUNCTION("""COMPUTED_VALUE"""),4.0)</f>
        <v>4</v>
      </c>
    </row>
    <row r="611">
      <c r="A611" s="33">
        <f>IFERROR(__xludf.DUMMYFUNCTION("""COMPUTED_VALUE"""),45830.76834444444)</f>
        <v>45830.76834</v>
      </c>
      <c r="B611" s="29" t="str">
        <f>IFERROR(__xludf.DUMMYFUNCTION("""COMPUTED_VALUE"""),"Circumcised")</f>
        <v>Circumcised</v>
      </c>
      <c r="C611" s="29" t="str">
        <f>IFERROR(__xludf.DUMMYFUNCTION("""COMPUTED_VALUE"""),"Ease of Orgasm")</f>
        <v>Ease of Orgasm</v>
      </c>
      <c r="D611" s="29" t="str">
        <f>IFERROR(__xludf.DUMMYFUNCTION("""COMPUTED_VALUE"""),"2")</f>
        <v>2</v>
      </c>
      <c r="E611" s="29">
        <f>IFERROR(__xludf.DUMMYFUNCTION("""COMPUTED_VALUE"""),2.0)</f>
        <v>2</v>
      </c>
    </row>
    <row r="612">
      <c r="A612" s="33">
        <f>IFERROR(__xludf.DUMMYFUNCTION("""COMPUTED_VALUE"""),45830.77002224537)</f>
        <v>45830.77002</v>
      </c>
      <c r="B612" s="29" t="str">
        <f>IFERROR(__xludf.DUMMYFUNCTION("""COMPUTED_VALUE"""),"Actively restoring my foreskin / I consider myself restored")</f>
        <v>Actively restoring my foreskin / I consider myself restored</v>
      </c>
      <c r="C612" s="29" t="str">
        <f>IFERROR(__xludf.DUMMYFUNCTION("""COMPUTED_VALUE"""),"Ease of Orgasm")</f>
        <v>Ease of Orgasm</v>
      </c>
      <c r="D612" s="29" t="str">
        <f>IFERROR(__xludf.DUMMYFUNCTION("""COMPUTED_VALUE"""),"4")</f>
        <v>4</v>
      </c>
      <c r="E612" s="29">
        <f>IFERROR(__xludf.DUMMYFUNCTION("""COMPUTED_VALUE"""),4.0)</f>
        <v>4</v>
      </c>
    </row>
    <row r="613">
      <c r="A613" s="33">
        <f>IFERROR(__xludf.DUMMYFUNCTION("""COMPUTED_VALUE"""),45830.85278008102)</f>
        <v>45830.85278</v>
      </c>
      <c r="B613" s="29" t="str">
        <f>IFERROR(__xludf.DUMMYFUNCTION("""COMPUTED_VALUE"""),"Intact (Never circumcised)")</f>
        <v>Intact (Never circumcised)</v>
      </c>
      <c r="C613" s="29" t="str">
        <f>IFERROR(__xludf.DUMMYFUNCTION("""COMPUTED_VALUE"""),"Ease of Orgasm")</f>
        <v>Ease of Orgasm</v>
      </c>
      <c r="D613" s="29" t="str">
        <f>IFERROR(__xludf.DUMMYFUNCTION("""COMPUTED_VALUE"""),"4")</f>
        <v>4</v>
      </c>
      <c r="E613" s="29">
        <f>IFERROR(__xludf.DUMMYFUNCTION("""COMPUTED_VALUE"""),4.0)</f>
        <v>4</v>
      </c>
    </row>
    <row r="614">
      <c r="A614" s="33">
        <f>IFERROR(__xludf.DUMMYFUNCTION("""COMPUTED_VALUE"""),45830.87385914352)</f>
        <v>45830.87386</v>
      </c>
      <c r="B614" s="29" t="str">
        <f>IFERROR(__xludf.DUMMYFUNCTION("""COMPUTED_VALUE"""),"Circumcised")</f>
        <v>Circumcised</v>
      </c>
      <c r="C614" s="29" t="str">
        <f>IFERROR(__xludf.DUMMYFUNCTION("""COMPUTED_VALUE"""),"Ease of Orgasm")</f>
        <v>Ease of Orgasm</v>
      </c>
      <c r="D614" s="29" t="str">
        <f>IFERROR(__xludf.DUMMYFUNCTION("""COMPUTED_VALUE"""),"2")</f>
        <v>2</v>
      </c>
      <c r="E614" s="29">
        <f>IFERROR(__xludf.DUMMYFUNCTION("""COMPUTED_VALUE"""),2.0)</f>
        <v>2</v>
      </c>
    </row>
    <row r="615">
      <c r="A615" s="33">
        <f>IFERROR(__xludf.DUMMYFUNCTION("""COMPUTED_VALUE"""),45830.97040641204)</f>
        <v>45830.97041</v>
      </c>
      <c r="B615" s="29" t="str">
        <f>IFERROR(__xludf.DUMMYFUNCTION("""COMPUTED_VALUE"""),"Actively restoring my foreskin / I consider myself restored")</f>
        <v>Actively restoring my foreskin / I consider myself restored</v>
      </c>
      <c r="C615" s="29" t="str">
        <f>IFERROR(__xludf.DUMMYFUNCTION("""COMPUTED_VALUE"""),"Ease of Orgasm")</f>
        <v>Ease of Orgasm</v>
      </c>
      <c r="D615" s="29" t="str">
        <f>IFERROR(__xludf.DUMMYFUNCTION("""COMPUTED_VALUE"""),"3 (Medium/Average)")</f>
        <v>3 (Medium/Average)</v>
      </c>
      <c r="E615" s="29">
        <f>IFERROR(__xludf.DUMMYFUNCTION("""COMPUTED_VALUE"""),3.0)</f>
        <v>3</v>
      </c>
    </row>
    <row r="616">
      <c r="A616" s="33">
        <f>IFERROR(__xludf.DUMMYFUNCTION("""COMPUTED_VALUE"""),45831.06838657407)</f>
        <v>45831.06839</v>
      </c>
      <c r="B616" s="29" t="str">
        <f>IFERROR(__xludf.DUMMYFUNCTION("""COMPUTED_VALUE"""),"Circumcised")</f>
        <v>Circumcised</v>
      </c>
      <c r="C616" s="29" t="str">
        <f>IFERROR(__xludf.DUMMYFUNCTION("""COMPUTED_VALUE"""),"Ease of Orgasm")</f>
        <v>Ease of Orgasm</v>
      </c>
      <c r="D616" s="29" t="str">
        <f>IFERROR(__xludf.DUMMYFUNCTION("""COMPUTED_VALUE"""),"2")</f>
        <v>2</v>
      </c>
      <c r="E616" s="29">
        <f>IFERROR(__xludf.DUMMYFUNCTION("""COMPUTED_VALUE"""),2.0)</f>
        <v>2</v>
      </c>
    </row>
    <row r="617">
      <c r="A617" s="33">
        <f>IFERROR(__xludf.DUMMYFUNCTION("""COMPUTED_VALUE"""),45831.087313819444)</f>
        <v>45831.08731</v>
      </c>
      <c r="B617" s="29" t="str">
        <f>IFERROR(__xludf.DUMMYFUNCTION("""COMPUTED_VALUE"""),"Intact (Never circumcised)")</f>
        <v>Intact (Never circumcised)</v>
      </c>
      <c r="C617" s="29" t="str">
        <f>IFERROR(__xludf.DUMMYFUNCTION("""COMPUTED_VALUE"""),"Ease of Orgasm")</f>
        <v>Ease of Orgasm</v>
      </c>
      <c r="D617" s="29" t="str">
        <f>IFERROR(__xludf.DUMMYFUNCTION("""COMPUTED_VALUE"""),"5 (High/Excellent)")</f>
        <v>5 (High/Excellent)</v>
      </c>
      <c r="E617" s="29">
        <f>IFERROR(__xludf.DUMMYFUNCTION("""COMPUTED_VALUE"""),5.0)</f>
        <v>5</v>
      </c>
    </row>
    <row r="618">
      <c r="A618" s="33">
        <f>IFERROR(__xludf.DUMMYFUNCTION("""COMPUTED_VALUE"""),45831.14147674769)</f>
        <v>45831.14148</v>
      </c>
      <c r="B618" s="29" t="str">
        <f>IFERROR(__xludf.DUMMYFUNCTION("""COMPUTED_VALUE"""),"Intact (Never circumcised)")</f>
        <v>Intact (Never circumcised)</v>
      </c>
      <c r="C618" s="29" t="str">
        <f>IFERROR(__xludf.DUMMYFUNCTION("""COMPUTED_VALUE"""),"Ease of Orgasm")</f>
        <v>Ease of Orgasm</v>
      </c>
      <c r="D618" s="29" t="str">
        <f>IFERROR(__xludf.DUMMYFUNCTION("""COMPUTED_VALUE"""),"4")</f>
        <v>4</v>
      </c>
      <c r="E618" s="29">
        <f>IFERROR(__xludf.DUMMYFUNCTION("""COMPUTED_VALUE"""),4.0)</f>
        <v>4</v>
      </c>
    </row>
    <row r="619">
      <c r="A619" s="33">
        <f>IFERROR(__xludf.DUMMYFUNCTION("""COMPUTED_VALUE"""),45831.20082736111)</f>
        <v>45831.20083</v>
      </c>
      <c r="B619" s="29" t="str">
        <f>IFERROR(__xludf.DUMMYFUNCTION("""COMPUTED_VALUE"""),"Intact (Never circumcised)")</f>
        <v>Intact (Never circumcised)</v>
      </c>
      <c r="C619" s="29" t="str">
        <f>IFERROR(__xludf.DUMMYFUNCTION("""COMPUTED_VALUE"""),"Ease of Orgasm")</f>
        <v>Ease of Orgasm</v>
      </c>
      <c r="D619" s="29" t="str">
        <f>IFERROR(__xludf.DUMMYFUNCTION("""COMPUTED_VALUE"""),"4")</f>
        <v>4</v>
      </c>
      <c r="E619" s="29">
        <f>IFERROR(__xludf.DUMMYFUNCTION("""COMPUTED_VALUE"""),4.0)</f>
        <v>4</v>
      </c>
    </row>
    <row r="620">
      <c r="A620" s="33">
        <f>IFERROR(__xludf.DUMMYFUNCTION("""COMPUTED_VALUE"""),45831.280710312494)</f>
        <v>45831.28071</v>
      </c>
      <c r="B620" s="29" t="str">
        <f>IFERROR(__xludf.DUMMYFUNCTION("""COMPUTED_VALUE"""),"Intact (Never circumcised)")</f>
        <v>Intact (Never circumcised)</v>
      </c>
      <c r="C620" s="29" t="str">
        <f>IFERROR(__xludf.DUMMYFUNCTION("""COMPUTED_VALUE"""),"Ease of Orgasm")</f>
        <v>Ease of Orgasm</v>
      </c>
      <c r="D620" s="29" t="str">
        <f>IFERROR(__xludf.DUMMYFUNCTION("""COMPUTED_VALUE"""),"4")</f>
        <v>4</v>
      </c>
      <c r="E620" s="29">
        <f>IFERROR(__xludf.DUMMYFUNCTION("""COMPUTED_VALUE"""),4.0)</f>
        <v>4</v>
      </c>
    </row>
    <row r="621">
      <c r="A621" s="33">
        <f>IFERROR(__xludf.DUMMYFUNCTION("""COMPUTED_VALUE"""),45831.2901250463)</f>
        <v>45831.29013</v>
      </c>
      <c r="B621" s="29" t="str">
        <f>IFERROR(__xludf.DUMMYFUNCTION("""COMPUTED_VALUE"""),"Actively restoring my foreskin / I consider myself restored")</f>
        <v>Actively restoring my foreskin / I consider myself restored</v>
      </c>
      <c r="C621" s="29" t="str">
        <f>IFERROR(__xludf.DUMMYFUNCTION("""COMPUTED_VALUE"""),"Ease of Orgasm")</f>
        <v>Ease of Orgasm</v>
      </c>
      <c r="D621" s="29" t="str">
        <f>IFERROR(__xludf.DUMMYFUNCTION("""COMPUTED_VALUE"""),"2")</f>
        <v>2</v>
      </c>
      <c r="E621" s="29">
        <f>IFERROR(__xludf.DUMMYFUNCTION("""COMPUTED_VALUE"""),2.0)</f>
        <v>2</v>
      </c>
    </row>
    <row r="622">
      <c r="A622" s="33">
        <f>IFERROR(__xludf.DUMMYFUNCTION("""COMPUTED_VALUE"""),45831.31184445602)</f>
        <v>45831.31184</v>
      </c>
      <c r="B622" s="29" t="str">
        <f>IFERROR(__xludf.DUMMYFUNCTION("""COMPUTED_VALUE"""),"Actively restoring my foreskin / I consider myself restored")</f>
        <v>Actively restoring my foreskin / I consider myself restored</v>
      </c>
      <c r="C622" s="29" t="str">
        <f>IFERROR(__xludf.DUMMYFUNCTION("""COMPUTED_VALUE"""),"Ease of Orgasm")</f>
        <v>Ease of Orgasm</v>
      </c>
      <c r="D622" s="29" t="str">
        <f>IFERROR(__xludf.DUMMYFUNCTION("""COMPUTED_VALUE"""),"3 (Medium/Average)")</f>
        <v>3 (Medium/Average)</v>
      </c>
      <c r="E622" s="29">
        <f>IFERROR(__xludf.DUMMYFUNCTION("""COMPUTED_VALUE"""),3.0)</f>
        <v>3</v>
      </c>
    </row>
    <row r="623">
      <c r="A623" s="33">
        <f>IFERROR(__xludf.DUMMYFUNCTION("""COMPUTED_VALUE"""),45831.337022465275)</f>
        <v>45831.33702</v>
      </c>
      <c r="B623" s="29" t="str">
        <f>IFERROR(__xludf.DUMMYFUNCTION("""COMPUTED_VALUE"""),"Actively restoring my foreskin / I consider myself restored")</f>
        <v>Actively restoring my foreskin / I consider myself restored</v>
      </c>
      <c r="C623" s="29" t="str">
        <f>IFERROR(__xludf.DUMMYFUNCTION("""COMPUTED_VALUE"""),"Ease of Orgasm")</f>
        <v>Ease of Orgasm</v>
      </c>
      <c r="D623" s="29" t="str">
        <f>IFERROR(__xludf.DUMMYFUNCTION("""COMPUTED_VALUE"""),"2")</f>
        <v>2</v>
      </c>
      <c r="E623" s="29">
        <f>IFERROR(__xludf.DUMMYFUNCTION("""COMPUTED_VALUE"""),2.0)</f>
        <v>2</v>
      </c>
    </row>
    <row r="624">
      <c r="A624" s="33">
        <f>IFERROR(__xludf.DUMMYFUNCTION("""COMPUTED_VALUE"""),45831.37880005787)</f>
        <v>45831.3788</v>
      </c>
      <c r="B624" s="29" t="str">
        <f>IFERROR(__xludf.DUMMYFUNCTION("""COMPUTED_VALUE"""),"Circumcised")</f>
        <v>Circumcised</v>
      </c>
      <c r="C624" s="29" t="str">
        <f>IFERROR(__xludf.DUMMYFUNCTION("""COMPUTED_VALUE"""),"Ease of Orgasm")</f>
        <v>Ease of Orgasm</v>
      </c>
      <c r="D624" s="29" t="str">
        <f>IFERROR(__xludf.DUMMYFUNCTION("""COMPUTED_VALUE"""),"3 (Medium/Average)")</f>
        <v>3 (Medium/Average)</v>
      </c>
      <c r="E624" s="29">
        <f>IFERROR(__xludf.DUMMYFUNCTION("""COMPUTED_VALUE"""),3.0)</f>
        <v>3</v>
      </c>
    </row>
    <row r="625">
      <c r="A625" s="33">
        <f>IFERROR(__xludf.DUMMYFUNCTION("""COMPUTED_VALUE"""),45831.437976030094)</f>
        <v>45831.43798</v>
      </c>
      <c r="B625" s="29" t="str">
        <f>IFERROR(__xludf.DUMMYFUNCTION("""COMPUTED_VALUE"""),"Intact (Never circumcised)")</f>
        <v>Intact (Never circumcised)</v>
      </c>
      <c r="C625" s="29" t="str">
        <f>IFERROR(__xludf.DUMMYFUNCTION("""COMPUTED_VALUE"""),"Ease of Orgasm")</f>
        <v>Ease of Orgasm</v>
      </c>
      <c r="D625" s="29" t="str">
        <f>IFERROR(__xludf.DUMMYFUNCTION("""COMPUTED_VALUE"""),"5 (High/Excellent)")</f>
        <v>5 (High/Excellent)</v>
      </c>
      <c r="E625" s="29">
        <f>IFERROR(__xludf.DUMMYFUNCTION("""COMPUTED_VALUE"""),5.0)</f>
        <v>5</v>
      </c>
    </row>
    <row r="626">
      <c r="A626" s="33">
        <f>IFERROR(__xludf.DUMMYFUNCTION("""COMPUTED_VALUE"""),45831.46863284722)</f>
        <v>45831.46863</v>
      </c>
      <c r="B626" s="29" t="str">
        <f>IFERROR(__xludf.DUMMYFUNCTION("""COMPUTED_VALUE"""),"Actively restoring my foreskin / I consider myself restored")</f>
        <v>Actively restoring my foreskin / I consider myself restored</v>
      </c>
      <c r="C626" s="29" t="str">
        <f>IFERROR(__xludf.DUMMYFUNCTION("""COMPUTED_VALUE"""),"Ease of Orgasm")</f>
        <v>Ease of Orgasm</v>
      </c>
      <c r="D626" s="29" t="str">
        <f>IFERROR(__xludf.DUMMYFUNCTION("""COMPUTED_VALUE"""),"2")</f>
        <v>2</v>
      </c>
      <c r="E626" s="29">
        <f>IFERROR(__xludf.DUMMYFUNCTION("""COMPUTED_VALUE"""),2.0)</f>
        <v>2</v>
      </c>
    </row>
    <row r="627">
      <c r="A627" s="33">
        <f>IFERROR(__xludf.DUMMYFUNCTION("""COMPUTED_VALUE"""),45831.47309501158)</f>
        <v>45831.4731</v>
      </c>
      <c r="B627" s="29" t="str">
        <f>IFERROR(__xludf.DUMMYFUNCTION("""COMPUTED_VALUE"""),"Actively restoring my foreskin / I consider myself restored")</f>
        <v>Actively restoring my foreskin / I consider myself restored</v>
      </c>
      <c r="C627" s="29" t="str">
        <f>IFERROR(__xludf.DUMMYFUNCTION("""COMPUTED_VALUE"""),"Ease of Orgasm")</f>
        <v>Ease of Orgasm</v>
      </c>
      <c r="D627" s="29" t="str">
        <f>IFERROR(__xludf.DUMMYFUNCTION("""COMPUTED_VALUE"""),"3 (Medium/Average)")</f>
        <v>3 (Medium/Average)</v>
      </c>
      <c r="E627" s="29">
        <f>IFERROR(__xludf.DUMMYFUNCTION("""COMPUTED_VALUE"""),3.0)</f>
        <v>3</v>
      </c>
    </row>
    <row r="628">
      <c r="A628" s="33">
        <f>IFERROR(__xludf.DUMMYFUNCTION("""COMPUTED_VALUE"""),45831.54904612269)</f>
        <v>45831.54905</v>
      </c>
      <c r="B628" s="29" t="str">
        <f>IFERROR(__xludf.DUMMYFUNCTION("""COMPUTED_VALUE"""),"Intact (Never circumcised)")</f>
        <v>Intact (Never circumcised)</v>
      </c>
      <c r="C628" s="29" t="str">
        <f>IFERROR(__xludf.DUMMYFUNCTION("""COMPUTED_VALUE"""),"Ease of Orgasm")</f>
        <v>Ease of Orgasm</v>
      </c>
      <c r="D628" s="29" t="str">
        <f>IFERROR(__xludf.DUMMYFUNCTION("""COMPUTED_VALUE"""),"5 (High/Excellent)")</f>
        <v>5 (High/Excellent)</v>
      </c>
      <c r="E628" s="29">
        <f>IFERROR(__xludf.DUMMYFUNCTION("""COMPUTED_VALUE"""),5.0)</f>
        <v>5</v>
      </c>
    </row>
    <row r="629">
      <c r="A629" s="33">
        <f>IFERROR(__xludf.DUMMYFUNCTION("""COMPUTED_VALUE"""),45831.61556234954)</f>
        <v>45831.61556</v>
      </c>
      <c r="B629" s="29" t="str">
        <f>IFERROR(__xludf.DUMMYFUNCTION("""COMPUTED_VALUE"""),"Intact (Never circumcised)")</f>
        <v>Intact (Never circumcised)</v>
      </c>
      <c r="C629" s="29" t="str">
        <f>IFERROR(__xludf.DUMMYFUNCTION("""COMPUTED_VALUE"""),"Ease of Orgasm")</f>
        <v>Ease of Orgasm</v>
      </c>
      <c r="D629" s="29" t="str">
        <f>IFERROR(__xludf.DUMMYFUNCTION("""COMPUTED_VALUE"""),"5 (High/Excellent)")</f>
        <v>5 (High/Excellent)</v>
      </c>
      <c r="E629" s="29">
        <f>IFERROR(__xludf.DUMMYFUNCTION("""COMPUTED_VALUE"""),5.0)</f>
        <v>5</v>
      </c>
    </row>
    <row r="630">
      <c r="A630" s="33">
        <f>IFERROR(__xludf.DUMMYFUNCTION("""COMPUTED_VALUE"""),45831.70324116898)</f>
        <v>45831.70324</v>
      </c>
      <c r="B630" s="29" t="str">
        <f>IFERROR(__xludf.DUMMYFUNCTION("""COMPUTED_VALUE"""),"Actively restoring my foreskin / I consider myself restored")</f>
        <v>Actively restoring my foreskin / I consider myself restored</v>
      </c>
      <c r="C630" s="29" t="str">
        <f>IFERROR(__xludf.DUMMYFUNCTION("""COMPUTED_VALUE"""),"Ease of Orgasm")</f>
        <v>Ease of Orgasm</v>
      </c>
      <c r="D630" s="29" t="str">
        <f>IFERROR(__xludf.DUMMYFUNCTION("""COMPUTED_VALUE"""),"3 (Medium/Average)")</f>
        <v>3 (Medium/Average)</v>
      </c>
      <c r="E630" s="29">
        <f>IFERROR(__xludf.DUMMYFUNCTION("""COMPUTED_VALUE"""),3.0)</f>
        <v>3</v>
      </c>
    </row>
    <row r="631">
      <c r="A631" s="33">
        <f>IFERROR(__xludf.DUMMYFUNCTION("""COMPUTED_VALUE"""),45831.70685833333)</f>
        <v>45831.70686</v>
      </c>
      <c r="B631" s="29" t="str">
        <f>IFERROR(__xludf.DUMMYFUNCTION("""COMPUTED_VALUE"""),"Intact (Never circumcised)")</f>
        <v>Intact (Never circumcised)</v>
      </c>
      <c r="C631" s="29" t="str">
        <f>IFERROR(__xludf.DUMMYFUNCTION("""COMPUTED_VALUE"""),"Ease of Orgasm")</f>
        <v>Ease of Orgasm</v>
      </c>
      <c r="D631" s="29" t="str">
        <f>IFERROR(__xludf.DUMMYFUNCTION("""COMPUTED_VALUE"""),"3 (Medium/Average)")</f>
        <v>3 (Medium/Average)</v>
      </c>
      <c r="E631" s="29">
        <f>IFERROR(__xludf.DUMMYFUNCTION("""COMPUTED_VALUE"""),3.0)</f>
        <v>3</v>
      </c>
    </row>
    <row r="632">
      <c r="A632" s="33">
        <f>IFERROR(__xludf.DUMMYFUNCTION("""COMPUTED_VALUE"""),45831.785180127314)</f>
        <v>45831.78518</v>
      </c>
      <c r="B632" s="29" t="str">
        <f>IFERROR(__xludf.DUMMYFUNCTION("""COMPUTED_VALUE"""),"Intact (Never circumcised)")</f>
        <v>Intact (Never circumcised)</v>
      </c>
      <c r="C632" s="29" t="str">
        <f>IFERROR(__xludf.DUMMYFUNCTION("""COMPUTED_VALUE"""),"Ease of Orgasm")</f>
        <v>Ease of Orgasm</v>
      </c>
      <c r="D632" s="29" t="str">
        <f>IFERROR(__xludf.DUMMYFUNCTION("""COMPUTED_VALUE"""),"5 (High/Excellent)")</f>
        <v>5 (High/Excellent)</v>
      </c>
      <c r="E632" s="29">
        <f>IFERROR(__xludf.DUMMYFUNCTION("""COMPUTED_VALUE"""),5.0)</f>
        <v>5</v>
      </c>
    </row>
    <row r="633">
      <c r="A633" s="33">
        <f>IFERROR(__xludf.DUMMYFUNCTION("""COMPUTED_VALUE"""),45831.81648645833)</f>
        <v>45831.81649</v>
      </c>
      <c r="B633" s="29" t="str">
        <f>IFERROR(__xludf.DUMMYFUNCTION("""COMPUTED_VALUE"""),"Intact (Never circumcised)")</f>
        <v>Intact (Never circumcised)</v>
      </c>
      <c r="C633" s="29" t="str">
        <f>IFERROR(__xludf.DUMMYFUNCTION("""COMPUTED_VALUE"""),"Ease of Orgasm")</f>
        <v>Ease of Orgasm</v>
      </c>
      <c r="D633" s="29" t="str">
        <f>IFERROR(__xludf.DUMMYFUNCTION("""COMPUTED_VALUE"""),"2")</f>
        <v>2</v>
      </c>
      <c r="E633" s="29">
        <f>IFERROR(__xludf.DUMMYFUNCTION("""COMPUTED_VALUE"""),2.0)</f>
        <v>2</v>
      </c>
    </row>
    <row r="634">
      <c r="A634" s="33">
        <f>IFERROR(__xludf.DUMMYFUNCTION("""COMPUTED_VALUE"""),45831.93652824074)</f>
        <v>45831.93653</v>
      </c>
      <c r="B634" s="29" t="str">
        <f>IFERROR(__xludf.DUMMYFUNCTION("""COMPUTED_VALUE"""),"Actively restoring my foreskin / I consider myself restored")</f>
        <v>Actively restoring my foreskin / I consider myself restored</v>
      </c>
      <c r="C634" s="29" t="str">
        <f>IFERROR(__xludf.DUMMYFUNCTION("""COMPUTED_VALUE"""),"Ease of Orgasm")</f>
        <v>Ease of Orgasm</v>
      </c>
      <c r="D634" s="29" t="str">
        <f>IFERROR(__xludf.DUMMYFUNCTION("""COMPUTED_VALUE"""),"1 (Low/Poor)")</f>
        <v>1 (Low/Poor)</v>
      </c>
      <c r="E634" s="29">
        <f>IFERROR(__xludf.DUMMYFUNCTION("""COMPUTED_VALUE"""),1.0)</f>
        <v>1</v>
      </c>
    </row>
    <row r="635">
      <c r="A635" s="33">
        <f>IFERROR(__xludf.DUMMYFUNCTION("""COMPUTED_VALUE"""),45832.168814212964)</f>
        <v>45832.16881</v>
      </c>
      <c r="B635" s="29" t="str">
        <f>IFERROR(__xludf.DUMMYFUNCTION("""COMPUTED_VALUE"""),"Circumcised")</f>
        <v>Circumcised</v>
      </c>
      <c r="C635" s="29" t="str">
        <f>IFERROR(__xludf.DUMMYFUNCTION("""COMPUTED_VALUE"""),"Ease of Orgasm")</f>
        <v>Ease of Orgasm</v>
      </c>
      <c r="D635" s="29" t="str">
        <f>IFERROR(__xludf.DUMMYFUNCTION("""COMPUTED_VALUE"""),"1 (Low/Poor)")</f>
        <v>1 (Low/Poor)</v>
      </c>
      <c r="E635" s="29">
        <f>IFERROR(__xludf.DUMMYFUNCTION("""COMPUTED_VALUE"""),1.0)</f>
        <v>1</v>
      </c>
    </row>
    <row r="636">
      <c r="A636" s="33">
        <f>IFERROR(__xludf.DUMMYFUNCTION("""COMPUTED_VALUE"""),45832.22020383101)</f>
        <v>45832.2202</v>
      </c>
      <c r="B636" s="29" t="str">
        <f>IFERROR(__xludf.DUMMYFUNCTION("""COMPUTED_VALUE"""),"Intact (Never circumcised)")</f>
        <v>Intact (Never circumcised)</v>
      </c>
      <c r="C636" s="29" t="str">
        <f>IFERROR(__xludf.DUMMYFUNCTION("""COMPUTED_VALUE"""),"Ease of Orgasm")</f>
        <v>Ease of Orgasm</v>
      </c>
      <c r="D636" s="29" t="str">
        <f>IFERROR(__xludf.DUMMYFUNCTION("""COMPUTED_VALUE"""),"5 (High/Excellent)")</f>
        <v>5 (High/Excellent)</v>
      </c>
      <c r="E636" s="29">
        <f>IFERROR(__xludf.DUMMYFUNCTION("""COMPUTED_VALUE"""),5.0)</f>
        <v>5</v>
      </c>
    </row>
    <row r="637">
      <c r="A637" s="33">
        <f>IFERROR(__xludf.DUMMYFUNCTION("""COMPUTED_VALUE"""),45832.38233418982)</f>
        <v>45832.38233</v>
      </c>
      <c r="B637" s="29" t="str">
        <f>IFERROR(__xludf.DUMMYFUNCTION("""COMPUTED_VALUE"""),"Intact (Never circumcised)")</f>
        <v>Intact (Never circumcised)</v>
      </c>
      <c r="C637" s="29" t="str">
        <f>IFERROR(__xludf.DUMMYFUNCTION("""COMPUTED_VALUE"""),"Ease of Orgasm")</f>
        <v>Ease of Orgasm</v>
      </c>
      <c r="D637" s="29" t="str">
        <f>IFERROR(__xludf.DUMMYFUNCTION("""COMPUTED_VALUE"""),"5 (High/Excellent)")</f>
        <v>5 (High/Excellent)</v>
      </c>
      <c r="E637" s="29">
        <f>IFERROR(__xludf.DUMMYFUNCTION("""COMPUTED_VALUE"""),5.0)</f>
        <v>5</v>
      </c>
    </row>
    <row r="638">
      <c r="A638" s="33">
        <f>IFERROR(__xludf.DUMMYFUNCTION("""COMPUTED_VALUE"""),45832.38844354167)</f>
        <v>45832.38844</v>
      </c>
      <c r="B638" s="29" t="str">
        <f>IFERROR(__xludf.DUMMYFUNCTION("""COMPUTED_VALUE"""),"Intact (Never circumcised)")</f>
        <v>Intact (Never circumcised)</v>
      </c>
      <c r="C638" s="29" t="str">
        <f>IFERROR(__xludf.DUMMYFUNCTION("""COMPUTED_VALUE"""),"Ease of Orgasm")</f>
        <v>Ease of Orgasm</v>
      </c>
      <c r="D638" s="29" t="str">
        <f>IFERROR(__xludf.DUMMYFUNCTION("""COMPUTED_VALUE"""),"5 (High/Excellent)")</f>
        <v>5 (High/Excellent)</v>
      </c>
      <c r="E638" s="29">
        <f>IFERROR(__xludf.DUMMYFUNCTION("""COMPUTED_VALUE"""),5.0)</f>
        <v>5</v>
      </c>
    </row>
    <row r="639">
      <c r="A639" s="33">
        <f>IFERROR(__xludf.DUMMYFUNCTION("""COMPUTED_VALUE"""),45832.400918541665)</f>
        <v>45832.40092</v>
      </c>
      <c r="B639" s="29" t="str">
        <f>IFERROR(__xludf.DUMMYFUNCTION("""COMPUTED_VALUE"""),"Intact (Never circumcised)")</f>
        <v>Intact (Never circumcised)</v>
      </c>
      <c r="C639" s="29" t="str">
        <f>IFERROR(__xludf.DUMMYFUNCTION("""COMPUTED_VALUE"""),"Ease of Orgasm")</f>
        <v>Ease of Orgasm</v>
      </c>
      <c r="D639" s="29" t="str">
        <f>IFERROR(__xludf.DUMMYFUNCTION("""COMPUTED_VALUE"""),"5 (High/Excellent)")</f>
        <v>5 (High/Excellent)</v>
      </c>
      <c r="E639" s="29">
        <f>IFERROR(__xludf.DUMMYFUNCTION("""COMPUTED_VALUE"""),5.0)</f>
        <v>5</v>
      </c>
    </row>
    <row r="640">
      <c r="A640" s="33">
        <f>IFERROR(__xludf.DUMMYFUNCTION("""COMPUTED_VALUE"""),45832.53223854167)</f>
        <v>45832.53224</v>
      </c>
      <c r="B640" s="29" t="str">
        <f>IFERROR(__xludf.DUMMYFUNCTION("""COMPUTED_VALUE"""),"Actively restoring my foreskin / I consider myself restored")</f>
        <v>Actively restoring my foreskin / I consider myself restored</v>
      </c>
      <c r="C640" s="29" t="str">
        <f>IFERROR(__xludf.DUMMYFUNCTION("""COMPUTED_VALUE"""),"Ease of Orgasm")</f>
        <v>Ease of Orgasm</v>
      </c>
      <c r="D640" s="29" t="str">
        <f>IFERROR(__xludf.DUMMYFUNCTION("""COMPUTED_VALUE"""),"5 (High/Excellent)")</f>
        <v>5 (High/Excellent)</v>
      </c>
      <c r="E640" s="29">
        <f>IFERROR(__xludf.DUMMYFUNCTION("""COMPUTED_VALUE"""),5.0)</f>
        <v>5</v>
      </c>
    </row>
    <row r="641">
      <c r="A641" s="33">
        <f>IFERROR(__xludf.DUMMYFUNCTION("""COMPUTED_VALUE"""),45832.613582488426)</f>
        <v>45832.61358</v>
      </c>
      <c r="B641" s="29" t="str">
        <f>IFERROR(__xludf.DUMMYFUNCTION("""COMPUTED_VALUE"""),"Circumcised")</f>
        <v>Circumcised</v>
      </c>
      <c r="C641" s="29" t="str">
        <f>IFERROR(__xludf.DUMMYFUNCTION("""COMPUTED_VALUE"""),"Ease of Orgasm")</f>
        <v>Ease of Orgasm</v>
      </c>
      <c r="D641" s="29" t="str">
        <f>IFERROR(__xludf.DUMMYFUNCTION("""COMPUTED_VALUE"""),"3 (Medium/Average)")</f>
        <v>3 (Medium/Average)</v>
      </c>
      <c r="E641" s="29">
        <f>IFERROR(__xludf.DUMMYFUNCTION("""COMPUTED_VALUE"""),3.0)</f>
        <v>3</v>
      </c>
    </row>
    <row r="642">
      <c r="A642" s="33">
        <f>IFERROR(__xludf.DUMMYFUNCTION("""COMPUTED_VALUE"""),45833.016503148145)</f>
        <v>45833.0165</v>
      </c>
      <c r="B642" s="29" t="str">
        <f>IFERROR(__xludf.DUMMYFUNCTION("""COMPUTED_VALUE"""),"Intact (Never circumcised)")</f>
        <v>Intact (Never circumcised)</v>
      </c>
      <c r="C642" s="29" t="str">
        <f>IFERROR(__xludf.DUMMYFUNCTION("""COMPUTED_VALUE"""),"Ease of Orgasm")</f>
        <v>Ease of Orgasm</v>
      </c>
      <c r="D642" s="29" t="str">
        <f>IFERROR(__xludf.DUMMYFUNCTION("""COMPUTED_VALUE"""),"5 (High/Excellent)")</f>
        <v>5 (High/Excellent)</v>
      </c>
      <c r="E642" s="29">
        <f>IFERROR(__xludf.DUMMYFUNCTION("""COMPUTED_VALUE"""),5.0)</f>
        <v>5</v>
      </c>
    </row>
    <row r="643">
      <c r="A643" s="33">
        <f>IFERROR(__xludf.DUMMYFUNCTION("""COMPUTED_VALUE"""),45833.09466783565)</f>
        <v>45833.09467</v>
      </c>
      <c r="B643" s="29" t="str">
        <f>IFERROR(__xludf.DUMMYFUNCTION("""COMPUTED_VALUE"""),"Circumcised")</f>
        <v>Circumcised</v>
      </c>
      <c r="C643" s="29" t="str">
        <f>IFERROR(__xludf.DUMMYFUNCTION("""COMPUTED_VALUE"""),"Ease of Orgasm")</f>
        <v>Ease of Orgasm</v>
      </c>
      <c r="D643" s="29" t="str">
        <f>IFERROR(__xludf.DUMMYFUNCTION("""COMPUTED_VALUE"""),"3 (Medium/Average)")</f>
        <v>3 (Medium/Average)</v>
      </c>
      <c r="E643" s="29">
        <f>IFERROR(__xludf.DUMMYFUNCTION("""COMPUTED_VALUE"""),3.0)</f>
        <v>3</v>
      </c>
    </row>
    <row r="644">
      <c r="A644" s="33">
        <f>IFERROR(__xludf.DUMMYFUNCTION("""COMPUTED_VALUE"""),45833.27167458333)</f>
        <v>45833.27167</v>
      </c>
      <c r="B644" s="29" t="str">
        <f>IFERROR(__xludf.DUMMYFUNCTION("""COMPUTED_VALUE"""),"Intact (Never circumcised)")</f>
        <v>Intact (Never circumcised)</v>
      </c>
      <c r="C644" s="29" t="str">
        <f>IFERROR(__xludf.DUMMYFUNCTION("""COMPUTED_VALUE"""),"Ease of Orgasm")</f>
        <v>Ease of Orgasm</v>
      </c>
      <c r="D644" s="29" t="str">
        <f>IFERROR(__xludf.DUMMYFUNCTION("""COMPUTED_VALUE"""),"4")</f>
        <v>4</v>
      </c>
      <c r="E644" s="29">
        <f>IFERROR(__xludf.DUMMYFUNCTION("""COMPUTED_VALUE"""),4.0)</f>
        <v>4</v>
      </c>
    </row>
    <row r="645">
      <c r="A645" s="33">
        <f>IFERROR(__xludf.DUMMYFUNCTION("""COMPUTED_VALUE"""),45833.341107002314)</f>
        <v>45833.34111</v>
      </c>
      <c r="B645" s="29" t="str">
        <f>IFERROR(__xludf.DUMMYFUNCTION("""COMPUTED_VALUE"""),"Actively restoring my foreskin / I consider myself restored")</f>
        <v>Actively restoring my foreskin / I consider myself restored</v>
      </c>
      <c r="C645" s="29" t="str">
        <f>IFERROR(__xludf.DUMMYFUNCTION("""COMPUTED_VALUE"""),"Ease of Orgasm")</f>
        <v>Ease of Orgasm</v>
      </c>
      <c r="D645" s="29" t="str">
        <f>IFERROR(__xludf.DUMMYFUNCTION("""COMPUTED_VALUE"""),"2")</f>
        <v>2</v>
      </c>
      <c r="E645" s="29">
        <f>IFERROR(__xludf.DUMMYFUNCTION("""COMPUTED_VALUE"""),2.0)</f>
        <v>2</v>
      </c>
    </row>
    <row r="646">
      <c r="A646" s="33">
        <f>IFERROR(__xludf.DUMMYFUNCTION("""COMPUTED_VALUE"""),45833.43214159722)</f>
        <v>45833.43214</v>
      </c>
      <c r="B646" s="29" t="str">
        <f>IFERROR(__xludf.DUMMYFUNCTION("""COMPUTED_VALUE"""),"Circumcised")</f>
        <v>Circumcised</v>
      </c>
      <c r="C646" s="29" t="str">
        <f>IFERROR(__xludf.DUMMYFUNCTION("""COMPUTED_VALUE"""),"Ease of Orgasm")</f>
        <v>Ease of Orgasm</v>
      </c>
      <c r="D646" s="29" t="str">
        <f>IFERROR(__xludf.DUMMYFUNCTION("""COMPUTED_VALUE"""),"2")</f>
        <v>2</v>
      </c>
      <c r="E646" s="29">
        <f>IFERROR(__xludf.DUMMYFUNCTION("""COMPUTED_VALUE"""),2.0)</f>
        <v>2</v>
      </c>
    </row>
    <row r="647">
      <c r="A647" s="33">
        <f>IFERROR(__xludf.DUMMYFUNCTION("""COMPUTED_VALUE"""),45833.572022002314)</f>
        <v>45833.57202</v>
      </c>
      <c r="B647" s="29" t="str">
        <f>IFERROR(__xludf.DUMMYFUNCTION("""COMPUTED_VALUE"""),"Circumcised")</f>
        <v>Circumcised</v>
      </c>
      <c r="C647" s="29" t="str">
        <f>IFERROR(__xludf.DUMMYFUNCTION("""COMPUTED_VALUE"""),"Ease of Orgasm")</f>
        <v>Ease of Orgasm</v>
      </c>
      <c r="D647" s="29" t="str">
        <f>IFERROR(__xludf.DUMMYFUNCTION("""COMPUTED_VALUE"""),"5 (High/Excellent)")</f>
        <v>5 (High/Excellent)</v>
      </c>
      <c r="E647" s="29">
        <f>IFERROR(__xludf.DUMMYFUNCTION("""COMPUTED_VALUE"""),5.0)</f>
        <v>5</v>
      </c>
    </row>
    <row r="648">
      <c r="A648" s="33">
        <f>IFERROR(__xludf.DUMMYFUNCTION("""COMPUTED_VALUE"""),45833.82247668981)</f>
        <v>45833.82248</v>
      </c>
      <c r="B648" s="29" t="str">
        <f>IFERROR(__xludf.DUMMYFUNCTION("""COMPUTED_VALUE"""),"Intact (Never circumcised)")</f>
        <v>Intact (Never circumcised)</v>
      </c>
      <c r="C648" s="29" t="str">
        <f>IFERROR(__xludf.DUMMYFUNCTION("""COMPUTED_VALUE"""),"Ease of Orgasm")</f>
        <v>Ease of Orgasm</v>
      </c>
      <c r="D648" s="29" t="str">
        <f>IFERROR(__xludf.DUMMYFUNCTION("""COMPUTED_VALUE"""),"3 (Medium/Average)")</f>
        <v>3 (Medium/Average)</v>
      </c>
      <c r="E648" s="29">
        <f>IFERROR(__xludf.DUMMYFUNCTION("""COMPUTED_VALUE"""),3.0)</f>
        <v>3</v>
      </c>
    </row>
    <row r="649">
      <c r="A649" s="33">
        <f>IFERROR(__xludf.DUMMYFUNCTION("""COMPUTED_VALUE"""),45833.822846944444)</f>
        <v>45833.82285</v>
      </c>
      <c r="B649" s="29" t="str">
        <f>IFERROR(__xludf.DUMMYFUNCTION("""COMPUTED_VALUE"""),"Circumcised")</f>
        <v>Circumcised</v>
      </c>
      <c r="C649" s="29" t="str">
        <f>IFERROR(__xludf.DUMMYFUNCTION("""COMPUTED_VALUE"""),"Ease of Orgasm")</f>
        <v>Ease of Orgasm</v>
      </c>
      <c r="D649" s="29" t="str">
        <f>IFERROR(__xludf.DUMMYFUNCTION("""COMPUTED_VALUE"""),"5 (High/Excellent)")</f>
        <v>5 (High/Excellent)</v>
      </c>
      <c r="E649" s="29">
        <f>IFERROR(__xludf.DUMMYFUNCTION("""COMPUTED_VALUE"""),5.0)</f>
        <v>5</v>
      </c>
    </row>
    <row r="650">
      <c r="A650" s="33">
        <f>IFERROR(__xludf.DUMMYFUNCTION("""COMPUTED_VALUE"""),45833.886279039354)</f>
        <v>45833.88628</v>
      </c>
      <c r="B650" s="29" t="str">
        <f>IFERROR(__xludf.DUMMYFUNCTION("""COMPUTED_VALUE"""),"Circumcised")</f>
        <v>Circumcised</v>
      </c>
      <c r="C650" s="29" t="str">
        <f>IFERROR(__xludf.DUMMYFUNCTION("""COMPUTED_VALUE"""),"Ease of Orgasm")</f>
        <v>Ease of Orgasm</v>
      </c>
      <c r="D650" s="29" t="str">
        <f>IFERROR(__xludf.DUMMYFUNCTION("""COMPUTED_VALUE"""),"4")</f>
        <v>4</v>
      </c>
      <c r="E650" s="29">
        <f>IFERROR(__xludf.DUMMYFUNCTION("""COMPUTED_VALUE"""),4.0)</f>
        <v>4</v>
      </c>
    </row>
    <row r="651">
      <c r="A651" s="33">
        <f>IFERROR(__xludf.DUMMYFUNCTION("""COMPUTED_VALUE"""),45834.08521821759)</f>
        <v>45834.08522</v>
      </c>
      <c r="B651" s="29" t="str">
        <f>IFERROR(__xludf.DUMMYFUNCTION("""COMPUTED_VALUE"""),"Circumcised")</f>
        <v>Circumcised</v>
      </c>
      <c r="C651" s="29" t="str">
        <f>IFERROR(__xludf.DUMMYFUNCTION("""COMPUTED_VALUE"""),"Ease of Orgasm")</f>
        <v>Ease of Orgasm</v>
      </c>
      <c r="D651" s="29" t="str">
        <f>IFERROR(__xludf.DUMMYFUNCTION("""COMPUTED_VALUE"""),"3 (Medium/Average)")</f>
        <v>3 (Medium/Average)</v>
      </c>
      <c r="E651" s="29">
        <f>IFERROR(__xludf.DUMMYFUNCTION("""COMPUTED_VALUE"""),3.0)</f>
        <v>3</v>
      </c>
    </row>
    <row r="652">
      <c r="A652" s="33">
        <f>IFERROR(__xludf.DUMMYFUNCTION("""COMPUTED_VALUE"""),45834.09703479167)</f>
        <v>45834.09703</v>
      </c>
      <c r="B652" s="29" t="str">
        <f>IFERROR(__xludf.DUMMYFUNCTION("""COMPUTED_VALUE"""),"Circumcised")</f>
        <v>Circumcised</v>
      </c>
      <c r="C652" s="29" t="str">
        <f>IFERROR(__xludf.DUMMYFUNCTION("""COMPUTED_VALUE"""),"Ease of Orgasm")</f>
        <v>Ease of Orgasm</v>
      </c>
      <c r="D652" s="29" t="str">
        <f>IFERROR(__xludf.DUMMYFUNCTION("""COMPUTED_VALUE"""),"2")</f>
        <v>2</v>
      </c>
      <c r="E652" s="29">
        <f>IFERROR(__xludf.DUMMYFUNCTION("""COMPUTED_VALUE"""),2.0)</f>
        <v>2</v>
      </c>
    </row>
    <row r="653">
      <c r="A653" s="33">
        <f>IFERROR(__xludf.DUMMYFUNCTION("""COMPUTED_VALUE"""),45834.14087384259)</f>
        <v>45834.14087</v>
      </c>
      <c r="B653" s="29" t="str">
        <f>IFERROR(__xludf.DUMMYFUNCTION("""COMPUTED_VALUE"""),"Intact (Never circumcised)")</f>
        <v>Intact (Never circumcised)</v>
      </c>
      <c r="C653" s="29" t="str">
        <f>IFERROR(__xludf.DUMMYFUNCTION("""COMPUTED_VALUE"""),"Ease of Orgasm")</f>
        <v>Ease of Orgasm</v>
      </c>
      <c r="D653" s="29" t="str">
        <f>IFERROR(__xludf.DUMMYFUNCTION("""COMPUTED_VALUE"""),"5 (High/Excellent)")</f>
        <v>5 (High/Excellent)</v>
      </c>
      <c r="E653" s="29">
        <f>IFERROR(__xludf.DUMMYFUNCTION("""COMPUTED_VALUE"""),5.0)</f>
        <v>5</v>
      </c>
    </row>
    <row r="654">
      <c r="A654" s="33">
        <f>IFERROR(__xludf.DUMMYFUNCTION("""COMPUTED_VALUE"""),45834.45642371528)</f>
        <v>45834.45642</v>
      </c>
      <c r="B654" s="29" t="str">
        <f>IFERROR(__xludf.DUMMYFUNCTION("""COMPUTED_VALUE"""),"Circumcised")</f>
        <v>Circumcised</v>
      </c>
      <c r="C654" s="29" t="str">
        <f>IFERROR(__xludf.DUMMYFUNCTION("""COMPUTED_VALUE"""),"Ease of Orgasm")</f>
        <v>Ease of Orgasm</v>
      </c>
      <c r="D654" s="29" t="str">
        <f>IFERROR(__xludf.DUMMYFUNCTION("""COMPUTED_VALUE"""),"1 (Low/Poor)")</f>
        <v>1 (Low/Poor)</v>
      </c>
      <c r="E654" s="29">
        <f>IFERROR(__xludf.DUMMYFUNCTION("""COMPUTED_VALUE"""),1.0)</f>
        <v>1</v>
      </c>
    </row>
    <row r="655">
      <c r="A655" s="33">
        <f>IFERROR(__xludf.DUMMYFUNCTION("""COMPUTED_VALUE"""),45834.524166041665)</f>
        <v>45834.52417</v>
      </c>
      <c r="B655" s="29" t="str">
        <f>IFERROR(__xludf.DUMMYFUNCTION("""COMPUTED_VALUE"""),"Intact (Never circumcised)")</f>
        <v>Intact (Never circumcised)</v>
      </c>
      <c r="C655" s="29" t="str">
        <f>IFERROR(__xludf.DUMMYFUNCTION("""COMPUTED_VALUE"""),"Ease of Orgasm")</f>
        <v>Ease of Orgasm</v>
      </c>
      <c r="D655" s="29" t="str">
        <f>IFERROR(__xludf.DUMMYFUNCTION("""COMPUTED_VALUE"""),"5 (High/Excellent)")</f>
        <v>5 (High/Excellent)</v>
      </c>
      <c r="E655" s="29">
        <f>IFERROR(__xludf.DUMMYFUNCTION("""COMPUTED_VALUE"""),5.0)</f>
        <v>5</v>
      </c>
    </row>
    <row r="656">
      <c r="A656" s="33">
        <f>IFERROR(__xludf.DUMMYFUNCTION("""COMPUTED_VALUE"""),45834.83290418982)</f>
        <v>45834.8329</v>
      </c>
      <c r="B656" s="29" t="str">
        <f>IFERROR(__xludf.DUMMYFUNCTION("""COMPUTED_VALUE"""),"Circumcised")</f>
        <v>Circumcised</v>
      </c>
      <c r="C656" s="29" t="str">
        <f>IFERROR(__xludf.DUMMYFUNCTION("""COMPUTED_VALUE"""),"Ease of Orgasm")</f>
        <v>Ease of Orgasm</v>
      </c>
      <c r="D656" s="29" t="str">
        <f>IFERROR(__xludf.DUMMYFUNCTION("""COMPUTED_VALUE"""),"1 (Low/Poor)")</f>
        <v>1 (Low/Poor)</v>
      </c>
      <c r="E656" s="29">
        <f>IFERROR(__xludf.DUMMYFUNCTION("""COMPUTED_VALUE"""),1.0)</f>
        <v>1</v>
      </c>
    </row>
    <row r="657">
      <c r="A657" s="33">
        <f>IFERROR(__xludf.DUMMYFUNCTION("""COMPUTED_VALUE"""),45835.44492405092)</f>
        <v>45835.44492</v>
      </c>
      <c r="B657" s="29" t="str">
        <f>IFERROR(__xludf.DUMMYFUNCTION("""COMPUTED_VALUE"""),"Actively restoring my foreskin / I consider myself restored")</f>
        <v>Actively restoring my foreskin / I consider myself restored</v>
      </c>
      <c r="C657" s="29" t="str">
        <f>IFERROR(__xludf.DUMMYFUNCTION("""COMPUTED_VALUE"""),"Ease of Orgasm")</f>
        <v>Ease of Orgasm</v>
      </c>
      <c r="D657" s="29" t="str">
        <f>IFERROR(__xludf.DUMMYFUNCTION("""COMPUTED_VALUE"""),"3 (Medium/Average)")</f>
        <v>3 (Medium/Average)</v>
      </c>
      <c r="E657" s="29">
        <f>IFERROR(__xludf.DUMMYFUNCTION("""COMPUTED_VALUE"""),3.0)</f>
        <v>3</v>
      </c>
    </row>
    <row r="658">
      <c r="A658" s="33">
        <f>IFERROR(__xludf.DUMMYFUNCTION("""COMPUTED_VALUE"""),45835.706102581025)</f>
        <v>45835.7061</v>
      </c>
      <c r="B658" s="29" t="str">
        <f>IFERROR(__xludf.DUMMYFUNCTION("""COMPUTED_VALUE"""),"Circumcised")</f>
        <v>Circumcised</v>
      </c>
      <c r="C658" s="29" t="str">
        <f>IFERROR(__xludf.DUMMYFUNCTION("""COMPUTED_VALUE"""),"Ease of Orgasm")</f>
        <v>Ease of Orgasm</v>
      </c>
      <c r="D658" s="29" t="str">
        <f>IFERROR(__xludf.DUMMYFUNCTION("""COMPUTED_VALUE"""),"3 (Medium/Average)")</f>
        <v>3 (Medium/Average)</v>
      </c>
      <c r="E658" s="29">
        <f>IFERROR(__xludf.DUMMYFUNCTION("""COMPUTED_VALUE"""),3.0)</f>
        <v>3</v>
      </c>
    </row>
    <row r="659">
      <c r="A659" s="33">
        <f>IFERROR(__xludf.DUMMYFUNCTION("""COMPUTED_VALUE"""),45835.889590937506)</f>
        <v>45835.88959</v>
      </c>
      <c r="B659" s="29" t="str">
        <f>IFERROR(__xludf.DUMMYFUNCTION("""COMPUTED_VALUE"""),"Intact (Never circumcised)")</f>
        <v>Intact (Never circumcised)</v>
      </c>
      <c r="C659" s="29" t="str">
        <f>IFERROR(__xludf.DUMMYFUNCTION("""COMPUTED_VALUE"""),"Ease of Orgasm")</f>
        <v>Ease of Orgasm</v>
      </c>
      <c r="D659" s="29" t="str">
        <f>IFERROR(__xludf.DUMMYFUNCTION("""COMPUTED_VALUE"""),"5 (High/Excellent)")</f>
        <v>5 (High/Excellent)</v>
      </c>
      <c r="E659" s="29">
        <f>IFERROR(__xludf.DUMMYFUNCTION("""COMPUTED_VALUE"""),5.0)</f>
        <v>5</v>
      </c>
    </row>
    <row r="660">
      <c r="A660" s="33">
        <f>IFERROR(__xludf.DUMMYFUNCTION("""COMPUTED_VALUE"""),45836.08061851852)</f>
        <v>45836.08062</v>
      </c>
      <c r="B660" s="29" t="str">
        <f>IFERROR(__xludf.DUMMYFUNCTION("""COMPUTED_VALUE"""),"Actively restoring my foreskin / I consider myself restored")</f>
        <v>Actively restoring my foreskin / I consider myself restored</v>
      </c>
      <c r="C660" s="29" t="str">
        <f>IFERROR(__xludf.DUMMYFUNCTION("""COMPUTED_VALUE"""),"Ease of Orgasm")</f>
        <v>Ease of Orgasm</v>
      </c>
      <c r="D660" s="29" t="str">
        <f>IFERROR(__xludf.DUMMYFUNCTION("""COMPUTED_VALUE"""),"3 (Medium/Average)")</f>
        <v>3 (Medium/Average)</v>
      </c>
      <c r="E660" s="29">
        <f>IFERROR(__xludf.DUMMYFUNCTION("""COMPUTED_VALUE"""),3.0)</f>
        <v>3</v>
      </c>
    </row>
    <row r="661">
      <c r="A661" s="33">
        <f>IFERROR(__xludf.DUMMYFUNCTION("""COMPUTED_VALUE"""),45836.205108657414)</f>
        <v>45836.20511</v>
      </c>
      <c r="B661" s="29" t="str">
        <f>IFERROR(__xludf.DUMMYFUNCTION("""COMPUTED_VALUE"""),"Circumcised")</f>
        <v>Circumcised</v>
      </c>
      <c r="C661" s="29" t="str">
        <f>IFERROR(__xludf.DUMMYFUNCTION("""COMPUTED_VALUE"""),"Ease of Orgasm")</f>
        <v>Ease of Orgasm</v>
      </c>
      <c r="D661" s="29" t="str">
        <f>IFERROR(__xludf.DUMMYFUNCTION("""COMPUTED_VALUE"""),"1 (Low/Poor)")</f>
        <v>1 (Low/Poor)</v>
      </c>
      <c r="E661" s="29">
        <f>IFERROR(__xludf.DUMMYFUNCTION("""COMPUTED_VALUE"""),1.0)</f>
        <v>1</v>
      </c>
    </row>
    <row r="662">
      <c r="A662" s="33">
        <f>IFERROR(__xludf.DUMMYFUNCTION("""COMPUTED_VALUE"""),45836.34391229167)</f>
        <v>45836.34391</v>
      </c>
      <c r="B662" s="29" t="str">
        <f>IFERROR(__xludf.DUMMYFUNCTION("""COMPUTED_VALUE"""),"Intact (Never circumcised)")</f>
        <v>Intact (Never circumcised)</v>
      </c>
      <c r="C662" s="29" t="str">
        <f>IFERROR(__xludf.DUMMYFUNCTION("""COMPUTED_VALUE"""),"Ease of Orgasm")</f>
        <v>Ease of Orgasm</v>
      </c>
      <c r="D662" s="29" t="str">
        <f>IFERROR(__xludf.DUMMYFUNCTION("""COMPUTED_VALUE"""),"5 (High/Excellent)")</f>
        <v>5 (High/Excellent)</v>
      </c>
      <c r="E662" s="29">
        <f>IFERROR(__xludf.DUMMYFUNCTION("""COMPUTED_VALUE"""),5.0)</f>
        <v>5</v>
      </c>
    </row>
    <row r="663">
      <c r="A663" s="33">
        <f>IFERROR(__xludf.DUMMYFUNCTION("""COMPUTED_VALUE"""),45836.46845483797)</f>
        <v>45836.46845</v>
      </c>
      <c r="B663" s="29" t="str">
        <f>IFERROR(__xludf.DUMMYFUNCTION("""COMPUTED_VALUE"""),"Actively restoring my foreskin / I consider myself restored")</f>
        <v>Actively restoring my foreskin / I consider myself restored</v>
      </c>
      <c r="C663" s="29" t="str">
        <f>IFERROR(__xludf.DUMMYFUNCTION("""COMPUTED_VALUE"""),"Ease of Orgasm")</f>
        <v>Ease of Orgasm</v>
      </c>
      <c r="D663" s="29" t="str">
        <f>IFERROR(__xludf.DUMMYFUNCTION("""COMPUTED_VALUE"""),"2")</f>
        <v>2</v>
      </c>
      <c r="E663" s="29">
        <f>IFERROR(__xludf.DUMMYFUNCTION("""COMPUTED_VALUE"""),2.0)</f>
        <v>2</v>
      </c>
    </row>
    <row r="664">
      <c r="A664" s="33">
        <f>IFERROR(__xludf.DUMMYFUNCTION("""COMPUTED_VALUE"""),45836.50647361111)</f>
        <v>45836.50647</v>
      </c>
      <c r="B664" s="29" t="str">
        <f>IFERROR(__xludf.DUMMYFUNCTION("""COMPUTED_VALUE"""),"Intact (Never circumcised)")</f>
        <v>Intact (Never circumcised)</v>
      </c>
      <c r="C664" s="29" t="str">
        <f>IFERROR(__xludf.DUMMYFUNCTION("""COMPUTED_VALUE"""),"Ease of Orgasm")</f>
        <v>Ease of Orgasm</v>
      </c>
      <c r="D664" s="29" t="str">
        <f>IFERROR(__xludf.DUMMYFUNCTION("""COMPUTED_VALUE"""),"3 (Medium/Average)")</f>
        <v>3 (Medium/Average)</v>
      </c>
      <c r="E664" s="29">
        <f>IFERROR(__xludf.DUMMYFUNCTION("""COMPUTED_VALUE"""),3.0)</f>
        <v>3</v>
      </c>
    </row>
    <row r="665">
      <c r="A665" s="33">
        <f>IFERROR(__xludf.DUMMYFUNCTION("""COMPUTED_VALUE"""),45836.70248601852)</f>
        <v>45836.70249</v>
      </c>
      <c r="B665" s="29" t="str">
        <f>IFERROR(__xludf.DUMMYFUNCTION("""COMPUTED_VALUE"""),"Circumcised")</f>
        <v>Circumcised</v>
      </c>
      <c r="C665" s="29" t="str">
        <f>IFERROR(__xludf.DUMMYFUNCTION("""COMPUTED_VALUE"""),"Ease of Orgasm")</f>
        <v>Ease of Orgasm</v>
      </c>
      <c r="D665" s="29" t="str">
        <f>IFERROR(__xludf.DUMMYFUNCTION("""COMPUTED_VALUE"""),"4")</f>
        <v>4</v>
      </c>
      <c r="E665" s="29">
        <f>IFERROR(__xludf.DUMMYFUNCTION("""COMPUTED_VALUE"""),4.0)</f>
        <v>4</v>
      </c>
    </row>
    <row r="666">
      <c r="A666" s="33">
        <f>IFERROR(__xludf.DUMMYFUNCTION("""COMPUTED_VALUE"""),45836.71771464121)</f>
        <v>45836.71771</v>
      </c>
      <c r="B666" s="29" t="str">
        <f>IFERROR(__xludf.DUMMYFUNCTION("""COMPUTED_VALUE"""),"Circumcised")</f>
        <v>Circumcised</v>
      </c>
      <c r="C666" s="29" t="str">
        <f>IFERROR(__xludf.DUMMYFUNCTION("""COMPUTED_VALUE"""),"Ease of Orgasm")</f>
        <v>Ease of Orgasm</v>
      </c>
      <c r="D666" s="29" t="str">
        <f>IFERROR(__xludf.DUMMYFUNCTION("""COMPUTED_VALUE"""),"2")</f>
        <v>2</v>
      </c>
      <c r="E666" s="29">
        <f>IFERROR(__xludf.DUMMYFUNCTION("""COMPUTED_VALUE"""),2.0)</f>
        <v>2</v>
      </c>
    </row>
    <row r="667">
      <c r="A667" s="33">
        <f>IFERROR(__xludf.DUMMYFUNCTION("""COMPUTED_VALUE"""),45836.826351354175)</f>
        <v>45836.82635</v>
      </c>
      <c r="B667" s="29" t="str">
        <f>IFERROR(__xludf.DUMMYFUNCTION("""COMPUTED_VALUE"""),"Circumcised")</f>
        <v>Circumcised</v>
      </c>
      <c r="C667" s="29" t="str">
        <f>IFERROR(__xludf.DUMMYFUNCTION("""COMPUTED_VALUE"""),"Ease of Orgasm")</f>
        <v>Ease of Orgasm</v>
      </c>
      <c r="D667" s="29" t="str">
        <f>IFERROR(__xludf.DUMMYFUNCTION("""COMPUTED_VALUE"""),"1 (Low/Poor)")</f>
        <v>1 (Low/Poor)</v>
      </c>
      <c r="E667" s="29">
        <f>IFERROR(__xludf.DUMMYFUNCTION("""COMPUTED_VALUE"""),1.0)</f>
        <v>1</v>
      </c>
    </row>
    <row r="668">
      <c r="A668" s="33">
        <f>IFERROR(__xludf.DUMMYFUNCTION("""COMPUTED_VALUE"""),45836.92451064815)</f>
        <v>45836.92451</v>
      </c>
      <c r="B668" s="29" t="str">
        <f>IFERROR(__xludf.DUMMYFUNCTION("""COMPUTED_VALUE"""),"Intact (Never circumcised)")</f>
        <v>Intact (Never circumcised)</v>
      </c>
      <c r="C668" s="29" t="str">
        <f>IFERROR(__xludf.DUMMYFUNCTION("""COMPUTED_VALUE"""),"Ease of Orgasm")</f>
        <v>Ease of Orgasm</v>
      </c>
      <c r="D668" s="29" t="str">
        <f>IFERROR(__xludf.DUMMYFUNCTION("""COMPUTED_VALUE"""),"4")</f>
        <v>4</v>
      </c>
      <c r="E668" s="29">
        <f>IFERROR(__xludf.DUMMYFUNCTION("""COMPUTED_VALUE"""),4.0)</f>
        <v>4</v>
      </c>
    </row>
    <row r="669">
      <c r="A669" s="33">
        <f>IFERROR(__xludf.DUMMYFUNCTION("""COMPUTED_VALUE"""),45837.0323637037)</f>
        <v>45837.03236</v>
      </c>
      <c r="B669" s="29" t="str">
        <f>IFERROR(__xludf.DUMMYFUNCTION("""COMPUTED_VALUE"""),"Circumcised")</f>
        <v>Circumcised</v>
      </c>
      <c r="C669" s="29" t="str">
        <f>IFERROR(__xludf.DUMMYFUNCTION("""COMPUTED_VALUE"""),"Ease of Orgasm")</f>
        <v>Ease of Orgasm</v>
      </c>
      <c r="D669" s="29" t="str">
        <f>IFERROR(__xludf.DUMMYFUNCTION("""COMPUTED_VALUE"""),"3 (Medium/Average)")</f>
        <v>3 (Medium/Average)</v>
      </c>
      <c r="E669" s="29">
        <f>IFERROR(__xludf.DUMMYFUNCTION("""COMPUTED_VALUE"""),3.0)</f>
        <v>3</v>
      </c>
    </row>
    <row r="670">
      <c r="A670" s="33">
        <f>IFERROR(__xludf.DUMMYFUNCTION("""COMPUTED_VALUE"""),45837.456585266205)</f>
        <v>45837.45659</v>
      </c>
      <c r="B670" s="29" t="str">
        <f>IFERROR(__xludf.DUMMYFUNCTION("""COMPUTED_VALUE"""),"Circumcised")</f>
        <v>Circumcised</v>
      </c>
      <c r="C670" s="29" t="str">
        <f>IFERROR(__xludf.DUMMYFUNCTION("""COMPUTED_VALUE"""),"Ease of Orgasm")</f>
        <v>Ease of Orgasm</v>
      </c>
      <c r="D670" s="29" t="str">
        <f>IFERROR(__xludf.DUMMYFUNCTION("""COMPUTED_VALUE"""),"1 (Low/Poor)")</f>
        <v>1 (Low/Poor)</v>
      </c>
      <c r="E670" s="29">
        <f>IFERROR(__xludf.DUMMYFUNCTION("""COMPUTED_VALUE"""),1.0)</f>
        <v>1</v>
      </c>
    </row>
    <row r="671">
      <c r="A671" s="33">
        <f>IFERROR(__xludf.DUMMYFUNCTION("""COMPUTED_VALUE"""),45837.54343665509)</f>
        <v>45837.54344</v>
      </c>
      <c r="B671" s="29" t="str">
        <f>IFERROR(__xludf.DUMMYFUNCTION("""COMPUTED_VALUE"""),"Circumcised")</f>
        <v>Circumcised</v>
      </c>
      <c r="C671" s="29" t="str">
        <f>IFERROR(__xludf.DUMMYFUNCTION("""COMPUTED_VALUE"""),"Ease of Orgasm")</f>
        <v>Ease of Orgasm</v>
      </c>
      <c r="D671" s="29" t="str">
        <f>IFERROR(__xludf.DUMMYFUNCTION("""COMPUTED_VALUE"""),"1 (Low/Poor)")</f>
        <v>1 (Low/Poor)</v>
      </c>
      <c r="E671" s="29">
        <f>IFERROR(__xludf.DUMMYFUNCTION("""COMPUTED_VALUE"""),1.0)</f>
        <v>1</v>
      </c>
    </row>
    <row r="672">
      <c r="A672" s="33">
        <f>IFERROR(__xludf.DUMMYFUNCTION("""COMPUTED_VALUE"""),45837.65933071759)</f>
        <v>45837.65933</v>
      </c>
      <c r="B672" s="29" t="str">
        <f>IFERROR(__xludf.DUMMYFUNCTION("""COMPUTED_VALUE"""),"Actively restoring my foreskin / I consider myself restored")</f>
        <v>Actively restoring my foreskin / I consider myself restored</v>
      </c>
      <c r="C672" s="29" t="str">
        <f>IFERROR(__xludf.DUMMYFUNCTION("""COMPUTED_VALUE"""),"Ease of Orgasm")</f>
        <v>Ease of Orgasm</v>
      </c>
      <c r="D672" s="29" t="str">
        <f>IFERROR(__xludf.DUMMYFUNCTION("""COMPUTED_VALUE"""),"5 (High/Excellent)")</f>
        <v>5 (High/Excellent)</v>
      </c>
      <c r="E672" s="29">
        <f>IFERROR(__xludf.DUMMYFUNCTION("""COMPUTED_VALUE"""),5.0)</f>
        <v>5</v>
      </c>
    </row>
    <row r="673">
      <c r="A673" s="33">
        <f>IFERROR(__xludf.DUMMYFUNCTION("""COMPUTED_VALUE"""),45838.117896192125)</f>
        <v>45838.1179</v>
      </c>
      <c r="B673" s="29" t="str">
        <f>IFERROR(__xludf.DUMMYFUNCTION("""COMPUTED_VALUE"""),"Circumcised")</f>
        <v>Circumcised</v>
      </c>
      <c r="C673" s="29" t="str">
        <f>IFERROR(__xludf.DUMMYFUNCTION("""COMPUTED_VALUE"""),"Ease of Orgasm")</f>
        <v>Ease of Orgasm</v>
      </c>
      <c r="D673" s="29" t="str">
        <f>IFERROR(__xludf.DUMMYFUNCTION("""COMPUTED_VALUE"""),"2")</f>
        <v>2</v>
      </c>
      <c r="E673" s="29">
        <f>IFERROR(__xludf.DUMMYFUNCTION("""COMPUTED_VALUE"""),2.0)</f>
        <v>2</v>
      </c>
    </row>
    <row r="674">
      <c r="A674" s="33">
        <f>IFERROR(__xludf.DUMMYFUNCTION("""COMPUTED_VALUE"""),45838.703877291664)</f>
        <v>45838.70388</v>
      </c>
      <c r="B674" s="29" t="str">
        <f>IFERROR(__xludf.DUMMYFUNCTION("""COMPUTED_VALUE"""),"Actively restoring my foreskin / I consider myself restored")</f>
        <v>Actively restoring my foreskin / I consider myself restored</v>
      </c>
      <c r="C674" s="29" t="str">
        <f>IFERROR(__xludf.DUMMYFUNCTION("""COMPUTED_VALUE"""),"Ease of Orgasm")</f>
        <v>Ease of Orgasm</v>
      </c>
      <c r="D674" s="29" t="str">
        <f>IFERROR(__xludf.DUMMYFUNCTION("""COMPUTED_VALUE"""),"4")</f>
        <v>4</v>
      </c>
      <c r="E674" s="29">
        <f>IFERROR(__xludf.DUMMYFUNCTION("""COMPUTED_VALUE"""),4.0)</f>
        <v>4</v>
      </c>
    </row>
    <row r="675">
      <c r="A675" s="33">
        <f>IFERROR(__xludf.DUMMYFUNCTION("""COMPUTED_VALUE"""),45839.585315289354)</f>
        <v>45839.58532</v>
      </c>
      <c r="B675" s="29" t="str">
        <f>IFERROR(__xludf.DUMMYFUNCTION("""COMPUTED_VALUE"""),"Circumcised")</f>
        <v>Circumcised</v>
      </c>
      <c r="C675" s="29" t="str">
        <f>IFERROR(__xludf.DUMMYFUNCTION("""COMPUTED_VALUE"""),"Ease of Orgasm")</f>
        <v>Ease of Orgasm</v>
      </c>
      <c r="D675" s="29" t="str">
        <f>IFERROR(__xludf.DUMMYFUNCTION("""COMPUTED_VALUE"""),"2")</f>
        <v>2</v>
      </c>
      <c r="E675" s="29">
        <f>IFERROR(__xludf.DUMMYFUNCTION("""COMPUTED_VALUE"""),2.0)</f>
        <v>2</v>
      </c>
    </row>
    <row r="676">
      <c r="A676" s="33">
        <f>IFERROR(__xludf.DUMMYFUNCTION("""COMPUTED_VALUE"""),45839.9002066551)</f>
        <v>45839.90021</v>
      </c>
      <c r="B676" s="29" t="str">
        <f>IFERROR(__xludf.DUMMYFUNCTION("""COMPUTED_VALUE"""),"Circumcised")</f>
        <v>Circumcised</v>
      </c>
      <c r="C676" s="29" t="str">
        <f>IFERROR(__xludf.DUMMYFUNCTION("""COMPUTED_VALUE"""),"Ease of Orgasm")</f>
        <v>Ease of Orgasm</v>
      </c>
      <c r="D676" s="29" t="str">
        <f>IFERROR(__xludf.DUMMYFUNCTION("""COMPUTED_VALUE"""),"4")</f>
        <v>4</v>
      </c>
      <c r="E676" s="29">
        <f>IFERROR(__xludf.DUMMYFUNCTION("""COMPUTED_VALUE"""),4.0)</f>
        <v>4</v>
      </c>
    </row>
    <row r="677">
      <c r="A677" s="33">
        <f>IFERROR(__xludf.DUMMYFUNCTION("""COMPUTED_VALUE"""),45840.28386831019)</f>
        <v>45840.28387</v>
      </c>
      <c r="B677" s="29" t="str">
        <f>IFERROR(__xludf.DUMMYFUNCTION("""COMPUTED_VALUE"""),"Actively restoring my foreskin / I consider myself restored")</f>
        <v>Actively restoring my foreskin / I consider myself restored</v>
      </c>
      <c r="C677" s="29" t="str">
        <f>IFERROR(__xludf.DUMMYFUNCTION("""COMPUTED_VALUE"""),"Ease of Orgasm")</f>
        <v>Ease of Orgasm</v>
      </c>
      <c r="D677" s="29" t="str">
        <f>IFERROR(__xludf.DUMMYFUNCTION("""COMPUTED_VALUE"""),"5 (High/Excellent)")</f>
        <v>5 (High/Excellent)</v>
      </c>
      <c r="E677" s="29">
        <f>IFERROR(__xludf.DUMMYFUNCTION("""COMPUTED_VALUE"""),5.0)</f>
        <v>5</v>
      </c>
    </row>
    <row r="678">
      <c r="A678" s="33">
        <f>IFERROR(__xludf.DUMMYFUNCTION("""COMPUTED_VALUE"""),45841.941682199074)</f>
        <v>45841.94168</v>
      </c>
      <c r="B678" s="29" t="str">
        <f>IFERROR(__xludf.DUMMYFUNCTION("""COMPUTED_VALUE"""),"Intact (Never circumcised)")</f>
        <v>Intact (Never circumcised)</v>
      </c>
      <c r="C678" s="29" t="str">
        <f>IFERROR(__xludf.DUMMYFUNCTION("""COMPUTED_VALUE"""),"Ease of Orgasm")</f>
        <v>Ease of Orgasm</v>
      </c>
      <c r="D678" s="29" t="str">
        <f>IFERROR(__xludf.DUMMYFUNCTION("""COMPUTED_VALUE"""),"3 (Medium/Average)")</f>
        <v>3 (Medium/Average)</v>
      </c>
      <c r="E678" s="29">
        <f>IFERROR(__xludf.DUMMYFUNCTION("""COMPUTED_VALUE"""),3.0)</f>
        <v>3</v>
      </c>
    </row>
    <row r="679">
      <c r="A679" s="33">
        <f>IFERROR(__xludf.DUMMYFUNCTION("""COMPUTED_VALUE"""),45842.01290361111)</f>
        <v>45842.0129</v>
      </c>
      <c r="B679" s="29" t="str">
        <f>IFERROR(__xludf.DUMMYFUNCTION("""COMPUTED_VALUE"""),"Actively restoring my foreskin / I consider myself restored")</f>
        <v>Actively restoring my foreskin / I consider myself restored</v>
      </c>
      <c r="C679" s="29" t="str">
        <f>IFERROR(__xludf.DUMMYFUNCTION("""COMPUTED_VALUE"""),"Ease of Orgasm")</f>
        <v>Ease of Orgasm</v>
      </c>
      <c r="D679" s="29" t="str">
        <f>IFERROR(__xludf.DUMMYFUNCTION("""COMPUTED_VALUE"""),"2")</f>
        <v>2</v>
      </c>
      <c r="E679" s="29">
        <f>IFERROR(__xludf.DUMMYFUNCTION("""COMPUTED_VALUE"""),2.0)</f>
        <v>2</v>
      </c>
    </row>
    <row r="680">
      <c r="A680" s="33">
        <f>IFERROR(__xludf.DUMMYFUNCTION("""COMPUTED_VALUE"""),45842.59654684028)</f>
        <v>45842.59655</v>
      </c>
      <c r="B680" s="29" t="str">
        <f>IFERROR(__xludf.DUMMYFUNCTION("""COMPUTED_VALUE"""),"Intact (Never circumcised)")</f>
        <v>Intact (Never circumcised)</v>
      </c>
      <c r="C680" s="29" t="str">
        <f>IFERROR(__xludf.DUMMYFUNCTION("""COMPUTED_VALUE"""),"Ease of Orgasm")</f>
        <v>Ease of Orgasm</v>
      </c>
      <c r="D680" s="29" t="str">
        <f>IFERROR(__xludf.DUMMYFUNCTION("""COMPUTED_VALUE"""),"5 (High/Excellent)")</f>
        <v>5 (High/Excellent)</v>
      </c>
      <c r="E680" s="29">
        <f>IFERROR(__xludf.DUMMYFUNCTION("""COMPUTED_VALUE"""),5.0)</f>
        <v>5</v>
      </c>
    </row>
    <row r="681">
      <c r="A681" s="33">
        <f>IFERROR(__xludf.DUMMYFUNCTION("""COMPUTED_VALUE"""),45842.74864692129)</f>
        <v>45842.74865</v>
      </c>
      <c r="B681" s="29" t="str">
        <f>IFERROR(__xludf.DUMMYFUNCTION("""COMPUTED_VALUE"""),"Intact (Never circumcised)")</f>
        <v>Intact (Never circumcised)</v>
      </c>
      <c r="C681" s="29" t="str">
        <f>IFERROR(__xludf.DUMMYFUNCTION("""COMPUTED_VALUE"""),"Ease of Orgasm")</f>
        <v>Ease of Orgasm</v>
      </c>
      <c r="D681" s="29" t="str">
        <f>IFERROR(__xludf.DUMMYFUNCTION("""COMPUTED_VALUE"""),"4")</f>
        <v>4</v>
      </c>
      <c r="E681" s="29">
        <f>IFERROR(__xludf.DUMMYFUNCTION("""COMPUTED_VALUE"""),4.0)</f>
        <v>4</v>
      </c>
    </row>
    <row r="682">
      <c r="A682" s="33">
        <f>IFERROR(__xludf.DUMMYFUNCTION("""COMPUTED_VALUE"""),45842.78131636574)</f>
        <v>45842.78132</v>
      </c>
      <c r="B682" s="29" t="str">
        <f>IFERROR(__xludf.DUMMYFUNCTION("""COMPUTED_VALUE"""),"Intact (Never circumcised)")</f>
        <v>Intact (Never circumcised)</v>
      </c>
      <c r="C682" s="29" t="str">
        <f>IFERROR(__xludf.DUMMYFUNCTION("""COMPUTED_VALUE"""),"Ease of Orgasm")</f>
        <v>Ease of Orgasm</v>
      </c>
      <c r="D682" s="29" t="str">
        <f>IFERROR(__xludf.DUMMYFUNCTION("""COMPUTED_VALUE"""),"5 (High/Excellent)")</f>
        <v>5 (High/Excellent)</v>
      </c>
      <c r="E682" s="29">
        <f>IFERROR(__xludf.DUMMYFUNCTION("""COMPUTED_VALUE"""),5.0)</f>
        <v>5</v>
      </c>
    </row>
    <row r="683">
      <c r="A683" s="33">
        <f>IFERROR(__xludf.DUMMYFUNCTION("""COMPUTED_VALUE"""),45843.44344015046)</f>
        <v>45843.44344</v>
      </c>
      <c r="B683" s="29" t="str">
        <f>IFERROR(__xludf.DUMMYFUNCTION("""COMPUTED_VALUE"""),"Intact (Never circumcised)")</f>
        <v>Intact (Never circumcised)</v>
      </c>
      <c r="C683" s="29" t="str">
        <f>IFERROR(__xludf.DUMMYFUNCTION("""COMPUTED_VALUE"""),"Ease of Orgasm")</f>
        <v>Ease of Orgasm</v>
      </c>
      <c r="D683" s="29" t="str">
        <f>IFERROR(__xludf.DUMMYFUNCTION("""COMPUTED_VALUE"""),"4")</f>
        <v>4</v>
      </c>
      <c r="E683" s="29">
        <f>IFERROR(__xludf.DUMMYFUNCTION("""COMPUTED_VALUE"""),4.0)</f>
        <v>4</v>
      </c>
    </row>
    <row r="684">
      <c r="A684" s="33">
        <f>IFERROR(__xludf.DUMMYFUNCTION("""COMPUTED_VALUE"""),45844.052393356484)</f>
        <v>45844.05239</v>
      </c>
      <c r="B684" s="29" t="str">
        <f>IFERROR(__xludf.DUMMYFUNCTION("""COMPUTED_VALUE"""),"Intact (Never circumcised)")</f>
        <v>Intact (Never circumcised)</v>
      </c>
      <c r="C684" s="29" t="str">
        <f>IFERROR(__xludf.DUMMYFUNCTION("""COMPUTED_VALUE"""),"Ease of Orgasm")</f>
        <v>Ease of Orgasm</v>
      </c>
      <c r="D684" s="29" t="str">
        <f>IFERROR(__xludf.DUMMYFUNCTION("""COMPUTED_VALUE"""),"5 (High/Excellent)")</f>
        <v>5 (High/Excellent)</v>
      </c>
      <c r="E684" s="29">
        <f>IFERROR(__xludf.DUMMYFUNCTION("""COMPUTED_VALUE"""),5.0)</f>
        <v>5</v>
      </c>
    </row>
    <row r="685">
      <c r="A685" s="33">
        <f>IFERROR(__xludf.DUMMYFUNCTION("""COMPUTED_VALUE"""),45844.41842277777)</f>
        <v>45844.41842</v>
      </c>
      <c r="B685" s="29" t="str">
        <f>IFERROR(__xludf.DUMMYFUNCTION("""COMPUTED_VALUE"""),"Circumcised")</f>
        <v>Circumcised</v>
      </c>
      <c r="C685" s="29" t="str">
        <f>IFERROR(__xludf.DUMMYFUNCTION("""COMPUTED_VALUE"""),"Ease of Orgasm")</f>
        <v>Ease of Orgasm</v>
      </c>
      <c r="D685" s="29" t="str">
        <f>IFERROR(__xludf.DUMMYFUNCTION("""COMPUTED_VALUE"""),"5 (High/Excellent)")</f>
        <v>5 (High/Excellent)</v>
      </c>
      <c r="E685" s="29">
        <f>IFERROR(__xludf.DUMMYFUNCTION("""COMPUTED_VALUE"""),5.0)</f>
        <v>5</v>
      </c>
    </row>
    <row r="686">
      <c r="A686" s="33">
        <f>IFERROR(__xludf.DUMMYFUNCTION("""COMPUTED_VALUE"""),45844.46542105324)</f>
        <v>45844.46542</v>
      </c>
      <c r="B686" s="29" t="str">
        <f>IFERROR(__xludf.DUMMYFUNCTION("""COMPUTED_VALUE"""),"Intact (Never circumcised)")</f>
        <v>Intact (Never circumcised)</v>
      </c>
      <c r="C686" s="29" t="str">
        <f>IFERROR(__xludf.DUMMYFUNCTION("""COMPUTED_VALUE"""),"Ease of Orgasm")</f>
        <v>Ease of Orgasm</v>
      </c>
      <c r="D686" s="29" t="str">
        <f>IFERROR(__xludf.DUMMYFUNCTION("""COMPUTED_VALUE"""),"5 (High/Excellent)")</f>
        <v>5 (High/Excellent)</v>
      </c>
      <c r="E686" s="29">
        <f>IFERROR(__xludf.DUMMYFUNCTION("""COMPUTED_VALUE"""),5.0)</f>
        <v>5</v>
      </c>
    </row>
    <row r="687">
      <c r="A687" s="33">
        <f>IFERROR(__xludf.DUMMYFUNCTION("""COMPUTED_VALUE"""),45845.519693240734)</f>
        <v>45845.51969</v>
      </c>
      <c r="B687" s="29" t="str">
        <f>IFERROR(__xludf.DUMMYFUNCTION("""COMPUTED_VALUE"""),"Circumcised")</f>
        <v>Circumcised</v>
      </c>
      <c r="C687" s="29" t="str">
        <f>IFERROR(__xludf.DUMMYFUNCTION("""COMPUTED_VALUE"""),"Ease of Orgasm")</f>
        <v>Ease of Orgasm</v>
      </c>
      <c r="D687" s="29" t="str">
        <f>IFERROR(__xludf.DUMMYFUNCTION("""COMPUTED_VALUE"""),"4")</f>
        <v>4</v>
      </c>
      <c r="E687" s="29">
        <f>IFERROR(__xludf.DUMMYFUNCTION("""COMPUTED_VALUE"""),4.0)</f>
        <v>4</v>
      </c>
    </row>
    <row r="688">
      <c r="A688" s="33">
        <f>IFERROR(__xludf.DUMMYFUNCTION("""COMPUTED_VALUE"""),45846.13157090278)</f>
        <v>45846.13157</v>
      </c>
      <c r="B688" s="29" t="str">
        <f>IFERROR(__xludf.DUMMYFUNCTION("""COMPUTED_VALUE"""),"Circumcised")</f>
        <v>Circumcised</v>
      </c>
      <c r="C688" s="29" t="str">
        <f>IFERROR(__xludf.DUMMYFUNCTION("""COMPUTED_VALUE"""),"Ease of Orgasm")</f>
        <v>Ease of Orgasm</v>
      </c>
      <c r="D688" s="29" t="str">
        <f>IFERROR(__xludf.DUMMYFUNCTION("""COMPUTED_VALUE"""),"2")</f>
        <v>2</v>
      </c>
      <c r="E688" s="29">
        <f>IFERROR(__xludf.DUMMYFUNCTION("""COMPUTED_VALUE"""),2.0)</f>
        <v>2</v>
      </c>
    </row>
    <row r="689">
      <c r="A689" s="33">
        <f>IFERROR(__xludf.DUMMYFUNCTION("""COMPUTED_VALUE"""),45849.67123201389)</f>
        <v>45849.67123</v>
      </c>
      <c r="B689" s="29" t="str">
        <f>IFERROR(__xludf.DUMMYFUNCTION("""COMPUTED_VALUE"""),"Intact (Never circumcised)")</f>
        <v>Intact (Never circumcised)</v>
      </c>
      <c r="C689" s="29" t="str">
        <f>IFERROR(__xludf.DUMMYFUNCTION("""COMPUTED_VALUE"""),"Ease of Orgasm")</f>
        <v>Ease of Orgasm</v>
      </c>
      <c r="D689" s="29" t="str">
        <f>IFERROR(__xludf.DUMMYFUNCTION("""COMPUTED_VALUE"""),"5 (High/Excellent)")</f>
        <v>5 (High/Excellent)</v>
      </c>
      <c r="E689" s="29">
        <f>IFERROR(__xludf.DUMMYFUNCTION("""COMPUTED_VALUE"""),5.0)</f>
        <v>5</v>
      </c>
    </row>
    <row r="690">
      <c r="A690" s="33">
        <f>IFERROR(__xludf.DUMMYFUNCTION("""COMPUTED_VALUE"""),45850.18852405093)</f>
        <v>45850.18852</v>
      </c>
      <c r="B690" s="29" t="str">
        <f>IFERROR(__xludf.DUMMYFUNCTION("""COMPUTED_VALUE"""),"Circumcised")</f>
        <v>Circumcised</v>
      </c>
      <c r="C690" s="29" t="str">
        <f>IFERROR(__xludf.DUMMYFUNCTION("""COMPUTED_VALUE"""),"Ease of Orgasm")</f>
        <v>Ease of Orgasm</v>
      </c>
      <c r="D690" s="29" t="str">
        <f>IFERROR(__xludf.DUMMYFUNCTION("""COMPUTED_VALUE"""),"5 (High/Excellent)")</f>
        <v>5 (High/Excellent)</v>
      </c>
      <c r="E690" s="29">
        <f>IFERROR(__xludf.DUMMYFUNCTION("""COMPUTED_VALUE"""),5.0)</f>
        <v>5</v>
      </c>
    </row>
    <row r="691">
      <c r="A691" s="33">
        <f>IFERROR(__xludf.DUMMYFUNCTION("""COMPUTED_VALUE"""),45850.64452353009)</f>
        <v>45850.64452</v>
      </c>
      <c r="B691" s="29" t="str">
        <f>IFERROR(__xludf.DUMMYFUNCTION("""COMPUTED_VALUE"""),"Circumcised")</f>
        <v>Circumcised</v>
      </c>
      <c r="C691" s="29" t="str">
        <f>IFERROR(__xludf.DUMMYFUNCTION("""COMPUTED_VALUE"""),"Ease of Orgasm")</f>
        <v>Ease of Orgasm</v>
      </c>
      <c r="D691" s="29" t="str">
        <f>IFERROR(__xludf.DUMMYFUNCTION("""COMPUTED_VALUE"""),"3 (Medium/Average)")</f>
        <v>3 (Medium/Average)</v>
      </c>
      <c r="E691" s="29">
        <f>IFERROR(__xludf.DUMMYFUNCTION("""COMPUTED_VALUE"""),3.0)</f>
        <v>3</v>
      </c>
    </row>
    <row r="692">
      <c r="A692" s="33">
        <f>IFERROR(__xludf.DUMMYFUNCTION("""COMPUTED_VALUE"""),45850.886114953704)</f>
        <v>45850.88611</v>
      </c>
      <c r="B692" s="29" t="str">
        <f>IFERROR(__xludf.DUMMYFUNCTION("""COMPUTED_VALUE"""),"Intact (Never circumcised)")</f>
        <v>Intact (Never circumcised)</v>
      </c>
      <c r="C692" s="29" t="str">
        <f>IFERROR(__xludf.DUMMYFUNCTION("""COMPUTED_VALUE"""),"Ease of Orgasm")</f>
        <v>Ease of Orgasm</v>
      </c>
      <c r="D692" s="29" t="str">
        <f>IFERROR(__xludf.DUMMYFUNCTION("""COMPUTED_VALUE"""),"5 (High/Excellent)")</f>
        <v>5 (High/Excellent)</v>
      </c>
      <c r="E692" s="29">
        <f>IFERROR(__xludf.DUMMYFUNCTION("""COMPUTED_VALUE"""),5.0)</f>
        <v>5</v>
      </c>
    </row>
    <row r="693">
      <c r="A693" s="33">
        <f>IFERROR(__xludf.DUMMYFUNCTION("""COMPUTED_VALUE"""),45852.678005532405)</f>
        <v>45852.67801</v>
      </c>
      <c r="B693" s="29" t="str">
        <f>IFERROR(__xludf.DUMMYFUNCTION("""COMPUTED_VALUE"""),"Intact (Never circumcised)")</f>
        <v>Intact (Never circumcised)</v>
      </c>
      <c r="C693" s="29" t="str">
        <f>IFERROR(__xludf.DUMMYFUNCTION("""COMPUTED_VALUE"""),"Ease of Orgasm")</f>
        <v>Ease of Orgasm</v>
      </c>
      <c r="D693" s="29" t="str">
        <f>IFERROR(__xludf.DUMMYFUNCTION("""COMPUTED_VALUE"""),"5 (High/Excellent)")</f>
        <v>5 (High/Excellent)</v>
      </c>
      <c r="E693" s="29">
        <f>IFERROR(__xludf.DUMMYFUNCTION("""COMPUTED_VALUE"""),5.0)</f>
        <v>5</v>
      </c>
    </row>
    <row r="694">
      <c r="A694" s="33">
        <f>IFERROR(__xludf.DUMMYFUNCTION("""COMPUTED_VALUE"""),45852.891580891206)</f>
        <v>45852.89158</v>
      </c>
      <c r="B694" s="29" t="str">
        <f>IFERROR(__xludf.DUMMYFUNCTION("""COMPUTED_VALUE"""),"Intact (Never circumcised)")</f>
        <v>Intact (Never circumcised)</v>
      </c>
      <c r="C694" s="29" t="str">
        <f>IFERROR(__xludf.DUMMYFUNCTION("""COMPUTED_VALUE"""),"Ease of Orgasm")</f>
        <v>Ease of Orgasm</v>
      </c>
      <c r="D694" s="29" t="str">
        <f>IFERROR(__xludf.DUMMYFUNCTION("""COMPUTED_VALUE"""),"5 (High/Excellent)")</f>
        <v>5 (High/Excellent)</v>
      </c>
      <c r="E694" s="29">
        <f>IFERROR(__xludf.DUMMYFUNCTION("""COMPUTED_VALUE"""),5.0)</f>
        <v>5</v>
      </c>
    </row>
    <row r="695">
      <c r="A695" s="33">
        <f>IFERROR(__xludf.DUMMYFUNCTION("""COMPUTED_VALUE"""),45853.37019545138)</f>
        <v>45853.3702</v>
      </c>
      <c r="B695" s="29" t="str">
        <f>IFERROR(__xludf.DUMMYFUNCTION("""COMPUTED_VALUE"""),"Intact (Never circumcised)")</f>
        <v>Intact (Never circumcised)</v>
      </c>
      <c r="C695" s="29" t="str">
        <f>IFERROR(__xludf.DUMMYFUNCTION("""COMPUTED_VALUE"""),"Ease of Orgasm")</f>
        <v>Ease of Orgasm</v>
      </c>
      <c r="D695" s="29" t="str">
        <f>IFERROR(__xludf.DUMMYFUNCTION("""COMPUTED_VALUE"""),"5 (High/Excellent)")</f>
        <v>5 (High/Excellent)</v>
      </c>
      <c r="E695" s="29">
        <f>IFERROR(__xludf.DUMMYFUNCTION("""COMPUTED_VALUE"""),5.0)</f>
        <v>5</v>
      </c>
    </row>
    <row r="696">
      <c r="A696" s="33">
        <f>IFERROR(__xludf.DUMMYFUNCTION("""COMPUTED_VALUE"""),45853.81523930556)</f>
        <v>45853.81524</v>
      </c>
      <c r="B696" s="29" t="str">
        <f>IFERROR(__xludf.DUMMYFUNCTION("""COMPUTED_VALUE"""),"Circumcised")</f>
        <v>Circumcised</v>
      </c>
      <c r="C696" s="29" t="str">
        <f>IFERROR(__xludf.DUMMYFUNCTION("""COMPUTED_VALUE"""),"Ease of Orgasm")</f>
        <v>Ease of Orgasm</v>
      </c>
      <c r="D696" s="29" t="str">
        <f>IFERROR(__xludf.DUMMYFUNCTION("""COMPUTED_VALUE"""),"1 (Low/Poor)")</f>
        <v>1 (Low/Poor)</v>
      </c>
      <c r="E696" s="29">
        <f>IFERROR(__xludf.DUMMYFUNCTION("""COMPUTED_VALUE"""),1.0)</f>
        <v>1</v>
      </c>
    </row>
    <row r="697">
      <c r="A697" s="33">
        <f>IFERROR(__xludf.DUMMYFUNCTION("""COMPUTED_VALUE"""),45853.917537939815)</f>
        <v>45853.91754</v>
      </c>
      <c r="B697" s="29" t="str">
        <f>IFERROR(__xludf.DUMMYFUNCTION("""COMPUTED_VALUE"""),"Actively restoring my foreskin / I consider myself restored")</f>
        <v>Actively restoring my foreskin / I consider myself restored</v>
      </c>
      <c r="C697" s="29" t="str">
        <f>IFERROR(__xludf.DUMMYFUNCTION("""COMPUTED_VALUE"""),"Ease of Orgasm")</f>
        <v>Ease of Orgasm</v>
      </c>
      <c r="D697" s="29" t="str">
        <f>IFERROR(__xludf.DUMMYFUNCTION("""COMPUTED_VALUE"""),"3 (Medium/Average)")</f>
        <v>3 (Medium/Average)</v>
      </c>
      <c r="E697" s="29">
        <f>IFERROR(__xludf.DUMMYFUNCTION("""COMPUTED_VALUE"""),3.0)</f>
        <v>3</v>
      </c>
    </row>
    <row r="698">
      <c r="A698" s="33">
        <f>IFERROR(__xludf.DUMMYFUNCTION("""COMPUTED_VALUE"""),45854.425925324074)</f>
        <v>45854.42593</v>
      </c>
      <c r="B698" s="29" t="str">
        <f>IFERROR(__xludf.DUMMYFUNCTION("""COMPUTED_VALUE"""),"Circumcised")</f>
        <v>Circumcised</v>
      </c>
      <c r="C698" s="29" t="str">
        <f>IFERROR(__xludf.DUMMYFUNCTION("""COMPUTED_VALUE"""),"Ease of Orgasm")</f>
        <v>Ease of Orgasm</v>
      </c>
      <c r="D698" s="29" t="str">
        <f>IFERROR(__xludf.DUMMYFUNCTION("""COMPUTED_VALUE"""),"5 (High/Excellent)")</f>
        <v>5 (High/Excellent)</v>
      </c>
      <c r="E698" s="29">
        <f>IFERROR(__xludf.DUMMYFUNCTION("""COMPUTED_VALUE"""),5.0)</f>
        <v>5</v>
      </c>
    </row>
    <row r="699">
      <c r="A699" s="33">
        <f>IFERROR(__xludf.DUMMYFUNCTION("""COMPUTED_VALUE"""),45855.06532899306)</f>
        <v>45855.06533</v>
      </c>
      <c r="B699" s="29" t="str">
        <f>IFERROR(__xludf.DUMMYFUNCTION("""COMPUTED_VALUE"""),"Circumcised")</f>
        <v>Circumcised</v>
      </c>
      <c r="C699" s="29" t="str">
        <f>IFERROR(__xludf.DUMMYFUNCTION("""COMPUTED_VALUE"""),"Ease of Orgasm")</f>
        <v>Ease of Orgasm</v>
      </c>
      <c r="D699" s="29" t="str">
        <f>IFERROR(__xludf.DUMMYFUNCTION("""COMPUTED_VALUE"""),"2")</f>
        <v>2</v>
      </c>
      <c r="E699" s="29">
        <f>IFERROR(__xludf.DUMMYFUNCTION("""COMPUTED_VALUE"""),2.0)</f>
        <v>2</v>
      </c>
    </row>
    <row r="700">
      <c r="A700" s="33">
        <f>IFERROR(__xludf.DUMMYFUNCTION("""COMPUTED_VALUE"""),45857.18312947916)</f>
        <v>45857.18313</v>
      </c>
      <c r="B700" s="29" t="str">
        <f>IFERROR(__xludf.DUMMYFUNCTION("""COMPUTED_VALUE"""),"Intact (Never circumcised)")</f>
        <v>Intact (Never circumcised)</v>
      </c>
      <c r="C700" s="29" t="str">
        <f>IFERROR(__xludf.DUMMYFUNCTION("""COMPUTED_VALUE"""),"Ease of Orgasm")</f>
        <v>Ease of Orgasm</v>
      </c>
      <c r="D700" s="29" t="str">
        <f>IFERROR(__xludf.DUMMYFUNCTION("""COMPUTED_VALUE"""),"5 (High/Excellent)")</f>
        <v>5 (High/Excellent)</v>
      </c>
      <c r="E700" s="29">
        <f>IFERROR(__xludf.DUMMYFUNCTION("""COMPUTED_VALUE"""),5.0)</f>
        <v>5</v>
      </c>
    </row>
    <row r="701">
      <c r="A701" s="33">
        <f>IFERROR(__xludf.DUMMYFUNCTION("""COMPUTED_VALUE"""),45858.85559804398)</f>
        <v>45858.8556</v>
      </c>
      <c r="B701" s="29" t="str">
        <f>IFERROR(__xludf.DUMMYFUNCTION("""COMPUTED_VALUE"""),"Circumcised")</f>
        <v>Circumcised</v>
      </c>
      <c r="C701" s="29" t="str">
        <f>IFERROR(__xludf.DUMMYFUNCTION("""COMPUTED_VALUE"""),"Ease of Orgasm")</f>
        <v>Ease of Orgasm</v>
      </c>
      <c r="D701" s="29" t="str">
        <f>IFERROR(__xludf.DUMMYFUNCTION("""COMPUTED_VALUE"""),"4")</f>
        <v>4</v>
      </c>
      <c r="E701" s="29">
        <f>IFERROR(__xludf.DUMMYFUNCTION("""COMPUTED_VALUE"""),4.0)</f>
        <v>4</v>
      </c>
    </row>
    <row r="702">
      <c r="A702" s="33">
        <f>IFERROR(__xludf.DUMMYFUNCTION("""COMPUTED_VALUE"""),45861.16600383102)</f>
        <v>45861.166</v>
      </c>
      <c r="B702" s="29" t="str">
        <f>IFERROR(__xludf.DUMMYFUNCTION("""COMPUTED_VALUE"""),"Intact (Never circumcised)")</f>
        <v>Intact (Never circumcised)</v>
      </c>
      <c r="C702" s="29" t="str">
        <f>IFERROR(__xludf.DUMMYFUNCTION("""COMPUTED_VALUE"""),"Ease of Orgasm")</f>
        <v>Ease of Orgasm</v>
      </c>
      <c r="D702" s="29" t="str">
        <f>IFERROR(__xludf.DUMMYFUNCTION("""COMPUTED_VALUE"""),"5 (High/Excellent)")</f>
        <v>5 (High/Excellent)</v>
      </c>
      <c r="E702" s="29">
        <f>IFERROR(__xludf.DUMMYFUNCTION("""COMPUTED_VALUE"""),5.0)</f>
        <v>5</v>
      </c>
    </row>
    <row r="703">
      <c r="A703" s="33">
        <f>IFERROR(__xludf.DUMMYFUNCTION("""COMPUTED_VALUE"""),45864.54673815972)</f>
        <v>45864.54674</v>
      </c>
      <c r="B703" s="29" t="str">
        <f>IFERROR(__xludf.DUMMYFUNCTION("""COMPUTED_VALUE"""),"Intact (Never circumcised)")</f>
        <v>Intact (Never circumcised)</v>
      </c>
      <c r="C703" s="29" t="str">
        <f>IFERROR(__xludf.DUMMYFUNCTION("""COMPUTED_VALUE"""),"Ease of Orgasm")</f>
        <v>Ease of Orgasm</v>
      </c>
      <c r="D703" s="29" t="str">
        <f>IFERROR(__xludf.DUMMYFUNCTION("""COMPUTED_VALUE"""),"5 (High/Excellent)")</f>
        <v>5 (High/Excellent)</v>
      </c>
      <c r="E703" s="29">
        <f>IFERROR(__xludf.DUMMYFUNCTION("""COMPUTED_VALUE"""),5.0)</f>
        <v>5</v>
      </c>
    </row>
    <row r="704">
      <c r="A704" s="33">
        <f>IFERROR(__xludf.DUMMYFUNCTION("""COMPUTED_VALUE"""),45864.76644127315)</f>
        <v>45864.76644</v>
      </c>
      <c r="B704" s="29" t="str">
        <f>IFERROR(__xludf.DUMMYFUNCTION("""COMPUTED_VALUE"""),"Intact (Never circumcised)")</f>
        <v>Intact (Never circumcised)</v>
      </c>
      <c r="C704" s="29" t="str">
        <f>IFERROR(__xludf.DUMMYFUNCTION("""COMPUTED_VALUE"""),"Ease of Orgasm")</f>
        <v>Ease of Orgasm</v>
      </c>
      <c r="D704" s="29" t="str">
        <f>IFERROR(__xludf.DUMMYFUNCTION("""COMPUTED_VALUE"""),"5 (High/Excellent)")</f>
        <v>5 (High/Excellent)</v>
      </c>
      <c r="E704" s="29">
        <f>IFERROR(__xludf.DUMMYFUNCTION("""COMPUTED_VALUE"""),5.0)</f>
        <v>5</v>
      </c>
    </row>
    <row r="705">
      <c r="A705" s="33">
        <f>IFERROR(__xludf.DUMMYFUNCTION("""COMPUTED_VALUE"""),45865.26090908565)</f>
        <v>45865.26091</v>
      </c>
      <c r="B705" s="29" t="str">
        <f>IFERROR(__xludf.DUMMYFUNCTION("""COMPUTED_VALUE"""),"Circumcised")</f>
        <v>Circumcised</v>
      </c>
      <c r="C705" s="29" t="str">
        <f>IFERROR(__xludf.DUMMYFUNCTION("""COMPUTED_VALUE"""),"Ease of Orgasm")</f>
        <v>Ease of Orgasm</v>
      </c>
      <c r="D705" s="29" t="str">
        <f>IFERROR(__xludf.DUMMYFUNCTION("""COMPUTED_VALUE"""),"4")</f>
        <v>4</v>
      </c>
      <c r="E705" s="29">
        <f>IFERROR(__xludf.DUMMYFUNCTION("""COMPUTED_VALUE"""),4.0)</f>
        <v>4</v>
      </c>
    </row>
    <row r="706">
      <c r="A706" s="33">
        <f>IFERROR(__xludf.DUMMYFUNCTION("""COMPUTED_VALUE"""),45865.286593275465)</f>
        <v>45865.28659</v>
      </c>
      <c r="B706" s="29" t="str">
        <f>IFERROR(__xludf.DUMMYFUNCTION("""COMPUTED_VALUE"""),"Circumcised")</f>
        <v>Circumcised</v>
      </c>
      <c r="C706" s="29" t="str">
        <f>IFERROR(__xludf.DUMMYFUNCTION("""COMPUTED_VALUE"""),"Ease of Orgasm")</f>
        <v>Ease of Orgasm</v>
      </c>
      <c r="D706" s="29" t="str">
        <f>IFERROR(__xludf.DUMMYFUNCTION("""COMPUTED_VALUE"""),"3 (Medium/Average)")</f>
        <v>3 (Medium/Average)</v>
      </c>
      <c r="E706" s="29">
        <f>IFERROR(__xludf.DUMMYFUNCTION("""COMPUTED_VALUE"""),3.0)</f>
        <v>3</v>
      </c>
    </row>
    <row r="707">
      <c r="A707" s="33">
        <f>IFERROR(__xludf.DUMMYFUNCTION("""COMPUTED_VALUE"""),45865.61642836805)</f>
        <v>45865.61643</v>
      </c>
      <c r="B707" s="29" t="str">
        <f>IFERROR(__xludf.DUMMYFUNCTION("""COMPUTED_VALUE"""),"Circumcised")</f>
        <v>Circumcised</v>
      </c>
      <c r="C707" s="29" t="str">
        <f>IFERROR(__xludf.DUMMYFUNCTION("""COMPUTED_VALUE"""),"Ease of Orgasm")</f>
        <v>Ease of Orgasm</v>
      </c>
      <c r="D707" s="29" t="str">
        <f>IFERROR(__xludf.DUMMYFUNCTION("""COMPUTED_VALUE"""),"1 (Low/Poor)")</f>
        <v>1 (Low/Poor)</v>
      </c>
      <c r="E707" s="29">
        <f>IFERROR(__xludf.DUMMYFUNCTION("""COMPUTED_VALUE"""),1.0)</f>
        <v>1</v>
      </c>
    </row>
    <row r="708">
      <c r="A708" s="33">
        <f>IFERROR(__xludf.DUMMYFUNCTION("""COMPUTED_VALUE"""),45866.35659802083)</f>
        <v>45866.3566</v>
      </c>
      <c r="B708" s="29" t="str">
        <f>IFERROR(__xludf.DUMMYFUNCTION("""COMPUTED_VALUE"""),"Actively restoring my foreskin / I consider myself restored")</f>
        <v>Actively restoring my foreskin / I consider myself restored</v>
      </c>
      <c r="C708" s="29" t="str">
        <f>IFERROR(__xludf.DUMMYFUNCTION("""COMPUTED_VALUE"""),"Ease of Orgasm")</f>
        <v>Ease of Orgasm</v>
      </c>
      <c r="D708" s="29" t="str">
        <f>IFERROR(__xludf.DUMMYFUNCTION("""COMPUTED_VALUE"""),"3 (Medium/Average)")</f>
        <v>3 (Medium/Average)</v>
      </c>
      <c r="E708" s="29">
        <f>IFERROR(__xludf.DUMMYFUNCTION("""COMPUTED_VALUE"""),3.0)</f>
        <v>3</v>
      </c>
    </row>
    <row r="709">
      <c r="A709" s="33">
        <f>IFERROR(__xludf.DUMMYFUNCTION("""COMPUTED_VALUE"""),45866.36920435186)</f>
        <v>45866.3692</v>
      </c>
      <c r="B709" s="29" t="str">
        <f>IFERROR(__xludf.DUMMYFUNCTION("""COMPUTED_VALUE"""),"Circumcised")</f>
        <v>Circumcised</v>
      </c>
      <c r="C709" s="29" t="str">
        <f>IFERROR(__xludf.DUMMYFUNCTION("""COMPUTED_VALUE"""),"Ease of Orgasm")</f>
        <v>Ease of Orgasm</v>
      </c>
      <c r="D709" s="29" t="str">
        <f>IFERROR(__xludf.DUMMYFUNCTION("""COMPUTED_VALUE"""),"3 (Medium/Average)")</f>
        <v>3 (Medium/Average)</v>
      </c>
      <c r="E709" s="29">
        <f>IFERROR(__xludf.DUMMYFUNCTION("""COMPUTED_VALUE"""),3.0)</f>
        <v>3</v>
      </c>
    </row>
    <row r="710">
      <c r="A710" s="33">
        <f>IFERROR(__xludf.DUMMYFUNCTION("""COMPUTED_VALUE"""),45866.706210324075)</f>
        <v>45866.70621</v>
      </c>
      <c r="B710" s="29" t="str">
        <f>IFERROR(__xludf.DUMMYFUNCTION("""COMPUTED_VALUE"""),"Intact (Never circumcised)")</f>
        <v>Intact (Never circumcised)</v>
      </c>
      <c r="C710" s="29" t="str">
        <f>IFERROR(__xludf.DUMMYFUNCTION("""COMPUTED_VALUE"""),"Ease of Orgasm")</f>
        <v>Ease of Orgasm</v>
      </c>
      <c r="D710" s="29" t="str">
        <f>IFERROR(__xludf.DUMMYFUNCTION("""COMPUTED_VALUE"""),"4")</f>
        <v>4</v>
      </c>
      <c r="E710" s="29">
        <f>IFERROR(__xludf.DUMMYFUNCTION("""COMPUTED_VALUE"""),4.0)</f>
        <v>4</v>
      </c>
    </row>
    <row r="711">
      <c r="A711" s="33">
        <f>IFERROR(__xludf.DUMMYFUNCTION("""COMPUTED_VALUE"""),45867.465542523154)</f>
        <v>45867.46554</v>
      </c>
      <c r="B711" s="29" t="str">
        <f>IFERROR(__xludf.DUMMYFUNCTION("""COMPUTED_VALUE"""),"Intact (Never circumcised)")</f>
        <v>Intact (Never circumcised)</v>
      </c>
      <c r="C711" s="29" t="str">
        <f>IFERROR(__xludf.DUMMYFUNCTION("""COMPUTED_VALUE"""),"Ease of Orgasm")</f>
        <v>Ease of Orgasm</v>
      </c>
      <c r="D711" s="29" t="str">
        <f>IFERROR(__xludf.DUMMYFUNCTION("""COMPUTED_VALUE"""),"5 (High/Excellent)")</f>
        <v>5 (High/Excellent)</v>
      </c>
      <c r="E711" s="29">
        <f>IFERROR(__xludf.DUMMYFUNCTION("""COMPUTED_VALUE"""),5.0)</f>
        <v>5</v>
      </c>
    </row>
    <row r="712">
      <c r="A712" s="33">
        <f>IFERROR(__xludf.DUMMYFUNCTION("""COMPUTED_VALUE"""),45869.6256671875)</f>
        <v>45869.62567</v>
      </c>
      <c r="B712" s="29" t="str">
        <f>IFERROR(__xludf.DUMMYFUNCTION("""COMPUTED_VALUE"""),"Circumcised")</f>
        <v>Circumcised</v>
      </c>
      <c r="C712" s="29" t="str">
        <f>IFERROR(__xludf.DUMMYFUNCTION("""COMPUTED_VALUE"""),"Ease of Orgasm")</f>
        <v>Ease of Orgasm</v>
      </c>
      <c r="D712" s="29" t="str">
        <f>IFERROR(__xludf.DUMMYFUNCTION("""COMPUTED_VALUE"""),"4")</f>
        <v>4</v>
      </c>
      <c r="E712" s="29">
        <f>IFERROR(__xludf.DUMMYFUNCTION("""COMPUTED_VALUE"""),4.0)</f>
        <v>4</v>
      </c>
    </row>
    <row r="713">
      <c r="A713" s="33">
        <f>IFERROR(__xludf.DUMMYFUNCTION("""COMPUTED_VALUE"""),45870.66304393519)</f>
        <v>45870.66304</v>
      </c>
      <c r="B713" s="29" t="str">
        <f>IFERROR(__xludf.DUMMYFUNCTION("""COMPUTED_VALUE"""),"Circumcised")</f>
        <v>Circumcised</v>
      </c>
      <c r="C713" s="29" t="str">
        <f>IFERROR(__xludf.DUMMYFUNCTION("""COMPUTED_VALUE"""),"Ease of Orgasm")</f>
        <v>Ease of Orgasm</v>
      </c>
      <c r="D713" s="29" t="str">
        <f>IFERROR(__xludf.DUMMYFUNCTION("""COMPUTED_VALUE"""),"5 (High/Excellent)")</f>
        <v>5 (High/Excellent)</v>
      </c>
      <c r="E713" s="29">
        <f>IFERROR(__xludf.DUMMYFUNCTION("""COMPUTED_VALUE"""),5.0)</f>
        <v>5</v>
      </c>
    </row>
    <row r="714">
      <c r="A714" s="33">
        <f>IFERROR(__xludf.DUMMYFUNCTION("""COMPUTED_VALUE"""),45871.494499988425)</f>
        <v>45871.4945</v>
      </c>
      <c r="B714" s="29" t="str">
        <f>IFERROR(__xludf.DUMMYFUNCTION("""COMPUTED_VALUE"""),"Circumcised")</f>
        <v>Circumcised</v>
      </c>
      <c r="C714" s="29" t="str">
        <f>IFERROR(__xludf.DUMMYFUNCTION("""COMPUTED_VALUE"""),"Ease of Orgasm")</f>
        <v>Ease of Orgasm</v>
      </c>
      <c r="D714" s="29" t="str">
        <f>IFERROR(__xludf.DUMMYFUNCTION("""COMPUTED_VALUE"""),"3 (Medium/Average)")</f>
        <v>3 (Medium/Average)</v>
      </c>
      <c r="E714" s="29">
        <f>IFERROR(__xludf.DUMMYFUNCTION("""COMPUTED_VALUE"""),3.0)</f>
        <v>3</v>
      </c>
    </row>
    <row r="715">
      <c r="A715" s="33">
        <f>IFERROR(__xludf.DUMMYFUNCTION("""COMPUTED_VALUE"""),45872.30185957176)</f>
        <v>45872.30186</v>
      </c>
      <c r="B715" s="29" t="str">
        <f>IFERROR(__xludf.DUMMYFUNCTION("""COMPUTED_VALUE"""),"Intact (Never circumcised)")</f>
        <v>Intact (Never circumcised)</v>
      </c>
      <c r="C715" s="29" t="str">
        <f>IFERROR(__xludf.DUMMYFUNCTION("""COMPUTED_VALUE"""),"Ease of Orgasm")</f>
        <v>Ease of Orgasm</v>
      </c>
      <c r="D715" s="29" t="str">
        <f>IFERROR(__xludf.DUMMYFUNCTION("""COMPUTED_VALUE"""),"4")</f>
        <v>4</v>
      </c>
      <c r="E715" s="29">
        <f>IFERROR(__xludf.DUMMYFUNCTION("""COMPUTED_VALUE"""),4.0)</f>
        <v>4</v>
      </c>
    </row>
    <row r="716">
      <c r="A716" s="33">
        <f>IFERROR(__xludf.DUMMYFUNCTION("""COMPUTED_VALUE"""),45872.47329465277)</f>
        <v>45872.47329</v>
      </c>
      <c r="B716" s="29" t="str">
        <f>IFERROR(__xludf.DUMMYFUNCTION("""COMPUTED_VALUE"""),"Circumcised")</f>
        <v>Circumcised</v>
      </c>
      <c r="C716" s="29" t="str">
        <f>IFERROR(__xludf.DUMMYFUNCTION("""COMPUTED_VALUE"""),"Ease of Orgasm")</f>
        <v>Ease of Orgasm</v>
      </c>
      <c r="D716" s="29" t="str">
        <f>IFERROR(__xludf.DUMMYFUNCTION("""COMPUTED_VALUE"""),"4")</f>
        <v>4</v>
      </c>
      <c r="E716" s="29">
        <f>IFERROR(__xludf.DUMMYFUNCTION("""COMPUTED_VALUE"""),4.0)</f>
        <v>4</v>
      </c>
    </row>
    <row r="717">
      <c r="A717" s="33">
        <f>IFERROR(__xludf.DUMMYFUNCTION("""COMPUTED_VALUE"""),45876.17624883102)</f>
        <v>45876.17625</v>
      </c>
      <c r="B717" s="29" t="str">
        <f>IFERROR(__xludf.DUMMYFUNCTION("""COMPUTED_VALUE"""),"Intact (Never circumcised)")</f>
        <v>Intact (Never circumcised)</v>
      </c>
      <c r="C717" s="29" t="str">
        <f>IFERROR(__xludf.DUMMYFUNCTION("""COMPUTED_VALUE"""),"Ease of Orgasm")</f>
        <v>Ease of Orgasm</v>
      </c>
      <c r="D717" s="29" t="str">
        <f>IFERROR(__xludf.DUMMYFUNCTION("""COMPUTED_VALUE"""),"4")</f>
        <v>4</v>
      </c>
      <c r="E717" s="29">
        <f>IFERROR(__xludf.DUMMYFUNCTION("""COMPUTED_VALUE"""),4.0)</f>
        <v>4</v>
      </c>
    </row>
    <row r="718">
      <c r="A718" s="33">
        <f>IFERROR(__xludf.DUMMYFUNCTION("""COMPUTED_VALUE"""),45876.63808144676)</f>
        <v>45876.63808</v>
      </c>
      <c r="B718" s="29" t="str">
        <f>IFERROR(__xludf.DUMMYFUNCTION("""COMPUTED_VALUE"""),"Intact (Never circumcised)")</f>
        <v>Intact (Never circumcised)</v>
      </c>
      <c r="C718" s="29" t="str">
        <f>IFERROR(__xludf.DUMMYFUNCTION("""COMPUTED_VALUE"""),"Ease of Orgasm")</f>
        <v>Ease of Orgasm</v>
      </c>
      <c r="D718" s="29" t="str">
        <f>IFERROR(__xludf.DUMMYFUNCTION("""COMPUTED_VALUE"""),"4")</f>
        <v>4</v>
      </c>
      <c r="E718" s="29">
        <f>IFERROR(__xludf.DUMMYFUNCTION("""COMPUTED_VALUE"""),4.0)</f>
        <v>4</v>
      </c>
    </row>
    <row r="719">
      <c r="A719" s="33">
        <f>IFERROR(__xludf.DUMMYFUNCTION("""COMPUTED_VALUE"""),45879.53425473379)</f>
        <v>45879.53425</v>
      </c>
      <c r="B719" s="29" t="str">
        <f>IFERROR(__xludf.DUMMYFUNCTION("""COMPUTED_VALUE"""),"Actively restoring my foreskin / I consider myself restored")</f>
        <v>Actively restoring my foreskin / I consider myself restored</v>
      </c>
      <c r="C719" s="29" t="str">
        <f>IFERROR(__xludf.DUMMYFUNCTION("""COMPUTED_VALUE"""),"Ease of Orgasm")</f>
        <v>Ease of Orgasm</v>
      </c>
      <c r="D719" s="29" t="str">
        <f>IFERROR(__xludf.DUMMYFUNCTION("""COMPUTED_VALUE"""),"5 (High/Excellent)")</f>
        <v>5 (High/Excellent)</v>
      </c>
      <c r="E719" s="29">
        <f>IFERROR(__xludf.DUMMYFUNCTION("""COMPUTED_VALUE"""),5.0)</f>
        <v>5</v>
      </c>
    </row>
    <row r="720">
      <c r="A720" s="33">
        <f>IFERROR(__xludf.DUMMYFUNCTION("""COMPUTED_VALUE"""),45879.723996388886)</f>
        <v>45879.724</v>
      </c>
      <c r="B720" s="29" t="str">
        <f>IFERROR(__xludf.DUMMYFUNCTION("""COMPUTED_VALUE"""),"Circumcised")</f>
        <v>Circumcised</v>
      </c>
      <c r="C720" s="29" t="str">
        <f>IFERROR(__xludf.DUMMYFUNCTION("""COMPUTED_VALUE"""),"Ease of Orgasm")</f>
        <v>Ease of Orgasm</v>
      </c>
      <c r="D720" s="29" t="str">
        <f>IFERROR(__xludf.DUMMYFUNCTION("""COMPUTED_VALUE"""),"3 (Medium/Average)")</f>
        <v>3 (Medium/Average)</v>
      </c>
      <c r="E720" s="29">
        <f>IFERROR(__xludf.DUMMYFUNCTION("""COMPUTED_VALUE"""),3.0)</f>
        <v>3</v>
      </c>
    </row>
    <row r="721">
      <c r="A721" s="33">
        <f>IFERROR(__xludf.DUMMYFUNCTION("""COMPUTED_VALUE"""),45880.35085082176)</f>
        <v>45880.35085</v>
      </c>
      <c r="B721" s="29" t="str">
        <f>IFERROR(__xludf.DUMMYFUNCTION("""COMPUTED_VALUE"""),"Actively restoring my foreskin / I consider myself restored")</f>
        <v>Actively restoring my foreskin / I consider myself restored</v>
      </c>
      <c r="C721" s="29" t="str">
        <f>IFERROR(__xludf.DUMMYFUNCTION("""COMPUTED_VALUE"""),"Ease of Orgasm")</f>
        <v>Ease of Orgasm</v>
      </c>
      <c r="D721" s="29" t="str">
        <f>IFERROR(__xludf.DUMMYFUNCTION("""COMPUTED_VALUE"""),"2")</f>
        <v>2</v>
      </c>
      <c r="E721" s="29">
        <f>IFERROR(__xludf.DUMMYFUNCTION("""COMPUTED_VALUE"""),2.0)</f>
        <v>2</v>
      </c>
    </row>
    <row r="722">
      <c r="A722" s="33">
        <f>IFERROR(__xludf.DUMMYFUNCTION("""COMPUTED_VALUE"""),45880.668832337964)</f>
        <v>45880.66883</v>
      </c>
      <c r="B722" s="29" t="str">
        <f>IFERROR(__xludf.DUMMYFUNCTION("""COMPUTED_VALUE"""),"Circumcised")</f>
        <v>Circumcised</v>
      </c>
      <c r="C722" s="29" t="str">
        <f>IFERROR(__xludf.DUMMYFUNCTION("""COMPUTED_VALUE"""),"Ease of Orgasm")</f>
        <v>Ease of Orgasm</v>
      </c>
      <c r="D722" s="29" t="str">
        <f>IFERROR(__xludf.DUMMYFUNCTION("""COMPUTED_VALUE"""),"2")</f>
        <v>2</v>
      </c>
      <c r="E722" s="29">
        <f>IFERROR(__xludf.DUMMYFUNCTION("""COMPUTED_VALUE"""),2.0)</f>
        <v>2</v>
      </c>
    </row>
    <row r="723">
      <c r="A723" s="33">
        <f>IFERROR(__xludf.DUMMYFUNCTION("""COMPUTED_VALUE"""),45880.90769810185)</f>
        <v>45880.9077</v>
      </c>
      <c r="B723" s="29" t="str">
        <f>IFERROR(__xludf.DUMMYFUNCTION("""COMPUTED_VALUE"""),"Actively restoring my foreskin / I consider myself restored")</f>
        <v>Actively restoring my foreskin / I consider myself restored</v>
      </c>
      <c r="C723" s="29" t="str">
        <f>IFERROR(__xludf.DUMMYFUNCTION("""COMPUTED_VALUE"""),"Ease of Orgasm")</f>
        <v>Ease of Orgasm</v>
      </c>
      <c r="D723" s="29" t="str">
        <f>IFERROR(__xludf.DUMMYFUNCTION("""COMPUTED_VALUE"""),"2")</f>
        <v>2</v>
      </c>
      <c r="E723" s="29">
        <f>IFERROR(__xludf.DUMMYFUNCTION("""COMPUTED_VALUE"""),2.0)</f>
        <v>2</v>
      </c>
    </row>
    <row r="724">
      <c r="A724" s="33">
        <f>IFERROR(__xludf.DUMMYFUNCTION("""COMPUTED_VALUE"""),45881.71131423611)</f>
        <v>45881.71131</v>
      </c>
      <c r="B724" s="29" t="str">
        <f>IFERROR(__xludf.DUMMYFUNCTION("""COMPUTED_VALUE"""),"Circumcised")</f>
        <v>Circumcised</v>
      </c>
      <c r="C724" s="29" t="str">
        <f>IFERROR(__xludf.DUMMYFUNCTION("""COMPUTED_VALUE"""),"Ease of Orgasm")</f>
        <v>Ease of Orgasm</v>
      </c>
      <c r="D724" s="29" t="str">
        <f>IFERROR(__xludf.DUMMYFUNCTION("""COMPUTED_VALUE"""),"4")</f>
        <v>4</v>
      </c>
      <c r="E724" s="29">
        <f>IFERROR(__xludf.DUMMYFUNCTION("""COMPUTED_VALUE"""),4.0)</f>
        <v>4</v>
      </c>
    </row>
    <row r="725">
      <c r="A725" s="33">
        <f>IFERROR(__xludf.DUMMYFUNCTION("""COMPUTED_VALUE"""),45881.76282621528)</f>
        <v>45881.76283</v>
      </c>
      <c r="B725" s="29" t="str">
        <f>IFERROR(__xludf.DUMMYFUNCTION("""COMPUTED_VALUE"""),"Actively restoring my foreskin / I consider myself restored")</f>
        <v>Actively restoring my foreskin / I consider myself restored</v>
      </c>
      <c r="C725" s="29" t="str">
        <f>IFERROR(__xludf.DUMMYFUNCTION("""COMPUTED_VALUE"""),"Ease of Orgasm")</f>
        <v>Ease of Orgasm</v>
      </c>
      <c r="D725" s="29" t="str">
        <f>IFERROR(__xludf.DUMMYFUNCTION("""COMPUTED_VALUE"""),"4")</f>
        <v>4</v>
      </c>
      <c r="E725" s="29">
        <f>IFERROR(__xludf.DUMMYFUNCTION("""COMPUTED_VALUE"""),4.0)</f>
        <v>4</v>
      </c>
    </row>
    <row r="726">
      <c r="A726" s="33">
        <f>IFERROR(__xludf.DUMMYFUNCTION("""COMPUTED_VALUE"""),45891.315471574075)</f>
        <v>45891.31547</v>
      </c>
      <c r="B726" s="29" t="str">
        <f>IFERROR(__xludf.DUMMYFUNCTION("""COMPUTED_VALUE"""),"Circumcised")</f>
        <v>Circumcised</v>
      </c>
      <c r="C726" s="29" t="str">
        <f>IFERROR(__xludf.DUMMYFUNCTION("""COMPUTED_VALUE"""),"Ease of Orgasm")</f>
        <v>Ease of Orgasm</v>
      </c>
      <c r="D726" s="29" t="str">
        <f>IFERROR(__xludf.DUMMYFUNCTION("""COMPUTED_VALUE"""),"4")</f>
        <v>4</v>
      </c>
      <c r="E726" s="29">
        <f>IFERROR(__xludf.DUMMYFUNCTION("""COMPUTED_VALUE"""),4.0)</f>
        <v>4</v>
      </c>
    </row>
    <row r="727">
      <c r="A727" s="33">
        <f>IFERROR(__xludf.DUMMYFUNCTION("""COMPUTED_VALUE"""),45896.146926319445)</f>
        <v>45896.14693</v>
      </c>
      <c r="B727" s="29" t="str">
        <f>IFERROR(__xludf.DUMMYFUNCTION("""COMPUTED_VALUE"""),"Circumcised")</f>
        <v>Circumcised</v>
      </c>
      <c r="C727" s="29" t="str">
        <f>IFERROR(__xludf.DUMMYFUNCTION("""COMPUTED_VALUE"""),"Ease of Orgasm")</f>
        <v>Ease of Orgasm</v>
      </c>
      <c r="D727" s="29" t="str">
        <f>IFERROR(__xludf.DUMMYFUNCTION("""COMPUTED_VALUE"""),"4")</f>
        <v>4</v>
      </c>
      <c r="E727" s="29">
        <f>IFERROR(__xludf.DUMMYFUNCTION("""COMPUTED_VALUE"""),4.0)</f>
        <v>4</v>
      </c>
    </row>
    <row r="728">
      <c r="A728" s="33">
        <f>IFERROR(__xludf.DUMMYFUNCTION("""COMPUTED_VALUE"""),45896.65199521991)</f>
        <v>45896.652</v>
      </c>
      <c r="B728" s="29" t="str">
        <f>IFERROR(__xludf.DUMMYFUNCTION("""COMPUTED_VALUE"""),"Circumcised")</f>
        <v>Circumcised</v>
      </c>
      <c r="C728" s="29" t="str">
        <f>IFERROR(__xludf.DUMMYFUNCTION("""COMPUTED_VALUE"""),"Ease of Orgasm")</f>
        <v>Ease of Orgasm</v>
      </c>
      <c r="D728" s="29" t="str">
        <f>IFERROR(__xludf.DUMMYFUNCTION("""COMPUTED_VALUE"""),"3 (Medium/Average)")</f>
        <v>3 (Medium/Average)</v>
      </c>
      <c r="E728" s="29">
        <f>IFERROR(__xludf.DUMMYFUNCTION("""COMPUTED_VALUE"""),3.0)</f>
        <v>3</v>
      </c>
    </row>
    <row r="729">
      <c r="A729" s="33">
        <f>IFERROR(__xludf.DUMMYFUNCTION("""COMPUTED_VALUE"""),45898.58556331019)</f>
        <v>45898.58556</v>
      </c>
      <c r="B729" s="29" t="str">
        <f>IFERROR(__xludf.DUMMYFUNCTION("""COMPUTED_VALUE"""),"Intact (Never circumcised)")</f>
        <v>Intact (Never circumcised)</v>
      </c>
      <c r="C729" s="29" t="str">
        <f>IFERROR(__xludf.DUMMYFUNCTION("""COMPUTED_VALUE"""),"Ease of Orgasm")</f>
        <v>Ease of Orgasm</v>
      </c>
      <c r="D729" s="29" t="str">
        <f>IFERROR(__xludf.DUMMYFUNCTION("""COMPUTED_VALUE"""),"5 (High/Excellent)")</f>
        <v>5 (High/Excellent)</v>
      </c>
      <c r="E729" s="29">
        <f>IFERROR(__xludf.DUMMYFUNCTION("""COMPUTED_VALUE"""),5.0)</f>
        <v>5</v>
      </c>
    </row>
    <row r="730">
      <c r="A730" s="33">
        <f>IFERROR(__xludf.DUMMYFUNCTION("""COMPUTED_VALUE"""),45899.51747539352)</f>
        <v>45899.51748</v>
      </c>
      <c r="B730" s="29" t="str">
        <f>IFERROR(__xludf.DUMMYFUNCTION("""COMPUTED_VALUE"""),"Actively restoring my foreskin / I consider myself restored")</f>
        <v>Actively restoring my foreskin / I consider myself restored</v>
      </c>
      <c r="C730" s="29" t="str">
        <f>IFERROR(__xludf.DUMMYFUNCTION("""COMPUTED_VALUE"""),"Ease of Orgasm")</f>
        <v>Ease of Orgasm</v>
      </c>
      <c r="D730" s="29" t="str">
        <f>IFERROR(__xludf.DUMMYFUNCTION("""COMPUTED_VALUE"""),"5 (High/Excellent)")</f>
        <v>5 (High/Excellent)</v>
      </c>
      <c r="E730" s="29">
        <f>IFERROR(__xludf.DUMMYFUNCTION("""COMPUTED_VALUE"""),5.0)</f>
        <v>5</v>
      </c>
    </row>
    <row r="731">
      <c r="A731" s="33">
        <f>IFERROR(__xludf.DUMMYFUNCTION("""COMPUTED_VALUE"""),45900.64462908564)</f>
        <v>45900.64463</v>
      </c>
      <c r="B731" s="29" t="str">
        <f>IFERROR(__xludf.DUMMYFUNCTION("""COMPUTED_VALUE"""),"Circumcised")</f>
        <v>Circumcised</v>
      </c>
      <c r="C731" s="29" t="str">
        <f>IFERROR(__xludf.DUMMYFUNCTION("""COMPUTED_VALUE"""),"Ease of Orgasm")</f>
        <v>Ease of Orgasm</v>
      </c>
      <c r="D731" s="29" t="str">
        <f>IFERROR(__xludf.DUMMYFUNCTION("""COMPUTED_VALUE"""),"5 (High/Excellent)")</f>
        <v>5 (High/Excellent)</v>
      </c>
      <c r="E731" s="29">
        <f>IFERROR(__xludf.DUMMYFUNCTION("""COMPUTED_VALUE"""),5.0)</f>
        <v>5</v>
      </c>
    </row>
    <row r="732">
      <c r="A732" s="33">
        <f>IFERROR(__xludf.DUMMYFUNCTION("""COMPUTED_VALUE"""),45902.88397509259)</f>
        <v>45902.88398</v>
      </c>
      <c r="B732" s="29" t="str">
        <f>IFERROR(__xludf.DUMMYFUNCTION("""COMPUTED_VALUE"""),"Intact (Never circumcised)")</f>
        <v>Intact (Never circumcised)</v>
      </c>
      <c r="C732" s="29" t="str">
        <f>IFERROR(__xludf.DUMMYFUNCTION("""COMPUTED_VALUE"""),"Ease of Orgasm")</f>
        <v>Ease of Orgasm</v>
      </c>
      <c r="D732" s="29" t="str">
        <f>IFERROR(__xludf.DUMMYFUNCTION("""COMPUTED_VALUE"""),"5 (High/Excellent)")</f>
        <v>5 (High/Excellent)</v>
      </c>
      <c r="E732" s="29">
        <f>IFERROR(__xludf.DUMMYFUNCTION("""COMPUTED_VALUE"""),5.0)</f>
        <v>5</v>
      </c>
    </row>
    <row r="733">
      <c r="A733" s="33">
        <f>IFERROR(__xludf.DUMMYFUNCTION("""COMPUTED_VALUE"""),45902.91345981481)</f>
        <v>45902.91346</v>
      </c>
      <c r="B733" s="29" t="str">
        <f>IFERROR(__xludf.DUMMYFUNCTION("""COMPUTED_VALUE"""),"Circumcised")</f>
        <v>Circumcised</v>
      </c>
      <c r="C733" s="29" t="str">
        <f>IFERROR(__xludf.DUMMYFUNCTION("""COMPUTED_VALUE"""),"Ease of Orgasm")</f>
        <v>Ease of Orgasm</v>
      </c>
      <c r="D733" s="29" t="str">
        <f>IFERROR(__xludf.DUMMYFUNCTION("""COMPUTED_VALUE"""),"2")</f>
        <v>2</v>
      </c>
      <c r="E733" s="29">
        <f>IFERROR(__xludf.DUMMYFUNCTION("""COMPUTED_VALUE"""),2.0)</f>
        <v>2</v>
      </c>
    </row>
    <row r="734">
      <c r="A734" s="33">
        <f>IFERROR(__xludf.DUMMYFUNCTION("""COMPUTED_VALUE"""),45902.93139501157)</f>
        <v>45902.9314</v>
      </c>
      <c r="B734" s="29" t="str">
        <f>IFERROR(__xludf.DUMMYFUNCTION("""COMPUTED_VALUE"""),"Circumcised")</f>
        <v>Circumcised</v>
      </c>
      <c r="C734" s="29" t="str">
        <f>IFERROR(__xludf.DUMMYFUNCTION("""COMPUTED_VALUE"""),"Ease of Orgasm")</f>
        <v>Ease of Orgasm</v>
      </c>
      <c r="D734" s="29" t="str">
        <f>IFERROR(__xludf.DUMMYFUNCTION("""COMPUTED_VALUE"""),"3 (Medium/Average)")</f>
        <v>3 (Medium/Average)</v>
      </c>
      <c r="E734" s="29">
        <f>IFERROR(__xludf.DUMMYFUNCTION("""COMPUTED_VALUE"""),3.0)</f>
        <v>3</v>
      </c>
    </row>
    <row r="735">
      <c r="A735" s="33">
        <f>IFERROR(__xludf.DUMMYFUNCTION("""COMPUTED_VALUE"""),45902.9375257639)</f>
        <v>45902.93753</v>
      </c>
      <c r="B735" s="29" t="str">
        <f>IFERROR(__xludf.DUMMYFUNCTION("""COMPUTED_VALUE"""),"Intact (Never circumcised)")</f>
        <v>Intact (Never circumcised)</v>
      </c>
      <c r="C735" s="29" t="str">
        <f>IFERROR(__xludf.DUMMYFUNCTION("""COMPUTED_VALUE"""),"Ease of Orgasm")</f>
        <v>Ease of Orgasm</v>
      </c>
      <c r="D735" s="29" t="str">
        <f>IFERROR(__xludf.DUMMYFUNCTION("""COMPUTED_VALUE"""),"3 (Medium/Average)")</f>
        <v>3 (Medium/Average)</v>
      </c>
      <c r="E735" s="29">
        <f>IFERROR(__xludf.DUMMYFUNCTION("""COMPUTED_VALUE"""),3.0)</f>
        <v>3</v>
      </c>
    </row>
    <row r="736">
      <c r="A736" s="33">
        <f>IFERROR(__xludf.DUMMYFUNCTION("""COMPUTED_VALUE"""),45903.44211505787)</f>
        <v>45903.44212</v>
      </c>
      <c r="B736" s="29" t="str">
        <f>IFERROR(__xludf.DUMMYFUNCTION("""COMPUTED_VALUE"""),"Intact (Never circumcised)")</f>
        <v>Intact (Never circumcised)</v>
      </c>
      <c r="C736" s="29" t="str">
        <f>IFERROR(__xludf.DUMMYFUNCTION("""COMPUTED_VALUE"""),"Ease of Orgasm")</f>
        <v>Ease of Orgasm</v>
      </c>
      <c r="D736" s="29" t="str">
        <f>IFERROR(__xludf.DUMMYFUNCTION("""COMPUTED_VALUE"""),"2")</f>
        <v>2</v>
      </c>
      <c r="E736" s="29">
        <f>IFERROR(__xludf.DUMMYFUNCTION("""COMPUTED_VALUE"""),2.0)</f>
        <v>2</v>
      </c>
    </row>
    <row r="737">
      <c r="A737" s="33">
        <f>IFERROR(__xludf.DUMMYFUNCTION("""COMPUTED_VALUE"""),45903.48758677083)</f>
        <v>45903.48759</v>
      </c>
      <c r="B737" s="29" t="str">
        <f>IFERROR(__xludf.DUMMYFUNCTION("""COMPUTED_VALUE"""),"Circumcised")</f>
        <v>Circumcised</v>
      </c>
      <c r="C737" s="29" t="str">
        <f>IFERROR(__xludf.DUMMYFUNCTION("""COMPUTED_VALUE"""),"Ease of Orgasm")</f>
        <v>Ease of Orgasm</v>
      </c>
      <c r="D737" s="29" t="str">
        <f>IFERROR(__xludf.DUMMYFUNCTION("""COMPUTED_VALUE"""),"4")</f>
        <v>4</v>
      </c>
      <c r="E737" s="29">
        <f>IFERROR(__xludf.DUMMYFUNCTION("""COMPUTED_VALUE"""),4.0)</f>
        <v>4</v>
      </c>
    </row>
    <row r="738">
      <c r="A738" s="33">
        <f>IFERROR(__xludf.DUMMYFUNCTION("""COMPUTED_VALUE"""),45903.51030376158)</f>
        <v>45903.5103</v>
      </c>
      <c r="B738" s="29" t="str">
        <f>IFERROR(__xludf.DUMMYFUNCTION("""COMPUTED_VALUE"""),"Intact (Never circumcised)")</f>
        <v>Intact (Never circumcised)</v>
      </c>
      <c r="C738" s="29" t="str">
        <f>IFERROR(__xludf.DUMMYFUNCTION("""COMPUTED_VALUE"""),"Ease of Orgasm")</f>
        <v>Ease of Orgasm</v>
      </c>
      <c r="D738" s="29" t="str">
        <f>IFERROR(__xludf.DUMMYFUNCTION("""COMPUTED_VALUE"""),"2")</f>
        <v>2</v>
      </c>
      <c r="E738" s="29">
        <f>IFERROR(__xludf.DUMMYFUNCTION("""COMPUTED_VALUE"""),2.0)</f>
        <v>2</v>
      </c>
    </row>
    <row r="739">
      <c r="A739" s="33">
        <f>IFERROR(__xludf.DUMMYFUNCTION("""COMPUTED_VALUE"""),45903.51222153935)</f>
        <v>45903.51222</v>
      </c>
      <c r="B739" s="29" t="str">
        <f>IFERROR(__xludf.DUMMYFUNCTION("""COMPUTED_VALUE"""),"Circumcised")</f>
        <v>Circumcised</v>
      </c>
      <c r="C739" s="29" t="str">
        <f>IFERROR(__xludf.DUMMYFUNCTION("""COMPUTED_VALUE"""),"Ease of Orgasm")</f>
        <v>Ease of Orgasm</v>
      </c>
      <c r="D739" s="29" t="str">
        <f>IFERROR(__xludf.DUMMYFUNCTION("""COMPUTED_VALUE"""),"3 (Medium/Average)")</f>
        <v>3 (Medium/Average)</v>
      </c>
      <c r="E739" s="29">
        <f>IFERROR(__xludf.DUMMYFUNCTION("""COMPUTED_VALUE"""),3.0)</f>
        <v>3</v>
      </c>
    </row>
    <row r="740">
      <c r="A740" s="33">
        <f>IFERROR(__xludf.DUMMYFUNCTION("""COMPUTED_VALUE"""),45903.55631206019)</f>
        <v>45903.55631</v>
      </c>
      <c r="B740" s="29" t="str">
        <f>IFERROR(__xludf.DUMMYFUNCTION("""COMPUTED_VALUE"""),"Intact (Never circumcised)")</f>
        <v>Intact (Never circumcised)</v>
      </c>
      <c r="C740" s="29" t="str">
        <f>IFERROR(__xludf.DUMMYFUNCTION("""COMPUTED_VALUE"""),"Ease of Orgasm")</f>
        <v>Ease of Orgasm</v>
      </c>
      <c r="D740" s="29" t="str">
        <f>IFERROR(__xludf.DUMMYFUNCTION("""COMPUTED_VALUE"""),"4")</f>
        <v>4</v>
      </c>
      <c r="E740" s="29">
        <f>IFERROR(__xludf.DUMMYFUNCTION("""COMPUTED_VALUE"""),4.0)</f>
        <v>4</v>
      </c>
    </row>
    <row r="741">
      <c r="A741" s="33">
        <f>IFERROR(__xludf.DUMMYFUNCTION("""COMPUTED_VALUE"""),45903.60210783565)</f>
        <v>45903.60211</v>
      </c>
      <c r="B741" s="29" t="str">
        <f>IFERROR(__xludf.DUMMYFUNCTION("""COMPUTED_VALUE"""),"Intact (Never circumcised)")</f>
        <v>Intact (Never circumcised)</v>
      </c>
      <c r="C741" s="29" t="str">
        <f>IFERROR(__xludf.DUMMYFUNCTION("""COMPUTED_VALUE"""),"Ease of Orgasm")</f>
        <v>Ease of Orgasm</v>
      </c>
      <c r="D741" s="29" t="str">
        <f>IFERROR(__xludf.DUMMYFUNCTION("""COMPUTED_VALUE"""),"3 (Medium/Average)")</f>
        <v>3 (Medium/Average)</v>
      </c>
      <c r="E741" s="29">
        <f>IFERROR(__xludf.DUMMYFUNCTION("""COMPUTED_VALUE"""),3.0)</f>
        <v>3</v>
      </c>
    </row>
    <row r="742">
      <c r="A742" s="33">
        <f>IFERROR(__xludf.DUMMYFUNCTION("""COMPUTED_VALUE"""),45903.61053475695)</f>
        <v>45903.61053</v>
      </c>
      <c r="B742" s="29" t="str">
        <f>IFERROR(__xludf.DUMMYFUNCTION("""COMPUTED_VALUE"""),"Circumcised")</f>
        <v>Circumcised</v>
      </c>
      <c r="C742" s="29" t="str">
        <f>IFERROR(__xludf.DUMMYFUNCTION("""COMPUTED_VALUE"""),"Ease of Orgasm")</f>
        <v>Ease of Orgasm</v>
      </c>
      <c r="D742" s="29" t="str">
        <f>IFERROR(__xludf.DUMMYFUNCTION("""COMPUTED_VALUE"""),"4")</f>
        <v>4</v>
      </c>
      <c r="E742" s="29">
        <f>IFERROR(__xludf.DUMMYFUNCTION("""COMPUTED_VALUE"""),4.0)</f>
        <v>4</v>
      </c>
    </row>
    <row r="743">
      <c r="A743" s="33">
        <f>IFERROR(__xludf.DUMMYFUNCTION("""COMPUTED_VALUE"""),45903.6418905324)</f>
        <v>45903.64189</v>
      </c>
      <c r="B743" s="29" t="str">
        <f>IFERROR(__xludf.DUMMYFUNCTION("""COMPUTED_VALUE"""),"Circumcised")</f>
        <v>Circumcised</v>
      </c>
      <c r="C743" s="29" t="str">
        <f>IFERROR(__xludf.DUMMYFUNCTION("""COMPUTED_VALUE"""),"Ease of Orgasm")</f>
        <v>Ease of Orgasm</v>
      </c>
      <c r="D743" s="29" t="str">
        <f>IFERROR(__xludf.DUMMYFUNCTION("""COMPUTED_VALUE"""),"3 (Medium/Average)")</f>
        <v>3 (Medium/Average)</v>
      </c>
      <c r="E743" s="29">
        <f>IFERROR(__xludf.DUMMYFUNCTION("""COMPUTED_VALUE"""),3.0)</f>
        <v>3</v>
      </c>
    </row>
    <row r="744">
      <c r="A744" s="33">
        <f>IFERROR(__xludf.DUMMYFUNCTION("""COMPUTED_VALUE"""),45903.651005266205)</f>
        <v>45903.65101</v>
      </c>
      <c r="B744" s="29" t="str">
        <f>IFERROR(__xludf.DUMMYFUNCTION("""COMPUTED_VALUE"""),"Circumcised")</f>
        <v>Circumcised</v>
      </c>
      <c r="C744" s="29" t="str">
        <f>IFERROR(__xludf.DUMMYFUNCTION("""COMPUTED_VALUE"""),"Ease of Orgasm")</f>
        <v>Ease of Orgasm</v>
      </c>
      <c r="D744" s="29" t="str">
        <f>IFERROR(__xludf.DUMMYFUNCTION("""COMPUTED_VALUE"""),"4")</f>
        <v>4</v>
      </c>
      <c r="E744" s="29">
        <f>IFERROR(__xludf.DUMMYFUNCTION("""COMPUTED_VALUE"""),4.0)</f>
        <v>4</v>
      </c>
    </row>
    <row r="745">
      <c r="A745" s="33">
        <f>IFERROR(__xludf.DUMMYFUNCTION("""COMPUTED_VALUE"""),45903.6764394213)</f>
        <v>45903.67644</v>
      </c>
      <c r="B745" s="29" t="str">
        <f>IFERROR(__xludf.DUMMYFUNCTION("""COMPUTED_VALUE"""),"Circumcised")</f>
        <v>Circumcised</v>
      </c>
      <c r="C745" s="29" t="str">
        <f>IFERROR(__xludf.DUMMYFUNCTION("""COMPUTED_VALUE"""),"Ease of Orgasm")</f>
        <v>Ease of Orgasm</v>
      </c>
      <c r="D745" s="29" t="str">
        <f>IFERROR(__xludf.DUMMYFUNCTION("""COMPUTED_VALUE"""),"3 (Medium/Average)")</f>
        <v>3 (Medium/Average)</v>
      </c>
      <c r="E745" s="29">
        <f>IFERROR(__xludf.DUMMYFUNCTION("""COMPUTED_VALUE"""),3.0)</f>
        <v>3</v>
      </c>
    </row>
    <row r="746">
      <c r="A746" s="33">
        <f>IFERROR(__xludf.DUMMYFUNCTION("""COMPUTED_VALUE"""),45903.70256416666)</f>
        <v>45903.70256</v>
      </c>
      <c r="B746" s="29" t="str">
        <f>IFERROR(__xludf.DUMMYFUNCTION("""COMPUTED_VALUE"""),"Actively restoring my foreskin / I consider myself restored")</f>
        <v>Actively restoring my foreskin / I consider myself restored</v>
      </c>
      <c r="C746" s="29" t="str">
        <f>IFERROR(__xludf.DUMMYFUNCTION("""COMPUTED_VALUE"""),"Ease of Orgasm")</f>
        <v>Ease of Orgasm</v>
      </c>
      <c r="D746" s="29" t="str">
        <f>IFERROR(__xludf.DUMMYFUNCTION("""COMPUTED_VALUE"""),"4")</f>
        <v>4</v>
      </c>
      <c r="E746" s="29">
        <f>IFERROR(__xludf.DUMMYFUNCTION("""COMPUTED_VALUE"""),4.0)</f>
        <v>4</v>
      </c>
    </row>
    <row r="747">
      <c r="A747" s="33">
        <f>IFERROR(__xludf.DUMMYFUNCTION("""COMPUTED_VALUE"""),45904.68773384259)</f>
        <v>45904.68773</v>
      </c>
      <c r="B747" s="29" t="str">
        <f>IFERROR(__xludf.DUMMYFUNCTION("""COMPUTED_VALUE"""),"Circumcised")</f>
        <v>Circumcised</v>
      </c>
      <c r="C747" s="29" t="str">
        <f>IFERROR(__xludf.DUMMYFUNCTION("""COMPUTED_VALUE"""),"Ease of Orgasm")</f>
        <v>Ease of Orgasm</v>
      </c>
      <c r="D747" s="29" t="str">
        <f>IFERROR(__xludf.DUMMYFUNCTION("""COMPUTED_VALUE"""),"5 (High/Excellent)")</f>
        <v>5 (High/Excellent)</v>
      </c>
      <c r="E747" s="29">
        <f>IFERROR(__xludf.DUMMYFUNCTION("""COMPUTED_VALUE"""),5.0)</f>
        <v>5</v>
      </c>
    </row>
    <row r="748">
      <c r="A748" s="33">
        <f>IFERROR(__xludf.DUMMYFUNCTION("""COMPUTED_VALUE"""),45908.39691986111)</f>
        <v>45908.39692</v>
      </c>
      <c r="B748" s="29" t="str">
        <f>IFERROR(__xludf.DUMMYFUNCTION("""COMPUTED_VALUE"""),"Actively restoring my foreskin / I consider myself restored")</f>
        <v>Actively restoring my foreskin / I consider myself restored</v>
      </c>
      <c r="C748" s="29" t="str">
        <f>IFERROR(__xludf.DUMMYFUNCTION("""COMPUTED_VALUE"""),"Ease of Orgasm")</f>
        <v>Ease of Orgasm</v>
      </c>
      <c r="D748" s="29" t="str">
        <f>IFERROR(__xludf.DUMMYFUNCTION("""COMPUTED_VALUE"""),"3 (Medium/Average)")</f>
        <v>3 (Medium/Average)</v>
      </c>
      <c r="E748" s="29">
        <f>IFERROR(__xludf.DUMMYFUNCTION("""COMPUTED_VALUE"""),3.0)</f>
        <v>3</v>
      </c>
    </row>
    <row r="749">
      <c r="A749" s="33">
        <f>IFERROR(__xludf.DUMMYFUNCTION("""COMPUTED_VALUE"""),45908.43864734953)</f>
        <v>45908.43865</v>
      </c>
      <c r="B749" s="29" t="str">
        <f>IFERROR(__xludf.DUMMYFUNCTION("""COMPUTED_VALUE"""),"Intact (Never circumcised)")</f>
        <v>Intact (Never circumcised)</v>
      </c>
      <c r="C749" s="29" t="str">
        <f>IFERROR(__xludf.DUMMYFUNCTION("""COMPUTED_VALUE"""),"Ease of Orgasm")</f>
        <v>Ease of Orgasm</v>
      </c>
      <c r="D749" s="29" t="str">
        <f>IFERROR(__xludf.DUMMYFUNCTION("""COMPUTED_VALUE"""),"4")</f>
        <v>4</v>
      </c>
      <c r="E749" s="29">
        <f>IFERROR(__xludf.DUMMYFUNCTION("""COMPUTED_VALUE"""),4.0)</f>
        <v>4</v>
      </c>
    </row>
    <row r="750">
      <c r="A750" s="33">
        <f>IFERROR(__xludf.DUMMYFUNCTION("""COMPUTED_VALUE"""),45909.61754627315)</f>
        <v>45909.61755</v>
      </c>
      <c r="B750" s="29" t="str">
        <f>IFERROR(__xludf.DUMMYFUNCTION("""COMPUTED_VALUE"""),"Intact (Never circumcised)")</f>
        <v>Intact (Never circumcised)</v>
      </c>
      <c r="C750" s="29" t="str">
        <f>IFERROR(__xludf.DUMMYFUNCTION("""COMPUTED_VALUE"""),"Ease of Orgasm")</f>
        <v>Ease of Orgasm</v>
      </c>
      <c r="D750" s="29" t="str">
        <f>IFERROR(__xludf.DUMMYFUNCTION("""COMPUTED_VALUE"""),"3 (Medium/Average)")</f>
        <v>3 (Medium/Average)</v>
      </c>
      <c r="E750" s="29">
        <f>IFERROR(__xludf.DUMMYFUNCTION("""COMPUTED_VALUE"""),3.0)</f>
        <v>3</v>
      </c>
    </row>
    <row r="751">
      <c r="A751" s="33">
        <f>IFERROR(__xludf.DUMMYFUNCTION("""COMPUTED_VALUE"""),45909.787554953706)</f>
        <v>45909.78755</v>
      </c>
      <c r="B751" s="29" t="str">
        <f>IFERROR(__xludf.DUMMYFUNCTION("""COMPUTED_VALUE"""),"Actively restoring my foreskin / I consider myself restored")</f>
        <v>Actively restoring my foreskin / I consider myself restored</v>
      </c>
      <c r="C751" s="29" t="str">
        <f>IFERROR(__xludf.DUMMYFUNCTION("""COMPUTED_VALUE"""),"Ease of Orgasm")</f>
        <v>Ease of Orgasm</v>
      </c>
      <c r="D751" s="29" t="str">
        <f>IFERROR(__xludf.DUMMYFUNCTION("""COMPUTED_VALUE"""),"3 (Medium/Average)")</f>
        <v>3 (Medium/Average)</v>
      </c>
      <c r="E751" s="29">
        <f>IFERROR(__xludf.DUMMYFUNCTION("""COMPUTED_VALUE"""),3.0)</f>
        <v>3</v>
      </c>
    </row>
    <row r="752">
      <c r="A752" s="33">
        <f>IFERROR(__xludf.DUMMYFUNCTION("""COMPUTED_VALUE"""),45915.3204787963)</f>
        <v>45915.32048</v>
      </c>
      <c r="B752" s="29" t="str">
        <f>IFERROR(__xludf.DUMMYFUNCTION("""COMPUTED_VALUE"""),"Actively restoring my foreskin / I consider myself restored")</f>
        <v>Actively restoring my foreskin / I consider myself restored</v>
      </c>
      <c r="C752" s="29" t="str">
        <f>IFERROR(__xludf.DUMMYFUNCTION("""COMPUTED_VALUE"""),"Ease of Orgasm")</f>
        <v>Ease of Orgasm</v>
      </c>
      <c r="D752" s="29" t="str">
        <f>IFERROR(__xludf.DUMMYFUNCTION("""COMPUTED_VALUE"""),"1 (Low/Poor)")</f>
        <v>1 (Low/Poor)</v>
      </c>
      <c r="E752" s="29">
        <f>IFERROR(__xludf.DUMMYFUNCTION("""COMPUTED_VALUE"""),1.0)</f>
        <v>1</v>
      </c>
    </row>
    <row r="753">
      <c r="A753" s="33">
        <f>IFERROR(__xludf.DUMMYFUNCTION("""COMPUTED_VALUE"""),45917.67038480324)</f>
        <v>45917.67038</v>
      </c>
      <c r="B753" s="29" t="str">
        <f>IFERROR(__xludf.DUMMYFUNCTION("""COMPUTED_VALUE"""),"Actively restoring my foreskin / I consider myself restored")</f>
        <v>Actively restoring my foreskin / I consider myself restored</v>
      </c>
      <c r="C753" s="29" t="str">
        <f>IFERROR(__xludf.DUMMYFUNCTION("""COMPUTED_VALUE"""),"Ease of Orgasm")</f>
        <v>Ease of Orgasm</v>
      </c>
      <c r="D753" s="29" t="str">
        <f>IFERROR(__xludf.DUMMYFUNCTION("""COMPUTED_VALUE"""),"3 (Medium/Average)")</f>
        <v>3 (Medium/Average)</v>
      </c>
      <c r="E753" s="29">
        <f>IFERROR(__xludf.DUMMYFUNCTION("""COMPUTED_VALUE"""),3.0)</f>
        <v>3</v>
      </c>
    </row>
    <row r="754">
      <c r="A754" s="33">
        <f>IFERROR(__xludf.DUMMYFUNCTION("""COMPUTED_VALUE"""),45917.73239077546)</f>
        <v>45917.73239</v>
      </c>
      <c r="B754" s="29" t="str">
        <f>IFERROR(__xludf.DUMMYFUNCTION("""COMPUTED_VALUE"""),"Circumcised")</f>
        <v>Circumcised</v>
      </c>
      <c r="C754" s="29" t="str">
        <f>IFERROR(__xludf.DUMMYFUNCTION("""COMPUTED_VALUE"""),"Ease of Orgasm")</f>
        <v>Ease of Orgasm</v>
      </c>
      <c r="D754" s="29" t="str">
        <f>IFERROR(__xludf.DUMMYFUNCTION("""COMPUTED_VALUE"""),"3 (Medium/Average)")</f>
        <v>3 (Medium/Average)</v>
      </c>
      <c r="E754" s="29">
        <f>IFERROR(__xludf.DUMMYFUNCTION("""COMPUTED_VALUE"""),3.0)</f>
        <v>3</v>
      </c>
    </row>
    <row r="755">
      <c r="A755" s="33">
        <f>IFERROR(__xludf.DUMMYFUNCTION("""COMPUTED_VALUE"""),45918.237352870376)</f>
        <v>45918.23735</v>
      </c>
      <c r="B755" s="29" t="str">
        <f>IFERROR(__xludf.DUMMYFUNCTION("""COMPUTED_VALUE"""),"Circumcised")</f>
        <v>Circumcised</v>
      </c>
      <c r="C755" s="29" t="str">
        <f>IFERROR(__xludf.DUMMYFUNCTION("""COMPUTED_VALUE"""),"Ease of Orgasm")</f>
        <v>Ease of Orgasm</v>
      </c>
      <c r="D755" s="29" t="str">
        <f>IFERROR(__xludf.DUMMYFUNCTION("""COMPUTED_VALUE"""),"5 (High/Excellent)")</f>
        <v>5 (High/Excellent)</v>
      </c>
      <c r="E755" s="29">
        <f>IFERROR(__xludf.DUMMYFUNCTION("""COMPUTED_VALUE"""),5.0)</f>
        <v>5</v>
      </c>
    </row>
    <row r="756">
      <c r="A756" s="33">
        <f>IFERROR(__xludf.DUMMYFUNCTION("""COMPUTED_VALUE"""),45920.67861195602)</f>
        <v>45920.67861</v>
      </c>
      <c r="B756" s="29" t="str">
        <f>IFERROR(__xludf.DUMMYFUNCTION("""COMPUTED_VALUE"""),"Intact (Never circumcised)")</f>
        <v>Intact (Never circumcised)</v>
      </c>
      <c r="C756" s="29" t="str">
        <f>IFERROR(__xludf.DUMMYFUNCTION("""COMPUTED_VALUE"""),"Ease of Orgasm")</f>
        <v>Ease of Orgasm</v>
      </c>
      <c r="D756" s="29" t="str">
        <f>IFERROR(__xludf.DUMMYFUNCTION("""COMPUTED_VALUE"""),"2")</f>
        <v>2</v>
      </c>
      <c r="E756" s="29">
        <f>IFERROR(__xludf.DUMMYFUNCTION("""COMPUTED_VALUE"""),2.0)</f>
        <v>2</v>
      </c>
    </row>
    <row r="757">
      <c r="A757" s="33">
        <f>IFERROR(__xludf.DUMMYFUNCTION("""COMPUTED_VALUE"""),45921.55637546296)</f>
        <v>45921.55638</v>
      </c>
      <c r="B757" s="29" t="str">
        <f>IFERROR(__xludf.DUMMYFUNCTION("""COMPUTED_VALUE"""),"Circumcised")</f>
        <v>Circumcised</v>
      </c>
      <c r="C757" s="29" t="str">
        <f>IFERROR(__xludf.DUMMYFUNCTION("""COMPUTED_VALUE"""),"Ease of Orgasm")</f>
        <v>Ease of Orgasm</v>
      </c>
      <c r="D757" s="29" t="str">
        <f>IFERROR(__xludf.DUMMYFUNCTION("""COMPUTED_VALUE"""),"4")</f>
        <v>4</v>
      </c>
      <c r="E757" s="29">
        <f>IFERROR(__xludf.DUMMYFUNCTION("""COMPUTED_VALUE"""),4.0)</f>
        <v>4</v>
      </c>
    </row>
    <row r="758">
      <c r="A758" s="33">
        <f>IFERROR(__xludf.DUMMYFUNCTION("""COMPUTED_VALUE"""),45921.55864135417)</f>
        <v>45921.55864</v>
      </c>
      <c r="B758" s="29" t="str">
        <f>IFERROR(__xludf.DUMMYFUNCTION("""COMPUTED_VALUE"""),"Intact (Never circumcised)")</f>
        <v>Intact (Never circumcised)</v>
      </c>
      <c r="C758" s="29" t="str">
        <f>IFERROR(__xludf.DUMMYFUNCTION("""COMPUTED_VALUE"""),"Ease of Orgasm")</f>
        <v>Ease of Orgasm</v>
      </c>
      <c r="D758" s="29" t="str">
        <f>IFERROR(__xludf.DUMMYFUNCTION("""COMPUTED_VALUE"""),"4")</f>
        <v>4</v>
      </c>
      <c r="E758" s="29">
        <f>IFERROR(__xludf.DUMMYFUNCTION("""COMPUTED_VALUE"""),4.0)</f>
        <v>4</v>
      </c>
    </row>
    <row r="759">
      <c r="A759" s="33">
        <f>IFERROR(__xludf.DUMMYFUNCTION("""COMPUTED_VALUE"""),45921.571817627315)</f>
        <v>45921.57182</v>
      </c>
      <c r="B759" s="29" t="str">
        <f>IFERROR(__xludf.DUMMYFUNCTION("""COMPUTED_VALUE"""),"Actively restoring my foreskin / I consider myself restored")</f>
        <v>Actively restoring my foreskin / I consider myself restored</v>
      </c>
      <c r="C759" s="29" t="str">
        <f>IFERROR(__xludf.DUMMYFUNCTION("""COMPUTED_VALUE"""),"Ease of Orgasm")</f>
        <v>Ease of Orgasm</v>
      </c>
      <c r="D759" s="29" t="str">
        <f>IFERROR(__xludf.DUMMYFUNCTION("""COMPUTED_VALUE"""),"3 (Medium/Average)")</f>
        <v>3 (Medium/Average)</v>
      </c>
      <c r="E759" s="29">
        <f>IFERROR(__xludf.DUMMYFUNCTION("""COMPUTED_VALUE"""),3.0)</f>
        <v>3</v>
      </c>
    </row>
    <row r="760">
      <c r="A760" s="33">
        <f>IFERROR(__xludf.DUMMYFUNCTION("""COMPUTED_VALUE"""),45921.58873783565)</f>
        <v>45921.58874</v>
      </c>
      <c r="B760" s="29" t="str">
        <f>IFERROR(__xludf.DUMMYFUNCTION("""COMPUTED_VALUE"""),"Circumcised")</f>
        <v>Circumcised</v>
      </c>
      <c r="C760" s="29" t="str">
        <f>IFERROR(__xludf.DUMMYFUNCTION("""COMPUTED_VALUE"""),"Ease of Orgasm")</f>
        <v>Ease of Orgasm</v>
      </c>
      <c r="D760" s="29" t="str">
        <f>IFERROR(__xludf.DUMMYFUNCTION("""COMPUTED_VALUE"""),"3 (Medium/Average)")</f>
        <v>3 (Medium/Average)</v>
      </c>
      <c r="E760" s="29">
        <f>IFERROR(__xludf.DUMMYFUNCTION("""COMPUTED_VALUE"""),3.0)</f>
        <v>3</v>
      </c>
    </row>
    <row r="761">
      <c r="A761" s="33">
        <f>IFERROR(__xludf.DUMMYFUNCTION("""COMPUTED_VALUE"""),45922.126089375)</f>
        <v>45922.12609</v>
      </c>
      <c r="B761" s="29" t="str">
        <f>IFERROR(__xludf.DUMMYFUNCTION("""COMPUTED_VALUE"""),"Circumcised")</f>
        <v>Circumcised</v>
      </c>
      <c r="C761" s="29" t="str">
        <f>IFERROR(__xludf.DUMMYFUNCTION("""COMPUTED_VALUE"""),"Ease of Orgasm")</f>
        <v>Ease of Orgasm</v>
      </c>
      <c r="D761" s="29" t="str">
        <f>IFERROR(__xludf.DUMMYFUNCTION("""COMPUTED_VALUE"""),"5 (High/Excellent)")</f>
        <v>5 (High/Excellent)</v>
      </c>
      <c r="E761" s="29">
        <f>IFERROR(__xludf.DUMMYFUNCTION("""COMPUTED_VALUE"""),5.0)</f>
        <v>5</v>
      </c>
    </row>
    <row r="762">
      <c r="A762" s="33">
        <f>IFERROR(__xludf.DUMMYFUNCTION("""COMPUTED_VALUE"""),45922.53526744213)</f>
        <v>45922.53527</v>
      </c>
      <c r="B762" s="29" t="str">
        <f>IFERROR(__xludf.DUMMYFUNCTION("""COMPUTED_VALUE"""),"Circumcised")</f>
        <v>Circumcised</v>
      </c>
      <c r="C762" s="29" t="str">
        <f>IFERROR(__xludf.DUMMYFUNCTION("""COMPUTED_VALUE"""),"Ease of Orgasm")</f>
        <v>Ease of Orgasm</v>
      </c>
      <c r="D762" s="29" t="str">
        <f>IFERROR(__xludf.DUMMYFUNCTION("""COMPUTED_VALUE"""),"3 (Medium/Average)")</f>
        <v>3 (Medium/Average)</v>
      </c>
      <c r="E762" s="29">
        <f>IFERROR(__xludf.DUMMYFUNCTION("""COMPUTED_VALUE"""),3.0)</f>
        <v>3</v>
      </c>
    </row>
    <row r="763">
      <c r="A763" s="33">
        <f>IFERROR(__xludf.DUMMYFUNCTION("""COMPUTED_VALUE"""),45922.540856585656)</f>
        <v>45922.54086</v>
      </c>
      <c r="B763" s="29" t="str">
        <f>IFERROR(__xludf.DUMMYFUNCTION("""COMPUTED_VALUE"""),"Actively restoring my foreskin / I consider myself restored")</f>
        <v>Actively restoring my foreskin / I consider myself restored</v>
      </c>
      <c r="C763" s="29" t="str">
        <f>IFERROR(__xludf.DUMMYFUNCTION("""COMPUTED_VALUE"""),"Ease of Orgasm")</f>
        <v>Ease of Orgasm</v>
      </c>
      <c r="D763" s="29" t="str">
        <f>IFERROR(__xludf.DUMMYFUNCTION("""COMPUTED_VALUE"""),"2")</f>
        <v>2</v>
      </c>
      <c r="E763" s="29">
        <f>IFERROR(__xludf.DUMMYFUNCTION("""COMPUTED_VALUE"""),2.0)</f>
        <v>2</v>
      </c>
    </row>
    <row r="764">
      <c r="A764" s="33">
        <f>IFERROR(__xludf.DUMMYFUNCTION("""COMPUTED_VALUE"""),45922.60076869212)</f>
        <v>45922.60077</v>
      </c>
      <c r="B764" s="29" t="str">
        <f>IFERROR(__xludf.DUMMYFUNCTION("""COMPUTED_VALUE"""),"Intact (Never circumcised)")</f>
        <v>Intact (Never circumcised)</v>
      </c>
      <c r="C764" s="29" t="str">
        <f>IFERROR(__xludf.DUMMYFUNCTION("""COMPUTED_VALUE"""),"Ease of Orgasm")</f>
        <v>Ease of Orgasm</v>
      </c>
      <c r="D764" s="29" t="str">
        <f>IFERROR(__xludf.DUMMYFUNCTION("""COMPUTED_VALUE"""),"5 (High/Excellent)")</f>
        <v>5 (High/Excellent)</v>
      </c>
      <c r="E764" s="29">
        <f>IFERROR(__xludf.DUMMYFUNCTION("""COMPUTED_VALUE"""),5.0)</f>
        <v>5</v>
      </c>
    </row>
    <row r="765">
      <c r="A765" s="33">
        <f>IFERROR(__xludf.DUMMYFUNCTION("""COMPUTED_VALUE"""),45922.61636423611)</f>
        <v>45922.61636</v>
      </c>
      <c r="B765" s="29" t="str">
        <f>IFERROR(__xludf.DUMMYFUNCTION("""COMPUTED_VALUE"""),"Circumcised")</f>
        <v>Circumcised</v>
      </c>
      <c r="C765" s="29" t="str">
        <f>IFERROR(__xludf.DUMMYFUNCTION("""COMPUTED_VALUE"""),"Ease of Orgasm")</f>
        <v>Ease of Orgasm</v>
      </c>
      <c r="D765" s="29" t="str">
        <f>IFERROR(__xludf.DUMMYFUNCTION("""COMPUTED_VALUE"""),"3 (Medium/Average)")</f>
        <v>3 (Medium/Average)</v>
      </c>
      <c r="E765" s="29">
        <f>IFERROR(__xludf.DUMMYFUNCTION("""COMPUTED_VALUE"""),3.0)</f>
        <v>3</v>
      </c>
    </row>
    <row r="766">
      <c r="A766" s="33">
        <f>IFERROR(__xludf.DUMMYFUNCTION("""COMPUTED_VALUE"""),45923.83860096065)</f>
        <v>45923.8386</v>
      </c>
      <c r="B766" s="29" t="str">
        <f>IFERROR(__xludf.DUMMYFUNCTION("""COMPUTED_VALUE"""),"Intact (Never circumcised)")</f>
        <v>Intact (Never circumcised)</v>
      </c>
      <c r="C766" s="29" t="str">
        <f>IFERROR(__xludf.DUMMYFUNCTION("""COMPUTED_VALUE"""),"Ease of Orgasm")</f>
        <v>Ease of Orgasm</v>
      </c>
      <c r="D766" s="29" t="str">
        <f>IFERROR(__xludf.DUMMYFUNCTION("""COMPUTED_VALUE"""),"5 (High/Excellent)")</f>
        <v>5 (High/Excellent)</v>
      </c>
      <c r="E766" s="29">
        <f>IFERROR(__xludf.DUMMYFUNCTION("""COMPUTED_VALUE"""),5.0)</f>
        <v>5</v>
      </c>
    </row>
    <row r="767">
      <c r="A767" s="33">
        <f>IFERROR(__xludf.DUMMYFUNCTION("""COMPUTED_VALUE"""),45924.36109353009)</f>
        <v>45924.36109</v>
      </c>
      <c r="B767" s="29" t="str">
        <f>IFERROR(__xludf.DUMMYFUNCTION("""COMPUTED_VALUE"""),"Circumcised")</f>
        <v>Circumcised</v>
      </c>
      <c r="C767" s="29" t="str">
        <f>IFERROR(__xludf.DUMMYFUNCTION("""COMPUTED_VALUE"""),"Ease of Orgasm")</f>
        <v>Ease of Orgasm</v>
      </c>
      <c r="D767" s="29" t="str">
        <f>IFERROR(__xludf.DUMMYFUNCTION("""COMPUTED_VALUE"""),"3 (Medium/Average)")</f>
        <v>3 (Medium/Average)</v>
      </c>
      <c r="E767" s="29">
        <f>IFERROR(__xludf.DUMMYFUNCTION("""COMPUTED_VALUE"""),3.0)</f>
        <v>3</v>
      </c>
    </row>
    <row r="768">
      <c r="A768" s="33">
        <f>IFERROR(__xludf.DUMMYFUNCTION("""COMPUTED_VALUE"""),45924.62656627315)</f>
        <v>45924.62657</v>
      </c>
      <c r="B768" s="29" t="str">
        <f>IFERROR(__xludf.DUMMYFUNCTION("""COMPUTED_VALUE"""),"Actively restoring my foreskin / I consider myself restored")</f>
        <v>Actively restoring my foreskin / I consider myself restored</v>
      </c>
      <c r="C768" s="29" t="str">
        <f>IFERROR(__xludf.DUMMYFUNCTION("""COMPUTED_VALUE"""),"Ease of Orgasm")</f>
        <v>Ease of Orgasm</v>
      </c>
      <c r="D768" s="29" t="str">
        <f>IFERROR(__xludf.DUMMYFUNCTION("""COMPUTED_VALUE"""),"4")</f>
        <v>4</v>
      </c>
      <c r="E768" s="29">
        <f>IFERROR(__xludf.DUMMYFUNCTION("""COMPUTED_VALUE"""),4.0)</f>
        <v>4</v>
      </c>
    </row>
    <row r="769">
      <c r="A769" s="33">
        <f>IFERROR(__xludf.DUMMYFUNCTION("""COMPUTED_VALUE"""),45926.096344583326)</f>
        <v>45926.09634</v>
      </c>
      <c r="B769" s="29" t="str">
        <f>IFERROR(__xludf.DUMMYFUNCTION("""COMPUTED_VALUE"""),"Circumcised")</f>
        <v>Circumcised</v>
      </c>
      <c r="C769" s="29" t="str">
        <f>IFERROR(__xludf.DUMMYFUNCTION("""COMPUTED_VALUE"""),"Ease of Orgasm")</f>
        <v>Ease of Orgasm</v>
      </c>
      <c r="D769" s="29" t="str">
        <f>IFERROR(__xludf.DUMMYFUNCTION("""COMPUTED_VALUE"""),"2")</f>
        <v>2</v>
      </c>
      <c r="E769" s="29">
        <f>IFERROR(__xludf.DUMMYFUNCTION("""COMPUTED_VALUE"""),2.0)</f>
        <v>2</v>
      </c>
    </row>
    <row r="770">
      <c r="A770" s="33">
        <f>IFERROR(__xludf.DUMMYFUNCTION("""COMPUTED_VALUE"""),45926.12340616898)</f>
        <v>45926.12341</v>
      </c>
      <c r="B770" s="29" t="str">
        <f>IFERROR(__xludf.DUMMYFUNCTION("""COMPUTED_VALUE"""),"Circumcised")</f>
        <v>Circumcised</v>
      </c>
      <c r="C770" s="29" t="str">
        <f>IFERROR(__xludf.DUMMYFUNCTION("""COMPUTED_VALUE"""),"Ease of Orgasm")</f>
        <v>Ease of Orgasm</v>
      </c>
      <c r="D770" s="29" t="str">
        <f>IFERROR(__xludf.DUMMYFUNCTION("""COMPUTED_VALUE"""),"5 (High/Excellent)")</f>
        <v>5 (High/Excellent)</v>
      </c>
      <c r="E770" s="29">
        <f>IFERROR(__xludf.DUMMYFUNCTION("""COMPUTED_VALUE"""),5.0)</f>
        <v>5</v>
      </c>
    </row>
    <row r="771">
      <c r="A771" s="33">
        <f>IFERROR(__xludf.DUMMYFUNCTION("""COMPUTED_VALUE"""),45927.602613229166)</f>
        <v>45927.60261</v>
      </c>
      <c r="B771" s="29" t="str">
        <f>IFERROR(__xludf.DUMMYFUNCTION("""COMPUTED_VALUE"""),"Circumcised")</f>
        <v>Circumcised</v>
      </c>
      <c r="C771" s="29" t="str">
        <f>IFERROR(__xludf.DUMMYFUNCTION("""COMPUTED_VALUE"""),"Ease of Orgasm")</f>
        <v>Ease of Orgasm</v>
      </c>
      <c r="D771" s="29" t="str">
        <f>IFERROR(__xludf.DUMMYFUNCTION("""COMPUTED_VALUE"""),"3 (Medium/Average)")</f>
        <v>3 (Medium/Average)</v>
      </c>
      <c r="E771" s="29">
        <f>IFERROR(__xludf.DUMMYFUNCTION("""COMPUTED_VALUE"""),3.0)</f>
        <v>3</v>
      </c>
    </row>
    <row r="772">
      <c r="A772" s="33">
        <f>IFERROR(__xludf.DUMMYFUNCTION("""COMPUTED_VALUE"""),45929.419320416666)</f>
        <v>45929.41932</v>
      </c>
      <c r="B772" s="29" t="str">
        <f>IFERROR(__xludf.DUMMYFUNCTION("""COMPUTED_VALUE"""),"Circumcised")</f>
        <v>Circumcised</v>
      </c>
      <c r="C772" s="29" t="str">
        <f>IFERROR(__xludf.DUMMYFUNCTION("""COMPUTED_VALUE"""),"Ease of Orgasm")</f>
        <v>Ease of Orgasm</v>
      </c>
      <c r="D772" s="29" t="str">
        <f>IFERROR(__xludf.DUMMYFUNCTION("""COMPUTED_VALUE"""),"3 (Medium/Average)")</f>
        <v>3 (Medium/Average)</v>
      </c>
      <c r="E772" s="29">
        <f>IFERROR(__xludf.DUMMYFUNCTION("""COMPUTED_VALUE"""),3.0)</f>
        <v>3</v>
      </c>
    </row>
    <row r="773">
      <c r="A773" s="33">
        <f>IFERROR(__xludf.DUMMYFUNCTION("""COMPUTED_VALUE"""),45929.53502336806)</f>
        <v>45929.53502</v>
      </c>
      <c r="B773" s="29" t="str">
        <f>IFERROR(__xludf.DUMMYFUNCTION("""COMPUTED_VALUE"""),"Intact (Never circumcised)")</f>
        <v>Intact (Never circumcised)</v>
      </c>
      <c r="C773" s="29" t="str">
        <f>IFERROR(__xludf.DUMMYFUNCTION("""COMPUTED_VALUE"""),"Ease of Orgasm")</f>
        <v>Ease of Orgasm</v>
      </c>
      <c r="D773" s="29" t="str">
        <f>IFERROR(__xludf.DUMMYFUNCTION("""COMPUTED_VALUE"""),"5 (High/Excellent)")</f>
        <v>5 (High/Excellent)</v>
      </c>
      <c r="E773" s="29">
        <f>IFERROR(__xludf.DUMMYFUNCTION("""COMPUTED_VALUE"""),5.0)</f>
        <v>5</v>
      </c>
    </row>
    <row r="774">
      <c r="A774" s="33">
        <f>IFERROR(__xludf.DUMMYFUNCTION("""COMPUTED_VALUE"""),45929.659956793985)</f>
        <v>45929.65996</v>
      </c>
      <c r="B774" s="29" t="str">
        <f>IFERROR(__xludf.DUMMYFUNCTION("""COMPUTED_VALUE"""),"Circumcised")</f>
        <v>Circumcised</v>
      </c>
      <c r="C774" s="29" t="str">
        <f>IFERROR(__xludf.DUMMYFUNCTION("""COMPUTED_VALUE"""),"Ease of Orgasm")</f>
        <v>Ease of Orgasm</v>
      </c>
      <c r="D774" s="29" t="str">
        <f>IFERROR(__xludf.DUMMYFUNCTION("""COMPUTED_VALUE"""),"2")</f>
        <v>2</v>
      </c>
      <c r="E774" s="29">
        <f>IFERROR(__xludf.DUMMYFUNCTION("""COMPUTED_VALUE"""),2.0)</f>
        <v>2</v>
      </c>
    </row>
    <row r="775">
      <c r="A775" s="33">
        <f>IFERROR(__xludf.DUMMYFUNCTION("""COMPUTED_VALUE"""),45929.82908622685)</f>
        <v>45929.82909</v>
      </c>
      <c r="B775" s="29" t="str">
        <f>IFERROR(__xludf.DUMMYFUNCTION("""COMPUTED_VALUE"""),"Circumcised")</f>
        <v>Circumcised</v>
      </c>
      <c r="C775" s="29" t="str">
        <f>IFERROR(__xludf.DUMMYFUNCTION("""COMPUTED_VALUE"""),"Ease of Orgasm")</f>
        <v>Ease of Orgasm</v>
      </c>
      <c r="D775" s="29" t="str">
        <f>IFERROR(__xludf.DUMMYFUNCTION("""COMPUTED_VALUE"""),"1 (Low/Poor)")</f>
        <v>1 (Low/Poor)</v>
      </c>
      <c r="E775" s="29">
        <f>IFERROR(__xludf.DUMMYFUNCTION("""COMPUTED_VALUE"""),1.0)</f>
        <v>1</v>
      </c>
    </row>
    <row r="776">
      <c r="A776" s="33">
        <f>IFERROR(__xludf.DUMMYFUNCTION("""COMPUTED_VALUE"""),45931.49685126157)</f>
        <v>45931.49685</v>
      </c>
      <c r="B776" s="29" t="str">
        <f>IFERROR(__xludf.DUMMYFUNCTION("""COMPUTED_VALUE"""),"Circumcised")</f>
        <v>Circumcised</v>
      </c>
      <c r="C776" s="29" t="str">
        <f>IFERROR(__xludf.DUMMYFUNCTION("""COMPUTED_VALUE"""),"Ease of Orgasm")</f>
        <v>Ease of Orgasm</v>
      </c>
      <c r="D776" s="29" t="str">
        <f>IFERROR(__xludf.DUMMYFUNCTION("""COMPUTED_VALUE"""),"1 (Low/Poor)")</f>
        <v>1 (Low/Poor)</v>
      </c>
      <c r="E776" s="29">
        <f>IFERROR(__xludf.DUMMYFUNCTION("""COMPUTED_VALUE"""),1.0)</f>
        <v>1</v>
      </c>
    </row>
    <row r="777">
      <c r="A777" s="33">
        <f>IFERROR(__xludf.DUMMYFUNCTION("""COMPUTED_VALUE"""),45933.70498268518)</f>
        <v>45933.70498</v>
      </c>
      <c r="B777" s="29" t="str">
        <f>IFERROR(__xludf.DUMMYFUNCTION("""COMPUTED_VALUE"""),"Circumcised")</f>
        <v>Circumcised</v>
      </c>
      <c r="C777" s="29" t="str">
        <f>IFERROR(__xludf.DUMMYFUNCTION("""COMPUTED_VALUE"""),"Ease of Orgasm")</f>
        <v>Ease of Orgasm</v>
      </c>
      <c r="D777" s="29" t="str">
        <f>IFERROR(__xludf.DUMMYFUNCTION("""COMPUTED_VALUE"""),"3 (Medium/Average)")</f>
        <v>3 (Medium/Average)</v>
      </c>
      <c r="E777" s="29">
        <f>IFERROR(__xludf.DUMMYFUNCTION("""COMPUTED_VALUE"""),3.0)</f>
        <v>3</v>
      </c>
    </row>
    <row r="778">
      <c r="A778" s="33">
        <f>IFERROR(__xludf.DUMMYFUNCTION("""COMPUTED_VALUE"""),45937.01626369212)</f>
        <v>45937.01626</v>
      </c>
      <c r="B778" s="29" t="str">
        <f>IFERROR(__xludf.DUMMYFUNCTION("""COMPUTED_VALUE"""),"Actively restoring my foreskin / I consider myself restored")</f>
        <v>Actively restoring my foreskin / I consider myself restored</v>
      </c>
      <c r="C778" s="29" t="str">
        <f>IFERROR(__xludf.DUMMYFUNCTION("""COMPUTED_VALUE"""),"Ease of Orgasm")</f>
        <v>Ease of Orgasm</v>
      </c>
      <c r="D778" s="29" t="str">
        <f>IFERROR(__xludf.DUMMYFUNCTION("""COMPUTED_VALUE"""),"3 (Medium/Average)")</f>
        <v>3 (Medium/Average)</v>
      </c>
      <c r="E778" s="29">
        <f>IFERROR(__xludf.DUMMYFUNCTION("""COMPUTED_VALUE"""),3.0)</f>
        <v>3</v>
      </c>
    </row>
    <row r="779">
      <c r="A779" s="33">
        <f>IFERROR(__xludf.DUMMYFUNCTION("""COMPUTED_VALUE"""),45937.46064668982)</f>
        <v>45937.46065</v>
      </c>
      <c r="B779" s="29" t="str">
        <f>IFERROR(__xludf.DUMMYFUNCTION("""COMPUTED_VALUE"""),"Circumcised")</f>
        <v>Circumcised</v>
      </c>
      <c r="C779" s="29" t="str">
        <f>IFERROR(__xludf.DUMMYFUNCTION("""COMPUTED_VALUE"""),"Ease of Orgasm")</f>
        <v>Ease of Orgasm</v>
      </c>
      <c r="D779" s="29" t="str">
        <f>IFERROR(__xludf.DUMMYFUNCTION("""COMPUTED_VALUE"""),"3 (Medium/Average)")</f>
        <v>3 (Medium/Average)</v>
      </c>
      <c r="E779" s="29">
        <f>IFERROR(__xludf.DUMMYFUNCTION("""COMPUTED_VALUE"""),3.0)</f>
        <v>3</v>
      </c>
    </row>
    <row r="780">
      <c r="A780" s="33">
        <f>IFERROR(__xludf.DUMMYFUNCTION("""COMPUTED_VALUE"""),45938.78715348379)</f>
        <v>45938.78715</v>
      </c>
      <c r="B780" s="29" t="str">
        <f>IFERROR(__xludf.DUMMYFUNCTION("""COMPUTED_VALUE"""),"Circumcised")</f>
        <v>Circumcised</v>
      </c>
      <c r="C780" s="29" t="str">
        <f>IFERROR(__xludf.DUMMYFUNCTION("""COMPUTED_VALUE"""),"Ease of Orgasm")</f>
        <v>Ease of Orgasm</v>
      </c>
      <c r="D780" s="29" t="str">
        <f>IFERROR(__xludf.DUMMYFUNCTION("""COMPUTED_VALUE"""),"1 (Low/Poor)")</f>
        <v>1 (Low/Poor)</v>
      </c>
      <c r="E780" s="29">
        <f>IFERROR(__xludf.DUMMYFUNCTION("""COMPUTED_VALUE"""),1.0)</f>
        <v>1</v>
      </c>
    </row>
    <row r="781">
      <c r="A781" s="33">
        <f>IFERROR(__xludf.DUMMYFUNCTION("""COMPUTED_VALUE"""),45939.365505891205)</f>
        <v>45939.36551</v>
      </c>
      <c r="B781" s="29" t="str">
        <f>IFERROR(__xludf.DUMMYFUNCTION("""COMPUTED_VALUE"""),"Circumcised")</f>
        <v>Circumcised</v>
      </c>
      <c r="C781" s="29" t="str">
        <f>IFERROR(__xludf.DUMMYFUNCTION("""COMPUTED_VALUE"""),"Ease of Orgasm")</f>
        <v>Ease of Orgasm</v>
      </c>
      <c r="D781" s="29" t="str">
        <f>IFERROR(__xludf.DUMMYFUNCTION("""COMPUTED_VALUE"""),"4")</f>
        <v>4</v>
      </c>
      <c r="E781" s="29">
        <f>IFERROR(__xludf.DUMMYFUNCTION("""COMPUTED_VALUE"""),4.0)</f>
        <v>4</v>
      </c>
    </row>
    <row r="782">
      <c r="A782" s="33">
        <f>IFERROR(__xludf.DUMMYFUNCTION("""COMPUTED_VALUE"""),45939.62882127315)</f>
        <v>45939.62882</v>
      </c>
      <c r="B782" s="29" t="str">
        <f>IFERROR(__xludf.DUMMYFUNCTION("""COMPUTED_VALUE"""),"Circumcised")</f>
        <v>Circumcised</v>
      </c>
      <c r="C782" s="29" t="str">
        <f>IFERROR(__xludf.DUMMYFUNCTION("""COMPUTED_VALUE"""),"Ease of Orgasm")</f>
        <v>Ease of Orgasm</v>
      </c>
      <c r="D782" s="29" t="str">
        <f>IFERROR(__xludf.DUMMYFUNCTION("""COMPUTED_VALUE"""),"5 (High/Excellent)")</f>
        <v>5 (High/Excellent)</v>
      </c>
      <c r="E782" s="29">
        <f>IFERROR(__xludf.DUMMYFUNCTION("""COMPUTED_VALUE"""),5.0)</f>
        <v>5</v>
      </c>
    </row>
    <row r="783">
      <c r="A783" s="33">
        <f>IFERROR(__xludf.DUMMYFUNCTION("""COMPUTED_VALUE"""),45939.6626910301)</f>
        <v>45939.66269</v>
      </c>
      <c r="B783" s="29" t="str">
        <f>IFERROR(__xludf.DUMMYFUNCTION("""COMPUTED_VALUE"""),"Circumcised")</f>
        <v>Circumcised</v>
      </c>
      <c r="C783" s="29" t="str">
        <f>IFERROR(__xludf.DUMMYFUNCTION("""COMPUTED_VALUE"""),"Ease of Orgasm")</f>
        <v>Ease of Orgasm</v>
      </c>
      <c r="D783" s="29" t="str">
        <f>IFERROR(__xludf.DUMMYFUNCTION("""COMPUTED_VALUE"""),"1 (Low/Poor)")</f>
        <v>1 (Low/Poor)</v>
      </c>
      <c r="E783" s="29">
        <f>IFERROR(__xludf.DUMMYFUNCTION("""COMPUTED_VALUE"""),1.0)</f>
        <v>1</v>
      </c>
    </row>
    <row r="784">
      <c r="A784" s="33">
        <f>IFERROR(__xludf.DUMMYFUNCTION("""COMPUTED_VALUE"""),45939.87349773148)</f>
        <v>45939.8735</v>
      </c>
      <c r="B784" s="29" t="str">
        <f>IFERROR(__xludf.DUMMYFUNCTION("""COMPUTED_VALUE"""),"Circumcised")</f>
        <v>Circumcised</v>
      </c>
      <c r="C784" s="29" t="str">
        <f>IFERROR(__xludf.DUMMYFUNCTION("""COMPUTED_VALUE"""),"Ease of Orgasm")</f>
        <v>Ease of Orgasm</v>
      </c>
      <c r="D784" s="29" t="str">
        <f>IFERROR(__xludf.DUMMYFUNCTION("""COMPUTED_VALUE"""),"1 (Low/Poor)")</f>
        <v>1 (Low/Poor)</v>
      </c>
      <c r="E784" s="29">
        <f>IFERROR(__xludf.DUMMYFUNCTION("""COMPUTED_VALUE"""),1.0)</f>
        <v>1</v>
      </c>
    </row>
    <row r="785">
      <c r="A785" s="33">
        <f>IFERROR(__xludf.DUMMYFUNCTION("""COMPUTED_VALUE"""),45940.273669965274)</f>
        <v>45940.27367</v>
      </c>
      <c r="B785" s="29" t="str">
        <f>IFERROR(__xludf.DUMMYFUNCTION("""COMPUTED_VALUE"""),"Intact (Never circumcised)")</f>
        <v>Intact (Never circumcised)</v>
      </c>
      <c r="C785" s="29" t="str">
        <f>IFERROR(__xludf.DUMMYFUNCTION("""COMPUTED_VALUE"""),"Ease of Orgasm")</f>
        <v>Ease of Orgasm</v>
      </c>
      <c r="D785" s="29" t="str">
        <f>IFERROR(__xludf.DUMMYFUNCTION("""COMPUTED_VALUE"""),"4")</f>
        <v>4</v>
      </c>
      <c r="E785" s="29">
        <f>IFERROR(__xludf.DUMMYFUNCTION("""COMPUTED_VALUE"""),4.0)</f>
        <v>4</v>
      </c>
    </row>
    <row r="786">
      <c r="A786" s="33">
        <f>IFERROR(__xludf.DUMMYFUNCTION("""COMPUTED_VALUE"""),45940.32423372685)</f>
        <v>45940.32423</v>
      </c>
      <c r="B786" s="29" t="str">
        <f>IFERROR(__xludf.DUMMYFUNCTION("""COMPUTED_VALUE"""),"Intact (Never circumcised)")</f>
        <v>Intact (Never circumcised)</v>
      </c>
      <c r="C786" s="29" t="str">
        <f>IFERROR(__xludf.DUMMYFUNCTION("""COMPUTED_VALUE"""),"Ease of Orgasm")</f>
        <v>Ease of Orgasm</v>
      </c>
      <c r="D786" s="29" t="str">
        <f>IFERROR(__xludf.DUMMYFUNCTION("""COMPUTED_VALUE"""),"4")</f>
        <v>4</v>
      </c>
      <c r="E786" s="29">
        <f>IFERROR(__xludf.DUMMYFUNCTION("""COMPUTED_VALUE"""),4.0)</f>
        <v>4</v>
      </c>
    </row>
    <row r="787">
      <c r="A787" s="33">
        <f>IFERROR(__xludf.DUMMYFUNCTION("""COMPUTED_VALUE"""),45940.56854714121)</f>
        <v>45940.56855</v>
      </c>
      <c r="B787" s="29" t="str">
        <f>IFERROR(__xludf.DUMMYFUNCTION("""COMPUTED_VALUE"""),"Actively restoring my foreskin / I consider myself restored")</f>
        <v>Actively restoring my foreskin / I consider myself restored</v>
      </c>
      <c r="C787" s="29" t="str">
        <f>IFERROR(__xludf.DUMMYFUNCTION("""COMPUTED_VALUE"""),"Ease of Orgasm")</f>
        <v>Ease of Orgasm</v>
      </c>
      <c r="D787" s="29" t="str">
        <f>IFERROR(__xludf.DUMMYFUNCTION("""COMPUTED_VALUE"""),"2")</f>
        <v>2</v>
      </c>
      <c r="E787" s="29">
        <f>IFERROR(__xludf.DUMMYFUNCTION("""COMPUTED_VALUE"""),2.0)</f>
        <v>2</v>
      </c>
    </row>
    <row r="788">
      <c r="A788" s="33">
        <f>IFERROR(__xludf.DUMMYFUNCTION("""COMPUTED_VALUE"""),45941.29232648148)</f>
        <v>45941.29233</v>
      </c>
      <c r="B788" s="29" t="str">
        <f>IFERROR(__xludf.DUMMYFUNCTION("""COMPUTED_VALUE"""),"Circumcised")</f>
        <v>Circumcised</v>
      </c>
      <c r="C788" s="29" t="str">
        <f>IFERROR(__xludf.DUMMYFUNCTION("""COMPUTED_VALUE"""),"Ease of Orgasm")</f>
        <v>Ease of Orgasm</v>
      </c>
      <c r="D788" s="29" t="str">
        <f>IFERROR(__xludf.DUMMYFUNCTION("""COMPUTED_VALUE"""),"3 (Medium/Average)")</f>
        <v>3 (Medium/Average)</v>
      </c>
      <c r="E788" s="29">
        <f>IFERROR(__xludf.DUMMYFUNCTION("""COMPUTED_VALUE"""),3.0)</f>
        <v>3</v>
      </c>
    </row>
    <row r="789">
      <c r="A789" s="33">
        <f>IFERROR(__xludf.DUMMYFUNCTION("""COMPUTED_VALUE"""),45941.37621672454)</f>
        <v>45941.37622</v>
      </c>
      <c r="B789" s="29" t="str">
        <f>IFERROR(__xludf.DUMMYFUNCTION("""COMPUTED_VALUE"""),"Actively restoring my foreskin / I consider myself restored")</f>
        <v>Actively restoring my foreskin / I consider myself restored</v>
      </c>
      <c r="C789" s="29" t="str">
        <f>IFERROR(__xludf.DUMMYFUNCTION("""COMPUTED_VALUE"""),"Ease of Orgasm")</f>
        <v>Ease of Orgasm</v>
      </c>
      <c r="D789" s="29" t="str">
        <f>IFERROR(__xludf.DUMMYFUNCTION("""COMPUTED_VALUE"""),"1 (Low/Poor)")</f>
        <v>1 (Low/Poor)</v>
      </c>
      <c r="E789" s="29">
        <f>IFERROR(__xludf.DUMMYFUNCTION("""COMPUTED_VALUE"""),1.0)</f>
        <v>1</v>
      </c>
    </row>
    <row r="790">
      <c r="A790" s="33">
        <f>IFERROR(__xludf.DUMMYFUNCTION("""COMPUTED_VALUE"""),45945.13833958333)</f>
        <v>45945.13834</v>
      </c>
      <c r="B790" s="29" t="str">
        <f>IFERROR(__xludf.DUMMYFUNCTION("""COMPUTED_VALUE"""),"Circumcised")</f>
        <v>Circumcised</v>
      </c>
      <c r="C790" s="29" t="str">
        <f>IFERROR(__xludf.DUMMYFUNCTION("""COMPUTED_VALUE"""),"Ease of Orgasm")</f>
        <v>Ease of Orgasm</v>
      </c>
      <c r="D790" s="29" t="str">
        <f>IFERROR(__xludf.DUMMYFUNCTION("""COMPUTED_VALUE"""),"4")</f>
        <v>4</v>
      </c>
      <c r="E790" s="29">
        <f>IFERROR(__xludf.DUMMYFUNCTION("""COMPUTED_VALUE"""),4.0)</f>
        <v>4</v>
      </c>
    </row>
    <row r="791">
      <c r="A791" s="33">
        <f>IFERROR(__xludf.DUMMYFUNCTION("""COMPUTED_VALUE"""),45945.52582347223)</f>
        <v>45945.52582</v>
      </c>
      <c r="B791" s="29" t="str">
        <f>IFERROR(__xludf.DUMMYFUNCTION("""COMPUTED_VALUE"""),"Intact (Never circumcised)")</f>
        <v>Intact (Never circumcised)</v>
      </c>
      <c r="C791" s="29" t="str">
        <f>IFERROR(__xludf.DUMMYFUNCTION("""COMPUTED_VALUE"""),"Ease of Orgasm")</f>
        <v>Ease of Orgasm</v>
      </c>
      <c r="D791" s="29" t="str">
        <f>IFERROR(__xludf.DUMMYFUNCTION("""COMPUTED_VALUE"""),"4")</f>
        <v>4</v>
      </c>
      <c r="E791" s="29">
        <f>IFERROR(__xludf.DUMMYFUNCTION("""COMPUTED_VALUE"""),4.0)</f>
        <v>4</v>
      </c>
    </row>
    <row r="792">
      <c r="A792" s="33">
        <f>IFERROR(__xludf.DUMMYFUNCTION("""COMPUTED_VALUE"""),45947.59925792824)</f>
        <v>45947.59926</v>
      </c>
      <c r="B792" s="29" t="str">
        <f>IFERROR(__xludf.DUMMYFUNCTION("""COMPUTED_VALUE"""),"Actively restoring my foreskin / I consider myself restored")</f>
        <v>Actively restoring my foreskin / I consider myself restored</v>
      </c>
      <c r="C792" s="29" t="str">
        <f>IFERROR(__xludf.DUMMYFUNCTION("""COMPUTED_VALUE"""),"Ease of Orgasm")</f>
        <v>Ease of Orgasm</v>
      </c>
      <c r="D792" s="29" t="str">
        <f>IFERROR(__xludf.DUMMYFUNCTION("""COMPUTED_VALUE"""),"4")</f>
        <v>4</v>
      </c>
      <c r="E792" s="29">
        <f>IFERROR(__xludf.DUMMYFUNCTION("""COMPUTED_VALUE"""),4.0)</f>
        <v>4</v>
      </c>
    </row>
    <row r="793">
      <c r="A793" s="33">
        <f>IFERROR(__xludf.DUMMYFUNCTION("""COMPUTED_VALUE"""),45948.43710914352)</f>
        <v>45948.43711</v>
      </c>
      <c r="B793" s="29" t="str">
        <f>IFERROR(__xludf.DUMMYFUNCTION("""COMPUTED_VALUE"""),"Circumcised")</f>
        <v>Circumcised</v>
      </c>
      <c r="C793" s="29" t="str">
        <f>IFERROR(__xludf.DUMMYFUNCTION("""COMPUTED_VALUE"""),"Ease of Orgasm")</f>
        <v>Ease of Orgasm</v>
      </c>
      <c r="D793" s="29" t="str">
        <f>IFERROR(__xludf.DUMMYFUNCTION("""COMPUTED_VALUE"""),"5 (High/Excellent)")</f>
        <v>5 (High/Excellent)</v>
      </c>
      <c r="E793" s="29">
        <f>IFERROR(__xludf.DUMMYFUNCTION("""COMPUTED_VALUE"""),5.0)</f>
        <v>5</v>
      </c>
    </row>
    <row r="794">
      <c r="A794" s="33">
        <f>IFERROR(__xludf.DUMMYFUNCTION("""COMPUTED_VALUE"""),45951.280845023146)</f>
        <v>45951.28085</v>
      </c>
      <c r="B794" s="29" t="str">
        <f>IFERROR(__xludf.DUMMYFUNCTION("""COMPUTED_VALUE"""),"Circumcised")</f>
        <v>Circumcised</v>
      </c>
      <c r="C794" s="29" t="str">
        <f>IFERROR(__xludf.DUMMYFUNCTION("""COMPUTED_VALUE"""),"Ease of Orgasm")</f>
        <v>Ease of Orgasm</v>
      </c>
      <c r="D794" s="29" t="str">
        <f>IFERROR(__xludf.DUMMYFUNCTION("""COMPUTED_VALUE"""),"3 (Medium/Average)")</f>
        <v>3 (Medium/Average)</v>
      </c>
      <c r="E794" s="29">
        <f>IFERROR(__xludf.DUMMYFUNCTION("""COMPUTED_VALUE"""),3.0)</f>
        <v>3</v>
      </c>
    </row>
    <row r="795">
      <c r="A795" s="33">
        <f>IFERROR(__xludf.DUMMYFUNCTION("""COMPUTED_VALUE"""),45953.0329640162)</f>
        <v>45953.03296</v>
      </c>
      <c r="B795" s="29" t="str">
        <f>IFERROR(__xludf.DUMMYFUNCTION("""COMPUTED_VALUE"""),"Intact (Never circumcised)")</f>
        <v>Intact (Never circumcised)</v>
      </c>
      <c r="C795" s="29" t="str">
        <f>IFERROR(__xludf.DUMMYFUNCTION("""COMPUTED_VALUE"""),"Ease of Orgasm")</f>
        <v>Ease of Orgasm</v>
      </c>
      <c r="D795" s="29" t="str">
        <f>IFERROR(__xludf.DUMMYFUNCTION("""COMPUTED_VALUE"""),"3 (Medium/Average)")</f>
        <v>3 (Medium/Average)</v>
      </c>
      <c r="E795" s="29">
        <f>IFERROR(__xludf.DUMMYFUNCTION("""COMPUTED_VALUE"""),3.0)</f>
        <v>3</v>
      </c>
    </row>
    <row r="796">
      <c r="A796" s="33">
        <f>IFERROR(__xludf.DUMMYFUNCTION("""COMPUTED_VALUE"""),45953.438401666666)</f>
        <v>45953.4384</v>
      </c>
      <c r="B796" s="29" t="str">
        <f>IFERROR(__xludf.DUMMYFUNCTION("""COMPUTED_VALUE"""),"Intact (Never circumcised)")</f>
        <v>Intact (Never circumcised)</v>
      </c>
      <c r="C796" s="29" t="str">
        <f>IFERROR(__xludf.DUMMYFUNCTION("""COMPUTED_VALUE"""),"Ease of Orgasm")</f>
        <v>Ease of Orgasm</v>
      </c>
      <c r="D796" s="29" t="str">
        <f>IFERROR(__xludf.DUMMYFUNCTION("""COMPUTED_VALUE"""),"3 (Medium/Average)")</f>
        <v>3 (Medium/Average)</v>
      </c>
      <c r="E796" s="29">
        <f>IFERROR(__xludf.DUMMYFUNCTION("""COMPUTED_VALUE"""),3.0)</f>
        <v>3</v>
      </c>
    </row>
    <row r="797">
      <c r="A797" s="33">
        <f>IFERROR(__xludf.DUMMYFUNCTION("""COMPUTED_VALUE"""),45956.00984539352)</f>
        <v>45956.00985</v>
      </c>
      <c r="B797" s="29" t="str">
        <f>IFERROR(__xludf.DUMMYFUNCTION("""COMPUTED_VALUE"""),"Circumcised")</f>
        <v>Circumcised</v>
      </c>
      <c r="C797" s="29" t="str">
        <f>IFERROR(__xludf.DUMMYFUNCTION("""COMPUTED_VALUE"""),"Ease of Orgasm")</f>
        <v>Ease of Orgasm</v>
      </c>
      <c r="D797" s="29" t="str">
        <f>IFERROR(__xludf.DUMMYFUNCTION("""COMPUTED_VALUE"""),"3 (Medium/Average)")</f>
        <v>3 (Medium/Average)</v>
      </c>
      <c r="E797" s="29">
        <f>IFERROR(__xludf.DUMMYFUNCTION("""COMPUTED_VALUE"""),3.0)</f>
        <v>3</v>
      </c>
    </row>
    <row r="798">
      <c r="A798" s="33">
        <f>IFERROR(__xludf.DUMMYFUNCTION("""COMPUTED_VALUE"""),45956.86146025463)</f>
        <v>45956.86146</v>
      </c>
      <c r="B798" s="29" t="str">
        <f>IFERROR(__xludf.DUMMYFUNCTION("""COMPUTED_VALUE"""),"Circumcised")</f>
        <v>Circumcised</v>
      </c>
      <c r="C798" s="29" t="str">
        <f>IFERROR(__xludf.DUMMYFUNCTION("""COMPUTED_VALUE"""),"Ease of Orgasm")</f>
        <v>Ease of Orgasm</v>
      </c>
      <c r="D798" s="29" t="str">
        <f>IFERROR(__xludf.DUMMYFUNCTION("""COMPUTED_VALUE"""),"3 (Medium/Average)")</f>
        <v>3 (Medium/Average)</v>
      </c>
      <c r="E798" s="29">
        <f>IFERROR(__xludf.DUMMYFUNCTION("""COMPUTED_VALUE"""),3.0)</f>
        <v>3</v>
      </c>
    </row>
    <row r="799">
      <c r="A799" s="33">
        <f>IFERROR(__xludf.DUMMYFUNCTION("""COMPUTED_VALUE"""),45956.90730827546)</f>
        <v>45956.90731</v>
      </c>
      <c r="B799" s="29" t="str">
        <f>IFERROR(__xludf.DUMMYFUNCTION("""COMPUTED_VALUE"""),"Circumcised")</f>
        <v>Circumcised</v>
      </c>
      <c r="C799" s="29" t="str">
        <f>IFERROR(__xludf.DUMMYFUNCTION("""COMPUTED_VALUE"""),"Ease of Orgasm")</f>
        <v>Ease of Orgasm</v>
      </c>
      <c r="D799" s="29" t="str">
        <f>IFERROR(__xludf.DUMMYFUNCTION("""COMPUTED_VALUE"""),"3 (Medium/Average)")</f>
        <v>3 (Medium/Average)</v>
      </c>
      <c r="E799" s="29">
        <f>IFERROR(__xludf.DUMMYFUNCTION("""COMPUTED_VALUE"""),3.0)</f>
        <v>3</v>
      </c>
    </row>
    <row r="800">
      <c r="A800" s="33">
        <f>IFERROR(__xludf.DUMMYFUNCTION("""COMPUTED_VALUE"""),45956.911861469904)</f>
        <v>45956.91186</v>
      </c>
      <c r="B800" s="29" t="str">
        <f>IFERROR(__xludf.DUMMYFUNCTION("""COMPUTED_VALUE"""),"Actively restoring my foreskin / I consider myself restored")</f>
        <v>Actively restoring my foreskin / I consider myself restored</v>
      </c>
      <c r="C800" s="29" t="str">
        <f>IFERROR(__xludf.DUMMYFUNCTION("""COMPUTED_VALUE"""),"Ease of Orgasm")</f>
        <v>Ease of Orgasm</v>
      </c>
      <c r="D800" s="29" t="str">
        <f>IFERROR(__xludf.DUMMYFUNCTION("""COMPUTED_VALUE"""),"3 (Medium/Average)")</f>
        <v>3 (Medium/Average)</v>
      </c>
      <c r="E800" s="29">
        <f>IFERROR(__xludf.DUMMYFUNCTION("""COMPUTED_VALUE"""),3.0)</f>
        <v>3</v>
      </c>
    </row>
    <row r="801">
      <c r="A801" s="33">
        <f>IFERROR(__xludf.DUMMYFUNCTION("""COMPUTED_VALUE"""),45957.40870927083)</f>
        <v>45957.40871</v>
      </c>
      <c r="B801" s="29" t="str">
        <f>IFERROR(__xludf.DUMMYFUNCTION("""COMPUTED_VALUE"""),"Intact (Never circumcised)")</f>
        <v>Intact (Never circumcised)</v>
      </c>
      <c r="C801" s="29" t="str">
        <f>IFERROR(__xludf.DUMMYFUNCTION("""COMPUTED_VALUE"""),"Ease of Orgasm")</f>
        <v>Ease of Orgasm</v>
      </c>
      <c r="D801" s="29" t="str">
        <f>IFERROR(__xludf.DUMMYFUNCTION("""COMPUTED_VALUE"""),"5 (High/Excellent)")</f>
        <v>5 (High/Excellent)</v>
      </c>
      <c r="E801" s="29">
        <f>IFERROR(__xludf.DUMMYFUNCTION("""COMPUTED_VALUE"""),5.0)</f>
        <v>5</v>
      </c>
    </row>
    <row r="802">
      <c r="A802" s="33">
        <f>IFERROR(__xludf.DUMMYFUNCTION("""COMPUTED_VALUE"""),45957.667292418984)</f>
        <v>45957.66729</v>
      </c>
      <c r="B802" s="29" t="str">
        <f>IFERROR(__xludf.DUMMYFUNCTION("""COMPUTED_VALUE"""),"Actively restoring my foreskin / I consider myself restored")</f>
        <v>Actively restoring my foreskin / I consider myself restored</v>
      </c>
      <c r="C802" s="29" t="str">
        <f>IFERROR(__xludf.DUMMYFUNCTION("""COMPUTED_VALUE"""),"Ease of Orgasm")</f>
        <v>Ease of Orgasm</v>
      </c>
      <c r="D802" s="29" t="str">
        <f>IFERROR(__xludf.DUMMYFUNCTION("""COMPUTED_VALUE"""),"2")</f>
        <v>2</v>
      </c>
      <c r="E802" s="29">
        <f>IFERROR(__xludf.DUMMYFUNCTION("""COMPUTED_VALUE"""),2.0)</f>
        <v>2</v>
      </c>
    </row>
    <row r="803">
      <c r="A803" s="33">
        <f>IFERROR(__xludf.DUMMYFUNCTION("""COMPUTED_VALUE"""),45959.10253167824)</f>
        <v>45959.10253</v>
      </c>
      <c r="B803" s="29" t="str">
        <f>IFERROR(__xludf.DUMMYFUNCTION("""COMPUTED_VALUE"""),"Circumcised")</f>
        <v>Circumcised</v>
      </c>
      <c r="C803" s="29" t="str">
        <f>IFERROR(__xludf.DUMMYFUNCTION("""COMPUTED_VALUE"""),"Ease of Orgasm")</f>
        <v>Ease of Orgasm</v>
      </c>
      <c r="D803" s="29" t="str">
        <f>IFERROR(__xludf.DUMMYFUNCTION("""COMPUTED_VALUE"""),"1 (Low/Poor)")</f>
        <v>1 (Low/Poor)</v>
      </c>
      <c r="E803" s="29">
        <f>IFERROR(__xludf.DUMMYFUNCTION("""COMPUTED_VALUE"""),1.0)</f>
        <v>1</v>
      </c>
    </row>
    <row r="804">
      <c r="A804" s="33">
        <f>IFERROR(__xludf.DUMMYFUNCTION("""COMPUTED_VALUE"""),45959.17554484954)</f>
        <v>45959.17554</v>
      </c>
      <c r="B804" s="29" t="str">
        <f>IFERROR(__xludf.DUMMYFUNCTION("""COMPUTED_VALUE"""),"Circumcised")</f>
        <v>Circumcised</v>
      </c>
      <c r="C804" s="29" t="str">
        <f>IFERROR(__xludf.DUMMYFUNCTION("""COMPUTED_VALUE"""),"Ease of Orgasm")</f>
        <v>Ease of Orgasm</v>
      </c>
      <c r="D804" s="29" t="str">
        <f>IFERROR(__xludf.DUMMYFUNCTION("""COMPUTED_VALUE"""),"2")</f>
        <v>2</v>
      </c>
      <c r="E804" s="29">
        <f>IFERROR(__xludf.DUMMYFUNCTION("""COMPUTED_VALUE"""),2.0)</f>
        <v>2</v>
      </c>
    </row>
    <row r="805">
      <c r="A805" s="33">
        <f>IFERROR(__xludf.DUMMYFUNCTION("""COMPUTED_VALUE"""),45959.8298531713)</f>
        <v>45959.82985</v>
      </c>
      <c r="B805" s="29" t="str">
        <f>IFERROR(__xludf.DUMMYFUNCTION("""COMPUTED_VALUE"""),"Actively restoring my foreskin / I consider myself restored")</f>
        <v>Actively restoring my foreskin / I consider myself restored</v>
      </c>
      <c r="C805" s="29" t="str">
        <f>IFERROR(__xludf.DUMMYFUNCTION("""COMPUTED_VALUE"""),"Ease of Orgasm")</f>
        <v>Ease of Orgasm</v>
      </c>
      <c r="D805" s="29" t="str">
        <f>IFERROR(__xludf.DUMMYFUNCTION("""COMPUTED_VALUE"""),"1 (Low/Poor)")</f>
        <v>1 (Low/Poor)</v>
      </c>
      <c r="E805" s="29">
        <f>IFERROR(__xludf.DUMMYFUNCTION("""COMPUTED_VALUE"""),1.0)</f>
        <v>1</v>
      </c>
    </row>
    <row r="806">
      <c r="A806" s="33">
        <f>IFERROR(__xludf.DUMMYFUNCTION("""COMPUTED_VALUE"""),45960.621607500005)</f>
        <v>45960.62161</v>
      </c>
      <c r="B806" s="29" t="str">
        <f>IFERROR(__xludf.DUMMYFUNCTION("""COMPUTED_VALUE"""),"Circumcised")</f>
        <v>Circumcised</v>
      </c>
      <c r="C806" s="29" t="str">
        <f>IFERROR(__xludf.DUMMYFUNCTION("""COMPUTED_VALUE"""),"Ease of Orgasm")</f>
        <v>Ease of Orgasm</v>
      </c>
      <c r="D806" s="29" t="str">
        <f>IFERROR(__xludf.DUMMYFUNCTION("""COMPUTED_VALUE"""),"3 (Medium/Average)")</f>
        <v>3 (Medium/Average)</v>
      </c>
      <c r="E806" s="29">
        <f>IFERROR(__xludf.DUMMYFUNCTION("""COMPUTED_VALUE"""),3.0)</f>
        <v>3</v>
      </c>
    </row>
    <row r="807">
      <c r="A807" s="33">
        <f>IFERROR(__xludf.DUMMYFUNCTION("""COMPUTED_VALUE"""),45960.99731127315)</f>
        <v>45960.99731</v>
      </c>
      <c r="B807" s="29" t="str">
        <f>IFERROR(__xludf.DUMMYFUNCTION("""COMPUTED_VALUE"""),"Actively restoring my foreskin / I consider myself restored")</f>
        <v>Actively restoring my foreskin / I consider myself restored</v>
      </c>
      <c r="C807" s="29" t="str">
        <f>IFERROR(__xludf.DUMMYFUNCTION("""COMPUTED_VALUE"""),"Ease of Orgasm")</f>
        <v>Ease of Orgasm</v>
      </c>
      <c r="D807" s="29" t="str">
        <f>IFERROR(__xludf.DUMMYFUNCTION("""COMPUTED_VALUE"""),"3 (Medium/Average)")</f>
        <v>3 (Medium/Average)</v>
      </c>
      <c r="E807" s="29">
        <f>IFERROR(__xludf.DUMMYFUNCTION("""COMPUTED_VALUE"""),3.0)</f>
        <v>3</v>
      </c>
    </row>
    <row r="808">
      <c r="A808" s="33">
        <f>IFERROR(__xludf.DUMMYFUNCTION("""COMPUTED_VALUE"""),45963.67673798611)</f>
        <v>45963.67674</v>
      </c>
      <c r="B808" s="29" t="str">
        <f>IFERROR(__xludf.DUMMYFUNCTION("""COMPUTED_VALUE"""),"Actively restoring my foreskin / I consider myself restored")</f>
        <v>Actively restoring my foreskin / I consider myself restored</v>
      </c>
      <c r="C808" s="29" t="str">
        <f>IFERROR(__xludf.DUMMYFUNCTION("""COMPUTED_VALUE"""),"Ease of Orgasm")</f>
        <v>Ease of Orgasm</v>
      </c>
      <c r="D808" s="29" t="str">
        <f>IFERROR(__xludf.DUMMYFUNCTION("""COMPUTED_VALUE"""),"3 (Medium/Average)")</f>
        <v>3 (Medium/Average)</v>
      </c>
      <c r="E808" s="29">
        <f>IFERROR(__xludf.DUMMYFUNCTION("""COMPUTED_VALUE"""),3.0)</f>
        <v>3</v>
      </c>
    </row>
    <row r="809">
      <c r="A809" s="33">
        <f>IFERROR(__xludf.DUMMYFUNCTION("""COMPUTED_VALUE"""),45969.39095245371)</f>
        <v>45969.39095</v>
      </c>
      <c r="B809" s="29" t="str">
        <f>IFERROR(__xludf.DUMMYFUNCTION("""COMPUTED_VALUE"""),"Circumcised")</f>
        <v>Circumcised</v>
      </c>
      <c r="C809" s="29" t="str">
        <f>IFERROR(__xludf.DUMMYFUNCTION("""COMPUTED_VALUE"""),"Ease of Orgasm")</f>
        <v>Ease of Orgasm</v>
      </c>
      <c r="D809" s="29" t="str">
        <f>IFERROR(__xludf.DUMMYFUNCTION("""COMPUTED_VALUE"""),"5 (High/Excellent)")</f>
        <v>5 (High/Excellent)</v>
      </c>
      <c r="E809" s="29">
        <f>IFERROR(__xludf.DUMMYFUNCTION("""COMPUTED_VALUE"""),5.0)</f>
        <v>5</v>
      </c>
    </row>
    <row r="810">
      <c r="A810" s="33">
        <f>IFERROR(__xludf.DUMMYFUNCTION("""COMPUTED_VALUE"""),45969.849535775465)</f>
        <v>45969.84954</v>
      </c>
      <c r="B810" s="29" t="str">
        <f>IFERROR(__xludf.DUMMYFUNCTION("""COMPUTED_VALUE"""),"Actively restoring my foreskin / I consider myself restored")</f>
        <v>Actively restoring my foreskin / I consider myself restored</v>
      </c>
      <c r="C810" s="29" t="str">
        <f>IFERROR(__xludf.DUMMYFUNCTION("""COMPUTED_VALUE"""),"Ease of Orgasm")</f>
        <v>Ease of Orgasm</v>
      </c>
      <c r="D810" s="29" t="str">
        <f>IFERROR(__xludf.DUMMYFUNCTION("""COMPUTED_VALUE"""),"4")</f>
        <v>4</v>
      </c>
      <c r="E810" s="29">
        <f>IFERROR(__xludf.DUMMYFUNCTION("""COMPUTED_VALUE"""),4.0)</f>
        <v>4</v>
      </c>
    </row>
    <row r="811">
      <c r="A811" s="33">
        <f>IFERROR(__xludf.DUMMYFUNCTION("""COMPUTED_VALUE"""),45969.897841296304)</f>
        <v>45969.89784</v>
      </c>
      <c r="B811" s="29" t="str">
        <f>IFERROR(__xludf.DUMMYFUNCTION("""COMPUTED_VALUE"""),"Actively restoring my foreskin / I consider myself restored")</f>
        <v>Actively restoring my foreskin / I consider myself restored</v>
      </c>
      <c r="C811" s="29" t="str">
        <f>IFERROR(__xludf.DUMMYFUNCTION("""COMPUTED_VALUE"""),"Ease of Orgasm")</f>
        <v>Ease of Orgasm</v>
      </c>
      <c r="D811" s="29" t="str">
        <f>IFERROR(__xludf.DUMMYFUNCTION("""COMPUTED_VALUE"""),"1 (Low/Poor)")</f>
        <v>1 (Low/Poor)</v>
      </c>
      <c r="E811" s="29">
        <f>IFERROR(__xludf.DUMMYFUNCTION("""COMPUTED_VALUE"""),1.0)</f>
        <v>1</v>
      </c>
    </row>
    <row r="812">
      <c r="A812" s="33">
        <f>IFERROR(__xludf.DUMMYFUNCTION("""COMPUTED_VALUE"""),45969.90605799769)</f>
        <v>45969.90606</v>
      </c>
      <c r="B812" s="29" t="str">
        <f>IFERROR(__xludf.DUMMYFUNCTION("""COMPUTED_VALUE"""),"Circumcised")</f>
        <v>Circumcised</v>
      </c>
      <c r="C812" s="29" t="str">
        <f>IFERROR(__xludf.DUMMYFUNCTION("""COMPUTED_VALUE"""),"Ease of Orgasm")</f>
        <v>Ease of Orgasm</v>
      </c>
      <c r="D812" s="29" t="str">
        <f>IFERROR(__xludf.DUMMYFUNCTION("""COMPUTED_VALUE"""),"2")</f>
        <v>2</v>
      </c>
      <c r="E812" s="29">
        <f>IFERROR(__xludf.DUMMYFUNCTION("""COMPUTED_VALUE"""),2.0)</f>
        <v>2</v>
      </c>
    </row>
    <row r="813">
      <c r="A813" s="33">
        <f>IFERROR(__xludf.DUMMYFUNCTION("""COMPUTED_VALUE"""),45970.06699965278)</f>
        <v>45970.067</v>
      </c>
      <c r="B813" s="29" t="str">
        <f>IFERROR(__xludf.DUMMYFUNCTION("""COMPUTED_VALUE"""),"Circumcised")</f>
        <v>Circumcised</v>
      </c>
      <c r="C813" s="29" t="str">
        <f>IFERROR(__xludf.DUMMYFUNCTION("""COMPUTED_VALUE"""),"Ease of Orgasm")</f>
        <v>Ease of Orgasm</v>
      </c>
      <c r="D813" s="29" t="str">
        <f>IFERROR(__xludf.DUMMYFUNCTION("""COMPUTED_VALUE"""),"4")</f>
        <v>4</v>
      </c>
      <c r="E813" s="29">
        <f>IFERROR(__xludf.DUMMYFUNCTION("""COMPUTED_VALUE"""),4.0)</f>
        <v>4</v>
      </c>
    </row>
    <row r="814">
      <c r="A814" s="33">
        <f>IFERROR(__xludf.DUMMYFUNCTION("""COMPUTED_VALUE"""),45970.38046627314)</f>
        <v>45970.38047</v>
      </c>
      <c r="B814" s="29" t="str">
        <f>IFERROR(__xludf.DUMMYFUNCTION("""COMPUTED_VALUE"""),"Circumcised")</f>
        <v>Circumcised</v>
      </c>
      <c r="C814" s="29" t="str">
        <f>IFERROR(__xludf.DUMMYFUNCTION("""COMPUTED_VALUE"""),"Ease of Orgasm")</f>
        <v>Ease of Orgasm</v>
      </c>
      <c r="D814" s="29" t="str">
        <f>IFERROR(__xludf.DUMMYFUNCTION("""COMPUTED_VALUE"""),"3 (Medium/Average)")</f>
        <v>3 (Medium/Average)</v>
      </c>
      <c r="E814" s="29">
        <f>IFERROR(__xludf.DUMMYFUNCTION("""COMPUTED_VALUE"""),3.0)</f>
        <v>3</v>
      </c>
    </row>
    <row r="815">
      <c r="A815" s="33">
        <f>IFERROR(__xludf.DUMMYFUNCTION("""COMPUTED_VALUE"""),45970.48485820602)</f>
        <v>45970.48486</v>
      </c>
      <c r="B815" s="29" t="str">
        <f>IFERROR(__xludf.DUMMYFUNCTION("""COMPUTED_VALUE"""),"Intact (Never circumcised)")</f>
        <v>Intact (Never circumcised)</v>
      </c>
      <c r="C815" s="29" t="str">
        <f>IFERROR(__xludf.DUMMYFUNCTION("""COMPUTED_VALUE"""),"Ease of Orgasm")</f>
        <v>Ease of Orgasm</v>
      </c>
      <c r="D815" s="29" t="str">
        <f>IFERROR(__xludf.DUMMYFUNCTION("""COMPUTED_VALUE"""),"5 (High/Excellent)")</f>
        <v>5 (High/Excellent)</v>
      </c>
      <c r="E815" s="29">
        <f>IFERROR(__xludf.DUMMYFUNCTION("""COMPUTED_VALUE"""),5.0)</f>
        <v>5</v>
      </c>
    </row>
    <row r="816">
      <c r="A816" s="33">
        <f>IFERROR(__xludf.DUMMYFUNCTION("""COMPUTED_VALUE"""),45970.66629606481)</f>
        <v>45970.6663</v>
      </c>
      <c r="B816" s="29" t="str">
        <f>IFERROR(__xludf.DUMMYFUNCTION("""COMPUTED_VALUE"""),"Circumcised")</f>
        <v>Circumcised</v>
      </c>
      <c r="C816" s="29" t="str">
        <f>IFERROR(__xludf.DUMMYFUNCTION("""COMPUTED_VALUE"""),"Ease of Orgasm")</f>
        <v>Ease of Orgasm</v>
      </c>
      <c r="D816" s="29" t="str">
        <f>IFERROR(__xludf.DUMMYFUNCTION("""COMPUTED_VALUE"""),"2")</f>
        <v>2</v>
      </c>
      <c r="E816" s="29">
        <f>IFERROR(__xludf.DUMMYFUNCTION("""COMPUTED_VALUE"""),2.0)</f>
        <v>2</v>
      </c>
    </row>
    <row r="817">
      <c r="A817" s="33">
        <f>IFERROR(__xludf.DUMMYFUNCTION("""COMPUTED_VALUE"""),45971.65164621528)</f>
        <v>45971.65165</v>
      </c>
      <c r="B817" s="29" t="str">
        <f>IFERROR(__xludf.DUMMYFUNCTION("""COMPUTED_VALUE"""),"Circumcised")</f>
        <v>Circumcised</v>
      </c>
      <c r="C817" s="29" t="str">
        <f>IFERROR(__xludf.DUMMYFUNCTION("""COMPUTED_VALUE"""),"Ease of Orgasm")</f>
        <v>Ease of Orgasm</v>
      </c>
      <c r="D817" s="29" t="str">
        <f>IFERROR(__xludf.DUMMYFUNCTION("""COMPUTED_VALUE"""),"3 (Medium/Average)")</f>
        <v>3 (Medium/Average)</v>
      </c>
      <c r="E817" s="29">
        <f>IFERROR(__xludf.DUMMYFUNCTION("""COMPUTED_VALUE"""),3.0)</f>
        <v>3</v>
      </c>
    </row>
    <row r="818">
      <c r="A818" s="33">
        <f>IFERROR(__xludf.DUMMYFUNCTION("""COMPUTED_VALUE"""),45971.66754105324)</f>
        <v>45971.66754</v>
      </c>
      <c r="B818" s="29" t="str">
        <f>IFERROR(__xludf.DUMMYFUNCTION("""COMPUTED_VALUE"""),"Intact (Never circumcised)")</f>
        <v>Intact (Never circumcised)</v>
      </c>
      <c r="C818" s="29" t="str">
        <f>IFERROR(__xludf.DUMMYFUNCTION("""COMPUTED_VALUE"""),"Ease of Orgasm")</f>
        <v>Ease of Orgasm</v>
      </c>
      <c r="D818" s="29" t="str">
        <f>IFERROR(__xludf.DUMMYFUNCTION("""COMPUTED_VALUE"""),"5 (High/Excellent)")</f>
        <v>5 (High/Excellent)</v>
      </c>
      <c r="E818" s="29">
        <f>IFERROR(__xludf.DUMMYFUNCTION("""COMPUTED_VALUE"""),5.0)</f>
        <v>5</v>
      </c>
    </row>
    <row r="819">
      <c r="A819" s="33">
        <f>IFERROR(__xludf.DUMMYFUNCTION("""COMPUTED_VALUE"""),45972.193447893515)</f>
        <v>45972.19345</v>
      </c>
      <c r="B819" s="29" t="str">
        <f>IFERROR(__xludf.DUMMYFUNCTION("""COMPUTED_VALUE"""),"Intact (Never circumcised)")</f>
        <v>Intact (Never circumcised)</v>
      </c>
      <c r="C819" s="29" t="str">
        <f>IFERROR(__xludf.DUMMYFUNCTION("""COMPUTED_VALUE"""),"Ease of Orgasm")</f>
        <v>Ease of Orgasm</v>
      </c>
      <c r="D819" s="29" t="str">
        <f>IFERROR(__xludf.DUMMYFUNCTION("""COMPUTED_VALUE"""),"5 (High/Excellent)")</f>
        <v>5 (High/Excellent)</v>
      </c>
      <c r="E819" s="29">
        <f>IFERROR(__xludf.DUMMYFUNCTION("""COMPUTED_VALUE"""),5.0)</f>
        <v>5</v>
      </c>
    </row>
    <row r="820">
      <c r="A820" s="33">
        <f>IFERROR(__xludf.DUMMYFUNCTION("""COMPUTED_VALUE"""),45972.63994190972)</f>
        <v>45972.63994</v>
      </c>
      <c r="B820" s="29" t="str">
        <f>IFERROR(__xludf.DUMMYFUNCTION("""COMPUTED_VALUE"""),"Circumcised")</f>
        <v>Circumcised</v>
      </c>
      <c r="C820" s="29" t="str">
        <f>IFERROR(__xludf.DUMMYFUNCTION("""COMPUTED_VALUE"""),"Ease of Orgasm")</f>
        <v>Ease of Orgasm</v>
      </c>
      <c r="D820" s="29" t="str">
        <f>IFERROR(__xludf.DUMMYFUNCTION("""COMPUTED_VALUE"""),"5 (High/Excellent)")</f>
        <v>5 (High/Excellent)</v>
      </c>
      <c r="E820" s="29">
        <f>IFERROR(__xludf.DUMMYFUNCTION("""COMPUTED_VALUE"""),5.0)</f>
        <v>5</v>
      </c>
    </row>
    <row r="821">
      <c r="A821" s="33">
        <f>IFERROR(__xludf.DUMMYFUNCTION("""COMPUTED_VALUE"""),45978.17339207176)</f>
        <v>45978.17339</v>
      </c>
      <c r="B821" s="29" t="str">
        <f>IFERROR(__xludf.DUMMYFUNCTION("""COMPUTED_VALUE"""),"Intact (Never circumcised)")</f>
        <v>Intact (Never circumcised)</v>
      </c>
      <c r="C821" s="29" t="str">
        <f>IFERROR(__xludf.DUMMYFUNCTION("""COMPUTED_VALUE"""),"Ease of Orgasm")</f>
        <v>Ease of Orgasm</v>
      </c>
      <c r="D821" s="29" t="str">
        <f>IFERROR(__xludf.DUMMYFUNCTION("""COMPUTED_VALUE"""),"5 (High/Excellent)")</f>
        <v>5 (High/Excellent)</v>
      </c>
      <c r="E821" s="29">
        <f>IFERROR(__xludf.DUMMYFUNCTION("""COMPUTED_VALUE"""),5.0)</f>
        <v>5</v>
      </c>
    </row>
    <row r="822">
      <c r="A822" s="33">
        <f>IFERROR(__xludf.DUMMYFUNCTION("""COMPUTED_VALUE"""),45979.00060761574)</f>
        <v>45979.00061</v>
      </c>
      <c r="B822" s="29" t="str">
        <f>IFERROR(__xludf.DUMMYFUNCTION("""COMPUTED_VALUE"""),"Circumcised")</f>
        <v>Circumcised</v>
      </c>
      <c r="C822" s="29" t="str">
        <f>IFERROR(__xludf.DUMMYFUNCTION("""COMPUTED_VALUE"""),"Ease of Orgasm")</f>
        <v>Ease of Orgasm</v>
      </c>
      <c r="D822" s="29" t="str">
        <f>IFERROR(__xludf.DUMMYFUNCTION("""COMPUTED_VALUE"""),"1 (Low/Poor)")</f>
        <v>1 (Low/Poor)</v>
      </c>
      <c r="E822" s="29">
        <f>IFERROR(__xludf.DUMMYFUNCTION("""COMPUTED_VALUE"""),1.0)</f>
        <v>1</v>
      </c>
    </row>
    <row r="823">
      <c r="A823" s="33">
        <f>IFERROR(__xludf.DUMMYFUNCTION("""COMPUTED_VALUE"""),45979.79978149306)</f>
        <v>45979.79978</v>
      </c>
      <c r="B823" s="29" t="str">
        <f>IFERROR(__xludf.DUMMYFUNCTION("""COMPUTED_VALUE"""),"Actively restoring my foreskin / I consider myself restored")</f>
        <v>Actively restoring my foreskin / I consider myself restored</v>
      </c>
      <c r="C823" s="29" t="str">
        <f>IFERROR(__xludf.DUMMYFUNCTION("""COMPUTED_VALUE"""),"Ease of Orgasm")</f>
        <v>Ease of Orgasm</v>
      </c>
      <c r="D823" s="29" t="str">
        <f>IFERROR(__xludf.DUMMYFUNCTION("""COMPUTED_VALUE"""),"5 (High/Excellent)")</f>
        <v>5 (High/Excellent)</v>
      </c>
      <c r="E823" s="29">
        <f>IFERROR(__xludf.DUMMYFUNCTION("""COMPUTED_VALUE"""),5.0)</f>
        <v>5</v>
      </c>
    </row>
    <row r="824">
      <c r="A824" s="33">
        <f>IFERROR(__xludf.DUMMYFUNCTION("""COMPUTED_VALUE"""),45979.96655393518)</f>
        <v>45979.96655</v>
      </c>
      <c r="B824" s="29" t="str">
        <f>IFERROR(__xludf.DUMMYFUNCTION("""COMPUTED_VALUE"""),"Circumcised")</f>
        <v>Circumcised</v>
      </c>
      <c r="C824" s="29" t="str">
        <f>IFERROR(__xludf.DUMMYFUNCTION("""COMPUTED_VALUE"""),"Ease of Orgasm")</f>
        <v>Ease of Orgasm</v>
      </c>
      <c r="D824" s="29" t="str">
        <f>IFERROR(__xludf.DUMMYFUNCTION("""COMPUTED_VALUE"""),"5 (High/Excellent)")</f>
        <v>5 (High/Excellent)</v>
      </c>
      <c r="E824" s="29">
        <f>IFERROR(__xludf.DUMMYFUNCTION("""COMPUTED_VALUE"""),5.0)</f>
        <v>5</v>
      </c>
    </row>
    <row r="825">
      <c r="A825" s="33">
        <f>IFERROR(__xludf.DUMMYFUNCTION("""COMPUTED_VALUE"""),45980.70007561342)</f>
        <v>45980.70008</v>
      </c>
      <c r="B825" s="29" t="str">
        <f>IFERROR(__xludf.DUMMYFUNCTION("""COMPUTED_VALUE"""),"Actively restoring my foreskin / I consider myself restored")</f>
        <v>Actively restoring my foreskin / I consider myself restored</v>
      </c>
      <c r="C825" s="29" t="str">
        <f>IFERROR(__xludf.DUMMYFUNCTION("""COMPUTED_VALUE"""),"Ease of Orgasm")</f>
        <v>Ease of Orgasm</v>
      </c>
      <c r="D825" s="29" t="str">
        <f>IFERROR(__xludf.DUMMYFUNCTION("""COMPUTED_VALUE"""),"4")</f>
        <v>4</v>
      </c>
      <c r="E825" s="29">
        <f>IFERROR(__xludf.DUMMYFUNCTION("""COMPUTED_VALUE"""),4.0)</f>
        <v>4</v>
      </c>
    </row>
    <row r="826">
      <c r="A826" s="33">
        <f>IFERROR(__xludf.DUMMYFUNCTION("""COMPUTED_VALUE"""),45983.2148534375)</f>
        <v>45983.21485</v>
      </c>
      <c r="B826" s="29" t="str">
        <f>IFERROR(__xludf.DUMMYFUNCTION("""COMPUTED_VALUE"""),"Circumcised")</f>
        <v>Circumcised</v>
      </c>
      <c r="C826" s="29" t="str">
        <f>IFERROR(__xludf.DUMMYFUNCTION("""COMPUTED_VALUE"""),"Ease of Orgasm")</f>
        <v>Ease of Orgasm</v>
      </c>
      <c r="D826" s="29" t="str">
        <f>IFERROR(__xludf.DUMMYFUNCTION("""COMPUTED_VALUE"""),"2")</f>
        <v>2</v>
      </c>
      <c r="E826" s="29">
        <f>IFERROR(__xludf.DUMMYFUNCTION("""COMPUTED_VALUE"""),2.0)</f>
        <v>2</v>
      </c>
    </row>
    <row r="827">
      <c r="A827" s="33">
        <f>IFERROR(__xludf.DUMMYFUNCTION("""COMPUTED_VALUE"""),45983.6917247338)</f>
        <v>45983.69172</v>
      </c>
      <c r="B827" s="29" t="str">
        <f>IFERROR(__xludf.DUMMYFUNCTION("""COMPUTED_VALUE"""),"Actively restoring my foreskin / I consider myself restored")</f>
        <v>Actively restoring my foreskin / I consider myself restored</v>
      </c>
      <c r="C827" s="29" t="str">
        <f>IFERROR(__xludf.DUMMYFUNCTION("""COMPUTED_VALUE"""),"Ease of Orgasm")</f>
        <v>Ease of Orgasm</v>
      </c>
      <c r="D827" s="29" t="str">
        <f>IFERROR(__xludf.DUMMYFUNCTION("""COMPUTED_VALUE"""),"3 (Medium/Average)")</f>
        <v>3 (Medium/Average)</v>
      </c>
      <c r="E827" s="29">
        <f>IFERROR(__xludf.DUMMYFUNCTION("""COMPUTED_VALUE"""),3.0)</f>
        <v>3</v>
      </c>
    </row>
    <row r="828">
      <c r="A828" s="33">
        <f>IFERROR(__xludf.DUMMYFUNCTION("""COMPUTED_VALUE"""),45983.925561076394)</f>
        <v>45983.92556</v>
      </c>
      <c r="B828" s="29" t="str">
        <f>IFERROR(__xludf.DUMMYFUNCTION("""COMPUTED_VALUE"""),"Intact (Never circumcised)")</f>
        <v>Intact (Never circumcised)</v>
      </c>
      <c r="C828" s="29" t="str">
        <f>IFERROR(__xludf.DUMMYFUNCTION("""COMPUTED_VALUE"""),"Ease of Orgasm")</f>
        <v>Ease of Orgasm</v>
      </c>
      <c r="D828" s="29" t="str">
        <f>IFERROR(__xludf.DUMMYFUNCTION("""COMPUTED_VALUE"""),"4")</f>
        <v>4</v>
      </c>
      <c r="E828" s="29">
        <f>IFERROR(__xludf.DUMMYFUNCTION("""COMPUTED_VALUE"""),4.0)</f>
        <v>4</v>
      </c>
    </row>
    <row r="829">
      <c r="A829" s="33">
        <f>IFERROR(__xludf.DUMMYFUNCTION("""COMPUTED_VALUE"""),45983.95113446759)</f>
        <v>45983.95113</v>
      </c>
      <c r="B829" s="29" t="str">
        <f>IFERROR(__xludf.DUMMYFUNCTION("""COMPUTED_VALUE"""),"Intact (Never circumcised)")</f>
        <v>Intact (Never circumcised)</v>
      </c>
      <c r="C829" s="29" t="str">
        <f>IFERROR(__xludf.DUMMYFUNCTION("""COMPUTED_VALUE"""),"Ease of Orgasm")</f>
        <v>Ease of Orgasm</v>
      </c>
      <c r="D829" s="29" t="str">
        <f>IFERROR(__xludf.DUMMYFUNCTION("""COMPUTED_VALUE"""),"5 (High/Excellent)")</f>
        <v>5 (High/Excellent)</v>
      </c>
      <c r="E829" s="29">
        <f>IFERROR(__xludf.DUMMYFUNCTION("""COMPUTED_VALUE"""),5.0)</f>
        <v>5</v>
      </c>
    </row>
    <row r="830">
      <c r="A830" s="33">
        <f>IFERROR(__xludf.DUMMYFUNCTION("""COMPUTED_VALUE"""),45992.05210868055)</f>
        <v>45992.05211</v>
      </c>
      <c r="B830" s="29" t="str">
        <f>IFERROR(__xludf.DUMMYFUNCTION("""COMPUTED_VALUE"""),"Circumcised")</f>
        <v>Circumcised</v>
      </c>
      <c r="C830" s="29" t="str">
        <f>IFERROR(__xludf.DUMMYFUNCTION("""COMPUTED_VALUE"""),"Ease of Orgasm")</f>
        <v>Ease of Orgasm</v>
      </c>
      <c r="D830" s="29" t="str">
        <f>IFERROR(__xludf.DUMMYFUNCTION("""COMPUTED_VALUE"""),"2")</f>
        <v>2</v>
      </c>
      <c r="E830" s="29">
        <f>IFERROR(__xludf.DUMMYFUNCTION("""COMPUTED_VALUE"""),2.0)</f>
        <v>2</v>
      </c>
    </row>
    <row r="831">
      <c r="A831" s="33">
        <f>IFERROR(__xludf.DUMMYFUNCTION("""COMPUTED_VALUE"""),45992.67591680555)</f>
        <v>45992.67592</v>
      </c>
      <c r="B831" s="29" t="str">
        <f>IFERROR(__xludf.DUMMYFUNCTION("""COMPUTED_VALUE"""),"Circumcised")</f>
        <v>Circumcised</v>
      </c>
      <c r="C831" s="29" t="str">
        <f>IFERROR(__xludf.DUMMYFUNCTION("""COMPUTED_VALUE"""),"Ease of Orgasm")</f>
        <v>Ease of Orgasm</v>
      </c>
      <c r="D831" s="29" t="str">
        <f>IFERROR(__xludf.DUMMYFUNCTION("""COMPUTED_VALUE"""),"5 (High/Excellent)")</f>
        <v>5 (High/Excellent)</v>
      </c>
      <c r="E831" s="29">
        <f>IFERROR(__xludf.DUMMYFUNCTION("""COMPUTED_VALUE"""),5.0)</f>
        <v>5</v>
      </c>
    </row>
    <row r="832">
      <c r="A832" s="33">
        <f>IFERROR(__xludf.DUMMYFUNCTION("""COMPUTED_VALUE"""),45996.37980859953)</f>
        <v>45996.37981</v>
      </c>
      <c r="B832" s="29" t="str">
        <f>IFERROR(__xludf.DUMMYFUNCTION("""COMPUTED_VALUE"""),"Circumcised")</f>
        <v>Circumcised</v>
      </c>
      <c r="C832" s="29" t="str">
        <f>IFERROR(__xludf.DUMMYFUNCTION("""COMPUTED_VALUE"""),"Ease of Orgasm")</f>
        <v>Ease of Orgasm</v>
      </c>
      <c r="D832" s="29" t="str">
        <f>IFERROR(__xludf.DUMMYFUNCTION("""COMPUTED_VALUE"""),"3 (Medium/Average)")</f>
        <v>3 (Medium/Average)</v>
      </c>
      <c r="E832" s="29">
        <f>IFERROR(__xludf.DUMMYFUNCTION("""COMPUTED_VALUE"""),3.0)</f>
        <v>3</v>
      </c>
    </row>
    <row r="833">
      <c r="A833" s="33">
        <f>IFERROR(__xludf.DUMMYFUNCTION("""COMPUTED_VALUE"""),45996.56378877315)</f>
        <v>45996.56379</v>
      </c>
      <c r="B833" s="29" t="str">
        <f>IFERROR(__xludf.DUMMYFUNCTION("""COMPUTED_VALUE"""),"Circumcised")</f>
        <v>Circumcised</v>
      </c>
      <c r="C833" s="29" t="str">
        <f>IFERROR(__xludf.DUMMYFUNCTION("""COMPUTED_VALUE"""),"Ease of Orgasm")</f>
        <v>Ease of Orgasm</v>
      </c>
      <c r="D833" s="29" t="str">
        <f>IFERROR(__xludf.DUMMYFUNCTION("""COMPUTED_VALUE"""),"5 (High/Excellent)")</f>
        <v>5 (High/Excellent)</v>
      </c>
      <c r="E833" s="29">
        <f>IFERROR(__xludf.DUMMYFUNCTION("""COMPUTED_VALUE"""),5.0)</f>
        <v>5</v>
      </c>
    </row>
    <row r="834">
      <c r="A834" s="33">
        <f>IFERROR(__xludf.DUMMYFUNCTION("""COMPUTED_VALUE"""),45999.3960019213)</f>
        <v>45999.396</v>
      </c>
      <c r="B834" s="29" t="str">
        <f>IFERROR(__xludf.DUMMYFUNCTION("""COMPUTED_VALUE"""),"Circumcised")</f>
        <v>Circumcised</v>
      </c>
      <c r="C834" s="29" t="str">
        <f>IFERROR(__xludf.DUMMYFUNCTION("""COMPUTED_VALUE"""),"Ease of Orgasm")</f>
        <v>Ease of Orgasm</v>
      </c>
      <c r="D834" s="29" t="str">
        <f>IFERROR(__xludf.DUMMYFUNCTION("""COMPUTED_VALUE"""),"4")</f>
        <v>4</v>
      </c>
      <c r="E834" s="29">
        <f>IFERROR(__xludf.DUMMYFUNCTION("""COMPUTED_VALUE"""),4.0)</f>
        <v>4</v>
      </c>
    </row>
    <row r="835">
      <c r="A835" s="33">
        <f>IFERROR(__xludf.DUMMYFUNCTION("""COMPUTED_VALUE"""),46001.23924292824)</f>
        <v>46001.23924</v>
      </c>
      <c r="B835" s="29" t="str">
        <f>IFERROR(__xludf.DUMMYFUNCTION("""COMPUTED_VALUE"""),"Circumcised")</f>
        <v>Circumcised</v>
      </c>
      <c r="C835" s="29" t="str">
        <f>IFERROR(__xludf.DUMMYFUNCTION("""COMPUTED_VALUE"""),"Ease of Orgasm")</f>
        <v>Ease of Orgasm</v>
      </c>
      <c r="D835" s="29" t="str">
        <f>IFERROR(__xludf.DUMMYFUNCTION("""COMPUTED_VALUE"""),"3 (Medium/Average)")</f>
        <v>3 (Medium/Average)</v>
      </c>
      <c r="E835" s="29">
        <f>IFERROR(__xludf.DUMMYFUNCTION("""COMPUTED_VALUE"""),3.0)</f>
        <v>3</v>
      </c>
    </row>
    <row r="836">
      <c r="A836" s="33">
        <f>IFERROR(__xludf.DUMMYFUNCTION("""COMPUTED_VALUE"""),46003.78513780092)</f>
        <v>46003.78514</v>
      </c>
      <c r="B836" s="29" t="str">
        <f>IFERROR(__xludf.DUMMYFUNCTION("""COMPUTED_VALUE"""),"Circumcised")</f>
        <v>Circumcised</v>
      </c>
      <c r="C836" s="29" t="str">
        <f>IFERROR(__xludf.DUMMYFUNCTION("""COMPUTED_VALUE"""),"Ease of Orgasm")</f>
        <v>Ease of Orgasm</v>
      </c>
      <c r="D836" s="29" t="str">
        <f>IFERROR(__xludf.DUMMYFUNCTION("""COMPUTED_VALUE"""),"1 (Low/Poor)")</f>
        <v>1 (Low/Poor)</v>
      </c>
      <c r="E836" s="29">
        <f>IFERROR(__xludf.DUMMYFUNCTION("""COMPUTED_VALUE"""),1.0)</f>
        <v>1</v>
      </c>
    </row>
    <row r="837">
      <c r="A837" s="33">
        <f>IFERROR(__xludf.DUMMYFUNCTION("""COMPUTED_VALUE"""),46009.51232134259)</f>
        <v>46009.51232</v>
      </c>
      <c r="B837" s="29" t="str">
        <f>IFERROR(__xludf.DUMMYFUNCTION("""COMPUTED_VALUE"""),"Circumcised")</f>
        <v>Circumcised</v>
      </c>
      <c r="C837" s="29" t="str">
        <f>IFERROR(__xludf.DUMMYFUNCTION("""COMPUTED_VALUE"""),"Ease of Orgasm")</f>
        <v>Ease of Orgasm</v>
      </c>
      <c r="D837" s="29" t="str">
        <f>IFERROR(__xludf.DUMMYFUNCTION("""COMPUTED_VALUE"""),"3 (Medium/Average)")</f>
        <v>3 (Medium/Average)</v>
      </c>
      <c r="E837" s="29">
        <f>IFERROR(__xludf.DUMMYFUNCTION("""COMPUTED_VALUE"""),3.0)</f>
        <v>3</v>
      </c>
    </row>
    <row r="838">
      <c r="A838" s="33">
        <f>IFERROR(__xludf.DUMMYFUNCTION("""COMPUTED_VALUE"""),46012.822104016195)</f>
        <v>46012.8221</v>
      </c>
      <c r="B838" s="29" t="str">
        <f>IFERROR(__xludf.DUMMYFUNCTION("""COMPUTED_VALUE"""),"Actively restoring my foreskin / I consider myself restored")</f>
        <v>Actively restoring my foreskin / I consider myself restored</v>
      </c>
      <c r="C838" s="29" t="str">
        <f>IFERROR(__xludf.DUMMYFUNCTION("""COMPUTED_VALUE"""),"Ease of Orgasm")</f>
        <v>Ease of Orgasm</v>
      </c>
      <c r="D838" s="29" t="str">
        <f>IFERROR(__xludf.DUMMYFUNCTION("""COMPUTED_VALUE"""),"5 (High/Excellent)")</f>
        <v>5 (High/Excellent)</v>
      </c>
      <c r="E838" s="29">
        <f>IFERROR(__xludf.DUMMYFUNCTION("""COMPUTED_VALUE"""),5.0)</f>
        <v>5</v>
      </c>
    </row>
    <row r="839">
      <c r="A839" s="33">
        <f>IFERROR(__xludf.DUMMYFUNCTION("""COMPUTED_VALUE"""),46012.99766703704)</f>
        <v>46012.99767</v>
      </c>
      <c r="B839" s="29" t="str">
        <f>IFERROR(__xludf.DUMMYFUNCTION("""COMPUTED_VALUE"""),"Circumcised")</f>
        <v>Circumcised</v>
      </c>
      <c r="C839" s="29" t="str">
        <f>IFERROR(__xludf.DUMMYFUNCTION("""COMPUTED_VALUE"""),"Ease of Orgasm")</f>
        <v>Ease of Orgasm</v>
      </c>
      <c r="D839" s="29" t="str">
        <f>IFERROR(__xludf.DUMMYFUNCTION("""COMPUTED_VALUE"""),"2")</f>
        <v>2</v>
      </c>
      <c r="E839" s="29">
        <f>IFERROR(__xludf.DUMMYFUNCTION("""COMPUTED_VALUE"""),2.0)</f>
        <v>2</v>
      </c>
    </row>
    <row r="840">
      <c r="A840" s="33">
        <f>IFERROR(__xludf.DUMMYFUNCTION("""COMPUTED_VALUE"""),46019.43110707175)</f>
        <v>46019.43111</v>
      </c>
      <c r="B840" s="29" t="str">
        <f>IFERROR(__xludf.DUMMYFUNCTION("""COMPUTED_VALUE"""),"Circumcised")</f>
        <v>Circumcised</v>
      </c>
      <c r="C840" s="29" t="str">
        <f>IFERROR(__xludf.DUMMYFUNCTION("""COMPUTED_VALUE"""),"Ease of Orgasm")</f>
        <v>Ease of Orgasm</v>
      </c>
      <c r="D840" s="29" t="str">
        <f>IFERROR(__xludf.DUMMYFUNCTION("""COMPUTED_VALUE"""),"1 (Low/Poor)")</f>
        <v>1 (Low/Poor)</v>
      </c>
      <c r="E840" s="29">
        <f>IFERROR(__xludf.DUMMYFUNCTION("""COMPUTED_VALUE"""),1.0)</f>
        <v>1</v>
      </c>
    </row>
    <row r="841">
      <c r="A841" s="33">
        <f>IFERROR(__xludf.DUMMYFUNCTION("""COMPUTED_VALUE"""),46019.70274966436)</f>
        <v>46019.70275</v>
      </c>
      <c r="B841" s="29" t="str">
        <f>IFERROR(__xludf.DUMMYFUNCTION("""COMPUTED_VALUE"""),"Circumcised")</f>
        <v>Circumcised</v>
      </c>
      <c r="C841" s="29" t="str">
        <f>IFERROR(__xludf.DUMMYFUNCTION("""COMPUTED_VALUE"""),"Ease of Orgasm")</f>
        <v>Ease of Orgasm</v>
      </c>
      <c r="D841" s="29" t="str">
        <f>IFERROR(__xludf.DUMMYFUNCTION("""COMPUTED_VALUE"""),"4")</f>
        <v>4</v>
      </c>
      <c r="E841" s="29">
        <f>IFERROR(__xludf.DUMMYFUNCTION("""COMPUTED_VALUE"""),4.0)</f>
        <v>4</v>
      </c>
    </row>
    <row r="842">
      <c r="A842" s="33">
        <f>IFERROR(__xludf.DUMMYFUNCTION("""COMPUTED_VALUE"""),46025.157875034725)</f>
        <v>46025.15788</v>
      </c>
      <c r="B842" s="29" t="str">
        <f>IFERROR(__xludf.DUMMYFUNCTION("""COMPUTED_VALUE"""),"Circumcised")</f>
        <v>Circumcised</v>
      </c>
      <c r="C842" s="29" t="str">
        <f>IFERROR(__xludf.DUMMYFUNCTION("""COMPUTED_VALUE"""),"Ease of Orgasm")</f>
        <v>Ease of Orgasm</v>
      </c>
      <c r="D842" s="29" t="str">
        <f>IFERROR(__xludf.DUMMYFUNCTION("""COMPUTED_VALUE"""),"4")</f>
        <v>4</v>
      </c>
      <c r="E842" s="29">
        <f>IFERROR(__xludf.DUMMYFUNCTION("""COMPUTED_VALUE"""),4.0)</f>
        <v>4</v>
      </c>
    </row>
    <row r="843">
      <c r="A843" s="33">
        <f>IFERROR(__xludf.DUMMYFUNCTION("""COMPUTED_VALUE"""),46025.18449309027)</f>
        <v>46025.18449</v>
      </c>
      <c r="B843" s="29" t="str">
        <f>IFERROR(__xludf.DUMMYFUNCTION("""COMPUTED_VALUE"""),"Intact (Never circumcised)")</f>
        <v>Intact (Never circumcised)</v>
      </c>
      <c r="C843" s="29" t="str">
        <f>IFERROR(__xludf.DUMMYFUNCTION("""COMPUTED_VALUE"""),"Ease of Orgasm")</f>
        <v>Ease of Orgasm</v>
      </c>
      <c r="D843" s="29" t="str">
        <f>IFERROR(__xludf.DUMMYFUNCTION("""COMPUTED_VALUE"""),"5 (High/Excellent)")</f>
        <v>5 (High/Excellent)</v>
      </c>
      <c r="E843" s="29">
        <f>IFERROR(__xludf.DUMMYFUNCTION("""COMPUTED_VALUE"""),5.0)</f>
        <v>5</v>
      </c>
    </row>
    <row r="844">
      <c r="A844" s="33">
        <f>IFERROR(__xludf.DUMMYFUNCTION("""COMPUTED_VALUE"""),46026.317358437496)</f>
        <v>46026.31736</v>
      </c>
      <c r="B844" s="29" t="str">
        <f>IFERROR(__xludf.DUMMYFUNCTION("""COMPUTED_VALUE"""),"Actively restoring my foreskin / I consider myself restored")</f>
        <v>Actively restoring my foreskin / I consider myself restored</v>
      </c>
      <c r="C844" s="29" t="str">
        <f>IFERROR(__xludf.DUMMYFUNCTION("""COMPUTED_VALUE"""),"Ease of Orgasm")</f>
        <v>Ease of Orgasm</v>
      </c>
      <c r="D844" s="29" t="str">
        <f>IFERROR(__xludf.DUMMYFUNCTION("""COMPUTED_VALUE"""),"3 (Medium/Average)")</f>
        <v>3 (Medium/Average)</v>
      </c>
      <c r="E844" s="29">
        <f>IFERROR(__xludf.DUMMYFUNCTION("""COMPUTED_VALUE"""),3.0)</f>
        <v>3</v>
      </c>
    </row>
    <row r="845">
      <c r="A845" s="33">
        <f>IFERROR(__xludf.DUMMYFUNCTION("""COMPUTED_VALUE"""),46028.958640625)</f>
        <v>46028.95864</v>
      </c>
      <c r="B845" s="29" t="str">
        <f>IFERROR(__xludf.DUMMYFUNCTION("""COMPUTED_VALUE"""),"Circumcised")</f>
        <v>Circumcised</v>
      </c>
      <c r="C845" s="29" t="str">
        <f>IFERROR(__xludf.DUMMYFUNCTION("""COMPUTED_VALUE"""),"Ease of Orgasm")</f>
        <v>Ease of Orgasm</v>
      </c>
      <c r="D845" s="29" t="str">
        <f>IFERROR(__xludf.DUMMYFUNCTION("""COMPUTED_VALUE"""),"2")</f>
        <v>2</v>
      </c>
      <c r="E845" s="29">
        <f>IFERROR(__xludf.DUMMYFUNCTION("""COMPUTED_VALUE"""),2.0)</f>
        <v>2</v>
      </c>
    </row>
    <row r="846">
      <c r="A846" s="33">
        <f>IFERROR(__xludf.DUMMYFUNCTION("""COMPUTED_VALUE"""),46029.12269635416)</f>
        <v>46029.1227</v>
      </c>
      <c r="B846" s="29" t="str">
        <f>IFERROR(__xludf.DUMMYFUNCTION("""COMPUTED_VALUE"""),"Intact (Never circumcised)")</f>
        <v>Intact (Never circumcised)</v>
      </c>
      <c r="C846" s="29" t="str">
        <f>IFERROR(__xludf.DUMMYFUNCTION("""COMPUTED_VALUE"""),"Ease of Orgasm")</f>
        <v>Ease of Orgasm</v>
      </c>
      <c r="D846" s="29" t="str">
        <f>IFERROR(__xludf.DUMMYFUNCTION("""COMPUTED_VALUE"""),"4")</f>
        <v>4</v>
      </c>
      <c r="E846" s="29">
        <f>IFERROR(__xludf.DUMMYFUNCTION("""COMPUTED_VALUE"""),4.0)</f>
        <v>4</v>
      </c>
    </row>
    <row r="847">
      <c r="A847" s="33">
        <f>IFERROR(__xludf.DUMMYFUNCTION("""COMPUTED_VALUE"""),46032.64016930556)</f>
        <v>46032.64017</v>
      </c>
      <c r="B847" s="29" t="str">
        <f>IFERROR(__xludf.DUMMYFUNCTION("""COMPUTED_VALUE"""),"Actively restoring my foreskin / I consider myself restored")</f>
        <v>Actively restoring my foreskin / I consider myself restored</v>
      </c>
      <c r="C847" s="29" t="str">
        <f>IFERROR(__xludf.DUMMYFUNCTION("""COMPUTED_VALUE"""),"Ease of Orgasm")</f>
        <v>Ease of Orgasm</v>
      </c>
      <c r="D847" s="29" t="str">
        <f>IFERROR(__xludf.DUMMYFUNCTION("""COMPUTED_VALUE"""),"4")</f>
        <v>4</v>
      </c>
      <c r="E847" s="29">
        <f>IFERROR(__xludf.DUMMYFUNCTION("""COMPUTED_VALUE"""),4.0)</f>
        <v>4</v>
      </c>
    </row>
    <row r="848">
      <c r="A848" s="33">
        <f>IFERROR(__xludf.DUMMYFUNCTION("""COMPUTED_VALUE"""),46037.4918693287)</f>
        <v>46037.49187</v>
      </c>
      <c r="B848" s="29" t="str">
        <f>IFERROR(__xludf.DUMMYFUNCTION("""COMPUTED_VALUE"""),"Actively restoring my foreskin / I consider myself restored")</f>
        <v>Actively restoring my foreskin / I consider myself restored</v>
      </c>
      <c r="C848" s="29" t="str">
        <f>IFERROR(__xludf.DUMMYFUNCTION("""COMPUTED_VALUE"""),"Ease of Orgasm")</f>
        <v>Ease of Orgasm</v>
      </c>
      <c r="D848" s="29" t="str">
        <f>IFERROR(__xludf.DUMMYFUNCTION("""COMPUTED_VALUE"""),"2")</f>
        <v>2</v>
      </c>
      <c r="E848" s="29">
        <f>IFERROR(__xludf.DUMMYFUNCTION("""COMPUTED_VALUE"""),2.0)</f>
        <v>2</v>
      </c>
    </row>
    <row r="849">
      <c r="A849" s="33">
        <f>IFERROR(__xludf.DUMMYFUNCTION("""COMPUTED_VALUE"""),46037.5570009375)</f>
        <v>46037.557</v>
      </c>
      <c r="B849" s="29" t="str">
        <f>IFERROR(__xludf.DUMMYFUNCTION("""COMPUTED_VALUE"""),"Intact (Never circumcised)")</f>
        <v>Intact (Never circumcised)</v>
      </c>
      <c r="C849" s="29" t="str">
        <f>IFERROR(__xludf.DUMMYFUNCTION("""COMPUTED_VALUE"""),"Ease of Orgasm")</f>
        <v>Ease of Orgasm</v>
      </c>
      <c r="D849" s="29" t="str">
        <f>IFERROR(__xludf.DUMMYFUNCTION("""COMPUTED_VALUE"""),"4")</f>
        <v>4</v>
      </c>
      <c r="E849" s="29">
        <f>IFERROR(__xludf.DUMMYFUNCTION("""COMPUTED_VALUE"""),4.0)</f>
        <v>4</v>
      </c>
    </row>
    <row r="850">
      <c r="A850" s="33">
        <f>IFERROR(__xludf.DUMMYFUNCTION("""COMPUTED_VALUE"""),46053.61221619213)</f>
        <v>46053.61222</v>
      </c>
      <c r="B850" s="29" t="str">
        <f>IFERROR(__xludf.DUMMYFUNCTION("""COMPUTED_VALUE"""),"Circumcised")</f>
        <v>Circumcised</v>
      </c>
      <c r="C850" s="29" t="str">
        <f>IFERROR(__xludf.DUMMYFUNCTION("""COMPUTED_VALUE"""),"Ease of Orgasm")</f>
        <v>Ease of Orgasm</v>
      </c>
      <c r="D850" s="29" t="str">
        <f>IFERROR(__xludf.DUMMYFUNCTION("""COMPUTED_VALUE"""),"5 (High/Excellent)")</f>
        <v>5 (High/Excellent)</v>
      </c>
      <c r="E850" s="29">
        <f>IFERROR(__xludf.DUMMYFUNCTION("""COMPUTED_VALUE"""),5.0)</f>
        <v>5</v>
      </c>
    </row>
    <row r="851">
      <c r="A851" s="33">
        <f>IFERROR(__xludf.DUMMYFUNCTION("""COMPUTED_VALUE"""),46053.776607708336)</f>
        <v>46053.77661</v>
      </c>
      <c r="B851" s="29" t="str">
        <f>IFERROR(__xludf.DUMMYFUNCTION("""COMPUTED_VALUE"""),"Circumcised")</f>
        <v>Circumcised</v>
      </c>
      <c r="C851" s="29" t="str">
        <f>IFERROR(__xludf.DUMMYFUNCTION("""COMPUTED_VALUE"""),"Ease of Orgasm")</f>
        <v>Ease of Orgasm</v>
      </c>
      <c r="D851" s="29" t="str">
        <f>IFERROR(__xludf.DUMMYFUNCTION("""COMPUTED_VALUE"""),"5 (High/Excellent)")</f>
        <v>5 (High/Excellent)</v>
      </c>
      <c r="E851" s="29">
        <f>IFERROR(__xludf.DUMMYFUNCTION("""COMPUTED_VALUE"""),5.0)</f>
        <v>5</v>
      </c>
    </row>
    <row r="852">
      <c r="A852" s="33">
        <f>IFERROR(__xludf.DUMMYFUNCTION("""COMPUTED_VALUE"""),46055.729800081026)</f>
        <v>46055.7298</v>
      </c>
      <c r="B852" s="29" t="str">
        <f>IFERROR(__xludf.DUMMYFUNCTION("""COMPUTED_VALUE"""),"Circumcised")</f>
        <v>Circumcised</v>
      </c>
      <c r="C852" s="29" t="str">
        <f>IFERROR(__xludf.DUMMYFUNCTION("""COMPUTED_VALUE"""),"Ease of Orgasm")</f>
        <v>Ease of Orgasm</v>
      </c>
      <c r="D852" s="29" t="str">
        <f>IFERROR(__xludf.DUMMYFUNCTION("""COMPUTED_VALUE"""),"2")</f>
        <v>2</v>
      </c>
      <c r="E852" s="29">
        <f>IFERROR(__xludf.DUMMYFUNCTION("""COMPUTED_VALUE"""),2.0)</f>
        <v>2</v>
      </c>
    </row>
    <row r="853">
      <c r="A853" s="33">
        <f>IFERROR(__xludf.DUMMYFUNCTION("""COMPUTED_VALUE"""),46060.45633940972)</f>
        <v>46060.45634</v>
      </c>
      <c r="B853" s="29" t="str">
        <f>IFERROR(__xludf.DUMMYFUNCTION("""COMPUTED_VALUE"""),"Circumcised")</f>
        <v>Circumcised</v>
      </c>
      <c r="C853" s="29" t="str">
        <f>IFERROR(__xludf.DUMMYFUNCTION("""COMPUTED_VALUE"""),"Ease of Orgasm")</f>
        <v>Ease of Orgasm</v>
      </c>
      <c r="D853" s="29" t="str">
        <f>IFERROR(__xludf.DUMMYFUNCTION("""COMPUTED_VALUE"""),"3 (Medium/Average)")</f>
        <v>3 (Medium/Average)</v>
      </c>
      <c r="E853" s="29">
        <f>IFERROR(__xludf.DUMMYFUNCTION("""COMPUTED_VALUE"""),3.0)</f>
        <v>3</v>
      </c>
    </row>
    <row r="854">
      <c r="A854" s="33">
        <f>IFERROR(__xludf.DUMMYFUNCTION("""COMPUTED_VALUE"""),46061.530180625006)</f>
        <v>46061.53018</v>
      </c>
      <c r="B854" s="29" t="str">
        <f>IFERROR(__xludf.DUMMYFUNCTION("""COMPUTED_VALUE"""),"Intact (Never circumcised)")</f>
        <v>Intact (Never circumcised)</v>
      </c>
      <c r="C854" s="29" t="str">
        <f>IFERROR(__xludf.DUMMYFUNCTION("""COMPUTED_VALUE"""),"Ease of Orgasm")</f>
        <v>Ease of Orgasm</v>
      </c>
      <c r="D854" s="29" t="str">
        <f>IFERROR(__xludf.DUMMYFUNCTION("""COMPUTED_VALUE"""),"5 (High/Excellent)")</f>
        <v>5 (High/Excellent)</v>
      </c>
      <c r="E854" s="29">
        <f>IFERROR(__xludf.DUMMYFUNCTION("""COMPUTED_VALUE"""),5.0)</f>
        <v>5</v>
      </c>
    </row>
    <row r="855">
      <c r="A855" s="33">
        <f>IFERROR(__xludf.DUMMYFUNCTION("""COMPUTED_VALUE"""),46064.90010012731)</f>
        <v>46064.9001</v>
      </c>
      <c r="B855" s="29" t="str">
        <f>IFERROR(__xludf.DUMMYFUNCTION("""COMPUTED_VALUE"""),"Intact (Never circumcised)")</f>
        <v>Intact (Never circumcised)</v>
      </c>
      <c r="C855" s="29" t="str">
        <f>IFERROR(__xludf.DUMMYFUNCTION("""COMPUTED_VALUE"""),"Ease of Orgasm")</f>
        <v>Ease of Orgasm</v>
      </c>
      <c r="D855" s="29" t="str">
        <f>IFERROR(__xludf.DUMMYFUNCTION("""COMPUTED_VALUE"""),"5 (High/Excellent)")</f>
        <v>5 (High/Excellent)</v>
      </c>
      <c r="E855" s="29">
        <f>IFERROR(__xludf.DUMMYFUNCTION("""COMPUTED_VALUE"""),5.0)</f>
        <v>5</v>
      </c>
    </row>
    <row r="856">
      <c r="A856" s="33">
        <f>IFERROR(__xludf.DUMMYFUNCTION("""COMPUTED_VALUE"""),46064.99989840278)</f>
        <v>46064.9999</v>
      </c>
      <c r="B856" s="29" t="str">
        <f>IFERROR(__xludf.DUMMYFUNCTION("""COMPUTED_VALUE"""),"Circumcised")</f>
        <v>Circumcised</v>
      </c>
      <c r="C856" s="29" t="str">
        <f>IFERROR(__xludf.DUMMYFUNCTION("""COMPUTED_VALUE"""),"Ease of Orgasm")</f>
        <v>Ease of Orgasm</v>
      </c>
      <c r="D856" s="29" t="str">
        <f>IFERROR(__xludf.DUMMYFUNCTION("""COMPUTED_VALUE"""),"2")</f>
        <v>2</v>
      </c>
      <c r="E856" s="29">
        <f>IFERROR(__xludf.DUMMYFUNCTION("""COMPUTED_VALUE"""),2.0)</f>
        <v>2</v>
      </c>
    </row>
    <row r="857">
      <c r="A857" s="33">
        <f>IFERROR(__xludf.DUMMYFUNCTION("""COMPUTED_VALUE"""),46065.31308600695)</f>
        <v>46065.31309</v>
      </c>
      <c r="B857" s="29" t="str">
        <f>IFERROR(__xludf.DUMMYFUNCTION("""COMPUTED_VALUE"""),"Circumcised")</f>
        <v>Circumcised</v>
      </c>
      <c r="C857" s="29" t="str">
        <f>IFERROR(__xludf.DUMMYFUNCTION("""COMPUTED_VALUE"""),"Ease of Orgasm")</f>
        <v>Ease of Orgasm</v>
      </c>
      <c r="D857" s="29" t="str">
        <f>IFERROR(__xludf.DUMMYFUNCTION("""COMPUTED_VALUE"""),"1 (Low/Poor)")</f>
        <v>1 (Low/Poor)</v>
      </c>
      <c r="E857" s="29">
        <f>IFERROR(__xludf.DUMMYFUNCTION("""COMPUTED_VALUE"""),1.0)</f>
        <v>1</v>
      </c>
    </row>
    <row r="858">
      <c r="A858" s="33">
        <f>IFERROR(__xludf.DUMMYFUNCTION("""COMPUTED_VALUE"""),46065.52200550926)</f>
        <v>46065.52201</v>
      </c>
      <c r="B858" s="29" t="str">
        <f>IFERROR(__xludf.DUMMYFUNCTION("""COMPUTED_VALUE"""),"Circumcised")</f>
        <v>Circumcised</v>
      </c>
      <c r="C858" s="29" t="str">
        <f>IFERROR(__xludf.DUMMYFUNCTION("""COMPUTED_VALUE"""),"Ease of Orgasm")</f>
        <v>Ease of Orgasm</v>
      </c>
      <c r="D858" s="29" t="str">
        <f>IFERROR(__xludf.DUMMYFUNCTION("""COMPUTED_VALUE"""),"2")</f>
        <v>2</v>
      </c>
      <c r="E858" s="29">
        <f>IFERROR(__xludf.DUMMYFUNCTION("""COMPUTED_VALUE"""),2.0)</f>
        <v>2</v>
      </c>
    </row>
    <row r="859">
      <c r="A859" s="33">
        <f>IFERROR(__xludf.DUMMYFUNCTION("""COMPUTED_VALUE"""),46065.61208627315)</f>
        <v>46065.61209</v>
      </c>
      <c r="B859" s="29" t="str">
        <f>IFERROR(__xludf.DUMMYFUNCTION("""COMPUTED_VALUE"""),"Intact (Never circumcised)")</f>
        <v>Intact (Never circumcised)</v>
      </c>
      <c r="C859" s="29" t="str">
        <f>IFERROR(__xludf.DUMMYFUNCTION("""COMPUTED_VALUE"""),"Ease of Orgasm")</f>
        <v>Ease of Orgasm</v>
      </c>
      <c r="D859" s="29" t="str">
        <f>IFERROR(__xludf.DUMMYFUNCTION("""COMPUTED_VALUE"""),"3 (Medium/Average)")</f>
        <v>3 (Medium/Average)</v>
      </c>
      <c r="E859" s="29">
        <f>IFERROR(__xludf.DUMMYFUNCTION("""COMPUTED_VALUE"""),3.0)</f>
        <v>3</v>
      </c>
    </row>
    <row r="860">
      <c r="A860" s="33">
        <f>IFERROR(__xludf.DUMMYFUNCTION("""COMPUTED_VALUE"""),46066.35949877315)</f>
        <v>46066.3595</v>
      </c>
      <c r="B860" s="29" t="str">
        <f>IFERROR(__xludf.DUMMYFUNCTION("""COMPUTED_VALUE"""),"Circumcised")</f>
        <v>Circumcised</v>
      </c>
      <c r="C860" s="29" t="str">
        <f>IFERROR(__xludf.DUMMYFUNCTION("""COMPUTED_VALUE"""),"Ease of Orgasm")</f>
        <v>Ease of Orgasm</v>
      </c>
      <c r="D860" s="29" t="str">
        <f>IFERROR(__xludf.DUMMYFUNCTION("""COMPUTED_VALUE"""),"1 (Low/Poor)")</f>
        <v>1 (Low/Poor)</v>
      </c>
      <c r="E860" s="29">
        <f>IFERROR(__xludf.DUMMYFUNCTION("""COMPUTED_VALUE"""),1.0)</f>
        <v>1</v>
      </c>
    </row>
    <row r="861">
      <c r="A861" s="33">
        <f>IFERROR(__xludf.DUMMYFUNCTION("""COMPUTED_VALUE"""),46066.93613185186)</f>
        <v>46066.93613</v>
      </c>
      <c r="B861" s="29" t="str">
        <f>IFERROR(__xludf.DUMMYFUNCTION("""COMPUTED_VALUE"""),"Circumcised")</f>
        <v>Circumcised</v>
      </c>
      <c r="C861" s="29" t="str">
        <f>IFERROR(__xludf.DUMMYFUNCTION("""COMPUTED_VALUE"""),"Ease of Orgasm")</f>
        <v>Ease of Orgasm</v>
      </c>
      <c r="D861" s="29" t="str">
        <f>IFERROR(__xludf.DUMMYFUNCTION("""COMPUTED_VALUE"""),"4")</f>
        <v>4</v>
      </c>
      <c r="E861" s="29">
        <f>IFERROR(__xludf.DUMMYFUNCTION("""COMPUTED_VALUE"""),4.0)</f>
        <v>4</v>
      </c>
    </row>
    <row r="862">
      <c r="A862" s="33">
        <f>IFERROR(__xludf.DUMMYFUNCTION("""COMPUTED_VALUE"""),46067.17601916667)</f>
        <v>46067.17602</v>
      </c>
      <c r="B862" s="29" t="str">
        <f>IFERROR(__xludf.DUMMYFUNCTION("""COMPUTED_VALUE"""),"Intact (Never circumcised)")</f>
        <v>Intact (Never circumcised)</v>
      </c>
      <c r="C862" s="29" t="str">
        <f>IFERROR(__xludf.DUMMYFUNCTION("""COMPUTED_VALUE"""),"Ease of Orgasm")</f>
        <v>Ease of Orgasm</v>
      </c>
      <c r="D862" s="29" t="str">
        <f>IFERROR(__xludf.DUMMYFUNCTION("""COMPUTED_VALUE"""),"3 (Medium/Average)")</f>
        <v>3 (Medium/Average)</v>
      </c>
      <c r="E862" s="29">
        <f>IFERROR(__xludf.DUMMYFUNCTION("""COMPUTED_VALUE"""),3.0)</f>
        <v>3</v>
      </c>
    </row>
    <row r="863">
      <c r="A863" s="33">
        <f>IFERROR(__xludf.DUMMYFUNCTION("""COMPUTED_VALUE"""),46069.69560907408)</f>
        <v>46069.69561</v>
      </c>
      <c r="B863" s="29" t="str">
        <f>IFERROR(__xludf.DUMMYFUNCTION("""COMPUTED_VALUE"""),"Circumcised")</f>
        <v>Circumcised</v>
      </c>
      <c r="C863" s="29" t="str">
        <f>IFERROR(__xludf.DUMMYFUNCTION("""COMPUTED_VALUE"""),"Ease of Orgasm")</f>
        <v>Ease of Orgasm</v>
      </c>
      <c r="D863" s="29" t="str">
        <f>IFERROR(__xludf.DUMMYFUNCTION("""COMPUTED_VALUE"""),"4")</f>
        <v>4</v>
      </c>
      <c r="E863" s="29">
        <f>IFERROR(__xludf.DUMMYFUNCTION("""COMPUTED_VALUE"""),4.0)</f>
        <v>4</v>
      </c>
    </row>
    <row r="864">
      <c r="A864" s="33">
        <f>IFERROR(__xludf.DUMMYFUNCTION("""COMPUTED_VALUE"""),46069.74153994213)</f>
        <v>46069.74154</v>
      </c>
      <c r="B864" s="29" t="str">
        <f>IFERROR(__xludf.DUMMYFUNCTION("""COMPUTED_VALUE"""),"Actively restoring my foreskin / I consider myself restored")</f>
        <v>Actively restoring my foreskin / I consider myself restored</v>
      </c>
      <c r="C864" s="29" t="str">
        <f>IFERROR(__xludf.DUMMYFUNCTION("""COMPUTED_VALUE"""),"Ease of Orgasm")</f>
        <v>Ease of Orgasm</v>
      </c>
      <c r="D864" s="29" t="str">
        <f>IFERROR(__xludf.DUMMYFUNCTION("""COMPUTED_VALUE"""),"4")</f>
        <v>4</v>
      </c>
      <c r="E864" s="29">
        <f>IFERROR(__xludf.DUMMYFUNCTION("""COMPUTED_VALUE"""),4.0)</f>
        <v>4</v>
      </c>
    </row>
    <row r="865">
      <c r="A865" s="33">
        <f>IFERROR(__xludf.DUMMYFUNCTION("""COMPUTED_VALUE"""),46070.524625185186)</f>
        <v>46070.52463</v>
      </c>
      <c r="B865" s="29" t="str">
        <f>IFERROR(__xludf.DUMMYFUNCTION("""COMPUTED_VALUE"""),"Intact (Never circumcised)")</f>
        <v>Intact (Never circumcised)</v>
      </c>
      <c r="C865" s="29" t="str">
        <f>IFERROR(__xludf.DUMMYFUNCTION("""COMPUTED_VALUE"""),"Ease of Orgasm")</f>
        <v>Ease of Orgasm</v>
      </c>
      <c r="D865" s="29" t="str">
        <f>IFERROR(__xludf.DUMMYFUNCTION("""COMPUTED_VALUE"""),"5 (High/Excellent)")</f>
        <v>5 (High/Excellent)</v>
      </c>
      <c r="E865" s="29">
        <f>IFERROR(__xludf.DUMMYFUNCTION("""COMPUTED_VALUE"""),5.0)</f>
        <v>5</v>
      </c>
    </row>
    <row r="866">
      <c r="A866" s="33">
        <f>IFERROR(__xludf.DUMMYFUNCTION("""COMPUTED_VALUE"""),46076.66878359954)</f>
        <v>46076.66878</v>
      </c>
      <c r="B866" s="29" t="str">
        <f>IFERROR(__xludf.DUMMYFUNCTION("""COMPUTED_VALUE"""),"Circumcised")</f>
        <v>Circumcised</v>
      </c>
      <c r="C866" s="29" t="str">
        <f>IFERROR(__xludf.DUMMYFUNCTION("""COMPUTED_VALUE"""),"Ease of Orgasm")</f>
        <v>Ease of Orgasm</v>
      </c>
      <c r="D866" s="29" t="str">
        <f>IFERROR(__xludf.DUMMYFUNCTION("""COMPUTED_VALUE"""),"1 (Low/Poor)")</f>
        <v>1 (Low/Poor)</v>
      </c>
      <c r="E866" s="29">
        <f>IFERROR(__xludf.DUMMYFUNCTION("""COMPUTED_VALUE"""),1.0)</f>
        <v>1</v>
      </c>
    </row>
    <row r="867">
      <c r="A867" s="33">
        <f>IFERROR(__xludf.DUMMYFUNCTION("""COMPUTED_VALUE"""),46078.59408679398)</f>
        <v>46078.59409</v>
      </c>
      <c r="B867" s="29" t="str">
        <f>IFERROR(__xludf.DUMMYFUNCTION("""COMPUTED_VALUE"""),"Circumcised")</f>
        <v>Circumcised</v>
      </c>
      <c r="C867" s="29" t="str">
        <f>IFERROR(__xludf.DUMMYFUNCTION("""COMPUTED_VALUE"""),"Ease of Orgasm")</f>
        <v>Ease of Orgasm</v>
      </c>
      <c r="D867" s="29" t="str">
        <f>IFERROR(__xludf.DUMMYFUNCTION("""COMPUTED_VALUE"""),"3 (Medium/Average)")</f>
        <v>3 (Medium/Average)</v>
      </c>
      <c r="E867" s="29">
        <f>IFERROR(__xludf.DUMMYFUNCTION("""COMPUTED_VALUE"""),3.0)</f>
        <v>3</v>
      </c>
    </row>
    <row r="868">
      <c r="A868" s="33">
        <f>IFERROR(__xludf.DUMMYFUNCTION("""COMPUTED_VALUE"""),46089.89088146991)</f>
        <v>46089.89088</v>
      </c>
      <c r="B868" s="29" t="str">
        <f>IFERROR(__xludf.DUMMYFUNCTION("""COMPUTED_VALUE"""),"Actively restoring my foreskin / I consider myself restored")</f>
        <v>Actively restoring my foreskin / I consider myself restored</v>
      </c>
      <c r="C868" s="29" t="str">
        <f>IFERROR(__xludf.DUMMYFUNCTION("""COMPUTED_VALUE"""),"Ease of Orgasm")</f>
        <v>Ease of Orgasm</v>
      </c>
      <c r="D868" s="29" t="str">
        <f>IFERROR(__xludf.DUMMYFUNCTION("""COMPUTED_VALUE"""),"4")</f>
        <v>4</v>
      </c>
      <c r="E868" s="29">
        <f>IFERROR(__xludf.DUMMYFUNCTION("""COMPUTED_VALUE"""),4.0)</f>
        <v>4</v>
      </c>
    </row>
    <row r="869">
      <c r="A869" s="33">
        <f>IFERROR(__xludf.DUMMYFUNCTION("""COMPUTED_VALUE"""),46091.30222179399)</f>
        <v>46091.30222</v>
      </c>
      <c r="B869" s="29" t="str">
        <f>IFERROR(__xludf.DUMMYFUNCTION("""COMPUTED_VALUE"""),"Circumcised")</f>
        <v>Circumcised</v>
      </c>
      <c r="C869" s="29" t="str">
        <f>IFERROR(__xludf.DUMMYFUNCTION("""COMPUTED_VALUE"""),"Ease of Orgasm")</f>
        <v>Ease of Orgasm</v>
      </c>
      <c r="D869" s="29" t="str">
        <f>IFERROR(__xludf.DUMMYFUNCTION("""COMPUTED_VALUE"""),"3 (Medium/Average)")</f>
        <v>3 (Medium/Average)</v>
      </c>
      <c r="E869" s="29">
        <f>IFERROR(__xludf.DUMMYFUNCTION("""COMPUTED_VALUE"""),3.0)</f>
        <v>3</v>
      </c>
    </row>
    <row r="870">
      <c r="A870" s="33">
        <f>IFERROR(__xludf.DUMMYFUNCTION("""COMPUTED_VALUE"""),46091.744138333335)</f>
        <v>46091.74414</v>
      </c>
      <c r="B870" s="29" t="str">
        <f>IFERROR(__xludf.DUMMYFUNCTION("""COMPUTED_VALUE"""),"Circumcised")</f>
        <v>Circumcised</v>
      </c>
      <c r="C870" s="29" t="str">
        <f>IFERROR(__xludf.DUMMYFUNCTION("""COMPUTED_VALUE"""),"Ease of Orgasm")</f>
        <v>Ease of Orgasm</v>
      </c>
      <c r="D870" s="29" t="str">
        <f>IFERROR(__xludf.DUMMYFUNCTION("""COMPUTED_VALUE"""),"3 (Medium/Average)")</f>
        <v>3 (Medium/Average)</v>
      </c>
      <c r="E870" s="29">
        <f>IFERROR(__xludf.DUMMYFUNCTION("""COMPUTED_VALUE"""),3.0)</f>
        <v>3</v>
      </c>
    </row>
    <row r="871">
      <c r="A871" s="33">
        <f>IFERROR(__xludf.DUMMYFUNCTION("""COMPUTED_VALUE"""),46093.81161307871)</f>
        <v>46093.81161</v>
      </c>
      <c r="B871" s="29" t="str">
        <f>IFERROR(__xludf.DUMMYFUNCTION("""COMPUTED_VALUE"""),"Circumcised")</f>
        <v>Circumcised</v>
      </c>
      <c r="C871" s="29" t="str">
        <f>IFERROR(__xludf.DUMMYFUNCTION("""COMPUTED_VALUE"""),"Ease of Orgasm")</f>
        <v>Ease of Orgasm</v>
      </c>
      <c r="D871" s="29" t="str">
        <f>IFERROR(__xludf.DUMMYFUNCTION("""COMPUTED_VALUE"""),"3 (Medium/Average)")</f>
        <v>3 (Medium/Average)</v>
      </c>
      <c r="E871" s="29">
        <f>IFERROR(__xludf.DUMMYFUNCTION("""COMPUTED_VALUE"""),3.0)</f>
        <v>3</v>
      </c>
    </row>
    <row r="872">
      <c r="A872" s="33">
        <f>IFERROR(__xludf.DUMMYFUNCTION("""COMPUTED_VALUE"""),46095.51932767361)</f>
        <v>46095.51933</v>
      </c>
      <c r="B872" s="29" t="str">
        <f>IFERROR(__xludf.DUMMYFUNCTION("""COMPUTED_VALUE"""),"Circumcised")</f>
        <v>Circumcised</v>
      </c>
      <c r="C872" s="29" t="str">
        <f>IFERROR(__xludf.DUMMYFUNCTION("""COMPUTED_VALUE"""),"Ease of Orgasm")</f>
        <v>Ease of Orgasm</v>
      </c>
      <c r="D872" s="29" t="str">
        <f>IFERROR(__xludf.DUMMYFUNCTION("""COMPUTED_VALUE"""),"1 (Low/Poor)")</f>
        <v>1 (Low/Poor)</v>
      </c>
      <c r="E872" s="29">
        <f>IFERROR(__xludf.DUMMYFUNCTION("""COMPUTED_VALUE"""),1.0)</f>
        <v>1</v>
      </c>
    </row>
    <row r="873">
      <c r="A873" s="33">
        <f>IFERROR(__xludf.DUMMYFUNCTION("""COMPUTED_VALUE"""),46098.99564787037)</f>
        <v>46098.99565</v>
      </c>
      <c r="B873" s="29" t="str">
        <f>IFERROR(__xludf.DUMMYFUNCTION("""COMPUTED_VALUE"""),"Actively restoring my foreskin / I consider myself restored")</f>
        <v>Actively restoring my foreskin / I consider myself restored</v>
      </c>
      <c r="C873" s="29" t="str">
        <f>IFERROR(__xludf.DUMMYFUNCTION("""COMPUTED_VALUE"""),"Ease of Orgasm")</f>
        <v>Ease of Orgasm</v>
      </c>
      <c r="D873" s="29" t="str">
        <f>IFERROR(__xludf.DUMMYFUNCTION("""COMPUTED_VALUE"""),"5 (High/Excellent)")</f>
        <v>5 (High/Excellent)</v>
      </c>
      <c r="E873" s="29">
        <f>IFERROR(__xludf.DUMMYFUNCTION("""COMPUTED_VALUE"""),5.0)</f>
        <v>5</v>
      </c>
    </row>
    <row r="874">
      <c r="A874" s="33">
        <f>IFERROR(__xludf.DUMMYFUNCTION("""COMPUTED_VALUE"""),46100.79148802084)</f>
        <v>46100.79149</v>
      </c>
      <c r="B874" s="29" t="str">
        <f>IFERROR(__xludf.DUMMYFUNCTION("""COMPUTED_VALUE"""),"Actively restoring my foreskin / I consider myself restored")</f>
        <v>Actively restoring my foreskin / I consider myself restored</v>
      </c>
      <c r="C874" s="29" t="str">
        <f>IFERROR(__xludf.DUMMYFUNCTION("""COMPUTED_VALUE"""),"Ease of Orgasm")</f>
        <v>Ease of Orgasm</v>
      </c>
      <c r="D874" s="29" t="str">
        <f>IFERROR(__xludf.DUMMYFUNCTION("""COMPUTED_VALUE"""),"5 (High/Excellent)")</f>
        <v>5 (High/Excellent)</v>
      </c>
      <c r="E874" s="29">
        <f>IFERROR(__xludf.DUMMYFUNCTION("""COMPUTED_VALUE"""),5.0)</f>
        <v>5</v>
      </c>
    </row>
    <row r="875">
      <c r="A875" s="33">
        <f>IFERROR(__xludf.DUMMYFUNCTION("""COMPUTED_VALUE"""),46104.68932258101)</f>
        <v>46104.68932</v>
      </c>
      <c r="B875" s="29" t="str">
        <f>IFERROR(__xludf.DUMMYFUNCTION("""COMPUTED_VALUE"""),"Intact (Never circumcised)")</f>
        <v>Intact (Never circumcised)</v>
      </c>
      <c r="C875" s="29" t="str">
        <f>IFERROR(__xludf.DUMMYFUNCTION("""COMPUTED_VALUE"""),"Ease of Orgasm")</f>
        <v>Ease of Orgasm</v>
      </c>
      <c r="D875" s="29" t="str">
        <f>IFERROR(__xludf.DUMMYFUNCTION("""COMPUTED_VALUE"""),"2")</f>
        <v>2</v>
      </c>
      <c r="E875" s="29">
        <f>IFERROR(__xludf.DUMMYFUNCTION("""COMPUTED_VALUE"""),2.0)</f>
        <v>2</v>
      </c>
    </row>
    <row r="876">
      <c r="A876" s="33">
        <f>IFERROR(__xludf.DUMMYFUNCTION("""COMPUTED_VALUE"""),46111.22171283565)</f>
        <v>46111.22171</v>
      </c>
      <c r="B876" s="29" t="str">
        <f>IFERROR(__xludf.DUMMYFUNCTION("""COMPUTED_VALUE"""),"Circumcised")</f>
        <v>Circumcised</v>
      </c>
      <c r="C876" s="29" t="str">
        <f>IFERROR(__xludf.DUMMYFUNCTION("""COMPUTED_VALUE"""),"Ease of Orgasm")</f>
        <v>Ease of Orgasm</v>
      </c>
      <c r="D876" s="29" t="str">
        <f>IFERROR(__xludf.DUMMYFUNCTION("""COMPUTED_VALUE"""),"3 (Medium/Average)")</f>
        <v>3 (Medium/Average)</v>
      </c>
      <c r="E876" s="29">
        <f>IFERROR(__xludf.DUMMYFUNCTION("""COMPUTED_VALUE"""),3.0)</f>
        <v>3</v>
      </c>
    </row>
    <row r="877">
      <c r="A877" s="33">
        <f>IFERROR(__xludf.DUMMYFUNCTION("""COMPUTED_VALUE"""),46114.45798623843)</f>
        <v>46114.45799</v>
      </c>
      <c r="B877" s="29" t="str">
        <f>IFERROR(__xludf.DUMMYFUNCTION("""COMPUTED_VALUE"""),"Circumcised")</f>
        <v>Circumcised</v>
      </c>
      <c r="C877" s="29" t="str">
        <f>IFERROR(__xludf.DUMMYFUNCTION("""COMPUTED_VALUE"""),"Ease of Orgasm")</f>
        <v>Ease of Orgasm</v>
      </c>
      <c r="D877" s="29" t="str">
        <f>IFERROR(__xludf.DUMMYFUNCTION("""COMPUTED_VALUE"""),"5 (High/Excellent)")</f>
        <v>5 (High/Excellent)</v>
      </c>
      <c r="E877" s="29">
        <f>IFERROR(__xludf.DUMMYFUNCTION("""COMPUTED_VALUE"""),5.0)</f>
        <v>5</v>
      </c>
    </row>
    <row r="878">
      <c r="A878" s="33">
        <f>IFERROR(__xludf.DUMMYFUNCTION("""COMPUTED_VALUE"""),46116.70468314815)</f>
        <v>46116.70468</v>
      </c>
      <c r="B878" s="29" t="str">
        <f>IFERROR(__xludf.DUMMYFUNCTION("""COMPUTED_VALUE"""),"Circumcised")</f>
        <v>Circumcised</v>
      </c>
      <c r="C878" s="29" t="str">
        <f>IFERROR(__xludf.DUMMYFUNCTION("""COMPUTED_VALUE"""),"Ease of Orgasm")</f>
        <v>Ease of Orgasm</v>
      </c>
      <c r="D878" s="29" t="str">
        <f>IFERROR(__xludf.DUMMYFUNCTION("""COMPUTED_VALUE"""),"1 (Low/Poor)")</f>
        <v>1 (Low/Poor)</v>
      </c>
      <c r="E878" s="29">
        <f>IFERROR(__xludf.DUMMYFUNCTION("""COMPUTED_VALUE"""),1.0)</f>
        <v>1</v>
      </c>
    </row>
    <row r="879">
      <c r="A879" s="33">
        <f>IFERROR(__xludf.DUMMYFUNCTION("""COMPUTED_VALUE"""),46116.71896637732)</f>
        <v>46116.71897</v>
      </c>
      <c r="B879" s="29" t="str">
        <f>IFERROR(__xludf.DUMMYFUNCTION("""COMPUTED_VALUE"""),"Intact (Never circumcised)")</f>
        <v>Intact (Never circumcised)</v>
      </c>
      <c r="C879" s="29" t="str">
        <f>IFERROR(__xludf.DUMMYFUNCTION("""COMPUTED_VALUE"""),"Ease of Orgasm")</f>
        <v>Ease of Orgasm</v>
      </c>
      <c r="D879" s="29" t="str">
        <f>IFERROR(__xludf.DUMMYFUNCTION("""COMPUTED_VALUE"""),"5 (High/Excellent)")</f>
        <v>5 (High/Excellent)</v>
      </c>
      <c r="E879" s="29">
        <f>IFERROR(__xludf.DUMMYFUNCTION("""COMPUTED_VALUE"""),5.0)</f>
        <v>5</v>
      </c>
    </row>
    <row r="880">
      <c r="A880" s="33">
        <f>IFERROR(__xludf.DUMMYFUNCTION("""COMPUTED_VALUE"""),46116.83796020834)</f>
        <v>46116.83796</v>
      </c>
      <c r="B880" s="29" t="str">
        <f>IFERROR(__xludf.DUMMYFUNCTION("""COMPUTED_VALUE"""),"Circumcised")</f>
        <v>Circumcised</v>
      </c>
      <c r="C880" s="29" t="str">
        <f>IFERROR(__xludf.DUMMYFUNCTION("""COMPUTED_VALUE"""),"Ease of Orgasm")</f>
        <v>Ease of Orgasm</v>
      </c>
      <c r="D880" s="29" t="str">
        <f>IFERROR(__xludf.DUMMYFUNCTION("""COMPUTED_VALUE"""),"3 (Medium/Average)")</f>
        <v>3 (Medium/Average)</v>
      </c>
      <c r="E880" s="29">
        <f>IFERROR(__xludf.DUMMYFUNCTION("""COMPUTED_VALUE"""),3.0)</f>
        <v>3</v>
      </c>
    </row>
    <row r="881">
      <c r="A881" s="33">
        <f>IFERROR(__xludf.DUMMYFUNCTION("""COMPUTED_VALUE"""),46117.02418079861)</f>
        <v>46117.02418</v>
      </c>
      <c r="B881" s="29" t="str">
        <f>IFERROR(__xludf.DUMMYFUNCTION("""COMPUTED_VALUE"""),"Intact (Never circumcised)")</f>
        <v>Intact (Never circumcised)</v>
      </c>
      <c r="C881" s="29" t="str">
        <f>IFERROR(__xludf.DUMMYFUNCTION("""COMPUTED_VALUE"""),"Ease of Orgasm")</f>
        <v>Ease of Orgasm</v>
      </c>
      <c r="D881" s="29" t="str">
        <f>IFERROR(__xludf.DUMMYFUNCTION("""COMPUTED_VALUE"""),"5 (High/Excellent)")</f>
        <v>5 (High/Excellent)</v>
      </c>
      <c r="E881" s="29">
        <f>IFERROR(__xludf.DUMMYFUNCTION("""COMPUTED_VALUE"""),5.0)</f>
        <v>5</v>
      </c>
    </row>
    <row r="882">
      <c r="A882" s="33">
        <f>IFERROR(__xludf.DUMMYFUNCTION("""COMPUTED_VALUE"""),46117.10372409722)</f>
        <v>46117.10372</v>
      </c>
      <c r="B882" s="29" t="str">
        <f>IFERROR(__xludf.DUMMYFUNCTION("""COMPUTED_VALUE"""),"Intact (Never circumcised)")</f>
        <v>Intact (Never circumcised)</v>
      </c>
      <c r="C882" s="29" t="str">
        <f>IFERROR(__xludf.DUMMYFUNCTION("""COMPUTED_VALUE"""),"Ease of Orgasm")</f>
        <v>Ease of Orgasm</v>
      </c>
      <c r="D882" s="29" t="str">
        <f>IFERROR(__xludf.DUMMYFUNCTION("""COMPUTED_VALUE"""),"4")</f>
        <v>4</v>
      </c>
      <c r="E882" s="29">
        <f>IFERROR(__xludf.DUMMYFUNCTION("""COMPUTED_VALUE"""),4.0)</f>
        <v>4</v>
      </c>
    </row>
    <row r="883">
      <c r="A883" s="33">
        <f>IFERROR(__xludf.DUMMYFUNCTION("""COMPUTED_VALUE"""),46117.11012297453)</f>
        <v>46117.11012</v>
      </c>
      <c r="B883" s="29" t="str">
        <f>IFERROR(__xludf.DUMMYFUNCTION("""COMPUTED_VALUE"""),"Circumcised")</f>
        <v>Circumcised</v>
      </c>
      <c r="C883" s="29" t="str">
        <f>IFERROR(__xludf.DUMMYFUNCTION("""COMPUTED_VALUE"""),"Ease of Orgasm")</f>
        <v>Ease of Orgasm</v>
      </c>
      <c r="D883" s="29" t="str">
        <f>IFERROR(__xludf.DUMMYFUNCTION("""COMPUTED_VALUE"""),"3 (Medium/Average)")</f>
        <v>3 (Medium/Average)</v>
      </c>
      <c r="E883" s="29">
        <f>IFERROR(__xludf.DUMMYFUNCTION("""COMPUTED_VALUE"""),3.0)</f>
        <v>3</v>
      </c>
    </row>
    <row r="884">
      <c r="A884" s="33">
        <f>IFERROR(__xludf.DUMMYFUNCTION("""COMPUTED_VALUE"""),46117.37274850695)</f>
        <v>46117.37275</v>
      </c>
      <c r="B884" s="29" t="str">
        <f>IFERROR(__xludf.DUMMYFUNCTION("""COMPUTED_VALUE"""),"Circumcised")</f>
        <v>Circumcised</v>
      </c>
      <c r="C884" s="29" t="str">
        <f>IFERROR(__xludf.DUMMYFUNCTION("""COMPUTED_VALUE"""),"Ease of Orgasm")</f>
        <v>Ease of Orgasm</v>
      </c>
      <c r="D884" s="29" t="str">
        <f>IFERROR(__xludf.DUMMYFUNCTION("""COMPUTED_VALUE"""),"3 (Medium/Average)")</f>
        <v>3 (Medium/Average)</v>
      </c>
      <c r="E884" s="29">
        <f>IFERROR(__xludf.DUMMYFUNCTION("""COMPUTED_VALUE"""),3.0)</f>
        <v>3</v>
      </c>
    </row>
    <row r="885">
      <c r="A885" s="33">
        <f>IFERROR(__xludf.DUMMYFUNCTION("""COMPUTED_VALUE"""),46117.40241266204)</f>
        <v>46117.40241</v>
      </c>
      <c r="B885" s="29" t="str">
        <f>IFERROR(__xludf.DUMMYFUNCTION("""COMPUTED_VALUE"""),"Circumcised")</f>
        <v>Circumcised</v>
      </c>
      <c r="C885" s="29" t="str">
        <f>IFERROR(__xludf.DUMMYFUNCTION("""COMPUTED_VALUE"""),"Ease of Orgasm")</f>
        <v>Ease of Orgasm</v>
      </c>
      <c r="D885" s="29" t="str">
        <f>IFERROR(__xludf.DUMMYFUNCTION("""COMPUTED_VALUE"""),"5 (High/Excellent)")</f>
        <v>5 (High/Excellent)</v>
      </c>
      <c r="E885" s="29">
        <f>IFERROR(__xludf.DUMMYFUNCTION("""COMPUTED_VALUE"""),5.0)</f>
        <v>5</v>
      </c>
    </row>
    <row r="886">
      <c r="A886" s="33">
        <f>IFERROR(__xludf.DUMMYFUNCTION("""COMPUTED_VALUE"""),46117.406726597226)</f>
        <v>46117.40673</v>
      </c>
      <c r="B886" s="29" t="str">
        <f>IFERROR(__xludf.DUMMYFUNCTION("""COMPUTED_VALUE"""),"Actively restoring my foreskin / I consider myself restored")</f>
        <v>Actively restoring my foreskin / I consider myself restored</v>
      </c>
      <c r="C886" s="29" t="str">
        <f>IFERROR(__xludf.DUMMYFUNCTION("""COMPUTED_VALUE"""),"Ease of Orgasm")</f>
        <v>Ease of Orgasm</v>
      </c>
      <c r="D886" s="29" t="str">
        <f>IFERROR(__xludf.DUMMYFUNCTION("""COMPUTED_VALUE"""),"3 (Medium/Average)")</f>
        <v>3 (Medium/Average)</v>
      </c>
      <c r="E886" s="29">
        <f>IFERROR(__xludf.DUMMYFUNCTION("""COMPUTED_VALUE"""),3.0)</f>
        <v>3</v>
      </c>
    </row>
    <row r="887">
      <c r="A887" s="33">
        <f>IFERROR(__xludf.DUMMYFUNCTION("""COMPUTED_VALUE"""),46117.43835497685)</f>
        <v>46117.43835</v>
      </c>
      <c r="B887" s="29" t="str">
        <f>IFERROR(__xludf.DUMMYFUNCTION("""COMPUTED_VALUE"""),"Circumcised")</f>
        <v>Circumcised</v>
      </c>
      <c r="C887" s="29" t="str">
        <f>IFERROR(__xludf.DUMMYFUNCTION("""COMPUTED_VALUE"""),"Ease of Orgasm")</f>
        <v>Ease of Orgasm</v>
      </c>
      <c r="D887" s="29" t="str">
        <f>IFERROR(__xludf.DUMMYFUNCTION("""COMPUTED_VALUE"""),"3 (Medium/Average)")</f>
        <v>3 (Medium/Average)</v>
      </c>
      <c r="E887" s="29">
        <f>IFERROR(__xludf.DUMMYFUNCTION("""COMPUTED_VALUE"""),3.0)</f>
        <v>3</v>
      </c>
    </row>
    <row r="888">
      <c r="A888" s="33">
        <f>IFERROR(__xludf.DUMMYFUNCTION("""COMPUTED_VALUE"""),46117.52108172454)</f>
        <v>46117.52108</v>
      </c>
      <c r="B888" s="29" t="str">
        <f>IFERROR(__xludf.DUMMYFUNCTION("""COMPUTED_VALUE"""),"Actively restoring my foreskin / I consider myself restored")</f>
        <v>Actively restoring my foreskin / I consider myself restored</v>
      </c>
      <c r="C888" s="29" t="str">
        <f>IFERROR(__xludf.DUMMYFUNCTION("""COMPUTED_VALUE"""),"Ease of Orgasm")</f>
        <v>Ease of Orgasm</v>
      </c>
      <c r="D888" s="29" t="str">
        <f>IFERROR(__xludf.DUMMYFUNCTION("""COMPUTED_VALUE"""),"4")</f>
        <v>4</v>
      </c>
      <c r="E888" s="29">
        <f>IFERROR(__xludf.DUMMYFUNCTION("""COMPUTED_VALUE"""),4.0)</f>
        <v>4</v>
      </c>
    </row>
    <row r="889">
      <c r="A889" s="33">
        <f>IFERROR(__xludf.DUMMYFUNCTION("""COMPUTED_VALUE"""),46117.65196458333)</f>
        <v>46117.65196</v>
      </c>
      <c r="B889" s="29" t="str">
        <f>IFERROR(__xludf.DUMMYFUNCTION("""COMPUTED_VALUE"""),"Actively restoring my foreskin / I consider myself restored")</f>
        <v>Actively restoring my foreskin / I consider myself restored</v>
      </c>
      <c r="C889" s="29" t="str">
        <f>IFERROR(__xludf.DUMMYFUNCTION("""COMPUTED_VALUE"""),"Ease of Orgasm")</f>
        <v>Ease of Orgasm</v>
      </c>
      <c r="D889" s="29" t="str">
        <f>IFERROR(__xludf.DUMMYFUNCTION("""COMPUTED_VALUE"""),"1 (Low/Poor)")</f>
        <v>1 (Low/Poor)</v>
      </c>
      <c r="E889" s="29">
        <f>IFERROR(__xludf.DUMMYFUNCTION("""COMPUTED_VALUE"""),1.0)</f>
        <v>1</v>
      </c>
    </row>
    <row r="890">
      <c r="A890" s="33">
        <f>IFERROR(__xludf.DUMMYFUNCTION("""COMPUTED_VALUE"""),46117.68275197917)</f>
        <v>46117.68275</v>
      </c>
      <c r="B890" s="29" t="str">
        <f>IFERROR(__xludf.DUMMYFUNCTION("""COMPUTED_VALUE"""),"Circumcised")</f>
        <v>Circumcised</v>
      </c>
      <c r="C890" s="29" t="str">
        <f>IFERROR(__xludf.DUMMYFUNCTION("""COMPUTED_VALUE"""),"Ease of Orgasm")</f>
        <v>Ease of Orgasm</v>
      </c>
      <c r="D890" s="29" t="str">
        <f>IFERROR(__xludf.DUMMYFUNCTION("""COMPUTED_VALUE"""),"3 (Medium/Average)")</f>
        <v>3 (Medium/Average)</v>
      </c>
      <c r="E890" s="29">
        <f>IFERROR(__xludf.DUMMYFUNCTION("""COMPUTED_VALUE"""),3.0)</f>
        <v>3</v>
      </c>
    </row>
    <row r="891">
      <c r="A891" s="33">
        <f>IFERROR(__xludf.DUMMYFUNCTION("""COMPUTED_VALUE"""),46117.68807715278)</f>
        <v>46117.68808</v>
      </c>
      <c r="B891" s="29" t="str">
        <f>IFERROR(__xludf.DUMMYFUNCTION("""COMPUTED_VALUE"""),"Actively restoring my foreskin / I consider myself restored")</f>
        <v>Actively restoring my foreskin / I consider myself restored</v>
      </c>
      <c r="C891" s="29" t="str">
        <f>IFERROR(__xludf.DUMMYFUNCTION("""COMPUTED_VALUE"""),"Ease of Orgasm")</f>
        <v>Ease of Orgasm</v>
      </c>
      <c r="D891" s="29" t="str">
        <f>IFERROR(__xludf.DUMMYFUNCTION("""COMPUTED_VALUE"""),"4")</f>
        <v>4</v>
      </c>
      <c r="E891" s="29">
        <f>IFERROR(__xludf.DUMMYFUNCTION("""COMPUTED_VALUE"""),4.0)</f>
        <v>4</v>
      </c>
    </row>
    <row r="892">
      <c r="A892" s="33">
        <f>IFERROR(__xludf.DUMMYFUNCTION("""COMPUTED_VALUE"""),46118.06487167824)</f>
        <v>46118.06487</v>
      </c>
      <c r="B892" s="29" t="str">
        <f>IFERROR(__xludf.DUMMYFUNCTION("""COMPUTED_VALUE"""),"Actively restoring my foreskin / I consider myself restored")</f>
        <v>Actively restoring my foreskin / I consider myself restored</v>
      </c>
      <c r="C892" s="29" t="str">
        <f>IFERROR(__xludf.DUMMYFUNCTION("""COMPUTED_VALUE"""),"Ease of Orgasm")</f>
        <v>Ease of Orgasm</v>
      </c>
      <c r="D892" s="29" t="str">
        <f>IFERROR(__xludf.DUMMYFUNCTION("""COMPUTED_VALUE"""),"3 (Medium/Average)")</f>
        <v>3 (Medium/Average)</v>
      </c>
      <c r="E892" s="29">
        <f>IFERROR(__xludf.DUMMYFUNCTION("""COMPUTED_VALUE"""),3.0)</f>
        <v>3</v>
      </c>
    </row>
    <row r="893">
      <c r="A893" s="33">
        <f>IFERROR(__xludf.DUMMYFUNCTION("""COMPUTED_VALUE"""),46118.1994543287)</f>
        <v>46118.19945</v>
      </c>
      <c r="B893" s="29" t="str">
        <f>IFERROR(__xludf.DUMMYFUNCTION("""COMPUTED_VALUE"""),"Actively restoring my foreskin / I consider myself restored")</f>
        <v>Actively restoring my foreskin / I consider myself restored</v>
      </c>
      <c r="C893" s="29" t="str">
        <f>IFERROR(__xludf.DUMMYFUNCTION("""COMPUTED_VALUE"""),"Ease of Orgasm")</f>
        <v>Ease of Orgasm</v>
      </c>
      <c r="D893" s="29" t="str">
        <f>IFERROR(__xludf.DUMMYFUNCTION("""COMPUTED_VALUE"""),"2")</f>
        <v>2</v>
      </c>
      <c r="E893" s="29">
        <f>IFERROR(__xludf.DUMMYFUNCTION("""COMPUTED_VALUE"""),2.0)</f>
        <v>2</v>
      </c>
    </row>
    <row r="894">
      <c r="A894" s="33">
        <f>IFERROR(__xludf.DUMMYFUNCTION("""COMPUTED_VALUE"""),46118.532824270835)</f>
        <v>46118.53282</v>
      </c>
      <c r="B894" s="29" t="str">
        <f>IFERROR(__xludf.DUMMYFUNCTION("""COMPUTED_VALUE"""),"Actively restoring my foreskin / I consider myself restored")</f>
        <v>Actively restoring my foreskin / I consider myself restored</v>
      </c>
      <c r="C894" s="29" t="str">
        <f>IFERROR(__xludf.DUMMYFUNCTION("""COMPUTED_VALUE"""),"Ease of Orgasm")</f>
        <v>Ease of Orgasm</v>
      </c>
      <c r="D894" s="29" t="str">
        <f>IFERROR(__xludf.DUMMYFUNCTION("""COMPUTED_VALUE"""),"4")</f>
        <v>4</v>
      </c>
      <c r="E894" s="29">
        <f>IFERROR(__xludf.DUMMYFUNCTION("""COMPUTED_VALUE"""),4.0)</f>
        <v>4</v>
      </c>
    </row>
    <row r="895">
      <c r="A895" s="33">
        <f>IFERROR(__xludf.DUMMYFUNCTION("""COMPUTED_VALUE"""),46118.63432261574)</f>
        <v>46118.63432</v>
      </c>
      <c r="B895" s="29" t="str">
        <f>IFERROR(__xludf.DUMMYFUNCTION("""COMPUTED_VALUE"""),"Circumcised")</f>
        <v>Circumcised</v>
      </c>
      <c r="C895" s="29" t="str">
        <f>IFERROR(__xludf.DUMMYFUNCTION("""COMPUTED_VALUE"""),"Ease of Orgasm")</f>
        <v>Ease of Orgasm</v>
      </c>
      <c r="D895" s="29" t="str">
        <f>IFERROR(__xludf.DUMMYFUNCTION("""COMPUTED_VALUE"""),"1 (Low/Poor)")</f>
        <v>1 (Low/Poor)</v>
      </c>
      <c r="E895" s="29">
        <f>IFERROR(__xludf.DUMMYFUNCTION("""COMPUTED_VALUE"""),1.0)</f>
        <v>1</v>
      </c>
    </row>
    <row r="896">
      <c r="A896" s="33">
        <f>IFERROR(__xludf.DUMMYFUNCTION("""COMPUTED_VALUE"""),46118.69740087963)</f>
        <v>46118.6974</v>
      </c>
      <c r="B896" s="29" t="str">
        <f>IFERROR(__xludf.DUMMYFUNCTION("""COMPUTED_VALUE"""),"Intact (Never circumcised)")</f>
        <v>Intact (Never circumcised)</v>
      </c>
      <c r="C896" s="29" t="str">
        <f>IFERROR(__xludf.DUMMYFUNCTION("""COMPUTED_VALUE"""),"Ease of Orgasm")</f>
        <v>Ease of Orgasm</v>
      </c>
      <c r="D896" s="29" t="str">
        <f>IFERROR(__xludf.DUMMYFUNCTION("""COMPUTED_VALUE"""),"4")</f>
        <v>4</v>
      </c>
      <c r="E896" s="29">
        <f>IFERROR(__xludf.DUMMYFUNCTION("""COMPUTED_VALUE"""),4.0)</f>
        <v>4</v>
      </c>
    </row>
    <row r="897">
      <c r="A897" s="33">
        <f>IFERROR(__xludf.DUMMYFUNCTION("""COMPUTED_VALUE"""),46118.738876469906)</f>
        <v>46118.73888</v>
      </c>
      <c r="B897" s="29" t="str">
        <f>IFERROR(__xludf.DUMMYFUNCTION("""COMPUTED_VALUE"""),"Actively restoring my foreskin / I consider myself restored")</f>
        <v>Actively restoring my foreskin / I consider myself restored</v>
      </c>
      <c r="C897" s="29" t="str">
        <f>IFERROR(__xludf.DUMMYFUNCTION("""COMPUTED_VALUE"""),"Ease of Orgasm")</f>
        <v>Ease of Orgasm</v>
      </c>
      <c r="D897" s="29" t="str">
        <f>IFERROR(__xludf.DUMMYFUNCTION("""COMPUTED_VALUE"""),"2")</f>
        <v>2</v>
      </c>
      <c r="E897" s="29">
        <f>IFERROR(__xludf.DUMMYFUNCTION("""COMPUTED_VALUE"""),2.0)</f>
        <v>2</v>
      </c>
    </row>
    <row r="898">
      <c r="A898" s="33">
        <f>IFERROR(__xludf.DUMMYFUNCTION("""COMPUTED_VALUE"""),46118.77396358796)</f>
        <v>46118.77396</v>
      </c>
      <c r="B898" s="29" t="str">
        <f>IFERROR(__xludf.DUMMYFUNCTION("""COMPUTED_VALUE"""),"Intact (Never circumcised)")</f>
        <v>Intact (Never circumcised)</v>
      </c>
      <c r="C898" s="29" t="str">
        <f>IFERROR(__xludf.DUMMYFUNCTION("""COMPUTED_VALUE"""),"Ease of Orgasm")</f>
        <v>Ease of Orgasm</v>
      </c>
      <c r="D898" s="29" t="str">
        <f>IFERROR(__xludf.DUMMYFUNCTION("""COMPUTED_VALUE"""),"5 (High/Excellent)")</f>
        <v>5 (High/Excellent)</v>
      </c>
      <c r="E898" s="29">
        <f>IFERROR(__xludf.DUMMYFUNCTION("""COMPUTED_VALUE"""),5.0)</f>
        <v>5</v>
      </c>
    </row>
    <row r="899">
      <c r="A899" s="33">
        <f>IFERROR(__xludf.DUMMYFUNCTION("""COMPUTED_VALUE"""),46118.83804181713)</f>
        <v>46118.83804</v>
      </c>
      <c r="B899" s="29" t="str">
        <f>IFERROR(__xludf.DUMMYFUNCTION("""COMPUTED_VALUE"""),"Circumcised")</f>
        <v>Circumcised</v>
      </c>
      <c r="C899" s="29" t="str">
        <f>IFERROR(__xludf.DUMMYFUNCTION("""COMPUTED_VALUE"""),"Ease of Orgasm")</f>
        <v>Ease of Orgasm</v>
      </c>
      <c r="D899" s="29" t="str">
        <f>IFERROR(__xludf.DUMMYFUNCTION("""COMPUTED_VALUE"""),"3 (Medium/Average)")</f>
        <v>3 (Medium/Average)</v>
      </c>
      <c r="E899" s="29">
        <f>IFERROR(__xludf.DUMMYFUNCTION("""COMPUTED_VALUE"""),3.0)</f>
        <v>3</v>
      </c>
    </row>
    <row r="900">
      <c r="A900" s="33">
        <f>IFERROR(__xludf.DUMMYFUNCTION("""COMPUTED_VALUE"""),46118.86745592592)</f>
        <v>46118.86746</v>
      </c>
      <c r="B900" s="29" t="str">
        <f>IFERROR(__xludf.DUMMYFUNCTION("""COMPUTED_VALUE"""),"Circumcised")</f>
        <v>Circumcised</v>
      </c>
      <c r="C900" s="29" t="str">
        <f>IFERROR(__xludf.DUMMYFUNCTION("""COMPUTED_VALUE"""),"Ease of Orgasm")</f>
        <v>Ease of Orgasm</v>
      </c>
      <c r="D900" s="29" t="str">
        <f>IFERROR(__xludf.DUMMYFUNCTION("""COMPUTED_VALUE"""),"5 (High/Excellent)")</f>
        <v>5 (High/Excellent)</v>
      </c>
      <c r="E900" s="29">
        <f>IFERROR(__xludf.DUMMYFUNCTION("""COMPUTED_VALUE"""),5.0)</f>
        <v>5</v>
      </c>
    </row>
    <row r="901">
      <c r="A901" s="33">
        <f>IFERROR(__xludf.DUMMYFUNCTION("""COMPUTED_VALUE"""),46118.906964062495)</f>
        <v>46118.90696</v>
      </c>
      <c r="B901" s="29" t="str">
        <f>IFERROR(__xludf.DUMMYFUNCTION("""COMPUTED_VALUE"""),"Actively restoring my foreskin / I consider myself restored")</f>
        <v>Actively restoring my foreskin / I consider myself restored</v>
      </c>
      <c r="C901" s="29" t="str">
        <f>IFERROR(__xludf.DUMMYFUNCTION("""COMPUTED_VALUE"""),"Ease of Orgasm")</f>
        <v>Ease of Orgasm</v>
      </c>
      <c r="D901" s="29" t="str">
        <f>IFERROR(__xludf.DUMMYFUNCTION("""COMPUTED_VALUE"""),"2")</f>
        <v>2</v>
      </c>
      <c r="E901" s="29">
        <f>IFERROR(__xludf.DUMMYFUNCTION("""COMPUTED_VALUE"""),2.0)</f>
        <v>2</v>
      </c>
    </row>
    <row r="902">
      <c r="A902" s="33">
        <f>IFERROR(__xludf.DUMMYFUNCTION("""COMPUTED_VALUE"""),46118.94306069445)</f>
        <v>46118.94306</v>
      </c>
      <c r="B902" s="29" t="str">
        <f>IFERROR(__xludf.DUMMYFUNCTION("""COMPUTED_VALUE"""),"Actively restoring my foreskin / I consider myself restored")</f>
        <v>Actively restoring my foreskin / I consider myself restored</v>
      </c>
      <c r="C902" s="29" t="str">
        <f>IFERROR(__xludf.DUMMYFUNCTION("""COMPUTED_VALUE"""),"Ease of Orgasm")</f>
        <v>Ease of Orgasm</v>
      </c>
      <c r="D902" s="29" t="str">
        <f>IFERROR(__xludf.DUMMYFUNCTION("""COMPUTED_VALUE"""),"2")</f>
        <v>2</v>
      </c>
      <c r="E902" s="29">
        <f>IFERROR(__xludf.DUMMYFUNCTION("""COMPUTED_VALUE"""),2.0)</f>
        <v>2</v>
      </c>
    </row>
    <row r="903">
      <c r="A903" s="33">
        <f>IFERROR(__xludf.DUMMYFUNCTION("""COMPUTED_VALUE"""),46119.19832857639)</f>
        <v>46119.19833</v>
      </c>
      <c r="B903" s="29" t="str">
        <f>IFERROR(__xludf.DUMMYFUNCTION("""COMPUTED_VALUE"""),"Circumcised")</f>
        <v>Circumcised</v>
      </c>
      <c r="C903" s="29" t="str">
        <f>IFERROR(__xludf.DUMMYFUNCTION("""COMPUTED_VALUE"""),"Ease of Orgasm")</f>
        <v>Ease of Orgasm</v>
      </c>
      <c r="D903" s="29" t="str">
        <f>IFERROR(__xludf.DUMMYFUNCTION("""COMPUTED_VALUE"""),"3 (Medium/Average)")</f>
        <v>3 (Medium/Average)</v>
      </c>
      <c r="E903" s="29">
        <f>IFERROR(__xludf.DUMMYFUNCTION("""COMPUTED_VALUE"""),3.0)</f>
        <v>3</v>
      </c>
    </row>
    <row r="904">
      <c r="A904" s="33">
        <f>IFERROR(__xludf.DUMMYFUNCTION("""COMPUTED_VALUE"""),46119.33508711806)</f>
        <v>46119.33509</v>
      </c>
      <c r="B904" s="29" t="str">
        <f>IFERROR(__xludf.DUMMYFUNCTION("""COMPUTED_VALUE"""),"Circumcised")</f>
        <v>Circumcised</v>
      </c>
      <c r="C904" s="29" t="str">
        <f>IFERROR(__xludf.DUMMYFUNCTION("""COMPUTED_VALUE"""),"Ease of Orgasm")</f>
        <v>Ease of Orgasm</v>
      </c>
      <c r="D904" s="29" t="str">
        <f>IFERROR(__xludf.DUMMYFUNCTION("""COMPUTED_VALUE"""),"4")</f>
        <v>4</v>
      </c>
      <c r="E904" s="29">
        <f>IFERROR(__xludf.DUMMYFUNCTION("""COMPUTED_VALUE"""),4.0)</f>
        <v>4</v>
      </c>
    </row>
    <row r="905">
      <c r="A905" s="33">
        <f>IFERROR(__xludf.DUMMYFUNCTION("""COMPUTED_VALUE"""),46119.630449895834)</f>
        <v>46119.63045</v>
      </c>
      <c r="B905" s="29" t="str">
        <f>IFERROR(__xludf.DUMMYFUNCTION("""COMPUTED_VALUE"""),"Actively restoring my foreskin / I consider myself restored")</f>
        <v>Actively restoring my foreskin / I consider myself restored</v>
      </c>
      <c r="C905" s="29" t="str">
        <f>IFERROR(__xludf.DUMMYFUNCTION("""COMPUTED_VALUE"""),"Ease of Orgasm")</f>
        <v>Ease of Orgasm</v>
      </c>
      <c r="D905" s="29" t="str">
        <f>IFERROR(__xludf.DUMMYFUNCTION("""COMPUTED_VALUE"""),"2")</f>
        <v>2</v>
      </c>
      <c r="E905" s="29">
        <f>IFERROR(__xludf.DUMMYFUNCTION("""COMPUTED_VALUE"""),2.0)</f>
        <v>2</v>
      </c>
    </row>
    <row r="906">
      <c r="A906" s="33">
        <f>IFERROR(__xludf.DUMMYFUNCTION("""COMPUTED_VALUE"""),46119.998828379634)</f>
        <v>46119.99883</v>
      </c>
      <c r="B906" s="29" t="str">
        <f>IFERROR(__xludf.DUMMYFUNCTION("""COMPUTED_VALUE"""),"Intact (Never circumcised)")</f>
        <v>Intact (Never circumcised)</v>
      </c>
      <c r="C906" s="29" t="str">
        <f>IFERROR(__xludf.DUMMYFUNCTION("""COMPUTED_VALUE"""),"Ease of Orgasm")</f>
        <v>Ease of Orgasm</v>
      </c>
      <c r="D906" s="29" t="str">
        <f>IFERROR(__xludf.DUMMYFUNCTION("""COMPUTED_VALUE"""),"5 (High/Excellent)")</f>
        <v>5 (High/Excellent)</v>
      </c>
      <c r="E906" s="29">
        <f>IFERROR(__xludf.DUMMYFUNCTION("""COMPUTED_VALUE"""),5.0)</f>
        <v>5</v>
      </c>
    </row>
    <row r="907">
      <c r="A907" s="33">
        <f>IFERROR(__xludf.DUMMYFUNCTION("""COMPUTED_VALUE"""),46120.45189376157)</f>
        <v>46120.45189</v>
      </c>
      <c r="B907" s="29" t="str">
        <f>IFERROR(__xludf.DUMMYFUNCTION("""COMPUTED_VALUE"""),"Circumcised")</f>
        <v>Circumcised</v>
      </c>
      <c r="C907" s="29" t="str">
        <f>IFERROR(__xludf.DUMMYFUNCTION("""COMPUTED_VALUE"""),"Ease of Orgasm")</f>
        <v>Ease of Orgasm</v>
      </c>
      <c r="D907" s="29" t="str">
        <f>IFERROR(__xludf.DUMMYFUNCTION("""COMPUTED_VALUE"""),"5 (High/Excellent)")</f>
        <v>5 (High/Excellent)</v>
      </c>
      <c r="E907" s="29">
        <f>IFERROR(__xludf.DUMMYFUNCTION("""COMPUTED_VALUE"""),5.0)</f>
        <v>5</v>
      </c>
    </row>
    <row r="908">
      <c r="A908" s="33">
        <f>IFERROR(__xludf.DUMMYFUNCTION("""COMPUTED_VALUE"""),46121.04974232639)</f>
        <v>46121.04974</v>
      </c>
      <c r="B908" s="29" t="str">
        <f>IFERROR(__xludf.DUMMYFUNCTION("""COMPUTED_VALUE"""),"Circumcised")</f>
        <v>Circumcised</v>
      </c>
      <c r="C908" s="29" t="str">
        <f>IFERROR(__xludf.DUMMYFUNCTION("""COMPUTED_VALUE"""),"Ease of Orgasm")</f>
        <v>Ease of Orgasm</v>
      </c>
      <c r="D908" s="29" t="str">
        <f>IFERROR(__xludf.DUMMYFUNCTION("""COMPUTED_VALUE"""),"4")</f>
        <v>4</v>
      </c>
      <c r="E908" s="29">
        <f>IFERROR(__xludf.DUMMYFUNCTION("""COMPUTED_VALUE"""),4.0)</f>
        <v>4</v>
      </c>
    </row>
    <row r="909">
      <c r="A909" s="33">
        <f>IFERROR(__xludf.DUMMYFUNCTION("""COMPUTED_VALUE"""),46121.27570546296)</f>
        <v>46121.27571</v>
      </c>
      <c r="B909" s="29" t="str">
        <f>IFERROR(__xludf.DUMMYFUNCTION("""COMPUTED_VALUE"""),"Actively restoring my foreskin / I consider myself restored")</f>
        <v>Actively restoring my foreskin / I consider myself restored</v>
      </c>
      <c r="C909" s="29" t="str">
        <f>IFERROR(__xludf.DUMMYFUNCTION("""COMPUTED_VALUE"""),"Ease of Orgasm")</f>
        <v>Ease of Orgasm</v>
      </c>
      <c r="D909" s="29" t="str">
        <f>IFERROR(__xludf.DUMMYFUNCTION("""COMPUTED_VALUE"""),"3 (Medium/Average)")</f>
        <v>3 (Medium/Average)</v>
      </c>
      <c r="E909" s="29">
        <f>IFERROR(__xludf.DUMMYFUNCTION("""COMPUTED_VALUE"""),3.0)</f>
        <v>3</v>
      </c>
    </row>
    <row r="910">
      <c r="A910" s="33">
        <f>IFERROR(__xludf.DUMMYFUNCTION("""COMPUTED_VALUE"""),46121.93295483796)</f>
        <v>46121.93295</v>
      </c>
      <c r="B910" s="29" t="str">
        <f>IFERROR(__xludf.DUMMYFUNCTION("""COMPUTED_VALUE"""),"Circumcised")</f>
        <v>Circumcised</v>
      </c>
      <c r="C910" s="29" t="str">
        <f>IFERROR(__xludf.DUMMYFUNCTION("""COMPUTED_VALUE"""),"Ease of Orgasm")</f>
        <v>Ease of Orgasm</v>
      </c>
      <c r="D910" s="29" t="str">
        <f>IFERROR(__xludf.DUMMYFUNCTION("""COMPUTED_VALUE"""),"5 (High/Excellent)")</f>
        <v>5 (High/Excellent)</v>
      </c>
      <c r="E910" s="29">
        <f>IFERROR(__xludf.DUMMYFUNCTION("""COMPUTED_VALUE"""),5.0)</f>
        <v>5</v>
      </c>
    </row>
    <row r="911">
      <c r="A911" s="33">
        <f>IFERROR(__xludf.DUMMYFUNCTION("""COMPUTED_VALUE"""),46122.46081304398)</f>
        <v>46122.46081</v>
      </c>
      <c r="B911" s="29" t="str">
        <f>IFERROR(__xludf.DUMMYFUNCTION("""COMPUTED_VALUE"""),"Circumcised")</f>
        <v>Circumcised</v>
      </c>
      <c r="C911" s="29" t="str">
        <f>IFERROR(__xludf.DUMMYFUNCTION("""COMPUTED_VALUE"""),"Ease of Orgasm")</f>
        <v>Ease of Orgasm</v>
      </c>
      <c r="D911" s="29" t="str">
        <f>IFERROR(__xludf.DUMMYFUNCTION("""COMPUTED_VALUE"""),"4")</f>
        <v>4</v>
      </c>
      <c r="E911" s="29">
        <f>IFERROR(__xludf.DUMMYFUNCTION("""COMPUTED_VALUE"""),4.0)</f>
        <v>4</v>
      </c>
    </row>
    <row r="912">
      <c r="A912" s="33">
        <f>IFERROR(__xludf.DUMMYFUNCTION("""COMPUTED_VALUE"""),46122.94345912037)</f>
        <v>46122.94346</v>
      </c>
      <c r="B912" s="29" t="str">
        <f>IFERROR(__xludf.DUMMYFUNCTION("""COMPUTED_VALUE"""),"Circumcised")</f>
        <v>Circumcised</v>
      </c>
      <c r="C912" s="29" t="str">
        <f>IFERROR(__xludf.DUMMYFUNCTION("""COMPUTED_VALUE"""),"Ease of Orgasm")</f>
        <v>Ease of Orgasm</v>
      </c>
      <c r="D912" s="29" t="str">
        <f>IFERROR(__xludf.DUMMYFUNCTION("""COMPUTED_VALUE"""),"1 (Low/Poor)")</f>
        <v>1 (Low/Poor)</v>
      </c>
      <c r="E912" s="29">
        <f>IFERROR(__xludf.DUMMYFUNCTION("""COMPUTED_VALUE"""),1.0)</f>
        <v>1</v>
      </c>
    </row>
    <row r="913">
      <c r="A913" s="33">
        <f>IFERROR(__xludf.DUMMYFUNCTION("""COMPUTED_VALUE"""),46123.0318577199)</f>
        <v>46123.03186</v>
      </c>
      <c r="B913" s="29" t="str">
        <f>IFERROR(__xludf.DUMMYFUNCTION("""COMPUTED_VALUE"""),"Intact (Never circumcised)")</f>
        <v>Intact (Never circumcised)</v>
      </c>
      <c r="C913" s="29" t="str">
        <f>IFERROR(__xludf.DUMMYFUNCTION("""COMPUTED_VALUE"""),"Ease of Orgasm")</f>
        <v>Ease of Orgasm</v>
      </c>
      <c r="D913" s="29" t="str">
        <f>IFERROR(__xludf.DUMMYFUNCTION("""COMPUTED_VALUE"""),"5 (High/Excellent)")</f>
        <v>5 (High/Excellent)</v>
      </c>
      <c r="E913" s="29">
        <f>IFERROR(__xludf.DUMMYFUNCTION("""COMPUTED_VALUE"""),5.0)</f>
        <v>5</v>
      </c>
    </row>
    <row r="914">
      <c r="A914" s="33">
        <f>IFERROR(__xludf.DUMMYFUNCTION("""COMPUTED_VALUE"""),46123.75352236111)</f>
        <v>46123.75352</v>
      </c>
      <c r="B914" s="29" t="str">
        <f>IFERROR(__xludf.DUMMYFUNCTION("""COMPUTED_VALUE"""),"Actively restoring my foreskin / I consider myself restored")</f>
        <v>Actively restoring my foreskin / I consider myself restored</v>
      </c>
      <c r="C914" s="29" t="str">
        <f>IFERROR(__xludf.DUMMYFUNCTION("""COMPUTED_VALUE"""),"Ease of Orgasm")</f>
        <v>Ease of Orgasm</v>
      </c>
      <c r="D914" s="29" t="str">
        <f>IFERROR(__xludf.DUMMYFUNCTION("""COMPUTED_VALUE"""),"2")</f>
        <v>2</v>
      </c>
      <c r="E914" s="29">
        <f>IFERROR(__xludf.DUMMYFUNCTION("""COMPUTED_VALUE"""),2.0)</f>
        <v>2</v>
      </c>
    </row>
    <row r="915">
      <c r="A915" s="33">
        <f>IFERROR(__xludf.DUMMYFUNCTION("""COMPUTED_VALUE"""),46124.27076814815)</f>
        <v>46124.27077</v>
      </c>
      <c r="B915" s="29" t="str">
        <f>IFERROR(__xludf.DUMMYFUNCTION("""COMPUTED_VALUE"""),"Circumcised")</f>
        <v>Circumcised</v>
      </c>
      <c r="C915" s="29" t="str">
        <f>IFERROR(__xludf.DUMMYFUNCTION("""COMPUTED_VALUE"""),"Ease of Orgasm")</f>
        <v>Ease of Orgasm</v>
      </c>
      <c r="D915" s="29" t="str">
        <f>IFERROR(__xludf.DUMMYFUNCTION("""COMPUTED_VALUE"""),"5 (High/Excellent)")</f>
        <v>5 (High/Excellent)</v>
      </c>
      <c r="E915" s="29">
        <f>IFERROR(__xludf.DUMMYFUNCTION("""COMPUTED_VALUE"""),5.0)</f>
        <v>5</v>
      </c>
    </row>
    <row r="916">
      <c r="A916" s="33">
        <f>IFERROR(__xludf.DUMMYFUNCTION("""COMPUTED_VALUE"""),46124.78037094907)</f>
        <v>46124.78037</v>
      </c>
      <c r="B916" s="29" t="str">
        <f>IFERROR(__xludf.DUMMYFUNCTION("""COMPUTED_VALUE"""),"Circumcised")</f>
        <v>Circumcised</v>
      </c>
      <c r="C916" s="29" t="str">
        <f>IFERROR(__xludf.DUMMYFUNCTION("""COMPUTED_VALUE"""),"Ease of Orgasm")</f>
        <v>Ease of Orgasm</v>
      </c>
      <c r="D916" s="29" t="str">
        <f>IFERROR(__xludf.DUMMYFUNCTION("""COMPUTED_VALUE"""),"3 (Medium/Average)")</f>
        <v>3 (Medium/Average)</v>
      </c>
      <c r="E916" s="29">
        <f>IFERROR(__xludf.DUMMYFUNCTION("""COMPUTED_VALUE"""),3.0)</f>
        <v>3</v>
      </c>
    </row>
    <row r="917">
      <c r="A917" s="33">
        <f>IFERROR(__xludf.DUMMYFUNCTION("""COMPUTED_VALUE"""),46125.61132210649)</f>
        <v>46125.61132</v>
      </c>
      <c r="B917" s="29" t="str">
        <f>IFERROR(__xludf.DUMMYFUNCTION("""COMPUTED_VALUE"""),"Circumcised")</f>
        <v>Circumcised</v>
      </c>
      <c r="C917" s="29" t="str">
        <f>IFERROR(__xludf.DUMMYFUNCTION("""COMPUTED_VALUE"""),"Ease of Orgasm")</f>
        <v>Ease of Orgasm</v>
      </c>
      <c r="D917" s="29" t="str">
        <f>IFERROR(__xludf.DUMMYFUNCTION("""COMPUTED_VALUE"""),"5 (High/Excellent)")</f>
        <v>5 (High/Excellent)</v>
      </c>
      <c r="E917" s="29">
        <f>IFERROR(__xludf.DUMMYFUNCTION("""COMPUTED_VALUE"""),5.0)</f>
        <v>5</v>
      </c>
    </row>
    <row r="918">
      <c r="A918" s="33">
        <f>IFERROR(__xludf.DUMMYFUNCTION("""COMPUTED_VALUE"""),46126.37213568287)</f>
        <v>46126.37214</v>
      </c>
      <c r="B918" s="29" t="str">
        <f>IFERROR(__xludf.DUMMYFUNCTION("""COMPUTED_VALUE"""),"Intact (Never circumcised)")</f>
        <v>Intact (Never circumcised)</v>
      </c>
      <c r="C918" s="29" t="str">
        <f>IFERROR(__xludf.DUMMYFUNCTION("""COMPUTED_VALUE"""),"Ease of Orgasm")</f>
        <v>Ease of Orgasm</v>
      </c>
      <c r="D918" s="29" t="str">
        <f>IFERROR(__xludf.DUMMYFUNCTION("""COMPUTED_VALUE"""),"4")</f>
        <v>4</v>
      </c>
      <c r="E918" s="29">
        <f>IFERROR(__xludf.DUMMYFUNCTION("""COMPUTED_VALUE"""),4.0)</f>
        <v>4</v>
      </c>
    </row>
    <row r="919">
      <c r="A919" s="33">
        <f>IFERROR(__xludf.DUMMYFUNCTION("""COMPUTED_VALUE"""),46126.609716817125)</f>
        <v>46126.60972</v>
      </c>
      <c r="B919" s="29" t="str">
        <f>IFERROR(__xludf.DUMMYFUNCTION("""COMPUTED_VALUE"""),"Intact (Never circumcised)")</f>
        <v>Intact (Never circumcised)</v>
      </c>
      <c r="C919" s="29" t="str">
        <f>IFERROR(__xludf.DUMMYFUNCTION("""COMPUTED_VALUE"""),"Ease of Orgasm")</f>
        <v>Ease of Orgasm</v>
      </c>
      <c r="D919" s="29" t="str">
        <f>IFERROR(__xludf.DUMMYFUNCTION("""COMPUTED_VALUE"""),"5 (High/Excellent)")</f>
        <v>5 (High/Excellent)</v>
      </c>
      <c r="E919" s="29">
        <f>IFERROR(__xludf.DUMMYFUNCTION("""COMPUTED_VALUE"""),5.0)</f>
        <v>5</v>
      </c>
    </row>
    <row r="920">
      <c r="A920" s="33">
        <f>IFERROR(__xludf.DUMMYFUNCTION("""COMPUTED_VALUE"""),46129.64641299768)</f>
        <v>46129.64641</v>
      </c>
      <c r="B920" s="29" t="str">
        <f>IFERROR(__xludf.DUMMYFUNCTION("""COMPUTED_VALUE"""),"Circumcised")</f>
        <v>Circumcised</v>
      </c>
      <c r="C920" s="29" t="str">
        <f>IFERROR(__xludf.DUMMYFUNCTION("""COMPUTED_VALUE"""),"Ease of Orgasm")</f>
        <v>Ease of Orgasm</v>
      </c>
      <c r="D920" s="29" t="str">
        <f>IFERROR(__xludf.DUMMYFUNCTION("""COMPUTED_VALUE"""),"4")</f>
        <v>4</v>
      </c>
      <c r="E920" s="29">
        <f>IFERROR(__xludf.DUMMYFUNCTION("""COMPUTED_VALUE"""),4.0)</f>
        <v>4</v>
      </c>
    </row>
    <row r="921">
      <c r="A921" s="33">
        <f>IFERROR(__xludf.DUMMYFUNCTION("""COMPUTED_VALUE"""),46131.52759640047)</f>
        <v>46131.5276</v>
      </c>
      <c r="B921" s="29" t="str">
        <f>IFERROR(__xludf.DUMMYFUNCTION("""COMPUTED_VALUE"""),"Circumcised")</f>
        <v>Circumcised</v>
      </c>
      <c r="C921" s="29" t="str">
        <f>IFERROR(__xludf.DUMMYFUNCTION("""COMPUTED_VALUE"""),"Ease of Orgasm")</f>
        <v>Ease of Orgasm</v>
      </c>
      <c r="D921" s="29" t="str">
        <f>IFERROR(__xludf.DUMMYFUNCTION("""COMPUTED_VALUE"""),"1 (Low/Poor)")</f>
        <v>1 (Low/Poor)</v>
      </c>
      <c r="E921" s="29">
        <f>IFERROR(__xludf.DUMMYFUNCTION("""COMPUTED_VALUE"""),1.0)</f>
        <v>1</v>
      </c>
    </row>
    <row r="922">
      <c r="A922" s="33">
        <f>IFERROR(__xludf.DUMMYFUNCTION("""COMPUTED_VALUE"""),46132.226501157405)</f>
        <v>46132.2265</v>
      </c>
      <c r="B922" s="29" t="str">
        <f>IFERROR(__xludf.DUMMYFUNCTION("""COMPUTED_VALUE"""),"Intact (Never circumcised)")</f>
        <v>Intact (Never circumcised)</v>
      </c>
      <c r="C922" s="29" t="str">
        <f>IFERROR(__xludf.DUMMYFUNCTION("""COMPUTED_VALUE"""),"Ease of Orgasm")</f>
        <v>Ease of Orgasm</v>
      </c>
      <c r="D922" s="29" t="str">
        <f>IFERROR(__xludf.DUMMYFUNCTION("""COMPUTED_VALUE"""),"5 (High/Excellent)")</f>
        <v>5 (High/Excellent)</v>
      </c>
      <c r="E922" s="29">
        <f>IFERROR(__xludf.DUMMYFUNCTION("""COMPUTED_VALUE"""),5.0)</f>
        <v>5</v>
      </c>
    </row>
    <row r="923">
      <c r="A923" s="33">
        <f>IFERROR(__xludf.DUMMYFUNCTION("""COMPUTED_VALUE"""),46133.03297357639)</f>
        <v>46133.03297</v>
      </c>
      <c r="B923" s="29" t="str">
        <f>IFERROR(__xludf.DUMMYFUNCTION("""COMPUTED_VALUE"""),"Intact (Never circumcised)")</f>
        <v>Intact (Never circumcised)</v>
      </c>
      <c r="C923" s="29" t="str">
        <f>IFERROR(__xludf.DUMMYFUNCTION("""COMPUTED_VALUE"""),"Ease of Orgasm")</f>
        <v>Ease of Orgasm</v>
      </c>
      <c r="D923" s="29" t="str">
        <f>IFERROR(__xludf.DUMMYFUNCTION("""COMPUTED_VALUE"""),"3 (Medium/Average)")</f>
        <v>3 (Medium/Average)</v>
      </c>
      <c r="E923" s="29">
        <f>IFERROR(__xludf.DUMMYFUNCTION("""COMPUTED_VALUE"""),3.0)</f>
        <v>3</v>
      </c>
    </row>
    <row r="924">
      <c r="A924" s="33">
        <f>IFERROR(__xludf.DUMMYFUNCTION("""COMPUTED_VALUE"""),46133.186501759265)</f>
        <v>46133.1865</v>
      </c>
      <c r="B924" s="29" t="str">
        <f>IFERROR(__xludf.DUMMYFUNCTION("""COMPUTED_VALUE"""),"Circumcised")</f>
        <v>Circumcised</v>
      </c>
      <c r="C924" s="29" t="str">
        <f>IFERROR(__xludf.DUMMYFUNCTION("""COMPUTED_VALUE"""),"Ease of Orgasm")</f>
        <v>Ease of Orgasm</v>
      </c>
      <c r="D924" s="29" t="str">
        <f>IFERROR(__xludf.DUMMYFUNCTION("""COMPUTED_VALUE"""),"2")</f>
        <v>2</v>
      </c>
      <c r="E924" s="29">
        <f>IFERROR(__xludf.DUMMYFUNCTION("""COMPUTED_VALUE"""),2.0)</f>
        <v>2</v>
      </c>
    </row>
    <row r="925">
      <c r="A925" s="33">
        <f>IFERROR(__xludf.DUMMYFUNCTION("""COMPUTED_VALUE"""),46134.22396824074)</f>
        <v>46134.22397</v>
      </c>
      <c r="B925" s="29" t="str">
        <f>IFERROR(__xludf.DUMMYFUNCTION("""COMPUTED_VALUE"""),"Circumcised")</f>
        <v>Circumcised</v>
      </c>
      <c r="C925" s="29" t="str">
        <f>IFERROR(__xludf.DUMMYFUNCTION("""COMPUTED_VALUE"""),"Ease of Orgasm")</f>
        <v>Ease of Orgasm</v>
      </c>
      <c r="D925" s="29" t="str">
        <f>IFERROR(__xludf.DUMMYFUNCTION("""COMPUTED_VALUE"""),"4")</f>
        <v>4</v>
      </c>
      <c r="E925" s="29">
        <f>IFERROR(__xludf.DUMMYFUNCTION("""COMPUTED_VALUE"""),4.0)</f>
        <v>4</v>
      </c>
    </row>
    <row r="926">
      <c r="A926" s="33">
        <f>IFERROR(__xludf.DUMMYFUNCTION("""COMPUTED_VALUE"""),46139.22647099537)</f>
        <v>46139.22647</v>
      </c>
      <c r="B926" s="29" t="str">
        <f>IFERROR(__xludf.DUMMYFUNCTION("""COMPUTED_VALUE"""),"Circumcised")</f>
        <v>Circumcised</v>
      </c>
      <c r="C926" s="29" t="str">
        <f>IFERROR(__xludf.DUMMYFUNCTION("""COMPUTED_VALUE"""),"Ease of Orgasm")</f>
        <v>Ease of Orgasm</v>
      </c>
      <c r="D926" s="29" t="str">
        <f>IFERROR(__xludf.DUMMYFUNCTION("""COMPUTED_VALUE"""),"4")</f>
        <v>4</v>
      </c>
      <c r="E926" s="29">
        <f>IFERROR(__xludf.DUMMYFUNCTION("""COMPUTED_VALUE"""),4.0)</f>
        <v>4</v>
      </c>
    </row>
    <row r="927">
      <c r="A927" s="33">
        <f>IFERROR(__xludf.DUMMYFUNCTION("""COMPUTED_VALUE"""),46143.65511586805)</f>
        <v>46143.65512</v>
      </c>
      <c r="B927" s="29" t="str">
        <f>IFERROR(__xludf.DUMMYFUNCTION("""COMPUTED_VALUE"""),"Circumcised")</f>
        <v>Circumcised</v>
      </c>
      <c r="C927" s="29" t="str">
        <f>IFERROR(__xludf.DUMMYFUNCTION("""COMPUTED_VALUE"""),"Ease of Orgasm")</f>
        <v>Ease of Orgasm</v>
      </c>
      <c r="D927" s="29" t="str">
        <f>IFERROR(__xludf.DUMMYFUNCTION("""COMPUTED_VALUE"""),"2")</f>
        <v>2</v>
      </c>
      <c r="E927" s="29">
        <f>IFERROR(__xludf.DUMMYFUNCTION("""COMPUTED_VALUE"""),2.0)</f>
        <v>2</v>
      </c>
    </row>
    <row r="928">
      <c r="A928" s="33">
        <f>IFERROR(__xludf.DUMMYFUNCTION("""COMPUTED_VALUE"""),46146.244808854164)</f>
        <v>46146.24481</v>
      </c>
      <c r="B928" s="29" t="str">
        <f>IFERROR(__xludf.DUMMYFUNCTION("""COMPUTED_VALUE"""),"Circumcised")</f>
        <v>Circumcised</v>
      </c>
      <c r="C928" s="29" t="str">
        <f>IFERROR(__xludf.DUMMYFUNCTION("""COMPUTED_VALUE"""),"Ease of Orgasm")</f>
        <v>Ease of Orgasm</v>
      </c>
      <c r="D928" s="29" t="str">
        <f>IFERROR(__xludf.DUMMYFUNCTION("""COMPUTED_VALUE"""),"1 (Low/Poor)")</f>
        <v>1 (Low/Poor)</v>
      </c>
      <c r="E928" s="29">
        <f>IFERROR(__xludf.DUMMYFUNCTION("""COMPUTED_VALUE"""),1.0)</f>
        <v>1</v>
      </c>
    </row>
    <row r="929">
      <c r="A929" s="33">
        <f>IFERROR(__xludf.DUMMYFUNCTION("""COMPUTED_VALUE"""),46150.09750815973)</f>
        <v>46150.09751</v>
      </c>
      <c r="B929" s="29" t="str">
        <f>IFERROR(__xludf.DUMMYFUNCTION("""COMPUTED_VALUE"""),"Circumcised")</f>
        <v>Circumcised</v>
      </c>
      <c r="C929" s="29" t="str">
        <f>IFERROR(__xludf.DUMMYFUNCTION("""COMPUTED_VALUE"""),"Ease of Orgasm")</f>
        <v>Ease of Orgasm</v>
      </c>
      <c r="D929" s="29" t="str">
        <f>IFERROR(__xludf.DUMMYFUNCTION("""COMPUTED_VALUE"""),"3 (Medium/Average)")</f>
        <v>3 (Medium/Average)</v>
      </c>
      <c r="E929" s="29">
        <f>IFERROR(__xludf.DUMMYFUNCTION("""COMPUTED_VALUE"""),3.0)</f>
        <v>3</v>
      </c>
    </row>
    <row r="930">
      <c r="A930" s="33">
        <f>IFERROR(__xludf.DUMMYFUNCTION("""COMPUTED_VALUE"""),46159.019054930555)</f>
        <v>46159.01905</v>
      </c>
      <c r="B930" s="29" t="str">
        <f>IFERROR(__xludf.DUMMYFUNCTION("""COMPUTED_VALUE"""),"Circumcised")</f>
        <v>Circumcised</v>
      </c>
      <c r="C930" s="29" t="str">
        <f>IFERROR(__xludf.DUMMYFUNCTION("""COMPUTED_VALUE"""),"Ease of Orgasm")</f>
        <v>Ease of Orgasm</v>
      </c>
      <c r="D930" s="29" t="str">
        <f>IFERROR(__xludf.DUMMYFUNCTION("""COMPUTED_VALUE"""),"4")</f>
        <v>4</v>
      </c>
      <c r="E930" s="29">
        <f>IFERROR(__xludf.DUMMYFUNCTION("""COMPUTED_VALUE"""),4.0)</f>
        <v>4</v>
      </c>
    </row>
    <row r="931">
      <c r="A931" s="33">
        <f>IFERROR(__xludf.DUMMYFUNCTION("""COMPUTED_VALUE"""),46163.04970236112)</f>
        <v>46163.0497</v>
      </c>
      <c r="B931" s="29" t="str">
        <f>IFERROR(__xludf.DUMMYFUNCTION("""COMPUTED_VALUE"""),"Circumcised")</f>
        <v>Circumcised</v>
      </c>
      <c r="C931" s="29" t="str">
        <f>IFERROR(__xludf.DUMMYFUNCTION("""COMPUTED_VALUE"""),"Ease of Orgasm")</f>
        <v>Ease of Orgasm</v>
      </c>
      <c r="D931" s="29" t="str">
        <f>IFERROR(__xludf.DUMMYFUNCTION("""COMPUTED_VALUE"""),"3 (Medium/Average)")</f>
        <v>3 (Medium/Average)</v>
      </c>
      <c r="E931" s="29">
        <f>IFERROR(__xludf.DUMMYFUNCTION("""COMPUTED_VALUE"""),3.0)</f>
        <v>3</v>
      </c>
    </row>
    <row r="932">
      <c r="A932" s="33">
        <f>IFERROR(__xludf.DUMMYFUNCTION("""COMPUTED_VALUE"""),46172.316871793984)</f>
        <v>46172.31687</v>
      </c>
      <c r="B932" s="29" t="str">
        <f>IFERROR(__xludf.DUMMYFUNCTION("""COMPUTED_VALUE"""),"Intact (Never circumcised)")</f>
        <v>Intact (Never circumcised)</v>
      </c>
      <c r="C932" s="29" t="str">
        <f>IFERROR(__xludf.DUMMYFUNCTION("""COMPUTED_VALUE"""),"Ease of Orgasm")</f>
        <v>Ease of Orgasm</v>
      </c>
      <c r="D932" s="29" t="str">
        <f>IFERROR(__xludf.DUMMYFUNCTION("""COMPUTED_VALUE"""),"5 (High/Excellent)")</f>
        <v>5 (High/Excellent)</v>
      </c>
      <c r="E932" s="29">
        <f>IFERROR(__xludf.DUMMYFUNCTION("""COMPUTED_VALUE"""),5.0)</f>
        <v>5</v>
      </c>
    </row>
    <row r="933">
      <c r="A933" s="33">
        <f>IFERROR(__xludf.DUMMYFUNCTION("""COMPUTED_VALUE"""),46176.16395915509)</f>
        <v>46176.16396</v>
      </c>
      <c r="B933" s="29" t="str">
        <f>IFERROR(__xludf.DUMMYFUNCTION("""COMPUTED_VALUE"""),"Circumcised")</f>
        <v>Circumcised</v>
      </c>
      <c r="C933" s="29" t="str">
        <f>IFERROR(__xludf.DUMMYFUNCTION("""COMPUTED_VALUE"""),"Ease of Orgasm")</f>
        <v>Ease of Orgasm</v>
      </c>
      <c r="D933" s="29" t="str">
        <f>IFERROR(__xludf.DUMMYFUNCTION("""COMPUTED_VALUE"""),"5 (High/Excellent)")</f>
        <v>5 (High/Excellent)</v>
      </c>
      <c r="E933" s="29">
        <f>IFERROR(__xludf.DUMMYFUNCTION("""COMPUTED_VALUE"""),5.0)</f>
        <v>5</v>
      </c>
    </row>
    <row r="934">
      <c r="A934" s="33">
        <f>IFERROR(__xludf.DUMMYFUNCTION("""COMPUTED_VALUE"""),46179.82143106481)</f>
        <v>46179.82143</v>
      </c>
      <c r="B934" s="29" t="str">
        <f>IFERROR(__xludf.DUMMYFUNCTION("""COMPUTED_VALUE"""),"Intact (Never circumcised)")</f>
        <v>Intact (Never circumcised)</v>
      </c>
      <c r="C934" s="29" t="str">
        <f>IFERROR(__xludf.DUMMYFUNCTION("""COMPUTED_VALUE"""),"Ease of Orgasm")</f>
        <v>Ease of Orgasm</v>
      </c>
      <c r="D934" s="29" t="str">
        <f>IFERROR(__xludf.DUMMYFUNCTION("""COMPUTED_VALUE"""),"4")</f>
        <v>4</v>
      </c>
      <c r="E934" s="29">
        <f>IFERROR(__xludf.DUMMYFUNCTION("""COMPUTED_VALUE"""),4.0)</f>
        <v>4</v>
      </c>
    </row>
    <row r="935">
      <c r="A935" s="33">
        <f>IFERROR(__xludf.DUMMYFUNCTION("""COMPUTED_VALUE"""),46181.34934444445)</f>
        <v>46181.34934</v>
      </c>
      <c r="B935" s="29" t="str">
        <f>IFERROR(__xludf.DUMMYFUNCTION("""COMPUTED_VALUE"""),"Intact (Never circumcised)")</f>
        <v>Intact (Never circumcised)</v>
      </c>
      <c r="C935" s="29" t="str">
        <f>IFERROR(__xludf.DUMMYFUNCTION("""COMPUTED_VALUE"""),"Ease of Orgasm")</f>
        <v>Ease of Orgasm</v>
      </c>
      <c r="D935" s="29" t="str">
        <f>IFERROR(__xludf.DUMMYFUNCTION("""COMPUTED_VALUE"""),"4")</f>
        <v>4</v>
      </c>
      <c r="E935" s="29">
        <f>IFERROR(__xludf.DUMMYFUNCTION("""COMPUTED_VALUE"""),4.0)</f>
        <v>4</v>
      </c>
    </row>
    <row r="936">
      <c r="A936" s="33">
        <f>IFERROR(__xludf.DUMMYFUNCTION("""COMPUTED_VALUE"""),46181.86271541667)</f>
        <v>46181.86272</v>
      </c>
      <c r="B936" s="29" t="str">
        <f>IFERROR(__xludf.DUMMYFUNCTION("""COMPUTED_VALUE"""),"Circumcised")</f>
        <v>Circumcised</v>
      </c>
      <c r="C936" s="29" t="str">
        <f>IFERROR(__xludf.DUMMYFUNCTION("""COMPUTED_VALUE"""),"Ease of Orgasm")</f>
        <v>Ease of Orgasm</v>
      </c>
      <c r="D936" s="29" t="str">
        <f>IFERROR(__xludf.DUMMYFUNCTION("""COMPUTED_VALUE"""),"5 (High/Excellent)")</f>
        <v>5 (High/Excellent)</v>
      </c>
      <c r="E936" s="29">
        <f>IFERROR(__xludf.DUMMYFUNCTION("""COMPUTED_VALUE"""),5.0)</f>
        <v>5</v>
      </c>
    </row>
    <row r="937">
      <c r="A937" s="33">
        <f>IFERROR(__xludf.DUMMYFUNCTION("""COMPUTED_VALUE"""),46182.806710358804)</f>
        <v>46182.80671</v>
      </c>
      <c r="B937" s="29" t="str">
        <f>IFERROR(__xludf.DUMMYFUNCTION("""COMPUTED_VALUE"""),"Intact (Never circumcised)")</f>
        <v>Intact (Never circumcised)</v>
      </c>
      <c r="C937" s="29" t="str">
        <f>IFERROR(__xludf.DUMMYFUNCTION("""COMPUTED_VALUE"""),"Ease of Orgasm")</f>
        <v>Ease of Orgasm</v>
      </c>
      <c r="D937" s="29" t="str">
        <f>IFERROR(__xludf.DUMMYFUNCTION("""COMPUTED_VALUE"""),"2")</f>
        <v>2</v>
      </c>
      <c r="E937" s="29">
        <f>IFERROR(__xludf.DUMMYFUNCTION("""COMPUTED_VALUE"""),2.0)</f>
        <v>2</v>
      </c>
    </row>
    <row r="938">
      <c r="A938" s="33">
        <f>IFERROR(__xludf.DUMMYFUNCTION("""COMPUTED_VALUE"""),46187.824254467596)</f>
        <v>46187.82425</v>
      </c>
      <c r="B938" s="29" t="str">
        <f>IFERROR(__xludf.DUMMYFUNCTION("""COMPUTED_VALUE"""),"Circumcised")</f>
        <v>Circumcised</v>
      </c>
      <c r="C938" s="29" t="str">
        <f>IFERROR(__xludf.DUMMYFUNCTION("""COMPUTED_VALUE"""),"Ease of Orgasm")</f>
        <v>Ease of Orgasm</v>
      </c>
      <c r="D938" s="29" t="str">
        <f>IFERROR(__xludf.DUMMYFUNCTION("""COMPUTED_VALUE"""),"5 (High/Excellent)")</f>
        <v>5 (High/Excellent)</v>
      </c>
      <c r="E938" s="29">
        <f>IFERROR(__xludf.DUMMYFUNCTION("""COMPUTED_VALUE"""),5.0)</f>
        <v>5</v>
      </c>
    </row>
    <row r="939">
      <c r="A939" s="33">
        <f>IFERROR(__xludf.DUMMYFUNCTION("""COMPUTED_VALUE"""),45825.046766956024)</f>
        <v>45825.04677</v>
      </c>
      <c r="B939" s="29" t="str">
        <f>IFERROR(__xludf.DUMMYFUNCTION("""COMPUTED_VALUE"""),"Actively restoring my foreskin / I consider myself restored")</f>
        <v>Actively restoring my foreskin / I consider myself restored</v>
      </c>
      <c r="C939" s="29" t="str">
        <f>IFERROR(__xludf.DUMMYFUNCTION("""COMPUTED_VALUE"""),"Light Touch Sensitivity")</f>
        <v>Light Touch Sensitivity</v>
      </c>
      <c r="D939" s="29" t="str">
        <f>IFERROR(__xludf.DUMMYFUNCTION("""COMPUTED_VALUE"""),"2")</f>
        <v>2</v>
      </c>
      <c r="E939" s="29">
        <f>IFERROR(__xludf.DUMMYFUNCTION("""COMPUTED_VALUE"""),2.0)</f>
        <v>2</v>
      </c>
    </row>
    <row r="940">
      <c r="A940" s="33">
        <f>IFERROR(__xludf.DUMMYFUNCTION("""COMPUTED_VALUE"""),45825.05825144676)</f>
        <v>45825.05825</v>
      </c>
      <c r="B940" s="29" t="str">
        <f>IFERROR(__xludf.DUMMYFUNCTION("""COMPUTED_VALUE"""),"Circumcised")</f>
        <v>Circumcised</v>
      </c>
      <c r="C940" s="29" t="str">
        <f>IFERROR(__xludf.DUMMYFUNCTION("""COMPUTED_VALUE"""),"Light Touch Sensitivity")</f>
        <v>Light Touch Sensitivity</v>
      </c>
      <c r="D940" s="29" t="str">
        <f>IFERROR(__xludf.DUMMYFUNCTION("""COMPUTED_VALUE"""),"1 (Low/Poor)")</f>
        <v>1 (Low/Poor)</v>
      </c>
      <c r="E940" s="29">
        <f>IFERROR(__xludf.DUMMYFUNCTION("""COMPUTED_VALUE"""),1.0)</f>
        <v>1</v>
      </c>
    </row>
    <row r="941">
      <c r="A941" s="33">
        <f>IFERROR(__xludf.DUMMYFUNCTION("""COMPUTED_VALUE"""),45825.103313796295)</f>
        <v>45825.10331</v>
      </c>
      <c r="B941" s="29" t="str">
        <f>IFERROR(__xludf.DUMMYFUNCTION("""COMPUTED_VALUE"""),"Actively restoring my foreskin / I consider myself restored")</f>
        <v>Actively restoring my foreskin / I consider myself restored</v>
      </c>
      <c r="C941" s="29" t="str">
        <f>IFERROR(__xludf.DUMMYFUNCTION("""COMPUTED_VALUE"""),"Light Touch Sensitivity")</f>
        <v>Light Touch Sensitivity</v>
      </c>
      <c r="D941" s="29" t="str">
        <f>IFERROR(__xludf.DUMMYFUNCTION("""COMPUTED_VALUE"""),"1 (Low/Poor)")</f>
        <v>1 (Low/Poor)</v>
      </c>
      <c r="E941" s="29">
        <f>IFERROR(__xludf.DUMMYFUNCTION("""COMPUTED_VALUE"""),1.0)</f>
        <v>1</v>
      </c>
    </row>
    <row r="942">
      <c r="A942" s="33">
        <f>IFERROR(__xludf.DUMMYFUNCTION("""COMPUTED_VALUE"""),45825.223511655095)</f>
        <v>45825.22351</v>
      </c>
      <c r="B942" s="29" t="str">
        <f>IFERROR(__xludf.DUMMYFUNCTION("""COMPUTED_VALUE"""),"Actively restoring my foreskin / I consider myself restored")</f>
        <v>Actively restoring my foreskin / I consider myself restored</v>
      </c>
      <c r="C942" s="29" t="str">
        <f>IFERROR(__xludf.DUMMYFUNCTION("""COMPUTED_VALUE"""),"Light Touch Sensitivity")</f>
        <v>Light Touch Sensitivity</v>
      </c>
      <c r="D942" s="29" t="str">
        <f>IFERROR(__xludf.DUMMYFUNCTION("""COMPUTED_VALUE"""),"3 (Medium/Average)")</f>
        <v>3 (Medium/Average)</v>
      </c>
      <c r="E942" s="29">
        <f>IFERROR(__xludf.DUMMYFUNCTION("""COMPUTED_VALUE"""),3.0)</f>
        <v>3</v>
      </c>
    </row>
    <row r="943">
      <c r="A943" s="33">
        <f>IFERROR(__xludf.DUMMYFUNCTION("""COMPUTED_VALUE"""),45825.25907047454)</f>
        <v>45825.25907</v>
      </c>
      <c r="B943" s="29" t="str">
        <f>IFERROR(__xludf.DUMMYFUNCTION("""COMPUTED_VALUE"""),"Circumcised")</f>
        <v>Circumcised</v>
      </c>
      <c r="C943" s="29" t="str">
        <f>IFERROR(__xludf.DUMMYFUNCTION("""COMPUTED_VALUE"""),"Light Touch Sensitivity")</f>
        <v>Light Touch Sensitivity</v>
      </c>
      <c r="D943" s="29" t="str">
        <f>IFERROR(__xludf.DUMMYFUNCTION("""COMPUTED_VALUE"""),"1 (Low/Poor)")</f>
        <v>1 (Low/Poor)</v>
      </c>
      <c r="E943" s="29">
        <f>IFERROR(__xludf.DUMMYFUNCTION("""COMPUTED_VALUE"""),1.0)</f>
        <v>1</v>
      </c>
    </row>
    <row r="944">
      <c r="A944" s="33">
        <f>IFERROR(__xludf.DUMMYFUNCTION("""COMPUTED_VALUE"""),45825.4346852662)</f>
        <v>45825.43469</v>
      </c>
      <c r="B944" s="29" t="str">
        <f>IFERROR(__xludf.DUMMYFUNCTION("""COMPUTED_VALUE"""),"Actively restoring my foreskin / I consider myself restored")</f>
        <v>Actively restoring my foreskin / I consider myself restored</v>
      </c>
      <c r="C944" s="29" t="str">
        <f>IFERROR(__xludf.DUMMYFUNCTION("""COMPUTED_VALUE"""),"Light Touch Sensitivity")</f>
        <v>Light Touch Sensitivity</v>
      </c>
      <c r="D944" s="29" t="str">
        <f>IFERROR(__xludf.DUMMYFUNCTION("""COMPUTED_VALUE"""),"4")</f>
        <v>4</v>
      </c>
      <c r="E944" s="29">
        <f>IFERROR(__xludf.DUMMYFUNCTION("""COMPUTED_VALUE"""),4.0)</f>
        <v>4</v>
      </c>
    </row>
    <row r="945">
      <c r="A945" s="33">
        <f>IFERROR(__xludf.DUMMYFUNCTION("""COMPUTED_VALUE"""),45826.77728232639)</f>
        <v>45826.77728</v>
      </c>
      <c r="B945" s="29" t="str">
        <f>IFERROR(__xludf.DUMMYFUNCTION("""COMPUTED_VALUE"""),"Actively restoring my foreskin / I consider myself restored")</f>
        <v>Actively restoring my foreskin / I consider myself restored</v>
      </c>
      <c r="C945" s="29" t="str">
        <f>IFERROR(__xludf.DUMMYFUNCTION("""COMPUTED_VALUE"""),"Light Touch Sensitivity")</f>
        <v>Light Touch Sensitivity</v>
      </c>
      <c r="D945" s="29" t="str">
        <f>IFERROR(__xludf.DUMMYFUNCTION("""COMPUTED_VALUE"""),"2")</f>
        <v>2</v>
      </c>
      <c r="E945" s="29">
        <f>IFERROR(__xludf.DUMMYFUNCTION("""COMPUTED_VALUE"""),2.0)</f>
        <v>2</v>
      </c>
    </row>
    <row r="946">
      <c r="A946" s="33">
        <f>IFERROR(__xludf.DUMMYFUNCTION("""COMPUTED_VALUE"""),45826.853455763885)</f>
        <v>45826.85346</v>
      </c>
      <c r="B946" s="29" t="str">
        <f>IFERROR(__xludf.DUMMYFUNCTION("""COMPUTED_VALUE"""),"Circumcised")</f>
        <v>Circumcised</v>
      </c>
      <c r="C946" s="29" t="str">
        <f>IFERROR(__xludf.DUMMYFUNCTION("""COMPUTED_VALUE"""),"Light Touch Sensitivity")</f>
        <v>Light Touch Sensitivity</v>
      </c>
      <c r="D946" s="29" t="str">
        <f>IFERROR(__xludf.DUMMYFUNCTION("""COMPUTED_VALUE"""),"1 (Low/Poor)")</f>
        <v>1 (Low/Poor)</v>
      </c>
      <c r="E946" s="29">
        <f>IFERROR(__xludf.DUMMYFUNCTION("""COMPUTED_VALUE"""),1.0)</f>
        <v>1</v>
      </c>
    </row>
    <row r="947">
      <c r="A947" s="33">
        <f>IFERROR(__xludf.DUMMYFUNCTION("""COMPUTED_VALUE"""),45826.85406060185)</f>
        <v>45826.85406</v>
      </c>
      <c r="B947" s="29" t="str">
        <f>IFERROR(__xludf.DUMMYFUNCTION("""COMPUTED_VALUE"""),"Circumcised")</f>
        <v>Circumcised</v>
      </c>
      <c r="C947" s="29" t="str">
        <f>IFERROR(__xludf.DUMMYFUNCTION("""COMPUTED_VALUE"""),"Light Touch Sensitivity")</f>
        <v>Light Touch Sensitivity</v>
      </c>
      <c r="D947" s="29" t="str">
        <f>IFERROR(__xludf.DUMMYFUNCTION("""COMPUTED_VALUE"""),"1 (Low/Poor)")</f>
        <v>1 (Low/Poor)</v>
      </c>
      <c r="E947" s="29">
        <f>IFERROR(__xludf.DUMMYFUNCTION("""COMPUTED_VALUE"""),1.0)</f>
        <v>1</v>
      </c>
    </row>
    <row r="948">
      <c r="A948" s="33">
        <f>IFERROR(__xludf.DUMMYFUNCTION("""COMPUTED_VALUE"""),45826.879537835644)</f>
        <v>45826.87954</v>
      </c>
      <c r="B948" s="29" t="str">
        <f>IFERROR(__xludf.DUMMYFUNCTION("""COMPUTED_VALUE"""),"Actively restoring my foreskin / I consider myself restored")</f>
        <v>Actively restoring my foreskin / I consider myself restored</v>
      </c>
      <c r="C948" s="29" t="str">
        <f>IFERROR(__xludf.DUMMYFUNCTION("""COMPUTED_VALUE"""),"Light Touch Sensitivity")</f>
        <v>Light Touch Sensitivity</v>
      </c>
      <c r="D948" s="29" t="str">
        <f>IFERROR(__xludf.DUMMYFUNCTION("""COMPUTED_VALUE"""),"2")</f>
        <v>2</v>
      </c>
      <c r="E948" s="29">
        <f>IFERROR(__xludf.DUMMYFUNCTION("""COMPUTED_VALUE"""),2.0)</f>
        <v>2</v>
      </c>
    </row>
    <row r="949">
      <c r="A949" s="33">
        <f>IFERROR(__xludf.DUMMYFUNCTION("""COMPUTED_VALUE"""),45826.87984899305)</f>
        <v>45826.87985</v>
      </c>
      <c r="B949" s="29" t="str">
        <f>IFERROR(__xludf.DUMMYFUNCTION("""COMPUTED_VALUE"""),"Actively restoring my foreskin / I consider myself restored")</f>
        <v>Actively restoring my foreskin / I consider myself restored</v>
      </c>
      <c r="C949" s="29" t="str">
        <f>IFERROR(__xludf.DUMMYFUNCTION("""COMPUTED_VALUE"""),"Light Touch Sensitivity")</f>
        <v>Light Touch Sensitivity</v>
      </c>
      <c r="D949" s="29" t="str">
        <f>IFERROR(__xludf.DUMMYFUNCTION("""COMPUTED_VALUE"""),"3 (Medium/Average)")</f>
        <v>3 (Medium/Average)</v>
      </c>
      <c r="E949" s="29">
        <f>IFERROR(__xludf.DUMMYFUNCTION("""COMPUTED_VALUE"""),3.0)</f>
        <v>3</v>
      </c>
    </row>
    <row r="950">
      <c r="A950" s="33">
        <f>IFERROR(__xludf.DUMMYFUNCTION("""COMPUTED_VALUE"""),45826.90960921296)</f>
        <v>45826.90961</v>
      </c>
      <c r="B950" s="29" t="str">
        <f>IFERROR(__xludf.DUMMYFUNCTION("""COMPUTED_VALUE"""),"Circumcised")</f>
        <v>Circumcised</v>
      </c>
      <c r="C950" s="29" t="str">
        <f>IFERROR(__xludf.DUMMYFUNCTION("""COMPUTED_VALUE"""),"Light Touch Sensitivity")</f>
        <v>Light Touch Sensitivity</v>
      </c>
      <c r="D950" s="29" t="str">
        <f>IFERROR(__xludf.DUMMYFUNCTION("""COMPUTED_VALUE"""),"5 (High/Excellent)")</f>
        <v>5 (High/Excellent)</v>
      </c>
      <c r="E950" s="29">
        <f>IFERROR(__xludf.DUMMYFUNCTION("""COMPUTED_VALUE"""),5.0)</f>
        <v>5</v>
      </c>
    </row>
    <row r="951">
      <c r="A951" s="33">
        <f>IFERROR(__xludf.DUMMYFUNCTION("""COMPUTED_VALUE"""),45826.92376010417)</f>
        <v>45826.92376</v>
      </c>
      <c r="B951" s="29" t="str">
        <f>IFERROR(__xludf.DUMMYFUNCTION("""COMPUTED_VALUE"""),"Circumcised")</f>
        <v>Circumcised</v>
      </c>
      <c r="C951" s="29" t="str">
        <f>IFERROR(__xludf.DUMMYFUNCTION("""COMPUTED_VALUE"""),"Light Touch Sensitivity")</f>
        <v>Light Touch Sensitivity</v>
      </c>
      <c r="D951" s="29" t="str">
        <f>IFERROR(__xludf.DUMMYFUNCTION("""COMPUTED_VALUE"""),"1 (Low/Poor)")</f>
        <v>1 (Low/Poor)</v>
      </c>
      <c r="E951" s="29">
        <f>IFERROR(__xludf.DUMMYFUNCTION("""COMPUTED_VALUE"""),1.0)</f>
        <v>1</v>
      </c>
    </row>
    <row r="952">
      <c r="A952" s="33">
        <f>IFERROR(__xludf.DUMMYFUNCTION("""COMPUTED_VALUE"""),45826.92420601851)</f>
        <v>45826.92421</v>
      </c>
      <c r="B952" s="29" t="str">
        <f>IFERROR(__xludf.DUMMYFUNCTION("""COMPUTED_VALUE"""),"Circumcised")</f>
        <v>Circumcised</v>
      </c>
      <c r="C952" s="29" t="str">
        <f>IFERROR(__xludf.DUMMYFUNCTION("""COMPUTED_VALUE"""),"Light Touch Sensitivity")</f>
        <v>Light Touch Sensitivity</v>
      </c>
      <c r="D952" s="29" t="str">
        <f>IFERROR(__xludf.DUMMYFUNCTION("""COMPUTED_VALUE"""),"2")</f>
        <v>2</v>
      </c>
      <c r="E952" s="29">
        <f>IFERROR(__xludf.DUMMYFUNCTION("""COMPUTED_VALUE"""),2.0)</f>
        <v>2</v>
      </c>
    </row>
    <row r="953">
      <c r="A953" s="33">
        <f>IFERROR(__xludf.DUMMYFUNCTION("""COMPUTED_VALUE"""),45826.94651975695)</f>
        <v>45826.94652</v>
      </c>
      <c r="B953" s="29" t="str">
        <f>IFERROR(__xludf.DUMMYFUNCTION("""COMPUTED_VALUE"""),"Circumcised")</f>
        <v>Circumcised</v>
      </c>
      <c r="C953" s="29" t="str">
        <f>IFERROR(__xludf.DUMMYFUNCTION("""COMPUTED_VALUE"""),"Light Touch Sensitivity")</f>
        <v>Light Touch Sensitivity</v>
      </c>
      <c r="D953" s="29" t="str">
        <f>IFERROR(__xludf.DUMMYFUNCTION("""COMPUTED_VALUE"""),"4")</f>
        <v>4</v>
      </c>
      <c r="E953" s="29">
        <f>IFERROR(__xludf.DUMMYFUNCTION("""COMPUTED_VALUE"""),4.0)</f>
        <v>4</v>
      </c>
    </row>
    <row r="954">
      <c r="A954" s="33">
        <f>IFERROR(__xludf.DUMMYFUNCTION("""COMPUTED_VALUE"""),45826.96069337963)</f>
        <v>45826.96069</v>
      </c>
      <c r="B954" s="29" t="str">
        <f>IFERROR(__xludf.DUMMYFUNCTION("""COMPUTED_VALUE"""),"Circumcised")</f>
        <v>Circumcised</v>
      </c>
      <c r="C954" s="29" t="str">
        <f>IFERROR(__xludf.DUMMYFUNCTION("""COMPUTED_VALUE"""),"Light Touch Sensitivity")</f>
        <v>Light Touch Sensitivity</v>
      </c>
      <c r="D954" s="29" t="str">
        <f>IFERROR(__xludf.DUMMYFUNCTION("""COMPUTED_VALUE"""),"1 (Low/Poor)")</f>
        <v>1 (Low/Poor)</v>
      </c>
      <c r="E954" s="29">
        <f>IFERROR(__xludf.DUMMYFUNCTION("""COMPUTED_VALUE"""),1.0)</f>
        <v>1</v>
      </c>
    </row>
    <row r="955">
      <c r="A955" s="33">
        <f>IFERROR(__xludf.DUMMYFUNCTION("""COMPUTED_VALUE"""),45826.965006562496)</f>
        <v>45826.96501</v>
      </c>
      <c r="B955" s="29" t="str">
        <f>IFERROR(__xludf.DUMMYFUNCTION("""COMPUTED_VALUE"""),"Circumcised")</f>
        <v>Circumcised</v>
      </c>
      <c r="C955" s="29" t="str">
        <f>IFERROR(__xludf.DUMMYFUNCTION("""COMPUTED_VALUE"""),"Light Touch Sensitivity")</f>
        <v>Light Touch Sensitivity</v>
      </c>
      <c r="D955" s="29" t="str">
        <f>IFERROR(__xludf.DUMMYFUNCTION("""COMPUTED_VALUE"""),"2")</f>
        <v>2</v>
      </c>
      <c r="E955" s="29">
        <f>IFERROR(__xludf.DUMMYFUNCTION("""COMPUTED_VALUE"""),2.0)</f>
        <v>2</v>
      </c>
    </row>
    <row r="956">
      <c r="A956" s="33">
        <f>IFERROR(__xludf.DUMMYFUNCTION("""COMPUTED_VALUE"""),45826.98130766204)</f>
        <v>45826.98131</v>
      </c>
      <c r="B956" s="29" t="str">
        <f>IFERROR(__xludf.DUMMYFUNCTION("""COMPUTED_VALUE"""),"Actively restoring my foreskin / I consider myself restored")</f>
        <v>Actively restoring my foreskin / I consider myself restored</v>
      </c>
      <c r="C956" s="29" t="str">
        <f>IFERROR(__xludf.DUMMYFUNCTION("""COMPUTED_VALUE"""),"Light Touch Sensitivity")</f>
        <v>Light Touch Sensitivity</v>
      </c>
      <c r="D956" s="29" t="str">
        <f>IFERROR(__xludf.DUMMYFUNCTION("""COMPUTED_VALUE"""),"3 (Medium/Average)")</f>
        <v>3 (Medium/Average)</v>
      </c>
      <c r="E956" s="29">
        <f>IFERROR(__xludf.DUMMYFUNCTION("""COMPUTED_VALUE"""),3.0)</f>
        <v>3</v>
      </c>
    </row>
    <row r="957">
      <c r="A957" s="33">
        <f>IFERROR(__xludf.DUMMYFUNCTION("""COMPUTED_VALUE"""),45826.999987523144)</f>
        <v>45826.99999</v>
      </c>
      <c r="B957" s="29" t="str">
        <f>IFERROR(__xludf.DUMMYFUNCTION("""COMPUTED_VALUE"""),"Circumcised")</f>
        <v>Circumcised</v>
      </c>
      <c r="C957" s="29" t="str">
        <f>IFERROR(__xludf.DUMMYFUNCTION("""COMPUTED_VALUE"""),"Light Touch Sensitivity")</f>
        <v>Light Touch Sensitivity</v>
      </c>
      <c r="D957" s="29" t="str">
        <f>IFERROR(__xludf.DUMMYFUNCTION("""COMPUTED_VALUE"""),"2")</f>
        <v>2</v>
      </c>
      <c r="E957" s="29">
        <f>IFERROR(__xludf.DUMMYFUNCTION("""COMPUTED_VALUE"""),2.0)</f>
        <v>2</v>
      </c>
    </row>
    <row r="958">
      <c r="A958" s="33">
        <f>IFERROR(__xludf.DUMMYFUNCTION("""COMPUTED_VALUE"""),45827.03329590277)</f>
        <v>45827.0333</v>
      </c>
      <c r="B958" s="29" t="str">
        <f>IFERROR(__xludf.DUMMYFUNCTION("""COMPUTED_VALUE"""),"Actively restoring my foreskin / I consider myself restored")</f>
        <v>Actively restoring my foreskin / I consider myself restored</v>
      </c>
      <c r="C958" s="29" t="str">
        <f>IFERROR(__xludf.DUMMYFUNCTION("""COMPUTED_VALUE"""),"Light Touch Sensitivity")</f>
        <v>Light Touch Sensitivity</v>
      </c>
      <c r="D958" s="29" t="str">
        <f>IFERROR(__xludf.DUMMYFUNCTION("""COMPUTED_VALUE"""),"2")</f>
        <v>2</v>
      </c>
      <c r="E958" s="29">
        <f>IFERROR(__xludf.DUMMYFUNCTION("""COMPUTED_VALUE"""),2.0)</f>
        <v>2</v>
      </c>
    </row>
    <row r="959">
      <c r="A959" s="33">
        <f>IFERROR(__xludf.DUMMYFUNCTION("""COMPUTED_VALUE"""),45827.04287230324)</f>
        <v>45827.04287</v>
      </c>
      <c r="B959" s="29" t="str">
        <f>IFERROR(__xludf.DUMMYFUNCTION("""COMPUTED_VALUE"""),"Actively restoring my foreskin / I consider myself restored")</f>
        <v>Actively restoring my foreskin / I consider myself restored</v>
      </c>
      <c r="C959" s="29" t="str">
        <f>IFERROR(__xludf.DUMMYFUNCTION("""COMPUTED_VALUE"""),"Light Touch Sensitivity")</f>
        <v>Light Touch Sensitivity</v>
      </c>
      <c r="D959" s="29" t="str">
        <f>IFERROR(__xludf.DUMMYFUNCTION("""COMPUTED_VALUE"""),"1 (Low/Poor)")</f>
        <v>1 (Low/Poor)</v>
      </c>
      <c r="E959" s="29">
        <f>IFERROR(__xludf.DUMMYFUNCTION("""COMPUTED_VALUE"""),1.0)</f>
        <v>1</v>
      </c>
    </row>
    <row r="960">
      <c r="A960" s="33">
        <f>IFERROR(__xludf.DUMMYFUNCTION("""COMPUTED_VALUE"""),45827.10090055556)</f>
        <v>45827.1009</v>
      </c>
      <c r="B960" s="29" t="str">
        <f>IFERROR(__xludf.DUMMYFUNCTION("""COMPUTED_VALUE"""),"Circumcised")</f>
        <v>Circumcised</v>
      </c>
      <c r="C960" s="29" t="str">
        <f>IFERROR(__xludf.DUMMYFUNCTION("""COMPUTED_VALUE"""),"Light Touch Sensitivity")</f>
        <v>Light Touch Sensitivity</v>
      </c>
      <c r="D960" s="29" t="str">
        <f>IFERROR(__xludf.DUMMYFUNCTION("""COMPUTED_VALUE"""),"3 (Medium/Average)")</f>
        <v>3 (Medium/Average)</v>
      </c>
      <c r="E960" s="29">
        <f>IFERROR(__xludf.DUMMYFUNCTION("""COMPUTED_VALUE"""),3.0)</f>
        <v>3</v>
      </c>
    </row>
    <row r="961">
      <c r="A961" s="33">
        <f>IFERROR(__xludf.DUMMYFUNCTION("""COMPUTED_VALUE"""),45827.10245875)</f>
        <v>45827.10246</v>
      </c>
      <c r="B961" s="29" t="str">
        <f>IFERROR(__xludf.DUMMYFUNCTION("""COMPUTED_VALUE"""),"Actively restoring my foreskin / I consider myself restored")</f>
        <v>Actively restoring my foreskin / I consider myself restored</v>
      </c>
      <c r="C961" s="29" t="str">
        <f>IFERROR(__xludf.DUMMYFUNCTION("""COMPUTED_VALUE"""),"Light Touch Sensitivity")</f>
        <v>Light Touch Sensitivity</v>
      </c>
      <c r="D961" s="29" t="str">
        <f>IFERROR(__xludf.DUMMYFUNCTION("""COMPUTED_VALUE"""),"3 (Medium/Average)")</f>
        <v>3 (Medium/Average)</v>
      </c>
      <c r="E961" s="29">
        <f>IFERROR(__xludf.DUMMYFUNCTION("""COMPUTED_VALUE"""),3.0)</f>
        <v>3</v>
      </c>
    </row>
    <row r="962">
      <c r="A962" s="33">
        <f>IFERROR(__xludf.DUMMYFUNCTION("""COMPUTED_VALUE"""),45827.13108915509)</f>
        <v>45827.13109</v>
      </c>
      <c r="B962" s="29" t="str">
        <f>IFERROR(__xludf.DUMMYFUNCTION("""COMPUTED_VALUE"""),"Actively restoring my foreskin / I consider myself restored")</f>
        <v>Actively restoring my foreskin / I consider myself restored</v>
      </c>
      <c r="C962" s="29" t="str">
        <f>IFERROR(__xludf.DUMMYFUNCTION("""COMPUTED_VALUE"""),"Light Touch Sensitivity")</f>
        <v>Light Touch Sensitivity</v>
      </c>
      <c r="D962" s="29" t="str">
        <f>IFERROR(__xludf.DUMMYFUNCTION("""COMPUTED_VALUE"""),"1 (Low/Poor)")</f>
        <v>1 (Low/Poor)</v>
      </c>
      <c r="E962" s="29">
        <f>IFERROR(__xludf.DUMMYFUNCTION("""COMPUTED_VALUE"""),1.0)</f>
        <v>1</v>
      </c>
    </row>
    <row r="963">
      <c r="A963" s="33">
        <f>IFERROR(__xludf.DUMMYFUNCTION("""COMPUTED_VALUE"""),45827.1437643287)</f>
        <v>45827.14376</v>
      </c>
      <c r="B963" s="29" t="str">
        <f>IFERROR(__xludf.DUMMYFUNCTION("""COMPUTED_VALUE"""),"Circumcised")</f>
        <v>Circumcised</v>
      </c>
      <c r="C963" s="29" t="str">
        <f>IFERROR(__xludf.DUMMYFUNCTION("""COMPUTED_VALUE"""),"Light Touch Sensitivity")</f>
        <v>Light Touch Sensitivity</v>
      </c>
      <c r="D963" s="29" t="str">
        <f>IFERROR(__xludf.DUMMYFUNCTION("""COMPUTED_VALUE"""),"2")</f>
        <v>2</v>
      </c>
      <c r="E963" s="29">
        <f>IFERROR(__xludf.DUMMYFUNCTION("""COMPUTED_VALUE"""),2.0)</f>
        <v>2</v>
      </c>
    </row>
    <row r="964">
      <c r="A964" s="33">
        <f>IFERROR(__xludf.DUMMYFUNCTION("""COMPUTED_VALUE"""),45827.154774386574)</f>
        <v>45827.15477</v>
      </c>
      <c r="B964" s="29" t="str">
        <f>IFERROR(__xludf.DUMMYFUNCTION("""COMPUTED_VALUE"""),"Actively restoring my foreskin / I consider myself restored")</f>
        <v>Actively restoring my foreskin / I consider myself restored</v>
      </c>
      <c r="C964" s="29" t="str">
        <f>IFERROR(__xludf.DUMMYFUNCTION("""COMPUTED_VALUE"""),"Light Touch Sensitivity")</f>
        <v>Light Touch Sensitivity</v>
      </c>
      <c r="D964" s="29" t="str">
        <f>IFERROR(__xludf.DUMMYFUNCTION("""COMPUTED_VALUE"""),"3 (Medium/Average)")</f>
        <v>3 (Medium/Average)</v>
      </c>
      <c r="E964" s="29">
        <f>IFERROR(__xludf.DUMMYFUNCTION("""COMPUTED_VALUE"""),3.0)</f>
        <v>3</v>
      </c>
    </row>
    <row r="965">
      <c r="A965" s="33">
        <f>IFERROR(__xludf.DUMMYFUNCTION("""COMPUTED_VALUE"""),45827.166781851854)</f>
        <v>45827.16678</v>
      </c>
      <c r="B965" s="29" t="str">
        <f>IFERROR(__xludf.DUMMYFUNCTION("""COMPUTED_VALUE"""),"Intact (Never circumcised)")</f>
        <v>Intact (Never circumcised)</v>
      </c>
      <c r="C965" s="29" t="str">
        <f>IFERROR(__xludf.DUMMYFUNCTION("""COMPUTED_VALUE"""),"Light Touch Sensitivity")</f>
        <v>Light Touch Sensitivity</v>
      </c>
      <c r="D965" s="29" t="str">
        <f>IFERROR(__xludf.DUMMYFUNCTION("""COMPUTED_VALUE"""),"5 (High/Excellent)")</f>
        <v>5 (High/Excellent)</v>
      </c>
      <c r="E965" s="29">
        <f>IFERROR(__xludf.DUMMYFUNCTION("""COMPUTED_VALUE"""),5.0)</f>
        <v>5</v>
      </c>
    </row>
    <row r="966">
      <c r="A966" s="33">
        <f>IFERROR(__xludf.DUMMYFUNCTION("""COMPUTED_VALUE"""),45827.22959027778)</f>
        <v>45827.22959</v>
      </c>
      <c r="B966" s="29" t="str">
        <f>IFERROR(__xludf.DUMMYFUNCTION("""COMPUTED_VALUE"""),"Actively restoring my foreskin / I consider myself restored")</f>
        <v>Actively restoring my foreskin / I consider myself restored</v>
      </c>
      <c r="C966" s="29" t="str">
        <f>IFERROR(__xludf.DUMMYFUNCTION("""COMPUTED_VALUE"""),"Light Touch Sensitivity")</f>
        <v>Light Touch Sensitivity</v>
      </c>
      <c r="D966" s="29" t="str">
        <f>IFERROR(__xludf.DUMMYFUNCTION("""COMPUTED_VALUE"""),"1 (Low/Poor)")</f>
        <v>1 (Low/Poor)</v>
      </c>
      <c r="E966" s="29">
        <f>IFERROR(__xludf.DUMMYFUNCTION("""COMPUTED_VALUE"""),1.0)</f>
        <v>1</v>
      </c>
    </row>
    <row r="967">
      <c r="A967" s="33">
        <f>IFERROR(__xludf.DUMMYFUNCTION("""COMPUTED_VALUE"""),45827.23603613426)</f>
        <v>45827.23604</v>
      </c>
      <c r="B967" s="29" t="str">
        <f>IFERROR(__xludf.DUMMYFUNCTION("""COMPUTED_VALUE"""),"Actively restoring my foreskin / I consider myself restored")</f>
        <v>Actively restoring my foreskin / I consider myself restored</v>
      </c>
      <c r="C967" s="29" t="str">
        <f>IFERROR(__xludf.DUMMYFUNCTION("""COMPUTED_VALUE"""),"Light Touch Sensitivity")</f>
        <v>Light Touch Sensitivity</v>
      </c>
      <c r="D967" s="29" t="str">
        <f>IFERROR(__xludf.DUMMYFUNCTION("""COMPUTED_VALUE"""),"4")</f>
        <v>4</v>
      </c>
      <c r="E967" s="29">
        <f>IFERROR(__xludf.DUMMYFUNCTION("""COMPUTED_VALUE"""),4.0)</f>
        <v>4</v>
      </c>
    </row>
    <row r="968">
      <c r="A968" s="33">
        <f>IFERROR(__xludf.DUMMYFUNCTION("""COMPUTED_VALUE"""),45827.245649062505)</f>
        <v>45827.24565</v>
      </c>
      <c r="B968" s="29" t="str">
        <f>IFERROR(__xludf.DUMMYFUNCTION("""COMPUTED_VALUE"""),"Actively restoring my foreskin / I consider myself restored")</f>
        <v>Actively restoring my foreskin / I consider myself restored</v>
      </c>
      <c r="C968" s="29" t="str">
        <f>IFERROR(__xludf.DUMMYFUNCTION("""COMPUTED_VALUE"""),"Light Touch Sensitivity")</f>
        <v>Light Touch Sensitivity</v>
      </c>
      <c r="D968" s="29" t="str">
        <f>IFERROR(__xludf.DUMMYFUNCTION("""COMPUTED_VALUE"""),"2")</f>
        <v>2</v>
      </c>
      <c r="E968" s="29">
        <f>IFERROR(__xludf.DUMMYFUNCTION("""COMPUTED_VALUE"""),2.0)</f>
        <v>2</v>
      </c>
    </row>
    <row r="969">
      <c r="A969" s="33">
        <f>IFERROR(__xludf.DUMMYFUNCTION("""COMPUTED_VALUE"""),45827.372200185186)</f>
        <v>45827.3722</v>
      </c>
      <c r="B969" s="29" t="str">
        <f>IFERROR(__xludf.DUMMYFUNCTION("""COMPUTED_VALUE"""),"Actively restoring my foreskin / I consider myself restored")</f>
        <v>Actively restoring my foreskin / I consider myself restored</v>
      </c>
      <c r="C969" s="29" t="str">
        <f>IFERROR(__xludf.DUMMYFUNCTION("""COMPUTED_VALUE"""),"Light Touch Sensitivity")</f>
        <v>Light Touch Sensitivity</v>
      </c>
      <c r="D969" s="29" t="str">
        <f>IFERROR(__xludf.DUMMYFUNCTION("""COMPUTED_VALUE"""),"4")</f>
        <v>4</v>
      </c>
      <c r="E969" s="29">
        <f>IFERROR(__xludf.DUMMYFUNCTION("""COMPUTED_VALUE"""),4.0)</f>
        <v>4</v>
      </c>
    </row>
    <row r="970">
      <c r="A970" s="33">
        <f>IFERROR(__xludf.DUMMYFUNCTION("""COMPUTED_VALUE"""),45827.37673142362)</f>
        <v>45827.37673</v>
      </c>
      <c r="B970" s="29" t="str">
        <f>IFERROR(__xludf.DUMMYFUNCTION("""COMPUTED_VALUE"""),"Circumcised")</f>
        <v>Circumcised</v>
      </c>
      <c r="C970" s="29" t="str">
        <f>IFERROR(__xludf.DUMMYFUNCTION("""COMPUTED_VALUE"""),"Light Touch Sensitivity")</f>
        <v>Light Touch Sensitivity</v>
      </c>
      <c r="D970" s="29" t="str">
        <f>IFERROR(__xludf.DUMMYFUNCTION("""COMPUTED_VALUE"""),"1 (Low/Poor)")</f>
        <v>1 (Low/Poor)</v>
      </c>
      <c r="E970" s="29">
        <f>IFERROR(__xludf.DUMMYFUNCTION("""COMPUTED_VALUE"""),1.0)</f>
        <v>1</v>
      </c>
    </row>
    <row r="971">
      <c r="A971" s="33">
        <f>IFERROR(__xludf.DUMMYFUNCTION("""COMPUTED_VALUE"""),45827.39404474538)</f>
        <v>45827.39404</v>
      </c>
      <c r="B971" s="29" t="str">
        <f>IFERROR(__xludf.DUMMYFUNCTION("""COMPUTED_VALUE"""),"Circumcised")</f>
        <v>Circumcised</v>
      </c>
      <c r="C971" s="29" t="str">
        <f>IFERROR(__xludf.DUMMYFUNCTION("""COMPUTED_VALUE"""),"Light Touch Sensitivity")</f>
        <v>Light Touch Sensitivity</v>
      </c>
      <c r="D971" s="29" t="str">
        <f>IFERROR(__xludf.DUMMYFUNCTION("""COMPUTED_VALUE"""),"1 (Low/Poor)")</f>
        <v>1 (Low/Poor)</v>
      </c>
      <c r="E971" s="29">
        <f>IFERROR(__xludf.DUMMYFUNCTION("""COMPUTED_VALUE"""),1.0)</f>
        <v>1</v>
      </c>
    </row>
    <row r="972">
      <c r="A972" s="33">
        <f>IFERROR(__xludf.DUMMYFUNCTION("""COMPUTED_VALUE"""),45827.396721377314)</f>
        <v>45827.39672</v>
      </c>
      <c r="B972" s="29" t="str">
        <f>IFERROR(__xludf.DUMMYFUNCTION("""COMPUTED_VALUE"""),"Circumcised")</f>
        <v>Circumcised</v>
      </c>
      <c r="C972" s="29" t="str">
        <f>IFERROR(__xludf.DUMMYFUNCTION("""COMPUTED_VALUE"""),"Light Touch Sensitivity")</f>
        <v>Light Touch Sensitivity</v>
      </c>
      <c r="D972" s="29" t="str">
        <f>IFERROR(__xludf.DUMMYFUNCTION("""COMPUTED_VALUE"""),"1 (Low/Poor)")</f>
        <v>1 (Low/Poor)</v>
      </c>
      <c r="E972" s="29">
        <f>IFERROR(__xludf.DUMMYFUNCTION("""COMPUTED_VALUE"""),1.0)</f>
        <v>1</v>
      </c>
    </row>
    <row r="973">
      <c r="A973" s="33">
        <f>IFERROR(__xludf.DUMMYFUNCTION("""COMPUTED_VALUE"""),45827.40643686343)</f>
        <v>45827.40644</v>
      </c>
      <c r="B973" s="29" t="str">
        <f>IFERROR(__xludf.DUMMYFUNCTION("""COMPUTED_VALUE"""),"Actively restoring my foreskin / I consider myself restored")</f>
        <v>Actively restoring my foreskin / I consider myself restored</v>
      </c>
      <c r="C973" s="29" t="str">
        <f>IFERROR(__xludf.DUMMYFUNCTION("""COMPUTED_VALUE"""),"Light Touch Sensitivity")</f>
        <v>Light Touch Sensitivity</v>
      </c>
      <c r="D973" s="29" t="str">
        <f>IFERROR(__xludf.DUMMYFUNCTION("""COMPUTED_VALUE"""),"2")</f>
        <v>2</v>
      </c>
      <c r="E973" s="29">
        <f>IFERROR(__xludf.DUMMYFUNCTION("""COMPUTED_VALUE"""),2.0)</f>
        <v>2</v>
      </c>
    </row>
    <row r="974">
      <c r="A974" s="33">
        <f>IFERROR(__xludf.DUMMYFUNCTION("""COMPUTED_VALUE"""),45827.41032530092)</f>
        <v>45827.41033</v>
      </c>
      <c r="B974" s="29" t="str">
        <f>IFERROR(__xludf.DUMMYFUNCTION("""COMPUTED_VALUE"""),"Circumcised")</f>
        <v>Circumcised</v>
      </c>
      <c r="C974" s="29" t="str">
        <f>IFERROR(__xludf.DUMMYFUNCTION("""COMPUTED_VALUE"""),"Light Touch Sensitivity")</f>
        <v>Light Touch Sensitivity</v>
      </c>
      <c r="D974" s="29" t="str">
        <f>IFERROR(__xludf.DUMMYFUNCTION("""COMPUTED_VALUE"""),"4")</f>
        <v>4</v>
      </c>
      <c r="E974" s="29">
        <f>IFERROR(__xludf.DUMMYFUNCTION("""COMPUTED_VALUE"""),4.0)</f>
        <v>4</v>
      </c>
    </row>
    <row r="975">
      <c r="A975" s="33">
        <f>IFERROR(__xludf.DUMMYFUNCTION("""COMPUTED_VALUE"""),45827.43042048611)</f>
        <v>45827.43042</v>
      </c>
      <c r="B975" s="29" t="str">
        <f>IFERROR(__xludf.DUMMYFUNCTION("""COMPUTED_VALUE"""),"Circumcised")</f>
        <v>Circumcised</v>
      </c>
      <c r="C975" s="29" t="str">
        <f>IFERROR(__xludf.DUMMYFUNCTION("""COMPUTED_VALUE"""),"Light Touch Sensitivity")</f>
        <v>Light Touch Sensitivity</v>
      </c>
      <c r="D975" s="29" t="str">
        <f>IFERROR(__xludf.DUMMYFUNCTION("""COMPUTED_VALUE"""),"1 (Low/Poor)")</f>
        <v>1 (Low/Poor)</v>
      </c>
      <c r="E975" s="29">
        <f>IFERROR(__xludf.DUMMYFUNCTION("""COMPUTED_VALUE"""),1.0)</f>
        <v>1</v>
      </c>
    </row>
    <row r="976">
      <c r="A976" s="33">
        <f>IFERROR(__xludf.DUMMYFUNCTION("""COMPUTED_VALUE"""),45827.43160585649)</f>
        <v>45827.43161</v>
      </c>
      <c r="B976" s="29" t="str">
        <f>IFERROR(__xludf.DUMMYFUNCTION("""COMPUTED_VALUE"""),"Circumcised")</f>
        <v>Circumcised</v>
      </c>
      <c r="C976" s="29" t="str">
        <f>IFERROR(__xludf.DUMMYFUNCTION("""COMPUTED_VALUE"""),"Light Touch Sensitivity")</f>
        <v>Light Touch Sensitivity</v>
      </c>
      <c r="D976" s="29" t="str">
        <f>IFERROR(__xludf.DUMMYFUNCTION("""COMPUTED_VALUE"""),"1 (Low/Poor)")</f>
        <v>1 (Low/Poor)</v>
      </c>
      <c r="E976" s="29">
        <f>IFERROR(__xludf.DUMMYFUNCTION("""COMPUTED_VALUE"""),1.0)</f>
        <v>1</v>
      </c>
    </row>
    <row r="977">
      <c r="A977" s="33">
        <f>IFERROR(__xludf.DUMMYFUNCTION("""COMPUTED_VALUE"""),45827.434389699076)</f>
        <v>45827.43439</v>
      </c>
      <c r="B977" s="29" t="str">
        <f>IFERROR(__xludf.DUMMYFUNCTION("""COMPUTED_VALUE"""),"Actively restoring my foreskin / I consider myself restored")</f>
        <v>Actively restoring my foreskin / I consider myself restored</v>
      </c>
      <c r="C977" s="29" t="str">
        <f>IFERROR(__xludf.DUMMYFUNCTION("""COMPUTED_VALUE"""),"Light Touch Sensitivity")</f>
        <v>Light Touch Sensitivity</v>
      </c>
      <c r="D977" s="29" t="str">
        <f>IFERROR(__xludf.DUMMYFUNCTION("""COMPUTED_VALUE"""),"5 (High/Excellent)")</f>
        <v>5 (High/Excellent)</v>
      </c>
      <c r="E977" s="29">
        <f>IFERROR(__xludf.DUMMYFUNCTION("""COMPUTED_VALUE"""),5.0)</f>
        <v>5</v>
      </c>
    </row>
    <row r="978">
      <c r="A978" s="33">
        <f>IFERROR(__xludf.DUMMYFUNCTION("""COMPUTED_VALUE"""),45827.45617319444)</f>
        <v>45827.45617</v>
      </c>
      <c r="B978" s="29" t="str">
        <f>IFERROR(__xludf.DUMMYFUNCTION("""COMPUTED_VALUE"""),"Actively restoring my foreskin / I consider myself restored")</f>
        <v>Actively restoring my foreskin / I consider myself restored</v>
      </c>
      <c r="C978" s="29" t="str">
        <f>IFERROR(__xludf.DUMMYFUNCTION("""COMPUTED_VALUE"""),"Light Touch Sensitivity")</f>
        <v>Light Touch Sensitivity</v>
      </c>
      <c r="D978" s="29" t="str">
        <f>IFERROR(__xludf.DUMMYFUNCTION("""COMPUTED_VALUE"""),"4")</f>
        <v>4</v>
      </c>
      <c r="E978" s="29">
        <f>IFERROR(__xludf.DUMMYFUNCTION("""COMPUTED_VALUE"""),4.0)</f>
        <v>4</v>
      </c>
    </row>
    <row r="979">
      <c r="A979" s="33">
        <f>IFERROR(__xludf.DUMMYFUNCTION("""COMPUTED_VALUE"""),45827.47113355324)</f>
        <v>45827.47113</v>
      </c>
      <c r="B979" s="29" t="str">
        <f>IFERROR(__xludf.DUMMYFUNCTION("""COMPUTED_VALUE"""),"Actively restoring my foreskin / I consider myself restored")</f>
        <v>Actively restoring my foreskin / I consider myself restored</v>
      </c>
      <c r="C979" s="29" t="str">
        <f>IFERROR(__xludf.DUMMYFUNCTION("""COMPUTED_VALUE"""),"Light Touch Sensitivity")</f>
        <v>Light Touch Sensitivity</v>
      </c>
      <c r="D979" s="29" t="str">
        <f>IFERROR(__xludf.DUMMYFUNCTION("""COMPUTED_VALUE"""),"2")</f>
        <v>2</v>
      </c>
      <c r="E979" s="29">
        <f>IFERROR(__xludf.DUMMYFUNCTION("""COMPUTED_VALUE"""),2.0)</f>
        <v>2</v>
      </c>
    </row>
    <row r="980">
      <c r="A980" s="33">
        <f>IFERROR(__xludf.DUMMYFUNCTION("""COMPUTED_VALUE"""),45827.504890868055)</f>
        <v>45827.50489</v>
      </c>
      <c r="B980" s="29" t="str">
        <f>IFERROR(__xludf.DUMMYFUNCTION("""COMPUTED_VALUE"""),"Actively restoring my foreskin / I consider myself restored")</f>
        <v>Actively restoring my foreskin / I consider myself restored</v>
      </c>
      <c r="C980" s="29" t="str">
        <f>IFERROR(__xludf.DUMMYFUNCTION("""COMPUTED_VALUE"""),"Light Touch Sensitivity")</f>
        <v>Light Touch Sensitivity</v>
      </c>
      <c r="D980" s="29" t="str">
        <f>IFERROR(__xludf.DUMMYFUNCTION("""COMPUTED_VALUE"""),"2")</f>
        <v>2</v>
      </c>
      <c r="E980" s="29">
        <f>IFERROR(__xludf.DUMMYFUNCTION("""COMPUTED_VALUE"""),2.0)</f>
        <v>2</v>
      </c>
    </row>
    <row r="981">
      <c r="A981" s="33">
        <f>IFERROR(__xludf.DUMMYFUNCTION("""COMPUTED_VALUE"""),45827.56687807871)</f>
        <v>45827.56688</v>
      </c>
      <c r="B981" s="29" t="str">
        <f>IFERROR(__xludf.DUMMYFUNCTION("""COMPUTED_VALUE"""),"Circumcised")</f>
        <v>Circumcised</v>
      </c>
      <c r="C981" s="29" t="str">
        <f>IFERROR(__xludf.DUMMYFUNCTION("""COMPUTED_VALUE"""),"Light Touch Sensitivity")</f>
        <v>Light Touch Sensitivity</v>
      </c>
      <c r="D981" s="29" t="str">
        <f>IFERROR(__xludf.DUMMYFUNCTION("""COMPUTED_VALUE"""),"2")</f>
        <v>2</v>
      </c>
      <c r="E981" s="29">
        <f>IFERROR(__xludf.DUMMYFUNCTION("""COMPUTED_VALUE"""),2.0)</f>
        <v>2</v>
      </c>
    </row>
    <row r="982">
      <c r="A982" s="33">
        <f>IFERROR(__xludf.DUMMYFUNCTION("""COMPUTED_VALUE"""),45827.582390254625)</f>
        <v>45827.58239</v>
      </c>
      <c r="B982" s="29" t="str">
        <f>IFERROR(__xludf.DUMMYFUNCTION("""COMPUTED_VALUE"""),"Intact (Never circumcised)")</f>
        <v>Intact (Never circumcised)</v>
      </c>
      <c r="C982" s="29" t="str">
        <f>IFERROR(__xludf.DUMMYFUNCTION("""COMPUTED_VALUE"""),"Light Touch Sensitivity")</f>
        <v>Light Touch Sensitivity</v>
      </c>
      <c r="D982" s="29" t="str">
        <f>IFERROR(__xludf.DUMMYFUNCTION("""COMPUTED_VALUE"""),"5 (High/Excellent)")</f>
        <v>5 (High/Excellent)</v>
      </c>
      <c r="E982" s="29">
        <f>IFERROR(__xludf.DUMMYFUNCTION("""COMPUTED_VALUE"""),5.0)</f>
        <v>5</v>
      </c>
    </row>
    <row r="983">
      <c r="A983" s="33">
        <f>IFERROR(__xludf.DUMMYFUNCTION("""COMPUTED_VALUE"""),45827.59833847222)</f>
        <v>45827.59834</v>
      </c>
      <c r="B983" s="29" t="str">
        <f>IFERROR(__xludf.DUMMYFUNCTION("""COMPUTED_VALUE"""),"Intact (Never circumcised)")</f>
        <v>Intact (Never circumcised)</v>
      </c>
      <c r="C983" s="29" t="str">
        <f>IFERROR(__xludf.DUMMYFUNCTION("""COMPUTED_VALUE"""),"Light Touch Sensitivity")</f>
        <v>Light Touch Sensitivity</v>
      </c>
      <c r="D983" s="29" t="str">
        <f>IFERROR(__xludf.DUMMYFUNCTION("""COMPUTED_VALUE"""),"4")</f>
        <v>4</v>
      </c>
      <c r="E983" s="29">
        <f>IFERROR(__xludf.DUMMYFUNCTION("""COMPUTED_VALUE"""),4.0)</f>
        <v>4</v>
      </c>
    </row>
    <row r="984">
      <c r="A984" s="33">
        <f>IFERROR(__xludf.DUMMYFUNCTION("""COMPUTED_VALUE"""),45827.666499756946)</f>
        <v>45827.6665</v>
      </c>
      <c r="B984" s="29" t="str">
        <f>IFERROR(__xludf.DUMMYFUNCTION("""COMPUTED_VALUE"""),"Intact (Never circumcised)")</f>
        <v>Intact (Never circumcised)</v>
      </c>
      <c r="C984" s="29" t="str">
        <f>IFERROR(__xludf.DUMMYFUNCTION("""COMPUTED_VALUE"""),"Light Touch Sensitivity")</f>
        <v>Light Touch Sensitivity</v>
      </c>
      <c r="D984" s="29" t="str">
        <f>IFERROR(__xludf.DUMMYFUNCTION("""COMPUTED_VALUE"""),"5 (High/Excellent)")</f>
        <v>5 (High/Excellent)</v>
      </c>
      <c r="E984" s="29">
        <f>IFERROR(__xludf.DUMMYFUNCTION("""COMPUTED_VALUE"""),5.0)</f>
        <v>5</v>
      </c>
    </row>
    <row r="985">
      <c r="A985" s="33">
        <f>IFERROR(__xludf.DUMMYFUNCTION("""COMPUTED_VALUE"""),45827.70323135417)</f>
        <v>45827.70323</v>
      </c>
      <c r="B985" s="29" t="str">
        <f>IFERROR(__xludf.DUMMYFUNCTION("""COMPUTED_VALUE"""),"Intact (Never circumcised)")</f>
        <v>Intact (Never circumcised)</v>
      </c>
      <c r="C985" s="29" t="str">
        <f>IFERROR(__xludf.DUMMYFUNCTION("""COMPUTED_VALUE"""),"Light Touch Sensitivity")</f>
        <v>Light Touch Sensitivity</v>
      </c>
      <c r="D985" s="29" t="str">
        <f>IFERROR(__xludf.DUMMYFUNCTION("""COMPUTED_VALUE"""),"5 (High/Excellent)")</f>
        <v>5 (High/Excellent)</v>
      </c>
      <c r="E985" s="29">
        <f>IFERROR(__xludf.DUMMYFUNCTION("""COMPUTED_VALUE"""),5.0)</f>
        <v>5</v>
      </c>
    </row>
    <row r="986">
      <c r="A986" s="33">
        <f>IFERROR(__xludf.DUMMYFUNCTION("""COMPUTED_VALUE"""),45827.705325347226)</f>
        <v>45827.70533</v>
      </c>
      <c r="B986" s="29" t="str">
        <f>IFERROR(__xludf.DUMMYFUNCTION("""COMPUTED_VALUE"""),"Intact (Never circumcised)")</f>
        <v>Intact (Never circumcised)</v>
      </c>
      <c r="C986" s="29" t="str">
        <f>IFERROR(__xludf.DUMMYFUNCTION("""COMPUTED_VALUE"""),"Light Touch Sensitivity")</f>
        <v>Light Touch Sensitivity</v>
      </c>
      <c r="D986" s="29" t="str">
        <f>IFERROR(__xludf.DUMMYFUNCTION("""COMPUTED_VALUE"""),"5 (High/Excellent)")</f>
        <v>5 (High/Excellent)</v>
      </c>
      <c r="E986" s="29">
        <f>IFERROR(__xludf.DUMMYFUNCTION("""COMPUTED_VALUE"""),5.0)</f>
        <v>5</v>
      </c>
    </row>
    <row r="987">
      <c r="A987" s="33">
        <f>IFERROR(__xludf.DUMMYFUNCTION("""COMPUTED_VALUE"""),45827.709368090276)</f>
        <v>45827.70937</v>
      </c>
      <c r="B987" s="29" t="str">
        <f>IFERROR(__xludf.DUMMYFUNCTION("""COMPUTED_VALUE"""),"Intact (Never circumcised)")</f>
        <v>Intact (Never circumcised)</v>
      </c>
      <c r="C987" s="29" t="str">
        <f>IFERROR(__xludf.DUMMYFUNCTION("""COMPUTED_VALUE"""),"Light Touch Sensitivity")</f>
        <v>Light Touch Sensitivity</v>
      </c>
      <c r="D987" s="29" t="str">
        <f>IFERROR(__xludf.DUMMYFUNCTION("""COMPUTED_VALUE"""),"5 (High/Excellent)")</f>
        <v>5 (High/Excellent)</v>
      </c>
      <c r="E987" s="29">
        <f>IFERROR(__xludf.DUMMYFUNCTION("""COMPUTED_VALUE"""),5.0)</f>
        <v>5</v>
      </c>
    </row>
    <row r="988">
      <c r="A988" s="33">
        <f>IFERROR(__xludf.DUMMYFUNCTION("""COMPUTED_VALUE"""),45827.7507882986)</f>
        <v>45827.75079</v>
      </c>
      <c r="B988" s="29" t="str">
        <f>IFERROR(__xludf.DUMMYFUNCTION("""COMPUTED_VALUE"""),"Actively restoring my foreskin / I consider myself restored")</f>
        <v>Actively restoring my foreskin / I consider myself restored</v>
      </c>
      <c r="C988" s="29" t="str">
        <f>IFERROR(__xludf.DUMMYFUNCTION("""COMPUTED_VALUE"""),"Light Touch Sensitivity")</f>
        <v>Light Touch Sensitivity</v>
      </c>
      <c r="D988" s="29" t="str">
        <f>IFERROR(__xludf.DUMMYFUNCTION("""COMPUTED_VALUE"""),"2")</f>
        <v>2</v>
      </c>
      <c r="E988" s="29">
        <f>IFERROR(__xludf.DUMMYFUNCTION("""COMPUTED_VALUE"""),2.0)</f>
        <v>2</v>
      </c>
    </row>
    <row r="989">
      <c r="A989" s="33">
        <f>IFERROR(__xludf.DUMMYFUNCTION("""COMPUTED_VALUE"""),45827.75108425925)</f>
        <v>45827.75108</v>
      </c>
      <c r="B989" s="29" t="str">
        <f>IFERROR(__xludf.DUMMYFUNCTION("""COMPUTED_VALUE"""),"Intact (Never circumcised)")</f>
        <v>Intact (Never circumcised)</v>
      </c>
      <c r="C989" s="29" t="str">
        <f>IFERROR(__xludf.DUMMYFUNCTION("""COMPUTED_VALUE"""),"Light Touch Sensitivity")</f>
        <v>Light Touch Sensitivity</v>
      </c>
      <c r="D989" s="29" t="str">
        <f>IFERROR(__xludf.DUMMYFUNCTION("""COMPUTED_VALUE"""),"5 (High/Excellent)")</f>
        <v>5 (High/Excellent)</v>
      </c>
      <c r="E989" s="29">
        <f>IFERROR(__xludf.DUMMYFUNCTION("""COMPUTED_VALUE"""),5.0)</f>
        <v>5</v>
      </c>
    </row>
    <row r="990">
      <c r="A990" s="33">
        <f>IFERROR(__xludf.DUMMYFUNCTION("""COMPUTED_VALUE"""),45827.75616498842)</f>
        <v>45827.75616</v>
      </c>
      <c r="B990" s="29" t="str">
        <f>IFERROR(__xludf.DUMMYFUNCTION("""COMPUTED_VALUE"""),"Circumcised")</f>
        <v>Circumcised</v>
      </c>
      <c r="C990" s="29" t="str">
        <f>IFERROR(__xludf.DUMMYFUNCTION("""COMPUTED_VALUE"""),"Light Touch Sensitivity")</f>
        <v>Light Touch Sensitivity</v>
      </c>
      <c r="D990" s="29" t="str">
        <f>IFERROR(__xludf.DUMMYFUNCTION("""COMPUTED_VALUE"""),"2")</f>
        <v>2</v>
      </c>
      <c r="E990" s="29">
        <f>IFERROR(__xludf.DUMMYFUNCTION("""COMPUTED_VALUE"""),2.0)</f>
        <v>2</v>
      </c>
    </row>
    <row r="991">
      <c r="A991" s="33">
        <f>IFERROR(__xludf.DUMMYFUNCTION("""COMPUTED_VALUE"""),45827.76179119213)</f>
        <v>45827.76179</v>
      </c>
      <c r="B991" s="29" t="str">
        <f>IFERROR(__xludf.DUMMYFUNCTION("""COMPUTED_VALUE"""),"Circumcised")</f>
        <v>Circumcised</v>
      </c>
      <c r="C991" s="29" t="str">
        <f>IFERROR(__xludf.DUMMYFUNCTION("""COMPUTED_VALUE"""),"Light Touch Sensitivity")</f>
        <v>Light Touch Sensitivity</v>
      </c>
      <c r="D991" s="29" t="str">
        <f>IFERROR(__xludf.DUMMYFUNCTION("""COMPUTED_VALUE"""),"5 (High/Excellent)")</f>
        <v>5 (High/Excellent)</v>
      </c>
      <c r="E991" s="29">
        <f>IFERROR(__xludf.DUMMYFUNCTION("""COMPUTED_VALUE"""),5.0)</f>
        <v>5</v>
      </c>
    </row>
    <row r="992">
      <c r="A992" s="33">
        <f>IFERROR(__xludf.DUMMYFUNCTION("""COMPUTED_VALUE"""),45827.775080740736)</f>
        <v>45827.77508</v>
      </c>
      <c r="B992" s="29" t="str">
        <f>IFERROR(__xludf.DUMMYFUNCTION("""COMPUTED_VALUE"""),"Actively restoring my foreskin / I consider myself restored")</f>
        <v>Actively restoring my foreskin / I consider myself restored</v>
      </c>
      <c r="C992" s="29" t="str">
        <f>IFERROR(__xludf.DUMMYFUNCTION("""COMPUTED_VALUE"""),"Light Touch Sensitivity")</f>
        <v>Light Touch Sensitivity</v>
      </c>
      <c r="D992" s="29" t="str">
        <f>IFERROR(__xludf.DUMMYFUNCTION("""COMPUTED_VALUE"""),"1 (Low/Poor)")</f>
        <v>1 (Low/Poor)</v>
      </c>
      <c r="E992" s="29">
        <f>IFERROR(__xludf.DUMMYFUNCTION("""COMPUTED_VALUE"""),1.0)</f>
        <v>1</v>
      </c>
    </row>
    <row r="993">
      <c r="A993" s="33">
        <f>IFERROR(__xludf.DUMMYFUNCTION("""COMPUTED_VALUE"""),45827.80988215278)</f>
        <v>45827.80988</v>
      </c>
      <c r="B993" s="29" t="str">
        <f>IFERROR(__xludf.DUMMYFUNCTION("""COMPUTED_VALUE"""),"Intact (Never circumcised)")</f>
        <v>Intact (Never circumcised)</v>
      </c>
      <c r="C993" s="29" t="str">
        <f>IFERROR(__xludf.DUMMYFUNCTION("""COMPUTED_VALUE"""),"Light Touch Sensitivity")</f>
        <v>Light Touch Sensitivity</v>
      </c>
      <c r="D993" s="29" t="str">
        <f>IFERROR(__xludf.DUMMYFUNCTION("""COMPUTED_VALUE"""),"4")</f>
        <v>4</v>
      </c>
      <c r="E993" s="29">
        <f>IFERROR(__xludf.DUMMYFUNCTION("""COMPUTED_VALUE"""),4.0)</f>
        <v>4</v>
      </c>
    </row>
    <row r="994">
      <c r="A994" s="33">
        <f>IFERROR(__xludf.DUMMYFUNCTION("""COMPUTED_VALUE"""),45827.82377087963)</f>
        <v>45827.82377</v>
      </c>
      <c r="B994" s="29" t="str">
        <f>IFERROR(__xludf.DUMMYFUNCTION("""COMPUTED_VALUE"""),"Circumcised")</f>
        <v>Circumcised</v>
      </c>
      <c r="C994" s="29" t="str">
        <f>IFERROR(__xludf.DUMMYFUNCTION("""COMPUTED_VALUE"""),"Light Touch Sensitivity")</f>
        <v>Light Touch Sensitivity</v>
      </c>
      <c r="D994" s="29" t="str">
        <f>IFERROR(__xludf.DUMMYFUNCTION("""COMPUTED_VALUE"""),"1 (Low/Poor)")</f>
        <v>1 (Low/Poor)</v>
      </c>
      <c r="E994" s="29">
        <f>IFERROR(__xludf.DUMMYFUNCTION("""COMPUTED_VALUE"""),1.0)</f>
        <v>1</v>
      </c>
    </row>
    <row r="995">
      <c r="A995" s="33">
        <f>IFERROR(__xludf.DUMMYFUNCTION("""COMPUTED_VALUE"""),45827.84110394676)</f>
        <v>45827.8411</v>
      </c>
      <c r="B995" s="29" t="str">
        <f>IFERROR(__xludf.DUMMYFUNCTION("""COMPUTED_VALUE"""),"Intact (Never circumcised)")</f>
        <v>Intact (Never circumcised)</v>
      </c>
      <c r="C995" s="29" t="str">
        <f>IFERROR(__xludf.DUMMYFUNCTION("""COMPUTED_VALUE"""),"Light Touch Sensitivity")</f>
        <v>Light Touch Sensitivity</v>
      </c>
      <c r="D995" s="29" t="str">
        <f>IFERROR(__xludf.DUMMYFUNCTION("""COMPUTED_VALUE"""),"2")</f>
        <v>2</v>
      </c>
      <c r="E995" s="29">
        <f>IFERROR(__xludf.DUMMYFUNCTION("""COMPUTED_VALUE"""),2.0)</f>
        <v>2</v>
      </c>
    </row>
    <row r="996">
      <c r="A996" s="33">
        <f>IFERROR(__xludf.DUMMYFUNCTION("""COMPUTED_VALUE"""),45827.86569578704)</f>
        <v>45827.8657</v>
      </c>
      <c r="B996" s="29" t="str">
        <f>IFERROR(__xludf.DUMMYFUNCTION("""COMPUTED_VALUE"""),"Circumcised")</f>
        <v>Circumcised</v>
      </c>
      <c r="C996" s="29" t="str">
        <f>IFERROR(__xludf.DUMMYFUNCTION("""COMPUTED_VALUE"""),"Light Touch Sensitivity")</f>
        <v>Light Touch Sensitivity</v>
      </c>
      <c r="D996" s="29" t="str">
        <f>IFERROR(__xludf.DUMMYFUNCTION("""COMPUTED_VALUE"""),"2")</f>
        <v>2</v>
      </c>
      <c r="E996" s="29">
        <f>IFERROR(__xludf.DUMMYFUNCTION("""COMPUTED_VALUE"""),2.0)</f>
        <v>2</v>
      </c>
    </row>
    <row r="997">
      <c r="A997" s="33">
        <f>IFERROR(__xludf.DUMMYFUNCTION("""COMPUTED_VALUE"""),45827.8672928588)</f>
        <v>45827.86729</v>
      </c>
      <c r="B997" s="29" t="str">
        <f>IFERROR(__xludf.DUMMYFUNCTION("""COMPUTED_VALUE"""),"Actively restoring my foreskin / I consider myself restored")</f>
        <v>Actively restoring my foreskin / I consider myself restored</v>
      </c>
      <c r="C997" s="29" t="str">
        <f>IFERROR(__xludf.DUMMYFUNCTION("""COMPUTED_VALUE"""),"Light Touch Sensitivity")</f>
        <v>Light Touch Sensitivity</v>
      </c>
      <c r="D997" s="29" t="str">
        <f>IFERROR(__xludf.DUMMYFUNCTION("""COMPUTED_VALUE"""),"4")</f>
        <v>4</v>
      </c>
      <c r="E997" s="29">
        <f>IFERROR(__xludf.DUMMYFUNCTION("""COMPUTED_VALUE"""),4.0)</f>
        <v>4</v>
      </c>
    </row>
    <row r="998">
      <c r="A998" s="33">
        <f>IFERROR(__xludf.DUMMYFUNCTION("""COMPUTED_VALUE"""),45827.871949594904)</f>
        <v>45827.87195</v>
      </c>
      <c r="B998" s="29" t="str">
        <f>IFERROR(__xludf.DUMMYFUNCTION("""COMPUTED_VALUE"""),"Circumcised")</f>
        <v>Circumcised</v>
      </c>
      <c r="C998" s="29" t="str">
        <f>IFERROR(__xludf.DUMMYFUNCTION("""COMPUTED_VALUE"""),"Light Touch Sensitivity")</f>
        <v>Light Touch Sensitivity</v>
      </c>
      <c r="D998" s="29" t="str">
        <f>IFERROR(__xludf.DUMMYFUNCTION("""COMPUTED_VALUE"""),"4")</f>
        <v>4</v>
      </c>
      <c r="E998" s="29">
        <f>IFERROR(__xludf.DUMMYFUNCTION("""COMPUTED_VALUE"""),4.0)</f>
        <v>4</v>
      </c>
    </row>
    <row r="999">
      <c r="A999" s="33">
        <f>IFERROR(__xludf.DUMMYFUNCTION("""COMPUTED_VALUE"""),45827.892397233794)</f>
        <v>45827.8924</v>
      </c>
      <c r="B999" s="29" t="str">
        <f>IFERROR(__xludf.DUMMYFUNCTION("""COMPUTED_VALUE"""),"Intact (Never circumcised)")</f>
        <v>Intact (Never circumcised)</v>
      </c>
      <c r="C999" s="29" t="str">
        <f>IFERROR(__xludf.DUMMYFUNCTION("""COMPUTED_VALUE"""),"Light Touch Sensitivity")</f>
        <v>Light Touch Sensitivity</v>
      </c>
      <c r="D999" s="29" t="str">
        <f>IFERROR(__xludf.DUMMYFUNCTION("""COMPUTED_VALUE"""),"4")</f>
        <v>4</v>
      </c>
      <c r="E999" s="29">
        <f>IFERROR(__xludf.DUMMYFUNCTION("""COMPUTED_VALUE"""),4.0)</f>
        <v>4</v>
      </c>
    </row>
    <row r="1000">
      <c r="A1000" s="33">
        <f>IFERROR(__xludf.DUMMYFUNCTION("""COMPUTED_VALUE"""),45827.910598622686)</f>
        <v>45827.9106</v>
      </c>
      <c r="B1000" s="29" t="str">
        <f>IFERROR(__xludf.DUMMYFUNCTION("""COMPUTED_VALUE"""),"Circumcised")</f>
        <v>Circumcised</v>
      </c>
      <c r="C1000" s="29" t="str">
        <f>IFERROR(__xludf.DUMMYFUNCTION("""COMPUTED_VALUE"""),"Light Touch Sensitivity")</f>
        <v>Light Touch Sensitivity</v>
      </c>
      <c r="D1000" s="29" t="str">
        <f>IFERROR(__xludf.DUMMYFUNCTION("""COMPUTED_VALUE"""),"1 (Low/Poor)")</f>
        <v>1 (Low/Poor)</v>
      </c>
      <c r="E1000" s="29">
        <f>IFERROR(__xludf.DUMMYFUNCTION("""COMPUTED_VALUE"""),1.0)</f>
        <v>1</v>
      </c>
    </row>
    <row r="1001">
      <c r="A1001" s="33">
        <f>IFERROR(__xludf.DUMMYFUNCTION("""COMPUTED_VALUE"""),45827.9134716551)</f>
        <v>45827.91347</v>
      </c>
      <c r="B1001" s="29" t="str">
        <f>IFERROR(__xludf.DUMMYFUNCTION("""COMPUTED_VALUE"""),"Intact (Never circumcised)")</f>
        <v>Intact (Never circumcised)</v>
      </c>
      <c r="C1001" s="29" t="str">
        <f>IFERROR(__xludf.DUMMYFUNCTION("""COMPUTED_VALUE"""),"Light Touch Sensitivity")</f>
        <v>Light Touch Sensitivity</v>
      </c>
      <c r="D1001" s="29" t="str">
        <f>IFERROR(__xludf.DUMMYFUNCTION("""COMPUTED_VALUE"""),"5 (High/Excellent)")</f>
        <v>5 (High/Excellent)</v>
      </c>
      <c r="E1001" s="29">
        <f>IFERROR(__xludf.DUMMYFUNCTION("""COMPUTED_VALUE"""),5.0)</f>
        <v>5</v>
      </c>
    </row>
    <row r="1002">
      <c r="A1002" s="33">
        <f>IFERROR(__xludf.DUMMYFUNCTION("""COMPUTED_VALUE"""),45827.91495508102)</f>
        <v>45827.91496</v>
      </c>
      <c r="B1002" s="29" t="str">
        <f>IFERROR(__xludf.DUMMYFUNCTION("""COMPUTED_VALUE"""),"Intact (Never circumcised)")</f>
        <v>Intact (Never circumcised)</v>
      </c>
      <c r="C1002" s="29" t="str">
        <f>IFERROR(__xludf.DUMMYFUNCTION("""COMPUTED_VALUE"""),"Light Touch Sensitivity")</f>
        <v>Light Touch Sensitivity</v>
      </c>
      <c r="D1002" s="29" t="str">
        <f>IFERROR(__xludf.DUMMYFUNCTION("""COMPUTED_VALUE"""),"5 (High/Excellent)")</f>
        <v>5 (High/Excellent)</v>
      </c>
      <c r="E1002" s="29">
        <f>IFERROR(__xludf.DUMMYFUNCTION("""COMPUTED_VALUE"""),5.0)</f>
        <v>5</v>
      </c>
    </row>
    <row r="1003">
      <c r="A1003" s="33">
        <f>IFERROR(__xludf.DUMMYFUNCTION("""COMPUTED_VALUE"""),45827.94294872685)</f>
        <v>45827.94295</v>
      </c>
      <c r="B1003" s="29" t="str">
        <f>IFERROR(__xludf.DUMMYFUNCTION("""COMPUTED_VALUE"""),"Intact (Never circumcised)")</f>
        <v>Intact (Never circumcised)</v>
      </c>
      <c r="C1003" s="29" t="str">
        <f>IFERROR(__xludf.DUMMYFUNCTION("""COMPUTED_VALUE"""),"Light Touch Sensitivity")</f>
        <v>Light Touch Sensitivity</v>
      </c>
      <c r="D1003" s="29" t="str">
        <f>IFERROR(__xludf.DUMMYFUNCTION("""COMPUTED_VALUE"""),"4")</f>
        <v>4</v>
      </c>
      <c r="E1003" s="29">
        <f>IFERROR(__xludf.DUMMYFUNCTION("""COMPUTED_VALUE"""),4.0)</f>
        <v>4</v>
      </c>
    </row>
    <row r="1004">
      <c r="A1004" s="33">
        <f>IFERROR(__xludf.DUMMYFUNCTION("""COMPUTED_VALUE"""),45827.94687665509)</f>
        <v>45827.94688</v>
      </c>
      <c r="B1004" s="29" t="str">
        <f>IFERROR(__xludf.DUMMYFUNCTION("""COMPUTED_VALUE"""),"Intact (Never circumcised)")</f>
        <v>Intact (Never circumcised)</v>
      </c>
      <c r="C1004" s="29" t="str">
        <f>IFERROR(__xludf.DUMMYFUNCTION("""COMPUTED_VALUE"""),"Light Touch Sensitivity")</f>
        <v>Light Touch Sensitivity</v>
      </c>
      <c r="D1004" s="29" t="str">
        <f>IFERROR(__xludf.DUMMYFUNCTION("""COMPUTED_VALUE"""),"5 (High/Excellent)")</f>
        <v>5 (High/Excellent)</v>
      </c>
      <c r="E1004" s="29">
        <f>IFERROR(__xludf.DUMMYFUNCTION("""COMPUTED_VALUE"""),5.0)</f>
        <v>5</v>
      </c>
    </row>
    <row r="1005">
      <c r="A1005" s="33">
        <f>IFERROR(__xludf.DUMMYFUNCTION("""COMPUTED_VALUE"""),45827.95053562501)</f>
        <v>45827.95054</v>
      </c>
      <c r="B1005" s="29" t="str">
        <f>IFERROR(__xludf.DUMMYFUNCTION("""COMPUTED_VALUE"""),"Intact (Never circumcised)")</f>
        <v>Intact (Never circumcised)</v>
      </c>
      <c r="C1005" s="29" t="str">
        <f>IFERROR(__xludf.DUMMYFUNCTION("""COMPUTED_VALUE"""),"Light Touch Sensitivity")</f>
        <v>Light Touch Sensitivity</v>
      </c>
      <c r="D1005" s="29" t="str">
        <f>IFERROR(__xludf.DUMMYFUNCTION("""COMPUTED_VALUE"""),"4")</f>
        <v>4</v>
      </c>
      <c r="E1005" s="29">
        <f>IFERROR(__xludf.DUMMYFUNCTION("""COMPUTED_VALUE"""),4.0)</f>
        <v>4</v>
      </c>
    </row>
    <row r="1006">
      <c r="A1006" s="33">
        <f>IFERROR(__xludf.DUMMYFUNCTION("""COMPUTED_VALUE"""),45827.95437741898)</f>
        <v>45827.95438</v>
      </c>
      <c r="B1006" s="29" t="str">
        <f>IFERROR(__xludf.DUMMYFUNCTION("""COMPUTED_VALUE"""),"Circumcised")</f>
        <v>Circumcised</v>
      </c>
      <c r="C1006" s="29" t="str">
        <f>IFERROR(__xludf.DUMMYFUNCTION("""COMPUTED_VALUE"""),"Light Touch Sensitivity")</f>
        <v>Light Touch Sensitivity</v>
      </c>
      <c r="D1006" s="29" t="str">
        <f>IFERROR(__xludf.DUMMYFUNCTION("""COMPUTED_VALUE"""),"1 (Low/Poor)")</f>
        <v>1 (Low/Poor)</v>
      </c>
      <c r="E1006" s="29">
        <f>IFERROR(__xludf.DUMMYFUNCTION("""COMPUTED_VALUE"""),1.0)</f>
        <v>1</v>
      </c>
    </row>
    <row r="1007">
      <c r="A1007" s="33">
        <f>IFERROR(__xludf.DUMMYFUNCTION("""COMPUTED_VALUE"""),45828.00873828704)</f>
        <v>45828.00874</v>
      </c>
      <c r="B1007" s="29" t="str">
        <f>IFERROR(__xludf.DUMMYFUNCTION("""COMPUTED_VALUE"""),"Intact (Never circumcised)")</f>
        <v>Intact (Never circumcised)</v>
      </c>
      <c r="C1007" s="29" t="str">
        <f>IFERROR(__xludf.DUMMYFUNCTION("""COMPUTED_VALUE"""),"Light Touch Sensitivity")</f>
        <v>Light Touch Sensitivity</v>
      </c>
      <c r="D1007" s="29" t="str">
        <f>IFERROR(__xludf.DUMMYFUNCTION("""COMPUTED_VALUE"""),"3 (Medium/Average)")</f>
        <v>3 (Medium/Average)</v>
      </c>
      <c r="E1007" s="29">
        <f>IFERROR(__xludf.DUMMYFUNCTION("""COMPUTED_VALUE"""),3.0)</f>
        <v>3</v>
      </c>
    </row>
    <row r="1008">
      <c r="A1008" s="33">
        <f>IFERROR(__xludf.DUMMYFUNCTION("""COMPUTED_VALUE"""),45828.01005491898)</f>
        <v>45828.01005</v>
      </c>
      <c r="B1008" s="29" t="str">
        <f>IFERROR(__xludf.DUMMYFUNCTION("""COMPUTED_VALUE"""),"Actively restoring my foreskin / I consider myself restored")</f>
        <v>Actively restoring my foreskin / I consider myself restored</v>
      </c>
      <c r="C1008" s="29" t="str">
        <f>IFERROR(__xludf.DUMMYFUNCTION("""COMPUTED_VALUE"""),"Light Touch Sensitivity")</f>
        <v>Light Touch Sensitivity</v>
      </c>
      <c r="D1008" s="29" t="str">
        <f>IFERROR(__xludf.DUMMYFUNCTION("""COMPUTED_VALUE"""),"1 (Low/Poor)")</f>
        <v>1 (Low/Poor)</v>
      </c>
      <c r="E1008" s="29">
        <f>IFERROR(__xludf.DUMMYFUNCTION("""COMPUTED_VALUE"""),1.0)</f>
        <v>1</v>
      </c>
    </row>
    <row r="1009">
      <c r="A1009" s="33">
        <f>IFERROR(__xludf.DUMMYFUNCTION("""COMPUTED_VALUE"""),45828.05815188657)</f>
        <v>45828.05815</v>
      </c>
      <c r="B1009" s="29" t="str">
        <f>IFERROR(__xludf.DUMMYFUNCTION("""COMPUTED_VALUE"""),"Intact (Never circumcised)")</f>
        <v>Intact (Never circumcised)</v>
      </c>
      <c r="C1009" s="29" t="str">
        <f>IFERROR(__xludf.DUMMYFUNCTION("""COMPUTED_VALUE"""),"Light Touch Sensitivity")</f>
        <v>Light Touch Sensitivity</v>
      </c>
      <c r="D1009" s="29" t="str">
        <f>IFERROR(__xludf.DUMMYFUNCTION("""COMPUTED_VALUE"""),"5 (High/Excellent)")</f>
        <v>5 (High/Excellent)</v>
      </c>
      <c r="E1009" s="29">
        <f>IFERROR(__xludf.DUMMYFUNCTION("""COMPUTED_VALUE"""),5.0)</f>
        <v>5</v>
      </c>
    </row>
    <row r="1010">
      <c r="A1010" s="33">
        <f>IFERROR(__xludf.DUMMYFUNCTION("""COMPUTED_VALUE"""),45828.06036765046)</f>
        <v>45828.06037</v>
      </c>
      <c r="B1010" s="29" t="str">
        <f>IFERROR(__xludf.DUMMYFUNCTION("""COMPUTED_VALUE"""),"Circumcised")</f>
        <v>Circumcised</v>
      </c>
      <c r="C1010" s="29" t="str">
        <f>IFERROR(__xludf.DUMMYFUNCTION("""COMPUTED_VALUE"""),"Light Touch Sensitivity")</f>
        <v>Light Touch Sensitivity</v>
      </c>
      <c r="D1010" s="29" t="str">
        <f>IFERROR(__xludf.DUMMYFUNCTION("""COMPUTED_VALUE"""),"2")</f>
        <v>2</v>
      </c>
      <c r="E1010" s="29">
        <f>IFERROR(__xludf.DUMMYFUNCTION("""COMPUTED_VALUE"""),2.0)</f>
        <v>2</v>
      </c>
    </row>
    <row r="1011">
      <c r="A1011" s="33">
        <f>IFERROR(__xludf.DUMMYFUNCTION("""COMPUTED_VALUE"""),45828.06330849537)</f>
        <v>45828.06331</v>
      </c>
      <c r="B1011" s="29" t="str">
        <f>IFERROR(__xludf.DUMMYFUNCTION("""COMPUTED_VALUE"""),"Circumcised")</f>
        <v>Circumcised</v>
      </c>
      <c r="C1011" s="29" t="str">
        <f>IFERROR(__xludf.DUMMYFUNCTION("""COMPUTED_VALUE"""),"Light Touch Sensitivity")</f>
        <v>Light Touch Sensitivity</v>
      </c>
      <c r="D1011" s="29" t="str">
        <f>IFERROR(__xludf.DUMMYFUNCTION("""COMPUTED_VALUE"""),"3 (Medium/Average)")</f>
        <v>3 (Medium/Average)</v>
      </c>
      <c r="E1011" s="29">
        <f>IFERROR(__xludf.DUMMYFUNCTION("""COMPUTED_VALUE"""),3.0)</f>
        <v>3</v>
      </c>
    </row>
    <row r="1012">
      <c r="A1012" s="33">
        <f>IFERROR(__xludf.DUMMYFUNCTION("""COMPUTED_VALUE"""),45828.12018145833)</f>
        <v>45828.12018</v>
      </c>
      <c r="B1012" s="29" t="str">
        <f>IFERROR(__xludf.DUMMYFUNCTION("""COMPUTED_VALUE"""),"Circumcised")</f>
        <v>Circumcised</v>
      </c>
      <c r="C1012" s="29" t="str">
        <f>IFERROR(__xludf.DUMMYFUNCTION("""COMPUTED_VALUE"""),"Light Touch Sensitivity")</f>
        <v>Light Touch Sensitivity</v>
      </c>
      <c r="D1012" s="29" t="str">
        <f>IFERROR(__xludf.DUMMYFUNCTION("""COMPUTED_VALUE"""),"4")</f>
        <v>4</v>
      </c>
      <c r="E1012" s="29">
        <f>IFERROR(__xludf.DUMMYFUNCTION("""COMPUTED_VALUE"""),4.0)</f>
        <v>4</v>
      </c>
    </row>
    <row r="1013">
      <c r="A1013" s="33">
        <f>IFERROR(__xludf.DUMMYFUNCTION("""COMPUTED_VALUE"""),45828.15012672453)</f>
        <v>45828.15013</v>
      </c>
      <c r="B1013" s="29" t="str">
        <f>IFERROR(__xludf.DUMMYFUNCTION("""COMPUTED_VALUE"""),"Intact (Never circumcised)")</f>
        <v>Intact (Never circumcised)</v>
      </c>
      <c r="C1013" s="29" t="str">
        <f>IFERROR(__xludf.DUMMYFUNCTION("""COMPUTED_VALUE"""),"Light Touch Sensitivity")</f>
        <v>Light Touch Sensitivity</v>
      </c>
      <c r="D1013" s="29" t="str">
        <f>IFERROR(__xludf.DUMMYFUNCTION("""COMPUTED_VALUE"""),"5 (High/Excellent)")</f>
        <v>5 (High/Excellent)</v>
      </c>
      <c r="E1013" s="29">
        <f>IFERROR(__xludf.DUMMYFUNCTION("""COMPUTED_VALUE"""),5.0)</f>
        <v>5</v>
      </c>
    </row>
    <row r="1014">
      <c r="A1014" s="33">
        <f>IFERROR(__xludf.DUMMYFUNCTION("""COMPUTED_VALUE"""),45828.202019930555)</f>
        <v>45828.20202</v>
      </c>
      <c r="B1014" s="29" t="str">
        <f>IFERROR(__xludf.DUMMYFUNCTION("""COMPUTED_VALUE"""),"Intact (Never circumcised)")</f>
        <v>Intact (Never circumcised)</v>
      </c>
      <c r="C1014" s="29" t="str">
        <f>IFERROR(__xludf.DUMMYFUNCTION("""COMPUTED_VALUE"""),"Light Touch Sensitivity")</f>
        <v>Light Touch Sensitivity</v>
      </c>
      <c r="D1014" s="29" t="str">
        <f>IFERROR(__xludf.DUMMYFUNCTION("""COMPUTED_VALUE"""),"5 (High/Excellent)")</f>
        <v>5 (High/Excellent)</v>
      </c>
      <c r="E1014" s="29">
        <f>IFERROR(__xludf.DUMMYFUNCTION("""COMPUTED_VALUE"""),5.0)</f>
        <v>5</v>
      </c>
    </row>
    <row r="1015">
      <c r="A1015" s="33">
        <f>IFERROR(__xludf.DUMMYFUNCTION("""COMPUTED_VALUE"""),45828.21023520834)</f>
        <v>45828.21024</v>
      </c>
      <c r="B1015" s="29" t="str">
        <f>IFERROR(__xludf.DUMMYFUNCTION("""COMPUTED_VALUE"""),"Intact (Never circumcised)")</f>
        <v>Intact (Never circumcised)</v>
      </c>
      <c r="C1015" s="29" t="str">
        <f>IFERROR(__xludf.DUMMYFUNCTION("""COMPUTED_VALUE"""),"Light Touch Sensitivity")</f>
        <v>Light Touch Sensitivity</v>
      </c>
      <c r="D1015" s="29" t="str">
        <f>IFERROR(__xludf.DUMMYFUNCTION("""COMPUTED_VALUE"""),"5 (High/Excellent)")</f>
        <v>5 (High/Excellent)</v>
      </c>
      <c r="E1015" s="29">
        <f>IFERROR(__xludf.DUMMYFUNCTION("""COMPUTED_VALUE"""),5.0)</f>
        <v>5</v>
      </c>
    </row>
    <row r="1016">
      <c r="A1016" s="33">
        <f>IFERROR(__xludf.DUMMYFUNCTION("""COMPUTED_VALUE"""),45828.22725708334)</f>
        <v>45828.22726</v>
      </c>
      <c r="B1016" s="29" t="str">
        <f>IFERROR(__xludf.DUMMYFUNCTION("""COMPUTED_VALUE"""),"Circumcised")</f>
        <v>Circumcised</v>
      </c>
      <c r="C1016" s="29" t="str">
        <f>IFERROR(__xludf.DUMMYFUNCTION("""COMPUTED_VALUE"""),"Light Touch Sensitivity")</f>
        <v>Light Touch Sensitivity</v>
      </c>
      <c r="D1016" s="29" t="str">
        <f>IFERROR(__xludf.DUMMYFUNCTION("""COMPUTED_VALUE"""),"2")</f>
        <v>2</v>
      </c>
      <c r="E1016" s="29">
        <f>IFERROR(__xludf.DUMMYFUNCTION("""COMPUTED_VALUE"""),2.0)</f>
        <v>2</v>
      </c>
    </row>
    <row r="1017">
      <c r="A1017" s="33">
        <f>IFERROR(__xludf.DUMMYFUNCTION("""COMPUTED_VALUE"""),45828.25383616898)</f>
        <v>45828.25384</v>
      </c>
      <c r="B1017" s="29" t="str">
        <f>IFERROR(__xludf.DUMMYFUNCTION("""COMPUTED_VALUE"""),"Intact (Never circumcised)")</f>
        <v>Intact (Never circumcised)</v>
      </c>
      <c r="C1017" s="29" t="str">
        <f>IFERROR(__xludf.DUMMYFUNCTION("""COMPUTED_VALUE"""),"Light Touch Sensitivity")</f>
        <v>Light Touch Sensitivity</v>
      </c>
      <c r="D1017" s="29" t="str">
        <f>IFERROR(__xludf.DUMMYFUNCTION("""COMPUTED_VALUE"""),"5 (High/Excellent)")</f>
        <v>5 (High/Excellent)</v>
      </c>
      <c r="E1017" s="29">
        <f>IFERROR(__xludf.DUMMYFUNCTION("""COMPUTED_VALUE"""),5.0)</f>
        <v>5</v>
      </c>
    </row>
    <row r="1018">
      <c r="A1018" s="33">
        <f>IFERROR(__xludf.DUMMYFUNCTION("""COMPUTED_VALUE"""),45828.2956471412)</f>
        <v>45828.29565</v>
      </c>
      <c r="B1018" s="29" t="str">
        <f>IFERROR(__xludf.DUMMYFUNCTION("""COMPUTED_VALUE"""),"Intact (Never circumcised)")</f>
        <v>Intact (Never circumcised)</v>
      </c>
      <c r="C1018" s="29" t="str">
        <f>IFERROR(__xludf.DUMMYFUNCTION("""COMPUTED_VALUE"""),"Light Touch Sensitivity")</f>
        <v>Light Touch Sensitivity</v>
      </c>
      <c r="D1018" s="29" t="str">
        <f>IFERROR(__xludf.DUMMYFUNCTION("""COMPUTED_VALUE"""),"4")</f>
        <v>4</v>
      </c>
      <c r="E1018" s="29">
        <f>IFERROR(__xludf.DUMMYFUNCTION("""COMPUTED_VALUE"""),4.0)</f>
        <v>4</v>
      </c>
    </row>
    <row r="1019">
      <c r="A1019" s="33">
        <f>IFERROR(__xludf.DUMMYFUNCTION("""COMPUTED_VALUE"""),45828.31245334491)</f>
        <v>45828.31245</v>
      </c>
      <c r="B1019" s="29" t="str">
        <f>IFERROR(__xludf.DUMMYFUNCTION("""COMPUTED_VALUE"""),"Circumcised")</f>
        <v>Circumcised</v>
      </c>
      <c r="C1019" s="29" t="str">
        <f>IFERROR(__xludf.DUMMYFUNCTION("""COMPUTED_VALUE"""),"Light Touch Sensitivity")</f>
        <v>Light Touch Sensitivity</v>
      </c>
      <c r="D1019" s="29" t="str">
        <f>IFERROR(__xludf.DUMMYFUNCTION("""COMPUTED_VALUE"""),"1 (Low/Poor)")</f>
        <v>1 (Low/Poor)</v>
      </c>
      <c r="E1019" s="29">
        <f>IFERROR(__xludf.DUMMYFUNCTION("""COMPUTED_VALUE"""),1.0)</f>
        <v>1</v>
      </c>
    </row>
    <row r="1020">
      <c r="A1020" s="33">
        <f>IFERROR(__xludf.DUMMYFUNCTION("""COMPUTED_VALUE"""),45828.31539207176)</f>
        <v>45828.31539</v>
      </c>
      <c r="B1020" s="29" t="str">
        <f>IFERROR(__xludf.DUMMYFUNCTION("""COMPUTED_VALUE"""),"Circumcised")</f>
        <v>Circumcised</v>
      </c>
      <c r="C1020" s="29" t="str">
        <f>IFERROR(__xludf.DUMMYFUNCTION("""COMPUTED_VALUE"""),"Light Touch Sensitivity")</f>
        <v>Light Touch Sensitivity</v>
      </c>
      <c r="D1020" s="29" t="str">
        <f>IFERROR(__xludf.DUMMYFUNCTION("""COMPUTED_VALUE"""),"1 (Low/Poor)")</f>
        <v>1 (Low/Poor)</v>
      </c>
      <c r="E1020" s="29">
        <f>IFERROR(__xludf.DUMMYFUNCTION("""COMPUTED_VALUE"""),1.0)</f>
        <v>1</v>
      </c>
    </row>
    <row r="1021">
      <c r="A1021" s="33">
        <f>IFERROR(__xludf.DUMMYFUNCTION("""COMPUTED_VALUE"""),45828.341003518515)</f>
        <v>45828.341</v>
      </c>
      <c r="B1021" s="29" t="str">
        <f>IFERROR(__xludf.DUMMYFUNCTION("""COMPUTED_VALUE"""),"Intact (Never circumcised)")</f>
        <v>Intact (Never circumcised)</v>
      </c>
      <c r="C1021" s="29" t="str">
        <f>IFERROR(__xludf.DUMMYFUNCTION("""COMPUTED_VALUE"""),"Light Touch Sensitivity")</f>
        <v>Light Touch Sensitivity</v>
      </c>
      <c r="D1021" s="29" t="str">
        <f>IFERROR(__xludf.DUMMYFUNCTION("""COMPUTED_VALUE"""),"4")</f>
        <v>4</v>
      </c>
      <c r="E1021" s="29">
        <f>IFERROR(__xludf.DUMMYFUNCTION("""COMPUTED_VALUE"""),4.0)</f>
        <v>4</v>
      </c>
    </row>
    <row r="1022">
      <c r="A1022" s="33">
        <f>IFERROR(__xludf.DUMMYFUNCTION("""COMPUTED_VALUE"""),45828.3511699537)</f>
        <v>45828.35117</v>
      </c>
      <c r="B1022" s="29" t="str">
        <f>IFERROR(__xludf.DUMMYFUNCTION("""COMPUTED_VALUE"""),"Intact (Never circumcised)")</f>
        <v>Intact (Never circumcised)</v>
      </c>
      <c r="C1022" s="29" t="str">
        <f>IFERROR(__xludf.DUMMYFUNCTION("""COMPUTED_VALUE"""),"Light Touch Sensitivity")</f>
        <v>Light Touch Sensitivity</v>
      </c>
      <c r="D1022" s="29" t="str">
        <f>IFERROR(__xludf.DUMMYFUNCTION("""COMPUTED_VALUE"""),"5 (High/Excellent)")</f>
        <v>5 (High/Excellent)</v>
      </c>
      <c r="E1022" s="29">
        <f>IFERROR(__xludf.DUMMYFUNCTION("""COMPUTED_VALUE"""),5.0)</f>
        <v>5</v>
      </c>
    </row>
    <row r="1023">
      <c r="A1023" s="33">
        <f>IFERROR(__xludf.DUMMYFUNCTION("""COMPUTED_VALUE"""),45828.35833436343)</f>
        <v>45828.35833</v>
      </c>
      <c r="B1023" s="29" t="str">
        <f>IFERROR(__xludf.DUMMYFUNCTION("""COMPUTED_VALUE"""),"Actively restoring my foreskin / I consider myself restored")</f>
        <v>Actively restoring my foreskin / I consider myself restored</v>
      </c>
      <c r="C1023" s="29" t="str">
        <f>IFERROR(__xludf.DUMMYFUNCTION("""COMPUTED_VALUE"""),"Light Touch Sensitivity")</f>
        <v>Light Touch Sensitivity</v>
      </c>
      <c r="D1023" s="29" t="str">
        <f>IFERROR(__xludf.DUMMYFUNCTION("""COMPUTED_VALUE"""),"2")</f>
        <v>2</v>
      </c>
      <c r="E1023" s="29">
        <f>IFERROR(__xludf.DUMMYFUNCTION("""COMPUTED_VALUE"""),2.0)</f>
        <v>2</v>
      </c>
    </row>
    <row r="1024">
      <c r="A1024" s="33">
        <f>IFERROR(__xludf.DUMMYFUNCTION("""COMPUTED_VALUE"""),45828.35893381945)</f>
        <v>45828.35893</v>
      </c>
      <c r="B1024" s="29" t="str">
        <f>IFERROR(__xludf.DUMMYFUNCTION("""COMPUTED_VALUE"""),"Intact (Never circumcised)")</f>
        <v>Intact (Never circumcised)</v>
      </c>
      <c r="C1024" s="29" t="str">
        <f>IFERROR(__xludf.DUMMYFUNCTION("""COMPUTED_VALUE"""),"Light Touch Sensitivity")</f>
        <v>Light Touch Sensitivity</v>
      </c>
      <c r="D1024" s="29" t="str">
        <f>IFERROR(__xludf.DUMMYFUNCTION("""COMPUTED_VALUE"""),"3 (Medium/Average)")</f>
        <v>3 (Medium/Average)</v>
      </c>
      <c r="E1024" s="29">
        <f>IFERROR(__xludf.DUMMYFUNCTION("""COMPUTED_VALUE"""),3.0)</f>
        <v>3</v>
      </c>
    </row>
    <row r="1025">
      <c r="A1025" s="33">
        <f>IFERROR(__xludf.DUMMYFUNCTION("""COMPUTED_VALUE"""),45828.35894726852)</f>
        <v>45828.35895</v>
      </c>
      <c r="B1025" s="29" t="str">
        <f>IFERROR(__xludf.DUMMYFUNCTION("""COMPUTED_VALUE"""),"Intact (Never circumcised)")</f>
        <v>Intact (Never circumcised)</v>
      </c>
      <c r="C1025" s="29" t="str">
        <f>IFERROR(__xludf.DUMMYFUNCTION("""COMPUTED_VALUE"""),"Light Touch Sensitivity")</f>
        <v>Light Touch Sensitivity</v>
      </c>
      <c r="D1025" s="29" t="str">
        <f>IFERROR(__xludf.DUMMYFUNCTION("""COMPUTED_VALUE"""),"5 (High/Excellent)")</f>
        <v>5 (High/Excellent)</v>
      </c>
      <c r="E1025" s="29">
        <f>IFERROR(__xludf.DUMMYFUNCTION("""COMPUTED_VALUE"""),5.0)</f>
        <v>5</v>
      </c>
    </row>
    <row r="1026">
      <c r="A1026" s="33">
        <f>IFERROR(__xludf.DUMMYFUNCTION("""COMPUTED_VALUE"""),45828.36039090277)</f>
        <v>45828.36039</v>
      </c>
      <c r="B1026" s="29" t="str">
        <f>IFERROR(__xludf.DUMMYFUNCTION("""COMPUTED_VALUE"""),"Circumcised")</f>
        <v>Circumcised</v>
      </c>
      <c r="C1026" s="29" t="str">
        <f>IFERROR(__xludf.DUMMYFUNCTION("""COMPUTED_VALUE"""),"Light Touch Sensitivity")</f>
        <v>Light Touch Sensitivity</v>
      </c>
      <c r="D1026" s="29" t="str">
        <f>IFERROR(__xludf.DUMMYFUNCTION("""COMPUTED_VALUE"""),"1 (Low/Poor)")</f>
        <v>1 (Low/Poor)</v>
      </c>
      <c r="E1026" s="29">
        <f>IFERROR(__xludf.DUMMYFUNCTION("""COMPUTED_VALUE"""),1.0)</f>
        <v>1</v>
      </c>
    </row>
    <row r="1027">
      <c r="A1027" s="33">
        <f>IFERROR(__xludf.DUMMYFUNCTION("""COMPUTED_VALUE"""),45828.39941795139)</f>
        <v>45828.39942</v>
      </c>
      <c r="B1027" s="29" t="str">
        <f>IFERROR(__xludf.DUMMYFUNCTION("""COMPUTED_VALUE"""),"Circumcised")</f>
        <v>Circumcised</v>
      </c>
      <c r="C1027" s="29" t="str">
        <f>IFERROR(__xludf.DUMMYFUNCTION("""COMPUTED_VALUE"""),"Light Touch Sensitivity")</f>
        <v>Light Touch Sensitivity</v>
      </c>
      <c r="D1027" s="29" t="str">
        <f>IFERROR(__xludf.DUMMYFUNCTION("""COMPUTED_VALUE"""),"2")</f>
        <v>2</v>
      </c>
      <c r="E1027" s="29">
        <f>IFERROR(__xludf.DUMMYFUNCTION("""COMPUTED_VALUE"""),2.0)</f>
        <v>2</v>
      </c>
    </row>
    <row r="1028">
      <c r="A1028" s="33">
        <f>IFERROR(__xludf.DUMMYFUNCTION("""COMPUTED_VALUE"""),45828.46985780093)</f>
        <v>45828.46986</v>
      </c>
      <c r="B1028" s="29" t="str">
        <f>IFERROR(__xludf.DUMMYFUNCTION("""COMPUTED_VALUE"""),"Intact (Never circumcised)")</f>
        <v>Intact (Never circumcised)</v>
      </c>
      <c r="C1028" s="29" t="str">
        <f>IFERROR(__xludf.DUMMYFUNCTION("""COMPUTED_VALUE"""),"Light Touch Sensitivity")</f>
        <v>Light Touch Sensitivity</v>
      </c>
      <c r="D1028" s="29" t="str">
        <f>IFERROR(__xludf.DUMMYFUNCTION("""COMPUTED_VALUE"""),"5 (High/Excellent)")</f>
        <v>5 (High/Excellent)</v>
      </c>
      <c r="E1028" s="29">
        <f>IFERROR(__xludf.DUMMYFUNCTION("""COMPUTED_VALUE"""),5.0)</f>
        <v>5</v>
      </c>
    </row>
    <row r="1029">
      <c r="A1029" s="33">
        <f>IFERROR(__xludf.DUMMYFUNCTION("""COMPUTED_VALUE"""),45828.4853855324)</f>
        <v>45828.48539</v>
      </c>
      <c r="B1029" s="29" t="str">
        <f>IFERROR(__xludf.DUMMYFUNCTION("""COMPUTED_VALUE"""),"Actively restoring my foreskin / I consider myself restored")</f>
        <v>Actively restoring my foreskin / I consider myself restored</v>
      </c>
      <c r="C1029" s="29" t="str">
        <f>IFERROR(__xludf.DUMMYFUNCTION("""COMPUTED_VALUE"""),"Light Touch Sensitivity")</f>
        <v>Light Touch Sensitivity</v>
      </c>
      <c r="D1029" s="29" t="str">
        <f>IFERROR(__xludf.DUMMYFUNCTION("""COMPUTED_VALUE"""),"3 (Medium/Average)")</f>
        <v>3 (Medium/Average)</v>
      </c>
      <c r="E1029" s="29">
        <f>IFERROR(__xludf.DUMMYFUNCTION("""COMPUTED_VALUE"""),3.0)</f>
        <v>3</v>
      </c>
    </row>
    <row r="1030">
      <c r="A1030" s="33">
        <f>IFERROR(__xludf.DUMMYFUNCTION("""COMPUTED_VALUE"""),45828.49643018519)</f>
        <v>45828.49643</v>
      </c>
      <c r="B1030" s="29" t="str">
        <f>IFERROR(__xludf.DUMMYFUNCTION("""COMPUTED_VALUE"""),"Circumcised")</f>
        <v>Circumcised</v>
      </c>
      <c r="C1030" s="29" t="str">
        <f>IFERROR(__xludf.DUMMYFUNCTION("""COMPUTED_VALUE"""),"Light Touch Sensitivity")</f>
        <v>Light Touch Sensitivity</v>
      </c>
      <c r="D1030" s="29" t="str">
        <f>IFERROR(__xludf.DUMMYFUNCTION("""COMPUTED_VALUE"""),"4")</f>
        <v>4</v>
      </c>
      <c r="E1030" s="29">
        <f>IFERROR(__xludf.DUMMYFUNCTION("""COMPUTED_VALUE"""),4.0)</f>
        <v>4</v>
      </c>
    </row>
    <row r="1031">
      <c r="A1031" s="33">
        <f>IFERROR(__xludf.DUMMYFUNCTION("""COMPUTED_VALUE"""),45828.52431340278)</f>
        <v>45828.52431</v>
      </c>
      <c r="B1031" s="29" t="str">
        <f>IFERROR(__xludf.DUMMYFUNCTION("""COMPUTED_VALUE"""),"Intact (Never circumcised)")</f>
        <v>Intact (Never circumcised)</v>
      </c>
      <c r="C1031" s="29" t="str">
        <f>IFERROR(__xludf.DUMMYFUNCTION("""COMPUTED_VALUE"""),"Light Touch Sensitivity")</f>
        <v>Light Touch Sensitivity</v>
      </c>
      <c r="D1031" s="29" t="str">
        <f>IFERROR(__xludf.DUMMYFUNCTION("""COMPUTED_VALUE"""),"3 (Medium/Average)")</f>
        <v>3 (Medium/Average)</v>
      </c>
      <c r="E1031" s="29">
        <f>IFERROR(__xludf.DUMMYFUNCTION("""COMPUTED_VALUE"""),3.0)</f>
        <v>3</v>
      </c>
    </row>
    <row r="1032">
      <c r="A1032" s="33">
        <f>IFERROR(__xludf.DUMMYFUNCTION("""COMPUTED_VALUE"""),45828.5412253125)</f>
        <v>45828.54123</v>
      </c>
      <c r="B1032" s="29" t="str">
        <f>IFERROR(__xludf.DUMMYFUNCTION("""COMPUTED_VALUE"""),"Circumcised")</f>
        <v>Circumcised</v>
      </c>
      <c r="C1032" s="29" t="str">
        <f>IFERROR(__xludf.DUMMYFUNCTION("""COMPUTED_VALUE"""),"Light Touch Sensitivity")</f>
        <v>Light Touch Sensitivity</v>
      </c>
      <c r="D1032" s="29" t="str">
        <f>IFERROR(__xludf.DUMMYFUNCTION("""COMPUTED_VALUE"""),"2")</f>
        <v>2</v>
      </c>
      <c r="E1032" s="29">
        <f>IFERROR(__xludf.DUMMYFUNCTION("""COMPUTED_VALUE"""),2.0)</f>
        <v>2</v>
      </c>
    </row>
    <row r="1033">
      <c r="A1033" s="33">
        <f>IFERROR(__xludf.DUMMYFUNCTION("""COMPUTED_VALUE"""),45828.55194200231)</f>
        <v>45828.55194</v>
      </c>
      <c r="B1033" s="29" t="str">
        <f>IFERROR(__xludf.DUMMYFUNCTION("""COMPUTED_VALUE"""),"Intact (Never circumcised)")</f>
        <v>Intact (Never circumcised)</v>
      </c>
      <c r="C1033" s="29" t="str">
        <f>IFERROR(__xludf.DUMMYFUNCTION("""COMPUTED_VALUE"""),"Light Touch Sensitivity")</f>
        <v>Light Touch Sensitivity</v>
      </c>
      <c r="D1033" s="29" t="str">
        <f>IFERROR(__xludf.DUMMYFUNCTION("""COMPUTED_VALUE"""),"5 (High/Excellent)")</f>
        <v>5 (High/Excellent)</v>
      </c>
      <c r="E1033" s="29">
        <f>IFERROR(__xludf.DUMMYFUNCTION("""COMPUTED_VALUE"""),5.0)</f>
        <v>5</v>
      </c>
    </row>
    <row r="1034">
      <c r="A1034" s="33">
        <f>IFERROR(__xludf.DUMMYFUNCTION("""COMPUTED_VALUE"""),45828.57699451389)</f>
        <v>45828.57699</v>
      </c>
      <c r="B1034" s="29" t="str">
        <f>IFERROR(__xludf.DUMMYFUNCTION("""COMPUTED_VALUE"""),"Circumcised")</f>
        <v>Circumcised</v>
      </c>
      <c r="C1034" s="29" t="str">
        <f>IFERROR(__xludf.DUMMYFUNCTION("""COMPUTED_VALUE"""),"Light Touch Sensitivity")</f>
        <v>Light Touch Sensitivity</v>
      </c>
      <c r="D1034" s="29" t="str">
        <f>IFERROR(__xludf.DUMMYFUNCTION("""COMPUTED_VALUE"""),"2")</f>
        <v>2</v>
      </c>
      <c r="E1034" s="29">
        <f>IFERROR(__xludf.DUMMYFUNCTION("""COMPUTED_VALUE"""),2.0)</f>
        <v>2</v>
      </c>
    </row>
    <row r="1035">
      <c r="A1035" s="33">
        <f>IFERROR(__xludf.DUMMYFUNCTION("""COMPUTED_VALUE"""),45828.57987178241)</f>
        <v>45828.57987</v>
      </c>
      <c r="B1035" s="29" t="str">
        <f>IFERROR(__xludf.DUMMYFUNCTION("""COMPUTED_VALUE"""),"Intact (Never circumcised)")</f>
        <v>Intact (Never circumcised)</v>
      </c>
      <c r="C1035" s="29" t="str">
        <f>IFERROR(__xludf.DUMMYFUNCTION("""COMPUTED_VALUE"""),"Light Touch Sensitivity")</f>
        <v>Light Touch Sensitivity</v>
      </c>
      <c r="D1035" s="29" t="str">
        <f>IFERROR(__xludf.DUMMYFUNCTION("""COMPUTED_VALUE"""),"4")</f>
        <v>4</v>
      </c>
      <c r="E1035" s="29">
        <f>IFERROR(__xludf.DUMMYFUNCTION("""COMPUTED_VALUE"""),4.0)</f>
        <v>4</v>
      </c>
    </row>
    <row r="1036">
      <c r="A1036" s="33">
        <f>IFERROR(__xludf.DUMMYFUNCTION("""COMPUTED_VALUE"""),45828.60358170139)</f>
        <v>45828.60358</v>
      </c>
      <c r="B1036" s="29" t="str">
        <f>IFERROR(__xludf.DUMMYFUNCTION("""COMPUTED_VALUE"""),"Circumcised")</f>
        <v>Circumcised</v>
      </c>
      <c r="C1036" s="29" t="str">
        <f>IFERROR(__xludf.DUMMYFUNCTION("""COMPUTED_VALUE"""),"Light Touch Sensitivity")</f>
        <v>Light Touch Sensitivity</v>
      </c>
      <c r="D1036" s="29" t="str">
        <f>IFERROR(__xludf.DUMMYFUNCTION("""COMPUTED_VALUE"""),"4")</f>
        <v>4</v>
      </c>
      <c r="E1036" s="29">
        <f>IFERROR(__xludf.DUMMYFUNCTION("""COMPUTED_VALUE"""),4.0)</f>
        <v>4</v>
      </c>
    </row>
    <row r="1037">
      <c r="A1037" s="33">
        <f>IFERROR(__xludf.DUMMYFUNCTION("""COMPUTED_VALUE"""),45828.64029736111)</f>
        <v>45828.6403</v>
      </c>
      <c r="B1037" s="29" t="str">
        <f>IFERROR(__xludf.DUMMYFUNCTION("""COMPUTED_VALUE"""),"Intact (Never circumcised)")</f>
        <v>Intact (Never circumcised)</v>
      </c>
      <c r="C1037" s="29" t="str">
        <f>IFERROR(__xludf.DUMMYFUNCTION("""COMPUTED_VALUE"""),"Light Touch Sensitivity")</f>
        <v>Light Touch Sensitivity</v>
      </c>
      <c r="D1037" s="29" t="str">
        <f>IFERROR(__xludf.DUMMYFUNCTION("""COMPUTED_VALUE"""),"3 (Medium/Average)")</f>
        <v>3 (Medium/Average)</v>
      </c>
      <c r="E1037" s="29">
        <f>IFERROR(__xludf.DUMMYFUNCTION("""COMPUTED_VALUE"""),3.0)</f>
        <v>3</v>
      </c>
    </row>
    <row r="1038">
      <c r="A1038" s="33">
        <f>IFERROR(__xludf.DUMMYFUNCTION("""COMPUTED_VALUE"""),45828.643401828704)</f>
        <v>45828.6434</v>
      </c>
      <c r="B1038" s="29" t="str">
        <f>IFERROR(__xludf.DUMMYFUNCTION("""COMPUTED_VALUE"""),"Intact (Never circumcised)")</f>
        <v>Intact (Never circumcised)</v>
      </c>
      <c r="C1038" s="29" t="str">
        <f>IFERROR(__xludf.DUMMYFUNCTION("""COMPUTED_VALUE"""),"Light Touch Sensitivity")</f>
        <v>Light Touch Sensitivity</v>
      </c>
      <c r="D1038" s="29" t="str">
        <f>IFERROR(__xludf.DUMMYFUNCTION("""COMPUTED_VALUE"""),"5 (High/Excellent)")</f>
        <v>5 (High/Excellent)</v>
      </c>
      <c r="E1038" s="29">
        <f>IFERROR(__xludf.DUMMYFUNCTION("""COMPUTED_VALUE"""),5.0)</f>
        <v>5</v>
      </c>
    </row>
    <row r="1039">
      <c r="A1039" s="33">
        <f>IFERROR(__xludf.DUMMYFUNCTION("""COMPUTED_VALUE"""),45828.78532109953)</f>
        <v>45828.78532</v>
      </c>
      <c r="B1039" s="29" t="str">
        <f>IFERROR(__xludf.DUMMYFUNCTION("""COMPUTED_VALUE"""),"Actively restoring my foreskin / I consider myself restored")</f>
        <v>Actively restoring my foreskin / I consider myself restored</v>
      </c>
      <c r="C1039" s="29" t="str">
        <f>IFERROR(__xludf.DUMMYFUNCTION("""COMPUTED_VALUE"""),"Light Touch Sensitivity")</f>
        <v>Light Touch Sensitivity</v>
      </c>
      <c r="D1039" s="29" t="str">
        <f>IFERROR(__xludf.DUMMYFUNCTION("""COMPUTED_VALUE"""),"5 (High/Excellent)")</f>
        <v>5 (High/Excellent)</v>
      </c>
      <c r="E1039" s="29">
        <f>IFERROR(__xludf.DUMMYFUNCTION("""COMPUTED_VALUE"""),5.0)</f>
        <v>5</v>
      </c>
    </row>
    <row r="1040">
      <c r="A1040" s="33">
        <f>IFERROR(__xludf.DUMMYFUNCTION("""COMPUTED_VALUE"""),45828.791163622685)</f>
        <v>45828.79116</v>
      </c>
      <c r="B1040" s="29" t="str">
        <f>IFERROR(__xludf.DUMMYFUNCTION("""COMPUTED_VALUE"""),"Circumcised")</f>
        <v>Circumcised</v>
      </c>
      <c r="C1040" s="29" t="str">
        <f>IFERROR(__xludf.DUMMYFUNCTION("""COMPUTED_VALUE"""),"Light Touch Sensitivity")</f>
        <v>Light Touch Sensitivity</v>
      </c>
      <c r="D1040" s="29" t="str">
        <f>IFERROR(__xludf.DUMMYFUNCTION("""COMPUTED_VALUE"""),"2")</f>
        <v>2</v>
      </c>
      <c r="E1040" s="29">
        <f>IFERROR(__xludf.DUMMYFUNCTION("""COMPUTED_VALUE"""),2.0)</f>
        <v>2</v>
      </c>
    </row>
    <row r="1041">
      <c r="A1041" s="33">
        <f>IFERROR(__xludf.DUMMYFUNCTION("""COMPUTED_VALUE"""),45828.88566534722)</f>
        <v>45828.88567</v>
      </c>
      <c r="B1041" s="29" t="str">
        <f>IFERROR(__xludf.DUMMYFUNCTION("""COMPUTED_VALUE"""),"Circumcised")</f>
        <v>Circumcised</v>
      </c>
      <c r="C1041" s="29" t="str">
        <f>IFERROR(__xludf.DUMMYFUNCTION("""COMPUTED_VALUE"""),"Light Touch Sensitivity")</f>
        <v>Light Touch Sensitivity</v>
      </c>
      <c r="D1041" s="29" t="str">
        <f>IFERROR(__xludf.DUMMYFUNCTION("""COMPUTED_VALUE"""),"4")</f>
        <v>4</v>
      </c>
      <c r="E1041" s="29">
        <f>IFERROR(__xludf.DUMMYFUNCTION("""COMPUTED_VALUE"""),4.0)</f>
        <v>4</v>
      </c>
    </row>
    <row r="1042">
      <c r="A1042" s="33">
        <f>IFERROR(__xludf.DUMMYFUNCTION("""COMPUTED_VALUE"""),45828.891574270834)</f>
        <v>45828.89157</v>
      </c>
      <c r="B1042" s="29" t="str">
        <f>IFERROR(__xludf.DUMMYFUNCTION("""COMPUTED_VALUE"""),"Circumcised")</f>
        <v>Circumcised</v>
      </c>
      <c r="C1042" s="29" t="str">
        <f>IFERROR(__xludf.DUMMYFUNCTION("""COMPUTED_VALUE"""),"Light Touch Sensitivity")</f>
        <v>Light Touch Sensitivity</v>
      </c>
      <c r="D1042" s="29" t="str">
        <f>IFERROR(__xludf.DUMMYFUNCTION("""COMPUTED_VALUE"""),"3 (Medium/Average)")</f>
        <v>3 (Medium/Average)</v>
      </c>
      <c r="E1042" s="29">
        <f>IFERROR(__xludf.DUMMYFUNCTION("""COMPUTED_VALUE"""),3.0)</f>
        <v>3</v>
      </c>
    </row>
    <row r="1043">
      <c r="A1043" s="33">
        <f>IFERROR(__xludf.DUMMYFUNCTION("""COMPUTED_VALUE"""),45828.92868631945)</f>
        <v>45828.92869</v>
      </c>
      <c r="B1043" s="29" t="str">
        <f>IFERROR(__xludf.DUMMYFUNCTION("""COMPUTED_VALUE"""),"Actively restoring my foreskin / I consider myself restored")</f>
        <v>Actively restoring my foreskin / I consider myself restored</v>
      </c>
      <c r="C1043" s="29" t="str">
        <f>IFERROR(__xludf.DUMMYFUNCTION("""COMPUTED_VALUE"""),"Light Touch Sensitivity")</f>
        <v>Light Touch Sensitivity</v>
      </c>
      <c r="D1043" s="29" t="str">
        <f>IFERROR(__xludf.DUMMYFUNCTION("""COMPUTED_VALUE"""),"3 (Medium/Average)")</f>
        <v>3 (Medium/Average)</v>
      </c>
      <c r="E1043" s="29">
        <f>IFERROR(__xludf.DUMMYFUNCTION("""COMPUTED_VALUE"""),3.0)</f>
        <v>3</v>
      </c>
    </row>
    <row r="1044">
      <c r="A1044" s="33">
        <f>IFERROR(__xludf.DUMMYFUNCTION("""COMPUTED_VALUE"""),45829.002409062494)</f>
        <v>45829.00241</v>
      </c>
      <c r="B1044" s="29" t="str">
        <f>IFERROR(__xludf.DUMMYFUNCTION("""COMPUTED_VALUE"""),"Circumcised")</f>
        <v>Circumcised</v>
      </c>
      <c r="C1044" s="29" t="str">
        <f>IFERROR(__xludf.DUMMYFUNCTION("""COMPUTED_VALUE"""),"Light Touch Sensitivity")</f>
        <v>Light Touch Sensitivity</v>
      </c>
      <c r="D1044" s="29" t="str">
        <f>IFERROR(__xludf.DUMMYFUNCTION("""COMPUTED_VALUE"""),"1 (Low/Poor)")</f>
        <v>1 (Low/Poor)</v>
      </c>
      <c r="E1044" s="29">
        <f>IFERROR(__xludf.DUMMYFUNCTION("""COMPUTED_VALUE"""),1.0)</f>
        <v>1</v>
      </c>
    </row>
    <row r="1045">
      <c r="A1045" s="33">
        <f>IFERROR(__xludf.DUMMYFUNCTION("""COMPUTED_VALUE"""),45829.15104336806)</f>
        <v>45829.15104</v>
      </c>
      <c r="B1045" s="29" t="str">
        <f>IFERROR(__xludf.DUMMYFUNCTION("""COMPUTED_VALUE"""),"Circumcised")</f>
        <v>Circumcised</v>
      </c>
      <c r="C1045" s="29" t="str">
        <f>IFERROR(__xludf.DUMMYFUNCTION("""COMPUTED_VALUE"""),"Light Touch Sensitivity")</f>
        <v>Light Touch Sensitivity</v>
      </c>
      <c r="D1045" s="29" t="str">
        <f>IFERROR(__xludf.DUMMYFUNCTION("""COMPUTED_VALUE"""),"1 (Low/Poor)")</f>
        <v>1 (Low/Poor)</v>
      </c>
      <c r="E1045" s="29">
        <f>IFERROR(__xludf.DUMMYFUNCTION("""COMPUTED_VALUE"""),1.0)</f>
        <v>1</v>
      </c>
    </row>
    <row r="1046">
      <c r="A1046" s="33">
        <f>IFERROR(__xludf.DUMMYFUNCTION("""COMPUTED_VALUE"""),45829.217301041666)</f>
        <v>45829.2173</v>
      </c>
      <c r="B1046" s="29" t="str">
        <f>IFERROR(__xludf.DUMMYFUNCTION("""COMPUTED_VALUE"""),"Intact (Never circumcised)")</f>
        <v>Intact (Never circumcised)</v>
      </c>
      <c r="C1046" s="29" t="str">
        <f>IFERROR(__xludf.DUMMYFUNCTION("""COMPUTED_VALUE"""),"Light Touch Sensitivity")</f>
        <v>Light Touch Sensitivity</v>
      </c>
      <c r="D1046" s="29" t="str">
        <f>IFERROR(__xludf.DUMMYFUNCTION("""COMPUTED_VALUE"""),"5 (High/Excellent)")</f>
        <v>5 (High/Excellent)</v>
      </c>
      <c r="E1046" s="29">
        <f>IFERROR(__xludf.DUMMYFUNCTION("""COMPUTED_VALUE"""),5.0)</f>
        <v>5</v>
      </c>
    </row>
    <row r="1047">
      <c r="A1047" s="33">
        <f>IFERROR(__xludf.DUMMYFUNCTION("""COMPUTED_VALUE"""),45829.2520430324)</f>
        <v>45829.25204</v>
      </c>
      <c r="B1047" s="29" t="str">
        <f>IFERROR(__xludf.DUMMYFUNCTION("""COMPUTED_VALUE"""),"Intact (Never circumcised)")</f>
        <v>Intact (Never circumcised)</v>
      </c>
      <c r="C1047" s="29" t="str">
        <f>IFERROR(__xludf.DUMMYFUNCTION("""COMPUTED_VALUE"""),"Light Touch Sensitivity")</f>
        <v>Light Touch Sensitivity</v>
      </c>
      <c r="D1047" s="29" t="str">
        <f>IFERROR(__xludf.DUMMYFUNCTION("""COMPUTED_VALUE"""),"3 (Medium/Average)")</f>
        <v>3 (Medium/Average)</v>
      </c>
      <c r="E1047" s="29">
        <f>IFERROR(__xludf.DUMMYFUNCTION("""COMPUTED_VALUE"""),3.0)</f>
        <v>3</v>
      </c>
    </row>
    <row r="1048">
      <c r="A1048" s="33">
        <f>IFERROR(__xludf.DUMMYFUNCTION("""COMPUTED_VALUE"""),45829.310797962964)</f>
        <v>45829.3108</v>
      </c>
      <c r="B1048" s="29" t="str">
        <f>IFERROR(__xludf.DUMMYFUNCTION("""COMPUTED_VALUE"""),"Actively restoring my foreskin / I consider myself restored")</f>
        <v>Actively restoring my foreskin / I consider myself restored</v>
      </c>
      <c r="C1048" s="29" t="str">
        <f>IFERROR(__xludf.DUMMYFUNCTION("""COMPUTED_VALUE"""),"Light Touch Sensitivity")</f>
        <v>Light Touch Sensitivity</v>
      </c>
      <c r="D1048" s="29" t="str">
        <f>IFERROR(__xludf.DUMMYFUNCTION("""COMPUTED_VALUE"""),"5 (High/Excellent)")</f>
        <v>5 (High/Excellent)</v>
      </c>
      <c r="E1048" s="29">
        <f>IFERROR(__xludf.DUMMYFUNCTION("""COMPUTED_VALUE"""),5.0)</f>
        <v>5</v>
      </c>
    </row>
    <row r="1049">
      <c r="A1049" s="33">
        <f>IFERROR(__xludf.DUMMYFUNCTION("""COMPUTED_VALUE"""),45829.33800960648)</f>
        <v>45829.33801</v>
      </c>
      <c r="B1049" s="29" t="str">
        <f>IFERROR(__xludf.DUMMYFUNCTION("""COMPUTED_VALUE"""),"Intact (Never circumcised)")</f>
        <v>Intact (Never circumcised)</v>
      </c>
      <c r="C1049" s="29" t="str">
        <f>IFERROR(__xludf.DUMMYFUNCTION("""COMPUTED_VALUE"""),"Light Touch Sensitivity")</f>
        <v>Light Touch Sensitivity</v>
      </c>
      <c r="D1049" s="29" t="str">
        <f>IFERROR(__xludf.DUMMYFUNCTION("""COMPUTED_VALUE"""),"4")</f>
        <v>4</v>
      </c>
      <c r="E1049" s="29">
        <f>IFERROR(__xludf.DUMMYFUNCTION("""COMPUTED_VALUE"""),4.0)</f>
        <v>4</v>
      </c>
    </row>
    <row r="1050">
      <c r="A1050" s="33">
        <f>IFERROR(__xludf.DUMMYFUNCTION("""COMPUTED_VALUE"""),45829.41961525463)</f>
        <v>45829.41962</v>
      </c>
      <c r="B1050" s="29" t="str">
        <f>IFERROR(__xludf.DUMMYFUNCTION("""COMPUTED_VALUE"""),"Intact (Never circumcised)")</f>
        <v>Intact (Never circumcised)</v>
      </c>
      <c r="C1050" s="29" t="str">
        <f>IFERROR(__xludf.DUMMYFUNCTION("""COMPUTED_VALUE"""),"Light Touch Sensitivity")</f>
        <v>Light Touch Sensitivity</v>
      </c>
      <c r="D1050" s="29" t="str">
        <f>IFERROR(__xludf.DUMMYFUNCTION("""COMPUTED_VALUE"""),"3 (Medium/Average)")</f>
        <v>3 (Medium/Average)</v>
      </c>
      <c r="E1050" s="29">
        <f>IFERROR(__xludf.DUMMYFUNCTION("""COMPUTED_VALUE"""),3.0)</f>
        <v>3</v>
      </c>
    </row>
    <row r="1051">
      <c r="A1051" s="33">
        <f>IFERROR(__xludf.DUMMYFUNCTION("""COMPUTED_VALUE"""),45829.42277583333)</f>
        <v>45829.42278</v>
      </c>
      <c r="B1051" s="29" t="str">
        <f>IFERROR(__xludf.DUMMYFUNCTION("""COMPUTED_VALUE"""),"Actively restoring my foreskin / I consider myself restored")</f>
        <v>Actively restoring my foreskin / I consider myself restored</v>
      </c>
      <c r="C1051" s="29" t="str">
        <f>IFERROR(__xludf.DUMMYFUNCTION("""COMPUTED_VALUE"""),"Light Touch Sensitivity")</f>
        <v>Light Touch Sensitivity</v>
      </c>
      <c r="D1051" s="29" t="str">
        <f>IFERROR(__xludf.DUMMYFUNCTION("""COMPUTED_VALUE"""),"4")</f>
        <v>4</v>
      </c>
      <c r="E1051" s="29">
        <f>IFERROR(__xludf.DUMMYFUNCTION("""COMPUTED_VALUE"""),4.0)</f>
        <v>4</v>
      </c>
    </row>
    <row r="1052">
      <c r="A1052" s="33">
        <f>IFERROR(__xludf.DUMMYFUNCTION("""COMPUTED_VALUE"""),45829.585866458336)</f>
        <v>45829.58587</v>
      </c>
      <c r="B1052" s="29" t="str">
        <f>IFERROR(__xludf.DUMMYFUNCTION("""COMPUTED_VALUE"""),"Actively restoring my foreskin / I consider myself restored")</f>
        <v>Actively restoring my foreskin / I consider myself restored</v>
      </c>
      <c r="C1052" s="29" t="str">
        <f>IFERROR(__xludf.DUMMYFUNCTION("""COMPUTED_VALUE"""),"Light Touch Sensitivity")</f>
        <v>Light Touch Sensitivity</v>
      </c>
      <c r="D1052" s="29" t="str">
        <f>IFERROR(__xludf.DUMMYFUNCTION("""COMPUTED_VALUE"""),"5 (High/Excellent)")</f>
        <v>5 (High/Excellent)</v>
      </c>
      <c r="E1052" s="29">
        <f>IFERROR(__xludf.DUMMYFUNCTION("""COMPUTED_VALUE"""),5.0)</f>
        <v>5</v>
      </c>
    </row>
    <row r="1053">
      <c r="A1053" s="33">
        <f>IFERROR(__xludf.DUMMYFUNCTION("""COMPUTED_VALUE"""),45829.60614784722)</f>
        <v>45829.60615</v>
      </c>
      <c r="B1053" s="29" t="str">
        <f>IFERROR(__xludf.DUMMYFUNCTION("""COMPUTED_VALUE"""),"Intact (Never circumcised)")</f>
        <v>Intact (Never circumcised)</v>
      </c>
      <c r="C1053" s="29" t="str">
        <f>IFERROR(__xludf.DUMMYFUNCTION("""COMPUTED_VALUE"""),"Light Touch Sensitivity")</f>
        <v>Light Touch Sensitivity</v>
      </c>
      <c r="D1053" s="29" t="str">
        <f>IFERROR(__xludf.DUMMYFUNCTION("""COMPUTED_VALUE"""),"4")</f>
        <v>4</v>
      </c>
      <c r="E1053" s="29">
        <f>IFERROR(__xludf.DUMMYFUNCTION("""COMPUTED_VALUE"""),4.0)</f>
        <v>4</v>
      </c>
    </row>
    <row r="1054">
      <c r="A1054" s="33">
        <f>IFERROR(__xludf.DUMMYFUNCTION("""COMPUTED_VALUE"""),45829.64056644676)</f>
        <v>45829.64057</v>
      </c>
      <c r="B1054" s="29" t="str">
        <f>IFERROR(__xludf.DUMMYFUNCTION("""COMPUTED_VALUE"""),"Actively restoring my foreskin / I consider myself restored")</f>
        <v>Actively restoring my foreskin / I consider myself restored</v>
      </c>
      <c r="C1054" s="29" t="str">
        <f>IFERROR(__xludf.DUMMYFUNCTION("""COMPUTED_VALUE"""),"Light Touch Sensitivity")</f>
        <v>Light Touch Sensitivity</v>
      </c>
      <c r="D1054" s="29" t="str">
        <f>IFERROR(__xludf.DUMMYFUNCTION("""COMPUTED_VALUE"""),"1 (Low/Poor)")</f>
        <v>1 (Low/Poor)</v>
      </c>
      <c r="E1054" s="29">
        <f>IFERROR(__xludf.DUMMYFUNCTION("""COMPUTED_VALUE"""),1.0)</f>
        <v>1</v>
      </c>
    </row>
    <row r="1055">
      <c r="A1055" s="33">
        <f>IFERROR(__xludf.DUMMYFUNCTION("""COMPUTED_VALUE"""),45829.679237766206)</f>
        <v>45829.67924</v>
      </c>
      <c r="B1055" s="29" t="str">
        <f>IFERROR(__xludf.DUMMYFUNCTION("""COMPUTED_VALUE"""),"Intact (Never circumcised)")</f>
        <v>Intact (Never circumcised)</v>
      </c>
      <c r="C1055" s="29" t="str">
        <f>IFERROR(__xludf.DUMMYFUNCTION("""COMPUTED_VALUE"""),"Light Touch Sensitivity")</f>
        <v>Light Touch Sensitivity</v>
      </c>
      <c r="D1055" s="29" t="str">
        <f>IFERROR(__xludf.DUMMYFUNCTION("""COMPUTED_VALUE"""),"4")</f>
        <v>4</v>
      </c>
      <c r="E1055" s="29">
        <f>IFERROR(__xludf.DUMMYFUNCTION("""COMPUTED_VALUE"""),4.0)</f>
        <v>4</v>
      </c>
    </row>
    <row r="1056">
      <c r="A1056" s="33">
        <f>IFERROR(__xludf.DUMMYFUNCTION("""COMPUTED_VALUE"""),45829.99185576389)</f>
        <v>45829.99186</v>
      </c>
      <c r="B1056" s="29" t="str">
        <f>IFERROR(__xludf.DUMMYFUNCTION("""COMPUTED_VALUE"""),"Circumcised")</f>
        <v>Circumcised</v>
      </c>
      <c r="C1056" s="29" t="str">
        <f>IFERROR(__xludf.DUMMYFUNCTION("""COMPUTED_VALUE"""),"Light Touch Sensitivity")</f>
        <v>Light Touch Sensitivity</v>
      </c>
      <c r="D1056" s="29" t="str">
        <f>IFERROR(__xludf.DUMMYFUNCTION("""COMPUTED_VALUE"""),"1 (Low/Poor)")</f>
        <v>1 (Low/Poor)</v>
      </c>
      <c r="E1056" s="29">
        <f>IFERROR(__xludf.DUMMYFUNCTION("""COMPUTED_VALUE"""),1.0)</f>
        <v>1</v>
      </c>
    </row>
    <row r="1057">
      <c r="A1057" s="33">
        <f>IFERROR(__xludf.DUMMYFUNCTION("""COMPUTED_VALUE"""),45829.99663518518)</f>
        <v>45829.99664</v>
      </c>
      <c r="B1057" s="29" t="str">
        <f>IFERROR(__xludf.DUMMYFUNCTION("""COMPUTED_VALUE"""),"Circumcised")</f>
        <v>Circumcised</v>
      </c>
      <c r="C1057" s="29" t="str">
        <f>IFERROR(__xludf.DUMMYFUNCTION("""COMPUTED_VALUE"""),"Light Touch Sensitivity")</f>
        <v>Light Touch Sensitivity</v>
      </c>
      <c r="D1057" s="29" t="str">
        <f>IFERROR(__xludf.DUMMYFUNCTION("""COMPUTED_VALUE"""),"4")</f>
        <v>4</v>
      </c>
      <c r="E1057" s="29">
        <f>IFERROR(__xludf.DUMMYFUNCTION("""COMPUTED_VALUE"""),4.0)</f>
        <v>4</v>
      </c>
    </row>
    <row r="1058">
      <c r="A1058" s="33">
        <f>IFERROR(__xludf.DUMMYFUNCTION("""COMPUTED_VALUE"""),45830.26074947917)</f>
        <v>45830.26075</v>
      </c>
      <c r="B1058" s="29" t="str">
        <f>IFERROR(__xludf.DUMMYFUNCTION("""COMPUTED_VALUE"""),"Circumcised")</f>
        <v>Circumcised</v>
      </c>
      <c r="C1058" s="29" t="str">
        <f>IFERROR(__xludf.DUMMYFUNCTION("""COMPUTED_VALUE"""),"Light Touch Sensitivity")</f>
        <v>Light Touch Sensitivity</v>
      </c>
      <c r="D1058" s="29" t="str">
        <f>IFERROR(__xludf.DUMMYFUNCTION("""COMPUTED_VALUE"""),"3 (Medium/Average)")</f>
        <v>3 (Medium/Average)</v>
      </c>
      <c r="E1058" s="29">
        <f>IFERROR(__xludf.DUMMYFUNCTION("""COMPUTED_VALUE"""),3.0)</f>
        <v>3</v>
      </c>
    </row>
    <row r="1059">
      <c r="A1059" s="33">
        <f>IFERROR(__xludf.DUMMYFUNCTION("""COMPUTED_VALUE"""),45830.275929791664)</f>
        <v>45830.27593</v>
      </c>
      <c r="B1059" s="29" t="str">
        <f>IFERROR(__xludf.DUMMYFUNCTION("""COMPUTED_VALUE"""),"Intact (Never circumcised)")</f>
        <v>Intact (Never circumcised)</v>
      </c>
      <c r="C1059" s="29" t="str">
        <f>IFERROR(__xludf.DUMMYFUNCTION("""COMPUTED_VALUE"""),"Light Touch Sensitivity")</f>
        <v>Light Touch Sensitivity</v>
      </c>
      <c r="D1059" s="29" t="str">
        <f>IFERROR(__xludf.DUMMYFUNCTION("""COMPUTED_VALUE"""),"5 (High/Excellent)")</f>
        <v>5 (High/Excellent)</v>
      </c>
      <c r="E1059" s="29">
        <f>IFERROR(__xludf.DUMMYFUNCTION("""COMPUTED_VALUE"""),5.0)</f>
        <v>5</v>
      </c>
    </row>
    <row r="1060">
      <c r="A1060" s="33">
        <f>IFERROR(__xludf.DUMMYFUNCTION("""COMPUTED_VALUE"""),45830.342906412036)</f>
        <v>45830.34291</v>
      </c>
      <c r="B1060" s="29" t="str">
        <f>IFERROR(__xludf.DUMMYFUNCTION("""COMPUTED_VALUE"""),"Intact (Never circumcised)")</f>
        <v>Intact (Never circumcised)</v>
      </c>
      <c r="C1060" s="29" t="str">
        <f>IFERROR(__xludf.DUMMYFUNCTION("""COMPUTED_VALUE"""),"Light Touch Sensitivity")</f>
        <v>Light Touch Sensitivity</v>
      </c>
      <c r="D1060" s="29" t="str">
        <f>IFERROR(__xludf.DUMMYFUNCTION("""COMPUTED_VALUE"""),"5 (High/Excellent)")</f>
        <v>5 (High/Excellent)</v>
      </c>
      <c r="E1060" s="29">
        <f>IFERROR(__xludf.DUMMYFUNCTION("""COMPUTED_VALUE"""),5.0)</f>
        <v>5</v>
      </c>
    </row>
    <row r="1061">
      <c r="A1061" s="33">
        <f>IFERROR(__xludf.DUMMYFUNCTION("""COMPUTED_VALUE"""),45830.397428067125)</f>
        <v>45830.39743</v>
      </c>
      <c r="B1061" s="29" t="str">
        <f>IFERROR(__xludf.DUMMYFUNCTION("""COMPUTED_VALUE"""),"Actively restoring my foreskin / I consider myself restored")</f>
        <v>Actively restoring my foreskin / I consider myself restored</v>
      </c>
      <c r="C1061" s="29" t="str">
        <f>IFERROR(__xludf.DUMMYFUNCTION("""COMPUTED_VALUE"""),"Light Touch Sensitivity")</f>
        <v>Light Touch Sensitivity</v>
      </c>
      <c r="D1061" s="29" t="str">
        <f>IFERROR(__xludf.DUMMYFUNCTION("""COMPUTED_VALUE"""),"2")</f>
        <v>2</v>
      </c>
      <c r="E1061" s="29">
        <f>IFERROR(__xludf.DUMMYFUNCTION("""COMPUTED_VALUE"""),2.0)</f>
        <v>2</v>
      </c>
    </row>
    <row r="1062">
      <c r="A1062" s="33">
        <f>IFERROR(__xludf.DUMMYFUNCTION("""COMPUTED_VALUE"""),45830.414605439815)</f>
        <v>45830.41461</v>
      </c>
      <c r="B1062" s="29" t="str">
        <f>IFERROR(__xludf.DUMMYFUNCTION("""COMPUTED_VALUE"""),"Intact (Never circumcised)")</f>
        <v>Intact (Never circumcised)</v>
      </c>
      <c r="C1062" s="29" t="str">
        <f>IFERROR(__xludf.DUMMYFUNCTION("""COMPUTED_VALUE"""),"Light Touch Sensitivity")</f>
        <v>Light Touch Sensitivity</v>
      </c>
      <c r="D1062" s="29" t="str">
        <f>IFERROR(__xludf.DUMMYFUNCTION("""COMPUTED_VALUE"""),"5 (High/Excellent)")</f>
        <v>5 (High/Excellent)</v>
      </c>
      <c r="E1062" s="29">
        <f>IFERROR(__xludf.DUMMYFUNCTION("""COMPUTED_VALUE"""),5.0)</f>
        <v>5</v>
      </c>
    </row>
    <row r="1063">
      <c r="A1063" s="33">
        <f>IFERROR(__xludf.DUMMYFUNCTION("""COMPUTED_VALUE"""),45830.43470159722)</f>
        <v>45830.4347</v>
      </c>
      <c r="B1063" s="29" t="str">
        <f>IFERROR(__xludf.DUMMYFUNCTION("""COMPUTED_VALUE"""),"Intact (Never circumcised)")</f>
        <v>Intact (Never circumcised)</v>
      </c>
      <c r="C1063" s="29" t="str">
        <f>IFERROR(__xludf.DUMMYFUNCTION("""COMPUTED_VALUE"""),"Light Touch Sensitivity")</f>
        <v>Light Touch Sensitivity</v>
      </c>
      <c r="D1063" s="29" t="str">
        <f>IFERROR(__xludf.DUMMYFUNCTION("""COMPUTED_VALUE"""),"2")</f>
        <v>2</v>
      </c>
      <c r="E1063" s="29">
        <f>IFERROR(__xludf.DUMMYFUNCTION("""COMPUTED_VALUE"""),2.0)</f>
        <v>2</v>
      </c>
    </row>
    <row r="1064">
      <c r="A1064" s="33">
        <f>IFERROR(__xludf.DUMMYFUNCTION("""COMPUTED_VALUE"""),45830.46624547454)</f>
        <v>45830.46625</v>
      </c>
      <c r="B1064" s="29" t="str">
        <f>IFERROR(__xludf.DUMMYFUNCTION("""COMPUTED_VALUE"""),"Circumcised")</f>
        <v>Circumcised</v>
      </c>
      <c r="C1064" s="29" t="str">
        <f>IFERROR(__xludf.DUMMYFUNCTION("""COMPUTED_VALUE"""),"Light Touch Sensitivity")</f>
        <v>Light Touch Sensitivity</v>
      </c>
      <c r="D1064" s="29" t="str">
        <f>IFERROR(__xludf.DUMMYFUNCTION("""COMPUTED_VALUE"""),"4")</f>
        <v>4</v>
      </c>
      <c r="E1064" s="29">
        <f>IFERROR(__xludf.DUMMYFUNCTION("""COMPUTED_VALUE"""),4.0)</f>
        <v>4</v>
      </c>
    </row>
    <row r="1065">
      <c r="A1065" s="33">
        <f>IFERROR(__xludf.DUMMYFUNCTION("""COMPUTED_VALUE"""),45830.47800052084)</f>
        <v>45830.478</v>
      </c>
      <c r="B1065" s="29" t="str">
        <f>IFERROR(__xludf.DUMMYFUNCTION("""COMPUTED_VALUE"""),"Intact (Never circumcised)")</f>
        <v>Intact (Never circumcised)</v>
      </c>
      <c r="C1065" s="29" t="str">
        <f>IFERROR(__xludf.DUMMYFUNCTION("""COMPUTED_VALUE"""),"Light Touch Sensitivity")</f>
        <v>Light Touch Sensitivity</v>
      </c>
      <c r="D1065" s="29" t="str">
        <f>IFERROR(__xludf.DUMMYFUNCTION("""COMPUTED_VALUE"""),"3 (Medium/Average)")</f>
        <v>3 (Medium/Average)</v>
      </c>
      <c r="E1065" s="29">
        <f>IFERROR(__xludf.DUMMYFUNCTION("""COMPUTED_VALUE"""),3.0)</f>
        <v>3</v>
      </c>
    </row>
    <row r="1066">
      <c r="A1066" s="33">
        <f>IFERROR(__xludf.DUMMYFUNCTION("""COMPUTED_VALUE"""),45830.5357296875)</f>
        <v>45830.53573</v>
      </c>
      <c r="B1066" s="29" t="str">
        <f>IFERROR(__xludf.DUMMYFUNCTION("""COMPUTED_VALUE"""),"Intact (Never circumcised)")</f>
        <v>Intact (Never circumcised)</v>
      </c>
      <c r="C1066" s="29" t="str">
        <f>IFERROR(__xludf.DUMMYFUNCTION("""COMPUTED_VALUE"""),"Light Touch Sensitivity")</f>
        <v>Light Touch Sensitivity</v>
      </c>
      <c r="D1066" s="29" t="str">
        <f>IFERROR(__xludf.DUMMYFUNCTION("""COMPUTED_VALUE"""),"5 (High/Excellent)")</f>
        <v>5 (High/Excellent)</v>
      </c>
      <c r="E1066" s="29">
        <f>IFERROR(__xludf.DUMMYFUNCTION("""COMPUTED_VALUE"""),5.0)</f>
        <v>5</v>
      </c>
    </row>
    <row r="1067">
      <c r="A1067" s="33">
        <f>IFERROR(__xludf.DUMMYFUNCTION("""COMPUTED_VALUE"""),45830.61729040509)</f>
        <v>45830.61729</v>
      </c>
      <c r="B1067" s="29" t="str">
        <f>IFERROR(__xludf.DUMMYFUNCTION("""COMPUTED_VALUE"""),"Intact (Never circumcised)")</f>
        <v>Intact (Never circumcised)</v>
      </c>
      <c r="C1067" s="29" t="str">
        <f>IFERROR(__xludf.DUMMYFUNCTION("""COMPUTED_VALUE"""),"Light Touch Sensitivity")</f>
        <v>Light Touch Sensitivity</v>
      </c>
      <c r="D1067" s="29" t="str">
        <f>IFERROR(__xludf.DUMMYFUNCTION("""COMPUTED_VALUE"""),"4")</f>
        <v>4</v>
      </c>
      <c r="E1067" s="29">
        <f>IFERROR(__xludf.DUMMYFUNCTION("""COMPUTED_VALUE"""),4.0)</f>
        <v>4</v>
      </c>
    </row>
    <row r="1068">
      <c r="A1068" s="33">
        <f>IFERROR(__xludf.DUMMYFUNCTION("""COMPUTED_VALUE"""),45830.62220851852)</f>
        <v>45830.62221</v>
      </c>
      <c r="B1068" s="29" t="str">
        <f>IFERROR(__xludf.DUMMYFUNCTION("""COMPUTED_VALUE"""),"Intact (Never circumcised)")</f>
        <v>Intact (Never circumcised)</v>
      </c>
      <c r="C1068" s="29" t="str">
        <f>IFERROR(__xludf.DUMMYFUNCTION("""COMPUTED_VALUE"""),"Light Touch Sensitivity")</f>
        <v>Light Touch Sensitivity</v>
      </c>
      <c r="D1068" s="29" t="str">
        <f>IFERROR(__xludf.DUMMYFUNCTION("""COMPUTED_VALUE"""),"2")</f>
        <v>2</v>
      </c>
      <c r="E1068" s="29">
        <f>IFERROR(__xludf.DUMMYFUNCTION("""COMPUTED_VALUE"""),2.0)</f>
        <v>2</v>
      </c>
    </row>
    <row r="1069">
      <c r="A1069" s="33">
        <f>IFERROR(__xludf.DUMMYFUNCTION("""COMPUTED_VALUE"""),45830.63773170139)</f>
        <v>45830.63773</v>
      </c>
      <c r="B1069" s="29" t="str">
        <f>IFERROR(__xludf.DUMMYFUNCTION("""COMPUTED_VALUE"""),"Intact (Never circumcised)")</f>
        <v>Intact (Never circumcised)</v>
      </c>
      <c r="C1069" s="29" t="str">
        <f>IFERROR(__xludf.DUMMYFUNCTION("""COMPUTED_VALUE"""),"Light Touch Sensitivity")</f>
        <v>Light Touch Sensitivity</v>
      </c>
      <c r="D1069" s="29" t="str">
        <f>IFERROR(__xludf.DUMMYFUNCTION("""COMPUTED_VALUE"""),"4")</f>
        <v>4</v>
      </c>
      <c r="E1069" s="29">
        <f>IFERROR(__xludf.DUMMYFUNCTION("""COMPUTED_VALUE"""),4.0)</f>
        <v>4</v>
      </c>
    </row>
    <row r="1070">
      <c r="A1070" s="33">
        <f>IFERROR(__xludf.DUMMYFUNCTION("""COMPUTED_VALUE"""),45830.745157337966)</f>
        <v>45830.74516</v>
      </c>
      <c r="B1070" s="29" t="str">
        <f>IFERROR(__xludf.DUMMYFUNCTION("""COMPUTED_VALUE"""),"Actively restoring my foreskin / I consider myself restored")</f>
        <v>Actively restoring my foreskin / I consider myself restored</v>
      </c>
      <c r="C1070" s="29" t="str">
        <f>IFERROR(__xludf.DUMMYFUNCTION("""COMPUTED_VALUE"""),"Light Touch Sensitivity")</f>
        <v>Light Touch Sensitivity</v>
      </c>
      <c r="D1070" s="29" t="str">
        <f>IFERROR(__xludf.DUMMYFUNCTION("""COMPUTED_VALUE"""),"2")</f>
        <v>2</v>
      </c>
      <c r="E1070" s="29">
        <f>IFERROR(__xludf.DUMMYFUNCTION("""COMPUTED_VALUE"""),2.0)</f>
        <v>2</v>
      </c>
    </row>
    <row r="1071">
      <c r="A1071" s="33">
        <f>IFERROR(__xludf.DUMMYFUNCTION("""COMPUTED_VALUE"""),45830.74782991898)</f>
        <v>45830.74783</v>
      </c>
      <c r="B1071" s="29" t="str">
        <f>IFERROR(__xludf.DUMMYFUNCTION("""COMPUTED_VALUE"""),"Circumcised")</f>
        <v>Circumcised</v>
      </c>
      <c r="C1071" s="29" t="str">
        <f>IFERROR(__xludf.DUMMYFUNCTION("""COMPUTED_VALUE"""),"Light Touch Sensitivity")</f>
        <v>Light Touch Sensitivity</v>
      </c>
      <c r="D1071" s="29" t="str">
        <f>IFERROR(__xludf.DUMMYFUNCTION("""COMPUTED_VALUE"""),"3 (Medium/Average)")</f>
        <v>3 (Medium/Average)</v>
      </c>
      <c r="E1071" s="29">
        <f>IFERROR(__xludf.DUMMYFUNCTION("""COMPUTED_VALUE"""),3.0)</f>
        <v>3</v>
      </c>
    </row>
    <row r="1072">
      <c r="A1072" s="33">
        <f>IFERROR(__xludf.DUMMYFUNCTION("""COMPUTED_VALUE"""),45830.76834444444)</f>
        <v>45830.76834</v>
      </c>
      <c r="B1072" s="29" t="str">
        <f>IFERROR(__xludf.DUMMYFUNCTION("""COMPUTED_VALUE"""),"Circumcised")</f>
        <v>Circumcised</v>
      </c>
      <c r="C1072" s="29" t="str">
        <f>IFERROR(__xludf.DUMMYFUNCTION("""COMPUTED_VALUE"""),"Light Touch Sensitivity")</f>
        <v>Light Touch Sensitivity</v>
      </c>
      <c r="D1072" s="29" t="str">
        <f>IFERROR(__xludf.DUMMYFUNCTION("""COMPUTED_VALUE"""),"2")</f>
        <v>2</v>
      </c>
      <c r="E1072" s="29">
        <f>IFERROR(__xludf.DUMMYFUNCTION("""COMPUTED_VALUE"""),2.0)</f>
        <v>2</v>
      </c>
    </row>
    <row r="1073">
      <c r="A1073" s="33">
        <f>IFERROR(__xludf.DUMMYFUNCTION("""COMPUTED_VALUE"""),45830.77002224537)</f>
        <v>45830.77002</v>
      </c>
      <c r="B1073" s="29" t="str">
        <f>IFERROR(__xludf.DUMMYFUNCTION("""COMPUTED_VALUE"""),"Actively restoring my foreskin / I consider myself restored")</f>
        <v>Actively restoring my foreskin / I consider myself restored</v>
      </c>
      <c r="C1073" s="29" t="str">
        <f>IFERROR(__xludf.DUMMYFUNCTION("""COMPUTED_VALUE"""),"Light Touch Sensitivity")</f>
        <v>Light Touch Sensitivity</v>
      </c>
      <c r="D1073" s="29" t="str">
        <f>IFERROR(__xludf.DUMMYFUNCTION("""COMPUTED_VALUE"""),"2")</f>
        <v>2</v>
      </c>
      <c r="E1073" s="29">
        <f>IFERROR(__xludf.DUMMYFUNCTION("""COMPUTED_VALUE"""),2.0)</f>
        <v>2</v>
      </c>
    </row>
    <row r="1074">
      <c r="A1074" s="33">
        <f>IFERROR(__xludf.DUMMYFUNCTION("""COMPUTED_VALUE"""),45830.85278008102)</f>
        <v>45830.85278</v>
      </c>
      <c r="B1074" s="29" t="str">
        <f>IFERROR(__xludf.DUMMYFUNCTION("""COMPUTED_VALUE"""),"Intact (Never circumcised)")</f>
        <v>Intact (Never circumcised)</v>
      </c>
      <c r="C1074" s="29" t="str">
        <f>IFERROR(__xludf.DUMMYFUNCTION("""COMPUTED_VALUE"""),"Light Touch Sensitivity")</f>
        <v>Light Touch Sensitivity</v>
      </c>
      <c r="D1074" s="29" t="str">
        <f>IFERROR(__xludf.DUMMYFUNCTION("""COMPUTED_VALUE"""),"3 (Medium/Average)")</f>
        <v>3 (Medium/Average)</v>
      </c>
      <c r="E1074" s="29">
        <f>IFERROR(__xludf.DUMMYFUNCTION("""COMPUTED_VALUE"""),3.0)</f>
        <v>3</v>
      </c>
    </row>
    <row r="1075">
      <c r="A1075" s="33">
        <f>IFERROR(__xludf.DUMMYFUNCTION("""COMPUTED_VALUE"""),45830.87385914352)</f>
        <v>45830.87386</v>
      </c>
      <c r="B1075" s="29" t="str">
        <f>IFERROR(__xludf.DUMMYFUNCTION("""COMPUTED_VALUE"""),"Circumcised")</f>
        <v>Circumcised</v>
      </c>
      <c r="C1075" s="29" t="str">
        <f>IFERROR(__xludf.DUMMYFUNCTION("""COMPUTED_VALUE"""),"Light Touch Sensitivity")</f>
        <v>Light Touch Sensitivity</v>
      </c>
      <c r="D1075" s="29" t="str">
        <f>IFERROR(__xludf.DUMMYFUNCTION("""COMPUTED_VALUE"""),"3 (Medium/Average)")</f>
        <v>3 (Medium/Average)</v>
      </c>
      <c r="E1075" s="29">
        <f>IFERROR(__xludf.DUMMYFUNCTION("""COMPUTED_VALUE"""),3.0)</f>
        <v>3</v>
      </c>
    </row>
    <row r="1076">
      <c r="A1076" s="33">
        <f>IFERROR(__xludf.DUMMYFUNCTION("""COMPUTED_VALUE"""),45830.97040641204)</f>
        <v>45830.97041</v>
      </c>
      <c r="B1076" s="29" t="str">
        <f>IFERROR(__xludf.DUMMYFUNCTION("""COMPUTED_VALUE"""),"Actively restoring my foreskin / I consider myself restored")</f>
        <v>Actively restoring my foreskin / I consider myself restored</v>
      </c>
      <c r="C1076" s="29" t="str">
        <f>IFERROR(__xludf.DUMMYFUNCTION("""COMPUTED_VALUE"""),"Light Touch Sensitivity")</f>
        <v>Light Touch Sensitivity</v>
      </c>
      <c r="D1076" s="29" t="str">
        <f>IFERROR(__xludf.DUMMYFUNCTION("""COMPUTED_VALUE"""),"3 (Medium/Average)")</f>
        <v>3 (Medium/Average)</v>
      </c>
      <c r="E1076" s="29">
        <f>IFERROR(__xludf.DUMMYFUNCTION("""COMPUTED_VALUE"""),3.0)</f>
        <v>3</v>
      </c>
    </row>
    <row r="1077">
      <c r="A1077" s="33">
        <f>IFERROR(__xludf.DUMMYFUNCTION("""COMPUTED_VALUE"""),45831.06838657407)</f>
        <v>45831.06839</v>
      </c>
      <c r="B1077" s="29" t="str">
        <f>IFERROR(__xludf.DUMMYFUNCTION("""COMPUTED_VALUE"""),"Circumcised")</f>
        <v>Circumcised</v>
      </c>
      <c r="C1077" s="29" t="str">
        <f>IFERROR(__xludf.DUMMYFUNCTION("""COMPUTED_VALUE"""),"Light Touch Sensitivity")</f>
        <v>Light Touch Sensitivity</v>
      </c>
      <c r="D1077" s="29" t="str">
        <f>IFERROR(__xludf.DUMMYFUNCTION("""COMPUTED_VALUE"""),"2")</f>
        <v>2</v>
      </c>
      <c r="E1077" s="29">
        <f>IFERROR(__xludf.DUMMYFUNCTION("""COMPUTED_VALUE"""),2.0)</f>
        <v>2</v>
      </c>
    </row>
    <row r="1078">
      <c r="A1078" s="33">
        <f>IFERROR(__xludf.DUMMYFUNCTION("""COMPUTED_VALUE"""),45831.087313819444)</f>
        <v>45831.08731</v>
      </c>
      <c r="B1078" s="29" t="str">
        <f>IFERROR(__xludf.DUMMYFUNCTION("""COMPUTED_VALUE"""),"Intact (Never circumcised)")</f>
        <v>Intact (Never circumcised)</v>
      </c>
      <c r="C1078" s="29" t="str">
        <f>IFERROR(__xludf.DUMMYFUNCTION("""COMPUTED_VALUE"""),"Light Touch Sensitivity")</f>
        <v>Light Touch Sensitivity</v>
      </c>
      <c r="D1078" s="29" t="str">
        <f>IFERROR(__xludf.DUMMYFUNCTION("""COMPUTED_VALUE"""),"3 (Medium/Average)")</f>
        <v>3 (Medium/Average)</v>
      </c>
      <c r="E1078" s="29">
        <f>IFERROR(__xludf.DUMMYFUNCTION("""COMPUTED_VALUE"""),3.0)</f>
        <v>3</v>
      </c>
    </row>
    <row r="1079">
      <c r="A1079" s="33">
        <f>IFERROR(__xludf.DUMMYFUNCTION("""COMPUTED_VALUE"""),45831.14147674769)</f>
        <v>45831.14148</v>
      </c>
      <c r="B1079" s="29" t="str">
        <f>IFERROR(__xludf.DUMMYFUNCTION("""COMPUTED_VALUE"""),"Intact (Never circumcised)")</f>
        <v>Intact (Never circumcised)</v>
      </c>
      <c r="C1079" s="29" t="str">
        <f>IFERROR(__xludf.DUMMYFUNCTION("""COMPUTED_VALUE"""),"Light Touch Sensitivity")</f>
        <v>Light Touch Sensitivity</v>
      </c>
      <c r="D1079" s="29" t="str">
        <f>IFERROR(__xludf.DUMMYFUNCTION("""COMPUTED_VALUE"""),"3 (Medium/Average)")</f>
        <v>3 (Medium/Average)</v>
      </c>
      <c r="E1079" s="29">
        <f>IFERROR(__xludf.DUMMYFUNCTION("""COMPUTED_VALUE"""),3.0)</f>
        <v>3</v>
      </c>
    </row>
    <row r="1080">
      <c r="A1080" s="33">
        <f>IFERROR(__xludf.DUMMYFUNCTION("""COMPUTED_VALUE"""),45831.20082736111)</f>
        <v>45831.20083</v>
      </c>
      <c r="B1080" s="29" t="str">
        <f>IFERROR(__xludf.DUMMYFUNCTION("""COMPUTED_VALUE"""),"Intact (Never circumcised)")</f>
        <v>Intact (Never circumcised)</v>
      </c>
      <c r="C1080" s="29" t="str">
        <f>IFERROR(__xludf.DUMMYFUNCTION("""COMPUTED_VALUE"""),"Light Touch Sensitivity")</f>
        <v>Light Touch Sensitivity</v>
      </c>
      <c r="D1080" s="29" t="str">
        <f>IFERROR(__xludf.DUMMYFUNCTION("""COMPUTED_VALUE"""),"5 (High/Excellent)")</f>
        <v>5 (High/Excellent)</v>
      </c>
      <c r="E1080" s="29">
        <f>IFERROR(__xludf.DUMMYFUNCTION("""COMPUTED_VALUE"""),5.0)</f>
        <v>5</v>
      </c>
    </row>
    <row r="1081">
      <c r="A1081" s="33">
        <f>IFERROR(__xludf.DUMMYFUNCTION("""COMPUTED_VALUE"""),45831.280710312494)</f>
        <v>45831.28071</v>
      </c>
      <c r="B1081" s="29" t="str">
        <f>IFERROR(__xludf.DUMMYFUNCTION("""COMPUTED_VALUE"""),"Intact (Never circumcised)")</f>
        <v>Intact (Never circumcised)</v>
      </c>
      <c r="C1081" s="29" t="str">
        <f>IFERROR(__xludf.DUMMYFUNCTION("""COMPUTED_VALUE"""),"Light Touch Sensitivity")</f>
        <v>Light Touch Sensitivity</v>
      </c>
      <c r="D1081" s="29" t="str">
        <f>IFERROR(__xludf.DUMMYFUNCTION("""COMPUTED_VALUE"""),"4")</f>
        <v>4</v>
      </c>
      <c r="E1081" s="29">
        <f>IFERROR(__xludf.DUMMYFUNCTION("""COMPUTED_VALUE"""),4.0)</f>
        <v>4</v>
      </c>
    </row>
    <row r="1082">
      <c r="A1082" s="33">
        <f>IFERROR(__xludf.DUMMYFUNCTION("""COMPUTED_VALUE"""),45831.2901250463)</f>
        <v>45831.29013</v>
      </c>
      <c r="B1082" s="29" t="str">
        <f>IFERROR(__xludf.DUMMYFUNCTION("""COMPUTED_VALUE"""),"Actively restoring my foreskin / I consider myself restored")</f>
        <v>Actively restoring my foreskin / I consider myself restored</v>
      </c>
      <c r="C1082" s="29" t="str">
        <f>IFERROR(__xludf.DUMMYFUNCTION("""COMPUTED_VALUE"""),"Light Touch Sensitivity")</f>
        <v>Light Touch Sensitivity</v>
      </c>
      <c r="D1082" s="29" t="str">
        <f>IFERROR(__xludf.DUMMYFUNCTION("""COMPUTED_VALUE"""),"2")</f>
        <v>2</v>
      </c>
      <c r="E1082" s="29">
        <f>IFERROR(__xludf.DUMMYFUNCTION("""COMPUTED_VALUE"""),2.0)</f>
        <v>2</v>
      </c>
    </row>
    <row r="1083">
      <c r="A1083" s="33">
        <f>IFERROR(__xludf.DUMMYFUNCTION("""COMPUTED_VALUE"""),45831.31184445602)</f>
        <v>45831.31184</v>
      </c>
      <c r="B1083" s="29" t="str">
        <f>IFERROR(__xludf.DUMMYFUNCTION("""COMPUTED_VALUE"""),"Actively restoring my foreskin / I consider myself restored")</f>
        <v>Actively restoring my foreskin / I consider myself restored</v>
      </c>
      <c r="C1083" s="29" t="str">
        <f>IFERROR(__xludf.DUMMYFUNCTION("""COMPUTED_VALUE"""),"Light Touch Sensitivity")</f>
        <v>Light Touch Sensitivity</v>
      </c>
      <c r="D1083" s="29" t="str">
        <f>IFERROR(__xludf.DUMMYFUNCTION("""COMPUTED_VALUE"""),"2")</f>
        <v>2</v>
      </c>
      <c r="E1083" s="29">
        <f>IFERROR(__xludf.DUMMYFUNCTION("""COMPUTED_VALUE"""),2.0)</f>
        <v>2</v>
      </c>
    </row>
    <row r="1084">
      <c r="A1084" s="33">
        <f>IFERROR(__xludf.DUMMYFUNCTION("""COMPUTED_VALUE"""),45831.337022465275)</f>
        <v>45831.33702</v>
      </c>
      <c r="B1084" s="29" t="str">
        <f>IFERROR(__xludf.DUMMYFUNCTION("""COMPUTED_VALUE"""),"Actively restoring my foreskin / I consider myself restored")</f>
        <v>Actively restoring my foreskin / I consider myself restored</v>
      </c>
      <c r="C1084" s="29" t="str">
        <f>IFERROR(__xludf.DUMMYFUNCTION("""COMPUTED_VALUE"""),"Light Touch Sensitivity")</f>
        <v>Light Touch Sensitivity</v>
      </c>
      <c r="D1084" s="29" t="str">
        <f>IFERROR(__xludf.DUMMYFUNCTION("""COMPUTED_VALUE"""),"1 (Low/Poor)")</f>
        <v>1 (Low/Poor)</v>
      </c>
      <c r="E1084" s="29">
        <f>IFERROR(__xludf.DUMMYFUNCTION("""COMPUTED_VALUE"""),1.0)</f>
        <v>1</v>
      </c>
    </row>
    <row r="1085">
      <c r="A1085" s="33">
        <f>IFERROR(__xludf.DUMMYFUNCTION("""COMPUTED_VALUE"""),45831.37880005787)</f>
        <v>45831.3788</v>
      </c>
      <c r="B1085" s="29" t="str">
        <f>IFERROR(__xludf.DUMMYFUNCTION("""COMPUTED_VALUE"""),"Circumcised")</f>
        <v>Circumcised</v>
      </c>
      <c r="C1085" s="29" t="str">
        <f>IFERROR(__xludf.DUMMYFUNCTION("""COMPUTED_VALUE"""),"Light Touch Sensitivity")</f>
        <v>Light Touch Sensitivity</v>
      </c>
      <c r="D1085" s="29" t="str">
        <f>IFERROR(__xludf.DUMMYFUNCTION("""COMPUTED_VALUE"""),"2")</f>
        <v>2</v>
      </c>
      <c r="E1085" s="29">
        <f>IFERROR(__xludf.DUMMYFUNCTION("""COMPUTED_VALUE"""),2.0)</f>
        <v>2</v>
      </c>
    </row>
    <row r="1086">
      <c r="A1086" s="33">
        <f>IFERROR(__xludf.DUMMYFUNCTION("""COMPUTED_VALUE"""),45831.437976030094)</f>
        <v>45831.43798</v>
      </c>
      <c r="B1086" s="29" t="str">
        <f>IFERROR(__xludf.DUMMYFUNCTION("""COMPUTED_VALUE"""),"Intact (Never circumcised)")</f>
        <v>Intact (Never circumcised)</v>
      </c>
      <c r="C1086" s="29" t="str">
        <f>IFERROR(__xludf.DUMMYFUNCTION("""COMPUTED_VALUE"""),"Light Touch Sensitivity")</f>
        <v>Light Touch Sensitivity</v>
      </c>
      <c r="D1086" s="29" t="str">
        <f>IFERROR(__xludf.DUMMYFUNCTION("""COMPUTED_VALUE"""),"5 (High/Excellent)")</f>
        <v>5 (High/Excellent)</v>
      </c>
      <c r="E1086" s="29">
        <f>IFERROR(__xludf.DUMMYFUNCTION("""COMPUTED_VALUE"""),5.0)</f>
        <v>5</v>
      </c>
    </row>
    <row r="1087">
      <c r="A1087" s="33">
        <f>IFERROR(__xludf.DUMMYFUNCTION("""COMPUTED_VALUE"""),45831.46863284722)</f>
        <v>45831.46863</v>
      </c>
      <c r="B1087" s="29" t="str">
        <f>IFERROR(__xludf.DUMMYFUNCTION("""COMPUTED_VALUE"""),"Actively restoring my foreskin / I consider myself restored")</f>
        <v>Actively restoring my foreskin / I consider myself restored</v>
      </c>
      <c r="C1087" s="29" t="str">
        <f>IFERROR(__xludf.DUMMYFUNCTION("""COMPUTED_VALUE"""),"Light Touch Sensitivity")</f>
        <v>Light Touch Sensitivity</v>
      </c>
      <c r="D1087" s="29" t="str">
        <f>IFERROR(__xludf.DUMMYFUNCTION("""COMPUTED_VALUE"""),"2")</f>
        <v>2</v>
      </c>
      <c r="E1087" s="29">
        <f>IFERROR(__xludf.DUMMYFUNCTION("""COMPUTED_VALUE"""),2.0)</f>
        <v>2</v>
      </c>
    </row>
    <row r="1088">
      <c r="A1088" s="33">
        <f>IFERROR(__xludf.DUMMYFUNCTION("""COMPUTED_VALUE"""),45831.47309501158)</f>
        <v>45831.4731</v>
      </c>
      <c r="B1088" s="29" t="str">
        <f>IFERROR(__xludf.DUMMYFUNCTION("""COMPUTED_VALUE"""),"Actively restoring my foreskin / I consider myself restored")</f>
        <v>Actively restoring my foreskin / I consider myself restored</v>
      </c>
      <c r="C1088" s="29" t="str">
        <f>IFERROR(__xludf.DUMMYFUNCTION("""COMPUTED_VALUE"""),"Light Touch Sensitivity")</f>
        <v>Light Touch Sensitivity</v>
      </c>
      <c r="D1088" s="29" t="str">
        <f>IFERROR(__xludf.DUMMYFUNCTION("""COMPUTED_VALUE"""),"3 (Medium/Average)")</f>
        <v>3 (Medium/Average)</v>
      </c>
      <c r="E1088" s="29">
        <f>IFERROR(__xludf.DUMMYFUNCTION("""COMPUTED_VALUE"""),3.0)</f>
        <v>3</v>
      </c>
    </row>
    <row r="1089">
      <c r="A1089" s="33">
        <f>IFERROR(__xludf.DUMMYFUNCTION("""COMPUTED_VALUE"""),45831.54904612269)</f>
        <v>45831.54905</v>
      </c>
      <c r="B1089" s="29" t="str">
        <f>IFERROR(__xludf.DUMMYFUNCTION("""COMPUTED_VALUE"""),"Intact (Never circumcised)")</f>
        <v>Intact (Never circumcised)</v>
      </c>
      <c r="C1089" s="29" t="str">
        <f>IFERROR(__xludf.DUMMYFUNCTION("""COMPUTED_VALUE"""),"Light Touch Sensitivity")</f>
        <v>Light Touch Sensitivity</v>
      </c>
      <c r="D1089" s="29" t="str">
        <f>IFERROR(__xludf.DUMMYFUNCTION("""COMPUTED_VALUE"""),"4")</f>
        <v>4</v>
      </c>
      <c r="E1089" s="29">
        <f>IFERROR(__xludf.DUMMYFUNCTION("""COMPUTED_VALUE"""),4.0)</f>
        <v>4</v>
      </c>
    </row>
    <row r="1090">
      <c r="A1090" s="33">
        <f>IFERROR(__xludf.DUMMYFUNCTION("""COMPUTED_VALUE"""),45831.61556234954)</f>
        <v>45831.61556</v>
      </c>
      <c r="B1090" s="29" t="str">
        <f>IFERROR(__xludf.DUMMYFUNCTION("""COMPUTED_VALUE"""),"Intact (Never circumcised)")</f>
        <v>Intact (Never circumcised)</v>
      </c>
      <c r="C1090" s="29" t="str">
        <f>IFERROR(__xludf.DUMMYFUNCTION("""COMPUTED_VALUE"""),"Light Touch Sensitivity")</f>
        <v>Light Touch Sensitivity</v>
      </c>
      <c r="D1090" s="29" t="str">
        <f>IFERROR(__xludf.DUMMYFUNCTION("""COMPUTED_VALUE"""),"3 (Medium/Average)")</f>
        <v>3 (Medium/Average)</v>
      </c>
      <c r="E1090" s="29">
        <f>IFERROR(__xludf.DUMMYFUNCTION("""COMPUTED_VALUE"""),3.0)</f>
        <v>3</v>
      </c>
    </row>
    <row r="1091">
      <c r="A1091" s="33">
        <f>IFERROR(__xludf.DUMMYFUNCTION("""COMPUTED_VALUE"""),45831.70324116898)</f>
        <v>45831.70324</v>
      </c>
      <c r="B1091" s="29" t="str">
        <f>IFERROR(__xludf.DUMMYFUNCTION("""COMPUTED_VALUE"""),"Actively restoring my foreskin / I consider myself restored")</f>
        <v>Actively restoring my foreskin / I consider myself restored</v>
      </c>
      <c r="C1091" s="29" t="str">
        <f>IFERROR(__xludf.DUMMYFUNCTION("""COMPUTED_VALUE"""),"Light Touch Sensitivity")</f>
        <v>Light Touch Sensitivity</v>
      </c>
      <c r="D1091" s="29" t="str">
        <f>IFERROR(__xludf.DUMMYFUNCTION("""COMPUTED_VALUE"""),"5 (High/Excellent)")</f>
        <v>5 (High/Excellent)</v>
      </c>
      <c r="E1091" s="29">
        <f>IFERROR(__xludf.DUMMYFUNCTION("""COMPUTED_VALUE"""),5.0)</f>
        <v>5</v>
      </c>
    </row>
    <row r="1092">
      <c r="A1092" s="33">
        <f>IFERROR(__xludf.DUMMYFUNCTION("""COMPUTED_VALUE"""),45831.70685833333)</f>
        <v>45831.70686</v>
      </c>
      <c r="B1092" s="29" t="str">
        <f>IFERROR(__xludf.DUMMYFUNCTION("""COMPUTED_VALUE"""),"Intact (Never circumcised)")</f>
        <v>Intact (Never circumcised)</v>
      </c>
      <c r="C1092" s="29" t="str">
        <f>IFERROR(__xludf.DUMMYFUNCTION("""COMPUTED_VALUE"""),"Light Touch Sensitivity")</f>
        <v>Light Touch Sensitivity</v>
      </c>
      <c r="D1092" s="29" t="str">
        <f>IFERROR(__xludf.DUMMYFUNCTION("""COMPUTED_VALUE"""),"2")</f>
        <v>2</v>
      </c>
      <c r="E1092" s="29">
        <f>IFERROR(__xludf.DUMMYFUNCTION("""COMPUTED_VALUE"""),2.0)</f>
        <v>2</v>
      </c>
    </row>
    <row r="1093">
      <c r="A1093" s="33">
        <f>IFERROR(__xludf.DUMMYFUNCTION("""COMPUTED_VALUE"""),45831.785180127314)</f>
        <v>45831.78518</v>
      </c>
      <c r="B1093" s="29" t="str">
        <f>IFERROR(__xludf.DUMMYFUNCTION("""COMPUTED_VALUE"""),"Intact (Never circumcised)")</f>
        <v>Intact (Never circumcised)</v>
      </c>
      <c r="C1093" s="29" t="str">
        <f>IFERROR(__xludf.DUMMYFUNCTION("""COMPUTED_VALUE"""),"Light Touch Sensitivity")</f>
        <v>Light Touch Sensitivity</v>
      </c>
      <c r="D1093" s="29" t="str">
        <f>IFERROR(__xludf.DUMMYFUNCTION("""COMPUTED_VALUE"""),"5 (High/Excellent)")</f>
        <v>5 (High/Excellent)</v>
      </c>
      <c r="E1093" s="29">
        <f>IFERROR(__xludf.DUMMYFUNCTION("""COMPUTED_VALUE"""),5.0)</f>
        <v>5</v>
      </c>
    </row>
    <row r="1094">
      <c r="A1094" s="33">
        <f>IFERROR(__xludf.DUMMYFUNCTION("""COMPUTED_VALUE"""),45831.81648645833)</f>
        <v>45831.81649</v>
      </c>
      <c r="B1094" s="29" t="str">
        <f>IFERROR(__xludf.DUMMYFUNCTION("""COMPUTED_VALUE"""),"Intact (Never circumcised)")</f>
        <v>Intact (Never circumcised)</v>
      </c>
      <c r="C1094" s="29" t="str">
        <f>IFERROR(__xludf.DUMMYFUNCTION("""COMPUTED_VALUE"""),"Light Touch Sensitivity")</f>
        <v>Light Touch Sensitivity</v>
      </c>
      <c r="D1094" s="29" t="str">
        <f>IFERROR(__xludf.DUMMYFUNCTION("""COMPUTED_VALUE"""),"4")</f>
        <v>4</v>
      </c>
      <c r="E1094" s="29">
        <f>IFERROR(__xludf.DUMMYFUNCTION("""COMPUTED_VALUE"""),4.0)</f>
        <v>4</v>
      </c>
    </row>
    <row r="1095">
      <c r="A1095" s="33">
        <f>IFERROR(__xludf.DUMMYFUNCTION("""COMPUTED_VALUE"""),45831.93652824074)</f>
        <v>45831.93653</v>
      </c>
      <c r="B1095" s="29" t="str">
        <f>IFERROR(__xludf.DUMMYFUNCTION("""COMPUTED_VALUE"""),"Actively restoring my foreskin / I consider myself restored")</f>
        <v>Actively restoring my foreskin / I consider myself restored</v>
      </c>
      <c r="C1095" s="29" t="str">
        <f>IFERROR(__xludf.DUMMYFUNCTION("""COMPUTED_VALUE"""),"Light Touch Sensitivity")</f>
        <v>Light Touch Sensitivity</v>
      </c>
      <c r="D1095" s="29" t="str">
        <f>IFERROR(__xludf.DUMMYFUNCTION("""COMPUTED_VALUE"""),"1 (Low/Poor)")</f>
        <v>1 (Low/Poor)</v>
      </c>
      <c r="E1095" s="29">
        <f>IFERROR(__xludf.DUMMYFUNCTION("""COMPUTED_VALUE"""),1.0)</f>
        <v>1</v>
      </c>
    </row>
    <row r="1096">
      <c r="A1096" s="33">
        <f>IFERROR(__xludf.DUMMYFUNCTION("""COMPUTED_VALUE"""),45832.168814212964)</f>
        <v>45832.16881</v>
      </c>
      <c r="B1096" s="29" t="str">
        <f>IFERROR(__xludf.DUMMYFUNCTION("""COMPUTED_VALUE"""),"Circumcised")</f>
        <v>Circumcised</v>
      </c>
      <c r="C1096" s="29" t="str">
        <f>IFERROR(__xludf.DUMMYFUNCTION("""COMPUTED_VALUE"""),"Light Touch Sensitivity")</f>
        <v>Light Touch Sensitivity</v>
      </c>
      <c r="D1096" s="29" t="str">
        <f>IFERROR(__xludf.DUMMYFUNCTION("""COMPUTED_VALUE"""),"1 (Low/Poor)")</f>
        <v>1 (Low/Poor)</v>
      </c>
      <c r="E1096" s="29">
        <f>IFERROR(__xludf.DUMMYFUNCTION("""COMPUTED_VALUE"""),1.0)</f>
        <v>1</v>
      </c>
    </row>
    <row r="1097">
      <c r="A1097" s="33">
        <f>IFERROR(__xludf.DUMMYFUNCTION("""COMPUTED_VALUE"""),45832.22020383101)</f>
        <v>45832.2202</v>
      </c>
      <c r="B1097" s="29" t="str">
        <f>IFERROR(__xludf.DUMMYFUNCTION("""COMPUTED_VALUE"""),"Intact (Never circumcised)")</f>
        <v>Intact (Never circumcised)</v>
      </c>
      <c r="C1097" s="29" t="str">
        <f>IFERROR(__xludf.DUMMYFUNCTION("""COMPUTED_VALUE"""),"Light Touch Sensitivity")</f>
        <v>Light Touch Sensitivity</v>
      </c>
      <c r="D1097" s="29" t="str">
        <f>IFERROR(__xludf.DUMMYFUNCTION("""COMPUTED_VALUE"""),"5 (High/Excellent)")</f>
        <v>5 (High/Excellent)</v>
      </c>
      <c r="E1097" s="29">
        <f>IFERROR(__xludf.DUMMYFUNCTION("""COMPUTED_VALUE"""),5.0)</f>
        <v>5</v>
      </c>
    </row>
    <row r="1098">
      <c r="A1098" s="33">
        <f>IFERROR(__xludf.DUMMYFUNCTION("""COMPUTED_VALUE"""),45832.38233418982)</f>
        <v>45832.38233</v>
      </c>
      <c r="B1098" s="29" t="str">
        <f>IFERROR(__xludf.DUMMYFUNCTION("""COMPUTED_VALUE"""),"Intact (Never circumcised)")</f>
        <v>Intact (Never circumcised)</v>
      </c>
      <c r="C1098" s="29" t="str">
        <f>IFERROR(__xludf.DUMMYFUNCTION("""COMPUTED_VALUE"""),"Light Touch Sensitivity")</f>
        <v>Light Touch Sensitivity</v>
      </c>
      <c r="D1098" s="29" t="str">
        <f>IFERROR(__xludf.DUMMYFUNCTION("""COMPUTED_VALUE"""),"4")</f>
        <v>4</v>
      </c>
      <c r="E1098" s="29">
        <f>IFERROR(__xludf.DUMMYFUNCTION("""COMPUTED_VALUE"""),4.0)</f>
        <v>4</v>
      </c>
    </row>
    <row r="1099">
      <c r="A1099" s="33">
        <f>IFERROR(__xludf.DUMMYFUNCTION("""COMPUTED_VALUE"""),45832.38844354167)</f>
        <v>45832.38844</v>
      </c>
      <c r="B1099" s="29" t="str">
        <f>IFERROR(__xludf.DUMMYFUNCTION("""COMPUTED_VALUE"""),"Intact (Never circumcised)")</f>
        <v>Intact (Never circumcised)</v>
      </c>
      <c r="C1099" s="29" t="str">
        <f>IFERROR(__xludf.DUMMYFUNCTION("""COMPUTED_VALUE"""),"Light Touch Sensitivity")</f>
        <v>Light Touch Sensitivity</v>
      </c>
      <c r="D1099" s="29" t="str">
        <f>IFERROR(__xludf.DUMMYFUNCTION("""COMPUTED_VALUE"""),"5 (High/Excellent)")</f>
        <v>5 (High/Excellent)</v>
      </c>
      <c r="E1099" s="29">
        <f>IFERROR(__xludf.DUMMYFUNCTION("""COMPUTED_VALUE"""),5.0)</f>
        <v>5</v>
      </c>
    </row>
    <row r="1100">
      <c r="A1100" s="33">
        <f>IFERROR(__xludf.DUMMYFUNCTION("""COMPUTED_VALUE"""),45832.400918541665)</f>
        <v>45832.40092</v>
      </c>
      <c r="B1100" s="29" t="str">
        <f>IFERROR(__xludf.DUMMYFUNCTION("""COMPUTED_VALUE"""),"Intact (Never circumcised)")</f>
        <v>Intact (Never circumcised)</v>
      </c>
      <c r="C1100" s="29" t="str">
        <f>IFERROR(__xludf.DUMMYFUNCTION("""COMPUTED_VALUE"""),"Light Touch Sensitivity")</f>
        <v>Light Touch Sensitivity</v>
      </c>
      <c r="D1100" s="29" t="str">
        <f>IFERROR(__xludf.DUMMYFUNCTION("""COMPUTED_VALUE"""),"5 (High/Excellent)")</f>
        <v>5 (High/Excellent)</v>
      </c>
      <c r="E1100" s="29">
        <f>IFERROR(__xludf.DUMMYFUNCTION("""COMPUTED_VALUE"""),5.0)</f>
        <v>5</v>
      </c>
    </row>
    <row r="1101">
      <c r="A1101" s="33">
        <f>IFERROR(__xludf.DUMMYFUNCTION("""COMPUTED_VALUE"""),45832.53223854167)</f>
        <v>45832.53224</v>
      </c>
      <c r="B1101" s="29" t="str">
        <f>IFERROR(__xludf.DUMMYFUNCTION("""COMPUTED_VALUE"""),"Actively restoring my foreskin / I consider myself restored")</f>
        <v>Actively restoring my foreskin / I consider myself restored</v>
      </c>
      <c r="C1101" s="29" t="str">
        <f>IFERROR(__xludf.DUMMYFUNCTION("""COMPUTED_VALUE"""),"Light Touch Sensitivity")</f>
        <v>Light Touch Sensitivity</v>
      </c>
      <c r="D1101" s="29" t="str">
        <f>IFERROR(__xludf.DUMMYFUNCTION("""COMPUTED_VALUE"""),"5 (High/Excellent)")</f>
        <v>5 (High/Excellent)</v>
      </c>
      <c r="E1101" s="29">
        <f>IFERROR(__xludf.DUMMYFUNCTION("""COMPUTED_VALUE"""),5.0)</f>
        <v>5</v>
      </c>
    </row>
    <row r="1102">
      <c r="A1102" s="33">
        <f>IFERROR(__xludf.DUMMYFUNCTION("""COMPUTED_VALUE"""),45832.613582488426)</f>
        <v>45832.61358</v>
      </c>
      <c r="B1102" s="29" t="str">
        <f>IFERROR(__xludf.DUMMYFUNCTION("""COMPUTED_VALUE"""),"Circumcised")</f>
        <v>Circumcised</v>
      </c>
      <c r="C1102" s="29" t="str">
        <f>IFERROR(__xludf.DUMMYFUNCTION("""COMPUTED_VALUE"""),"Light Touch Sensitivity")</f>
        <v>Light Touch Sensitivity</v>
      </c>
      <c r="D1102" s="29" t="str">
        <f>IFERROR(__xludf.DUMMYFUNCTION("""COMPUTED_VALUE"""),"3 (Medium/Average)")</f>
        <v>3 (Medium/Average)</v>
      </c>
      <c r="E1102" s="29">
        <f>IFERROR(__xludf.DUMMYFUNCTION("""COMPUTED_VALUE"""),3.0)</f>
        <v>3</v>
      </c>
    </row>
    <row r="1103">
      <c r="A1103" s="33">
        <f>IFERROR(__xludf.DUMMYFUNCTION("""COMPUTED_VALUE"""),45833.016503148145)</f>
        <v>45833.0165</v>
      </c>
      <c r="B1103" s="29" t="str">
        <f>IFERROR(__xludf.DUMMYFUNCTION("""COMPUTED_VALUE"""),"Intact (Never circumcised)")</f>
        <v>Intact (Never circumcised)</v>
      </c>
      <c r="C1103" s="29" t="str">
        <f>IFERROR(__xludf.DUMMYFUNCTION("""COMPUTED_VALUE"""),"Light Touch Sensitivity")</f>
        <v>Light Touch Sensitivity</v>
      </c>
      <c r="D1103" s="29" t="str">
        <f>IFERROR(__xludf.DUMMYFUNCTION("""COMPUTED_VALUE"""),"4")</f>
        <v>4</v>
      </c>
      <c r="E1103" s="29">
        <f>IFERROR(__xludf.DUMMYFUNCTION("""COMPUTED_VALUE"""),4.0)</f>
        <v>4</v>
      </c>
    </row>
    <row r="1104">
      <c r="A1104" s="33">
        <f>IFERROR(__xludf.DUMMYFUNCTION("""COMPUTED_VALUE"""),45833.09466783565)</f>
        <v>45833.09467</v>
      </c>
      <c r="B1104" s="29" t="str">
        <f>IFERROR(__xludf.DUMMYFUNCTION("""COMPUTED_VALUE"""),"Circumcised")</f>
        <v>Circumcised</v>
      </c>
      <c r="C1104" s="29" t="str">
        <f>IFERROR(__xludf.DUMMYFUNCTION("""COMPUTED_VALUE"""),"Light Touch Sensitivity")</f>
        <v>Light Touch Sensitivity</v>
      </c>
      <c r="D1104" s="29" t="str">
        <f>IFERROR(__xludf.DUMMYFUNCTION("""COMPUTED_VALUE"""),"3 (Medium/Average)")</f>
        <v>3 (Medium/Average)</v>
      </c>
      <c r="E1104" s="29">
        <f>IFERROR(__xludf.DUMMYFUNCTION("""COMPUTED_VALUE"""),3.0)</f>
        <v>3</v>
      </c>
    </row>
    <row r="1105">
      <c r="A1105" s="33">
        <f>IFERROR(__xludf.DUMMYFUNCTION("""COMPUTED_VALUE"""),45833.27167458333)</f>
        <v>45833.27167</v>
      </c>
      <c r="B1105" s="29" t="str">
        <f>IFERROR(__xludf.DUMMYFUNCTION("""COMPUTED_VALUE"""),"Intact (Never circumcised)")</f>
        <v>Intact (Never circumcised)</v>
      </c>
      <c r="C1105" s="29" t="str">
        <f>IFERROR(__xludf.DUMMYFUNCTION("""COMPUTED_VALUE"""),"Light Touch Sensitivity")</f>
        <v>Light Touch Sensitivity</v>
      </c>
      <c r="D1105" s="29" t="str">
        <f>IFERROR(__xludf.DUMMYFUNCTION("""COMPUTED_VALUE"""),"3 (Medium/Average)")</f>
        <v>3 (Medium/Average)</v>
      </c>
      <c r="E1105" s="29">
        <f>IFERROR(__xludf.DUMMYFUNCTION("""COMPUTED_VALUE"""),3.0)</f>
        <v>3</v>
      </c>
    </row>
    <row r="1106">
      <c r="A1106" s="33">
        <f>IFERROR(__xludf.DUMMYFUNCTION("""COMPUTED_VALUE"""),45833.341107002314)</f>
        <v>45833.34111</v>
      </c>
      <c r="B1106" s="29" t="str">
        <f>IFERROR(__xludf.DUMMYFUNCTION("""COMPUTED_VALUE"""),"Actively restoring my foreskin / I consider myself restored")</f>
        <v>Actively restoring my foreskin / I consider myself restored</v>
      </c>
      <c r="C1106" s="29" t="str">
        <f>IFERROR(__xludf.DUMMYFUNCTION("""COMPUTED_VALUE"""),"Light Touch Sensitivity")</f>
        <v>Light Touch Sensitivity</v>
      </c>
      <c r="D1106" s="29" t="str">
        <f>IFERROR(__xludf.DUMMYFUNCTION("""COMPUTED_VALUE"""),"1 (Low/Poor)")</f>
        <v>1 (Low/Poor)</v>
      </c>
      <c r="E1106" s="29">
        <f>IFERROR(__xludf.DUMMYFUNCTION("""COMPUTED_VALUE"""),1.0)</f>
        <v>1</v>
      </c>
    </row>
    <row r="1107">
      <c r="A1107" s="33">
        <f>IFERROR(__xludf.DUMMYFUNCTION("""COMPUTED_VALUE"""),45833.43214159722)</f>
        <v>45833.43214</v>
      </c>
      <c r="B1107" s="29" t="str">
        <f>IFERROR(__xludf.DUMMYFUNCTION("""COMPUTED_VALUE"""),"Circumcised")</f>
        <v>Circumcised</v>
      </c>
      <c r="C1107" s="29" t="str">
        <f>IFERROR(__xludf.DUMMYFUNCTION("""COMPUTED_VALUE"""),"Light Touch Sensitivity")</f>
        <v>Light Touch Sensitivity</v>
      </c>
      <c r="D1107" s="29" t="str">
        <f>IFERROR(__xludf.DUMMYFUNCTION("""COMPUTED_VALUE"""),"2")</f>
        <v>2</v>
      </c>
      <c r="E1107" s="29">
        <f>IFERROR(__xludf.DUMMYFUNCTION("""COMPUTED_VALUE"""),2.0)</f>
        <v>2</v>
      </c>
    </row>
    <row r="1108">
      <c r="A1108" s="33">
        <f>IFERROR(__xludf.DUMMYFUNCTION("""COMPUTED_VALUE"""),45833.572022002314)</f>
        <v>45833.57202</v>
      </c>
      <c r="B1108" s="29" t="str">
        <f>IFERROR(__xludf.DUMMYFUNCTION("""COMPUTED_VALUE"""),"Circumcised")</f>
        <v>Circumcised</v>
      </c>
      <c r="C1108" s="29" t="str">
        <f>IFERROR(__xludf.DUMMYFUNCTION("""COMPUTED_VALUE"""),"Light Touch Sensitivity")</f>
        <v>Light Touch Sensitivity</v>
      </c>
      <c r="D1108" s="29" t="str">
        <f>IFERROR(__xludf.DUMMYFUNCTION("""COMPUTED_VALUE"""),"4")</f>
        <v>4</v>
      </c>
      <c r="E1108" s="29">
        <f>IFERROR(__xludf.DUMMYFUNCTION("""COMPUTED_VALUE"""),4.0)</f>
        <v>4</v>
      </c>
    </row>
    <row r="1109">
      <c r="A1109" s="33">
        <f>IFERROR(__xludf.DUMMYFUNCTION("""COMPUTED_VALUE"""),45833.82247668981)</f>
        <v>45833.82248</v>
      </c>
      <c r="B1109" s="29" t="str">
        <f>IFERROR(__xludf.DUMMYFUNCTION("""COMPUTED_VALUE"""),"Intact (Never circumcised)")</f>
        <v>Intact (Never circumcised)</v>
      </c>
      <c r="C1109" s="29" t="str">
        <f>IFERROR(__xludf.DUMMYFUNCTION("""COMPUTED_VALUE"""),"Light Touch Sensitivity")</f>
        <v>Light Touch Sensitivity</v>
      </c>
      <c r="D1109" s="29" t="str">
        <f>IFERROR(__xludf.DUMMYFUNCTION("""COMPUTED_VALUE"""),"4")</f>
        <v>4</v>
      </c>
      <c r="E1109" s="29">
        <f>IFERROR(__xludf.DUMMYFUNCTION("""COMPUTED_VALUE"""),4.0)</f>
        <v>4</v>
      </c>
    </row>
    <row r="1110">
      <c r="A1110" s="33">
        <f>IFERROR(__xludf.DUMMYFUNCTION("""COMPUTED_VALUE"""),45833.822846944444)</f>
        <v>45833.82285</v>
      </c>
      <c r="B1110" s="29" t="str">
        <f>IFERROR(__xludf.DUMMYFUNCTION("""COMPUTED_VALUE"""),"Circumcised")</f>
        <v>Circumcised</v>
      </c>
      <c r="C1110" s="29" t="str">
        <f>IFERROR(__xludf.DUMMYFUNCTION("""COMPUTED_VALUE"""),"Light Touch Sensitivity")</f>
        <v>Light Touch Sensitivity</v>
      </c>
      <c r="D1110" s="29" t="str">
        <f>IFERROR(__xludf.DUMMYFUNCTION("""COMPUTED_VALUE"""),"3 (Medium/Average)")</f>
        <v>3 (Medium/Average)</v>
      </c>
      <c r="E1110" s="29">
        <f>IFERROR(__xludf.DUMMYFUNCTION("""COMPUTED_VALUE"""),3.0)</f>
        <v>3</v>
      </c>
    </row>
    <row r="1111">
      <c r="A1111" s="33">
        <f>IFERROR(__xludf.DUMMYFUNCTION("""COMPUTED_VALUE"""),45833.886279039354)</f>
        <v>45833.88628</v>
      </c>
      <c r="B1111" s="29" t="str">
        <f>IFERROR(__xludf.DUMMYFUNCTION("""COMPUTED_VALUE"""),"Circumcised")</f>
        <v>Circumcised</v>
      </c>
      <c r="C1111" s="29" t="str">
        <f>IFERROR(__xludf.DUMMYFUNCTION("""COMPUTED_VALUE"""),"Light Touch Sensitivity")</f>
        <v>Light Touch Sensitivity</v>
      </c>
      <c r="D1111" s="29" t="str">
        <f>IFERROR(__xludf.DUMMYFUNCTION("""COMPUTED_VALUE"""),"2")</f>
        <v>2</v>
      </c>
      <c r="E1111" s="29">
        <f>IFERROR(__xludf.DUMMYFUNCTION("""COMPUTED_VALUE"""),2.0)</f>
        <v>2</v>
      </c>
    </row>
    <row r="1112">
      <c r="A1112" s="33">
        <f>IFERROR(__xludf.DUMMYFUNCTION("""COMPUTED_VALUE"""),45834.08521821759)</f>
        <v>45834.08522</v>
      </c>
      <c r="B1112" s="29" t="str">
        <f>IFERROR(__xludf.DUMMYFUNCTION("""COMPUTED_VALUE"""),"Circumcised")</f>
        <v>Circumcised</v>
      </c>
      <c r="C1112" s="29" t="str">
        <f>IFERROR(__xludf.DUMMYFUNCTION("""COMPUTED_VALUE"""),"Light Touch Sensitivity")</f>
        <v>Light Touch Sensitivity</v>
      </c>
      <c r="D1112" s="29" t="str">
        <f>IFERROR(__xludf.DUMMYFUNCTION("""COMPUTED_VALUE"""),"1 (Low/Poor)")</f>
        <v>1 (Low/Poor)</v>
      </c>
      <c r="E1112" s="29">
        <f>IFERROR(__xludf.DUMMYFUNCTION("""COMPUTED_VALUE"""),1.0)</f>
        <v>1</v>
      </c>
    </row>
    <row r="1113">
      <c r="A1113" s="33">
        <f>IFERROR(__xludf.DUMMYFUNCTION("""COMPUTED_VALUE"""),45834.09703479167)</f>
        <v>45834.09703</v>
      </c>
      <c r="B1113" s="29" t="str">
        <f>IFERROR(__xludf.DUMMYFUNCTION("""COMPUTED_VALUE"""),"Circumcised")</f>
        <v>Circumcised</v>
      </c>
      <c r="C1113" s="29" t="str">
        <f>IFERROR(__xludf.DUMMYFUNCTION("""COMPUTED_VALUE"""),"Light Touch Sensitivity")</f>
        <v>Light Touch Sensitivity</v>
      </c>
      <c r="D1113" s="29" t="str">
        <f>IFERROR(__xludf.DUMMYFUNCTION("""COMPUTED_VALUE"""),"3 (Medium/Average)")</f>
        <v>3 (Medium/Average)</v>
      </c>
      <c r="E1113" s="29">
        <f>IFERROR(__xludf.DUMMYFUNCTION("""COMPUTED_VALUE"""),3.0)</f>
        <v>3</v>
      </c>
    </row>
    <row r="1114">
      <c r="A1114" s="33">
        <f>IFERROR(__xludf.DUMMYFUNCTION("""COMPUTED_VALUE"""),45834.14087384259)</f>
        <v>45834.14087</v>
      </c>
      <c r="B1114" s="29" t="str">
        <f>IFERROR(__xludf.DUMMYFUNCTION("""COMPUTED_VALUE"""),"Intact (Never circumcised)")</f>
        <v>Intact (Never circumcised)</v>
      </c>
      <c r="C1114" s="29" t="str">
        <f>IFERROR(__xludf.DUMMYFUNCTION("""COMPUTED_VALUE"""),"Light Touch Sensitivity")</f>
        <v>Light Touch Sensitivity</v>
      </c>
      <c r="D1114" s="29" t="str">
        <f>IFERROR(__xludf.DUMMYFUNCTION("""COMPUTED_VALUE"""),"4")</f>
        <v>4</v>
      </c>
      <c r="E1114" s="29">
        <f>IFERROR(__xludf.DUMMYFUNCTION("""COMPUTED_VALUE"""),4.0)</f>
        <v>4</v>
      </c>
    </row>
    <row r="1115">
      <c r="A1115" s="33">
        <f>IFERROR(__xludf.DUMMYFUNCTION("""COMPUTED_VALUE"""),45834.45642371528)</f>
        <v>45834.45642</v>
      </c>
      <c r="B1115" s="29" t="str">
        <f>IFERROR(__xludf.DUMMYFUNCTION("""COMPUTED_VALUE"""),"Circumcised")</f>
        <v>Circumcised</v>
      </c>
      <c r="C1115" s="29" t="str">
        <f>IFERROR(__xludf.DUMMYFUNCTION("""COMPUTED_VALUE"""),"Light Touch Sensitivity")</f>
        <v>Light Touch Sensitivity</v>
      </c>
      <c r="D1115" s="29" t="str">
        <f>IFERROR(__xludf.DUMMYFUNCTION("""COMPUTED_VALUE"""),"1 (Low/Poor)")</f>
        <v>1 (Low/Poor)</v>
      </c>
      <c r="E1115" s="29">
        <f>IFERROR(__xludf.DUMMYFUNCTION("""COMPUTED_VALUE"""),1.0)</f>
        <v>1</v>
      </c>
    </row>
    <row r="1116">
      <c r="A1116" s="33">
        <f>IFERROR(__xludf.DUMMYFUNCTION("""COMPUTED_VALUE"""),45834.524166041665)</f>
        <v>45834.52417</v>
      </c>
      <c r="B1116" s="29" t="str">
        <f>IFERROR(__xludf.DUMMYFUNCTION("""COMPUTED_VALUE"""),"Intact (Never circumcised)")</f>
        <v>Intact (Never circumcised)</v>
      </c>
      <c r="C1116" s="29" t="str">
        <f>IFERROR(__xludf.DUMMYFUNCTION("""COMPUTED_VALUE"""),"Light Touch Sensitivity")</f>
        <v>Light Touch Sensitivity</v>
      </c>
      <c r="D1116" s="29" t="str">
        <f>IFERROR(__xludf.DUMMYFUNCTION("""COMPUTED_VALUE"""),"5 (High/Excellent)")</f>
        <v>5 (High/Excellent)</v>
      </c>
      <c r="E1116" s="29">
        <f>IFERROR(__xludf.DUMMYFUNCTION("""COMPUTED_VALUE"""),5.0)</f>
        <v>5</v>
      </c>
    </row>
    <row r="1117">
      <c r="A1117" s="33">
        <f>IFERROR(__xludf.DUMMYFUNCTION("""COMPUTED_VALUE"""),45834.83290418982)</f>
        <v>45834.8329</v>
      </c>
      <c r="B1117" s="29" t="str">
        <f>IFERROR(__xludf.DUMMYFUNCTION("""COMPUTED_VALUE"""),"Circumcised")</f>
        <v>Circumcised</v>
      </c>
      <c r="C1117" s="29" t="str">
        <f>IFERROR(__xludf.DUMMYFUNCTION("""COMPUTED_VALUE"""),"Light Touch Sensitivity")</f>
        <v>Light Touch Sensitivity</v>
      </c>
      <c r="D1117" s="29" t="str">
        <f>IFERROR(__xludf.DUMMYFUNCTION("""COMPUTED_VALUE"""),"2")</f>
        <v>2</v>
      </c>
      <c r="E1117" s="29">
        <f>IFERROR(__xludf.DUMMYFUNCTION("""COMPUTED_VALUE"""),2.0)</f>
        <v>2</v>
      </c>
    </row>
    <row r="1118">
      <c r="A1118" s="33">
        <f>IFERROR(__xludf.DUMMYFUNCTION("""COMPUTED_VALUE"""),45835.44492405092)</f>
        <v>45835.44492</v>
      </c>
      <c r="B1118" s="29" t="str">
        <f>IFERROR(__xludf.DUMMYFUNCTION("""COMPUTED_VALUE"""),"Actively restoring my foreskin / I consider myself restored")</f>
        <v>Actively restoring my foreskin / I consider myself restored</v>
      </c>
      <c r="C1118" s="29" t="str">
        <f>IFERROR(__xludf.DUMMYFUNCTION("""COMPUTED_VALUE"""),"Light Touch Sensitivity")</f>
        <v>Light Touch Sensitivity</v>
      </c>
      <c r="D1118" s="29" t="str">
        <f>IFERROR(__xludf.DUMMYFUNCTION("""COMPUTED_VALUE"""),"1 (Low/Poor)")</f>
        <v>1 (Low/Poor)</v>
      </c>
      <c r="E1118" s="29">
        <f>IFERROR(__xludf.DUMMYFUNCTION("""COMPUTED_VALUE"""),1.0)</f>
        <v>1</v>
      </c>
    </row>
    <row r="1119">
      <c r="A1119" s="33">
        <f>IFERROR(__xludf.DUMMYFUNCTION("""COMPUTED_VALUE"""),45835.706102581025)</f>
        <v>45835.7061</v>
      </c>
      <c r="B1119" s="29" t="str">
        <f>IFERROR(__xludf.DUMMYFUNCTION("""COMPUTED_VALUE"""),"Circumcised")</f>
        <v>Circumcised</v>
      </c>
      <c r="C1119" s="29" t="str">
        <f>IFERROR(__xludf.DUMMYFUNCTION("""COMPUTED_VALUE"""),"Light Touch Sensitivity")</f>
        <v>Light Touch Sensitivity</v>
      </c>
      <c r="D1119" s="29" t="str">
        <f>IFERROR(__xludf.DUMMYFUNCTION("""COMPUTED_VALUE"""),"3 (Medium/Average)")</f>
        <v>3 (Medium/Average)</v>
      </c>
      <c r="E1119" s="29">
        <f>IFERROR(__xludf.DUMMYFUNCTION("""COMPUTED_VALUE"""),3.0)</f>
        <v>3</v>
      </c>
    </row>
    <row r="1120">
      <c r="A1120" s="33">
        <f>IFERROR(__xludf.DUMMYFUNCTION("""COMPUTED_VALUE"""),45835.889590937506)</f>
        <v>45835.88959</v>
      </c>
      <c r="B1120" s="29" t="str">
        <f>IFERROR(__xludf.DUMMYFUNCTION("""COMPUTED_VALUE"""),"Intact (Never circumcised)")</f>
        <v>Intact (Never circumcised)</v>
      </c>
      <c r="C1120" s="29" t="str">
        <f>IFERROR(__xludf.DUMMYFUNCTION("""COMPUTED_VALUE"""),"Light Touch Sensitivity")</f>
        <v>Light Touch Sensitivity</v>
      </c>
      <c r="D1120" s="29" t="str">
        <f>IFERROR(__xludf.DUMMYFUNCTION("""COMPUTED_VALUE"""),"5 (High/Excellent)")</f>
        <v>5 (High/Excellent)</v>
      </c>
      <c r="E1120" s="29">
        <f>IFERROR(__xludf.DUMMYFUNCTION("""COMPUTED_VALUE"""),5.0)</f>
        <v>5</v>
      </c>
    </row>
    <row r="1121">
      <c r="A1121" s="33">
        <f>IFERROR(__xludf.DUMMYFUNCTION("""COMPUTED_VALUE"""),45836.08061851852)</f>
        <v>45836.08062</v>
      </c>
      <c r="B1121" s="29" t="str">
        <f>IFERROR(__xludf.DUMMYFUNCTION("""COMPUTED_VALUE"""),"Actively restoring my foreskin / I consider myself restored")</f>
        <v>Actively restoring my foreskin / I consider myself restored</v>
      </c>
      <c r="C1121" s="29" t="str">
        <f>IFERROR(__xludf.DUMMYFUNCTION("""COMPUTED_VALUE"""),"Light Touch Sensitivity")</f>
        <v>Light Touch Sensitivity</v>
      </c>
      <c r="D1121" s="29" t="str">
        <f>IFERROR(__xludf.DUMMYFUNCTION("""COMPUTED_VALUE"""),"2")</f>
        <v>2</v>
      </c>
      <c r="E1121" s="29">
        <f>IFERROR(__xludf.DUMMYFUNCTION("""COMPUTED_VALUE"""),2.0)</f>
        <v>2</v>
      </c>
    </row>
    <row r="1122">
      <c r="A1122" s="33">
        <f>IFERROR(__xludf.DUMMYFUNCTION("""COMPUTED_VALUE"""),45836.205108657414)</f>
        <v>45836.20511</v>
      </c>
      <c r="B1122" s="29" t="str">
        <f>IFERROR(__xludf.DUMMYFUNCTION("""COMPUTED_VALUE"""),"Circumcised")</f>
        <v>Circumcised</v>
      </c>
      <c r="C1122" s="29" t="str">
        <f>IFERROR(__xludf.DUMMYFUNCTION("""COMPUTED_VALUE"""),"Light Touch Sensitivity")</f>
        <v>Light Touch Sensitivity</v>
      </c>
      <c r="D1122" s="29" t="str">
        <f>IFERROR(__xludf.DUMMYFUNCTION("""COMPUTED_VALUE"""),"1 (Low/Poor)")</f>
        <v>1 (Low/Poor)</v>
      </c>
      <c r="E1122" s="29">
        <f>IFERROR(__xludf.DUMMYFUNCTION("""COMPUTED_VALUE"""),1.0)</f>
        <v>1</v>
      </c>
    </row>
    <row r="1123">
      <c r="A1123" s="33">
        <f>IFERROR(__xludf.DUMMYFUNCTION("""COMPUTED_VALUE"""),45836.34391229167)</f>
        <v>45836.34391</v>
      </c>
      <c r="B1123" s="29" t="str">
        <f>IFERROR(__xludf.DUMMYFUNCTION("""COMPUTED_VALUE"""),"Intact (Never circumcised)")</f>
        <v>Intact (Never circumcised)</v>
      </c>
      <c r="C1123" s="29" t="str">
        <f>IFERROR(__xludf.DUMMYFUNCTION("""COMPUTED_VALUE"""),"Light Touch Sensitivity")</f>
        <v>Light Touch Sensitivity</v>
      </c>
      <c r="D1123" s="29" t="str">
        <f>IFERROR(__xludf.DUMMYFUNCTION("""COMPUTED_VALUE"""),"5 (High/Excellent)")</f>
        <v>5 (High/Excellent)</v>
      </c>
      <c r="E1123" s="29">
        <f>IFERROR(__xludf.DUMMYFUNCTION("""COMPUTED_VALUE"""),5.0)</f>
        <v>5</v>
      </c>
    </row>
    <row r="1124">
      <c r="A1124" s="33">
        <f>IFERROR(__xludf.DUMMYFUNCTION("""COMPUTED_VALUE"""),45836.46845483797)</f>
        <v>45836.46845</v>
      </c>
      <c r="B1124" s="29" t="str">
        <f>IFERROR(__xludf.DUMMYFUNCTION("""COMPUTED_VALUE"""),"Actively restoring my foreskin / I consider myself restored")</f>
        <v>Actively restoring my foreskin / I consider myself restored</v>
      </c>
      <c r="C1124" s="29" t="str">
        <f>IFERROR(__xludf.DUMMYFUNCTION("""COMPUTED_VALUE"""),"Light Touch Sensitivity")</f>
        <v>Light Touch Sensitivity</v>
      </c>
      <c r="D1124" s="29" t="str">
        <f>IFERROR(__xludf.DUMMYFUNCTION("""COMPUTED_VALUE"""),"4")</f>
        <v>4</v>
      </c>
      <c r="E1124" s="29">
        <f>IFERROR(__xludf.DUMMYFUNCTION("""COMPUTED_VALUE"""),4.0)</f>
        <v>4</v>
      </c>
    </row>
    <row r="1125">
      <c r="A1125" s="33">
        <f>IFERROR(__xludf.DUMMYFUNCTION("""COMPUTED_VALUE"""),45836.50647361111)</f>
        <v>45836.50647</v>
      </c>
      <c r="B1125" s="29" t="str">
        <f>IFERROR(__xludf.DUMMYFUNCTION("""COMPUTED_VALUE"""),"Intact (Never circumcised)")</f>
        <v>Intact (Never circumcised)</v>
      </c>
      <c r="C1125" s="29" t="str">
        <f>IFERROR(__xludf.DUMMYFUNCTION("""COMPUTED_VALUE"""),"Light Touch Sensitivity")</f>
        <v>Light Touch Sensitivity</v>
      </c>
      <c r="D1125" s="29" t="str">
        <f>IFERROR(__xludf.DUMMYFUNCTION("""COMPUTED_VALUE"""),"2")</f>
        <v>2</v>
      </c>
      <c r="E1125" s="29">
        <f>IFERROR(__xludf.DUMMYFUNCTION("""COMPUTED_VALUE"""),2.0)</f>
        <v>2</v>
      </c>
    </row>
    <row r="1126">
      <c r="A1126" s="33">
        <f>IFERROR(__xludf.DUMMYFUNCTION("""COMPUTED_VALUE"""),45836.70248601852)</f>
        <v>45836.70249</v>
      </c>
      <c r="B1126" s="29" t="str">
        <f>IFERROR(__xludf.DUMMYFUNCTION("""COMPUTED_VALUE"""),"Circumcised")</f>
        <v>Circumcised</v>
      </c>
      <c r="C1126" s="29" t="str">
        <f>IFERROR(__xludf.DUMMYFUNCTION("""COMPUTED_VALUE"""),"Light Touch Sensitivity")</f>
        <v>Light Touch Sensitivity</v>
      </c>
      <c r="D1126" s="29" t="str">
        <f>IFERROR(__xludf.DUMMYFUNCTION("""COMPUTED_VALUE"""),"3 (Medium/Average)")</f>
        <v>3 (Medium/Average)</v>
      </c>
      <c r="E1126" s="29">
        <f>IFERROR(__xludf.DUMMYFUNCTION("""COMPUTED_VALUE"""),3.0)</f>
        <v>3</v>
      </c>
    </row>
    <row r="1127">
      <c r="A1127" s="33">
        <f>IFERROR(__xludf.DUMMYFUNCTION("""COMPUTED_VALUE"""),45836.71771464121)</f>
        <v>45836.71771</v>
      </c>
      <c r="B1127" s="29" t="str">
        <f>IFERROR(__xludf.DUMMYFUNCTION("""COMPUTED_VALUE"""),"Circumcised")</f>
        <v>Circumcised</v>
      </c>
      <c r="C1127" s="29" t="str">
        <f>IFERROR(__xludf.DUMMYFUNCTION("""COMPUTED_VALUE"""),"Light Touch Sensitivity")</f>
        <v>Light Touch Sensitivity</v>
      </c>
      <c r="D1127" s="29" t="str">
        <f>IFERROR(__xludf.DUMMYFUNCTION("""COMPUTED_VALUE"""),"1 (Low/Poor)")</f>
        <v>1 (Low/Poor)</v>
      </c>
      <c r="E1127" s="29">
        <f>IFERROR(__xludf.DUMMYFUNCTION("""COMPUTED_VALUE"""),1.0)</f>
        <v>1</v>
      </c>
    </row>
    <row r="1128">
      <c r="A1128" s="33">
        <f>IFERROR(__xludf.DUMMYFUNCTION("""COMPUTED_VALUE"""),45836.826351354175)</f>
        <v>45836.82635</v>
      </c>
      <c r="B1128" s="29" t="str">
        <f>IFERROR(__xludf.DUMMYFUNCTION("""COMPUTED_VALUE"""),"Circumcised")</f>
        <v>Circumcised</v>
      </c>
      <c r="C1128" s="29" t="str">
        <f>IFERROR(__xludf.DUMMYFUNCTION("""COMPUTED_VALUE"""),"Light Touch Sensitivity")</f>
        <v>Light Touch Sensitivity</v>
      </c>
      <c r="D1128" s="29" t="str">
        <f>IFERROR(__xludf.DUMMYFUNCTION("""COMPUTED_VALUE"""),"1 (Low/Poor)")</f>
        <v>1 (Low/Poor)</v>
      </c>
      <c r="E1128" s="29">
        <f>IFERROR(__xludf.DUMMYFUNCTION("""COMPUTED_VALUE"""),1.0)</f>
        <v>1</v>
      </c>
    </row>
    <row r="1129">
      <c r="A1129" s="33">
        <f>IFERROR(__xludf.DUMMYFUNCTION("""COMPUTED_VALUE"""),45836.92451064815)</f>
        <v>45836.92451</v>
      </c>
      <c r="B1129" s="29" t="str">
        <f>IFERROR(__xludf.DUMMYFUNCTION("""COMPUTED_VALUE"""),"Intact (Never circumcised)")</f>
        <v>Intact (Never circumcised)</v>
      </c>
      <c r="C1129" s="29" t="str">
        <f>IFERROR(__xludf.DUMMYFUNCTION("""COMPUTED_VALUE"""),"Light Touch Sensitivity")</f>
        <v>Light Touch Sensitivity</v>
      </c>
      <c r="D1129" s="29" t="str">
        <f>IFERROR(__xludf.DUMMYFUNCTION("""COMPUTED_VALUE"""),"5 (High/Excellent)")</f>
        <v>5 (High/Excellent)</v>
      </c>
      <c r="E1129" s="29">
        <f>IFERROR(__xludf.DUMMYFUNCTION("""COMPUTED_VALUE"""),5.0)</f>
        <v>5</v>
      </c>
    </row>
    <row r="1130">
      <c r="A1130" s="33">
        <f>IFERROR(__xludf.DUMMYFUNCTION("""COMPUTED_VALUE"""),45837.0323637037)</f>
        <v>45837.03236</v>
      </c>
      <c r="B1130" s="29" t="str">
        <f>IFERROR(__xludf.DUMMYFUNCTION("""COMPUTED_VALUE"""),"Circumcised")</f>
        <v>Circumcised</v>
      </c>
      <c r="C1130" s="29" t="str">
        <f>IFERROR(__xludf.DUMMYFUNCTION("""COMPUTED_VALUE"""),"Light Touch Sensitivity")</f>
        <v>Light Touch Sensitivity</v>
      </c>
      <c r="D1130" s="29" t="str">
        <f>IFERROR(__xludf.DUMMYFUNCTION("""COMPUTED_VALUE"""),"1 (Low/Poor)")</f>
        <v>1 (Low/Poor)</v>
      </c>
      <c r="E1130" s="29">
        <f>IFERROR(__xludf.DUMMYFUNCTION("""COMPUTED_VALUE"""),1.0)</f>
        <v>1</v>
      </c>
    </row>
    <row r="1131">
      <c r="A1131" s="33">
        <f>IFERROR(__xludf.DUMMYFUNCTION("""COMPUTED_VALUE"""),45837.456585266205)</f>
        <v>45837.45659</v>
      </c>
      <c r="B1131" s="29" t="str">
        <f>IFERROR(__xludf.DUMMYFUNCTION("""COMPUTED_VALUE"""),"Circumcised")</f>
        <v>Circumcised</v>
      </c>
      <c r="C1131" s="29" t="str">
        <f>IFERROR(__xludf.DUMMYFUNCTION("""COMPUTED_VALUE"""),"Light Touch Sensitivity")</f>
        <v>Light Touch Sensitivity</v>
      </c>
      <c r="D1131" s="29" t="str">
        <f>IFERROR(__xludf.DUMMYFUNCTION("""COMPUTED_VALUE"""),"1 (Low/Poor)")</f>
        <v>1 (Low/Poor)</v>
      </c>
      <c r="E1131" s="29">
        <f>IFERROR(__xludf.DUMMYFUNCTION("""COMPUTED_VALUE"""),1.0)</f>
        <v>1</v>
      </c>
    </row>
    <row r="1132">
      <c r="A1132" s="33">
        <f>IFERROR(__xludf.DUMMYFUNCTION("""COMPUTED_VALUE"""),45837.54343665509)</f>
        <v>45837.54344</v>
      </c>
      <c r="B1132" s="29" t="str">
        <f>IFERROR(__xludf.DUMMYFUNCTION("""COMPUTED_VALUE"""),"Circumcised")</f>
        <v>Circumcised</v>
      </c>
      <c r="C1132" s="29" t="str">
        <f>IFERROR(__xludf.DUMMYFUNCTION("""COMPUTED_VALUE"""),"Light Touch Sensitivity")</f>
        <v>Light Touch Sensitivity</v>
      </c>
      <c r="D1132" s="29" t="str">
        <f>IFERROR(__xludf.DUMMYFUNCTION("""COMPUTED_VALUE"""),"1 (Low/Poor)")</f>
        <v>1 (Low/Poor)</v>
      </c>
      <c r="E1132" s="29">
        <f>IFERROR(__xludf.DUMMYFUNCTION("""COMPUTED_VALUE"""),1.0)</f>
        <v>1</v>
      </c>
    </row>
    <row r="1133">
      <c r="A1133" s="33">
        <f>IFERROR(__xludf.DUMMYFUNCTION("""COMPUTED_VALUE"""),45837.65933071759)</f>
        <v>45837.65933</v>
      </c>
      <c r="B1133" s="29" t="str">
        <f>IFERROR(__xludf.DUMMYFUNCTION("""COMPUTED_VALUE"""),"Actively restoring my foreskin / I consider myself restored")</f>
        <v>Actively restoring my foreskin / I consider myself restored</v>
      </c>
      <c r="C1133" s="29" t="str">
        <f>IFERROR(__xludf.DUMMYFUNCTION("""COMPUTED_VALUE"""),"Light Touch Sensitivity")</f>
        <v>Light Touch Sensitivity</v>
      </c>
      <c r="D1133" s="29" t="str">
        <f>IFERROR(__xludf.DUMMYFUNCTION("""COMPUTED_VALUE"""),"5 (High/Excellent)")</f>
        <v>5 (High/Excellent)</v>
      </c>
      <c r="E1133" s="29">
        <f>IFERROR(__xludf.DUMMYFUNCTION("""COMPUTED_VALUE"""),5.0)</f>
        <v>5</v>
      </c>
    </row>
    <row r="1134">
      <c r="A1134" s="33">
        <f>IFERROR(__xludf.DUMMYFUNCTION("""COMPUTED_VALUE"""),45838.117896192125)</f>
        <v>45838.1179</v>
      </c>
      <c r="B1134" s="29" t="str">
        <f>IFERROR(__xludf.DUMMYFUNCTION("""COMPUTED_VALUE"""),"Circumcised")</f>
        <v>Circumcised</v>
      </c>
      <c r="C1134" s="29" t="str">
        <f>IFERROR(__xludf.DUMMYFUNCTION("""COMPUTED_VALUE"""),"Light Touch Sensitivity")</f>
        <v>Light Touch Sensitivity</v>
      </c>
      <c r="D1134" s="29" t="str">
        <f>IFERROR(__xludf.DUMMYFUNCTION("""COMPUTED_VALUE"""),"1 (Low/Poor)")</f>
        <v>1 (Low/Poor)</v>
      </c>
      <c r="E1134" s="29">
        <f>IFERROR(__xludf.DUMMYFUNCTION("""COMPUTED_VALUE"""),1.0)</f>
        <v>1</v>
      </c>
    </row>
    <row r="1135">
      <c r="A1135" s="33">
        <f>IFERROR(__xludf.DUMMYFUNCTION("""COMPUTED_VALUE"""),45838.703877291664)</f>
        <v>45838.70388</v>
      </c>
      <c r="B1135" s="29" t="str">
        <f>IFERROR(__xludf.DUMMYFUNCTION("""COMPUTED_VALUE"""),"Actively restoring my foreskin / I consider myself restored")</f>
        <v>Actively restoring my foreskin / I consider myself restored</v>
      </c>
      <c r="C1135" s="29" t="str">
        <f>IFERROR(__xludf.DUMMYFUNCTION("""COMPUTED_VALUE"""),"Light Touch Sensitivity")</f>
        <v>Light Touch Sensitivity</v>
      </c>
      <c r="D1135" s="29" t="str">
        <f>IFERROR(__xludf.DUMMYFUNCTION("""COMPUTED_VALUE"""),"1 (Low/Poor)")</f>
        <v>1 (Low/Poor)</v>
      </c>
      <c r="E1135" s="29">
        <f>IFERROR(__xludf.DUMMYFUNCTION("""COMPUTED_VALUE"""),1.0)</f>
        <v>1</v>
      </c>
    </row>
    <row r="1136">
      <c r="A1136" s="33">
        <f>IFERROR(__xludf.DUMMYFUNCTION("""COMPUTED_VALUE"""),45839.585315289354)</f>
        <v>45839.58532</v>
      </c>
      <c r="B1136" s="29" t="str">
        <f>IFERROR(__xludf.DUMMYFUNCTION("""COMPUTED_VALUE"""),"Circumcised")</f>
        <v>Circumcised</v>
      </c>
      <c r="C1136" s="29" t="str">
        <f>IFERROR(__xludf.DUMMYFUNCTION("""COMPUTED_VALUE"""),"Light Touch Sensitivity")</f>
        <v>Light Touch Sensitivity</v>
      </c>
      <c r="D1136" s="29" t="str">
        <f>IFERROR(__xludf.DUMMYFUNCTION("""COMPUTED_VALUE"""),"3 (Medium/Average)")</f>
        <v>3 (Medium/Average)</v>
      </c>
      <c r="E1136" s="29">
        <f>IFERROR(__xludf.DUMMYFUNCTION("""COMPUTED_VALUE"""),3.0)</f>
        <v>3</v>
      </c>
    </row>
    <row r="1137">
      <c r="A1137" s="33">
        <f>IFERROR(__xludf.DUMMYFUNCTION("""COMPUTED_VALUE"""),45839.9002066551)</f>
        <v>45839.90021</v>
      </c>
      <c r="B1137" s="29" t="str">
        <f>IFERROR(__xludf.DUMMYFUNCTION("""COMPUTED_VALUE"""),"Circumcised")</f>
        <v>Circumcised</v>
      </c>
      <c r="C1137" s="29" t="str">
        <f>IFERROR(__xludf.DUMMYFUNCTION("""COMPUTED_VALUE"""),"Light Touch Sensitivity")</f>
        <v>Light Touch Sensitivity</v>
      </c>
      <c r="D1137" s="29" t="str">
        <f>IFERROR(__xludf.DUMMYFUNCTION("""COMPUTED_VALUE"""),"2")</f>
        <v>2</v>
      </c>
      <c r="E1137" s="29">
        <f>IFERROR(__xludf.DUMMYFUNCTION("""COMPUTED_VALUE"""),2.0)</f>
        <v>2</v>
      </c>
    </row>
    <row r="1138">
      <c r="A1138" s="33">
        <f>IFERROR(__xludf.DUMMYFUNCTION("""COMPUTED_VALUE"""),45840.28386831019)</f>
        <v>45840.28387</v>
      </c>
      <c r="B1138" s="29" t="str">
        <f>IFERROR(__xludf.DUMMYFUNCTION("""COMPUTED_VALUE"""),"Actively restoring my foreskin / I consider myself restored")</f>
        <v>Actively restoring my foreskin / I consider myself restored</v>
      </c>
      <c r="C1138" s="29" t="str">
        <f>IFERROR(__xludf.DUMMYFUNCTION("""COMPUTED_VALUE"""),"Light Touch Sensitivity")</f>
        <v>Light Touch Sensitivity</v>
      </c>
      <c r="D1138" s="29" t="str">
        <f>IFERROR(__xludf.DUMMYFUNCTION("""COMPUTED_VALUE"""),"3 (Medium/Average)")</f>
        <v>3 (Medium/Average)</v>
      </c>
      <c r="E1138" s="29">
        <f>IFERROR(__xludf.DUMMYFUNCTION("""COMPUTED_VALUE"""),3.0)</f>
        <v>3</v>
      </c>
    </row>
    <row r="1139">
      <c r="A1139" s="33">
        <f>IFERROR(__xludf.DUMMYFUNCTION("""COMPUTED_VALUE"""),45841.941682199074)</f>
        <v>45841.94168</v>
      </c>
      <c r="B1139" s="29" t="str">
        <f>IFERROR(__xludf.DUMMYFUNCTION("""COMPUTED_VALUE"""),"Intact (Never circumcised)")</f>
        <v>Intact (Never circumcised)</v>
      </c>
      <c r="C1139" s="29" t="str">
        <f>IFERROR(__xludf.DUMMYFUNCTION("""COMPUTED_VALUE"""),"Light Touch Sensitivity")</f>
        <v>Light Touch Sensitivity</v>
      </c>
      <c r="D1139" s="29" t="str">
        <f>IFERROR(__xludf.DUMMYFUNCTION("""COMPUTED_VALUE"""),"5 (High/Excellent)")</f>
        <v>5 (High/Excellent)</v>
      </c>
      <c r="E1139" s="29">
        <f>IFERROR(__xludf.DUMMYFUNCTION("""COMPUTED_VALUE"""),5.0)</f>
        <v>5</v>
      </c>
    </row>
    <row r="1140">
      <c r="A1140" s="33">
        <f>IFERROR(__xludf.DUMMYFUNCTION("""COMPUTED_VALUE"""),45842.01290361111)</f>
        <v>45842.0129</v>
      </c>
      <c r="B1140" s="29" t="str">
        <f>IFERROR(__xludf.DUMMYFUNCTION("""COMPUTED_VALUE"""),"Actively restoring my foreskin / I consider myself restored")</f>
        <v>Actively restoring my foreskin / I consider myself restored</v>
      </c>
      <c r="C1140" s="29" t="str">
        <f>IFERROR(__xludf.DUMMYFUNCTION("""COMPUTED_VALUE"""),"Light Touch Sensitivity")</f>
        <v>Light Touch Sensitivity</v>
      </c>
      <c r="D1140" s="29" t="str">
        <f>IFERROR(__xludf.DUMMYFUNCTION("""COMPUTED_VALUE"""),"2")</f>
        <v>2</v>
      </c>
      <c r="E1140" s="29">
        <f>IFERROR(__xludf.DUMMYFUNCTION("""COMPUTED_VALUE"""),2.0)</f>
        <v>2</v>
      </c>
    </row>
    <row r="1141">
      <c r="A1141" s="33">
        <f>IFERROR(__xludf.DUMMYFUNCTION("""COMPUTED_VALUE"""),45842.59654684028)</f>
        <v>45842.59655</v>
      </c>
      <c r="B1141" s="29" t="str">
        <f>IFERROR(__xludf.DUMMYFUNCTION("""COMPUTED_VALUE"""),"Intact (Never circumcised)")</f>
        <v>Intact (Never circumcised)</v>
      </c>
      <c r="C1141" s="29" t="str">
        <f>IFERROR(__xludf.DUMMYFUNCTION("""COMPUTED_VALUE"""),"Light Touch Sensitivity")</f>
        <v>Light Touch Sensitivity</v>
      </c>
      <c r="D1141" s="29" t="str">
        <f>IFERROR(__xludf.DUMMYFUNCTION("""COMPUTED_VALUE"""),"5 (High/Excellent)")</f>
        <v>5 (High/Excellent)</v>
      </c>
      <c r="E1141" s="29">
        <f>IFERROR(__xludf.DUMMYFUNCTION("""COMPUTED_VALUE"""),5.0)</f>
        <v>5</v>
      </c>
    </row>
    <row r="1142">
      <c r="A1142" s="33">
        <f>IFERROR(__xludf.DUMMYFUNCTION("""COMPUTED_VALUE"""),45842.74864692129)</f>
        <v>45842.74865</v>
      </c>
      <c r="B1142" s="29" t="str">
        <f>IFERROR(__xludf.DUMMYFUNCTION("""COMPUTED_VALUE"""),"Intact (Never circumcised)")</f>
        <v>Intact (Never circumcised)</v>
      </c>
      <c r="C1142" s="29" t="str">
        <f>IFERROR(__xludf.DUMMYFUNCTION("""COMPUTED_VALUE"""),"Light Touch Sensitivity")</f>
        <v>Light Touch Sensitivity</v>
      </c>
      <c r="D1142" s="29" t="str">
        <f>IFERROR(__xludf.DUMMYFUNCTION("""COMPUTED_VALUE"""),"4")</f>
        <v>4</v>
      </c>
      <c r="E1142" s="29">
        <f>IFERROR(__xludf.DUMMYFUNCTION("""COMPUTED_VALUE"""),4.0)</f>
        <v>4</v>
      </c>
    </row>
    <row r="1143">
      <c r="A1143" s="33">
        <f>IFERROR(__xludf.DUMMYFUNCTION("""COMPUTED_VALUE"""),45842.78131636574)</f>
        <v>45842.78132</v>
      </c>
      <c r="B1143" s="29" t="str">
        <f>IFERROR(__xludf.DUMMYFUNCTION("""COMPUTED_VALUE"""),"Intact (Never circumcised)")</f>
        <v>Intact (Never circumcised)</v>
      </c>
      <c r="C1143" s="29" t="str">
        <f>IFERROR(__xludf.DUMMYFUNCTION("""COMPUTED_VALUE"""),"Light Touch Sensitivity")</f>
        <v>Light Touch Sensitivity</v>
      </c>
      <c r="D1143" s="29" t="str">
        <f>IFERROR(__xludf.DUMMYFUNCTION("""COMPUTED_VALUE"""),"4")</f>
        <v>4</v>
      </c>
      <c r="E1143" s="29">
        <f>IFERROR(__xludf.DUMMYFUNCTION("""COMPUTED_VALUE"""),4.0)</f>
        <v>4</v>
      </c>
    </row>
    <row r="1144">
      <c r="A1144" s="33">
        <f>IFERROR(__xludf.DUMMYFUNCTION("""COMPUTED_VALUE"""),45843.44344015046)</f>
        <v>45843.44344</v>
      </c>
      <c r="B1144" s="29" t="str">
        <f>IFERROR(__xludf.DUMMYFUNCTION("""COMPUTED_VALUE"""),"Intact (Never circumcised)")</f>
        <v>Intact (Never circumcised)</v>
      </c>
      <c r="C1144" s="29" t="str">
        <f>IFERROR(__xludf.DUMMYFUNCTION("""COMPUTED_VALUE"""),"Light Touch Sensitivity")</f>
        <v>Light Touch Sensitivity</v>
      </c>
      <c r="D1144" s="29" t="str">
        <f>IFERROR(__xludf.DUMMYFUNCTION("""COMPUTED_VALUE"""),"3 (Medium/Average)")</f>
        <v>3 (Medium/Average)</v>
      </c>
      <c r="E1144" s="29">
        <f>IFERROR(__xludf.DUMMYFUNCTION("""COMPUTED_VALUE"""),3.0)</f>
        <v>3</v>
      </c>
    </row>
    <row r="1145">
      <c r="A1145" s="33">
        <f>IFERROR(__xludf.DUMMYFUNCTION("""COMPUTED_VALUE"""),45844.052393356484)</f>
        <v>45844.05239</v>
      </c>
      <c r="B1145" s="29" t="str">
        <f>IFERROR(__xludf.DUMMYFUNCTION("""COMPUTED_VALUE"""),"Intact (Never circumcised)")</f>
        <v>Intact (Never circumcised)</v>
      </c>
      <c r="C1145" s="29" t="str">
        <f>IFERROR(__xludf.DUMMYFUNCTION("""COMPUTED_VALUE"""),"Light Touch Sensitivity")</f>
        <v>Light Touch Sensitivity</v>
      </c>
      <c r="D1145" s="29" t="str">
        <f>IFERROR(__xludf.DUMMYFUNCTION("""COMPUTED_VALUE"""),"5 (High/Excellent)")</f>
        <v>5 (High/Excellent)</v>
      </c>
      <c r="E1145" s="29">
        <f>IFERROR(__xludf.DUMMYFUNCTION("""COMPUTED_VALUE"""),5.0)</f>
        <v>5</v>
      </c>
    </row>
    <row r="1146">
      <c r="A1146" s="33">
        <f>IFERROR(__xludf.DUMMYFUNCTION("""COMPUTED_VALUE"""),45844.41842277777)</f>
        <v>45844.41842</v>
      </c>
      <c r="B1146" s="29" t="str">
        <f>IFERROR(__xludf.DUMMYFUNCTION("""COMPUTED_VALUE"""),"Circumcised")</f>
        <v>Circumcised</v>
      </c>
      <c r="C1146" s="29" t="str">
        <f>IFERROR(__xludf.DUMMYFUNCTION("""COMPUTED_VALUE"""),"Light Touch Sensitivity")</f>
        <v>Light Touch Sensitivity</v>
      </c>
      <c r="D1146" s="29" t="str">
        <f>IFERROR(__xludf.DUMMYFUNCTION("""COMPUTED_VALUE"""),"4")</f>
        <v>4</v>
      </c>
      <c r="E1146" s="29">
        <f>IFERROR(__xludf.DUMMYFUNCTION("""COMPUTED_VALUE"""),4.0)</f>
        <v>4</v>
      </c>
    </row>
    <row r="1147">
      <c r="A1147" s="33">
        <f>IFERROR(__xludf.DUMMYFUNCTION("""COMPUTED_VALUE"""),45844.46542105324)</f>
        <v>45844.46542</v>
      </c>
      <c r="B1147" s="29" t="str">
        <f>IFERROR(__xludf.DUMMYFUNCTION("""COMPUTED_VALUE"""),"Intact (Never circumcised)")</f>
        <v>Intact (Never circumcised)</v>
      </c>
      <c r="C1147" s="29" t="str">
        <f>IFERROR(__xludf.DUMMYFUNCTION("""COMPUTED_VALUE"""),"Light Touch Sensitivity")</f>
        <v>Light Touch Sensitivity</v>
      </c>
      <c r="D1147" s="29" t="str">
        <f>IFERROR(__xludf.DUMMYFUNCTION("""COMPUTED_VALUE"""),"3 (Medium/Average)")</f>
        <v>3 (Medium/Average)</v>
      </c>
      <c r="E1147" s="29">
        <f>IFERROR(__xludf.DUMMYFUNCTION("""COMPUTED_VALUE"""),3.0)</f>
        <v>3</v>
      </c>
    </row>
    <row r="1148">
      <c r="A1148" s="33">
        <f>IFERROR(__xludf.DUMMYFUNCTION("""COMPUTED_VALUE"""),45845.519693240734)</f>
        <v>45845.51969</v>
      </c>
      <c r="B1148" s="29" t="str">
        <f>IFERROR(__xludf.DUMMYFUNCTION("""COMPUTED_VALUE"""),"Circumcised")</f>
        <v>Circumcised</v>
      </c>
      <c r="C1148" s="29" t="str">
        <f>IFERROR(__xludf.DUMMYFUNCTION("""COMPUTED_VALUE"""),"Light Touch Sensitivity")</f>
        <v>Light Touch Sensitivity</v>
      </c>
      <c r="D1148" s="29" t="str">
        <f>IFERROR(__xludf.DUMMYFUNCTION("""COMPUTED_VALUE"""),"5 (High/Excellent)")</f>
        <v>5 (High/Excellent)</v>
      </c>
      <c r="E1148" s="29">
        <f>IFERROR(__xludf.DUMMYFUNCTION("""COMPUTED_VALUE"""),5.0)</f>
        <v>5</v>
      </c>
    </row>
    <row r="1149">
      <c r="A1149" s="33">
        <f>IFERROR(__xludf.DUMMYFUNCTION("""COMPUTED_VALUE"""),45846.13157090278)</f>
        <v>45846.13157</v>
      </c>
      <c r="B1149" s="29" t="str">
        <f>IFERROR(__xludf.DUMMYFUNCTION("""COMPUTED_VALUE"""),"Circumcised")</f>
        <v>Circumcised</v>
      </c>
      <c r="C1149" s="29" t="str">
        <f>IFERROR(__xludf.DUMMYFUNCTION("""COMPUTED_VALUE"""),"Light Touch Sensitivity")</f>
        <v>Light Touch Sensitivity</v>
      </c>
      <c r="D1149" s="29" t="str">
        <f>IFERROR(__xludf.DUMMYFUNCTION("""COMPUTED_VALUE"""),"2")</f>
        <v>2</v>
      </c>
      <c r="E1149" s="29">
        <f>IFERROR(__xludf.DUMMYFUNCTION("""COMPUTED_VALUE"""),2.0)</f>
        <v>2</v>
      </c>
    </row>
    <row r="1150">
      <c r="A1150" s="33">
        <f>IFERROR(__xludf.DUMMYFUNCTION("""COMPUTED_VALUE"""),45849.67123201389)</f>
        <v>45849.67123</v>
      </c>
      <c r="B1150" s="29" t="str">
        <f>IFERROR(__xludf.DUMMYFUNCTION("""COMPUTED_VALUE"""),"Intact (Never circumcised)")</f>
        <v>Intact (Never circumcised)</v>
      </c>
      <c r="C1150" s="29" t="str">
        <f>IFERROR(__xludf.DUMMYFUNCTION("""COMPUTED_VALUE"""),"Light Touch Sensitivity")</f>
        <v>Light Touch Sensitivity</v>
      </c>
      <c r="D1150" s="29" t="str">
        <f>IFERROR(__xludf.DUMMYFUNCTION("""COMPUTED_VALUE"""),"5 (High/Excellent)")</f>
        <v>5 (High/Excellent)</v>
      </c>
      <c r="E1150" s="29">
        <f>IFERROR(__xludf.DUMMYFUNCTION("""COMPUTED_VALUE"""),5.0)</f>
        <v>5</v>
      </c>
    </row>
    <row r="1151">
      <c r="A1151" s="33">
        <f>IFERROR(__xludf.DUMMYFUNCTION("""COMPUTED_VALUE"""),45850.18852405093)</f>
        <v>45850.18852</v>
      </c>
      <c r="B1151" s="29" t="str">
        <f>IFERROR(__xludf.DUMMYFUNCTION("""COMPUTED_VALUE"""),"Circumcised")</f>
        <v>Circumcised</v>
      </c>
      <c r="C1151" s="29" t="str">
        <f>IFERROR(__xludf.DUMMYFUNCTION("""COMPUTED_VALUE"""),"Light Touch Sensitivity")</f>
        <v>Light Touch Sensitivity</v>
      </c>
      <c r="D1151" s="29" t="str">
        <f>IFERROR(__xludf.DUMMYFUNCTION("""COMPUTED_VALUE"""),"5 (High/Excellent)")</f>
        <v>5 (High/Excellent)</v>
      </c>
      <c r="E1151" s="29">
        <f>IFERROR(__xludf.DUMMYFUNCTION("""COMPUTED_VALUE"""),5.0)</f>
        <v>5</v>
      </c>
    </row>
    <row r="1152">
      <c r="A1152" s="33">
        <f>IFERROR(__xludf.DUMMYFUNCTION("""COMPUTED_VALUE"""),45850.64452353009)</f>
        <v>45850.64452</v>
      </c>
      <c r="B1152" s="29" t="str">
        <f>IFERROR(__xludf.DUMMYFUNCTION("""COMPUTED_VALUE"""),"Circumcised")</f>
        <v>Circumcised</v>
      </c>
      <c r="C1152" s="29" t="str">
        <f>IFERROR(__xludf.DUMMYFUNCTION("""COMPUTED_VALUE"""),"Light Touch Sensitivity")</f>
        <v>Light Touch Sensitivity</v>
      </c>
      <c r="D1152" s="29" t="str">
        <f>IFERROR(__xludf.DUMMYFUNCTION("""COMPUTED_VALUE"""),"3 (Medium/Average)")</f>
        <v>3 (Medium/Average)</v>
      </c>
      <c r="E1152" s="29">
        <f>IFERROR(__xludf.DUMMYFUNCTION("""COMPUTED_VALUE"""),3.0)</f>
        <v>3</v>
      </c>
    </row>
    <row r="1153">
      <c r="A1153" s="33">
        <f>IFERROR(__xludf.DUMMYFUNCTION("""COMPUTED_VALUE"""),45850.886114953704)</f>
        <v>45850.88611</v>
      </c>
      <c r="B1153" s="29" t="str">
        <f>IFERROR(__xludf.DUMMYFUNCTION("""COMPUTED_VALUE"""),"Intact (Never circumcised)")</f>
        <v>Intact (Never circumcised)</v>
      </c>
      <c r="C1153" s="29" t="str">
        <f>IFERROR(__xludf.DUMMYFUNCTION("""COMPUTED_VALUE"""),"Light Touch Sensitivity")</f>
        <v>Light Touch Sensitivity</v>
      </c>
      <c r="D1153" s="29" t="str">
        <f>IFERROR(__xludf.DUMMYFUNCTION("""COMPUTED_VALUE"""),"5 (High/Excellent)")</f>
        <v>5 (High/Excellent)</v>
      </c>
      <c r="E1153" s="29">
        <f>IFERROR(__xludf.DUMMYFUNCTION("""COMPUTED_VALUE"""),5.0)</f>
        <v>5</v>
      </c>
    </row>
    <row r="1154">
      <c r="A1154" s="33">
        <f>IFERROR(__xludf.DUMMYFUNCTION("""COMPUTED_VALUE"""),45852.678005532405)</f>
        <v>45852.67801</v>
      </c>
      <c r="B1154" s="29" t="str">
        <f>IFERROR(__xludf.DUMMYFUNCTION("""COMPUTED_VALUE"""),"Intact (Never circumcised)")</f>
        <v>Intact (Never circumcised)</v>
      </c>
      <c r="C1154" s="29" t="str">
        <f>IFERROR(__xludf.DUMMYFUNCTION("""COMPUTED_VALUE"""),"Light Touch Sensitivity")</f>
        <v>Light Touch Sensitivity</v>
      </c>
      <c r="D1154" s="29" t="str">
        <f>IFERROR(__xludf.DUMMYFUNCTION("""COMPUTED_VALUE"""),"5 (High/Excellent)")</f>
        <v>5 (High/Excellent)</v>
      </c>
      <c r="E1154" s="29">
        <f>IFERROR(__xludf.DUMMYFUNCTION("""COMPUTED_VALUE"""),5.0)</f>
        <v>5</v>
      </c>
    </row>
    <row r="1155">
      <c r="A1155" s="33">
        <f>IFERROR(__xludf.DUMMYFUNCTION("""COMPUTED_VALUE"""),45852.891580891206)</f>
        <v>45852.89158</v>
      </c>
      <c r="B1155" s="29" t="str">
        <f>IFERROR(__xludf.DUMMYFUNCTION("""COMPUTED_VALUE"""),"Intact (Never circumcised)")</f>
        <v>Intact (Never circumcised)</v>
      </c>
      <c r="C1155" s="29" t="str">
        <f>IFERROR(__xludf.DUMMYFUNCTION("""COMPUTED_VALUE"""),"Light Touch Sensitivity")</f>
        <v>Light Touch Sensitivity</v>
      </c>
      <c r="D1155" s="29" t="str">
        <f>IFERROR(__xludf.DUMMYFUNCTION("""COMPUTED_VALUE"""),"5 (High/Excellent)")</f>
        <v>5 (High/Excellent)</v>
      </c>
      <c r="E1155" s="29">
        <f>IFERROR(__xludf.DUMMYFUNCTION("""COMPUTED_VALUE"""),5.0)</f>
        <v>5</v>
      </c>
    </row>
    <row r="1156">
      <c r="A1156" s="33">
        <f>IFERROR(__xludf.DUMMYFUNCTION("""COMPUTED_VALUE"""),45853.37019545138)</f>
        <v>45853.3702</v>
      </c>
      <c r="B1156" s="29" t="str">
        <f>IFERROR(__xludf.DUMMYFUNCTION("""COMPUTED_VALUE"""),"Intact (Never circumcised)")</f>
        <v>Intact (Never circumcised)</v>
      </c>
      <c r="C1156" s="29" t="str">
        <f>IFERROR(__xludf.DUMMYFUNCTION("""COMPUTED_VALUE"""),"Light Touch Sensitivity")</f>
        <v>Light Touch Sensitivity</v>
      </c>
      <c r="D1156" s="29" t="str">
        <f>IFERROR(__xludf.DUMMYFUNCTION("""COMPUTED_VALUE"""),"5 (High/Excellent)")</f>
        <v>5 (High/Excellent)</v>
      </c>
      <c r="E1156" s="29">
        <f>IFERROR(__xludf.DUMMYFUNCTION("""COMPUTED_VALUE"""),5.0)</f>
        <v>5</v>
      </c>
    </row>
    <row r="1157">
      <c r="A1157" s="33">
        <f>IFERROR(__xludf.DUMMYFUNCTION("""COMPUTED_VALUE"""),45853.81523930556)</f>
        <v>45853.81524</v>
      </c>
      <c r="B1157" s="29" t="str">
        <f>IFERROR(__xludf.DUMMYFUNCTION("""COMPUTED_VALUE"""),"Circumcised")</f>
        <v>Circumcised</v>
      </c>
      <c r="C1157" s="29" t="str">
        <f>IFERROR(__xludf.DUMMYFUNCTION("""COMPUTED_VALUE"""),"Light Touch Sensitivity")</f>
        <v>Light Touch Sensitivity</v>
      </c>
      <c r="D1157" s="29" t="str">
        <f>IFERROR(__xludf.DUMMYFUNCTION("""COMPUTED_VALUE"""),"1 (Low/Poor)")</f>
        <v>1 (Low/Poor)</v>
      </c>
      <c r="E1157" s="29">
        <f>IFERROR(__xludf.DUMMYFUNCTION("""COMPUTED_VALUE"""),1.0)</f>
        <v>1</v>
      </c>
    </row>
    <row r="1158">
      <c r="A1158" s="33">
        <f>IFERROR(__xludf.DUMMYFUNCTION("""COMPUTED_VALUE"""),45853.917537939815)</f>
        <v>45853.91754</v>
      </c>
      <c r="B1158" s="29" t="str">
        <f>IFERROR(__xludf.DUMMYFUNCTION("""COMPUTED_VALUE"""),"Actively restoring my foreskin / I consider myself restored")</f>
        <v>Actively restoring my foreskin / I consider myself restored</v>
      </c>
      <c r="C1158" s="29" t="str">
        <f>IFERROR(__xludf.DUMMYFUNCTION("""COMPUTED_VALUE"""),"Light Touch Sensitivity")</f>
        <v>Light Touch Sensitivity</v>
      </c>
      <c r="D1158" s="29" t="str">
        <f>IFERROR(__xludf.DUMMYFUNCTION("""COMPUTED_VALUE"""),"1 (Low/Poor)")</f>
        <v>1 (Low/Poor)</v>
      </c>
      <c r="E1158" s="29">
        <f>IFERROR(__xludf.DUMMYFUNCTION("""COMPUTED_VALUE"""),1.0)</f>
        <v>1</v>
      </c>
    </row>
    <row r="1159">
      <c r="A1159" s="33">
        <f>IFERROR(__xludf.DUMMYFUNCTION("""COMPUTED_VALUE"""),45854.425925324074)</f>
        <v>45854.42593</v>
      </c>
      <c r="B1159" s="29" t="str">
        <f>IFERROR(__xludf.DUMMYFUNCTION("""COMPUTED_VALUE"""),"Circumcised")</f>
        <v>Circumcised</v>
      </c>
      <c r="C1159" s="29" t="str">
        <f>IFERROR(__xludf.DUMMYFUNCTION("""COMPUTED_VALUE"""),"Light Touch Sensitivity")</f>
        <v>Light Touch Sensitivity</v>
      </c>
      <c r="D1159" s="29" t="str">
        <f>IFERROR(__xludf.DUMMYFUNCTION("""COMPUTED_VALUE"""),"4")</f>
        <v>4</v>
      </c>
      <c r="E1159" s="29">
        <f>IFERROR(__xludf.DUMMYFUNCTION("""COMPUTED_VALUE"""),4.0)</f>
        <v>4</v>
      </c>
    </row>
    <row r="1160">
      <c r="A1160" s="33">
        <f>IFERROR(__xludf.DUMMYFUNCTION("""COMPUTED_VALUE"""),45855.06532899306)</f>
        <v>45855.06533</v>
      </c>
      <c r="B1160" s="29" t="str">
        <f>IFERROR(__xludf.DUMMYFUNCTION("""COMPUTED_VALUE"""),"Circumcised")</f>
        <v>Circumcised</v>
      </c>
      <c r="C1160" s="29" t="str">
        <f>IFERROR(__xludf.DUMMYFUNCTION("""COMPUTED_VALUE"""),"Light Touch Sensitivity")</f>
        <v>Light Touch Sensitivity</v>
      </c>
      <c r="D1160" s="29" t="str">
        <f>IFERROR(__xludf.DUMMYFUNCTION("""COMPUTED_VALUE"""),"2")</f>
        <v>2</v>
      </c>
      <c r="E1160" s="29">
        <f>IFERROR(__xludf.DUMMYFUNCTION("""COMPUTED_VALUE"""),2.0)</f>
        <v>2</v>
      </c>
    </row>
    <row r="1161">
      <c r="A1161" s="33">
        <f>IFERROR(__xludf.DUMMYFUNCTION("""COMPUTED_VALUE"""),45857.18312947916)</f>
        <v>45857.18313</v>
      </c>
      <c r="B1161" s="29" t="str">
        <f>IFERROR(__xludf.DUMMYFUNCTION("""COMPUTED_VALUE"""),"Intact (Never circumcised)")</f>
        <v>Intact (Never circumcised)</v>
      </c>
      <c r="C1161" s="29" t="str">
        <f>IFERROR(__xludf.DUMMYFUNCTION("""COMPUTED_VALUE"""),"Light Touch Sensitivity")</f>
        <v>Light Touch Sensitivity</v>
      </c>
      <c r="D1161" s="29" t="str">
        <f>IFERROR(__xludf.DUMMYFUNCTION("""COMPUTED_VALUE"""),"5 (High/Excellent)")</f>
        <v>5 (High/Excellent)</v>
      </c>
      <c r="E1161" s="29">
        <f>IFERROR(__xludf.DUMMYFUNCTION("""COMPUTED_VALUE"""),5.0)</f>
        <v>5</v>
      </c>
    </row>
    <row r="1162">
      <c r="A1162" s="33">
        <f>IFERROR(__xludf.DUMMYFUNCTION("""COMPUTED_VALUE"""),45858.85559804398)</f>
        <v>45858.8556</v>
      </c>
      <c r="B1162" s="29" t="str">
        <f>IFERROR(__xludf.DUMMYFUNCTION("""COMPUTED_VALUE"""),"Circumcised")</f>
        <v>Circumcised</v>
      </c>
      <c r="C1162" s="29" t="str">
        <f>IFERROR(__xludf.DUMMYFUNCTION("""COMPUTED_VALUE"""),"Light Touch Sensitivity")</f>
        <v>Light Touch Sensitivity</v>
      </c>
      <c r="D1162" s="29" t="str">
        <f>IFERROR(__xludf.DUMMYFUNCTION("""COMPUTED_VALUE"""),"1 (Low/Poor)")</f>
        <v>1 (Low/Poor)</v>
      </c>
      <c r="E1162" s="29">
        <f>IFERROR(__xludf.DUMMYFUNCTION("""COMPUTED_VALUE"""),1.0)</f>
        <v>1</v>
      </c>
    </row>
    <row r="1163">
      <c r="A1163" s="33">
        <f>IFERROR(__xludf.DUMMYFUNCTION("""COMPUTED_VALUE"""),45861.16600383102)</f>
        <v>45861.166</v>
      </c>
      <c r="B1163" s="29" t="str">
        <f>IFERROR(__xludf.DUMMYFUNCTION("""COMPUTED_VALUE"""),"Intact (Never circumcised)")</f>
        <v>Intact (Never circumcised)</v>
      </c>
      <c r="C1163" s="29" t="str">
        <f>IFERROR(__xludf.DUMMYFUNCTION("""COMPUTED_VALUE"""),"Light Touch Sensitivity")</f>
        <v>Light Touch Sensitivity</v>
      </c>
      <c r="D1163" s="29" t="str">
        <f>IFERROR(__xludf.DUMMYFUNCTION("""COMPUTED_VALUE"""),"5 (High/Excellent)")</f>
        <v>5 (High/Excellent)</v>
      </c>
      <c r="E1163" s="29">
        <f>IFERROR(__xludf.DUMMYFUNCTION("""COMPUTED_VALUE"""),5.0)</f>
        <v>5</v>
      </c>
    </row>
    <row r="1164">
      <c r="A1164" s="33">
        <f>IFERROR(__xludf.DUMMYFUNCTION("""COMPUTED_VALUE"""),45864.54673815972)</f>
        <v>45864.54674</v>
      </c>
      <c r="B1164" s="29" t="str">
        <f>IFERROR(__xludf.DUMMYFUNCTION("""COMPUTED_VALUE"""),"Intact (Never circumcised)")</f>
        <v>Intact (Never circumcised)</v>
      </c>
      <c r="C1164" s="29" t="str">
        <f>IFERROR(__xludf.DUMMYFUNCTION("""COMPUTED_VALUE"""),"Light Touch Sensitivity")</f>
        <v>Light Touch Sensitivity</v>
      </c>
      <c r="D1164" s="29" t="str">
        <f>IFERROR(__xludf.DUMMYFUNCTION("""COMPUTED_VALUE"""),"5 (High/Excellent)")</f>
        <v>5 (High/Excellent)</v>
      </c>
      <c r="E1164" s="29">
        <f>IFERROR(__xludf.DUMMYFUNCTION("""COMPUTED_VALUE"""),5.0)</f>
        <v>5</v>
      </c>
    </row>
    <row r="1165">
      <c r="A1165" s="33">
        <f>IFERROR(__xludf.DUMMYFUNCTION("""COMPUTED_VALUE"""),45864.76644127315)</f>
        <v>45864.76644</v>
      </c>
      <c r="B1165" s="29" t="str">
        <f>IFERROR(__xludf.DUMMYFUNCTION("""COMPUTED_VALUE"""),"Intact (Never circumcised)")</f>
        <v>Intact (Never circumcised)</v>
      </c>
      <c r="C1165" s="29" t="str">
        <f>IFERROR(__xludf.DUMMYFUNCTION("""COMPUTED_VALUE"""),"Light Touch Sensitivity")</f>
        <v>Light Touch Sensitivity</v>
      </c>
      <c r="D1165" s="29" t="str">
        <f>IFERROR(__xludf.DUMMYFUNCTION("""COMPUTED_VALUE"""),"5 (High/Excellent)")</f>
        <v>5 (High/Excellent)</v>
      </c>
      <c r="E1165" s="29">
        <f>IFERROR(__xludf.DUMMYFUNCTION("""COMPUTED_VALUE"""),5.0)</f>
        <v>5</v>
      </c>
    </row>
    <row r="1166">
      <c r="A1166" s="33">
        <f>IFERROR(__xludf.DUMMYFUNCTION("""COMPUTED_VALUE"""),45865.26090908565)</f>
        <v>45865.26091</v>
      </c>
      <c r="B1166" s="29" t="str">
        <f>IFERROR(__xludf.DUMMYFUNCTION("""COMPUTED_VALUE"""),"Circumcised")</f>
        <v>Circumcised</v>
      </c>
      <c r="C1166" s="29" t="str">
        <f>IFERROR(__xludf.DUMMYFUNCTION("""COMPUTED_VALUE"""),"Light Touch Sensitivity")</f>
        <v>Light Touch Sensitivity</v>
      </c>
      <c r="D1166" s="29" t="str">
        <f>IFERROR(__xludf.DUMMYFUNCTION("""COMPUTED_VALUE"""),"1 (Low/Poor)")</f>
        <v>1 (Low/Poor)</v>
      </c>
      <c r="E1166" s="29">
        <f>IFERROR(__xludf.DUMMYFUNCTION("""COMPUTED_VALUE"""),1.0)</f>
        <v>1</v>
      </c>
    </row>
    <row r="1167">
      <c r="A1167" s="33">
        <f>IFERROR(__xludf.DUMMYFUNCTION("""COMPUTED_VALUE"""),45865.286593275465)</f>
        <v>45865.28659</v>
      </c>
      <c r="B1167" s="29" t="str">
        <f>IFERROR(__xludf.DUMMYFUNCTION("""COMPUTED_VALUE"""),"Circumcised")</f>
        <v>Circumcised</v>
      </c>
      <c r="C1167" s="29" t="str">
        <f>IFERROR(__xludf.DUMMYFUNCTION("""COMPUTED_VALUE"""),"Light Touch Sensitivity")</f>
        <v>Light Touch Sensitivity</v>
      </c>
      <c r="D1167" s="29" t="str">
        <f>IFERROR(__xludf.DUMMYFUNCTION("""COMPUTED_VALUE"""),"1 (Low/Poor)")</f>
        <v>1 (Low/Poor)</v>
      </c>
      <c r="E1167" s="29">
        <f>IFERROR(__xludf.DUMMYFUNCTION("""COMPUTED_VALUE"""),1.0)</f>
        <v>1</v>
      </c>
    </row>
    <row r="1168">
      <c r="A1168" s="33">
        <f>IFERROR(__xludf.DUMMYFUNCTION("""COMPUTED_VALUE"""),45865.61642836805)</f>
        <v>45865.61643</v>
      </c>
      <c r="B1168" s="29" t="str">
        <f>IFERROR(__xludf.DUMMYFUNCTION("""COMPUTED_VALUE"""),"Circumcised")</f>
        <v>Circumcised</v>
      </c>
      <c r="C1168" s="29" t="str">
        <f>IFERROR(__xludf.DUMMYFUNCTION("""COMPUTED_VALUE"""),"Light Touch Sensitivity")</f>
        <v>Light Touch Sensitivity</v>
      </c>
      <c r="D1168" s="29" t="str">
        <f>IFERROR(__xludf.DUMMYFUNCTION("""COMPUTED_VALUE"""),"1 (Low/Poor)")</f>
        <v>1 (Low/Poor)</v>
      </c>
      <c r="E1168" s="29">
        <f>IFERROR(__xludf.DUMMYFUNCTION("""COMPUTED_VALUE"""),1.0)</f>
        <v>1</v>
      </c>
    </row>
    <row r="1169">
      <c r="A1169" s="33">
        <f>IFERROR(__xludf.DUMMYFUNCTION("""COMPUTED_VALUE"""),45866.35659802083)</f>
        <v>45866.3566</v>
      </c>
      <c r="B1169" s="29" t="str">
        <f>IFERROR(__xludf.DUMMYFUNCTION("""COMPUTED_VALUE"""),"Actively restoring my foreskin / I consider myself restored")</f>
        <v>Actively restoring my foreskin / I consider myself restored</v>
      </c>
      <c r="C1169" s="29" t="str">
        <f>IFERROR(__xludf.DUMMYFUNCTION("""COMPUTED_VALUE"""),"Light Touch Sensitivity")</f>
        <v>Light Touch Sensitivity</v>
      </c>
      <c r="D1169" s="29" t="str">
        <f>IFERROR(__xludf.DUMMYFUNCTION("""COMPUTED_VALUE"""),"1 (Low/Poor)")</f>
        <v>1 (Low/Poor)</v>
      </c>
      <c r="E1169" s="29">
        <f>IFERROR(__xludf.DUMMYFUNCTION("""COMPUTED_VALUE"""),1.0)</f>
        <v>1</v>
      </c>
    </row>
    <row r="1170">
      <c r="A1170" s="33">
        <f>IFERROR(__xludf.DUMMYFUNCTION("""COMPUTED_VALUE"""),45866.36920435186)</f>
        <v>45866.3692</v>
      </c>
      <c r="B1170" s="29" t="str">
        <f>IFERROR(__xludf.DUMMYFUNCTION("""COMPUTED_VALUE"""),"Circumcised")</f>
        <v>Circumcised</v>
      </c>
      <c r="C1170" s="29" t="str">
        <f>IFERROR(__xludf.DUMMYFUNCTION("""COMPUTED_VALUE"""),"Light Touch Sensitivity")</f>
        <v>Light Touch Sensitivity</v>
      </c>
      <c r="D1170" s="29" t="str">
        <f>IFERROR(__xludf.DUMMYFUNCTION("""COMPUTED_VALUE"""),"2")</f>
        <v>2</v>
      </c>
      <c r="E1170" s="29">
        <f>IFERROR(__xludf.DUMMYFUNCTION("""COMPUTED_VALUE"""),2.0)</f>
        <v>2</v>
      </c>
    </row>
    <row r="1171">
      <c r="A1171" s="33">
        <f>IFERROR(__xludf.DUMMYFUNCTION("""COMPUTED_VALUE"""),45866.706210324075)</f>
        <v>45866.70621</v>
      </c>
      <c r="B1171" s="29" t="str">
        <f>IFERROR(__xludf.DUMMYFUNCTION("""COMPUTED_VALUE"""),"Intact (Never circumcised)")</f>
        <v>Intact (Never circumcised)</v>
      </c>
      <c r="C1171" s="29" t="str">
        <f>IFERROR(__xludf.DUMMYFUNCTION("""COMPUTED_VALUE"""),"Light Touch Sensitivity")</f>
        <v>Light Touch Sensitivity</v>
      </c>
      <c r="D1171" s="29" t="str">
        <f>IFERROR(__xludf.DUMMYFUNCTION("""COMPUTED_VALUE"""),"4")</f>
        <v>4</v>
      </c>
      <c r="E1171" s="29">
        <f>IFERROR(__xludf.DUMMYFUNCTION("""COMPUTED_VALUE"""),4.0)</f>
        <v>4</v>
      </c>
    </row>
    <row r="1172">
      <c r="A1172" s="33">
        <f>IFERROR(__xludf.DUMMYFUNCTION("""COMPUTED_VALUE"""),45867.465542523154)</f>
        <v>45867.46554</v>
      </c>
      <c r="B1172" s="29" t="str">
        <f>IFERROR(__xludf.DUMMYFUNCTION("""COMPUTED_VALUE"""),"Intact (Never circumcised)")</f>
        <v>Intact (Never circumcised)</v>
      </c>
      <c r="C1172" s="29" t="str">
        <f>IFERROR(__xludf.DUMMYFUNCTION("""COMPUTED_VALUE"""),"Light Touch Sensitivity")</f>
        <v>Light Touch Sensitivity</v>
      </c>
      <c r="D1172" s="29" t="str">
        <f>IFERROR(__xludf.DUMMYFUNCTION("""COMPUTED_VALUE"""),"2")</f>
        <v>2</v>
      </c>
      <c r="E1172" s="29">
        <f>IFERROR(__xludf.DUMMYFUNCTION("""COMPUTED_VALUE"""),2.0)</f>
        <v>2</v>
      </c>
    </row>
    <row r="1173">
      <c r="A1173" s="33">
        <f>IFERROR(__xludf.DUMMYFUNCTION("""COMPUTED_VALUE"""),45869.6256671875)</f>
        <v>45869.62567</v>
      </c>
      <c r="B1173" s="29" t="str">
        <f>IFERROR(__xludf.DUMMYFUNCTION("""COMPUTED_VALUE"""),"Circumcised")</f>
        <v>Circumcised</v>
      </c>
      <c r="C1173" s="29" t="str">
        <f>IFERROR(__xludf.DUMMYFUNCTION("""COMPUTED_VALUE"""),"Light Touch Sensitivity")</f>
        <v>Light Touch Sensitivity</v>
      </c>
      <c r="D1173" s="29" t="str">
        <f>IFERROR(__xludf.DUMMYFUNCTION("""COMPUTED_VALUE"""),"2")</f>
        <v>2</v>
      </c>
      <c r="E1173" s="29">
        <f>IFERROR(__xludf.DUMMYFUNCTION("""COMPUTED_VALUE"""),2.0)</f>
        <v>2</v>
      </c>
    </row>
    <row r="1174">
      <c r="A1174" s="33">
        <f>IFERROR(__xludf.DUMMYFUNCTION("""COMPUTED_VALUE"""),45870.66304393519)</f>
        <v>45870.66304</v>
      </c>
      <c r="B1174" s="29" t="str">
        <f>IFERROR(__xludf.DUMMYFUNCTION("""COMPUTED_VALUE"""),"Circumcised")</f>
        <v>Circumcised</v>
      </c>
      <c r="C1174" s="29" t="str">
        <f>IFERROR(__xludf.DUMMYFUNCTION("""COMPUTED_VALUE"""),"Light Touch Sensitivity")</f>
        <v>Light Touch Sensitivity</v>
      </c>
      <c r="D1174" s="29" t="str">
        <f>IFERROR(__xludf.DUMMYFUNCTION("""COMPUTED_VALUE"""),"5 (High/Excellent)")</f>
        <v>5 (High/Excellent)</v>
      </c>
      <c r="E1174" s="29">
        <f>IFERROR(__xludf.DUMMYFUNCTION("""COMPUTED_VALUE"""),5.0)</f>
        <v>5</v>
      </c>
    </row>
    <row r="1175">
      <c r="A1175" s="33">
        <f>IFERROR(__xludf.DUMMYFUNCTION("""COMPUTED_VALUE"""),45871.494499988425)</f>
        <v>45871.4945</v>
      </c>
      <c r="B1175" s="29" t="str">
        <f>IFERROR(__xludf.DUMMYFUNCTION("""COMPUTED_VALUE"""),"Circumcised")</f>
        <v>Circumcised</v>
      </c>
      <c r="C1175" s="29" t="str">
        <f>IFERROR(__xludf.DUMMYFUNCTION("""COMPUTED_VALUE"""),"Light Touch Sensitivity")</f>
        <v>Light Touch Sensitivity</v>
      </c>
      <c r="D1175" s="29" t="str">
        <f>IFERROR(__xludf.DUMMYFUNCTION("""COMPUTED_VALUE"""),"2")</f>
        <v>2</v>
      </c>
      <c r="E1175" s="29">
        <f>IFERROR(__xludf.DUMMYFUNCTION("""COMPUTED_VALUE"""),2.0)</f>
        <v>2</v>
      </c>
    </row>
    <row r="1176">
      <c r="A1176" s="33">
        <f>IFERROR(__xludf.DUMMYFUNCTION("""COMPUTED_VALUE"""),45872.30185957176)</f>
        <v>45872.30186</v>
      </c>
      <c r="B1176" s="29" t="str">
        <f>IFERROR(__xludf.DUMMYFUNCTION("""COMPUTED_VALUE"""),"Intact (Never circumcised)")</f>
        <v>Intact (Never circumcised)</v>
      </c>
      <c r="C1176" s="29" t="str">
        <f>IFERROR(__xludf.DUMMYFUNCTION("""COMPUTED_VALUE"""),"Light Touch Sensitivity")</f>
        <v>Light Touch Sensitivity</v>
      </c>
      <c r="D1176" s="29" t="str">
        <f>IFERROR(__xludf.DUMMYFUNCTION("""COMPUTED_VALUE"""),"5 (High/Excellent)")</f>
        <v>5 (High/Excellent)</v>
      </c>
      <c r="E1176" s="29">
        <f>IFERROR(__xludf.DUMMYFUNCTION("""COMPUTED_VALUE"""),5.0)</f>
        <v>5</v>
      </c>
    </row>
    <row r="1177">
      <c r="A1177" s="33">
        <f>IFERROR(__xludf.DUMMYFUNCTION("""COMPUTED_VALUE"""),45872.47329465277)</f>
        <v>45872.47329</v>
      </c>
      <c r="B1177" s="29" t="str">
        <f>IFERROR(__xludf.DUMMYFUNCTION("""COMPUTED_VALUE"""),"Circumcised")</f>
        <v>Circumcised</v>
      </c>
      <c r="C1177" s="29" t="str">
        <f>IFERROR(__xludf.DUMMYFUNCTION("""COMPUTED_VALUE"""),"Light Touch Sensitivity")</f>
        <v>Light Touch Sensitivity</v>
      </c>
      <c r="D1177" s="29" t="str">
        <f>IFERROR(__xludf.DUMMYFUNCTION("""COMPUTED_VALUE"""),"1 (Low/Poor)")</f>
        <v>1 (Low/Poor)</v>
      </c>
      <c r="E1177" s="29">
        <f>IFERROR(__xludf.DUMMYFUNCTION("""COMPUTED_VALUE"""),1.0)</f>
        <v>1</v>
      </c>
    </row>
    <row r="1178">
      <c r="A1178" s="33">
        <f>IFERROR(__xludf.DUMMYFUNCTION("""COMPUTED_VALUE"""),45876.17624883102)</f>
        <v>45876.17625</v>
      </c>
      <c r="B1178" s="29" t="str">
        <f>IFERROR(__xludf.DUMMYFUNCTION("""COMPUTED_VALUE"""),"Intact (Never circumcised)")</f>
        <v>Intact (Never circumcised)</v>
      </c>
      <c r="C1178" s="29" t="str">
        <f>IFERROR(__xludf.DUMMYFUNCTION("""COMPUTED_VALUE"""),"Light Touch Sensitivity")</f>
        <v>Light Touch Sensitivity</v>
      </c>
      <c r="D1178" s="29" t="str">
        <f>IFERROR(__xludf.DUMMYFUNCTION("""COMPUTED_VALUE"""),"4")</f>
        <v>4</v>
      </c>
      <c r="E1178" s="29">
        <f>IFERROR(__xludf.DUMMYFUNCTION("""COMPUTED_VALUE"""),4.0)</f>
        <v>4</v>
      </c>
    </row>
    <row r="1179">
      <c r="A1179" s="33">
        <f>IFERROR(__xludf.DUMMYFUNCTION("""COMPUTED_VALUE"""),45876.63808144676)</f>
        <v>45876.63808</v>
      </c>
      <c r="B1179" s="29" t="str">
        <f>IFERROR(__xludf.DUMMYFUNCTION("""COMPUTED_VALUE"""),"Intact (Never circumcised)")</f>
        <v>Intact (Never circumcised)</v>
      </c>
      <c r="C1179" s="29" t="str">
        <f>IFERROR(__xludf.DUMMYFUNCTION("""COMPUTED_VALUE"""),"Light Touch Sensitivity")</f>
        <v>Light Touch Sensitivity</v>
      </c>
      <c r="D1179" s="29" t="str">
        <f>IFERROR(__xludf.DUMMYFUNCTION("""COMPUTED_VALUE"""),"5 (High/Excellent)")</f>
        <v>5 (High/Excellent)</v>
      </c>
      <c r="E1179" s="29">
        <f>IFERROR(__xludf.DUMMYFUNCTION("""COMPUTED_VALUE"""),5.0)</f>
        <v>5</v>
      </c>
    </row>
    <row r="1180">
      <c r="A1180" s="33">
        <f>IFERROR(__xludf.DUMMYFUNCTION("""COMPUTED_VALUE"""),45879.53425473379)</f>
        <v>45879.53425</v>
      </c>
      <c r="B1180" s="29" t="str">
        <f>IFERROR(__xludf.DUMMYFUNCTION("""COMPUTED_VALUE"""),"Actively restoring my foreskin / I consider myself restored")</f>
        <v>Actively restoring my foreskin / I consider myself restored</v>
      </c>
      <c r="C1180" s="29" t="str">
        <f>IFERROR(__xludf.DUMMYFUNCTION("""COMPUTED_VALUE"""),"Light Touch Sensitivity")</f>
        <v>Light Touch Sensitivity</v>
      </c>
      <c r="D1180" s="29" t="str">
        <f>IFERROR(__xludf.DUMMYFUNCTION("""COMPUTED_VALUE"""),"5 (High/Excellent)")</f>
        <v>5 (High/Excellent)</v>
      </c>
      <c r="E1180" s="29">
        <f>IFERROR(__xludf.DUMMYFUNCTION("""COMPUTED_VALUE"""),5.0)</f>
        <v>5</v>
      </c>
    </row>
    <row r="1181">
      <c r="A1181" s="33">
        <f>IFERROR(__xludf.DUMMYFUNCTION("""COMPUTED_VALUE"""),45879.723996388886)</f>
        <v>45879.724</v>
      </c>
      <c r="B1181" s="29" t="str">
        <f>IFERROR(__xludf.DUMMYFUNCTION("""COMPUTED_VALUE"""),"Circumcised")</f>
        <v>Circumcised</v>
      </c>
      <c r="C1181" s="29" t="str">
        <f>IFERROR(__xludf.DUMMYFUNCTION("""COMPUTED_VALUE"""),"Light Touch Sensitivity")</f>
        <v>Light Touch Sensitivity</v>
      </c>
      <c r="D1181" s="29" t="str">
        <f>IFERROR(__xludf.DUMMYFUNCTION("""COMPUTED_VALUE"""),"3 (Medium/Average)")</f>
        <v>3 (Medium/Average)</v>
      </c>
      <c r="E1181" s="29">
        <f>IFERROR(__xludf.DUMMYFUNCTION("""COMPUTED_VALUE"""),3.0)</f>
        <v>3</v>
      </c>
    </row>
    <row r="1182">
      <c r="A1182" s="33">
        <f>IFERROR(__xludf.DUMMYFUNCTION("""COMPUTED_VALUE"""),45880.35085082176)</f>
        <v>45880.35085</v>
      </c>
      <c r="B1182" s="29" t="str">
        <f>IFERROR(__xludf.DUMMYFUNCTION("""COMPUTED_VALUE"""),"Actively restoring my foreskin / I consider myself restored")</f>
        <v>Actively restoring my foreskin / I consider myself restored</v>
      </c>
      <c r="C1182" s="29" t="str">
        <f>IFERROR(__xludf.DUMMYFUNCTION("""COMPUTED_VALUE"""),"Light Touch Sensitivity")</f>
        <v>Light Touch Sensitivity</v>
      </c>
      <c r="D1182" s="29" t="str">
        <f>IFERROR(__xludf.DUMMYFUNCTION("""COMPUTED_VALUE"""),"1 (Low/Poor)")</f>
        <v>1 (Low/Poor)</v>
      </c>
      <c r="E1182" s="29">
        <f>IFERROR(__xludf.DUMMYFUNCTION("""COMPUTED_VALUE"""),1.0)</f>
        <v>1</v>
      </c>
    </row>
    <row r="1183">
      <c r="A1183" s="33">
        <f>IFERROR(__xludf.DUMMYFUNCTION("""COMPUTED_VALUE"""),45880.668832337964)</f>
        <v>45880.66883</v>
      </c>
      <c r="B1183" s="29" t="str">
        <f>IFERROR(__xludf.DUMMYFUNCTION("""COMPUTED_VALUE"""),"Circumcised")</f>
        <v>Circumcised</v>
      </c>
      <c r="C1183" s="29" t="str">
        <f>IFERROR(__xludf.DUMMYFUNCTION("""COMPUTED_VALUE"""),"Light Touch Sensitivity")</f>
        <v>Light Touch Sensitivity</v>
      </c>
      <c r="D1183" s="29" t="str">
        <f>IFERROR(__xludf.DUMMYFUNCTION("""COMPUTED_VALUE"""),"2")</f>
        <v>2</v>
      </c>
      <c r="E1183" s="29">
        <f>IFERROR(__xludf.DUMMYFUNCTION("""COMPUTED_VALUE"""),2.0)</f>
        <v>2</v>
      </c>
    </row>
    <row r="1184">
      <c r="A1184" s="33">
        <f>IFERROR(__xludf.DUMMYFUNCTION("""COMPUTED_VALUE"""),45880.90769810185)</f>
        <v>45880.9077</v>
      </c>
      <c r="B1184" s="29" t="str">
        <f>IFERROR(__xludf.DUMMYFUNCTION("""COMPUTED_VALUE"""),"Actively restoring my foreskin / I consider myself restored")</f>
        <v>Actively restoring my foreskin / I consider myself restored</v>
      </c>
      <c r="C1184" s="29" t="str">
        <f>IFERROR(__xludf.DUMMYFUNCTION("""COMPUTED_VALUE"""),"Light Touch Sensitivity")</f>
        <v>Light Touch Sensitivity</v>
      </c>
      <c r="D1184" s="29" t="str">
        <f>IFERROR(__xludf.DUMMYFUNCTION("""COMPUTED_VALUE"""),"5 (High/Excellent)")</f>
        <v>5 (High/Excellent)</v>
      </c>
      <c r="E1184" s="29">
        <f>IFERROR(__xludf.DUMMYFUNCTION("""COMPUTED_VALUE"""),5.0)</f>
        <v>5</v>
      </c>
    </row>
    <row r="1185">
      <c r="A1185" s="33">
        <f>IFERROR(__xludf.DUMMYFUNCTION("""COMPUTED_VALUE"""),45881.71131423611)</f>
        <v>45881.71131</v>
      </c>
      <c r="B1185" s="29" t="str">
        <f>IFERROR(__xludf.DUMMYFUNCTION("""COMPUTED_VALUE"""),"Circumcised")</f>
        <v>Circumcised</v>
      </c>
      <c r="C1185" s="29" t="str">
        <f>IFERROR(__xludf.DUMMYFUNCTION("""COMPUTED_VALUE"""),"Light Touch Sensitivity")</f>
        <v>Light Touch Sensitivity</v>
      </c>
      <c r="D1185" s="29" t="str">
        <f>IFERROR(__xludf.DUMMYFUNCTION("""COMPUTED_VALUE"""),"2")</f>
        <v>2</v>
      </c>
      <c r="E1185" s="29">
        <f>IFERROR(__xludf.DUMMYFUNCTION("""COMPUTED_VALUE"""),2.0)</f>
        <v>2</v>
      </c>
    </row>
    <row r="1186">
      <c r="A1186" s="33">
        <f>IFERROR(__xludf.DUMMYFUNCTION("""COMPUTED_VALUE"""),45881.76282621528)</f>
        <v>45881.76283</v>
      </c>
      <c r="B1186" s="29" t="str">
        <f>IFERROR(__xludf.DUMMYFUNCTION("""COMPUTED_VALUE"""),"Actively restoring my foreskin / I consider myself restored")</f>
        <v>Actively restoring my foreskin / I consider myself restored</v>
      </c>
      <c r="C1186" s="29" t="str">
        <f>IFERROR(__xludf.DUMMYFUNCTION("""COMPUTED_VALUE"""),"Light Touch Sensitivity")</f>
        <v>Light Touch Sensitivity</v>
      </c>
      <c r="D1186" s="29" t="str">
        <f>IFERROR(__xludf.DUMMYFUNCTION("""COMPUTED_VALUE"""),"3 (Medium/Average)")</f>
        <v>3 (Medium/Average)</v>
      </c>
      <c r="E1186" s="29">
        <f>IFERROR(__xludf.DUMMYFUNCTION("""COMPUTED_VALUE"""),3.0)</f>
        <v>3</v>
      </c>
    </row>
    <row r="1187">
      <c r="A1187" s="33">
        <f>IFERROR(__xludf.DUMMYFUNCTION("""COMPUTED_VALUE"""),45891.315471574075)</f>
        <v>45891.31547</v>
      </c>
      <c r="B1187" s="29" t="str">
        <f>IFERROR(__xludf.DUMMYFUNCTION("""COMPUTED_VALUE"""),"Circumcised")</f>
        <v>Circumcised</v>
      </c>
      <c r="C1187" s="29" t="str">
        <f>IFERROR(__xludf.DUMMYFUNCTION("""COMPUTED_VALUE"""),"Light Touch Sensitivity")</f>
        <v>Light Touch Sensitivity</v>
      </c>
      <c r="D1187" s="29" t="str">
        <f>IFERROR(__xludf.DUMMYFUNCTION("""COMPUTED_VALUE"""),"2")</f>
        <v>2</v>
      </c>
      <c r="E1187" s="29">
        <f>IFERROR(__xludf.DUMMYFUNCTION("""COMPUTED_VALUE"""),2.0)</f>
        <v>2</v>
      </c>
    </row>
    <row r="1188">
      <c r="A1188" s="33">
        <f>IFERROR(__xludf.DUMMYFUNCTION("""COMPUTED_VALUE"""),45896.146926319445)</f>
        <v>45896.14693</v>
      </c>
      <c r="B1188" s="29" t="str">
        <f>IFERROR(__xludf.DUMMYFUNCTION("""COMPUTED_VALUE"""),"Circumcised")</f>
        <v>Circumcised</v>
      </c>
      <c r="C1188" s="29" t="str">
        <f>IFERROR(__xludf.DUMMYFUNCTION("""COMPUTED_VALUE"""),"Light Touch Sensitivity")</f>
        <v>Light Touch Sensitivity</v>
      </c>
      <c r="D1188" s="29" t="str">
        <f>IFERROR(__xludf.DUMMYFUNCTION("""COMPUTED_VALUE"""),"2")</f>
        <v>2</v>
      </c>
      <c r="E1188" s="29">
        <f>IFERROR(__xludf.DUMMYFUNCTION("""COMPUTED_VALUE"""),2.0)</f>
        <v>2</v>
      </c>
    </row>
    <row r="1189">
      <c r="A1189" s="33">
        <f>IFERROR(__xludf.DUMMYFUNCTION("""COMPUTED_VALUE"""),45896.65199521991)</f>
        <v>45896.652</v>
      </c>
      <c r="B1189" s="29" t="str">
        <f>IFERROR(__xludf.DUMMYFUNCTION("""COMPUTED_VALUE"""),"Circumcised")</f>
        <v>Circumcised</v>
      </c>
      <c r="C1189" s="29" t="str">
        <f>IFERROR(__xludf.DUMMYFUNCTION("""COMPUTED_VALUE"""),"Light Touch Sensitivity")</f>
        <v>Light Touch Sensitivity</v>
      </c>
      <c r="D1189" s="29" t="str">
        <f>IFERROR(__xludf.DUMMYFUNCTION("""COMPUTED_VALUE"""),"1 (Low/Poor)")</f>
        <v>1 (Low/Poor)</v>
      </c>
      <c r="E1189" s="29">
        <f>IFERROR(__xludf.DUMMYFUNCTION("""COMPUTED_VALUE"""),1.0)</f>
        <v>1</v>
      </c>
    </row>
    <row r="1190">
      <c r="A1190" s="33">
        <f>IFERROR(__xludf.DUMMYFUNCTION("""COMPUTED_VALUE"""),45898.58556331019)</f>
        <v>45898.58556</v>
      </c>
      <c r="B1190" s="29" t="str">
        <f>IFERROR(__xludf.DUMMYFUNCTION("""COMPUTED_VALUE"""),"Intact (Never circumcised)")</f>
        <v>Intact (Never circumcised)</v>
      </c>
      <c r="C1190" s="29" t="str">
        <f>IFERROR(__xludf.DUMMYFUNCTION("""COMPUTED_VALUE"""),"Light Touch Sensitivity")</f>
        <v>Light Touch Sensitivity</v>
      </c>
      <c r="D1190" s="29" t="str">
        <f>IFERROR(__xludf.DUMMYFUNCTION("""COMPUTED_VALUE"""),"4")</f>
        <v>4</v>
      </c>
      <c r="E1190" s="29">
        <f>IFERROR(__xludf.DUMMYFUNCTION("""COMPUTED_VALUE"""),4.0)</f>
        <v>4</v>
      </c>
    </row>
    <row r="1191">
      <c r="A1191" s="33">
        <f>IFERROR(__xludf.DUMMYFUNCTION("""COMPUTED_VALUE"""),45899.51747539352)</f>
        <v>45899.51748</v>
      </c>
      <c r="B1191" s="29" t="str">
        <f>IFERROR(__xludf.DUMMYFUNCTION("""COMPUTED_VALUE"""),"Actively restoring my foreskin / I consider myself restored")</f>
        <v>Actively restoring my foreskin / I consider myself restored</v>
      </c>
      <c r="C1191" s="29" t="str">
        <f>IFERROR(__xludf.DUMMYFUNCTION("""COMPUTED_VALUE"""),"Light Touch Sensitivity")</f>
        <v>Light Touch Sensitivity</v>
      </c>
      <c r="D1191" s="29" t="str">
        <f>IFERROR(__xludf.DUMMYFUNCTION("""COMPUTED_VALUE"""),"5 (High/Excellent)")</f>
        <v>5 (High/Excellent)</v>
      </c>
      <c r="E1191" s="29">
        <f>IFERROR(__xludf.DUMMYFUNCTION("""COMPUTED_VALUE"""),5.0)</f>
        <v>5</v>
      </c>
    </row>
    <row r="1192">
      <c r="A1192" s="33">
        <f>IFERROR(__xludf.DUMMYFUNCTION("""COMPUTED_VALUE"""),45900.64462908564)</f>
        <v>45900.64463</v>
      </c>
      <c r="B1192" s="29" t="str">
        <f>IFERROR(__xludf.DUMMYFUNCTION("""COMPUTED_VALUE"""),"Circumcised")</f>
        <v>Circumcised</v>
      </c>
      <c r="C1192" s="29" t="str">
        <f>IFERROR(__xludf.DUMMYFUNCTION("""COMPUTED_VALUE"""),"Light Touch Sensitivity")</f>
        <v>Light Touch Sensitivity</v>
      </c>
      <c r="D1192" s="29" t="str">
        <f>IFERROR(__xludf.DUMMYFUNCTION("""COMPUTED_VALUE"""),"4")</f>
        <v>4</v>
      </c>
      <c r="E1192" s="29">
        <f>IFERROR(__xludf.DUMMYFUNCTION("""COMPUTED_VALUE"""),4.0)</f>
        <v>4</v>
      </c>
    </row>
    <row r="1193">
      <c r="A1193" s="33">
        <f>IFERROR(__xludf.DUMMYFUNCTION("""COMPUTED_VALUE"""),45902.88397509259)</f>
        <v>45902.88398</v>
      </c>
      <c r="B1193" s="29" t="str">
        <f>IFERROR(__xludf.DUMMYFUNCTION("""COMPUTED_VALUE"""),"Intact (Never circumcised)")</f>
        <v>Intact (Never circumcised)</v>
      </c>
      <c r="C1193" s="29" t="str">
        <f>IFERROR(__xludf.DUMMYFUNCTION("""COMPUTED_VALUE"""),"Light Touch Sensitivity")</f>
        <v>Light Touch Sensitivity</v>
      </c>
      <c r="D1193" s="29" t="str">
        <f>IFERROR(__xludf.DUMMYFUNCTION("""COMPUTED_VALUE"""),"4")</f>
        <v>4</v>
      </c>
      <c r="E1193" s="29">
        <f>IFERROR(__xludf.DUMMYFUNCTION("""COMPUTED_VALUE"""),4.0)</f>
        <v>4</v>
      </c>
    </row>
    <row r="1194">
      <c r="A1194" s="33">
        <f>IFERROR(__xludf.DUMMYFUNCTION("""COMPUTED_VALUE"""),45902.91345981481)</f>
        <v>45902.91346</v>
      </c>
      <c r="B1194" s="29" t="str">
        <f>IFERROR(__xludf.DUMMYFUNCTION("""COMPUTED_VALUE"""),"Circumcised")</f>
        <v>Circumcised</v>
      </c>
      <c r="C1194" s="29" t="str">
        <f>IFERROR(__xludf.DUMMYFUNCTION("""COMPUTED_VALUE"""),"Light Touch Sensitivity")</f>
        <v>Light Touch Sensitivity</v>
      </c>
      <c r="D1194" s="29" t="str">
        <f>IFERROR(__xludf.DUMMYFUNCTION("""COMPUTED_VALUE"""),"2")</f>
        <v>2</v>
      </c>
      <c r="E1194" s="29">
        <f>IFERROR(__xludf.DUMMYFUNCTION("""COMPUTED_VALUE"""),2.0)</f>
        <v>2</v>
      </c>
    </row>
    <row r="1195">
      <c r="A1195" s="33">
        <f>IFERROR(__xludf.DUMMYFUNCTION("""COMPUTED_VALUE"""),45902.93139501157)</f>
        <v>45902.9314</v>
      </c>
      <c r="B1195" s="29" t="str">
        <f>IFERROR(__xludf.DUMMYFUNCTION("""COMPUTED_VALUE"""),"Circumcised")</f>
        <v>Circumcised</v>
      </c>
      <c r="C1195" s="29" t="str">
        <f>IFERROR(__xludf.DUMMYFUNCTION("""COMPUTED_VALUE"""),"Light Touch Sensitivity")</f>
        <v>Light Touch Sensitivity</v>
      </c>
      <c r="D1195" s="29" t="str">
        <f>IFERROR(__xludf.DUMMYFUNCTION("""COMPUTED_VALUE"""),"3 (Medium/Average)")</f>
        <v>3 (Medium/Average)</v>
      </c>
      <c r="E1195" s="29">
        <f>IFERROR(__xludf.DUMMYFUNCTION("""COMPUTED_VALUE"""),3.0)</f>
        <v>3</v>
      </c>
    </row>
    <row r="1196">
      <c r="A1196" s="33">
        <f>IFERROR(__xludf.DUMMYFUNCTION("""COMPUTED_VALUE"""),45902.9375257639)</f>
        <v>45902.93753</v>
      </c>
      <c r="B1196" s="29" t="str">
        <f>IFERROR(__xludf.DUMMYFUNCTION("""COMPUTED_VALUE"""),"Intact (Never circumcised)")</f>
        <v>Intact (Never circumcised)</v>
      </c>
      <c r="C1196" s="29" t="str">
        <f>IFERROR(__xludf.DUMMYFUNCTION("""COMPUTED_VALUE"""),"Light Touch Sensitivity")</f>
        <v>Light Touch Sensitivity</v>
      </c>
      <c r="D1196" s="29" t="str">
        <f>IFERROR(__xludf.DUMMYFUNCTION("""COMPUTED_VALUE"""),"3 (Medium/Average)")</f>
        <v>3 (Medium/Average)</v>
      </c>
      <c r="E1196" s="29">
        <f>IFERROR(__xludf.DUMMYFUNCTION("""COMPUTED_VALUE"""),3.0)</f>
        <v>3</v>
      </c>
    </row>
    <row r="1197">
      <c r="A1197" s="33">
        <f>IFERROR(__xludf.DUMMYFUNCTION("""COMPUTED_VALUE"""),45903.44211505787)</f>
        <v>45903.44212</v>
      </c>
      <c r="B1197" s="29" t="str">
        <f>IFERROR(__xludf.DUMMYFUNCTION("""COMPUTED_VALUE"""),"Intact (Never circumcised)")</f>
        <v>Intact (Never circumcised)</v>
      </c>
      <c r="C1197" s="29" t="str">
        <f>IFERROR(__xludf.DUMMYFUNCTION("""COMPUTED_VALUE"""),"Light Touch Sensitivity")</f>
        <v>Light Touch Sensitivity</v>
      </c>
      <c r="D1197" s="29" t="str">
        <f>IFERROR(__xludf.DUMMYFUNCTION("""COMPUTED_VALUE"""),"5 (High/Excellent)")</f>
        <v>5 (High/Excellent)</v>
      </c>
      <c r="E1197" s="29">
        <f>IFERROR(__xludf.DUMMYFUNCTION("""COMPUTED_VALUE"""),5.0)</f>
        <v>5</v>
      </c>
    </row>
    <row r="1198">
      <c r="A1198" s="33">
        <f>IFERROR(__xludf.DUMMYFUNCTION("""COMPUTED_VALUE"""),45903.48758677083)</f>
        <v>45903.48759</v>
      </c>
      <c r="B1198" s="29" t="str">
        <f>IFERROR(__xludf.DUMMYFUNCTION("""COMPUTED_VALUE"""),"Circumcised")</f>
        <v>Circumcised</v>
      </c>
      <c r="C1198" s="29" t="str">
        <f>IFERROR(__xludf.DUMMYFUNCTION("""COMPUTED_VALUE"""),"Light Touch Sensitivity")</f>
        <v>Light Touch Sensitivity</v>
      </c>
      <c r="D1198" s="29" t="str">
        <f>IFERROR(__xludf.DUMMYFUNCTION("""COMPUTED_VALUE"""),"1 (Low/Poor)")</f>
        <v>1 (Low/Poor)</v>
      </c>
      <c r="E1198" s="29">
        <f>IFERROR(__xludf.DUMMYFUNCTION("""COMPUTED_VALUE"""),1.0)</f>
        <v>1</v>
      </c>
    </row>
    <row r="1199">
      <c r="A1199" s="33">
        <f>IFERROR(__xludf.DUMMYFUNCTION("""COMPUTED_VALUE"""),45903.51030376158)</f>
        <v>45903.5103</v>
      </c>
      <c r="B1199" s="29" t="str">
        <f>IFERROR(__xludf.DUMMYFUNCTION("""COMPUTED_VALUE"""),"Intact (Never circumcised)")</f>
        <v>Intact (Never circumcised)</v>
      </c>
      <c r="C1199" s="29" t="str">
        <f>IFERROR(__xludf.DUMMYFUNCTION("""COMPUTED_VALUE"""),"Light Touch Sensitivity")</f>
        <v>Light Touch Sensitivity</v>
      </c>
      <c r="D1199" s="29" t="str">
        <f>IFERROR(__xludf.DUMMYFUNCTION("""COMPUTED_VALUE"""),"2")</f>
        <v>2</v>
      </c>
      <c r="E1199" s="29">
        <f>IFERROR(__xludf.DUMMYFUNCTION("""COMPUTED_VALUE"""),2.0)</f>
        <v>2</v>
      </c>
    </row>
    <row r="1200">
      <c r="A1200" s="33">
        <f>IFERROR(__xludf.DUMMYFUNCTION("""COMPUTED_VALUE"""),45903.51222153935)</f>
        <v>45903.51222</v>
      </c>
      <c r="B1200" s="29" t="str">
        <f>IFERROR(__xludf.DUMMYFUNCTION("""COMPUTED_VALUE"""),"Circumcised")</f>
        <v>Circumcised</v>
      </c>
      <c r="C1200" s="29" t="str">
        <f>IFERROR(__xludf.DUMMYFUNCTION("""COMPUTED_VALUE"""),"Light Touch Sensitivity")</f>
        <v>Light Touch Sensitivity</v>
      </c>
      <c r="D1200" s="29" t="str">
        <f>IFERROR(__xludf.DUMMYFUNCTION("""COMPUTED_VALUE"""),"2")</f>
        <v>2</v>
      </c>
      <c r="E1200" s="29">
        <f>IFERROR(__xludf.DUMMYFUNCTION("""COMPUTED_VALUE"""),2.0)</f>
        <v>2</v>
      </c>
    </row>
    <row r="1201">
      <c r="A1201" s="33">
        <f>IFERROR(__xludf.DUMMYFUNCTION("""COMPUTED_VALUE"""),45903.55631206019)</f>
        <v>45903.55631</v>
      </c>
      <c r="B1201" s="29" t="str">
        <f>IFERROR(__xludf.DUMMYFUNCTION("""COMPUTED_VALUE"""),"Intact (Never circumcised)")</f>
        <v>Intact (Never circumcised)</v>
      </c>
      <c r="C1201" s="29" t="str">
        <f>IFERROR(__xludf.DUMMYFUNCTION("""COMPUTED_VALUE"""),"Light Touch Sensitivity")</f>
        <v>Light Touch Sensitivity</v>
      </c>
      <c r="D1201" s="29" t="str">
        <f>IFERROR(__xludf.DUMMYFUNCTION("""COMPUTED_VALUE"""),"3 (Medium/Average)")</f>
        <v>3 (Medium/Average)</v>
      </c>
      <c r="E1201" s="29">
        <f>IFERROR(__xludf.DUMMYFUNCTION("""COMPUTED_VALUE"""),3.0)</f>
        <v>3</v>
      </c>
    </row>
    <row r="1202">
      <c r="A1202" s="33">
        <f>IFERROR(__xludf.DUMMYFUNCTION("""COMPUTED_VALUE"""),45903.60210783565)</f>
        <v>45903.60211</v>
      </c>
      <c r="B1202" s="29" t="str">
        <f>IFERROR(__xludf.DUMMYFUNCTION("""COMPUTED_VALUE"""),"Intact (Never circumcised)")</f>
        <v>Intact (Never circumcised)</v>
      </c>
      <c r="C1202" s="29" t="str">
        <f>IFERROR(__xludf.DUMMYFUNCTION("""COMPUTED_VALUE"""),"Light Touch Sensitivity")</f>
        <v>Light Touch Sensitivity</v>
      </c>
      <c r="D1202" s="29" t="str">
        <f>IFERROR(__xludf.DUMMYFUNCTION("""COMPUTED_VALUE"""),"5 (High/Excellent)")</f>
        <v>5 (High/Excellent)</v>
      </c>
      <c r="E1202" s="29">
        <f>IFERROR(__xludf.DUMMYFUNCTION("""COMPUTED_VALUE"""),5.0)</f>
        <v>5</v>
      </c>
    </row>
    <row r="1203">
      <c r="A1203" s="33">
        <f>IFERROR(__xludf.DUMMYFUNCTION("""COMPUTED_VALUE"""),45903.61053475695)</f>
        <v>45903.61053</v>
      </c>
      <c r="B1203" s="29" t="str">
        <f>IFERROR(__xludf.DUMMYFUNCTION("""COMPUTED_VALUE"""),"Circumcised")</f>
        <v>Circumcised</v>
      </c>
      <c r="C1203" s="29" t="str">
        <f>IFERROR(__xludf.DUMMYFUNCTION("""COMPUTED_VALUE"""),"Light Touch Sensitivity")</f>
        <v>Light Touch Sensitivity</v>
      </c>
      <c r="D1203" s="29" t="str">
        <f>IFERROR(__xludf.DUMMYFUNCTION("""COMPUTED_VALUE"""),"3 (Medium/Average)")</f>
        <v>3 (Medium/Average)</v>
      </c>
      <c r="E1203" s="29">
        <f>IFERROR(__xludf.DUMMYFUNCTION("""COMPUTED_VALUE"""),3.0)</f>
        <v>3</v>
      </c>
    </row>
    <row r="1204">
      <c r="A1204" s="33">
        <f>IFERROR(__xludf.DUMMYFUNCTION("""COMPUTED_VALUE"""),45903.6418905324)</f>
        <v>45903.64189</v>
      </c>
      <c r="B1204" s="29" t="str">
        <f>IFERROR(__xludf.DUMMYFUNCTION("""COMPUTED_VALUE"""),"Circumcised")</f>
        <v>Circumcised</v>
      </c>
      <c r="C1204" s="29" t="str">
        <f>IFERROR(__xludf.DUMMYFUNCTION("""COMPUTED_VALUE"""),"Light Touch Sensitivity")</f>
        <v>Light Touch Sensitivity</v>
      </c>
      <c r="D1204" s="29" t="str">
        <f>IFERROR(__xludf.DUMMYFUNCTION("""COMPUTED_VALUE"""),"2")</f>
        <v>2</v>
      </c>
      <c r="E1204" s="29">
        <f>IFERROR(__xludf.DUMMYFUNCTION("""COMPUTED_VALUE"""),2.0)</f>
        <v>2</v>
      </c>
    </row>
    <row r="1205">
      <c r="A1205" s="33">
        <f>IFERROR(__xludf.DUMMYFUNCTION("""COMPUTED_VALUE"""),45903.651005266205)</f>
        <v>45903.65101</v>
      </c>
      <c r="B1205" s="29" t="str">
        <f>IFERROR(__xludf.DUMMYFUNCTION("""COMPUTED_VALUE"""),"Circumcised")</f>
        <v>Circumcised</v>
      </c>
      <c r="C1205" s="29" t="str">
        <f>IFERROR(__xludf.DUMMYFUNCTION("""COMPUTED_VALUE"""),"Light Touch Sensitivity")</f>
        <v>Light Touch Sensitivity</v>
      </c>
      <c r="D1205" s="29" t="str">
        <f>IFERROR(__xludf.DUMMYFUNCTION("""COMPUTED_VALUE"""),"2")</f>
        <v>2</v>
      </c>
      <c r="E1205" s="29">
        <f>IFERROR(__xludf.DUMMYFUNCTION("""COMPUTED_VALUE"""),2.0)</f>
        <v>2</v>
      </c>
    </row>
    <row r="1206">
      <c r="A1206" s="33">
        <f>IFERROR(__xludf.DUMMYFUNCTION("""COMPUTED_VALUE"""),45903.6764394213)</f>
        <v>45903.67644</v>
      </c>
      <c r="B1206" s="29" t="str">
        <f>IFERROR(__xludf.DUMMYFUNCTION("""COMPUTED_VALUE"""),"Circumcised")</f>
        <v>Circumcised</v>
      </c>
      <c r="C1206" s="29" t="str">
        <f>IFERROR(__xludf.DUMMYFUNCTION("""COMPUTED_VALUE"""),"Light Touch Sensitivity")</f>
        <v>Light Touch Sensitivity</v>
      </c>
      <c r="D1206" s="29" t="str">
        <f>IFERROR(__xludf.DUMMYFUNCTION("""COMPUTED_VALUE"""),"1 (Low/Poor)")</f>
        <v>1 (Low/Poor)</v>
      </c>
      <c r="E1206" s="29">
        <f>IFERROR(__xludf.DUMMYFUNCTION("""COMPUTED_VALUE"""),1.0)</f>
        <v>1</v>
      </c>
    </row>
    <row r="1207">
      <c r="A1207" s="33">
        <f>IFERROR(__xludf.DUMMYFUNCTION("""COMPUTED_VALUE"""),45903.70256416666)</f>
        <v>45903.70256</v>
      </c>
      <c r="B1207" s="29" t="str">
        <f>IFERROR(__xludf.DUMMYFUNCTION("""COMPUTED_VALUE"""),"Actively restoring my foreskin / I consider myself restored")</f>
        <v>Actively restoring my foreskin / I consider myself restored</v>
      </c>
      <c r="C1207" s="29" t="str">
        <f>IFERROR(__xludf.DUMMYFUNCTION("""COMPUTED_VALUE"""),"Light Touch Sensitivity")</f>
        <v>Light Touch Sensitivity</v>
      </c>
      <c r="D1207" s="29" t="str">
        <f>IFERROR(__xludf.DUMMYFUNCTION("""COMPUTED_VALUE"""),"4")</f>
        <v>4</v>
      </c>
      <c r="E1207" s="29">
        <f>IFERROR(__xludf.DUMMYFUNCTION("""COMPUTED_VALUE"""),4.0)</f>
        <v>4</v>
      </c>
    </row>
    <row r="1208">
      <c r="A1208" s="33">
        <f>IFERROR(__xludf.DUMMYFUNCTION("""COMPUTED_VALUE"""),45904.68773384259)</f>
        <v>45904.68773</v>
      </c>
      <c r="B1208" s="29" t="str">
        <f>IFERROR(__xludf.DUMMYFUNCTION("""COMPUTED_VALUE"""),"Circumcised")</f>
        <v>Circumcised</v>
      </c>
      <c r="C1208" s="29" t="str">
        <f>IFERROR(__xludf.DUMMYFUNCTION("""COMPUTED_VALUE"""),"Light Touch Sensitivity")</f>
        <v>Light Touch Sensitivity</v>
      </c>
      <c r="D1208" s="29" t="str">
        <f>IFERROR(__xludf.DUMMYFUNCTION("""COMPUTED_VALUE"""),"3 (Medium/Average)")</f>
        <v>3 (Medium/Average)</v>
      </c>
      <c r="E1208" s="29">
        <f>IFERROR(__xludf.DUMMYFUNCTION("""COMPUTED_VALUE"""),3.0)</f>
        <v>3</v>
      </c>
    </row>
    <row r="1209">
      <c r="A1209" s="33">
        <f>IFERROR(__xludf.DUMMYFUNCTION("""COMPUTED_VALUE"""),45908.39691986111)</f>
        <v>45908.39692</v>
      </c>
      <c r="B1209" s="29" t="str">
        <f>IFERROR(__xludf.DUMMYFUNCTION("""COMPUTED_VALUE"""),"Actively restoring my foreskin / I consider myself restored")</f>
        <v>Actively restoring my foreskin / I consider myself restored</v>
      </c>
      <c r="C1209" s="29" t="str">
        <f>IFERROR(__xludf.DUMMYFUNCTION("""COMPUTED_VALUE"""),"Light Touch Sensitivity")</f>
        <v>Light Touch Sensitivity</v>
      </c>
      <c r="D1209" s="29" t="str">
        <f>IFERROR(__xludf.DUMMYFUNCTION("""COMPUTED_VALUE"""),"3 (Medium/Average)")</f>
        <v>3 (Medium/Average)</v>
      </c>
      <c r="E1209" s="29">
        <f>IFERROR(__xludf.DUMMYFUNCTION("""COMPUTED_VALUE"""),3.0)</f>
        <v>3</v>
      </c>
    </row>
    <row r="1210">
      <c r="A1210" s="33">
        <f>IFERROR(__xludf.DUMMYFUNCTION("""COMPUTED_VALUE"""),45908.43864734953)</f>
        <v>45908.43865</v>
      </c>
      <c r="B1210" s="29" t="str">
        <f>IFERROR(__xludf.DUMMYFUNCTION("""COMPUTED_VALUE"""),"Intact (Never circumcised)")</f>
        <v>Intact (Never circumcised)</v>
      </c>
      <c r="C1210" s="29" t="str">
        <f>IFERROR(__xludf.DUMMYFUNCTION("""COMPUTED_VALUE"""),"Light Touch Sensitivity")</f>
        <v>Light Touch Sensitivity</v>
      </c>
      <c r="D1210" s="29" t="str">
        <f>IFERROR(__xludf.DUMMYFUNCTION("""COMPUTED_VALUE"""),"4")</f>
        <v>4</v>
      </c>
      <c r="E1210" s="29">
        <f>IFERROR(__xludf.DUMMYFUNCTION("""COMPUTED_VALUE"""),4.0)</f>
        <v>4</v>
      </c>
    </row>
    <row r="1211">
      <c r="A1211" s="33">
        <f>IFERROR(__xludf.DUMMYFUNCTION("""COMPUTED_VALUE"""),45909.61754627315)</f>
        <v>45909.61755</v>
      </c>
      <c r="B1211" s="29" t="str">
        <f>IFERROR(__xludf.DUMMYFUNCTION("""COMPUTED_VALUE"""),"Intact (Never circumcised)")</f>
        <v>Intact (Never circumcised)</v>
      </c>
      <c r="C1211" s="29" t="str">
        <f>IFERROR(__xludf.DUMMYFUNCTION("""COMPUTED_VALUE"""),"Light Touch Sensitivity")</f>
        <v>Light Touch Sensitivity</v>
      </c>
      <c r="D1211" s="29" t="str">
        <f>IFERROR(__xludf.DUMMYFUNCTION("""COMPUTED_VALUE"""),"3 (Medium/Average)")</f>
        <v>3 (Medium/Average)</v>
      </c>
      <c r="E1211" s="29">
        <f>IFERROR(__xludf.DUMMYFUNCTION("""COMPUTED_VALUE"""),3.0)</f>
        <v>3</v>
      </c>
    </row>
    <row r="1212">
      <c r="A1212" s="33">
        <f>IFERROR(__xludf.DUMMYFUNCTION("""COMPUTED_VALUE"""),45909.787554953706)</f>
        <v>45909.78755</v>
      </c>
      <c r="B1212" s="29" t="str">
        <f>IFERROR(__xludf.DUMMYFUNCTION("""COMPUTED_VALUE"""),"Actively restoring my foreskin / I consider myself restored")</f>
        <v>Actively restoring my foreskin / I consider myself restored</v>
      </c>
      <c r="C1212" s="29" t="str">
        <f>IFERROR(__xludf.DUMMYFUNCTION("""COMPUTED_VALUE"""),"Light Touch Sensitivity")</f>
        <v>Light Touch Sensitivity</v>
      </c>
      <c r="D1212" s="29" t="str">
        <f>IFERROR(__xludf.DUMMYFUNCTION("""COMPUTED_VALUE"""),"2")</f>
        <v>2</v>
      </c>
      <c r="E1212" s="29">
        <f>IFERROR(__xludf.DUMMYFUNCTION("""COMPUTED_VALUE"""),2.0)</f>
        <v>2</v>
      </c>
    </row>
    <row r="1213">
      <c r="A1213" s="33">
        <f>IFERROR(__xludf.DUMMYFUNCTION("""COMPUTED_VALUE"""),45915.3204787963)</f>
        <v>45915.32048</v>
      </c>
      <c r="B1213" s="29" t="str">
        <f>IFERROR(__xludf.DUMMYFUNCTION("""COMPUTED_VALUE"""),"Actively restoring my foreskin / I consider myself restored")</f>
        <v>Actively restoring my foreskin / I consider myself restored</v>
      </c>
      <c r="C1213" s="29" t="str">
        <f>IFERROR(__xludf.DUMMYFUNCTION("""COMPUTED_VALUE"""),"Light Touch Sensitivity")</f>
        <v>Light Touch Sensitivity</v>
      </c>
      <c r="D1213" s="29" t="str">
        <f>IFERROR(__xludf.DUMMYFUNCTION("""COMPUTED_VALUE"""),"1 (Low/Poor)")</f>
        <v>1 (Low/Poor)</v>
      </c>
      <c r="E1213" s="29">
        <f>IFERROR(__xludf.DUMMYFUNCTION("""COMPUTED_VALUE"""),1.0)</f>
        <v>1</v>
      </c>
    </row>
    <row r="1214">
      <c r="A1214" s="33">
        <f>IFERROR(__xludf.DUMMYFUNCTION("""COMPUTED_VALUE"""),45917.67038480324)</f>
        <v>45917.67038</v>
      </c>
      <c r="B1214" s="29" t="str">
        <f>IFERROR(__xludf.DUMMYFUNCTION("""COMPUTED_VALUE"""),"Actively restoring my foreskin / I consider myself restored")</f>
        <v>Actively restoring my foreskin / I consider myself restored</v>
      </c>
      <c r="C1214" s="29" t="str">
        <f>IFERROR(__xludf.DUMMYFUNCTION("""COMPUTED_VALUE"""),"Light Touch Sensitivity")</f>
        <v>Light Touch Sensitivity</v>
      </c>
      <c r="D1214" s="29" t="str">
        <f>IFERROR(__xludf.DUMMYFUNCTION("""COMPUTED_VALUE"""),"1 (Low/Poor)")</f>
        <v>1 (Low/Poor)</v>
      </c>
      <c r="E1214" s="29">
        <f>IFERROR(__xludf.DUMMYFUNCTION("""COMPUTED_VALUE"""),1.0)</f>
        <v>1</v>
      </c>
    </row>
    <row r="1215">
      <c r="A1215" s="33">
        <f>IFERROR(__xludf.DUMMYFUNCTION("""COMPUTED_VALUE"""),45917.73239077546)</f>
        <v>45917.73239</v>
      </c>
      <c r="B1215" s="29" t="str">
        <f>IFERROR(__xludf.DUMMYFUNCTION("""COMPUTED_VALUE"""),"Circumcised")</f>
        <v>Circumcised</v>
      </c>
      <c r="C1215" s="29" t="str">
        <f>IFERROR(__xludf.DUMMYFUNCTION("""COMPUTED_VALUE"""),"Light Touch Sensitivity")</f>
        <v>Light Touch Sensitivity</v>
      </c>
      <c r="D1215" s="29" t="str">
        <f>IFERROR(__xludf.DUMMYFUNCTION("""COMPUTED_VALUE"""),"1 (Low/Poor)")</f>
        <v>1 (Low/Poor)</v>
      </c>
      <c r="E1215" s="29">
        <f>IFERROR(__xludf.DUMMYFUNCTION("""COMPUTED_VALUE"""),1.0)</f>
        <v>1</v>
      </c>
    </row>
    <row r="1216">
      <c r="A1216" s="33">
        <f>IFERROR(__xludf.DUMMYFUNCTION("""COMPUTED_VALUE"""),45918.237352870376)</f>
        <v>45918.23735</v>
      </c>
      <c r="B1216" s="29" t="str">
        <f>IFERROR(__xludf.DUMMYFUNCTION("""COMPUTED_VALUE"""),"Circumcised")</f>
        <v>Circumcised</v>
      </c>
      <c r="C1216" s="29" t="str">
        <f>IFERROR(__xludf.DUMMYFUNCTION("""COMPUTED_VALUE"""),"Light Touch Sensitivity")</f>
        <v>Light Touch Sensitivity</v>
      </c>
      <c r="D1216" s="29" t="str">
        <f>IFERROR(__xludf.DUMMYFUNCTION("""COMPUTED_VALUE"""),"3 (Medium/Average)")</f>
        <v>3 (Medium/Average)</v>
      </c>
      <c r="E1216" s="29">
        <f>IFERROR(__xludf.DUMMYFUNCTION("""COMPUTED_VALUE"""),3.0)</f>
        <v>3</v>
      </c>
    </row>
    <row r="1217">
      <c r="A1217" s="33">
        <f>IFERROR(__xludf.DUMMYFUNCTION("""COMPUTED_VALUE"""),45920.67861195602)</f>
        <v>45920.67861</v>
      </c>
      <c r="B1217" s="29" t="str">
        <f>IFERROR(__xludf.DUMMYFUNCTION("""COMPUTED_VALUE"""),"Intact (Never circumcised)")</f>
        <v>Intact (Never circumcised)</v>
      </c>
      <c r="C1217" s="29" t="str">
        <f>IFERROR(__xludf.DUMMYFUNCTION("""COMPUTED_VALUE"""),"Light Touch Sensitivity")</f>
        <v>Light Touch Sensitivity</v>
      </c>
      <c r="D1217" s="29" t="str">
        <f>IFERROR(__xludf.DUMMYFUNCTION("""COMPUTED_VALUE"""),"3 (Medium/Average)")</f>
        <v>3 (Medium/Average)</v>
      </c>
      <c r="E1217" s="29">
        <f>IFERROR(__xludf.DUMMYFUNCTION("""COMPUTED_VALUE"""),3.0)</f>
        <v>3</v>
      </c>
    </row>
    <row r="1218">
      <c r="A1218" s="33">
        <f>IFERROR(__xludf.DUMMYFUNCTION("""COMPUTED_VALUE"""),45921.55637546296)</f>
        <v>45921.55638</v>
      </c>
      <c r="B1218" s="29" t="str">
        <f>IFERROR(__xludf.DUMMYFUNCTION("""COMPUTED_VALUE"""),"Circumcised")</f>
        <v>Circumcised</v>
      </c>
      <c r="C1218" s="29" t="str">
        <f>IFERROR(__xludf.DUMMYFUNCTION("""COMPUTED_VALUE"""),"Light Touch Sensitivity")</f>
        <v>Light Touch Sensitivity</v>
      </c>
      <c r="D1218" s="29" t="str">
        <f>IFERROR(__xludf.DUMMYFUNCTION("""COMPUTED_VALUE"""),"1 (Low/Poor)")</f>
        <v>1 (Low/Poor)</v>
      </c>
      <c r="E1218" s="29">
        <f>IFERROR(__xludf.DUMMYFUNCTION("""COMPUTED_VALUE"""),1.0)</f>
        <v>1</v>
      </c>
    </row>
    <row r="1219">
      <c r="A1219" s="33">
        <f>IFERROR(__xludf.DUMMYFUNCTION("""COMPUTED_VALUE"""),45921.55864135417)</f>
        <v>45921.55864</v>
      </c>
      <c r="B1219" s="29" t="str">
        <f>IFERROR(__xludf.DUMMYFUNCTION("""COMPUTED_VALUE"""),"Intact (Never circumcised)")</f>
        <v>Intact (Never circumcised)</v>
      </c>
      <c r="C1219" s="29" t="str">
        <f>IFERROR(__xludf.DUMMYFUNCTION("""COMPUTED_VALUE"""),"Light Touch Sensitivity")</f>
        <v>Light Touch Sensitivity</v>
      </c>
      <c r="D1219" s="29" t="str">
        <f>IFERROR(__xludf.DUMMYFUNCTION("""COMPUTED_VALUE"""),"4")</f>
        <v>4</v>
      </c>
      <c r="E1219" s="29">
        <f>IFERROR(__xludf.DUMMYFUNCTION("""COMPUTED_VALUE"""),4.0)</f>
        <v>4</v>
      </c>
    </row>
    <row r="1220">
      <c r="A1220" s="33">
        <f>IFERROR(__xludf.DUMMYFUNCTION("""COMPUTED_VALUE"""),45921.571817627315)</f>
        <v>45921.57182</v>
      </c>
      <c r="B1220" s="29" t="str">
        <f>IFERROR(__xludf.DUMMYFUNCTION("""COMPUTED_VALUE"""),"Actively restoring my foreskin / I consider myself restored")</f>
        <v>Actively restoring my foreskin / I consider myself restored</v>
      </c>
      <c r="C1220" s="29" t="str">
        <f>IFERROR(__xludf.DUMMYFUNCTION("""COMPUTED_VALUE"""),"Light Touch Sensitivity")</f>
        <v>Light Touch Sensitivity</v>
      </c>
      <c r="D1220" s="29" t="str">
        <f>IFERROR(__xludf.DUMMYFUNCTION("""COMPUTED_VALUE"""),"2")</f>
        <v>2</v>
      </c>
      <c r="E1220" s="29">
        <f>IFERROR(__xludf.DUMMYFUNCTION("""COMPUTED_VALUE"""),2.0)</f>
        <v>2</v>
      </c>
    </row>
    <row r="1221">
      <c r="A1221" s="33">
        <f>IFERROR(__xludf.DUMMYFUNCTION("""COMPUTED_VALUE"""),45922.126089375)</f>
        <v>45922.12609</v>
      </c>
      <c r="B1221" s="29" t="str">
        <f>IFERROR(__xludf.DUMMYFUNCTION("""COMPUTED_VALUE"""),"Circumcised")</f>
        <v>Circumcised</v>
      </c>
      <c r="C1221" s="29" t="str">
        <f>IFERROR(__xludf.DUMMYFUNCTION("""COMPUTED_VALUE"""),"Light Touch Sensitivity")</f>
        <v>Light Touch Sensitivity</v>
      </c>
      <c r="D1221" s="29" t="str">
        <f>IFERROR(__xludf.DUMMYFUNCTION("""COMPUTED_VALUE"""),"4")</f>
        <v>4</v>
      </c>
      <c r="E1221" s="29">
        <f>IFERROR(__xludf.DUMMYFUNCTION("""COMPUTED_VALUE"""),4.0)</f>
        <v>4</v>
      </c>
    </row>
    <row r="1222">
      <c r="A1222" s="33">
        <f>IFERROR(__xludf.DUMMYFUNCTION("""COMPUTED_VALUE"""),45922.53526744213)</f>
        <v>45922.53527</v>
      </c>
      <c r="B1222" s="29" t="str">
        <f>IFERROR(__xludf.DUMMYFUNCTION("""COMPUTED_VALUE"""),"Circumcised")</f>
        <v>Circumcised</v>
      </c>
      <c r="C1222" s="29" t="str">
        <f>IFERROR(__xludf.DUMMYFUNCTION("""COMPUTED_VALUE"""),"Light Touch Sensitivity")</f>
        <v>Light Touch Sensitivity</v>
      </c>
      <c r="D1222" s="29" t="str">
        <f>IFERROR(__xludf.DUMMYFUNCTION("""COMPUTED_VALUE"""),"2")</f>
        <v>2</v>
      </c>
      <c r="E1222" s="29">
        <f>IFERROR(__xludf.DUMMYFUNCTION("""COMPUTED_VALUE"""),2.0)</f>
        <v>2</v>
      </c>
    </row>
    <row r="1223">
      <c r="A1223" s="33">
        <f>IFERROR(__xludf.DUMMYFUNCTION("""COMPUTED_VALUE"""),45922.540856585656)</f>
        <v>45922.54086</v>
      </c>
      <c r="B1223" s="29" t="str">
        <f>IFERROR(__xludf.DUMMYFUNCTION("""COMPUTED_VALUE"""),"Actively restoring my foreskin / I consider myself restored")</f>
        <v>Actively restoring my foreskin / I consider myself restored</v>
      </c>
      <c r="C1223" s="29" t="str">
        <f>IFERROR(__xludf.DUMMYFUNCTION("""COMPUTED_VALUE"""),"Light Touch Sensitivity")</f>
        <v>Light Touch Sensitivity</v>
      </c>
      <c r="D1223" s="29" t="str">
        <f>IFERROR(__xludf.DUMMYFUNCTION("""COMPUTED_VALUE"""),"1 (Low/Poor)")</f>
        <v>1 (Low/Poor)</v>
      </c>
      <c r="E1223" s="29">
        <f>IFERROR(__xludf.DUMMYFUNCTION("""COMPUTED_VALUE"""),1.0)</f>
        <v>1</v>
      </c>
    </row>
    <row r="1224">
      <c r="A1224" s="33">
        <f>IFERROR(__xludf.DUMMYFUNCTION("""COMPUTED_VALUE"""),45922.60076869212)</f>
        <v>45922.60077</v>
      </c>
      <c r="B1224" s="29" t="str">
        <f>IFERROR(__xludf.DUMMYFUNCTION("""COMPUTED_VALUE"""),"Intact (Never circumcised)")</f>
        <v>Intact (Never circumcised)</v>
      </c>
      <c r="C1224" s="29" t="str">
        <f>IFERROR(__xludf.DUMMYFUNCTION("""COMPUTED_VALUE"""),"Light Touch Sensitivity")</f>
        <v>Light Touch Sensitivity</v>
      </c>
      <c r="D1224" s="29" t="str">
        <f>IFERROR(__xludf.DUMMYFUNCTION("""COMPUTED_VALUE"""),"5 (High/Excellent)")</f>
        <v>5 (High/Excellent)</v>
      </c>
      <c r="E1224" s="29">
        <f>IFERROR(__xludf.DUMMYFUNCTION("""COMPUTED_VALUE"""),5.0)</f>
        <v>5</v>
      </c>
    </row>
    <row r="1225">
      <c r="A1225" s="33">
        <f>IFERROR(__xludf.DUMMYFUNCTION("""COMPUTED_VALUE"""),45922.61636423611)</f>
        <v>45922.61636</v>
      </c>
      <c r="B1225" s="29" t="str">
        <f>IFERROR(__xludf.DUMMYFUNCTION("""COMPUTED_VALUE"""),"Circumcised")</f>
        <v>Circumcised</v>
      </c>
      <c r="C1225" s="29" t="str">
        <f>IFERROR(__xludf.DUMMYFUNCTION("""COMPUTED_VALUE"""),"Light Touch Sensitivity")</f>
        <v>Light Touch Sensitivity</v>
      </c>
      <c r="D1225" s="29" t="str">
        <f>IFERROR(__xludf.DUMMYFUNCTION("""COMPUTED_VALUE"""),"2")</f>
        <v>2</v>
      </c>
      <c r="E1225" s="29">
        <f>IFERROR(__xludf.DUMMYFUNCTION("""COMPUTED_VALUE"""),2.0)</f>
        <v>2</v>
      </c>
    </row>
    <row r="1226">
      <c r="A1226" s="33">
        <f>IFERROR(__xludf.DUMMYFUNCTION("""COMPUTED_VALUE"""),45923.83860096065)</f>
        <v>45923.8386</v>
      </c>
      <c r="B1226" s="29" t="str">
        <f>IFERROR(__xludf.DUMMYFUNCTION("""COMPUTED_VALUE"""),"Intact (Never circumcised)")</f>
        <v>Intact (Never circumcised)</v>
      </c>
      <c r="C1226" s="29" t="str">
        <f>IFERROR(__xludf.DUMMYFUNCTION("""COMPUTED_VALUE"""),"Light Touch Sensitivity")</f>
        <v>Light Touch Sensitivity</v>
      </c>
      <c r="D1226" s="29" t="str">
        <f>IFERROR(__xludf.DUMMYFUNCTION("""COMPUTED_VALUE"""),"5 (High/Excellent)")</f>
        <v>5 (High/Excellent)</v>
      </c>
      <c r="E1226" s="29">
        <f>IFERROR(__xludf.DUMMYFUNCTION("""COMPUTED_VALUE"""),5.0)</f>
        <v>5</v>
      </c>
    </row>
    <row r="1227">
      <c r="A1227" s="33">
        <f>IFERROR(__xludf.DUMMYFUNCTION("""COMPUTED_VALUE"""),45924.36109353009)</f>
        <v>45924.36109</v>
      </c>
      <c r="B1227" s="29" t="str">
        <f>IFERROR(__xludf.DUMMYFUNCTION("""COMPUTED_VALUE"""),"Circumcised")</f>
        <v>Circumcised</v>
      </c>
      <c r="C1227" s="29" t="str">
        <f>IFERROR(__xludf.DUMMYFUNCTION("""COMPUTED_VALUE"""),"Light Touch Sensitivity")</f>
        <v>Light Touch Sensitivity</v>
      </c>
      <c r="D1227" s="29" t="str">
        <f>IFERROR(__xludf.DUMMYFUNCTION("""COMPUTED_VALUE"""),"3 (Medium/Average)")</f>
        <v>3 (Medium/Average)</v>
      </c>
      <c r="E1227" s="29">
        <f>IFERROR(__xludf.DUMMYFUNCTION("""COMPUTED_VALUE"""),3.0)</f>
        <v>3</v>
      </c>
    </row>
    <row r="1228">
      <c r="A1228" s="33">
        <f>IFERROR(__xludf.DUMMYFUNCTION("""COMPUTED_VALUE"""),45924.62656627315)</f>
        <v>45924.62657</v>
      </c>
      <c r="B1228" s="29" t="str">
        <f>IFERROR(__xludf.DUMMYFUNCTION("""COMPUTED_VALUE"""),"Actively restoring my foreskin / I consider myself restored")</f>
        <v>Actively restoring my foreskin / I consider myself restored</v>
      </c>
      <c r="C1228" s="29" t="str">
        <f>IFERROR(__xludf.DUMMYFUNCTION("""COMPUTED_VALUE"""),"Light Touch Sensitivity")</f>
        <v>Light Touch Sensitivity</v>
      </c>
      <c r="D1228" s="29" t="str">
        <f>IFERROR(__xludf.DUMMYFUNCTION("""COMPUTED_VALUE"""),"2")</f>
        <v>2</v>
      </c>
      <c r="E1228" s="29">
        <f>IFERROR(__xludf.DUMMYFUNCTION("""COMPUTED_VALUE"""),2.0)</f>
        <v>2</v>
      </c>
    </row>
    <row r="1229">
      <c r="A1229" s="33">
        <f>IFERROR(__xludf.DUMMYFUNCTION("""COMPUTED_VALUE"""),45926.12340616898)</f>
        <v>45926.12341</v>
      </c>
      <c r="B1229" s="29" t="str">
        <f>IFERROR(__xludf.DUMMYFUNCTION("""COMPUTED_VALUE"""),"Circumcised")</f>
        <v>Circumcised</v>
      </c>
      <c r="C1229" s="29" t="str">
        <f>IFERROR(__xludf.DUMMYFUNCTION("""COMPUTED_VALUE"""),"Light Touch Sensitivity")</f>
        <v>Light Touch Sensitivity</v>
      </c>
      <c r="D1229" s="29" t="str">
        <f>IFERROR(__xludf.DUMMYFUNCTION("""COMPUTED_VALUE"""),"2")</f>
        <v>2</v>
      </c>
      <c r="E1229" s="29">
        <f>IFERROR(__xludf.DUMMYFUNCTION("""COMPUTED_VALUE"""),2.0)</f>
        <v>2</v>
      </c>
    </row>
    <row r="1230">
      <c r="A1230" s="33">
        <f>IFERROR(__xludf.DUMMYFUNCTION("""COMPUTED_VALUE"""),45927.602613229166)</f>
        <v>45927.60261</v>
      </c>
      <c r="B1230" s="29" t="str">
        <f>IFERROR(__xludf.DUMMYFUNCTION("""COMPUTED_VALUE"""),"Circumcised")</f>
        <v>Circumcised</v>
      </c>
      <c r="C1230" s="29" t="str">
        <f>IFERROR(__xludf.DUMMYFUNCTION("""COMPUTED_VALUE"""),"Light Touch Sensitivity")</f>
        <v>Light Touch Sensitivity</v>
      </c>
      <c r="D1230" s="29" t="str">
        <f>IFERROR(__xludf.DUMMYFUNCTION("""COMPUTED_VALUE"""),"2")</f>
        <v>2</v>
      </c>
      <c r="E1230" s="29">
        <f>IFERROR(__xludf.DUMMYFUNCTION("""COMPUTED_VALUE"""),2.0)</f>
        <v>2</v>
      </c>
    </row>
    <row r="1231">
      <c r="A1231" s="33">
        <f>IFERROR(__xludf.DUMMYFUNCTION("""COMPUTED_VALUE"""),45929.419320416666)</f>
        <v>45929.41932</v>
      </c>
      <c r="B1231" s="29" t="str">
        <f>IFERROR(__xludf.DUMMYFUNCTION("""COMPUTED_VALUE"""),"Circumcised")</f>
        <v>Circumcised</v>
      </c>
      <c r="C1231" s="29" t="str">
        <f>IFERROR(__xludf.DUMMYFUNCTION("""COMPUTED_VALUE"""),"Light Touch Sensitivity")</f>
        <v>Light Touch Sensitivity</v>
      </c>
      <c r="D1231" s="29" t="str">
        <f>IFERROR(__xludf.DUMMYFUNCTION("""COMPUTED_VALUE"""),"1 (Low/Poor)")</f>
        <v>1 (Low/Poor)</v>
      </c>
      <c r="E1231" s="29">
        <f>IFERROR(__xludf.DUMMYFUNCTION("""COMPUTED_VALUE"""),1.0)</f>
        <v>1</v>
      </c>
    </row>
    <row r="1232">
      <c r="A1232" s="33">
        <f>IFERROR(__xludf.DUMMYFUNCTION("""COMPUTED_VALUE"""),45929.53502336806)</f>
        <v>45929.53502</v>
      </c>
      <c r="B1232" s="29" t="str">
        <f>IFERROR(__xludf.DUMMYFUNCTION("""COMPUTED_VALUE"""),"Intact (Never circumcised)")</f>
        <v>Intact (Never circumcised)</v>
      </c>
      <c r="C1232" s="29" t="str">
        <f>IFERROR(__xludf.DUMMYFUNCTION("""COMPUTED_VALUE"""),"Light Touch Sensitivity")</f>
        <v>Light Touch Sensitivity</v>
      </c>
      <c r="D1232" s="29" t="str">
        <f>IFERROR(__xludf.DUMMYFUNCTION("""COMPUTED_VALUE"""),"5 (High/Excellent)")</f>
        <v>5 (High/Excellent)</v>
      </c>
      <c r="E1232" s="29">
        <f>IFERROR(__xludf.DUMMYFUNCTION("""COMPUTED_VALUE"""),5.0)</f>
        <v>5</v>
      </c>
    </row>
    <row r="1233">
      <c r="A1233" s="33">
        <f>IFERROR(__xludf.DUMMYFUNCTION("""COMPUTED_VALUE"""),45929.659956793985)</f>
        <v>45929.65996</v>
      </c>
      <c r="B1233" s="29" t="str">
        <f>IFERROR(__xludf.DUMMYFUNCTION("""COMPUTED_VALUE"""),"Circumcised")</f>
        <v>Circumcised</v>
      </c>
      <c r="C1233" s="29" t="str">
        <f>IFERROR(__xludf.DUMMYFUNCTION("""COMPUTED_VALUE"""),"Light Touch Sensitivity")</f>
        <v>Light Touch Sensitivity</v>
      </c>
      <c r="D1233" s="29" t="str">
        <f>IFERROR(__xludf.DUMMYFUNCTION("""COMPUTED_VALUE"""),"2")</f>
        <v>2</v>
      </c>
      <c r="E1233" s="29">
        <f>IFERROR(__xludf.DUMMYFUNCTION("""COMPUTED_VALUE"""),2.0)</f>
        <v>2</v>
      </c>
    </row>
    <row r="1234">
      <c r="A1234" s="33">
        <f>IFERROR(__xludf.DUMMYFUNCTION("""COMPUTED_VALUE"""),45929.82908622685)</f>
        <v>45929.82909</v>
      </c>
      <c r="B1234" s="29" t="str">
        <f>IFERROR(__xludf.DUMMYFUNCTION("""COMPUTED_VALUE"""),"Circumcised")</f>
        <v>Circumcised</v>
      </c>
      <c r="C1234" s="29" t="str">
        <f>IFERROR(__xludf.DUMMYFUNCTION("""COMPUTED_VALUE"""),"Light Touch Sensitivity")</f>
        <v>Light Touch Sensitivity</v>
      </c>
      <c r="D1234" s="29" t="str">
        <f>IFERROR(__xludf.DUMMYFUNCTION("""COMPUTED_VALUE"""),"1 (Low/Poor)")</f>
        <v>1 (Low/Poor)</v>
      </c>
      <c r="E1234" s="29">
        <f>IFERROR(__xludf.DUMMYFUNCTION("""COMPUTED_VALUE"""),1.0)</f>
        <v>1</v>
      </c>
    </row>
    <row r="1235">
      <c r="A1235" s="33">
        <f>IFERROR(__xludf.DUMMYFUNCTION("""COMPUTED_VALUE"""),45931.49685126157)</f>
        <v>45931.49685</v>
      </c>
      <c r="B1235" s="29" t="str">
        <f>IFERROR(__xludf.DUMMYFUNCTION("""COMPUTED_VALUE"""),"Circumcised")</f>
        <v>Circumcised</v>
      </c>
      <c r="C1235" s="29" t="str">
        <f>IFERROR(__xludf.DUMMYFUNCTION("""COMPUTED_VALUE"""),"Light Touch Sensitivity")</f>
        <v>Light Touch Sensitivity</v>
      </c>
      <c r="D1235" s="29" t="str">
        <f>IFERROR(__xludf.DUMMYFUNCTION("""COMPUTED_VALUE"""),"2")</f>
        <v>2</v>
      </c>
      <c r="E1235" s="29">
        <f>IFERROR(__xludf.DUMMYFUNCTION("""COMPUTED_VALUE"""),2.0)</f>
        <v>2</v>
      </c>
    </row>
    <row r="1236">
      <c r="A1236" s="33">
        <f>IFERROR(__xludf.DUMMYFUNCTION("""COMPUTED_VALUE"""),45933.70498268518)</f>
        <v>45933.70498</v>
      </c>
      <c r="B1236" s="29" t="str">
        <f>IFERROR(__xludf.DUMMYFUNCTION("""COMPUTED_VALUE"""),"Circumcised")</f>
        <v>Circumcised</v>
      </c>
      <c r="C1236" s="29" t="str">
        <f>IFERROR(__xludf.DUMMYFUNCTION("""COMPUTED_VALUE"""),"Light Touch Sensitivity")</f>
        <v>Light Touch Sensitivity</v>
      </c>
      <c r="D1236" s="29" t="str">
        <f>IFERROR(__xludf.DUMMYFUNCTION("""COMPUTED_VALUE"""),"4")</f>
        <v>4</v>
      </c>
      <c r="E1236" s="29">
        <f>IFERROR(__xludf.DUMMYFUNCTION("""COMPUTED_VALUE"""),4.0)</f>
        <v>4</v>
      </c>
    </row>
    <row r="1237">
      <c r="A1237" s="33">
        <f>IFERROR(__xludf.DUMMYFUNCTION("""COMPUTED_VALUE"""),45937.01626369212)</f>
        <v>45937.01626</v>
      </c>
      <c r="B1237" s="29" t="str">
        <f>IFERROR(__xludf.DUMMYFUNCTION("""COMPUTED_VALUE"""),"Actively restoring my foreskin / I consider myself restored")</f>
        <v>Actively restoring my foreskin / I consider myself restored</v>
      </c>
      <c r="C1237" s="29" t="str">
        <f>IFERROR(__xludf.DUMMYFUNCTION("""COMPUTED_VALUE"""),"Light Touch Sensitivity")</f>
        <v>Light Touch Sensitivity</v>
      </c>
      <c r="D1237" s="29" t="str">
        <f>IFERROR(__xludf.DUMMYFUNCTION("""COMPUTED_VALUE"""),"3 (Medium/Average)")</f>
        <v>3 (Medium/Average)</v>
      </c>
      <c r="E1237" s="29">
        <f>IFERROR(__xludf.DUMMYFUNCTION("""COMPUTED_VALUE"""),3.0)</f>
        <v>3</v>
      </c>
    </row>
    <row r="1238">
      <c r="A1238" s="33">
        <f>IFERROR(__xludf.DUMMYFUNCTION("""COMPUTED_VALUE"""),45937.46064668982)</f>
        <v>45937.46065</v>
      </c>
      <c r="B1238" s="29" t="str">
        <f>IFERROR(__xludf.DUMMYFUNCTION("""COMPUTED_VALUE"""),"Circumcised")</f>
        <v>Circumcised</v>
      </c>
      <c r="C1238" s="29" t="str">
        <f>IFERROR(__xludf.DUMMYFUNCTION("""COMPUTED_VALUE"""),"Light Touch Sensitivity")</f>
        <v>Light Touch Sensitivity</v>
      </c>
      <c r="D1238" s="29" t="str">
        <f>IFERROR(__xludf.DUMMYFUNCTION("""COMPUTED_VALUE"""),"1 (Low/Poor)")</f>
        <v>1 (Low/Poor)</v>
      </c>
      <c r="E1238" s="29">
        <f>IFERROR(__xludf.DUMMYFUNCTION("""COMPUTED_VALUE"""),1.0)</f>
        <v>1</v>
      </c>
    </row>
    <row r="1239">
      <c r="A1239" s="33">
        <f>IFERROR(__xludf.DUMMYFUNCTION("""COMPUTED_VALUE"""),45938.78715348379)</f>
        <v>45938.78715</v>
      </c>
      <c r="B1239" s="29" t="str">
        <f>IFERROR(__xludf.DUMMYFUNCTION("""COMPUTED_VALUE"""),"Circumcised")</f>
        <v>Circumcised</v>
      </c>
      <c r="C1239" s="29" t="str">
        <f>IFERROR(__xludf.DUMMYFUNCTION("""COMPUTED_VALUE"""),"Light Touch Sensitivity")</f>
        <v>Light Touch Sensitivity</v>
      </c>
      <c r="D1239" s="29" t="str">
        <f>IFERROR(__xludf.DUMMYFUNCTION("""COMPUTED_VALUE"""),"1 (Low/Poor)")</f>
        <v>1 (Low/Poor)</v>
      </c>
      <c r="E1239" s="29">
        <f>IFERROR(__xludf.DUMMYFUNCTION("""COMPUTED_VALUE"""),1.0)</f>
        <v>1</v>
      </c>
    </row>
    <row r="1240">
      <c r="A1240" s="33">
        <f>IFERROR(__xludf.DUMMYFUNCTION("""COMPUTED_VALUE"""),45939.365505891205)</f>
        <v>45939.36551</v>
      </c>
      <c r="B1240" s="29" t="str">
        <f>IFERROR(__xludf.DUMMYFUNCTION("""COMPUTED_VALUE"""),"Circumcised")</f>
        <v>Circumcised</v>
      </c>
      <c r="C1240" s="29" t="str">
        <f>IFERROR(__xludf.DUMMYFUNCTION("""COMPUTED_VALUE"""),"Light Touch Sensitivity")</f>
        <v>Light Touch Sensitivity</v>
      </c>
      <c r="D1240" s="29" t="str">
        <f>IFERROR(__xludf.DUMMYFUNCTION("""COMPUTED_VALUE"""),"4")</f>
        <v>4</v>
      </c>
      <c r="E1240" s="29">
        <f>IFERROR(__xludf.DUMMYFUNCTION("""COMPUTED_VALUE"""),4.0)</f>
        <v>4</v>
      </c>
    </row>
    <row r="1241">
      <c r="A1241" s="33">
        <f>IFERROR(__xludf.DUMMYFUNCTION("""COMPUTED_VALUE"""),45939.62882127315)</f>
        <v>45939.62882</v>
      </c>
      <c r="B1241" s="29" t="str">
        <f>IFERROR(__xludf.DUMMYFUNCTION("""COMPUTED_VALUE"""),"Circumcised")</f>
        <v>Circumcised</v>
      </c>
      <c r="C1241" s="29" t="str">
        <f>IFERROR(__xludf.DUMMYFUNCTION("""COMPUTED_VALUE"""),"Light Touch Sensitivity")</f>
        <v>Light Touch Sensitivity</v>
      </c>
      <c r="D1241" s="29" t="str">
        <f>IFERROR(__xludf.DUMMYFUNCTION("""COMPUTED_VALUE"""),"5 (High/Excellent)")</f>
        <v>5 (High/Excellent)</v>
      </c>
      <c r="E1241" s="29">
        <f>IFERROR(__xludf.DUMMYFUNCTION("""COMPUTED_VALUE"""),5.0)</f>
        <v>5</v>
      </c>
    </row>
    <row r="1242">
      <c r="A1242" s="33">
        <f>IFERROR(__xludf.DUMMYFUNCTION("""COMPUTED_VALUE"""),45939.6626910301)</f>
        <v>45939.66269</v>
      </c>
      <c r="B1242" s="29" t="str">
        <f>IFERROR(__xludf.DUMMYFUNCTION("""COMPUTED_VALUE"""),"Circumcised")</f>
        <v>Circumcised</v>
      </c>
      <c r="C1242" s="29" t="str">
        <f>IFERROR(__xludf.DUMMYFUNCTION("""COMPUTED_VALUE"""),"Light Touch Sensitivity")</f>
        <v>Light Touch Sensitivity</v>
      </c>
      <c r="D1242" s="29" t="str">
        <f>IFERROR(__xludf.DUMMYFUNCTION("""COMPUTED_VALUE"""),"1 (Low/Poor)")</f>
        <v>1 (Low/Poor)</v>
      </c>
      <c r="E1242" s="29">
        <f>IFERROR(__xludf.DUMMYFUNCTION("""COMPUTED_VALUE"""),1.0)</f>
        <v>1</v>
      </c>
    </row>
    <row r="1243">
      <c r="A1243" s="33">
        <f>IFERROR(__xludf.DUMMYFUNCTION("""COMPUTED_VALUE"""),45939.87349773148)</f>
        <v>45939.8735</v>
      </c>
      <c r="B1243" s="29" t="str">
        <f>IFERROR(__xludf.DUMMYFUNCTION("""COMPUTED_VALUE"""),"Circumcised")</f>
        <v>Circumcised</v>
      </c>
      <c r="C1243" s="29" t="str">
        <f>IFERROR(__xludf.DUMMYFUNCTION("""COMPUTED_VALUE"""),"Light Touch Sensitivity")</f>
        <v>Light Touch Sensitivity</v>
      </c>
      <c r="D1243" s="29" t="str">
        <f>IFERROR(__xludf.DUMMYFUNCTION("""COMPUTED_VALUE"""),"3 (Medium/Average)")</f>
        <v>3 (Medium/Average)</v>
      </c>
      <c r="E1243" s="29">
        <f>IFERROR(__xludf.DUMMYFUNCTION("""COMPUTED_VALUE"""),3.0)</f>
        <v>3</v>
      </c>
    </row>
    <row r="1244">
      <c r="A1244" s="33">
        <f>IFERROR(__xludf.DUMMYFUNCTION("""COMPUTED_VALUE"""),45940.273669965274)</f>
        <v>45940.27367</v>
      </c>
      <c r="B1244" s="29" t="str">
        <f>IFERROR(__xludf.DUMMYFUNCTION("""COMPUTED_VALUE"""),"Intact (Never circumcised)")</f>
        <v>Intact (Never circumcised)</v>
      </c>
      <c r="C1244" s="29" t="str">
        <f>IFERROR(__xludf.DUMMYFUNCTION("""COMPUTED_VALUE"""),"Light Touch Sensitivity")</f>
        <v>Light Touch Sensitivity</v>
      </c>
      <c r="D1244" s="29" t="str">
        <f>IFERROR(__xludf.DUMMYFUNCTION("""COMPUTED_VALUE"""),"5 (High/Excellent)")</f>
        <v>5 (High/Excellent)</v>
      </c>
      <c r="E1244" s="29">
        <f>IFERROR(__xludf.DUMMYFUNCTION("""COMPUTED_VALUE"""),5.0)</f>
        <v>5</v>
      </c>
    </row>
    <row r="1245">
      <c r="A1245" s="33">
        <f>IFERROR(__xludf.DUMMYFUNCTION("""COMPUTED_VALUE"""),45940.32423372685)</f>
        <v>45940.32423</v>
      </c>
      <c r="B1245" s="29" t="str">
        <f>IFERROR(__xludf.DUMMYFUNCTION("""COMPUTED_VALUE"""),"Intact (Never circumcised)")</f>
        <v>Intact (Never circumcised)</v>
      </c>
      <c r="C1245" s="29" t="str">
        <f>IFERROR(__xludf.DUMMYFUNCTION("""COMPUTED_VALUE"""),"Light Touch Sensitivity")</f>
        <v>Light Touch Sensitivity</v>
      </c>
      <c r="D1245" s="29" t="str">
        <f>IFERROR(__xludf.DUMMYFUNCTION("""COMPUTED_VALUE"""),"4")</f>
        <v>4</v>
      </c>
      <c r="E1245" s="29">
        <f>IFERROR(__xludf.DUMMYFUNCTION("""COMPUTED_VALUE"""),4.0)</f>
        <v>4</v>
      </c>
    </row>
    <row r="1246">
      <c r="A1246" s="33">
        <f>IFERROR(__xludf.DUMMYFUNCTION("""COMPUTED_VALUE"""),45940.56854714121)</f>
        <v>45940.56855</v>
      </c>
      <c r="B1246" s="29" t="str">
        <f>IFERROR(__xludf.DUMMYFUNCTION("""COMPUTED_VALUE"""),"Actively restoring my foreskin / I consider myself restored")</f>
        <v>Actively restoring my foreskin / I consider myself restored</v>
      </c>
      <c r="C1246" s="29" t="str">
        <f>IFERROR(__xludf.DUMMYFUNCTION("""COMPUTED_VALUE"""),"Light Touch Sensitivity")</f>
        <v>Light Touch Sensitivity</v>
      </c>
      <c r="D1246" s="29" t="str">
        <f>IFERROR(__xludf.DUMMYFUNCTION("""COMPUTED_VALUE"""),"1 (Low/Poor)")</f>
        <v>1 (Low/Poor)</v>
      </c>
      <c r="E1246" s="29">
        <f>IFERROR(__xludf.DUMMYFUNCTION("""COMPUTED_VALUE"""),1.0)</f>
        <v>1</v>
      </c>
    </row>
    <row r="1247">
      <c r="A1247" s="33">
        <f>IFERROR(__xludf.DUMMYFUNCTION("""COMPUTED_VALUE"""),45941.29232648148)</f>
        <v>45941.29233</v>
      </c>
      <c r="B1247" s="29" t="str">
        <f>IFERROR(__xludf.DUMMYFUNCTION("""COMPUTED_VALUE"""),"Circumcised")</f>
        <v>Circumcised</v>
      </c>
      <c r="C1247" s="29" t="str">
        <f>IFERROR(__xludf.DUMMYFUNCTION("""COMPUTED_VALUE"""),"Light Touch Sensitivity")</f>
        <v>Light Touch Sensitivity</v>
      </c>
      <c r="D1247" s="29" t="str">
        <f>IFERROR(__xludf.DUMMYFUNCTION("""COMPUTED_VALUE"""),"2")</f>
        <v>2</v>
      </c>
      <c r="E1247" s="29">
        <f>IFERROR(__xludf.DUMMYFUNCTION("""COMPUTED_VALUE"""),2.0)</f>
        <v>2</v>
      </c>
    </row>
    <row r="1248">
      <c r="A1248" s="33">
        <f>IFERROR(__xludf.DUMMYFUNCTION("""COMPUTED_VALUE"""),45941.37621672454)</f>
        <v>45941.37622</v>
      </c>
      <c r="B1248" s="29" t="str">
        <f>IFERROR(__xludf.DUMMYFUNCTION("""COMPUTED_VALUE"""),"Actively restoring my foreskin / I consider myself restored")</f>
        <v>Actively restoring my foreskin / I consider myself restored</v>
      </c>
      <c r="C1248" s="29" t="str">
        <f>IFERROR(__xludf.DUMMYFUNCTION("""COMPUTED_VALUE"""),"Light Touch Sensitivity")</f>
        <v>Light Touch Sensitivity</v>
      </c>
      <c r="D1248" s="29" t="str">
        <f>IFERROR(__xludf.DUMMYFUNCTION("""COMPUTED_VALUE"""),"1 (Low/Poor)")</f>
        <v>1 (Low/Poor)</v>
      </c>
      <c r="E1248" s="29">
        <f>IFERROR(__xludf.DUMMYFUNCTION("""COMPUTED_VALUE"""),1.0)</f>
        <v>1</v>
      </c>
    </row>
    <row r="1249">
      <c r="A1249" s="33">
        <f>IFERROR(__xludf.DUMMYFUNCTION("""COMPUTED_VALUE"""),45945.13833958333)</f>
        <v>45945.13834</v>
      </c>
      <c r="B1249" s="29" t="str">
        <f>IFERROR(__xludf.DUMMYFUNCTION("""COMPUTED_VALUE"""),"Circumcised")</f>
        <v>Circumcised</v>
      </c>
      <c r="C1249" s="29" t="str">
        <f>IFERROR(__xludf.DUMMYFUNCTION("""COMPUTED_VALUE"""),"Light Touch Sensitivity")</f>
        <v>Light Touch Sensitivity</v>
      </c>
      <c r="D1249" s="29" t="str">
        <f>IFERROR(__xludf.DUMMYFUNCTION("""COMPUTED_VALUE"""),"2")</f>
        <v>2</v>
      </c>
      <c r="E1249" s="29">
        <f>IFERROR(__xludf.DUMMYFUNCTION("""COMPUTED_VALUE"""),2.0)</f>
        <v>2</v>
      </c>
    </row>
    <row r="1250">
      <c r="A1250" s="33">
        <f>IFERROR(__xludf.DUMMYFUNCTION("""COMPUTED_VALUE"""),45945.52582347223)</f>
        <v>45945.52582</v>
      </c>
      <c r="B1250" s="29" t="str">
        <f>IFERROR(__xludf.DUMMYFUNCTION("""COMPUTED_VALUE"""),"Intact (Never circumcised)")</f>
        <v>Intact (Never circumcised)</v>
      </c>
      <c r="C1250" s="29" t="str">
        <f>IFERROR(__xludf.DUMMYFUNCTION("""COMPUTED_VALUE"""),"Light Touch Sensitivity")</f>
        <v>Light Touch Sensitivity</v>
      </c>
      <c r="D1250" s="29" t="str">
        <f>IFERROR(__xludf.DUMMYFUNCTION("""COMPUTED_VALUE"""),"4")</f>
        <v>4</v>
      </c>
      <c r="E1250" s="29">
        <f>IFERROR(__xludf.DUMMYFUNCTION("""COMPUTED_VALUE"""),4.0)</f>
        <v>4</v>
      </c>
    </row>
    <row r="1251">
      <c r="A1251" s="33">
        <f>IFERROR(__xludf.DUMMYFUNCTION("""COMPUTED_VALUE"""),45947.59925792824)</f>
        <v>45947.59926</v>
      </c>
      <c r="B1251" s="29" t="str">
        <f>IFERROR(__xludf.DUMMYFUNCTION("""COMPUTED_VALUE"""),"Actively restoring my foreskin / I consider myself restored")</f>
        <v>Actively restoring my foreskin / I consider myself restored</v>
      </c>
      <c r="C1251" s="29" t="str">
        <f>IFERROR(__xludf.DUMMYFUNCTION("""COMPUTED_VALUE"""),"Light Touch Sensitivity")</f>
        <v>Light Touch Sensitivity</v>
      </c>
      <c r="D1251" s="29" t="str">
        <f>IFERROR(__xludf.DUMMYFUNCTION("""COMPUTED_VALUE"""),"4")</f>
        <v>4</v>
      </c>
      <c r="E1251" s="29">
        <f>IFERROR(__xludf.DUMMYFUNCTION("""COMPUTED_VALUE"""),4.0)</f>
        <v>4</v>
      </c>
    </row>
    <row r="1252">
      <c r="A1252" s="33">
        <f>IFERROR(__xludf.DUMMYFUNCTION("""COMPUTED_VALUE"""),45948.43710914352)</f>
        <v>45948.43711</v>
      </c>
      <c r="B1252" s="29" t="str">
        <f>IFERROR(__xludf.DUMMYFUNCTION("""COMPUTED_VALUE"""),"Circumcised")</f>
        <v>Circumcised</v>
      </c>
      <c r="C1252" s="29" t="str">
        <f>IFERROR(__xludf.DUMMYFUNCTION("""COMPUTED_VALUE"""),"Light Touch Sensitivity")</f>
        <v>Light Touch Sensitivity</v>
      </c>
      <c r="D1252" s="29" t="str">
        <f>IFERROR(__xludf.DUMMYFUNCTION("""COMPUTED_VALUE"""),"5 (High/Excellent)")</f>
        <v>5 (High/Excellent)</v>
      </c>
      <c r="E1252" s="29">
        <f>IFERROR(__xludf.DUMMYFUNCTION("""COMPUTED_VALUE"""),5.0)</f>
        <v>5</v>
      </c>
    </row>
    <row r="1253">
      <c r="A1253" s="33">
        <f>IFERROR(__xludf.DUMMYFUNCTION("""COMPUTED_VALUE"""),45951.280845023146)</f>
        <v>45951.28085</v>
      </c>
      <c r="B1253" s="29" t="str">
        <f>IFERROR(__xludf.DUMMYFUNCTION("""COMPUTED_VALUE"""),"Circumcised")</f>
        <v>Circumcised</v>
      </c>
      <c r="C1253" s="29" t="str">
        <f>IFERROR(__xludf.DUMMYFUNCTION("""COMPUTED_VALUE"""),"Light Touch Sensitivity")</f>
        <v>Light Touch Sensitivity</v>
      </c>
      <c r="D1253" s="29" t="str">
        <f>IFERROR(__xludf.DUMMYFUNCTION("""COMPUTED_VALUE"""),"1 (Low/Poor)")</f>
        <v>1 (Low/Poor)</v>
      </c>
      <c r="E1253" s="29">
        <f>IFERROR(__xludf.DUMMYFUNCTION("""COMPUTED_VALUE"""),1.0)</f>
        <v>1</v>
      </c>
    </row>
    <row r="1254">
      <c r="A1254" s="33">
        <f>IFERROR(__xludf.DUMMYFUNCTION("""COMPUTED_VALUE"""),45953.0329640162)</f>
        <v>45953.03296</v>
      </c>
      <c r="B1254" s="29" t="str">
        <f>IFERROR(__xludf.DUMMYFUNCTION("""COMPUTED_VALUE"""),"Intact (Never circumcised)")</f>
        <v>Intact (Never circumcised)</v>
      </c>
      <c r="C1254" s="29" t="str">
        <f>IFERROR(__xludf.DUMMYFUNCTION("""COMPUTED_VALUE"""),"Light Touch Sensitivity")</f>
        <v>Light Touch Sensitivity</v>
      </c>
      <c r="D1254" s="29" t="str">
        <f>IFERROR(__xludf.DUMMYFUNCTION("""COMPUTED_VALUE"""),"3 (Medium/Average)")</f>
        <v>3 (Medium/Average)</v>
      </c>
      <c r="E1254" s="29">
        <f>IFERROR(__xludf.DUMMYFUNCTION("""COMPUTED_VALUE"""),3.0)</f>
        <v>3</v>
      </c>
    </row>
    <row r="1255">
      <c r="A1255" s="33">
        <f>IFERROR(__xludf.DUMMYFUNCTION("""COMPUTED_VALUE"""),45953.438401666666)</f>
        <v>45953.4384</v>
      </c>
      <c r="B1255" s="29" t="str">
        <f>IFERROR(__xludf.DUMMYFUNCTION("""COMPUTED_VALUE"""),"Intact (Never circumcised)")</f>
        <v>Intact (Never circumcised)</v>
      </c>
      <c r="C1255" s="29" t="str">
        <f>IFERROR(__xludf.DUMMYFUNCTION("""COMPUTED_VALUE"""),"Light Touch Sensitivity")</f>
        <v>Light Touch Sensitivity</v>
      </c>
      <c r="D1255" s="29" t="str">
        <f>IFERROR(__xludf.DUMMYFUNCTION("""COMPUTED_VALUE"""),"5 (High/Excellent)")</f>
        <v>5 (High/Excellent)</v>
      </c>
      <c r="E1255" s="29">
        <f>IFERROR(__xludf.DUMMYFUNCTION("""COMPUTED_VALUE"""),5.0)</f>
        <v>5</v>
      </c>
    </row>
    <row r="1256">
      <c r="A1256" s="33">
        <f>IFERROR(__xludf.DUMMYFUNCTION("""COMPUTED_VALUE"""),45956.00984539352)</f>
        <v>45956.00985</v>
      </c>
      <c r="B1256" s="29" t="str">
        <f>IFERROR(__xludf.DUMMYFUNCTION("""COMPUTED_VALUE"""),"Circumcised")</f>
        <v>Circumcised</v>
      </c>
      <c r="C1256" s="29" t="str">
        <f>IFERROR(__xludf.DUMMYFUNCTION("""COMPUTED_VALUE"""),"Light Touch Sensitivity")</f>
        <v>Light Touch Sensitivity</v>
      </c>
      <c r="D1256" s="29" t="str">
        <f>IFERROR(__xludf.DUMMYFUNCTION("""COMPUTED_VALUE"""),"2")</f>
        <v>2</v>
      </c>
      <c r="E1256" s="29">
        <f>IFERROR(__xludf.DUMMYFUNCTION("""COMPUTED_VALUE"""),2.0)</f>
        <v>2</v>
      </c>
    </row>
    <row r="1257">
      <c r="A1257" s="33">
        <f>IFERROR(__xludf.DUMMYFUNCTION("""COMPUTED_VALUE"""),45956.86146025463)</f>
        <v>45956.86146</v>
      </c>
      <c r="B1257" s="29" t="str">
        <f>IFERROR(__xludf.DUMMYFUNCTION("""COMPUTED_VALUE"""),"Circumcised")</f>
        <v>Circumcised</v>
      </c>
      <c r="C1257" s="29" t="str">
        <f>IFERROR(__xludf.DUMMYFUNCTION("""COMPUTED_VALUE"""),"Light Touch Sensitivity")</f>
        <v>Light Touch Sensitivity</v>
      </c>
      <c r="D1257" s="29" t="str">
        <f>IFERROR(__xludf.DUMMYFUNCTION("""COMPUTED_VALUE"""),"1 (Low/Poor)")</f>
        <v>1 (Low/Poor)</v>
      </c>
      <c r="E1257" s="29">
        <f>IFERROR(__xludf.DUMMYFUNCTION("""COMPUTED_VALUE"""),1.0)</f>
        <v>1</v>
      </c>
    </row>
    <row r="1258">
      <c r="A1258" s="33">
        <f>IFERROR(__xludf.DUMMYFUNCTION("""COMPUTED_VALUE"""),45956.90730827546)</f>
        <v>45956.90731</v>
      </c>
      <c r="B1258" s="29" t="str">
        <f>IFERROR(__xludf.DUMMYFUNCTION("""COMPUTED_VALUE"""),"Circumcised")</f>
        <v>Circumcised</v>
      </c>
      <c r="C1258" s="29" t="str">
        <f>IFERROR(__xludf.DUMMYFUNCTION("""COMPUTED_VALUE"""),"Light Touch Sensitivity")</f>
        <v>Light Touch Sensitivity</v>
      </c>
      <c r="D1258" s="29" t="str">
        <f>IFERROR(__xludf.DUMMYFUNCTION("""COMPUTED_VALUE"""),"1 (Low/Poor)")</f>
        <v>1 (Low/Poor)</v>
      </c>
      <c r="E1258" s="29">
        <f>IFERROR(__xludf.DUMMYFUNCTION("""COMPUTED_VALUE"""),1.0)</f>
        <v>1</v>
      </c>
    </row>
    <row r="1259">
      <c r="A1259" s="33">
        <f>IFERROR(__xludf.DUMMYFUNCTION("""COMPUTED_VALUE"""),45956.911861469904)</f>
        <v>45956.91186</v>
      </c>
      <c r="B1259" s="29" t="str">
        <f>IFERROR(__xludf.DUMMYFUNCTION("""COMPUTED_VALUE"""),"Actively restoring my foreskin / I consider myself restored")</f>
        <v>Actively restoring my foreskin / I consider myself restored</v>
      </c>
      <c r="C1259" s="29" t="str">
        <f>IFERROR(__xludf.DUMMYFUNCTION("""COMPUTED_VALUE"""),"Light Touch Sensitivity")</f>
        <v>Light Touch Sensitivity</v>
      </c>
      <c r="D1259" s="29" t="str">
        <f>IFERROR(__xludf.DUMMYFUNCTION("""COMPUTED_VALUE"""),"2")</f>
        <v>2</v>
      </c>
      <c r="E1259" s="29">
        <f>IFERROR(__xludf.DUMMYFUNCTION("""COMPUTED_VALUE"""),2.0)</f>
        <v>2</v>
      </c>
    </row>
    <row r="1260">
      <c r="A1260" s="33">
        <f>IFERROR(__xludf.DUMMYFUNCTION("""COMPUTED_VALUE"""),45957.40870927083)</f>
        <v>45957.40871</v>
      </c>
      <c r="B1260" s="29" t="str">
        <f>IFERROR(__xludf.DUMMYFUNCTION("""COMPUTED_VALUE"""),"Intact (Never circumcised)")</f>
        <v>Intact (Never circumcised)</v>
      </c>
      <c r="C1260" s="29" t="str">
        <f>IFERROR(__xludf.DUMMYFUNCTION("""COMPUTED_VALUE"""),"Light Touch Sensitivity")</f>
        <v>Light Touch Sensitivity</v>
      </c>
      <c r="D1260" s="29" t="str">
        <f>IFERROR(__xludf.DUMMYFUNCTION("""COMPUTED_VALUE"""),"5 (High/Excellent)")</f>
        <v>5 (High/Excellent)</v>
      </c>
      <c r="E1260" s="29">
        <f>IFERROR(__xludf.DUMMYFUNCTION("""COMPUTED_VALUE"""),5.0)</f>
        <v>5</v>
      </c>
    </row>
    <row r="1261">
      <c r="A1261" s="33">
        <f>IFERROR(__xludf.DUMMYFUNCTION("""COMPUTED_VALUE"""),45957.667292418984)</f>
        <v>45957.66729</v>
      </c>
      <c r="B1261" s="29" t="str">
        <f>IFERROR(__xludf.DUMMYFUNCTION("""COMPUTED_VALUE"""),"Actively restoring my foreskin / I consider myself restored")</f>
        <v>Actively restoring my foreskin / I consider myself restored</v>
      </c>
      <c r="C1261" s="29" t="str">
        <f>IFERROR(__xludf.DUMMYFUNCTION("""COMPUTED_VALUE"""),"Light Touch Sensitivity")</f>
        <v>Light Touch Sensitivity</v>
      </c>
      <c r="D1261" s="29" t="str">
        <f>IFERROR(__xludf.DUMMYFUNCTION("""COMPUTED_VALUE"""),"1 (Low/Poor)")</f>
        <v>1 (Low/Poor)</v>
      </c>
      <c r="E1261" s="29">
        <f>IFERROR(__xludf.DUMMYFUNCTION("""COMPUTED_VALUE"""),1.0)</f>
        <v>1</v>
      </c>
    </row>
    <row r="1262">
      <c r="A1262" s="33">
        <f>IFERROR(__xludf.DUMMYFUNCTION("""COMPUTED_VALUE"""),45958.85487414352)</f>
        <v>45958.85487</v>
      </c>
      <c r="B1262" s="29" t="str">
        <f>IFERROR(__xludf.DUMMYFUNCTION("""COMPUTED_VALUE"""),"Actively restoring my foreskin / I consider myself restored")</f>
        <v>Actively restoring my foreskin / I consider myself restored</v>
      </c>
      <c r="C1262" s="29" t="str">
        <f>IFERROR(__xludf.DUMMYFUNCTION("""COMPUTED_VALUE"""),"Light Touch Sensitivity")</f>
        <v>Light Touch Sensitivity</v>
      </c>
      <c r="D1262" s="29" t="str">
        <f>IFERROR(__xludf.DUMMYFUNCTION("""COMPUTED_VALUE"""),"1 (Low/Poor)")</f>
        <v>1 (Low/Poor)</v>
      </c>
      <c r="E1262" s="29">
        <f>IFERROR(__xludf.DUMMYFUNCTION("""COMPUTED_VALUE"""),1.0)</f>
        <v>1</v>
      </c>
    </row>
    <row r="1263">
      <c r="A1263" s="33">
        <f>IFERROR(__xludf.DUMMYFUNCTION("""COMPUTED_VALUE"""),45959.10253167824)</f>
        <v>45959.10253</v>
      </c>
      <c r="B1263" s="29" t="str">
        <f>IFERROR(__xludf.DUMMYFUNCTION("""COMPUTED_VALUE"""),"Circumcised")</f>
        <v>Circumcised</v>
      </c>
      <c r="C1263" s="29" t="str">
        <f>IFERROR(__xludf.DUMMYFUNCTION("""COMPUTED_VALUE"""),"Light Touch Sensitivity")</f>
        <v>Light Touch Sensitivity</v>
      </c>
      <c r="D1263" s="29" t="str">
        <f>IFERROR(__xludf.DUMMYFUNCTION("""COMPUTED_VALUE"""),"2")</f>
        <v>2</v>
      </c>
      <c r="E1263" s="29">
        <f>IFERROR(__xludf.DUMMYFUNCTION("""COMPUTED_VALUE"""),2.0)</f>
        <v>2</v>
      </c>
    </row>
    <row r="1264">
      <c r="A1264" s="33">
        <f>IFERROR(__xludf.DUMMYFUNCTION("""COMPUTED_VALUE"""),45959.17554484954)</f>
        <v>45959.17554</v>
      </c>
      <c r="B1264" s="29" t="str">
        <f>IFERROR(__xludf.DUMMYFUNCTION("""COMPUTED_VALUE"""),"Circumcised")</f>
        <v>Circumcised</v>
      </c>
      <c r="C1264" s="29" t="str">
        <f>IFERROR(__xludf.DUMMYFUNCTION("""COMPUTED_VALUE"""),"Light Touch Sensitivity")</f>
        <v>Light Touch Sensitivity</v>
      </c>
      <c r="D1264" s="29" t="str">
        <f>IFERROR(__xludf.DUMMYFUNCTION("""COMPUTED_VALUE"""),"1 (Low/Poor)")</f>
        <v>1 (Low/Poor)</v>
      </c>
      <c r="E1264" s="29">
        <f>IFERROR(__xludf.DUMMYFUNCTION("""COMPUTED_VALUE"""),1.0)</f>
        <v>1</v>
      </c>
    </row>
    <row r="1265">
      <c r="A1265" s="33">
        <f>IFERROR(__xludf.DUMMYFUNCTION("""COMPUTED_VALUE"""),45959.8298531713)</f>
        <v>45959.82985</v>
      </c>
      <c r="B1265" s="29" t="str">
        <f>IFERROR(__xludf.DUMMYFUNCTION("""COMPUTED_VALUE"""),"Actively restoring my foreskin / I consider myself restored")</f>
        <v>Actively restoring my foreskin / I consider myself restored</v>
      </c>
      <c r="C1265" s="29" t="str">
        <f>IFERROR(__xludf.DUMMYFUNCTION("""COMPUTED_VALUE"""),"Light Touch Sensitivity")</f>
        <v>Light Touch Sensitivity</v>
      </c>
      <c r="D1265" s="29" t="str">
        <f>IFERROR(__xludf.DUMMYFUNCTION("""COMPUTED_VALUE"""),"5 (High/Excellent)")</f>
        <v>5 (High/Excellent)</v>
      </c>
      <c r="E1265" s="29">
        <f>IFERROR(__xludf.DUMMYFUNCTION("""COMPUTED_VALUE"""),5.0)</f>
        <v>5</v>
      </c>
    </row>
    <row r="1266">
      <c r="A1266" s="33">
        <f>IFERROR(__xludf.DUMMYFUNCTION("""COMPUTED_VALUE"""),45960.621607500005)</f>
        <v>45960.62161</v>
      </c>
      <c r="B1266" s="29" t="str">
        <f>IFERROR(__xludf.DUMMYFUNCTION("""COMPUTED_VALUE"""),"Circumcised")</f>
        <v>Circumcised</v>
      </c>
      <c r="C1266" s="29" t="str">
        <f>IFERROR(__xludf.DUMMYFUNCTION("""COMPUTED_VALUE"""),"Light Touch Sensitivity")</f>
        <v>Light Touch Sensitivity</v>
      </c>
      <c r="D1266" s="29" t="str">
        <f>IFERROR(__xludf.DUMMYFUNCTION("""COMPUTED_VALUE"""),"3 (Medium/Average)")</f>
        <v>3 (Medium/Average)</v>
      </c>
      <c r="E1266" s="29">
        <f>IFERROR(__xludf.DUMMYFUNCTION("""COMPUTED_VALUE"""),3.0)</f>
        <v>3</v>
      </c>
    </row>
    <row r="1267">
      <c r="A1267" s="33">
        <f>IFERROR(__xludf.DUMMYFUNCTION("""COMPUTED_VALUE"""),45960.99731127315)</f>
        <v>45960.99731</v>
      </c>
      <c r="B1267" s="29" t="str">
        <f>IFERROR(__xludf.DUMMYFUNCTION("""COMPUTED_VALUE"""),"Actively restoring my foreskin / I consider myself restored")</f>
        <v>Actively restoring my foreskin / I consider myself restored</v>
      </c>
      <c r="C1267" s="29" t="str">
        <f>IFERROR(__xludf.DUMMYFUNCTION("""COMPUTED_VALUE"""),"Light Touch Sensitivity")</f>
        <v>Light Touch Sensitivity</v>
      </c>
      <c r="D1267" s="29" t="str">
        <f>IFERROR(__xludf.DUMMYFUNCTION("""COMPUTED_VALUE"""),"4")</f>
        <v>4</v>
      </c>
      <c r="E1267" s="29">
        <f>IFERROR(__xludf.DUMMYFUNCTION("""COMPUTED_VALUE"""),4.0)</f>
        <v>4</v>
      </c>
    </row>
    <row r="1268">
      <c r="A1268" s="33">
        <f>IFERROR(__xludf.DUMMYFUNCTION("""COMPUTED_VALUE"""),45963.67673798611)</f>
        <v>45963.67674</v>
      </c>
      <c r="B1268" s="29" t="str">
        <f>IFERROR(__xludf.DUMMYFUNCTION("""COMPUTED_VALUE"""),"Actively restoring my foreskin / I consider myself restored")</f>
        <v>Actively restoring my foreskin / I consider myself restored</v>
      </c>
      <c r="C1268" s="29" t="str">
        <f>IFERROR(__xludf.DUMMYFUNCTION("""COMPUTED_VALUE"""),"Light Touch Sensitivity")</f>
        <v>Light Touch Sensitivity</v>
      </c>
      <c r="D1268" s="29" t="str">
        <f>IFERROR(__xludf.DUMMYFUNCTION("""COMPUTED_VALUE"""),"1 (Low/Poor)")</f>
        <v>1 (Low/Poor)</v>
      </c>
      <c r="E1268" s="29">
        <f>IFERROR(__xludf.DUMMYFUNCTION("""COMPUTED_VALUE"""),1.0)</f>
        <v>1</v>
      </c>
    </row>
    <row r="1269">
      <c r="A1269" s="33">
        <f>IFERROR(__xludf.DUMMYFUNCTION("""COMPUTED_VALUE"""),45969.39095245371)</f>
        <v>45969.39095</v>
      </c>
      <c r="B1269" s="29" t="str">
        <f>IFERROR(__xludf.DUMMYFUNCTION("""COMPUTED_VALUE"""),"Circumcised")</f>
        <v>Circumcised</v>
      </c>
      <c r="C1269" s="29" t="str">
        <f>IFERROR(__xludf.DUMMYFUNCTION("""COMPUTED_VALUE"""),"Light Touch Sensitivity")</f>
        <v>Light Touch Sensitivity</v>
      </c>
      <c r="D1269" s="29" t="str">
        <f>IFERROR(__xludf.DUMMYFUNCTION("""COMPUTED_VALUE"""),"5 (High/Excellent)")</f>
        <v>5 (High/Excellent)</v>
      </c>
      <c r="E1269" s="29">
        <f>IFERROR(__xludf.DUMMYFUNCTION("""COMPUTED_VALUE"""),5.0)</f>
        <v>5</v>
      </c>
    </row>
    <row r="1270">
      <c r="A1270" s="33">
        <f>IFERROR(__xludf.DUMMYFUNCTION("""COMPUTED_VALUE"""),45969.849535775465)</f>
        <v>45969.84954</v>
      </c>
      <c r="B1270" s="29" t="str">
        <f>IFERROR(__xludf.DUMMYFUNCTION("""COMPUTED_VALUE"""),"Actively restoring my foreskin / I consider myself restored")</f>
        <v>Actively restoring my foreskin / I consider myself restored</v>
      </c>
      <c r="C1270" s="29" t="str">
        <f>IFERROR(__xludf.DUMMYFUNCTION("""COMPUTED_VALUE"""),"Light Touch Sensitivity")</f>
        <v>Light Touch Sensitivity</v>
      </c>
      <c r="D1270" s="29" t="str">
        <f>IFERROR(__xludf.DUMMYFUNCTION("""COMPUTED_VALUE"""),"3 (Medium/Average)")</f>
        <v>3 (Medium/Average)</v>
      </c>
      <c r="E1270" s="29">
        <f>IFERROR(__xludf.DUMMYFUNCTION("""COMPUTED_VALUE"""),3.0)</f>
        <v>3</v>
      </c>
    </row>
    <row r="1271">
      <c r="A1271" s="33">
        <f>IFERROR(__xludf.DUMMYFUNCTION("""COMPUTED_VALUE"""),45969.897841296304)</f>
        <v>45969.89784</v>
      </c>
      <c r="B1271" s="29" t="str">
        <f>IFERROR(__xludf.DUMMYFUNCTION("""COMPUTED_VALUE"""),"Actively restoring my foreskin / I consider myself restored")</f>
        <v>Actively restoring my foreskin / I consider myself restored</v>
      </c>
      <c r="C1271" s="29" t="str">
        <f>IFERROR(__xludf.DUMMYFUNCTION("""COMPUTED_VALUE"""),"Light Touch Sensitivity")</f>
        <v>Light Touch Sensitivity</v>
      </c>
      <c r="D1271" s="29" t="str">
        <f>IFERROR(__xludf.DUMMYFUNCTION("""COMPUTED_VALUE"""),"2")</f>
        <v>2</v>
      </c>
      <c r="E1271" s="29">
        <f>IFERROR(__xludf.DUMMYFUNCTION("""COMPUTED_VALUE"""),2.0)</f>
        <v>2</v>
      </c>
    </row>
    <row r="1272">
      <c r="A1272" s="33">
        <f>IFERROR(__xludf.DUMMYFUNCTION("""COMPUTED_VALUE"""),45969.90605799769)</f>
        <v>45969.90606</v>
      </c>
      <c r="B1272" s="29" t="str">
        <f>IFERROR(__xludf.DUMMYFUNCTION("""COMPUTED_VALUE"""),"Circumcised")</f>
        <v>Circumcised</v>
      </c>
      <c r="C1272" s="29" t="str">
        <f>IFERROR(__xludf.DUMMYFUNCTION("""COMPUTED_VALUE"""),"Light Touch Sensitivity")</f>
        <v>Light Touch Sensitivity</v>
      </c>
      <c r="D1272" s="29" t="str">
        <f>IFERROR(__xludf.DUMMYFUNCTION("""COMPUTED_VALUE"""),"1 (Low/Poor)")</f>
        <v>1 (Low/Poor)</v>
      </c>
      <c r="E1272" s="29">
        <f>IFERROR(__xludf.DUMMYFUNCTION("""COMPUTED_VALUE"""),1.0)</f>
        <v>1</v>
      </c>
    </row>
    <row r="1273">
      <c r="A1273" s="33">
        <f>IFERROR(__xludf.DUMMYFUNCTION("""COMPUTED_VALUE"""),45970.06699965278)</f>
        <v>45970.067</v>
      </c>
      <c r="B1273" s="29" t="str">
        <f>IFERROR(__xludf.DUMMYFUNCTION("""COMPUTED_VALUE"""),"Circumcised")</f>
        <v>Circumcised</v>
      </c>
      <c r="C1273" s="29" t="str">
        <f>IFERROR(__xludf.DUMMYFUNCTION("""COMPUTED_VALUE"""),"Light Touch Sensitivity")</f>
        <v>Light Touch Sensitivity</v>
      </c>
      <c r="D1273" s="29" t="str">
        <f>IFERROR(__xludf.DUMMYFUNCTION("""COMPUTED_VALUE"""),"2")</f>
        <v>2</v>
      </c>
      <c r="E1273" s="29">
        <f>IFERROR(__xludf.DUMMYFUNCTION("""COMPUTED_VALUE"""),2.0)</f>
        <v>2</v>
      </c>
    </row>
    <row r="1274">
      <c r="A1274" s="33">
        <f>IFERROR(__xludf.DUMMYFUNCTION("""COMPUTED_VALUE"""),45970.38046627314)</f>
        <v>45970.38047</v>
      </c>
      <c r="B1274" s="29" t="str">
        <f>IFERROR(__xludf.DUMMYFUNCTION("""COMPUTED_VALUE"""),"Circumcised")</f>
        <v>Circumcised</v>
      </c>
      <c r="C1274" s="29" t="str">
        <f>IFERROR(__xludf.DUMMYFUNCTION("""COMPUTED_VALUE"""),"Light Touch Sensitivity")</f>
        <v>Light Touch Sensitivity</v>
      </c>
      <c r="D1274" s="29" t="str">
        <f>IFERROR(__xludf.DUMMYFUNCTION("""COMPUTED_VALUE"""),"1 (Low/Poor)")</f>
        <v>1 (Low/Poor)</v>
      </c>
      <c r="E1274" s="29">
        <f>IFERROR(__xludf.DUMMYFUNCTION("""COMPUTED_VALUE"""),1.0)</f>
        <v>1</v>
      </c>
    </row>
    <row r="1275">
      <c r="A1275" s="33">
        <f>IFERROR(__xludf.DUMMYFUNCTION("""COMPUTED_VALUE"""),45970.48485820602)</f>
        <v>45970.48486</v>
      </c>
      <c r="B1275" s="29" t="str">
        <f>IFERROR(__xludf.DUMMYFUNCTION("""COMPUTED_VALUE"""),"Intact (Never circumcised)")</f>
        <v>Intact (Never circumcised)</v>
      </c>
      <c r="C1275" s="29" t="str">
        <f>IFERROR(__xludf.DUMMYFUNCTION("""COMPUTED_VALUE"""),"Light Touch Sensitivity")</f>
        <v>Light Touch Sensitivity</v>
      </c>
      <c r="D1275" s="29" t="str">
        <f>IFERROR(__xludf.DUMMYFUNCTION("""COMPUTED_VALUE"""),"5 (High/Excellent)")</f>
        <v>5 (High/Excellent)</v>
      </c>
      <c r="E1275" s="29">
        <f>IFERROR(__xludf.DUMMYFUNCTION("""COMPUTED_VALUE"""),5.0)</f>
        <v>5</v>
      </c>
    </row>
    <row r="1276">
      <c r="A1276" s="33">
        <f>IFERROR(__xludf.DUMMYFUNCTION("""COMPUTED_VALUE"""),45970.66629606481)</f>
        <v>45970.6663</v>
      </c>
      <c r="B1276" s="29" t="str">
        <f>IFERROR(__xludf.DUMMYFUNCTION("""COMPUTED_VALUE"""),"Circumcised")</f>
        <v>Circumcised</v>
      </c>
      <c r="C1276" s="29" t="str">
        <f>IFERROR(__xludf.DUMMYFUNCTION("""COMPUTED_VALUE"""),"Light Touch Sensitivity")</f>
        <v>Light Touch Sensitivity</v>
      </c>
      <c r="D1276" s="29" t="str">
        <f>IFERROR(__xludf.DUMMYFUNCTION("""COMPUTED_VALUE"""),"2")</f>
        <v>2</v>
      </c>
      <c r="E1276" s="29">
        <f>IFERROR(__xludf.DUMMYFUNCTION("""COMPUTED_VALUE"""),2.0)</f>
        <v>2</v>
      </c>
    </row>
    <row r="1277">
      <c r="A1277" s="33">
        <f>IFERROR(__xludf.DUMMYFUNCTION("""COMPUTED_VALUE"""),45971.65164621528)</f>
        <v>45971.65165</v>
      </c>
      <c r="B1277" s="29" t="str">
        <f>IFERROR(__xludf.DUMMYFUNCTION("""COMPUTED_VALUE"""),"Circumcised")</f>
        <v>Circumcised</v>
      </c>
      <c r="C1277" s="29" t="str">
        <f>IFERROR(__xludf.DUMMYFUNCTION("""COMPUTED_VALUE"""),"Light Touch Sensitivity")</f>
        <v>Light Touch Sensitivity</v>
      </c>
      <c r="D1277" s="29" t="str">
        <f>IFERROR(__xludf.DUMMYFUNCTION("""COMPUTED_VALUE"""),"2")</f>
        <v>2</v>
      </c>
      <c r="E1277" s="29">
        <f>IFERROR(__xludf.DUMMYFUNCTION("""COMPUTED_VALUE"""),2.0)</f>
        <v>2</v>
      </c>
    </row>
    <row r="1278">
      <c r="A1278" s="33">
        <f>IFERROR(__xludf.DUMMYFUNCTION("""COMPUTED_VALUE"""),45971.66754105324)</f>
        <v>45971.66754</v>
      </c>
      <c r="B1278" s="29" t="str">
        <f>IFERROR(__xludf.DUMMYFUNCTION("""COMPUTED_VALUE"""),"Intact (Never circumcised)")</f>
        <v>Intact (Never circumcised)</v>
      </c>
      <c r="C1278" s="29" t="str">
        <f>IFERROR(__xludf.DUMMYFUNCTION("""COMPUTED_VALUE"""),"Light Touch Sensitivity")</f>
        <v>Light Touch Sensitivity</v>
      </c>
      <c r="D1278" s="29" t="str">
        <f>IFERROR(__xludf.DUMMYFUNCTION("""COMPUTED_VALUE"""),"5 (High/Excellent)")</f>
        <v>5 (High/Excellent)</v>
      </c>
      <c r="E1278" s="29">
        <f>IFERROR(__xludf.DUMMYFUNCTION("""COMPUTED_VALUE"""),5.0)</f>
        <v>5</v>
      </c>
    </row>
    <row r="1279">
      <c r="A1279" s="33">
        <f>IFERROR(__xludf.DUMMYFUNCTION("""COMPUTED_VALUE"""),45972.193447893515)</f>
        <v>45972.19345</v>
      </c>
      <c r="B1279" s="29" t="str">
        <f>IFERROR(__xludf.DUMMYFUNCTION("""COMPUTED_VALUE"""),"Intact (Never circumcised)")</f>
        <v>Intact (Never circumcised)</v>
      </c>
      <c r="C1279" s="29" t="str">
        <f>IFERROR(__xludf.DUMMYFUNCTION("""COMPUTED_VALUE"""),"Light Touch Sensitivity")</f>
        <v>Light Touch Sensitivity</v>
      </c>
      <c r="D1279" s="29" t="str">
        <f>IFERROR(__xludf.DUMMYFUNCTION("""COMPUTED_VALUE"""),"4")</f>
        <v>4</v>
      </c>
      <c r="E1279" s="29">
        <f>IFERROR(__xludf.DUMMYFUNCTION("""COMPUTED_VALUE"""),4.0)</f>
        <v>4</v>
      </c>
    </row>
    <row r="1280">
      <c r="A1280" s="33">
        <f>IFERROR(__xludf.DUMMYFUNCTION("""COMPUTED_VALUE"""),45972.63994190972)</f>
        <v>45972.63994</v>
      </c>
      <c r="B1280" s="29" t="str">
        <f>IFERROR(__xludf.DUMMYFUNCTION("""COMPUTED_VALUE"""),"Circumcised")</f>
        <v>Circumcised</v>
      </c>
      <c r="C1280" s="29" t="str">
        <f>IFERROR(__xludf.DUMMYFUNCTION("""COMPUTED_VALUE"""),"Light Touch Sensitivity")</f>
        <v>Light Touch Sensitivity</v>
      </c>
      <c r="D1280" s="29" t="str">
        <f>IFERROR(__xludf.DUMMYFUNCTION("""COMPUTED_VALUE"""),"5 (High/Excellent)")</f>
        <v>5 (High/Excellent)</v>
      </c>
      <c r="E1280" s="29">
        <f>IFERROR(__xludf.DUMMYFUNCTION("""COMPUTED_VALUE"""),5.0)</f>
        <v>5</v>
      </c>
    </row>
    <row r="1281">
      <c r="A1281" s="33">
        <f>IFERROR(__xludf.DUMMYFUNCTION("""COMPUTED_VALUE"""),45978.17339207176)</f>
        <v>45978.17339</v>
      </c>
      <c r="B1281" s="29" t="str">
        <f>IFERROR(__xludf.DUMMYFUNCTION("""COMPUTED_VALUE"""),"Intact (Never circumcised)")</f>
        <v>Intact (Never circumcised)</v>
      </c>
      <c r="C1281" s="29" t="str">
        <f>IFERROR(__xludf.DUMMYFUNCTION("""COMPUTED_VALUE"""),"Light Touch Sensitivity")</f>
        <v>Light Touch Sensitivity</v>
      </c>
      <c r="D1281" s="29" t="str">
        <f>IFERROR(__xludf.DUMMYFUNCTION("""COMPUTED_VALUE"""),"3 (Medium/Average)")</f>
        <v>3 (Medium/Average)</v>
      </c>
      <c r="E1281" s="29">
        <f>IFERROR(__xludf.DUMMYFUNCTION("""COMPUTED_VALUE"""),3.0)</f>
        <v>3</v>
      </c>
    </row>
    <row r="1282">
      <c r="A1282" s="33">
        <f>IFERROR(__xludf.DUMMYFUNCTION("""COMPUTED_VALUE"""),45979.00060761574)</f>
        <v>45979.00061</v>
      </c>
      <c r="B1282" s="29" t="str">
        <f>IFERROR(__xludf.DUMMYFUNCTION("""COMPUTED_VALUE"""),"Circumcised")</f>
        <v>Circumcised</v>
      </c>
      <c r="C1282" s="29" t="str">
        <f>IFERROR(__xludf.DUMMYFUNCTION("""COMPUTED_VALUE"""),"Light Touch Sensitivity")</f>
        <v>Light Touch Sensitivity</v>
      </c>
      <c r="D1282" s="29" t="str">
        <f>IFERROR(__xludf.DUMMYFUNCTION("""COMPUTED_VALUE"""),"1 (Low/Poor)")</f>
        <v>1 (Low/Poor)</v>
      </c>
      <c r="E1282" s="29">
        <f>IFERROR(__xludf.DUMMYFUNCTION("""COMPUTED_VALUE"""),1.0)</f>
        <v>1</v>
      </c>
    </row>
    <row r="1283">
      <c r="A1283" s="33">
        <f>IFERROR(__xludf.DUMMYFUNCTION("""COMPUTED_VALUE"""),45979.79978149306)</f>
        <v>45979.79978</v>
      </c>
      <c r="B1283" s="29" t="str">
        <f>IFERROR(__xludf.DUMMYFUNCTION("""COMPUTED_VALUE"""),"Actively restoring my foreskin / I consider myself restored")</f>
        <v>Actively restoring my foreskin / I consider myself restored</v>
      </c>
      <c r="C1283" s="29" t="str">
        <f>IFERROR(__xludf.DUMMYFUNCTION("""COMPUTED_VALUE"""),"Light Touch Sensitivity")</f>
        <v>Light Touch Sensitivity</v>
      </c>
      <c r="D1283" s="29" t="str">
        <f>IFERROR(__xludf.DUMMYFUNCTION("""COMPUTED_VALUE"""),"5 (High/Excellent)")</f>
        <v>5 (High/Excellent)</v>
      </c>
      <c r="E1283" s="29">
        <f>IFERROR(__xludf.DUMMYFUNCTION("""COMPUTED_VALUE"""),5.0)</f>
        <v>5</v>
      </c>
    </row>
    <row r="1284">
      <c r="A1284" s="33">
        <f>IFERROR(__xludf.DUMMYFUNCTION("""COMPUTED_VALUE"""),45979.96655393518)</f>
        <v>45979.96655</v>
      </c>
      <c r="B1284" s="29" t="str">
        <f>IFERROR(__xludf.DUMMYFUNCTION("""COMPUTED_VALUE"""),"Circumcised")</f>
        <v>Circumcised</v>
      </c>
      <c r="C1284" s="29" t="str">
        <f>IFERROR(__xludf.DUMMYFUNCTION("""COMPUTED_VALUE"""),"Light Touch Sensitivity")</f>
        <v>Light Touch Sensitivity</v>
      </c>
      <c r="D1284" s="29" t="str">
        <f>IFERROR(__xludf.DUMMYFUNCTION("""COMPUTED_VALUE"""),"3 (Medium/Average)")</f>
        <v>3 (Medium/Average)</v>
      </c>
      <c r="E1284" s="29">
        <f>IFERROR(__xludf.DUMMYFUNCTION("""COMPUTED_VALUE"""),3.0)</f>
        <v>3</v>
      </c>
    </row>
    <row r="1285">
      <c r="A1285" s="33">
        <f>IFERROR(__xludf.DUMMYFUNCTION("""COMPUTED_VALUE"""),45980.70007561342)</f>
        <v>45980.70008</v>
      </c>
      <c r="B1285" s="29" t="str">
        <f>IFERROR(__xludf.DUMMYFUNCTION("""COMPUTED_VALUE"""),"Actively restoring my foreskin / I consider myself restored")</f>
        <v>Actively restoring my foreskin / I consider myself restored</v>
      </c>
      <c r="C1285" s="29" t="str">
        <f>IFERROR(__xludf.DUMMYFUNCTION("""COMPUTED_VALUE"""),"Light Touch Sensitivity")</f>
        <v>Light Touch Sensitivity</v>
      </c>
      <c r="D1285" s="29" t="str">
        <f>IFERROR(__xludf.DUMMYFUNCTION("""COMPUTED_VALUE"""),"3 (Medium/Average)")</f>
        <v>3 (Medium/Average)</v>
      </c>
      <c r="E1285" s="29">
        <f>IFERROR(__xludf.DUMMYFUNCTION("""COMPUTED_VALUE"""),3.0)</f>
        <v>3</v>
      </c>
    </row>
    <row r="1286">
      <c r="A1286" s="33">
        <f>IFERROR(__xludf.DUMMYFUNCTION("""COMPUTED_VALUE"""),45983.2148534375)</f>
        <v>45983.21485</v>
      </c>
      <c r="B1286" s="29" t="str">
        <f>IFERROR(__xludf.DUMMYFUNCTION("""COMPUTED_VALUE"""),"Circumcised")</f>
        <v>Circumcised</v>
      </c>
      <c r="C1286" s="29" t="str">
        <f>IFERROR(__xludf.DUMMYFUNCTION("""COMPUTED_VALUE"""),"Light Touch Sensitivity")</f>
        <v>Light Touch Sensitivity</v>
      </c>
      <c r="D1286" s="29" t="str">
        <f>IFERROR(__xludf.DUMMYFUNCTION("""COMPUTED_VALUE"""),"2")</f>
        <v>2</v>
      </c>
      <c r="E1286" s="29">
        <f>IFERROR(__xludf.DUMMYFUNCTION("""COMPUTED_VALUE"""),2.0)</f>
        <v>2</v>
      </c>
    </row>
    <row r="1287">
      <c r="A1287" s="33">
        <f>IFERROR(__xludf.DUMMYFUNCTION("""COMPUTED_VALUE"""),45983.6917247338)</f>
        <v>45983.69172</v>
      </c>
      <c r="B1287" s="29" t="str">
        <f>IFERROR(__xludf.DUMMYFUNCTION("""COMPUTED_VALUE"""),"Actively restoring my foreskin / I consider myself restored")</f>
        <v>Actively restoring my foreskin / I consider myself restored</v>
      </c>
      <c r="C1287" s="29" t="str">
        <f>IFERROR(__xludf.DUMMYFUNCTION("""COMPUTED_VALUE"""),"Light Touch Sensitivity")</f>
        <v>Light Touch Sensitivity</v>
      </c>
      <c r="D1287" s="29" t="str">
        <f>IFERROR(__xludf.DUMMYFUNCTION("""COMPUTED_VALUE"""),"1 (Low/Poor)")</f>
        <v>1 (Low/Poor)</v>
      </c>
      <c r="E1287" s="29">
        <f>IFERROR(__xludf.DUMMYFUNCTION("""COMPUTED_VALUE"""),1.0)</f>
        <v>1</v>
      </c>
    </row>
    <row r="1288">
      <c r="A1288" s="33">
        <f>IFERROR(__xludf.DUMMYFUNCTION("""COMPUTED_VALUE"""),45983.925561076394)</f>
        <v>45983.92556</v>
      </c>
      <c r="B1288" s="29" t="str">
        <f>IFERROR(__xludf.DUMMYFUNCTION("""COMPUTED_VALUE"""),"Intact (Never circumcised)")</f>
        <v>Intact (Never circumcised)</v>
      </c>
      <c r="C1288" s="29" t="str">
        <f>IFERROR(__xludf.DUMMYFUNCTION("""COMPUTED_VALUE"""),"Light Touch Sensitivity")</f>
        <v>Light Touch Sensitivity</v>
      </c>
      <c r="D1288" s="29" t="str">
        <f>IFERROR(__xludf.DUMMYFUNCTION("""COMPUTED_VALUE"""),"5 (High/Excellent)")</f>
        <v>5 (High/Excellent)</v>
      </c>
      <c r="E1288" s="29">
        <f>IFERROR(__xludf.DUMMYFUNCTION("""COMPUTED_VALUE"""),5.0)</f>
        <v>5</v>
      </c>
    </row>
    <row r="1289">
      <c r="A1289" s="33">
        <f>IFERROR(__xludf.DUMMYFUNCTION("""COMPUTED_VALUE"""),45983.95113446759)</f>
        <v>45983.95113</v>
      </c>
      <c r="B1289" s="29" t="str">
        <f>IFERROR(__xludf.DUMMYFUNCTION("""COMPUTED_VALUE"""),"Intact (Never circumcised)")</f>
        <v>Intact (Never circumcised)</v>
      </c>
      <c r="C1289" s="29" t="str">
        <f>IFERROR(__xludf.DUMMYFUNCTION("""COMPUTED_VALUE"""),"Light Touch Sensitivity")</f>
        <v>Light Touch Sensitivity</v>
      </c>
      <c r="D1289" s="29" t="str">
        <f>IFERROR(__xludf.DUMMYFUNCTION("""COMPUTED_VALUE"""),"5 (High/Excellent)")</f>
        <v>5 (High/Excellent)</v>
      </c>
      <c r="E1289" s="29">
        <f>IFERROR(__xludf.DUMMYFUNCTION("""COMPUTED_VALUE"""),5.0)</f>
        <v>5</v>
      </c>
    </row>
    <row r="1290">
      <c r="A1290" s="33">
        <f>IFERROR(__xludf.DUMMYFUNCTION("""COMPUTED_VALUE"""),45992.05210868055)</f>
        <v>45992.05211</v>
      </c>
      <c r="B1290" s="29" t="str">
        <f>IFERROR(__xludf.DUMMYFUNCTION("""COMPUTED_VALUE"""),"Circumcised")</f>
        <v>Circumcised</v>
      </c>
      <c r="C1290" s="29" t="str">
        <f>IFERROR(__xludf.DUMMYFUNCTION("""COMPUTED_VALUE"""),"Light Touch Sensitivity")</f>
        <v>Light Touch Sensitivity</v>
      </c>
      <c r="D1290" s="29" t="str">
        <f>IFERROR(__xludf.DUMMYFUNCTION("""COMPUTED_VALUE"""),"4")</f>
        <v>4</v>
      </c>
      <c r="E1290" s="29">
        <f>IFERROR(__xludf.DUMMYFUNCTION("""COMPUTED_VALUE"""),4.0)</f>
        <v>4</v>
      </c>
    </row>
    <row r="1291">
      <c r="A1291" s="33">
        <f>IFERROR(__xludf.DUMMYFUNCTION("""COMPUTED_VALUE"""),45992.67591680555)</f>
        <v>45992.67592</v>
      </c>
      <c r="B1291" s="29" t="str">
        <f>IFERROR(__xludf.DUMMYFUNCTION("""COMPUTED_VALUE"""),"Circumcised")</f>
        <v>Circumcised</v>
      </c>
      <c r="C1291" s="29" t="str">
        <f>IFERROR(__xludf.DUMMYFUNCTION("""COMPUTED_VALUE"""),"Light Touch Sensitivity")</f>
        <v>Light Touch Sensitivity</v>
      </c>
      <c r="D1291" s="29" t="str">
        <f>IFERROR(__xludf.DUMMYFUNCTION("""COMPUTED_VALUE"""),"5 (High/Excellent)")</f>
        <v>5 (High/Excellent)</v>
      </c>
      <c r="E1291" s="29">
        <f>IFERROR(__xludf.DUMMYFUNCTION("""COMPUTED_VALUE"""),5.0)</f>
        <v>5</v>
      </c>
    </row>
    <row r="1292">
      <c r="A1292" s="33">
        <f>IFERROR(__xludf.DUMMYFUNCTION("""COMPUTED_VALUE"""),45996.37980859953)</f>
        <v>45996.37981</v>
      </c>
      <c r="B1292" s="29" t="str">
        <f>IFERROR(__xludf.DUMMYFUNCTION("""COMPUTED_VALUE"""),"Circumcised")</f>
        <v>Circumcised</v>
      </c>
      <c r="C1292" s="29" t="str">
        <f>IFERROR(__xludf.DUMMYFUNCTION("""COMPUTED_VALUE"""),"Light Touch Sensitivity")</f>
        <v>Light Touch Sensitivity</v>
      </c>
      <c r="D1292" s="29" t="str">
        <f>IFERROR(__xludf.DUMMYFUNCTION("""COMPUTED_VALUE"""),"2")</f>
        <v>2</v>
      </c>
      <c r="E1292" s="29">
        <f>IFERROR(__xludf.DUMMYFUNCTION("""COMPUTED_VALUE"""),2.0)</f>
        <v>2</v>
      </c>
    </row>
    <row r="1293">
      <c r="A1293" s="33">
        <f>IFERROR(__xludf.DUMMYFUNCTION("""COMPUTED_VALUE"""),45996.56378877315)</f>
        <v>45996.56379</v>
      </c>
      <c r="B1293" s="29" t="str">
        <f>IFERROR(__xludf.DUMMYFUNCTION("""COMPUTED_VALUE"""),"Circumcised")</f>
        <v>Circumcised</v>
      </c>
      <c r="C1293" s="29" t="str">
        <f>IFERROR(__xludf.DUMMYFUNCTION("""COMPUTED_VALUE"""),"Light Touch Sensitivity")</f>
        <v>Light Touch Sensitivity</v>
      </c>
      <c r="D1293" s="29" t="str">
        <f>IFERROR(__xludf.DUMMYFUNCTION("""COMPUTED_VALUE"""),"4")</f>
        <v>4</v>
      </c>
      <c r="E1293" s="29">
        <f>IFERROR(__xludf.DUMMYFUNCTION("""COMPUTED_VALUE"""),4.0)</f>
        <v>4</v>
      </c>
    </row>
    <row r="1294">
      <c r="A1294" s="33">
        <f>IFERROR(__xludf.DUMMYFUNCTION("""COMPUTED_VALUE"""),45999.3960019213)</f>
        <v>45999.396</v>
      </c>
      <c r="B1294" s="29" t="str">
        <f>IFERROR(__xludf.DUMMYFUNCTION("""COMPUTED_VALUE"""),"Circumcised")</f>
        <v>Circumcised</v>
      </c>
      <c r="C1294" s="29" t="str">
        <f>IFERROR(__xludf.DUMMYFUNCTION("""COMPUTED_VALUE"""),"Light Touch Sensitivity")</f>
        <v>Light Touch Sensitivity</v>
      </c>
      <c r="D1294" s="29" t="str">
        <f>IFERROR(__xludf.DUMMYFUNCTION("""COMPUTED_VALUE"""),"3 (Medium/Average)")</f>
        <v>3 (Medium/Average)</v>
      </c>
      <c r="E1294" s="29">
        <f>IFERROR(__xludf.DUMMYFUNCTION("""COMPUTED_VALUE"""),3.0)</f>
        <v>3</v>
      </c>
    </row>
    <row r="1295">
      <c r="A1295" s="33">
        <f>IFERROR(__xludf.DUMMYFUNCTION("""COMPUTED_VALUE"""),46001.23924292824)</f>
        <v>46001.23924</v>
      </c>
      <c r="B1295" s="29" t="str">
        <f>IFERROR(__xludf.DUMMYFUNCTION("""COMPUTED_VALUE"""),"Circumcised")</f>
        <v>Circumcised</v>
      </c>
      <c r="C1295" s="29" t="str">
        <f>IFERROR(__xludf.DUMMYFUNCTION("""COMPUTED_VALUE"""),"Light Touch Sensitivity")</f>
        <v>Light Touch Sensitivity</v>
      </c>
      <c r="D1295" s="29" t="str">
        <f>IFERROR(__xludf.DUMMYFUNCTION("""COMPUTED_VALUE"""),"1 (Low/Poor)")</f>
        <v>1 (Low/Poor)</v>
      </c>
      <c r="E1295" s="29">
        <f>IFERROR(__xludf.DUMMYFUNCTION("""COMPUTED_VALUE"""),1.0)</f>
        <v>1</v>
      </c>
    </row>
    <row r="1296">
      <c r="A1296" s="33">
        <f>IFERROR(__xludf.DUMMYFUNCTION("""COMPUTED_VALUE"""),46003.78513780092)</f>
        <v>46003.78514</v>
      </c>
      <c r="B1296" s="29" t="str">
        <f>IFERROR(__xludf.DUMMYFUNCTION("""COMPUTED_VALUE"""),"Circumcised")</f>
        <v>Circumcised</v>
      </c>
      <c r="C1296" s="29" t="str">
        <f>IFERROR(__xludf.DUMMYFUNCTION("""COMPUTED_VALUE"""),"Light Touch Sensitivity")</f>
        <v>Light Touch Sensitivity</v>
      </c>
      <c r="D1296" s="29" t="str">
        <f>IFERROR(__xludf.DUMMYFUNCTION("""COMPUTED_VALUE"""),"1 (Low/Poor)")</f>
        <v>1 (Low/Poor)</v>
      </c>
      <c r="E1296" s="29">
        <f>IFERROR(__xludf.DUMMYFUNCTION("""COMPUTED_VALUE"""),1.0)</f>
        <v>1</v>
      </c>
    </row>
    <row r="1297">
      <c r="A1297" s="33">
        <f>IFERROR(__xludf.DUMMYFUNCTION("""COMPUTED_VALUE"""),46009.51232134259)</f>
        <v>46009.51232</v>
      </c>
      <c r="B1297" s="29" t="str">
        <f>IFERROR(__xludf.DUMMYFUNCTION("""COMPUTED_VALUE"""),"Circumcised")</f>
        <v>Circumcised</v>
      </c>
      <c r="C1297" s="29" t="str">
        <f>IFERROR(__xludf.DUMMYFUNCTION("""COMPUTED_VALUE"""),"Light Touch Sensitivity")</f>
        <v>Light Touch Sensitivity</v>
      </c>
      <c r="D1297" s="29" t="str">
        <f>IFERROR(__xludf.DUMMYFUNCTION("""COMPUTED_VALUE"""),"4")</f>
        <v>4</v>
      </c>
      <c r="E1297" s="29">
        <f>IFERROR(__xludf.DUMMYFUNCTION("""COMPUTED_VALUE"""),4.0)</f>
        <v>4</v>
      </c>
    </row>
    <row r="1298">
      <c r="A1298" s="33">
        <f>IFERROR(__xludf.DUMMYFUNCTION("""COMPUTED_VALUE"""),46012.822104016195)</f>
        <v>46012.8221</v>
      </c>
      <c r="B1298" s="29" t="str">
        <f>IFERROR(__xludf.DUMMYFUNCTION("""COMPUTED_VALUE"""),"Actively restoring my foreskin / I consider myself restored")</f>
        <v>Actively restoring my foreskin / I consider myself restored</v>
      </c>
      <c r="C1298" s="29" t="str">
        <f>IFERROR(__xludf.DUMMYFUNCTION("""COMPUTED_VALUE"""),"Light Touch Sensitivity")</f>
        <v>Light Touch Sensitivity</v>
      </c>
      <c r="D1298" s="29" t="str">
        <f>IFERROR(__xludf.DUMMYFUNCTION("""COMPUTED_VALUE"""),"5 (High/Excellent)")</f>
        <v>5 (High/Excellent)</v>
      </c>
      <c r="E1298" s="29">
        <f>IFERROR(__xludf.DUMMYFUNCTION("""COMPUTED_VALUE"""),5.0)</f>
        <v>5</v>
      </c>
    </row>
    <row r="1299">
      <c r="A1299" s="33">
        <f>IFERROR(__xludf.DUMMYFUNCTION("""COMPUTED_VALUE"""),46012.99766703704)</f>
        <v>46012.99767</v>
      </c>
      <c r="B1299" s="29" t="str">
        <f>IFERROR(__xludf.DUMMYFUNCTION("""COMPUTED_VALUE"""),"Circumcised")</f>
        <v>Circumcised</v>
      </c>
      <c r="C1299" s="29" t="str">
        <f>IFERROR(__xludf.DUMMYFUNCTION("""COMPUTED_VALUE"""),"Light Touch Sensitivity")</f>
        <v>Light Touch Sensitivity</v>
      </c>
      <c r="D1299" s="29" t="str">
        <f>IFERROR(__xludf.DUMMYFUNCTION("""COMPUTED_VALUE"""),"2")</f>
        <v>2</v>
      </c>
      <c r="E1299" s="29">
        <f>IFERROR(__xludf.DUMMYFUNCTION("""COMPUTED_VALUE"""),2.0)</f>
        <v>2</v>
      </c>
    </row>
    <row r="1300">
      <c r="A1300" s="33">
        <f>IFERROR(__xludf.DUMMYFUNCTION("""COMPUTED_VALUE"""),46019.43110707175)</f>
        <v>46019.43111</v>
      </c>
      <c r="B1300" s="29" t="str">
        <f>IFERROR(__xludf.DUMMYFUNCTION("""COMPUTED_VALUE"""),"Circumcised")</f>
        <v>Circumcised</v>
      </c>
      <c r="C1300" s="29" t="str">
        <f>IFERROR(__xludf.DUMMYFUNCTION("""COMPUTED_VALUE"""),"Light Touch Sensitivity")</f>
        <v>Light Touch Sensitivity</v>
      </c>
      <c r="D1300" s="29" t="str">
        <f>IFERROR(__xludf.DUMMYFUNCTION("""COMPUTED_VALUE"""),"1 (Low/Poor)")</f>
        <v>1 (Low/Poor)</v>
      </c>
      <c r="E1300" s="29">
        <f>IFERROR(__xludf.DUMMYFUNCTION("""COMPUTED_VALUE"""),1.0)</f>
        <v>1</v>
      </c>
    </row>
    <row r="1301">
      <c r="A1301" s="33">
        <f>IFERROR(__xludf.DUMMYFUNCTION("""COMPUTED_VALUE"""),46019.70274966436)</f>
        <v>46019.70275</v>
      </c>
      <c r="B1301" s="29" t="str">
        <f>IFERROR(__xludf.DUMMYFUNCTION("""COMPUTED_VALUE"""),"Circumcised")</f>
        <v>Circumcised</v>
      </c>
      <c r="C1301" s="29" t="str">
        <f>IFERROR(__xludf.DUMMYFUNCTION("""COMPUTED_VALUE"""),"Light Touch Sensitivity")</f>
        <v>Light Touch Sensitivity</v>
      </c>
      <c r="D1301" s="29" t="str">
        <f>IFERROR(__xludf.DUMMYFUNCTION("""COMPUTED_VALUE"""),"4")</f>
        <v>4</v>
      </c>
      <c r="E1301" s="29">
        <f>IFERROR(__xludf.DUMMYFUNCTION("""COMPUTED_VALUE"""),4.0)</f>
        <v>4</v>
      </c>
    </row>
    <row r="1302">
      <c r="A1302" s="33">
        <f>IFERROR(__xludf.DUMMYFUNCTION("""COMPUTED_VALUE"""),46025.157875034725)</f>
        <v>46025.15788</v>
      </c>
      <c r="B1302" s="29" t="str">
        <f>IFERROR(__xludf.DUMMYFUNCTION("""COMPUTED_VALUE"""),"Circumcised")</f>
        <v>Circumcised</v>
      </c>
      <c r="C1302" s="29" t="str">
        <f>IFERROR(__xludf.DUMMYFUNCTION("""COMPUTED_VALUE"""),"Light Touch Sensitivity")</f>
        <v>Light Touch Sensitivity</v>
      </c>
      <c r="D1302" s="29" t="str">
        <f>IFERROR(__xludf.DUMMYFUNCTION("""COMPUTED_VALUE"""),"2")</f>
        <v>2</v>
      </c>
      <c r="E1302" s="29">
        <f>IFERROR(__xludf.DUMMYFUNCTION("""COMPUTED_VALUE"""),2.0)</f>
        <v>2</v>
      </c>
    </row>
    <row r="1303">
      <c r="A1303" s="33">
        <f>IFERROR(__xludf.DUMMYFUNCTION("""COMPUTED_VALUE"""),46025.18449309027)</f>
        <v>46025.18449</v>
      </c>
      <c r="B1303" s="29" t="str">
        <f>IFERROR(__xludf.DUMMYFUNCTION("""COMPUTED_VALUE"""),"Intact (Never circumcised)")</f>
        <v>Intact (Never circumcised)</v>
      </c>
      <c r="C1303" s="29" t="str">
        <f>IFERROR(__xludf.DUMMYFUNCTION("""COMPUTED_VALUE"""),"Light Touch Sensitivity")</f>
        <v>Light Touch Sensitivity</v>
      </c>
      <c r="D1303" s="29" t="str">
        <f>IFERROR(__xludf.DUMMYFUNCTION("""COMPUTED_VALUE"""),"5 (High/Excellent)")</f>
        <v>5 (High/Excellent)</v>
      </c>
      <c r="E1303" s="29">
        <f>IFERROR(__xludf.DUMMYFUNCTION("""COMPUTED_VALUE"""),5.0)</f>
        <v>5</v>
      </c>
    </row>
    <row r="1304">
      <c r="A1304" s="33">
        <f>IFERROR(__xludf.DUMMYFUNCTION("""COMPUTED_VALUE"""),46026.317358437496)</f>
        <v>46026.31736</v>
      </c>
      <c r="B1304" s="29" t="str">
        <f>IFERROR(__xludf.DUMMYFUNCTION("""COMPUTED_VALUE"""),"Actively restoring my foreskin / I consider myself restored")</f>
        <v>Actively restoring my foreskin / I consider myself restored</v>
      </c>
      <c r="C1304" s="29" t="str">
        <f>IFERROR(__xludf.DUMMYFUNCTION("""COMPUTED_VALUE"""),"Light Touch Sensitivity")</f>
        <v>Light Touch Sensitivity</v>
      </c>
      <c r="D1304" s="29" t="str">
        <f>IFERROR(__xludf.DUMMYFUNCTION("""COMPUTED_VALUE"""),"3 (Medium/Average)")</f>
        <v>3 (Medium/Average)</v>
      </c>
      <c r="E1304" s="29">
        <f>IFERROR(__xludf.DUMMYFUNCTION("""COMPUTED_VALUE"""),3.0)</f>
        <v>3</v>
      </c>
    </row>
    <row r="1305">
      <c r="A1305" s="33">
        <f>IFERROR(__xludf.DUMMYFUNCTION("""COMPUTED_VALUE"""),46028.958640625)</f>
        <v>46028.95864</v>
      </c>
      <c r="B1305" s="29" t="str">
        <f>IFERROR(__xludf.DUMMYFUNCTION("""COMPUTED_VALUE"""),"Circumcised")</f>
        <v>Circumcised</v>
      </c>
      <c r="C1305" s="29" t="str">
        <f>IFERROR(__xludf.DUMMYFUNCTION("""COMPUTED_VALUE"""),"Light Touch Sensitivity")</f>
        <v>Light Touch Sensitivity</v>
      </c>
      <c r="D1305" s="29" t="str">
        <f>IFERROR(__xludf.DUMMYFUNCTION("""COMPUTED_VALUE"""),"1 (Low/Poor)")</f>
        <v>1 (Low/Poor)</v>
      </c>
      <c r="E1305" s="29">
        <f>IFERROR(__xludf.DUMMYFUNCTION("""COMPUTED_VALUE"""),1.0)</f>
        <v>1</v>
      </c>
    </row>
    <row r="1306">
      <c r="A1306" s="33">
        <f>IFERROR(__xludf.DUMMYFUNCTION("""COMPUTED_VALUE"""),46029.12269635416)</f>
        <v>46029.1227</v>
      </c>
      <c r="B1306" s="29" t="str">
        <f>IFERROR(__xludf.DUMMYFUNCTION("""COMPUTED_VALUE"""),"Intact (Never circumcised)")</f>
        <v>Intact (Never circumcised)</v>
      </c>
      <c r="C1306" s="29" t="str">
        <f>IFERROR(__xludf.DUMMYFUNCTION("""COMPUTED_VALUE"""),"Light Touch Sensitivity")</f>
        <v>Light Touch Sensitivity</v>
      </c>
      <c r="D1306" s="29" t="str">
        <f>IFERROR(__xludf.DUMMYFUNCTION("""COMPUTED_VALUE"""),"5 (High/Excellent)")</f>
        <v>5 (High/Excellent)</v>
      </c>
      <c r="E1306" s="29">
        <f>IFERROR(__xludf.DUMMYFUNCTION("""COMPUTED_VALUE"""),5.0)</f>
        <v>5</v>
      </c>
    </row>
    <row r="1307">
      <c r="A1307" s="33">
        <f>IFERROR(__xludf.DUMMYFUNCTION("""COMPUTED_VALUE"""),46032.64016930556)</f>
        <v>46032.64017</v>
      </c>
      <c r="B1307" s="29" t="str">
        <f>IFERROR(__xludf.DUMMYFUNCTION("""COMPUTED_VALUE"""),"Actively restoring my foreskin / I consider myself restored")</f>
        <v>Actively restoring my foreskin / I consider myself restored</v>
      </c>
      <c r="C1307" s="29" t="str">
        <f>IFERROR(__xludf.DUMMYFUNCTION("""COMPUTED_VALUE"""),"Light Touch Sensitivity")</f>
        <v>Light Touch Sensitivity</v>
      </c>
      <c r="D1307" s="29" t="str">
        <f>IFERROR(__xludf.DUMMYFUNCTION("""COMPUTED_VALUE"""),"4")</f>
        <v>4</v>
      </c>
      <c r="E1307" s="29">
        <f>IFERROR(__xludf.DUMMYFUNCTION("""COMPUTED_VALUE"""),4.0)</f>
        <v>4</v>
      </c>
    </row>
    <row r="1308">
      <c r="A1308" s="33">
        <f>IFERROR(__xludf.DUMMYFUNCTION("""COMPUTED_VALUE"""),46037.4918693287)</f>
        <v>46037.49187</v>
      </c>
      <c r="B1308" s="29" t="str">
        <f>IFERROR(__xludf.DUMMYFUNCTION("""COMPUTED_VALUE"""),"Actively restoring my foreskin / I consider myself restored")</f>
        <v>Actively restoring my foreskin / I consider myself restored</v>
      </c>
      <c r="C1308" s="29" t="str">
        <f>IFERROR(__xludf.DUMMYFUNCTION("""COMPUTED_VALUE"""),"Light Touch Sensitivity")</f>
        <v>Light Touch Sensitivity</v>
      </c>
      <c r="D1308" s="29" t="str">
        <f>IFERROR(__xludf.DUMMYFUNCTION("""COMPUTED_VALUE"""),"1 (Low/Poor)")</f>
        <v>1 (Low/Poor)</v>
      </c>
      <c r="E1308" s="29">
        <f>IFERROR(__xludf.DUMMYFUNCTION("""COMPUTED_VALUE"""),1.0)</f>
        <v>1</v>
      </c>
    </row>
    <row r="1309">
      <c r="A1309" s="33">
        <f>IFERROR(__xludf.DUMMYFUNCTION("""COMPUTED_VALUE"""),46037.5570009375)</f>
        <v>46037.557</v>
      </c>
      <c r="B1309" s="29" t="str">
        <f>IFERROR(__xludf.DUMMYFUNCTION("""COMPUTED_VALUE"""),"Intact (Never circumcised)")</f>
        <v>Intact (Never circumcised)</v>
      </c>
      <c r="C1309" s="29" t="str">
        <f>IFERROR(__xludf.DUMMYFUNCTION("""COMPUTED_VALUE"""),"Light Touch Sensitivity")</f>
        <v>Light Touch Sensitivity</v>
      </c>
      <c r="D1309" s="29" t="str">
        <f>IFERROR(__xludf.DUMMYFUNCTION("""COMPUTED_VALUE"""),"4")</f>
        <v>4</v>
      </c>
      <c r="E1309" s="29">
        <f>IFERROR(__xludf.DUMMYFUNCTION("""COMPUTED_VALUE"""),4.0)</f>
        <v>4</v>
      </c>
    </row>
    <row r="1310">
      <c r="A1310" s="33">
        <f>IFERROR(__xludf.DUMMYFUNCTION("""COMPUTED_VALUE"""),46041.44147427084)</f>
        <v>46041.44147</v>
      </c>
      <c r="B1310" s="29" t="str">
        <f>IFERROR(__xludf.DUMMYFUNCTION("""COMPUTED_VALUE"""),"Actively restoring my foreskin / I consider myself restored")</f>
        <v>Actively restoring my foreskin / I consider myself restored</v>
      </c>
      <c r="C1310" s="29" t="str">
        <f>IFERROR(__xludf.DUMMYFUNCTION("""COMPUTED_VALUE"""),"Light Touch Sensitivity")</f>
        <v>Light Touch Sensitivity</v>
      </c>
      <c r="D1310" s="29" t="str">
        <f>IFERROR(__xludf.DUMMYFUNCTION("""COMPUTED_VALUE"""),"1 (Low/Poor)")</f>
        <v>1 (Low/Poor)</v>
      </c>
      <c r="E1310" s="29">
        <f>IFERROR(__xludf.DUMMYFUNCTION("""COMPUTED_VALUE"""),1.0)</f>
        <v>1</v>
      </c>
    </row>
    <row r="1311">
      <c r="A1311" s="33">
        <f>IFERROR(__xludf.DUMMYFUNCTION("""COMPUTED_VALUE"""),46053.61221619213)</f>
        <v>46053.61222</v>
      </c>
      <c r="B1311" s="29" t="str">
        <f>IFERROR(__xludf.DUMMYFUNCTION("""COMPUTED_VALUE"""),"Circumcised")</f>
        <v>Circumcised</v>
      </c>
      <c r="C1311" s="29" t="str">
        <f>IFERROR(__xludf.DUMMYFUNCTION("""COMPUTED_VALUE"""),"Light Touch Sensitivity")</f>
        <v>Light Touch Sensitivity</v>
      </c>
      <c r="D1311" s="29" t="str">
        <f>IFERROR(__xludf.DUMMYFUNCTION("""COMPUTED_VALUE"""),"4")</f>
        <v>4</v>
      </c>
      <c r="E1311" s="29">
        <f>IFERROR(__xludf.DUMMYFUNCTION("""COMPUTED_VALUE"""),4.0)</f>
        <v>4</v>
      </c>
    </row>
    <row r="1312">
      <c r="A1312" s="33">
        <f>IFERROR(__xludf.DUMMYFUNCTION("""COMPUTED_VALUE"""),46053.776607708336)</f>
        <v>46053.77661</v>
      </c>
      <c r="B1312" s="29" t="str">
        <f>IFERROR(__xludf.DUMMYFUNCTION("""COMPUTED_VALUE"""),"Circumcised")</f>
        <v>Circumcised</v>
      </c>
      <c r="C1312" s="29" t="str">
        <f>IFERROR(__xludf.DUMMYFUNCTION("""COMPUTED_VALUE"""),"Light Touch Sensitivity")</f>
        <v>Light Touch Sensitivity</v>
      </c>
      <c r="D1312" s="29" t="str">
        <f>IFERROR(__xludf.DUMMYFUNCTION("""COMPUTED_VALUE"""),"4")</f>
        <v>4</v>
      </c>
      <c r="E1312" s="29">
        <f>IFERROR(__xludf.DUMMYFUNCTION("""COMPUTED_VALUE"""),4.0)</f>
        <v>4</v>
      </c>
    </row>
    <row r="1313">
      <c r="A1313" s="33">
        <f>IFERROR(__xludf.DUMMYFUNCTION("""COMPUTED_VALUE"""),46055.729800081026)</f>
        <v>46055.7298</v>
      </c>
      <c r="B1313" s="29" t="str">
        <f>IFERROR(__xludf.DUMMYFUNCTION("""COMPUTED_VALUE"""),"Circumcised")</f>
        <v>Circumcised</v>
      </c>
      <c r="C1313" s="29" t="str">
        <f>IFERROR(__xludf.DUMMYFUNCTION("""COMPUTED_VALUE"""),"Light Touch Sensitivity")</f>
        <v>Light Touch Sensitivity</v>
      </c>
      <c r="D1313" s="29" t="str">
        <f>IFERROR(__xludf.DUMMYFUNCTION("""COMPUTED_VALUE"""),"1 (Low/Poor)")</f>
        <v>1 (Low/Poor)</v>
      </c>
      <c r="E1313" s="29">
        <f>IFERROR(__xludf.DUMMYFUNCTION("""COMPUTED_VALUE"""),1.0)</f>
        <v>1</v>
      </c>
    </row>
    <row r="1314">
      <c r="A1314" s="33">
        <f>IFERROR(__xludf.DUMMYFUNCTION("""COMPUTED_VALUE"""),46060.45633940972)</f>
        <v>46060.45634</v>
      </c>
      <c r="B1314" s="29" t="str">
        <f>IFERROR(__xludf.DUMMYFUNCTION("""COMPUTED_VALUE"""),"Circumcised")</f>
        <v>Circumcised</v>
      </c>
      <c r="C1314" s="29" t="str">
        <f>IFERROR(__xludf.DUMMYFUNCTION("""COMPUTED_VALUE"""),"Light Touch Sensitivity")</f>
        <v>Light Touch Sensitivity</v>
      </c>
      <c r="D1314" s="29" t="str">
        <f>IFERROR(__xludf.DUMMYFUNCTION("""COMPUTED_VALUE"""),"2")</f>
        <v>2</v>
      </c>
      <c r="E1314" s="29">
        <f>IFERROR(__xludf.DUMMYFUNCTION("""COMPUTED_VALUE"""),2.0)</f>
        <v>2</v>
      </c>
    </row>
    <row r="1315">
      <c r="A1315" s="33">
        <f>IFERROR(__xludf.DUMMYFUNCTION("""COMPUTED_VALUE"""),46061.530180625006)</f>
        <v>46061.53018</v>
      </c>
      <c r="B1315" s="29" t="str">
        <f>IFERROR(__xludf.DUMMYFUNCTION("""COMPUTED_VALUE"""),"Intact (Never circumcised)")</f>
        <v>Intact (Never circumcised)</v>
      </c>
      <c r="C1315" s="29" t="str">
        <f>IFERROR(__xludf.DUMMYFUNCTION("""COMPUTED_VALUE"""),"Light Touch Sensitivity")</f>
        <v>Light Touch Sensitivity</v>
      </c>
      <c r="D1315" s="29" t="str">
        <f>IFERROR(__xludf.DUMMYFUNCTION("""COMPUTED_VALUE"""),"5 (High/Excellent)")</f>
        <v>5 (High/Excellent)</v>
      </c>
      <c r="E1315" s="29">
        <f>IFERROR(__xludf.DUMMYFUNCTION("""COMPUTED_VALUE"""),5.0)</f>
        <v>5</v>
      </c>
    </row>
    <row r="1316">
      <c r="A1316" s="33">
        <f>IFERROR(__xludf.DUMMYFUNCTION("""COMPUTED_VALUE"""),46064.90010012731)</f>
        <v>46064.9001</v>
      </c>
      <c r="B1316" s="29" t="str">
        <f>IFERROR(__xludf.DUMMYFUNCTION("""COMPUTED_VALUE"""),"Intact (Never circumcised)")</f>
        <v>Intact (Never circumcised)</v>
      </c>
      <c r="C1316" s="29" t="str">
        <f>IFERROR(__xludf.DUMMYFUNCTION("""COMPUTED_VALUE"""),"Light Touch Sensitivity")</f>
        <v>Light Touch Sensitivity</v>
      </c>
      <c r="D1316" s="29" t="str">
        <f>IFERROR(__xludf.DUMMYFUNCTION("""COMPUTED_VALUE"""),"5 (High/Excellent)")</f>
        <v>5 (High/Excellent)</v>
      </c>
      <c r="E1316" s="29">
        <f>IFERROR(__xludf.DUMMYFUNCTION("""COMPUTED_VALUE"""),5.0)</f>
        <v>5</v>
      </c>
    </row>
    <row r="1317">
      <c r="A1317" s="33">
        <f>IFERROR(__xludf.DUMMYFUNCTION("""COMPUTED_VALUE"""),46064.99989840278)</f>
        <v>46064.9999</v>
      </c>
      <c r="B1317" s="29" t="str">
        <f>IFERROR(__xludf.DUMMYFUNCTION("""COMPUTED_VALUE"""),"Circumcised")</f>
        <v>Circumcised</v>
      </c>
      <c r="C1317" s="29" t="str">
        <f>IFERROR(__xludf.DUMMYFUNCTION("""COMPUTED_VALUE"""),"Light Touch Sensitivity")</f>
        <v>Light Touch Sensitivity</v>
      </c>
      <c r="D1317" s="29" t="str">
        <f>IFERROR(__xludf.DUMMYFUNCTION("""COMPUTED_VALUE"""),"5 (High/Excellent)")</f>
        <v>5 (High/Excellent)</v>
      </c>
      <c r="E1317" s="29">
        <f>IFERROR(__xludf.DUMMYFUNCTION("""COMPUTED_VALUE"""),5.0)</f>
        <v>5</v>
      </c>
    </row>
    <row r="1318">
      <c r="A1318" s="33">
        <f>IFERROR(__xludf.DUMMYFUNCTION("""COMPUTED_VALUE"""),46065.31308600695)</f>
        <v>46065.31309</v>
      </c>
      <c r="B1318" s="29" t="str">
        <f>IFERROR(__xludf.DUMMYFUNCTION("""COMPUTED_VALUE"""),"Circumcised")</f>
        <v>Circumcised</v>
      </c>
      <c r="C1318" s="29" t="str">
        <f>IFERROR(__xludf.DUMMYFUNCTION("""COMPUTED_VALUE"""),"Light Touch Sensitivity")</f>
        <v>Light Touch Sensitivity</v>
      </c>
      <c r="D1318" s="29" t="str">
        <f>IFERROR(__xludf.DUMMYFUNCTION("""COMPUTED_VALUE"""),"1 (Low/Poor)")</f>
        <v>1 (Low/Poor)</v>
      </c>
      <c r="E1318" s="29">
        <f>IFERROR(__xludf.DUMMYFUNCTION("""COMPUTED_VALUE"""),1.0)</f>
        <v>1</v>
      </c>
    </row>
    <row r="1319">
      <c r="A1319" s="33">
        <f>IFERROR(__xludf.DUMMYFUNCTION("""COMPUTED_VALUE"""),46065.52200550926)</f>
        <v>46065.52201</v>
      </c>
      <c r="B1319" s="29" t="str">
        <f>IFERROR(__xludf.DUMMYFUNCTION("""COMPUTED_VALUE"""),"Circumcised")</f>
        <v>Circumcised</v>
      </c>
      <c r="C1319" s="29" t="str">
        <f>IFERROR(__xludf.DUMMYFUNCTION("""COMPUTED_VALUE"""),"Light Touch Sensitivity")</f>
        <v>Light Touch Sensitivity</v>
      </c>
      <c r="D1319" s="29" t="str">
        <f>IFERROR(__xludf.DUMMYFUNCTION("""COMPUTED_VALUE"""),"1 (Low/Poor)")</f>
        <v>1 (Low/Poor)</v>
      </c>
      <c r="E1319" s="29">
        <f>IFERROR(__xludf.DUMMYFUNCTION("""COMPUTED_VALUE"""),1.0)</f>
        <v>1</v>
      </c>
    </row>
    <row r="1320">
      <c r="A1320" s="33">
        <f>IFERROR(__xludf.DUMMYFUNCTION("""COMPUTED_VALUE"""),46065.61208627315)</f>
        <v>46065.61209</v>
      </c>
      <c r="B1320" s="29" t="str">
        <f>IFERROR(__xludf.DUMMYFUNCTION("""COMPUTED_VALUE"""),"Intact (Never circumcised)")</f>
        <v>Intact (Never circumcised)</v>
      </c>
      <c r="C1320" s="29" t="str">
        <f>IFERROR(__xludf.DUMMYFUNCTION("""COMPUTED_VALUE"""),"Light Touch Sensitivity")</f>
        <v>Light Touch Sensitivity</v>
      </c>
      <c r="D1320" s="29" t="str">
        <f>IFERROR(__xludf.DUMMYFUNCTION("""COMPUTED_VALUE"""),"4")</f>
        <v>4</v>
      </c>
      <c r="E1320" s="29">
        <f>IFERROR(__xludf.DUMMYFUNCTION("""COMPUTED_VALUE"""),4.0)</f>
        <v>4</v>
      </c>
    </row>
    <row r="1321">
      <c r="A1321" s="33">
        <f>IFERROR(__xludf.DUMMYFUNCTION("""COMPUTED_VALUE"""),46066.35949877315)</f>
        <v>46066.3595</v>
      </c>
      <c r="B1321" s="29" t="str">
        <f>IFERROR(__xludf.DUMMYFUNCTION("""COMPUTED_VALUE"""),"Circumcised")</f>
        <v>Circumcised</v>
      </c>
      <c r="C1321" s="29" t="str">
        <f>IFERROR(__xludf.DUMMYFUNCTION("""COMPUTED_VALUE"""),"Light Touch Sensitivity")</f>
        <v>Light Touch Sensitivity</v>
      </c>
      <c r="D1321" s="29" t="str">
        <f>IFERROR(__xludf.DUMMYFUNCTION("""COMPUTED_VALUE"""),"1 (Low/Poor)")</f>
        <v>1 (Low/Poor)</v>
      </c>
      <c r="E1321" s="29">
        <f>IFERROR(__xludf.DUMMYFUNCTION("""COMPUTED_VALUE"""),1.0)</f>
        <v>1</v>
      </c>
    </row>
    <row r="1322">
      <c r="A1322" s="33">
        <f>IFERROR(__xludf.DUMMYFUNCTION("""COMPUTED_VALUE"""),46066.93613185186)</f>
        <v>46066.93613</v>
      </c>
      <c r="B1322" s="29" t="str">
        <f>IFERROR(__xludf.DUMMYFUNCTION("""COMPUTED_VALUE"""),"Circumcised")</f>
        <v>Circumcised</v>
      </c>
      <c r="C1322" s="29" t="str">
        <f>IFERROR(__xludf.DUMMYFUNCTION("""COMPUTED_VALUE"""),"Light Touch Sensitivity")</f>
        <v>Light Touch Sensitivity</v>
      </c>
      <c r="D1322" s="29" t="str">
        <f>IFERROR(__xludf.DUMMYFUNCTION("""COMPUTED_VALUE"""),"3 (Medium/Average)")</f>
        <v>3 (Medium/Average)</v>
      </c>
      <c r="E1322" s="29">
        <f>IFERROR(__xludf.DUMMYFUNCTION("""COMPUTED_VALUE"""),3.0)</f>
        <v>3</v>
      </c>
    </row>
    <row r="1323">
      <c r="A1323" s="33">
        <f>IFERROR(__xludf.DUMMYFUNCTION("""COMPUTED_VALUE"""),46067.17601916667)</f>
        <v>46067.17602</v>
      </c>
      <c r="B1323" s="29" t="str">
        <f>IFERROR(__xludf.DUMMYFUNCTION("""COMPUTED_VALUE"""),"Intact (Never circumcised)")</f>
        <v>Intact (Never circumcised)</v>
      </c>
      <c r="C1323" s="29" t="str">
        <f>IFERROR(__xludf.DUMMYFUNCTION("""COMPUTED_VALUE"""),"Light Touch Sensitivity")</f>
        <v>Light Touch Sensitivity</v>
      </c>
      <c r="D1323" s="29" t="str">
        <f>IFERROR(__xludf.DUMMYFUNCTION("""COMPUTED_VALUE"""),"3 (Medium/Average)")</f>
        <v>3 (Medium/Average)</v>
      </c>
      <c r="E1323" s="29">
        <f>IFERROR(__xludf.DUMMYFUNCTION("""COMPUTED_VALUE"""),3.0)</f>
        <v>3</v>
      </c>
    </row>
    <row r="1324">
      <c r="A1324" s="33">
        <f>IFERROR(__xludf.DUMMYFUNCTION("""COMPUTED_VALUE"""),46069.69560907408)</f>
        <v>46069.69561</v>
      </c>
      <c r="B1324" s="29" t="str">
        <f>IFERROR(__xludf.DUMMYFUNCTION("""COMPUTED_VALUE"""),"Circumcised")</f>
        <v>Circumcised</v>
      </c>
      <c r="C1324" s="29" t="str">
        <f>IFERROR(__xludf.DUMMYFUNCTION("""COMPUTED_VALUE"""),"Light Touch Sensitivity")</f>
        <v>Light Touch Sensitivity</v>
      </c>
      <c r="D1324" s="29" t="str">
        <f>IFERROR(__xludf.DUMMYFUNCTION("""COMPUTED_VALUE"""),"2")</f>
        <v>2</v>
      </c>
      <c r="E1324" s="29">
        <f>IFERROR(__xludf.DUMMYFUNCTION("""COMPUTED_VALUE"""),2.0)</f>
        <v>2</v>
      </c>
    </row>
    <row r="1325">
      <c r="A1325" s="33">
        <f>IFERROR(__xludf.DUMMYFUNCTION("""COMPUTED_VALUE"""),46069.74153994213)</f>
        <v>46069.74154</v>
      </c>
      <c r="B1325" s="29" t="str">
        <f>IFERROR(__xludf.DUMMYFUNCTION("""COMPUTED_VALUE"""),"Actively restoring my foreskin / I consider myself restored")</f>
        <v>Actively restoring my foreskin / I consider myself restored</v>
      </c>
      <c r="C1325" s="29" t="str">
        <f>IFERROR(__xludf.DUMMYFUNCTION("""COMPUTED_VALUE"""),"Light Touch Sensitivity")</f>
        <v>Light Touch Sensitivity</v>
      </c>
      <c r="D1325" s="29" t="str">
        <f>IFERROR(__xludf.DUMMYFUNCTION("""COMPUTED_VALUE"""),"4")</f>
        <v>4</v>
      </c>
      <c r="E1325" s="29">
        <f>IFERROR(__xludf.DUMMYFUNCTION("""COMPUTED_VALUE"""),4.0)</f>
        <v>4</v>
      </c>
    </row>
    <row r="1326">
      <c r="A1326" s="33">
        <f>IFERROR(__xludf.DUMMYFUNCTION("""COMPUTED_VALUE"""),46070.524625185186)</f>
        <v>46070.52463</v>
      </c>
      <c r="B1326" s="29" t="str">
        <f>IFERROR(__xludf.DUMMYFUNCTION("""COMPUTED_VALUE"""),"Intact (Never circumcised)")</f>
        <v>Intact (Never circumcised)</v>
      </c>
      <c r="C1326" s="29" t="str">
        <f>IFERROR(__xludf.DUMMYFUNCTION("""COMPUTED_VALUE"""),"Light Touch Sensitivity")</f>
        <v>Light Touch Sensitivity</v>
      </c>
      <c r="D1326" s="29" t="str">
        <f>IFERROR(__xludf.DUMMYFUNCTION("""COMPUTED_VALUE"""),"5 (High/Excellent)")</f>
        <v>5 (High/Excellent)</v>
      </c>
      <c r="E1326" s="29">
        <f>IFERROR(__xludf.DUMMYFUNCTION("""COMPUTED_VALUE"""),5.0)</f>
        <v>5</v>
      </c>
    </row>
    <row r="1327">
      <c r="A1327" s="33">
        <f>IFERROR(__xludf.DUMMYFUNCTION("""COMPUTED_VALUE"""),46076.66878359954)</f>
        <v>46076.66878</v>
      </c>
      <c r="B1327" s="29" t="str">
        <f>IFERROR(__xludf.DUMMYFUNCTION("""COMPUTED_VALUE"""),"Circumcised")</f>
        <v>Circumcised</v>
      </c>
      <c r="C1327" s="29" t="str">
        <f>IFERROR(__xludf.DUMMYFUNCTION("""COMPUTED_VALUE"""),"Light Touch Sensitivity")</f>
        <v>Light Touch Sensitivity</v>
      </c>
      <c r="D1327" s="29" t="str">
        <f>IFERROR(__xludf.DUMMYFUNCTION("""COMPUTED_VALUE"""),"1 (Low/Poor)")</f>
        <v>1 (Low/Poor)</v>
      </c>
      <c r="E1327" s="29">
        <f>IFERROR(__xludf.DUMMYFUNCTION("""COMPUTED_VALUE"""),1.0)</f>
        <v>1</v>
      </c>
    </row>
    <row r="1328">
      <c r="A1328" s="33">
        <f>IFERROR(__xludf.DUMMYFUNCTION("""COMPUTED_VALUE"""),46078.59408679398)</f>
        <v>46078.59409</v>
      </c>
      <c r="B1328" s="29" t="str">
        <f>IFERROR(__xludf.DUMMYFUNCTION("""COMPUTED_VALUE"""),"Circumcised")</f>
        <v>Circumcised</v>
      </c>
      <c r="C1328" s="29" t="str">
        <f>IFERROR(__xludf.DUMMYFUNCTION("""COMPUTED_VALUE"""),"Light Touch Sensitivity")</f>
        <v>Light Touch Sensitivity</v>
      </c>
      <c r="D1328" s="29" t="str">
        <f>IFERROR(__xludf.DUMMYFUNCTION("""COMPUTED_VALUE"""),"3 (Medium/Average)")</f>
        <v>3 (Medium/Average)</v>
      </c>
      <c r="E1328" s="29">
        <f>IFERROR(__xludf.DUMMYFUNCTION("""COMPUTED_VALUE"""),3.0)</f>
        <v>3</v>
      </c>
    </row>
    <row r="1329">
      <c r="A1329" s="33">
        <f>IFERROR(__xludf.DUMMYFUNCTION("""COMPUTED_VALUE"""),46089.89088146991)</f>
        <v>46089.89088</v>
      </c>
      <c r="B1329" s="29" t="str">
        <f>IFERROR(__xludf.DUMMYFUNCTION("""COMPUTED_VALUE"""),"Actively restoring my foreskin / I consider myself restored")</f>
        <v>Actively restoring my foreskin / I consider myself restored</v>
      </c>
      <c r="C1329" s="29" t="str">
        <f>IFERROR(__xludf.DUMMYFUNCTION("""COMPUTED_VALUE"""),"Light Touch Sensitivity")</f>
        <v>Light Touch Sensitivity</v>
      </c>
      <c r="D1329" s="29" t="str">
        <f>IFERROR(__xludf.DUMMYFUNCTION("""COMPUTED_VALUE"""),"4")</f>
        <v>4</v>
      </c>
      <c r="E1329" s="29">
        <f>IFERROR(__xludf.DUMMYFUNCTION("""COMPUTED_VALUE"""),4.0)</f>
        <v>4</v>
      </c>
    </row>
    <row r="1330">
      <c r="A1330" s="33">
        <f>IFERROR(__xludf.DUMMYFUNCTION("""COMPUTED_VALUE"""),46091.30222179399)</f>
        <v>46091.30222</v>
      </c>
      <c r="B1330" s="29" t="str">
        <f>IFERROR(__xludf.DUMMYFUNCTION("""COMPUTED_VALUE"""),"Circumcised")</f>
        <v>Circumcised</v>
      </c>
      <c r="C1330" s="29" t="str">
        <f>IFERROR(__xludf.DUMMYFUNCTION("""COMPUTED_VALUE"""),"Light Touch Sensitivity")</f>
        <v>Light Touch Sensitivity</v>
      </c>
      <c r="D1330" s="29" t="str">
        <f>IFERROR(__xludf.DUMMYFUNCTION("""COMPUTED_VALUE"""),"2")</f>
        <v>2</v>
      </c>
      <c r="E1330" s="29">
        <f>IFERROR(__xludf.DUMMYFUNCTION("""COMPUTED_VALUE"""),2.0)</f>
        <v>2</v>
      </c>
    </row>
    <row r="1331">
      <c r="A1331" s="33">
        <f>IFERROR(__xludf.DUMMYFUNCTION("""COMPUTED_VALUE"""),46091.744138333335)</f>
        <v>46091.74414</v>
      </c>
      <c r="B1331" s="29" t="str">
        <f>IFERROR(__xludf.DUMMYFUNCTION("""COMPUTED_VALUE"""),"Circumcised")</f>
        <v>Circumcised</v>
      </c>
      <c r="C1331" s="29" t="str">
        <f>IFERROR(__xludf.DUMMYFUNCTION("""COMPUTED_VALUE"""),"Light Touch Sensitivity")</f>
        <v>Light Touch Sensitivity</v>
      </c>
      <c r="D1331" s="29" t="str">
        <f>IFERROR(__xludf.DUMMYFUNCTION("""COMPUTED_VALUE"""),"4")</f>
        <v>4</v>
      </c>
      <c r="E1331" s="29">
        <f>IFERROR(__xludf.DUMMYFUNCTION("""COMPUTED_VALUE"""),4.0)</f>
        <v>4</v>
      </c>
    </row>
    <row r="1332">
      <c r="A1332" s="33">
        <f>IFERROR(__xludf.DUMMYFUNCTION("""COMPUTED_VALUE"""),46093.81161307871)</f>
        <v>46093.81161</v>
      </c>
      <c r="B1332" s="29" t="str">
        <f>IFERROR(__xludf.DUMMYFUNCTION("""COMPUTED_VALUE"""),"Circumcised")</f>
        <v>Circumcised</v>
      </c>
      <c r="C1332" s="29" t="str">
        <f>IFERROR(__xludf.DUMMYFUNCTION("""COMPUTED_VALUE"""),"Light Touch Sensitivity")</f>
        <v>Light Touch Sensitivity</v>
      </c>
      <c r="D1332" s="29" t="str">
        <f>IFERROR(__xludf.DUMMYFUNCTION("""COMPUTED_VALUE"""),"3 (Medium/Average)")</f>
        <v>3 (Medium/Average)</v>
      </c>
      <c r="E1332" s="29">
        <f>IFERROR(__xludf.DUMMYFUNCTION("""COMPUTED_VALUE"""),3.0)</f>
        <v>3</v>
      </c>
    </row>
    <row r="1333">
      <c r="A1333" s="33">
        <f>IFERROR(__xludf.DUMMYFUNCTION("""COMPUTED_VALUE"""),46095.51932767361)</f>
        <v>46095.51933</v>
      </c>
      <c r="B1333" s="29" t="str">
        <f>IFERROR(__xludf.DUMMYFUNCTION("""COMPUTED_VALUE"""),"Circumcised")</f>
        <v>Circumcised</v>
      </c>
      <c r="C1333" s="29" t="str">
        <f>IFERROR(__xludf.DUMMYFUNCTION("""COMPUTED_VALUE"""),"Light Touch Sensitivity")</f>
        <v>Light Touch Sensitivity</v>
      </c>
      <c r="D1333" s="29" t="str">
        <f>IFERROR(__xludf.DUMMYFUNCTION("""COMPUTED_VALUE"""),"1 (Low/Poor)")</f>
        <v>1 (Low/Poor)</v>
      </c>
      <c r="E1333" s="29">
        <f>IFERROR(__xludf.DUMMYFUNCTION("""COMPUTED_VALUE"""),1.0)</f>
        <v>1</v>
      </c>
    </row>
    <row r="1334">
      <c r="A1334" s="33">
        <f>IFERROR(__xludf.DUMMYFUNCTION("""COMPUTED_VALUE"""),46098.99564787037)</f>
        <v>46098.99565</v>
      </c>
      <c r="B1334" s="29" t="str">
        <f>IFERROR(__xludf.DUMMYFUNCTION("""COMPUTED_VALUE"""),"Actively restoring my foreskin / I consider myself restored")</f>
        <v>Actively restoring my foreskin / I consider myself restored</v>
      </c>
      <c r="C1334" s="29" t="str">
        <f>IFERROR(__xludf.DUMMYFUNCTION("""COMPUTED_VALUE"""),"Light Touch Sensitivity")</f>
        <v>Light Touch Sensitivity</v>
      </c>
      <c r="D1334" s="29" t="str">
        <f>IFERROR(__xludf.DUMMYFUNCTION("""COMPUTED_VALUE"""),"2")</f>
        <v>2</v>
      </c>
      <c r="E1334" s="29">
        <f>IFERROR(__xludf.DUMMYFUNCTION("""COMPUTED_VALUE"""),2.0)</f>
        <v>2</v>
      </c>
    </row>
    <row r="1335">
      <c r="A1335" s="33">
        <f>IFERROR(__xludf.DUMMYFUNCTION("""COMPUTED_VALUE"""),46100.79148802084)</f>
        <v>46100.79149</v>
      </c>
      <c r="B1335" s="29" t="str">
        <f>IFERROR(__xludf.DUMMYFUNCTION("""COMPUTED_VALUE"""),"Actively restoring my foreskin / I consider myself restored")</f>
        <v>Actively restoring my foreskin / I consider myself restored</v>
      </c>
      <c r="C1335" s="29" t="str">
        <f>IFERROR(__xludf.DUMMYFUNCTION("""COMPUTED_VALUE"""),"Light Touch Sensitivity")</f>
        <v>Light Touch Sensitivity</v>
      </c>
      <c r="D1335" s="29" t="str">
        <f>IFERROR(__xludf.DUMMYFUNCTION("""COMPUTED_VALUE"""),"3 (Medium/Average)")</f>
        <v>3 (Medium/Average)</v>
      </c>
      <c r="E1335" s="29">
        <f>IFERROR(__xludf.DUMMYFUNCTION("""COMPUTED_VALUE"""),3.0)</f>
        <v>3</v>
      </c>
    </row>
    <row r="1336">
      <c r="A1336" s="33">
        <f>IFERROR(__xludf.DUMMYFUNCTION("""COMPUTED_VALUE"""),46104.68932258101)</f>
        <v>46104.68932</v>
      </c>
      <c r="B1336" s="29" t="str">
        <f>IFERROR(__xludf.DUMMYFUNCTION("""COMPUTED_VALUE"""),"Intact (Never circumcised)")</f>
        <v>Intact (Never circumcised)</v>
      </c>
      <c r="C1336" s="29" t="str">
        <f>IFERROR(__xludf.DUMMYFUNCTION("""COMPUTED_VALUE"""),"Light Touch Sensitivity")</f>
        <v>Light Touch Sensitivity</v>
      </c>
      <c r="D1336" s="29" t="str">
        <f>IFERROR(__xludf.DUMMYFUNCTION("""COMPUTED_VALUE"""),"4")</f>
        <v>4</v>
      </c>
      <c r="E1336" s="29">
        <f>IFERROR(__xludf.DUMMYFUNCTION("""COMPUTED_VALUE"""),4.0)</f>
        <v>4</v>
      </c>
    </row>
    <row r="1337">
      <c r="A1337" s="33">
        <f>IFERROR(__xludf.DUMMYFUNCTION("""COMPUTED_VALUE"""),46111.22171283565)</f>
        <v>46111.22171</v>
      </c>
      <c r="B1337" s="29" t="str">
        <f>IFERROR(__xludf.DUMMYFUNCTION("""COMPUTED_VALUE"""),"Circumcised")</f>
        <v>Circumcised</v>
      </c>
      <c r="C1337" s="29" t="str">
        <f>IFERROR(__xludf.DUMMYFUNCTION("""COMPUTED_VALUE"""),"Light Touch Sensitivity")</f>
        <v>Light Touch Sensitivity</v>
      </c>
      <c r="D1337" s="29" t="str">
        <f>IFERROR(__xludf.DUMMYFUNCTION("""COMPUTED_VALUE"""),"2")</f>
        <v>2</v>
      </c>
      <c r="E1337" s="29">
        <f>IFERROR(__xludf.DUMMYFUNCTION("""COMPUTED_VALUE"""),2.0)</f>
        <v>2</v>
      </c>
    </row>
    <row r="1338">
      <c r="A1338" s="33">
        <f>IFERROR(__xludf.DUMMYFUNCTION("""COMPUTED_VALUE"""),46114.45798623843)</f>
        <v>46114.45799</v>
      </c>
      <c r="B1338" s="29" t="str">
        <f>IFERROR(__xludf.DUMMYFUNCTION("""COMPUTED_VALUE"""),"Circumcised")</f>
        <v>Circumcised</v>
      </c>
      <c r="C1338" s="29" t="str">
        <f>IFERROR(__xludf.DUMMYFUNCTION("""COMPUTED_VALUE"""),"Light Touch Sensitivity")</f>
        <v>Light Touch Sensitivity</v>
      </c>
      <c r="D1338" s="29" t="str">
        <f>IFERROR(__xludf.DUMMYFUNCTION("""COMPUTED_VALUE"""),"3 (Medium/Average)")</f>
        <v>3 (Medium/Average)</v>
      </c>
      <c r="E1338" s="29">
        <f>IFERROR(__xludf.DUMMYFUNCTION("""COMPUTED_VALUE"""),3.0)</f>
        <v>3</v>
      </c>
    </row>
    <row r="1339">
      <c r="A1339" s="33">
        <f>IFERROR(__xludf.DUMMYFUNCTION("""COMPUTED_VALUE"""),46116.70468314815)</f>
        <v>46116.70468</v>
      </c>
      <c r="B1339" s="29" t="str">
        <f>IFERROR(__xludf.DUMMYFUNCTION("""COMPUTED_VALUE"""),"Circumcised")</f>
        <v>Circumcised</v>
      </c>
      <c r="C1339" s="29" t="str">
        <f>IFERROR(__xludf.DUMMYFUNCTION("""COMPUTED_VALUE"""),"Light Touch Sensitivity")</f>
        <v>Light Touch Sensitivity</v>
      </c>
      <c r="D1339" s="29" t="str">
        <f>IFERROR(__xludf.DUMMYFUNCTION("""COMPUTED_VALUE"""),"1 (Low/Poor)")</f>
        <v>1 (Low/Poor)</v>
      </c>
      <c r="E1339" s="29">
        <f>IFERROR(__xludf.DUMMYFUNCTION("""COMPUTED_VALUE"""),1.0)</f>
        <v>1</v>
      </c>
    </row>
    <row r="1340">
      <c r="A1340" s="33">
        <f>IFERROR(__xludf.DUMMYFUNCTION("""COMPUTED_VALUE"""),46116.71896637732)</f>
        <v>46116.71897</v>
      </c>
      <c r="B1340" s="29" t="str">
        <f>IFERROR(__xludf.DUMMYFUNCTION("""COMPUTED_VALUE"""),"Intact (Never circumcised)")</f>
        <v>Intact (Never circumcised)</v>
      </c>
      <c r="C1340" s="29" t="str">
        <f>IFERROR(__xludf.DUMMYFUNCTION("""COMPUTED_VALUE"""),"Light Touch Sensitivity")</f>
        <v>Light Touch Sensitivity</v>
      </c>
      <c r="D1340" s="29" t="str">
        <f>IFERROR(__xludf.DUMMYFUNCTION("""COMPUTED_VALUE"""),"4")</f>
        <v>4</v>
      </c>
      <c r="E1340" s="29">
        <f>IFERROR(__xludf.DUMMYFUNCTION("""COMPUTED_VALUE"""),4.0)</f>
        <v>4</v>
      </c>
    </row>
    <row r="1341">
      <c r="A1341" s="33">
        <f>IFERROR(__xludf.DUMMYFUNCTION("""COMPUTED_VALUE"""),46116.83796020834)</f>
        <v>46116.83796</v>
      </c>
      <c r="B1341" s="29" t="str">
        <f>IFERROR(__xludf.DUMMYFUNCTION("""COMPUTED_VALUE"""),"Circumcised")</f>
        <v>Circumcised</v>
      </c>
      <c r="C1341" s="29" t="str">
        <f>IFERROR(__xludf.DUMMYFUNCTION("""COMPUTED_VALUE"""),"Light Touch Sensitivity")</f>
        <v>Light Touch Sensitivity</v>
      </c>
      <c r="D1341" s="29" t="str">
        <f>IFERROR(__xludf.DUMMYFUNCTION("""COMPUTED_VALUE"""),"2")</f>
        <v>2</v>
      </c>
      <c r="E1341" s="29">
        <f>IFERROR(__xludf.DUMMYFUNCTION("""COMPUTED_VALUE"""),2.0)</f>
        <v>2</v>
      </c>
    </row>
    <row r="1342">
      <c r="A1342" s="33">
        <f>IFERROR(__xludf.DUMMYFUNCTION("""COMPUTED_VALUE"""),46117.02418079861)</f>
        <v>46117.02418</v>
      </c>
      <c r="B1342" s="29" t="str">
        <f>IFERROR(__xludf.DUMMYFUNCTION("""COMPUTED_VALUE"""),"Intact (Never circumcised)")</f>
        <v>Intact (Never circumcised)</v>
      </c>
      <c r="C1342" s="29" t="str">
        <f>IFERROR(__xludf.DUMMYFUNCTION("""COMPUTED_VALUE"""),"Light Touch Sensitivity")</f>
        <v>Light Touch Sensitivity</v>
      </c>
      <c r="D1342" s="29" t="str">
        <f>IFERROR(__xludf.DUMMYFUNCTION("""COMPUTED_VALUE"""),"5 (High/Excellent)")</f>
        <v>5 (High/Excellent)</v>
      </c>
      <c r="E1342" s="29">
        <f>IFERROR(__xludf.DUMMYFUNCTION("""COMPUTED_VALUE"""),5.0)</f>
        <v>5</v>
      </c>
    </row>
    <row r="1343">
      <c r="A1343" s="33">
        <f>IFERROR(__xludf.DUMMYFUNCTION("""COMPUTED_VALUE"""),46117.10372409722)</f>
        <v>46117.10372</v>
      </c>
      <c r="B1343" s="29" t="str">
        <f>IFERROR(__xludf.DUMMYFUNCTION("""COMPUTED_VALUE"""),"Intact (Never circumcised)")</f>
        <v>Intact (Never circumcised)</v>
      </c>
      <c r="C1343" s="29" t="str">
        <f>IFERROR(__xludf.DUMMYFUNCTION("""COMPUTED_VALUE"""),"Light Touch Sensitivity")</f>
        <v>Light Touch Sensitivity</v>
      </c>
      <c r="D1343" s="29" t="str">
        <f>IFERROR(__xludf.DUMMYFUNCTION("""COMPUTED_VALUE"""),"4")</f>
        <v>4</v>
      </c>
      <c r="E1343" s="29">
        <f>IFERROR(__xludf.DUMMYFUNCTION("""COMPUTED_VALUE"""),4.0)</f>
        <v>4</v>
      </c>
    </row>
    <row r="1344">
      <c r="A1344" s="33">
        <f>IFERROR(__xludf.DUMMYFUNCTION("""COMPUTED_VALUE"""),46117.11012297453)</f>
        <v>46117.11012</v>
      </c>
      <c r="B1344" s="29" t="str">
        <f>IFERROR(__xludf.DUMMYFUNCTION("""COMPUTED_VALUE"""),"Circumcised")</f>
        <v>Circumcised</v>
      </c>
      <c r="C1344" s="29" t="str">
        <f>IFERROR(__xludf.DUMMYFUNCTION("""COMPUTED_VALUE"""),"Light Touch Sensitivity")</f>
        <v>Light Touch Sensitivity</v>
      </c>
      <c r="D1344" s="29" t="str">
        <f>IFERROR(__xludf.DUMMYFUNCTION("""COMPUTED_VALUE"""),"3 (Medium/Average)")</f>
        <v>3 (Medium/Average)</v>
      </c>
      <c r="E1344" s="29">
        <f>IFERROR(__xludf.DUMMYFUNCTION("""COMPUTED_VALUE"""),3.0)</f>
        <v>3</v>
      </c>
    </row>
    <row r="1345">
      <c r="A1345" s="33">
        <f>IFERROR(__xludf.DUMMYFUNCTION("""COMPUTED_VALUE"""),46117.37274850695)</f>
        <v>46117.37275</v>
      </c>
      <c r="B1345" s="29" t="str">
        <f>IFERROR(__xludf.DUMMYFUNCTION("""COMPUTED_VALUE"""),"Circumcised")</f>
        <v>Circumcised</v>
      </c>
      <c r="C1345" s="29" t="str">
        <f>IFERROR(__xludf.DUMMYFUNCTION("""COMPUTED_VALUE"""),"Light Touch Sensitivity")</f>
        <v>Light Touch Sensitivity</v>
      </c>
      <c r="D1345" s="29" t="str">
        <f>IFERROR(__xludf.DUMMYFUNCTION("""COMPUTED_VALUE"""),"1 (Low/Poor)")</f>
        <v>1 (Low/Poor)</v>
      </c>
      <c r="E1345" s="29">
        <f>IFERROR(__xludf.DUMMYFUNCTION("""COMPUTED_VALUE"""),1.0)</f>
        <v>1</v>
      </c>
    </row>
    <row r="1346">
      <c r="A1346" s="33">
        <f>IFERROR(__xludf.DUMMYFUNCTION("""COMPUTED_VALUE"""),46117.40241266204)</f>
        <v>46117.40241</v>
      </c>
      <c r="B1346" s="29" t="str">
        <f>IFERROR(__xludf.DUMMYFUNCTION("""COMPUTED_VALUE"""),"Circumcised")</f>
        <v>Circumcised</v>
      </c>
      <c r="C1346" s="29" t="str">
        <f>IFERROR(__xludf.DUMMYFUNCTION("""COMPUTED_VALUE"""),"Light Touch Sensitivity")</f>
        <v>Light Touch Sensitivity</v>
      </c>
      <c r="D1346" s="29" t="str">
        <f>IFERROR(__xludf.DUMMYFUNCTION("""COMPUTED_VALUE"""),"4")</f>
        <v>4</v>
      </c>
      <c r="E1346" s="29">
        <f>IFERROR(__xludf.DUMMYFUNCTION("""COMPUTED_VALUE"""),4.0)</f>
        <v>4</v>
      </c>
    </row>
    <row r="1347">
      <c r="A1347" s="33">
        <f>IFERROR(__xludf.DUMMYFUNCTION("""COMPUTED_VALUE"""),46117.406726597226)</f>
        <v>46117.40673</v>
      </c>
      <c r="B1347" s="29" t="str">
        <f>IFERROR(__xludf.DUMMYFUNCTION("""COMPUTED_VALUE"""),"Actively restoring my foreskin / I consider myself restored")</f>
        <v>Actively restoring my foreskin / I consider myself restored</v>
      </c>
      <c r="C1347" s="29" t="str">
        <f>IFERROR(__xludf.DUMMYFUNCTION("""COMPUTED_VALUE"""),"Light Touch Sensitivity")</f>
        <v>Light Touch Sensitivity</v>
      </c>
      <c r="D1347" s="29" t="str">
        <f>IFERROR(__xludf.DUMMYFUNCTION("""COMPUTED_VALUE"""),"2")</f>
        <v>2</v>
      </c>
      <c r="E1347" s="29">
        <f>IFERROR(__xludf.DUMMYFUNCTION("""COMPUTED_VALUE"""),2.0)</f>
        <v>2</v>
      </c>
    </row>
    <row r="1348">
      <c r="A1348" s="33">
        <f>IFERROR(__xludf.DUMMYFUNCTION("""COMPUTED_VALUE"""),46117.43835497685)</f>
        <v>46117.43835</v>
      </c>
      <c r="B1348" s="29" t="str">
        <f>IFERROR(__xludf.DUMMYFUNCTION("""COMPUTED_VALUE"""),"Circumcised")</f>
        <v>Circumcised</v>
      </c>
      <c r="C1348" s="29" t="str">
        <f>IFERROR(__xludf.DUMMYFUNCTION("""COMPUTED_VALUE"""),"Light Touch Sensitivity")</f>
        <v>Light Touch Sensitivity</v>
      </c>
      <c r="D1348" s="29" t="str">
        <f>IFERROR(__xludf.DUMMYFUNCTION("""COMPUTED_VALUE"""),"2")</f>
        <v>2</v>
      </c>
      <c r="E1348" s="29">
        <f>IFERROR(__xludf.DUMMYFUNCTION("""COMPUTED_VALUE"""),2.0)</f>
        <v>2</v>
      </c>
    </row>
    <row r="1349">
      <c r="A1349" s="33">
        <f>IFERROR(__xludf.DUMMYFUNCTION("""COMPUTED_VALUE"""),46117.52108172454)</f>
        <v>46117.52108</v>
      </c>
      <c r="B1349" s="29" t="str">
        <f>IFERROR(__xludf.DUMMYFUNCTION("""COMPUTED_VALUE"""),"Actively restoring my foreskin / I consider myself restored")</f>
        <v>Actively restoring my foreskin / I consider myself restored</v>
      </c>
      <c r="C1349" s="29" t="str">
        <f>IFERROR(__xludf.DUMMYFUNCTION("""COMPUTED_VALUE"""),"Light Touch Sensitivity")</f>
        <v>Light Touch Sensitivity</v>
      </c>
      <c r="D1349" s="29" t="str">
        <f>IFERROR(__xludf.DUMMYFUNCTION("""COMPUTED_VALUE"""),"3 (Medium/Average)")</f>
        <v>3 (Medium/Average)</v>
      </c>
      <c r="E1349" s="29">
        <f>IFERROR(__xludf.DUMMYFUNCTION("""COMPUTED_VALUE"""),3.0)</f>
        <v>3</v>
      </c>
    </row>
    <row r="1350">
      <c r="A1350" s="33">
        <f>IFERROR(__xludf.DUMMYFUNCTION("""COMPUTED_VALUE"""),46117.65196458333)</f>
        <v>46117.65196</v>
      </c>
      <c r="B1350" s="29" t="str">
        <f>IFERROR(__xludf.DUMMYFUNCTION("""COMPUTED_VALUE"""),"Actively restoring my foreskin / I consider myself restored")</f>
        <v>Actively restoring my foreskin / I consider myself restored</v>
      </c>
      <c r="C1350" s="29" t="str">
        <f>IFERROR(__xludf.DUMMYFUNCTION("""COMPUTED_VALUE"""),"Light Touch Sensitivity")</f>
        <v>Light Touch Sensitivity</v>
      </c>
      <c r="D1350" s="29" t="str">
        <f>IFERROR(__xludf.DUMMYFUNCTION("""COMPUTED_VALUE"""),"1 (Low/Poor)")</f>
        <v>1 (Low/Poor)</v>
      </c>
      <c r="E1350" s="29">
        <f>IFERROR(__xludf.DUMMYFUNCTION("""COMPUTED_VALUE"""),1.0)</f>
        <v>1</v>
      </c>
    </row>
    <row r="1351">
      <c r="A1351" s="33">
        <f>IFERROR(__xludf.DUMMYFUNCTION("""COMPUTED_VALUE"""),46117.68275197917)</f>
        <v>46117.68275</v>
      </c>
      <c r="B1351" s="29" t="str">
        <f>IFERROR(__xludf.DUMMYFUNCTION("""COMPUTED_VALUE"""),"Circumcised")</f>
        <v>Circumcised</v>
      </c>
      <c r="C1351" s="29" t="str">
        <f>IFERROR(__xludf.DUMMYFUNCTION("""COMPUTED_VALUE"""),"Light Touch Sensitivity")</f>
        <v>Light Touch Sensitivity</v>
      </c>
      <c r="D1351" s="29" t="str">
        <f>IFERROR(__xludf.DUMMYFUNCTION("""COMPUTED_VALUE"""),"2")</f>
        <v>2</v>
      </c>
      <c r="E1351" s="29">
        <f>IFERROR(__xludf.DUMMYFUNCTION("""COMPUTED_VALUE"""),2.0)</f>
        <v>2</v>
      </c>
    </row>
    <row r="1352">
      <c r="A1352" s="33">
        <f>IFERROR(__xludf.DUMMYFUNCTION("""COMPUTED_VALUE"""),46117.68807715278)</f>
        <v>46117.68808</v>
      </c>
      <c r="B1352" s="29" t="str">
        <f>IFERROR(__xludf.DUMMYFUNCTION("""COMPUTED_VALUE"""),"Actively restoring my foreskin / I consider myself restored")</f>
        <v>Actively restoring my foreskin / I consider myself restored</v>
      </c>
      <c r="C1352" s="29" t="str">
        <f>IFERROR(__xludf.DUMMYFUNCTION("""COMPUTED_VALUE"""),"Light Touch Sensitivity")</f>
        <v>Light Touch Sensitivity</v>
      </c>
      <c r="D1352" s="29" t="str">
        <f>IFERROR(__xludf.DUMMYFUNCTION("""COMPUTED_VALUE"""),"2")</f>
        <v>2</v>
      </c>
      <c r="E1352" s="29">
        <f>IFERROR(__xludf.DUMMYFUNCTION("""COMPUTED_VALUE"""),2.0)</f>
        <v>2</v>
      </c>
    </row>
    <row r="1353">
      <c r="A1353" s="33">
        <f>IFERROR(__xludf.DUMMYFUNCTION("""COMPUTED_VALUE"""),46118.06487167824)</f>
        <v>46118.06487</v>
      </c>
      <c r="B1353" s="29" t="str">
        <f>IFERROR(__xludf.DUMMYFUNCTION("""COMPUTED_VALUE"""),"Actively restoring my foreskin / I consider myself restored")</f>
        <v>Actively restoring my foreskin / I consider myself restored</v>
      </c>
      <c r="C1353" s="29" t="str">
        <f>IFERROR(__xludf.DUMMYFUNCTION("""COMPUTED_VALUE"""),"Light Touch Sensitivity")</f>
        <v>Light Touch Sensitivity</v>
      </c>
      <c r="D1353" s="29" t="str">
        <f>IFERROR(__xludf.DUMMYFUNCTION("""COMPUTED_VALUE"""),"2")</f>
        <v>2</v>
      </c>
      <c r="E1353" s="29">
        <f>IFERROR(__xludf.DUMMYFUNCTION("""COMPUTED_VALUE"""),2.0)</f>
        <v>2</v>
      </c>
    </row>
    <row r="1354">
      <c r="A1354" s="33">
        <f>IFERROR(__xludf.DUMMYFUNCTION("""COMPUTED_VALUE"""),46118.1994543287)</f>
        <v>46118.19945</v>
      </c>
      <c r="B1354" s="29" t="str">
        <f>IFERROR(__xludf.DUMMYFUNCTION("""COMPUTED_VALUE"""),"Actively restoring my foreskin / I consider myself restored")</f>
        <v>Actively restoring my foreskin / I consider myself restored</v>
      </c>
      <c r="C1354" s="29" t="str">
        <f>IFERROR(__xludf.DUMMYFUNCTION("""COMPUTED_VALUE"""),"Light Touch Sensitivity")</f>
        <v>Light Touch Sensitivity</v>
      </c>
      <c r="D1354" s="29" t="str">
        <f>IFERROR(__xludf.DUMMYFUNCTION("""COMPUTED_VALUE"""),"2")</f>
        <v>2</v>
      </c>
      <c r="E1354" s="29">
        <f>IFERROR(__xludf.DUMMYFUNCTION("""COMPUTED_VALUE"""),2.0)</f>
        <v>2</v>
      </c>
    </row>
    <row r="1355">
      <c r="A1355" s="33">
        <f>IFERROR(__xludf.DUMMYFUNCTION("""COMPUTED_VALUE"""),46118.532824270835)</f>
        <v>46118.53282</v>
      </c>
      <c r="B1355" s="29" t="str">
        <f>IFERROR(__xludf.DUMMYFUNCTION("""COMPUTED_VALUE"""),"Actively restoring my foreskin / I consider myself restored")</f>
        <v>Actively restoring my foreskin / I consider myself restored</v>
      </c>
      <c r="C1355" s="29" t="str">
        <f>IFERROR(__xludf.DUMMYFUNCTION("""COMPUTED_VALUE"""),"Light Touch Sensitivity")</f>
        <v>Light Touch Sensitivity</v>
      </c>
      <c r="D1355" s="29" t="str">
        <f>IFERROR(__xludf.DUMMYFUNCTION("""COMPUTED_VALUE"""),"4")</f>
        <v>4</v>
      </c>
      <c r="E1355" s="29">
        <f>IFERROR(__xludf.DUMMYFUNCTION("""COMPUTED_VALUE"""),4.0)</f>
        <v>4</v>
      </c>
    </row>
    <row r="1356">
      <c r="A1356" s="33">
        <f>IFERROR(__xludf.DUMMYFUNCTION("""COMPUTED_VALUE"""),46118.63432261574)</f>
        <v>46118.63432</v>
      </c>
      <c r="B1356" s="29" t="str">
        <f>IFERROR(__xludf.DUMMYFUNCTION("""COMPUTED_VALUE"""),"Circumcised")</f>
        <v>Circumcised</v>
      </c>
      <c r="C1356" s="29" t="str">
        <f>IFERROR(__xludf.DUMMYFUNCTION("""COMPUTED_VALUE"""),"Light Touch Sensitivity")</f>
        <v>Light Touch Sensitivity</v>
      </c>
      <c r="D1356" s="29" t="str">
        <f>IFERROR(__xludf.DUMMYFUNCTION("""COMPUTED_VALUE"""),"1 (Low/Poor)")</f>
        <v>1 (Low/Poor)</v>
      </c>
      <c r="E1356" s="29">
        <f>IFERROR(__xludf.DUMMYFUNCTION("""COMPUTED_VALUE"""),1.0)</f>
        <v>1</v>
      </c>
    </row>
    <row r="1357">
      <c r="A1357" s="33">
        <f>IFERROR(__xludf.DUMMYFUNCTION("""COMPUTED_VALUE"""),46118.69740087963)</f>
        <v>46118.6974</v>
      </c>
      <c r="B1357" s="29" t="str">
        <f>IFERROR(__xludf.DUMMYFUNCTION("""COMPUTED_VALUE"""),"Intact (Never circumcised)")</f>
        <v>Intact (Never circumcised)</v>
      </c>
      <c r="C1357" s="29" t="str">
        <f>IFERROR(__xludf.DUMMYFUNCTION("""COMPUTED_VALUE"""),"Light Touch Sensitivity")</f>
        <v>Light Touch Sensitivity</v>
      </c>
      <c r="D1357" s="29" t="str">
        <f>IFERROR(__xludf.DUMMYFUNCTION("""COMPUTED_VALUE"""),"5 (High/Excellent)")</f>
        <v>5 (High/Excellent)</v>
      </c>
      <c r="E1357" s="29">
        <f>IFERROR(__xludf.DUMMYFUNCTION("""COMPUTED_VALUE"""),5.0)</f>
        <v>5</v>
      </c>
    </row>
    <row r="1358">
      <c r="A1358" s="33">
        <f>IFERROR(__xludf.DUMMYFUNCTION("""COMPUTED_VALUE"""),46118.738876469906)</f>
        <v>46118.73888</v>
      </c>
      <c r="B1358" s="29" t="str">
        <f>IFERROR(__xludf.DUMMYFUNCTION("""COMPUTED_VALUE"""),"Actively restoring my foreskin / I consider myself restored")</f>
        <v>Actively restoring my foreskin / I consider myself restored</v>
      </c>
      <c r="C1358" s="29" t="str">
        <f>IFERROR(__xludf.DUMMYFUNCTION("""COMPUTED_VALUE"""),"Light Touch Sensitivity")</f>
        <v>Light Touch Sensitivity</v>
      </c>
      <c r="D1358" s="29" t="str">
        <f>IFERROR(__xludf.DUMMYFUNCTION("""COMPUTED_VALUE"""),"1 (Low/Poor)")</f>
        <v>1 (Low/Poor)</v>
      </c>
      <c r="E1358" s="29">
        <f>IFERROR(__xludf.DUMMYFUNCTION("""COMPUTED_VALUE"""),1.0)</f>
        <v>1</v>
      </c>
    </row>
    <row r="1359">
      <c r="A1359" s="33">
        <f>IFERROR(__xludf.DUMMYFUNCTION("""COMPUTED_VALUE"""),46118.77396358796)</f>
        <v>46118.77396</v>
      </c>
      <c r="B1359" s="29" t="str">
        <f>IFERROR(__xludf.DUMMYFUNCTION("""COMPUTED_VALUE"""),"Intact (Never circumcised)")</f>
        <v>Intact (Never circumcised)</v>
      </c>
      <c r="C1359" s="29" t="str">
        <f>IFERROR(__xludf.DUMMYFUNCTION("""COMPUTED_VALUE"""),"Light Touch Sensitivity")</f>
        <v>Light Touch Sensitivity</v>
      </c>
      <c r="D1359" s="29" t="str">
        <f>IFERROR(__xludf.DUMMYFUNCTION("""COMPUTED_VALUE"""),"3 (Medium/Average)")</f>
        <v>3 (Medium/Average)</v>
      </c>
      <c r="E1359" s="29">
        <f>IFERROR(__xludf.DUMMYFUNCTION("""COMPUTED_VALUE"""),3.0)</f>
        <v>3</v>
      </c>
    </row>
    <row r="1360">
      <c r="A1360" s="33">
        <f>IFERROR(__xludf.DUMMYFUNCTION("""COMPUTED_VALUE"""),46118.83804181713)</f>
        <v>46118.83804</v>
      </c>
      <c r="B1360" s="29" t="str">
        <f>IFERROR(__xludf.DUMMYFUNCTION("""COMPUTED_VALUE"""),"Circumcised")</f>
        <v>Circumcised</v>
      </c>
      <c r="C1360" s="29" t="str">
        <f>IFERROR(__xludf.DUMMYFUNCTION("""COMPUTED_VALUE"""),"Light Touch Sensitivity")</f>
        <v>Light Touch Sensitivity</v>
      </c>
      <c r="D1360" s="29" t="str">
        <f>IFERROR(__xludf.DUMMYFUNCTION("""COMPUTED_VALUE"""),"2")</f>
        <v>2</v>
      </c>
      <c r="E1360" s="29">
        <f>IFERROR(__xludf.DUMMYFUNCTION("""COMPUTED_VALUE"""),2.0)</f>
        <v>2</v>
      </c>
    </row>
    <row r="1361">
      <c r="A1361" s="33">
        <f>IFERROR(__xludf.DUMMYFUNCTION("""COMPUTED_VALUE"""),46118.86745592592)</f>
        <v>46118.86746</v>
      </c>
      <c r="B1361" s="29" t="str">
        <f>IFERROR(__xludf.DUMMYFUNCTION("""COMPUTED_VALUE"""),"Circumcised")</f>
        <v>Circumcised</v>
      </c>
      <c r="C1361" s="29" t="str">
        <f>IFERROR(__xludf.DUMMYFUNCTION("""COMPUTED_VALUE"""),"Light Touch Sensitivity")</f>
        <v>Light Touch Sensitivity</v>
      </c>
      <c r="D1361" s="29" t="str">
        <f>IFERROR(__xludf.DUMMYFUNCTION("""COMPUTED_VALUE"""),"3 (Medium/Average)")</f>
        <v>3 (Medium/Average)</v>
      </c>
      <c r="E1361" s="29">
        <f>IFERROR(__xludf.DUMMYFUNCTION("""COMPUTED_VALUE"""),3.0)</f>
        <v>3</v>
      </c>
    </row>
    <row r="1362">
      <c r="A1362" s="33">
        <f>IFERROR(__xludf.DUMMYFUNCTION("""COMPUTED_VALUE"""),46118.906964062495)</f>
        <v>46118.90696</v>
      </c>
      <c r="B1362" s="29" t="str">
        <f>IFERROR(__xludf.DUMMYFUNCTION("""COMPUTED_VALUE"""),"Actively restoring my foreskin / I consider myself restored")</f>
        <v>Actively restoring my foreskin / I consider myself restored</v>
      </c>
      <c r="C1362" s="29" t="str">
        <f>IFERROR(__xludf.DUMMYFUNCTION("""COMPUTED_VALUE"""),"Light Touch Sensitivity")</f>
        <v>Light Touch Sensitivity</v>
      </c>
      <c r="D1362" s="29" t="str">
        <f>IFERROR(__xludf.DUMMYFUNCTION("""COMPUTED_VALUE"""),"1 (Low/Poor)")</f>
        <v>1 (Low/Poor)</v>
      </c>
      <c r="E1362" s="29">
        <f>IFERROR(__xludf.DUMMYFUNCTION("""COMPUTED_VALUE"""),1.0)</f>
        <v>1</v>
      </c>
    </row>
    <row r="1363">
      <c r="A1363" s="33">
        <f>IFERROR(__xludf.DUMMYFUNCTION("""COMPUTED_VALUE"""),46118.94306069445)</f>
        <v>46118.94306</v>
      </c>
      <c r="B1363" s="29" t="str">
        <f>IFERROR(__xludf.DUMMYFUNCTION("""COMPUTED_VALUE"""),"Actively restoring my foreskin / I consider myself restored")</f>
        <v>Actively restoring my foreskin / I consider myself restored</v>
      </c>
      <c r="C1363" s="29" t="str">
        <f>IFERROR(__xludf.DUMMYFUNCTION("""COMPUTED_VALUE"""),"Light Touch Sensitivity")</f>
        <v>Light Touch Sensitivity</v>
      </c>
      <c r="D1363" s="29" t="str">
        <f>IFERROR(__xludf.DUMMYFUNCTION("""COMPUTED_VALUE"""),"1 (Low/Poor)")</f>
        <v>1 (Low/Poor)</v>
      </c>
      <c r="E1363" s="29">
        <f>IFERROR(__xludf.DUMMYFUNCTION("""COMPUTED_VALUE"""),1.0)</f>
        <v>1</v>
      </c>
    </row>
    <row r="1364">
      <c r="A1364" s="33">
        <f>IFERROR(__xludf.DUMMYFUNCTION("""COMPUTED_VALUE"""),46119.19832857639)</f>
        <v>46119.19833</v>
      </c>
      <c r="B1364" s="29" t="str">
        <f>IFERROR(__xludf.DUMMYFUNCTION("""COMPUTED_VALUE"""),"Circumcised")</f>
        <v>Circumcised</v>
      </c>
      <c r="C1364" s="29" t="str">
        <f>IFERROR(__xludf.DUMMYFUNCTION("""COMPUTED_VALUE"""),"Light Touch Sensitivity")</f>
        <v>Light Touch Sensitivity</v>
      </c>
      <c r="D1364" s="29" t="str">
        <f>IFERROR(__xludf.DUMMYFUNCTION("""COMPUTED_VALUE"""),"1 (Low/Poor)")</f>
        <v>1 (Low/Poor)</v>
      </c>
      <c r="E1364" s="29">
        <f>IFERROR(__xludf.DUMMYFUNCTION("""COMPUTED_VALUE"""),1.0)</f>
        <v>1</v>
      </c>
    </row>
    <row r="1365">
      <c r="A1365" s="33">
        <f>IFERROR(__xludf.DUMMYFUNCTION("""COMPUTED_VALUE"""),46119.33508711806)</f>
        <v>46119.33509</v>
      </c>
      <c r="B1365" s="29" t="str">
        <f>IFERROR(__xludf.DUMMYFUNCTION("""COMPUTED_VALUE"""),"Circumcised")</f>
        <v>Circumcised</v>
      </c>
      <c r="C1365" s="29" t="str">
        <f>IFERROR(__xludf.DUMMYFUNCTION("""COMPUTED_VALUE"""),"Light Touch Sensitivity")</f>
        <v>Light Touch Sensitivity</v>
      </c>
      <c r="D1365" s="29" t="str">
        <f>IFERROR(__xludf.DUMMYFUNCTION("""COMPUTED_VALUE"""),"2")</f>
        <v>2</v>
      </c>
      <c r="E1365" s="29">
        <f>IFERROR(__xludf.DUMMYFUNCTION("""COMPUTED_VALUE"""),2.0)</f>
        <v>2</v>
      </c>
    </row>
    <row r="1366">
      <c r="A1366" s="33">
        <f>IFERROR(__xludf.DUMMYFUNCTION("""COMPUTED_VALUE"""),46119.630449895834)</f>
        <v>46119.63045</v>
      </c>
      <c r="B1366" s="29" t="str">
        <f>IFERROR(__xludf.DUMMYFUNCTION("""COMPUTED_VALUE"""),"Actively restoring my foreskin / I consider myself restored")</f>
        <v>Actively restoring my foreskin / I consider myself restored</v>
      </c>
      <c r="C1366" s="29" t="str">
        <f>IFERROR(__xludf.DUMMYFUNCTION("""COMPUTED_VALUE"""),"Light Touch Sensitivity")</f>
        <v>Light Touch Sensitivity</v>
      </c>
      <c r="D1366" s="29" t="str">
        <f>IFERROR(__xludf.DUMMYFUNCTION("""COMPUTED_VALUE"""),"1 (Low/Poor)")</f>
        <v>1 (Low/Poor)</v>
      </c>
      <c r="E1366" s="29">
        <f>IFERROR(__xludf.DUMMYFUNCTION("""COMPUTED_VALUE"""),1.0)</f>
        <v>1</v>
      </c>
    </row>
    <row r="1367">
      <c r="A1367" s="33">
        <f>IFERROR(__xludf.DUMMYFUNCTION("""COMPUTED_VALUE"""),46119.998828379634)</f>
        <v>46119.99883</v>
      </c>
      <c r="B1367" s="29" t="str">
        <f>IFERROR(__xludf.DUMMYFUNCTION("""COMPUTED_VALUE"""),"Intact (Never circumcised)")</f>
        <v>Intact (Never circumcised)</v>
      </c>
      <c r="C1367" s="29" t="str">
        <f>IFERROR(__xludf.DUMMYFUNCTION("""COMPUTED_VALUE"""),"Light Touch Sensitivity")</f>
        <v>Light Touch Sensitivity</v>
      </c>
      <c r="D1367" s="29" t="str">
        <f>IFERROR(__xludf.DUMMYFUNCTION("""COMPUTED_VALUE"""),"5 (High/Excellent)")</f>
        <v>5 (High/Excellent)</v>
      </c>
      <c r="E1367" s="29">
        <f>IFERROR(__xludf.DUMMYFUNCTION("""COMPUTED_VALUE"""),5.0)</f>
        <v>5</v>
      </c>
    </row>
    <row r="1368">
      <c r="A1368" s="33">
        <f>IFERROR(__xludf.DUMMYFUNCTION("""COMPUTED_VALUE"""),46120.45189376157)</f>
        <v>46120.45189</v>
      </c>
      <c r="B1368" s="29" t="str">
        <f>IFERROR(__xludf.DUMMYFUNCTION("""COMPUTED_VALUE"""),"Circumcised")</f>
        <v>Circumcised</v>
      </c>
      <c r="C1368" s="29" t="str">
        <f>IFERROR(__xludf.DUMMYFUNCTION("""COMPUTED_VALUE"""),"Light Touch Sensitivity")</f>
        <v>Light Touch Sensitivity</v>
      </c>
      <c r="D1368" s="29" t="str">
        <f>IFERROR(__xludf.DUMMYFUNCTION("""COMPUTED_VALUE"""),"4")</f>
        <v>4</v>
      </c>
      <c r="E1368" s="29">
        <f>IFERROR(__xludf.DUMMYFUNCTION("""COMPUTED_VALUE"""),4.0)</f>
        <v>4</v>
      </c>
    </row>
    <row r="1369">
      <c r="A1369" s="33">
        <f>IFERROR(__xludf.DUMMYFUNCTION("""COMPUTED_VALUE"""),46121.04974232639)</f>
        <v>46121.04974</v>
      </c>
      <c r="B1369" s="29" t="str">
        <f>IFERROR(__xludf.DUMMYFUNCTION("""COMPUTED_VALUE"""),"Circumcised")</f>
        <v>Circumcised</v>
      </c>
      <c r="C1369" s="29" t="str">
        <f>IFERROR(__xludf.DUMMYFUNCTION("""COMPUTED_VALUE"""),"Light Touch Sensitivity")</f>
        <v>Light Touch Sensitivity</v>
      </c>
      <c r="D1369" s="29" t="str">
        <f>IFERROR(__xludf.DUMMYFUNCTION("""COMPUTED_VALUE"""),"4")</f>
        <v>4</v>
      </c>
      <c r="E1369" s="29">
        <f>IFERROR(__xludf.DUMMYFUNCTION("""COMPUTED_VALUE"""),4.0)</f>
        <v>4</v>
      </c>
    </row>
    <row r="1370">
      <c r="A1370" s="33">
        <f>IFERROR(__xludf.DUMMYFUNCTION("""COMPUTED_VALUE"""),46121.27570546296)</f>
        <v>46121.27571</v>
      </c>
      <c r="B1370" s="29" t="str">
        <f>IFERROR(__xludf.DUMMYFUNCTION("""COMPUTED_VALUE"""),"Actively restoring my foreskin / I consider myself restored")</f>
        <v>Actively restoring my foreskin / I consider myself restored</v>
      </c>
      <c r="C1370" s="29" t="str">
        <f>IFERROR(__xludf.DUMMYFUNCTION("""COMPUTED_VALUE"""),"Light Touch Sensitivity")</f>
        <v>Light Touch Sensitivity</v>
      </c>
      <c r="D1370" s="29" t="str">
        <f>IFERROR(__xludf.DUMMYFUNCTION("""COMPUTED_VALUE"""),"1 (Low/Poor)")</f>
        <v>1 (Low/Poor)</v>
      </c>
      <c r="E1370" s="29">
        <f>IFERROR(__xludf.DUMMYFUNCTION("""COMPUTED_VALUE"""),1.0)</f>
        <v>1</v>
      </c>
    </row>
    <row r="1371">
      <c r="A1371" s="33">
        <f>IFERROR(__xludf.DUMMYFUNCTION("""COMPUTED_VALUE"""),46121.93295483796)</f>
        <v>46121.93295</v>
      </c>
      <c r="B1371" s="29" t="str">
        <f>IFERROR(__xludf.DUMMYFUNCTION("""COMPUTED_VALUE"""),"Circumcised")</f>
        <v>Circumcised</v>
      </c>
      <c r="C1371" s="29" t="str">
        <f>IFERROR(__xludf.DUMMYFUNCTION("""COMPUTED_VALUE"""),"Light Touch Sensitivity")</f>
        <v>Light Touch Sensitivity</v>
      </c>
      <c r="D1371" s="29" t="str">
        <f>IFERROR(__xludf.DUMMYFUNCTION("""COMPUTED_VALUE"""),"3 (Medium/Average)")</f>
        <v>3 (Medium/Average)</v>
      </c>
      <c r="E1371" s="29">
        <f>IFERROR(__xludf.DUMMYFUNCTION("""COMPUTED_VALUE"""),3.0)</f>
        <v>3</v>
      </c>
    </row>
    <row r="1372">
      <c r="A1372" s="33">
        <f>IFERROR(__xludf.DUMMYFUNCTION("""COMPUTED_VALUE"""),46122.46081304398)</f>
        <v>46122.46081</v>
      </c>
      <c r="B1372" s="29" t="str">
        <f>IFERROR(__xludf.DUMMYFUNCTION("""COMPUTED_VALUE"""),"Circumcised")</f>
        <v>Circumcised</v>
      </c>
      <c r="C1372" s="29" t="str">
        <f>IFERROR(__xludf.DUMMYFUNCTION("""COMPUTED_VALUE"""),"Light Touch Sensitivity")</f>
        <v>Light Touch Sensitivity</v>
      </c>
      <c r="D1372" s="29" t="str">
        <f>IFERROR(__xludf.DUMMYFUNCTION("""COMPUTED_VALUE"""),"1 (Low/Poor)")</f>
        <v>1 (Low/Poor)</v>
      </c>
      <c r="E1372" s="29">
        <f>IFERROR(__xludf.DUMMYFUNCTION("""COMPUTED_VALUE"""),1.0)</f>
        <v>1</v>
      </c>
    </row>
    <row r="1373">
      <c r="A1373" s="33">
        <f>IFERROR(__xludf.DUMMYFUNCTION("""COMPUTED_VALUE"""),46122.94345912037)</f>
        <v>46122.94346</v>
      </c>
      <c r="B1373" s="29" t="str">
        <f>IFERROR(__xludf.DUMMYFUNCTION("""COMPUTED_VALUE"""),"Circumcised")</f>
        <v>Circumcised</v>
      </c>
      <c r="C1373" s="29" t="str">
        <f>IFERROR(__xludf.DUMMYFUNCTION("""COMPUTED_VALUE"""),"Light Touch Sensitivity")</f>
        <v>Light Touch Sensitivity</v>
      </c>
      <c r="D1373" s="29" t="str">
        <f>IFERROR(__xludf.DUMMYFUNCTION("""COMPUTED_VALUE"""),"1 (Low/Poor)")</f>
        <v>1 (Low/Poor)</v>
      </c>
      <c r="E1373" s="29">
        <f>IFERROR(__xludf.DUMMYFUNCTION("""COMPUTED_VALUE"""),1.0)</f>
        <v>1</v>
      </c>
    </row>
    <row r="1374">
      <c r="A1374" s="33">
        <f>IFERROR(__xludf.DUMMYFUNCTION("""COMPUTED_VALUE"""),46123.0318577199)</f>
        <v>46123.03186</v>
      </c>
      <c r="B1374" s="29" t="str">
        <f>IFERROR(__xludf.DUMMYFUNCTION("""COMPUTED_VALUE"""),"Intact (Never circumcised)")</f>
        <v>Intact (Never circumcised)</v>
      </c>
      <c r="C1374" s="29" t="str">
        <f>IFERROR(__xludf.DUMMYFUNCTION("""COMPUTED_VALUE"""),"Light Touch Sensitivity")</f>
        <v>Light Touch Sensitivity</v>
      </c>
      <c r="D1374" s="29" t="str">
        <f>IFERROR(__xludf.DUMMYFUNCTION("""COMPUTED_VALUE"""),"5 (High/Excellent)")</f>
        <v>5 (High/Excellent)</v>
      </c>
      <c r="E1374" s="29">
        <f>IFERROR(__xludf.DUMMYFUNCTION("""COMPUTED_VALUE"""),5.0)</f>
        <v>5</v>
      </c>
    </row>
    <row r="1375">
      <c r="A1375" s="33">
        <f>IFERROR(__xludf.DUMMYFUNCTION("""COMPUTED_VALUE"""),46123.75352236111)</f>
        <v>46123.75352</v>
      </c>
      <c r="B1375" s="29" t="str">
        <f>IFERROR(__xludf.DUMMYFUNCTION("""COMPUTED_VALUE"""),"Actively restoring my foreskin / I consider myself restored")</f>
        <v>Actively restoring my foreskin / I consider myself restored</v>
      </c>
      <c r="C1375" s="29" t="str">
        <f>IFERROR(__xludf.DUMMYFUNCTION("""COMPUTED_VALUE"""),"Light Touch Sensitivity")</f>
        <v>Light Touch Sensitivity</v>
      </c>
      <c r="D1375" s="29" t="str">
        <f>IFERROR(__xludf.DUMMYFUNCTION("""COMPUTED_VALUE"""),"1 (Low/Poor)")</f>
        <v>1 (Low/Poor)</v>
      </c>
      <c r="E1375" s="29">
        <f>IFERROR(__xludf.DUMMYFUNCTION("""COMPUTED_VALUE"""),1.0)</f>
        <v>1</v>
      </c>
    </row>
    <row r="1376">
      <c r="A1376" s="33">
        <f>IFERROR(__xludf.DUMMYFUNCTION("""COMPUTED_VALUE"""),46124.27076814815)</f>
        <v>46124.27077</v>
      </c>
      <c r="B1376" s="29" t="str">
        <f>IFERROR(__xludf.DUMMYFUNCTION("""COMPUTED_VALUE"""),"Circumcised")</f>
        <v>Circumcised</v>
      </c>
      <c r="C1376" s="29" t="str">
        <f>IFERROR(__xludf.DUMMYFUNCTION("""COMPUTED_VALUE"""),"Light Touch Sensitivity")</f>
        <v>Light Touch Sensitivity</v>
      </c>
      <c r="D1376" s="29" t="str">
        <f>IFERROR(__xludf.DUMMYFUNCTION("""COMPUTED_VALUE"""),"1 (Low/Poor)")</f>
        <v>1 (Low/Poor)</v>
      </c>
      <c r="E1376" s="29">
        <f>IFERROR(__xludf.DUMMYFUNCTION("""COMPUTED_VALUE"""),1.0)</f>
        <v>1</v>
      </c>
    </row>
    <row r="1377">
      <c r="A1377" s="33">
        <f>IFERROR(__xludf.DUMMYFUNCTION("""COMPUTED_VALUE"""),46124.78037094907)</f>
        <v>46124.78037</v>
      </c>
      <c r="B1377" s="29" t="str">
        <f>IFERROR(__xludf.DUMMYFUNCTION("""COMPUTED_VALUE"""),"Circumcised")</f>
        <v>Circumcised</v>
      </c>
      <c r="C1377" s="29" t="str">
        <f>IFERROR(__xludf.DUMMYFUNCTION("""COMPUTED_VALUE"""),"Light Touch Sensitivity")</f>
        <v>Light Touch Sensitivity</v>
      </c>
      <c r="D1377" s="29" t="str">
        <f>IFERROR(__xludf.DUMMYFUNCTION("""COMPUTED_VALUE"""),"2")</f>
        <v>2</v>
      </c>
      <c r="E1377" s="29">
        <f>IFERROR(__xludf.DUMMYFUNCTION("""COMPUTED_VALUE"""),2.0)</f>
        <v>2</v>
      </c>
    </row>
    <row r="1378">
      <c r="A1378" s="33">
        <f>IFERROR(__xludf.DUMMYFUNCTION("""COMPUTED_VALUE"""),46125.61132210649)</f>
        <v>46125.61132</v>
      </c>
      <c r="B1378" s="29" t="str">
        <f>IFERROR(__xludf.DUMMYFUNCTION("""COMPUTED_VALUE"""),"Circumcised")</f>
        <v>Circumcised</v>
      </c>
      <c r="C1378" s="29" t="str">
        <f>IFERROR(__xludf.DUMMYFUNCTION("""COMPUTED_VALUE"""),"Light Touch Sensitivity")</f>
        <v>Light Touch Sensitivity</v>
      </c>
      <c r="D1378" s="29" t="str">
        <f>IFERROR(__xludf.DUMMYFUNCTION("""COMPUTED_VALUE"""),"3 (Medium/Average)")</f>
        <v>3 (Medium/Average)</v>
      </c>
      <c r="E1378" s="29">
        <f>IFERROR(__xludf.DUMMYFUNCTION("""COMPUTED_VALUE"""),3.0)</f>
        <v>3</v>
      </c>
    </row>
    <row r="1379">
      <c r="A1379" s="33">
        <f>IFERROR(__xludf.DUMMYFUNCTION("""COMPUTED_VALUE"""),46126.37213568287)</f>
        <v>46126.37214</v>
      </c>
      <c r="B1379" s="29" t="str">
        <f>IFERROR(__xludf.DUMMYFUNCTION("""COMPUTED_VALUE"""),"Intact (Never circumcised)")</f>
        <v>Intact (Never circumcised)</v>
      </c>
      <c r="C1379" s="29" t="str">
        <f>IFERROR(__xludf.DUMMYFUNCTION("""COMPUTED_VALUE"""),"Light Touch Sensitivity")</f>
        <v>Light Touch Sensitivity</v>
      </c>
      <c r="D1379" s="29" t="str">
        <f>IFERROR(__xludf.DUMMYFUNCTION("""COMPUTED_VALUE"""),"3 (Medium/Average)")</f>
        <v>3 (Medium/Average)</v>
      </c>
      <c r="E1379" s="29">
        <f>IFERROR(__xludf.DUMMYFUNCTION("""COMPUTED_VALUE"""),3.0)</f>
        <v>3</v>
      </c>
    </row>
    <row r="1380">
      <c r="A1380" s="33">
        <f>IFERROR(__xludf.DUMMYFUNCTION("""COMPUTED_VALUE"""),46126.609716817125)</f>
        <v>46126.60972</v>
      </c>
      <c r="B1380" s="29" t="str">
        <f>IFERROR(__xludf.DUMMYFUNCTION("""COMPUTED_VALUE"""),"Intact (Never circumcised)")</f>
        <v>Intact (Never circumcised)</v>
      </c>
      <c r="C1380" s="29" t="str">
        <f>IFERROR(__xludf.DUMMYFUNCTION("""COMPUTED_VALUE"""),"Light Touch Sensitivity")</f>
        <v>Light Touch Sensitivity</v>
      </c>
      <c r="D1380" s="29" t="str">
        <f>IFERROR(__xludf.DUMMYFUNCTION("""COMPUTED_VALUE"""),"5 (High/Excellent)")</f>
        <v>5 (High/Excellent)</v>
      </c>
      <c r="E1380" s="29">
        <f>IFERROR(__xludf.DUMMYFUNCTION("""COMPUTED_VALUE"""),5.0)</f>
        <v>5</v>
      </c>
    </row>
    <row r="1381">
      <c r="A1381" s="33">
        <f>IFERROR(__xludf.DUMMYFUNCTION("""COMPUTED_VALUE"""),46129.64641299768)</f>
        <v>46129.64641</v>
      </c>
      <c r="B1381" s="29" t="str">
        <f>IFERROR(__xludf.DUMMYFUNCTION("""COMPUTED_VALUE"""),"Circumcised")</f>
        <v>Circumcised</v>
      </c>
      <c r="C1381" s="29" t="str">
        <f>IFERROR(__xludf.DUMMYFUNCTION("""COMPUTED_VALUE"""),"Light Touch Sensitivity")</f>
        <v>Light Touch Sensitivity</v>
      </c>
      <c r="D1381" s="29" t="str">
        <f>IFERROR(__xludf.DUMMYFUNCTION("""COMPUTED_VALUE"""),"5 (High/Excellent)")</f>
        <v>5 (High/Excellent)</v>
      </c>
      <c r="E1381" s="29">
        <f>IFERROR(__xludf.DUMMYFUNCTION("""COMPUTED_VALUE"""),5.0)</f>
        <v>5</v>
      </c>
    </row>
    <row r="1382">
      <c r="A1382" s="33">
        <f>IFERROR(__xludf.DUMMYFUNCTION("""COMPUTED_VALUE"""),46131.52759640047)</f>
        <v>46131.5276</v>
      </c>
      <c r="B1382" s="29" t="str">
        <f>IFERROR(__xludf.DUMMYFUNCTION("""COMPUTED_VALUE"""),"Circumcised")</f>
        <v>Circumcised</v>
      </c>
      <c r="C1382" s="29" t="str">
        <f>IFERROR(__xludf.DUMMYFUNCTION("""COMPUTED_VALUE"""),"Light Touch Sensitivity")</f>
        <v>Light Touch Sensitivity</v>
      </c>
      <c r="D1382" s="29" t="str">
        <f>IFERROR(__xludf.DUMMYFUNCTION("""COMPUTED_VALUE"""),"2")</f>
        <v>2</v>
      </c>
      <c r="E1382" s="29">
        <f>IFERROR(__xludf.DUMMYFUNCTION("""COMPUTED_VALUE"""),2.0)</f>
        <v>2</v>
      </c>
    </row>
    <row r="1383">
      <c r="A1383" s="33">
        <f>IFERROR(__xludf.DUMMYFUNCTION("""COMPUTED_VALUE"""),46132.226501157405)</f>
        <v>46132.2265</v>
      </c>
      <c r="B1383" s="29" t="str">
        <f>IFERROR(__xludf.DUMMYFUNCTION("""COMPUTED_VALUE"""),"Intact (Never circumcised)")</f>
        <v>Intact (Never circumcised)</v>
      </c>
      <c r="C1383" s="29" t="str">
        <f>IFERROR(__xludf.DUMMYFUNCTION("""COMPUTED_VALUE"""),"Light Touch Sensitivity")</f>
        <v>Light Touch Sensitivity</v>
      </c>
      <c r="D1383" s="29" t="str">
        <f>IFERROR(__xludf.DUMMYFUNCTION("""COMPUTED_VALUE"""),"5 (High/Excellent)")</f>
        <v>5 (High/Excellent)</v>
      </c>
      <c r="E1383" s="29">
        <f>IFERROR(__xludf.DUMMYFUNCTION("""COMPUTED_VALUE"""),5.0)</f>
        <v>5</v>
      </c>
    </row>
    <row r="1384">
      <c r="A1384" s="33">
        <f>IFERROR(__xludf.DUMMYFUNCTION("""COMPUTED_VALUE"""),46133.03297357639)</f>
        <v>46133.03297</v>
      </c>
      <c r="B1384" s="29" t="str">
        <f>IFERROR(__xludf.DUMMYFUNCTION("""COMPUTED_VALUE"""),"Intact (Never circumcised)")</f>
        <v>Intact (Never circumcised)</v>
      </c>
      <c r="C1384" s="29" t="str">
        <f>IFERROR(__xludf.DUMMYFUNCTION("""COMPUTED_VALUE"""),"Light Touch Sensitivity")</f>
        <v>Light Touch Sensitivity</v>
      </c>
      <c r="D1384" s="29" t="str">
        <f>IFERROR(__xludf.DUMMYFUNCTION("""COMPUTED_VALUE"""),"3 (Medium/Average)")</f>
        <v>3 (Medium/Average)</v>
      </c>
      <c r="E1384" s="29">
        <f>IFERROR(__xludf.DUMMYFUNCTION("""COMPUTED_VALUE"""),3.0)</f>
        <v>3</v>
      </c>
    </row>
    <row r="1385">
      <c r="A1385" s="33">
        <f>IFERROR(__xludf.DUMMYFUNCTION("""COMPUTED_VALUE"""),46133.186501759265)</f>
        <v>46133.1865</v>
      </c>
      <c r="B1385" s="29" t="str">
        <f>IFERROR(__xludf.DUMMYFUNCTION("""COMPUTED_VALUE"""),"Circumcised")</f>
        <v>Circumcised</v>
      </c>
      <c r="C1385" s="29" t="str">
        <f>IFERROR(__xludf.DUMMYFUNCTION("""COMPUTED_VALUE"""),"Light Touch Sensitivity")</f>
        <v>Light Touch Sensitivity</v>
      </c>
      <c r="D1385" s="29" t="str">
        <f>IFERROR(__xludf.DUMMYFUNCTION("""COMPUTED_VALUE"""),"2")</f>
        <v>2</v>
      </c>
      <c r="E1385" s="29">
        <f>IFERROR(__xludf.DUMMYFUNCTION("""COMPUTED_VALUE"""),2.0)</f>
        <v>2</v>
      </c>
    </row>
    <row r="1386">
      <c r="A1386" s="33">
        <f>IFERROR(__xludf.DUMMYFUNCTION("""COMPUTED_VALUE"""),46134.22396824074)</f>
        <v>46134.22397</v>
      </c>
      <c r="B1386" s="29" t="str">
        <f>IFERROR(__xludf.DUMMYFUNCTION("""COMPUTED_VALUE"""),"Circumcised")</f>
        <v>Circumcised</v>
      </c>
      <c r="C1386" s="29" t="str">
        <f>IFERROR(__xludf.DUMMYFUNCTION("""COMPUTED_VALUE"""),"Light Touch Sensitivity")</f>
        <v>Light Touch Sensitivity</v>
      </c>
      <c r="D1386" s="29" t="str">
        <f>IFERROR(__xludf.DUMMYFUNCTION("""COMPUTED_VALUE"""),"5 (High/Excellent)")</f>
        <v>5 (High/Excellent)</v>
      </c>
      <c r="E1386" s="29">
        <f>IFERROR(__xludf.DUMMYFUNCTION("""COMPUTED_VALUE"""),5.0)</f>
        <v>5</v>
      </c>
    </row>
    <row r="1387">
      <c r="A1387" s="33">
        <f>IFERROR(__xludf.DUMMYFUNCTION("""COMPUTED_VALUE"""),46139.22647099537)</f>
        <v>46139.22647</v>
      </c>
      <c r="B1387" s="29" t="str">
        <f>IFERROR(__xludf.DUMMYFUNCTION("""COMPUTED_VALUE"""),"Circumcised")</f>
        <v>Circumcised</v>
      </c>
      <c r="C1387" s="29" t="str">
        <f>IFERROR(__xludf.DUMMYFUNCTION("""COMPUTED_VALUE"""),"Light Touch Sensitivity")</f>
        <v>Light Touch Sensitivity</v>
      </c>
      <c r="D1387" s="29" t="str">
        <f>IFERROR(__xludf.DUMMYFUNCTION("""COMPUTED_VALUE"""),"2")</f>
        <v>2</v>
      </c>
      <c r="E1387" s="29">
        <f>IFERROR(__xludf.DUMMYFUNCTION("""COMPUTED_VALUE"""),2.0)</f>
        <v>2</v>
      </c>
    </row>
    <row r="1388">
      <c r="A1388" s="33">
        <f>IFERROR(__xludf.DUMMYFUNCTION("""COMPUTED_VALUE"""),46143.65511586805)</f>
        <v>46143.65512</v>
      </c>
      <c r="B1388" s="29" t="str">
        <f>IFERROR(__xludf.DUMMYFUNCTION("""COMPUTED_VALUE"""),"Circumcised")</f>
        <v>Circumcised</v>
      </c>
      <c r="C1388" s="29" t="str">
        <f>IFERROR(__xludf.DUMMYFUNCTION("""COMPUTED_VALUE"""),"Light Touch Sensitivity")</f>
        <v>Light Touch Sensitivity</v>
      </c>
      <c r="D1388" s="29" t="str">
        <f>IFERROR(__xludf.DUMMYFUNCTION("""COMPUTED_VALUE"""),"2")</f>
        <v>2</v>
      </c>
      <c r="E1388" s="29">
        <f>IFERROR(__xludf.DUMMYFUNCTION("""COMPUTED_VALUE"""),2.0)</f>
        <v>2</v>
      </c>
    </row>
    <row r="1389">
      <c r="A1389" s="33">
        <f>IFERROR(__xludf.DUMMYFUNCTION("""COMPUTED_VALUE"""),46146.244808854164)</f>
        <v>46146.24481</v>
      </c>
      <c r="B1389" s="29" t="str">
        <f>IFERROR(__xludf.DUMMYFUNCTION("""COMPUTED_VALUE"""),"Circumcised")</f>
        <v>Circumcised</v>
      </c>
      <c r="C1389" s="29" t="str">
        <f>IFERROR(__xludf.DUMMYFUNCTION("""COMPUTED_VALUE"""),"Light Touch Sensitivity")</f>
        <v>Light Touch Sensitivity</v>
      </c>
      <c r="D1389" s="29" t="str">
        <f>IFERROR(__xludf.DUMMYFUNCTION("""COMPUTED_VALUE"""),"1 (Low/Poor)")</f>
        <v>1 (Low/Poor)</v>
      </c>
      <c r="E1389" s="29">
        <f>IFERROR(__xludf.DUMMYFUNCTION("""COMPUTED_VALUE"""),1.0)</f>
        <v>1</v>
      </c>
    </row>
    <row r="1390">
      <c r="A1390" s="33">
        <f>IFERROR(__xludf.DUMMYFUNCTION("""COMPUTED_VALUE"""),46150.09750815973)</f>
        <v>46150.09751</v>
      </c>
      <c r="B1390" s="29" t="str">
        <f>IFERROR(__xludf.DUMMYFUNCTION("""COMPUTED_VALUE"""),"Circumcised")</f>
        <v>Circumcised</v>
      </c>
      <c r="C1390" s="29" t="str">
        <f>IFERROR(__xludf.DUMMYFUNCTION("""COMPUTED_VALUE"""),"Light Touch Sensitivity")</f>
        <v>Light Touch Sensitivity</v>
      </c>
      <c r="D1390" s="29" t="str">
        <f>IFERROR(__xludf.DUMMYFUNCTION("""COMPUTED_VALUE"""),"2")</f>
        <v>2</v>
      </c>
      <c r="E1390" s="29">
        <f>IFERROR(__xludf.DUMMYFUNCTION("""COMPUTED_VALUE"""),2.0)</f>
        <v>2</v>
      </c>
    </row>
    <row r="1391">
      <c r="A1391" s="33">
        <f>IFERROR(__xludf.DUMMYFUNCTION("""COMPUTED_VALUE"""),46159.019054930555)</f>
        <v>46159.01905</v>
      </c>
      <c r="B1391" s="29" t="str">
        <f>IFERROR(__xludf.DUMMYFUNCTION("""COMPUTED_VALUE"""),"Circumcised")</f>
        <v>Circumcised</v>
      </c>
      <c r="C1391" s="29" t="str">
        <f>IFERROR(__xludf.DUMMYFUNCTION("""COMPUTED_VALUE"""),"Light Touch Sensitivity")</f>
        <v>Light Touch Sensitivity</v>
      </c>
      <c r="D1391" s="29" t="str">
        <f>IFERROR(__xludf.DUMMYFUNCTION("""COMPUTED_VALUE"""),"3 (Medium/Average)")</f>
        <v>3 (Medium/Average)</v>
      </c>
      <c r="E1391" s="29">
        <f>IFERROR(__xludf.DUMMYFUNCTION("""COMPUTED_VALUE"""),3.0)</f>
        <v>3</v>
      </c>
    </row>
    <row r="1392">
      <c r="A1392" s="33">
        <f>IFERROR(__xludf.DUMMYFUNCTION("""COMPUTED_VALUE"""),46163.04970236112)</f>
        <v>46163.0497</v>
      </c>
      <c r="B1392" s="29" t="str">
        <f>IFERROR(__xludf.DUMMYFUNCTION("""COMPUTED_VALUE"""),"Circumcised")</f>
        <v>Circumcised</v>
      </c>
      <c r="C1392" s="29" t="str">
        <f>IFERROR(__xludf.DUMMYFUNCTION("""COMPUTED_VALUE"""),"Light Touch Sensitivity")</f>
        <v>Light Touch Sensitivity</v>
      </c>
      <c r="D1392" s="29" t="str">
        <f>IFERROR(__xludf.DUMMYFUNCTION("""COMPUTED_VALUE"""),"4")</f>
        <v>4</v>
      </c>
      <c r="E1392" s="29">
        <f>IFERROR(__xludf.DUMMYFUNCTION("""COMPUTED_VALUE"""),4.0)</f>
        <v>4</v>
      </c>
    </row>
    <row r="1393">
      <c r="A1393" s="33">
        <f>IFERROR(__xludf.DUMMYFUNCTION("""COMPUTED_VALUE"""),46172.316871793984)</f>
        <v>46172.31687</v>
      </c>
      <c r="B1393" s="29" t="str">
        <f>IFERROR(__xludf.DUMMYFUNCTION("""COMPUTED_VALUE"""),"Intact (Never circumcised)")</f>
        <v>Intact (Never circumcised)</v>
      </c>
      <c r="C1393" s="29" t="str">
        <f>IFERROR(__xludf.DUMMYFUNCTION("""COMPUTED_VALUE"""),"Light Touch Sensitivity")</f>
        <v>Light Touch Sensitivity</v>
      </c>
      <c r="D1393" s="29" t="str">
        <f>IFERROR(__xludf.DUMMYFUNCTION("""COMPUTED_VALUE"""),"5 (High/Excellent)")</f>
        <v>5 (High/Excellent)</v>
      </c>
      <c r="E1393" s="29">
        <f>IFERROR(__xludf.DUMMYFUNCTION("""COMPUTED_VALUE"""),5.0)</f>
        <v>5</v>
      </c>
    </row>
    <row r="1394">
      <c r="A1394" s="33">
        <f>IFERROR(__xludf.DUMMYFUNCTION("""COMPUTED_VALUE"""),46176.16395915509)</f>
        <v>46176.16396</v>
      </c>
      <c r="B1394" s="29" t="str">
        <f>IFERROR(__xludf.DUMMYFUNCTION("""COMPUTED_VALUE"""),"Circumcised")</f>
        <v>Circumcised</v>
      </c>
      <c r="C1394" s="29" t="str">
        <f>IFERROR(__xludf.DUMMYFUNCTION("""COMPUTED_VALUE"""),"Light Touch Sensitivity")</f>
        <v>Light Touch Sensitivity</v>
      </c>
      <c r="D1394" s="29" t="str">
        <f>IFERROR(__xludf.DUMMYFUNCTION("""COMPUTED_VALUE"""),"4")</f>
        <v>4</v>
      </c>
      <c r="E1394" s="29">
        <f>IFERROR(__xludf.DUMMYFUNCTION("""COMPUTED_VALUE"""),4.0)</f>
        <v>4</v>
      </c>
    </row>
    <row r="1395">
      <c r="A1395" s="33">
        <f>IFERROR(__xludf.DUMMYFUNCTION("""COMPUTED_VALUE"""),46179.82143106481)</f>
        <v>46179.82143</v>
      </c>
      <c r="B1395" s="29" t="str">
        <f>IFERROR(__xludf.DUMMYFUNCTION("""COMPUTED_VALUE"""),"Intact (Never circumcised)")</f>
        <v>Intact (Never circumcised)</v>
      </c>
      <c r="C1395" s="29" t="str">
        <f>IFERROR(__xludf.DUMMYFUNCTION("""COMPUTED_VALUE"""),"Light Touch Sensitivity")</f>
        <v>Light Touch Sensitivity</v>
      </c>
      <c r="D1395" s="29" t="str">
        <f>IFERROR(__xludf.DUMMYFUNCTION("""COMPUTED_VALUE"""),"4")</f>
        <v>4</v>
      </c>
      <c r="E1395" s="29">
        <f>IFERROR(__xludf.DUMMYFUNCTION("""COMPUTED_VALUE"""),4.0)</f>
        <v>4</v>
      </c>
    </row>
    <row r="1396">
      <c r="A1396" s="33">
        <f>IFERROR(__xludf.DUMMYFUNCTION("""COMPUTED_VALUE"""),46181.34934444445)</f>
        <v>46181.34934</v>
      </c>
      <c r="B1396" s="29" t="str">
        <f>IFERROR(__xludf.DUMMYFUNCTION("""COMPUTED_VALUE"""),"Intact (Never circumcised)")</f>
        <v>Intact (Never circumcised)</v>
      </c>
      <c r="C1396" s="29" t="str">
        <f>IFERROR(__xludf.DUMMYFUNCTION("""COMPUTED_VALUE"""),"Light Touch Sensitivity")</f>
        <v>Light Touch Sensitivity</v>
      </c>
      <c r="D1396" s="29" t="str">
        <f>IFERROR(__xludf.DUMMYFUNCTION("""COMPUTED_VALUE"""),"4")</f>
        <v>4</v>
      </c>
      <c r="E1396" s="29">
        <f>IFERROR(__xludf.DUMMYFUNCTION("""COMPUTED_VALUE"""),4.0)</f>
        <v>4</v>
      </c>
    </row>
    <row r="1397">
      <c r="A1397" s="33">
        <f>IFERROR(__xludf.DUMMYFUNCTION("""COMPUTED_VALUE"""),46181.86271541667)</f>
        <v>46181.86272</v>
      </c>
      <c r="B1397" s="29" t="str">
        <f>IFERROR(__xludf.DUMMYFUNCTION("""COMPUTED_VALUE"""),"Circumcised")</f>
        <v>Circumcised</v>
      </c>
      <c r="C1397" s="29" t="str">
        <f>IFERROR(__xludf.DUMMYFUNCTION("""COMPUTED_VALUE"""),"Light Touch Sensitivity")</f>
        <v>Light Touch Sensitivity</v>
      </c>
      <c r="D1397" s="29" t="str">
        <f>IFERROR(__xludf.DUMMYFUNCTION("""COMPUTED_VALUE"""),"5 (High/Excellent)")</f>
        <v>5 (High/Excellent)</v>
      </c>
      <c r="E1397" s="29">
        <f>IFERROR(__xludf.DUMMYFUNCTION("""COMPUTED_VALUE"""),5.0)</f>
        <v>5</v>
      </c>
    </row>
    <row r="1398">
      <c r="A1398" s="33">
        <f>IFERROR(__xludf.DUMMYFUNCTION("""COMPUTED_VALUE"""),46182.806710358804)</f>
        <v>46182.80671</v>
      </c>
      <c r="B1398" s="29" t="str">
        <f>IFERROR(__xludf.DUMMYFUNCTION("""COMPUTED_VALUE"""),"Intact (Never circumcised)")</f>
        <v>Intact (Never circumcised)</v>
      </c>
      <c r="C1398" s="29" t="str">
        <f>IFERROR(__xludf.DUMMYFUNCTION("""COMPUTED_VALUE"""),"Light Touch Sensitivity")</f>
        <v>Light Touch Sensitivity</v>
      </c>
      <c r="D1398" s="29" t="str">
        <f>IFERROR(__xludf.DUMMYFUNCTION("""COMPUTED_VALUE"""),"4")</f>
        <v>4</v>
      </c>
      <c r="E1398" s="29">
        <f>IFERROR(__xludf.DUMMYFUNCTION("""COMPUTED_VALUE"""),4.0)</f>
        <v>4</v>
      </c>
    </row>
    <row r="1399">
      <c r="A1399" s="33">
        <f>IFERROR(__xludf.DUMMYFUNCTION("""COMPUTED_VALUE"""),46187.824254467596)</f>
        <v>46187.82425</v>
      </c>
      <c r="B1399" s="29" t="str">
        <f>IFERROR(__xludf.DUMMYFUNCTION("""COMPUTED_VALUE"""),"Circumcised")</f>
        <v>Circumcised</v>
      </c>
      <c r="C1399" s="29" t="str">
        <f>IFERROR(__xludf.DUMMYFUNCTION("""COMPUTED_VALUE"""),"Light Touch Sensitivity")</f>
        <v>Light Touch Sensitivity</v>
      </c>
      <c r="D1399" s="29" t="str">
        <f>IFERROR(__xludf.DUMMYFUNCTION("""COMPUTED_VALUE"""),"3 (Medium/Average)")</f>
        <v>3 (Medium/Average)</v>
      </c>
      <c r="E1399" s="29">
        <f>IFERROR(__xludf.DUMMYFUNCTION("""COMPUTED_VALUE"""),3.0)</f>
        <v>3</v>
      </c>
    </row>
    <row r="1400">
      <c r="A1400" s="33">
        <f>IFERROR(__xludf.DUMMYFUNCTION("""COMPUTED_VALUE"""),45825.046766956024)</f>
        <v>45825.04677</v>
      </c>
      <c r="B1400" s="29" t="str">
        <f>IFERROR(__xludf.DUMMYFUNCTION("""COMPUTED_VALUE"""),"Actively restoring my foreskin / I consider myself restored")</f>
        <v>Actively restoring my foreskin / I consider myself restored</v>
      </c>
      <c r="C1400" s="29" t="str">
        <f>IFERROR(__xludf.DUMMYFUNCTION("""COMPUTED_VALUE"""),"Pleasure from Mobile Skin")</f>
        <v>Pleasure from Mobile Skin</v>
      </c>
      <c r="D1400" s="29" t="str">
        <f>IFERROR(__xludf.DUMMYFUNCTION("""COMPUTED_VALUE"""),"2")</f>
        <v>2</v>
      </c>
      <c r="E1400" s="29">
        <f>IFERROR(__xludf.DUMMYFUNCTION("""COMPUTED_VALUE"""),2.0)</f>
        <v>2</v>
      </c>
    </row>
    <row r="1401">
      <c r="A1401" s="33">
        <f>IFERROR(__xludf.DUMMYFUNCTION("""COMPUTED_VALUE"""),45825.05825144676)</f>
        <v>45825.05825</v>
      </c>
      <c r="B1401" s="29" t="str">
        <f>IFERROR(__xludf.DUMMYFUNCTION("""COMPUTED_VALUE"""),"Circumcised")</f>
        <v>Circumcised</v>
      </c>
      <c r="C1401" s="29" t="str">
        <f>IFERROR(__xludf.DUMMYFUNCTION("""COMPUTED_VALUE"""),"Pleasure from Mobile Skin")</f>
        <v>Pleasure from Mobile Skin</v>
      </c>
      <c r="D1401" s="29" t="str">
        <f>IFERROR(__xludf.DUMMYFUNCTION("""COMPUTED_VALUE"""),"1 (Low/Poor)")</f>
        <v>1 (Low/Poor)</v>
      </c>
      <c r="E1401" s="29">
        <f>IFERROR(__xludf.DUMMYFUNCTION("""COMPUTED_VALUE"""),1.0)</f>
        <v>1</v>
      </c>
    </row>
    <row r="1402">
      <c r="A1402" s="33">
        <f>IFERROR(__xludf.DUMMYFUNCTION("""COMPUTED_VALUE"""),45825.103313796295)</f>
        <v>45825.10331</v>
      </c>
      <c r="B1402" s="29" t="str">
        <f>IFERROR(__xludf.DUMMYFUNCTION("""COMPUTED_VALUE"""),"Actively restoring my foreskin / I consider myself restored")</f>
        <v>Actively restoring my foreskin / I consider myself restored</v>
      </c>
      <c r="C1402" s="29" t="str">
        <f>IFERROR(__xludf.DUMMYFUNCTION("""COMPUTED_VALUE"""),"Pleasure from Mobile Skin")</f>
        <v>Pleasure from Mobile Skin</v>
      </c>
      <c r="D1402" s="29" t="str">
        <f>IFERROR(__xludf.DUMMYFUNCTION("""COMPUTED_VALUE"""),"3 (Medium/Average)")</f>
        <v>3 (Medium/Average)</v>
      </c>
      <c r="E1402" s="29">
        <f>IFERROR(__xludf.DUMMYFUNCTION("""COMPUTED_VALUE"""),3.0)</f>
        <v>3</v>
      </c>
    </row>
    <row r="1403">
      <c r="A1403" s="33">
        <f>IFERROR(__xludf.DUMMYFUNCTION("""COMPUTED_VALUE"""),45825.223511655095)</f>
        <v>45825.22351</v>
      </c>
      <c r="B1403" s="29" t="str">
        <f>IFERROR(__xludf.DUMMYFUNCTION("""COMPUTED_VALUE"""),"Actively restoring my foreskin / I consider myself restored")</f>
        <v>Actively restoring my foreskin / I consider myself restored</v>
      </c>
      <c r="C1403" s="29" t="str">
        <f>IFERROR(__xludf.DUMMYFUNCTION("""COMPUTED_VALUE"""),"Pleasure from Mobile Skin")</f>
        <v>Pleasure from Mobile Skin</v>
      </c>
      <c r="D1403" s="29" t="str">
        <f>IFERROR(__xludf.DUMMYFUNCTION("""COMPUTED_VALUE"""),"4")</f>
        <v>4</v>
      </c>
      <c r="E1403" s="29">
        <f>IFERROR(__xludf.DUMMYFUNCTION("""COMPUTED_VALUE"""),4.0)</f>
        <v>4</v>
      </c>
    </row>
    <row r="1404">
      <c r="A1404" s="33">
        <f>IFERROR(__xludf.DUMMYFUNCTION("""COMPUTED_VALUE"""),45825.25907047454)</f>
        <v>45825.25907</v>
      </c>
      <c r="B1404" s="29" t="str">
        <f>IFERROR(__xludf.DUMMYFUNCTION("""COMPUTED_VALUE"""),"Circumcised")</f>
        <v>Circumcised</v>
      </c>
      <c r="C1404" s="29" t="str">
        <f>IFERROR(__xludf.DUMMYFUNCTION("""COMPUTED_VALUE"""),"Pleasure from Mobile Skin")</f>
        <v>Pleasure from Mobile Skin</v>
      </c>
      <c r="D1404" s="29" t="str">
        <f>IFERROR(__xludf.DUMMYFUNCTION("""COMPUTED_VALUE"""),"2")</f>
        <v>2</v>
      </c>
      <c r="E1404" s="29">
        <f>IFERROR(__xludf.DUMMYFUNCTION("""COMPUTED_VALUE"""),2.0)</f>
        <v>2</v>
      </c>
    </row>
    <row r="1405">
      <c r="A1405" s="33">
        <f>IFERROR(__xludf.DUMMYFUNCTION("""COMPUTED_VALUE"""),45825.4346852662)</f>
        <v>45825.43469</v>
      </c>
      <c r="B1405" s="29" t="str">
        <f>IFERROR(__xludf.DUMMYFUNCTION("""COMPUTED_VALUE"""),"Actively restoring my foreskin / I consider myself restored")</f>
        <v>Actively restoring my foreskin / I consider myself restored</v>
      </c>
      <c r="C1405" s="29" t="str">
        <f>IFERROR(__xludf.DUMMYFUNCTION("""COMPUTED_VALUE"""),"Pleasure from Mobile Skin")</f>
        <v>Pleasure from Mobile Skin</v>
      </c>
      <c r="D1405" s="29" t="str">
        <f>IFERROR(__xludf.DUMMYFUNCTION("""COMPUTED_VALUE"""),"1 (Low/Poor)")</f>
        <v>1 (Low/Poor)</v>
      </c>
      <c r="E1405" s="29">
        <f>IFERROR(__xludf.DUMMYFUNCTION("""COMPUTED_VALUE"""),1.0)</f>
        <v>1</v>
      </c>
    </row>
    <row r="1406">
      <c r="A1406" s="33">
        <f>IFERROR(__xludf.DUMMYFUNCTION("""COMPUTED_VALUE"""),45826.77728232639)</f>
        <v>45826.77728</v>
      </c>
      <c r="B1406" s="29" t="str">
        <f>IFERROR(__xludf.DUMMYFUNCTION("""COMPUTED_VALUE"""),"Actively restoring my foreskin / I consider myself restored")</f>
        <v>Actively restoring my foreskin / I consider myself restored</v>
      </c>
      <c r="C1406" s="29" t="str">
        <f>IFERROR(__xludf.DUMMYFUNCTION("""COMPUTED_VALUE"""),"Pleasure from Mobile Skin")</f>
        <v>Pleasure from Mobile Skin</v>
      </c>
      <c r="D1406" s="29" t="str">
        <f>IFERROR(__xludf.DUMMYFUNCTION("""COMPUTED_VALUE"""),"3 (Medium/Average)")</f>
        <v>3 (Medium/Average)</v>
      </c>
      <c r="E1406" s="29">
        <f>IFERROR(__xludf.DUMMYFUNCTION("""COMPUTED_VALUE"""),3.0)</f>
        <v>3</v>
      </c>
    </row>
    <row r="1407">
      <c r="A1407" s="33">
        <f>IFERROR(__xludf.DUMMYFUNCTION("""COMPUTED_VALUE"""),45826.853455763885)</f>
        <v>45826.85346</v>
      </c>
      <c r="B1407" s="29" t="str">
        <f>IFERROR(__xludf.DUMMYFUNCTION("""COMPUTED_VALUE"""),"Circumcised")</f>
        <v>Circumcised</v>
      </c>
      <c r="C1407" s="29" t="str">
        <f>IFERROR(__xludf.DUMMYFUNCTION("""COMPUTED_VALUE"""),"Pleasure from Mobile Skin")</f>
        <v>Pleasure from Mobile Skin</v>
      </c>
      <c r="D1407" s="29" t="str">
        <f>IFERROR(__xludf.DUMMYFUNCTION("""COMPUTED_VALUE"""),"1 (Low/Poor)")</f>
        <v>1 (Low/Poor)</v>
      </c>
      <c r="E1407" s="29">
        <f>IFERROR(__xludf.DUMMYFUNCTION("""COMPUTED_VALUE"""),1.0)</f>
        <v>1</v>
      </c>
    </row>
    <row r="1408">
      <c r="A1408" s="33">
        <f>IFERROR(__xludf.DUMMYFUNCTION("""COMPUTED_VALUE"""),45826.85406060185)</f>
        <v>45826.85406</v>
      </c>
      <c r="B1408" s="29" t="str">
        <f>IFERROR(__xludf.DUMMYFUNCTION("""COMPUTED_VALUE"""),"Circumcised")</f>
        <v>Circumcised</v>
      </c>
      <c r="C1408" s="29" t="str">
        <f>IFERROR(__xludf.DUMMYFUNCTION("""COMPUTED_VALUE"""),"Pleasure from Mobile Skin")</f>
        <v>Pleasure from Mobile Skin</v>
      </c>
      <c r="D1408" s="29" t="str">
        <f>IFERROR(__xludf.DUMMYFUNCTION("""COMPUTED_VALUE"""),"1 (Low/Poor)")</f>
        <v>1 (Low/Poor)</v>
      </c>
      <c r="E1408" s="29">
        <f>IFERROR(__xludf.DUMMYFUNCTION("""COMPUTED_VALUE"""),1.0)</f>
        <v>1</v>
      </c>
    </row>
    <row r="1409">
      <c r="A1409" s="33">
        <f>IFERROR(__xludf.DUMMYFUNCTION("""COMPUTED_VALUE"""),45826.879537835644)</f>
        <v>45826.87954</v>
      </c>
      <c r="B1409" s="29" t="str">
        <f>IFERROR(__xludf.DUMMYFUNCTION("""COMPUTED_VALUE"""),"Actively restoring my foreskin / I consider myself restored")</f>
        <v>Actively restoring my foreskin / I consider myself restored</v>
      </c>
      <c r="C1409" s="29" t="str">
        <f>IFERROR(__xludf.DUMMYFUNCTION("""COMPUTED_VALUE"""),"Pleasure from Mobile Skin")</f>
        <v>Pleasure from Mobile Skin</v>
      </c>
      <c r="D1409" s="29" t="str">
        <f>IFERROR(__xludf.DUMMYFUNCTION("""COMPUTED_VALUE"""),"1 (Low/Poor)")</f>
        <v>1 (Low/Poor)</v>
      </c>
      <c r="E1409" s="29">
        <f>IFERROR(__xludf.DUMMYFUNCTION("""COMPUTED_VALUE"""),1.0)</f>
        <v>1</v>
      </c>
    </row>
    <row r="1410">
      <c r="A1410" s="33">
        <f>IFERROR(__xludf.DUMMYFUNCTION("""COMPUTED_VALUE"""),45826.87984899305)</f>
        <v>45826.87985</v>
      </c>
      <c r="B1410" s="29" t="str">
        <f>IFERROR(__xludf.DUMMYFUNCTION("""COMPUTED_VALUE"""),"Actively restoring my foreskin / I consider myself restored")</f>
        <v>Actively restoring my foreskin / I consider myself restored</v>
      </c>
      <c r="C1410" s="29" t="str">
        <f>IFERROR(__xludf.DUMMYFUNCTION("""COMPUTED_VALUE"""),"Pleasure from Mobile Skin")</f>
        <v>Pleasure from Mobile Skin</v>
      </c>
      <c r="D1410" s="29" t="str">
        <f>IFERROR(__xludf.DUMMYFUNCTION("""COMPUTED_VALUE"""),"2")</f>
        <v>2</v>
      </c>
      <c r="E1410" s="29">
        <f>IFERROR(__xludf.DUMMYFUNCTION("""COMPUTED_VALUE"""),2.0)</f>
        <v>2</v>
      </c>
    </row>
    <row r="1411">
      <c r="A1411" s="33">
        <f>IFERROR(__xludf.DUMMYFUNCTION("""COMPUTED_VALUE"""),45826.90960921296)</f>
        <v>45826.90961</v>
      </c>
      <c r="B1411" s="29" t="str">
        <f>IFERROR(__xludf.DUMMYFUNCTION("""COMPUTED_VALUE"""),"Circumcised")</f>
        <v>Circumcised</v>
      </c>
      <c r="C1411" s="29" t="str">
        <f>IFERROR(__xludf.DUMMYFUNCTION("""COMPUTED_VALUE"""),"Pleasure from Mobile Skin")</f>
        <v>Pleasure from Mobile Skin</v>
      </c>
      <c r="D1411" s="29" t="str">
        <f>IFERROR(__xludf.DUMMYFUNCTION("""COMPUTED_VALUE"""),"5 (High/Excellent)")</f>
        <v>5 (High/Excellent)</v>
      </c>
      <c r="E1411" s="29">
        <f>IFERROR(__xludf.DUMMYFUNCTION("""COMPUTED_VALUE"""),5.0)</f>
        <v>5</v>
      </c>
    </row>
    <row r="1412">
      <c r="A1412" s="33">
        <f>IFERROR(__xludf.DUMMYFUNCTION("""COMPUTED_VALUE"""),45826.92376010417)</f>
        <v>45826.92376</v>
      </c>
      <c r="B1412" s="29" t="str">
        <f>IFERROR(__xludf.DUMMYFUNCTION("""COMPUTED_VALUE"""),"Circumcised")</f>
        <v>Circumcised</v>
      </c>
      <c r="C1412" s="29" t="str">
        <f>IFERROR(__xludf.DUMMYFUNCTION("""COMPUTED_VALUE"""),"Pleasure from Mobile Skin")</f>
        <v>Pleasure from Mobile Skin</v>
      </c>
      <c r="D1412" s="29" t="str">
        <f>IFERROR(__xludf.DUMMYFUNCTION("""COMPUTED_VALUE"""),"1 (Low/Poor)")</f>
        <v>1 (Low/Poor)</v>
      </c>
      <c r="E1412" s="29">
        <f>IFERROR(__xludf.DUMMYFUNCTION("""COMPUTED_VALUE"""),1.0)</f>
        <v>1</v>
      </c>
    </row>
    <row r="1413">
      <c r="A1413" s="33">
        <f>IFERROR(__xludf.DUMMYFUNCTION("""COMPUTED_VALUE"""),45826.92420601851)</f>
        <v>45826.92421</v>
      </c>
      <c r="B1413" s="29" t="str">
        <f>IFERROR(__xludf.DUMMYFUNCTION("""COMPUTED_VALUE"""),"Circumcised")</f>
        <v>Circumcised</v>
      </c>
      <c r="C1413" s="29" t="str">
        <f>IFERROR(__xludf.DUMMYFUNCTION("""COMPUTED_VALUE"""),"Pleasure from Mobile Skin")</f>
        <v>Pleasure from Mobile Skin</v>
      </c>
      <c r="D1413" s="29" t="str">
        <f>IFERROR(__xludf.DUMMYFUNCTION("""COMPUTED_VALUE"""),"2")</f>
        <v>2</v>
      </c>
      <c r="E1413" s="29">
        <f>IFERROR(__xludf.DUMMYFUNCTION("""COMPUTED_VALUE"""),2.0)</f>
        <v>2</v>
      </c>
    </row>
    <row r="1414">
      <c r="A1414" s="33">
        <f>IFERROR(__xludf.DUMMYFUNCTION("""COMPUTED_VALUE"""),45826.94651975695)</f>
        <v>45826.94652</v>
      </c>
      <c r="B1414" s="29" t="str">
        <f>IFERROR(__xludf.DUMMYFUNCTION("""COMPUTED_VALUE"""),"Circumcised")</f>
        <v>Circumcised</v>
      </c>
      <c r="C1414" s="29" t="str">
        <f>IFERROR(__xludf.DUMMYFUNCTION("""COMPUTED_VALUE"""),"Pleasure from Mobile Skin")</f>
        <v>Pleasure from Mobile Skin</v>
      </c>
      <c r="D1414" s="29" t="str">
        <f>IFERROR(__xludf.DUMMYFUNCTION("""COMPUTED_VALUE"""),"2")</f>
        <v>2</v>
      </c>
      <c r="E1414" s="29">
        <f>IFERROR(__xludf.DUMMYFUNCTION("""COMPUTED_VALUE"""),2.0)</f>
        <v>2</v>
      </c>
    </row>
    <row r="1415">
      <c r="A1415" s="33">
        <f>IFERROR(__xludf.DUMMYFUNCTION("""COMPUTED_VALUE"""),45826.96069337963)</f>
        <v>45826.96069</v>
      </c>
      <c r="B1415" s="29" t="str">
        <f>IFERROR(__xludf.DUMMYFUNCTION("""COMPUTED_VALUE"""),"Circumcised")</f>
        <v>Circumcised</v>
      </c>
      <c r="C1415" s="29" t="str">
        <f>IFERROR(__xludf.DUMMYFUNCTION("""COMPUTED_VALUE"""),"Pleasure from Mobile Skin")</f>
        <v>Pleasure from Mobile Skin</v>
      </c>
      <c r="D1415" s="29" t="str">
        <f>IFERROR(__xludf.DUMMYFUNCTION("""COMPUTED_VALUE"""),"1 (Low/Poor)")</f>
        <v>1 (Low/Poor)</v>
      </c>
      <c r="E1415" s="29">
        <f>IFERROR(__xludf.DUMMYFUNCTION("""COMPUTED_VALUE"""),1.0)</f>
        <v>1</v>
      </c>
    </row>
    <row r="1416">
      <c r="A1416" s="33">
        <f>IFERROR(__xludf.DUMMYFUNCTION("""COMPUTED_VALUE"""),45826.965006562496)</f>
        <v>45826.96501</v>
      </c>
      <c r="B1416" s="29" t="str">
        <f>IFERROR(__xludf.DUMMYFUNCTION("""COMPUTED_VALUE"""),"Circumcised")</f>
        <v>Circumcised</v>
      </c>
      <c r="C1416" s="29" t="str">
        <f>IFERROR(__xludf.DUMMYFUNCTION("""COMPUTED_VALUE"""),"Pleasure from Mobile Skin")</f>
        <v>Pleasure from Mobile Skin</v>
      </c>
      <c r="D1416" s="29" t="str">
        <f>IFERROR(__xludf.DUMMYFUNCTION("""COMPUTED_VALUE"""),"1 (Low/Poor)")</f>
        <v>1 (Low/Poor)</v>
      </c>
      <c r="E1416" s="29">
        <f>IFERROR(__xludf.DUMMYFUNCTION("""COMPUTED_VALUE"""),1.0)</f>
        <v>1</v>
      </c>
    </row>
    <row r="1417">
      <c r="A1417" s="33">
        <f>IFERROR(__xludf.DUMMYFUNCTION("""COMPUTED_VALUE"""),45826.98130766204)</f>
        <v>45826.98131</v>
      </c>
      <c r="B1417" s="29" t="str">
        <f>IFERROR(__xludf.DUMMYFUNCTION("""COMPUTED_VALUE"""),"Actively restoring my foreskin / I consider myself restored")</f>
        <v>Actively restoring my foreskin / I consider myself restored</v>
      </c>
      <c r="C1417" s="29" t="str">
        <f>IFERROR(__xludf.DUMMYFUNCTION("""COMPUTED_VALUE"""),"Pleasure from Mobile Skin")</f>
        <v>Pleasure from Mobile Skin</v>
      </c>
      <c r="D1417" s="29" t="str">
        <f>IFERROR(__xludf.DUMMYFUNCTION("""COMPUTED_VALUE"""),"3 (Medium/Average)")</f>
        <v>3 (Medium/Average)</v>
      </c>
      <c r="E1417" s="29">
        <f>IFERROR(__xludf.DUMMYFUNCTION("""COMPUTED_VALUE"""),3.0)</f>
        <v>3</v>
      </c>
    </row>
    <row r="1418">
      <c r="A1418" s="33">
        <f>IFERROR(__xludf.DUMMYFUNCTION("""COMPUTED_VALUE"""),45826.999987523144)</f>
        <v>45826.99999</v>
      </c>
      <c r="B1418" s="29" t="str">
        <f>IFERROR(__xludf.DUMMYFUNCTION("""COMPUTED_VALUE"""),"Circumcised")</f>
        <v>Circumcised</v>
      </c>
      <c r="C1418" s="29" t="str">
        <f>IFERROR(__xludf.DUMMYFUNCTION("""COMPUTED_VALUE"""),"Pleasure from Mobile Skin")</f>
        <v>Pleasure from Mobile Skin</v>
      </c>
      <c r="D1418" s="29" t="str">
        <f>IFERROR(__xludf.DUMMYFUNCTION("""COMPUTED_VALUE"""),"2")</f>
        <v>2</v>
      </c>
      <c r="E1418" s="29">
        <f>IFERROR(__xludf.DUMMYFUNCTION("""COMPUTED_VALUE"""),2.0)</f>
        <v>2</v>
      </c>
    </row>
    <row r="1419">
      <c r="A1419" s="33">
        <f>IFERROR(__xludf.DUMMYFUNCTION("""COMPUTED_VALUE"""),45827.03329590277)</f>
        <v>45827.0333</v>
      </c>
      <c r="B1419" s="29" t="str">
        <f>IFERROR(__xludf.DUMMYFUNCTION("""COMPUTED_VALUE"""),"Actively restoring my foreskin / I consider myself restored")</f>
        <v>Actively restoring my foreskin / I consider myself restored</v>
      </c>
      <c r="C1419" s="29" t="str">
        <f>IFERROR(__xludf.DUMMYFUNCTION("""COMPUTED_VALUE"""),"Pleasure from Mobile Skin")</f>
        <v>Pleasure from Mobile Skin</v>
      </c>
      <c r="D1419" s="29" t="str">
        <f>IFERROR(__xludf.DUMMYFUNCTION("""COMPUTED_VALUE"""),"2")</f>
        <v>2</v>
      </c>
      <c r="E1419" s="29">
        <f>IFERROR(__xludf.DUMMYFUNCTION("""COMPUTED_VALUE"""),2.0)</f>
        <v>2</v>
      </c>
    </row>
    <row r="1420">
      <c r="A1420" s="33">
        <f>IFERROR(__xludf.DUMMYFUNCTION("""COMPUTED_VALUE"""),45827.04287230324)</f>
        <v>45827.04287</v>
      </c>
      <c r="B1420" s="29" t="str">
        <f>IFERROR(__xludf.DUMMYFUNCTION("""COMPUTED_VALUE"""),"Actively restoring my foreskin / I consider myself restored")</f>
        <v>Actively restoring my foreskin / I consider myself restored</v>
      </c>
      <c r="C1420" s="29" t="str">
        <f>IFERROR(__xludf.DUMMYFUNCTION("""COMPUTED_VALUE"""),"Pleasure from Mobile Skin")</f>
        <v>Pleasure from Mobile Skin</v>
      </c>
      <c r="D1420" s="29" t="str">
        <f>IFERROR(__xludf.DUMMYFUNCTION("""COMPUTED_VALUE"""),"4")</f>
        <v>4</v>
      </c>
      <c r="E1420" s="29">
        <f>IFERROR(__xludf.DUMMYFUNCTION("""COMPUTED_VALUE"""),4.0)</f>
        <v>4</v>
      </c>
    </row>
    <row r="1421">
      <c r="A1421" s="33">
        <f>IFERROR(__xludf.DUMMYFUNCTION("""COMPUTED_VALUE"""),45827.10090055556)</f>
        <v>45827.1009</v>
      </c>
      <c r="B1421" s="29" t="str">
        <f>IFERROR(__xludf.DUMMYFUNCTION("""COMPUTED_VALUE"""),"Circumcised")</f>
        <v>Circumcised</v>
      </c>
      <c r="C1421" s="29" t="str">
        <f>IFERROR(__xludf.DUMMYFUNCTION("""COMPUTED_VALUE"""),"Pleasure from Mobile Skin")</f>
        <v>Pleasure from Mobile Skin</v>
      </c>
      <c r="D1421" s="29" t="str">
        <f>IFERROR(__xludf.DUMMYFUNCTION("""COMPUTED_VALUE"""),"4")</f>
        <v>4</v>
      </c>
      <c r="E1421" s="29">
        <f>IFERROR(__xludf.DUMMYFUNCTION("""COMPUTED_VALUE"""),4.0)</f>
        <v>4</v>
      </c>
    </row>
    <row r="1422">
      <c r="A1422" s="33">
        <f>IFERROR(__xludf.DUMMYFUNCTION("""COMPUTED_VALUE"""),45827.10245875)</f>
        <v>45827.10246</v>
      </c>
      <c r="B1422" s="29" t="str">
        <f>IFERROR(__xludf.DUMMYFUNCTION("""COMPUTED_VALUE"""),"Actively restoring my foreskin / I consider myself restored")</f>
        <v>Actively restoring my foreskin / I consider myself restored</v>
      </c>
      <c r="C1422" s="29" t="str">
        <f>IFERROR(__xludf.DUMMYFUNCTION("""COMPUTED_VALUE"""),"Pleasure from Mobile Skin")</f>
        <v>Pleasure from Mobile Skin</v>
      </c>
      <c r="D1422" s="29" t="str">
        <f>IFERROR(__xludf.DUMMYFUNCTION("""COMPUTED_VALUE"""),"4")</f>
        <v>4</v>
      </c>
      <c r="E1422" s="29">
        <f>IFERROR(__xludf.DUMMYFUNCTION("""COMPUTED_VALUE"""),4.0)</f>
        <v>4</v>
      </c>
    </row>
    <row r="1423">
      <c r="A1423" s="33">
        <f>IFERROR(__xludf.DUMMYFUNCTION("""COMPUTED_VALUE"""),45827.13108915509)</f>
        <v>45827.13109</v>
      </c>
      <c r="B1423" s="29" t="str">
        <f>IFERROR(__xludf.DUMMYFUNCTION("""COMPUTED_VALUE"""),"Actively restoring my foreskin / I consider myself restored")</f>
        <v>Actively restoring my foreskin / I consider myself restored</v>
      </c>
      <c r="C1423" s="29" t="str">
        <f>IFERROR(__xludf.DUMMYFUNCTION("""COMPUTED_VALUE"""),"Pleasure from Mobile Skin")</f>
        <v>Pleasure from Mobile Skin</v>
      </c>
      <c r="D1423" s="29" t="str">
        <f>IFERROR(__xludf.DUMMYFUNCTION("""COMPUTED_VALUE"""),"2")</f>
        <v>2</v>
      </c>
      <c r="E1423" s="29">
        <f>IFERROR(__xludf.DUMMYFUNCTION("""COMPUTED_VALUE"""),2.0)</f>
        <v>2</v>
      </c>
    </row>
    <row r="1424">
      <c r="A1424" s="33">
        <f>IFERROR(__xludf.DUMMYFUNCTION("""COMPUTED_VALUE"""),45827.1437643287)</f>
        <v>45827.14376</v>
      </c>
      <c r="B1424" s="29" t="str">
        <f>IFERROR(__xludf.DUMMYFUNCTION("""COMPUTED_VALUE"""),"Circumcised")</f>
        <v>Circumcised</v>
      </c>
      <c r="C1424" s="29" t="str">
        <f>IFERROR(__xludf.DUMMYFUNCTION("""COMPUTED_VALUE"""),"Pleasure from Mobile Skin")</f>
        <v>Pleasure from Mobile Skin</v>
      </c>
      <c r="D1424" s="29" t="str">
        <f>IFERROR(__xludf.DUMMYFUNCTION("""COMPUTED_VALUE"""),"2")</f>
        <v>2</v>
      </c>
      <c r="E1424" s="29">
        <f>IFERROR(__xludf.DUMMYFUNCTION("""COMPUTED_VALUE"""),2.0)</f>
        <v>2</v>
      </c>
    </row>
    <row r="1425">
      <c r="A1425" s="33">
        <f>IFERROR(__xludf.DUMMYFUNCTION("""COMPUTED_VALUE"""),45827.154774386574)</f>
        <v>45827.15477</v>
      </c>
      <c r="B1425" s="29" t="str">
        <f>IFERROR(__xludf.DUMMYFUNCTION("""COMPUTED_VALUE"""),"Actively restoring my foreskin / I consider myself restored")</f>
        <v>Actively restoring my foreskin / I consider myself restored</v>
      </c>
      <c r="C1425" s="29" t="str">
        <f>IFERROR(__xludf.DUMMYFUNCTION("""COMPUTED_VALUE"""),"Pleasure from Mobile Skin")</f>
        <v>Pleasure from Mobile Skin</v>
      </c>
      <c r="D1425" s="29" t="str">
        <f>IFERROR(__xludf.DUMMYFUNCTION("""COMPUTED_VALUE"""),"3 (Medium/Average)")</f>
        <v>3 (Medium/Average)</v>
      </c>
      <c r="E1425" s="29">
        <f>IFERROR(__xludf.DUMMYFUNCTION("""COMPUTED_VALUE"""),3.0)</f>
        <v>3</v>
      </c>
    </row>
    <row r="1426">
      <c r="A1426" s="33">
        <f>IFERROR(__xludf.DUMMYFUNCTION("""COMPUTED_VALUE"""),45827.166781851854)</f>
        <v>45827.16678</v>
      </c>
      <c r="B1426" s="29" t="str">
        <f>IFERROR(__xludf.DUMMYFUNCTION("""COMPUTED_VALUE"""),"Intact (Never circumcised)")</f>
        <v>Intact (Never circumcised)</v>
      </c>
      <c r="C1426" s="29" t="str">
        <f>IFERROR(__xludf.DUMMYFUNCTION("""COMPUTED_VALUE"""),"Pleasure from Mobile Skin")</f>
        <v>Pleasure from Mobile Skin</v>
      </c>
      <c r="D1426" s="29" t="str">
        <f>IFERROR(__xludf.DUMMYFUNCTION("""COMPUTED_VALUE"""),"5 (High/Excellent)")</f>
        <v>5 (High/Excellent)</v>
      </c>
      <c r="E1426" s="29">
        <f>IFERROR(__xludf.DUMMYFUNCTION("""COMPUTED_VALUE"""),5.0)</f>
        <v>5</v>
      </c>
    </row>
    <row r="1427">
      <c r="A1427" s="33">
        <f>IFERROR(__xludf.DUMMYFUNCTION("""COMPUTED_VALUE"""),45827.22959027778)</f>
        <v>45827.22959</v>
      </c>
      <c r="B1427" s="29" t="str">
        <f>IFERROR(__xludf.DUMMYFUNCTION("""COMPUTED_VALUE"""),"Actively restoring my foreskin / I consider myself restored")</f>
        <v>Actively restoring my foreskin / I consider myself restored</v>
      </c>
      <c r="C1427" s="29" t="str">
        <f>IFERROR(__xludf.DUMMYFUNCTION("""COMPUTED_VALUE"""),"Pleasure from Mobile Skin")</f>
        <v>Pleasure from Mobile Skin</v>
      </c>
      <c r="D1427" s="29" t="str">
        <f>IFERROR(__xludf.DUMMYFUNCTION("""COMPUTED_VALUE"""),"1 (Low/Poor)")</f>
        <v>1 (Low/Poor)</v>
      </c>
      <c r="E1427" s="29">
        <f>IFERROR(__xludf.DUMMYFUNCTION("""COMPUTED_VALUE"""),1.0)</f>
        <v>1</v>
      </c>
    </row>
    <row r="1428">
      <c r="A1428" s="33">
        <f>IFERROR(__xludf.DUMMYFUNCTION("""COMPUTED_VALUE"""),45827.23603613426)</f>
        <v>45827.23604</v>
      </c>
      <c r="B1428" s="29" t="str">
        <f>IFERROR(__xludf.DUMMYFUNCTION("""COMPUTED_VALUE"""),"Actively restoring my foreskin / I consider myself restored")</f>
        <v>Actively restoring my foreskin / I consider myself restored</v>
      </c>
      <c r="C1428" s="29" t="str">
        <f>IFERROR(__xludf.DUMMYFUNCTION("""COMPUTED_VALUE"""),"Pleasure from Mobile Skin")</f>
        <v>Pleasure from Mobile Skin</v>
      </c>
      <c r="D1428" s="29" t="str">
        <f>IFERROR(__xludf.DUMMYFUNCTION("""COMPUTED_VALUE"""),"5 (High/Excellent)")</f>
        <v>5 (High/Excellent)</v>
      </c>
      <c r="E1428" s="29">
        <f>IFERROR(__xludf.DUMMYFUNCTION("""COMPUTED_VALUE"""),5.0)</f>
        <v>5</v>
      </c>
    </row>
    <row r="1429">
      <c r="A1429" s="33">
        <f>IFERROR(__xludf.DUMMYFUNCTION("""COMPUTED_VALUE"""),45827.23853277778)</f>
        <v>45827.23853</v>
      </c>
      <c r="B1429" s="29" t="str">
        <f>IFERROR(__xludf.DUMMYFUNCTION("""COMPUTED_VALUE"""),"Actively restoring my foreskin / I consider myself restored")</f>
        <v>Actively restoring my foreskin / I consider myself restored</v>
      </c>
      <c r="C1429" s="29" t="str">
        <f>IFERROR(__xludf.DUMMYFUNCTION("""COMPUTED_VALUE"""),"Pleasure from Mobile Skin")</f>
        <v>Pleasure from Mobile Skin</v>
      </c>
      <c r="D1429" s="29" t="str">
        <f>IFERROR(__xludf.DUMMYFUNCTION("""COMPUTED_VALUE"""),"5 (High/Excellent)")</f>
        <v>5 (High/Excellent)</v>
      </c>
      <c r="E1429" s="29">
        <f>IFERROR(__xludf.DUMMYFUNCTION("""COMPUTED_VALUE"""),5.0)</f>
        <v>5</v>
      </c>
    </row>
    <row r="1430">
      <c r="A1430" s="33">
        <f>IFERROR(__xludf.DUMMYFUNCTION("""COMPUTED_VALUE"""),45827.245649062505)</f>
        <v>45827.24565</v>
      </c>
      <c r="B1430" s="29" t="str">
        <f>IFERROR(__xludf.DUMMYFUNCTION("""COMPUTED_VALUE"""),"Actively restoring my foreskin / I consider myself restored")</f>
        <v>Actively restoring my foreskin / I consider myself restored</v>
      </c>
      <c r="C1430" s="29" t="str">
        <f>IFERROR(__xludf.DUMMYFUNCTION("""COMPUTED_VALUE"""),"Pleasure from Mobile Skin")</f>
        <v>Pleasure from Mobile Skin</v>
      </c>
      <c r="D1430" s="29" t="str">
        <f>IFERROR(__xludf.DUMMYFUNCTION("""COMPUTED_VALUE"""),"2")</f>
        <v>2</v>
      </c>
      <c r="E1430" s="29">
        <f>IFERROR(__xludf.DUMMYFUNCTION("""COMPUTED_VALUE"""),2.0)</f>
        <v>2</v>
      </c>
    </row>
    <row r="1431">
      <c r="A1431" s="33">
        <f>IFERROR(__xludf.DUMMYFUNCTION("""COMPUTED_VALUE"""),45827.372200185186)</f>
        <v>45827.3722</v>
      </c>
      <c r="B1431" s="29" t="str">
        <f>IFERROR(__xludf.DUMMYFUNCTION("""COMPUTED_VALUE"""),"Actively restoring my foreskin / I consider myself restored")</f>
        <v>Actively restoring my foreskin / I consider myself restored</v>
      </c>
      <c r="C1431" s="29" t="str">
        <f>IFERROR(__xludf.DUMMYFUNCTION("""COMPUTED_VALUE"""),"Pleasure from Mobile Skin")</f>
        <v>Pleasure from Mobile Skin</v>
      </c>
      <c r="D1431" s="29" t="str">
        <f>IFERROR(__xludf.DUMMYFUNCTION("""COMPUTED_VALUE"""),"3 (Medium/Average)")</f>
        <v>3 (Medium/Average)</v>
      </c>
      <c r="E1431" s="29">
        <f>IFERROR(__xludf.DUMMYFUNCTION("""COMPUTED_VALUE"""),3.0)</f>
        <v>3</v>
      </c>
    </row>
    <row r="1432">
      <c r="A1432" s="33">
        <f>IFERROR(__xludf.DUMMYFUNCTION("""COMPUTED_VALUE"""),45827.37673142362)</f>
        <v>45827.37673</v>
      </c>
      <c r="B1432" s="29" t="str">
        <f>IFERROR(__xludf.DUMMYFUNCTION("""COMPUTED_VALUE"""),"Circumcised")</f>
        <v>Circumcised</v>
      </c>
      <c r="C1432" s="29" t="str">
        <f>IFERROR(__xludf.DUMMYFUNCTION("""COMPUTED_VALUE"""),"Pleasure from Mobile Skin")</f>
        <v>Pleasure from Mobile Skin</v>
      </c>
      <c r="D1432" s="29" t="str">
        <f>IFERROR(__xludf.DUMMYFUNCTION("""COMPUTED_VALUE"""),"1 (Low/Poor)")</f>
        <v>1 (Low/Poor)</v>
      </c>
      <c r="E1432" s="29">
        <f>IFERROR(__xludf.DUMMYFUNCTION("""COMPUTED_VALUE"""),1.0)</f>
        <v>1</v>
      </c>
    </row>
    <row r="1433">
      <c r="A1433" s="33">
        <f>IFERROR(__xludf.DUMMYFUNCTION("""COMPUTED_VALUE"""),45827.39404474538)</f>
        <v>45827.39404</v>
      </c>
      <c r="B1433" s="29" t="str">
        <f>IFERROR(__xludf.DUMMYFUNCTION("""COMPUTED_VALUE"""),"Circumcised")</f>
        <v>Circumcised</v>
      </c>
      <c r="C1433" s="29" t="str">
        <f>IFERROR(__xludf.DUMMYFUNCTION("""COMPUTED_VALUE"""),"Pleasure from Mobile Skin")</f>
        <v>Pleasure from Mobile Skin</v>
      </c>
      <c r="D1433" s="29" t="str">
        <f>IFERROR(__xludf.DUMMYFUNCTION("""COMPUTED_VALUE"""),"1 (Low/Poor)")</f>
        <v>1 (Low/Poor)</v>
      </c>
      <c r="E1433" s="29">
        <f>IFERROR(__xludf.DUMMYFUNCTION("""COMPUTED_VALUE"""),1.0)</f>
        <v>1</v>
      </c>
    </row>
    <row r="1434">
      <c r="A1434" s="33">
        <f>IFERROR(__xludf.DUMMYFUNCTION("""COMPUTED_VALUE"""),45827.396721377314)</f>
        <v>45827.39672</v>
      </c>
      <c r="B1434" s="29" t="str">
        <f>IFERROR(__xludf.DUMMYFUNCTION("""COMPUTED_VALUE"""),"Circumcised")</f>
        <v>Circumcised</v>
      </c>
      <c r="C1434" s="29" t="str">
        <f>IFERROR(__xludf.DUMMYFUNCTION("""COMPUTED_VALUE"""),"Pleasure from Mobile Skin")</f>
        <v>Pleasure from Mobile Skin</v>
      </c>
      <c r="D1434" s="29" t="str">
        <f>IFERROR(__xludf.DUMMYFUNCTION("""COMPUTED_VALUE"""),"2")</f>
        <v>2</v>
      </c>
      <c r="E1434" s="29">
        <f>IFERROR(__xludf.DUMMYFUNCTION("""COMPUTED_VALUE"""),2.0)</f>
        <v>2</v>
      </c>
    </row>
    <row r="1435">
      <c r="A1435" s="33">
        <f>IFERROR(__xludf.DUMMYFUNCTION("""COMPUTED_VALUE"""),45827.40643686343)</f>
        <v>45827.40644</v>
      </c>
      <c r="B1435" s="29" t="str">
        <f>IFERROR(__xludf.DUMMYFUNCTION("""COMPUTED_VALUE"""),"Actively restoring my foreskin / I consider myself restored")</f>
        <v>Actively restoring my foreskin / I consider myself restored</v>
      </c>
      <c r="C1435" s="29" t="str">
        <f>IFERROR(__xludf.DUMMYFUNCTION("""COMPUTED_VALUE"""),"Pleasure from Mobile Skin")</f>
        <v>Pleasure from Mobile Skin</v>
      </c>
      <c r="D1435" s="29" t="str">
        <f>IFERROR(__xludf.DUMMYFUNCTION("""COMPUTED_VALUE"""),"3 (Medium/Average)")</f>
        <v>3 (Medium/Average)</v>
      </c>
      <c r="E1435" s="29">
        <f>IFERROR(__xludf.DUMMYFUNCTION("""COMPUTED_VALUE"""),3.0)</f>
        <v>3</v>
      </c>
    </row>
    <row r="1436">
      <c r="A1436" s="33">
        <f>IFERROR(__xludf.DUMMYFUNCTION("""COMPUTED_VALUE"""),45827.41032530092)</f>
        <v>45827.41033</v>
      </c>
      <c r="B1436" s="29" t="str">
        <f>IFERROR(__xludf.DUMMYFUNCTION("""COMPUTED_VALUE"""),"Circumcised")</f>
        <v>Circumcised</v>
      </c>
      <c r="C1436" s="29" t="str">
        <f>IFERROR(__xludf.DUMMYFUNCTION("""COMPUTED_VALUE"""),"Pleasure from Mobile Skin")</f>
        <v>Pleasure from Mobile Skin</v>
      </c>
      <c r="D1436" s="29" t="str">
        <f>IFERROR(__xludf.DUMMYFUNCTION("""COMPUTED_VALUE"""),"4")</f>
        <v>4</v>
      </c>
      <c r="E1436" s="29">
        <f>IFERROR(__xludf.DUMMYFUNCTION("""COMPUTED_VALUE"""),4.0)</f>
        <v>4</v>
      </c>
    </row>
    <row r="1437">
      <c r="A1437" s="33">
        <f>IFERROR(__xludf.DUMMYFUNCTION("""COMPUTED_VALUE"""),45827.43042048611)</f>
        <v>45827.43042</v>
      </c>
      <c r="B1437" s="29" t="str">
        <f>IFERROR(__xludf.DUMMYFUNCTION("""COMPUTED_VALUE"""),"Circumcised")</f>
        <v>Circumcised</v>
      </c>
      <c r="C1437" s="29" t="str">
        <f>IFERROR(__xludf.DUMMYFUNCTION("""COMPUTED_VALUE"""),"Pleasure from Mobile Skin")</f>
        <v>Pleasure from Mobile Skin</v>
      </c>
      <c r="D1437" s="29" t="str">
        <f>IFERROR(__xludf.DUMMYFUNCTION("""COMPUTED_VALUE"""),"1 (Low/Poor)")</f>
        <v>1 (Low/Poor)</v>
      </c>
      <c r="E1437" s="29">
        <f>IFERROR(__xludf.DUMMYFUNCTION("""COMPUTED_VALUE"""),1.0)</f>
        <v>1</v>
      </c>
    </row>
    <row r="1438">
      <c r="A1438" s="33">
        <f>IFERROR(__xludf.DUMMYFUNCTION("""COMPUTED_VALUE"""),45827.43160585649)</f>
        <v>45827.43161</v>
      </c>
      <c r="B1438" s="29" t="str">
        <f>IFERROR(__xludf.DUMMYFUNCTION("""COMPUTED_VALUE"""),"Circumcised")</f>
        <v>Circumcised</v>
      </c>
      <c r="C1438" s="29" t="str">
        <f>IFERROR(__xludf.DUMMYFUNCTION("""COMPUTED_VALUE"""),"Pleasure from Mobile Skin")</f>
        <v>Pleasure from Mobile Skin</v>
      </c>
      <c r="D1438" s="29" t="str">
        <f>IFERROR(__xludf.DUMMYFUNCTION("""COMPUTED_VALUE"""),"2")</f>
        <v>2</v>
      </c>
      <c r="E1438" s="29">
        <f>IFERROR(__xludf.DUMMYFUNCTION("""COMPUTED_VALUE"""),2.0)</f>
        <v>2</v>
      </c>
    </row>
    <row r="1439">
      <c r="A1439" s="33">
        <f>IFERROR(__xludf.DUMMYFUNCTION("""COMPUTED_VALUE"""),45827.434389699076)</f>
        <v>45827.43439</v>
      </c>
      <c r="B1439" s="29" t="str">
        <f>IFERROR(__xludf.DUMMYFUNCTION("""COMPUTED_VALUE"""),"Actively restoring my foreskin / I consider myself restored")</f>
        <v>Actively restoring my foreskin / I consider myself restored</v>
      </c>
      <c r="C1439" s="29" t="str">
        <f>IFERROR(__xludf.DUMMYFUNCTION("""COMPUTED_VALUE"""),"Pleasure from Mobile Skin")</f>
        <v>Pleasure from Mobile Skin</v>
      </c>
      <c r="D1439" s="29" t="str">
        <f>IFERROR(__xludf.DUMMYFUNCTION("""COMPUTED_VALUE"""),"5 (High/Excellent)")</f>
        <v>5 (High/Excellent)</v>
      </c>
      <c r="E1439" s="29">
        <f>IFERROR(__xludf.DUMMYFUNCTION("""COMPUTED_VALUE"""),5.0)</f>
        <v>5</v>
      </c>
    </row>
    <row r="1440">
      <c r="A1440" s="33">
        <f>IFERROR(__xludf.DUMMYFUNCTION("""COMPUTED_VALUE"""),45827.45617319444)</f>
        <v>45827.45617</v>
      </c>
      <c r="B1440" s="29" t="str">
        <f>IFERROR(__xludf.DUMMYFUNCTION("""COMPUTED_VALUE"""),"Actively restoring my foreskin / I consider myself restored")</f>
        <v>Actively restoring my foreskin / I consider myself restored</v>
      </c>
      <c r="C1440" s="29" t="str">
        <f>IFERROR(__xludf.DUMMYFUNCTION("""COMPUTED_VALUE"""),"Pleasure from Mobile Skin")</f>
        <v>Pleasure from Mobile Skin</v>
      </c>
      <c r="D1440" s="29" t="str">
        <f>IFERROR(__xludf.DUMMYFUNCTION("""COMPUTED_VALUE"""),"5 (High/Excellent)")</f>
        <v>5 (High/Excellent)</v>
      </c>
      <c r="E1440" s="29">
        <f>IFERROR(__xludf.DUMMYFUNCTION("""COMPUTED_VALUE"""),5.0)</f>
        <v>5</v>
      </c>
    </row>
    <row r="1441">
      <c r="A1441" s="33">
        <f>IFERROR(__xludf.DUMMYFUNCTION("""COMPUTED_VALUE"""),45827.47113355324)</f>
        <v>45827.47113</v>
      </c>
      <c r="B1441" s="29" t="str">
        <f>IFERROR(__xludf.DUMMYFUNCTION("""COMPUTED_VALUE"""),"Actively restoring my foreskin / I consider myself restored")</f>
        <v>Actively restoring my foreskin / I consider myself restored</v>
      </c>
      <c r="C1441" s="29" t="str">
        <f>IFERROR(__xludf.DUMMYFUNCTION("""COMPUTED_VALUE"""),"Pleasure from Mobile Skin")</f>
        <v>Pleasure from Mobile Skin</v>
      </c>
      <c r="D1441" s="29" t="str">
        <f>IFERROR(__xludf.DUMMYFUNCTION("""COMPUTED_VALUE"""),"1 (Low/Poor)")</f>
        <v>1 (Low/Poor)</v>
      </c>
      <c r="E1441" s="29">
        <f>IFERROR(__xludf.DUMMYFUNCTION("""COMPUTED_VALUE"""),1.0)</f>
        <v>1</v>
      </c>
    </row>
    <row r="1442">
      <c r="A1442" s="33">
        <f>IFERROR(__xludf.DUMMYFUNCTION("""COMPUTED_VALUE"""),45827.504890868055)</f>
        <v>45827.50489</v>
      </c>
      <c r="B1442" s="29" t="str">
        <f>IFERROR(__xludf.DUMMYFUNCTION("""COMPUTED_VALUE"""),"Actively restoring my foreskin / I consider myself restored")</f>
        <v>Actively restoring my foreskin / I consider myself restored</v>
      </c>
      <c r="C1442" s="29" t="str">
        <f>IFERROR(__xludf.DUMMYFUNCTION("""COMPUTED_VALUE"""),"Pleasure from Mobile Skin")</f>
        <v>Pleasure from Mobile Skin</v>
      </c>
      <c r="D1442" s="29" t="str">
        <f>IFERROR(__xludf.DUMMYFUNCTION("""COMPUTED_VALUE"""),"4")</f>
        <v>4</v>
      </c>
      <c r="E1442" s="29">
        <f>IFERROR(__xludf.DUMMYFUNCTION("""COMPUTED_VALUE"""),4.0)</f>
        <v>4</v>
      </c>
    </row>
    <row r="1443">
      <c r="A1443" s="33">
        <f>IFERROR(__xludf.DUMMYFUNCTION("""COMPUTED_VALUE"""),45827.56687807871)</f>
        <v>45827.56688</v>
      </c>
      <c r="B1443" s="29" t="str">
        <f>IFERROR(__xludf.DUMMYFUNCTION("""COMPUTED_VALUE"""),"Circumcised")</f>
        <v>Circumcised</v>
      </c>
      <c r="C1443" s="29" t="str">
        <f>IFERROR(__xludf.DUMMYFUNCTION("""COMPUTED_VALUE"""),"Pleasure from Mobile Skin")</f>
        <v>Pleasure from Mobile Skin</v>
      </c>
      <c r="D1443" s="29" t="str">
        <f>IFERROR(__xludf.DUMMYFUNCTION("""COMPUTED_VALUE"""),"1 (Low/Poor)")</f>
        <v>1 (Low/Poor)</v>
      </c>
      <c r="E1443" s="29">
        <f>IFERROR(__xludf.DUMMYFUNCTION("""COMPUTED_VALUE"""),1.0)</f>
        <v>1</v>
      </c>
    </row>
    <row r="1444">
      <c r="A1444" s="33">
        <f>IFERROR(__xludf.DUMMYFUNCTION("""COMPUTED_VALUE"""),45827.582390254625)</f>
        <v>45827.58239</v>
      </c>
      <c r="B1444" s="29" t="str">
        <f>IFERROR(__xludf.DUMMYFUNCTION("""COMPUTED_VALUE"""),"Intact (Never circumcised)")</f>
        <v>Intact (Never circumcised)</v>
      </c>
      <c r="C1444" s="29" t="str">
        <f>IFERROR(__xludf.DUMMYFUNCTION("""COMPUTED_VALUE"""),"Pleasure from Mobile Skin")</f>
        <v>Pleasure from Mobile Skin</v>
      </c>
      <c r="D1444" s="29" t="str">
        <f>IFERROR(__xludf.DUMMYFUNCTION("""COMPUTED_VALUE"""),"5 (High/Excellent)")</f>
        <v>5 (High/Excellent)</v>
      </c>
      <c r="E1444" s="29">
        <f>IFERROR(__xludf.DUMMYFUNCTION("""COMPUTED_VALUE"""),5.0)</f>
        <v>5</v>
      </c>
    </row>
    <row r="1445">
      <c r="A1445" s="33">
        <f>IFERROR(__xludf.DUMMYFUNCTION("""COMPUTED_VALUE"""),45827.59833847222)</f>
        <v>45827.59834</v>
      </c>
      <c r="B1445" s="29" t="str">
        <f>IFERROR(__xludf.DUMMYFUNCTION("""COMPUTED_VALUE"""),"Intact (Never circumcised)")</f>
        <v>Intact (Never circumcised)</v>
      </c>
      <c r="C1445" s="29" t="str">
        <f>IFERROR(__xludf.DUMMYFUNCTION("""COMPUTED_VALUE"""),"Pleasure from Mobile Skin")</f>
        <v>Pleasure from Mobile Skin</v>
      </c>
      <c r="D1445" s="29" t="str">
        <f>IFERROR(__xludf.DUMMYFUNCTION("""COMPUTED_VALUE"""),"5 (High/Excellent)")</f>
        <v>5 (High/Excellent)</v>
      </c>
      <c r="E1445" s="29">
        <f>IFERROR(__xludf.DUMMYFUNCTION("""COMPUTED_VALUE"""),5.0)</f>
        <v>5</v>
      </c>
    </row>
    <row r="1446">
      <c r="A1446" s="33">
        <f>IFERROR(__xludf.DUMMYFUNCTION("""COMPUTED_VALUE"""),45827.666499756946)</f>
        <v>45827.6665</v>
      </c>
      <c r="B1446" s="29" t="str">
        <f>IFERROR(__xludf.DUMMYFUNCTION("""COMPUTED_VALUE"""),"Intact (Never circumcised)")</f>
        <v>Intact (Never circumcised)</v>
      </c>
      <c r="C1446" s="29" t="str">
        <f>IFERROR(__xludf.DUMMYFUNCTION("""COMPUTED_VALUE"""),"Pleasure from Mobile Skin")</f>
        <v>Pleasure from Mobile Skin</v>
      </c>
      <c r="D1446" s="29" t="str">
        <f>IFERROR(__xludf.DUMMYFUNCTION("""COMPUTED_VALUE"""),"5 (High/Excellent)")</f>
        <v>5 (High/Excellent)</v>
      </c>
      <c r="E1446" s="29">
        <f>IFERROR(__xludf.DUMMYFUNCTION("""COMPUTED_VALUE"""),5.0)</f>
        <v>5</v>
      </c>
    </row>
    <row r="1447">
      <c r="A1447" s="33">
        <f>IFERROR(__xludf.DUMMYFUNCTION("""COMPUTED_VALUE"""),45827.70323135417)</f>
        <v>45827.70323</v>
      </c>
      <c r="B1447" s="29" t="str">
        <f>IFERROR(__xludf.DUMMYFUNCTION("""COMPUTED_VALUE"""),"Intact (Never circumcised)")</f>
        <v>Intact (Never circumcised)</v>
      </c>
      <c r="C1447" s="29" t="str">
        <f>IFERROR(__xludf.DUMMYFUNCTION("""COMPUTED_VALUE"""),"Pleasure from Mobile Skin")</f>
        <v>Pleasure from Mobile Skin</v>
      </c>
      <c r="D1447" s="29" t="str">
        <f>IFERROR(__xludf.DUMMYFUNCTION("""COMPUTED_VALUE"""),"5 (High/Excellent)")</f>
        <v>5 (High/Excellent)</v>
      </c>
      <c r="E1447" s="29">
        <f>IFERROR(__xludf.DUMMYFUNCTION("""COMPUTED_VALUE"""),5.0)</f>
        <v>5</v>
      </c>
    </row>
    <row r="1448">
      <c r="A1448" s="33">
        <f>IFERROR(__xludf.DUMMYFUNCTION("""COMPUTED_VALUE"""),45827.705325347226)</f>
        <v>45827.70533</v>
      </c>
      <c r="B1448" s="29" t="str">
        <f>IFERROR(__xludf.DUMMYFUNCTION("""COMPUTED_VALUE"""),"Intact (Never circumcised)")</f>
        <v>Intact (Never circumcised)</v>
      </c>
      <c r="C1448" s="29" t="str">
        <f>IFERROR(__xludf.DUMMYFUNCTION("""COMPUTED_VALUE"""),"Pleasure from Mobile Skin")</f>
        <v>Pleasure from Mobile Skin</v>
      </c>
      <c r="D1448" s="29" t="str">
        <f>IFERROR(__xludf.DUMMYFUNCTION("""COMPUTED_VALUE"""),"5 (High/Excellent)")</f>
        <v>5 (High/Excellent)</v>
      </c>
      <c r="E1448" s="29">
        <f>IFERROR(__xludf.DUMMYFUNCTION("""COMPUTED_VALUE"""),5.0)</f>
        <v>5</v>
      </c>
    </row>
    <row r="1449">
      <c r="A1449" s="33">
        <f>IFERROR(__xludf.DUMMYFUNCTION("""COMPUTED_VALUE"""),45827.709368090276)</f>
        <v>45827.70937</v>
      </c>
      <c r="B1449" s="29" t="str">
        <f>IFERROR(__xludf.DUMMYFUNCTION("""COMPUTED_VALUE"""),"Intact (Never circumcised)")</f>
        <v>Intact (Never circumcised)</v>
      </c>
      <c r="C1449" s="29" t="str">
        <f>IFERROR(__xludf.DUMMYFUNCTION("""COMPUTED_VALUE"""),"Pleasure from Mobile Skin")</f>
        <v>Pleasure from Mobile Skin</v>
      </c>
      <c r="D1449" s="29" t="str">
        <f>IFERROR(__xludf.DUMMYFUNCTION("""COMPUTED_VALUE"""),"5 (High/Excellent)")</f>
        <v>5 (High/Excellent)</v>
      </c>
      <c r="E1449" s="29">
        <f>IFERROR(__xludf.DUMMYFUNCTION("""COMPUTED_VALUE"""),5.0)</f>
        <v>5</v>
      </c>
    </row>
    <row r="1450">
      <c r="A1450" s="33">
        <f>IFERROR(__xludf.DUMMYFUNCTION("""COMPUTED_VALUE"""),45827.7507882986)</f>
        <v>45827.75079</v>
      </c>
      <c r="B1450" s="29" t="str">
        <f>IFERROR(__xludf.DUMMYFUNCTION("""COMPUTED_VALUE"""),"Actively restoring my foreskin / I consider myself restored")</f>
        <v>Actively restoring my foreskin / I consider myself restored</v>
      </c>
      <c r="C1450" s="29" t="str">
        <f>IFERROR(__xludf.DUMMYFUNCTION("""COMPUTED_VALUE"""),"Pleasure from Mobile Skin")</f>
        <v>Pleasure from Mobile Skin</v>
      </c>
      <c r="D1450" s="29" t="str">
        <f>IFERROR(__xludf.DUMMYFUNCTION("""COMPUTED_VALUE"""),"1 (Low/Poor)")</f>
        <v>1 (Low/Poor)</v>
      </c>
      <c r="E1450" s="29">
        <f>IFERROR(__xludf.DUMMYFUNCTION("""COMPUTED_VALUE"""),1.0)</f>
        <v>1</v>
      </c>
    </row>
    <row r="1451">
      <c r="A1451" s="33">
        <f>IFERROR(__xludf.DUMMYFUNCTION("""COMPUTED_VALUE"""),45827.75108425925)</f>
        <v>45827.75108</v>
      </c>
      <c r="B1451" s="29" t="str">
        <f>IFERROR(__xludf.DUMMYFUNCTION("""COMPUTED_VALUE"""),"Intact (Never circumcised)")</f>
        <v>Intact (Never circumcised)</v>
      </c>
      <c r="C1451" s="29" t="str">
        <f>IFERROR(__xludf.DUMMYFUNCTION("""COMPUTED_VALUE"""),"Pleasure from Mobile Skin")</f>
        <v>Pleasure from Mobile Skin</v>
      </c>
      <c r="D1451" s="29" t="str">
        <f>IFERROR(__xludf.DUMMYFUNCTION("""COMPUTED_VALUE"""),"5 (High/Excellent)")</f>
        <v>5 (High/Excellent)</v>
      </c>
      <c r="E1451" s="29">
        <f>IFERROR(__xludf.DUMMYFUNCTION("""COMPUTED_VALUE"""),5.0)</f>
        <v>5</v>
      </c>
    </row>
    <row r="1452">
      <c r="A1452" s="33">
        <f>IFERROR(__xludf.DUMMYFUNCTION("""COMPUTED_VALUE"""),45827.75616498842)</f>
        <v>45827.75616</v>
      </c>
      <c r="B1452" s="29" t="str">
        <f>IFERROR(__xludf.DUMMYFUNCTION("""COMPUTED_VALUE"""),"Circumcised")</f>
        <v>Circumcised</v>
      </c>
      <c r="C1452" s="29" t="str">
        <f>IFERROR(__xludf.DUMMYFUNCTION("""COMPUTED_VALUE"""),"Pleasure from Mobile Skin")</f>
        <v>Pleasure from Mobile Skin</v>
      </c>
      <c r="D1452" s="29" t="str">
        <f>IFERROR(__xludf.DUMMYFUNCTION("""COMPUTED_VALUE"""),"4")</f>
        <v>4</v>
      </c>
      <c r="E1452" s="29">
        <f>IFERROR(__xludf.DUMMYFUNCTION("""COMPUTED_VALUE"""),4.0)</f>
        <v>4</v>
      </c>
    </row>
    <row r="1453">
      <c r="A1453" s="33">
        <f>IFERROR(__xludf.DUMMYFUNCTION("""COMPUTED_VALUE"""),45827.76179119213)</f>
        <v>45827.76179</v>
      </c>
      <c r="B1453" s="29" t="str">
        <f>IFERROR(__xludf.DUMMYFUNCTION("""COMPUTED_VALUE"""),"Circumcised")</f>
        <v>Circumcised</v>
      </c>
      <c r="C1453" s="29" t="str">
        <f>IFERROR(__xludf.DUMMYFUNCTION("""COMPUTED_VALUE"""),"Pleasure from Mobile Skin")</f>
        <v>Pleasure from Mobile Skin</v>
      </c>
      <c r="D1453" s="29" t="str">
        <f>IFERROR(__xludf.DUMMYFUNCTION("""COMPUTED_VALUE"""),"5 (High/Excellent)")</f>
        <v>5 (High/Excellent)</v>
      </c>
      <c r="E1453" s="29">
        <f>IFERROR(__xludf.DUMMYFUNCTION("""COMPUTED_VALUE"""),5.0)</f>
        <v>5</v>
      </c>
    </row>
    <row r="1454">
      <c r="A1454" s="33">
        <f>IFERROR(__xludf.DUMMYFUNCTION("""COMPUTED_VALUE"""),45827.775080740736)</f>
        <v>45827.77508</v>
      </c>
      <c r="B1454" s="29" t="str">
        <f>IFERROR(__xludf.DUMMYFUNCTION("""COMPUTED_VALUE"""),"Actively restoring my foreskin / I consider myself restored")</f>
        <v>Actively restoring my foreskin / I consider myself restored</v>
      </c>
      <c r="C1454" s="29" t="str">
        <f>IFERROR(__xludf.DUMMYFUNCTION("""COMPUTED_VALUE"""),"Pleasure from Mobile Skin")</f>
        <v>Pleasure from Mobile Skin</v>
      </c>
      <c r="D1454" s="29" t="str">
        <f>IFERROR(__xludf.DUMMYFUNCTION("""COMPUTED_VALUE"""),"3 (Medium/Average)")</f>
        <v>3 (Medium/Average)</v>
      </c>
      <c r="E1454" s="29">
        <f>IFERROR(__xludf.DUMMYFUNCTION("""COMPUTED_VALUE"""),3.0)</f>
        <v>3</v>
      </c>
    </row>
    <row r="1455">
      <c r="A1455" s="33">
        <f>IFERROR(__xludf.DUMMYFUNCTION("""COMPUTED_VALUE"""),45827.77905215277)</f>
        <v>45827.77905</v>
      </c>
      <c r="B1455" s="29" t="str">
        <f>IFERROR(__xludf.DUMMYFUNCTION("""COMPUTED_VALUE"""),"Circumcised")</f>
        <v>Circumcised</v>
      </c>
      <c r="C1455" s="29" t="str">
        <f>IFERROR(__xludf.DUMMYFUNCTION("""COMPUTED_VALUE"""),"Pleasure from Mobile Skin")</f>
        <v>Pleasure from Mobile Skin</v>
      </c>
      <c r="D1455" s="29" t="str">
        <f>IFERROR(__xludf.DUMMYFUNCTION("""COMPUTED_VALUE"""),"1 (Low/Poor)")</f>
        <v>1 (Low/Poor)</v>
      </c>
      <c r="E1455" s="29">
        <f>IFERROR(__xludf.DUMMYFUNCTION("""COMPUTED_VALUE"""),1.0)</f>
        <v>1</v>
      </c>
    </row>
    <row r="1456">
      <c r="A1456" s="33">
        <f>IFERROR(__xludf.DUMMYFUNCTION("""COMPUTED_VALUE"""),45827.80988215278)</f>
        <v>45827.80988</v>
      </c>
      <c r="B1456" s="29" t="str">
        <f>IFERROR(__xludf.DUMMYFUNCTION("""COMPUTED_VALUE"""),"Intact (Never circumcised)")</f>
        <v>Intact (Never circumcised)</v>
      </c>
      <c r="C1456" s="29" t="str">
        <f>IFERROR(__xludf.DUMMYFUNCTION("""COMPUTED_VALUE"""),"Pleasure from Mobile Skin")</f>
        <v>Pleasure from Mobile Skin</v>
      </c>
      <c r="D1456" s="29" t="str">
        <f>IFERROR(__xludf.DUMMYFUNCTION("""COMPUTED_VALUE"""),"5 (High/Excellent)")</f>
        <v>5 (High/Excellent)</v>
      </c>
      <c r="E1456" s="29">
        <f>IFERROR(__xludf.DUMMYFUNCTION("""COMPUTED_VALUE"""),5.0)</f>
        <v>5</v>
      </c>
    </row>
    <row r="1457">
      <c r="A1457" s="33">
        <f>IFERROR(__xludf.DUMMYFUNCTION("""COMPUTED_VALUE"""),45827.82377087963)</f>
        <v>45827.82377</v>
      </c>
      <c r="B1457" s="29" t="str">
        <f>IFERROR(__xludf.DUMMYFUNCTION("""COMPUTED_VALUE"""),"Circumcised")</f>
        <v>Circumcised</v>
      </c>
      <c r="C1457" s="29" t="str">
        <f>IFERROR(__xludf.DUMMYFUNCTION("""COMPUTED_VALUE"""),"Pleasure from Mobile Skin")</f>
        <v>Pleasure from Mobile Skin</v>
      </c>
      <c r="D1457" s="29" t="str">
        <f>IFERROR(__xludf.DUMMYFUNCTION("""COMPUTED_VALUE"""),"2")</f>
        <v>2</v>
      </c>
      <c r="E1457" s="29">
        <f>IFERROR(__xludf.DUMMYFUNCTION("""COMPUTED_VALUE"""),2.0)</f>
        <v>2</v>
      </c>
    </row>
    <row r="1458">
      <c r="A1458" s="33">
        <f>IFERROR(__xludf.DUMMYFUNCTION("""COMPUTED_VALUE"""),45827.84110394676)</f>
        <v>45827.8411</v>
      </c>
      <c r="B1458" s="29" t="str">
        <f>IFERROR(__xludf.DUMMYFUNCTION("""COMPUTED_VALUE"""),"Intact (Never circumcised)")</f>
        <v>Intact (Never circumcised)</v>
      </c>
      <c r="C1458" s="29" t="str">
        <f>IFERROR(__xludf.DUMMYFUNCTION("""COMPUTED_VALUE"""),"Pleasure from Mobile Skin")</f>
        <v>Pleasure from Mobile Skin</v>
      </c>
      <c r="D1458" s="29" t="str">
        <f>IFERROR(__xludf.DUMMYFUNCTION("""COMPUTED_VALUE"""),"5 (High/Excellent)")</f>
        <v>5 (High/Excellent)</v>
      </c>
      <c r="E1458" s="29">
        <f>IFERROR(__xludf.DUMMYFUNCTION("""COMPUTED_VALUE"""),5.0)</f>
        <v>5</v>
      </c>
    </row>
    <row r="1459">
      <c r="A1459" s="33">
        <f>IFERROR(__xludf.DUMMYFUNCTION("""COMPUTED_VALUE"""),45827.86569578704)</f>
        <v>45827.8657</v>
      </c>
      <c r="B1459" s="29" t="str">
        <f>IFERROR(__xludf.DUMMYFUNCTION("""COMPUTED_VALUE"""),"Circumcised")</f>
        <v>Circumcised</v>
      </c>
      <c r="C1459" s="29" t="str">
        <f>IFERROR(__xludf.DUMMYFUNCTION("""COMPUTED_VALUE"""),"Pleasure from Mobile Skin")</f>
        <v>Pleasure from Mobile Skin</v>
      </c>
      <c r="D1459" s="29" t="str">
        <f>IFERROR(__xludf.DUMMYFUNCTION("""COMPUTED_VALUE"""),"2")</f>
        <v>2</v>
      </c>
      <c r="E1459" s="29">
        <f>IFERROR(__xludf.DUMMYFUNCTION("""COMPUTED_VALUE"""),2.0)</f>
        <v>2</v>
      </c>
    </row>
    <row r="1460">
      <c r="A1460" s="33">
        <f>IFERROR(__xludf.DUMMYFUNCTION("""COMPUTED_VALUE"""),45827.8672928588)</f>
        <v>45827.86729</v>
      </c>
      <c r="B1460" s="29" t="str">
        <f>IFERROR(__xludf.DUMMYFUNCTION("""COMPUTED_VALUE"""),"Actively restoring my foreskin / I consider myself restored")</f>
        <v>Actively restoring my foreskin / I consider myself restored</v>
      </c>
      <c r="C1460" s="29" t="str">
        <f>IFERROR(__xludf.DUMMYFUNCTION("""COMPUTED_VALUE"""),"Pleasure from Mobile Skin")</f>
        <v>Pleasure from Mobile Skin</v>
      </c>
      <c r="D1460" s="29" t="str">
        <f>IFERROR(__xludf.DUMMYFUNCTION("""COMPUTED_VALUE"""),"5 (High/Excellent)")</f>
        <v>5 (High/Excellent)</v>
      </c>
      <c r="E1460" s="29">
        <f>IFERROR(__xludf.DUMMYFUNCTION("""COMPUTED_VALUE"""),5.0)</f>
        <v>5</v>
      </c>
    </row>
    <row r="1461">
      <c r="A1461" s="33">
        <f>IFERROR(__xludf.DUMMYFUNCTION("""COMPUTED_VALUE"""),45827.871949594904)</f>
        <v>45827.87195</v>
      </c>
      <c r="B1461" s="29" t="str">
        <f>IFERROR(__xludf.DUMMYFUNCTION("""COMPUTED_VALUE"""),"Circumcised")</f>
        <v>Circumcised</v>
      </c>
      <c r="C1461" s="29" t="str">
        <f>IFERROR(__xludf.DUMMYFUNCTION("""COMPUTED_VALUE"""),"Pleasure from Mobile Skin")</f>
        <v>Pleasure from Mobile Skin</v>
      </c>
      <c r="D1461" s="29" t="str">
        <f>IFERROR(__xludf.DUMMYFUNCTION("""COMPUTED_VALUE"""),"4")</f>
        <v>4</v>
      </c>
      <c r="E1461" s="29">
        <f>IFERROR(__xludf.DUMMYFUNCTION("""COMPUTED_VALUE"""),4.0)</f>
        <v>4</v>
      </c>
    </row>
    <row r="1462">
      <c r="A1462" s="33">
        <f>IFERROR(__xludf.DUMMYFUNCTION("""COMPUTED_VALUE"""),45827.892397233794)</f>
        <v>45827.8924</v>
      </c>
      <c r="B1462" s="29" t="str">
        <f>IFERROR(__xludf.DUMMYFUNCTION("""COMPUTED_VALUE"""),"Intact (Never circumcised)")</f>
        <v>Intact (Never circumcised)</v>
      </c>
      <c r="C1462" s="29" t="str">
        <f>IFERROR(__xludf.DUMMYFUNCTION("""COMPUTED_VALUE"""),"Pleasure from Mobile Skin")</f>
        <v>Pleasure from Mobile Skin</v>
      </c>
      <c r="D1462" s="29" t="str">
        <f>IFERROR(__xludf.DUMMYFUNCTION("""COMPUTED_VALUE"""),"5 (High/Excellent)")</f>
        <v>5 (High/Excellent)</v>
      </c>
      <c r="E1462" s="29">
        <f>IFERROR(__xludf.DUMMYFUNCTION("""COMPUTED_VALUE"""),5.0)</f>
        <v>5</v>
      </c>
    </row>
    <row r="1463">
      <c r="A1463" s="33">
        <f>IFERROR(__xludf.DUMMYFUNCTION("""COMPUTED_VALUE"""),45827.910598622686)</f>
        <v>45827.9106</v>
      </c>
      <c r="B1463" s="29" t="str">
        <f>IFERROR(__xludf.DUMMYFUNCTION("""COMPUTED_VALUE"""),"Circumcised")</f>
        <v>Circumcised</v>
      </c>
      <c r="C1463" s="29" t="str">
        <f>IFERROR(__xludf.DUMMYFUNCTION("""COMPUTED_VALUE"""),"Pleasure from Mobile Skin")</f>
        <v>Pleasure from Mobile Skin</v>
      </c>
      <c r="D1463" s="29" t="str">
        <f>IFERROR(__xludf.DUMMYFUNCTION("""COMPUTED_VALUE"""),"2")</f>
        <v>2</v>
      </c>
      <c r="E1463" s="29">
        <f>IFERROR(__xludf.DUMMYFUNCTION("""COMPUTED_VALUE"""),2.0)</f>
        <v>2</v>
      </c>
    </row>
    <row r="1464">
      <c r="A1464" s="33">
        <f>IFERROR(__xludf.DUMMYFUNCTION("""COMPUTED_VALUE"""),45827.9134716551)</f>
        <v>45827.91347</v>
      </c>
      <c r="B1464" s="29" t="str">
        <f>IFERROR(__xludf.DUMMYFUNCTION("""COMPUTED_VALUE"""),"Intact (Never circumcised)")</f>
        <v>Intact (Never circumcised)</v>
      </c>
      <c r="C1464" s="29" t="str">
        <f>IFERROR(__xludf.DUMMYFUNCTION("""COMPUTED_VALUE"""),"Pleasure from Mobile Skin")</f>
        <v>Pleasure from Mobile Skin</v>
      </c>
      <c r="D1464" s="29" t="str">
        <f>IFERROR(__xludf.DUMMYFUNCTION("""COMPUTED_VALUE"""),"5 (High/Excellent)")</f>
        <v>5 (High/Excellent)</v>
      </c>
      <c r="E1464" s="29">
        <f>IFERROR(__xludf.DUMMYFUNCTION("""COMPUTED_VALUE"""),5.0)</f>
        <v>5</v>
      </c>
    </row>
    <row r="1465">
      <c r="A1465" s="33">
        <f>IFERROR(__xludf.DUMMYFUNCTION("""COMPUTED_VALUE"""),45827.91495508102)</f>
        <v>45827.91496</v>
      </c>
      <c r="B1465" s="29" t="str">
        <f>IFERROR(__xludf.DUMMYFUNCTION("""COMPUTED_VALUE"""),"Intact (Never circumcised)")</f>
        <v>Intact (Never circumcised)</v>
      </c>
      <c r="C1465" s="29" t="str">
        <f>IFERROR(__xludf.DUMMYFUNCTION("""COMPUTED_VALUE"""),"Pleasure from Mobile Skin")</f>
        <v>Pleasure from Mobile Skin</v>
      </c>
      <c r="D1465" s="29" t="str">
        <f>IFERROR(__xludf.DUMMYFUNCTION("""COMPUTED_VALUE"""),"5 (High/Excellent)")</f>
        <v>5 (High/Excellent)</v>
      </c>
      <c r="E1465" s="29">
        <f>IFERROR(__xludf.DUMMYFUNCTION("""COMPUTED_VALUE"""),5.0)</f>
        <v>5</v>
      </c>
    </row>
    <row r="1466">
      <c r="A1466" s="33">
        <f>IFERROR(__xludf.DUMMYFUNCTION("""COMPUTED_VALUE"""),45827.94294872685)</f>
        <v>45827.94295</v>
      </c>
      <c r="B1466" s="29" t="str">
        <f>IFERROR(__xludf.DUMMYFUNCTION("""COMPUTED_VALUE"""),"Intact (Never circumcised)")</f>
        <v>Intact (Never circumcised)</v>
      </c>
      <c r="C1466" s="29" t="str">
        <f>IFERROR(__xludf.DUMMYFUNCTION("""COMPUTED_VALUE"""),"Pleasure from Mobile Skin")</f>
        <v>Pleasure from Mobile Skin</v>
      </c>
      <c r="D1466" s="29" t="str">
        <f>IFERROR(__xludf.DUMMYFUNCTION("""COMPUTED_VALUE"""),"4")</f>
        <v>4</v>
      </c>
      <c r="E1466" s="29">
        <f>IFERROR(__xludf.DUMMYFUNCTION("""COMPUTED_VALUE"""),4.0)</f>
        <v>4</v>
      </c>
    </row>
    <row r="1467">
      <c r="A1467" s="33">
        <f>IFERROR(__xludf.DUMMYFUNCTION("""COMPUTED_VALUE"""),45827.94687665509)</f>
        <v>45827.94688</v>
      </c>
      <c r="B1467" s="29" t="str">
        <f>IFERROR(__xludf.DUMMYFUNCTION("""COMPUTED_VALUE"""),"Intact (Never circumcised)")</f>
        <v>Intact (Never circumcised)</v>
      </c>
      <c r="C1467" s="29" t="str">
        <f>IFERROR(__xludf.DUMMYFUNCTION("""COMPUTED_VALUE"""),"Pleasure from Mobile Skin")</f>
        <v>Pleasure from Mobile Skin</v>
      </c>
      <c r="D1467" s="29" t="str">
        <f>IFERROR(__xludf.DUMMYFUNCTION("""COMPUTED_VALUE"""),"5 (High/Excellent)")</f>
        <v>5 (High/Excellent)</v>
      </c>
      <c r="E1467" s="29">
        <f>IFERROR(__xludf.DUMMYFUNCTION("""COMPUTED_VALUE"""),5.0)</f>
        <v>5</v>
      </c>
    </row>
    <row r="1468">
      <c r="A1468" s="33">
        <f>IFERROR(__xludf.DUMMYFUNCTION("""COMPUTED_VALUE"""),45827.95053562501)</f>
        <v>45827.95054</v>
      </c>
      <c r="B1468" s="29" t="str">
        <f>IFERROR(__xludf.DUMMYFUNCTION("""COMPUTED_VALUE"""),"Intact (Never circumcised)")</f>
        <v>Intact (Never circumcised)</v>
      </c>
      <c r="C1468" s="29" t="str">
        <f>IFERROR(__xludf.DUMMYFUNCTION("""COMPUTED_VALUE"""),"Pleasure from Mobile Skin")</f>
        <v>Pleasure from Mobile Skin</v>
      </c>
      <c r="D1468" s="29" t="str">
        <f>IFERROR(__xludf.DUMMYFUNCTION("""COMPUTED_VALUE"""),"5 (High/Excellent)")</f>
        <v>5 (High/Excellent)</v>
      </c>
      <c r="E1468" s="29">
        <f>IFERROR(__xludf.DUMMYFUNCTION("""COMPUTED_VALUE"""),5.0)</f>
        <v>5</v>
      </c>
    </row>
    <row r="1469">
      <c r="A1469" s="33">
        <f>IFERROR(__xludf.DUMMYFUNCTION("""COMPUTED_VALUE"""),45827.95437741898)</f>
        <v>45827.95438</v>
      </c>
      <c r="B1469" s="29" t="str">
        <f>IFERROR(__xludf.DUMMYFUNCTION("""COMPUTED_VALUE"""),"Circumcised")</f>
        <v>Circumcised</v>
      </c>
      <c r="C1469" s="29" t="str">
        <f>IFERROR(__xludf.DUMMYFUNCTION("""COMPUTED_VALUE"""),"Pleasure from Mobile Skin")</f>
        <v>Pleasure from Mobile Skin</v>
      </c>
      <c r="D1469" s="29" t="str">
        <f>IFERROR(__xludf.DUMMYFUNCTION("""COMPUTED_VALUE"""),"2")</f>
        <v>2</v>
      </c>
      <c r="E1469" s="29">
        <f>IFERROR(__xludf.DUMMYFUNCTION("""COMPUTED_VALUE"""),2.0)</f>
        <v>2</v>
      </c>
    </row>
    <row r="1470">
      <c r="A1470" s="33">
        <f>IFERROR(__xludf.DUMMYFUNCTION("""COMPUTED_VALUE"""),45828.00873828704)</f>
        <v>45828.00874</v>
      </c>
      <c r="B1470" s="29" t="str">
        <f>IFERROR(__xludf.DUMMYFUNCTION("""COMPUTED_VALUE"""),"Intact (Never circumcised)")</f>
        <v>Intact (Never circumcised)</v>
      </c>
      <c r="C1470" s="29" t="str">
        <f>IFERROR(__xludf.DUMMYFUNCTION("""COMPUTED_VALUE"""),"Pleasure from Mobile Skin")</f>
        <v>Pleasure from Mobile Skin</v>
      </c>
      <c r="D1470" s="29" t="str">
        <f>IFERROR(__xludf.DUMMYFUNCTION("""COMPUTED_VALUE"""),"4")</f>
        <v>4</v>
      </c>
      <c r="E1470" s="29">
        <f>IFERROR(__xludf.DUMMYFUNCTION("""COMPUTED_VALUE"""),4.0)</f>
        <v>4</v>
      </c>
    </row>
    <row r="1471">
      <c r="A1471" s="33">
        <f>IFERROR(__xludf.DUMMYFUNCTION("""COMPUTED_VALUE"""),45828.01005491898)</f>
        <v>45828.01005</v>
      </c>
      <c r="B1471" s="29" t="str">
        <f>IFERROR(__xludf.DUMMYFUNCTION("""COMPUTED_VALUE"""),"Actively restoring my foreskin / I consider myself restored")</f>
        <v>Actively restoring my foreskin / I consider myself restored</v>
      </c>
      <c r="C1471" s="29" t="str">
        <f>IFERROR(__xludf.DUMMYFUNCTION("""COMPUTED_VALUE"""),"Pleasure from Mobile Skin")</f>
        <v>Pleasure from Mobile Skin</v>
      </c>
      <c r="D1471" s="29" t="str">
        <f>IFERROR(__xludf.DUMMYFUNCTION("""COMPUTED_VALUE"""),"3 (Medium/Average)")</f>
        <v>3 (Medium/Average)</v>
      </c>
      <c r="E1471" s="29">
        <f>IFERROR(__xludf.DUMMYFUNCTION("""COMPUTED_VALUE"""),3.0)</f>
        <v>3</v>
      </c>
    </row>
    <row r="1472">
      <c r="A1472" s="33">
        <f>IFERROR(__xludf.DUMMYFUNCTION("""COMPUTED_VALUE"""),45828.05815188657)</f>
        <v>45828.05815</v>
      </c>
      <c r="B1472" s="29" t="str">
        <f>IFERROR(__xludf.DUMMYFUNCTION("""COMPUTED_VALUE"""),"Intact (Never circumcised)")</f>
        <v>Intact (Never circumcised)</v>
      </c>
      <c r="C1472" s="29" t="str">
        <f>IFERROR(__xludf.DUMMYFUNCTION("""COMPUTED_VALUE"""),"Pleasure from Mobile Skin")</f>
        <v>Pleasure from Mobile Skin</v>
      </c>
      <c r="D1472" s="29" t="str">
        <f>IFERROR(__xludf.DUMMYFUNCTION("""COMPUTED_VALUE"""),"5 (High/Excellent)")</f>
        <v>5 (High/Excellent)</v>
      </c>
      <c r="E1472" s="29">
        <f>IFERROR(__xludf.DUMMYFUNCTION("""COMPUTED_VALUE"""),5.0)</f>
        <v>5</v>
      </c>
    </row>
    <row r="1473">
      <c r="A1473" s="33">
        <f>IFERROR(__xludf.DUMMYFUNCTION("""COMPUTED_VALUE"""),45828.06036765046)</f>
        <v>45828.06037</v>
      </c>
      <c r="B1473" s="29" t="str">
        <f>IFERROR(__xludf.DUMMYFUNCTION("""COMPUTED_VALUE"""),"Circumcised")</f>
        <v>Circumcised</v>
      </c>
      <c r="C1473" s="29" t="str">
        <f>IFERROR(__xludf.DUMMYFUNCTION("""COMPUTED_VALUE"""),"Pleasure from Mobile Skin")</f>
        <v>Pleasure from Mobile Skin</v>
      </c>
      <c r="D1473" s="29" t="str">
        <f>IFERROR(__xludf.DUMMYFUNCTION("""COMPUTED_VALUE"""),"1 (Low/Poor)")</f>
        <v>1 (Low/Poor)</v>
      </c>
      <c r="E1473" s="29">
        <f>IFERROR(__xludf.DUMMYFUNCTION("""COMPUTED_VALUE"""),1.0)</f>
        <v>1</v>
      </c>
    </row>
    <row r="1474">
      <c r="A1474" s="33">
        <f>IFERROR(__xludf.DUMMYFUNCTION("""COMPUTED_VALUE"""),45828.06330849537)</f>
        <v>45828.06331</v>
      </c>
      <c r="B1474" s="29" t="str">
        <f>IFERROR(__xludf.DUMMYFUNCTION("""COMPUTED_VALUE"""),"Circumcised")</f>
        <v>Circumcised</v>
      </c>
      <c r="C1474" s="29" t="str">
        <f>IFERROR(__xludf.DUMMYFUNCTION("""COMPUTED_VALUE"""),"Pleasure from Mobile Skin")</f>
        <v>Pleasure from Mobile Skin</v>
      </c>
      <c r="D1474" s="29" t="str">
        <f>IFERROR(__xludf.DUMMYFUNCTION("""COMPUTED_VALUE"""),"4")</f>
        <v>4</v>
      </c>
      <c r="E1474" s="29">
        <f>IFERROR(__xludf.DUMMYFUNCTION("""COMPUTED_VALUE"""),4.0)</f>
        <v>4</v>
      </c>
    </row>
    <row r="1475">
      <c r="A1475" s="33">
        <f>IFERROR(__xludf.DUMMYFUNCTION("""COMPUTED_VALUE"""),45828.12018145833)</f>
        <v>45828.12018</v>
      </c>
      <c r="B1475" s="29" t="str">
        <f>IFERROR(__xludf.DUMMYFUNCTION("""COMPUTED_VALUE"""),"Circumcised")</f>
        <v>Circumcised</v>
      </c>
      <c r="C1475" s="29" t="str">
        <f>IFERROR(__xludf.DUMMYFUNCTION("""COMPUTED_VALUE"""),"Pleasure from Mobile Skin")</f>
        <v>Pleasure from Mobile Skin</v>
      </c>
      <c r="D1475" s="29" t="str">
        <f>IFERROR(__xludf.DUMMYFUNCTION("""COMPUTED_VALUE"""),"1 (Low/Poor)")</f>
        <v>1 (Low/Poor)</v>
      </c>
      <c r="E1475" s="29">
        <f>IFERROR(__xludf.DUMMYFUNCTION("""COMPUTED_VALUE"""),1.0)</f>
        <v>1</v>
      </c>
    </row>
    <row r="1476">
      <c r="A1476" s="33">
        <f>IFERROR(__xludf.DUMMYFUNCTION("""COMPUTED_VALUE"""),45828.15012672453)</f>
        <v>45828.15013</v>
      </c>
      <c r="B1476" s="29" t="str">
        <f>IFERROR(__xludf.DUMMYFUNCTION("""COMPUTED_VALUE"""),"Intact (Never circumcised)")</f>
        <v>Intact (Never circumcised)</v>
      </c>
      <c r="C1476" s="29" t="str">
        <f>IFERROR(__xludf.DUMMYFUNCTION("""COMPUTED_VALUE"""),"Pleasure from Mobile Skin")</f>
        <v>Pleasure from Mobile Skin</v>
      </c>
      <c r="D1476" s="29" t="str">
        <f>IFERROR(__xludf.DUMMYFUNCTION("""COMPUTED_VALUE"""),"5 (High/Excellent)")</f>
        <v>5 (High/Excellent)</v>
      </c>
      <c r="E1476" s="29">
        <f>IFERROR(__xludf.DUMMYFUNCTION("""COMPUTED_VALUE"""),5.0)</f>
        <v>5</v>
      </c>
    </row>
    <row r="1477">
      <c r="A1477" s="33">
        <f>IFERROR(__xludf.DUMMYFUNCTION("""COMPUTED_VALUE"""),45828.202019930555)</f>
        <v>45828.20202</v>
      </c>
      <c r="B1477" s="29" t="str">
        <f>IFERROR(__xludf.DUMMYFUNCTION("""COMPUTED_VALUE"""),"Intact (Never circumcised)")</f>
        <v>Intact (Never circumcised)</v>
      </c>
      <c r="C1477" s="29" t="str">
        <f>IFERROR(__xludf.DUMMYFUNCTION("""COMPUTED_VALUE"""),"Pleasure from Mobile Skin")</f>
        <v>Pleasure from Mobile Skin</v>
      </c>
      <c r="D1477" s="29" t="str">
        <f>IFERROR(__xludf.DUMMYFUNCTION("""COMPUTED_VALUE"""),"5 (High/Excellent)")</f>
        <v>5 (High/Excellent)</v>
      </c>
      <c r="E1477" s="29">
        <f>IFERROR(__xludf.DUMMYFUNCTION("""COMPUTED_VALUE"""),5.0)</f>
        <v>5</v>
      </c>
    </row>
    <row r="1478">
      <c r="A1478" s="33">
        <f>IFERROR(__xludf.DUMMYFUNCTION("""COMPUTED_VALUE"""),45828.21023520834)</f>
        <v>45828.21024</v>
      </c>
      <c r="B1478" s="29" t="str">
        <f>IFERROR(__xludf.DUMMYFUNCTION("""COMPUTED_VALUE"""),"Intact (Never circumcised)")</f>
        <v>Intact (Never circumcised)</v>
      </c>
      <c r="C1478" s="29" t="str">
        <f>IFERROR(__xludf.DUMMYFUNCTION("""COMPUTED_VALUE"""),"Pleasure from Mobile Skin")</f>
        <v>Pleasure from Mobile Skin</v>
      </c>
      <c r="D1478" s="29" t="str">
        <f>IFERROR(__xludf.DUMMYFUNCTION("""COMPUTED_VALUE"""),"5 (High/Excellent)")</f>
        <v>5 (High/Excellent)</v>
      </c>
      <c r="E1478" s="29">
        <f>IFERROR(__xludf.DUMMYFUNCTION("""COMPUTED_VALUE"""),5.0)</f>
        <v>5</v>
      </c>
    </row>
    <row r="1479">
      <c r="A1479" s="33">
        <f>IFERROR(__xludf.DUMMYFUNCTION("""COMPUTED_VALUE"""),45828.22725708334)</f>
        <v>45828.22726</v>
      </c>
      <c r="B1479" s="29" t="str">
        <f>IFERROR(__xludf.DUMMYFUNCTION("""COMPUTED_VALUE"""),"Circumcised")</f>
        <v>Circumcised</v>
      </c>
      <c r="C1479" s="29" t="str">
        <f>IFERROR(__xludf.DUMMYFUNCTION("""COMPUTED_VALUE"""),"Pleasure from Mobile Skin")</f>
        <v>Pleasure from Mobile Skin</v>
      </c>
      <c r="D1479" s="29" t="str">
        <f>IFERROR(__xludf.DUMMYFUNCTION("""COMPUTED_VALUE"""),"4")</f>
        <v>4</v>
      </c>
      <c r="E1479" s="29">
        <f>IFERROR(__xludf.DUMMYFUNCTION("""COMPUTED_VALUE"""),4.0)</f>
        <v>4</v>
      </c>
    </row>
    <row r="1480">
      <c r="A1480" s="33">
        <f>IFERROR(__xludf.DUMMYFUNCTION("""COMPUTED_VALUE"""),45828.25383616898)</f>
        <v>45828.25384</v>
      </c>
      <c r="B1480" s="29" t="str">
        <f>IFERROR(__xludf.DUMMYFUNCTION("""COMPUTED_VALUE"""),"Intact (Never circumcised)")</f>
        <v>Intact (Never circumcised)</v>
      </c>
      <c r="C1480" s="29" t="str">
        <f>IFERROR(__xludf.DUMMYFUNCTION("""COMPUTED_VALUE"""),"Pleasure from Mobile Skin")</f>
        <v>Pleasure from Mobile Skin</v>
      </c>
      <c r="D1480" s="29" t="str">
        <f>IFERROR(__xludf.DUMMYFUNCTION("""COMPUTED_VALUE"""),"5 (High/Excellent)")</f>
        <v>5 (High/Excellent)</v>
      </c>
      <c r="E1480" s="29">
        <f>IFERROR(__xludf.DUMMYFUNCTION("""COMPUTED_VALUE"""),5.0)</f>
        <v>5</v>
      </c>
    </row>
    <row r="1481">
      <c r="A1481" s="33">
        <f>IFERROR(__xludf.DUMMYFUNCTION("""COMPUTED_VALUE"""),45828.2956471412)</f>
        <v>45828.29565</v>
      </c>
      <c r="B1481" s="29" t="str">
        <f>IFERROR(__xludf.DUMMYFUNCTION("""COMPUTED_VALUE"""),"Intact (Never circumcised)")</f>
        <v>Intact (Never circumcised)</v>
      </c>
      <c r="C1481" s="29" t="str">
        <f>IFERROR(__xludf.DUMMYFUNCTION("""COMPUTED_VALUE"""),"Pleasure from Mobile Skin")</f>
        <v>Pleasure from Mobile Skin</v>
      </c>
      <c r="D1481" s="29" t="str">
        <f>IFERROR(__xludf.DUMMYFUNCTION("""COMPUTED_VALUE"""),"4")</f>
        <v>4</v>
      </c>
      <c r="E1481" s="29">
        <f>IFERROR(__xludf.DUMMYFUNCTION("""COMPUTED_VALUE"""),4.0)</f>
        <v>4</v>
      </c>
    </row>
    <row r="1482">
      <c r="A1482" s="33">
        <f>IFERROR(__xludf.DUMMYFUNCTION("""COMPUTED_VALUE"""),45828.31245334491)</f>
        <v>45828.31245</v>
      </c>
      <c r="B1482" s="29" t="str">
        <f>IFERROR(__xludf.DUMMYFUNCTION("""COMPUTED_VALUE"""),"Circumcised")</f>
        <v>Circumcised</v>
      </c>
      <c r="C1482" s="29" t="str">
        <f>IFERROR(__xludf.DUMMYFUNCTION("""COMPUTED_VALUE"""),"Pleasure from Mobile Skin")</f>
        <v>Pleasure from Mobile Skin</v>
      </c>
      <c r="D1482" s="29" t="str">
        <f>IFERROR(__xludf.DUMMYFUNCTION("""COMPUTED_VALUE"""),"1 (Low/Poor)")</f>
        <v>1 (Low/Poor)</v>
      </c>
      <c r="E1482" s="29">
        <f>IFERROR(__xludf.DUMMYFUNCTION("""COMPUTED_VALUE"""),1.0)</f>
        <v>1</v>
      </c>
    </row>
    <row r="1483">
      <c r="A1483" s="33">
        <f>IFERROR(__xludf.DUMMYFUNCTION("""COMPUTED_VALUE"""),45828.31539207176)</f>
        <v>45828.31539</v>
      </c>
      <c r="B1483" s="29" t="str">
        <f>IFERROR(__xludf.DUMMYFUNCTION("""COMPUTED_VALUE"""),"Circumcised")</f>
        <v>Circumcised</v>
      </c>
      <c r="C1483" s="29" t="str">
        <f>IFERROR(__xludf.DUMMYFUNCTION("""COMPUTED_VALUE"""),"Pleasure from Mobile Skin")</f>
        <v>Pleasure from Mobile Skin</v>
      </c>
      <c r="D1483" s="29" t="str">
        <f>IFERROR(__xludf.DUMMYFUNCTION("""COMPUTED_VALUE"""),"1 (Low/Poor)")</f>
        <v>1 (Low/Poor)</v>
      </c>
      <c r="E1483" s="29">
        <f>IFERROR(__xludf.DUMMYFUNCTION("""COMPUTED_VALUE"""),1.0)</f>
        <v>1</v>
      </c>
    </row>
    <row r="1484">
      <c r="A1484" s="33">
        <f>IFERROR(__xludf.DUMMYFUNCTION("""COMPUTED_VALUE"""),45828.341003518515)</f>
        <v>45828.341</v>
      </c>
      <c r="B1484" s="29" t="str">
        <f>IFERROR(__xludf.DUMMYFUNCTION("""COMPUTED_VALUE"""),"Intact (Never circumcised)")</f>
        <v>Intact (Never circumcised)</v>
      </c>
      <c r="C1484" s="29" t="str">
        <f>IFERROR(__xludf.DUMMYFUNCTION("""COMPUTED_VALUE"""),"Pleasure from Mobile Skin")</f>
        <v>Pleasure from Mobile Skin</v>
      </c>
      <c r="D1484" s="29" t="str">
        <f>IFERROR(__xludf.DUMMYFUNCTION("""COMPUTED_VALUE"""),"5 (High/Excellent)")</f>
        <v>5 (High/Excellent)</v>
      </c>
      <c r="E1484" s="29">
        <f>IFERROR(__xludf.DUMMYFUNCTION("""COMPUTED_VALUE"""),5.0)</f>
        <v>5</v>
      </c>
    </row>
    <row r="1485">
      <c r="A1485" s="33">
        <f>IFERROR(__xludf.DUMMYFUNCTION("""COMPUTED_VALUE"""),45828.3511699537)</f>
        <v>45828.35117</v>
      </c>
      <c r="B1485" s="29" t="str">
        <f>IFERROR(__xludf.DUMMYFUNCTION("""COMPUTED_VALUE"""),"Intact (Never circumcised)")</f>
        <v>Intact (Never circumcised)</v>
      </c>
      <c r="C1485" s="29" t="str">
        <f>IFERROR(__xludf.DUMMYFUNCTION("""COMPUTED_VALUE"""),"Pleasure from Mobile Skin")</f>
        <v>Pleasure from Mobile Skin</v>
      </c>
      <c r="D1485" s="29" t="str">
        <f>IFERROR(__xludf.DUMMYFUNCTION("""COMPUTED_VALUE"""),"5 (High/Excellent)")</f>
        <v>5 (High/Excellent)</v>
      </c>
      <c r="E1485" s="29">
        <f>IFERROR(__xludf.DUMMYFUNCTION("""COMPUTED_VALUE"""),5.0)</f>
        <v>5</v>
      </c>
    </row>
    <row r="1486">
      <c r="A1486" s="33">
        <f>IFERROR(__xludf.DUMMYFUNCTION("""COMPUTED_VALUE"""),45828.35833436343)</f>
        <v>45828.35833</v>
      </c>
      <c r="B1486" s="29" t="str">
        <f>IFERROR(__xludf.DUMMYFUNCTION("""COMPUTED_VALUE"""),"Actively restoring my foreskin / I consider myself restored")</f>
        <v>Actively restoring my foreskin / I consider myself restored</v>
      </c>
      <c r="C1486" s="29" t="str">
        <f>IFERROR(__xludf.DUMMYFUNCTION("""COMPUTED_VALUE"""),"Pleasure from Mobile Skin")</f>
        <v>Pleasure from Mobile Skin</v>
      </c>
      <c r="D1486" s="29" t="str">
        <f>IFERROR(__xludf.DUMMYFUNCTION("""COMPUTED_VALUE"""),"3 (Medium/Average)")</f>
        <v>3 (Medium/Average)</v>
      </c>
      <c r="E1486" s="29">
        <f>IFERROR(__xludf.DUMMYFUNCTION("""COMPUTED_VALUE"""),3.0)</f>
        <v>3</v>
      </c>
    </row>
    <row r="1487">
      <c r="A1487" s="33">
        <f>IFERROR(__xludf.DUMMYFUNCTION("""COMPUTED_VALUE"""),45828.35893381945)</f>
        <v>45828.35893</v>
      </c>
      <c r="B1487" s="29" t="str">
        <f>IFERROR(__xludf.DUMMYFUNCTION("""COMPUTED_VALUE"""),"Intact (Never circumcised)")</f>
        <v>Intact (Never circumcised)</v>
      </c>
      <c r="C1487" s="29" t="str">
        <f>IFERROR(__xludf.DUMMYFUNCTION("""COMPUTED_VALUE"""),"Pleasure from Mobile Skin")</f>
        <v>Pleasure from Mobile Skin</v>
      </c>
      <c r="D1487" s="29" t="str">
        <f>IFERROR(__xludf.DUMMYFUNCTION("""COMPUTED_VALUE"""),"4")</f>
        <v>4</v>
      </c>
      <c r="E1487" s="29">
        <f>IFERROR(__xludf.DUMMYFUNCTION("""COMPUTED_VALUE"""),4.0)</f>
        <v>4</v>
      </c>
    </row>
    <row r="1488">
      <c r="A1488" s="33">
        <f>IFERROR(__xludf.DUMMYFUNCTION("""COMPUTED_VALUE"""),45828.35894726852)</f>
        <v>45828.35895</v>
      </c>
      <c r="B1488" s="29" t="str">
        <f>IFERROR(__xludf.DUMMYFUNCTION("""COMPUTED_VALUE"""),"Intact (Never circumcised)")</f>
        <v>Intact (Never circumcised)</v>
      </c>
      <c r="C1488" s="29" t="str">
        <f>IFERROR(__xludf.DUMMYFUNCTION("""COMPUTED_VALUE"""),"Pleasure from Mobile Skin")</f>
        <v>Pleasure from Mobile Skin</v>
      </c>
      <c r="D1488" s="29" t="str">
        <f>IFERROR(__xludf.DUMMYFUNCTION("""COMPUTED_VALUE"""),"5 (High/Excellent)")</f>
        <v>5 (High/Excellent)</v>
      </c>
      <c r="E1488" s="29">
        <f>IFERROR(__xludf.DUMMYFUNCTION("""COMPUTED_VALUE"""),5.0)</f>
        <v>5</v>
      </c>
    </row>
    <row r="1489">
      <c r="A1489" s="33">
        <f>IFERROR(__xludf.DUMMYFUNCTION("""COMPUTED_VALUE"""),45828.39941795139)</f>
        <v>45828.39942</v>
      </c>
      <c r="B1489" s="29" t="str">
        <f>IFERROR(__xludf.DUMMYFUNCTION("""COMPUTED_VALUE"""),"Circumcised")</f>
        <v>Circumcised</v>
      </c>
      <c r="C1489" s="29" t="str">
        <f>IFERROR(__xludf.DUMMYFUNCTION("""COMPUTED_VALUE"""),"Pleasure from Mobile Skin")</f>
        <v>Pleasure from Mobile Skin</v>
      </c>
      <c r="D1489" s="29" t="str">
        <f>IFERROR(__xludf.DUMMYFUNCTION("""COMPUTED_VALUE"""),"1 (Low/Poor)")</f>
        <v>1 (Low/Poor)</v>
      </c>
      <c r="E1489" s="29">
        <f>IFERROR(__xludf.DUMMYFUNCTION("""COMPUTED_VALUE"""),1.0)</f>
        <v>1</v>
      </c>
    </row>
    <row r="1490">
      <c r="A1490" s="33">
        <f>IFERROR(__xludf.DUMMYFUNCTION("""COMPUTED_VALUE"""),45828.46985780093)</f>
        <v>45828.46986</v>
      </c>
      <c r="B1490" s="29" t="str">
        <f>IFERROR(__xludf.DUMMYFUNCTION("""COMPUTED_VALUE"""),"Intact (Never circumcised)")</f>
        <v>Intact (Never circumcised)</v>
      </c>
      <c r="C1490" s="29" t="str">
        <f>IFERROR(__xludf.DUMMYFUNCTION("""COMPUTED_VALUE"""),"Pleasure from Mobile Skin")</f>
        <v>Pleasure from Mobile Skin</v>
      </c>
      <c r="D1490" s="29" t="str">
        <f>IFERROR(__xludf.DUMMYFUNCTION("""COMPUTED_VALUE"""),"5 (High/Excellent)")</f>
        <v>5 (High/Excellent)</v>
      </c>
      <c r="E1490" s="29">
        <f>IFERROR(__xludf.DUMMYFUNCTION("""COMPUTED_VALUE"""),5.0)</f>
        <v>5</v>
      </c>
    </row>
    <row r="1491">
      <c r="A1491" s="33">
        <f>IFERROR(__xludf.DUMMYFUNCTION("""COMPUTED_VALUE"""),45828.4853855324)</f>
        <v>45828.48539</v>
      </c>
      <c r="B1491" s="29" t="str">
        <f>IFERROR(__xludf.DUMMYFUNCTION("""COMPUTED_VALUE"""),"Actively restoring my foreskin / I consider myself restored")</f>
        <v>Actively restoring my foreskin / I consider myself restored</v>
      </c>
      <c r="C1491" s="29" t="str">
        <f>IFERROR(__xludf.DUMMYFUNCTION("""COMPUTED_VALUE"""),"Pleasure from Mobile Skin")</f>
        <v>Pleasure from Mobile Skin</v>
      </c>
      <c r="D1491" s="29" t="str">
        <f>IFERROR(__xludf.DUMMYFUNCTION("""COMPUTED_VALUE"""),"3 (Medium/Average)")</f>
        <v>3 (Medium/Average)</v>
      </c>
      <c r="E1491" s="29">
        <f>IFERROR(__xludf.DUMMYFUNCTION("""COMPUTED_VALUE"""),3.0)</f>
        <v>3</v>
      </c>
    </row>
    <row r="1492">
      <c r="A1492" s="33">
        <f>IFERROR(__xludf.DUMMYFUNCTION("""COMPUTED_VALUE"""),45828.49643018519)</f>
        <v>45828.49643</v>
      </c>
      <c r="B1492" s="29" t="str">
        <f>IFERROR(__xludf.DUMMYFUNCTION("""COMPUTED_VALUE"""),"Circumcised")</f>
        <v>Circumcised</v>
      </c>
      <c r="C1492" s="29" t="str">
        <f>IFERROR(__xludf.DUMMYFUNCTION("""COMPUTED_VALUE"""),"Pleasure from Mobile Skin")</f>
        <v>Pleasure from Mobile Skin</v>
      </c>
      <c r="D1492" s="29" t="str">
        <f>IFERROR(__xludf.DUMMYFUNCTION("""COMPUTED_VALUE"""),"4")</f>
        <v>4</v>
      </c>
      <c r="E1492" s="29">
        <f>IFERROR(__xludf.DUMMYFUNCTION("""COMPUTED_VALUE"""),4.0)</f>
        <v>4</v>
      </c>
    </row>
    <row r="1493">
      <c r="A1493" s="33">
        <f>IFERROR(__xludf.DUMMYFUNCTION("""COMPUTED_VALUE"""),45828.52431340278)</f>
        <v>45828.52431</v>
      </c>
      <c r="B1493" s="29" t="str">
        <f>IFERROR(__xludf.DUMMYFUNCTION("""COMPUTED_VALUE"""),"Intact (Never circumcised)")</f>
        <v>Intact (Never circumcised)</v>
      </c>
      <c r="C1493" s="29" t="str">
        <f>IFERROR(__xludf.DUMMYFUNCTION("""COMPUTED_VALUE"""),"Pleasure from Mobile Skin")</f>
        <v>Pleasure from Mobile Skin</v>
      </c>
      <c r="D1493" s="29" t="str">
        <f>IFERROR(__xludf.DUMMYFUNCTION("""COMPUTED_VALUE"""),"3 (Medium/Average)")</f>
        <v>3 (Medium/Average)</v>
      </c>
      <c r="E1493" s="29">
        <f>IFERROR(__xludf.DUMMYFUNCTION("""COMPUTED_VALUE"""),3.0)</f>
        <v>3</v>
      </c>
    </row>
    <row r="1494">
      <c r="A1494" s="33">
        <f>IFERROR(__xludf.DUMMYFUNCTION("""COMPUTED_VALUE"""),45828.5412253125)</f>
        <v>45828.54123</v>
      </c>
      <c r="B1494" s="29" t="str">
        <f>IFERROR(__xludf.DUMMYFUNCTION("""COMPUTED_VALUE"""),"Circumcised")</f>
        <v>Circumcised</v>
      </c>
      <c r="C1494" s="29" t="str">
        <f>IFERROR(__xludf.DUMMYFUNCTION("""COMPUTED_VALUE"""),"Pleasure from Mobile Skin")</f>
        <v>Pleasure from Mobile Skin</v>
      </c>
      <c r="D1494" s="29" t="str">
        <f>IFERROR(__xludf.DUMMYFUNCTION("""COMPUTED_VALUE"""),"1 (Low/Poor)")</f>
        <v>1 (Low/Poor)</v>
      </c>
      <c r="E1494" s="29">
        <f>IFERROR(__xludf.DUMMYFUNCTION("""COMPUTED_VALUE"""),1.0)</f>
        <v>1</v>
      </c>
    </row>
    <row r="1495">
      <c r="A1495" s="33">
        <f>IFERROR(__xludf.DUMMYFUNCTION("""COMPUTED_VALUE"""),45828.55194200231)</f>
        <v>45828.55194</v>
      </c>
      <c r="B1495" s="29" t="str">
        <f>IFERROR(__xludf.DUMMYFUNCTION("""COMPUTED_VALUE"""),"Intact (Never circumcised)")</f>
        <v>Intact (Never circumcised)</v>
      </c>
      <c r="C1495" s="29" t="str">
        <f>IFERROR(__xludf.DUMMYFUNCTION("""COMPUTED_VALUE"""),"Pleasure from Mobile Skin")</f>
        <v>Pleasure from Mobile Skin</v>
      </c>
      <c r="D1495" s="29" t="str">
        <f>IFERROR(__xludf.DUMMYFUNCTION("""COMPUTED_VALUE"""),"5 (High/Excellent)")</f>
        <v>5 (High/Excellent)</v>
      </c>
      <c r="E1495" s="29">
        <f>IFERROR(__xludf.DUMMYFUNCTION("""COMPUTED_VALUE"""),5.0)</f>
        <v>5</v>
      </c>
    </row>
    <row r="1496">
      <c r="A1496" s="33">
        <f>IFERROR(__xludf.DUMMYFUNCTION("""COMPUTED_VALUE"""),45828.57699451389)</f>
        <v>45828.57699</v>
      </c>
      <c r="B1496" s="29" t="str">
        <f>IFERROR(__xludf.DUMMYFUNCTION("""COMPUTED_VALUE"""),"Circumcised")</f>
        <v>Circumcised</v>
      </c>
      <c r="C1496" s="29" t="str">
        <f>IFERROR(__xludf.DUMMYFUNCTION("""COMPUTED_VALUE"""),"Pleasure from Mobile Skin")</f>
        <v>Pleasure from Mobile Skin</v>
      </c>
      <c r="D1496" s="29" t="str">
        <f>IFERROR(__xludf.DUMMYFUNCTION("""COMPUTED_VALUE"""),"1 (Low/Poor)")</f>
        <v>1 (Low/Poor)</v>
      </c>
      <c r="E1496" s="29">
        <f>IFERROR(__xludf.DUMMYFUNCTION("""COMPUTED_VALUE"""),1.0)</f>
        <v>1</v>
      </c>
    </row>
    <row r="1497">
      <c r="A1497" s="33">
        <f>IFERROR(__xludf.DUMMYFUNCTION("""COMPUTED_VALUE"""),45828.57987178241)</f>
        <v>45828.57987</v>
      </c>
      <c r="B1497" s="29" t="str">
        <f>IFERROR(__xludf.DUMMYFUNCTION("""COMPUTED_VALUE"""),"Intact (Never circumcised)")</f>
        <v>Intact (Never circumcised)</v>
      </c>
      <c r="C1497" s="29" t="str">
        <f>IFERROR(__xludf.DUMMYFUNCTION("""COMPUTED_VALUE"""),"Pleasure from Mobile Skin")</f>
        <v>Pleasure from Mobile Skin</v>
      </c>
      <c r="D1497" s="29" t="str">
        <f>IFERROR(__xludf.DUMMYFUNCTION("""COMPUTED_VALUE"""),"4")</f>
        <v>4</v>
      </c>
      <c r="E1497" s="29">
        <f>IFERROR(__xludf.DUMMYFUNCTION("""COMPUTED_VALUE"""),4.0)</f>
        <v>4</v>
      </c>
    </row>
    <row r="1498">
      <c r="A1498" s="33">
        <f>IFERROR(__xludf.DUMMYFUNCTION("""COMPUTED_VALUE"""),45828.60358170139)</f>
        <v>45828.60358</v>
      </c>
      <c r="B1498" s="29" t="str">
        <f>IFERROR(__xludf.DUMMYFUNCTION("""COMPUTED_VALUE"""),"Circumcised")</f>
        <v>Circumcised</v>
      </c>
      <c r="C1498" s="29" t="str">
        <f>IFERROR(__xludf.DUMMYFUNCTION("""COMPUTED_VALUE"""),"Pleasure from Mobile Skin")</f>
        <v>Pleasure from Mobile Skin</v>
      </c>
      <c r="D1498" s="29" t="str">
        <f>IFERROR(__xludf.DUMMYFUNCTION("""COMPUTED_VALUE"""),"2")</f>
        <v>2</v>
      </c>
      <c r="E1498" s="29">
        <f>IFERROR(__xludf.DUMMYFUNCTION("""COMPUTED_VALUE"""),2.0)</f>
        <v>2</v>
      </c>
    </row>
    <row r="1499">
      <c r="A1499" s="33">
        <f>IFERROR(__xludf.DUMMYFUNCTION("""COMPUTED_VALUE"""),45828.64029736111)</f>
        <v>45828.6403</v>
      </c>
      <c r="B1499" s="29" t="str">
        <f>IFERROR(__xludf.DUMMYFUNCTION("""COMPUTED_VALUE"""),"Intact (Never circumcised)")</f>
        <v>Intact (Never circumcised)</v>
      </c>
      <c r="C1499" s="29" t="str">
        <f>IFERROR(__xludf.DUMMYFUNCTION("""COMPUTED_VALUE"""),"Pleasure from Mobile Skin")</f>
        <v>Pleasure from Mobile Skin</v>
      </c>
      <c r="D1499" s="29" t="str">
        <f>IFERROR(__xludf.DUMMYFUNCTION("""COMPUTED_VALUE"""),"5 (High/Excellent)")</f>
        <v>5 (High/Excellent)</v>
      </c>
      <c r="E1499" s="29">
        <f>IFERROR(__xludf.DUMMYFUNCTION("""COMPUTED_VALUE"""),5.0)</f>
        <v>5</v>
      </c>
    </row>
    <row r="1500">
      <c r="A1500" s="33">
        <f>IFERROR(__xludf.DUMMYFUNCTION("""COMPUTED_VALUE"""),45828.643401828704)</f>
        <v>45828.6434</v>
      </c>
      <c r="B1500" s="29" t="str">
        <f>IFERROR(__xludf.DUMMYFUNCTION("""COMPUTED_VALUE"""),"Intact (Never circumcised)")</f>
        <v>Intact (Never circumcised)</v>
      </c>
      <c r="C1500" s="29" t="str">
        <f>IFERROR(__xludf.DUMMYFUNCTION("""COMPUTED_VALUE"""),"Pleasure from Mobile Skin")</f>
        <v>Pleasure from Mobile Skin</v>
      </c>
      <c r="D1500" s="29" t="str">
        <f>IFERROR(__xludf.DUMMYFUNCTION("""COMPUTED_VALUE"""),"5 (High/Excellent)")</f>
        <v>5 (High/Excellent)</v>
      </c>
      <c r="E1500" s="29">
        <f>IFERROR(__xludf.DUMMYFUNCTION("""COMPUTED_VALUE"""),5.0)</f>
        <v>5</v>
      </c>
    </row>
    <row r="1501">
      <c r="A1501" s="33">
        <f>IFERROR(__xludf.DUMMYFUNCTION("""COMPUTED_VALUE"""),45828.78532109953)</f>
        <v>45828.78532</v>
      </c>
      <c r="B1501" s="29" t="str">
        <f>IFERROR(__xludf.DUMMYFUNCTION("""COMPUTED_VALUE"""),"Actively restoring my foreskin / I consider myself restored")</f>
        <v>Actively restoring my foreskin / I consider myself restored</v>
      </c>
      <c r="C1501" s="29" t="str">
        <f>IFERROR(__xludf.DUMMYFUNCTION("""COMPUTED_VALUE"""),"Pleasure from Mobile Skin")</f>
        <v>Pleasure from Mobile Skin</v>
      </c>
      <c r="D1501" s="29" t="str">
        <f>IFERROR(__xludf.DUMMYFUNCTION("""COMPUTED_VALUE"""),"5 (High/Excellent)")</f>
        <v>5 (High/Excellent)</v>
      </c>
      <c r="E1501" s="29">
        <f>IFERROR(__xludf.DUMMYFUNCTION("""COMPUTED_VALUE"""),5.0)</f>
        <v>5</v>
      </c>
    </row>
    <row r="1502">
      <c r="A1502" s="33">
        <f>IFERROR(__xludf.DUMMYFUNCTION("""COMPUTED_VALUE"""),45828.791163622685)</f>
        <v>45828.79116</v>
      </c>
      <c r="B1502" s="29" t="str">
        <f>IFERROR(__xludf.DUMMYFUNCTION("""COMPUTED_VALUE"""),"Circumcised")</f>
        <v>Circumcised</v>
      </c>
      <c r="C1502" s="29" t="str">
        <f>IFERROR(__xludf.DUMMYFUNCTION("""COMPUTED_VALUE"""),"Pleasure from Mobile Skin")</f>
        <v>Pleasure from Mobile Skin</v>
      </c>
      <c r="D1502" s="29" t="str">
        <f>IFERROR(__xludf.DUMMYFUNCTION("""COMPUTED_VALUE"""),"2")</f>
        <v>2</v>
      </c>
      <c r="E1502" s="29">
        <f>IFERROR(__xludf.DUMMYFUNCTION("""COMPUTED_VALUE"""),2.0)</f>
        <v>2</v>
      </c>
    </row>
    <row r="1503">
      <c r="A1503" s="33">
        <f>IFERROR(__xludf.DUMMYFUNCTION("""COMPUTED_VALUE"""),45828.88566534722)</f>
        <v>45828.88567</v>
      </c>
      <c r="B1503" s="29" t="str">
        <f>IFERROR(__xludf.DUMMYFUNCTION("""COMPUTED_VALUE"""),"Circumcised")</f>
        <v>Circumcised</v>
      </c>
      <c r="C1503" s="29" t="str">
        <f>IFERROR(__xludf.DUMMYFUNCTION("""COMPUTED_VALUE"""),"Pleasure from Mobile Skin")</f>
        <v>Pleasure from Mobile Skin</v>
      </c>
      <c r="D1503" s="29" t="str">
        <f>IFERROR(__xludf.DUMMYFUNCTION("""COMPUTED_VALUE"""),"4")</f>
        <v>4</v>
      </c>
      <c r="E1503" s="29">
        <f>IFERROR(__xludf.DUMMYFUNCTION("""COMPUTED_VALUE"""),4.0)</f>
        <v>4</v>
      </c>
    </row>
    <row r="1504">
      <c r="A1504" s="33">
        <f>IFERROR(__xludf.DUMMYFUNCTION("""COMPUTED_VALUE"""),45828.891574270834)</f>
        <v>45828.89157</v>
      </c>
      <c r="B1504" s="29" t="str">
        <f>IFERROR(__xludf.DUMMYFUNCTION("""COMPUTED_VALUE"""),"Circumcised")</f>
        <v>Circumcised</v>
      </c>
      <c r="C1504" s="29" t="str">
        <f>IFERROR(__xludf.DUMMYFUNCTION("""COMPUTED_VALUE"""),"Pleasure from Mobile Skin")</f>
        <v>Pleasure from Mobile Skin</v>
      </c>
      <c r="D1504" s="29" t="str">
        <f>IFERROR(__xludf.DUMMYFUNCTION("""COMPUTED_VALUE"""),"3 (Medium/Average)")</f>
        <v>3 (Medium/Average)</v>
      </c>
      <c r="E1504" s="29">
        <f>IFERROR(__xludf.DUMMYFUNCTION("""COMPUTED_VALUE"""),3.0)</f>
        <v>3</v>
      </c>
    </row>
    <row r="1505">
      <c r="A1505" s="33">
        <f>IFERROR(__xludf.DUMMYFUNCTION("""COMPUTED_VALUE"""),45828.92868631945)</f>
        <v>45828.92869</v>
      </c>
      <c r="B1505" s="29" t="str">
        <f>IFERROR(__xludf.DUMMYFUNCTION("""COMPUTED_VALUE"""),"Actively restoring my foreskin / I consider myself restored")</f>
        <v>Actively restoring my foreskin / I consider myself restored</v>
      </c>
      <c r="C1505" s="29" t="str">
        <f>IFERROR(__xludf.DUMMYFUNCTION("""COMPUTED_VALUE"""),"Pleasure from Mobile Skin")</f>
        <v>Pleasure from Mobile Skin</v>
      </c>
      <c r="D1505" s="29" t="str">
        <f>IFERROR(__xludf.DUMMYFUNCTION("""COMPUTED_VALUE"""),"3 (Medium/Average)")</f>
        <v>3 (Medium/Average)</v>
      </c>
      <c r="E1505" s="29">
        <f>IFERROR(__xludf.DUMMYFUNCTION("""COMPUTED_VALUE"""),3.0)</f>
        <v>3</v>
      </c>
    </row>
    <row r="1506">
      <c r="A1506" s="33">
        <f>IFERROR(__xludf.DUMMYFUNCTION("""COMPUTED_VALUE"""),45829.002409062494)</f>
        <v>45829.00241</v>
      </c>
      <c r="B1506" s="29" t="str">
        <f>IFERROR(__xludf.DUMMYFUNCTION("""COMPUTED_VALUE"""),"Circumcised")</f>
        <v>Circumcised</v>
      </c>
      <c r="C1506" s="29" t="str">
        <f>IFERROR(__xludf.DUMMYFUNCTION("""COMPUTED_VALUE"""),"Pleasure from Mobile Skin")</f>
        <v>Pleasure from Mobile Skin</v>
      </c>
      <c r="D1506" s="29" t="str">
        <f>IFERROR(__xludf.DUMMYFUNCTION("""COMPUTED_VALUE"""),"2")</f>
        <v>2</v>
      </c>
      <c r="E1506" s="29">
        <f>IFERROR(__xludf.DUMMYFUNCTION("""COMPUTED_VALUE"""),2.0)</f>
        <v>2</v>
      </c>
    </row>
    <row r="1507">
      <c r="A1507" s="33">
        <f>IFERROR(__xludf.DUMMYFUNCTION("""COMPUTED_VALUE"""),45829.01592366899)</f>
        <v>45829.01592</v>
      </c>
      <c r="B1507" s="29" t="str">
        <f>IFERROR(__xludf.DUMMYFUNCTION("""COMPUTED_VALUE"""),"Circumcised")</f>
        <v>Circumcised</v>
      </c>
      <c r="C1507" s="29" t="str">
        <f>IFERROR(__xludf.DUMMYFUNCTION("""COMPUTED_VALUE"""),"Pleasure from Mobile Skin")</f>
        <v>Pleasure from Mobile Skin</v>
      </c>
      <c r="D1507" s="29" t="str">
        <f>IFERROR(__xludf.DUMMYFUNCTION("""COMPUTED_VALUE"""),"2")</f>
        <v>2</v>
      </c>
      <c r="E1507" s="29">
        <f>IFERROR(__xludf.DUMMYFUNCTION("""COMPUTED_VALUE"""),2.0)</f>
        <v>2</v>
      </c>
    </row>
    <row r="1508">
      <c r="A1508" s="33">
        <f>IFERROR(__xludf.DUMMYFUNCTION("""COMPUTED_VALUE"""),45829.15104336806)</f>
        <v>45829.15104</v>
      </c>
      <c r="B1508" s="29" t="str">
        <f>IFERROR(__xludf.DUMMYFUNCTION("""COMPUTED_VALUE"""),"Circumcised")</f>
        <v>Circumcised</v>
      </c>
      <c r="C1508" s="29" t="str">
        <f>IFERROR(__xludf.DUMMYFUNCTION("""COMPUTED_VALUE"""),"Pleasure from Mobile Skin")</f>
        <v>Pleasure from Mobile Skin</v>
      </c>
      <c r="D1508" s="29" t="str">
        <f>IFERROR(__xludf.DUMMYFUNCTION("""COMPUTED_VALUE"""),"2")</f>
        <v>2</v>
      </c>
      <c r="E1508" s="29">
        <f>IFERROR(__xludf.DUMMYFUNCTION("""COMPUTED_VALUE"""),2.0)</f>
        <v>2</v>
      </c>
    </row>
    <row r="1509">
      <c r="A1509" s="33">
        <f>IFERROR(__xludf.DUMMYFUNCTION("""COMPUTED_VALUE"""),45829.217301041666)</f>
        <v>45829.2173</v>
      </c>
      <c r="B1509" s="29" t="str">
        <f>IFERROR(__xludf.DUMMYFUNCTION("""COMPUTED_VALUE"""),"Intact (Never circumcised)")</f>
        <v>Intact (Never circumcised)</v>
      </c>
      <c r="C1509" s="29" t="str">
        <f>IFERROR(__xludf.DUMMYFUNCTION("""COMPUTED_VALUE"""),"Pleasure from Mobile Skin")</f>
        <v>Pleasure from Mobile Skin</v>
      </c>
      <c r="D1509" s="29" t="str">
        <f>IFERROR(__xludf.DUMMYFUNCTION("""COMPUTED_VALUE"""),"4")</f>
        <v>4</v>
      </c>
      <c r="E1509" s="29">
        <f>IFERROR(__xludf.DUMMYFUNCTION("""COMPUTED_VALUE"""),4.0)</f>
        <v>4</v>
      </c>
    </row>
    <row r="1510">
      <c r="A1510" s="33">
        <f>IFERROR(__xludf.DUMMYFUNCTION("""COMPUTED_VALUE"""),45829.2520430324)</f>
        <v>45829.25204</v>
      </c>
      <c r="B1510" s="29" t="str">
        <f>IFERROR(__xludf.DUMMYFUNCTION("""COMPUTED_VALUE"""),"Intact (Never circumcised)")</f>
        <v>Intact (Never circumcised)</v>
      </c>
      <c r="C1510" s="29" t="str">
        <f>IFERROR(__xludf.DUMMYFUNCTION("""COMPUTED_VALUE"""),"Pleasure from Mobile Skin")</f>
        <v>Pleasure from Mobile Skin</v>
      </c>
      <c r="D1510" s="29" t="str">
        <f>IFERROR(__xludf.DUMMYFUNCTION("""COMPUTED_VALUE"""),"3 (Medium/Average)")</f>
        <v>3 (Medium/Average)</v>
      </c>
      <c r="E1510" s="29">
        <f>IFERROR(__xludf.DUMMYFUNCTION("""COMPUTED_VALUE"""),3.0)</f>
        <v>3</v>
      </c>
    </row>
    <row r="1511">
      <c r="A1511" s="33">
        <f>IFERROR(__xludf.DUMMYFUNCTION("""COMPUTED_VALUE"""),45829.310797962964)</f>
        <v>45829.3108</v>
      </c>
      <c r="B1511" s="29" t="str">
        <f>IFERROR(__xludf.DUMMYFUNCTION("""COMPUTED_VALUE"""),"Actively restoring my foreskin / I consider myself restored")</f>
        <v>Actively restoring my foreskin / I consider myself restored</v>
      </c>
      <c r="C1511" s="29" t="str">
        <f>IFERROR(__xludf.DUMMYFUNCTION("""COMPUTED_VALUE"""),"Pleasure from Mobile Skin")</f>
        <v>Pleasure from Mobile Skin</v>
      </c>
      <c r="D1511" s="29" t="str">
        <f>IFERROR(__xludf.DUMMYFUNCTION("""COMPUTED_VALUE"""),"4")</f>
        <v>4</v>
      </c>
      <c r="E1511" s="29">
        <f>IFERROR(__xludf.DUMMYFUNCTION("""COMPUTED_VALUE"""),4.0)</f>
        <v>4</v>
      </c>
    </row>
    <row r="1512">
      <c r="A1512" s="33">
        <f>IFERROR(__xludf.DUMMYFUNCTION("""COMPUTED_VALUE"""),45829.33800960648)</f>
        <v>45829.33801</v>
      </c>
      <c r="B1512" s="29" t="str">
        <f>IFERROR(__xludf.DUMMYFUNCTION("""COMPUTED_VALUE"""),"Intact (Never circumcised)")</f>
        <v>Intact (Never circumcised)</v>
      </c>
      <c r="C1512" s="29" t="str">
        <f>IFERROR(__xludf.DUMMYFUNCTION("""COMPUTED_VALUE"""),"Pleasure from Mobile Skin")</f>
        <v>Pleasure from Mobile Skin</v>
      </c>
      <c r="D1512" s="29" t="str">
        <f>IFERROR(__xludf.DUMMYFUNCTION("""COMPUTED_VALUE"""),"4")</f>
        <v>4</v>
      </c>
      <c r="E1512" s="29">
        <f>IFERROR(__xludf.DUMMYFUNCTION("""COMPUTED_VALUE"""),4.0)</f>
        <v>4</v>
      </c>
    </row>
    <row r="1513">
      <c r="A1513" s="33">
        <f>IFERROR(__xludf.DUMMYFUNCTION("""COMPUTED_VALUE"""),45829.41961525463)</f>
        <v>45829.41962</v>
      </c>
      <c r="B1513" s="29" t="str">
        <f>IFERROR(__xludf.DUMMYFUNCTION("""COMPUTED_VALUE"""),"Intact (Never circumcised)")</f>
        <v>Intact (Never circumcised)</v>
      </c>
      <c r="C1513" s="29" t="str">
        <f>IFERROR(__xludf.DUMMYFUNCTION("""COMPUTED_VALUE"""),"Pleasure from Mobile Skin")</f>
        <v>Pleasure from Mobile Skin</v>
      </c>
      <c r="D1513" s="29" t="str">
        <f>IFERROR(__xludf.DUMMYFUNCTION("""COMPUTED_VALUE"""),"3 (Medium/Average)")</f>
        <v>3 (Medium/Average)</v>
      </c>
      <c r="E1513" s="29">
        <f>IFERROR(__xludf.DUMMYFUNCTION("""COMPUTED_VALUE"""),3.0)</f>
        <v>3</v>
      </c>
    </row>
    <row r="1514">
      <c r="A1514" s="33">
        <f>IFERROR(__xludf.DUMMYFUNCTION("""COMPUTED_VALUE"""),45829.42277583333)</f>
        <v>45829.42278</v>
      </c>
      <c r="B1514" s="29" t="str">
        <f>IFERROR(__xludf.DUMMYFUNCTION("""COMPUTED_VALUE"""),"Actively restoring my foreskin / I consider myself restored")</f>
        <v>Actively restoring my foreskin / I consider myself restored</v>
      </c>
      <c r="C1514" s="29" t="str">
        <f>IFERROR(__xludf.DUMMYFUNCTION("""COMPUTED_VALUE"""),"Pleasure from Mobile Skin")</f>
        <v>Pleasure from Mobile Skin</v>
      </c>
      <c r="D1514" s="29" t="str">
        <f>IFERROR(__xludf.DUMMYFUNCTION("""COMPUTED_VALUE"""),"5 (High/Excellent)")</f>
        <v>5 (High/Excellent)</v>
      </c>
      <c r="E1514" s="29">
        <f>IFERROR(__xludf.DUMMYFUNCTION("""COMPUTED_VALUE"""),5.0)</f>
        <v>5</v>
      </c>
    </row>
    <row r="1515">
      <c r="A1515" s="33">
        <f>IFERROR(__xludf.DUMMYFUNCTION("""COMPUTED_VALUE"""),45829.585866458336)</f>
        <v>45829.58587</v>
      </c>
      <c r="B1515" s="29" t="str">
        <f>IFERROR(__xludf.DUMMYFUNCTION("""COMPUTED_VALUE"""),"Actively restoring my foreskin / I consider myself restored")</f>
        <v>Actively restoring my foreskin / I consider myself restored</v>
      </c>
      <c r="C1515" s="29" t="str">
        <f>IFERROR(__xludf.DUMMYFUNCTION("""COMPUTED_VALUE"""),"Pleasure from Mobile Skin")</f>
        <v>Pleasure from Mobile Skin</v>
      </c>
      <c r="D1515" s="29" t="str">
        <f>IFERROR(__xludf.DUMMYFUNCTION("""COMPUTED_VALUE"""),"5 (High/Excellent)")</f>
        <v>5 (High/Excellent)</v>
      </c>
      <c r="E1515" s="29">
        <f>IFERROR(__xludf.DUMMYFUNCTION("""COMPUTED_VALUE"""),5.0)</f>
        <v>5</v>
      </c>
    </row>
    <row r="1516">
      <c r="A1516" s="33">
        <f>IFERROR(__xludf.DUMMYFUNCTION("""COMPUTED_VALUE"""),45829.60614784722)</f>
        <v>45829.60615</v>
      </c>
      <c r="B1516" s="29" t="str">
        <f>IFERROR(__xludf.DUMMYFUNCTION("""COMPUTED_VALUE"""),"Intact (Never circumcised)")</f>
        <v>Intact (Never circumcised)</v>
      </c>
      <c r="C1516" s="29" t="str">
        <f>IFERROR(__xludf.DUMMYFUNCTION("""COMPUTED_VALUE"""),"Pleasure from Mobile Skin")</f>
        <v>Pleasure from Mobile Skin</v>
      </c>
      <c r="D1516" s="29" t="str">
        <f>IFERROR(__xludf.DUMMYFUNCTION("""COMPUTED_VALUE"""),"5 (High/Excellent)")</f>
        <v>5 (High/Excellent)</v>
      </c>
      <c r="E1516" s="29">
        <f>IFERROR(__xludf.DUMMYFUNCTION("""COMPUTED_VALUE"""),5.0)</f>
        <v>5</v>
      </c>
    </row>
    <row r="1517">
      <c r="A1517" s="33">
        <f>IFERROR(__xludf.DUMMYFUNCTION("""COMPUTED_VALUE"""),45829.64056644676)</f>
        <v>45829.64057</v>
      </c>
      <c r="B1517" s="29" t="str">
        <f>IFERROR(__xludf.DUMMYFUNCTION("""COMPUTED_VALUE"""),"Actively restoring my foreskin / I consider myself restored")</f>
        <v>Actively restoring my foreskin / I consider myself restored</v>
      </c>
      <c r="C1517" s="29" t="str">
        <f>IFERROR(__xludf.DUMMYFUNCTION("""COMPUTED_VALUE"""),"Pleasure from Mobile Skin")</f>
        <v>Pleasure from Mobile Skin</v>
      </c>
      <c r="D1517" s="29" t="str">
        <f>IFERROR(__xludf.DUMMYFUNCTION("""COMPUTED_VALUE"""),"2")</f>
        <v>2</v>
      </c>
      <c r="E1517" s="29">
        <f>IFERROR(__xludf.DUMMYFUNCTION("""COMPUTED_VALUE"""),2.0)</f>
        <v>2</v>
      </c>
    </row>
    <row r="1518">
      <c r="A1518" s="33">
        <f>IFERROR(__xludf.DUMMYFUNCTION("""COMPUTED_VALUE"""),45829.679237766206)</f>
        <v>45829.67924</v>
      </c>
      <c r="B1518" s="29" t="str">
        <f>IFERROR(__xludf.DUMMYFUNCTION("""COMPUTED_VALUE"""),"Intact (Never circumcised)")</f>
        <v>Intact (Never circumcised)</v>
      </c>
      <c r="C1518" s="29" t="str">
        <f>IFERROR(__xludf.DUMMYFUNCTION("""COMPUTED_VALUE"""),"Pleasure from Mobile Skin")</f>
        <v>Pleasure from Mobile Skin</v>
      </c>
      <c r="D1518" s="29" t="str">
        <f>IFERROR(__xludf.DUMMYFUNCTION("""COMPUTED_VALUE"""),"4")</f>
        <v>4</v>
      </c>
      <c r="E1518" s="29">
        <f>IFERROR(__xludf.DUMMYFUNCTION("""COMPUTED_VALUE"""),4.0)</f>
        <v>4</v>
      </c>
    </row>
    <row r="1519">
      <c r="A1519" s="33">
        <f>IFERROR(__xludf.DUMMYFUNCTION("""COMPUTED_VALUE"""),45829.99185576389)</f>
        <v>45829.99186</v>
      </c>
      <c r="B1519" s="29" t="str">
        <f>IFERROR(__xludf.DUMMYFUNCTION("""COMPUTED_VALUE"""),"Circumcised")</f>
        <v>Circumcised</v>
      </c>
      <c r="C1519" s="29" t="str">
        <f>IFERROR(__xludf.DUMMYFUNCTION("""COMPUTED_VALUE"""),"Pleasure from Mobile Skin")</f>
        <v>Pleasure from Mobile Skin</v>
      </c>
      <c r="D1519" s="29" t="str">
        <f>IFERROR(__xludf.DUMMYFUNCTION("""COMPUTED_VALUE"""),"1 (Low/Poor)")</f>
        <v>1 (Low/Poor)</v>
      </c>
      <c r="E1519" s="29">
        <f>IFERROR(__xludf.DUMMYFUNCTION("""COMPUTED_VALUE"""),1.0)</f>
        <v>1</v>
      </c>
    </row>
    <row r="1520">
      <c r="A1520" s="33">
        <f>IFERROR(__xludf.DUMMYFUNCTION("""COMPUTED_VALUE"""),45829.99663518518)</f>
        <v>45829.99664</v>
      </c>
      <c r="B1520" s="29" t="str">
        <f>IFERROR(__xludf.DUMMYFUNCTION("""COMPUTED_VALUE"""),"Circumcised")</f>
        <v>Circumcised</v>
      </c>
      <c r="C1520" s="29" t="str">
        <f>IFERROR(__xludf.DUMMYFUNCTION("""COMPUTED_VALUE"""),"Pleasure from Mobile Skin")</f>
        <v>Pleasure from Mobile Skin</v>
      </c>
      <c r="D1520" s="29" t="str">
        <f>IFERROR(__xludf.DUMMYFUNCTION("""COMPUTED_VALUE"""),"3 (Medium/Average)")</f>
        <v>3 (Medium/Average)</v>
      </c>
      <c r="E1520" s="29">
        <f>IFERROR(__xludf.DUMMYFUNCTION("""COMPUTED_VALUE"""),3.0)</f>
        <v>3</v>
      </c>
    </row>
    <row r="1521">
      <c r="A1521" s="33">
        <f>IFERROR(__xludf.DUMMYFUNCTION("""COMPUTED_VALUE"""),45830.26074947917)</f>
        <v>45830.26075</v>
      </c>
      <c r="B1521" s="29" t="str">
        <f>IFERROR(__xludf.DUMMYFUNCTION("""COMPUTED_VALUE"""),"Circumcised")</f>
        <v>Circumcised</v>
      </c>
      <c r="C1521" s="29" t="str">
        <f>IFERROR(__xludf.DUMMYFUNCTION("""COMPUTED_VALUE"""),"Pleasure from Mobile Skin")</f>
        <v>Pleasure from Mobile Skin</v>
      </c>
      <c r="D1521" s="29" t="str">
        <f>IFERROR(__xludf.DUMMYFUNCTION("""COMPUTED_VALUE"""),"3 (Medium/Average)")</f>
        <v>3 (Medium/Average)</v>
      </c>
      <c r="E1521" s="29">
        <f>IFERROR(__xludf.DUMMYFUNCTION("""COMPUTED_VALUE"""),3.0)</f>
        <v>3</v>
      </c>
    </row>
    <row r="1522">
      <c r="A1522" s="33">
        <f>IFERROR(__xludf.DUMMYFUNCTION("""COMPUTED_VALUE"""),45830.275929791664)</f>
        <v>45830.27593</v>
      </c>
      <c r="B1522" s="29" t="str">
        <f>IFERROR(__xludf.DUMMYFUNCTION("""COMPUTED_VALUE"""),"Intact (Never circumcised)")</f>
        <v>Intact (Never circumcised)</v>
      </c>
      <c r="C1522" s="29" t="str">
        <f>IFERROR(__xludf.DUMMYFUNCTION("""COMPUTED_VALUE"""),"Pleasure from Mobile Skin")</f>
        <v>Pleasure from Mobile Skin</v>
      </c>
      <c r="D1522" s="29" t="str">
        <f>IFERROR(__xludf.DUMMYFUNCTION("""COMPUTED_VALUE"""),"5 (High/Excellent)")</f>
        <v>5 (High/Excellent)</v>
      </c>
      <c r="E1522" s="29">
        <f>IFERROR(__xludf.DUMMYFUNCTION("""COMPUTED_VALUE"""),5.0)</f>
        <v>5</v>
      </c>
    </row>
    <row r="1523">
      <c r="A1523" s="33">
        <f>IFERROR(__xludf.DUMMYFUNCTION("""COMPUTED_VALUE"""),45830.342906412036)</f>
        <v>45830.34291</v>
      </c>
      <c r="B1523" s="29" t="str">
        <f>IFERROR(__xludf.DUMMYFUNCTION("""COMPUTED_VALUE"""),"Intact (Never circumcised)")</f>
        <v>Intact (Never circumcised)</v>
      </c>
      <c r="C1523" s="29" t="str">
        <f>IFERROR(__xludf.DUMMYFUNCTION("""COMPUTED_VALUE"""),"Pleasure from Mobile Skin")</f>
        <v>Pleasure from Mobile Skin</v>
      </c>
      <c r="D1523" s="29" t="str">
        <f>IFERROR(__xludf.DUMMYFUNCTION("""COMPUTED_VALUE"""),"5 (High/Excellent)")</f>
        <v>5 (High/Excellent)</v>
      </c>
      <c r="E1523" s="29">
        <f>IFERROR(__xludf.DUMMYFUNCTION("""COMPUTED_VALUE"""),5.0)</f>
        <v>5</v>
      </c>
    </row>
    <row r="1524">
      <c r="A1524" s="33">
        <f>IFERROR(__xludf.DUMMYFUNCTION("""COMPUTED_VALUE"""),45830.397428067125)</f>
        <v>45830.39743</v>
      </c>
      <c r="B1524" s="29" t="str">
        <f>IFERROR(__xludf.DUMMYFUNCTION("""COMPUTED_VALUE"""),"Actively restoring my foreskin / I consider myself restored")</f>
        <v>Actively restoring my foreskin / I consider myself restored</v>
      </c>
      <c r="C1524" s="29" t="str">
        <f>IFERROR(__xludf.DUMMYFUNCTION("""COMPUTED_VALUE"""),"Pleasure from Mobile Skin")</f>
        <v>Pleasure from Mobile Skin</v>
      </c>
      <c r="D1524" s="29" t="str">
        <f>IFERROR(__xludf.DUMMYFUNCTION("""COMPUTED_VALUE"""),"2")</f>
        <v>2</v>
      </c>
      <c r="E1524" s="29">
        <f>IFERROR(__xludf.DUMMYFUNCTION("""COMPUTED_VALUE"""),2.0)</f>
        <v>2</v>
      </c>
    </row>
    <row r="1525">
      <c r="A1525" s="33">
        <f>IFERROR(__xludf.DUMMYFUNCTION("""COMPUTED_VALUE"""),45830.414605439815)</f>
        <v>45830.41461</v>
      </c>
      <c r="B1525" s="29" t="str">
        <f>IFERROR(__xludf.DUMMYFUNCTION("""COMPUTED_VALUE"""),"Intact (Never circumcised)")</f>
        <v>Intact (Never circumcised)</v>
      </c>
      <c r="C1525" s="29" t="str">
        <f>IFERROR(__xludf.DUMMYFUNCTION("""COMPUTED_VALUE"""),"Pleasure from Mobile Skin")</f>
        <v>Pleasure from Mobile Skin</v>
      </c>
      <c r="D1525" s="29" t="str">
        <f>IFERROR(__xludf.DUMMYFUNCTION("""COMPUTED_VALUE"""),"5 (High/Excellent)")</f>
        <v>5 (High/Excellent)</v>
      </c>
      <c r="E1525" s="29">
        <f>IFERROR(__xludf.DUMMYFUNCTION("""COMPUTED_VALUE"""),5.0)</f>
        <v>5</v>
      </c>
    </row>
    <row r="1526">
      <c r="A1526" s="33">
        <f>IFERROR(__xludf.DUMMYFUNCTION("""COMPUTED_VALUE"""),45830.43470159722)</f>
        <v>45830.4347</v>
      </c>
      <c r="B1526" s="29" t="str">
        <f>IFERROR(__xludf.DUMMYFUNCTION("""COMPUTED_VALUE"""),"Intact (Never circumcised)")</f>
        <v>Intact (Never circumcised)</v>
      </c>
      <c r="C1526" s="29" t="str">
        <f>IFERROR(__xludf.DUMMYFUNCTION("""COMPUTED_VALUE"""),"Pleasure from Mobile Skin")</f>
        <v>Pleasure from Mobile Skin</v>
      </c>
      <c r="D1526" s="29" t="str">
        <f>IFERROR(__xludf.DUMMYFUNCTION("""COMPUTED_VALUE"""),"2")</f>
        <v>2</v>
      </c>
      <c r="E1526" s="29">
        <f>IFERROR(__xludf.DUMMYFUNCTION("""COMPUTED_VALUE"""),2.0)</f>
        <v>2</v>
      </c>
    </row>
    <row r="1527">
      <c r="A1527" s="33">
        <f>IFERROR(__xludf.DUMMYFUNCTION("""COMPUTED_VALUE"""),45830.46624547454)</f>
        <v>45830.46625</v>
      </c>
      <c r="B1527" s="29" t="str">
        <f>IFERROR(__xludf.DUMMYFUNCTION("""COMPUTED_VALUE"""),"Circumcised")</f>
        <v>Circumcised</v>
      </c>
      <c r="C1527" s="29" t="str">
        <f>IFERROR(__xludf.DUMMYFUNCTION("""COMPUTED_VALUE"""),"Pleasure from Mobile Skin")</f>
        <v>Pleasure from Mobile Skin</v>
      </c>
      <c r="D1527" s="29" t="str">
        <f>IFERROR(__xludf.DUMMYFUNCTION("""COMPUTED_VALUE"""),"1 (Low/Poor)")</f>
        <v>1 (Low/Poor)</v>
      </c>
      <c r="E1527" s="29">
        <f>IFERROR(__xludf.DUMMYFUNCTION("""COMPUTED_VALUE"""),1.0)</f>
        <v>1</v>
      </c>
    </row>
    <row r="1528">
      <c r="A1528" s="33">
        <f>IFERROR(__xludf.DUMMYFUNCTION("""COMPUTED_VALUE"""),45830.47800052084)</f>
        <v>45830.478</v>
      </c>
      <c r="B1528" s="29" t="str">
        <f>IFERROR(__xludf.DUMMYFUNCTION("""COMPUTED_VALUE"""),"Intact (Never circumcised)")</f>
        <v>Intact (Never circumcised)</v>
      </c>
      <c r="C1528" s="29" t="str">
        <f>IFERROR(__xludf.DUMMYFUNCTION("""COMPUTED_VALUE"""),"Pleasure from Mobile Skin")</f>
        <v>Pleasure from Mobile Skin</v>
      </c>
      <c r="D1528" s="29" t="str">
        <f>IFERROR(__xludf.DUMMYFUNCTION("""COMPUTED_VALUE"""),"4")</f>
        <v>4</v>
      </c>
      <c r="E1528" s="29">
        <f>IFERROR(__xludf.DUMMYFUNCTION("""COMPUTED_VALUE"""),4.0)</f>
        <v>4</v>
      </c>
    </row>
    <row r="1529">
      <c r="A1529" s="33">
        <f>IFERROR(__xludf.DUMMYFUNCTION("""COMPUTED_VALUE"""),45830.5357296875)</f>
        <v>45830.53573</v>
      </c>
      <c r="B1529" s="29" t="str">
        <f>IFERROR(__xludf.DUMMYFUNCTION("""COMPUTED_VALUE"""),"Intact (Never circumcised)")</f>
        <v>Intact (Never circumcised)</v>
      </c>
      <c r="C1529" s="29" t="str">
        <f>IFERROR(__xludf.DUMMYFUNCTION("""COMPUTED_VALUE"""),"Pleasure from Mobile Skin")</f>
        <v>Pleasure from Mobile Skin</v>
      </c>
      <c r="D1529" s="29" t="str">
        <f>IFERROR(__xludf.DUMMYFUNCTION("""COMPUTED_VALUE"""),"5 (High/Excellent)")</f>
        <v>5 (High/Excellent)</v>
      </c>
      <c r="E1529" s="29">
        <f>IFERROR(__xludf.DUMMYFUNCTION("""COMPUTED_VALUE"""),5.0)</f>
        <v>5</v>
      </c>
    </row>
    <row r="1530">
      <c r="A1530" s="33">
        <f>IFERROR(__xludf.DUMMYFUNCTION("""COMPUTED_VALUE"""),45830.61729040509)</f>
        <v>45830.61729</v>
      </c>
      <c r="B1530" s="29" t="str">
        <f>IFERROR(__xludf.DUMMYFUNCTION("""COMPUTED_VALUE"""),"Intact (Never circumcised)")</f>
        <v>Intact (Never circumcised)</v>
      </c>
      <c r="C1530" s="29" t="str">
        <f>IFERROR(__xludf.DUMMYFUNCTION("""COMPUTED_VALUE"""),"Pleasure from Mobile Skin")</f>
        <v>Pleasure from Mobile Skin</v>
      </c>
      <c r="D1530" s="29" t="str">
        <f>IFERROR(__xludf.DUMMYFUNCTION("""COMPUTED_VALUE"""),"5 (High/Excellent)")</f>
        <v>5 (High/Excellent)</v>
      </c>
      <c r="E1530" s="29">
        <f>IFERROR(__xludf.DUMMYFUNCTION("""COMPUTED_VALUE"""),5.0)</f>
        <v>5</v>
      </c>
    </row>
    <row r="1531">
      <c r="A1531" s="33">
        <f>IFERROR(__xludf.DUMMYFUNCTION("""COMPUTED_VALUE"""),45830.62220851852)</f>
        <v>45830.62221</v>
      </c>
      <c r="B1531" s="29" t="str">
        <f>IFERROR(__xludf.DUMMYFUNCTION("""COMPUTED_VALUE"""),"Intact (Never circumcised)")</f>
        <v>Intact (Never circumcised)</v>
      </c>
      <c r="C1531" s="29" t="str">
        <f>IFERROR(__xludf.DUMMYFUNCTION("""COMPUTED_VALUE"""),"Pleasure from Mobile Skin")</f>
        <v>Pleasure from Mobile Skin</v>
      </c>
      <c r="D1531" s="29" t="str">
        <f>IFERROR(__xludf.DUMMYFUNCTION("""COMPUTED_VALUE"""),"3 (Medium/Average)")</f>
        <v>3 (Medium/Average)</v>
      </c>
      <c r="E1531" s="29">
        <f>IFERROR(__xludf.DUMMYFUNCTION("""COMPUTED_VALUE"""),3.0)</f>
        <v>3</v>
      </c>
    </row>
    <row r="1532">
      <c r="A1532" s="33">
        <f>IFERROR(__xludf.DUMMYFUNCTION("""COMPUTED_VALUE"""),45830.63773170139)</f>
        <v>45830.63773</v>
      </c>
      <c r="B1532" s="29" t="str">
        <f>IFERROR(__xludf.DUMMYFUNCTION("""COMPUTED_VALUE"""),"Intact (Never circumcised)")</f>
        <v>Intact (Never circumcised)</v>
      </c>
      <c r="C1532" s="29" t="str">
        <f>IFERROR(__xludf.DUMMYFUNCTION("""COMPUTED_VALUE"""),"Pleasure from Mobile Skin")</f>
        <v>Pleasure from Mobile Skin</v>
      </c>
      <c r="D1532" s="29" t="str">
        <f>IFERROR(__xludf.DUMMYFUNCTION("""COMPUTED_VALUE"""),"4")</f>
        <v>4</v>
      </c>
      <c r="E1532" s="29">
        <f>IFERROR(__xludf.DUMMYFUNCTION("""COMPUTED_VALUE"""),4.0)</f>
        <v>4</v>
      </c>
    </row>
    <row r="1533">
      <c r="A1533" s="33">
        <f>IFERROR(__xludf.DUMMYFUNCTION("""COMPUTED_VALUE"""),45830.745157337966)</f>
        <v>45830.74516</v>
      </c>
      <c r="B1533" s="29" t="str">
        <f>IFERROR(__xludf.DUMMYFUNCTION("""COMPUTED_VALUE"""),"Actively restoring my foreskin / I consider myself restored")</f>
        <v>Actively restoring my foreskin / I consider myself restored</v>
      </c>
      <c r="C1533" s="29" t="str">
        <f>IFERROR(__xludf.DUMMYFUNCTION("""COMPUTED_VALUE"""),"Pleasure from Mobile Skin")</f>
        <v>Pleasure from Mobile Skin</v>
      </c>
      <c r="D1533" s="29" t="str">
        <f>IFERROR(__xludf.DUMMYFUNCTION("""COMPUTED_VALUE"""),"3 (Medium/Average)")</f>
        <v>3 (Medium/Average)</v>
      </c>
      <c r="E1533" s="29">
        <f>IFERROR(__xludf.DUMMYFUNCTION("""COMPUTED_VALUE"""),3.0)</f>
        <v>3</v>
      </c>
    </row>
    <row r="1534">
      <c r="A1534" s="33">
        <f>IFERROR(__xludf.DUMMYFUNCTION("""COMPUTED_VALUE"""),45830.74782991898)</f>
        <v>45830.74783</v>
      </c>
      <c r="B1534" s="29" t="str">
        <f>IFERROR(__xludf.DUMMYFUNCTION("""COMPUTED_VALUE"""),"Circumcised")</f>
        <v>Circumcised</v>
      </c>
      <c r="C1534" s="29" t="str">
        <f>IFERROR(__xludf.DUMMYFUNCTION("""COMPUTED_VALUE"""),"Pleasure from Mobile Skin")</f>
        <v>Pleasure from Mobile Skin</v>
      </c>
      <c r="D1534" s="29" t="str">
        <f>IFERROR(__xludf.DUMMYFUNCTION("""COMPUTED_VALUE"""),"2")</f>
        <v>2</v>
      </c>
      <c r="E1534" s="29">
        <f>IFERROR(__xludf.DUMMYFUNCTION("""COMPUTED_VALUE"""),2.0)</f>
        <v>2</v>
      </c>
    </row>
    <row r="1535">
      <c r="A1535" s="33">
        <f>IFERROR(__xludf.DUMMYFUNCTION("""COMPUTED_VALUE"""),45830.76834444444)</f>
        <v>45830.76834</v>
      </c>
      <c r="B1535" s="29" t="str">
        <f>IFERROR(__xludf.DUMMYFUNCTION("""COMPUTED_VALUE"""),"Circumcised")</f>
        <v>Circumcised</v>
      </c>
      <c r="C1535" s="29" t="str">
        <f>IFERROR(__xludf.DUMMYFUNCTION("""COMPUTED_VALUE"""),"Pleasure from Mobile Skin")</f>
        <v>Pleasure from Mobile Skin</v>
      </c>
      <c r="D1535" s="29" t="str">
        <f>IFERROR(__xludf.DUMMYFUNCTION("""COMPUTED_VALUE"""),"2")</f>
        <v>2</v>
      </c>
      <c r="E1535" s="29">
        <f>IFERROR(__xludf.DUMMYFUNCTION("""COMPUTED_VALUE"""),2.0)</f>
        <v>2</v>
      </c>
    </row>
    <row r="1536">
      <c r="A1536" s="33">
        <f>IFERROR(__xludf.DUMMYFUNCTION("""COMPUTED_VALUE"""),45830.77002224537)</f>
        <v>45830.77002</v>
      </c>
      <c r="B1536" s="29" t="str">
        <f>IFERROR(__xludf.DUMMYFUNCTION("""COMPUTED_VALUE"""),"Actively restoring my foreskin / I consider myself restored")</f>
        <v>Actively restoring my foreskin / I consider myself restored</v>
      </c>
      <c r="C1536" s="29" t="str">
        <f>IFERROR(__xludf.DUMMYFUNCTION("""COMPUTED_VALUE"""),"Pleasure from Mobile Skin")</f>
        <v>Pleasure from Mobile Skin</v>
      </c>
      <c r="D1536" s="29" t="str">
        <f>IFERROR(__xludf.DUMMYFUNCTION("""COMPUTED_VALUE"""),"3 (Medium/Average)")</f>
        <v>3 (Medium/Average)</v>
      </c>
      <c r="E1536" s="29">
        <f>IFERROR(__xludf.DUMMYFUNCTION("""COMPUTED_VALUE"""),3.0)</f>
        <v>3</v>
      </c>
    </row>
    <row r="1537">
      <c r="A1537" s="33">
        <f>IFERROR(__xludf.DUMMYFUNCTION("""COMPUTED_VALUE"""),45830.85278008102)</f>
        <v>45830.85278</v>
      </c>
      <c r="B1537" s="29" t="str">
        <f>IFERROR(__xludf.DUMMYFUNCTION("""COMPUTED_VALUE"""),"Intact (Never circumcised)")</f>
        <v>Intact (Never circumcised)</v>
      </c>
      <c r="C1537" s="29" t="str">
        <f>IFERROR(__xludf.DUMMYFUNCTION("""COMPUTED_VALUE"""),"Pleasure from Mobile Skin")</f>
        <v>Pleasure from Mobile Skin</v>
      </c>
      <c r="D1537" s="29" t="str">
        <f>IFERROR(__xludf.DUMMYFUNCTION("""COMPUTED_VALUE"""),"4")</f>
        <v>4</v>
      </c>
      <c r="E1537" s="29">
        <f>IFERROR(__xludf.DUMMYFUNCTION("""COMPUTED_VALUE"""),4.0)</f>
        <v>4</v>
      </c>
    </row>
    <row r="1538">
      <c r="A1538" s="33">
        <f>IFERROR(__xludf.DUMMYFUNCTION("""COMPUTED_VALUE"""),45830.87385914352)</f>
        <v>45830.87386</v>
      </c>
      <c r="B1538" s="29" t="str">
        <f>IFERROR(__xludf.DUMMYFUNCTION("""COMPUTED_VALUE"""),"Circumcised")</f>
        <v>Circumcised</v>
      </c>
      <c r="C1538" s="29" t="str">
        <f>IFERROR(__xludf.DUMMYFUNCTION("""COMPUTED_VALUE"""),"Pleasure from Mobile Skin")</f>
        <v>Pleasure from Mobile Skin</v>
      </c>
      <c r="D1538" s="29" t="str">
        <f>IFERROR(__xludf.DUMMYFUNCTION("""COMPUTED_VALUE"""),"1 (Low/Poor)")</f>
        <v>1 (Low/Poor)</v>
      </c>
      <c r="E1538" s="29">
        <f>IFERROR(__xludf.DUMMYFUNCTION("""COMPUTED_VALUE"""),1.0)</f>
        <v>1</v>
      </c>
    </row>
    <row r="1539">
      <c r="A1539" s="33">
        <f>IFERROR(__xludf.DUMMYFUNCTION("""COMPUTED_VALUE"""),45830.97040641204)</f>
        <v>45830.97041</v>
      </c>
      <c r="B1539" s="29" t="str">
        <f>IFERROR(__xludf.DUMMYFUNCTION("""COMPUTED_VALUE"""),"Actively restoring my foreskin / I consider myself restored")</f>
        <v>Actively restoring my foreskin / I consider myself restored</v>
      </c>
      <c r="C1539" s="29" t="str">
        <f>IFERROR(__xludf.DUMMYFUNCTION("""COMPUTED_VALUE"""),"Pleasure from Mobile Skin")</f>
        <v>Pleasure from Mobile Skin</v>
      </c>
      <c r="D1539" s="29" t="str">
        <f>IFERROR(__xludf.DUMMYFUNCTION("""COMPUTED_VALUE"""),"4")</f>
        <v>4</v>
      </c>
      <c r="E1539" s="29">
        <f>IFERROR(__xludf.DUMMYFUNCTION("""COMPUTED_VALUE"""),4.0)</f>
        <v>4</v>
      </c>
    </row>
    <row r="1540">
      <c r="A1540" s="33">
        <f>IFERROR(__xludf.DUMMYFUNCTION("""COMPUTED_VALUE"""),45831.06838657407)</f>
        <v>45831.06839</v>
      </c>
      <c r="B1540" s="29" t="str">
        <f>IFERROR(__xludf.DUMMYFUNCTION("""COMPUTED_VALUE"""),"Circumcised")</f>
        <v>Circumcised</v>
      </c>
      <c r="C1540" s="29" t="str">
        <f>IFERROR(__xludf.DUMMYFUNCTION("""COMPUTED_VALUE"""),"Pleasure from Mobile Skin")</f>
        <v>Pleasure from Mobile Skin</v>
      </c>
      <c r="D1540" s="29" t="str">
        <f>IFERROR(__xludf.DUMMYFUNCTION("""COMPUTED_VALUE"""),"1 (Low/Poor)")</f>
        <v>1 (Low/Poor)</v>
      </c>
      <c r="E1540" s="29">
        <f>IFERROR(__xludf.DUMMYFUNCTION("""COMPUTED_VALUE"""),1.0)</f>
        <v>1</v>
      </c>
    </row>
    <row r="1541">
      <c r="A1541" s="33">
        <f>IFERROR(__xludf.DUMMYFUNCTION("""COMPUTED_VALUE"""),45831.087313819444)</f>
        <v>45831.08731</v>
      </c>
      <c r="B1541" s="29" t="str">
        <f>IFERROR(__xludf.DUMMYFUNCTION("""COMPUTED_VALUE"""),"Intact (Never circumcised)")</f>
        <v>Intact (Never circumcised)</v>
      </c>
      <c r="C1541" s="29" t="str">
        <f>IFERROR(__xludf.DUMMYFUNCTION("""COMPUTED_VALUE"""),"Pleasure from Mobile Skin")</f>
        <v>Pleasure from Mobile Skin</v>
      </c>
      <c r="D1541" s="29" t="str">
        <f>IFERROR(__xludf.DUMMYFUNCTION("""COMPUTED_VALUE"""),"4")</f>
        <v>4</v>
      </c>
      <c r="E1541" s="29">
        <f>IFERROR(__xludf.DUMMYFUNCTION("""COMPUTED_VALUE"""),4.0)</f>
        <v>4</v>
      </c>
    </row>
    <row r="1542">
      <c r="A1542" s="33">
        <f>IFERROR(__xludf.DUMMYFUNCTION("""COMPUTED_VALUE"""),45831.14147674769)</f>
        <v>45831.14148</v>
      </c>
      <c r="B1542" s="29" t="str">
        <f>IFERROR(__xludf.DUMMYFUNCTION("""COMPUTED_VALUE"""),"Intact (Never circumcised)")</f>
        <v>Intact (Never circumcised)</v>
      </c>
      <c r="C1542" s="29" t="str">
        <f>IFERROR(__xludf.DUMMYFUNCTION("""COMPUTED_VALUE"""),"Pleasure from Mobile Skin")</f>
        <v>Pleasure from Mobile Skin</v>
      </c>
      <c r="D1542" s="29" t="str">
        <f>IFERROR(__xludf.DUMMYFUNCTION("""COMPUTED_VALUE"""),"4")</f>
        <v>4</v>
      </c>
      <c r="E1542" s="29">
        <f>IFERROR(__xludf.DUMMYFUNCTION("""COMPUTED_VALUE"""),4.0)</f>
        <v>4</v>
      </c>
    </row>
    <row r="1543">
      <c r="A1543" s="33">
        <f>IFERROR(__xludf.DUMMYFUNCTION("""COMPUTED_VALUE"""),45831.20082736111)</f>
        <v>45831.20083</v>
      </c>
      <c r="B1543" s="29" t="str">
        <f>IFERROR(__xludf.DUMMYFUNCTION("""COMPUTED_VALUE"""),"Intact (Never circumcised)")</f>
        <v>Intact (Never circumcised)</v>
      </c>
      <c r="C1543" s="29" t="str">
        <f>IFERROR(__xludf.DUMMYFUNCTION("""COMPUTED_VALUE"""),"Pleasure from Mobile Skin")</f>
        <v>Pleasure from Mobile Skin</v>
      </c>
      <c r="D1543" s="29" t="str">
        <f>IFERROR(__xludf.DUMMYFUNCTION("""COMPUTED_VALUE"""),"5 (High/Excellent)")</f>
        <v>5 (High/Excellent)</v>
      </c>
      <c r="E1543" s="29">
        <f>IFERROR(__xludf.DUMMYFUNCTION("""COMPUTED_VALUE"""),5.0)</f>
        <v>5</v>
      </c>
    </row>
    <row r="1544">
      <c r="A1544" s="33">
        <f>IFERROR(__xludf.DUMMYFUNCTION("""COMPUTED_VALUE"""),45831.280710312494)</f>
        <v>45831.28071</v>
      </c>
      <c r="B1544" s="29" t="str">
        <f>IFERROR(__xludf.DUMMYFUNCTION("""COMPUTED_VALUE"""),"Intact (Never circumcised)")</f>
        <v>Intact (Never circumcised)</v>
      </c>
      <c r="C1544" s="29" t="str">
        <f>IFERROR(__xludf.DUMMYFUNCTION("""COMPUTED_VALUE"""),"Pleasure from Mobile Skin")</f>
        <v>Pleasure from Mobile Skin</v>
      </c>
      <c r="D1544" s="29" t="str">
        <f>IFERROR(__xludf.DUMMYFUNCTION("""COMPUTED_VALUE"""),"4")</f>
        <v>4</v>
      </c>
      <c r="E1544" s="29">
        <f>IFERROR(__xludf.DUMMYFUNCTION("""COMPUTED_VALUE"""),4.0)</f>
        <v>4</v>
      </c>
    </row>
    <row r="1545">
      <c r="A1545" s="33">
        <f>IFERROR(__xludf.DUMMYFUNCTION("""COMPUTED_VALUE"""),45831.2901250463)</f>
        <v>45831.29013</v>
      </c>
      <c r="B1545" s="29" t="str">
        <f>IFERROR(__xludf.DUMMYFUNCTION("""COMPUTED_VALUE"""),"Actively restoring my foreskin / I consider myself restored")</f>
        <v>Actively restoring my foreskin / I consider myself restored</v>
      </c>
      <c r="C1545" s="29" t="str">
        <f>IFERROR(__xludf.DUMMYFUNCTION("""COMPUTED_VALUE"""),"Pleasure from Mobile Skin")</f>
        <v>Pleasure from Mobile Skin</v>
      </c>
      <c r="D1545" s="29" t="str">
        <f>IFERROR(__xludf.DUMMYFUNCTION("""COMPUTED_VALUE"""),"2")</f>
        <v>2</v>
      </c>
      <c r="E1545" s="29">
        <f>IFERROR(__xludf.DUMMYFUNCTION("""COMPUTED_VALUE"""),2.0)</f>
        <v>2</v>
      </c>
    </row>
    <row r="1546">
      <c r="A1546" s="33">
        <f>IFERROR(__xludf.DUMMYFUNCTION("""COMPUTED_VALUE"""),45831.31184445602)</f>
        <v>45831.31184</v>
      </c>
      <c r="B1546" s="29" t="str">
        <f>IFERROR(__xludf.DUMMYFUNCTION("""COMPUTED_VALUE"""),"Actively restoring my foreskin / I consider myself restored")</f>
        <v>Actively restoring my foreskin / I consider myself restored</v>
      </c>
      <c r="C1546" s="29" t="str">
        <f>IFERROR(__xludf.DUMMYFUNCTION("""COMPUTED_VALUE"""),"Pleasure from Mobile Skin")</f>
        <v>Pleasure from Mobile Skin</v>
      </c>
      <c r="D1546" s="29" t="str">
        <f>IFERROR(__xludf.DUMMYFUNCTION("""COMPUTED_VALUE"""),"3 (Medium/Average)")</f>
        <v>3 (Medium/Average)</v>
      </c>
      <c r="E1546" s="29">
        <f>IFERROR(__xludf.DUMMYFUNCTION("""COMPUTED_VALUE"""),3.0)</f>
        <v>3</v>
      </c>
    </row>
    <row r="1547">
      <c r="A1547" s="33">
        <f>IFERROR(__xludf.DUMMYFUNCTION("""COMPUTED_VALUE"""),45831.337022465275)</f>
        <v>45831.33702</v>
      </c>
      <c r="B1547" s="29" t="str">
        <f>IFERROR(__xludf.DUMMYFUNCTION("""COMPUTED_VALUE"""),"Actively restoring my foreskin / I consider myself restored")</f>
        <v>Actively restoring my foreskin / I consider myself restored</v>
      </c>
      <c r="C1547" s="29" t="str">
        <f>IFERROR(__xludf.DUMMYFUNCTION("""COMPUTED_VALUE"""),"Pleasure from Mobile Skin")</f>
        <v>Pleasure from Mobile Skin</v>
      </c>
      <c r="D1547" s="29" t="str">
        <f>IFERROR(__xludf.DUMMYFUNCTION("""COMPUTED_VALUE"""),"1 (Low/Poor)")</f>
        <v>1 (Low/Poor)</v>
      </c>
      <c r="E1547" s="29">
        <f>IFERROR(__xludf.DUMMYFUNCTION("""COMPUTED_VALUE"""),1.0)</f>
        <v>1</v>
      </c>
    </row>
    <row r="1548">
      <c r="A1548" s="33">
        <f>IFERROR(__xludf.DUMMYFUNCTION("""COMPUTED_VALUE"""),45831.37880005787)</f>
        <v>45831.3788</v>
      </c>
      <c r="B1548" s="29" t="str">
        <f>IFERROR(__xludf.DUMMYFUNCTION("""COMPUTED_VALUE"""),"Circumcised")</f>
        <v>Circumcised</v>
      </c>
      <c r="C1548" s="29" t="str">
        <f>IFERROR(__xludf.DUMMYFUNCTION("""COMPUTED_VALUE"""),"Pleasure from Mobile Skin")</f>
        <v>Pleasure from Mobile Skin</v>
      </c>
      <c r="D1548" s="29" t="str">
        <f>IFERROR(__xludf.DUMMYFUNCTION("""COMPUTED_VALUE"""),"3 (Medium/Average)")</f>
        <v>3 (Medium/Average)</v>
      </c>
      <c r="E1548" s="29">
        <f>IFERROR(__xludf.DUMMYFUNCTION("""COMPUTED_VALUE"""),3.0)</f>
        <v>3</v>
      </c>
    </row>
    <row r="1549">
      <c r="A1549" s="33">
        <f>IFERROR(__xludf.DUMMYFUNCTION("""COMPUTED_VALUE"""),45831.437976030094)</f>
        <v>45831.43798</v>
      </c>
      <c r="B1549" s="29" t="str">
        <f>IFERROR(__xludf.DUMMYFUNCTION("""COMPUTED_VALUE"""),"Intact (Never circumcised)")</f>
        <v>Intact (Never circumcised)</v>
      </c>
      <c r="C1549" s="29" t="str">
        <f>IFERROR(__xludf.DUMMYFUNCTION("""COMPUTED_VALUE"""),"Pleasure from Mobile Skin")</f>
        <v>Pleasure from Mobile Skin</v>
      </c>
      <c r="D1549" s="29" t="str">
        <f>IFERROR(__xludf.DUMMYFUNCTION("""COMPUTED_VALUE"""),"5 (High/Excellent)")</f>
        <v>5 (High/Excellent)</v>
      </c>
      <c r="E1549" s="29">
        <f>IFERROR(__xludf.DUMMYFUNCTION("""COMPUTED_VALUE"""),5.0)</f>
        <v>5</v>
      </c>
    </row>
    <row r="1550">
      <c r="A1550" s="33">
        <f>IFERROR(__xludf.DUMMYFUNCTION("""COMPUTED_VALUE"""),45831.46863284722)</f>
        <v>45831.46863</v>
      </c>
      <c r="B1550" s="29" t="str">
        <f>IFERROR(__xludf.DUMMYFUNCTION("""COMPUTED_VALUE"""),"Actively restoring my foreskin / I consider myself restored")</f>
        <v>Actively restoring my foreskin / I consider myself restored</v>
      </c>
      <c r="C1550" s="29" t="str">
        <f>IFERROR(__xludf.DUMMYFUNCTION("""COMPUTED_VALUE"""),"Pleasure from Mobile Skin")</f>
        <v>Pleasure from Mobile Skin</v>
      </c>
      <c r="D1550" s="29" t="str">
        <f>IFERROR(__xludf.DUMMYFUNCTION("""COMPUTED_VALUE"""),"1 (Low/Poor)")</f>
        <v>1 (Low/Poor)</v>
      </c>
      <c r="E1550" s="29">
        <f>IFERROR(__xludf.DUMMYFUNCTION("""COMPUTED_VALUE"""),1.0)</f>
        <v>1</v>
      </c>
    </row>
    <row r="1551">
      <c r="A1551" s="33">
        <f>IFERROR(__xludf.DUMMYFUNCTION("""COMPUTED_VALUE"""),45831.47309501158)</f>
        <v>45831.4731</v>
      </c>
      <c r="B1551" s="29" t="str">
        <f>IFERROR(__xludf.DUMMYFUNCTION("""COMPUTED_VALUE"""),"Actively restoring my foreskin / I consider myself restored")</f>
        <v>Actively restoring my foreskin / I consider myself restored</v>
      </c>
      <c r="C1551" s="29" t="str">
        <f>IFERROR(__xludf.DUMMYFUNCTION("""COMPUTED_VALUE"""),"Pleasure from Mobile Skin")</f>
        <v>Pleasure from Mobile Skin</v>
      </c>
      <c r="D1551" s="29" t="str">
        <f>IFERROR(__xludf.DUMMYFUNCTION("""COMPUTED_VALUE"""),"2")</f>
        <v>2</v>
      </c>
      <c r="E1551" s="29">
        <f>IFERROR(__xludf.DUMMYFUNCTION("""COMPUTED_VALUE"""),2.0)</f>
        <v>2</v>
      </c>
    </row>
    <row r="1552">
      <c r="A1552" s="33">
        <f>IFERROR(__xludf.DUMMYFUNCTION("""COMPUTED_VALUE"""),45831.54904612269)</f>
        <v>45831.54905</v>
      </c>
      <c r="B1552" s="29" t="str">
        <f>IFERROR(__xludf.DUMMYFUNCTION("""COMPUTED_VALUE"""),"Intact (Never circumcised)")</f>
        <v>Intact (Never circumcised)</v>
      </c>
      <c r="C1552" s="29" t="str">
        <f>IFERROR(__xludf.DUMMYFUNCTION("""COMPUTED_VALUE"""),"Pleasure from Mobile Skin")</f>
        <v>Pleasure from Mobile Skin</v>
      </c>
      <c r="D1552" s="29" t="str">
        <f>IFERROR(__xludf.DUMMYFUNCTION("""COMPUTED_VALUE"""),"5 (High/Excellent)")</f>
        <v>5 (High/Excellent)</v>
      </c>
      <c r="E1552" s="29">
        <f>IFERROR(__xludf.DUMMYFUNCTION("""COMPUTED_VALUE"""),5.0)</f>
        <v>5</v>
      </c>
    </row>
    <row r="1553">
      <c r="A1553" s="33">
        <f>IFERROR(__xludf.DUMMYFUNCTION("""COMPUTED_VALUE"""),45831.61556234954)</f>
        <v>45831.61556</v>
      </c>
      <c r="B1553" s="29" t="str">
        <f>IFERROR(__xludf.DUMMYFUNCTION("""COMPUTED_VALUE"""),"Intact (Never circumcised)")</f>
        <v>Intact (Never circumcised)</v>
      </c>
      <c r="C1553" s="29" t="str">
        <f>IFERROR(__xludf.DUMMYFUNCTION("""COMPUTED_VALUE"""),"Pleasure from Mobile Skin")</f>
        <v>Pleasure from Mobile Skin</v>
      </c>
      <c r="D1553" s="29" t="str">
        <f>IFERROR(__xludf.DUMMYFUNCTION("""COMPUTED_VALUE"""),"5 (High/Excellent)")</f>
        <v>5 (High/Excellent)</v>
      </c>
      <c r="E1553" s="29">
        <f>IFERROR(__xludf.DUMMYFUNCTION("""COMPUTED_VALUE"""),5.0)</f>
        <v>5</v>
      </c>
    </row>
    <row r="1554">
      <c r="A1554" s="33">
        <f>IFERROR(__xludf.DUMMYFUNCTION("""COMPUTED_VALUE"""),45831.70324116898)</f>
        <v>45831.70324</v>
      </c>
      <c r="B1554" s="29" t="str">
        <f>IFERROR(__xludf.DUMMYFUNCTION("""COMPUTED_VALUE"""),"Actively restoring my foreskin / I consider myself restored")</f>
        <v>Actively restoring my foreskin / I consider myself restored</v>
      </c>
      <c r="C1554" s="29" t="str">
        <f>IFERROR(__xludf.DUMMYFUNCTION("""COMPUTED_VALUE"""),"Pleasure from Mobile Skin")</f>
        <v>Pleasure from Mobile Skin</v>
      </c>
      <c r="D1554" s="29" t="str">
        <f>IFERROR(__xludf.DUMMYFUNCTION("""COMPUTED_VALUE"""),"4")</f>
        <v>4</v>
      </c>
      <c r="E1554" s="29">
        <f>IFERROR(__xludf.DUMMYFUNCTION("""COMPUTED_VALUE"""),4.0)</f>
        <v>4</v>
      </c>
    </row>
    <row r="1555">
      <c r="A1555" s="33">
        <f>IFERROR(__xludf.DUMMYFUNCTION("""COMPUTED_VALUE"""),45831.70685833333)</f>
        <v>45831.70686</v>
      </c>
      <c r="B1555" s="29" t="str">
        <f>IFERROR(__xludf.DUMMYFUNCTION("""COMPUTED_VALUE"""),"Intact (Never circumcised)")</f>
        <v>Intact (Never circumcised)</v>
      </c>
      <c r="C1555" s="29" t="str">
        <f>IFERROR(__xludf.DUMMYFUNCTION("""COMPUTED_VALUE"""),"Pleasure from Mobile Skin")</f>
        <v>Pleasure from Mobile Skin</v>
      </c>
      <c r="D1555" s="29" t="str">
        <f>IFERROR(__xludf.DUMMYFUNCTION("""COMPUTED_VALUE"""),"4")</f>
        <v>4</v>
      </c>
      <c r="E1555" s="29">
        <f>IFERROR(__xludf.DUMMYFUNCTION("""COMPUTED_VALUE"""),4.0)</f>
        <v>4</v>
      </c>
    </row>
    <row r="1556">
      <c r="A1556" s="33">
        <f>IFERROR(__xludf.DUMMYFUNCTION("""COMPUTED_VALUE"""),45831.785180127314)</f>
        <v>45831.78518</v>
      </c>
      <c r="B1556" s="29" t="str">
        <f>IFERROR(__xludf.DUMMYFUNCTION("""COMPUTED_VALUE"""),"Intact (Never circumcised)")</f>
        <v>Intact (Never circumcised)</v>
      </c>
      <c r="C1556" s="29" t="str">
        <f>IFERROR(__xludf.DUMMYFUNCTION("""COMPUTED_VALUE"""),"Pleasure from Mobile Skin")</f>
        <v>Pleasure from Mobile Skin</v>
      </c>
      <c r="D1556" s="29" t="str">
        <f>IFERROR(__xludf.DUMMYFUNCTION("""COMPUTED_VALUE"""),"5 (High/Excellent)")</f>
        <v>5 (High/Excellent)</v>
      </c>
      <c r="E1556" s="29">
        <f>IFERROR(__xludf.DUMMYFUNCTION("""COMPUTED_VALUE"""),5.0)</f>
        <v>5</v>
      </c>
    </row>
    <row r="1557">
      <c r="A1557" s="33">
        <f>IFERROR(__xludf.DUMMYFUNCTION("""COMPUTED_VALUE"""),45831.81648645833)</f>
        <v>45831.81649</v>
      </c>
      <c r="B1557" s="29" t="str">
        <f>IFERROR(__xludf.DUMMYFUNCTION("""COMPUTED_VALUE"""),"Intact (Never circumcised)")</f>
        <v>Intact (Never circumcised)</v>
      </c>
      <c r="C1557" s="29" t="str">
        <f>IFERROR(__xludf.DUMMYFUNCTION("""COMPUTED_VALUE"""),"Pleasure from Mobile Skin")</f>
        <v>Pleasure from Mobile Skin</v>
      </c>
      <c r="D1557" s="29" t="str">
        <f>IFERROR(__xludf.DUMMYFUNCTION("""COMPUTED_VALUE"""),"4")</f>
        <v>4</v>
      </c>
      <c r="E1557" s="29">
        <f>IFERROR(__xludf.DUMMYFUNCTION("""COMPUTED_VALUE"""),4.0)</f>
        <v>4</v>
      </c>
    </row>
    <row r="1558">
      <c r="A1558" s="33">
        <f>IFERROR(__xludf.DUMMYFUNCTION("""COMPUTED_VALUE"""),45831.93652824074)</f>
        <v>45831.93653</v>
      </c>
      <c r="B1558" s="29" t="str">
        <f>IFERROR(__xludf.DUMMYFUNCTION("""COMPUTED_VALUE"""),"Actively restoring my foreskin / I consider myself restored")</f>
        <v>Actively restoring my foreskin / I consider myself restored</v>
      </c>
      <c r="C1558" s="29" t="str">
        <f>IFERROR(__xludf.DUMMYFUNCTION("""COMPUTED_VALUE"""),"Pleasure from Mobile Skin")</f>
        <v>Pleasure from Mobile Skin</v>
      </c>
      <c r="D1558" s="29" t="str">
        <f>IFERROR(__xludf.DUMMYFUNCTION("""COMPUTED_VALUE"""),"1 (Low/Poor)")</f>
        <v>1 (Low/Poor)</v>
      </c>
      <c r="E1558" s="29">
        <f>IFERROR(__xludf.DUMMYFUNCTION("""COMPUTED_VALUE"""),1.0)</f>
        <v>1</v>
      </c>
    </row>
    <row r="1559">
      <c r="A1559" s="33">
        <f>IFERROR(__xludf.DUMMYFUNCTION("""COMPUTED_VALUE"""),45832.168814212964)</f>
        <v>45832.16881</v>
      </c>
      <c r="B1559" s="29" t="str">
        <f>IFERROR(__xludf.DUMMYFUNCTION("""COMPUTED_VALUE"""),"Circumcised")</f>
        <v>Circumcised</v>
      </c>
      <c r="C1559" s="29" t="str">
        <f>IFERROR(__xludf.DUMMYFUNCTION("""COMPUTED_VALUE"""),"Pleasure from Mobile Skin")</f>
        <v>Pleasure from Mobile Skin</v>
      </c>
      <c r="D1559" s="29" t="str">
        <f>IFERROR(__xludf.DUMMYFUNCTION("""COMPUTED_VALUE"""),"1 (Low/Poor)")</f>
        <v>1 (Low/Poor)</v>
      </c>
      <c r="E1559" s="29">
        <f>IFERROR(__xludf.DUMMYFUNCTION("""COMPUTED_VALUE"""),1.0)</f>
        <v>1</v>
      </c>
    </row>
    <row r="1560">
      <c r="A1560" s="33">
        <f>IFERROR(__xludf.DUMMYFUNCTION("""COMPUTED_VALUE"""),45832.22020383101)</f>
        <v>45832.2202</v>
      </c>
      <c r="B1560" s="29" t="str">
        <f>IFERROR(__xludf.DUMMYFUNCTION("""COMPUTED_VALUE"""),"Intact (Never circumcised)")</f>
        <v>Intact (Never circumcised)</v>
      </c>
      <c r="C1560" s="29" t="str">
        <f>IFERROR(__xludf.DUMMYFUNCTION("""COMPUTED_VALUE"""),"Pleasure from Mobile Skin")</f>
        <v>Pleasure from Mobile Skin</v>
      </c>
      <c r="D1560" s="29" t="str">
        <f>IFERROR(__xludf.DUMMYFUNCTION("""COMPUTED_VALUE"""),"5 (High/Excellent)")</f>
        <v>5 (High/Excellent)</v>
      </c>
      <c r="E1560" s="29">
        <f>IFERROR(__xludf.DUMMYFUNCTION("""COMPUTED_VALUE"""),5.0)</f>
        <v>5</v>
      </c>
    </row>
    <row r="1561">
      <c r="A1561" s="33">
        <f>IFERROR(__xludf.DUMMYFUNCTION("""COMPUTED_VALUE"""),45832.38233418982)</f>
        <v>45832.38233</v>
      </c>
      <c r="B1561" s="29" t="str">
        <f>IFERROR(__xludf.DUMMYFUNCTION("""COMPUTED_VALUE"""),"Intact (Never circumcised)")</f>
        <v>Intact (Never circumcised)</v>
      </c>
      <c r="C1561" s="29" t="str">
        <f>IFERROR(__xludf.DUMMYFUNCTION("""COMPUTED_VALUE"""),"Pleasure from Mobile Skin")</f>
        <v>Pleasure from Mobile Skin</v>
      </c>
      <c r="D1561" s="29" t="str">
        <f>IFERROR(__xludf.DUMMYFUNCTION("""COMPUTED_VALUE"""),"5 (High/Excellent)")</f>
        <v>5 (High/Excellent)</v>
      </c>
      <c r="E1561" s="29">
        <f>IFERROR(__xludf.DUMMYFUNCTION("""COMPUTED_VALUE"""),5.0)</f>
        <v>5</v>
      </c>
    </row>
    <row r="1562">
      <c r="A1562" s="33">
        <f>IFERROR(__xludf.DUMMYFUNCTION("""COMPUTED_VALUE"""),45832.38844354167)</f>
        <v>45832.38844</v>
      </c>
      <c r="B1562" s="29" t="str">
        <f>IFERROR(__xludf.DUMMYFUNCTION("""COMPUTED_VALUE"""),"Intact (Never circumcised)")</f>
        <v>Intact (Never circumcised)</v>
      </c>
      <c r="C1562" s="29" t="str">
        <f>IFERROR(__xludf.DUMMYFUNCTION("""COMPUTED_VALUE"""),"Pleasure from Mobile Skin")</f>
        <v>Pleasure from Mobile Skin</v>
      </c>
      <c r="D1562" s="29" t="str">
        <f>IFERROR(__xludf.DUMMYFUNCTION("""COMPUTED_VALUE"""),"5 (High/Excellent)")</f>
        <v>5 (High/Excellent)</v>
      </c>
      <c r="E1562" s="29">
        <f>IFERROR(__xludf.DUMMYFUNCTION("""COMPUTED_VALUE"""),5.0)</f>
        <v>5</v>
      </c>
    </row>
    <row r="1563">
      <c r="A1563" s="33">
        <f>IFERROR(__xludf.DUMMYFUNCTION("""COMPUTED_VALUE"""),45832.400918541665)</f>
        <v>45832.40092</v>
      </c>
      <c r="B1563" s="29" t="str">
        <f>IFERROR(__xludf.DUMMYFUNCTION("""COMPUTED_VALUE"""),"Intact (Never circumcised)")</f>
        <v>Intact (Never circumcised)</v>
      </c>
      <c r="C1563" s="29" t="str">
        <f>IFERROR(__xludf.DUMMYFUNCTION("""COMPUTED_VALUE"""),"Pleasure from Mobile Skin")</f>
        <v>Pleasure from Mobile Skin</v>
      </c>
      <c r="D1563" s="29" t="str">
        <f>IFERROR(__xludf.DUMMYFUNCTION("""COMPUTED_VALUE"""),"4")</f>
        <v>4</v>
      </c>
      <c r="E1563" s="29">
        <f>IFERROR(__xludf.DUMMYFUNCTION("""COMPUTED_VALUE"""),4.0)</f>
        <v>4</v>
      </c>
    </row>
    <row r="1564">
      <c r="A1564" s="33">
        <f>IFERROR(__xludf.DUMMYFUNCTION("""COMPUTED_VALUE"""),45832.53223854167)</f>
        <v>45832.53224</v>
      </c>
      <c r="B1564" s="29" t="str">
        <f>IFERROR(__xludf.DUMMYFUNCTION("""COMPUTED_VALUE"""),"Actively restoring my foreskin / I consider myself restored")</f>
        <v>Actively restoring my foreskin / I consider myself restored</v>
      </c>
      <c r="C1564" s="29" t="str">
        <f>IFERROR(__xludf.DUMMYFUNCTION("""COMPUTED_VALUE"""),"Pleasure from Mobile Skin")</f>
        <v>Pleasure from Mobile Skin</v>
      </c>
      <c r="D1564" s="29" t="str">
        <f>IFERROR(__xludf.DUMMYFUNCTION("""COMPUTED_VALUE"""),"5 (High/Excellent)")</f>
        <v>5 (High/Excellent)</v>
      </c>
      <c r="E1564" s="29">
        <f>IFERROR(__xludf.DUMMYFUNCTION("""COMPUTED_VALUE"""),5.0)</f>
        <v>5</v>
      </c>
    </row>
    <row r="1565">
      <c r="A1565" s="33">
        <f>IFERROR(__xludf.DUMMYFUNCTION("""COMPUTED_VALUE"""),45832.613582488426)</f>
        <v>45832.61358</v>
      </c>
      <c r="B1565" s="29" t="str">
        <f>IFERROR(__xludf.DUMMYFUNCTION("""COMPUTED_VALUE"""),"Circumcised")</f>
        <v>Circumcised</v>
      </c>
      <c r="C1565" s="29" t="str">
        <f>IFERROR(__xludf.DUMMYFUNCTION("""COMPUTED_VALUE"""),"Pleasure from Mobile Skin")</f>
        <v>Pleasure from Mobile Skin</v>
      </c>
      <c r="D1565" s="29" t="str">
        <f>IFERROR(__xludf.DUMMYFUNCTION("""COMPUTED_VALUE"""),"1 (Low/Poor)")</f>
        <v>1 (Low/Poor)</v>
      </c>
      <c r="E1565" s="29">
        <f>IFERROR(__xludf.DUMMYFUNCTION("""COMPUTED_VALUE"""),1.0)</f>
        <v>1</v>
      </c>
    </row>
    <row r="1566">
      <c r="A1566" s="33">
        <f>IFERROR(__xludf.DUMMYFUNCTION("""COMPUTED_VALUE"""),45833.016503148145)</f>
        <v>45833.0165</v>
      </c>
      <c r="B1566" s="29" t="str">
        <f>IFERROR(__xludf.DUMMYFUNCTION("""COMPUTED_VALUE"""),"Intact (Never circumcised)")</f>
        <v>Intact (Never circumcised)</v>
      </c>
      <c r="C1566" s="29" t="str">
        <f>IFERROR(__xludf.DUMMYFUNCTION("""COMPUTED_VALUE"""),"Pleasure from Mobile Skin")</f>
        <v>Pleasure from Mobile Skin</v>
      </c>
      <c r="D1566" s="29" t="str">
        <f>IFERROR(__xludf.DUMMYFUNCTION("""COMPUTED_VALUE"""),"4")</f>
        <v>4</v>
      </c>
      <c r="E1566" s="29">
        <f>IFERROR(__xludf.DUMMYFUNCTION("""COMPUTED_VALUE"""),4.0)</f>
        <v>4</v>
      </c>
    </row>
    <row r="1567">
      <c r="A1567" s="33">
        <f>IFERROR(__xludf.DUMMYFUNCTION("""COMPUTED_VALUE"""),45833.09466783565)</f>
        <v>45833.09467</v>
      </c>
      <c r="B1567" s="29" t="str">
        <f>IFERROR(__xludf.DUMMYFUNCTION("""COMPUTED_VALUE"""),"Circumcised")</f>
        <v>Circumcised</v>
      </c>
      <c r="C1567" s="29" t="str">
        <f>IFERROR(__xludf.DUMMYFUNCTION("""COMPUTED_VALUE"""),"Pleasure from Mobile Skin")</f>
        <v>Pleasure from Mobile Skin</v>
      </c>
      <c r="D1567" s="29" t="str">
        <f>IFERROR(__xludf.DUMMYFUNCTION("""COMPUTED_VALUE"""),"3 (Medium/Average)")</f>
        <v>3 (Medium/Average)</v>
      </c>
      <c r="E1567" s="29">
        <f>IFERROR(__xludf.DUMMYFUNCTION("""COMPUTED_VALUE"""),3.0)</f>
        <v>3</v>
      </c>
    </row>
    <row r="1568">
      <c r="A1568" s="33">
        <f>IFERROR(__xludf.DUMMYFUNCTION("""COMPUTED_VALUE"""),45833.27167458333)</f>
        <v>45833.27167</v>
      </c>
      <c r="B1568" s="29" t="str">
        <f>IFERROR(__xludf.DUMMYFUNCTION("""COMPUTED_VALUE"""),"Intact (Never circumcised)")</f>
        <v>Intact (Never circumcised)</v>
      </c>
      <c r="C1568" s="29" t="str">
        <f>IFERROR(__xludf.DUMMYFUNCTION("""COMPUTED_VALUE"""),"Pleasure from Mobile Skin")</f>
        <v>Pleasure from Mobile Skin</v>
      </c>
      <c r="D1568" s="29" t="str">
        <f>IFERROR(__xludf.DUMMYFUNCTION("""COMPUTED_VALUE"""),"3 (Medium/Average)")</f>
        <v>3 (Medium/Average)</v>
      </c>
      <c r="E1568" s="29">
        <f>IFERROR(__xludf.DUMMYFUNCTION("""COMPUTED_VALUE"""),3.0)</f>
        <v>3</v>
      </c>
    </row>
    <row r="1569">
      <c r="A1569" s="33">
        <f>IFERROR(__xludf.DUMMYFUNCTION("""COMPUTED_VALUE"""),45833.341107002314)</f>
        <v>45833.34111</v>
      </c>
      <c r="B1569" s="29" t="str">
        <f>IFERROR(__xludf.DUMMYFUNCTION("""COMPUTED_VALUE"""),"Actively restoring my foreskin / I consider myself restored")</f>
        <v>Actively restoring my foreskin / I consider myself restored</v>
      </c>
      <c r="C1569" s="29" t="str">
        <f>IFERROR(__xludf.DUMMYFUNCTION("""COMPUTED_VALUE"""),"Pleasure from Mobile Skin")</f>
        <v>Pleasure from Mobile Skin</v>
      </c>
      <c r="D1569" s="29" t="str">
        <f>IFERROR(__xludf.DUMMYFUNCTION("""COMPUTED_VALUE"""),"2")</f>
        <v>2</v>
      </c>
      <c r="E1569" s="29">
        <f>IFERROR(__xludf.DUMMYFUNCTION("""COMPUTED_VALUE"""),2.0)</f>
        <v>2</v>
      </c>
    </row>
    <row r="1570">
      <c r="A1570" s="33">
        <f>IFERROR(__xludf.DUMMYFUNCTION("""COMPUTED_VALUE"""),45833.43214159722)</f>
        <v>45833.43214</v>
      </c>
      <c r="B1570" s="29" t="str">
        <f>IFERROR(__xludf.DUMMYFUNCTION("""COMPUTED_VALUE"""),"Circumcised")</f>
        <v>Circumcised</v>
      </c>
      <c r="C1570" s="29" t="str">
        <f>IFERROR(__xludf.DUMMYFUNCTION("""COMPUTED_VALUE"""),"Pleasure from Mobile Skin")</f>
        <v>Pleasure from Mobile Skin</v>
      </c>
      <c r="D1570" s="29" t="str">
        <f>IFERROR(__xludf.DUMMYFUNCTION("""COMPUTED_VALUE"""),"2")</f>
        <v>2</v>
      </c>
      <c r="E1570" s="29">
        <f>IFERROR(__xludf.DUMMYFUNCTION("""COMPUTED_VALUE"""),2.0)</f>
        <v>2</v>
      </c>
    </row>
    <row r="1571">
      <c r="A1571" s="33">
        <f>IFERROR(__xludf.DUMMYFUNCTION("""COMPUTED_VALUE"""),45833.572022002314)</f>
        <v>45833.57202</v>
      </c>
      <c r="B1571" s="29" t="str">
        <f>IFERROR(__xludf.DUMMYFUNCTION("""COMPUTED_VALUE"""),"Circumcised")</f>
        <v>Circumcised</v>
      </c>
      <c r="C1571" s="29" t="str">
        <f>IFERROR(__xludf.DUMMYFUNCTION("""COMPUTED_VALUE"""),"Pleasure from Mobile Skin")</f>
        <v>Pleasure from Mobile Skin</v>
      </c>
      <c r="D1571" s="29" t="str">
        <f>IFERROR(__xludf.DUMMYFUNCTION("""COMPUTED_VALUE"""),"1 (Low/Poor)")</f>
        <v>1 (Low/Poor)</v>
      </c>
      <c r="E1571" s="29">
        <f>IFERROR(__xludf.DUMMYFUNCTION("""COMPUTED_VALUE"""),1.0)</f>
        <v>1</v>
      </c>
    </row>
    <row r="1572">
      <c r="A1572" s="33">
        <f>IFERROR(__xludf.DUMMYFUNCTION("""COMPUTED_VALUE"""),45833.82247668981)</f>
        <v>45833.82248</v>
      </c>
      <c r="B1572" s="29" t="str">
        <f>IFERROR(__xludf.DUMMYFUNCTION("""COMPUTED_VALUE"""),"Intact (Never circumcised)")</f>
        <v>Intact (Never circumcised)</v>
      </c>
      <c r="C1572" s="29" t="str">
        <f>IFERROR(__xludf.DUMMYFUNCTION("""COMPUTED_VALUE"""),"Pleasure from Mobile Skin")</f>
        <v>Pleasure from Mobile Skin</v>
      </c>
      <c r="D1572" s="29" t="str">
        <f>IFERROR(__xludf.DUMMYFUNCTION("""COMPUTED_VALUE"""),"5 (High/Excellent)")</f>
        <v>5 (High/Excellent)</v>
      </c>
      <c r="E1572" s="29">
        <f>IFERROR(__xludf.DUMMYFUNCTION("""COMPUTED_VALUE"""),5.0)</f>
        <v>5</v>
      </c>
    </row>
    <row r="1573">
      <c r="A1573" s="33">
        <f>IFERROR(__xludf.DUMMYFUNCTION("""COMPUTED_VALUE"""),45833.822846944444)</f>
        <v>45833.82285</v>
      </c>
      <c r="B1573" s="29" t="str">
        <f>IFERROR(__xludf.DUMMYFUNCTION("""COMPUTED_VALUE"""),"Circumcised")</f>
        <v>Circumcised</v>
      </c>
      <c r="C1573" s="29" t="str">
        <f>IFERROR(__xludf.DUMMYFUNCTION("""COMPUTED_VALUE"""),"Pleasure from Mobile Skin")</f>
        <v>Pleasure from Mobile Skin</v>
      </c>
      <c r="D1573" s="29" t="str">
        <f>IFERROR(__xludf.DUMMYFUNCTION("""COMPUTED_VALUE"""),"2")</f>
        <v>2</v>
      </c>
      <c r="E1573" s="29">
        <f>IFERROR(__xludf.DUMMYFUNCTION("""COMPUTED_VALUE"""),2.0)</f>
        <v>2</v>
      </c>
    </row>
    <row r="1574">
      <c r="A1574" s="33">
        <f>IFERROR(__xludf.DUMMYFUNCTION("""COMPUTED_VALUE"""),45833.886279039354)</f>
        <v>45833.88628</v>
      </c>
      <c r="B1574" s="29" t="str">
        <f>IFERROR(__xludf.DUMMYFUNCTION("""COMPUTED_VALUE"""),"Circumcised")</f>
        <v>Circumcised</v>
      </c>
      <c r="C1574" s="29" t="str">
        <f>IFERROR(__xludf.DUMMYFUNCTION("""COMPUTED_VALUE"""),"Pleasure from Mobile Skin")</f>
        <v>Pleasure from Mobile Skin</v>
      </c>
      <c r="D1574" s="29" t="str">
        <f>IFERROR(__xludf.DUMMYFUNCTION("""COMPUTED_VALUE"""),"2")</f>
        <v>2</v>
      </c>
      <c r="E1574" s="29">
        <f>IFERROR(__xludf.DUMMYFUNCTION("""COMPUTED_VALUE"""),2.0)</f>
        <v>2</v>
      </c>
    </row>
    <row r="1575">
      <c r="A1575" s="33">
        <f>IFERROR(__xludf.DUMMYFUNCTION("""COMPUTED_VALUE"""),45834.08521821759)</f>
        <v>45834.08522</v>
      </c>
      <c r="B1575" s="29" t="str">
        <f>IFERROR(__xludf.DUMMYFUNCTION("""COMPUTED_VALUE"""),"Circumcised")</f>
        <v>Circumcised</v>
      </c>
      <c r="C1575" s="29" t="str">
        <f>IFERROR(__xludf.DUMMYFUNCTION("""COMPUTED_VALUE"""),"Pleasure from Mobile Skin")</f>
        <v>Pleasure from Mobile Skin</v>
      </c>
      <c r="D1575" s="29" t="str">
        <f>IFERROR(__xludf.DUMMYFUNCTION("""COMPUTED_VALUE"""),"1 (Low/Poor)")</f>
        <v>1 (Low/Poor)</v>
      </c>
      <c r="E1575" s="29">
        <f>IFERROR(__xludf.DUMMYFUNCTION("""COMPUTED_VALUE"""),1.0)</f>
        <v>1</v>
      </c>
    </row>
    <row r="1576">
      <c r="A1576" s="33">
        <f>IFERROR(__xludf.DUMMYFUNCTION("""COMPUTED_VALUE"""),45834.09703479167)</f>
        <v>45834.09703</v>
      </c>
      <c r="B1576" s="29" t="str">
        <f>IFERROR(__xludf.DUMMYFUNCTION("""COMPUTED_VALUE"""),"Circumcised")</f>
        <v>Circumcised</v>
      </c>
      <c r="C1576" s="29" t="str">
        <f>IFERROR(__xludf.DUMMYFUNCTION("""COMPUTED_VALUE"""),"Pleasure from Mobile Skin")</f>
        <v>Pleasure from Mobile Skin</v>
      </c>
      <c r="D1576" s="29" t="str">
        <f>IFERROR(__xludf.DUMMYFUNCTION("""COMPUTED_VALUE"""),"2")</f>
        <v>2</v>
      </c>
      <c r="E1576" s="29">
        <f>IFERROR(__xludf.DUMMYFUNCTION("""COMPUTED_VALUE"""),2.0)</f>
        <v>2</v>
      </c>
    </row>
    <row r="1577">
      <c r="A1577" s="33">
        <f>IFERROR(__xludf.DUMMYFUNCTION("""COMPUTED_VALUE"""),45834.14087384259)</f>
        <v>45834.14087</v>
      </c>
      <c r="B1577" s="29" t="str">
        <f>IFERROR(__xludf.DUMMYFUNCTION("""COMPUTED_VALUE"""),"Intact (Never circumcised)")</f>
        <v>Intact (Never circumcised)</v>
      </c>
      <c r="C1577" s="29" t="str">
        <f>IFERROR(__xludf.DUMMYFUNCTION("""COMPUTED_VALUE"""),"Pleasure from Mobile Skin")</f>
        <v>Pleasure from Mobile Skin</v>
      </c>
      <c r="D1577" s="29" t="str">
        <f>IFERROR(__xludf.DUMMYFUNCTION("""COMPUTED_VALUE"""),"5 (High/Excellent)")</f>
        <v>5 (High/Excellent)</v>
      </c>
      <c r="E1577" s="29">
        <f>IFERROR(__xludf.DUMMYFUNCTION("""COMPUTED_VALUE"""),5.0)</f>
        <v>5</v>
      </c>
    </row>
    <row r="1578">
      <c r="A1578" s="33">
        <f>IFERROR(__xludf.DUMMYFUNCTION("""COMPUTED_VALUE"""),45834.45642371528)</f>
        <v>45834.45642</v>
      </c>
      <c r="B1578" s="29" t="str">
        <f>IFERROR(__xludf.DUMMYFUNCTION("""COMPUTED_VALUE"""),"Circumcised")</f>
        <v>Circumcised</v>
      </c>
      <c r="C1578" s="29" t="str">
        <f>IFERROR(__xludf.DUMMYFUNCTION("""COMPUTED_VALUE"""),"Pleasure from Mobile Skin")</f>
        <v>Pleasure from Mobile Skin</v>
      </c>
      <c r="D1578" s="29" t="str">
        <f>IFERROR(__xludf.DUMMYFUNCTION("""COMPUTED_VALUE"""),"1 (Low/Poor)")</f>
        <v>1 (Low/Poor)</v>
      </c>
      <c r="E1578" s="29">
        <f>IFERROR(__xludf.DUMMYFUNCTION("""COMPUTED_VALUE"""),1.0)</f>
        <v>1</v>
      </c>
    </row>
    <row r="1579">
      <c r="A1579" s="33">
        <f>IFERROR(__xludf.DUMMYFUNCTION("""COMPUTED_VALUE"""),45834.524166041665)</f>
        <v>45834.52417</v>
      </c>
      <c r="B1579" s="29" t="str">
        <f>IFERROR(__xludf.DUMMYFUNCTION("""COMPUTED_VALUE"""),"Intact (Never circumcised)")</f>
        <v>Intact (Never circumcised)</v>
      </c>
      <c r="C1579" s="29" t="str">
        <f>IFERROR(__xludf.DUMMYFUNCTION("""COMPUTED_VALUE"""),"Pleasure from Mobile Skin")</f>
        <v>Pleasure from Mobile Skin</v>
      </c>
      <c r="D1579" s="29" t="str">
        <f>IFERROR(__xludf.DUMMYFUNCTION("""COMPUTED_VALUE"""),"5 (High/Excellent)")</f>
        <v>5 (High/Excellent)</v>
      </c>
      <c r="E1579" s="29">
        <f>IFERROR(__xludf.DUMMYFUNCTION("""COMPUTED_VALUE"""),5.0)</f>
        <v>5</v>
      </c>
    </row>
    <row r="1580">
      <c r="A1580" s="33">
        <f>IFERROR(__xludf.DUMMYFUNCTION("""COMPUTED_VALUE"""),45834.83290418982)</f>
        <v>45834.8329</v>
      </c>
      <c r="B1580" s="29" t="str">
        <f>IFERROR(__xludf.DUMMYFUNCTION("""COMPUTED_VALUE"""),"Circumcised")</f>
        <v>Circumcised</v>
      </c>
      <c r="C1580" s="29" t="str">
        <f>IFERROR(__xludf.DUMMYFUNCTION("""COMPUTED_VALUE"""),"Pleasure from Mobile Skin")</f>
        <v>Pleasure from Mobile Skin</v>
      </c>
      <c r="D1580" s="29" t="str">
        <f>IFERROR(__xludf.DUMMYFUNCTION("""COMPUTED_VALUE"""),"1 (Low/Poor)")</f>
        <v>1 (Low/Poor)</v>
      </c>
      <c r="E1580" s="29">
        <f>IFERROR(__xludf.DUMMYFUNCTION("""COMPUTED_VALUE"""),1.0)</f>
        <v>1</v>
      </c>
    </row>
    <row r="1581">
      <c r="A1581" s="33">
        <f>IFERROR(__xludf.DUMMYFUNCTION("""COMPUTED_VALUE"""),45835.44492405092)</f>
        <v>45835.44492</v>
      </c>
      <c r="B1581" s="29" t="str">
        <f>IFERROR(__xludf.DUMMYFUNCTION("""COMPUTED_VALUE"""),"Actively restoring my foreskin / I consider myself restored")</f>
        <v>Actively restoring my foreskin / I consider myself restored</v>
      </c>
      <c r="C1581" s="29" t="str">
        <f>IFERROR(__xludf.DUMMYFUNCTION("""COMPUTED_VALUE"""),"Pleasure from Mobile Skin")</f>
        <v>Pleasure from Mobile Skin</v>
      </c>
      <c r="D1581" s="29" t="str">
        <f>IFERROR(__xludf.DUMMYFUNCTION("""COMPUTED_VALUE"""),"1 (Low/Poor)")</f>
        <v>1 (Low/Poor)</v>
      </c>
      <c r="E1581" s="29">
        <f>IFERROR(__xludf.DUMMYFUNCTION("""COMPUTED_VALUE"""),1.0)</f>
        <v>1</v>
      </c>
    </row>
    <row r="1582">
      <c r="A1582" s="33">
        <f>IFERROR(__xludf.DUMMYFUNCTION("""COMPUTED_VALUE"""),45835.706102581025)</f>
        <v>45835.7061</v>
      </c>
      <c r="B1582" s="29" t="str">
        <f>IFERROR(__xludf.DUMMYFUNCTION("""COMPUTED_VALUE"""),"Circumcised")</f>
        <v>Circumcised</v>
      </c>
      <c r="C1582" s="29" t="str">
        <f>IFERROR(__xludf.DUMMYFUNCTION("""COMPUTED_VALUE"""),"Pleasure from Mobile Skin")</f>
        <v>Pleasure from Mobile Skin</v>
      </c>
      <c r="D1582" s="29" t="str">
        <f>IFERROR(__xludf.DUMMYFUNCTION("""COMPUTED_VALUE"""),"2")</f>
        <v>2</v>
      </c>
      <c r="E1582" s="29">
        <f>IFERROR(__xludf.DUMMYFUNCTION("""COMPUTED_VALUE"""),2.0)</f>
        <v>2</v>
      </c>
    </row>
    <row r="1583">
      <c r="A1583" s="33">
        <f>IFERROR(__xludf.DUMMYFUNCTION("""COMPUTED_VALUE"""),45835.889590937506)</f>
        <v>45835.88959</v>
      </c>
      <c r="B1583" s="29" t="str">
        <f>IFERROR(__xludf.DUMMYFUNCTION("""COMPUTED_VALUE"""),"Intact (Never circumcised)")</f>
        <v>Intact (Never circumcised)</v>
      </c>
      <c r="C1583" s="29" t="str">
        <f>IFERROR(__xludf.DUMMYFUNCTION("""COMPUTED_VALUE"""),"Pleasure from Mobile Skin")</f>
        <v>Pleasure from Mobile Skin</v>
      </c>
      <c r="D1583" s="29" t="str">
        <f>IFERROR(__xludf.DUMMYFUNCTION("""COMPUTED_VALUE"""),"5 (High/Excellent)")</f>
        <v>5 (High/Excellent)</v>
      </c>
      <c r="E1583" s="29">
        <f>IFERROR(__xludf.DUMMYFUNCTION("""COMPUTED_VALUE"""),5.0)</f>
        <v>5</v>
      </c>
    </row>
    <row r="1584">
      <c r="A1584" s="33">
        <f>IFERROR(__xludf.DUMMYFUNCTION("""COMPUTED_VALUE"""),45836.08061851852)</f>
        <v>45836.08062</v>
      </c>
      <c r="B1584" s="29" t="str">
        <f>IFERROR(__xludf.DUMMYFUNCTION("""COMPUTED_VALUE"""),"Actively restoring my foreskin / I consider myself restored")</f>
        <v>Actively restoring my foreskin / I consider myself restored</v>
      </c>
      <c r="C1584" s="29" t="str">
        <f>IFERROR(__xludf.DUMMYFUNCTION("""COMPUTED_VALUE"""),"Pleasure from Mobile Skin")</f>
        <v>Pleasure from Mobile Skin</v>
      </c>
      <c r="D1584" s="29" t="str">
        <f>IFERROR(__xludf.DUMMYFUNCTION("""COMPUTED_VALUE"""),"4")</f>
        <v>4</v>
      </c>
      <c r="E1584" s="29">
        <f>IFERROR(__xludf.DUMMYFUNCTION("""COMPUTED_VALUE"""),4.0)</f>
        <v>4</v>
      </c>
    </row>
    <row r="1585">
      <c r="A1585" s="33">
        <f>IFERROR(__xludf.DUMMYFUNCTION("""COMPUTED_VALUE"""),45836.205108657414)</f>
        <v>45836.20511</v>
      </c>
      <c r="B1585" s="29" t="str">
        <f>IFERROR(__xludf.DUMMYFUNCTION("""COMPUTED_VALUE"""),"Circumcised")</f>
        <v>Circumcised</v>
      </c>
      <c r="C1585" s="29" t="str">
        <f>IFERROR(__xludf.DUMMYFUNCTION("""COMPUTED_VALUE"""),"Pleasure from Mobile Skin")</f>
        <v>Pleasure from Mobile Skin</v>
      </c>
      <c r="D1585" s="29" t="str">
        <f>IFERROR(__xludf.DUMMYFUNCTION("""COMPUTED_VALUE"""),"1 (Low/Poor)")</f>
        <v>1 (Low/Poor)</v>
      </c>
      <c r="E1585" s="29">
        <f>IFERROR(__xludf.DUMMYFUNCTION("""COMPUTED_VALUE"""),1.0)</f>
        <v>1</v>
      </c>
    </row>
    <row r="1586">
      <c r="A1586" s="33">
        <f>IFERROR(__xludf.DUMMYFUNCTION("""COMPUTED_VALUE"""),45836.34391229167)</f>
        <v>45836.34391</v>
      </c>
      <c r="B1586" s="29" t="str">
        <f>IFERROR(__xludf.DUMMYFUNCTION("""COMPUTED_VALUE"""),"Intact (Never circumcised)")</f>
        <v>Intact (Never circumcised)</v>
      </c>
      <c r="C1586" s="29" t="str">
        <f>IFERROR(__xludf.DUMMYFUNCTION("""COMPUTED_VALUE"""),"Pleasure from Mobile Skin")</f>
        <v>Pleasure from Mobile Skin</v>
      </c>
      <c r="D1586" s="29" t="str">
        <f>IFERROR(__xludf.DUMMYFUNCTION("""COMPUTED_VALUE"""),"5 (High/Excellent)")</f>
        <v>5 (High/Excellent)</v>
      </c>
      <c r="E1586" s="29">
        <f>IFERROR(__xludf.DUMMYFUNCTION("""COMPUTED_VALUE"""),5.0)</f>
        <v>5</v>
      </c>
    </row>
    <row r="1587">
      <c r="A1587" s="33">
        <f>IFERROR(__xludf.DUMMYFUNCTION("""COMPUTED_VALUE"""),45836.46845483797)</f>
        <v>45836.46845</v>
      </c>
      <c r="B1587" s="29" t="str">
        <f>IFERROR(__xludf.DUMMYFUNCTION("""COMPUTED_VALUE"""),"Actively restoring my foreskin / I consider myself restored")</f>
        <v>Actively restoring my foreskin / I consider myself restored</v>
      </c>
      <c r="C1587" s="29" t="str">
        <f>IFERROR(__xludf.DUMMYFUNCTION("""COMPUTED_VALUE"""),"Pleasure from Mobile Skin")</f>
        <v>Pleasure from Mobile Skin</v>
      </c>
      <c r="D1587" s="29" t="str">
        <f>IFERROR(__xludf.DUMMYFUNCTION("""COMPUTED_VALUE"""),"4")</f>
        <v>4</v>
      </c>
      <c r="E1587" s="29">
        <f>IFERROR(__xludf.DUMMYFUNCTION("""COMPUTED_VALUE"""),4.0)</f>
        <v>4</v>
      </c>
    </row>
    <row r="1588">
      <c r="A1588" s="33">
        <f>IFERROR(__xludf.DUMMYFUNCTION("""COMPUTED_VALUE"""),45836.50647361111)</f>
        <v>45836.50647</v>
      </c>
      <c r="B1588" s="29" t="str">
        <f>IFERROR(__xludf.DUMMYFUNCTION("""COMPUTED_VALUE"""),"Intact (Never circumcised)")</f>
        <v>Intact (Never circumcised)</v>
      </c>
      <c r="C1588" s="29" t="str">
        <f>IFERROR(__xludf.DUMMYFUNCTION("""COMPUTED_VALUE"""),"Pleasure from Mobile Skin")</f>
        <v>Pleasure from Mobile Skin</v>
      </c>
      <c r="D1588" s="29" t="str">
        <f>IFERROR(__xludf.DUMMYFUNCTION("""COMPUTED_VALUE"""),"3 (Medium/Average)")</f>
        <v>3 (Medium/Average)</v>
      </c>
      <c r="E1588" s="29">
        <f>IFERROR(__xludf.DUMMYFUNCTION("""COMPUTED_VALUE"""),3.0)</f>
        <v>3</v>
      </c>
    </row>
    <row r="1589">
      <c r="A1589" s="33">
        <f>IFERROR(__xludf.DUMMYFUNCTION("""COMPUTED_VALUE"""),45836.70248601852)</f>
        <v>45836.70249</v>
      </c>
      <c r="B1589" s="29" t="str">
        <f>IFERROR(__xludf.DUMMYFUNCTION("""COMPUTED_VALUE"""),"Circumcised")</f>
        <v>Circumcised</v>
      </c>
      <c r="C1589" s="29" t="str">
        <f>IFERROR(__xludf.DUMMYFUNCTION("""COMPUTED_VALUE"""),"Pleasure from Mobile Skin")</f>
        <v>Pleasure from Mobile Skin</v>
      </c>
      <c r="D1589" s="29" t="str">
        <f>IFERROR(__xludf.DUMMYFUNCTION("""COMPUTED_VALUE"""),"1 (Low/Poor)")</f>
        <v>1 (Low/Poor)</v>
      </c>
      <c r="E1589" s="29">
        <f>IFERROR(__xludf.DUMMYFUNCTION("""COMPUTED_VALUE"""),1.0)</f>
        <v>1</v>
      </c>
    </row>
    <row r="1590">
      <c r="A1590" s="33">
        <f>IFERROR(__xludf.DUMMYFUNCTION("""COMPUTED_VALUE"""),45836.71771464121)</f>
        <v>45836.71771</v>
      </c>
      <c r="B1590" s="29" t="str">
        <f>IFERROR(__xludf.DUMMYFUNCTION("""COMPUTED_VALUE"""),"Circumcised")</f>
        <v>Circumcised</v>
      </c>
      <c r="C1590" s="29" t="str">
        <f>IFERROR(__xludf.DUMMYFUNCTION("""COMPUTED_VALUE"""),"Pleasure from Mobile Skin")</f>
        <v>Pleasure from Mobile Skin</v>
      </c>
      <c r="D1590" s="29" t="str">
        <f>IFERROR(__xludf.DUMMYFUNCTION("""COMPUTED_VALUE"""),"1 (Low/Poor)")</f>
        <v>1 (Low/Poor)</v>
      </c>
      <c r="E1590" s="29">
        <f>IFERROR(__xludf.DUMMYFUNCTION("""COMPUTED_VALUE"""),1.0)</f>
        <v>1</v>
      </c>
    </row>
    <row r="1591">
      <c r="A1591" s="33">
        <f>IFERROR(__xludf.DUMMYFUNCTION("""COMPUTED_VALUE"""),45836.826351354175)</f>
        <v>45836.82635</v>
      </c>
      <c r="B1591" s="29" t="str">
        <f>IFERROR(__xludf.DUMMYFUNCTION("""COMPUTED_VALUE"""),"Circumcised")</f>
        <v>Circumcised</v>
      </c>
      <c r="C1591" s="29" t="str">
        <f>IFERROR(__xludf.DUMMYFUNCTION("""COMPUTED_VALUE"""),"Pleasure from Mobile Skin")</f>
        <v>Pleasure from Mobile Skin</v>
      </c>
      <c r="D1591" s="29" t="str">
        <f>IFERROR(__xludf.DUMMYFUNCTION("""COMPUTED_VALUE"""),"1 (Low/Poor)")</f>
        <v>1 (Low/Poor)</v>
      </c>
      <c r="E1591" s="29">
        <f>IFERROR(__xludf.DUMMYFUNCTION("""COMPUTED_VALUE"""),1.0)</f>
        <v>1</v>
      </c>
    </row>
    <row r="1592">
      <c r="A1592" s="33">
        <f>IFERROR(__xludf.DUMMYFUNCTION("""COMPUTED_VALUE"""),45836.92451064815)</f>
        <v>45836.92451</v>
      </c>
      <c r="B1592" s="29" t="str">
        <f>IFERROR(__xludf.DUMMYFUNCTION("""COMPUTED_VALUE"""),"Intact (Never circumcised)")</f>
        <v>Intact (Never circumcised)</v>
      </c>
      <c r="C1592" s="29" t="str">
        <f>IFERROR(__xludf.DUMMYFUNCTION("""COMPUTED_VALUE"""),"Pleasure from Mobile Skin")</f>
        <v>Pleasure from Mobile Skin</v>
      </c>
      <c r="D1592" s="29" t="str">
        <f>IFERROR(__xludf.DUMMYFUNCTION("""COMPUTED_VALUE"""),"5 (High/Excellent)")</f>
        <v>5 (High/Excellent)</v>
      </c>
      <c r="E1592" s="29">
        <f>IFERROR(__xludf.DUMMYFUNCTION("""COMPUTED_VALUE"""),5.0)</f>
        <v>5</v>
      </c>
    </row>
    <row r="1593">
      <c r="A1593" s="33">
        <f>IFERROR(__xludf.DUMMYFUNCTION("""COMPUTED_VALUE"""),45837.0323637037)</f>
        <v>45837.03236</v>
      </c>
      <c r="B1593" s="29" t="str">
        <f>IFERROR(__xludf.DUMMYFUNCTION("""COMPUTED_VALUE"""),"Circumcised")</f>
        <v>Circumcised</v>
      </c>
      <c r="C1593" s="29" t="str">
        <f>IFERROR(__xludf.DUMMYFUNCTION("""COMPUTED_VALUE"""),"Pleasure from Mobile Skin")</f>
        <v>Pleasure from Mobile Skin</v>
      </c>
      <c r="D1593" s="29" t="str">
        <f>IFERROR(__xludf.DUMMYFUNCTION("""COMPUTED_VALUE"""),"2")</f>
        <v>2</v>
      </c>
      <c r="E1593" s="29">
        <f>IFERROR(__xludf.DUMMYFUNCTION("""COMPUTED_VALUE"""),2.0)</f>
        <v>2</v>
      </c>
    </row>
    <row r="1594">
      <c r="A1594" s="33">
        <f>IFERROR(__xludf.DUMMYFUNCTION("""COMPUTED_VALUE"""),45837.456585266205)</f>
        <v>45837.45659</v>
      </c>
      <c r="B1594" s="29" t="str">
        <f>IFERROR(__xludf.DUMMYFUNCTION("""COMPUTED_VALUE"""),"Circumcised")</f>
        <v>Circumcised</v>
      </c>
      <c r="C1594" s="29" t="str">
        <f>IFERROR(__xludf.DUMMYFUNCTION("""COMPUTED_VALUE"""),"Pleasure from Mobile Skin")</f>
        <v>Pleasure from Mobile Skin</v>
      </c>
      <c r="D1594" s="29" t="str">
        <f>IFERROR(__xludf.DUMMYFUNCTION("""COMPUTED_VALUE"""),"1 (Low/Poor)")</f>
        <v>1 (Low/Poor)</v>
      </c>
      <c r="E1594" s="29">
        <f>IFERROR(__xludf.DUMMYFUNCTION("""COMPUTED_VALUE"""),1.0)</f>
        <v>1</v>
      </c>
    </row>
    <row r="1595">
      <c r="A1595" s="33">
        <f>IFERROR(__xludf.DUMMYFUNCTION("""COMPUTED_VALUE"""),45837.54343665509)</f>
        <v>45837.54344</v>
      </c>
      <c r="B1595" s="29" t="str">
        <f>IFERROR(__xludf.DUMMYFUNCTION("""COMPUTED_VALUE"""),"Circumcised")</f>
        <v>Circumcised</v>
      </c>
      <c r="C1595" s="29" t="str">
        <f>IFERROR(__xludf.DUMMYFUNCTION("""COMPUTED_VALUE"""),"Pleasure from Mobile Skin")</f>
        <v>Pleasure from Mobile Skin</v>
      </c>
      <c r="D1595" s="29" t="str">
        <f>IFERROR(__xludf.DUMMYFUNCTION("""COMPUTED_VALUE"""),"1 (Low/Poor)")</f>
        <v>1 (Low/Poor)</v>
      </c>
      <c r="E1595" s="29">
        <f>IFERROR(__xludf.DUMMYFUNCTION("""COMPUTED_VALUE"""),1.0)</f>
        <v>1</v>
      </c>
    </row>
    <row r="1596">
      <c r="A1596" s="33">
        <f>IFERROR(__xludf.DUMMYFUNCTION("""COMPUTED_VALUE"""),45837.65933071759)</f>
        <v>45837.65933</v>
      </c>
      <c r="B1596" s="29" t="str">
        <f>IFERROR(__xludf.DUMMYFUNCTION("""COMPUTED_VALUE"""),"Actively restoring my foreskin / I consider myself restored")</f>
        <v>Actively restoring my foreskin / I consider myself restored</v>
      </c>
      <c r="C1596" s="29" t="str">
        <f>IFERROR(__xludf.DUMMYFUNCTION("""COMPUTED_VALUE"""),"Pleasure from Mobile Skin")</f>
        <v>Pleasure from Mobile Skin</v>
      </c>
      <c r="D1596" s="29" t="str">
        <f>IFERROR(__xludf.DUMMYFUNCTION("""COMPUTED_VALUE"""),"5 (High/Excellent)")</f>
        <v>5 (High/Excellent)</v>
      </c>
      <c r="E1596" s="29">
        <f>IFERROR(__xludf.DUMMYFUNCTION("""COMPUTED_VALUE"""),5.0)</f>
        <v>5</v>
      </c>
    </row>
    <row r="1597">
      <c r="A1597" s="33">
        <f>IFERROR(__xludf.DUMMYFUNCTION("""COMPUTED_VALUE"""),45838.117896192125)</f>
        <v>45838.1179</v>
      </c>
      <c r="B1597" s="29" t="str">
        <f>IFERROR(__xludf.DUMMYFUNCTION("""COMPUTED_VALUE"""),"Circumcised")</f>
        <v>Circumcised</v>
      </c>
      <c r="C1597" s="29" t="str">
        <f>IFERROR(__xludf.DUMMYFUNCTION("""COMPUTED_VALUE"""),"Pleasure from Mobile Skin")</f>
        <v>Pleasure from Mobile Skin</v>
      </c>
      <c r="D1597" s="29" t="str">
        <f>IFERROR(__xludf.DUMMYFUNCTION("""COMPUTED_VALUE"""),"1 (Low/Poor)")</f>
        <v>1 (Low/Poor)</v>
      </c>
      <c r="E1597" s="29">
        <f>IFERROR(__xludf.DUMMYFUNCTION("""COMPUTED_VALUE"""),1.0)</f>
        <v>1</v>
      </c>
    </row>
    <row r="1598">
      <c r="A1598" s="33">
        <f>IFERROR(__xludf.DUMMYFUNCTION("""COMPUTED_VALUE"""),45838.703877291664)</f>
        <v>45838.70388</v>
      </c>
      <c r="B1598" s="29" t="str">
        <f>IFERROR(__xludf.DUMMYFUNCTION("""COMPUTED_VALUE"""),"Actively restoring my foreskin / I consider myself restored")</f>
        <v>Actively restoring my foreskin / I consider myself restored</v>
      </c>
      <c r="C1598" s="29" t="str">
        <f>IFERROR(__xludf.DUMMYFUNCTION("""COMPUTED_VALUE"""),"Pleasure from Mobile Skin")</f>
        <v>Pleasure from Mobile Skin</v>
      </c>
      <c r="D1598" s="29" t="str">
        <f>IFERROR(__xludf.DUMMYFUNCTION("""COMPUTED_VALUE"""),"1 (Low/Poor)")</f>
        <v>1 (Low/Poor)</v>
      </c>
      <c r="E1598" s="29">
        <f>IFERROR(__xludf.DUMMYFUNCTION("""COMPUTED_VALUE"""),1.0)</f>
        <v>1</v>
      </c>
    </row>
    <row r="1599">
      <c r="A1599" s="33">
        <f>IFERROR(__xludf.DUMMYFUNCTION("""COMPUTED_VALUE"""),45839.585315289354)</f>
        <v>45839.58532</v>
      </c>
      <c r="B1599" s="29" t="str">
        <f>IFERROR(__xludf.DUMMYFUNCTION("""COMPUTED_VALUE"""),"Circumcised")</f>
        <v>Circumcised</v>
      </c>
      <c r="C1599" s="29" t="str">
        <f>IFERROR(__xludf.DUMMYFUNCTION("""COMPUTED_VALUE"""),"Pleasure from Mobile Skin")</f>
        <v>Pleasure from Mobile Skin</v>
      </c>
      <c r="D1599" s="29" t="str">
        <f>IFERROR(__xludf.DUMMYFUNCTION("""COMPUTED_VALUE"""),"3 (Medium/Average)")</f>
        <v>3 (Medium/Average)</v>
      </c>
      <c r="E1599" s="29">
        <f>IFERROR(__xludf.DUMMYFUNCTION("""COMPUTED_VALUE"""),3.0)</f>
        <v>3</v>
      </c>
    </row>
    <row r="1600">
      <c r="A1600" s="33">
        <f>IFERROR(__xludf.DUMMYFUNCTION("""COMPUTED_VALUE"""),45839.9002066551)</f>
        <v>45839.90021</v>
      </c>
      <c r="B1600" s="29" t="str">
        <f>IFERROR(__xludf.DUMMYFUNCTION("""COMPUTED_VALUE"""),"Circumcised")</f>
        <v>Circumcised</v>
      </c>
      <c r="C1600" s="29" t="str">
        <f>IFERROR(__xludf.DUMMYFUNCTION("""COMPUTED_VALUE"""),"Pleasure from Mobile Skin")</f>
        <v>Pleasure from Mobile Skin</v>
      </c>
      <c r="D1600" s="29" t="str">
        <f>IFERROR(__xludf.DUMMYFUNCTION("""COMPUTED_VALUE"""),"3 (Medium/Average)")</f>
        <v>3 (Medium/Average)</v>
      </c>
      <c r="E1600" s="29">
        <f>IFERROR(__xludf.DUMMYFUNCTION("""COMPUTED_VALUE"""),3.0)</f>
        <v>3</v>
      </c>
    </row>
    <row r="1601">
      <c r="A1601" s="33">
        <f>IFERROR(__xludf.DUMMYFUNCTION("""COMPUTED_VALUE"""),45840.28386831019)</f>
        <v>45840.28387</v>
      </c>
      <c r="B1601" s="29" t="str">
        <f>IFERROR(__xludf.DUMMYFUNCTION("""COMPUTED_VALUE"""),"Actively restoring my foreskin / I consider myself restored")</f>
        <v>Actively restoring my foreskin / I consider myself restored</v>
      </c>
      <c r="C1601" s="29" t="str">
        <f>IFERROR(__xludf.DUMMYFUNCTION("""COMPUTED_VALUE"""),"Pleasure from Mobile Skin")</f>
        <v>Pleasure from Mobile Skin</v>
      </c>
      <c r="D1601" s="29" t="str">
        <f>IFERROR(__xludf.DUMMYFUNCTION("""COMPUTED_VALUE"""),"3 (Medium/Average)")</f>
        <v>3 (Medium/Average)</v>
      </c>
      <c r="E1601" s="29">
        <f>IFERROR(__xludf.DUMMYFUNCTION("""COMPUTED_VALUE"""),3.0)</f>
        <v>3</v>
      </c>
    </row>
    <row r="1602">
      <c r="A1602" s="33">
        <f>IFERROR(__xludf.DUMMYFUNCTION("""COMPUTED_VALUE"""),45841.941682199074)</f>
        <v>45841.94168</v>
      </c>
      <c r="B1602" s="29" t="str">
        <f>IFERROR(__xludf.DUMMYFUNCTION("""COMPUTED_VALUE"""),"Intact (Never circumcised)")</f>
        <v>Intact (Never circumcised)</v>
      </c>
      <c r="C1602" s="29" t="str">
        <f>IFERROR(__xludf.DUMMYFUNCTION("""COMPUTED_VALUE"""),"Pleasure from Mobile Skin")</f>
        <v>Pleasure from Mobile Skin</v>
      </c>
      <c r="D1602" s="29" t="str">
        <f>IFERROR(__xludf.DUMMYFUNCTION("""COMPUTED_VALUE"""),"5 (High/Excellent)")</f>
        <v>5 (High/Excellent)</v>
      </c>
      <c r="E1602" s="29">
        <f>IFERROR(__xludf.DUMMYFUNCTION("""COMPUTED_VALUE"""),5.0)</f>
        <v>5</v>
      </c>
    </row>
    <row r="1603">
      <c r="A1603" s="33">
        <f>IFERROR(__xludf.DUMMYFUNCTION("""COMPUTED_VALUE"""),45842.01290361111)</f>
        <v>45842.0129</v>
      </c>
      <c r="B1603" s="29" t="str">
        <f>IFERROR(__xludf.DUMMYFUNCTION("""COMPUTED_VALUE"""),"Actively restoring my foreskin / I consider myself restored")</f>
        <v>Actively restoring my foreskin / I consider myself restored</v>
      </c>
      <c r="C1603" s="29" t="str">
        <f>IFERROR(__xludf.DUMMYFUNCTION("""COMPUTED_VALUE"""),"Pleasure from Mobile Skin")</f>
        <v>Pleasure from Mobile Skin</v>
      </c>
      <c r="D1603" s="29" t="str">
        <f>IFERROR(__xludf.DUMMYFUNCTION("""COMPUTED_VALUE"""),"3 (Medium/Average)")</f>
        <v>3 (Medium/Average)</v>
      </c>
      <c r="E1603" s="29">
        <f>IFERROR(__xludf.DUMMYFUNCTION("""COMPUTED_VALUE"""),3.0)</f>
        <v>3</v>
      </c>
    </row>
    <row r="1604">
      <c r="A1604" s="33">
        <f>IFERROR(__xludf.DUMMYFUNCTION("""COMPUTED_VALUE"""),45842.59654684028)</f>
        <v>45842.59655</v>
      </c>
      <c r="B1604" s="29" t="str">
        <f>IFERROR(__xludf.DUMMYFUNCTION("""COMPUTED_VALUE"""),"Intact (Never circumcised)")</f>
        <v>Intact (Never circumcised)</v>
      </c>
      <c r="C1604" s="29" t="str">
        <f>IFERROR(__xludf.DUMMYFUNCTION("""COMPUTED_VALUE"""),"Pleasure from Mobile Skin")</f>
        <v>Pleasure from Mobile Skin</v>
      </c>
      <c r="D1604" s="29" t="str">
        <f>IFERROR(__xludf.DUMMYFUNCTION("""COMPUTED_VALUE"""),"5 (High/Excellent)")</f>
        <v>5 (High/Excellent)</v>
      </c>
      <c r="E1604" s="29">
        <f>IFERROR(__xludf.DUMMYFUNCTION("""COMPUTED_VALUE"""),5.0)</f>
        <v>5</v>
      </c>
    </row>
    <row r="1605">
      <c r="A1605" s="33">
        <f>IFERROR(__xludf.DUMMYFUNCTION("""COMPUTED_VALUE"""),45842.74864692129)</f>
        <v>45842.74865</v>
      </c>
      <c r="B1605" s="29" t="str">
        <f>IFERROR(__xludf.DUMMYFUNCTION("""COMPUTED_VALUE"""),"Intact (Never circumcised)")</f>
        <v>Intact (Never circumcised)</v>
      </c>
      <c r="C1605" s="29" t="str">
        <f>IFERROR(__xludf.DUMMYFUNCTION("""COMPUTED_VALUE"""),"Pleasure from Mobile Skin")</f>
        <v>Pleasure from Mobile Skin</v>
      </c>
      <c r="D1605" s="29" t="str">
        <f>IFERROR(__xludf.DUMMYFUNCTION("""COMPUTED_VALUE"""),"5 (High/Excellent)")</f>
        <v>5 (High/Excellent)</v>
      </c>
      <c r="E1605" s="29">
        <f>IFERROR(__xludf.DUMMYFUNCTION("""COMPUTED_VALUE"""),5.0)</f>
        <v>5</v>
      </c>
    </row>
    <row r="1606">
      <c r="A1606" s="33">
        <f>IFERROR(__xludf.DUMMYFUNCTION("""COMPUTED_VALUE"""),45842.78131636574)</f>
        <v>45842.78132</v>
      </c>
      <c r="B1606" s="29" t="str">
        <f>IFERROR(__xludf.DUMMYFUNCTION("""COMPUTED_VALUE"""),"Intact (Never circumcised)")</f>
        <v>Intact (Never circumcised)</v>
      </c>
      <c r="C1606" s="29" t="str">
        <f>IFERROR(__xludf.DUMMYFUNCTION("""COMPUTED_VALUE"""),"Pleasure from Mobile Skin")</f>
        <v>Pleasure from Mobile Skin</v>
      </c>
      <c r="D1606" s="29" t="str">
        <f>IFERROR(__xludf.DUMMYFUNCTION("""COMPUTED_VALUE"""),"5 (High/Excellent)")</f>
        <v>5 (High/Excellent)</v>
      </c>
      <c r="E1606" s="29">
        <f>IFERROR(__xludf.DUMMYFUNCTION("""COMPUTED_VALUE"""),5.0)</f>
        <v>5</v>
      </c>
    </row>
    <row r="1607">
      <c r="A1607" s="33">
        <f>IFERROR(__xludf.DUMMYFUNCTION("""COMPUTED_VALUE"""),45843.44344015046)</f>
        <v>45843.44344</v>
      </c>
      <c r="B1607" s="29" t="str">
        <f>IFERROR(__xludf.DUMMYFUNCTION("""COMPUTED_VALUE"""),"Intact (Never circumcised)")</f>
        <v>Intact (Never circumcised)</v>
      </c>
      <c r="C1607" s="29" t="str">
        <f>IFERROR(__xludf.DUMMYFUNCTION("""COMPUTED_VALUE"""),"Pleasure from Mobile Skin")</f>
        <v>Pleasure from Mobile Skin</v>
      </c>
      <c r="D1607" s="29" t="str">
        <f>IFERROR(__xludf.DUMMYFUNCTION("""COMPUTED_VALUE"""),"2")</f>
        <v>2</v>
      </c>
      <c r="E1607" s="29">
        <f>IFERROR(__xludf.DUMMYFUNCTION("""COMPUTED_VALUE"""),2.0)</f>
        <v>2</v>
      </c>
    </row>
    <row r="1608">
      <c r="A1608" s="33">
        <f>IFERROR(__xludf.DUMMYFUNCTION("""COMPUTED_VALUE"""),45844.052393356484)</f>
        <v>45844.05239</v>
      </c>
      <c r="B1608" s="29" t="str">
        <f>IFERROR(__xludf.DUMMYFUNCTION("""COMPUTED_VALUE"""),"Intact (Never circumcised)")</f>
        <v>Intact (Never circumcised)</v>
      </c>
      <c r="C1608" s="29" t="str">
        <f>IFERROR(__xludf.DUMMYFUNCTION("""COMPUTED_VALUE"""),"Pleasure from Mobile Skin")</f>
        <v>Pleasure from Mobile Skin</v>
      </c>
      <c r="D1608" s="29" t="str">
        <f>IFERROR(__xludf.DUMMYFUNCTION("""COMPUTED_VALUE"""),"5 (High/Excellent)")</f>
        <v>5 (High/Excellent)</v>
      </c>
      <c r="E1608" s="29">
        <f>IFERROR(__xludf.DUMMYFUNCTION("""COMPUTED_VALUE"""),5.0)</f>
        <v>5</v>
      </c>
    </row>
    <row r="1609">
      <c r="A1609" s="33">
        <f>IFERROR(__xludf.DUMMYFUNCTION("""COMPUTED_VALUE"""),45844.41842277777)</f>
        <v>45844.41842</v>
      </c>
      <c r="B1609" s="29" t="str">
        <f>IFERROR(__xludf.DUMMYFUNCTION("""COMPUTED_VALUE"""),"Circumcised")</f>
        <v>Circumcised</v>
      </c>
      <c r="C1609" s="29" t="str">
        <f>IFERROR(__xludf.DUMMYFUNCTION("""COMPUTED_VALUE"""),"Pleasure from Mobile Skin")</f>
        <v>Pleasure from Mobile Skin</v>
      </c>
      <c r="D1609" s="29" t="str">
        <f>IFERROR(__xludf.DUMMYFUNCTION("""COMPUTED_VALUE"""),"3 (Medium/Average)")</f>
        <v>3 (Medium/Average)</v>
      </c>
      <c r="E1609" s="29">
        <f>IFERROR(__xludf.DUMMYFUNCTION("""COMPUTED_VALUE"""),3.0)</f>
        <v>3</v>
      </c>
    </row>
    <row r="1610">
      <c r="A1610" s="33">
        <f>IFERROR(__xludf.DUMMYFUNCTION("""COMPUTED_VALUE"""),45844.46542105324)</f>
        <v>45844.46542</v>
      </c>
      <c r="B1610" s="29" t="str">
        <f>IFERROR(__xludf.DUMMYFUNCTION("""COMPUTED_VALUE"""),"Intact (Never circumcised)")</f>
        <v>Intact (Never circumcised)</v>
      </c>
      <c r="C1610" s="29" t="str">
        <f>IFERROR(__xludf.DUMMYFUNCTION("""COMPUTED_VALUE"""),"Pleasure from Mobile Skin")</f>
        <v>Pleasure from Mobile Skin</v>
      </c>
      <c r="D1610" s="29" t="str">
        <f>IFERROR(__xludf.DUMMYFUNCTION("""COMPUTED_VALUE"""),"5 (High/Excellent)")</f>
        <v>5 (High/Excellent)</v>
      </c>
      <c r="E1610" s="29">
        <f>IFERROR(__xludf.DUMMYFUNCTION("""COMPUTED_VALUE"""),5.0)</f>
        <v>5</v>
      </c>
    </row>
    <row r="1611">
      <c r="A1611" s="33">
        <f>IFERROR(__xludf.DUMMYFUNCTION("""COMPUTED_VALUE"""),45845.519693240734)</f>
        <v>45845.51969</v>
      </c>
      <c r="B1611" s="29" t="str">
        <f>IFERROR(__xludf.DUMMYFUNCTION("""COMPUTED_VALUE"""),"Circumcised")</f>
        <v>Circumcised</v>
      </c>
      <c r="C1611" s="29" t="str">
        <f>IFERROR(__xludf.DUMMYFUNCTION("""COMPUTED_VALUE"""),"Pleasure from Mobile Skin")</f>
        <v>Pleasure from Mobile Skin</v>
      </c>
      <c r="D1611" s="29" t="str">
        <f>IFERROR(__xludf.DUMMYFUNCTION("""COMPUTED_VALUE"""),"4")</f>
        <v>4</v>
      </c>
      <c r="E1611" s="29">
        <f>IFERROR(__xludf.DUMMYFUNCTION("""COMPUTED_VALUE"""),4.0)</f>
        <v>4</v>
      </c>
    </row>
    <row r="1612">
      <c r="A1612" s="33">
        <f>IFERROR(__xludf.DUMMYFUNCTION("""COMPUTED_VALUE"""),45846.13157090278)</f>
        <v>45846.13157</v>
      </c>
      <c r="B1612" s="29" t="str">
        <f>IFERROR(__xludf.DUMMYFUNCTION("""COMPUTED_VALUE"""),"Circumcised")</f>
        <v>Circumcised</v>
      </c>
      <c r="C1612" s="29" t="str">
        <f>IFERROR(__xludf.DUMMYFUNCTION("""COMPUTED_VALUE"""),"Pleasure from Mobile Skin")</f>
        <v>Pleasure from Mobile Skin</v>
      </c>
      <c r="D1612" s="29" t="str">
        <f>IFERROR(__xludf.DUMMYFUNCTION("""COMPUTED_VALUE"""),"1 (Low/Poor)")</f>
        <v>1 (Low/Poor)</v>
      </c>
      <c r="E1612" s="29">
        <f>IFERROR(__xludf.DUMMYFUNCTION("""COMPUTED_VALUE"""),1.0)</f>
        <v>1</v>
      </c>
    </row>
    <row r="1613">
      <c r="A1613" s="33">
        <f>IFERROR(__xludf.DUMMYFUNCTION("""COMPUTED_VALUE"""),45849.67123201389)</f>
        <v>45849.67123</v>
      </c>
      <c r="B1613" s="29" t="str">
        <f>IFERROR(__xludf.DUMMYFUNCTION("""COMPUTED_VALUE"""),"Intact (Never circumcised)")</f>
        <v>Intact (Never circumcised)</v>
      </c>
      <c r="C1613" s="29" t="str">
        <f>IFERROR(__xludf.DUMMYFUNCTION("""COMPUTED_VALUE"""),"Pleasure from Mobile Skin")</f>
        <v>Pleasure from Mobile Skin</v>
      </c>
      <c r="D1613" s="29" t="str">
        <f>IFERROR(__xludf.DUMMYFUNCTION("""COMPUTED_VALUE"""),"3 (Medium/Average)")</f>
        <v>3 (Medium/Average)</v>
      </c>
      <c r="E1613" s="29">
        <f>IFERROR(__xludf.DUMMYFUNCTION("""COMPUTED_VALUE"""),3.0)</f>
        <v>3</v>
      </c>
    </row>
    <row r="1614">
      <c r="A1614" s="33">
        <f>IFERROR(__xludf.DUMMYFUNCTION("""COMPUTED_VALUE"""),45850.18852405093)</f>
        <v>45850.18852</v>
      </c>
      <c r="B1614" s="29" t="str">
        <f>IFERROR(__xludf.DUMMYFUNCTION("""COMPUTED_VALUE"""),"Circumcised")</f>
        <v>Circumcised</v>
      </c>
      <c r="C1614" s="29" t="str">
        <f>IFERROR(__xludf.DUMMYFUNCTION("""COMPUTED_VALUE"""),"Pleasure from Mobile Skin")</f>
        <v>Pleasure from Mobile Skin</v>
      </c>
      <c r="D1614" s="29" t="str">
        <f>IFERROR(__xludf.DUMMYFUNCTION("""COMPUTED_VALUE"""),"4")</f>
        <v>4</v>
      </c>
      <c r="E1614" s="29">
        <f>IFERROR(__xludf.DUMMYFUNCTION("""COMPUTED_VALUE"""),4.0)</f>
        <v>4</v>
      </c>
    </row>
    <row r="1615">
      <c r="A1615" s="33">
        <f>IFERROR(__xludf.DUMMYFUNCTION("""COMPUTED_VALUE"""),45850.64452353009)</f>
        <v>45850.64452</v>
      </c>
      <c r="B1615" s="29" t="str">
        <f>IFERROR(__xludf.DUMMYFUNCTION("""COMPUTED_VALUE"""),"Circumcised")</f>
        <v>Circumcised</v>
      </c>
      <c r="C1615" s="29" t="str">
        <f>IFERROR(__xludf.DUMMYFUNCTION("""COMPUTED_VALUE"""),"Pleasure from Mobile Skin")</f>
        <v>Pleasure from Mobile Skin</v>
      </c>
      <c r="D1615" s="29" t="str">
        <f>IFERROR(__xludf.DUMMYFUNCTION("""COMPUTED_VALUE"""),"2")</f>
        <v>2</v>
      </c>
      <c r="E1615" s="29">
        <f>IFERROR(__xludf.DUMMYFUNCTION("""COMPUTED_VALUE"""),2.0)</f>
        <v>2</v>
      </c>
    </row>
    <row r="1616">
      <c r="A1616" s="33">
        <f>IFERROR(__xludf.DUMMYFUNCTION("""COMPUTED_VALUE"""),45850.886114953704)</f>
        <v>45850.88611</v>
      </c>
      <c r="B1616" s="29" t="str">
        <f>IFERROR(__xludf.DUMMYFUNCTION("""COMPUTED_VALUE"""),"Intact (Never circumcised)")</f>
        <v>Intact (Never circumcised)</v>
      </c>
      <c r="C1616" s="29" t="str">
        <f>IFERROR(__xludf.DUMMYFUNCTION("""COMPUTED_VALUE"""),"Pleasure from Mobile Skin")</f>
        <v>Pleasure from Mobile Skin</v>
      </c>
      <c r="D1616" s="29" t="str">
        <f>IFERROR(__xludf.DUMMYFUNCTION("""COMPUTED_VALUE"""),"3 (Medium/Average)")</f>
        <v>3 (Medium/Average)</v>
      </c>
      <c r="E1616" s="29">
        <f>IFERROR(__xludf.DUMMYFUNCTION("""COMPUTED_VALUE"""),3.0)</f>
        <v>3</v>
      </c>
    </row>
    <row r="1617">
      <c r="A1617" s="33">
        <f>IFERROR(__xludf.DUMMYFUNCTION("""COMPUTED_VALUE"""),45852.678005532405)</f>
        <v>45852.67801</v>
      </c>
      <c r="B1617" s="29" t="str">
        <f>IFERROR(__xludf.DUMMYFUNCTION("""COMPUTED_VALUE"""),"Intact (Never circumcised)")</f>
        <v>Intact (Never circumcised)</v>
      </c>
      <c r="C1617" s="29" t="str">
        <f>IFERROR(__xludf.DUMMYFUNCTION("""COMPUTED_VALUE"""),"Pleasure from Mobile Skin")</f>
        <v>Pleasure from Mobile Skin</v>
      </c>
      <c r="D1617" s="29" t="str">
        <f>IFERROR(__xludf.DUMMYFUNCTION("""COMPUTED_VALUE"""),"5 (High/Excellent)")</f>
        <v>5 (High/Excellent)</v>
      </c>
      <c r="E1617" s="29">
        <f>IFERROR(__xludf.DUMMYFUNCTION("""COMPUTED_VALUE"""),5.0)</f>
        <v>5</v>
      </c>
    </row>
    <row r="1618">
      <c r="A1618" s="33">
        <f>IFERROR(__xludf.DUMMYFUNCTION("""COMPUTED_VALUE"""),45852.891580891206)</f>
        <v>45852.89158</v>
      </c>
      <c r="B1618" s="29" t="str">
        <f>IFERROR(__xludf.DUMMYFUNCTION("""COMPUTED_VALUE"""),"Intact (Never circumcised)")</f>
        <v>Intact (Never circumcised)</v>
      </c>
      <c r="C1618" s="29" t="str">
        <f>IFERROR(__xludf.DUMMYFUNCTION("""COMPUTED_VALUE"""),"Pleasure from Mobile Skin")</f>
        <v>Pleasure from Mobile Skin</v>
      </c>
      <c r="D1618" s="29" t="str">
        <f>IFERROR(__xludf.DUMMYFUNCTION("""COMPUTED_VALUE"""),"5 (High/Excellent)")</f>
        <v>5 (High/Excellent)</v>
      </c>
      <c r="E1618" s="29">
        <f>IFERROR(__xludf.DUMMYFUNCTION("""COMPUTED_VALUE"""),5.0)</f>
        <v>5</v>
      </c>
    </row>
    <row r="1619">
      <c r="A1619" s="33">
        <f>IFERROR(__xludf.DUMMYFUNCTION("""COMPUTED_VALUE"""),45853.37019545138)</f>
        <v>45853.3702</v>
      </c>
      <c r="B1619" s="29" t="str">
        <f>IFERROR(__xludf.DUMMYFUNCTION("""COMPUTED_VALUE"""),"Intact (Never circumcised)")</f>
        <v>Intact (Never circumcised)</v>
      </c>
      <c r="C1619" s="29" t="str">
        <f>IFERROR(__xludf.DUMMYFUNCTION("""COMPUTED_VALUE"""),"Pleasure from Mobile Skin")</f>
        <v>Pleasure from Mobile Skin</v>
      </c>
      <c r="D1619" s="29" t="str">
        <f>IFERROR(__xludf.DUMMYFUNCTION("""COMPUTED_VALUE"""),"5 (High/Excellent)")</f>
        <v>5 (High/Excellent)</v>
      </c>
      <c r="E1619" s="29">
        <f>IFERROR(__xludf.DUMMYFUNCTION("""COMPUTED_VALUE"""),5.0)</f>
        <v>5</v>
      </c>
    </row>
    <row r="1620">
      <c r="A1620" s="33">
        <f>IFERROR(__xludf.DUMMYFUNCTION("""COMPUTED_VALUE"""),45853.81523930556)</f>
        <v>45853.81524</v>
      </c>
      <c r="B1620" s="29" t="str">
        <f>IFERROR(__xludf.DUMMYFUNCTION("""COMPUTED_VALUE"""),"Circumcised")</f>
        <v>Circumcised</v>
      </c>
      <c r="C1620" s="29" t="str">
        <f>IFERROR(__xludf.DUMMYFUNCTION("""COMPUTED_VALUE"""),"Pleasure from Mobile Skin")</f>
        <v>Pleasure from Mobile Skin</v>
      </c>
      <c r="D1620" s="29" t="str">
        <f>IFERROR(__xludf.DUMMYFUNCTION("""COMPUTED_VALUE"""),"1 (Low/Poor)")</f>
        <v>1 (Low/Poor)</v>
      </c>
      <c r="E1620" s="29">
        <f>IFERROR(__xludf.DUMMYFUNCTION("""COMPUTED_VALUE"""),1.0)</f>
        <v>1</v>
      </c>
    </row>
    <row r="1621">
      <c r="A1621" s="33">
        <f>IFERROR(__xludf.DUMMYFUNCTION("""COMPUTED_VALUE"""),45853.917537939815)</f>
        <v>45853.91754</v>
      </c>
      <c r="B1621" s="29" t="str">
        <f>IFERROR(__xludf.DUMMYFUNCTION("""COMPUTED_VALUE"""),"Actively restoring my foreskin / I consider myself restored")</f>
        <v>Actively restoring my foreskin / I consider myself restored</v>
      </c>
      <c r="C1621" s="29" t="str">
        <f>IFERROR(__xludf.DUMMYFUNCTION("""COMPUTED_VALUE"""),"Pleasure from Mobile Skin")</f>
        <v>Pleasure from Mobile Skin</v>
      </c>
      <c r="D1621" s="29" t="str">
        <f>IFERROR(__xludf.DUMMYFUNCTION("""COMPUTED_VALUE"""),"3 (Medium/Average)")</f>
        <v>3 (Medium/Average)</v>
      </c>
      <c r="E1621" s="29">
        <f>IFERROR(__xludf.DUMMYFUNCTION("""COMPUTED_VALUE"""),3.0)</f>
        <v>3</v>
      </c>
    </row>
    <row r="1622">
      <c r="A1622" s="33">
        <f>IFERROR(__xludf.DUMMYFUNCTION("""COMPUTED_VALUE"""),45854.425925324074)</f>
        <v>45854.42593</v>
      </c>
      <c r="B1622" s="29" t="str">
        <f>IFERROR(__xludf.DUMMYFUNCTION("""COMPUTED_VALUE"""),"Circumcised")</f>
        <v>Circumcised</v>
      </c>
      <c r="C1622" s="29" t="str">
        <f>IFERROR(__xludf.DUMMYFUNCTION("""COMPUTED_VALUE"""),"Pleasure from Mobile Skin")</f>
        <v>Pleasure from Mobile Skin</v>
      </c>
      <c r="D1622" s="29" t="str">
        <f>IFERROR(__xludf.DUMMYFUNCTION("""COMPUTED_VALUE"""),"3 (Medium/Average)")</f>
        <v>3 (Medium/Average)</v>
      </c>
      <c r="E1622" s="29">
        <f>IFERROR(__xludf.DUMMYFUNCTION("""COMPUTED_VALUE"""),3.0)</f>
        <v>3</v>
      </c>
    </row>
    <row r="1623">
      <c r="A1623" s="33">
        <f>IFERROR(__xludf.DUMMYFUNCTION("""COMPUTED_VALUE"""),45855.06532899306)</f>
        <v>45855.06533</v>
      </c>
      <c r="B1623" s="29" t="str">
        <f>IFERROR(__xludf.DUMMYFUNCTION("""COMPUTED_VALUE"""),"Circumcised")</f>
        <v>Circumcised</v>
      </c>
      <c r="C1623" s="29" t="str">
        <f>IFERROR(__xludf.DUMMYFUNCTION("""COMPUTED_VALUE"""),"Pleasure from Mobile Skin")</f>
        <v>Pleasure from Mobile Skin</v>
      </c>
      <c r="D1623" s="29" t="str">
        <f>IFERROR(__xludf.DUMMYFUNCTION("""COMPUTED_VALUE"""),"1 (Low/Poor)")</f>
        <v>1 (Low/Poor)</v>
      </c>
      <c r="E1623" s="29">
        <f>IFERROR(__xludf.DUMMYFUNCTION("""COMPUTED_VALUE"""),1.0)</f>
        <v>1</v>
      </c>
    </row>
    <row r="1624">
      <c r="A1624" s="33">
        <f>IFERROR(__xludf.DUMMYFUNCTION("""COMPUTED_VALUE"""),45857.18312947916)</f>
        <v>45857.18313</v>
      </c>
      <c r="B1624" s="29" t="str">
        <f>IFERROR(__xludf.DUMMYFUNCTION("""COMPUTED_VALUE"""),"Intact (Never circumcised)")</f>
        <v>Intact (Never circumcised)</v>
      </c>
      <c r="C1624" s="29" t="str">
        <f>IFERROR(__xludf.DUMMYFUNCTION("""COMPUTED_VALUE"""),"Pleasure from Mobile Skin")</f>
        <v>Pleasure from Mobile Skin</v>
      </c>
      <c r="D1624" s="29" t="str">
        <f>IFERROR(__xludf.DUMMYFUNCTION("""COMPUTED_VALUE"""),"5 (High/Excellent)")</f>
        <v>5 (High/Excellent)</v>
      </c>
      <c r="E1624" s="29">
        <f>IFERROR(__xludf.DUMMYFUNCTION("""COMPUTED_VALUE"""),5.0)</f>
        <v>5</v>
      </c>
    </row>
    <row r="1625">
      <c r="A1625" s="33">
        <f>IFERROR(__xludf.DUMMYFUNCTION("""COMPUTED_VALUE"""),45858.85559804398)</f>
        <v>45858.8556</v>
      </c>
      <c r="B1625" s="29" t="str">
        <f>IFERROR(__xludf.DUMMYFUNCTION("""COMPUTED_VALUE"""),"Circumcised")</f>
        <v>Circumcised</v>
      </c>
      <c r="C1625" s="29" t="str">
        <f>IFERROR(__xludf.DUMMYFUNCTION("""COMPUTED_VALUE"""),"Pleasure from Mobile Skin")</f>
        <v>Pleasure from Mobile Skin</v>
      </c>
      <c r="D1625" s="29" t="str">
        <f>IFERROR(__xludf.DUMMYFUNCTION("""COMPUTED_VALUE"""),"1 (Low/Poor)")</f>
        <v>1 (Low/Poor)</v>
      </c>
      <c r="E1625" s="29">
        <f>IFERROR(__xludf.DUMMYFUNCTION("""COMPUTED_VALUE"""),1.0)</f>
        <v>1</v>
      </c>
    </row>
    <row r="1626">
      <c r="A1626" s="33">
        <f>IFERROR(__xludf.DUMMYFUNCTION("""COMPUTED_VALUE"""),45861.16600383102)</f>
        <v>45861.166</v>
      </c>
      <c r="B1626" s="29" t="str">
        <f>IFERROR(__xludf.DUMMYFUNCTION("""COMPUTED_VALUE"""),"Intact (Never circumcised)")</f>
        <v>Intact (Never circumcised)</v>
      </c>
      <c r="C1626" s="29" t="str">
        <f>IFERROR(__xludf.DUMMYFUNCTION("""COMPUTED_VALUE"""),"Pleasure from Mobile Skin")</f>
        <v>Pleasure from Mobile Skin</v>
      </c>
      <c r="D1626" s="29" t="str">
        <f>IFERROR(__xludf.DUMMYFUNCTION("""COMPUTED_VALUE"""),"5 (High/Excellent)")</f>
        <v>5 (High/Excellent)</v>
      </c>
      <c r="E1626" s="29">
        <f>IFERROR(__xludf.DUMMYFUNCTION("""COMPUTED_VALUE"""),5.0)</f>
        <v>5</v>
      </c>
    </row>
    <row r="1627">
      <c r="A1627" s="33">
        <f>IFERROR(__xludf.DUMMYFUNCTION("""COMPUTED_VALUE"""),45864.54673815972)</f>
        <v>45864.54674</v>
      </c>
      <c r="B1627" s="29" t="str">
        <f>IFERROR(__xludf.DUMMYFUNCTION("""COMPUTED_VALUE"""),"Intact (Never circumcised)")</f>
        <v>Intact (Never circumcised)</v>
      </c>
      <c r="C1627" s="29" t="str">
        <f>IFERROR(__xludf.DUMMYFUNCTION("""COMPUTED_VALUE"""),"Pleasure from Mobile Skin")</f>
        <v>Pleasure from Mobile Skin</v>
      </c>
      <c r="D1627" s="29" t="str">
        <f>IFERROR(__xludf.DUMMYFUNCTION("""COMPUTED_VALUE"""),"5 (High/Excellent)")</f>
        <v>5 (High/Excellent)</v>
      </c>
      <c r="E1627" s="29">
        <f>IFERROR(__xludf.DUMMYFUNCTION("""COMPUTED_VALUE"""),5.0)</f>
        <v>5</v>
      </c>
    </row>
    <row r="1628">
      <c r="A1628" s="33">
        <f>IFERROR(__xludf.DUMMYFUNCTION("""COMPUTED_VALUE"""),45864.76644127315)</f>
        <v>45864.76644</v>
      </c>
      <c r="B1628" s="29" t="str">
        <f>IFERROR(__xludf.DUMMYFUNCTION("""COMPUTED_VALUE"""),"Intact (Never circumcised)")</f>
        <v>Intact (Never circumcised)</v>
      </c>
      <c r="C1628" s="29" t="str">
        <f>IFERROR(__xludf.DUMMYFUNCTION("""COMPUTED_VALUE"""),"Pleasure from Mobile Skin")</f>
        <v>Pleasure from Mobile Skin</v>
      </c>
      <c r="D1628" s="29" t="str">
        <f>IFERROR(__xludf.DUMMYFUNCTION("""COMPUTED_VALUE"""),"5 (High/Excellent)")</f>
        <v>5 (High/Excellent)</v>
      </c>
      <c r="E1628" s="29">
        <f>IFERROR(__xludf.DUMMYFUNCTION("""COMPUTED_VALUE"""),5.0)</f>
        <v>5</v>
      </c>
    </row>
    <row r="1629">
      <c r="A1629" s="33">
        <f>IFERROR(__xludf.DUMMYFUNCTION("""COMPUTED_VALUE"""),45865.26090908565)</f>
        <v>45865.26091</v>
      </c>
      <c r="B1629" s="29" t="str">
        <f>IFERROR(__xludf.DUMMYFUNCTION("""COMPUTED_VALUE"""),"Circumcised")</f>
        <v>Circumcised</v>
      </c>
      <c r="C1629" s="29" t="str">
        <f>IFERROR(__xludf.DUMMYFUNCTION("""COMPUTED_VALUE"""),"Pleasure from Mobile Skin")</f>
        <v>Pleasure from Mobile Skin</v>
      </c>
      <c r="D1629" s="29" t="str">
        <f>IFERROR(__xludf.DUMMYFUNCTION("""COMPUTED_VALUE"""),"1 (Low/Poor)")</f>
        <v>1 (Low/Poor)</v>
      </c>
      <c r="E1629" s="29">
        <f>IFERROR(__xludf.DUMMYFUNCTION("""COMPUTED_VALUE"""),1.0)</f>
        <v>1</v>
      </c>
    </row>
    <row r="1630">
      <c r="A1630" s="33">
        <f>IFERROR(__xludf.DUMMYFUNCTION("""COMPUTED_VALUE"""),45865.286593275465)</f>
        <v>45865.28659</v>
      </c>
      <c r="B1630" s="29" t="str">
        <f>IFERROR(__xludf.DUMMYFUNCTION("""COMPUTED_VALUE"""),"Circumcised")</f>
        <v>Circumcised</v>
      </c>
      <c r="C1630" s="29" t="str">
        <f>IFERROR(__xludf.DUMMYFUNCTION("""COMPUTED_VALUE"""),"Pleasure from Mobile Skin")</f>
        <v>Pleasure from Mobile Skin</v>
      </c>
      <c r="D1630" s="29" t="str">
        <f>IFERROR(__xludf.DUMMYFUNCTION("""COMPUTED_VALUE"""),"1 (Low/Poor)")</f>
        <v>1 (Low/Poor)</v>
      </c>
      <c r="E1630" s="29">
        <f>IFERROR(__xludf.DUMMYFUNCTION("""COMPUTED_VALUE"""),1.0)</f>
        <v>1</v>
      </c>
    </row>
    <row r="1631">
      <c r="A1631" s="33">
        <f>IFERROR(__xludf.DUMMYFUNCTION("""COMPUTED_VALUE"""),45865.61642836805)</f>
        <v>45865.61643</v>
      </c>
      <c r="B1631" s="29" t="str">
        <f>IFERROR(__xludf.DUMMYFUNCTION("""COMPUTED_VALUE"""),"Circumcised")</f>
        <v>Circumcised</v>
      </c>
      <c r="C1631" s="29" t="str">
        <f>IFERROR(__xludf.DUMMYFUNCTION("""COMPUTED_VALUE"""),"Pleasure from Mobile Skin")</f>
        <v>Pleasure from Mobile Skin</v>
      </c>
      <c r="D1631" s="29" t="str">
        <f>IFERROR(__xludf.DUMMYFUNCTION("""COMPUTED_VALUE"""),"1 (Low/Poor)")</f>
        <v>1 (Low/Poor)</v>
      </c>
      <c r="E1631" s="29">
        <f>IFERROR(__xludf.DUMMYFUNCTION("""COMPUTED_VALUE"""),1.0)</f>
        <v>1</v>
      </c>
    </row>
    <row r="1632">
      <c r="A1632" s="33">
        <f>IFERROR(__xludf.DUMMYFUNCTION("""COMPUTED_VALUE"""),45866.35659802083)</f>
        <v>45866.3566</v>
      </c>
      <c r="B1632" s="29" t="str">
        <f>IFERROR(__xludf.DUMMYFUNCTION("""COMPUTED_VALUE"""),"Actively restoring my foreskin / I consider myself restored")</f>
        <v>Actively restoring my foreskin / I consider myself restored</v>
      </c>
      <c r="C1632" s="29" t="str">
        <f>IFERROR(__xludf.DUMMYFUNCTION("""COMPUTED_VALUE"""),"Pleasure from Mobile Skin")</f>
        <v>Pleasure from Mobile Skin</v>
      </c>
      <c r="D1632" s="29" t="str">
        <f>IFERROR(__xludf.DUMMYFUNCTION("""COMPUTED_VALUE"""),"1 (Low/Poor)")</f>
        <v>1 (Low/Poor)</v>
      </c>
      <c r="E1632" s="29">
        <f>IFERROR(__xludf.DUMMYFUNCTION("""COMPUTED_VALUE"""),1.0)</f>
        <v>1</v>
      </c>
    </row>
    <row r="1633">
      <c r="A1633" s="33">
        <f>IFERROR(__xludf.DUMMYFUNCTION("""COMPUTED_VALUE"""),45866.36920435186)</f>
        <v>45866.3692</v>
      </c>
      <c r="B1633" s="29" t="str">
        <f>IFERROR(__xludf.DUMMYFUNCTION("""COMPUTED_VALUE"""),"Circumcised")</f>
        <v>Circumcised</v>
      </c>
      <c r="C1633" s="29" t="str">
        <f>IFERROR(__xludf.DUMMYFUNCTION("""COMPUTED_VALUE"""),"Pleasure from Mobile Skin")</f>
        <v>Pleasure from Mobile Skin</v>
      </c>
      <c r="D1633" s="29" t="str">
        <f>IFERROR(__xludf.DUMMYFUNCTION("""COMPUTED_VALUE"""),"2")</f>
        <v>2</v>
      </c>
      <c r="E1633" s="29">
        <f>IFERROR(__xludf.DUMMYFUNCTION("""COMPUTED_VALUE"""),2.0)</f>
        <v>2</v>
      </c>
    </row>
    <row r="1634">
      <c r="A1634" s="33">
        <f>IFERROR(__xludf.DUMMYFUNCTION("""COMPUTED_VALUE"""),45866.706210324075)</f>
        <v>45866.70621</v>
      </c>
      <c r="B1634" s="29" t="str">
        <f>IFERROR(__xludf.DUMMYFUNCTION("""COMPUTED_VALUE"""),"Intact (Never circumcised)")</f>
        <v>Intact (Never circumcised)</v>
      </c>
      <c r="C1634" s="29" t="str">
        <f>IFERROR(__xludf.DUMMYFUNCTION("""COMPUTED_VALUE"""),"Pleasure from Mobile Skin")</f>
        <v>Pleasure from Mobile Skin</v>
      </c>
      <c r="D1634" s="29" t="str">
        <f>IFERROR(__xludf.DUMMYFUNCTION("""COMPUTED_VALUE"""),"4")</f>
        <v>4</v>
      </c>
      <c r="E1634" s="29">
        <f>IFERROR(__xludf.DUMMYFUNCTION("""COMPUTED_VALUE"""),4.0)</f>
        <v>4</v>
      </c>
    </row>
    <row r="1635">
      <c r="A1635" s="33">
        <f>IFERROR(__xludf.DUMMYFUNCTION("""COMPUTED_VALUE"""),45867.465542523154)</f>
        <v>45867.46554</v>
      </c>
      <c r="B1635" s="29" t="str">
        <f>IFERROR(__xludf.DUMMYFUNCTION("""COMPUTED_VALUE"""),"Intact (Never circumcised)")</f>
        <v>Intact (Never circumcised)</v>
      </c>
      <c r="C1635" s="29" t="str">
        <f>IFERROR(__xludf.DUMMYFUNCTION("""COMPUTED_VALUE"""),"Pleasure from Mobile Skin")</f>
        <v>Pleasure from Mobile Skin</v>
      </c>
      <c r="D1635" s="29" t="str">
        <f>IFERROR(__xludf.DUMMYFUNCTION("""COMPUTED_VALUE"""),"3 (Medium/Average)")</f>
        <v>3 (Medium/Average)</v>
      </c>
      <c r="E1635" s="29">
        <f>IFERROR(__xludf.DUMMYFUNCTION("""COMPUTED_VALUE"""),3.0)</f>
        <v>3</v>
      </c>
    </row>
    <row r="1636">
      <c r="A1636" s="33">
        <f>IFERROR(__xludf.DUMMYFUNCTION("""COMPUTED_VALUE"""),45869.6256671875)</f>
        <v>45869.62567</v>
      </c>
      <c r="B1636" s="29" t="str">
        <f>IFERROR(__xludf.DUMMYFUNCTION("""COMPUTED_VALUE"""),"Circumcised")</f>
        <v>Circumcised</v>
      </c>
      <c r="C1636" s="29" t="str">
        <f>IFERROR(__xludf.DUMMYFUNCTION("""COMPUTED_VALUE"""),"Pleasure from Mobile Skin")</f>
        <v>Pleasure from Mobile Skin</v>
      </c>
      <c r="D1636" s="29" t="str">
        <f>IFERROR(__xludf.DUMMYFUNCTION("""COMPUTED_VALUE"""),"2")</f>
        <v>2</v>
      </c>
      <c r="E1636" s="29">
        <f>IFERROR(__xludf.DUMMYFUNCTION("""COMPUTED_VALUE"""),2.0)</f>
        <v>2</v>
      </c>
    </row>
    <row r="1637">
      <c r="A1637" s="33">
        <f>IFERROR(__xludf.DUMMYFUNCTION("""COMPUTED_VALUE"""),45870.66304393519)</f>
        <v>45870.66304</v>
      </c>
      <c r="B1637" s="29" t="str">
        <f>IFERROR(__xludf.DUMMYFUNCTION("""COMPUTED_VALUE"""),"Circumcised")</f>
        <v>Circumcised</v>
      </c>
      <c r="C1637" s="29" t="str">
        <f>IFERROR(__xludf.DUMMYFUNCTION("""COMPUTED_VALUE"""),"Pleasure from Mobile Skin")</f>
        <v>Pleasure from Mobile Skin</v>
      </c>
      <c r="D1637" s="29" t="str">
        <f>IFERROR(__xludf.DUMMYFUNCTION("""COMPUTED_VALUE"""),"5 (High/Excellent)")</f>
        <v>5 (High/Excellent)</v>
      </c>
      <c r="E1637" s="29">
        <f>IFERROR(__xludf.DUMMYFUNCTION("""COMPUTED_VALUE"""),5.0)</f>
        <v>5</v>
      </c>
    </row>
    <row r="1638">
      <c r="A1638" s="33">
        <f>IFERROR(__xludf.DUMMYFUNCTION("""COMPUTED_VALUE"""),45871.494499988425)</f>
        <v>45871.4945</v>
      </c>
      <c r="B1638" s="29" t="str">
        <f>IFERROR(__xludf.DUMMYFUNCTION("""COMPUTED_VALUE"""),"Circumcised")</f>
        <v>Circumcised</v>
      </c>
      <c r="C1638" s="29" t="str">
        <f>IFERROR(__xludf.DUMMYFUNCTION("""COMPUTED_VALUE"""),"Pleasure from Mobile Skin")</f>
        <v>Pleasure from Mobile Skin</v>
      </c>
      <c r="D1638" s="29" t="str">
        <f>IFERROR(__xludf.DUMMYFUNCTION("""COMPUTED_VALUE"""),"1 (Low/Poor)")</f>
        <v>1 (Low/Poor)</v>
      </c>
      <c r="E1638" s="29">
        <f>IFERROR(__xludf.DUMMYFUNCTION("""COMPUTED_VALUE"""),1.0)</f>
        <v>1</v>
      </c>
    </row>
    <row r="1639">
      <c r="A1639" s="33">
        <f>IFERROR(__xludf.DUMMYFUNCTION("""COMPUTED_VALUE"""),45872.30185957176)</f>
        <v>45872.30186</v>
      </c>
      <c r="B1639" s="29" t="str">
        <f>IFERROR(__xludf.DUMMYFUNCTION("""COMPUTED_VALUE"""),"Intact (Never circumcised)")</f>
        <v>Intact (Never circumcised)</v>
      </c>
      <c r="C1639" s="29" t="str">
        <f>IFERROR(__xludf.DUMMYFUNCTION("""COMPUTED_VALUE"""),"Pleasure from Mobile Skin")</f>
        <v>Pleasure from Mobile Skin</v>
      </c>
      <c r="D1639" s="29" t="str">
        <f>IFERROR(__xludf.DUMMYFUNCTION("""COMPUTED_VALUE"""),"4")</f>
        <v>4</v>
      </c>
      <c r="E1639" s="29">
        <f>IFERROR(__xludf.DUMMYFUNCTION("""COMPUTED_VALUE"""),4.0)</f>
        <v>4</v>
      </c>
    </row>
    <row r="1640">
      <c r="A1640" s="33">
        <f>IFERROR(__xludf.DUMMYFUNCTION("""COMPUTED_VALUE"""),45872.47329465277)</f>
        <v>45872.47329</v>
      </c>
      <c r="B1640" s="29" t="str">
        <f>IFERROR(__xludf.DUMMYFUNCTION("""COMPUTED_VALUE"""),"Circumcised")</f>
        <v>Circumcised</v>
      </c>
      <c r="C1640" s="29" t="str">
        <f>IFERROR(__xludf.DUMMYFUNCTION("""COMPUTED_VALUE"""),"Pleasure from Mobile Skin")</f>
        <v>Pleasure from Mobile Skin</v>
      </c>
      <c r="D1640" s="29" t="str">
        <f>IFERROR(__xludf.DUMMYFUNCTION("""COMPUTED_VALUE"""),"2")</f>
        <v>2</v>
      </c>
      <c r="E1640" s="29">
        <f>IFERROR(__xludf.DUMMYFUNCTION("""COMPUTED_VALUE"""),2.0)</f>
        <v>2</v>
      </c>
    </row>
    <row r="1641">
      <c r="A1641" s="33">
        <f>IFERROR(__xludf.DUMMYFUNCTION("""COMPUTED_VALUE"""),45876.17624883102)</f>
        <v>45876.17625</v>
      </c>
      <c r="B1641" s="29" t="str">
        <f>IFERROR(__xludf.DUMMYFUNCTION("""COMPUTED_VALUE"""),"Intact (Never circumcised)")</f>
        <v>Intact (Never circumcised)</v>
      </c>
      <c r="C1641" s="29" t="str">
        <f>IFERROR(__xludf.DUMMYFUNCTION("""COMPUTED_VALUE"""),"Pleasure from Mobile Skin")</f>
        <v>Pleasure from Mobile Skin</v>
      </c>
      <c r="D1641" s="29" t="str">
        <f>IFERROR(__xludf.DUMMYFUNCTION("""COMPUTED_VALUE"""),"5 (High/Excellent)")</f>
        <v>5 (High/Excellent)</v>
      </c>
      <c r="E1641" s="29">
        <f>IFERROR(__xludf.DUMMYFUNCTION("""COMPUTED_VALUE"""),5.0)</f>
        <v>5</v>
      </c>
    </row>
    <row r="1642">
      <c r="A1642" s="33">
        <f>IFERROR(__xludf.DUMMYFUNCTION("""COMPUTED_VALUE"""),45876.63808144676)</f>
        <v>45876.63808</v>
      </c>
      <c r="B1642" s="29" t="str">
        <f>IFERROR(__xludf.DUMMYFUNCTION("""COMPUTED_VALUE"""),"Intact (Never circumcised)")</f>
        <v>Intact (Never circumcised)</v>
      </c>
      <c r="C1642" s="29" t="str">
        <f>IFERROR(__xludf.DUMMYFUNCTION("""COMPUTED_VALUE"""),"Pleasure from Mobile Skin")</f>
        <v>Pleasure from Mobile Skin</v>
      </c>
      <c r="D1642" s="29" t="str">
        <f>IFERROR(__xludf.DUMMYFUNCTION("""COMPUTED_VALUE"""),"5 (High/Excellent)")</f>
        <v>5 (High/Excellent)</v>
      </c>
      <c r="E1642" s="29">
        <f>IFERROR(__xludf.DUMMYFUNCTION("""COMPUTED_VALUE"""),5.0)</f>
        <v>5</v>
      </c>
    </row>
    <row r="1643">
      <c r="A1643" s="33">
        <f>IFERROR(__xludf.DUMMYFUNCTION("""COMPUTED_VALUE"""),45879.53425473379)</f>
        <v>45879.53425</v>
      </c>
      <c r="B1643" s="29" t="str">
        <f>IFERROR(__xludf.DUMMYFUNCTION("""COMPUTED_VALUE"""),"Actively restoring my foreskin / I consider myself restored")</f>
        <v>Actively restoring my foreskin / I consider myself restored</v>
      </c>
      <c r="C1643" s="29" t="str">
        <f>IFERROR(__xludf.DUMMYFUNCTION("""COMPUTED_VALUE"""),"Pleasure from Mobile Skin")</f>
        <v>Pleasure from Mobile Skin</v>
      </c>
      <c r="D1643" s="29" t="str">
        <f>IFERROR(__xludf.DUMMYFUNCTION("""COMPUTED_VALUE"""),"5 (High/Excellent)")</f>
        <v>5 (High/Excellent)</v>
      </c>
      <c r="E1643" s="29">
        <f>IFERROR(__xludf.DUMMYFUNCTION("""COMPUTED_VALUE"""),5.0)</f>
        <v>5</v>
      </c>
    </row>
    <row r="1644">
      <c r="A1644" s="33">
        <f>IFERROR(__xludf.DUMMYFUNCTION("""COMPUTED_VALUE"""),45879.723996388886)</f>
        <v>45879.724</v>
      </c>
      <c r="B1644" s="29" t="str">
        <f>IFERROR(__xludf.DUMMYFUNCTION("""COMPUTED_VALUE"""),"Circumcised")</f>
        <v>Circumcised</v>
      </c>
      <c r="C1644" s="29" t="str">
        <f>IFERROR(__xludf.DUMMYFUNCTION("""COMPUTED_VALUE"""),"Pleasure from Mobile Skin")</f>
        <v>Pleasure from Mobile Skin</v>
      </c>
      <c r="D1644" s="29" t="str">
        <f>IFERROR(__xludf.DUMMYFUNCTION("""COMPUTED_VALUE"""),"3 (Medium/Average)")</f>
        <v>3 (Medium/Average)</v>
      </c>
      <c r="E1644" s="29">
        <f>IFERROR(__xludf.DUMMYFUNCTION("""COMPUTED_VALUE"""),3.0)</f>
        <v>3</v>
      </c>
    </row>
    <row r="1645">
      <c r="A1645" s="33">
        <f>IFERROR(__xludf.DUMMYFUNCTION("""COMPUTED_VALUE"""),45880.35085082176)</f>
        <v>45880.35085</v>
      </c>
      <c r="B1645" s="29" t="str">
        <f>IFERROR(__xludf.DUMMYFUNCTION("""COMPUTED_VALUE"""),"Actively restoring my foreskin / I consider myself restored")</f>
        <v>Actively restoring my foreskin / I consider myself restored</v>
      </c>
      <c r="C1645" s="29" t="str">
        <f>IFERROR(__xludf.DUMMYFUNCTION("""COMPUTED_VALUE"""),"Pleasure from Mobile Skin")</f>
        <v>Pleasure from Mobile Skin</v>
      </c>
      <c r="D1645" s="29" t="str">
        <f>IFERROR(__xludf.DUMMYFUNCTION("""COMPUTED_VALUE"""),"3 (Medium/Average)")</f>
        <v>3 (Medium/Average)</v>
      </c>
      <c r="E1645" s="29">
        <f>IFERROR(__xludf.DUMMYFUNCTION("""COMPUTED_VALUE"""),3.0)</f>
        <v>3</v>
      </c>
    </row>
    <row r="1646">
      <c r="A1646" s="33">
        <f>IFERROR(__xludf.DUMMYFUNCTION("""COMPUTED_VALUE"""),45880.668832337964)</f>
        <v>45880.66883</v>
      </c>
      <c r="B1646" s="29" t="str">
        <f>IFERROR(__xludf.DUMMYFUNCTION("""COMPUTED_VALUE"""),"Circumcised")</f>
        <v>Circumcised</v>
      </c>
      <c r="C1646" s="29" t="str">
        <f>IFERROR(__xludf.DUMMYFUNCTION("""COMPUTED_VALUE"""),"Pleasure from Mobile Skin")</f>
        <v>Pleasure from Mobile Skin</v>
      </c>
      <c r="D1646" s="29" t="str">
        <f>IFERROR(__xludf.DUMMYFUNCTION("""COMPUTED_VALUE"""),"2")</f>
        <v>2</v>
      </c>
      <c r="E1646" s="29">
        <f>IFERROR(__xludf.DUMMYFUNCTION("""COMPUTED_VALUE"""),2.0)</f>
        <v>2</v>
      </c>
    </row>
    <row r="1647">
      <c r="A1647" s="33">
        <f>IFERROR(__xludf.DUMMYFUNCTION("""COMPUTED_VALUE"""),45880.90769810185)</f>
        <v>45880.9077</v>
      </c>
      <c r="B1647" s="29" t="str">
        <f>IFERROR(__xludf.DUMMYFUNCTION("""COMPUTED_VALUE"""),"Actively restoring my foreskin / I consider myself restored")</f>
        <v>Actively restoring my foreskin / I consider myself restored</v>
      </c>
      <c r="C1647" s="29" t="str">
        <f>IFERROR(__xludf.DUMMYFUNCTION("""COMPUTED_VALUE"""),"Pleasure from Mobile Skin")</f>
        <v>Pleasure from Mobile Skin</v>
      </c>
      <c r="D1647" s="29" t="str">
        <f>IFERROR(__xludf.DUMMYFUNCTION("""COMPUTED_VALUE"""),"5 (High/Excellent)")</f>
        <v>5 (High/Excellent)</v>
      </c>
      <c r="E1647" s="29">
        <f>IFERROR(__xludf.DUMMYFUNCTION("""COMPUTED_VALUE"""),5.0)</f>
        <v>5</v>
      </c>
    </row>
    <row r="1648">
      <c r="A1648" s="33">
        <f>IFERROR(__xludf.DUMMYFUNCTION("""COMPUTED_VALUE"""),45881.71131423611)</f>
        <v>45881.71131</v>
      </c>
      <c r="B1648" s="29" t="str">
        <f>IFERROR(__xludf.DUMMYFUNCTION("""COMPUTED_VALUE"""),"Circumcised")</f>
        <v>Circumcised</v>
      </c>
      <c r="C1648" s="29" t="str">
        <f>IFERROR(__xludf.DUMMYFUNCTION("""COMPUTED_VALUE"""),"Pleasure from Mobile Skin")</f>
        <v>Pleasure from Mobile Skin</v>
      </c>
      <c r="D1648" s="29" t="str">
        <f>IFERROR(__xludf.DUMMYFUNCTION("""COMPUTED_VALUE"""),"1 (Low/Poor)")</f>
        <v>1 (Low/Poor)</v>
      </c>
      <c r="E1648" s="29">
        <f>IFERROR(__xludf.DUMMYFUNCTION("""COMPUTED_VALUE"""),1.0)</f>
        <v>1</v>
      </c>
    </row>
    <row r="1649">
      <c r="A1649" s="33">
        <f>IFERROR(__xludf.DUMMYFUNCTION("""COMPUTED_VALUE"""),45881.76282621528)</f>
        <v>45881.76283</v>
      </c>
      <c r="B1649" s="29" t="str">
        <f>IFERROR(__xludf.DUMMYFUNCTION("""COMPUTED_VALUE"""),"Actively restoring my foreskin / I consider myself restored")</f>
        <v>Actively restoring my foreskin / I consider myself restored</v>
      </c>
      <c r="C1649" s="29" t="str">
        <f>IFERROR(__xludf.DUMMYFUNCTION("""COMPUTED_VALUE"""),"Pleasure from Mobile Skin")</f>
        <v>Pleasure from Mobile Skin</v>
      </c>
      <c r="D1649" s="29" t="str">
        <f>IFERROR(__xludf.DUMMYFUNCTION("""COMPUTED_VALUE"""),"3 (Medium/Average)")</f>
        <v>3 (Medium/Average)</v>
      </c>
      <c r="E1649" s="29">
        <f>IFERROR(__xludf.DUMMYFUNCTION("""COMPUTED_VALUE"""),3.0)</f>
        <v>3</v>
      </c>
    </row>
    <row r="1650">
      <c r="A1650" s="33">
        <f>IFERROR(__xludf.DUMMYFUNCTION("""COMPUTED_VALUE"""),45891.315471574075)</f>
        <v>45891.31547</v>
      </c>
      <c r="B1650" s="29" t="str">
        <f>IFERROR(__xludf.DUMMYFUNCTION("""COMPUTED_VALUE"""),"Circumcised")</f>
        <v>Circumcised</v>
      </c>
      <c r="C1650" s="29" t="str">
        <f>IFERROR(__xludf.DUMMYFUNCTION("""COMPUTED_VALUE"""),"Pleasure from Mobile Skin")</f>
        <v>Pleasure from Mobile Skin</v>
      </c>
      <c r="D1650" s="29" t="str">
        <f>IFERROR(__xludf.DUMMYFUNCTION("""COMPUTED_VALUE"""),"1 (Low/Poor)")</f>
        <v>1 (Low/Poor)</v>
      </c>
      <c r="E1650" s="29">
        <f>IFERROR(__xludf.DUMMYFUNCTION("""COMPUTED_VALUE"""),1.0)</f>
        <v>1</v>
      </c>
    </row>
    <row r="1651">
      <c r="A1651" s="33">
        <f>IFERROR(__xludf.DUMMYFUNCTION("""COMPUTED_VALUE"""),45896.146926319445)</f>
        <v>45896.14693</v>
      </c>
      <c r="B1651" s="29" t="str">
        <f>IFERROR(__xludf.DUMMYFUNCTION("""COMPUTED_VALUE"""),"Circumcised")</f>
        <v>Circumcised</v>
      </c>
      <c r="C1651" s="29" t="str">
        <f>IFERROR(__xludf.DUMMYFUNCTION("""COMPUTED_VALUE"""),"Pleasure from Mobile Skin")</f>
        <v>Pleasure from Mobile Skin</v>
      </c>
      <c r="D1651" s="29" t="str">
        <f>IFERROR(__xludf.DUMMYFUNCTION("""COMPUTED_VALUE"""),"4")</f>
        <v>4</v>
      </c>
      <c r="E1651" s="29">
        <f>IFERROR(__xludf.DUMMYFUNCTION("""COMPUTED_VALUE"""),4.0)</f>
        <v>4</v>
      </c>
    </row>
    <row r="1652">
      <c r="A1652" s="33">
        <f>IFERROR(__xludf.DUMMYFUNCTION("""COMPUTED_VALUE"""),45896.65199521991)</f>
        <v>45896.652</v>
      </c>
      <c r="B1652" s="29" t="str">
        <f>IFERROR(__xludf.DUMMYFUNCTION("""COMPUTED_VALUE"""),"Circumcised")</f>
        <v>Circumcised</v>
      </c>
      <c r="C1652" s="29" t="str">
        <f>IFERROR(__xludf.DUMMYFUNCTION("""COMPUTED_VALUE"""),"Pleasure from Mobile Skin")</f>
        <v>Pleasure from Mobile Skin</v>
      </c>
      <c r="D1652" s="29" t="str">
        <f>IFERROR(__xludf.DUMMYFUNCTION("""COMPUTED_VALUE"""),"1 (Low/Poor)")</f>
        <v>1 (Low/Poor)</v>
      </c>
      <c r="E1652" s="29">
        <f>IFERROR(__xludf.DUMMYFUNCTION("""COMPUTED_VALUE"""),1.0)</f>
        <v>1</v>
      </c>
    </row>
    <row r="1653">
      <c r="A1653" s="33">
        <f>IFERROR(__xludf.DUMMYFUNCTION("""COMPUTED_VALUE"""),45898.58556331019)</f>
        <v>45898.58556</v>
      </c>
      <c r="B1653" s="29" t="str">
        <f>IFERROR(__xludf.DUMMYFUNCTION("""COMPUTED_VALUE"""),"Intact (Never circumcised)")</f>
        <v>Intact (Never circumcised)</v>
      </c>
      <c r="C1653" s="29" t="str">
        <f>IFERROR(__xludf.DUMMYFUNCTION("""COMPUTED_VALUE"""),"Pleasure from Mobile Skin")</f>
        <v>Pleasure from Mobile Skin</v>
      </c>
      <c r="D1653" s="29" t="str">
        <f>IFERROR(__xludf.DUMMYFUNCTION("""COMPUTED_VALUE"""),"4")</f>
        <v>4</v>
      </c>
      <c r="E1653" s="29">
        <f>IFERROR(__xludf.DUMMYFUNCTION("""COMPUTED_VALUE"""),4.0)</f>
        <v>4</v>
      </c>
    </row>
    <row r="1654">
      <c r="A1654" s="33">
        <f>IFERROR(__xludf.DUMMYFUNCTION("""COMPUTED_VALUE"""),45899.51747539352)</f>
        <v>45899.51748</v>
      </c>
      <c r="B1654" s="29" t="str">
        <f>IFERROR(__xludf.DUMMYFUNCTION("""COMPUTED_VALUE"""),"Actively restoring my foreskin / I consider myself restored")</f>
        <v>Actively restoring my foreskin / I consider myself restored</v>
      </c>
      <c r="C1654" s="29" t="str">
        <f>IFERROR(__xludf.DUMMYFUNCTION("""COMPUTED_VALUE"""),"Pleasure from Mobile Skin")</f>
        <v>Pleasure from Mobile Skin</v>
      </c>
      <c r="D1654" s="29" t="str">
        <f>IFERROR(__xludf.DUMMYFUNCTION("""COMPUTED_VALUE"""),"5 (High/Excellent)")</f>
        <v>5 (High/Excellent)</v>
      </c>
      <c r="E1654" s="29">
        <f>IFERROR(__xludf.DUMMYFUNCTION("""COMPUTED_VALUE"""),5.0)</f>
        <v>5</v>
      </c>
    </row>
    <row r="1655">
      <c r="A1655" s="33">
        <f>IFERROR(__xludf.DUMMYFUNCTION("""COMPUTED_VALUE"""),45900.64462908564)</f>
        <v>45900.64463</v>
      </c>
      <c r="B1655" s="29" t="str">
        <f>IFERROR(__xludf.DUMMYFUNCTION("""COMPUTED_VALUE"""),"Circumcised")</f>
        <v>Circumcised</v>
      </c>
      <c r="C1655" s="29" t="str">
        <f>IFERROR(__xludf.DUMMYFUNCTION("""COMPUTED_VALUE"""),"Pleasure from Mobile Skin")</f>
        <v>Pleasure from Mobile Skin</v>
      </c>
      <c r="D1655" s="29" t="str">
        <f>IFERROR(__xludf.DUMMYFUNCTION("""COMPUTED_VALUE"""),"2")</f>
        <v>2</v>
      </c>
      <c r="E1655" s="29">
        <f>IFERROR(__xludf.DUMMYFUNCTION("""COMPUTED_VALUE"""),2.0)</f>
        <v>2</v>
      </c>
    </row>
    <row r="1656">
      <c r="A1656" s="33">
        <f>IFERROR(__xludf.DUMMYFUNCTION("""COMPUTED_VALUE"""),45902.88397509259)</f>
        <v>45902.88398</v>
      </c>
      <c r="B1656" s="29" t="str">
        <f>IFERROR(__xludf.DUMMYFUNCTION("""COMPUTED_VALUE"""),"Intact (Never circumcised)")</f>
        <v>Intact (Never circumcised)</v>
      </c>
      <c r="C1656" s="29" t="str">
        <f>IFERROR(__xludf.DUMMYFUNCTION("""COMPUTED_VALUE"""),"Pleasure from Mobile Skin")</f>
        <v>Pleasure from Mobile Skin</v>
      </c>
      <c r="D1656" s="29" t="str">
        <f>IFERROR(__xludf.DUMMYFUNCTION("""COMPUTED_VALUE"""),"5 (High/Excellent)")</f>
        <v>5 (High/Excellent)</v>
      </c>
      <c r="E1656" s="29">
        <f>IFERROR(__xludf.DUMMYFUNCTION("""COMPUTED_VALUE"""),5.0)</f>
        <v>5</v>
      </c>
    </row>
    <row r="1657">
      <c r="A1657" s="33">
        <f>IFERROR(__xludf.DUMMYFUNCTION("""COMPUTED_VALUE"""),45902.91345981481)</f>
        <v>45902.91346</v>
      </c>
      <c r="B1657" s="29" t="str">
        <f>IFERROR(__xludf.DUMMYFUNCTION("""COMPUTED_VALUE"""),"Circumcised")</f>
        <v>Circumcised</v>
      </c>
      <c r="C1657" s="29" t="str">
        <f>IFERROR(__xludf.DUMMYFUNCTION("""COMPUTED_VALUE"""),"Pleasure from Mobile Skin")</f>
        <v>Pleasure from Mobile Skin</v>
      </c>
      <c r="D1657" s="29" t="str">
        <f>IFERROR(__xludf.DUMMYFUNCTION("""COMPUTED_VALUE"""),"2")</f>
        <v>2</v>
      </c>
      <c r="E1657" s="29">
        <f>IFERROR(__xludf.DUMMYFUNCTION("""COMPUTED_VALUE"""),2.0)</f>
        <v>2</v>
      </c>
    </row>
    <row r="1658">
      <c r="A1658" s="33">
        <f>IFERROR(__xludf.DUMMYFUNCTION("""COMPUTED_VALUE"""),45902.93139501157)</f>
        <v>45902.9314</v>
      </c>
      <c r="B1658" s="29" t="str">
        <f>IFERROR(__xludf.DUMMYFUNCTION("""COMPUTED_VALUE"""),"Circumcised")</f>
        <v>Circumcised</v>
      </c>
      <c r="C1658" s="29" t="str">
        <f>IFERROR(__xludf.DUMMYFUNCTION("""COMPUTED_VALUE"""),"Pleasure from Mobile Skin")</f>
        <v>Pleasure from Mobile Skin</v>
      </c>
      <c r="D1658" s="29" t="str">
        <f>IFERROR(__xludf.DUMMYFUNCTION("""COMPUTED_VALUE"""),"3 (Medium/Average)")</f>
        <v>3 (Medium/Average)</v>
      </c>
      <c r="E1658" s="29">
        <f>IFERROR(__xludf.DUMMYFUNCTION("""COMPUTED_VALUE"""),3.0)</f>
        <v>3</v>
      </c>
    </row>
    <row r="1659">
      <c r="A1659" s="33">
        <f>IFERROR(__xludf.DUMMYFUNCTION("""COMPUTED_VALUE"""),45902.9375257639)</f>
        <v>45902.93753</v>
      </c>
      <c r="B1659" s="29" t="str">
        <f>IFERROR(__xludf.DUMMYFUNCTION("""COMPUTED_VALUE"""),"Intact (Never circumcised)")</f>
        <v>Intact (Never circumcised)</v>
      </c>
      <c r="C1659" s="29" t="str">
        <f>IFERROR(__xludf.DUMMYFUNCTION("""COMPUTED_VALUE"""),"Pleasure from Mobile Skin")</f>
        <v>Pleasure from Mobile Skin</v>
      </c>
      <c r="D1659" s="29" t="str">
        <f>IFERROR(__xludf.DUMMYFUNCTION("""COMPUTED_VALUE"""),"3 (Medium/Average)")</f>
        <v>3 (Medium/Average)</v>
      </c>
      <c r="E1659" s="29">
        <f>IFERROR(__xludf.DUMMYFUNCTION("""COMPUTED_VALUE"""),3.0)</f>
        <v>3</v>
      </c>
    </row>
    <row r="1660">
      <c r="A1660" s="33">
        <f>IFERROR(__xludf.DUMMYFUNCTION("""COMPUTED_VALUE"""),45903.44211505787)</f>
        <v>45903.44212</v>
      </c>
      <c r="B1660" s="29" t="str">
        <f>IFERROR(__xludf.DUMMYFUNCTION("""COMPUTED_VALUE"""),"Intact (Never circumcised)")</f>
        <v>Intact (Never circumcised)</v>
      </c>
      <c r="C1660" s="29" t="str">
        <f>IFERROR(__xludf.DUMMYFUNCTION("""COMPUTED_VALUE"""),"Pleasure from Mobile Skin")</f>
        <v>Pleasure from Mobile Skin</v>
      </c>
      <c r="D1660" s="29" t="str">
        <f>IFERROR(__xludf.DUMMYFUNCTION("""COMPUTED_VALUE"""),"3 (Medium/Average)")</f>
        <v>3 (Medium/Average)</v>
      </c>
      <c r="E1660" s="29">
        <f>IFERROR(__xludf.DUMMYFUNCTION("""COMPUTED_VALUE"""),3.0)</f>
        <v>3</v>
      </c>
    </row>
    <row r="1661">
      <c r="A1661" s="33">
        <f>IFERROR(__xludf.DUMMYFUNCTION("""COMPUTED_VALUE"""),45903.48758677083)</f>
        <v>45903.48759</v>
      </c>
      <c r="B1661" s="29" t="str">
        <f>IFERROR(__xludf.DUMMYFUNCTION("""COMPUTED_VALUE"""),"Circumcised")</f>
        <v>Circumcised</v>
      </c>
      <c r="C1661" s="29" t="str">
        <f>IFERROR(__xludf.DUMMYFUNCTION("""COMPUTED_VALUE"""),"Pleasure from Mobile Skin")</f>
        <v>Pleasure from Mobile Skin</v>
      </c>
      <c r="D1661" s="29" t="str">
        <f>IFERROR(__xludf.DUMMYFUNCTION("""COMPUTED_VALUE"""),"2")</f>
        <v>2</v>
      </c>
      <c r="E1661" s="29">
        <f>IFERROR(__xludf.DUMMYFUNCTION("""COMPUTED_VALUE"""),2.0)</f>
        <v>2</v>
      </c>
    </row>
    <row r="1662">
      <c r="A1662" s="33">
        <f>IFERROR(__xludf.DUMMYFUNCTION("""COMPUTED_VALUE"""),45903.51030376158)</f>
        <v>45903.5103</v>
      </c>
      <c r="B1662" s="29" t="str">
        <f>IFERROR(__xludf.DUMMYFUNCTION("""COMPUTED_VALUE"""),"Intact (Never circumcised)")</f>
        <v>Intact (Never circumcised)</v>
      </c>
      <c r="C1662" s="29" t="str">
        <f>IFERROR(__xludf.DUMMYFUNCTION("""COMPUTED_VALUE"""),"Pleasure from Mobile Skin")</f>
        <v>Pleasure from Mobile Skin</v>
      </c>
      <c r="D1662" s="29" t="str">
        <f>IFERROR(__xludf.DUMMYFUNCTION("""COMPUTED_VALUE"""),"4")</f>
        <v>4</v>
      </c>
      <c r="E1662" s="29">
        <f>IFERROR(__xludf.DUMMYFUNCTION("""COMPUTED_VALUE"""),4.0)</f>
        <v>4</v>
      </c>
    </row>
    <row r="1663">
      <c r="A1663" s="33">
        <f>IFERROR(__xludf.DUMMYFUNCTION("""COMPUTED_VALUE"""),45903.51222153935)</f>
        <v>45903.51222</v>
      </c>
      <c r="B1663" s="29" t="str">
        <f>IFERROR(__xludf.DUMMYFUNCTION("""COMPUTED_VALUE"""),"Circumcised")</f>
        <v>Circumcised</v>
      </c>
      <c r="C1663" s="29" t="str">
        <f>IFERROR(__xludf.DUMMYFUNCTION("""COMPUTED_VALUE"""),"Pleasure from Mobile Skin")</f>
        <v>Pleasure from Mobile Skin</v>
      </c>
      <c r="D1663" s="29" t="str">
        <f>IFERROR(__xludf.DUMMYFUNCTION("""COMPUTED_VALUE"""),"2")</f>
        <v>2</v>
      </c>
      <c r="E1663" s="29">
        <f>IFERROR(__xludf.DUMMYFUNCTION("""COMPUTED_VALUE"""),2.0)</f>
        <v>2</v>
      </c>
    </row>
    <row r="1664">
      <c r="A1664" s="33">
        <f>IFERROR(__xludf.DUMMYFUNCTION("""COMPUTED_VALUE"""),45903.55631206019)</f>
        <v>45903.55631</v>
      </c>
      <c r="B1664" s="29" t="str">
        <f>IFERROR(__xludf.DUMMYFUNCTION("""COMPUTED_VALUE"""),"Intact (Never circumcised)")</f>
        <v>Intact (Never circumcised)</v>
      </c>
      <c r="C1664" s="29" t="str">
        <f>IFERROR(__xludf.DUMMYFUNCTION("""COMPUTED_VALUE"""),"Pleasure from Mobile Skin")</f>
        <v>Pleasure from Mobile Skin</v>
      </c>
      <c r="D1664" s="29" t="str">
        <f>IFERROR(__xludf.DUMMYFUNCTION("""COMPUTED_VALUE"""),"4")</f>
        <v>4</v>
      </c>
      <c r="E1664" s="29">
        <f>IFERROR(__xludf.DUMMYFUNCTION("""COMPUTED_VALUE"""),4.0)</f>
        <v>4</v>
      </c>
    </row>
    <row r="1665">
      <c r="A1665" s="33">
        <f>IFERROR(__xludf.DUMMYFUNCTION("""COMPUTED_VALUE"""),45903.60210783565)</f>
        <v>45903.60211</v>
      </c>
      <c r="B1665" s="29" t="str">
        <f>IFERROR(__xludf.DUMMYFUNCTION("""COMPUTED_VALUE"""),"Intact (Never circumcised)")</f>
        <v>Intact (Never circumcised)</v>
      </c>
      <c r="C1665" s="29" t="str">
        <f>IFERROR(__xludf.DUMMYFUNCTION("""COMPUTED_VALUE"""),"Pleasure from Mobile Skin")</f>
        <v>Pleasure from Mobile Skin</v>
      </c>
      <c r="D1665" s="29" t="str">
        <f>IFERROR(__xludf.DUMMYFUNCTION("""COMPUTED_VALUE"""),"5 (High/Excellent)")</f>
        <v>5 (High/Excellent)</v>
      </c>
      <c r="E1665" s="29">
        <f>IFERROR(__xludf.DUMMYFUNCTION("""COMPUTED_VALUE"""),5.0)</f>
        <v>5</v>
      </c>
    </row>
    <row r="1666">
      <c r="A1666" s="33">
        <f>IFERROR(__xludf.DUMMYFUNCTION("""COMPUTED_VALUE"""),45903.61053475695)</f>
        <v>45903.61053</v>
      </c>
      <c r="B1666" s="29" t="str">
        <f>IFERROR(__xludf.DUMMYFUNCTION("""COMPUTED_VALUE"""),"Circumcised")</f>
        <v>Circumcised</v>
      </c>
      <c r="C1666" s="29" t="str">
        <f>IFERROR(__xludf.DUMMYFUNCTION("""COMPUTED_VALUE"""),"Pleasure from Mobile Skin")</f>
        <v>Pleasure from Mobile Skin</v>
      </c>
      <c r="D1666" s="29" t="str">
        <f>IFERROR(__xludf.DUMMYFUNCTION("""COMPUTED_VALUE"""),"2")</f>
        <v>2</v>
      </c>
      <c r="E1666" s="29">
        <f>IFERROR(__xludf.DUMMYFUNCTION("""COMPUTED_VALUE"""),2.0)</f>
        <v>2</v>
      </c>
    </row>
    <row r="1667">
      <c r="A1667" s="33">
        <f>IFERROR(__xludf.DUMMYFUNCTION("""COMPUTED_VALUE"""),45903.6418905324)</f>
        <v>45903.64189</v>
      </c>
      <c r="B1667" s="29" t="str">
        <f>IFERROR(__xludf.DUMMYFUNCTION("""COMPUTED_VALUE"""),"Circumcised")</f>
        <v>Circumcised</v>
      </c>
      <c r="C1667" s="29" t="str">
        <f>IFERROR(__xludf.DUMMYFUNCTION("""COMPUTED_VALUE"""),"Pleasure from Mobile Skin")</f>
        <v>Pleasure from Mobile Skin</v>
      </c>
      <c r="D1667" s="29" t="str">
        <f>IFERROR(__xludf.DUMMYFUNCTION("""COMPUTED_VALUE"""),"2")</f>
        <v>2</v>
      </c>
      <c r="E1667" s="29">
        <f>IFERROR(__xludf.DUMMYFUNCTION("""COMPUTED_VALUE"""),2.0)</f>
        <v>2</v>
      </c>
    </row>
    <row r="1668">
      <c r="A1668" s="33">
        <f>IFERROR(__xludf.DUMMYFUNCTION("""COMPUTED_VALUE"""),45903.651005266205)</f>
        <v>45903.65101</v>
      </c>
      <c r="B1668" s="29" t="str">
        <f>IFERROR(__xludf.DUMMYFUNCTION("""COMPUTED_VALUE"""),"Circumcised")</f>
        <v>Circumcised</v>
      </c>
      <c r="C1668" s="29" t="str">
        <f>IFERROR(__xludf.DUMMYFUNCTION("""COMPUTED_VALUE"""),"Pleasure from Mobile Skin")</f>
        <v>Pleasure from Mobile Skin</v>
      </c>
      <c r="D1668" s="29" t="str">
        <f>IFERROR(__xludf.DUMMYFUNCTION("""COMPUTED_VALUE"""),"2")</f>
        <v>2</v>
      </c>
      <c r="E1668" s="29">
        <f>IFERROR(__xludf.DUMMYFUNCTION("""COMPUTED_VALUE"""),2.0)</f>
        <v>2</v>
      </c>
    </row>
    <row r="1669">
      <c r="A1669" s="33">
        <f>IFERROR(__xludf.DUMMYFUNCTION("""COMPUTED_VALUE"""),45903.6764394213)</f>
        <v>45903.67644</v>
      </c>
      <c r="B1669" s="29" t="str">
        <f>IFERROR(__xludf.DUMMYFUNCTION("""COMPUTED_VALUE"""),"Circumcised")</f>
        <v>Circumcised</v>
      </c>
      <c r="C1669" s="29" t="str">
        <f>IFERROR(__xludf.DUMMYFUNCTION("""COMPUTED_VALUE"""),"Pleasure from Mobile Skin")</f>
        <v>Pleasure from Mobile Skin</v>
      </c>
      <c r="D1669" s="29" t="str">
        <f>IFERROR(__xludf.DUMMYFUNCTION("""COMPUTED_VALUE"""),"2")</f>
        <v>2</v>
      </c>
      <c r="E1669" s="29">
        <f>IFERROR(__xludf.DUMMYFUNCTION("""COMPUTED_VALUE"""),2.0)</f>
        <v>2</v>
      </c>
    </row>
    <row r="1670">
      <c r="A1670" s="33">
        <f>IFERROR(__xludf.DUMMYFUNCTION("""COMPUTED_VALUE"""),45903.70256416666)</f>
        <v>45903.70256</v>
      </c>
      <c r="B1670" s="29" t="str">
        <f>IFERROR(__xludf.DUMMYFUNCTION("""COMPUTED_VALUE"""),"Actively restoring my foreskin / I consider myself restored")</f>
        <v>Actively restoring my foreskin / I consider myself restored</v>
      </c>
      <c r="C1670" s="29" t="str">
        <f>IFERROR(__xludf.DUMMYFUNCTION("""COMPUTED_VALUE"""),"Pleasure from Mobile Skin")</f>
        <v>Pleasure from Mobile Skin</v>
      </c>
      <c r="D1670" s="29" t="str">
        <f>IFERROR(__xludf.DUMMYFUNCTION("""COMPUTED_VALUE"""),"5 (High/Excellent)")</f>
        <v>5 (High/Excellent)</v>
      </c>
      <c r="E1670" s="29">
        <f>IFERROR(__xludf.DUMMYFUNCTION("""COMPUTED_VALUE"""),5.0)</f>
        <v>5</v>
      </c>
    </row>
    <row r="1671">
      <c r="A1671" s="33">
        <f>IFERROR(__xludf.DUMMYFUNCTION("""COMPUTED_VALUE"""),45904.68773384259)</f>
        <v>45904.68773</v>
      </c>
      <c r="B1671" s="29" t="str">
        <f>IFERROR(__xludf.DUMMYFUNCTION("""COMPUTED_VALUE"""),"Circumcised")</f>
        <v>Circumcised</v>
      </c>
      <c r="C1671" s="29" t="str">
        <f>IFERROR(__xludf.DUMMYFUNCTION("""COMPUTED_VALUE"""),"Pleasure from Mobile Skin")</f>
        <v>Pleasure from Mobile Skin</v>
      </c>
      <c r="D1671" s="29" t="str">
        <f>IFERROR(__xludf.DUMMYFUNCTION("""COMPUTED_VALUE"""),"2")</f>
        <v>2</v>
      </c>
      <c r="E1671" s="29">
        <f>IFERROR(__xludf.DUMMYFUNCTION("""COMPUTED_VALUE"""),2.0)</f>
        <v>2</v>
      </c>
    </row>
    <row r="1672">
      <c r="A1672" s="33">
        <f>IFERROR(__xludf.DUMMYFUNCTION("""COMPUTED_VALUE"""),45908.39691986111)</f>
        <v>45908.39692</v>
      </c>
      <c r="B1672" s="29" t="str">
        <f>IFERROR(__xludf.DUMMYFUNCTION("""COMPUTED_VALUE"""),"Actively restoring my foreskin / I consider myself restored")</f>
        <v>Actively restoring my foreskin / I consider myself restored</v>
      </c>
      <c r="C1672" s="29" t="str">
        <f>IFERROR(__xludf.DUMMYFUNCTION("""COMPUTED_VALUE"""),"Pleasure from Mobile Skin")</f>
        <v>Pleasure from Mobile Skin</v>
      </c>
      <c r="D1672" s="29" t="str">
        <f>IFERROR(__xludf.DUMMYFUNCTION("""COMPUTED_VALUE"""),"4")</f>
        <v>4</v>
      </c>
      <c r="E1672" s="29">
        <f>IFERROR(__xludf.DUMMYFUNCTION("""COMPUTED_VALUE"""),4.0)</f>
        <v>4</v>
      </c>
    </row>
    <row r="1673">
      <c r="A1673" s="33">
        <f>IFERROR(__xludf.DUMMYFUNCTION("""COMPUTED_VALUE"""),45908.43864734953)</f>
        <v>45908.43865</v>
      </c>
      <c r="B1673" s="29" t="str">
        <f>IFERROR(__xludf.DUMMYFUNCTION("""COMPUTED_VALUE"""),"Intact (Never circumcised)")</f>
        <v>Intact (Never circumcised)</v>
      </c>
      <c r="C1673" s="29" t="str">
        <f>IFERROR(__xludf.DUMMYFUNCTION("""COMPUTED_VALUE"""),"Pleasure from Mobile Skin")</f>
        <v>Pleasure from Mobile Skin</v>
      </c>
      <c r="D1673" s="29" t="str">
        <f>IFERROR(__xludf.DUMMYFUNCTION("""COMPUTED_VALUE"""),"4")</f>
        <v>4</v>
      </c>
      <c r="E1673" s="29">
        <f>IFERROR(__xludf.DUMMYFUNCTION("""COMPUTED_VALUE"""),4.0)</f>
        <v>4</v>
      </c>
    </row>
    <row r="1674">
      <c r="A1674" s="33">
        <f>IFERROR(__xludf.DUMMYFUNCTION("""COMPUTED_VALUE"""),45909.61754627315)</f>
        <v>45909.61755</v>
      </c>
      <c r="B1674" s="29" t="str">
        <f>IFERROR(__xludf.DUMMYFUNCTION("""COMPUTED_VALUE"""),"Intact (Never circumcised)")</f>
        <v>Intact (Never circumcised)</v>
      </c>
      <c r="C1674" s="29" t="str">
        <f>IFERROR(__xludf.DUMMYFUNCTION("""COMPUTED_VALUE"""),"Pleasure from Mobile Skin")</f>
        <v>Pleasure from Mobile Skin</v>
      </c>
      <c r="D1674" s="29" t="str">
        <f>IFERROR(__xludf.DUMMYFUNCTION("""COMPUTED_VALUE"""),"4")</f>
        <v>4</v>
      </c>
      <c r="E1674" s="29">
        <f>IFERROR(__xludf.DUMMYFUNCTION("""COMPUTED_VALUE"""),4.0)</f>
        <v>4</v>
      </c>
    </row>
    <row r="1675">
      <c r="A1675" s="33">
        <f>IFERROR(__xludf.DUMMYFUNCTION("""COMPUTED_VALUE"""),45909.787554953706)</f>
        <v>45909.78755</v>
      </c>
      <c r="B1675" s="29" t="str">
        <f>IFERROR(__xludf.DUMMYFUNCTION("""COMPUTED_VALUE"""),"Actively restoring my foreskin / I consider myself restored")</f>
        <v>Actively restoring my foreskin / I consider myself restored</v>
      </c>
      <c r="C1675" s="29" t="str">
        <f>IFERROR(__xludf.DUMMYFUNCTION("""COMPUTED_VALUE"""),"Pleasure from Mobile Skin")</f>
        <v>Pleasure from Mobile Skin</v>
      </c>
      <c r="D1675" s="29" t="str">
        <f>IFERROR(__xludf.DUMMYFUNCTION("""COMPUTED_VALUE"""),"1 (Low/Poor)")</f>
        <v>1 (Low/Poor)</v>
      </c>
      <c r="E1675" s="29">
        <f>IFERROR(__xludf.DUMMYFUNCTION("""COMPUTED_VALUE"""),1.0)</f>
        <v>1</v>
      </c>
    </row>
    <row r="1676">
      <c r="A1676" s="33">
        <f>IFERROR(__xludf.DUMMYFUNCTION("""COMPUTED_VALUE"""),45915.3204787963)</f>
        <v>45915.32048</v>
      </c>
      <c r="B1676" s="29" t="str">
        <f>IFERROR(__xludf.DUMMYFUNCTION("""COMPUTED_VALUE"""),"Actively restoring my foreskin / I consider myself restored")</f>
        <v>Actively restoring my foreskin / I consider myself restored</v>
      </c>
      <c r="C1676" s="29" t="str">
        <f>IFERROR(__xludf.DUMMYFUNCTION("""COMPUTED_VALUE"""),"Pleasure from Mobile Skin")</f>
        <v>Pleasure from Mobile Skin</v>
      </c>
      <c r="D1676" s="29" t="str">
        <f>IFERROR(__xludf.DUMMYFUNCTION("""COMPUTED_VALUE"""),"1 (Low/Poor)")</f>
        <v>1 (Low/Poor)</v>
      </c>
      <c r="E1676" s="29">
        <f>IFERROR(__xludf.DUMMYFUNCTION("""COMPUTED_VALUE"""),1.0)</f>
        <v>1</v>
      </c>
    </row>
    <row r="1677">
      <c r="A1677" s="33">
        <f>IFERROR(__xludf.DUMMYFUNCTION("""COMPUTED_VALUE"""),45917.67038480324)</f>
        <v>45917.67038</v>
      </c>
      <c r="B1677" s="29" t="str">
        <f>IFERROR(__xludf.DUMMYFUNCTION("""COMPUTED_VALUE"""),"Actively restoring my foreskin / I consider myself restored")</f>
        <v>Actively restoring my foreskin / I consider myself restored</v>
      </c>
      <c r="C1677" s="29" t="str">
        <f>IFERROR(__xludf.DUMMYFUNCTION("""COMPUTED_VALUE"""),"Pleasure from Mobile Skin")</f>
        <v>Pleasure from Mobile Skin</v>
      </c>
      <c r="D1677" s="29" t="str">
        <f>IFERROR(__xludf.DUMMYFUNCTION("""COMPUTED_VALUE"""),"1 (Low/Poor)")</f>
        <v>1 (Low/Poor)</v>
      </c>
      <c r="E1677" s="29">
        <f>IFERROR(__xludf.DUMMYFUNCTION("""COMPUTED_VALUE"""),1.0)</f>
        <v>1</v>
      </c>
    </row>
    <row r="1678">
      <c r="A1678" s="33">
        <f>IFERROR(__xludf.DUMMYFUNCTION("""COMPUTED_VALUE"""),45917.73239077546)</f>
        <v>45917.73239</v>
      </c>
      <c r="B1678" s="29" t="str">
        <f>IFERROR(__xludf.DUMMYFUNCTION("""COMPUTED_VALUE"""),"Circumcised")</f>
        <v>Circumcised</v>
      </c>
      <c r="C1678" s="29" t="str">
        <f>IFERROR(__xludf.DUMMYFUNCTION("""COMPUTED_VALUE"""),"Pleasure from Mobile Skin")</f>
        <v>Pleasure from Mobile Skin</v>
      </c>
      <c r="D1678" s="29" t="str">
        <f>IFERROR(__xludf.DUMMYFUNCTION("""COMPUTED_VALUE"""),"2")</f>
        <v>2</v>
      </c>
      <c r="E1678" s="29">
        <f>IFERROR(__xludf.DUMMYFUNCTION("""COMPUTED_VALUE"""),2.0)</f>
        <v>2</v>
      </c>
    </row>
    <row r="1679">
      <c r="A1679" s="33">
        <f>IFERROR(__xludf.DUMMYFUNCTION("""COMPUTED_VALUE"""),45918.237352870376)</f>
        <v>45918.23735</v>
      </c>
      <c r="B1679" s="29" t="str">
        <f>IFERROR(__xludf.DUMMYFUNCTION("""COMPUTED_VALUE"""),"Circumcised")</f>
        <v>Circumcised</v>
      </c>
      <c r="C1679" s="29" t="str">
        <f>IFERROR(__xludf.DUMMYFUNCTION("""COMPUTED_VALUE"""),"Pleasure from Mobile Skin")</f>
        <v>Pleasure from Mobile Skin</v>
      </c>
      <c r="D1679" s="29" t="str">
        <f>IFERROR(__xludf.DUMMYFUNCTION("""COMPUTED_VALUE"""),"3 (Medium/Average)")</f>
        <v>3 (Medium/Average)</v>
      </c>
      <c r="E1679" s="29">
        <f>IFERROR(__xludf.DUMMYFUNCTION("""COMPUTED_VALUE"""),3.0)</f>
        <v>3</v>
      </c>
    </row>
    <row r="1680">
      <c r="A1680" s="33">
        <f>IFERROR(__xludf.DUMMYFUNCTION("""COMPUTED_VALUE"""),45920.67861195602)</f>
        <v>45920.67861</v>
      </c>
      <c r="B1680" s="29" t="str">
        <f>IFERROR(__xludf.DUMMYFUNCTION("""COMPUTED_VALUE"""),"Intact (Never circumcised)")</f>
        <v>Intact (Never circumcised)</v>
      </c>
      <c r="C1680" s="29" t="str">
        <f>IFERROR(__xludf.DUMMYFUNCTION("""COMPUTED_VALUE"""),"Pleasure from Mobile Skin")</f>
        <v>Pleasure from Mobile Skin</v>
      </c>
      <c r="D1680" s="29" t="str">
        <f>IFERROR(__xludf.DUMMYFUNCTION("""COMPUTED_VALUE"""),"1 (Low/Poor)")</f>
        <v>1 (Low/Poor)</v>
      </c>
      <c r="E1680" s="29">
        <f>IFERROR(__xludf.DUMMYFUNCTION("""COMPUTED_VALUE"""),1.0)</f>
        <v>1</v>
      </c>
    </row>
    <row r="1681">
      <c r="A1681" s="33">
        <f>IFERROR(__xludf.DUMMYFUNCTION("""COMPUTED_VALUE"""),45921.55637546296)</f>
        <v>45921.55638</v>
      </c>
      <c r="B1681" s="29" t="str">
        <f>IFERROR(__xludf.DUMMYFUNCTION("""COMPUTED_VALUE"""),"Circumcised")</f>
        <v>Circumcised</v>
      </c>
      <c r="C1681" s="29" t="str">
        <f>IFERROR(__xludf.DUMMYFUNCTION("""COMPUTED_VALUE"""),"Pleasure from Mobile Skin")</f>
        <v>Pleasure from Mobile Skin</v>
      </c>
      <c r="D1681" s="29" t="str">
        <f>IFERROR(__xludf.DUMMYFUNCTION("""COMPUTED_VALUE"""),"1 (Low/Poor)")</f>
        <v>1 (Low/Poor)</v>
      </c>
      <c r="E1681" s="29">
        <f>IFERROR(__xludf.DUMMYFUNCTION("""COMPUTED_VALUE"""),1.0)</f>
        <v>1</v>
      </c>
    </row>
    <row r="1682">
      <c r="A1682" s="33">
        <f>IFERROR(__xludf.DUMMYFUNCTION("""COMPUTED_VALUE"""),45921.55864135417)</f>
        <v>45921.55864</v>
      </c>
      <c r="B1682" s="29" t="str">
        <f>IFERROR(__xludf.DUMMYFUNCTION("""COMPUTED_VALUE"""),"Intact (Never circumcised)")</f>
        <v>Intact (Never circumcised)</v>
      </c>
      <c r="C1682" s="29" t="str">
        <f>IFERROR(__xludf.DUMMYFUNCTION("""COMPUTED_VALUE"""),"Pleasure from Mobile Skin")</f>
        <v>Pleasure from Mobile Skin</v>
      </c>
      <c r="D1682" s="29" t="str">
        <f>IFERROR(__xludf.DUMMYFUNCTION("""COMPUTED_VALUE"""),"4")</f>
        <v>4</v>
      </c>
      <c r="E1682" s="29">
        <f>IFERROR(__xludf.DUMMYFUNCTION("""COMPUTED_VALUE"""),4.0)</f>
        <v>4</v>
      </c>
    </row>
    <row r="1683">
      <c r="A1683" s="33">
        <f>IFERROR(__xludf.DUMMYFUNCTION("""COMPUTED_VALUE"""),45921.571817627315)</f>
        <v>45921.57182</v>
      </c>
      <c r="B1683" s="29" t="str">
        <f>IFERROR(__xludf.DUMMYFUNCTION("""COMPUTED_VALUE"""),"Actively restoring my foreskin / I consider myself restored")</f>
        <v>Actively restoring my foreskin / I consider myself restored</v>
      </c>
      <c r="C1683" s="29" t="str">
        <f>IFERROR(__xludf.DUMMYFUNCTION("""COMPUTED_VALUE"""),"Pleasure from Mobile Skin")</f>
        <v>Pleasure from Mobile Skin</v>
      </c>
      <c r="D1683" s="29" t="str">
        <f>IFERROR(__xludf.DUMMYFUNCTION("""COMPUTED_VALUE"""),"2")</f>
        <v>2</v>
      </c>
      <c r="E1683" s="29">
        <f>IFERROR(__xludf.DUMMYFUNCTION("""COMPUTED_VALUE"""),2.0)</f>
        <v>2</v>
      </c>
    </row>
    <row r="1684">
      <c r="A1684" s="33">
        <f>IFERROR(__xludf.DUMMYFUNCTION("""COMPUTED_VALUE"""),45922.126089375)</f>
        <v>45922.12609</v>
      </c>
      <c r="B1684" s="29" t="str">
        <f>IFERROR(__xludf.DUMMYFUNCTION("""COMPUTED_VALUE"""),"Circumcised")</f>
        <v>Circumcised</v>
      </c>
      <c r="C1684" s="29" t="str">
        <f>IFERROR(__xludf.DUMMYFUNCTION("""COMPUTED_VALUE"""),"Pleasure from Mobile Skin")</f>
        <v>Pleasure from Mobile Skin</v>
      </c>
      <c r="D1684" s="29" t="str">
        <f>IFERROR(__xludf.DUMMYFUNCTION("""COMPUTED_VALUE"""),"5 (High/Excellent)")</f>
        <v>5 (High/Excellent)</v>
      </c>
      <c r="E1684" s="29">
        <f>IFERROR(__xludf.DUMMYFUNCTION("""COMPUTED_VALUE"""),5.0)</f>
        <v>5</v>
      </c>
    </row>
    <row r="1685">
      <c r="A1685" s="33">
        <f>IFERROR(__xludf.DUMMYFUNCTION("""COMPUTED_VALUE"""),45922.53526744213)</f>
        <v>45922.53527</v>
      </c>
      <c r="B1685" s="29" t="str">
        <f>IFERROR(__xludf.DUMMYFUNCTION("""COMPUTED_VALUE"""),"Circumcised")</f>
        <v>Circumcised</v>
      </c>
      <c r="C1685" s="29" t="str">
        <f>IFERROR(__xludf.DUMMYFUNCTION("""COMPUTED_VALUE"""),"Pleasure from Mobile Skin")</f>
        <v>Pleasure from Mobile Skin</v>
      </c>
      <c r="D1685" s="29" t="str">
        <f>IFERROR(__xludf.DUMMYFUNCTION("""COMPUTED_VALUE"""),"1 (Low/Poor)")</f>
        <v>1 (Low/Poor)</v>
      </c>
      <c r="E1685" s="29">
        <f>IFERROR(__xludf.DUMMYFUNCTION("""COMPUTED_VALUE"""),1.0)</f>
        <v>1</v>
      </c>
    </row>
    <row r="1686">
      <c r="A1686" s="33">
        <f>IFERROR(__xludf.DUMMYFUNCTION("""COMPUTED_VALUE"""),45922.540856585656)</f>
        <v>45922.54086</v>
      </c>
      <c r="B1686" s="29" t="str">
        <f>IFERROR(__xludf.DUMMYFUNCTION("""COMPUTED_VALUE"""),"Actively restoring my foreskin / I consider myself restored")</f>
        <v>Actively restoring my foreskin / I consider myself restored</v>
      </c>
      <c r="C1686" s="29" t="str">
        <f>IFERROR(__xludf.DUMMYFUNCTION("""COMPUTED_VALUE"""),"Pleasure from Mobile Skin")</f>
        <v>Pleasure from Mobile Skin</v>
      </c>
      <c r="D1686" s="29" t="str">
        <f>IFERROR(__xludf.DUMMYFUNCTION("""COMPUTED_VALUE"""),"1 (Low/Poor)")</f>
        <v>1 (Low/Poor)</v>
      </c>
      <c r="E1686" s="29">
        <f>IFERROR(__xludf.DUMMYFUNCTION("""COMPUTED_VALUE"""),1.0)</f>
        <v>1</v>
      </c>
    </row>
    <row r="1687">
      <c r="A1687" s="33">
        <f>IFERROR(__xludf.DUMMYFUNCTION("""COMPUTED_VALUE"""),45922.60076869212)</f>
        <v>45922.60077</v>
      </c>
      <c r="B1687" s="29" t="str">
        <f>IFERROR(__xludf.DUMMYFUNCTION("""COMPUTED_VALUE"""),"Intact (Never circumcised)")</f>
        <v>Intact (Never circumcised)</v>
      </c>
      <c r="C1687" s="29" t="str">
        <f>IFERROR(__xludf.DUMMYFUNCTION("""COMPUTED_VALUE"""),"Pleasure from Mobile Skin")</f>
        <v>Pleasure from Mobile Skin</v>
      </c>
      <c r="D1687" s="29" t="str">
        <f>IFERROR(__xludf.DUMMYFUNCTION("""COMPUTED_VALUE"""),"5 (High/Excellent)")</f>
        <v>5 (High/Excellent)</v>
      </c>
      <c r="E1687" s="29">
        <f>IFERROR(__xludf.DUMMYFUNCTION("""COMPUTED_VALUE"""),5.0)</f>
        <v>5</v>
      </c>
    </row>
    <row r="1688">
      <c r="A1688" s="33">
        <f>IFERROR(__xludf.DUMMYFUNCTION("""COMPUTED_VALUE"""),45922.61636423611)</f>
        <v>45922.61636</v>
      </c>
      <c r="B1688" s="29" t="str">
        <f>IFERROR(__xludf.DUMMYFUNCTION("""COMPUTED_VALUE"""),"Circumcised")</f>
        <v>Circumcised</v>
      </c>
      <c r="C1688" s="29" t="str">
        <f>IFERROR(__xludf.DUMMYFUNCTION("""COMPUTED_VALUE"""),"Pleasure from Mobile Skin")</f>
        <v>Pleasure from Mobile Skin</v>
      </c>
      <c r="D1688" s="29" t="str">
        <f>IFERROR(__xludf.DUMMYFUNCTION("""COMPUTED_VALUE"""),"3 (Medium/Average)")</f>
        <v>3 (Medium/Average)</v>
      </c>
      <c r="E1688" s="29">
        <f>IFERROR(__xludf.DUMMYFUNCTION("""COMPUTED_VALUE"""),3.0)</f>
        <v>3</v>
      </c>
    </row>
    <row r="1689">
      <c r="A1689" s="33">
        <f>IFERROR(__xludf.DUMMYFUNCTION("""COMPUTED_VALUE"""),45923.83860096065)</f>
        <v>45923.8386</v>
      </c>
      <c r="B1689" s="29" t="str">
        <f>IFERROR(__xludf.DUMMYFUNCTION("""COMPUTED_VALUE"""),"Intact (Never circumcised)")</f>
        <v>Intact (Never circumcised)</v>
      </c>
      <c r="C1689" s="29" t="str">
        <f>IFERROR(__xludf.DUMMYFUNCTION("""COMPUTED_VALUE"""),"Pleasure from Mobile Skin")</f>
        <v>Pleasure from Mobile Skin</v>
      </c>
      <c r="D1689" s="29" t="str">
        <f>IFERROR(__xludf.DUMMYFUNCTION("""COMPUTED_VALUE"""),"5 (High/Excellent)")</f>
        <v>5 (High/Excellent)</v>
      </c>
      <c r="E1689" s="29">
        <f>IFERROR(__xludf.DUMMYFUNCTION("""COMPUTED_VALUE"""),5.0)</f>
        <v>5</v>
      </c>
    </row>
    <row r="1690">
      <c r="A1690" s="33">
        <f>IFERROR(__xludf.DUMMYFUNCTION("""COMPUTED_VALUE"""),45924.36109353009)</f>
        <v>45924.36109</v>
      </c>
      <c r="B1690" s="29" t="str">
        <f>IFERROR(__xludf.DUMMYFUNCTION("""COMPUTED_VALUE"""),"Circumcised")</f>
        <v>Circumcised</v>
      </c>
      <c r="C1690" s="29" t="str">
        <f>IFERROR(__xludf.DUMMYFUNCTION("""COMPUTED_VALUE"""),"Pleasure from Mobile Skin")</f>
        <v>Pleasure from Mobile Skin</v>
      </c>
      <c r="D1690" s="29" t="str">
        <f>IFERROR(__xludf.DUMMYFUNCTION("""COMPUTED_VALUE"""),"1 (Low/Poor)")</f>
        <v>1 (Low/Poor)</v>
      </c>
      <c r="E1690" s="29">
        <f>IFERROR(__xludf.DUMMYFUNCTION("""COMPUTED_VALUE"""),1.0)</f>
        <v>1</v>
      </c>
    </row>
    <row r="1691">
      <c r="A1691" s="33">
        <f>IFERROR(__xludf.DUMMYFUNCTION("""COMPUTED_VALUE"""),45924.62656627315)</f>
        <v>45924.62657</v>
      </c>
      <c r="B1691" s="29" t="str">
        <f>IFERROR(__xludf.DUMMYFUNCTION("""COMPUTED_VALUE"""),"Actively restoring my foreskin / I consider myself restored")</f>
        <v>Actively restoring my foreskin / I consider myself restored</v>
      </c>
      <c r="C1691" s="29" t="str">
        <f>IFERROR(__xludf.DUMMYFUNCTION("""COMPUTED_VALUE"""),"Pleasure from Mobile Skin")</f>
        <v>Pleasure from Mobile Skin</v>
      </c>
      <c r="D1691" s="29" t="str">
        <f>IFERROR(__xludf.DUMMYFUNCTION("""COMPUTED_VALUE"""),"3 (Medium/Average)")</f>
        <v>3 (Medium/Average)</v>
      </c>
      <c r="E1691" s="29">
        <f>IFERROR(__xludf.DUMMYFUNCTION("""COMPUTED_VALUE"""),3.0)</f>
        <v>3</v>
      </c>
    </row>
    <row r="1692">
      <c r="A1692" s="33">
        <f>IFERROR(__xludf.DUMMYFUNCTION("""COMPUTED_VALUE"""),45926.096344583326)</f>
        <v>45926.09634</v>
      </c>
      <c r="B1692" s="29" t="str">
        <f>IFERROR(__xludf.DUMMYFUNCTION("""COMPUTED_VALUE"""),"Circumcised")</f>
        <v>Circumcised</v>
      </c>
      <c r="C1692" s="29" t="str">
        <f>IFERROR(__xludf.DUMMYFUNCTION("""COMPUTED_VALUE"""),"Pleasure from Mobile Skin")</f>
        <v>Pleasure from Mobile Skin</v>
      </c>
      <c r="D1692" s="29" t="str">
        <f>IFERROR(__xludf.DUMMYFUNCTION("""COMPUTED_VALUE"""),"1 (Low/Poor)")</f>
        <v>1 (Low/Poor)</v>
      </c>
      <c r="E1692" s="29">
        <f>IFERROR(__xludf.DUMMYFUNCTION("""COMPUTED_VALUE"""),1.0)</f>
        <v>1</v>
      </c>
    </row>
    <row r="1693">
      <c r="A1693" s="33">
        <f>IFERROR(__xludf.DUMMYFUNCTION("""COMPUTED_VALUE"""),45926.12340616898)</f>
        <v>45926.12341</v>
      </c>
      <c r="B1693" s="29" t="str">
        <f>IFERROR(__xludf.DUMMYFUNCTION("""COMPUTED_VALUE"""),"Circumcised")</f>
        <v>Circumcised</v>
      </c>
      <c r="C1693" s="29" t="str">
        <f>IFERROR(__xludf.DUMMYFUNCTION("""COMPUTED_VALUE"""),"Pleasure from Mobile Skin")</f>
        <v>Pleasure from Mobile Skin</v>
      </c>
      <c r="D1693" s="29" t="str">
        <f>IFERROR(__xludf.DUMMYFUNCTION("""COMPUTED_VALUE"""),"4")</f>
        <v>4</v>
      </c>
      <c r="E1693" s="29">
        <f>IFERROR(__xludf.DUMMYFUNCTION("""COMPUTED_VALUE"""),4.0)</f>
        <v>4</v>
      </c>
    </row>
    <row r="1694">
      <c r="A1694" s="33">
        <f>IFERROR(__xludf.DUMMYFUNCTION("""COMPUTED_VALUE"""),45927.602613229166)</f>
        <v>45927.60261</v>
      </c>
      <c r="B1694" s="29" t="str">
        <f>IFERROR(__xludf.DUMMYFUNCTION("""COMPUTED_VALUE"""),"Circumcised")</f>
        <v>Circumcised</v>
      </c>
      <c r="C1694" s="29" t="str">
        <f>IFERROR(__xludf.DUMMYFUNCTION("""COMPUTED_VALUE"""),"Pleasure from Mobile Skin")</f>
        <v>Pleasure from Mobile Skin</v>
      </c>
      <c r="D1694" s="29" t="str">
        <f>IFERROR(__xludf.DUMMYFUNCTION("""COMPUTED_VALUE"""),"1 (Low/Poor)")</f>
        <v>1 (Low/Poor)</v>
      </c>
      <c r="E1694" s="29">
        <f>IFERROR(__xludf.DUMMYFUNCTION("""COMPUTED_VALUE"""),1.0)</f>
        <v>1</v>
      </c>
    </row>
    <row r="1695">
      <c r="A1695" s="33">
        <f>IFERROR(__xludf.DUMMYFUNCTION("""COMPUTED_VALUE"""),45929.419320416666)</f>
        <v>45929.41932</v>
      </c>
      <c r="B1695" s="29" t="str">
        <f>IFERROR(__xludf.DUMMYFUNCTION("""COMPUTED_VALUE"""),"Circumcised")</f>
        <v>Circumcised</v>
      </c>
      <c r="C1695" s="29" t="str">
        <f>IFERROR(__xludf.DUMMYFUNCTION("""COMPUTED_VALUE"""),"Pleasure from Mobile Skin")</f>
        <v>Pleasure from Mobile Skin</v>
      </c>
      <c r="D1695" s="29" t="str">
        <f>IFERROR(__xludf.DUMMYFUNCTION("""COMPUTED_VALUE"""),"1 (Low/Poor)")</f>
        <v>1 (Low/Poor)</v>
      </c>
      <c r="E1695" s="29">
        <f>IFERROR(__xludf.DUMMYFUNCTION("""COMPUTED_VALUE"""),1.0)</f>
        <v>1</v>
      </c>
    </row>
    <row r="1696">
      <c r="A1696" s="33">
        <f>IFERROR(__xludf.DUMMYFUNCTION("""COMPUTED_VALUE"""),45929.53502336806)</f>
        <v>45929.53502</v>
      </c>
      <c r="B1696" s="29" t="str">
        <f>IFERROR(__xludf.DUMMYFUNCTION("""COMPUTED_VALUE"""),"Intact (Never circumcised)")</f>
        <v>Intact (Never circumcised)</v>
      </c>
      <c r="C1696" s="29" t="str">
        <f>IFERROR(__xludf.DUMMYFUNCTION("""COMPUTED_VALUE"""),"Pleasure from Mobile Skin")</f>
        <v>Pleasure from Mobile Skin</v>
      </c>
      <c r="D1696" s="29" t="str">
        <f>IFERROR(__xludf.DUMMYFUNCTION("""COMPUTED_VALUE"""),"5 (High/Excellent)")</f>
        <v>5 (High/Excellent)</v>
      </c>
      <c r="E1696" s="29">
        <f>IFERROR(__xludf.DUMMYFUNCTION("""COMPUTED_VALUE"""),5.0)</f>
        <v>5</v>
      </c>
    </row>
    <row r="1697">
      <c r="A1697" s="33">
        <f>IFERROR(__xludf.DUMMYFUNCTION("""COMPUTED_VALUE"""),45929.659956793985)</f>
        <v>45929.65996</v>
      </c>
      <c r="B1697" s="29" t="str">
        <f>IFERROR(__xludf.DUMMYFUNCTION("""COMPUTED_VALUE"""),"Circumcised")</f>
        <v>Circumcised</v>
      </c>
      <c r="C1697" s="29" t="str">
        <f>IFERROR(__xludf.DUMMYFUNCTION("""COMPUTED_VALUE"""),"Pleasure from Mobile Skin")</f>
        <v>Pleasure from Mobile Skin</v>
      </c>
      <c r="D1697" s="29" t="str">
        <f>IFERROR(__xludf.DUMMYFUNCTION("""COMPUTED_VALUE"""),"2")</f>
        <v>2</v>
      </c>
      <c r="E1697" s="29">
        <f>IFERROR(__xludf.DUMMYFUNCTION("""COMPUTED_VALUE"""),2.0)</f>
        <v>2</v>
      </c>
    </row>
    <row r="1698">
      <c r="A1698" s="33">
        <f>IFERROR(__xludf.DUMMYFUNCTION("""COMPUTED_VALUE"""),45929.82908622685)</f>
        <v>45929.82909</v>
      </c>
      <c r="B1698" s="29" t="str">
        <f>IFERROR(__xludf.DUMMYFUNCTION("""COMPUTED_VALUE"""),"Circumcised")</f>
        <v>Circumcised</v>
      </c>
      <c r="C1698" s="29" t="str">
        <f>IFERROR(__xludf.DUMMYFUNCTION("""COMPUTED_VALUE"""),"Pleasure from Mobile Skin")</f>
        <v>Pleasure from Mobile Skin</v>
      </c>
      <c r="D1698" s="29" t="str">
        <f>IFERROR(__xludf.DUMMYFUNCTION("""COMPUTED_VALUE"""),"1 (Low/Poor)")</f>
        <v>1 (Low/Poor)</v>
      </c>
      <c r="E1698" s="29">
        <f>IFERROR(__xludf.DUMMYFUNCTION("""COMPUTED_VALUE"""),1.0)</f>
        <v>1</v>
      </c>
    </row>
    <row r="1699">
      <c r="A1699" s="33">
        <f>IFERROR(__xludf.DUMMYFUNCTION("""COMPUTED_VALUE"""),45931.49685126157)</f>
        <v>45931.49685</v>
      </c>
      <c r="B1699" s="29" t="str">
        <f>IFERROR(__xludf.DUMMYFUNCTION("""COMPUTED_VALUE"""),"Circumcised")</f>
        <v>Circumcised</v>
      </c>
      <c r="C1699" s="29" t="str">
        <f>IFERROR(__xludf.DUMMYFUNCTION("""COMPUTED_VALUE"""),"Pleasure from Mobile Skin")</f>
        <v>Pleasure from Mobile Skin</v>
      </c>
      <c r="D1699" s="29" t="str">
        <f>IFERROR(__xludf.DUMMYFUNCTION("""COMPUTED_VALUE"""),"1 (Low/Poor)")</f>
        <v>1 (Low/Poor)</v>
      </c>
      <c r="E1699" s="29">
        <f>IFERROR(__xludf.DUMMYFUNCTION("""COMPUTED_VALUE"""),1.0)</f>
        <v>1</v>
      </c>
    </row>
    <row r="1700">
      <c r="A1700" s="33">
        <f>IFERROR(__xludf.DUMMYFUNCTION("""COMPUTED_VALUE"""),45933.70498268518)</f>
        <v>45933.70498</v>
      </c>
      <c r="B1700" s="29" t="str">
        <f>IFERROR(__xludf.DUMMYFUNCTION("""COMPUTED_VALUE"""),"Circumcised")</f>
        <v>Circumcised</v>
      </c>
      <c r="C1700" s="29" t="str">
        <f>IFERROR(__xludf.DUMMYFUNCTION("""COMPUTED_VALUE"""),"Pleasure from Mobile Skin")</f>
        <v>Pleasure from Mobile Skin</v>
      </c>
      <c r="D1700" s="29" t="str">
        <f>IFERROR(__xludf.DUMMYFUNCTION("""COMPUTED_VALUE"""),"2")</f>
        <v>2</v>
      </c>
      <c r="E1700" s="29">
        <f>IFERROR(__xludf.DUMMYFUNCTION("""COMPUTED_VALUE"""),2.0)</f>
        <v>2</v>
      </c>
    </row>
    <row r="1701">
      <c r="A1701" s="33">
        <f>IFERROR(__xludf.DUMMYFUNCTION("""COMPUTED_VALUE"""),45937.01626369212)</f>
        <v>45937.01626</v>
      </c>
      <c r="B1701" s="29" t="str">
        <f>IFERROR(__xludf.DUMMYFUNCTION("""COMPUTED_VALUE"""),"Actively restoring my foreskin / I consider myself restored")</f>
        <v>Actively restoring my foreskin / I consider myself restored</v>
      </c>
      <c r="C1701" s="29" t="str">
        <f>IFERROR(__xludf.DUMMYFUNCTION("""COMPUTED_VALUE"""),"Pleasure from Mobile Skin")</f>
        <v>Pleasure from Mobile Skin</v>
      </c>
      <c r="D1701" s="29" t="str">
        <f>IFERROR(__xludf.DUMMYFUNCTION("""COMPUTED_VALUE"""),"1 (Low/Poor)")</f>
        <v>1 (Low/Poor)</v>
      </c>
      <c r="E1701" s="29">
        <f>IFERROR(__xludf.DUMMYFUNCTION("""COMPUTED_VALUE"""),1.0)</f>
        <v>1</v>
      </c>
    </row>
    <row r="1702">
      <c r="A1702" s="33">
        <f>IFERROR(__xludf.DUMMYFUNCTION("""COMPUTED_VALUE"""),45937.46064668982)</f>
        <v>45937.46065</v>
      </c>
      <c r="B1702" s="29" t="str">
        <f>IFERROR(__xludf.DUMMYFUNCTION("""COMPUTED_VALUE"""),"Circumcised")</f>
        <v>Circumcised</v>
      </c>
      <c r="C1702" s="29" t="str">
        <f>IFERROR(__xludf.DUMMYFUNCTION("""COMPUTED_VALUE"""),"Pleasure from Mobile Skin")</f>
        <v>Pleasure from Mobile Skin</v>
      </c>
      <c r="D1702" s="29" t="str">
        <f>IFERROR(__xludf.DUMMYFUNCTION("""COMPUTED_VALUE"""),"1 (Low/Poor)")</f>
        <v>1 (Low/Poor)</v>
      </c>
      <c r="E1702" s="29">
        <f>IFERROR(__xludf.DUMMYFUNCTION("""COMPUTED_VALUE"""),1.0)</f>
        <v>1</v>
      </c>
    </row>
    <row r="1703">
      <c r="A1703" s="33">
        <f>IFERROR(__xludf.DUMMYFUNCTION("""COMPUTED_VALUE"""),45938.78715348379)</f>
        <v>45938.78715</v>
      </c>
      <c r="B1703" s="29" t="str">
        <f>IFERROR(__xludf.DUMMYFUNCTION("""COMPUTED_VALUE"""),"Circumcised")</f>
        <v>Circumcised</v>
      </c>
      <c r="C1703" s="29" t="str">
        <f>IFERROR(__xludf.DUMMYFUNCTION("""COMPUTED_VALUE"""),"Pleasure from Mobile Skin")</f>
        <v>Pleasure from Mobile Skin</v>
      </c>
      <c r="D1703" s="29" t="str">
        <f>IFERROR(__xludf.DUMMYFUNCTION("""COMPUTED_VALUE"""),"1 (Low/Poor)")</f>
        <v>1 (Low/Poor)</v>
      </c>
      <c r="E1703" s="29">
        <f>IFERROR(__xludf.DUMMYFUNCTION("""COMPUTED_VALUE"""),1.0)</f>
        <v>1</v>
      </c>
    </row>
    <row r="1704">
      <c r="A1704" s="33">
        <f>IFERROR(__xludf.DUMMYFUNCTION("""COMPUTED_VALUE"""),45939.365505891205)</f>
        <v>45939.36551</v>
      </c>
      <c r="B1704" s="29" t="str">
        <f>IFERROR(__xludf.DUMMYFUNCTION("""COMPUTED_VALUE"""),"Circumcised")</f>
        <v>Circumcised</v>
      </c>
      <c r="C1704" s="29" t="str">
        <f>IFERROR(__xludf.DUMMYFUNCTION("""COMPUTED_VALUE"""),"Pleasure from Mobile Skin")</f>
        <v>Pleasure from Mobile Skin</v>
      </c>
      <c r="D1704" s="29" t="str">
        <f>IFERROR(__xludf.DUMMYFUNCTION("""COMPUTED_VALUE"""),"4")</f>
        <v>4</v>
      </c>
      <c r="E1704" s="29">
        <f>IFERROR(__xludf.DUMMYFUNCTION("""COMPUTED_VALUE"""),4.0)</f>
        <v>4</v>
      </c>
    </row>
    <row r="1705">
      <c r="A1705" s="33">
        <f>IFERROR(__xludf.DUMMYFUNCTION("""COMPUTED_VALUE"""),45939.62882127315)</f>
        <v>45939.62882</v>
      </c>
      <c r="B1705" s="29" t="str">
        <f>IFERROR(__xludf.DUMMYFUNCTION("""COMPUTED_VALUE"""),"Circumcised")</f>
        <v>Circumcised</v>
      </c>
      <c r="C1705" s="29" t="str">
        <f>IFERROR(__xludf.DUMMYFUNCTION("""COMPUTED_VALUE"""),"Pleasure from Mobile Skin")</f>
        <v>Pleasure from Mobile Skin</v>
      </c>
      <c r="D1705" s="29" t="str">
        <f>IFERROR(__xludf.DUMMYFUNCTION("""COMPUTED_VALUE"""),"1 (Low/Poor)")</f>
        <v>1 (Low/Poor)</v>
      </c>
      <c r="E1705" s="29">
        <f>IFERROR(__xludf.DUMMYFUNCTION("""COMPUTED_VALUE"""),1.0)</f>
        <v>1</v>
      </c>
    </row>
    <row r="1706">
      <c r="A1706" s="33">
        <f>IFERROR(__xludf.DUMMYFUNCTION("""COMPUTED_VALUE"""),45939.6626910301)</f>
        <v>45939.66269</v>
      </c>
      <c r="B1706" s="29" t="str">
        <f>IFERROR(__xludf.DUMMYFUNCTION("""COMPUTED_VALUE"""),"Circumcised")</f>
        <v>Circumcised</v>
      </c>
      <c r="C1706" s="29" t="str">
        <f>IFERROR(__xludf.DUMMYFUNCTION("""COMPUTED_VALUE"""),"Pleasure from Mobile Skin")</f>
        <v>Pleasure from Mobile Skin</v>
      </c>
      <c r="D1706" s="29" t="str">
        <f>IFERROR(__xludf.DUMMYFUNCTION("""COMPUTED_VALUE"""),"1 (Low/Poor)")</f>
        <v>1 (Low/Poor)</v>
      </c>
      <c r="E1706" s="29">
        <f>IFERROR(__xludf.DUMMYFUNCTION("""COMPUTED_VALUE"""),1.0)</f>
        <v>1</v>
      </c>
    </row>
    <row r="1707">
      <c r="A1707" s="33">
        <f>IFERROR(__xludf.DUMMYFUNCTION("""COMPUTED_VALUE"""),45939.87349773148)</f>
        <v>45939.8735</v>
      </c>
      <c r="B1707" s="29" t="str">
        <f>IFERROR(__xludf.DUMMYFUNCTION("""COMPUTED_VALUE"""),"Circumcised")</f>
        <v>Circumcised</v>
      </c>
      <c r="C1707" s="29" t="str">
        <f>IFERROR(__xludf.DUMMYFUNCTION("""COMPUTED_VALUE"""),"Pleasure from Mobile Skin")</f>
        <v>Pleasure from Mobile Skin</v>
      </c>
      <c r="D1707" s="29" t="str">
        <f>IFERROR(__xludf.DUMMYFUNCTION("""COMPUTED_VALUE"""),"2")</f>
        <v>2</v>
      </c>
      <c r="E1707" s="29">
        <f>IFERROR(__xludf.DUMMYFUNCTION("""COMPUTED_VALUE"""),2.0)</f>
        <v>2</v>
      </c>
    </row>
    <row r="1708">
      <c r="A1708" s="33">
        <f>IFERROR(__xludf.DUMMYFUNCTION("""COMPUTED_VALUE"""),45940.273669965274)</f>
        <v>45940.27367</v>
      </c>
      <c r="B1708" s="29" t="str">
        <f>IFERROR(__xludf.DUMMYFUNCTION("""COMPUTED_VALUE"""),"Intact (Never circumcised)")</f>
        <v>Intact (Never circumcised)</v>
      </c>
      <c r="C1708" s="29" t="str">
        <f>IFERROR(__xludf.DUMMYFUNCTION("""COMPUTED_VALUE"""),"Pleasure from Mobile Skin")</f>
        <v>Pleasure from Mobile Skin</v>
      </c>
      <c r="D1708" s="29" t="str">
        <f>IFERROR(__xludf.DUMMYFUNCTION("""COMPUTED_VALUE"""),"5 (High/Excellent)")</f>
        <v>5 (High/Excellent)</v>
      </c>
      <c r="E1708" s="29">
        <f>IFERROR(__xludf.DUMMYFUNCTION("""COMPUTED_VALUE"""),5.0)</f>
        <v>5</v>
      </c>
    </row>
    <row r="1709">
      <c r="A1709" s="33">
        <f>IFERROR(__xludf.DUMMYFUNCTION("""COMPUTED_VALUE"""),45940.32423372685)</f>
        <v>45940.32423</v>
      </c>
      <c r="B1709" s="29" t="str">
        <f>IFERROR(__xludf.DUMMYFUNCTION("""COMPUTED_VALUE"""),"Intact (Never circumcised)")</f>
        <v>Intact (Never circumcised)</v>
      </c>
      <c r="C1709" s="29" t="str">
        <f>IFERROR(__xludf.DUMMYFUNCTION("""COMPUTED_VALUE"""),"Pleasure from Mobile Skin")</f>
        <v>Pleasure from Mobile Skin</v>
      </c>
      <c r="D1709" s="29" t="str">
        <f>IFERROR(__xludf.DUMMYFUNCTION("""COMPUTED_VALUE"""),"5 (High/Excellent)")</f>
        <v>5 (High/Excellent)</v>
      </c>
      <c r="E1709" s="29">
        <f>IFERROR(__xludf.DUMMYFUNCTION("""COMPUTED_VALUE"""),5.0)</f>
        <v>5</v>
      </c>
    </row>
    <row r="1710">
      <c r="A1710" s="33">
        <f>IFERROR(__xludf.DUMMYFUNCTION("""COMPUTED_VALUE"""),45940.56854714121)</f>
        <v>45940.56855</v>
      </c>
      <c r="B1710" s="29" t="str">
        <f>IFERROR(__xludf.DUMMYFUNCTION("""COMPUTED_VALUE"""),"Actively restoring my foreskin / I consider myself restored")</f>
        <v>Actively restoring my foreskin / I consider myself restored</v>
      </c>
      <c r="C1710" s="29" t="str">
        <f>IFERROR(__xludf.DUMMYFUNCTION("""COMPUTED_VALUE"""),"Pleasure from Mobile Skin")</f>
        <v>Pleasure from Mobile Skin</v>
      </c>
      <c r="D1710" s="29" t="str">
        <f>IFERROR(__xludf.DUMMYFUNCTION("""COMPUTED_VALUE"""),"3 (Medium/Average)")</f>
        <v>3 (Medium/Average)</v>
      </c>
      <c r="E1710" s="29">
        <f>IFERROR(__xludf.DUMMYFUNCTION("""COMPUTED_VALUE"""),3.0)</f>
        <v>3</v>
      </c>
    </row>
    <row r="1711">
      <c r="A1711" s="33">
        <f>IFERROR(__xludf.DUMMYFUNCTION("""COMPUTED_VALUE"""),45941.29232648148)</f>
        <v>45941.29233</v>
      </c>
      <c r="B1711" s="29" t="str">
        <f>IFERROR(__xludf.DUMMYFUNCTION("""COMPUTED_VALUE"""),"Circumcised")</f>
        <v>Circumcised</v>
      </c>
      <c r="C1711" s="29" t="str">
        <f>IFERROR(__xludf.DUMMYFUNCTION("""COMPUTED_VALUE"""),"Pleasure from Mobile Skin")</f>
        <v>Pleasure from Mobile Skin</v>
      </c>
      <c r="D1711" s="29" t="str">
        <f>IFERROR(__xludf.DUMMYFUNCTION("""COMPUTED_VALUE"""),"1 (Low/Poor)")</f>
        <v>1 (Low/Poor)</v>
      </c>
      <c r="E1711" s="29">
        <f>IFERROR(__xludf.DUMMYFUNCTION("""COMPUTED_VALUE"""),1.0)</f>
        <v>1</v>
      </c>
    </row>
    <row r="1712">
      <c r="A1712" s="33">
        <f>IFERROR(__xludf.DUMMYFUNCTION("""COMPUTED_VALUE"""),45941.37621672454)</f>
        <v>45941.37622</v>
      </c>
      <c r="B1712" s="29" t="str">
        <f>IFERROR(__xludf.DUMMYFUNCTION("""COMPUTED_VALUE"""),"Actively restoring my foreskin / I consider myself restored")</f>
        <v>Actively restoring my foreskin / I consider myself restored</v>
      </c>
      <c r="C1712" s="29" t="str">
        <f>IFERROR(__xludf.DUMMYFUNCTION("""COMPUTED_VALUE"""),"Pleasure from Mobile Skin")</f>
        <v>Pleasure from Mobile Skin</v>
      </c>
      <c r="D1712" s="29" t="str">
        <f>IFERROR(__xludf.DUMMYFUNCTION("""COMPUTED_VALUE"""),"1 (Low/Poor)")</f>
        <v>1 (Low/Poor)</v>
      </c>
      <c r="E1712" s="29">
        <f>IFERROR(__xludf.DUMMYFUNCTION("""COMPUTED_VALUE"""),1.0)</f>
        <v>1</v>
      </c>
    </row>
    <row r="1713">
      <c r="A1713" s="33">
        <f>IFERROR(__xludf.DUMMYFUNCTION("""COMPUTED_VALUE"""),45945.13833958333)</f>
        <v>45945.13834</v>
      </c>
      <c r="B1713" s="29" t="str">
        <f>IFERROR(__xludf.DUMMYFUNCTION("""COMPUTED_VALUE"""),"Circumcised")</f>
        <v>Circumcised</v>
      </c>
      <c r="C1713" s="29" t="str">
        <f>IFERROR(__xludf.DUMMYFUNCTION("""COMPUTED_VALUE"""),"Pleasure from Mobile Skin")</f>
        <v>Pleasure from Mobile Skin</v>
      </c>
      <c r="D1713" s="29" t="str">
        <f>IFERROR(__xludf.DUMMYFUNCTION("""COMPUTED_VALUE"""),"1 (Low/Poor)")</f>
        <v>1 (Low/Poor)</v>
      </c>
      <c r="E1713" s="29">
        <f>IFERROR(__xludf.DUMMYFUNCTION("""COMPUTED_VALUE"""),1.0)</f>
        <v>1</v>
      </c>
    </row>
    <row r="1714">
      <c r="A1714" s="33">
        <f>IFERROR(__xludf.DUMMYFUNCTION("""COMPUTED_VALUE"""),45945.52582347223)</f>
        <v>45945.52582</v>
      </c>
      <c r="B1714" s="29" t="str">
        <f>IFERROR(__xludf.DUMMYFUNCTION("""COMPUTED_VALUE"""),"Intact (Never circumcised)")</f>
        <v>Intact (Never circumcised)</v>
      </c>
      <c r="C1714" s="29" t="str">
        <f>IFERROR(__xludf.DUMMYFUNCTION("""COMPUTED_VALUE"""),"Pleasure from Mobile Skin")</f>
        <v>Pleasure from Mobile Skin</v>
      </c>
      <c r="D1714" s="29" t="str">
        <f>IFERROR(__xludf.DUMMYFUNCTION("""COMPUTED_VALUE"""),"4")</f>
        <v>4</v>
      </c>
      <c r="E1714" s="29">
        <f>IFERROR(__xludf.DUMMYFUNCTION("""COMPUTED_VALUE"""),4.0)</f>
        <v>4</v>
      </c>
    </row>
    <row r="1715">
      <c r="A1715" s="33">
        <f>IFERROR(__xludf.DUMMYFUNCTION("""COMPUTED_VALUE"""),45947.59925792824)</f>
        <v>45947.59926</v>
      </c>
      <c r="B1715" s="29" t="str">
        <f>IFERROR(__xludf.DUMMYFUNCTION("""COMPUTED_VALUE"""),"Actively restoring my foreskin / I consider myself restored")</f>
        <v>Actively restoring my foreskin / I consider myself restored</v>
      </c>
      <c r="C1715" s="29" t="str">
        <f>IFERROR(__xludf.DUMMYFUNCTION("""COMPUTED_VALUE"""),"Pleasure from Mobile Skin")</f>
        <v>Pleasure from Mobile Skin</v>
      </c>
      <c r="D1715" s="29" t="str">
        <f>IFERROR(__xludf.DUMMYFUNCTION("""COMPUTED_VALUE"""),"4")</f>
        <v>4</v>
      </c>
      <c r="E1715" s="29">
        <f>IFERROR(__xludf.DUMMYFUNCTION("""COMPUTED_VALUE"""),4.0)</f>
        <v>4</v>
      </c>
    </row>
    <row r="1716">
      <c r="A1716" s="33">
        <f>IFERROR(__xludf.DUMMYFUNCTION("""COMPUTED_VALUE"""),45948.43710914352)</f>
        <v>45948.43711</v>
      </c>
      <c r="B1716" s="29" t="str">
        <f>IFERROR(__xludf.DUMMYFUNCTION("""COMPUTED_VALUE"""),"Circumcised")</f>
        <v>Circumcised</v>
      </c>
      <c r="C1716" s="29" t="str">
        <f>IFERROR(__xludf.DUMMYFUNCTION("""COMPUTED_VALUE"""),"Pleasure from Mobile Skin")</f>
        <v>Pleasure from Mobile Skin</v>
      </c>
      <c r="D1716" s="29" t="str">
        <f>IFERROR(__xludf.DUMMYFUNCTION("""COMPUTED_VALUE"""),"1 (Low/Poor)")</f>
        <v>1 (Low/Poor)</v>
      </c>
      <c r="E1716" s="29">
        <f>IFERROR(__xludf.DUMMYFUNCTION("""COMPUTED_VALUE"""),1.0)</f>
        <v>1</v>
      </c>
    </row>
    <row r="1717">
      <c r="A1717" s="33">
        <f>IFERROR(__xludf.DUMMYFUNCTION("""COMPUTED_VALUE"""),45951.280845023146)</f>
        <v>45951.28085</v>
      </c>
      <c r="B1717" s="29" t="str">
        <f>IFERROR(__xludf.DUMMYFUNCTION("""COMPUTED_VALUE"""),"Circumcised")</f>
        <v>Circumcised</v>
      </c>
      <c r="C1717" s="29" t="str">
        <f>IFERROR(__xludf.DUMMYFUNCTION("""COMPUTED_VALUE"""),"Pleasure from Mobile Skin")</f>
        <v>Pleasure from Mobile Skin</v>
      </c>
      <c r="D1717" s="29" t="str">
        <f>IFERROR(__xludf.DUMMYFUNCTION("""COMPUTED_VALUE"""),"1 (Low/Poor)")</f>
        <v>1 (Low/Poor)</v>
      </c>
      <c r="E1717" s="29">
        <f>IFERROR(__xludf.DUMMYFUNCTION("""COMPUTED_VALUE"""),1.0)</f>
        <v>1</v>
      </c>
    </row>
    <row r="1718">
      <c r="A1718" s="33">
        <f>IFERROR(__xludf.DUMMYFUNCTION("""COMPUTED_VALUE"""),45953.0329640162)</f>
        <v>45953.03296</v>
      </c>
      <c r="B1718" s="29" t="str">
        <f>IFERROR(__xludf.DUMMYFUNCTION("""COMPUTED_VALUE"""),"Intact (Never circumcised)")</f>
        <v>Intact (Never circumcised)</v>
      </c>
      <c r="C1718" s="29" t="str">
        <f>IFERROR(__xludf.DUMMYFUNCTION("""COMPUTED_VALUE"""),"Pleasure from Mobile Skin")</f>
        <v>Pleasure from Mobile Skin</v>
      </c>
      <c r="D1718" s="29" t="str">
        <f>IFERROR(__xludf.DUMMYFUNCTION("""COMPUTED_VALUE"""),"3 (Medium/Average)")</f>
        <v>3 (Medium/Average)</v>
      </c>
      <c r="E1718" s="29">
        <f>IFERROR(__xludf.DUMMYFUNCTION("""COMPUTED_VALUE"""),3.0)</f>
        <v>3</v>
      </c>
    </row>
    <row r="1719">
      <c r="A1719" s="33">
        <f>IFERROR(__xludf.DUMMYFUNCTION("""COMPUTED_VALUE"""),45953.438401666666)</f>
        <v>45953.4384</v>
      </c>
      <c r="B1719" s="29" t="str">
        <f>IFERROR(__xludf.DUMMYFUNCTION("""COMPUTED_VALUE"""),"Intact (Never circumcised)")</f>
        <v>Intact (Never circumcised)</v>
      </c>
      <c r="C1719" s="29" t="str">
        <f>IFERROR(__xludf.DUMMYFUNCTION("""COMPUTED_VALUE"""),"Pleasure from Mobile Skin")</f>
        <v>Pleasure from Mobile Skin</v>
      </c>
      <c r="D1719" s="29" t="str">
        <f>IFERROR(__xludf.DUMMYFUNCTION("""COMPUTED_VALUE"""),"4")</f>
        <v>4</v>
      </c>
      <c r="E1719" s="29">
        <f>IFERROR(__xludf.DUMMYFUNCTION("""COMPUTED_VALUE"""),4.0)</f>
        <v>4</v>
      </c>
    </row>
    <row r="1720">
      <c r="A1720" s="33">
        <f>IFERROR(__xludf.DUMMYFUNCTION("""COMPUTED_VALUE"""),45956.00984539352)</f>
        <v>45956.00985</v>
      </c>
      <c r="B1720" s="29" t="str">
        <f>IFERROR(__xludf.DUMMYFUNCTION("""COMPUTED_VALUE"""),"Circumcised")</f>
        <v>Circumcised</v>
      </c>
      <c r="C1720" s="29" t="str">
        <f>IFERROR(__xludf.DUMMYFUNCTION("""COMPUTED_VALUE"""),"Pleasure from Mobile Skin")</f>
        <v>Pleasure from Mobile Skin</v>
      </c>
      <c r="D1720" s="29" t="str">
        <f>IFERROR(__xludf.DUMMYFUNCTION("""COMPUTED_VALUE"""),"2")</f>
        <v>2</v>
      </c>
      <c r="E1720" s="29">
        <f>IFERROR(__xludf.DUMMYFUNCTION("""COMPUTED_VALUE"""),2.0)</f>
        <v>2</v>
      </c>
    </row>
    <row r="1721">
      <c r="A1721" s="33">
        <f>IFERROR(__xludf.DUMMYFUNCTION("""COMPUTED_VALUE"""),45956.86146025463)</f>
        <v>45956.86146</v>
      </c>
      <c r="B1721" s="29" t="str">
        <f>IFERROR(__xludf.DUMMYFUNCTION("""COMPUTED_VALUE"""),"Circumcised")</f>
        <v>Circumcised</v>
      </c>
      <c r="C1721" s="29" t="str">
        <f>IFERROR(__xludf.DUMMYFUNCTION("""COMPUTED_VALUE"""),"Pleasure from Mobile Skin")</f>
        <v>Pleasure from Mobile Skin</v>
      </c>
      <c r="D1721" s="29" t="str">
        <f>IFERROR(__xludf.DUMMYFUNCTION("""COMPUTED_VALUE"""),"2")</f>
        <v>2</v>
      </c>
      <c r="E1721" s="29">
        <f>IFERROR(__xludf.DUMMYFUNCTION("""COMPUTED_VALUE"""),2.0)</f>
        <v>2</v>
      </c>
    </row>
    <row r="1722">
      <c r="A1722" s="33">
        <f>IFERROR(__xludf.DUMMYFUNCTION("""COMPUTED_VALUE"""),45956.90730827546)</f>
        <v>45956.90731</v>
      </c>
      <c r="B1722" s="29" t="str">
        <f>IFERROR(__xludf.DUMMYFUNCTION("""COMPUTED_VALUE"""),"Circumcised")</f>
        <v>Circumcised</v>
      </c>
      <c r="C1722" s="29" t="str">
        <f>IFERROR(__xludf.DUMMYFUNCTION("""COMPUTED_VALUE"""),"Pleasure from Mobile Skin")</f>
        <v>Pleasure from Mobile Skin</v>
      </c>
      <c r="D1722" s="29" t="str">
        <f>IFERROR(__xludf.DUMMYFUNCTION("""COMPUTED_VALUE"""),"1 (Low/Poor)")</f>
        <v>1 (Low/Poor)</v>
      </c>
      <c r="E1722" s="29">
        <f>IFERROR(__xludf.DUMMYFUNCTION("""COMPUTED_VALUE"""),1.0)</f>
        <v>1</v>
      </c>
    </row>
    <row r="1723">
      <c r="A1723" s="33">
        <f>IFERROR(__xludf.DUMMYFUNCTION("""COMPUTED_VALUE"""),45956.911861469904)</f>
        <v>45956.91186</v>
      </c>
      <c r="B1723" s="29" t="str">
        <f>IFERROR(__xludf.DUMMYFUNCTION("""COMPUTED_VALUE"""),"Actively restoring my foreskin / I consider myself restored")</f>
        <v>Actively restoring my foreskin / I consider myself restored</v>
      </c>
      <c r="C1723" s="29" t="str">
        <f>IFERROR(__xludf.DUMMYFUNCTION("""COMPUTED_VALUE"""),"Pleasure from Mobile Skin")</f>
        <v>Pleasure from Mobile Skin</v>
      </c>
      <c r="D1723" s="29" t="str">
        <f>IFERROR(__xludf.DUMMYFUNCTION("""COMPUTED_VALUE"""),"3 (Medium/Average)")</f>
        <v>3 (Medium/Average)</v>
      </c>
      <c r="E1723" s="29">
        <f>IFERROR(__xludf.DUMMYFUNCTION("""COMPUTED_VALUE"""),3.0)</f>
        <v>3</v>
      </c>
    </row>
    <row r="1724">
      <c r="A1724" s="33">
        <f>IFERROR(__xludf.DUMMYFUNCTION("""COMPUTED_VALUE"""),45957.40870927083)</f>
        <v>45957.40871</v>
      </c>
      <c r="B1724" s="29" t="str">
        <f>IFERROR(__xludf.DUMMYFUNCTION("""COMPUTED_VALUE"""),"Intact (Never circumcised)")</f>
        <v>Intact (Never circumcised)</v>
      </c>
      <c r="C1724" s="29" t="str">
        <f>IFERROR(__xludf.DUMMYFUNCTION("""COMPUTED_VALUE"""),"Pleasure from Mobile Skin")</f>
        <v>Pleasure from Mobile Skin</v>
      </c>
      <c r="D1724" s="29" t="str">
        <f>IFERROR(__xludf.DUMMYFUNCTION("""COMPUTED_VALUE"""),"5 (High/Excellent)")</f>
        <v>5 (High/Excellent)</v>
      </c>
      <c r="E1724" s="29">
        <f>IFERROR(__xludf.DUMMYFUNCTION("""COMPUTED_VALUE"""),5.0)</f>
        <v>5</v>
      </c>
    </row>
    <row r="1725">
      <c r="A1725" s="33">
        <f>IFERROR(__xludf.DUMMYFUNCTION("""COMPUTED_VALUE"""),45957.667292418984)</f>
        <v>45957.66729</v>
      </c>
      <c r="B1725" s="29" t="str">
        <f>IFERROR(__xludf.DUMMYFUNCTION("""COMPUTED_VALUE"""),"Actively restoring my foreskin / I consider myself restored")</f>
        <v>Actively restoring my foreskin / I consider myself restored</v>
      </c>
      <c r="C1725" s="29" t="str">
        <f>IFERROR(__xludf.DUMMYFUNCTION("""COMPUTED_VALUE"""),"Pleasure from Mobile Skin")</f>
        <v>Pleasure from Mobile Skin</v>
      </c>
      <c r="D1725" s="29" t="str">
        <f>IFERROR(__xludf.DUMMYFUNCTION("""COMPUTED_VALUE"""),"1 (Low/Poor)")</f>
        <v>1 (Low/Poor)</v>
      </c>
      <c r="E1725" s="29">
        <f>IFERROR(__xludf.DUMMYFUNCTION("""COMPUTED_VALUE"""),1.0)</f>
        <v>1</v>
      </c>
    </row>
    <row r="1726">
      <c r="A1726" s="33">
        <f>IFERROR(__xludf.DUMMYFUNCTION("""COMPUTED_VALUE"""),45959.10253167824)</f>
        <v>45959.10253</v>
      </c>
      <c r="B1726" s="29" t="str">
        <f>IFERROR(__xludf.DUMMYFUNCTION("""COMPUTED_VALUE"""),"Circumcised")</f>
        <v>Circumcised</v>
      </c>
      <c r="C1726" s="29" t="str">
        <f>IFERROR(__xludf.DUMMYFUNCTION("""COMPUTED_VALUE"""),"Pleasure from Mobile Skin")</f>
        <v>Pleasure from Mobile Skin</v>
      </c>
      <c r="D1726" s="29" t="str">
        <f>IFERROR(__xludf.DUMMYFUNCTION("""COMPUTED_VALUE"""),"2")</f>
        <v>2</v>
      </c>
      <c r="E1726" s="29">
        <f>IFERROR(__xludf.DUMMYFUNCTION("""COMPUTED_VALUE"""),2.0)</f>
        <v>2</v>
      </c>
    </row>
    <row r="1727">
      <c r="A1727" s="33">
        <f>IFERROR(__xludf.DUMMYFUNCTION("""COMPUTED_VALUE"""),45959.17554484954)</f>
        <v>45959.17554</v>
      </c>
      <c r="B1727" s="29" t="str">
        <f>IFERROR(__xludf.DUMMYFUNCTION("""COMPUTED_VALUE"""),"Circumcised")</f>
        <v>Circumcised</v>
      </c>
      <c r="C1727" s="29" t="str">
        <f>IFERROR(__xludf.DUMMYFUNCTION("""COMPUTED_VALUE"""),"Pleasure from Mobile Skin")</f>
        <v>Pleasure from Mobile Skin</v>
      </c>
      <c r="D1727" s="29" t="str">
        <f>IFERROR(__xludf.DUMMYFUNCTION("""COMPUTED_VALUE"""),"3 (Medium/Average)")</f>
        <v>3 (Medium/Average)</v>
      </c>
      <c r="E1727" s="29">
        <f>IFERROR(__xludf.DUMMYFUNCTION("""COMPUTED_VALUE"""),3.0)</f>
        <v>3</v>
      </c>
    </row>
    <row r="1728">
      <c r="A1728" s="33">
        <f>IFERROR(__xludf.DUMMYFUNCTION("""COMPUTED_VALUE"""),45959.8298531713)</f>
        <v>45959.82985</v>
      </c>
      <c r="B1728" s="29" t="str">
        <f>IFERROR(__xludf.DUMMYFUNCTION("""COMPUTED_VALUE"""),"Actively restoring my foreskin / I consider myself restored")</f>
        <v>Actively restoring my foreskin / I consider myself restored</v>
      </c>
      <c r="C1728" s="29" t="str">
        <f>IFERROR(__xludf.DUMMYFUNCTION("""COMPUTED_VALUE"""),"Pleasure from Mobile Skin")</f>
        <v>Pleasure from Mobile Skin</v>
      </c>
      <c r="D1728" s="29" t="str">
        <f>IFERROR(__xludf.DUMMYFUNCTION("""COMPUTED_VALUE"""),"5 (High/Excellent)")</f>
        <v>5 (High/Excellent)</v>
      </c>
      <c r="E1728" s="29">
        <f>IFERROR(__xludf.DUMMYFUNCTION("""COMPUTED_VALUE"""),5.0)</f>
        <v>5</v>
      </c>
    </row>
    <row r="1729">
      <c r="A1729" s="33">
        <f>IFERROR(__xludf.DUMMYFUNCTION("""COMPUTED_VALUE"""),45960.621607500005)</f>
        <v>45960.62161</v>
      </c>
      <c r="B1729" s="29" t="str">
        <f>IFERROR(__xludf.DUMMYFUNCTION("""COMPUTED_VALUE"""),"Circumcised")</f>
        <v>Circumcised</v>
      </c>
      <c r="C1729" s="29" t="str">
        <f>IFERROR(__xludf.DUMMYFUNCTION("""COMPUTED_VALUE"""),"Pleasure from Mobile Skin")</f>
        <v>Pleasure from Mobile Skin</v>
      </c>
      <c r="D1729" s="29" t="str">
        <f>IFERROR(__xludf.DUMMYFUNCTION("""COMPUTED_VALUE"""),"3 (Medium/Average)")</f>
        <v>3 (Medium/Average)</v>
      </c>
      <c r="E1729" s="29">
        <f>IFERROR(__xludf.DUMMYFUNCTION("""COMPUTED_VALUE"""),3.0)</f>
        <v>3</v>
      </c>
    </row>
    <row r="1730">
      <c r="A1730" s="33">
        <f>IFERROR(__xludf.DUMMYFUNCTION("""COMPUTED_VALUE"""),45960.99731127315)</f>
        <v>45960.99731</v>
      </c>
      <c r="B1730" s="29" t="str">
        <f>IFERROR(__xludf.DUMMYFUNCTION("""COMPUTED_VALUE"""),"Actively restoring my foreskin / I consider myself restored")</f>
        <v>Actively restoring my foreskin / I consider myself restored</v>
      </c>
      <c r="C1730" s="29" t="str">
        <f>IFERROR(__xludf.DUMMYFUNCTION("""COMPUTED_VALUE"""),"Pleasure from Mobile Skin")</f>
        <v>Pleasure from Mobile Skin</v>
      </c>
      <c r="D1730" s="29" t="str">
        <f>IFERROR(__xludf.DUMMYFUNCTION("""COMPUTED_VALUE"""),"2")</f>
        <v>2</v>
      </c>
      <c r="E1730" s="29">
        <f>IFERROR(__xludf.DUMMYFUNCTION("""COMPUTED_VALUE"""),2.0)</f>
        <v>2</v>
      </c>
    </row>
    <row r="1731">
      <c r="A1731" s="33">
        <f>IFERROR(__xludf.DUMMYFUNCTION("""COMPUTED_VALUE"""),45963.67673798611)</f>
        <v>45963.67674</v>
      </c>
      <c r="B1731" s="29" t="str">
        <f>IFERROR(__xludf.DUMMYFUNCTION("""COMPUTED_VALUE"""),"Actively restoring my foreskin / I consider myself restored")</f>
        <v>Actively restoring my foreskin / I consider myself restored</v>
      </c>
      <c r="C1731" s="29" t="str">
        <f>IFERROR(__xludf.DUMMYFUNCTION("""COMPUTED_VALUE"""),"Pleasure from Mobile Skin")</f>
        <v>Pleasure from Mobile Skin</v>
      </c>
      <c r="D1731" s="29" t="str">
        <f>IFERROR(__xludf.DUMMYFUNCTION("""COMPUTED_VALUE"""),"1 (Low/Poor)")</f>
        <v>1 (Low/Poor)</v>
      </c>
      <c r="E1731" s="29">
        <f>IFERROR(__xludf.DUMMYFUNCTION("""COMPUTED_VALUE"""),1.0)</f>
        <v>1</v>
      </c>
    </row>
    <row r="1732">
      <c r="A1732" s="33">
        <f>IFERROR(__xludf.DUMMYFUNCTION("""COMPUTED_VALUE"""),45969.39095245371)</f>
        <v>45969.39095</v>
      </c>
      <c r="B1732" s="29" t="str">
        <f>IFERROR(__xludf.DUMMYFUNCTION("""COMPUTED_VALUE"""),"Circumcised")</f>
        <v>Circumcised</v>
      </c>
      <c r="C1732" s="29" t="str">
        <f>IFERROR(__xludf.DUMMYFUNCTION("""COMPUTED_VALUE"""),"Pleasure from Mobile Skin")</f>
        <v>Pleasure from Mobile Skin</v>
      </c>
      <c r="D1732" s="29" t="str">
        <f>IFERROR(__xludf.DUMMYFUNCTION("""COMPUTED_VALUE"""),"4")</f>
        <v>4</v>
      </c>
      <c r="E1732" s="29">
        <f>IFERROR(__xludf.DUMMYFUNCTION("""COMPUTED_VALUE"""),4.0)</f>
        <v>4</v>
      </c>
    </row>
    <row r="1733">
      <c r="A1733" s="33">
        <f>IFERROR(__xludf.DUMMYFUNCTION("""COMPUTED_VALUE"""),45969.849535775465)</f>
        <v>45969.84954</v>
      </c>
      <c r="B1733" s="29" t="str">
        <f>IFERROR(__xludf.DUMMYFUNCTION("""COMPUTED_VALUE"""),"Actively restoring my foreskin / I consider myself restored")</f>
        <v>Actively restoring my foreskin / I consider myself restored</v>
      </c>
      <c r="C1733" s="29" t="str">
        <f>IFERROR(__xludf.DUMMYFUNCTION("""COMPUTED_VALUE"""),"Pleasure from Mobile Skin")</f>
        <v>Pleasure from Mobile Skin</v>
      </c>
      <c r="D1733" s="29" t="str">
        <f>IFERROR(__xludf.DUMMYFUNCTION("""COMPUTED_VALUE"""),"4")</f>
        <v>4</v>
      </c>
      <c r="E1733" s="29">
        <f>IFERROR(__xludf.DUMMYFUNCTION("""COMPUTED_VALUE"""),4.0)</f>
        <v>4</v>
      </c>
    </row>
    <row r="1734">
      <c r="A1734" s="33">
        <f>IFERROR(__xludf.DUMMYFUNCTION("""COMPUTED_VALUE"""),45969.897841296304)</f>
        <v>45969.89784</v>
      </c>
      <c r="B1734" s="29" t="str">
        <f>IFERROR(__xludf.DUMMYFUNCTION("""COMPUTED_VALUE"""),"Actively restoring my foreskin / I consider myself restored")</f>
        <v>Actively restoring my foreskin / I consider myself restored</v>
      </c>
      <c r="C1734" s="29" t="str">
        <f>IFERROR(__xludf.DUMMYFUNCTION("""COMPUTED_VALUE"""),"Pleasure from Mobile Skin")</f>
        <v>Pleasure from Mobile Skin</v>
      </c>
      <c r="D1734" s="29" t="str">
        <f>IFERROR(__xludf.DUMMYFUNCTION("""COMPUTED_VALUE"""),"2")</f>
        <v>2</v>
      </c>
      <c r="E1734" s="29">
        <f>IFERROR(__xludf.DUMMYFUNCTION("""COMPUTED_VALUE"""),2.0)</f>
        <v>2</v>
      </c>
    </row>
    <row r="1735">
      <c r="A1735" s="33">
        <f>IFERROR(__xludf.DUMMYFUNCTION("""COMPUTED_VALUE"""),45969.90605799769)</f>
        <v>45969.90606</v>
      </c>
      <c r="B1735" s="29" t="str">
        <f>IFERROR(__xludf.DUMMYFUNCTION("""COMPUTED_VALUE"""),"Circumcised")</f>
        <v>Circumcised</v>
      </c>
      <c r="C1735" s="29" t="str">
        <f>IFERROR(__xludf.DUMMYFUNCTION("""COMPUTED_VALUE"""),"Pleasure from Mobile Skin")</f>
        <v>Pleasure from Mobile Skin</v>
      </c>
      <c r="D1735" s="29" t="str">
        <f>IFERROR(__xludf.DUMMYFUNCTION("""COMPUTED_VALUE"""),"2")</f>
        <v>2</v>
      </c>
      <c r="E1735" s="29">
        <f>IFERROR(__xludf.DUMMYFUNCTION("""COMPUTED_VALUE"""),2.0)</f>
        <v>2</v>
      </c>
    </row>
    <row r="1736">
      <c r="A1736" s="33">
        <f>IFERROR(__xludf.DUMMYFUNCTION("""COMPUTED_VALUE"""),45970.06699965278)</f>
        <v>45970.067</v>
      </c>
      <c r="B1736" s="29" t="str">
        <f>IFERROR(__xludf.DUMMYFUNCTION("""COMPUTED_VALUE"""),"Circumcised")</f>
        <v>Circumcised</v>
      </c>
      <c r="C1736" s="29" t="str">
        <f>IFERROR(__xludf.DUMMYFUNCTION("""COMPUTED_VALUE"""),"Pleasure from Mobile Skin")</f>
        <v>Pleasure from Mobile Skin</v>
      </c>
      <c r="D1736" s="29" t="str">
        <f>IFERROR(__xludf.DUMMYFUNCTION("""COMPUTED_VALUE"""),"2")</f>
        <v>2</v>
      </c>
      <c r="E1736" s="29">
        <f>IFERROR(__xludf.DUMMYFUNCTION("""COMPUTED_VALUE"""),2.0)</f>
        <v>2</v>
      </c>
    </row>
    <row r="1737">
      <c r="A1737" s="33">
        <f>IFERROR(__xludf.DUMMYFUNCTION("""COMPUTED_VALUE"""),45970.38046627314)</f>
        <v>45970.38047</v>
      </c>
      <c r="B1737" s="29" t="str">
        <f>IFERROR(__xludf.DUMMYFUNCTION("""COMPUTED_VALUE"""),"Circumcised")</f>
        <v>Circumcised</v>
      </c>
      <c r="C1737" s="29" t="str">
        <f>IFERROR(__xludf.DUMMYFUNCTION("""COMPUTED_VALUE"""),"Pleasure from Mobile Skin")</f>
        <v>Pleasure from Mobile Skin</v>
      </c>
      <c r="D1737" s="29" t="str">
        <f>IFERROR(__xludf.DUMMYFUNCTION("""COMPUTED_VALUE"""),"1 (Low/Poor)")</f>
        <v>1 (Low/Poor)</v>
      </c>
      <c r="E1737" s="29">
        <f>IFERROR(__xludf.DUMMYFUNCTION("""COMPUTED_VALUE"""),1.0)</f>
        <v>1</v>
      </c>
    </row>
    <row r="1738">
      <c r="A1738" s="33">
        <f>IFERROR(__xludf.DUMMYFUNCTION("""COMPUTED_VALUE"""),45970.48485820602)</f>
        <v>45970.48486</v>
      </c>
      <c r="B1738" s="29" t="str">
        <f>IFERROR(__xludf.DUMMYFUNCTION("""COMPUTED_VALUE"""),"Intact (Never circumcised)")</f>
        <v>Intact (Never circumcised)</v>
      </c>
      <c r="C1738" s="29" t="str">
        <f>IFERROR(__xludf.DUMMYFUNCTION("""COMPUTED_VALUE"""),"Pleasure from Mobile Skin")</f>
        <v>Pleasure from Mobile Skin</v>
      </c>
      <c r="D1738" s="29" t="str">
        <f>IFERROR(__xludf.DUMMYFUNCTION("""COMPUTED_VALUE"""),"5 (High/Excellent)")</f>
        <v>5 (High/Excellent)</v>
      </c>
      <c r="E1738" s="29">
        <f>IFERROR(__xludf.DUMMYFUNCTION("""COMPUTED_VALUE"""),5.0)</f>
        <v>5</v>
      </c>
    </row>
    <row r="1739">
      <c r="A1739" s="33">
        <f>IFERROR(__xludf.DUMMYFUNCTION("""COMPUTED_VALUE"""),45970.66629606481)</f>
        <v>45970.6663</v>
      </c>
      <c r="B1739" s="29" t="str">
        <f>IFERROR(__xludf.DUMMYFUNCTION("""COMPUTED_VALUE"""),"Circumcised")</f>
        <v>Circumcised</v>
      </c>
      <c r="C1739" s="29" t="str">
        <f>IFERROR(__xludf.DUMMYFUNCTION("""COMPUTED_VALUE"""),"Pleasure from Mobile Skin")</f>
        <v>Pleasure from Mobile Skin</v>
      </c>
      <c r="D1739" s="29" t="str">
        <f>IFERROR(__xludf.DUMMYFUNCTION("""COMPUTED_VALUE"""),"3 (Medium/Average)")</f>
        <v>3 (Medium/Average)</v>
      </c>
      <c r="E1739" s="29">
        <f>IFERROR(__xludf.DUMMYFUNCTION("""COMPUTED_VALUE"""),3.0)</f>
        <v>3</v>
      </c>
    </row>
    <row r="1740">
      <c r="A1740" s="33">
        <f>IFERROR(__xludf.DUMMYFUNCTION("""COMPUTED_VALUE"""),45971.65164621528)</f>
        <v>45971.65165</v>
      </c>
      <c r="B1740" s="29" t="str">
        <f>IFERROR(__xludf.DUMMYFUNCTION("""COMPUTED_VALUE"""),"Circumcised")</f>
        <v>Circumcised</v>
      </c>
      <c r="C1740" s="29" t="str">
        <f>IFERROR(__xludf.DUMMYFUNCTION("""COMPUTED_VALUE"""),"Pleasure from Mobile Skin")</f>
        <v>Pleasure from Mobile Skin</v>
      </c>
      <c r="D1740" s="29" t="str">
        <f>IFERROR(__xludf.DUMMYFUNCTION("""COMPUTED_VALUE"""),"2")</f>
        <v>2</v>
      </c>
      <c r="E1740" s="29">
        <f>IFERROR(__xludf.DUMMYFUNCTION("""COMPUTED_VALUE"""),2.0)</f>
        <v>2</v>
      </c>
    </row>
    <row r="1741">
      <c r="A1741" s="33">
        <f>IFERROR(__xludf.DUMMYFUNCTION("""COMPUTED_VALUE"""),45971.66754105324)</f>
        <v>45971.66754</v>
      </c>
      <c r="B1741" s="29" t="str">
        <f>IFERROR(__xludf.DUMMYFUNCTION("""COMPUTED_VALUE"""),"Intact (Never circumcised)")</f>
        <v>Intact (Never circumcised)</v>
      </c>
      <c r="C1741" s="29" t="str">
        <f>IFERROR(__xludf.DUMMYFUNCTION("""COMPUTED_VALUE"""),"Pleasure from Mobile Skin")</f>
        <v>Pleasure from Mobile Skin</v>
      </c>
      <c r="D1741" s="29" t="str">
        <f>IFERROR(__xludf.DUMMYFUNCTION("""COMPUTED_VALUE"""),"5 (High/Excellent)")</f>
        <v>5 (High/Excellent)</v>
      </c>
      <c r="E1741" s="29">
        <f>IFERROR(__xludf.DUMMYFUNCTION("""COMPUTED_VALUE"""),5.0)</f>
        <v>5</v>
      </c>
    </row>
    <row r="1742">
      <c r="A1742" s="33">
        <f>IFERROR(__xludf.DUMMYFUNCTION("""COMPUTED_VALUE"""),45972.193447893515)</f>
        <v>45972.19345</v>
      </c>
      <c r="B1742" s="29" t="str">
        <f>IFERROR(__xludf.DUMMYFUNCTION("""COMPUTED_VALUE"""),"Intact (Never circumcised)")</f>
        <v>Intact (Never circumcised)</v>
      </c>
      <c r="C1742" s="29" t="str">
        <f>IFERROR(__xludf.DUMMYFUNCTION("""COMPUTED_VALUE"""),"Pleasure from Mobile Skin")</f>
        <v>Pleasure from Mobile Skin</v>
      </c>
      <c r="D1742" s="29" t="str">
        <f>IFERROR(__xludf.DUMMYFUNCTION("""COMPUTED_VALUE"""),"5 (High/Excellent)")</f>
        <v>5 (High/Excellent)</v>
      </c>
      <c r="E1742" s="29">
        <f>IFERROR(__xludf.DUMMYFUNCTION("""COMPUTED_VALUE"""),5.0)</f>
        <v>5</v>
      </c>
    </row>
    <row r="1743">
      <c r="A1743" s="33">
        <f>IFERROR(__xludf.DUMMYFUNCTION("""COMPUTED_VALUE"""),45972.63994190972)</f>
        <v>45972.63994</v>
      </c>
      <c r="B1743" s="29" t="str">
        <f>IFERROR(__xludf.DUMMYFUNCTION("""COMPUTED_VALUE"""),"Circumcised")</f>
        <v>Circumcised</v>
      </c>
      <c r="C1743" s="29" t="str">
        <f>IFERROR(__xludf.DUMMYFUNCTION("""COMPUTED_VALUE"""),"Pleasure from Mobile Skin")</f>
        <v>Pleasure from Mobile Skin</v>
      </c>
      <c r="D1743" s="29" t="str">
        <f>IFERROR(__xludf.DUMMYFUNCTION("""COMPUTED_VALUE"""),"3 (Medium/Average)")</f>
        <v>3 (Medium/Average)</v>
      </c>
      <c r="E1743" s="29">
        <f>IFERROR(__xludf.DUMMYFUNCTION("""COMPUTED_VALUE"""),3.0)</f>
        <v>3</v>
      </c>
    </row>
    <row r="1744">
      <c r="A1744" s="33">
        <f>IFERROR(__xludf.DUMMYFUNCTION("""COMPUTED_VALUE"""),45978.17339207176)</f>
        <v>45978.17339</v>
      </c>
      <c r="B1744" s="29" t="str">
        <f>IFERROR(__xludf.DUMMYFUNCTION("""COMPUTED_VALUE"""),"Intact (Never circumcised)")</f>
        <v>Intact (Never circumcised)</v>
      </c>
      <c r="C1744" s="29" t="str">
        <f>IFERROR(__xludf.DUMMYFUNCTION("""COMPUTED_VALUE"""),"Pleasure from Mobile Skin")</f>
        <v>Pleasure from Mobile Skin</v>
      </c>
      <c r="D1744" s="29" t="str">
        <f>IFERROR(__xludf.DUMMYFUNCTION("""COMPUTED_VALUE"""),"5 (High/Excellent)")</f>
        <v>5 (High/Excellent)</v>
      </c>
      <c r="E1744" s="29">
        <f>IFERROR(__xludf.DUMMYFUNCTION("""COMPUTED_VALUE"""),5.0)</f>
        <v>5</v>
      </c>
    </row>
    <row r="1745">
      <c r="A1745" s="33">
        <f>IFERROR(__xludf.DUMMYFUNCTION("""COMPUTED_VALUE"""),45979.00060761574)</f>
        <v>45979.00061</v>
      </c>
      <c r="B1745" s="29" t="str">
        <f>IFERROR(__xludf.DUMMYFUNCTION("""COMPUTED_VALUE"""),"Circumcised")</f>
        <v>Circumcised</v>
      </c>
      <c r="C1745" s="29" t="str">
        <f>IFERROR(__xludf.DUMMYFUNCTION("""COMPUTED_VALUE"""),"Pleasure from Mobile Skin")</f>
        <v>Pleasure from Mobile Skin</v>
      </c>
      <c r="D1745" s="29" t="str">
        <f>IFERROR(__xludf.DUMMYFUNCTION("""COMPUTED_VALUE"""),"1 (Low/Poor)")</f>
        <v>1 (Low/Poor)</v>
      </c>
      <c r="E1745" s="29">
        <f>IFERROR(__xludf.DUMMYFUNCTION("""COMPUTED_VALUE"""),1.0)</f>
        <v>1</v>
      </c>
    </row>
    <row r="1746">
      <c r="A1746" s="33">
        <f>IFERROR(__xludf.DUMMYFUNCTION("""COMPUTED_VALUE"""),45979.79978149306)</f>
        <v>45979.79978</v>
      </c>
      <c r="B1746" s="29" t="str">
        <f>IFERROR(__xludf.DUMMYFUNCTION("""COMPUTED_VALUE"""),"Actively restoring my foreskin / I consider myself restored")</f>
        <v>Actively restoring my foreskin / I consider myself restored</v>
      </c>
      <c r="C1746" s="29" t="str">
        <f>IFERROR(__xludf.DUMMYFUNCTION("""COMPUTED_VALUE"""),"Pleasure from Mobile Skin")</f>
        <v>Pleasure from Mobile Skin</v>
      </c>
      <c r="D1746" s="29" t="str">
        <f>IFERROR(__xludf.DUMMYFUNCTION("""COMPUTED_VALUE"""),"5 (High/Excellent)")</f>
        <v>5 (High/Excellent)</v>
      </c>
      <c r="E1746" s="29">
        <f>IFERROR(__xludf.DUMMYFUNCTION("""COMPUTED_VALUE"""),5.0)</f>
        <v>5</v>
      </c>
    </row>
    <row r="1747">
      <c r="A1747" s="33">
        <f>IFERROR(__xludf.DUMMYFUNCTION("""COMPUTED_VALUE"""),45979.96655393518)</f>
        <v>45979.96655</v>
      </c>
      <c r="B1747" s="29" t="str">
        <f>IFERROR(__xludf.DUMMYFUNCTION("""COMPUTED_VALUE"""),"Circumcised")</f>
        <v>Circumcised</v>
      </c>
      <c r="C1747" s="29" t="str">
        <f>IFERROR(__xludf.DUMMYFUNCTION("""COMPUTED_VALUE"""),"Pleasure from Mobile Skin")</f>
        <v>Pleasure from Mobile Skin</v>
      </c>
      <c r="D1747" s="29" t="str">
        <f>IFERROR(__xludf.DUMMYFUNCTION("""COMPUTED_VALUE"""),"4")</f>
        <v>4</v>
      </c>
      <c r="E1747" s="29">
        <f>IFERROR(__xludf.DUMMYFUNCTION("""COMPUTED_VALUE"""),4.0)</f>
        <v>4</v>
      </c>
    </row>
    <row r="1748">
      <c r="A1748" s="33">
        <f>IFERROR(__xludf.DUMMYFUNCTION("""COMPUTED_VALUE"""),45980.70007561342)</f>
        <v>45980.70008</v>
      </c>
      <c r="B1748" s="29" t="str">
        <f>IFERROR(__xludf.DUMMYFUNCTION("""COMPUTED_VALUE"""),"Actively restoring my foreskin / I consider myself restored")</f>
        <v>Actively restoring my foreskin / I consider myself restored</v>
      </c>
      <c r="C1748" s="29" t="str">
        <f>IFERROR(__xludf.DUMMYFUNCTION("""COMPUTED_VALUE"""),"Pleasure from Mobile Skin")</f>
        <v>Pleasure from Mobile Skin</v>
      </c>
      <c r="D1748" s="29" t="str">
        <f>IFERROR(__xludf.DUMMYFUNCTION("""COMPUTED_VALUE"""),"2")</f>
        <v>2</v>
      </c>
      <c r="E1748" s="29">
        <f>IFERROR(__xludf.DUMMYFUNCTION("""COMPUTED_VALUE"""),2.0)</f>
        <v>2</v>
      </c>
    </row>
    <row r="1749">
      <c r="A1749" s="33">
        <f>IFERROR(__xludf.DUMMYFUNCTION("""COMPUTED_VALUE"""),45983.2148534375)</f>
        <v>45983.21485</v>
      </c>
      <c r="B1749" s="29" t="str">
        <f>IFERROR(__xludf.DUMMYFUNCTION("""COMPUTED_VALUE"""),"Circumcised")</f>
        <v>Circumcised</v>
      </c>
      <c r="C1749" s="29" t="str">
        <f>IFERROR(__xludf.DUMMYFUNCTION("""COMPUTED_VALUE"""),"Pleasure from Mobile Skin")</f>
        <v>Pleasure from Mobile Skin</v>
      </c>
      <c r="D1749" s="29" t="str">
        <f>IFERROR(__xludf.DUMMYFUNCTION("""COMPUTED_VALUE"""),"1 (Low/Poor)")</f>
        <v>1 (Low/Poor)</v>
      </c>
      <c r="E1749" s="29">
        <f>IFERROR(__xludf.DUMMYFUNCTION("""COMPUTED_VALUE"""),1.0)</f>
        <v>1</v>
      </c>
    </row>
    <row r="1750">
      <c r="A1750" s="33">
        <f>IFERROR(__xludf.DUMMYFUNCTION("""COMPUTED_VALUE"""),45983.6917247338)</f>
        <v>45983.69172</v>
      </c>
      <c r="B1750" s="29" t="str">
        <f>IFERROR(__xludf.DUMMYFUNCTION("""COMPUTED_VALUE"""),"Actively restoring my foreskin / I consider myself restored")</f>
        <v>Actively restoring my foreskin / I consider myself restored</v>
      </c>
      <c r="C1750" s="29" t="str">
        <f>IFERROR(__xludf.DUMMYFUNCTION("""COMPUTED_VALUE"""),"Pleasure from Mobile Skin")</f>
        <v>Pleasure from Mobile Skin</v>
      </c>
      <c r="D1750" s="29" t="str">
        <f>IFERROR(__xludf.DUMMYFUNCTION("""COMPUTED_VALUE"""),"1 (Low/Poor)")</f>
        <v>1 (Low/Poor)</v>
      </c>
      <c r="E1750" s="29">
        <f>IFERROR(__xludf.DUMMYFUNCTION("""COMPUTED_VALUE"""),1.0)</f>
        <v>1</v>
      </c>
    </row>
    <row r="1751">
      <c r="A1751" s="33">
        <f>IFERROR(__xludf.DUMMYFUNCTION("""COMPUTED_VALUE"""),45983.925561076394)</f>
        <v>45983.92556</v>
      </c>
      <c r="B1751" s="29" t="str">
        <f>IFERROR(__xludf.DUMMYFUNCTION("""COMPUTED_VALUE"""),"Intact (Never circumcised)")</f>
        <v>Intact (Never circumcised)</v>
      </c>
      <c r="C1751" s="29" t="str">
        <f>IFERROR(__xludf.DUMMYFUNCTION("""COMPUTED_VALUE"""),"Pleasure from Mobile Skin")</f>
        <v>Pleasure from Mobile Skin</v>
      </c>
      <c r="D1751" s="29" t="str">
        <f>IFERROR(__xludf.DUMMYFUNCTION("""COMPUTED_VALUE"""),"5 (High/Excellent)")</f>
        <v>5 (High/Excellent)</v>
      </c>
      <c r="E1751" s="29">
        <f>IFERROR(__xludf.DUMMYFUNCTION("""COMPUTED_VALUE"""),5.0)</f>
        <v>5</v>
      </c>
    </row>
    <row r="1752">
      <c r="A1752" s="33">
        <f>IFERROR(__xludf.DUMMYFUNCTION("""COMPUTED_VALUE"""),45983.95113446759)</f>
        <v>45983.95113</v>
      </c>
      <c r="B1752" s="29" t="str">
        <f>IFERROR(__xludf.DUMMYFUNCTION("""COMPUTED_VALUE"""),"Intact (Never circumcised)")</f>
        <v>Intact (Never circumcised)</v>
      </c>
      <c r="C1752" s="29" t="str">
        <f>IFERROR(__xludf.DUMMYFUNCTION("""COMPUTED_VALUE"""),"Pleasure from Mobile Skin")</f>
        <v>Pleasure from Mobile Skin</v>
      </c>
      <c r="D1752" s="29" t="str">
        <f>IFERROR(__xludf.DUMMYFUNCTION("""COMPUTED_VALUE"""),"5 (High/Excellent)")</f>
        <v>5 (High/Excellent)</v>
      </c>
      <c r="E1752" s="29">
        <f>IFERROR(__xludf.DUMMYFUNCTION("""COMPUTED_VALUE"""),5.0)</f>
        <v>5</v>
      </c>
    </row>
    <row r="1753">
      <c r="A1753" s="33">
        <f>IFERROR(__xludf.DUMMYFUNCTION("""COMPUTED_VALUE"""),45992.05210868055)</f>
        <v>45992.05211</v>
      </c>
      <c r="B1753" s="29" t="str">
        <f>IFERROR(__xludf.DUMMYFUNCTION("""COMPUTED_VALUE"""),"Circumcised")</f>
        <v>Circumcised</v>
      </c>
      <c r="C1753" s="29" t="str">
        <f>IFERROR(__xludf.DUMMYFUNCTION("""COMPUTED_VALUE"""),"Pleasure from Mobile Skin")</f>
        <v>Pleasure from Mobile Skin</v>
      </c>
      <c r="D1753" s="29" t="str">
        <f>IFERROR(__xludf.DUMMYFUNCTION("""COMPUTED_VALUE"""),"1 (Low/Poor)")</f>
        <v>1 (Low/Poor)</v>
      </c>
      <c r="E1753" s="29">
        <f>IFERROR(__xludf.DUMMYFUNCTION("""COMPUTED_VALUE"""),1.0)</f>
        <v>1</v>
      </c>
    </row>
    <row r="1754">
      <c r="A1754" s="33">
        <f>IFERROR(__xludf.DUMMYFUNCTION("""COMPUTED_VALUE"""),45992.67591680555)</f>
        <v>45992.67592</v>
      </c>
      <c r="B1754" s="29" t="str">
        <f>IFERROR(__xludf.DUMMYFUNCTION("""COMPUTED_VALUE"""),"Circumcised")</f>
        <v>Circumcised</v>
      </c>
      <c r="C1754" s="29" t="str">
        <f>IFERROR(__xludf.DUMMYFUNCTION("""COMPUTED_VALUE"""),"Pleasure from Mobile Skin")</f>
        <v>Pleasure from Mobile Skin</v>
      </c>
      <c r="D1754" s="29" t="str">
        <f>IFERROR(__xludf.DUMMYFUNCTION("""COMPUTED_VALUE"""),"1 (Low/Poor)")</f>
        <v>1 (Low/Poor)</v>
      </c>
      <c r="E1754" s="29">
        <f>IFERROR(__xludf.DUMMYFUNCTION("""COMPUTED_VALUE"""),1.0)</f>
        <v>1</v>
      </c>
    </row>
    <row r="1755">
      <c r="A1755" s="33">
        <f>IFERROR(__xludf.DUMMYFUNCTION("""COMPUTED_VALUE"""),45996.37980859953)</f>
        <v>45996.37981</v>
      </c>
      <c r="B1755" s="29" t="str">
        <f>IFERROR(__xludf.DUMMYFUNCTION("""COMPUTED_VALUE"""),"Circumcised")</f>
        <v>Circumcised</v>
      </c>
      <c r="C1755" s="29" t="str">
        <f>IFERROR(__xludf.DUMMYFUNCTION("""COMPUTED_VALUE"""),"Pleasure from Mobile Skin")</f>
        <v>Pleasure from Mobile Skin</v>
      </c>
      <c r="D1755" s="29" t="str">
        <f>IFERROR(__xludf.DUMMYFUNCTION("""COMPUTED_VALUE"""),"2")</f>
        <v>2</v>
      </c>
      <c r="E1755" s="29">
        <f>IFERROR(__xludf.DUMMYFUNCTION("""COMPUTED_VALUE"""),2.0)</f>
        <v>2</v>
      </c>
    </row>
    <row r="1756">
      <c r="A1756" s="33">
        <f>IFERROR(__xludf.DUMMYFUNCTION("""COMPUTED_VALUE"""),45996.56378877315)</f>
        <v>45996.56379</v>
      </c>
      <c r="B1756" s="29" t="str">
        <f>IFERROR(__xludf.DUMMYFUNCTION("""COMPUTED_VALUE"""),"Circumcised")</f>
        <v>Circumcised</v>
      </c>
      <c r="C1756" s="29" t="str">
        <f>IFERROR(__xludf.DUMMYFUNCTION("""COMPUTED_VALUE"""),"Pleasure from Mobile Skin")</f>
        <v>Pleasure from Mobile Skin</v>
      </c>
      <c r="D1756" s="29" t="str">
        <f>IFERROR(__xludf.DUMMYFUNCTION("""COMPUTED_VALUE"""),"4")</f>
        <v>4</v>
      </c>
      <c r="E1756" s="29">
        <f>IFERROR(__xludf.DUMMYFUNCTION("""COMPUTED_VALUE"""),4.0)</f>
        <v>4</v>
      </c>
    </row>
    <row r="1757">
      <c r="A1757" s="33">
        <f>IFERROR(__xludf.DUMMYFUNCTION("""COMPUTED_VALUE"""),45999.3960019213)</f>
        <v>45999.396</v>
      </c>
      <c r="B1757" s="29" t="str">
        <f>IFERROR(__xludf.DUMMYFUNCTION("""COMPUTED_VALUE"""),"Circumcised")</f>
        <v>Circumcised</v>
      </c>
      <c r="C1757" s="29" t="str">
        <f>IFERROR(__xludf.DUMMYFUNCTION("""COMPUTED_VALUE"""),"Pleasure from Mobile Skin")</f>
        <v>Pleasure from Mobile Skin</v>
      </c>
      <c r="D1757" s="29" t="str">
        <f>IFERROR(__xludf.DUMMYFUNCTION("""COMPUTED_VALUE"""),"2")</f>
        <v>2</v>
      </c>
      <c r="E1757" s="29">
        <f>IFERROR(__xludf.DUMMYFUNCTION("""COMPUTED_VALUE"""),2.0)</f>
        <v>2</v>
      </c>
    </row>
    <row r="1758">
      <c r="A1758" s="33">
        <f>IFERROR(__xludf.DUMMYFUNCTION("""COMPUTED_VALUE"""),46001.23924292824)</f>
        <v>46001.23924</v>
      </c>
      <c r="B1758" s="29" t="str">
        <f>IFERROR(__xludf.DUMMYFUNCTION("""COMPUTED_VALUE"""),"Circumcised")</f>
        <v>Circumcised</v>
      </c>
      <c r="C1758" s="29" t="str">
        <f>IFERROR(__xludf.DUMMYFUNCTION("""COMPUTED_VALUE"""),"Pleasure from Mobile Skin")</f>
        <v>Pleasure from Mobile Skin</v>
      </c>
      <c r="D1758" s="29" t="str">
        <f>IFERROR(__xludf.DUMMYFUNCTION("""COMPUTED_VALUE"""),"1 (Low/Poor)")</f>
        <v>1 (Low/Poor)</v>
      </c>
      <c r="E1758" s="29">
        <f>IFERROR(__xludf.DUMMYFUNCTION("""COMPUTED_VALUE"""),1.0)</f>
        <v>1</v>
      </c>
    </row>
    <row r="1759">
      <c r="A1759" s="33">
        <f>IFERROR(__xludf.DUMMYFUNCTION("""COMPUTED_VALUE"""),46003.78513780092)</f>
        <v>46003.78514</v>
      </c>
      <c r="B1759" s="29" t="str">
        <f>IFERROR(__xludf.DUMMYFUNCTION("""COMPUTED_VALUE"""),"Circumcised")</f>
        <v>Circumcised</v>
      </c>
      <c r="C1759" s="29" t="str">
        <f>IFERROR(__xludf.DUMMYFUNCTION("""COMPUTED_VALUE"""),"Pleasure from Mobile Skin")</f>
        <v>Pleasure from Mobile Skin</v>
      </c>
      <c r="D1759" s="29" t="str">
        <f>IFERROR(__xludf.DUMMYFUNCTION("""COMPUTED_VALUE"""),"1 (Low/Poor)")</f>
        <v>1 (Low/Poor)</v>
      </c>
      <c r="E1759" s="29">
        <f>IFERROR(__xludf.DUMMYFUNCTION("""COMPUTED_VALUE"""),1.0)</f>
        <v>1</v>
      </c>
    </row>
    <row r="1760">
      <c r="A1760" s="33">
        <f>IFERROR(__xludf.DUMMYFUNCTION("""COMPUTED_VALUE"""),46009.51232134259)</f>
        <v>46009.51232</v>
      </c>
      <c r="B1760" s="29" t="str">
        <f>IFERROR(__xludf.DUMMYFUNCTION("""COMPUTED_VALUE"""),"Circumcised")</f>
        <v>Circumcised</v>
      </c>
      <c r="C1760" s="29" t="str">
        <f>IFERROR(__xludf.DUMMYFUNCTION("""COMPUTED_VALUE"""),"Pleasure from Mobile Skin")</f>
        <v>Pleasure from Mobile Skin</v>
      </c>
      <c r="D1760" s="29" t="str">
        <f>IFERROR(__xludf.DUMMYFUNCTION("""COMPUTED_VALUE"""),"2")</f>
        <v>2</v>
      </c>
      <c r="E1760" s="29">
        <f>IFERROR(__xludf.DUMMYFUNCTION("""COMPUTED_VALUE"""),2.0)</f>
        <v>2</v>
      </c>
    </row>
    <row r="1761">
      <c r="A1761" s="33">
        <f>IFERROR(__xludf.DUMMYFUNCTION("""COMPUTED_VALUE"""),46012.822104016195)</f>
        <v>46012.8221</v>
      </c>
      <c r="B1761" s="29" t="str">
        <f>IFERROR(__xludf.DUMMYFUNCTION("""COMPUTED_VALUE"""),"Actively restoring my foreskin / I consider myself restored")</f>
        <v>Actively restoring my foreskin / I consider myself restored</v>
      </c>
      <c r="C1761" s="29" t="str">
        <f>IFERROR(__xludf.DUMMYFUNCTION("""COMPUTED_VALUE"""),"Pleasure from Mobile Skin")</f>
        <v>Pleasure from Mobile Skin</v>
      </c>
      <c r="D1761" s="29" t="str">
        <f>IFERROR(__xludf.DUMMYFUNCTION("""COMPUTED_VALUE"""),"5 (High/Excellent)")</f>
        <v>5 (High/Excellent)</v>
      </c>
      <c r="E1761" s="29">
        <f>IFERROR(__xludf.DUMMYFUNCTION("""COMPUTED_VALUE"""),5.0)</f>
        <v>5</v>
      </c>
    </row>
    <row r="1762">
      <c r="A1762" s="33">
        <f>IFERROR(__xludf.DUMMYFUNCTION("""COMPUTED_VALUE"""),46012.99766703704)</f>
        <v>46012.99767</v>
      </c>
      <c r="B1762" s="29" t="str">
        <f>IFERROR(__xludf.DUMMYFUNCTION("""COMPUTED_VALUE"""),"Circumcised")</f>
        <v>Circumcised</v>
      </c>
      <c r="C1762" s="29" t="str">
        <f>IFERROR(__xludf.DUMMYFUNCTION("""COMPUTED_VALUE"""),"Pleasure from Mobile Skin")</f>
        <v>Pleasure from Mobile Skin</v>
      </c>
      <c r="D1762" s="29" t="str">
        <f>IFERROR(__xludf.DUMMYFUNCTION("""COMPUTED_VALUE"""),"2")</f>
        <v>2</v>
      </c>
      <c r="E1762" s="29">
        <f>IFERROR(__xludf.DUMMYFUNCTION("""COMPUTED_VALUE"""),2.0)</f>
        <v>2</v>
      </c>
    </row>
    <row r="1763">
      <c r="A1763" s="33">
        <f>IFERROR(__xludf.DUMMYFUNCTION("""COMPUTED_VALUE"""),46019.43110707175)</f>
        <v>46019.43111</v>
      </c>
      <c r="B1763" s="29" t="str">
        <f>IFERROR(__xludf.DUMMYFUNCTION("""COMPUTED_VALUE"""),"Circumcised")</f>
        <v>Circumcised</v>
      </c>
      <c r="C1763" s="29" t="str">
        <f>IFERROR(__xludf.DUMMYFUNCTION("""COMPUTED_VALUE"""),"Pleasure from Mobile Skin")</f>
        <v>Pleasure from Mobile Skin</v>
      </c>
      <c r="D1763" s="29" t="str">
        <f>IFERROR(__xludf.DUMMYFUNCTION("""COMPUTED_VALUE"""),"1 (Low/Poor)")</f>
        <v>1 (Low/Poor)</v>
      </c>
      <c r="E1763" s="29">
        <f>IFERROR(__xludf.DUMMYFUNCTION("""COMPUTED_VALUE"""),1.0)</f>
        <v>1</v>
      </c>
    </row>
    <row r="1764">
      <c r="A1764" s="33">
        <f>IFERROR(__xludf.DUMMYFUNCTION("""COMPUTED_VALUE"""),46019.70274966436)</f>
        <v>46019.70275</v>
      </c>
      <c r="B1764" s="29" t="str">
        <f>IFERROR(__xludf.DUMMYFUNCTION("""COMPUTED_VALUE"""),"Circumcised")</f>
        <v>Circumcised</v>
      </c>
      <c r="C1764" s="29" t="str">
        <f>IFERROR(__xludf.DUMMYFUNCTION("""COMPUTED_VALUE"""),"Pleasure from Mobile Skin")</f>
        <v>Pleasure from Mobile Skin</v>
      </c>
      <c r="D1764" s="29" t="str">
        <f>IFERROR(__xludf.DUMMYFUNCTION("""COMPUTED_VALUE"""),"3 (Medium/Average)")</f>
        <v>3 (Medium/Average)</v>
      </c>
      <c r="E1764" s="29">
        <f>IFERROR(__xludf.DUMMYFUNCTION("""COMPUTED_VALUE"""),3.0)</f>
        <v>3</v>
      </c>
    </row>
    <row r="1765">
      <c r="A1765" s="33">
        <f>IFERROR(__xludf.DUMMYFUNCTION("""COMPUTED_VALUE"""),46025.157875034725)</f>
        <v>46025.15788</v>
      </c>
      <c r="B1765" s="29" t="str">
        <f>IFERROR(__xludf.DUMMYFUNCTION("""COMPUTED_VALUE"""),"Circumcised")</f>
        <v>Circumcised</v>
      </c>
      <c r="C1765" s="29" t="str">
        <f>IFERROR(__xludf.DUMMYFUNCTION("""COMPUTED_VALUE"""),"Pleasure from Mobile Skin")</f>
        <v>Pleasure from Mobile Skin</v>
      </c>
      <c r="D1765" s="29" t="str">
        <f>IFERROR(__xludf.DUMMYFUNCTION("""COMPUTED_VALUE"""),"3 (Medium/Average)")</f>
        <v>3 (Medium/Average)</v>
      </c>
      <c r="E1765" s="29">
        <f>IFERROR(__xludf.DUMMYFUNCTION("""COMPUTED_VALUE"""),3.0)</f>
        <v>3</v>
      </c>
    </row>
    <row r="1766">
      <c r="A1766" s="33">
        <f>IFERROR(__xludf.DUMMYFUNCTION("""COMPUTED_VALUE"""),46025.18449309027)</f>
        <v>46025.18449</v>
      </c>
      <c r="B1766" s="29" t="str">
        <f>IFERROR(__xludf.DUMMYFUNCTION("""COMPUTED_VALUE"""),"Intact (Never circumcised)")</f>
        <v>Intact (Never circumcised)</v>
      </c>
      <c r="C1766" s="29" t="str">
        <f>IFERROR(__xludf.DUMMYFUNCTION("""COMPUTED_VALUE"""),"Pleasure from Mobile Skin")</f>
        <v>Pleasure from Mobile Skin</v>
      </c>
      <c r="D1766" s="29" t="str">
        <f>IFERROR(__xludf.DUMMYFUNCTION("""COMPUTED_VALUE"""),"5 (High/Excellent)")</f>
        <v>5 (High/Excellent)</v>
      </c>
      <c r="E1766" s="29">
        <f>IFERROR(__xludf.DUMMYFUNCTION("""COMPUTED_VALUE"""),5.0)</f>
        <v>5</v>
      </c>
    </row>
    <row r="1767">
      <c r="A1767" s="33">
        <f>IFERROR(__xludf.DUMMYFUNCTION("""COMPUTED_VALUE"""),46026.317358437496)</f>
        <v>46026.31736</v>
      </c>
      <c r="B1767" s="29" t="str">
        <f>IFERROR(__xludf.DUMMYFUNCTION("""COMPUTED_VALUE"""),"Actively restoring my foreskin / I consider myself restored")</f>
        <v>Actively restoring my foreskin / I consider myself restored</v>
      </c>
      <c r="C1767" s="29" t="str">
        <f>IFERROR(__xludf.DUMMYFUNCTION("""COMPUTED_VALUE"""),"Pleasure from Mobile Skin")</f>
        <v>Pleasure from Mobile Skin</v>
      </c>
      <c r="D1767" s="29" t="str">
        <f>IFERROR(__xludf.DUMMYFUNCTION("""COMPUTED_VALUE"""),"3 (Medium/Average)")</f>
        <v>3 (Medium/Average)</v>
      </c>
      <c r="E1767" s="29">
        <f>IFERROR(__xludf.DUMMYFUNCTION("""COMPUTED_VALUE"""),3.0)</f>
        <v>3</v>
      </c>
    </row>
    <row r="1768">
      <c r="A1768" s="33">
        <f>IFERROR(__xludf.DUMMYFUNCTION("""COMPUTED_VALUE"""),46028.958640625)</f>
        <v>46028.95864</v>
      </c>
      <c r="B1768" s="29" t="str">
        <f>IFERROR(__xludf.DUMMYFUNCTION("""COMPUTED_VALUE"""),"Circumcised")</f>
        <v>Circumcised</v>
      </c>
      <c r="C1768" s="29" t="str">
        <f>IFERROR(__xludf.DUMMYFUNCTION("""COMPUTED_VALUE"""),"Pleasure from Mobile Skin")</f>
        <v>Pleasure from Mobile Skin</v>
      </c>
      <c r="D1768" s="29" t="str">
        <f>IFERROR(__xludf.DUMMYFUNCTION("""COMPUTED_VALUE"""),"1 (Low/Poor)")</f>
        <v>1 (Low/Poor)</v>
      </c>
      <c r="E1768" s="29">
        <f>IFERROR(__xludf.DUMMYFUNCTION("""COMPUTED_VALUE"""),1.0)</f>
        <v>1</v>
      </c>
    </row>
    <row r="1769">
      <c r="A1769" s="33">
        <f>IFERROR(__xludf.DUMMYFUNCTION("""COMPUTED_VALUE"""),46029.12269635416)</f>
        <v>46029.1227</v>
      </c>
      <c r="B1769" s="29" t="str">
        <f>IFERROR(__xludf.DUMMYFUNCTION("""COMPUTED_VALUE"""),"Intact (Never circumcised)")</f>
        <v>Intact (Never circumcised)</v>
      </c>
      <c r="C1769" s="29" t="str">
        <f>IFERROR(__xludf.DUMMYFUNCTION("""COMPUTED_VALUE"""),"Pleasure from Mobile Skin")</f>
        <v>Pleasure from Mobile Skin</v>
      </c>
      <c r="D1769" s="29" t="str">
        <f>IFERROR(__xludf.DUMMYFUNCTION("""COMPUTED_VALUE"""),"5 (High/Excellent)")</f>
        <v>5 (High/Excellent)</v>
      </c>
      <c r="E1769" s="29">
        <f>IFERROR(__xludf.DUMMYFUNCTION("""COMPUTED_VALUE"""),5.0)</f>
        <v>5</v>
      </c>
    </row>
    <row r="1770">
      <c r="A1770" s="33">
        <f>IFERROR(__xludf.DUMMYFUNCTION("""COMPUTED_VALUE"""),46032.64016930556)</f>
        <v>46032.64017</v>
      </c>
      <c r="B1770" s="29" t="str">
        <f>IFERROR(__xludf.DUMMYFUNCTION("""COMPUTED_VALUE"""),"Actively restoring my foreskin / I consider myself restored")</f>
        <v>Actively restoring my foreskin / I consider myself restored</v>
      </c>
      <c r="C1770" s="29" t="str">
        <f>IFERROR(__xludf.DUMMYFUNCTION("""COMPUTED_VALUE"""),"Pleasure from Mobile Skin")</f>
        <v>Pleasure from Mobile Skin</v>
      </c>
      <c r="D1770" s="29" t="str">
        <f>IFERROR(__xludf.DUMMYFUNCTION("""COMPUTED_VALUE"""),"5 (High/Excellent)")</f>
        <v>5 (High/Excellent)</v>
      </c>
      <c r="E1770" s="29">
        <f>IFERROR(__xludf.DUMMYFUNCTION("""COMPUTED_VALUE"""),5.0)</f>
        <v>5</v>
      </c>
    </row>
    <row r="1771">
      <c r="A1771" s="33">
        <f>IFERROR(__xludf.DUMMYFUNCTION("""COMPUTED_VALUE"""),46037.4918693287)</f>
        <v>46037.49187</v>
      </c>
      <c r="B1771" s="29" t="str">
        <f>IFERROR(__xludf.DUMMYFUNCTION("""COMPUTED_VALUE"""),"Actively restoring my foreskin / I consider myself restored")</f>
        <v>Actively restoring my foreskin / I consider myself restored</v>
      </c>
      <c r="C1771" s="29" t="str">
        <f>IFERROR(__xludf.DUMMYFUNCTION("""COMPUTED_VALUE"""),"Pleasure from Mobile Skin")</f>
        <v>Pleasure from Mobile Skin</v>
      </c>
      <c r="D1771" s="29" t="str">
        <f>IFERROR(__xludf.DUMMYFUNCTION("""COMPUTED_VALUE"""),"1 (Low/Poor)")</f>
        <v>1 (Low/Poor)</v>
      </c>
      <c r="E1771" s="29">
        <f>IFERROR(__xludf.DUMMYFUNCTION("""COMPUTED_VALUE"""),1.0)</f>
        <v>1</v>
      </c>
    </row>
    <row r="1772">
      <c r="A1772" s="33">
        <f>IFERROR(__xludf.DUMMYFUNCTION("""COMPUTED_VALUE"""),46037.5570009375)</f>
        <v>46037.557</v>
      </c>
      <c r="B1772" s="29" t="str">
        <f>IFERROR(__xludf.DUMMYFUNCTION("""COMPUTED_VALUE"""),"Intact (Never circumcised)")</f>
        <v>Intact (Never circumcised)</v>
      </c>
      <c r="C1772" s="29" t="str">
        <f>IFERROR(__xludf.DUMMYFUNCTION("""COMPUTED_VALUE"""),"Pleasure from Mobile Skin")</f>
        <v>Pleasure from Mobile Skin</v>
      </c>
      <c r="D1772" s="29" t="str">
        <f>IFERROR(__xludf.DUMMYFUNCTION("""COMPUTED_VALUE"""),"5 (High/Excellent)")</f>
        <v>5 (High/Excellent)</v>
      </c>
      <c r="E1772" s="29">
        <f>IFERROR(__xludf.DUMMYFUNCTION("""COMPUTED_VALUE"""),5.0)</f>
        <v>5</v>
      </c>
    </row>
    <row r="1773">
      <c r="A1773" s="33">
        <f>IFERROR(__xludf.DUMMYFUNCTION("""COMPUTED_VALUE"""),46041.44147427084)</f>
        <v>46041.44147</v>
      </c>
      <c r="B1773" s="29" t="str">
        <f>IFERROR(__xludf.DUMMYFUNCTION("""COMPUTED_VALUE"""),"Actively restoring my foreskin / I consider myself restored")</f>
        <v>Actively restoring my foreskin / I consider myself restored</v>
      </c>
      <c r="C1773" s="29" t="str">
        <f>IFERROR(__xludf.DUMMYFUNCTION("""COMPUTED_VALUE"""),"Pleasure from Mobile Skin")</f>
        <v>Pleasure from Mobile Skin</v>
      </c>
      <c r="D1773" s="29" t="str">
        <f>IFERROR(__xludf.DUMMYFUNCTION("""COMPUTED_VALUE"""),"1 (Low/Poor)")</f>
        <v>1 (Low/Poor)</v>
      </c>
      <c r="E1773" s="29">
        <f>IFERROR(__xludf.DUMMYFUNCTION("""COMPUTED_VALUE"""),1.0)</f>
        <v>1</v>
      </c>
    </row>
    <row r="1774">
      <c r="A1774" s="33">
        <f>IFERROR(__xludf.DUMMYFUNCTION("""COMPUTED_VALUE"""),46053.61221619213)</f>
        <v>46053.61222</v>
      </c>
      <c r="B1774" s="29" t="str">
        <f>IFERROR(__xludf.DUMMYFUNCTION("""COMPUTED_VALUE"""),"Circumcised")</f>
        <v>Circumcised</v>
      </c>
      <c r="C1774" s="29" t="str">
        <f>IFERROR(__xludf.DUMMYFUNCTION("""COMPUTED_VALUE"""),"Pleasure from Mobile Skin")</f>
        <v>Pleasure from Mobile Skin</v>
      </c>
      <c r="D1774" s="29" t="str">
        <f>IFERROR(__xludf.DUMMYFUNCTION("""COMPUTED_VALUE"""),"1 (Low/Poor)")</f>
        <v>1 (Low/Poor)</v>
      </c>
      <c r="E1774" s="29">
        <f>IFERROR(__xludf.DUMMYFUNCTION("""COMPUTED_VALUE"""),1.0)</f>
        <v>1</v>
      </c>
    </row>
    <row r="1775">
      <c r="A1775" s="33">
        <f>IFERROR(__xludf.DUMMYFUNCTION("""COMPUTED_VALUE"""),46053.776607708336)</f>
        <v>46053.77661</v>
      </c>
      <c r="B1775" s="29" t="str">
        <f>IFERROR(__xludf.DUMMYFUNCTION("""COMPUTED_VALUE"""),"Circumcised")</f>
        <v>Circumcised</v>
      </c>
      <c r="C1775" s="29" t="str">
        <f>IFERROR(__xludf.DUMMYFUNCTION("""COMPUTED_VALUE"""),"Pleasure from Mobile Skin")</f>
        <v>Pleasure from Mobile Skin</v>
      </c>
      <c r="D1775" s="29" t="str">
        <f>IFERROR(__xludf.DUMMYFUNCTION("""COMPUTED_VALUE"""),"3 (Medium/Average)")</f>
        <v>3 (Medium/Average)</v>
      </c>
      <c r="E1775" s="29">
        <f>IFERROR(__xludf.DUMMYFUNCTION("""COMPUTED_VALUE"""),3.0)</f>
        <v>3</v>
      </c>
    </row>
    <row r="1776">
      <c r="A1776" s="33">
        <f>IFERROR(__xludf.DUMMYFUNCTION("""COMPUTED_VALUE"""),46055.729800081026)</f>
        <v>46055.7298</v>
      </c>
      <c r="B1776" s="29" t="str">
        <f>IFERROR(__xludf.DUMMYFUNCTION("""COMPUTED_VALUE"""),"Circumcised")</f>
        <v>Circumcised</v>
      </c>
      <c r="C1776" s="29" t="str">
        <f>IFERROR(__xludf.DUMMYFUNCTION("""COMPUTED_VALUE"""),"Pleasure from Mobile Skin")</f>
        <v>Pleasure from Mobile Skin</v>
      </c>
      <c r="D1776" s="29" t="str">
        <f>IFERROR(__xludf.DUMMYFUNCTION("""COMPUTED_VALUE"""),"1 (Low/Poor)")</f>
        <v>1 (Low/Poor)</v>
      </c>
      <c r="E1776" s="29">
        <f>IFERROR(__xludf.DUMMYFUNCTION("""COMPUTED_VALUE"""),1.0)</f>
        <v>1</v>
      </c>
    </row>
    <row r="1777">
      <c r="A1777" s="33">
        <f>IFERROR(__xludf.DUMMYFUNCTION("""COMPUTED_VALUE"""),46060.45633940972)</f>
        <v>46060.45634</v>
      </c>
      <c r="B1777" s="29" t="str">
        <f>IFERROR(__xludf.DUMMYFUNCTION("""COMPUTED_VALUE"""),"Circumcised")</f>
        <v>Circumcised</v>
      </c>
      <c r="C1777" s="29" t="str">
        <f>IFERROR(__xludf.DUMMYFUNCTION("""COMPUTED_VALUE"""),"Pleasure from Mobile Skin")</f>
        <v>Pleasure from Mobile Skin</v>
      </c>
      <c r="D1777" s="29" t="str">
        <f>IFERROR(__xludf.DUMMYFUNCTION("""COMPUTED_VALUE"""),"2")</f>
        <v>2</v>
      </c>
      <c r="E1777" s="29">
        <f>IFERROR(__xludf.DUMMYFUNCTION("""COMPUTED_VALUE"""),2.0)</f>
        <v>2</v>
      </c>
    </row>
    <row r="1778">
      <c r="A1778" s="33">
        <f>IFERROR(__xludf.DUMMYFUNCTION("""COMPUTED_VALUE"""),46061.530180625006)</f>
        <v>46061.53018</v>
      </c>
      <c r="B1778" s="29" t="str">
        <f>IFERROR(__xludf.DUMMYFUNCTION("""COMPUTED_VALUE"""),"Intact (Never circumcised)")</f>
        <v>Intact (Never circumcised)</v>
      </c>
      <c r="C1778" s="29" t="str">
        <f>IFERROR(__xludf.DUMMYFUNCTION("""COMPUTED_VALUE"""),"Pleasure from Mobile Skin")</f>
        <v>Pleasure from Mobile Skin</v>
      </c>
      <c r="D1778" s="29" t="str">
        <f>IFERROR(__xludf.DUMMYFUNCTION("""COMPUTED_VALUE"""),"5 (High/Excellent)")</f>
        <v>5 (High/Excellent)</v>
      </c>
      <c r="E1778" s="29">
        <f>IFERROR(__xludf.DUMMYFUNCTION("""COMPUTED_VALUE"""),5.0)</f>
        <v>5</v>
      </c>
    </row>
    <row r="1779">
      <c r="A1779" s="33">
        <f>IFERROR(__xludf.DUMMYFUNCTION("""COMPUTED_VALUE"""),46064.90010012731)</f>
        <v>46064.9001</v>
      </c>
      <c r="B1779" s="29" t="str">
        <f>IFERROR(__xludf.DUMMYFUNCTION("""COMPUTED_VALUE"""),"Intact (Never circumcised)")</f>
        <v>Intact (Never circumcised)</v>
      </c>
      <c r="C1779" s="29" t="str">
        <f>IFERROR(__xludf.DUMMYFUNCTION("""COMPUTED_VALUE"""),"Pleasure from Mobile Skin")</f>
        <v>Pleasure from Mobile Skin</v>
      </c>
      <c r="D1779" s="29" t="str">
        <f>IFERROR(__xludf.DUMMYFUNCTION("""COMPUTED_VALUE"""),"5 (High/Excellent)")</f>
        <v>5 (High/Excellent)</v>
      </c>
      <c r="E1779" s="29">
        <f>IFERROR(__xludf.DUMMYFUNCTION("""COMPUTED_VALUE"""),5.0)</f>
        <v>5</v>
      </c>
    </row>
    <row r="1780">
      <c r="A1780" s="33">
        <f>IFERROR(__xludf.DUMMYFUNCTION("""COMPUTED_VALUE"""),46064.99989840278)</f>
        <v>46064.9999</v>
      </c>
      <c r="B1780" s="29" t="str">
        <f>IFERROR(__xludf.DUMMYFUNCTION("""COMPUTED_VALUE"""),"Circumcised")</f>
        <v>Circumcised</v>
      </c>
      <c r="C1780" s="29" t="str">
        <f>IFERROR(__xludf.DUMMYFUNCTION("""COMPUTED_VALUE"""),"Pleasure from Mobile Skin")</f>
        <v>Pleasure from Mobile Skin</v>
      </c>
      <c r="D1780" s="29" t="str">
        <f>IFERROR(__xludf.DUMMYFUNCTION("""COMPUTED_VALUE"""),"1 (Low/Poor)")</f>
        <v>1 (Low/Poor)</v>
      </c>
      <c r="E1780" s="29">
        <f>IFERROR(__xludf.DUMMYFUNCTION("""COMPUTED_VALUE"""),1.0)</f>
        <v>1</v>
      </c>
    </row>
    <row r="1781">
      <c r="A1781" s="33">
        <f>IFERROR(__xludf.DUMMYFUNCTION("""COMPUTED_VALUE"""),46065.31308600695)</f>
        <v>46065.31309</v>
      </c>
      <c r="B1781" s="29" t="str">
        <f>IFERROR(__xludf.DUMMYFUNCTION("""COMPUTED_VALUE"""),"Circumcised")</f>
        <v>Circumcised</v>
      </c>
      <c r="C1781" s="29" t="str">
        <f>IFERROR(__xludf.DUMMYFUNCTION("""COMPUTED_VALUE"""),"Pleasure from Mobile Skin")</f>
        <v>Pleasure from Mobile Skin</v>
      </c>
      <c r="D1781" s="29" t="str">
        <f>IFERROR(__xludf.DUMMYFUNCTION("""COMPUTED_VALUE"""),"1 (Low/Poor)")</f>
        <v>1 (Low/Poor)</v>
      </c>
      <c r="E1781" s="29">
        <f>IFERROR(__xludf.DUMMYFUNCTION("""COMPUTED_VALUE"""),1.0)</f>
        <v>1</v>
      </c>
    </row>
    <row r="1782">
      <c r="A1782" s="33">
        <f>IFERROR(__xludf.DUMMYFUNCTION("""COMPUTED_VALUE"""),46065.52200550926)</f>
        <v>46065.52201</v>
      </c>
      <c r="B1782" s="29" t="str">
        <f>IFERROR(__xludf.DUMMYFUNCTION("""COMPUTED_VALUE"""),"Circumcised")</f>
        <v>Circumcised</v>
      </c>
      <c r="C1782" s="29" t="str">
        <f>IFERROR(__xludf.DUMMYFUNCTION("""COMPUTED_VALUE"""),"Pleasure from Mobile Skin")</f>
        <v>Pleasure from Mobile Skin</v>
      </c>
      <c r="D1782" s="29" t="str">
        <f>IFERROR(__xludf.DUMMYFUNCTION("""COMPUTED_VALUE"""),"1 (Low/Poor)")</f>
        <v>1 (Low/Poor)</v>
      </c>
      <c r="E1782" s="29">
        <f>IFERROR(__xludf.DUMMYFUNCTION("""COMPUTED_VALUE"""),1.0)</f>
        <v>1</v>
      </c>
    </row>
    <row r="1783">
      <c r="A1783" s="33">
        <f>IFERROR(__xludf.DUMMYFUNCTION("""COMPUTED_VALUE"""),46065.61208627315)</f>
        <v>46065.61209</v>
      </c>
      <c r="B1783" s="29" t="str">
        <f>IFERROR(__xludf.DUMMYFUNCTION("""COMPUTED_VALUE"""),"Intact (Never circumcised)")</f>
        <v>Intact (Never circumcised)</v>
      </c>
      <c r="C1783" s="29" t="str">
        <f>IFERROR(__xludf.DUMMYFUNCTION("""COMPUTED_VALUE"""),"Pleasure from Mobile Skin")</f>
        <v>Pleasure from Mobile Skin</v>
      </c>
      <c r="D1783" s="29" t="str">
        <f>IFERROR(__xludf.DUMMYFUNCTION("""COMPUTED_VALUE"""),"3 (Medium/Average)")</f>
        <v>3 (Medium/Average)</v>
      </c>
      <c r="E1783" s="29">
        <f>IFERROR(__xludf.DUMMYFUNCTION("""COMPUTED_VALUE"""),3.0)</f>
        <v>3</v>
      </c>
    </row>
    <row r="1784">
      <c r="A1784" s="33">
        <f>IFERROR(__xludf.DUMMYFUNCTION("""COMPUTED_VALUE"""),46066.35949877315)</f>
        <v>46066.3595</v>
      </c>
      <c r="B1784" s="29" t="str">
        <f>IFERROR(__xludf.DUMMYFUNCTION("""COMPUTED_VALUE"""),"Circumcised")</f>
        <v>Circumcised</v>
      </c>
      <c r="C1784" s="29" t="str">
        <f>IFERROR(__xludf.DUMMYFUNCTION("""COMPUTED_VALUE"""),"Pleasure from Mobile Skin")</f>
        <v>Pleasure from Mobile Skin</v>
      </c>
      <c r="D1784" s="29" t="str">
        <f>IFERROR(__xludf.DUMMYFUNCTION("""COMPUTED_VALUE"""),"1 (Low/Poor)")</f>
        <v>1 (Low/Poor)</v>
      </c>
      <c r="E1784" s="29">
        <f>IFERROR(__xludf.DUMMYFUNCTION("""COMPUTED_VALUE"""),1.0)</f>
        <v>1</v>
      </c>
    </row>
    <row r="1785">
      <c r="A1785" s="33">
        <f>IFERROR(__xludf.DUMMYFUNCTION("""COMPUTED_VALUE"""),46066.93613185186)</f>
        <v>46066.93613</v>
      </c>
      <c r="B1785" s="29" t="str">
        <f>IFERROR(__xludf.DUMMYFUNCTION("""COMPUTED_VALUE"""),"Circumcised")</f>
        <v>Circumcised</v>
      </c>
      <c r="C1785" s="29" t="str">
        <f>IFERROR(__xludf.DUMMYFUNCTION("""COMPUTED_VALUE"""),"Pleasure from Mobile Skin")</f>
        <v>Pleasure from Mobile Skin</v>
      </c>
      <c r="D1785" s="29" t="str">
        <f>IFERROR(__xludf.DUMMYFUNCTION("""COMPUTED_VALUE"""),"3 (Medium/Average)")</f>
        <v>3 (Medium/Average)</v>
      </c>
      <c r="E1785" s="29">
        <f>IFERROR(__xludf.DUMMYFUNCTION("""COMPUTED_VALUE"""),3.0)</f>
        <v>3</v>
      </c>
    </row>
    <row r="1786">
      <c r="A1786" s="33">
        <f>IFERROR(__xludf.DUMMYFUNCTION("""COMPUTED_VALUE"""),46067.17601916667)</f>
        <v>46067.17602</v>
      </c>
      <c r="B1786" s="29" t="str">
        <f>IFERROR(__xludf.DUMMYFUNCTION("""COMPUTED_VALUE"""),"Intact (Never circumcised)")</f>
        <v>Intact (Never circumcised)</v>
      </c>
      <c r="C1786" s="29" t="str">
        <f>IFERROR(__xludf.DUMMYFUNCTION("""COMPUTED_VALUE"""),"Pleasure from Mobile Skin")</f>
        <v>Pleasure from Mobile Skin</v>
      </c>
      <c r="D1786" s="29" t="str">
        <f>IFERROR(__xludf.DUMMYFUNCTION("""COMPUTED_VALUE"""),"3 (Medium/Average)")</f>
        <v>3 (Medium/Average)</v>
      </c>
      <c r="E1786" s="29">
        <f>IFERROR(__xludf.DUMMYFUNCTION("""COMPUTED_VALUE"""),3.0)</f>
        <v>3</v>
      </c>
    </row>
    <row r="1787">
      <c r="A1787" s="33">
        <f>IFERROR(__xludf.DUMMYFUNCTION("""COMPUTED_VALUE"""),46069.69560907408)</f>
        <v>46069.69561</v>
      </c>
      <c r="B1787" s="29" t="str">
        <f>IFERROR(__xludf.DUMMYFUNCTION("""COMPUTED_VALUE"""),"Circumcised")</f>
        <v>Circumcised</v>
      </c>
      <c r="C1787" s="29" t="str">
        <f>IFERROR(__xludf.DUMMYFUNCTION("""COMPUTED_VALUE"""),"Pleasure from Mobile Skin")</f>
        <v>Pleasure from Mobile Skin</v>
      </c>
      <c r="D1787" s="29" t="str">
        <f>IFERROR(__xludf.DUMMYFUNCTION("""COMPUTED_VALUE"""),"5 (High/Excellent)")</f>
        <v>5 (High/Excellent)</v>
      </c>
      <c r="E1787" s="29">
        <f>IFERROR(__xludf.DUMMYFUNCTION("""COMPUTED_VALUE"""),5.0)</f>
        <v>5</v>
      </c>
    </row>
    <row r="1788">
      <c r="A1788" s="33">
        <f>IFERROR(__xludf.DUMMYFUNCTION("""COMPUTED_VALUE"""),46069.74153994213)</f>
        <v>46069.74154</v>
      </c>
      <c r="B1788" s="29" t="str">
        <f>IFERROR(__xludf.DUMMYFUNCTION("""COMPUTED_VALUE"""),"Actively restoring my foreskin / I consider myself restored")</f>
        <v>Actively restoring my foreskin / I consider myself restored</v>
      </c>
      <c r="C1788" s="29" t="str">
        <f>IFERROR(__xludf.DUMMYFUNCTION("""COMPUTED_VALUE"""),"Pleasure from Mobile Skin")</f>
        <v>Pleasure from Mobile Skin</v>
      </c>
      <c r="D1788" s="29" t="str">
        <f>IFERROR(__xludf.DUMMYFUNCTION("""COMPUTED_VALUE"""),"4")</f>
        <v>4</v>
      </c>
      <c r="E1788" s="29">
        <f>IFERROR(__xludf.DUMMYFUNCTION("""COMPUTED_VALUE"""),4.0)</f>
        <v>4</v>
      </c>
    </row>
    <row r="1789">
      <c r="A1789" s="33">
        <f>IFERROR(__xludf.DUMMYFUNCTION("""COMPUTED_VALUE"""),46070.524625185186)</f>
        <v>46070.52463</v>
      </c>
      <c r="B1789" s="29" t="str">
        <f>IFERROR(__xludf.DUMMYFUNCTION("""COMPUTED_VALUE"""),"Intact (Never circumcised)")</f>
        <v>Intact (Never circumcised)</v>
      </c>
      <c r="C1789" s="29" t="str">
        <f>IFERROR(__xludf.DUMMYFUNCTION("""COMPUTED_VALUE"""),"Pleasure from Mobile Skin")</f>
        <v>Pleasure from Mobile Skin</v>
      </c>
      <c r="D1789" s="29" t="str">
        <f>IFERROR(__xludf.DUMMYFUNCTION("""COMPUTED_VALUE"""),"5 (High/Excellent)")</f>
        <v>5 (High/Excellent)</v>
      </c>
      <c r="E1789" s="29">
        <f>IFERROR(__xludf.DUMMYFUNCTION("""COMPUTED_VALUE"""),5.0)</f>
        <v>5</v>
      </c>
    </row>
    <row r="1790">
      <c r="A1790" s="33">
        <f>IFERROR(__xludf.DUMMYFUNCTION("""COMPUTED_VALUE"""),46076.66878359954)</f>
        <v>46076.66878</v>
      </c>
      <c r="B1790" s="29" t="str">
        <f>IFERROR(__xludf.DUMMYFUNCTION("""COMPUTED_VALUE"""),"Circumcised")</f>
        <v>Circumcised</v>
      </c>
      <c r="C1790" s="29" t="str">
        <f>IFERROR(__xludf.DUMMYFUNCTION("""COMPUTED_VALUE"""),"Pleasure from Mobile Skin")</f>
        <v>Pleasure from Mobile Skin</v>
      </c>
      <c r="D1790" s="29" t="str">
        <f>IFERROR(__xludf.DUMMYFUNCTION("""COMPUTED_VALUE"""),"1 (Low/Poor)")</f>
        <v>1 (Low/Poor)</v>
      </c>
      <c r="E1790" s="29">
        <f>IFERROR(__xludf.DUMMYFUNCTION("""COMPUTED_VALUE"""),1.0)</f>
        <v>1</v>
      </c>
    </row>
    <row r="1791">
      <c r="A1791" s="33">
        <f>IFERROR(__xludf.DUMMYFUNCTION("""COMPUTED_VALUE"""),46078.59408679398)</f>
        <v>46078.59409</v>
      </c>
      <c r="B1791" s="29" t="str">
        <f>IFERROR(__xludf.DUMMYFUNCTION("""COMPUTED_VALUE"""),"Circumcised")</f>
        <v>Circumcised</v>
      </c>
      <c r="C1791" s="29" t="str">
        <f>IFERROR(__xludf.DUMMYFUNCTION("""COMPUTED_VALUE"""),"Pleasure from Mobile Skin")</f>
        <v>Pleasure from Mobile Skin</v>
      </c>
      <c r="D1791" s="29" t="str">
        <f>IFERROR(__xludf.DUMMYFUNCTION("""COMPUTED_VALUE"""),"3 (Medium/Average)")</f>
        <v>3 (Medium/Average)</v>
      </c>
      <c r="E1791" s="29">
        <f>IFERROR(__xludf.DUMMYFUNCTION("""COMPUTED_VALUE"""),3.0)</f>
        <v>3</v>
      </c>
    </row>
    <row r="1792">
      <c r="A1792" s="33">
        <f>IFERROR(__xludf.DUMMYFUNCTION("""COMPUTED_VALUE"""),46089.89088146991)</f>
        <v>46089.89088</v>
      </c>
      <c r="B1792" s="29" t="str">
        <f>IFERROR(__xludf.DUMMYFUNCTION("""COMPUTED_VALUE"""),"Actively restoring my foreskin / I consider myself restored")</f>
        <v>Actively restoring my foreskin / I consider myself restored</v>
      </c>
      <c r="C1792" s="29" t="str">
        <f>IFERROR(__xludf.DUMMYFUNCTION("""COMPUTED_VALUE"""),"Pleasure from Mobile Skin")</f>
        <v>Pleasure from Mobile Skin</v>
      </c>
      <c r="D1792" s="29" t="str">
        <f>IFERROR(__xludf.DUMMYFUNCTION("""COMPUTED_VALUE"""),"5 (High/Excellent)")</f>
        <v>5 (High/Excellent)</v>
      </c>
      <c r="E1792" s="29">
        <f>IFERROR(__xludf.DUMMYFUNCTION("""COMPUTED_VALUE"""),5.0)</f>
        <v>5</v>
      </c>
    </row>
    <row r="1793">
      <c r="A1793" s="33">
        <f>IFERROR(__xludf.DUMMYFUNCTION("""COMPUTED_VALUE"""),46091.30222179399)</f>
        <v>46091.30222</v>
      </c>
      <c r="B1793" s="29" t="str">
        <f>IFERROR(__xludf.DUMMYFUNCTION("""COMPUTED_VALUE"""),"Circumcised")</f>
        <v>Circumcised</v>
      </c>
      <c r="C1793" s="29" t="str">
        <f>IFERROR(__xludf.DUMMYFUNCTION("""COMPUTED_VALUE"""),"Pleasure from Mobile Skin")</f>
        <v>Pleasure from Mobile Skin</v>
      </c>
      <c r="D1793" s="29" t="str">
        <f>IFERROR(__xludf.DUMMYFUNCTION("""COMPUTED_VALUE"""),"2")</f>
        <v>2</v>
      </c>
      <c r="E1793" s="29">
        <f>IFERROR(__xludf.DUMMYFUNCTION("""COMPUTED_VALUE"""),2.0)</f>
        <v>2</v>
      </c>
    </row>
    <row r="1794">
      <c r="A1794" s="33">
        <f>IFERROR(__xludf.DUMMYFUNCTION("""COMPUTED_VALUE"""),46091.744138333335)</f>
        <v>46091.74414</v>
      </c>
      <c r="B1794" s="29" t="str">
        <f>IFERROR(__xludf.DUMMYFUNCTION("""COMPUTED_VALUE"""),"Circumcised")</f>
        <v>Circumcised</v>
      </c>
      <c r="C1794" s="29" t="str">
        <f>IFERROR(__xludf.DUMMYFUNCTION("""COMPUTED_VALUE"""),"Pleasure from Mobile Skin")</f>
        <v>Pleasure from Mobile Skin</v>
      </c>
      <c r="D1794" s="29" t="str">
        <f>IFERROR(__xludf.DUMMYFUNCTION("""COMPUTED_VALUE"""),"1 (Low/Poor)")</f>
        <v>1 (Low/Poor)</v>
      </c>
      <c r="E1794" s="29">
        <f>IFERROR(__xludf.DUMMYFUNCTION("""COMPUTED_VALUE"""),1.0)</f>
        <v>1</v>
      </c>
    </row>
    <row r="1795">
      <c r="A1795" s="33">
        <f>IFERROR(__xludf.DUMMYFUNCTION("""COMPUTED_VALUE"""),46093.81161307871)</f>
        <v>46093.81161</v>
      </c>
      <c r="B1795" s="29" t="str">
        <f>IFERROR(__xludf.DUMMYFUNCTION("""COMPUTED_VALUE"""),"Circumcised")</f>
        <v>Circumcised</v>
      </c>
      <c r="C1795" s="29" t="str">
        <f>IFERROR(__xludf.DUMMYFUNCTION("""COMPUTED_VALUE"""),"Pleasure from Mobile Skin")</f>
        <v>Pleasure from Mobile Skin</v>
      </c>
      <c r="D1795" s="29" t="str">
        <f>IFERROR(__xludf.DUMMYFUNCTION("""COMPUTED_VALUE"""),"3 (Medium/Average)")</f>
        <v>3 (Medium/Average)</v>
      </c>
      <c r="E1795" s="29">
        <f>IFERROR(__xludf.DUMMYFUNCTION("""COMPUTED_VALUE"""),3.0)</f>
        <v>3</v>
      </c>
    </row>
    <row r="1796">
      <c r="A1796" s="33">
        <f>IFERROR(__xludf.DUMMYFUNCTION("""COMPUTED_VALUE"""),46095.51932767361)</f>
        <v>46095.51933</v>
      </c>
      <c r="B1796" s="29" t="str">
        <f>IFERROR(__xludf.DUMMYFUNCTION("""COMPUTED_VALUE"""),"Circumcised")</f>
        <v>Circumcised</v>
      </c>
      <c r="C1796" s="29" t="str">
        <f>IFERROR(__xludf.DUMMYFUNCTION("""COMPUTED_VALUE"""),"Pleasure from Mobile Skin")</f>
        <v>Pleasure from Mobile Skin</v>
      </c>
      <c r="D1796" s="29" t="str">
        <f>IFERROR(__xludf.DUMMYFUNCTION("""COMPUTED_VALUE"""),"1 (Low/Poor)")</f>
        <v>1 (Low/Poor)</v>
      </c>
      <c r="E1796" s="29">
        <f>IFERROR(__xludf.DUMMYFUNCTION("""COMPUTED_VALUE"""),1.0)</f>
        <v>1</v>
      </c>
    </row>
    <row r="1797">
      <c r="A1797" s="33">
        <f>IFERROR(__xludf.DUMMYFUNCTION("""COMPUTED_VALUE"""),46098.99564787037)</f>
        <v>46098.99565</v>
      </c>
      <c r="B1797" s="29" t="str">
        <f>IFERROR(__xludf.DUMMYFUNCTION("""COMPUTED_VALUE"""),"Actively restoring my foreskin / I consider myself restored")</f>
        <v>Actively restoring my foreskin / I consider myself restored</v>
      </c>
      <c r="C1797" s="29" t="str">
        <f>IFERROR(__xludf.DUMMYFUNCTION("""COMPUTED_VALUE"""),"Pleasure from Mobile Skin")</f>
        <v>Pleasure from Mobile Skin</v>
      </c>
      <c r="D1797" s="29" t="str">
        <f>IFERROR(__xludf.DUMMYFUNCTION("""COMPUTED_VALUE"""),"3 (Medium/Average)")</f>
        <v>3 (Medium/Average)</v>
      </c>
      <c r="E1797" s="29">
        <f>IFERROR(__xludf.DUMMYFUNCTION("""COMPUTED_VALUE"""),3.0)</f>
        <v>3</v>
      </c>
    </row>
    <row r="1798">
      <c r="A1798" s="33">
        <f>IFERROR(__xludf.DUMMYFUNCTION("""COMPUTED_VALUE"""),46100.79148802084)</f>
        <v>46100.79149</v>
      </c>
      <c r="B1798" s="29" t="str">
        <f>IFERROR(__xludf.DUMMYFUNCTION("""COMPUTED_VALUE"""),"Actively restoring my foreskin / I consider myself restored")</f>
        <v>Actively restoring my foreskin / I consider myself restored</v>
      </c>
      <c r="C1798" s="29" t="str">
        <f>IFERROR(__xludf.DUMMYFUNCTION("""COMPUTED_VALUE"""),"Pleasure from Mobile Skin")</f>
        <v>Pleasure from Mobile Skin</v>
      </c>
      <c r="D1798" s="29" t="str">
        <f>IFERROR(__xludf.DUMMYFUNCTION("""COMPUTED_VALUE"""),"4")</f>
        <v>4</v>
      </c>
      <c r="E1798" s="29">
        <f>IFERROR(__xludf.DUMMYFUNCTION("""COMPUTED_VALUE"""),4.0)</f>
        <v>4</v>
      </c>
    </row>
    <row r="1799">
      <c r="A1799" s="33">
        <f>IFERROR(__xludf.DUMMYFUNCTION("""COMPUTED_VALUE"""),46104.68932258101)</f>
        <v>46104.68932</v>
      </c>
      <c r="B1799" s="29" t="str">
        <f>IFERROR(__xludf.DUMMYFUNCTION("""COMPUTED_VALUE"""),"Intact (Never circumcised)")</f>
        <v>Intact (Never circumcised)</v>
      </c>
      <c r="C1799" s="29" t="str">
        <f>IFERROR(__xludf.DUMMYFUNCTION("""COMPUTED_VALUE"""),"Pleasure from Mobile Skin")</f>
        <v>Pleasure from Mobile Skin</v>
      </c>
      <c r="D1799" s="29" t="str">
        <f>IFERROR(__xludf.DUMMYFUNCTION("""COMPUTED_VALUE"""),"3 (Medium/Average)")</f>
        <v>3 (Medium/Average)</v>
      </c>
      <c r="E1799" s="29">
        <f>IFERROR(__xludf.DUMMYFUNCTION("""COMPUTED_VALUE"""),3.0)</f>
        <v>3</v>
      </c>
    </row>
    <row r="1800">
      <c r="A1800" s="33">
        <f>IFERROR(__xludf.DUMMYFUNCTION("""COMPUTED_VALUE"""),46111.22171283565)</f>
        <v>46111.22171</v>
      </c>
      <c r="B1800" s="29" t="str">
        <f>IFERROR(__xludf.DUMMYFUNCTION("""COMPUTED_VALUE"""),"Circumcised")</f>
        <v>Circumcised</v>
      </c>
      <c r="C1800" s="29" t="str">
        <f>IFERROR(__xludf.DUMMYFUNCTION("""COMPUTED_VALUE"""),"Pleasure from Mobile Skin")</f>
        <v>Pleasure from Mobile Skin</v>
      </c>
      <c r="D1800" s="29" t="str">
        <f>IFERROR(__xludf.DUMMYFUNCTION("""COMPUTED_VALUE"""),"2")</f>
        <v>2</v>
      </c>
      <c r="E1800" s="29">
        <f>IFERROR(__xludf.DUMMYFUNCTION("""COMPUTED_VALUE"""),2.0)</f>
        <v>2</v>
      </c>
    </row>
    <row r="1801">
      <c r="A1801" s="33">
        <f>IFERROR(__xludf.DUMMYFUNCTION("""COMPUTED_VALUE"""),46114.45798623843)</f>
        <v>46114.45799</v>
      </c>
      <c r="B1801" s="29" t="str">
        <f>IFERROR(__xludf.DUMMYFUNCTION("""COMPUTED_VALUE"""),"Circumcised")</f>
        <v>Circumcised</v>
      </c>
      <c r="C1801" s="29" t="str">
        <f>IFERROR(__xludf.DUMMYFUNCTION("""COMPUTED_VALUE"""),"Pleasure from Mobile Skin")</f>
        <v>Pleasure from Mobile Skin</v>
      </c>
      <c r="D1801" s="29" t="str">
        <f>IFERROR(__xludf.DUMMYFUNCTION("""COMPUTED_VALUE"""),"5 (High/Excellent)")</f>
        <v>5 (High/Excellent)</v>
      </c>
      <c r="E1801" s="29">
        <f>IFERROR(__xludf.DUMMYFUNCTION("""COMPUTED_VALUE"""),5.0)</f>
        <v>5</v>
      </c>
    </row>
    <row r="1802">
      <c r="A1802" s="33">
        <f>IFERROR(__xludf.DUMMYFUNCTION("""COMPUTED_VALUE"""),46116.70468314815)</f>
        <v>46116.70468</v>
      </c>
      <c r="B1802" s="29" t="str">
        <f>IFERROR(__xludf.DUMMYFUNCTION("""COMPUTED_VALUE"""),"Circumcised")</f>
        <v>Circumcised</v>
      </c>
      <c r="C1802" s="29" t="str">
        <f>IFERROR(__xludf.DUMMYFUNCTION("""COMPUTED_VALUE"""),"Pleasure from Mobile Skin")</f>
        <v>Pleasure from Mobile Skin</v>
      </c>
      <c r="D1802" s="29" t="str">
        <f>IFERROR(__xludf.DUMMYFUNCTION("""COMPUTED_VALUE"""),"1 (Low/Poor)")</f>
        <v>1 (Low/Poor)</v>
      </c>
      <c r="E1802" s="29">
        <f>IFERROR(__xludf.DUMMYFUNCTION("""COMPUTED_VALUE"""),1.0)</f>
        <v>1</v>
      </c>
    </row>
    <row r="1803">
      <c r="A1803" s="33">
        <f>IFERROR(__xludf.DUMMYFUNCTION("""COMPUTED_VALUE"""),46116.71896637732)</f>
        <v>46116.71897</v>
      </c>
      <c r="B1803" s="29" t="str">
        <f>IFERROR(__xludf.DUMMYFUNCTION("""COMPUTED_VALUE"""),"Intact (Never circumcised)")</f>
        <v>Intact (Never circumcised)</v>
      </c>
      <c r="C1803" s="29" t="str">
        <f>IFERROR(__xludf.DUMMYFUNCTION("""COMPUTED_VALUE"""),"Pleasure from Mobile Skin")</f>
        <v>Pleasure from Mobile Skin</v>
      </c>
      <c r="D1803" s="29" t="str">
        <f>IFERROR(__xludf.DUMMYFUNCTION("""COMPUTED_VALUE"""),"5 (High/Excellent)")</f>
        <v>5 (High/Excellent)</v>
      </c>
      <c r="E1803" s="29">
        <f>IFERROR(__xludf.DUMMYFUNCTION("""COMPUTED_VALUE"""),5.0)</f>
        <v>5</v>
      </c>
    </row>
    <row r="1804">
      <c r="A1804" s="33">
        <f>IFERROR(__xludf.DUMMYFUNCTION("""COMPUTED_VALUE"""),46116.83796020834)</f>
        <v>46116.83796</v>
      </c>
      <c r="B1804" s="29" t="str">
        <f>IFERROR(__xludf.DUMMYFUNCTION("""COMPUTED_VALUE"""),"Circumcised")</f>
        <v>Circumcised</v>
      </c>
      <c r="C1804" s="29" t="str">
        <f>IFERROR(__xludf.DUMMYFUNCTION("""COMPUTED_VALUE"""),"Pleasure from Mobile Skin")</f>
        <v>Pleasure from Mobile Skin</v>
      </c>
      <c r="D1804" s="29" t="str">
        <f>IFERROR(__xludf.DUMMYFUNCTION("""COMPUTED_VALUE"""),"3 (Medium/Average)")</f>
        <v>3 (Medium/Average)</v>
      </c>
      <c r="E1804" s="29">
        <f>IFERROR(__xludf.DUMMYFUNCTION("""COMPUTED_VALUE"""),3.0)</f>
        <v>3</v>
      </c>
    </row>
    <row r="1805">
      <c r="A1805" s="33">
        <f>IFERROR(__xludf.DUMMYFUNCTION("""COMPUTED_VALUE"""),46117.02418079861)</f>
        <v>46117.02418</v>
      </c>
      <c r="B1805" s="29" t="str">
        <f>IFERROR(__xludf.DUMMYFUNCTION("""COMPUTED_VALUE"""),"Intact (Never circumcised)")</f>
        <v>Intact (Never circumcised)</v>
      </c>
      <c r="C1805" s="29" t="str">
        <f>IFERROR(__xludf.DUMMYFUNCTION("""COMPUTED_VALUE"""),"Pleasure from Mobile Skin")</f>
        <v>Pleasure from Mobile Skin</v>
      </c>
      <c r="D1805" s="29" t="str">
        <f>IFERROR(__xludf.DUMMYFUNCTION("""COMPUTED_VALUE"""),"5 (High/Excellent)")</f>
        <v>5 (High/Excellent)</v>
      </c>
      <c r="E1805" s="29">
        <f>IFERROR(__xludf.DUMMYFUNCTION("""COMPUTED_VALUE"""),5.0)</f>
        <v>5</v>
      </c>
    </row>
    <row r="1806">
      <c r="A1806" s="33">
        <f>IFERROR(__xludf.DUMMYFUNCTION("""COMPUTED_VALUE"""),46117.10372409722)</f>
        <v>46117.10372</v>
      </c>
      <c r="B1806" s="29" t="str">
        <f>IFERROR(__xludf.DUMMYFUNCTION("""COMPUTED_VALUE"""),"Intact (Never circumcised)")</f>
        <v>Intact (Never circumcised)</v>
      </c>
      <c r="C1806" s="29" t="str">
        <f>IFERROR(__xludf.DUMMYFUNCTION("""COMPUTED_VALUE"""),"Pleasure from Mobile Skin")</f>
        <v>Pleasure from Mobile Skin</v>
      </c>
      <c r="D1806" s="29" t="str">
        <f>IFERROR(__xludf.DUMMYFUNCTION("""COMPUTED_VALUE"""),"5 (High/Excellent)")</f>
        <v>5 (High/Excellent)</v>
      </c>
      <c r="E1806" s="29">
        <f>IFERROR(__xludf.DUMMYFUNCTION("""COMPUTED_VALUE"""),5.0)</f>
        <v>5</v>
      </c>
    </row>
    <row r="1807">
      <c r="A1807" s="33">
        <f>IFERROR(__xludf.DUMMYFUNCTION("""COMPUTED_VALUE"""),46117.11012297453)</f>
        <v>46117.11012</v>
      </c>
      <c r="B1807" s="29" t="str">
        <f>IFERROR(__xludf.DUMMYFUNCTION("""COMPUTED_VALUE"""),"Circumcised")</f>
        <v>Circumcised</v>
      </c>
      <c r="C1807" s="29" t="str">
        <f>IFERROR(__xludf.DUMMYFUNCTION("""COMPUTED_VALUE"""),"Pleasure from Mobile Skin")</f>
        <v>Pleasure from Mobile Skin</v>
      </c>
      <c r="D1807" s="29" t="str">
        <f>IFERROR(__xludf.DUMMYFUNCTION("""COMPUTED_VALUE"""),"1 (Low/Poor)")</f>
        <v>1 (Low/Poor)</v>
      </c>
      <c r="E1807" s="29">
        <f>IFERROR(__xludf.DUMMYFUNCTION("""COMPUTED_VALUE"""),1.0)</f>
        <v>1</v>
      </c>
    </row>
    <row r="1808">
      <c r="A1808" s="33">
        <f>IFERROR(__xludf.DUMMYFUNCTION("""COMPUTED_VALUE"""),46117.37274850695)</f>
        <v>46117.37275</v>
      </c>
      <c r="B1808" s="29" t="str">
        <f>IFERROR(__xludf.DUMMYFUNCTION("""COMPUTED_VALUE"""),"Circumcised")</f>
        <v>Circumcised</v>
      </c>
      <c r="C1808" s="29" t="str">
        <f>IFERROR(__xludf.DUMMYFUNCTION("""COMPUTED_VALUE"""),"Pleasure from Mobile Skin")</f>
        <v>Pleasure from Mobile Skin</v>
      </c>
      <c r="D1808" s="29" t="str">
        <f>IFERROR(__xludf.DUMMYFUNCTION("""COMPUTED_VALUE"""),"1 (Low/Poor)")</f>
        <v>1 (Low/Poor)</v>
      </c>
      <c r="E1808" s="29">
        <f>IFERROR(__xludf.DUMMYFUNCTION("""COMPUTED_VALUE"""),1.0)</f>
        <v>1</v>
      </c>
    </row>
    <row r="1809">
      <c r="A1809" s="33">
        <f>IFERROR(__xludf.DUMMYFUNCTION("""COMPUTED_VALUE"""),46117.40241266204)</f>
        <v>46117.40241</v>
      </c>
      <c r="B1809" s="29" t="str">
        <f>IFERROR(__xludf.DUMMYFUNCTION("""COMPUTED_VALUE"""),"Circumcised")</f>
        <v>Circumcised</v>
      </c>
      <c r="C1809" s="29" t="str">
        <f>IFERROR(__xludf.DUMMYFUNCTION("""COMPUTED_VALUE"""),"Pleasure from Mobile Skin")</f>
        <v>Pleasure from Mobile Skin</v>
      </c>
      <c r="D1809" s="29" t="str">
        <f>IFERROR(__xludf.DUMMYFUNCTION("""COMPUTED_VALUE"""),"4")</f>
        <v>4</v>
      </c>
      <c r="E1809" s="29">
        <f>IFERROR(__xludf.DUMMYFUNCTION("""COMPUTED_VALUE"""),4.0)</f>
        <v>4</v>
      </c>
    </row>
    <row r="1810">
      <c r="A1810" s="33">
        <f>IFERROR(__xludf.DUMMYFUNCTION("""COMPUTED_VALUE"""),46117.406726597226)</f>
        <v>46117.40673</v>
      </c>
      <c r="B1810" s="29" t="str">
        <f>IFERROR(__xludf.DUMMYFUNCTION("""COMPUTED_VALUE"""),"Actively restoring my foreskin / I consider myself restored")</f>
        <v>Actively restoring my foreskin / I consider myself restored</v>
      </c>
      <c r="C1810" s="29" t="str">
        <f>IFERROR(__xludf.DUMMYFUNCTION("""COMPUTED_VALUE"""),"Pleasure from Mobile Skin")</f>
        <v>Pleasure from Mobile Skin</v>
      </c>
      <c r="D1810" s="29" t="str">
        <f>IFERROR(__xludf.DUMMYFUNCTION("""COMPUTED_VALUE"""),"2")</f>
        <v>2</v>
      </c>
      <c r="E1810" s="29">
        <f>IFERROR(__xludf.DUMMYFUNCTION("""COMPUTED_VALUE"""),2.0)</f>
        <v>2</v>
      </c>
    </row>
    <row r="1811">
      <c r="A1811" s="33">
        <f>IFERROR(__xludf.DUMMYFUNCTION("""COMPUTED_VALUE"""),46117.43835497685)</f>
        <v>46117.43835</v>
      </c>
      <c r="B1811" s="29" t="str">
        <f>IFERROR(__xludf.DUMMYFUNCTION("""COMPUTED_VALUE"""),"Circumcised")</f>
        <v>Circumcised</v>
      </c>
      <c r="C1811" s="29" t="str">
        <f>IFERROR(__xludf.DUMMYFUNCTION("""COMPUTED_VALUE"""),"Pleasure from Mobile Skin")</f>
        <v>Pleasure from Mobile Skin</v>
      </c>
      <c r="D1811" s="29" t="str">
        <f>IFERROR(__xludf.DUMMYFUNCTION("""COMPUTED_VALUE"""),"2")</f>
        <v>2</v>
      </c>
      <c r="E1811" s="29">
        <f>IFERROR(__xludf.DUMMYFUNCTION("""COMPUTED_VALUE"""),2.0)</f>
        <v>2</v>
      </c>
    </row>
    <row r="1812">
      <c r="A1812" s="33">
        <f>IFERROR(__xludf.DUMMYFUNCTION("""COMPUTED_VALUE"""),46117.52108172454)</f>
        <v>46117.52108</v>
      </c>
      <c r="B1812" s="29" t="str">
        <f>IFERROR(__xludf.DUMMYFUNCTION("""COMPUTED_VALUE"""),"Actively restoring my foreskin / I consider myself restored")</f>
        <v>Actively restoring my foreskin / I consider myself restored</v>
      </c>
      <c r="C1812" s="29" t="str">
        <f>IFERROR(__xludf.DUMMYFUNCTION("""COMPUTED_VALUE"""),"Pleasure from Mobile Skin")</f>
        <v>Pleasure from Mobile Skin</v>
      </c>
      <c r="D1812" s="29" t="str">
        <f>IFERROR(__xludf.DUMMYFUNCTION("""COMPUTED_VALUE"""),"1 (Low/Poor)")</f>
        <v>1 (Low/Poor)</v>
      </c>
      <c r="E1812" s="29">
        <f>IFERROR(__xludf.DUMMYFUNCTION("""COMPUTED_VALUE"""),1.0)</f>
        <v>1</v>
      </c>
    </row>
    <row r="1813">
      <c r="A1813" s="33">
        <f>IFERROR(__xludf.DUMMYFUNCTION("""COMPUTED_VALUE"""),46117.65196458333)</f>
        <v>46117.65196</v>
      </c>
      <c r="B1813" s="29" t="str">
        <f>IFERROR(__xludf.DUMMYFUNCTION("""COMPUTED_VALUE"""),"Actively restoring my foreskin / I consider myself restored")</f>
        <v>Actively restoring my foreskin / I consider myself restored</v>
      </c>
      <c r="C1813" s="29" t="str">
        <f>IFERROR(__xludf.DUMMYFUNCTION("""COMPUTED_VALUE"""),"Pleasure from Mobile Skin")</f>
        <v>Pleasure from Mobile Skin</v>
      </c>
      <c r="D1813" s="29" t="str">
        <f>IFERROR(__xludf.DUMMYFUNCTION("""COMPUTED_VALUE"""),"1 (Low/Poor)")</f>
        <v>1 (Low/Poor)</v>
      </c>
      <c r="E1813" s="29">
        <f>IFERROR(__xludf.DUMMYFUNCTION("""COMPUTED_VALUE"""),1.0)</f>
        <v>1</v>
      </c>
    </row>
    <row r="1814">
      <c r="A1814" s="33">
        <f>IFERROR(__xludf.DUMMYFUNCTION("""COMPUTED_VALUE"""),46117.68275197917)</f>
        <v>46117.68275</v>
      </c>
      <c r="B1814" s="29" t="str">
        <f>IFERROR(__xludf.DUMMYFUNCTION("""COMPUTED_VALUE"""),"Circumcised")</f>
        <v>Circumcised</v>
      </c>
      <c r="C1814" s="29" t="str">
        <f>IFERROR(__xludf.DUMMYFUNCTION("""COMPUTED_VALUE"""),"Pleasure from Mobile Skin")</f>
        <v>Pleasure from Mobile Skin</v>
      </c>
      <c r="D1814" s="29" t="str">
        <f>IFERROR(__xludf.DUMMYFUNCTION("""COMPUTED_VALUE"""),"2")</f>
        <v>2</v>
      </c>
      <c r="E1814" s="29">
        <f>IFERROR(__xludf.DUMMYFUNCTION("""COMPUTED_VALUE"""),2.0)</f>
        <v>2</v>
      </c>
    </row>
    <row r="1815">
      <c r="A1815" s="33">
        <f>IFERROR(__xludf.DUMMYFUNCTION("""COMPUTED_VALUE"""),46117.68807715278)</f>
        <v>46117.68808</v>
      </c>
      <c r="B1815" s="29" t="str">
        <f>IFERROR(__xludf.DUMMYFUNCTION("""COMPUTED_VALUE"""),"Actively restoring my foreskin / I consider myself restored")</f>
        <v>Actively restoring my foreskin / I consider myself restored</v>
      </c>
      <c r="C1815" s="29" t="str">
        <f>IFERROR(__xludf.DUMMYFUNCTION("""COMPUTED_VALUE"""),"Pleasure from Mobile Skin")</f>
        <v>Pleasure from Mobile Skin</v>
      </c>
      <c r="D1815" s="29" t="str">
        <f>IFERROR(__xludf.DUMMYFUNCTION("""COMPUTED_VALUE"""),"4")</f>
        <v>4</v>
      </c>
      <c r="E1815" s="29">
        <f>IFERROR(__xludf.DUMMYFUNCTION("""COMPUTED_VALUE"""),4.0)</f>
        <v>4</v>
      </c>
    </row>
    <row r="1816">
      <c r="A1816" s="33">
        <f>IFERROR(__xludf.DUMMYFUNCTION("""COMPUTED_VALUE"""),46118.06487167824)</f>
        <v>46118.06487</v>
      </c>
      <c r="B1816" s="29" t="str">
        <f>IFERROR(__xludf.DUMMYFUNCTION("""COMPUTED_VALUE"""),"Actively restoring my foreskin / I consider myself restored")</f>
        <v>Actively restoring my foreskin / I consider myself restored</v>
      </c>
      <c r="C1816" s="29" t="str">
        <f>IFERROR(__xludf.DUMMYFUNCTION("""COMPUTED_VALUE"""),"Pleasure from Mobile Skin")</f>
        <v>Pleasure from Mobile Skin</v>
      </c>
      <c r="D1816" s="29" t="str">
        <f>IFERROR(__xludf.DUMMYFUNCTION("""COMPUTED_VALUE"""),"3 (Medium/Average)")</f>
        <v>3 (Medium/Average)</v>
      </c>
      <c r="E1816" s="29">
        <f>IFERROR(__xludf.DUMMYFUNCTION("""COMPUTED_VALUE"""),3.0)</f>
        <v>3</v>
      </c>
    </row>
    <row r="1817">
      <c r="A1817" s="33">
        <f>IFERROR(__xludf.DUMMYFUNCTION("""COMPUTED_VALUE"""),46118.1994543287)</f>
        <v>46118.19945</v>
      </c>
      <c r="B1817" s="29" t="str">
        <f>IFERROR(__xludf.DUMMYFUNCTION("""COMPUTED_VALUE"""),"Actively restoring my foreskin / I consider myself restored")</f>
        <v>Actively restoring my foreskin / I consider myself restored</v>
      </c>
      <c r="C1817" s="29" t="str">
        <f>IFERROR(__xludf.DUMMYFUNCTION("""COMPUTED_VALUE"""),"Pleasure from Mobile Skin")</f>
        <v>Pleasure from Mobile Skin</v>
      </c>
      <c r="D1817" s="29" t="str">
        <f>IFERROR(__xludf.DUMMYFUNCTION("""COMPUTED_VALUE"""),"4")</f>
        <v>4</v>
      </c>
      <c r="E1817" s="29">
        <f>IFERROR(__xludf.DUMMYFUNCTION("""COMPUTED_VALUE"""),4.0)</f>
        <v>4</v>
      </c>
    </row>
    <row r="1818">
      <c r="A1818" s="33">
        <f>IFERROR(__xludf.DUMMYFUNCTION("""COMPUTED_VALUE"""),46118.532824270835)</f>
        <v>46118.53282</v>
      </c>
      <c r="B1818" s="29" t="str">
        <f>IFERROR(__xludf.DUMMYFUNCTION("""COMPUTED_VALUE"""),"Actively restoring my foreskin / I consider myself restored")</f>
        <v>Actively restoring my foreskin / I consider myself restored</v>
      </c>
      <c r="C1818" s="29" t="str">
        <f>IFERROR(__xludf.DUMMYFUNCTION("""COMPUTED_VALUE"""),"Pleasure from Mobile Skin")</f>
        <v>Pleasure from Mobile Skin</v>
      </c>
      <c r="D1818" s="29" t="str">
        <f>IFERROR(__xludf.DUMMYFUNCTION("""COMPUTED_VALUE"""),"4")</f>
        <v>4</v>
      </c>
      <c r="E1818" s="29">
        <f>IFERROR(__xludf.DUMMYFUNCTION("""COMPUTED_VALUE"""),4.0)</f>
        <v>4</v>
      </c>
    </row>
    <row r="1819">
      <c r="A1819" s="33">
        <f>IFERROR(__xludf.DUMMYFUNCTION("""COMPUTED_VALUE"""),46118.63432261574)</f>
        <v>46118.63432</v>
      </c>
      <c r="B1819" s="29" t="str">
        <f>IFERROR(__xludf.DUMMYFUNCTION("""COMPUTED_VALUE"""),"Circumcised")</f>
        <v>Circumcised</v>
      </c>
      <c r="C1819" s="29" t="str">
        <f>IFERROR(__xludf.DUMMYFUNCTION("""COMPUTED_VALUE"""),"Pleasure from Mobile Skin")</f>
        <v>Pleasure from Mobile Skin</v>
      </c>
      <c r="D1819" s="29" t="str">
        <f>IFERROR(__xludf.DUMMYFUNCTION("""COMPUTED_VALUE"""),"1 (Low/Poor)")</f>
        <v>1 (Low/Poor)</v>
      </c>
      <c r="E1819" s="29">
        <f>IFERROR(__xludf.DUMMYFUNCTION("""COMPUTED_VALUE"""),1.0)</f>
        <v>1</v>
      </c>
    </row>
    <row r="1820">
      <c r="A1820" s="33">
        <f>IFERROR(__xludf.DUMMYFUNCTION("""COMPUTED_VALUE"""),46118.69740087963)</f>
        <v>46118.6974</v>
      </c>
      <c r="B1820" s="29" t="str">
        <f>IFERROR(__xludf.DUMMYFUNCTION("""COMPUTED_VALUE"""),"Intact (Never circumcised)")</f>
        <v>Intact (Never circumcised)</v>
      </c>
      <c r="C1820" s="29" t="str">
        <f>IFERROR(__xludf.DUMMYFUNCTION("""COMPUTED_VALUE"""),"Pleasure from Mobile Skin")</f>
        <v>Pleasure from Mobile Skin</v>
      </c>
      <c r="D1820" s="29" t="str">
        <f>IFERROR(__xludf.DUMMYFUNCTION("""COMPUTED_VALUE"""),"4")</f>
        <v>4</v>
      </c>
      <c r="E1820" s="29">
        <f>IFERROR(__xludf.DUMMYFUNCTION("""COMPUTED_VALUE"""),4.0)</f>
        <v>4</v>
      </c>
    </row>
    <row r="1821">
      <c r="A1821" s="33">
        <f>IFERROR(__xludf.DUMMYFUNCTION("""COMPUTED_VALUE"""),46118.738876469906)</f>
        <v>46118.73888</v>
      </c>
      <c r="B1821" s="29" t="str">
        <f>IFERROR(__xludf.DUMMYFUNCTION("""COMPUTED_VALUE"""),"Actively restoring my foreskin / I consider myself restored")</f>
        <v>Actively restoring my foreskin / I consider myself restored</v>
      </c>
      <c r="C1821" s="29" t="str">
        <f>IFERROR(__xludf.DUMMYFUNCTION("""COMPUTED_VALUE"""),"Pleasure from Mobile Skin")</f>
        <v>Pleasure from Mobile Skin</v>
      </c>
      <c r="D1821" s="29" t="str">
        <f>IFERROR(__xludf.DUMMYFUNCTION("""COMPUTED_VALUE"""),"2")</f>
        <v>2</v>
      </c>
      <c r="E1821" s="29">
        <f>IFERROR(__xludf.DUMMYFUNCTION("""COMPUTED_VALUE"""),2.0)</f>
        <v>2</v>
      </c>
    </row>
    <row r="1822">
      <c r="A1822" s="33">
        <f>IFERROR(__xludf.DUMMYFUNCTION("""COMPUTED_VALUE"""),46118.77396358796)</f>
        <v>46118.77396</v>
      </c>
      <c r="B1822" s="29" t="str">
        <f>IFERROR(__xludf.DUMMYFUNCTION("""COMPUTED_VALUE"""),"Intact (Never circumcised)")</f>
        <v>Intact (Never circumcised)</v>
      </c>
      <c r="C1822" s="29" t="str">
        <f>IFERROR(__xludf.DUMMYFUNCTION("""COMPUTED_VALUE"""),"Pleasure from Mobile Skin")</f>
        <v>Pleasure from Mobile Skin</v>
      </c>
      <c r="D1822" s="29" t="str">
        <f>IFERROR(__xludf.DUMMYFUNCTION("""COMPUTED_VALUE"""),"4")</f>
        <v>4</v>
      </c>
      <c r="E1822" s="29">
        <f>IFERROR(__xludf.DUMMYFUNCTION("""COMPUTED_VALUE"""),4.0)</f>
        <v>4</v>
      </c>
    </row>
    <row r="1823">
      <c r="A1823" s="33">
        <f>IFERROR(__xludf.DUMMYFUNCTION("""COMPUTED_VALUE"""),46118.83804181713)</f>
        <v>46118.83804</v>
      </c>
      <c r="B1823" s="29" t="str">
        <f>IFERROR(__xludf.DUMMYFUNCTION("""COMPUTED_VALUE"""),"Circumcised")</f>
        <v>Circumcised</v>
      </c>
      <c r="C1823" s="29" t="str">
        <f>IFERROR(__xludf.DUMMYFUNCTION("""COMPUTED_VALUE"""),"Pleasure from Mobile Skin")</f>
        <v>Pleasure from Mobile Skin</v>
      </c>
      <c r="D1823" s="29" t="str">
        <f>IFERROR(__xludf.DUMMYFUNCTION("""COMPUTED_VALUE"""),"1 (Low/Poor)")</f>
        <v>1 (Low/Poor)</v>
      </c>
      <c r="E1823" s="29">
        <f>IFERROR(__xludf.DUMMYFUNCTION("""COMPUTED_VALUE"""),1.0)</f>
        <v>1</v>
      </c>
    </row>
    <row r="1824">
      <c r="A1824" s="33">
        <f>IFERROR(__xludf.DUMMYFUNCTION("""COMPUTED_VALUE"""),46118.86745592592)</f>
        <v>46118.86746</v>
      </c>
      <c r="B1824" s="29" t="str">
        <f>IFERROR(__xludf.DUMMYFUNCTION("""COMPUTED_VALUE"""),"Circumcised")</f>
        <v>Circumcised</v>
      </c>
      <c r="C1824" s="29" t="str">
        <f>IFERROR(__xludf.DUMMYFUNCTION("""COMPUTED_VALUE"""),"Pleasure from Mobile Skin")</f>
        <v>Pleasure from Mobile Skin</v>
      </c>
      <c r="D1824" s="29" t="str">
        <f>IFERROR(__xludf.DUMMYFUNCTION("""COMPUTED_VALUE"""),"4")</f>
        <v>4</v>
      </c>
      <c r="E1824" s="29">
        <f>IFERROR(__xludf.DUMMYFUNCTION("""COMPUTED_VALUE"""),4.0)</f>
        <v>4</v>
      </c>
    </row>
    <row r="1825">
      <c r="A1825" s="33">
        <f>IFERROR(__xludf.DUMMYFUNCTION("""COMPUTED_VALUE"""),46118.906964062495)</f>
        <v>46118.90696</v>
      </c>
      <c r="B1825" s="29" t="str">
        <f>IFERROR(__xludf.DUMMYFUNCTION("""COMPUTED_VALUE"""),"Actively restoring my foreskin / I consider myself restored")</f>
        <v>Actively restoring my foreskin / I consider myself restored</v>
      </c>
      <c r="C1825" s="29" t="str">
        <f>IFERROR(__xludf.DUMMYFUNCTION("""COMPUTED_VALUE"""),"Pleasure from Mobile Skin")</f>
        <v>Pleasure from Mobile Skin</v>
      </c>
      <c r="D1825" s="29" t="str">
        <f>IFERROR(__xludf.DUMMYFUNCTION("""COMPUTED_VALUE"""),"1 (Low/Poor)")</f>
        <v>1 (Low/Poor)</v>
      </c>
      <c r="E1825" s="29">
        <f>IFERROR(__xludf.DUMMYFUNCTION("""COMPUTED_VALUE"""),1.0)</f>
        <v>1</v>
      </c>
    </row>
    <row r="1826">
      <c r="A1826" s="33">
        <f>IFERROR(__xludf.DUMMYFUNCTION("""COMPUTED_VALUE"""),46118.94306069445)</f>
        <v>46118.94306</v>
      </c>
      <c r="B1826" s="29" t="str">
        <f>IFERROR(__xludf.DUMMYFUNCTION("""COMPUTED_VALUE"""),"Actively restoring my foreskin / I consider myself restored")</f>
        <v>Actively restoring my foreskin / I consider myself restored</v>
      </c>
      <c r="C1826" s="29" t="str">
        <f>IFERROR(__xludf.DUMMYFUNCTION("""COMPUTED_VALUE"""),"Pleasure from Mobile Skin")</f>
        <v>Pleasure from Mobile Skin</v>
      </c>
      <c r="D1826" s="29" t="str">
        <f>IFERROR(__xludf.DUMMYFUNCTION("""COMPUTED_VALUE"""),"3 (Medium/Average)")</f>
        <v>3 (Medium/Average)</v>
      </c>
      <c r="E1826" s="29">
        <f>IFERROR(__xludf.DUMMYFUNCTION("""COMPUTED_VALUE"""),3.0)</f>
        <v>3</v>
      </c>
    </row>
    <row r="1827">
      <c r="A1827" s="33">
        <f>IFERROR(__xludf.DUMMYFUNCTION("""COMPUTED_VALUE"""),46119.19832857639)</f>
        <v>46119.19833</v>
      </c>
      <c r="B1827" s="29" t="str">
        <f>IFERROR(__xludf.DUMMYFUNCTION("""COMPUTED_VALUE"""),"Circumcised")</f>
        <v>Circumcised</v>
      </c>
      <c r="C1827" s="29" t="str">
        <f>IFERROR(__xludf.DUMMYFUNCTION("""COMPUTED_VALUE"""),"Pleasure from Mobile Skin")</f>
        <v>Pleasure from Mobile Skin</v>
      </c>
      <c r="D1827" s="29" t="str">
        <f>IFERROR(__xludf.DUMMYFUNCTION("""COMPUTED_VALUE"""),"2")</f>
        <v>2</v>
      </c>
      <c r="E1827" s="29">
        <f>IFERROR(__xludf.DUMMYFUNCTION("""COMPUTED_VALUE"""),2.0)</f>
        <v>2</v>
      </c>
    </row>
    <row r="1828">
      <c r="A1828" s="33">
        <f>IFERROR(__xludf.DUMMYFUNCTION("""COMPUTED_VALUE"""),46119.33508711806)</f>
        <v>46119.33509</v>
      </c>
      <c r="B1828" s="29" t="str">
        <f>IFERROR(__xludf.DUMMYFUNCTION("""COMPUTED_VALUE"""),"Circumcised")</f>
        <v>Circumcised</v>
      </c>
      <c r="C1828" s="29" t="str">
        <f>IFERROR(__xludf.DUMMYFUNCTION("""COMPUTED_VALUE"""),"Pleasure from Mobile Skin")</f>
        <v>Pleasure from Mobile Skin</v>
      </c>
      <c r="D1828" s="29" t="str">
        <f>IFERROR(__xludf.DUMMYFUNCTION("""COMPUTED_VALUE"""),"1 (Low/Poor)")</f>
        <v>1 (Low/Poor)</v>
      </c>
      <c r="E1828" s="29">
        <f>IFERROR(__xludf.DUMMYFUNCTION("""COMPUTED_VALUE"""),1.0)</f>
        <v>1</v>
      </c>
    </row>
    <row r="1829">
      <c r="A1829" s="33">
        <f>IFERROR(__xludf.DUMMYFUNCTION("""COMPUTED_VALUE"""),46119.630449895834)</f>
        <v>46119.63045</v>
      </c>
      <c r="B1829" s="29" t="str">
        <f>IFERROR(__xludf.DUMMYFUNCTION("""COMPUTED_VALUE"""),"Actively restoring my foreskin / I consider myself restored")</f>
        <v>Actively restoring my foreskin / I consider myself restored</v>
      </c>
      <c r="C1829" s="29" t="str">
        <f>IFERROR(__xludf.DUMMYFUNCTION("""COMPUTED_VALUE"""),"Pleasure from Mobile Skin")</f>
        <v>Pleasure from Mobile Skin</v>
      </c>
      <c r="D1829" s="29" t="str">
        <f>IFERROR(__xludf.DUMMYFUNCTION("""COMPUTED_VALUE"""),"1 (Low/Poor)")</f>
        <v>1 (Low/Poor)</v>
      </c>
      <c r="E1829" s="29">
        <f>IFERROR(__xludf.DUMMYFUNCTION("""COMPUTED_VALUE"""),1.0)</f>
        <v>1</v>
      </c>
    </row>
    <row r="1830">
      <c r="A1830" s="33">
        <f>IFERROR(__xludf.DUMMYFUNCTION("""COMPUTED_VALUE"""),46119.998828379634)</f>
        <v>46119.99883</v>
      </c>
      <c r="B1830" s="29" t="str">
        <f>IFERROR(__xludf.DUMMYFUNCTION("""COMPUTED_VALUE"""),"Intact (Never circumcised)")</f>
        <v>Intact (Never circumcised)</v>
      </c>
      <c r="C1830" s="29" t="str">
        <f>IFERROR(__xludf.DUMMYFUNCTION("""COMPUTED_VALUE"""),"Pleasure from Mobile Skin")</f>
        <v>Pleasure from Mobile Skin</v>
      </c>
      <c r="D1830" s="29" t="str">
        <f>IFERROR(__xludf.DUMMYFUNCTION("""COMPUTED_VALUE"""),"5 (High/Excellent)")</f>
        <v>5 (High/Excellent)</v>
      </c>
      <c r="E1830" s="29">
        <f>IFERROR(__xludf.DUMMYFUNCTION("""COMPUTED_VALUE"""),5.0)</f>
        <v>5</v>
      </c>
    </row>
    <row r="1831">
      <c r="A1831" s="33">
        <f>IFERROR(__xludf.DUMMYFUNCTION("""COMPUTED_VALUE"""),46120.45189376157)</f>
        <v>46120.45189</v>
      </c>
      <c r="B1831" s="29" t="str">
        <f>IFERROR(__xludf.DUMMYFUNCTION("""COMPUTED_VALUE"""),"Circumcised")</f>
        <v>Circumcised</v>
      </c>
      <c r="C1831" s="29" t="str">
        <f>IFERROR(__xludf.DUMMYFUNCTION("""COMPUTED_VALUE"""),"Pleasure from Mobile Skin")</f>
        <v>Pleasure from Mobile Skin</v>
      </c>
      <c r="D1831" s="29" t="str">
        <f>IFERROR(__xludf.DUMMYFUNCTION("""COMPUTED_VALUE"""),"4")</f>
        <v>4</v>
      </c>
      <c r="E1831" s="29">
        <f>IFERROR(__xludf.DUMMYFUNCTION("""COMPUTED_VALUE"""),4.0)</f>
        <v>4</v>
      </c>
    </row>
    <row r="1832">
      <c r="A1832" s="33">
        <f>IFERROR(__xludf.DUMMYFUNCTION("""COMPUTED_VALUE"""),46121.04974232639)</f>
        <v>46121.04974</v>
      </c>
      <c r="B1832" s="29" t="str">
        <f>IFERROR(__xludf.DUMMYFUNCTION("""COMPUTED_VALUE"""),"Circumcised")</f>
        <v>Circumcised</v>
      </c>
      <c r="C1832" s="29" t="str">
        <f>IFERROR(__xludf.DUMMYFUNCTION("""COMPUTED_VALUE"""),"Pleasure from Mobile Skin")</f>
        <v>Pleasure from Mobile Skin</v>
      </c>
      <c r="D1832" s="29" t="str">
        <f>IFERROR(__xludf.DUMMYFUNCTION("""COMPUTED_VALUE"""),"5 (High/Excellent)")</f>
        <v>5 (High/Excellent)</v>
      </c>
      <c r="E1832" s="29">
        <f>IFERROR(__xludf.DUMMYFUNCTION("""COMPUTED_VALUE"""),5.0)</f>
        <v>5</v>
      </c>
    </row>
    <row r="1833">
      <c r="A1833" s="33">
        <f>IFERROR(__xludf.DUMMYFUNCTION("""COMPUTED_VALUE"""),46121.27570546296)</f>
        <v>46121.27571</v>
      </c>
      <c r="B1833" s="29" t="str">
        <f>IFERROR(__xludf.DUMMYFUNCTION("""COMPUTED_VALUE"""),"Actively restoring my foreskin / I consider myself restored")</f>
        <v>Actively restoring my foreskin / I consider myself restored</v>
      </c>
      <c r="C1833" s="29" t="str">
        <f>IFERROR(__xludf.DUMMYFUNCTION("""COMPUTED_VALUE"""),"Pleasure from Mobile Skin")</f>
        <v>Pleasure from Mobile Skin</v>
      </c>
      <c r="D1833" s="29" t="str">
        <f>IFERROR(__xludf.DUMMYFUNCTION("""COMPUTED_VALUE"""),"1 (Low/Poor)")</f>
        <v>1 (Low/Poor)</v>
      </c>
      <c r="E1833" s="29">
        <f>IFERROR(__xludf.DUMMYFUNCTION("""COMPUTED_VALUE"""),1.0)</f>
        <v>1</v>
      </c>
    </row>
    <row r="1834">
      <c r="A1834" s="33">
        <f>IFERROR(__xludf.DUMMYFUNCTION("""COMPUTED_VALUE"""),46121.93295483796)</f>
        <v>46121.93295</v>
      </c>
      <c r="B1834" s="29" t="str">
        <f>IFERROR(__xludf.DUMMYFUNCTION("""COMPUTED_VALUE"""),"Circumcised")</f>
        <v>Circumcised</v>
      </c>
      <c r="C1834" s="29" t="str">
        <f>IFERROR(__xludf.DUMMYFUNCTION("""COMPUTED_VALUE"""),"Pleasure from Mobile Skin")</f>
        <v>Pleasure from Mobile Skin</v>
      </c>
      <c r="D1834" s="29" t="str">
        <f>IFERROR(__xludf.DUMMYFUNCTION("""COMPUTED_VALUE"""),"2")</f>
        <v>2</v>
      </c>
      <c r="E1834" s="29">
        <f>IFERROR(__xludf.DUMMYFUNCTION("""COMPUTED_VALUE"""),2.0)</f>
        <v>2</v>
      </c>
    </row>
    <row r="1835">
      <c r="A1835" s="33">
        <f>IFERROR(__xludf.DUMMYFUNCTION("""COMPUTED_VALUE"""),46122.46081304398)</f>
        <v>46122.46081</v>
      </c>
      <c r="B1835" s="29" t="str">
        <f>IFERROR(__xludf.DUMMYFUNCTION("""COMPUTED_VALUE"""),"Circumcised")</f>
        <v>Circumcised</v>
      </c>
      <c r="C1835" s="29" t="str">
        <f>IFERROR(__xludf.DUMMYFUNCTION("""COMPUTED_VALUE"""),"Pleasure from Mobile Skin")</f>
        <v>Pleasure from Mobile Skin</v>
      </c>
      <c r="D1835" s="29" t="str">
        <f>IFERROR(__xludf.DUMMYFUNCTION("""COMPUTED_VALUE"""),"1 (Low/Poor)")</f>
        <v>1 (Low/Poor)</v>
      </c>
      <c r="E1835" s="29">
        <f>IFERROR(__xludf.DUMMYFUNCTION("""COMPUTED_VALUE"""),1.0)</f>
        <v>1</v>
      </c>
    </row>
    <row r="1836">
      <c r="A1836" s="33">
        <f>IFERROR(__xludf.DUMMYFUNCTION("""COMPUTED_VALUE"""),46122.94345912037)</f>
        <v>46122.94346</v>
      </c>
      <c r="B1836" s="29" t="str">
        <f>IFERROR(__xludf.DUMMYFUNCTION("""COMPUTED_VALUE"""),"Circumcised")</f>
        <v>Circumcised</v>
      </c>
      <c r="C1836" s="29" t="str">
        <f>IFERROR(__xludf.DUMMYFUNCTION("""COMPUTED_VALUE"""),"Pleasure from Mobile Skin")</f>
        <v>Pleasure from Mobile Skin</v>
      </c>
      <c r="D1836" s="29" t="str">
        <f>IFERROR(__xludf.DUMMYFUNCTION("""COMPUTED_VALUE"""),"1 (Low/Poor)")</f>
        <v>1 (Low/Poor)</v>
      </c>
      <c r="E1836" s="29">
        <f>IFERROR(__xludf.DUMMYFUNCTION("""COMPUTED_VALUE"""),1.0)</f>
        <v>1</v>
      </c>
    </row>
    <row r="1837">
      <c r="A1837" s="33">
        <f>IFERROR(__xludf.DUMMYFUNCTION("""COMPUTED_VALUE"""),46123.0318577199)</f>
        <v>46123.03186</v>
      </c>
      <c r="B1837" s="29" t="str">
        <f>IFERROR(__xludf.DUMMYFUNCTION("""COMPUTED_VALUE"""),"Intact (Never circumcised)")</f>
        <v>Intact (Never circumcised)</v>
      </c>
      <c r="C1837" s="29" t="str">
        <f>IFERROR(__xludf.DUMMYFUNCTION("""COMPUTED_VALUE"""),"Pleasure from Mobile Skin")</f>
        <v>Pleasure from Mobile Skin</v>
      </c>
      <c r="D1837" s="29" t="str">
        <f>IFERROR(__xludf.DUMMYFUNCTION("""COMPUTED_VALUE"""),"5 (High/Excellent)")</f>
        <v>5 (High/Excellent)</v>
      </c>
      <c r="E1837" s="29">
        <f>IFERROR(__xludf.DUMMYFUNCTION("""COMPUTED_VALUE"""),5.0)</f>
        <v>5</v>
      </c>
    </row>
    <row r="1838">
      <c r="A1838" s="33">
        <f>IFERROR(__xludf.DUMMYFUNCTION("""COMPUTED_VALUE"""),46123.75352236111)</f>
        <v>46123.75352</v>
      </c>
      <c r="B1838" s="29" t="str">
        <f>IFERROR(__xludf.DUMMYFUNCTION("""COMPUTED_VALUE"""),"Actively restoring my foreskin / I consider myself restored")</f>
        <v>Actively restoring my foreskin / I consider myself restored</v>
      </c>
      <c r="C1838" s="29" t="str">
        <f>IFERROR(__xludf.DUMMYFUNCTION("""COMPUTED_VALUE"""),"Pleasure from Mobile Skin")</f>
        <v>Pleasure from Mobile Skin</v>
      </c>
      <c r="D1838" s="29" t="str">
        <f>IFERROR(__xludf.DUMMYFUNCTION("""COMPUTED_VALUE"""),"2")</f>
        <v>2</v>
      </c>
      <c r="E1838" s="29">
        <f>IFERROR(__xludf.DUMMYFUNCTION("""COMPUTED_VALUE"""),2.0)</f>
        <v>2</v>
      </c>
    </row>
    <row r="1839">
      <c r="A1839" s="33">
        <f>IFERROR(__xludf.DUMMYFUNCTION("""COMPUTED_VALUE"""),46124.27076814815)</f>
        <v>46124.27077</v>
      </c>
      <c r="B1839" s="29" t="str">
        <f>IFERROR(__xludf.DUMMYFUNCTION("""COMPUTED_VALUE"""),"Circumcised")</f>
        <v>Circumcised</v>
      </c>
      <c r="C1839" s="29" t="str">
        <f>IFERROR(__xludf.DUMMYFUNCTION("""COMPUTED_VALUE"""),"Pleasure from Mobile Skin")</f>
        <v>Pleasure from Mobile Skin</v>
      </c>
      <c r="D1839" s="29" t="str">
        <f>IFERROR(__xludf.DUMMYFUNCTION("""COMPUTED_VALUE"""),"1 (Low/Poor)")</f>
        <v>1 (Low/Poor)</v>
      </c>
      <c r="E1839" s="29">
        <f>IFERROR(__xludf.DUMMYFUNCTION("""COMPUTED_VALUE"""),1.0)</f>
        <v>1</v>
      </c>
    </row>
    <row r="1840">
      <c r="A1840" s="33">
        <f>IFERROR(__xludf.DUMMYFUNCTION("""COMPUTED_VALUE"""),46124.78037094907)</f>
        <v>46124.78037</v>
      </c>
      <c r="B1840" s="29" t="str">
        <f>IFERROR(__xludf.DUMMYFUNCTION("""COMPUTED_VALUE"""),"Circumcised")</f>
        <v>Circumcised</v>
      </c>
      <c r="C1840" s="29" t="str">
        <f>IFERROR(__xludf.DUMMYFUNCTION("""COMPUTED_VALUE"""),"Pleasure from Mobile Skin")</f>
        <v>Pleasure from Mobile Skin</v>
      </c>
      <c r="D1840" s="29" t="str">
        <f>IFERROR(__xludf.DUMMYFUNCTION("""COMPUTED_VALUE"""),"1 (Low/Poor)")</f>
        <v>1 (Low/Poor)</v>
      </c>
      <c r="E1840" s="29">
        <f>IFERROR(__xludf.DUMMYFUNCTION("""COMPUTED_VALUE"""),1.0)</f>
        <v>1</v>
      </c>
    </row>
    <row r="1841">
      <c r="A1841" s="33">
        <f>IFERROR(__xludf.DUMMYFUNCTION("""COMPUTED_VALUE"""),46125.61132210649)</f>
        <v>46125.61132</v>
      </c>
      <c r="B1841" s="29" t="str">
        <f>IFERROR(__xludf.DUMMYFUNCTION("""COMPUTED_VALUE"""),"Circumcised")</f>
        <v>Circumcised</v>
      </c>
      <c r="C1841" s="29" t="str">
        <f>IFERROR(__xludf.DUMMYFUNCTION("""COMPUTED_VALUE"""),"Pleasure from Mobile Skin")</f>
        <v>Pleasure from Mobile Skin</v>
      </c>
      <c r="D1841" s="29" t="str">
        <f>IFERROR(__xludf.DUMMYFUNCTION("""COMPUTED_VALUE"""),"1 (Low/Poor)")</f>
        <v>1 (Low/Poor)</v>
      </c>
      <c r="E1841" s="29">
        <f>IFERROR(__xludf.DUMMYFUNCTION("""COMPUTED_VALUE"""),1.0)</f>
        <v>1</v>
      </c>
    </row>
    <row r="1842">
      <c r="A1842" s="33">
        <f>IFERROR(__xludf.DUMMYFUNCTION("""COMPUTED_VALUE"""),46126.37213568287)</f>
        <v>46126.37214</v>
      </c>
      <c r="B1842" s="29" t="str">
        <f>IFERROR(__xludf.DUMMYFUNCTION("""COMPUTED_VALUE"""),"Intact (Never circumcised)")</f>
        <v>Intact (Never circumcised)</v>
      </c>
      <c r="C1842" s="29" t="str">
        <f>IFERROR(__xludf.DUMMYFUNCTION("""COMPUTED_VALUE"""),"Pleasure from Mobile Skin")</f>
        <v>Pleasure from Mobile Skin</v>
      </c>
      <c r="D1842" s="29" t="str">
        <f>IFERROR(__xludf.DUMMYFUNCTION("""COMPUTED_VALUE"""),"4")</f>
        <v>4</v>
      </c>
      <c r="E1842" s="29">
        <f>IFERROR(__xludf.DUMMYFUNCTION("""COMPUTED_VALUE"""),4.0)</f>
        <v>4</v>
      </c>
    </row>
    <row r="1843">
      <c r="A1843" s="33">
        <f>IFERROR(__xludf.DUMMYFUNCTION("""COMPUTED_VALUE"""),46126.609716817125)</f>
        <v>46126.60972</v>
      </c>
      <c r="B1843" s="29" t="str">
        <f>IFERROR(__xludf.DUMMYFUNCTION("""COMPUTED_VALUE"""),"Intact (Never circumcised)")</f>
        <v>Intact (Never circumcised)</v>
      </c>
      <c r="C1843" s="29" t="str">
        <f>IFERROR(__xludf.DUMMYFUNCTION("""COMPUTED_VALUE"""),"Pleasure from Mobile Skin")</f>
        <v>Pleasure from Mobile Skin</v>
      </c>
      <c r="D1843" s="29" t="str">
        <f>IFERROR(__xludf.DUMMYFUNCTION("""COMPUTED_VALUE"""),"5 (High/Excellent)")</f>
        <v>5 (High/Excellent)</v>
      </c>
      <c r="E1843" s="29">
        <f>IFERROR(__xludf.DUMMYFUNCTION("""COMPUTED_VALUE"""),5.0)</f>
        <v>5</v>
      </c>
    </row>
    <row r="1844">
      <c r="A1844" s="33">
        <f>IFERROR(__xludf.DUMMYFUNCTION("""COMPUTED_VALUE"""),46129.64641299768)</f>
        <v>46129.64641</v>
      </c>
      <c r="B1844" s="29" t="str">
        <f>IFERROR(__xludf.DUMMYFUNCTION("""COMPUTED_VALUE"""),"Circumcised")</f>
        <v>Circumcised</v>
      </c>
      <c r="C1844" s="29" t="str">
        <f>IFERROR(__xludf.DUMMYFUNCTION("""COMPUTED_VALUE"""),"Pleasure from Mobile Skin")</f>
        <v>Pleasure from Mobile Skin</v>
      </c>
      <c r="D1844" s="29" t="str">
        <f>IFERROR(__xludf.DUMMYFUNCTION("""COMPUTED_VALUE"""),"4")</f>
        <v>4</v>
      </c>
      <c r="E1844" s="29">
        <f>IFERROR(__xludf.DUMMYFUNCTION("""COMPUTED_VALUE"""),4.0)</f>
        <v>4</v>
      </c>
    </row>
    <row r="1845">
      <c r="A1845" s="33">
        <f>IFERROR(__xludf.DUMMYFUNCTION("""COMPUTED_VALUE"""),46131.52759640047)</f>
        <v>46131.5276</v>
      </c>
      <c r="B1845" s="29" t="str">
        <f>IFERROR(__xludf.DUMMYFUNCTION("""COMPUTED_VALUE"""),"Circumcised")</f>
        <v>Circumcised</v>
      </c>
      <c r="C1845" s="29" t="str">
        <f>IFERROR(__xludf.DUMMYFUNCTION("""COMPUTED_VALUE"""),"Pleasure from Mobile Skin")</f>
        <v>Pleasure from Mobile Skin</v>
      </c>
      <c r="D1845" s="29" t="str">
        <f>IFERROR(__xludf.DUMMYFUNCTION("""COMPUTED_VALUE"""),"1 (Low/Poor)")</f>
        <v>1 (Low/Poor)</v>
      </c>
      <c r="E1845" s="29">
        <f>IFERROR(__xludf.DUMMYFUNCTION("""COMPUTED_VALUE"""),1.0)</f>
        <v>1</v>
      </c>
    </row>
    <row r="1846">
      <c r="A1846" s="33">
        <f>IFERROR(__xludf.DUMMYFUNCTION("""COMPUTED_VALUE"""),46132.226501157405)</f>
        <v>46132.2265</v>
      </c>
      <c r="B1846" s="29" t="str">
        <f>IFERROR(__xludf.DUMMYFUNCTION("""COMPUTED_VALUE"""),"Intact (Never circumcised)")</f>
        <v>Intact (Never circumcised)</v>
      </c>
      <c r="C1846" s="29" t="str">
        <f>IFERROR(__xludf.DUMMYFUNCTION("""COMPUTED_VALUE"""),"Pleasure from Mobile Skin")</f>
        <v>Pleasure from Mobile Skin</v>
      </c>
      <c r="D1846" s="29" t="str">
        <f>IFERROR(__xludf.DUMMYFUNCTION("""COMPUTED_VALUE"""),"5 (High/Excellent)")</f>
        <v>5 (High/Excellent)</v>
      </c>
      <c r="E1846" s="29">
        <f>IFERROR(__xludf.DUMMYFUNCTION("""COMPUTED_VALUE"""),5.0)</f>
        <v>5</v>
      </c>
    </row>
    <row r="1847">
      <c r="A1847" s="33">
        <f>IFERROR(__xludf.DUMMYFUNCTION("""COMPUTED_VALUE"""),46133.03297357639)</f>
        <v>46133.03297</v>
      </c>
      <c r="B1847" s="29" t="str">
        <f>IFERROR(__xludf.DUMMYFUNCTION("""COMPUTED_VALUE"""),"Intact (Never circumcised)")</f>
        <v>Intact (Never circumcised)</v>
      </c>
      <c r="C1847" s="29" t="str">
        <f>IFERROR(__xludf.DUMMYFUNCTION("""COMPUTED_VALUE"""),"Pleasure from Mobile Skin")</f>
        <v>Pleasure from Mobile Skin</v>
      </c>
      <c r="D1847" s="29" t="str">
        <f>IFERROR(__xludf.DUMMYFUNCTION("""COMPUTED_VALUE"""),"4")</f>
        <v>4</v>
      </c>
      <c r="E1847" s="29">
        <f>IFERROR(__xludf.DUMMYFUNCTION("""COMPUTED_VALUE"""),4.0)</f>
        <v>4</v>
      </c>
    </row>
    <row r="1848">
      <c r="A1848" s="33">
        <f>IFERROR(__xludf.DUMMYFUNCTION("""COMPUTED_VALUE"""),46133.186501759265)</f>
        <v>46133.1865</v>
      </c>
      <c r="B1848" s="29" t="str">
        <f>IFERROR(__xludf.DUMMYFUNCTION("""COMPUTED_VALUE"""),"Circumcised")</f>
        <v>Circumcised</v>
      </c>
      <c r="C1848" s="29" t="str">
        <f>IFERROR(__xludf.DUMMYFUNCTION("""COMPUTED_VALUE"""),"Pleasure from Mobile Skin")</f>
        <v>Pleasure from Mobile Skin</v>
      </c>
      <c r="D1848" s="29" t="str">
        <f>IFERROR(__xludf.DUMMYFUNCTION("""COMPUTED_VALUE"""),"2")</f>
        <v>2</v>
      </c>
      <c r="E1848" s="29">
        <f>IFERROR(__xludf.DUMMYFUNCTION("""COMPUTED_VALUE"""),2.0)</f>
        <v>2</v>
      </c>
    </row>
    <row r="1849">
      <c r="A1849" s="33">
        <f>IFERROR(__xludf.DUMMYFUNCTION("""COMPUTED_VALUE"""),46134.22396824074)</f>
        <v>46134.22397</v>
      </c>
      <c r="B1849" s="29" t="str">
        <f>IFERROR(__xludf.DUMMYFUNCTION("""COMPUTED_VALUE"""),"Circumcised")</f>
        <v>Circumcised</v>
      </c>
      <c r="C1849" s="29" t="str">
        <f>IFERROR(__xludf.DUMMYFUNCTION("""COMPUTED_VALUE"""),"Pleasure from Mobile Skin")</f>
        <v>Pleasure from Mobile Skin</v>
      </c>
      <c r="D1849" s="29" t="str">
        <f>IFERROR(__xludf.DUMMYFUNCTION("""COMPUTED_VALUE"""),"5 (High/Excellent)")</f>
        <v>5 (High/Excellent)</v>
      </c>
      <c r="E1849" s="29">
        <f>IFERROR(__xludf.DUMMYFUNCTION("""COMPUTED_VALUE"""),5.0)</f>
        <v>5</v>
      </c>
    </row>
    <row r="1850">
      <c r="A1850" s="33">
        <f>IFERROR(__xludf.DUMMYFUNCTION("""COMPUTED_VALUE"""),46139.22647099537)</f>
        <v>46139.22647</v>
      </c>
      <c r="B1850" s="29" t="str">
        <f>IFERROR(__xludf.DUMMYFUNCTION("""COMPUTED_VALUE"""),"Circumcised")</f>
        <v>Circumcised</v>
      </c>
      <c r="C1850" s="29" t="str">
        <f>IFERROR(__xludf.DUMMYFUNCTION("""COMPUTED_VALUE"""),"Pleasure from Mobile Skin")</f>
        <v>Pleasure from Mobile Skin</v>
      </c>
      <c r="D1850" s="29" t="str">
        <f>IFERROR(__xludf.DUMMYFUNCTION("""COMPUTED_VALUE"""),"1 (Low/Poor)")</f>
        <v>1 (Low/Poor)</v>
      </c>
      <c r="E1850" s="29">
        <f>IFERROR(__xludf.DUMMYFUNCTION("""COMPUTED_VALUE"""),1.0)</f>
        <v>1</v>
      </c>
    </row>
    <row r="1851">
      <c r="A1851" s="33">
        <f>IFERROR(__xludf.DUMMYFUNCTION("""COMPUTED_VALUE"""),46143.65511586805)</f>
        <v>46143.65512</v>
      </c>
      <c r="B1851" s="29" t="str">
        <f>IFERROR(__xludf.DUMMYFUNCTION("""COMPUTED_VALUE"""),"Circumcised")</f>
        <v>Circumcised</v>
      </c>
      <c r="C1851" s="29" t="str">
        <f>IFERROR(__xludf.DUMMYFUNCTION("""COMPUTED_VALUE"""),"Pleasure from Mobile Skin")</f>
        <v>Pleasure from Mobile Skin</v>
      </c>
      <c r="D1851" s="29" t="str">
        <f>IFERROR(__xludf.DUMMYFUNCTION("""COMPUTED_VALUE"""),"2")</f>
        <v>2</v>
      </c>
      <c r="E1851" s="29">
        <f>IFERROR(__xludf.DUMMYFUNCTION("""COMPUTED_VALUE"""),2.0)</f>
        <v>2</v>
      </c>
    </row>
    <row r="1852">
      <c r="A1852" s="33">
        <f>IFERROR(__xludf.DUMMYFUNCTION("""COMPUTED_VALUE"""),46146.244808854164)</f>
        <v>46146.24481</v>
      </c>
      <c r="B1852" s="29" t="str">
        <f>IFERROR(__xludf.DUMMYFUNCTION("""COMPUTED_VALUE"""),"Circumcised")</f>
        <v>Circumcised</v>
      </c>
      <c r="C1852" s="29" t="str">
        <f>IFERROR(__xludf.DUMMYFUNCTION("""COMPUTED_VALUE"""),"Pleasure from Mobile Skin")</f>
        <v>Pleasure from Mobile Skin</v>
      </c>
      <c r="D1852" s="29" t="str">
        <f>IFERROR(__xludf.DUMMYFUNCTION("""COMPUTED_VALUE"""),"1 (Low/Poor)")</f>
        <v>1 (Low/Poor)</v>
      </c>
      <c r="E1852" s="29">
        <f>IFERROR(__xludf.DUMMYFUNCTION("""COMPUTED_VALUE"""),1.0)</f>
        <v>1</v>
      </c>
    </row>
    <row r="1853">
      <c r="A1853" s="33">
        <f>IFERROR(__xludf.DUMMYFUNCTION("""COMPUTED_VALUE"""),46150.09750815973)</f>
        <v>46150.09751</v>
      </c>
      <c r="B1853" s="29" t="str">
        <f>IFERROR(__xludf.DUMMYFUNCTION("""COMPUTED_VALUE"""),"Circumcised")</f>
        <v>Circumcised</v>
      </c>
      <c r="C1853" s="29" t="str">
        <f>IFERROR(__xludf.DUMMYFUNCTION("""COMPUTED_VALUE"""),"Pleasure from Mobile Skin")</f>
        <v>Pleasure from Mobile Skin</v>
      </c>
      <c r="D1853" s="29" t="str">
        <f>IFERROR(__xludf.DUMMYFUNCTION("""COMPUTED_VALUE"""),"3 (Medium/Average)")</f>
        <v>3 (Medium/Average)</v>
      </c>
      <c r="E1853" s="29">
        <f>IFERROR(__xludf.DUMMYFUNCTION("""COMPUTED_VALUE"""),3.0)</f>
        <v>3</v>
      </c>
    </row>
    <row r="1854">
      <c r="A1854" s="33">
        <f>IFERROR(__xludf.DUMMYFUNCTION("""COMPUTED_VALUE"""),46159.019054930555)</f>
        <v>46159.01905</v>
      </c>
      <c r="B1854" s="29" t="str">
        <f>IFERROR(__xludf.DUMMYFUNCTION("""COMPUTED_VALUE"""),"Circumcised")</f>
        <v>Circumcised</v>
      </c>
      <c r="C1854" s="29" t="str">
        <f>IFERROR(__xludf.DUMMYFUNCTION("""COMPUTED_VALUE"""),"Pleasure from Mobile Skin")</f>
        <v>Pleasure from Mobile Skin</v>
      </c>
      <c r="D1854" s="29" t="str">
        <f>IFERROR(__xludf.DUMMYFUNCTION("""COMPUTED_VALUE"""),"1 (Low/Poor)")</f>
        <v>1 (Low/Poor)</v>
      </c>
      <c r="E1854" s="29">
        <f>IFERROR(__xludf.DUMMYFUNCTION("""COMPUTED_VALUE"""),1.0)</f>
        <v>1</v>
      </c>
    </row>
    <row r="1855">
      <c r="A1855" s="33">
        <f>IFERROR(__xludf.DUMMYFUNCTION("""COMPUTED_VALUE"""),46163.04970236112)</f>
        <v>46163.0497</v>
      </c>
      <c r="B1855" s="29" t="str">
        <f>IFERROR(__xludf.DUMMYFUNCTION("""COMPUTED_VALUE"""),"Circumcised")</f>
        <v>Circumcised</v>
      </c>
      <c r="C1855" s="29" t="str">
        <f>IFERROR(__xludf.DUMMYFUNCTION("""COMPUTED_VALUE"""),"Pleasure from Mobile Skin")</f>
        <v>Pleasure from Mobile Skin</v>
      </c>
      <c r="D1855" s="29" t="str">
        <f>IFERROR(__xludf.DUMMYFUNCTION("""COMPUTED_VALUE"""),"4")</f>
        <v>4</v>
      </c>
      <c r="E1855" s="29">
        <f>IFERROR(__xludf.DUMMYFUNCTION("""COMPUTED_VALUE"""),4.0)</f>
        <v>4</v>
      </c>
    </row>
    <row r="1856">
      <c r="A1856" s="33">
        <f>IFERROR(__xludf.DUMMYFUNCTION("""COMPUTED_VALUE"""),46172.316871793984)</f>
        <v>46172.31687</v>
      </c>
      <c r="B1856" s="29" t="str">
        <f>IFERROR(__xludf.DUMMYFUNCTION("""COMPUTED_VALUE"""),"Intact (Never circumcised)")</f>
        <v>Intact (Never circumcised)</v>
      </c>
      <c r="C1856" s="29" t="str">
        <f>IFERROR(__xludf.DUMMYFUNCTION("""COMPUTED_VALUE"""),"Pleasure from Mobile Skin")</f>
        <v>Pleasure from Mobile Skin</v>
      </c>
      <c r="D1856" s="29" t="str">
        <f>IFERROR(__xludf.DUMMYFUNCTION("""COMPUTED_VALUE"""),"5 (High/Excellent)")</f>
        <v>5 (High/Excellent)</v>
      </c>
      <c r="E1856" s="29">
        <f>IFERROR(__xludf.DUMMYFUNCTION("""COMPUTED_VALUE"""),5.0)</f>
        <v>5</v>
      </c>
    </row>
    <row r="1857">
      <c r="A1857" s="33">
        <f>IFERROR(__xludf.DUMMYFUNCTION("""COMPUTED_VALUE"""),46176.16395915509)</f>
        <v>46176.16396</v>
      </c>
      <c r="B1857" s="29" t="str">
        <f>IFERROR(__xludf.DUMMYFUNCTION("""COMPUTED_VALUE"""),"Circumcised")</f>
        <v>Circumcised</v>
      </c>
      <c r="C1857" s="29" t="str">
        <f>IFERROR(__xludf.DUMMYFUNCTION("""COMPUTED_VALUE"""),"Pleasure from Mobile Skin")</f>
        <v>Pleasure from Mobile Skin</v>
      </c>
      <c r="D1857" s="29" t="str">
        <f>IFERROR(__xludf.DUMMYFUNCTION("""COMPUTED_VALUE"""),"5 (High/Excellent)")</f>
        <v>5 (High/Excellent)</v>
      </c>
      <c r="E1857" s="29">
        <f>IFERROR(__xludf.DUMMYFUNCTION("""COMPUTED_VALUE"""),5.0)</f>
        <v>5</v>
      </c>
    </row>
    <row r="1858">
      <c r="A1858" s="33">
        <f>IFERROR(__xludf.DUMMYFUNCTION("""COMPUTED_VALUE"""),46179.82143106481)</f>
        <v>46179.82143</v>
      </c>
      <c r="B1858" s="29" t="str">
        <f>IFERROR(__xludf.DUMMYFUNCTION("""COMPUTED_VALUE"""),"Intact (Never circumcised)")</f>
        <v>Intact (Never circumcised)</v>
      </c>
      <c r="C1858" s="29" t="str">
        <f>IFERROR(__xludf.DUMMYFUNCTION("""COMPUTED_VALUE"""),"Pleasure from Mobile Skin")</f>
        <v>Pleasure from Mobile Skin</v>
      </c>
      <c r="D1858" s="29" t="str">
        <f>IFERROR(__xludf.DUMMYFUNCTION("""COMPUTED_VALUE"""),"4")</f>
        <v>4</v>
      </c>
      <c r="E1858" s="29">
        <f>IFERROR(__xludf.DUMMYFUNCTION("""COMPUTED_VALUE"""),4.0)</f>
        <v>4</v>
      </c>
    </row>
    <row r="1859">
      <c r="A1859" s="33">
        <f>IFERROR(__xludf.DUMMYFUNCTION("""COMPUTED_VALUE"""),46181.34934444445)</f>
        <v>46181.34934</v>
      </c>
      <c r="B1859" s="29" t="str">
        <f>IFERROR(__xludf.DUMMYFUNCTION("""COMPUTED_VALUE"""),"Intact (Never circumcised)")</f>
        <v>Intact (Never circumcised)</v>
      </c>
      <c r="C1859" s="29" t="str">
        <f>IFERROR(__xludf.DUMMYFUNCTION("""COMPUTED_VALUE"""),"Pleasure from Mobile Skin")</f>
        <v>Pleasure from Mobile Skin</v>
      </c>
      <c r="D1859" s="29" t="str">
        <f>IFERROR(__xludf.DUMMYFUNCTION("""COMPUTED_VALUE"""),"4")</f>
        <v>4</v>
      </c>
      <c r="E1859" s="29">
        <f>IFERROR(__xludf.DUMMYFUNCTION("""COMPUTED_VALUE"""),4.0)</f>
        <v>4</v>
      </c>
    </row>
    <row r="1860">
      <c r="A1860" s="33">
        <f>IFERROR(__xludf.DUMMYFUNCTION("""COMPUTED_VALUE"""),46181.86271541667)</f>
        <v>46181.86272</v>
      </c>
      <c r="B1860" s="29" t="str">
        <f>IFERROR(__xludf.DUMMYFUNCTION("""COMPUTED_VALUE"""),"Circumcised")</f>
        <v>Circumcised</v>
      </c>
      <c r="C1860" s="29" t="str">
        <f>IFERROR(__xludf.DUMMYFUNCTION("""COMPUTED_VALUE"""),"Pleasure from Mobile Skin")</f>
        <v>Pleasure from Mobile Skin</v>
      </c>
      <c r="D1860" s="29" t="str">
        <f>IFERROR(__xludf.DUMMYFUNCTION("""COMPUTED_VALUE"""),"2")</f>
        <v>2</v>
      </c>
      <c r="E1860" s="29">
        <f>IFERROR(__xludf.DUMMYFUNCTION("""COMPUTED_VALUE"""),2.0)</f>
        <v>2</v>
      </c>
    </row>
    <row r="1861">
      <c r="A1861" s="33">
        <f>IFERROR(__xludf.DUMMYFUNCTION("""COMPUTED_VALUE"""),46182.806710358804)</f>
        <v>46182.80671</v>
      </c>
      <c r="B1861" s="29" t="str">
        <f>IFERROR(__xludf.DUMMYFUNCTION("""COMPUTED_VALUE"""),"Intact (Never circumcised)")</f>
        <v>Intact (Never circumcised)</v>
      </c>
      <c r="C1861" s="29" t="str">
        <f>IFERROR(__xludf.DUMMYFUNCTION("""COMPUTED_VALUE"""),"Pleasure from Mobile Skin")</f>
        <v>Pleasure from Mobile Skin</v>
      </c>
      <c r="D1861" s="29" t="str">
        <f>IFERROR(__xludf.DUMMYFUNCTION("""COMPUTED_VALUE"""),"3 (Medium/Average)")</f>
        <v>3 (Medium/Average)</v>
      </c>
      <c r="E1861" s="29">
        <f>IFERROR(__xludf.DUMMYFUNCTION("""COMPUTED_VALUE"""),3.0)</f>
        <v>3</v>
      </c>
    </row>
    <row r="1862">
      <c r="A1862" s="33">
        <f>IFERROR(__xludf.DUMMYFUNCTION("""COMPUTED_VALUE"""),46187.824254467596)</f>
        <v>46187.82425</v>
      </c>
      <c r="B1862" s="29" t="str">
        <f>IFERROR(__xludf.DUMMYFUNCTION("""COMPUTED_VALUE"""),"Circumcised")</f>
        <v>Circumcised</v>
      </c>
      <c r="C1862" s="29" t="str">
        <f>IFERROR(__xludf.DUMMYFUNCTION("""COMPUTED_VALUE"""),"Pleasure from Mobile Skin")</f>
        <v>Pleasure from Mobile Skin</v>
      </c>
      <c r="D1862" s="29" t="str">
        <f>IFERROR(__xludf.DUMMYFUNCTION("""COMPUTED_VALUE"""),"3 (Medium/Average)")</f>
        <v>3 (Medium/Average)</v>
      </c>
      <c r="E1862" s="29">
        <f>IFERROR(__xludf.DUMMYFUNCTION("""COMPUTED_VALUE"""),3.0)</f>
        <v>3</v>
      </c>
    </row>
    <row r="1863">
      <c r="A1863" s="33">
        <f>IFERROR(__xludf.DUMMYFUNCTION("""COMPUTED_VALUE"""),45825.046766956024)</f>
        <v>45825.04677</v>
      </c>
      <c r="B1863" s="29" t="str">
        <f>IFERROR(__xludf.DUMMYFUNCTION("""COMPUTED_VALUE"""),"Actively restoring my foreskin / I consider myself restored")</f>
        <v>Actively restoring my foreskin / I consider myself restored</v>
      </c>
      <c r="C1863" s="29" t="str">
        <f>IFERROR(__xludf.DUMMYFUNCTION("""COMPUTED_VALUE"""),"Variety of Sensation")</f>
        <v>Variety of Sensation</v>
      </c>
      <c r="D1863" s="29" t="str">
        <f>IFERROR(__xludf.DUMMYFUNCTION("""COMPUTED_VALUE"""),"2")</f>
        <v>2</v>
      </c>
      <c r="E1863" s="29">
        <f>IFERROR(__xludf.DUMMYFUNCTION("""COMPUTED_VALUE"""),2.0)</f>
        <v>2</v>
      </c>
    </row>
    <row r="1864">
      <c r="A1864" s="33">
        <f>IFERROR(__xludf.DUMMYFUNCTION("""COMPUTED_VALUE"""),45825.05825144676)</f>
        <v>45825.05825</v>
      </c>
      <c r="B1864" s="29" t="str">
        <f>IFERROR(__xludf.DUMMYFUNCTION("""COMPUTED_VALUE"""),"Circumcised")</f>
        <v>Circumcised</v>
      </c>
      <c r="C1864" s="29" t="str">
        <f>IFERROR(__xludf.DUMMYFUNCTION("""COMPUTED_VALUE"""),"Variety of Sensation")</f>
        <v>Variety of Sensation</v>
      </c>
      <c r="D1864" s="29" t="str">
        <f>IFERROR(__xludf.DUMMYFUNCTION("""COMPUTED_VALUE"""),"1 (Low/Poor)")</f>
        <v>1 (Low/Poor)</v>
      </c>
      <c r="E1864" s="29">
        <f>IFERROR(__xludf.DUMMYFUNCTION("""COMPUTED_VALUE"""),1.0)</f>
        <v>1</v>
      </c>
    </row>
    <row r="1865">
      <c r="A1865" s="33">
        <f>IFERROR(__xludf.DUMMYFUNCTION("""COMPUTED_VALUE"""),45825.103313796295)</f>
        <v>45825.10331</v>
      </c>
      <c r="B1865" s="29" t="str">
        <f>IFERROR(__xludf.DUMMYFUNCTION("""COMPUTED_VALUE"""),"Actively restoring my foreskin / I consider myself restored")</f>
        <v>Actively restoring my foreskin / I consider myself restored</v>
      </c>
      <c r="C1865" s="29" t="str">
        <f>IFERROR(__xludf.DUMMYFUNCTION("""COMPUTED_VALUE"""),"Variety of Sensation")</f>
        <v>Variety of Sensation</v>
      </c>
      <c r="D1865" s="29" t="str">
        <f>IFERROR(__xludf.DUMMYFUNCTION("""COMPUTED_VALUE"""),"1 (Low/Poor)")</f>
        <v>1 (Low/Poor)</v>
      </c>
      <c r="E1865" s="29">
        <f>IFERROR(__xludf.DUMMYFUNCTION("""COMPUTED_VALUE"""),1.0)</f>
        <v>1</v>
      </c>
    </row>
    <row r="1866">
      <c r="A1866" s="33">
        <f>IFERROR(__xludf.DUMMYFUNCTION("""COMPUTED_VALUE"""),45825.223511655095)</f>
        <v>45825.22351</v>
      </c>
      <c r="B1866" s="29" t="str">
        <f>IFERROR(__xludf.DUMMYFUNCTION("""COMPUTED_VALUE"""),"Actively restoring my foreskin / I consider myself restored")</f>
        <v>Actively restoring my foreskin / I consider myself restored</v>
      </c>
      <c r="C1866" s="29" t="str">
        <f>IFERROR(__xludf.DUMMYFUNCTION("""COMPUTED_VALUE"""),"Variety of Sensation")</f>
        <v>Variety of Sensation</v>
      </c>
      <c r="D1866" s="29" t="str">
        <f>IFERROR(__xludf.DUMMYFUNCTION("""COMPUTED_VALUE"""),"3 (Medium/Average)")</f>
        <v>3 (Medium/Average)</v>
      </c>
      <c r="E1866" s="29">
        <f>IFERROR(__xludf.DUMMYFUNCTION("""COMPUTED_VALUE"""),3.0)</f>
        <v>3</v>
      </c>
    </row>
    <row r="1867">
      <c r="A1867" s="33">
        <f>IFERROR(__xludf.DUMMYFUNCTION("""COMPUTED_VALUE"""),45825.25907047454)</f>
        <v>45825.25907</v>
      </c>
      <c r="B1867" s="29" t="str">
        <f>IFERROR(__xludf.DUMMYFUNCTION("""COMPUTED_VALUE"""),"Circumcised")</f>
        <v>Circumcised</v>
      </c>
      <c r="C1867" s="29" t="str">
        <f>IFERROR(__xludf.DUMMYFUNCTION("""COMPUTED_VALUE"""),"Variety of Sensation")</f>
        <v>Variety of Sensation</v>
      </c>
      <c r="D1867" s="29" t="str">
        <f>IFERROR(__xludf.DUMMYFUNCTION("""COMPUTED_VALUE"""),"2")</f>
        <v>2</v>
      </c>
      <c r="E1867" s="29">
        <f>IFERROR(__xludf.DUMMYFUNCTION("""COMPUTED_VALUE"""),2.0)</f>
        <v>2</v>
      </c>
    </row>
    <row r="1868">
      <c r="A1868" s="33">
        <f>IFERROR(__xludf.DUMMYFUNCTION("""COMPUTED_VALUE"""),45825.4346852662)</f>
        <v>45825.43469</v>
      </c>
      <c r="B1868" s="29" t="str">
        <f>IFERROR(__xludf.DUMMYFUNCTION("""COMPUTED_VALUE"""),"Actively restoring my foreskin / I consider myself restored")</f>
        <v>Actively restoring my foreskin / I consider myself restored</v>
      </c>
      <c r="C1868" s="29" t="str">
        <f>IFERROR(__xludf.DUMMYFUNCTION("""COMPUTED_VALUE"""),"Variety of Sensation")</f>
        <v>Variety of Sensation</v>
      </c>
      <c r="D1868" s="29" t="str">
        <f>IFERROR(__xludf.DUMMYFUNCTION("""COMPUTED_VALUE"""),"4")</f>
        <v>4</v>
      </c>
      <c r="E1868" s="29">
        <f>IFERROR(__xludf.DUMMYFUNCTION("""COMPUTED_VALUE"""),4.0)</f>
        <v>4</v>
      </c>
    </row>
    <row r="1869">
      <c r="A1869" s="33">
        <f>IFERROR(__xludf.DUMMYFUNCTION("""COMPUTED_VALUE"""),45826.77728232639)</f>
        <v>45826.77728</v>
      </c>
      <c r="B1869" s="29" t="str">
        <f>IFERROR(__xludf.DUMMYFUNCTION("""COMPUTED_VALUE"""),"Actively restoring my foreskin / I consider myself restored")</f>
        <v>Actively restoring my foreskin / I consider myself restored</v>
      </c>
      <c r="C1869" s="29" t="str">
        <f>IFERROR(__xludf.DUMMYFUNCTION("""COMPUTED_VALUE"""),"Variety of Sensation")</f>
        <v>Variety of Sensation</v>
      </c>
      <c r="D1869" s="29" t="str">
        <f>IFERROR(__xludf.DUMMYFUNCTION("""COMPUTED_VALUE"""),"2")</f>
        <v>2</v>
      </c>
      <c r="E1869" s="29">
        <f>IFERROR(__xludf.DUMMYFUNCTION("""COMPUTED_VALUE"""),2.0)</f>
        <v>2</v>
      </c>
    </row>
    <row r="1870">
      <c r="A1870" s="33">
        <f>IFERROR(__xludf.DUMMYFUNCTION("""COMPUTED_VALUE"""),45826.853455763885)</f>
        <v>45826.85346</v>
      </c>
      <c r="B1870" s="29" t="str">
        <f>IFERROR(__xludf.DUMMYFUNCTION("""COMPUTED_VALUE"""),"Circumcised")</f>
        <v>Circumcised</v>
      </c>
      <c r="C1870" s="29" t="str">
        <f>IFERROR(__xludf.DUMMYFUNCTION("""COMPUTED_VALUE"""),"Variety of Sensation")</f>
        <v>Variety of Sensation</v>
      </c>
      <c r="D1870" s="29" t="str">
        <f>IFERROR(__xludf.DUMMYFUNCTION("""COMPUTED_VALUE"""),"1 (Low/Poor)")</f>
        <v>1 (Low/Poor)</v>
      </c>
      <c r="E1870" s="29">
        <f>IFERROR(__xludf.DUMMYFUNCTION("""COMPUTED_VALUE"""),1.0)</f>
        <v>1</v>
      </c>
    </row>
    <row r="1871">
      <c r="A1871" s="33">
        <f>IFERROR(__xludf.DUMMYFUNCTION("""COMPUTED_VALUE"""),45826.85406060185)</f>
        <v>45826.85406</v>
      </c>
      <c r="B1871" s="29" t="str">
        <f>IFERROR(__xludf.DUMMYFUNCTION("""COMPUTED_VALUE"""),"Circumcised")</f>
        <v>Circumcised</v>
      </c>
      <c r="C1871" s="29" t="str">
        <f>IFERROR(__xludf.DUMMYFUNCTION("""COMPUTED_VALUE"""),"Variety of Sensation")</f>
        <v>Variety of Sensation</v>
      </c>
      <c r="D1871" s="29" t="str">
        <f>IFERROR(__xludf.DUMMYFUNCTION("""COMPUTED_VALUE"""),"2")</f>
        <v>2</v>
      </c>
      <c r="E1871" s="29">
        <f>IFERROR(__xludf.DUMMYFUNCTION("""COMPUTED_VALUE"""),2.0)</f>
        <v>2</v>
      </c>
    </row>
    <row r="1872">
      <c r="A1872" s="33">
        <f>IFERROR(__xludf.DUMMYFUNCTION("""COMPUTED_VALUE"""),45826.879537835644)</f>
        <v>45826.87954</v>
      </c>
      <c r="B1872" s="29" t="str">
        <f>IFERROR(__xludf.DUMMYFUNCTION("""COMPUTED_VALUE"""),"Actively restoring my foreskin / I consider myself restored")</f>
        <v>Actively restoring my foreskin / I consider myself restored</v>
      </c>
      <c r="C1872" s="29" t="str">
        <f>IFERROR(__xludf.DUMMYFUNCTION("""COMPUTED_VALUE"""),"Variety of Sensation")</f>
        <v>Variety of Sensation</v>
      </c>
      <c r="D1872" s="29" t="str">
        <f>IFERROR(__xludf.DUMMYFUNCTION("""COMPUTED_VALUE"""),"2")</f>
        <v>2</v>
      </c>
      <c r="E1872" s="29">
        <f>IFERROR(__xludf.DUMMYFUNCTION("""COMPUTED_VALUE"""),2.0)</f>
        <v>2</v>
      </c>
    </row>
    <row r="1873">
      <c r="A1873" s="33">
        <f>IFERROR(__xludf.DUMMYFUNCTION("""COMPUTED_VALUE"""),45826.87984899305)</f>
        <v>45826.87985</v>
      </c>
      <c r="B1873" s="29" t="str">
        <f>IFERROR(__xludf.DUMMYFUNCTION("""COMPUTED_VALUE"""),"Actively restoring my foreskin / I consider myself restored")</f>
        <v>Actively restoring my foreskin / I consider myself restored</v>
      </c>
      <c r="C1873" s="29" t="str">
        <f>IFERROR(__xludf.DUMMYFUNCTION("""COMPUTED_VALUE"""),"Variety of Sensation")</f>
        <v>Variety of Sensation</v>
      </c>
      <c r="D1873" s="29" t="str">
        <f>IFERROR(__xludf.DUMMYFUNCTION("""COMPUTED_VALUE"""),"1 (Low/Poor)")</f>
        <v>1 (Low/Poor)</v>
      </c>
      <c r="E1873" s="29">
        <f>IFERROR(__xludf.DUMMYFUNCTION("""COMPUTED_VALUE"""),1.0)</f>
        <v>1</v>
      </c>
    </row>
    <row r="1874">
      <c r="A1874" s="33">
        <f>IFERROR(__xludf.DUMMYFUNCTION("""COMPUTED_VALUE"""),45826.90960921296)</f>
        <v>45826.90961</v>
      </c>
      <c r="B1874" s="29" t="str">
        <f>IFERROR(__xludf.DUMMYFUNCTION("""COMPUTED_VALUE"""),"Circumcised")</f>
        <v>Circumcised</v>
      </c>
      <c r="C1874" s="29" t="str">
        <f>IFERROR(__xludf.DUMMYFUNCTION("""COMPUTED_VALUE"""),"Variety of Sensation")</f>
        <v>Variety of Sensation</v>
      </c>
      <c r="D1874" s="29" t="str">
        <f>IFERROR(__xludf.DUMMYFUNCTION("""COMPUTED_VALUE"""),"5 (High/Excellent)")</f>
        <v>5 (High/Excellent)</v>
      </c>
      <c r="E1874" s="29">
        <f>IFERROR(__xludf.DUMMYFUNCTION("""COMPUTED_VALUE"""),5.0)</f>
        <v>5</v>
      </c>
    </row>
    <row r="1875">
      <c r="A1875" s="33">
        <f>IFERROR(__xludf.DUMMYFUNCTION("""COMPUTED_VALUE"""),45826.92376010417)</f>
        <v>45826.92376</v>
      </c>
      <c r="B1875" s="29" t="str">
        <f>IFERROR(__xludf.DUMMYFUNCTION("""COMPUTED_VALUE"""),"Circumcised")</f>
        <v>Circumcised</v>
      </c>
      <c r="C1875" s="29" t="str">
        <f>IFERROR(__xludf.DUMMYFUNCTION("""COMPUTED_VALUE"""),"Variety of Sensation")</f>
        <v>Variety of Sensation</v>
      </c>
      <c r="D1875" s="29" t="str">
        <f>IFERROR(__xludf.DUMMYFUNCTION("""COMPUTED_VALUE"""),"1 (Low/Poor)")</f>
        <v>1 (Low/Poor)</v>
      </c>
      <c r="E1875" s="29">
        <f>IFERROR(__xludf.DUMMYFUNCTION("""COMPUTED_VALUE"""),1.0)</f>
        <v>1</v>
      </c>
    </row>
    <row r="1876">
      <c r="A1876" s="33">
        <f>IFERROR(__xludf.DUMMYFUNCTION("""COMPUTED_VALUE"""),45826.92420601851)</f>
        <v>45826.92421</v>
      </c>
      <c r="B1876" s="29" t="str">
        <f>IFERROR(__xludf.DUMMYFUNCTION("""COMPUTED_VALUE"""),"Circumcised")</f>
        <v>Circumcised</v>
      </c>
      <c r="C1876" s="29" t="str">
        <f>IFERROR(__xludf.DUMMYFUNCTION("""COMPUTED_VALUE"""),"Variety of Sensation")</f>
        <v>Variety of Sensation</v>
      </c>
      <c r="D1876" s="29" t="str">
        <f>IFERROR(__xludf.DUMMYFUNCTION("""COMPUTED_VALUE"""),"2")</f>
        <v>2</v>
      </c>
      <c r="E1876" s="29">
        <f>IFERROR(__xludf.DUMMYFUNCTION("""COMPUTED_VALUE"""),2.0)</f>
        <v>2</v>
      </c>
    </row>
    <row r="1877">
      <c r="A1877" s="33">
        <f>IFERROR(__xludf.DUMMYFUNCTION("""COMPUTED_VALUE"""),45826.94651975695)</f>
        <v>45826.94652</v>
      </c>
      <c r="B1877" s="29" t="str">
        <f>IFERROR(__xludf.DUMMYFUNCTION("""COMPUTED_VALUE"""),"Circumcised")</f>
        <v>Circumcised</v>
      </c>
      <c r="C1877" s="29" t="str">
        <f>IFERROR(__xludf.DUMMYFUNCTION("""COMPUTED_VALUE"""),"Variety of Sensation")</f>
        <v>Variety of Sensation</v>
      </c>
      <c r="D1877" s="29" t="str">
        <f>IFERROR(__xludf.DUMMYFUNCTION("""COMPUTED_VALUE"""),"2")</f>
        <v>2</v>
      </c>
      <c r="E1877" s="29">
        <f>IFERROR(__xludf.DUMMYFUNCTION("""COMPUTED_VALUE"""),2.0)</f>
        <v>2</v>
      </c>
    </row>
    <row r="1878">
      <c r="A1878" s="33">
        <f>IFERROR(__xludf.DUMMYFUNCTION("""COMPUTED_VALUE"""),45826.96069337963)</f>
        <v>45826.96069</v>
      </c>
      <c r="B1878" s="29" t="str">
        <f>IFERROR(__xludf.DUMMYFUNCTION("""COMPUTED_VALUE"""),"Circumcised")</f>
        <v>Circumcised</v>
      </c>
      <c r="C1878" s="29" t="str">
        <f>IFERROR(__xludf.DUMMYFUNCTION("""COMPUTED_VALUE"""),"Variety of Sensation")</f>
        <v>Variety of Sensation</v>
      </c>
      <c r="D1878" s="29" t="str">
        <f>IFERROR(__xludf.DUMMYFUNCTION("""COMPUTED_VALUE"""),"1 (Low/Poor)")</f>
        <v>1 (Low/Poor)</v>
      </c>
      <c r="E1878" s="29">
        <f>IFERROR(__xludf.DUMMYFUNCTION("""COMPUTED_VALUE"""),1.0)</f>
        <v>1</v>
      </c>
    </row>
    <row r="1879">
      <c r="A1879" s="33">
        <f>IFERROR(__xludf.DUMMYFUNCTION("""COMPUTED_VALUE"""),45826.965006562496)</f>
        <v>45826.96501</v>
      </c>
      <c r="B1879" s="29" t="str">
        <f>IFERROR(__xludf.DUMMYFUNCTION("""COMPUTED_VALUE"""),"Circumcised")</f>
        <v>Circumcised</v>
      </c>
      <c r="C1879" s="29" t="str">
        <f>IFERROR(__xludf.DUMMYFUNCTION("""COMPUTED_VALUE"""),"Variety of Sensation")</f>
        <v>Variety of Sensation</v>
      </c>
      <c r="D1879" s="29" t="str">
        <f>IFERROR(__xludf.DUMMYFUNCTION("""COMPUTED_VALUE"""),"2")</f>
        <v>2</v>
      </c>
      <c r="E1879" s="29">
        <f>IFERROR(__xludf.DUMMYFUNCTION("""COMPUTED_VALUE"""),2.0)</f>
        <v>2</v>
      </c>
    </row>
    <row r="1880">
      <c r="A1880" s="33">
        <f>IFERROR(__xludf.DUMMYFUNCTION("""COMPUTED_VALUE"""),45826.98130766204)</f>
        <v>45826.98131</v>
      </c>
      <c r="B1880" s="29" t="str">
        <f>IFERROR(__xludf.DUMMYFUNCTION("""COMPUTED_VALUE"""),"Actively restoring my foreskin / I consider myself restored")</f>
        <v>Actively restoring my foreskin / I consider myself restored</v>
      </c>
      <c r="C1880" s="29" t="str">
        <f>IFERROR(__xludf.DUMMYFUNCTION("""COMPUTED_VALUE"""),"Variety of Sensation")</f>
        <v>Variety of Sensation</v>
      </c>
      <c r="D1880" s="29" t="str">
        <f>IFERROR(__xludf.DUMMYFUNCTION("""COMPUTED_VALUE"""),"3 (Medium/Average)")</f>
        <v>3 (Medium/Average)</v>
      </c>
      <c r="E1880" s="29">
        <f>IFERROR(__xludf.DUMMYFUNCTION("""COMPUTED_VALUE"""),3.0)</f>
        <v>3</v>
      </c>
    </row>
    <row r="1881">
      <c r="A1881" s="33">
        <f>IFERROR(__xludf.DUMMYFUNCTION("""COMPUTED_VALUE"""),45826.999987523144)</f>
        <v>45826.99999</v>
      </c>
      <c r="B1881" s="29" t="str">
        <f>IFERROR(__xludf.DUMMYFUNCTION("""COMPUTED_VALUE"""),"Circumcised")</f>
        <v>Circumcised</v>
      </c>
      <c r="C1881" s="29" t="str">
        <f>IFERROR(__xludf.DUMMYFUNCTION("""COMPUTED_VALUE"""),"Variety of Sensation")</f>
        <v>Variety of Sensation</v>
      </c>
      <c r="D1881" s="29" t="str">
        <f>IFERROR(__xludf.DUMMYFUNCTION("""COMPUTED_VALUE"""),"2")</f>
        <v>2</v>
      </c>
      <c r="E1881" s="29">
        <f>IFERROR(__xludf.DUMMYFUNCTION("""COMPUTED_VALUE"""),2.0)</f>
        <v>2</v>
      </c>
    </row>
    <row r="1882">
      <c r="A1882" s="33">
        <f>IFERROR(__xludf.DUMMYFUNCTION("""COMPUTED_VALUE"""),45827.03329590277)</f>
        <v>45827.0333</v>
      </c>
      <c r="B1882" s="29" t="str">
        <f>IFERROR(__xludf.DUMMYFUNCTION("""COMPUTED_VALUE"""),"Actively restoring my foreskin / I consider myself restored")</f>
        <v>Actively restoring my foreskin / I consider myself restored</v>
      </c>
      <c r="C1882" s="29" t="str">
        <f>IFERROR(__xludf.DUMMYFUNCTION("""COMPUTED_VALUE"""),"Variety of Sensation")</f>
        <v>Variety of Sensation</v>
      </c>
      <c r="D1882" s="29" t="str">
        <f>IFERROR(__xludf.DUMMYFUNCTION("""COMPUTED_VALUE"""),"2")</f>
        <v>2</v>
      </c>
      <c r="E1882" s="29">
        <f>IFERROR(__xludf.DUMMYFUNCTION("""COMPUTED_VALUE"""),2.0)</f>
        <v>2</v>
      </c>
    </row>
    <row r="1883">
      <c r="A1883" s="33">
        <f>IFERROR(__xludf.DUMMYFUNCTION("""COMPUTED_VALUE"""),45827.04287230324)</f>
        <v>45827.04287</v>
      </c>
      <c r="B1883" s="29" t="str">
        <f>IFERROR(__xludf.DUMMYFUNCTION("""COMPUTED_VALUE"""),"Actively restoring my foreskin / I consider myself restored")</f>
        <v>Actively restoring my foreskin / I consider myself restored</v>
      </c>
      <c r="C1883" s="29" t="str">
        <f>IFERROR(__xludf.DUMMYFUNCTION("""COMPUTED_VALUE"""),"Variety of Sensation")</f>
        <v>Variety of Sensation</v>
      </c>
      <c r="D1883" s="29" t="str">
        <f>IFERROR(__xludf.DUMMYFUNCTION("""COMPUTED_VALUE"""),"2")</f>
        <v>2</v>
      </c>
      <c r="E1883" s="29">
        <f>IFERROR(__xludf.DUMMYFUNCTION("""COMPUTED_VALUE"""),2.0)</f>
        <v>2</v>
      </c>
    </row>
    <row r="1884">
      <c r="A1884" s="33">
        <f>IFERROR(__xludf.DUMMYFUNCTION("""COMPUTED_VALUE"""),45827.10090055556)</f>
        <v>45827.1009</v>
      </c>
      <c r="B1884" s="29" t="str">
        <f>IFERROR(__xludf.DUMMYFUNCTION("""COMPUTED_VALUE"""),"Circumcised")</f>
        <v>Circumcised</v>
      </c>
      <c r="C1884" s="29" t="str">
        <f>IFERROR(__xludf.DUMMYFUNCTION("""COMPUTED_VALUE"""),"Variety of Sensation")</f>
        <v>Variety of Sensation</v>
      </c>
      <c r="D1884" s="29" t="str">
        <f>IFERROR(__xludf.DUMMYFUNCTION("""COMPUTED_VALUE"""),"2")</f>
        <v>2</v>
      </c>
      <c r="E1884" s="29">
        <f>IFERROR(__xludf.DUMMYFUNCTION("""COMPUTED_VALUE"""),2.0)</f>
        <v>2</v>
      </c>
    </row>
    <row r="1885">
      <c r="A1885" s="33">
        <f>IFERROR(__xludf.DUMMYFUNCTION("""COMPUTED_VALUE"""),45827.10245875)</f>
        <v>45827.10246</v>
      </c>
      <c r="B1885" s="29" t="str">
        <f>IFERROR(__xludf.DUMMYFUNCTION("""COMPUTED_VALUE"""),"Actively restoring my foreskin / I consider myself restored")</f>
        <v>Actively restoring my foreskin / I consider myself restored</v>
      </c>
      <c r="C1885" s="29" t="str">
        <f>IFERROR(__xludf.DUMMYFUNCTION("""COMPUTED_VALUE"""),"Variety of Sensation")</f>
        <v>Variety of Sensation</v>
      </c>
      <c r="D1885" s="29" t="str">
        <f>IFERROR(__xludf.DUMMYFUNCTION("""COMPUTED_VALUE"""),"3 (Medium/Average)")</f>
        <v>3 (Medium/Average)</v>
      </c>
      <c r="E1885" s="29">
        <f>IFERROR(__xludf.DUMMYFUNCTION("""COMPUTED_VALUE"""),3.0)</f>
        <v>3</v>
      </c>
    </row>
    <row r="1886">
      <c r="A1886" s="33">
        <f>IFERROR(__xludf.DUMMYFUNCTION("""COMPUTED_VALUE"""),45827.13108915509)</f>
        <v>45827.13109</v>
      </c>
      <c r="B1886" s="29" t="str">
        <f>IFERROR(__xludf.DUMMYFUNCTION("""COMPUTED_VALUE"""),"Actively restoring my foreskin / I consider myself restored")</f>
        <v>Actively restoring my foreskin / I consider myself restored</v>
      </c>
      <c r="C1886" s="29" t="str">
        <f>IFERROR(__xludf.DUMMYFUNCTION("""COMPUTED_VALUE"""),"Variety of Sensation")</f>
        <v>Variety of Sensation</v>
      </c>
      <c r="D1886" s="29" t="str">
        <f>IFERROR(__xludf.DUMMYFUNCTION("""COMPUTED_VALUE"""),"1 (Low/Poor)")</f>
        <v>1 (Low/Poor)</v>
      </c>
      <c r="E1886" s="29">
        <f>IFERROR(__xludf.DUMMYFUNCTION("""COMPUTED_VALUE"""),1.0)</f>
        <v>1</v>
      </c>
    </row>
    <row r="1887">
      <c r="A1887" s="33">
        <f>IFERROR(__xludf.DUMMYFUNCTION("""COMPUTED_VALUE"""),45827.1437643287)</f>
        <v>45827.14376</v>
      </c>
      <c r="B1887" s="29" t="str">
        <f>IFERROR(__xludf.DUMMYFUNCTION("""COMPUTED_VALUE"""),"Circumcised")</f>
        <v>Circumcised</v>
      </c>
      <c r="C1887" s="29" t="str">
        <f>IFERROR(__xludf.DUMMYFUNCTION("""COMPUTED_VALUE"""),"Variety of Sensation")</f>
        <v>Variety of Sensation</v>
      </c>
      <c r="D1887" s="29" t="str">
        <f>IFERROR(__xludf.DUMMYFUNCTION("""COMPUTED_VALUE"""),"2")</f>
        <v>2</v>
      </c>
      <c r="E1887" s="29">
        <f>IFERROR(__xludf.DUMMYFUNCTION("""COMPUTED_VALUE"""),2.0)</f>
        <v>2</v>
      </c>
    </row>
    <row r="1888">
      <c r="A1888" s="33">
        <f>IFERROR(__xludf.DUMMYFUNCTION("""COMPUTED_VALUE"""),45827.154774386574)</f>
        <v>45827.15477</v>
      </c>
      <c r="B1888" s="29" t="str">
        <f>IFERROR(__xludf.DUMMYFUNCTION("""COMPUTED_VALUE"""),"Actively restoring my foreskin / I consider myself restored")</f>
        <v>Actively restoring my foreskin / I consider myself restored</v>
      </c>
      <c r="C1888" s="29" t="str">
        <f>IFERROR(__xludf.DUMMYFUNCTION("""COMPUTED_VALUE"""),"Variety of Sensation")</f>
        <v>Variety of Sensation</v>
      </c>
      <c r="D1888" s="29" t="str">
        <f>IFERROR(__xludf.DUMMYFUNCTION("""COMPUTED_VALUE"""),"3 (Medium/Average)")</f>
        <v>3 (Medium/Average)</v>
      </c>
      <c r="E1888" s="29">
        <f>IFERROR(__xludf.DUMMYFUNCTION("""COMPUTED_VALUE"""),3.0)</f>
        <v>3</v>
      </c>
    </row>
    <row r="1889">
      <c r="A1889" s="33">
        <f>IFERROR(__xludf.DUMMYFUNCTION("""COMPUTED_VALUE"""),45827.166781851854)</f>
        <v>45827.16678</v>
      </c>
      <c r="B1889" s="29" t="str">
        <f>IFERROR(__xludf.DUMMYFUNCTION("""COMPUTED_VALUE"""),"Intact (Never circumcised)")</f>
        <v>Intact (Never circumcised)</v>
      </c>
      <c r="C1889" s="29" t="str">
        <f>IFERROR(__xludf.DUMMYFUNCTION("""COMPUTED_VALUE"""),"Variety of Sensation")</f>
        <v>Variety of Sensation</v>
      </c>
      <c r="D1889" s="29" t="str">
        <f>IFERROR(__xludf.DUMMYFUNCTION("""COMPUTED_VALUE"""),"5 (High/Excellent)")</f>
        <v>5 (High/Excellent)</v>
      </c>
      <c r="E1889" s="29">
        <f>IFERROR(__xludf.DUMMYFUNCTION("""COMPUTED_VALUE"""),5.0)</f>
        <v>5</v>
      </c>
    </row>
    <row r="1890">
      <c r="A1890" s="33">
        <f>IFERROR(__xludf.DUMMYFUNCTION("""COMPUTED_VALUE"""),45827.22959027778)</f>
        <v>45827.22959</v>
      </c>
      <c r="B1890" s="29" t="str">
        <f>IFERROR(__xludf.DUMMYFUNCTION("""COMPUTED_VALUE"""),"Actively restoring my foreskin / I consider myself restored")</f>
        <v>Actively restoring my foreskin / I consider myself restored</v>
      </c>
      <c r="C1890" s="29" t="str">
        <f>IFERROR(__xludf.DUMMYFUNCTION("""COMPUTED_VALUE"""),"Variety of Sensation")</f>
        <v>Variety of Sensation</v>
      </c>
      <c r="D1890" s="29" t="str">
        <f>IFERROR(__xludf.DUMMYFUNCTION("""COMPUTED_VALUE"""),"1 (Low/Poor)")</f>
        <v>1 (Low/Poor)</v>
      </c>
      <c r="E1890" s="29">
        <f>IFERROR(__xludf.DUMMYFUNCTION("""COMPUTED_VALUE"""),1.0)</f>
        <v>1</v>
      </c>
    </row>
    <row r="1891">
      <c r="A1891" s="33">
        <f>IFERROR(__xludf.DUMMYFUNCTION("""COMPUTED_VALUE"""),45827.23603613426)</f>
        <v>45827.23604</v>
      </c>
      <c r="B1891" s="29" t="str">
        <f>IFERROR(__xludf.DUMMYFUNCTION("""COMPUTED_VALUE"""),"Actively restoring my foreskin / I consider myself restored")</f>
        <v>Actively restoring my foreskin / I consider myself restored</v>
      </c>
      <c r="C1891" s="29" t="str">
        <f>IFERROR(__xludf.DUMMYFUNCTION("""COMPUTED_VALUE"""),"Variety of Sensation")</f>
        <v>Variety of Sensation</v>
      </c>
      <c r="D1891" s="29" t="str">
        <f>IFERROR(__xludf.DUMMYFUNCTION("""COMPUTED_VALUE"""),"5 (High/Excellent)")</f>
        <v>5 (High/Excellent)</v>
      </c>
      <c r="E1891" s="29">
        <f>IFERROR(__xludf.DUMMYFUNCTION("""COMPUTED_VALUE"""),5.0)</f>
        <v>5</v>
      </c>
    </row>
    <row r="1892">
      <c r="A1892" s="33">
        <f>IFERROR(__xludf.DUMMYFUNCTION("""COMPUTED_VALUE"""),45827.23853277778)</f>
        <v>45827.23853</v>
      </c>
      <c r="B1892" s="29" t="str">
        <f>IFERROR(__xludf.DUMMYFUNCTION("""COMPUTED_VALUE"""),"Actively restoring my foreskin / I consider myself restored")</f>
        <v>Actively restoring my foreskin / I consider myself restored</v>
      </c>
      <c r="C1892" s="29" t="str">
        <f>IFERROR(__xludf.DUMMYFUNCTION("""COMPUTED_VALUE"""),"Variety of Sensation")</f>
        <v>Variety of Sensation</v>
      </c>
      <c r="D1892" s="29" t="str">
        <f>IFERROR(__xludf.DUMMYFUNCTION("""COMPUTED_VALUE"""),"3 (Medium/Average)")</f>
        <v>3 (Medium/Average)</v>
      </c>
      <c r="E1892" s="29">
        <f>IFERROR(__xludf.DUMMYFUNCTION("""COMPUTED_VALUE"""),3.0)</f>
        <v>3</v>
      </c>
    </row>
    <row r="1893">
      <c r="A1893" s="33">
        <f>IFERROR(__xludf.DUMMYFUNCTION("""COMPUTED_VALUE"""),45827.245649062505)</f>
        <v>45827.24565</v>
      </c>
      <c r="B1893" s="29" t="str">
        <f>IFERROR(__xludf.DUMMYFUNCTION("""COMPUTED_VALUE"""),"Actively restoring my foreskin / I consider myself restored")</f>
        <v>Actively restoring my foreskin / I consider myself restored</v>
      </c>
      <c r="C1893" s="29" t="str">
        <f>IFERROR(__xludf.DUMMYFUNCTION("""COMPUTED_VALUE"""),"Variety of Sensation")</f>
        <v>Variety of Sensation</v>
      </c>
      <c r="D1893" s="29" t="str">
        <f>IFERROR(__xludf.DUMMYFUNCTION("""COMPUTED_VALUE"""),"2")</f>
        <v>2</v>
      </c>
      <c r="E1893" s="29">
        <f>IFERROR(__xludf.DUMMYFUNCTION("""COMPUTED_VALUE"""),2.0)</f>
        <v>2</v>
      </c>
    </row>
    <row r="1894">
      <c r="A1894" s="33">
        <f>IFERROR(__xludf.DUMMYFUNCTION("""COMPUTED_VALUE"""),45827.372200185186)</f>
        <v>45827.3722</v>
      </c>
      <c r="B1894" s="29" t="str">
        <f>IFERROR(__xludf.DUMMYFUNCTION("""COMPUTED_VALUE"""),"Actively restoring my foreskin / I consider myself restored")</f>
        <v>Actively restoring my foreskin / I consider myself restored</v>
      </c>
      <c r="C1894" s="29" t="str">
        <f>IFERROR(__xludf.DUMMYFUNCTION("""COMPUTED_VALUE"""),"Variety of Sensation")</f>
        <v>Variety of Sensation</v>
      </c>
      <c r="D1894" s="29" t="str">
        <f>IFERROR(__xludf.DUMMYFUNCTION("""COMPUTED_VALUE"""),"4")</f>
        <v>4</v>
      </c>
      <c r="E1894" s="29">
        <f>IFERROR(__xludf.DUMMYFUNCTION("""COMPUTED_VALUE"""),4.0)</f>
        <v>4</v>
      </c>
    </row>
    <row r="1895">
      <c r="A1895" s="33">
        <f>IFERROR(__xludf.DUMMYFUNCTION("""COMPUTED_VALUE"""),45827.37673142362)</f>
        <v>45827.37673</v>
      </c>
      <c r="B1895" s="29" t="str">
        <f>IFERROR(__xludf.DUMMYFUNCTION("""COMPUTED_VALUE"""),"Circumcised")</f>
        <v>Circumcised</v>
      </c>
      <c r="C1895" s="29" t="str">
        <f>IFERROR(__xludf.DUMMYFUNCTION("""COMPUTED_VALUE"""),"Variety of Sensation")</f>
        <v>Variety of Sensation</v>
      </c>
      <c r="D1895" s="29" t="str">
        <f>IFERROR(__xludf.DUMMYFUNCTION("""COMPUTED_VALUE"""),"1 (Low/Poor)")</f>
        <v>1 (Low/Poor)</v>
      </c>
      <c r="E1895" s="29">
        <f>IFERROR(__xludf.DUMMYFUNCTION("""COMPUTED_VALUE"""),1.0)</f>
        <v>1</v>
      </c>
    </row>
    <row r="1896">
      <c r="A1896" s="33">
        <f>IFERROR(__xludf.DUMMYFUNCTION("""COMPUTED_VALUE"""),45827.39404474538)</f>
        <v>45827.39404</v>
      </c>
      <c r="B1896" s="29" t="str">
        <f>IFERROR(__xludf.DUMMYFUNCTION("""COMPUTED_VALUE"""),"Circumcised")</f>
        <v>Circumcised</v>
      </c>
      <c r="C1896" s="29" t="str">
        <f>IFERROR(__xludf.DUMMYFUNCTION("""COMPUTED_VALUE"""),"Variety of Sensation")</f>
        <v>Variety of Sensation</v>
      </c>
      <c r="D1896" s="29" t="str">
        <f>IFERROR(__xludf.DUMMYFUNCTION("""COMPUTED_VALUE"""),"1 (Low/Poor)")</f>
        <v>1 (Low/Poor)</v>
      </c>
      <c r="E1896" s="29">
        <f>IFERROR(__xludf.DUMMYFUNCTION("""COMPUTED_VALUE"""),1.0)</f>
        <v>1</v>
      </c>
    </row>
    <row r="1897">
      <c r="A1897" s="33">
        <f>IFERROR(__xludf.DUMMYFUNCTION("""COMPUTED_VALUE"""),45827.396721377314)</f>
        <v>45827.39672</v>
      </c>
      <c r="B1897" s="29" t="str">
        <f>IFERROR(__xludf.DUMMYFUNCTION("""COMPUTED_VALUE"""),"Circumcised")</f>
        <v>Circumcised</v>
      </c>
      <c r="C1897" s="29" t="str">
        <f>IFERROR(__xludf.DUMMYFUNCTION("""COMPUTED_VALUE"""),"Variety of Sensation")</f>
        <v>Variety of Sensation</v>
      </c>
      <c r="D1897" s="29" t="str">
        <f>IFERROR(__xludf.DUMMYFUNCTION("""COMPUTED_VALUE"""),"3 (Medium/Average)")</f>
        <v>3 (Medium/Average)</v>
      </c>
      <c r="E1897" s="29">
        <f>IFERROR(__xludf.DUMMYFUNCTION("""COMPUTED_VALUE"""),3.0)</f>
        <v>3</v>
      </c>
    </row>
    <row r="1898">
      <c r="A1898" s="33">
        <f>IFERROR(__xludf.DUMMYFUNCTION("""COMPUTED_VALUE"""),45827.40643686343)</f>
        <v>45827.40644</v>
      </c>
      <c r="B1898" s="29" t="str">
        <f>IFERROR(__xludf.DUMMYFUNCTION("""COMPUTED_VALUE"""),"Actively restoring my foreskin / I consider myself restored")</f>
        <v>Actively restoring my foreskin / I consider myself restored</v>
      </c>
      <c r="C1898" s="29" t="str">
        <f>IFERROR(__xludf.DUMMYFUNCTION("""COMPUTED_VALUE"""),"Variety of Sensation")</f>
        <v>Variety of Sensation</v>
      </c>
      <c r="D1898" s="29" t="str">
        <f>IFERROR(__xludf.DUMMYFUNCTION("""COMPUTED_VALUE"""),"3 (Medium/Average)")</f>
        <v>3 (Medium/Average)</v>
      </c>
      <c r="E1898" s="29">
        <f>IFERROR(__xludf.DUMMYFUNCTION("""COMPUTED_VALUE"""),3.0)</f>
        <v>3</v>
      </c>
    </row>
    <row r="1899">
      <c r="A1899" s="33">
        <f>IFERROR(__xludf.DUMMYFUNCTION("""COMPUTED_VALUE"""),45827.41032530092)</f>
        <v>45827.41033</v>
      </c>
      <c r="B1899" s="29" t="str">
        <f>IFERROR(__xludf.DUMMYFUNCTION("""COMPUTED_VALUE"""),"Circumcised")</f>
        <v>Circumcised</v>
      </c>
      <c r="C1899" s="29" t="str">
        <f>IFERROR(__xludf.DUMMYFUNCTION("""COMPUTED_VALUE"""),"Variety of Sensation")</f>
        <v>Variety of Sensation</v>
      </c>
      <c r="D1899" s="29" t="str">
        <f>IFERROR(__xludf.DUMMYFUNCTION("""COMPUTED_VALUE"""),"4")</f>
        <v>4</v>
      </c>
      <c r="E1899" s="29">
        <f>IFERROR(__xludf.DUMMYFUNCTION("""COMPUTED_VALUE"""),4.0)</f>
        <v>4</v>
      </c>
    </row>
    <row r="1900">
      <c r="A1900" s="33">
        <f>IFERROR(__xludf.DUMMYFUNCTION("""COMPUTED_VALUE"""),45827.43042048611)</f>
        <v>45827.43042</v>
      </c>
      <c r="B1900" s="29" t="str">
        <f>IFERROR(__xludf.DUMMYFUNCTION("""COMPUTED_VALUE"""),"Circumcised")</f>
        <v>Circumcised</v>
      </c>
      <c r="C1900" s="29" t="str">
        <f>IFERROR(__xludf.DUMMYFUNCTION("""COMPUTED_VALUE"""),"Variety of Sensation")</f>
        <v>Variety of Sensation</v>
      </c>
      <c r="D1900" s="29" t="str">
        <f>IFERROR(__xludf.DUMMYFUNCTION("""COMPUTED_VALUE"""),"2")</f>
        <v>2</v>
      </c>
      <c r="E1900" s="29">
        <f>IFERROR(__xludf.DUMMYFUNCTION("""COMPUTED_VALUE"""),2.0)</f>
        <v>2</v>
      </c>
    </row>
    <row r="1901">
      <c r="A1901" s="33">
        <f>IFERROR(__xludf.DUMMYFUNCTION("""COMPUTED_VALUE"""),45827.43160585649)</f>
        <v>45827.43161</v>
      </c>
      <c r="B1901" s="29" t="str">
        <f>IFERROR(__xludf.DUMMYFUNCTION("""COMPUTED_VALUE"""),"Circumcised")</f>
        <v>Circumcised</v>
      </c>
      <c r="C1901" s="29" t="str">
        <f>IFERROR(__xludf.DUMMYFUNCTION("""COMPUTED_VALUE"""),"Variety of Sensation")</f>
        <v>Variety of Sensation</v>
      </c>
      <c r="D1901" s="29" t="str">
        <f>IFERROR(__xludf.DUMMYFUNCTION("""COMPUTED_VALUE"""),"3 (Medium/Average)")</f>
        <v>3 (Medium/Average)</v>
      </c>
      <c r="E1901" s="29">
        <f>IFERROR(__xludf.DUMMYFUNCTION("""COMPUTED_VALUE"""),3.0)</f>
        <v>3</v>
      </c>
    </row>
    <row r="1902">
      <c r="A1902" s="33">
        <f>IFERROR(__xludf.DUMMYFUNCTION("""COMPUTED_VALUE"""),45827.434389699076)</f>
        <v>45827.43439</v>
      </c>
      <c r="B1902" s="29" t="str">
        <f>IFERROR(__xludf.DUMMYFUNCTION("""COMPUTED_VALUE"""),"Actively restoring my foreskin / I consider myself restored")</f>
        <v>Actively restoring my foreskin / I consider myself restored</v>
      </c>
      <c r="C1902" s="29" t="str">
        <f>IFERROR(__xludf.DUMMYFUNCTION("""COMPUTED_VALUE"""),"Variety of Sensation")</f>
        <v>Variety of Sensation</v>
      </c>
      <c r="D1902" s="29" t="str">
        <f>IFERROR(__xludf.DUMMYFUNCTION("""COMPUTED_VALUE"""),"4")</f>
        <v>4</v>
      </c>
      <c r="E1902" s="29">
        <f>IFERROR(__xludf.DUMMYFUNCTION("""COMPUTED_VALUE"""),4.0)</f>
        <v>4</v>
      </c>
    </row>
    <row r="1903">
      <c r="A1903" s="33">
        <f>IFERROR(__xludf.DUMMYFUNCTION("""COMPUTED_VALUE"""),45827.45617319444)</f>
        <v>45827.45617</v>
      </c>
      <c r="B1903" s="29" t="str">
        <f>IFERROR(__xludf.DUMMYFUNCTION("""COMPUTED_VALUE"""),"Actively restoring my foreskin / I consider myself restored")</f>
        <v>Actively restoring my foreskin / I consider myself restored</v>
      </c>
      <c r="C1903" s="29" t="str">
        <f>IFERROR(__xludf.DUMMYFUNCTION("""COMPUTED_VALUE"""),"Variety of Sensation")</f>
        <v>Variety of Sensation</v>
      </c>
      <c r="D1903" s="29" t="str">
        <f>IFERROR(__xludf.DUMMYFUNCTION("""COMPUTED_VALUE"""),"4")</f>
        <v>4</v>
      </c>
      <c r="E1903" s="29">
        <f>IFERROR(__xludf.DUMMYFUNCTION("""COMPUTED_VALUE"""),4.0)</f>
        <v>4</v>
      </c>
    </row>
    <row r="1904">
      <c r="A1904" s="33">
        <f>IFERROR(__xludf.DUMMYFUNCTION("""COMPUTED_VALUE"""),45827.47113355324)</f>
        <v>45827.47113</v>
      </c>
      <c r="B1904" s="29" t="str">
        <f>IFERROR(__xludf.DUMMYFUNCTION("""COMPUTED_VALUE"""),"Actively restoring my foreskin / I consider myself restored")</f>
        <v>Actively restoring my foreskin / I consider myself restored</v>
      </c>
      <c r="C1904" s="29" t="str">
        <f>IFERROR(__xludf.DUMMYFUNCTION("""COMPUTED_VALUE"""),"Variety of Sensation")</f>
        <v>Variety of Sensation</v>
      </c>
      <c r="D1904" s="29" t="str">
        <f>IFERROR(__xludf.DUMMYFUNCTION("""COMPUTED_VALUE"""),"1 (Low/Poor)")</f>
        <v>1 (Low/Poor)</v>
      </c>
      <c r="E1904" s="29">
        <f>IFERROR(__xludf.DUMMYFUNCTION("""COMPUTED_VALUE"""),1.0)</f>
        <v>1</v>
      </c>
    </row>
    <row r="1905">
      <c r="A1905" s="33">
        <f>IFERROR(__xludf.DUMMYFUNCTION("""COMPUTED_VALUE"""),45827.504890868055)</f>
        <v>45827.50489</v>
      </c>
      <c r="B1905" s="29" t="str">
        <f>IFERROR(__xludf.DUMMYFUNCTION("""COMPUTED_VALUE"""),"Actively restoring my foreskin / I consider myself restored")</f>
        <v>Actively restoring my foreskin / I consider myself restored</v>
      </c>
      <c r="C1905" s="29" t="str">
        <f>IFERROR(__xludf.DUMMYFUNCTION("""COMPUTED_VALUE"""),"Variety of Sensation")</f>
        <v>Variety of Sensation</v>
      </c>
      <c r="D1905" s="29" t="str">
        <f>IFERROR(__xludf.DUMMYFUNCTION("""COMPUTED_VALUE"""),"4")</f>
        <v>4</v>
      </c>
      <c r="E1905" s="29">
        <f>IFERROR(__xludf.DUMMYFUNCTION("""COMPUTED_VALUE"""),4.0)</f>
        <v>4</v>
      </c>
    </row>
    <row r="1906">
      <c r="A1906" s="33">
        <f>IFERROR(__xludf.DUMMYFUNCTION("""COMPUTED_VALUE"""),45827.56687807871)</f>
        <v>45827.56688</v>
      </c>
      <c r="B1906" s="29" t="str">
        <f>IFERROR(__xludf.DUMMYFUNCTION("""COMPUTED_VALUE"""),"Circumcised")</f>
        <v>Circumcised</v>
      </c>
      <c r="C1906" s="29" t="str">
        <f>IFERROR(__xludf.DUMMYFUNCTION("""COMPUTED_VALUE"""),"Variety of Sensation")</f>
        <v>Variety of Sensation</v>
      </c>
      <c r="D1906" s="29" t="str">
        <f>IFERROR(__xludf.DUMMYFUNCTION("""COMPUTED_VALUE"""),"1 (Low/Poor)")</f>
        <v>1 (Low/Poor)</v>
      </c>
      <c r="E1906" s="29">
        <f>IFERROR(__xludf.DUMMYFUNCTION("""COMPUTED_VALUE"""),1.0)</f>
        <v>1</v>
      </c>
    </row>
    <row r="1907">
      <c r="A1907" s="33">
        <f>IFERROR(__xludf.DUMMYFUNCTION("""COMPUTED_VALUE"""),45827.582390254625)</f>
        <v>45827.58239</v>
      </c>
      <c r="B1907" s="29" t="str">
        <f>IFERROR(__xludf.DUMMYFUNCTION("""COMPUTED_VALUE"""),"Intact (Never circumcised)")</f>
        <v>Intact (Never circumcised)</v>
      </c>
      <c r="C1907" s="29" t="str">
        <f>IFERROR(__xludf.DUMMYFUNCTION("""COMPUTED_VALUE"""),"Variety of Sensation")</f>
        <v>Variety of Sensation</v>
      </c>
      <c r="D1907" s="29" t="str">
        <f>IFERROR(__xludf.DUMMYFUNCTION("""COMPUTED_VALUE"""),"3 (Medium/Average)")</f>
        <v>3 (Medium/Average)</v>
      </c>
      <c r="E1907" s="29">
        <f>IFERROR(__xludf.DUMMYFUNCTION("""COMPUTED_VALUE"""),3.0)</f>
        <v>3</v>
      </c>
    </row>
    <row r="1908">
      <c r="A1908" s="33">
        <f>IFERROR(__xludf.DUMMYFUNCTION("""COMPUTED_VALUE"""),45827.59833847222)</f>
        <v>45827.59834</v>
      </c>
      <c r="B1908" s="29" t="str">
        <f>IFERROR(__xludf.DUMMYFUNCTION("""COMPUTED_VALUE"""),"Intact (Never circumcised)")</f>
        <v>Intact (Never circumcised)</v>
      </c>
      <c r="C1908" s="29" t="str">
        <f>IFERROR(__xludf.DUMMYFUNCTION("""COMPUTED_VALUE"""),"Variety of Sensation")</f>
        <v>Variety of Sensation</v>
      </c>
      <c r="D1908" s="29" t="str">
        <f>IFERROR(__xludf.DUMMYFUNCTION("""COMPUTED_VALUE"""),"5 (High/Excellent)")</f>
        <v>5 (High/Excellent)</v>
      </c>
      <c r="E1908" s="29">
        <f>IFERROR(__xludf.DUMMYFUNCTION("""COMPUTED_VALUE"""),5.0)</f>
        <v>5</v>
      </c>
    </row>
    <row r="1909">
      <c r="A1909" s="33">
        <f>IFERROR(__xludf.DUMMYFUNCTION("""COMPUTED_VALUE"""),45827.666499756946)</f>
        <v>45827.6665</v>
      </c>
      <c r="B1909" s="29" t="str">
        <f>IFERROR(__xludf.DUMMYFUNCTION("""COMPUTED_VALUE"""),"Intact (Never circumcised)")</f>
        <v>Intact (Never circumcised)</v>
      </c>
      <c r="C1909" s="29" t="str">
        <f>IFERROR(__xludf.DUMMYFUNCTION("""COMPUTED_VALUE"""),"Variety of Sensation")</f>
        <v>Variety of Sensation</v>
      </c>
      <c r="D1909" s="29" t="str">
        <f>IFERROR(__xludf.DUMMYFUNCTION("""COMPUTED_VALUE"""),"5 (High/Excellent)")</f>
        <v>5 (High/Excellent)</v>
      </c>
      <c r="E1909" s="29">
        <f>IFERROR(__xludf.DUMMYFUNCTION("""COMPUTED_VALUE"""),5.0)</f>
        <v>5</v>
      </c>
    </row>
    <row r="1910">
      <c r="A1910" s="33">
        <f>IFERROR(__xludf.DUMMYFUNCTION("""COMPUTED_VALUE"""),45827.70323135417)</f>
        <v>45827.70323</v>
      </c>
      <c r="B1910" s="29" t="str">
        <f>IFERROR(__xludf.DUMMYFUNCTION("""COMPUTED_VALUE"""),"Intact (Never circumcised)")</f>
        <v>Intact (Never circumcised)</v>
      </c>
      <c r="C1910" s="29" t="str">
        <f>IFERROR(__xludf.DUMMYFUNCTION("""COMPUTED_VALUE"""),"Variety of Sensation")</f>
        <v>Variety of Sensation</v>
      </c>
      <c r="D1910" s="29" t="str">
        <f>IFERROR(__xludf.DUMMYFUNCTION("""COMPUTED_VALUE"""),"5 (High/Excellent)")</f>
        <v>5 (High/Excellent)</v>
      </c>
      <c r="E1910" s="29">
        <f>IFERROR(__xludf.DUMMYFUNCTION("""COMPUTED_VALUE"""),5.0)</f>
        <v>5</v>
      </c>
    </row>
    <row r="1911">
      <c r="A1911" s="33">
        <f>IFERROR(__xludf.DUMMYFUNCTION("""COMPUTED_VALUE"""),45827.705325347226)</f>
        <v>45827.70533</v>
      </c>
      <c r="B1911" s="29" t="str">
        <f>IFERROR(__xludf.DUMMYFUNCTION("""COMPUTED_VALUE"""),"Intact (Never circumcised)")</f>
        <v>Intact (Never circumcised)</v>
      </c>
      <c r="C1911" s="29" t="str">
        <f>IFERROR(__xludf.DUMMYFUNCTION("""COMPUTED_VALUE"""),"Variety of Sensation")</f>
        <v>Variety of Sensation</v>
      </c>
      <c r="D1911" s="29" t="str">
        <f>IFERROR(__xludf.DUMMYFUNCTION("""COMPUTED_VALUE"""),"5 (High/Excellent)")</f>
        <v>5 (High/Excellent)</v>
      </c>
      <c r="E1911" s="29">
        <f>IFERROR(__xludf.DUMMYFUNCTION("""COMPUTED_VALUE"""),5.0)</f>
        <v>5</v>
      </c>
    </row>
    <row r="1912">
      <c r="A1912" s="33">
        <f>IFERROR(__xludf.DUMMYFUNCTION("""COMPUTED_VALUE"""),45827.709368090276)</f>
        <v>45827.70937</v>
      </c>
      <c r="B1912" s="29" t="str">
        <f>IFERROR(__xludf.DUMMYFUNCTION("""COMPUTED_VALUE"""),"Intact (Never circumcised)")</f>
        <v>Intact (Never circumcised)</v>
      </c>
      <c r="C1912" s="29" t="str">
        <f>IFERROR(__xludf.DUMMYFUNCTION("""COMPUTED_VALUE"""),"Variety of Sensation")</f>
        <v>Variety of Sensation</v>
      </c>
      <c r="D1912" s="29" t="str">
        <f>IFERROR(__xludf.DUMMYFUNCTION("""COMPUTED_VALUE"""),"5 (High/Excellent)")</f>
        <v>5 (High/Excellent)</v>
      </c>
      <c r="E1912" s="29">
        <f>IFERROR(__xludf.DUMMYFUNCTION("""COMPUTED_VALUE"""),5.0)</f>
        <v>5</v>
      </c>
    </row>
    <row r="1913">
      <c r="A1913" s="33">
        <f>IFERROR(__xludf.DUMMYFUNCTION("""COMPUTED_VALUE"""),45827.7507882986)</f>
        <v>45827.75079</v>
      </c>
      <c r="B1913" s="29" t="str">
        <f>IFERROR(__xludf.DUMMYFUNCTION("""COMPUTED_VALUE"""),"Actively restoring my foreskin / I consider myself restored")</f>
        <v>Actively restoring my foreskin / I consider myself restored</v>
      </c>
      <c r="C1913" s="29" t="str">
        <f>IFERROR(__xludf.DUMMYFUNCTION("""COMPUTED_VALUE"""),"Variety of Sensation")</f>
        <v>Variety of Sensation</v>
      </c>
      <c r="D1913" s="29" t="str">
        <f>IFERROR(__xludf.DUMMYFUNCTION("""COMPUTED_VALUE"""),"1 (Low/Poor)")</f>
        <v>1 (Low/Poor)</v>
      </c>
      <c r="E1913" s="29">
        <f>IFERROR(__xludf.DUMMYFUNCTION("""COMPUTED_VALUE"""),1.0)</f>
        <v>1</v>
      </c>
    </row>
    <row r="1914">
      <c r="A1914" s="33">
        <f>IFERROR(__xludf.DUMMYFUNCTION("""COMPUTED_VALUE"""),45827.75108425925)</f>
        <v>45827.75108</v>
      </c>
      <c r="B1914" s="29" t="str">
        <f>IFERROR(__xludf.DUMMYFUNCTION("""COMPUTED_VALUE"""),"Intact (Never circumcised)")</f>
        <v>Intact (Never circumcised)</v>
      </c>
      <c r="C1914" s="29" t="str">
        <f>IFERROR(__xludf.DUMMYFUNCTION("""COMPUTED_VALUE"""),"Variety of Sensation")</f>
        <v>Variety of Sensation</v>
      </c>
      <c r="D1914" s="29" t="str">
        <f>IFERROR(__xludf.DUMMYFUNCTION("""COMPUTED_VALUE"""),"5 (High/Excellent)")</f>
        <v>5 (High/Excellent)</v>
      </c>
      <c r="E1914" s="29">
        <f>IFERROR(__xludf.DUMMYFUNCTION("""COMPUTED_VALUE"""),5.0)</f>
        <v>5</v>
      </c>
    </row>
    <row r="1915">
      <c r="A1915" s="33">
        <f>IFERROR(__xludf.DUMMYFUNCTION("""COMPUTED_VALUE"""),45827.75616498842)</f>
        <v>45827.75616</v>
      </c>
      <c r="B1915" s="29" t="str">
        <f>IFERROR(__xludf.DUMMYFUNCTION("""COMPUTED_VALUE"""),"Circumcised")</f>
        <v>Circumcised</v>
      </c>
      <c r="C1915" s="29" t="str">
        <f>IFERROR(__xludf.DUMMYFUNCTION("""COMPUTED_VALUE"""),"Variety of Sensation")</f>
        <v>Variety of Sensation</v>
      </c>
      <c r="D1915" s="29" t="str">
        <f>IFERROR(__xludf.DUMMYFUNCTION("""COMPUTED_VALUE"""),"4")</f>
        <v>4</v>
      </c>
      <c r="E1915" s="29">
        <f>IFERROR(__xludf.DUMMYFUNCTION("""COMPUTED_VALUE"""),4.0)</f>
        <v>4</v>
      </c>
    </row>
    <row r="1916">
      <c r="A1916" s="33">
        <f>IFERROR(__xludf.DUMMYFUNCTION("""COMPUTED_VALUE"""),45827.76179119213)</f>
        <v>45827.76179</v>
      </c>
      <c r="B1916" s="29" t="str">
        <f>IFERROR(__xludf.DUMMYFUNCTION("""COMPUTED_VALUE"""),"Circumcised")</f>
        <v>Circumcised</v>
      </c>
      <c r="C1916" s="29" t="str">
        <f>IFERROR(__xludf.DUMMYFUNCTION("""COMPUTED_VALUE"""),"Variety of Sensation")</f>
        <v>Variety of Sensation</v>
      </c>
      <c r="D1916" s="29" t="str">
        <f>IFERROR(__xludf.DUMMYFUNCTION("""COMPUTED_VALUE"""),"5 (High/Excellent)")</f>
        <v>5 (High/Excellent)</v>
      </c>
      <c r="E1916" s="29">
        <f>IFERROR(__xludf.DUMMYFUNCTION("""COMPUTED_VALUE"""),5.0)</f>
        <v>5</v>
      </c>
    </row>
    <row r="1917">
      <c r="A1917" s="33">
        <f>IFERROR(__xludf.DUMMYFUNCTION("""COMPUTED_VALUE"""),45827.775080740736)</f>
        <v>45827.77508</v>
      </c>
      <c r="B1917" s="29" t="str">
        <f>IFERROR(__xludf.DUMMYFUNCTION("""COMPUTED_VALUE"""),"Actively restoring my foreskin / I consider myself restored")</f>
        <v>Actively restoring my foreskin / I consider myself restored</v>
      </c>
      <c r="C1917" s="29" t="str">
        <f>IFERROR(__xludf.DUMMYFUNCTION("""COMPUTED_VALUE"""),"Variety of Sensation")</f>
        <v>Variety of Sensation</v>
      </c>
      <c r="D1917" s="29" t="str">
        <f>IFERROR(__xludf.DUMMYFUNCTION("""COMPUTED_VALUE"""),"3 (Medium/Average)")</f>
        <v>3 (Medium/Average)</v>
      </c>
      <c r="E1917" s="29">
        <f>IFERROR(__xludf.DUMMYFUNCTION("""COMPUTED_VALUE"""),3.0)</f>
        <v>3</v>
      </c>
    </row>
    <row r="1918">
      <c r="A1918" s="33">
        <f>IFERROR(__xludf.DUMMYFUNCTION("""COMPUTED_VALUE"""),45827.80988215278)</f>
        <v>45827.80988</v>
      </c>
      <c r="B1918" s="29" t="str">
        <f>IFERROR(__xludf.DUMMYFUNCTION("""COMPUTED_VALUE"""),"Intact (Never circumcised)")</f>
        <v>Intact (Never circumcised)</v>
      </c>
      <c r="C1918" s="29" t="str">
        <f>IFERROR(__xludf.DUMMYFUNCTION("""COMPUTED_VALUE"""),"Variety of Sensation")</f>
        <v>Variety of Sensation</v>
      </c>
      <c r="D1918" s="29" t="str">
        <f>IFERROR(__xludf.DUMMYFUNCTION("""COMPUTED_VALUE"""),"5 (High/Excellent)")</f>
        <v>5 (High/Excellent)</v>
      </c>
      <c r="E1918" s="29">
        <f>IFERROR(__xludf.DUMMYFUNCTION("""COMPUTED_VALUE"""),5.0)</f>
        <v>5</v>
      </c>
    </row>
    <row r="1919">
      <c r="A1919" s="33">
        <f>IFERROR(__xludf.DUMMYFUNCTION("""COMPUTED_VALUE"""),45827.82377087963)</f>
        <v>45827.82377</v>
      </c>
      <c r="B1919" s="29" t="str">
        <f>IFERROR(__xludf.DUMMYFUNCTION("""COMPUTED_VALUE"""),"Circumcised")</f>
        <v>Circumcised</v>
      </c>
      <c r="C1919" s="29" t="str">
        <f>IFERROR(__xludf.DUMMYFUNCTION("""COMPUTED_VALUE"""),"Variety of Sensation")</f>
        <v>Variety of Sensation</v>
      </c>
      <c r="D1919" s="29" t="str">
        <f>IFERROR(__xludf.DUMMYFUNCTION("""COMPUTED_VALUE"""),"1 (Low/Poor)")</f>
        <v>1 (Low/Poor)</v>
      </c>
      <c r="E1919" s="29">
        <f>IFERROR(__xludf.DUMMYFUNCTION("""COMPUTED_VALUE"""),1.0)</f>
        <v>1</v>
      </c>
    </row>
    <row r="1920">
      <c r="A1920" s="33">
        <f>IFERROR(__xludf.DUMMYFUNCTION("""COMPUTED_VALUE"""),45827.84110394676)</f>
        <v>45827.8411</v>
      </c>
      <c r="B1920" s="29" t="str">
        <f>IFERROR(__xludf.DUMMYFUNCTION("""COMPUTED_VALUE"""),"Intact (Never circumcised)")</f>
        <v>Intact (Never circumcised)</v>
      </c>
      <c r="C1920" s="29" t="str">
        <f>IFERROR(__xludf.DUMMYFUNCTION("""COMPUTED_VALUE"""),"Variety of Sensation")</f>
        <v>Variety of Sensation</v>
      </c>
      <c r="D1920" s="29" t="str">
        <f>IFERROR(__xludf.DUMMYFUNCTION("""COMPUTED_VALUE"""),"5 (High/Excellent)")</f>
        <v>5 (High/Excellent)</v>
      </c>
      <c r="E1920" s="29">
        <f>IFERROR(__xludf.DUMMYFUNCTION("""COMPUTED_VALUE"""),5.0)</f>
        <v>5</v>
      </c>
    </row>
    <row r="1921">
      <c r="A1921" s="33">
        <f>IFERROR(__xludf.DUMMYFUNCTION("""COMPUTED_VALUE"""),45827.86569578704)</f>
        <v>45827.8657</v>
      </c>
      <c r="B1921" s="29" t="str">
        <f>IFERROR(__xludf.DUMMYFUNCTION("""COMPUTED_VALUE"""),"Circumcised")</f>
        <v>Circumcised</v>
      </c>
      <c r="C1921" s="29" t="str">
        <f>IFERROR(__xludf.DUMMYFUNCTION("""COMPUTED_VALUE"""),"Variety of Sensation")</f>
        <v>Variety of Sensation</v>
      </c>
      <c r="D1921" s="29" t="str">
        <f>IFERROR(__xludf.DUMMYFUNCTION("""COMPUTED_VALUE"""),"2")</f>
        <v>2</v>
      </c>
      <c r="E1921" s="29">
        <f>IFERROR(__xludf.DUMMYFUNCTION("""COMPUTED_VALUE"""),2.0)</f>
        <v>2</v>
      </c>
    </row>
    <row r="1922">
      <c r="A1922" s="33">
        <f>IFERROR(__xludf.DUMMYFUNCTION("""COMPUTED_VALUE"""),45827.8672928588)</f>
        <v>45827.86729</v>
      </c>
      <c r="B1922" s="29" t="str">
        <f>IFERROR(__xludf.DUMMYFUNCTION("""COMPUTED_VALUE"""),"Actively restoring my foreskin / I consider myself restored")</f>
        <v>Actively restoring my foreskin / I consider myself restored</v>
      </c>
      <c r="C1922" s="29" t="str">
        <f>IFERROR(__xludf.DUMMYFUNCTION("""COMPUTED_VALUE"""),"Variety of Sensation")</f>
        <v>Variety of Sensation</v>
      </c>
      <c r="D1922" s="29" t="str">
        <f>IFERROR(__xludf.DUMMYFUNCTION("""COMPUTED_VALUE"""),"4")</f>
        <v>4</v>
      </c>
      <c r="E1922" s="29">
        <f>IFERROR(__xludf.DUMMYFUNCTION("""COMPUTED_VALUE"""),4.0)</f>
        <v>4</v>
      </c>
    </row>
    <row r="1923">
      <c r="A1923" s="33">
        <f>IFERROR(__xludf.DUMMYFUNCTION("""COMPUTED_VALUE"""),45827.871949594904)</f>
        <v>45827.87195</v>
      </c>
      <c r="B1923" s="29" t="str">
        <f>IFERROR(__xludf.DUMMYFUNCTION("""COMPUTED_VALUE"""),"Circumcised")</f>
        <v>Circumcised</v>
      </c>
      <c r="C1923" s="29" t="str">
        <f>IFERROR(__xludf.DUMMYFUNCTION("""COMPUTED_VALUE"""),"Variety of Sensation")</f>
        <v>Variety of Sensation</v>
      </c>
      <c r="D1923" s="29" t="str">
        <f>IFERROR(__xludf.DUMMYFUNCTION("""COMPUTED_VALUE"""),"4")</f>
        <v>4</v>
      </c>
      <c r="E1923" s="29">
        <f>IFERROR(__xludf.DUMMYFUNCTION("""COMPUTED_VALUE"""),4.0)</f>
        <v>4</v>
      </c>
    </row>
    <row r="1924">
      <c r="A1924" s="33">
        <f>IFERROR(__xludf.DUMMYFUNCTION("""COMPUTED_VALUE"""),45827.892397233794)</f>
        <v>45827.8924</v>
      </c>
      <c r="B1924" s="29" t="str">
        <f>IFERROR(__xludf.DUMMYFUNCTION("""COMPUTED_VALUE"""),"Intact (Never circumcised)")</f>
        <v>Intact (Never circumcised)</v>
      </c>
      <c r="C1924" s="29" t="str">
        <f>IFERROR(__xludf.DUMMYFUNCTION("""COMPUTED_VALUE"""),"Variety of Sensation")</f>
        <v>Variety of Sensation</v>
      </c>
      <c r="D1924" s="29" t="str">
        <f>IFERROR(__xludf.DUMMYFUNCTION("""COMPUTED_VALUE"""),"5 (High/Excellent)")</f>
        <v>5 (High/Excellent)</v>
      </c>
      <c r="E1924" s="29">
        <f>IFERROR(__xludf.DUMMYFUNCTION("""COMPUTED_VALUE"""),5.0)</f>
        <v>5</v>
      </c>
    </row>
    <row r="1925">
      <c r="A1925" s="33">
        <f>IFERROR(__xludf.DUMMYFUNCTION("""COMPUTED_VALUE"""),45827.910598622686)</f>
        <v>45827.9106</v>
      </c>
      <c r="B1925" s="29" t="str">
        <f>IFERROR(__xludf.DUMMYFUNCTION("""COMPUTED_VALUE"""),"Circumcised")</f>
        <v>Circumcised</v>
      </c>
      <c r="C1925" s="29" t="str">
        <f>IFERROR(__xludf.DUMMYFUNCTION("""COMPUTED_VALUE"""),"Variety of Sensation")</f>
        <v>Variety of Sensation</v>
      </c>
      <c r="D1925" s="29" t="str">
        <f>IFERROR(__xludf.DUMMYFUNCTION("""COMPUTED_VALUE"""),"2")</f>
        <v>2</v>
      </c>
      <c r="E1925" s="29">
        <f>IFERROR(__xludf.DUMMYFUNCTION("""COMPUTED_VALUE"""),2.0)</f>
        <v>2</v>
      </c>
    </row>
    <row r="1926">
      <c r="A1926" s="33">
        <f>IFERROR(__xludf.DUMMYFUNCTION("""COMPUTED_VALUE"""),45827.9134716551)</f>
        <v>45827.91347</v>
      </c>
      <c r="B1926" s="29" t="str">
        <f>IFERROR(__xludf.DUMMYFUNCTION("""COMPUTED_VALUE"""),"Intact (Never circumcised)")</f>
        <v>Intact (Never circumcised)</v>
      </c>
      <c r="C1926" s="29" t="str">
        <f>IFERROR(__xludf.DUMMYFUNCTION("""COMPUTED_VALUE"""),"Variety of Sensation")</f>
        <v>Variety of Sensation</v>
      </c>
      <c r="D1926" s="29" t="str">
        <f>IFERROR(__xludf.DUMMYFUNCTION("""COMPUTED_VALUE"""),"5 (High/Excellent)")</f>
        <v>5 (High/Excellent)</v>
      </c>
      <c r="E1926" s="29">
        <f>IFERROR(__xludf.DUMMYFUNCTION("""COMPUTED_VALUE"""),5.0)</f>
        <v>5</v>
      </c>
    </row>
    <row r="1927">
      <c r="A1927" s="33">
        <f>IFERROR(__xludf.DUMMYFUNCTION("""COMPUTED_VALUE"""),45827.91495508102)</f>
        <v>45827.91496</v>
      </c>
      <c r="B1927" s="29" t="str">
        <f>IFERROR(__xludf.DUMMYFUNCTION("""COMPUTED_VALUE"""),"Intact (Never circumcised)")</f>
        <v>Intact (Never circumcised)</v>
      </c>
      <c r="C1927" s="29" t="str">
        <f>IFERROR(__xludf.DUMMYFUNCTION("""COMPUTED_VALUE"""),"Variety of Sensation")</f>
        <v>Variety of Sensation</v>
      </c>
      <c r="D1927" s="29" t="str">
        <f>IFERROR(__xludf.DUMMYFUNCTION("""COMPUTED_VALUE"""),"5 (High/Excellent)")</f>
        <v>5 (High/Excellent)</v>
      </c>
      <c r="E1927" s="29">
        <f>IFERROR(__xludf.DUMMYFUNCTION("""COMPUTED_VALUE"""),5.0)</f>
        <v>5</v>
      </c>
    </row>
    <row r="1928">
      <c r="A1928" s="33">
        <f>IFERROR(__xludf.DUMMYFUNCTION("""COMPUTED_VALUE"""),45827.94294872685)</f>
        <v>45827.94295</v>
      </c>
      <c r="B1928" s="29" t="str">
        <f>IFERROR(__xludf.DUMMYFUNCTION("""COMPUTED_VALUE"""),"Intact (Never circumcised)")</f>
        <v>Intact (Never circumcised)</v>
      </c>
      <c r="C1928" s="29" t="str">
        <f>IFERROR(__xludf.DUMMYFUNCTION("""COMPUTED_VALUE"""),"Variety of Sensation")</f>
        <v>Variety of Sensation</v>
      </c>
      <c r="D1928" s="29" t="str">
        <f>IFERROR(__xludf.DUMMYFUNCTION("""COMPUTED_VALUE"""),"5 (High/Excellent)")</f>
        <v>5 (High/Excellent)</v>
      </c>
      <c r="E1928" s="29">
        <f>IFERROR(__xludf.DUMMYFUNCTION("""COMPUTED_VALUE"""),5.0)</f>
        <v>5</v>
      </c>
    </row>
    <row r="1929">
      <c r="A1929" s="33">
        <f>IFERROR(__xludf.DUMMYFUNCTION("""COMPUTED_VALUE"""),45827.94687665509)</f>
        <v>45827.94688</v>
      </c>
      <c r="B1929" s="29" t="str">
        <f>IFERROR(__xludf.DUMMYFUNCTION("""COMPUTED_VALUE"""),"Intact (Never circumcised)")</f>
        <v>Intact (Never circumcised)</v>
      </c>
      <c r="C1929" s="29" t="str">
        <f>IFERROR(__xludf.DUMMYFUNCTION("""COMPUTED_VALUE"""),"Variety of Sensation")</f>
        <v>Variety of Sensation</v>
      </c>
      <c r="D1929" s="29" t="str">
        <f>IFERROR(__xludf.DUMMYFUNCTION("""COMPUTED_VALUE"""),"5 (High/Excellent)")</f>
        <v>5 (High/Excellent)</v>
      </c>
      <c r="E1929" s="29">
        <f>IFERROR(__xludf.DUMMYFUNCTION("""COMPUTED_VALUE"""),5.0)</f>
        <v>5</v>
      </c>
    </row>
    <row r="1930">
      <c r="A1930" s="33">
        <f>IFERROR(__xludf.DUMMYFUNCTION("""COMPUTED_VALUE"""),45827.95053562501)</f>
        <v>45827.95054</v>
      </c>
      <c r="B1930" s="29" t="str">
        <f>IFERROR(__xludf.DUMMYFUNCTION("""COMPUTED_VALUE"""),"Intact (Never circumcised)")</f>
        <v>Intact (Never circumcised)</v>
      </c>
      <c r="C1930" s="29" t="str">
        <f>IFERROR(__xludf.DUMMYFUNCTION("""COMPUTED_VALUE"""),"Variety of Sensation")</f>
        <v>Variety of Sensation</v>
      </c>
      <c r="D1930" s="29" t="str">
        <f>IFERROR(__xludf.DUMMYFUNCTION("""COMPUTED_VALUE"""),"5 (High/Excellent)")</f>
        <v>5 (High/Excellent)</v>
      </c>
      <c r="E1930" s="29">
        <f>IFERROR(__xludf.DUMMYFUNCTION("""COMPUTED_VALUE"""),5.0)</f>
        <v>5</v>
      </c>
    </row>
    <row r="1931">
      <c r="A1931" s="33">
        <f>IFERROR(__xludf.DUMMYFUNCTION("""COMPUTED_VALUE"""),45827.95437741898)</f>
        <v>45827.95438</v>
      </c>
      <c r="B1931" s="29" t="str">
        <f>IFERROR(__xludf.DUMMYFUNCTION("""COMPUTED_VALUE"""),"Circumcised")</f>
        <v>Circumcised</v>
      </c>
      <c r="C1931" s="29" t="str">
        <f>IFERROR(__xludf.DUMMYFUNCTION("""COMPUTED_VALUE"""),"Variety of Sensation")</f>
        <v>Variety of Sensation</v>
      </c>
      <c r="D1931" s="29" t="str">
        <f>IFERROR(__xludf.DUMMYFUNCTION("""COMPUTED_VALUE"""),"1 (Low/Poor)")</f>
        <v>1 (Low/Poor)</v>
      </c>
      <c r="E1931" s="29">
        <f>IFERROR(__xludf.DUMMYFUNCTION("""COMPUTED_VALUE"""),1.0)</f>
        <v>1</v>
      </c>
    </row>
    <row r="1932">
      <c r="A1932" s="33">
        <f>IFERROR(__xludf.DUMMYFUNCTION("""COMPUTED_VALUE"""),45828.00873828704)</f>
        <v>45828.00874</v>
      </c>
      <c r="B1932" s="29" t="str">
        <f>IFERROR(__xludf.DUMMYFUNCTION("""COMPUTED_VALUE"""),"Intact (Never circumcised)")</f>
        <v>Intact (Never circumcised)</v>
      </c>
      <c r="C1932" s="29" t="str">
        <f>IFERROR(__xludf.DUMMYFUNCTION("""COMPUTED_VALUE"""),"Variety of Sensation")</f>
        <v>Variety of Sensation</v>
      </c>
      <c r="D1932" s="29" t="str">
        <f>IFERROR(__xludf.DUMMYFUNCTION("""COMPUTED_VALUE"""),"4")</f>
        <v>4</v>
      </c>
      <c r="E1932" s="29">
        <f>IFERROR(__xludf.DUMMYFUNCTION("""COMPUTED_VALUE"""),4.0)</f>
        <v>4</v>
      </c>
    </row>
    <row r="1933">
      <c r="A1933" s="33">
        <f>IFERROR(__xludf.DUMMYFUNCTION("""COMPUTED_VALUE"""),45828.01005491898)</f>
        <v>45828.01005</v>
      </c>
      <c r="B1933" s="29" t="str">
        <f>IFERROR(__xludf.DUMMYFUNCTION("""COMPUTED_VALUE"""),"Actively restoring my foreskin / I consider myself restored")</f>
        <v>Actively restoring my foreskin / I consider myself restored</v>
      </c>
      <c r="C1933" s="29" t="str">
        <f>IFERROR(__xludf.DUMMYFUNCTION("""COMPUTED_VALUE"""),"Variety of Sensation")</f>
        <v>Variety of Sensation</v>
      </c>
      <c r="D1933" s="29" t="str">
        <f>IFERROR(__xludf.DUMMYFUNCTION("""COMPUTED_VALUE"""),"2")</f>
        <v>2</v>
      </c>
      <c r="E1933" s="29">
        <f>IFERROR(__xludf.DUMMYFUNCTION("""COMPUTED_VALUE"""),2.0)</f>
        <v>2</v>
      </c>
    </row>
    <row r="1934">
      <c r="A1934" s="33">
        <f>IFERROR(__xludf.DUMMYFUNCTION("""COMPUTED_VALUE"""),45828.05815188657)</f>
        <v>45828.05815</v>
      </c>
      <c r="B1934" s="29" t="str">
        <f>IFERROR(__xludf.DUMMYFUNCTION("""COMPUTED_VALUE"""),"Intact (Never circumcised)")</f>
        <v>Intact (Never circumcised)</v>
      </c>
      <c r="C1934" s="29" t="str">
        <f>IFERROR(__xludf.DUMMYFUNCTION("""COMPUTED_VALUE"""),"Variety of Sensation")</f>
        <v>Variety of Sensation</v>
      </c>
      <c r="D1934" s="29" t="str">
        <f>IFERROR(__xludf.DUMMYFUNCTION("""COMPUTED_VALUE"""),"4")</f>
        <v>4</v>
      </c>
      <c r="E1934" s="29">
        <f>IFERROR(__xludf.DUMMYFUNCTION("""COMPUTED_VALUE"""),4.0)</f>
        <v>4</v>
      </c>
    </row>
    <row r="1935">
      <c r="A1935" s="33">
        <f>IFERROR(__xludf.DUMMYFUNCTION("""COMPUTED_VALUE"""),45828.06036765046)</f>
        <v>45828.06037</v>
      </c>
      <c r="B1935" s="29" t="str">
        <f>IFERROR(__xludf.DUMMYFUNCTION("""COMPUTED_VALUE"""),"Circumcised")</f>
        <v>Circumcised</v>
      </c>
      <c r="C1935" s="29" t="str">
        <f>IFERROR(__xludf.DUMMYFUNCTION("""COMPUTED_VALUE"""),"Variety of Sensation")</f>
        <v>Variety of Sensation</v>
      </c>
      <c r="D1935" s="29" t="str">
        <f>IFERROR(__xludf.DUMMYFUNCTION("""COMPUTED_VALUE"""),"2")</f>
        <v>2</v>
      </c>
      <c r="E1935" s="29">
        <f>IFERROR(__xludf.DUMMYFUNCTION("""COMPUTED_VALUE"""),2.0)</f>
        <v>2</v>
      </c>
    </row>
    <row r="1936">
      <c r="A1936" s="33">
        <f>IFERROR(__xludf.DUMMYFUNCTION("""COMPUTED_VALUE"""),45828.06330849537)</f>
        <v>45828.06331</v>
      </c>
      <c r="B1936" s="29" t="str">
        <f>IFERROR(__xludf.DUMMYFUNCTION("""COMPUTED_VALUE"""),"Circumcised")</f>
        <v>Circumcised</v>
      </c>
      <c r="C1936" s="29" t="str">
        <f>IFERROR(__xludf.DUMMYFUNCTION("""COMPUTED_VALUE"""),"Variety of Sensation")</f>
        <v>Variety of Sensation</v>
      </c>
      <c r="D1936" s="29" t="str">
        <f>IFERROR(__xludf.DUMMYFUNCTION("""COMPUTED_VALUE"""),"3 (Medium/Average)")</f>
        <v>3 (Medium/Average)</v>
      </c>
      <c r="E1936" s="29">
        <f>IFERROR(__xludf.DUMMYFUNCTION("""COMPUTED_VALUE"""),3.0)</f>
        <v>3</v>
      </c>
    </row>
    <row r="1937">
      <c r="A1937" s="33">
        <f>IFERROR(__xludf.DUMMYFUNCTION("""COMPUTED_VALUE"""),45828.12018145833)</f>
        <v>45828.12018</v>
      </c>
      <c r="B1937" s="29" t="str">
        <f>IFERROR(__xludf.DUMMYFUNCTION("""COMPUTED_VALUE"""),"Circumcised")</f>
        <v>Circumcised</v>
      </c>
      <c r="C1937" s="29" t="str">
        <f>IFERROR(__xludf.DUMMYFUNCTION("""COMPUTED_VALUE"""),"Variety of Sensation")</f>
        <v>Variety of Sensation</v>
      </c>
      <c r="D1937" s="29" t="str">
        <f>IFERROR(__xludf.DUMMYFUNCTION("""COMPUTED_VALUE"""),"3 (Medium/Average)")</f>
        <v>3 (Medium/Average)</v>
      </c>
      <c r="E1937" s="29">
        <f>IFERROR(__xludf.DUMMYFUNCTION("""COMPUTED_VALUE"""),3.0)</f>
        <v>3</v>
      </c>
    </row>
    <row r="1938">
      <c r="A1938" s="33">
        <f>IFERROR(__xludf.DUMMYFUNCTION("""COMPUTED_VALUE"""),45828.15012672453)</f>
        <v>45828.15013</v>
      </c>
      <c r="B1938" s="29" t="str">
        <f>IFERROR(__xludf.DUMMYFUNCTION("""COMPUTED_VALUE"""),"Intact (Never circumcised)")</f>
        <v>Intact (Never circumcised)</v>
      </c>
      <c r="C1938" s="29" t="str">
        <f>IFERROR(__xludf.DUMMYFUNCTION("""COMPUTED_VALUE"""),"Variety of Sensation")</f>
        <v>Variety of Sensation</v>
      </c>
      <c r="D1938" s="29" t="str">
        <f>IFERROR(__xludf.DUMMYFUNCTION("""COMPUTED_VALUE"""),"4")</f>
        <v>4</v>
      </c>
      <c r="E1938" s="29">
        <f>IFERROR(__xludf.DUMMYFUNCTION("""COMPUTED_VALUE"""),4.0)</f>
        <v>4</v>
      </c>
    </row>
    <row r="1939">
      <c r="A1939" s="33">
        <f>IFERROR(__xludf.DUMMYFUNCTION("""COMPUTED_VALUE"""),45828.202019930555)</f>
        <v>45828.20202</v>
      </c>
      <c r="B1939" s="29" t="str">
        <f>IFERROR(__xludf.DUMMYFUNCTION("""COMPUTED_VALUE"""),"Intact (Never circumcised)")</f>
        <v>Intact (Never circumcised)</v>
      </c>
      <c r="C1939" s="29" t="str">
        <f>IFERROR(__xludf.DUMMYFUNCTION("""COMPUTED_VALUE"""),"Variety of Sensation")</f>
        <v>Variety of Sensation</v>
      </c>
      <c r="D1939" s="29" t="str">
        <f>IFERROR(__xludf.DUMMYFUNCTION("""COMPUTED_VALUE"""),"5 (High/Excellent)")</f>
        <v>5 (High/Excellent)</v>
      </c>
      <c r="E1939" s="29">
        <f>IFERROR(__xludf.DUMMYFUNCTION("""COMPUTED_VALUE"""),5.0)</f>
        <v>5</v>
      </c>
    </row>
    <row r="1940">
      <c r="A1940" s="33">
        <f>IFERROR(__xludf.DUMMYFUNCTION("""COMPUTED_VALUE"""),45828.21023520834)</f>
        <v>45828.21024</v>
      </c>
      <c r="B1940" s="29" t="str">
        <f>IFERROR(__xludf.DUMMYFUNCTION("""COMPUTED_VALUE"""),"Intact (Never circumcised)")</f>
        <v>Intact (Never circumcised)</v>
      </c>
      <c r="C1940" s="29" t="str">
        <f>IFERROR(__xludf.DUMMYFUNCTION("""COMPUTED_VALUE"""),"Variety of Sensation")</f>
        <v>Variety of Sensation</v>
      </c>
      <c r="D1940" s="29" t="str">
        <f>IFERROR(__xludf.DUMMYFUNCTION("""COMPUTED_VALUE"""),"5 (High/Excellent)")</f>
        <v>5 (High/Excellent)</v>
      </c>
      <c r="E1940" s="29">
        <f>IFERROR(__xludf.DUMMYFUNCTION("""COMPUTED_VALUE"""),5.0)</f>
        <v>5</v>
      </c>
    </row>
    <row r="1941">
      <c r="A1941" s="33">
        <f>IFERROR(__xludf.DUMMYFUNCTION("""COMPUTED_VALUE"""),45828.22725708334)</f>
        <v>45828.22726</v>
      </c>
      <c r="B1941" s="29" t="str">
        <f>IFERROR(__xludf.DUMMYFUNCTION("""COMPUTED_VALUE"""),"Circumcised")</f>
        <v>Circumcised</v>
      </c>
      <c r="C1941" s="29" t="str">
        <f>IFERROR(__xludf.DUMMYFUNCTION("""COMPUTED_VALUE"""),"Variety of Sensation")</f>
        <v>Variety of Sensation</v>
      </c>
      <c r="D1941" s="29" t="str">
        <f>IFERROR(__xludf.DUMMYFUNCTION("""COMPUTED_VALUE"""),"4")</f>
        <v>4</v>
      </c>
      <c r="E1941" s="29">
        <f>IFERROR(__xludf.DUMMYFUNCTION("""COMPUTED_VALUE"""),4.0)</f>
        <v>4</v>
      </c>
    </row>
    <row r="1942">
      <c r="A1942" s="33">
        <f>IFERROR(__xludf.DUMMYFUNCTION("""COMPUTED_VALUE"""),45828.25383616898)</f>
        <v>45828.25384</v>
      </c>
      <c r="B1942" s="29" t="str">
        <f>IFERROR(__xludf.DUMMYFUNCTION("""COMPUTED_VALUE"""),"Intact (Never circumcised)")</f>
        <v>Intact (Never circumcised)</v>
      </c>
      <c r="C1942" s="29" t="str">
        <f>IFERROR(__xludf.DUMMYFUNCTION("""COMPUTED_VALUE"""),"Variety of Sensation")</f>
        <v>Variety of Sensation</v>
      </c>
      <c r="D1942" s="29" t="str">
        <f>IFERROR(__xludf.DUMMYFUNCTION("""COMPUTED_VALUE"""),"4")</f>
        <v>4</v>
      </c>
      <c r="E1942" s="29">
        <f>IFERROR(__xludf.DUMMYFUNCTION("""COMPUTED_VALUE"""),4.0)</f>
        <v>4</v>
      </c>
    </row>
    <row r="1943">
      <c r="A1943" s="33">
        <f>IFERROR(__xludf.DUMMYFUNCTION("""COMPUTED_VALUE"""),45828.2956471412)</f>
        <v>45828.29565</v>
      </c>
      <c r="B1943" s="29" t="str">
        <f>IFERROR(__xludf.DUMMYFUNCTION("""COMPUTED_VALUE"""),"Intact (Never circumcised)")</f>
        <v>Intact (Never circumcised)</v>
      </c>
      <c r="C1943" s="29" t="str">
        <f>IFERROR(__xludf.DUMMYFUNCTION("""COMPUTED_VALUE"""),"Variety of Sensation")</f>
        <v>Variety of Sensation</v>
      </c>
      <c r="D1943" s="29" t="str">
        <f>IFERROR(__xludf.DUMMYFUNCTION("""COMPUTED_VALUE"""),"4")</f>
        <v>4</v>
      </c>
      <c r="E1943" s="29">
        <f>IFERROR(__xludf.DUMMYFUNCTION("""COMPUTED_VALUE"""),4.0)</f>
        <v>4</v>
      </c>
    </row>
    <row r="1944">
      <c r="A1944" s="33">
        <f>IFERROR(__xludf.DUMMYFUNCTION("""COMPUTED_VALUE"""),45828.31245334491)</f>
        <v>45828.31245</v>
      </c>
      <c r="B1944" s="29" t="str">
        <f>IFERROR(__xludf.DUMMYFUNCTION("""COMPUTED_VALUE"""),"Circumcised")</f>
        <v>Circumcised</v>
      </c>
      <c r="C1944" s="29" t="str">
        <f>IFERROR(__xludf.DUMMYFUNCTION("""COMPUTED_VALUE"""),"Variety of Sensation")</f>
        <v>Variety of Sensation</v>
      </c>
      <c r="D1944" s="29" t="str">
        <f>IFERROR(__xludf.DUMMYFUNCTION("""COMPUTED_VALUE"""),"1 (Low/Poor)")</f>
        <v>1 (Low/Poor)</v>
      </c>
      <c r="E1944" s="29">
        <f>IFERROR(__xludf.DUMMYFUNCTION("""COMPUTED_VALUE"""),1.0)</f>
        <v>1</v>
      </c>
    </row>
    <row r="1945">
      <c r="A1945" s="33">
        <f>IFERROR(__xludf.DUMMYFUNCTION("""COMPUTED_VALUE"""),45828.31539207176)</f>
        <v>45828.31539</v>
      </c>
      <c r="B1945" s="29" t="str">
        <f>IFERROR(__xludf.DUMMYFUNCTION("""COMPUTED_VALUE"""),"Circumcised")</f>
        <v>Circumcised</v>
      </c>
      <c r="C1945" s="29" t="str">
        <f>IFERROR(__xludf.DUMMYFUNCTION("""COMPUTED_VALUE"""),"Variety of Sensation")</f>
        <v>Variety of Sensation</v>
      </c>
      <c r="D1945" s="29" t="str">
        <f>IFERROR(__xludf.DUMMYFUNCTION("""COMPUTED_VALUE"""),"2")</f>
        <v>2</v>
      </c>
      <c r="E1945" s="29">
        <f>IFERROR(__xludf.DUMMYFUNCTION("""COMPUTED_VALUE"""),2.0)</f>
        <v>2</v>
      </c>
    </row>
    <row r="1946">
      <c r="A1946" s="33">
        <f>IFERROR(__xludf.DUMMYFUNCTION("""COMPUTED_VALUE"""),45828.341003518515)</f>
        <v>45828.341</v>
      </c>
      <c r="B1946" s="29" t="str">
        <f>IFERROR(__xludf.DUMMYFUNCTION("""COMPUTED_VALUE"""),"Intact (Never circumcised)")</f>
        <v>Intact (Never circumcised)</v>
      </c>
      <c r="C1946" s="29" t="str">
        <f>IFERROR(__xludf.DUMMYFUNCTION("""COMPUTED_VALUE"""),"Variety of Sensation")</f>
        <v>Variety of Sensation</v>
      </c>
      <c r="D1946" s="29" t="str">
        <f>IFERROR(__xludf.DUMMYFUNCTION("""COMPUTED_VALUE"""),"5 (High/Excellent)")</f>
        <v>5 (High/Excellent)</v>
      </c>
      <c r="E1946" s="29">
        <f>IFERROR(__xludf.DUMMYFUNCTION("""COMPUTED_VALUE"""),5.0)</f>
        <v>5</v>
      </c>
    </row>
    <row r="1947">
      <c r="A1947" s="33">
        <f>IFERROR(__xludf.DUMMYFUNCTION("""COMPUTED_VALUE"""),45828.3511699537)</f>
        <v>45828.35117</v>
      </c>
      <c r="B1947" s="29" t="str">
        <f>IFERROR(__xludf.DUMMYFUNCTION("""COMPUTED_VALUE"""),"Intact (Never circumcised)")</f>
        <v>Intact (Never circumcised)</v>
      </c>
      <c r="C1947" s="29" t="str">
        <f>IFERROR(__xludf.DUMMYFUNCTION("""COMPUTED_VALUE"""),"Variety of Sensation")</f>
        <v>Variety of Sensation</v>
      </c>
      <c r="D1947" s="29" t="str">
        <f>IFERROR(__xludf.DUMMYFUNCTION("""COMPUTED_VALUE"""),"5 (High/Excellent)")</f>
        <v>5 (High/Excellent)</v>
      </c>
      <c r="E1947" s="29">
        <f>IFERROR(__xludf.DUMMYFUNCTION("""COMPUTED_VALUE"""),5.0)</f>
        <v>5</v>
      </c>
    </row>
    <row r="1948">
      <c r="A1948" s="33">
        <f>IFERROR(__xludf.DUMMYFUNCTION("""COMPUTED_VALUE"""),45828.35833436343)</f>
        <v>45828.35833</v>
      </c>
      <c r="B1948" s="29" t="str">
        <f>IFERROR(__xludf.DUMMYFUNCTION("""COMPUTED_VALUE"""),"Actively restoring my foreskin / I consider myself restored")</f>
        <v>Actively restoring my foreskin / I consider myself restored</v>
      </c>
      <c r="C1948" s="29" t="str">
        <f>IFERROR(__xludf.DUMMYFUNCTION("""COMPUTED_VALUE"""),"Variety of Sensation")</f>
        <v>Variety of Sensation</v>
      </c>
      <c r="D1948" s="29" t="str">
        <f>IFERROR(__xludf.DUMMYFUNCTION("""COMPUTED_VALUE"""),"2")</f>
        <v>2</v>
      </c>
      <c r="E1948" s="29">
        <f>IFERROR(__xludf.DUMMYFUNCTION("""COMPUTED_VALUE"""),2.0)</f>
        <v>2</v>
      </c>
    </row>
    <row r="1949">
      <c r="A1949" s="33">
        <f>IFERROR(__xludf.DUMMYFUNCTION("""COMPUTED_VALUE"""),45828.35893381945)</f>
        <v>45828.35893</v>
      </c>
      <c r="B1949" s="29" t="str">
        <f>IFERROR(__xludf.DUMMYFUNCTION("""COMPUTED_VALUE"""),"Intact (Never circumcised)")</f>
        <v>Intact (Never circumcised)</v>
      </c>
      <c r="C1949" s="29" t="str">
        <f>IFERROR(__xludf.DUMMYFUNCTION("""COMPUTED_VALUE"""),"Variety of Sensation")</f>
        <v>Variety of Sensation</v>
      </c>
      <c r="D1949" s="29" t="str">
        <f>IFERROR(__xludf.DUMMYFUNCTION("""COMPUTED_VALUE"""),"5 (High/Excellent)")</f>
        <v>5 (High/Excellent)</v>
      </c>
      <c r="E1949" s="29">
        <f>IFERROR(__xludf.DUMMYFUNCTION("""COMPUTED_VALUE"""),5.0)</f>
        <v>5</v>
      </c>
    </row>
    <row r="1950">
      <c r="A1950" s="33">
        <f>IFERROR(__xludf.DUMMYFUNCTION("""COMPUTED_VALUE"""),45828.35894726852)</f>
        <v>45828.35895</v>
      </c>
      <c r="B1950" s="29" t="str">
        <f>IFERROR(__xludf.DUMMYFUNCTION("""COMPUTED_VALUE"""),"Intact (Never circumcised)")</f>
        <v>Intact (Never circumcised)</v>
      </c>
      <c r="C1950" s="29" t="str">
        <f>IFERROR(__xludf.DUMMYFUNCTION("""COMPUTED_VALUE"""),"Variety of Sensation")</f>
        <v>Variety of Sensation</v>
      </c>
      <c r="D1950" s="29" t="str">
        <f>IFERROR(__xludf.DUMMYFUNCTION("""COMPUTED_VALUE"""),"5 (High/Excellent)")</f>
        <v>5 (High/Excellent)</v>
      </c>
      <c r="E1950" s="29">
        <f>IFERROR(__xludf.DUMMYFUNCTION("""COMPUTED_VALUE"""),5.0)</f>
        <v>5</v>
      </c>
    </row>
    <row r="1951">
      <c r="A1951" s="33">
        <f>IFERROR(__xludf.DUMMYFUNCTION("""COMPUTED_VALUE"""),45828.36039090277)</f>
        <v>45828.36039</v>
      </c>
      <c r="B1951" s="29" t="str">
        <f>IFERROR(__xludf.DUMMYFUNCTION("""COMPUTED_VALUE"""),"Circumcised")</f>
        <v>Circumcised</v>
      </c>
      <c r="C1951" s="29" t="str">
        <f>IFERROR(__xludf.DUMMYFUNCTION("""COMPUTED_VALUE"""),"Variety of Sensation")</f>
        <v>Variety of Sensation</v>
      </c>
      <c r="D1951" s="29" t="str">
        <f>IFERROR(__xludf.DUMMYFUNCTION("""COMPUTED_VALUE"""),"2")</f>
        <v>2</v>
      </c>
      <c r="E1951" s="29">
        <f>IFERROR(__xludf.DUMMYFUNCTION("""COMPUTED_VALUE"""),2.0)</f>
        <v>2</v>
      </c>
    </row>
    <row r="1952">
      <c r="A1952" s="33">
        <f>IFERROR(__xludf.DUMMYFUNCTION("""COMPUTED_VALUE"""),45828.39941795139)</f>
        <v>45828.39942</v>
      </c>
      <c r="B1952" s="29" t="str">
        <f>IFERROR(__xludf.DUMMYFUNCTION("""COMPUTED_VALUE"""),"Circumcised")</f>
        <v>Circumcised</v>
      </c>
      <c r="C1952" s="29" t="str">
        <f>IFERROR(__xludf.DUMMYFUNCTION("""COMPUTED_VALUE"""),"Variety of Sensation")</f>
        <v>Variety of Sensation</v>
      </c>
      <c r="D1952" s="29" t="str">
        <f>IFERROR(__xludf.DUMMYFUNCTION("""COMPUTED_VALUE"""),"2")</f>
        <v>2</v>
      </c>
      <c r="E1952" s="29">
        <f>IFERROR(__xludf.DUMMYFUNCTION("""COMPUTED_VALUE"""),2.0)</f>
        <v>2</v>
      </c>
    </row>
    <row r="1953">
      <c r="A1953" s="33">
        <f>IFERROR(__xludf.DUMMYFUNCTION("""COMPUTED_VALUE"""),45828.46985780093)</f>
        <v>45828.46986</v>
      </c>
      <c r="B1953" s="29" t="str">
        <f>IFERROR(__xludf.DUMMYFUNCTION("""COMPUTED_VALUE"""),"Intact (Never circumcised)")</f>
        <v>Intact (Never circumcised)</v>
      </c>
      <c r="C1953" s="29" t="str">
        <f>IFERROR(__xludf.DUMMYFUNCTION("""COMPUTED_VALUE"""),"Variety of Sensation")</f>
        <v>Variety of Sensation</v>
      </c>
      <c r="D1953" s="29" t="str">
        <f>IFERROR(__xludf.DUMMYFUNCTION("""COMPUTED_VALUE"""),"5 (High/Excellent)")</f>
        <v>5 (High/Excellent)</v>
      </c>
      <c r="E1953" s="29">
        <f>IFERROR(__xludf.DUMMYFUNCTION("""COMPUTED_VALUE"""),5.0)</f>
        <v>5</v>
      </c>
    </row>
    <row r="1954">
      <c r="A1954" s="33">
        <f>IFERROR(__xludf.DUMMYFUNCTION("""COMPUTED_VALUE"""),45828.4853855324)</f>
        <v>45828.48539</v>
      </c>
      <c r="B1954" s="29" t="str">
        <f>IFERROR(__xludf.DUMMYFUNCTION("""COMPUTED_VALUE"""),"Actively restoring my foreskin / I consider myself restored")</f>
        <v>Actively restoring my foreskin / I consider myself restored</v>
      </c>
      <c r="C1954" s="29" t="str">
        <f>IFERROR(__xludf.DUMMYFUNCTION("""COMPUTED_VALUE"""),"Variety of Sensation")</f>
        <v>Variety of Sensation</v>
      </c>
      <c r="D1954" s="29" t="str">
        <f>IFERROR(__xludf.DUMMYFUNCTION("""COMPUTED_VALUE"""),"3 (Medium/Average)")</f>
        <v>3 (Medium/Average)</v>
      </c>
      <c r="E1954" s="29">
        <f>IFERROR(__xludf.DUMMYFUNCTION("""COMPUTED_VALUE"""),3.0)</f>
        <v>3</v>
      </c>
    </row>
    <row r="1955">
      <c r="A1955" s="33">
        <f>IFERROR(__xludf.DUMMYFUNCTION("""COMPUTED_VALUE"""),45828.49643018519)</f>
        <v>45828.49643</v>
      </c>
      <c r="B1955" s="29" t="str">
        <f>IFERROR(__xludf.DUMMYFUNCTION("""COMPUTED_VALUE"""),"Circumcised")</f>
        <v>Circumcised</v>
      </c>
      <c r="C1955" s="29" t="str">
        <f>IFERROR(__xludf.DUMMYFUNCTION("""COMPUTED_VALUE"""),"Variety of Sensation")</f>
        <v>Variety of Sensation</v>
      </c>
      <c r="D1955" s="29" t="str">
        <f>IFERROR(__xludf.DUMMYFUNCTION("""COMPUTED_VALUE"""),"4")</f>
        <v>4</v>
      </c>
      <c r="E1955" s="29">
        <f>IFERROR(__xludf.DUMMYFUNCTION("""COMPUTED_VALUE"""),4.0)</f>
        <v>4</v>
      </c>
    </row>
    <row r="1956">
      <c r="A1956" s="33">
        <f>IFERROR(__xludf.DUMMYFUNCTION("""COMPUTED_VALUE"""),45828.52431340278)</f>
        <v>45828.52431</v>
      </c>
      <c r="B1956" s="29" t="str">
        <f>IFERROR(__xludf.DUMMYFUNCTION("""COMPUTED_VALUE"""),"Intact (Never circumcised)")</f>
        <v>Intact (Never circumcised)</v>
      </c>
      <c r="C1956" s="29" t="str">
        <f>IFERROR(__xludf.DUMMYFUNCTION("""COMPUTED_VALUE"""),"Variety of Sensation")</f>
        <v>Variety of Sensation</v>
      </c>
      <c r="D1956" s="29" t="str">
        <f>IFERROR(__xludf.DUMMYFUNCTION("""COMPUTED_VALUE"""),"2")</f>
        <v>2</v>
      </c>
      <c r="E1956" s="29">
        <f>IFERROR(__xludf.DUMMYFUNCTION("""COMPUTED_VALUE"""),2.0)</f>
        <v>2</v>
      </c>
    </row>
    <row r="1957">
      <c r="A1957" s="33">
        <f>IFERROR(__xludf.DUMMYFUNCTION("""COMPUTED_VALUE"""),45828.5412253125)</f>
        <v>45828.54123</v>
      </c>
      <c r="B1957" s="29" t="str">
        <f>IFERROR(__xludf.DUMMYFUNCTION("""COMPUTED_VALUE"""),"Circumcised")</f>
        <v>Circumcised</v>
      </c>
      <c r="C1957" s="29" t="str">
        <f>IFERROR(__xludf.DUMMYFUNCTION("""COMPUTED_VALUE"""),"Variety of Sensation")</f>
        <v>Variety of Sensation</v>
      </c>
      <c r="D1957" s="29" t="str">
        <f>IFERROR(__xludf.DUMMYFUNCTION("""COMPUTED_VALUE"""),"1 (Low/Poor)")</f>
        <v>1 (Low/Poor)</v>
      </c>
      <c r="E1957" s="29">
        <f>IFERROR(__xludf.DUMMYFUNCTION("""COMPUTED_VALUE"""),1.0)</f>
        <v>1</v>
      </c>
    </row>
    <row r="1958">
      <c r="A1958" s="33">
        <f>IFERROR(__xludf.DUMMYFUNCTION("""COMPUTED_VALUE"""),45828.55194200231)</f>
        <v>45828.55194</v>
      </c>
      <c r="B1958" s="29" t="str">
        <f>IFERROR(__xludf.DUMMYFUNCTION("""COMPUTED_VALUE"""),"Intact (Never circumcised)")</f>
        <v>Intact (Never circumcised)</v>
      </c>
      <c r="C1958" s="29" t="str">
        <f>IFERROR(__xludf.DUMMYFUNCTION("""COMPUTED_VALUE"""),"Variety of Sensation")</f>
        <v>Variety of Sensation</v>
      </c>
      <c r="D1958" s="29" t="str">
        <f>IFERROR(__xludf.DUMMYFUNCTION("""COMPUTED_VALUE"""),"4")</f>
        <v>4</v>
      </c>
      <c r="E1958" s="29">
        <f>IFERROR(__xludf.DUMMYFUNCTION("""COMPUTED_VALUE"""),4.0)</f>
        <v>4</v>
      </c>
    </row>
    <row r="1959">
      <c r="A1959" s="33">
        <f>IFERROR(__xludf.DUMMYFUNCTION("""COMPUTED_VALUE"""),45828.57699451389)</f>
        <v>45828.57699</v>
      </c>
      <c r="B1959" s="29" t="str">
        <f>IFERROR(__xludf.DUMMYFUNCTION("""COMPUTED_VALUE"""),"Circumcised")</f>
        <v>Circumcised</v>
      </c>
      <c r="C1959" s="29" t="str">
        <f>IFERROR(__xludf.DUMMYFUNCTION("""COMPUTED_VALUE"""),"Variety of Sensation")</f>
        <v>Variety of Sensation</v>
      </c>
      <c r="D1959" s="29" t="str">
        <f>IFERROR(__xludf.DUMMYFUNCTION("""COMPUTED_VALUE"""),"1 (Low/Poor)")</f>
        <v>1 (Low/Poor)</v>
      </c>
      <c r="E1959" s="29">
        <f>IFERROR(__xludf.DUMMYFUNCTION("""COMPUTED_VALUE"""),1.0)</f>
        <v>1</v>
      </c>
    </row>
    <row r="1960">
      <c r="A1960" s="33">
        <f>IFERROR(__xludf.DUMMYFUNCTION("""COMPUTED_VALUE"""),45828.57987178241)</f>
        <v>45828.57987</v>
      </c>
      <c r="B1960" s="29" t="str">
        <f>IFERROR(__xludf.DUMMYFUNCTION("""COMPUTED_VALUE"""),"Intact (Never circumcised)")</f>
        <v>Intact (Never circumcised)</v>
      </c>
      <c r="C1960" s="29" t="str">
        <f>IFERROR(__xludf.DUMMYFUNCTION("""COMPUTED_VALUE"""),"Variety of Sensation")</f>
        <v>Variety of Sensation</v>
      </c>
      <c r="D1960" s="29" t="str">
        <f>IFERROR(__xludf.DUMMYFUNCTION("""COMPUTED_VALUE"""),"3 (Medium/Average)")</f>
        <v>3 (Medium/Average)</v>
      </c>
      <c r="E1960" s="29">
        <f>IFERROR(__xludf.DUMMYFUNCTION("""COMPUTED_VALUE"""),3.0)</f>
        <v>3</v>
      </c>
    </row>
    <row r="1961">
      <c r="A1961" s="33">
        <f>IFERROR(__xludf.DUMMYFUNCTION("""COMPUTED_VALUE"""),45828.60358170139)</f>
        <v>45828.60358</v>
      </c>
      <c r="B1961" s="29" t="str">
        <f>IFERROR(__xludf.DUMMYFUNCTION("""COMPUTED_VALUE"""),"Circumcised")</f>
        <v>Circumcised</v>
      </c>
      <c r="C1961" s="29" t="str">
        <f>IFERROR(__xludf.DUMMYFUNCTION("""COMPUTED_VALUE"""),"Variety of Sensation")</f>
        <v>Variety of Sensation</v>
      </c>
      <c r="D1961" s="29" t="str">
        <f>IFERROR(__xludf.DUMMYFUNCTION("""COMPUTED_VALUE"""),"2")</f>
        <v>2</v>
      </c>
      <c r="E1961" s="29">
        <f>IFERROR(__xludf.DUMMYFUNCTION("""COMPUTED_VALUE"""),2.0)</f>
        <v>2</v>
      </c>
    </row>
    <row r="1962">
      <c r="A1962" s="33">
        <f>IFERROR(__xludf.DUMMYFUNCTION("""COMPUTED_VALUE"""),45828.64029736111)</f>
        <v>45828.6403</v>
      </c>
      <c r="B1962" s="29" t="str">
        <f>IFERROR(__xludf.DUMMYFUNCTION("""COMPUTED_VALUE"""),"Intact (Never circumcised)")</f>
        <v>Intact (Never circumcised)</v>
      </c>
      <c r="C1962" s="29" t="str">
        <f>IFERROR(__xludf.DUMMYFUNCTION("""COMPUTED_VALUE"""),"Variety of Sensation")</f>
        <v>Variety of Sensation</v>
      </c>
      <c r="D1962" s="29" t="str">
        <f>IFERROR(__xludf.DUMMYFUNCTION("""COMPUTED_VALUE"""),"5 (High/Excellent)")</f>
        <v>5 (High/Excellent)</v>
      </c>
      <c r="E1962" s="29">
        <f>IFERROR(__xludf.DUMMYFUNCTION("""COMPUTED_VALUE"""),5.0)</f>
        <v>5</v>
      </c>
    </row>
    <row r="1963">
      <c r="A1963" s="33">
        <f>IFERROR(__xludf.DUMMYFUNCTION("""COMPUTED_VALUE"""),45828.643401828704)</f>
        <v>45828.6434</v>
      </c>
      <c r="B1963" s="29" t="str">
        <f>IFERROR(__xludf.DUMMYFUNCTION("""COMPUTED_VALUE"""),"Intact (Never circumcised)")</f>
        <v>Intact (Never circumcised)</v>
      </c>
      <c r="C1963" s="29" t="str">
        <f>IFERROR(__xludf.DUMMYFUNCTION("""COMPUTED_VALUE"""),"Variety of Sensation")</f>
        <v>Variety of Sensation</v>
      </c>
      <c r="D1963" s="29" t="str">
        <f>IFERROR(__xludf.DUMMYFUNCTION("""COMPUTED_VALUE"""),"5 (High/Excellent)")</f>
        <v>5 (High/Excellent)</v>
      </c>
      <c r="E1963" s="29">
        <f>IFERROR(__xludf.DUMMYFUNCTION("""COMPUTED_VALUE"""),5.0)</f>
        <v>5</v>
      </c>
    </row>
    <row r="1964">
      <c r="A1964" s="33">
        <f>IFERROR(__xludf.DUMMYFUNCTION("""COMPUTED_VALUE"""),45828.78532109953)</f>
        <v>45828.78532</v>
      </c>
      <c r="B1964" s="29" t="str">
        <f>IFERROR(__xludf.DUMMYFUNCTION("""COMPUTED_VALUE"""),"Actively restoring my foreskin / I consider myself restored")</f>
        <v>Actively restoring my foreskin / I consider myself restored</v>
      </c>
      <c r="C1964" s="29" t="str">
        <f>IFERROR(__xludf.DUMMYFUNCTION("""COMPUTED_VALUE"""),"Variety of Sensation")</f>
        <v>Variety of Sensation</v>
      </c>
      <c r="D1964" s="29" t="str">
        <f>IFERROR(__xludf.DUMMYFUNCTION("""COMPUTED_VALUE"""),"5 (High/Excellent)")</f>
        <v>5 (High/Excellent)</v>
      </c>
      <c r="E1964" s="29">
        <f>IFERROR(__xludf.DUMMYFUNCTION("""COMPUTED_VALUE"""),5.0)</f>
        <v>5</v>
      </c>
    </row>
    <row r="1965">
      <c r="A1965" s="33">
        <f>IFERROR(__xludf.DUMMYFUNCTION("""COMPUTED_VALUE"""),45828.791163622685)</f>
        <v>45828.79116</v>
      </c>
      <c r="B1965" s="29" t="str">
        <f>IFERROR(__xludf.DUMMYFUNCTION("""COMPUTED_VALUE"""),"Circumcised")</f>
        <v>Circumcised</v>
      </c>
      <c r="C1965" s="29" t="str">
        <f>IFERROR(__xludf.DUMMYFUNCTION("""COMPUTED_VALUE"""),"Variety of Sensation")</f>
        <v>Variety of Sensation</v>
      </c>
      <c r="D1965" s="29" t="str">
        <f>IFERROR(__xludf.DUMMYFUNCTION("""COMPUTED_VALUE"""),"2")</f>
        <v>2</v>
      </c>
      <c r="E1965" s="29">
        <f>IFERROR(__xludf.DUMMYFUNCTION("""COMPUTED_VALUE"""),2.0)</f>
        <v>2</v>
      </c>
    </row>
    <row r="1966">
      <c r="A1966" s="33">
        <f>IFERROR(__xludf.DUMMYFUNCTION("""COMPUTED_VALUE"""),45828.88566534722)</f>
        <v>45828.88567</v>
      </c>
      <c r="B1966" s="29" t="str">
        <f>IFERROR(__xludf.DUMMYFUNCTION("""COMPUTED_VALUE"""),"Circumcised")</f>
        <v>Circumcised</v>
      </c>
      <c r="C1966" s="29" t="str">
        <f>IFERROR(__xludf.DUMMYFUNCTION("""COMPUTED_VALUE"""),"Variety of Sensation")</f>
        <v>Variety of Sensation</v>
      </c>
      <c r="D1966" s="29" t="str">
        <f>IFERROR(__xludf.DUMMYFUNCTION("""COMPUTED_VALUE"""),"4")</f>
        <v>4</v>
      </c>
      <c r="E1966" s="29">
        <f>IFERROR(__xludf.DUMMYFUNCTION("""COMPUTED_VALUE"""),4.0)</f>
        <v>4</v>
      </c>
    </row>
    <row r="1967">
      <c r="A1967" s="33">
        <f>IFERROR(__xludf.DUMMYFUNCTION("""COMPUTED_VALUE"""),45828.891574270834)</f>
        <v>45828.89157</v>
      </c>
      <c r="B1967" s="29" t="str">
        <f>IFERROR(__xludf.DUMMYFUNCTION("""COMPUTED_VALUE"""),"Circumcised")</f>
        <v>Circumcised</v>
      </c>
      <c r="C1967" s="29" t="str">
        <f>IFERROR(__xludf.DUMMYFUNCTION("""COMPUTED_VALUE"""),"Variety of Sensation")</f>
        <v>Variety of Sensation</v>
      </c>
      <c r="D1967" s="29" t="str">
        <f>IFERROR(__xludf.DUMMYFUNCTION("""COMPUTED_VALUE"""),"3 (Medium/Average)")</f>
        <v>3 (Medium/Average)</v>
      </c>
      <c r="E1967" s="29">
        <f>IFERROR(__xludf.DUMMYFUNCTION("""COMPUTED_VALUE"""),3.0)</f>
        <v>3</v>
      </c>
    </row>
    <row r="1968">
      <c r="A1968" s="33">
        <f>IFERROR(__xludf.DUMMYFUNCTION("""COMPUTED_VALUE"""),45828.92868631945)</f>
        <v>45828.92869</v>
      </c>
      <c r="B1968" s="29" t="str">
        <f>IFERROR(__xludf.DUMMYFUNCTION("""COMPUTED_VALUE"""),"Actively restoring my foreskin / I consider myself restored")</f>
        <v>Actively restoring my foreskin / I consider myself restored</v>
      </c>
      <c r="C1968" s="29" t="str">
        <f>IFERROR(__xludf.DUMMYFUNCTION("""COMPUTED_VALUE"""),"Variety of Sensation")</f>
        <v>Variety of Sensation</v>
      </c>
      <c r="D1968" s="29" t="str">
        <f>IFERROR(__xludf.DUMMYFUNCTION("""COMPUTED_VALUE"""),"3 (Medium/Average)")</f>
        <v>3 (Medium/Average)</v>
      </c>
      <c r="E1968" s="29">
        <f>IFERROR(__xludf.DUMMYFUNCTION("""COMPUTED_VALUE"""),3.0)</f>
        <v>3</v>
      </c>
    </row>
    <row r="1969">
      <c r="A1969" s="33">
        <f>IFERROR(__xludf.DUMMYFUNCTION("""COMPUTED_VALUE"""),45829.002409062494)</f>
        <v>45829.00241</v>
      </c>
      <c r="B1969" s="29" t="str">
        <f>IFERROR(__xludf.DUMMYFUNCTION("""COMPUTED_VALUE"""),"Circumcised")</f>
        <v>Circumcised</v>
      </c>
      <c r="C1969" s="29" t="str">
        <f>IFERROR(__xludf.DUMMYFUNCTION("""COMPUTED_VALUE"""),"Variety of Sensation")</f>
        <v>Variety of Sensation</v>
      </c>
      <c r="D1969" s="29" t="str">
        <f>IFERROR(__xludf.DUMMYFUNCTION("""COMPUTED_VALUE"""),"1 (Low/Poor)")</f>
        <v>1 (Low/Poor)</v>
      </c>
      <c r="E1969" s="29">
        <f>IFERROR(__xludf.DUMMYFUNCTION("""COMPUTED_VALUE"""),1.0)</f>
        <v>1</v>
      </c>
    </row>
    <row r="1970">
      <c r="A1970" s="33">
        <f>IFERROR(__xludf.DUMMYFUNCTION("""COMPUTED_VALUE"""),45829.01592366899)</f>
        <v>45829.01592</v>
      </c>
      <c r="B1970" s="29" t="str">
        <f>IFERROR(__xludf.DUMMYFUNCTION("""COMPUTED_VALUE"""),"Circumcised")</f>
        <v>Circumcised</v>
      </c>
      <c r="C1970" s="29" t="str">
        <f>IFERROR(__xludf.DUMMYFUNCTION("""COMPUTED_VALUE"""),"Variety of Sensation")</f>
        <v>Variety of Sensation</v>
      </c>
      <c r="D1970" s="29" t="str">
        <f>IFERROR(__xludf.DUMMYFUNCTION("""COMPUTED_VALUE"""),"2")</f>
        <v>2</v>
      </c>
      <c r="E1970" s="29">
        <f>IFERROR(__xludf.DUMMYFUNCTION("""COMPUTED_VALUE"""),2.0)</f>
        <v>2</v>
      </c>
    </row>
    <row r="1971">
      <c r="A1971" s="33">
        <f>IFERROR(__xludf.DUMMYFUNCTION("""COMPUTED_VALUE"""),45829.15104336806)</f>
        <v>45829.15104</v>
      </c>
      <c r="B1971" s="29" t="str">
        <f>IFERROR(__xludf.DUMMYFUNCTION("""COMPUTED_VALUE"""),"Circumcised")</f>
        <v>Circumcised</v>
      </c>
      <c r="C1971" s="29" t="str">
        <f>IFERROR(__xludf.DUMMYFUNCTION("""COMPUTED_VALUE"""),"Variety of Sensation")</f>
        <v>Variety of Sensation</v>
      </c>
      <c r="D1971" s="29" t="str">
        <f>IFERROR(__xludf.DUMMYFUNCTION("""COMPUTED_VALUE"""),"3 (Medium/Average)")</f>
        <v>3 (Medium/Average)</v>
      </c>
      <c r="E1971" s="29">
        <f>IFERROR(__xludf.DUMMYFUNCTION("""COMPUTED_VALUE"""),3.0)</f>
        <v>3</v>
      </c>
    </row>
    <row r="1972">
      <c r="A1972" s="33">
        <f>IFERROR(__xludf.DUMMYFUNCTION("""COMPUTED_VALUE"""),45829.217301041666)</f>
        <v>45829.2173</v>
      </c>
      <c r="B1972" s="29" t="str">
        <f>IFERROR(__xludf.DUMMYFUNCTION("""COMPUTED_VALUE"""),"Intact (Never circumcised)")</f>
        <v>Intact (Never circumcised)</v>
      </c>
      <c r="C1972" s="29" t="str">
        <f>IFERROR(__xludf.DUMMYFUNCTION("""COMPUTED_VALUE"""),"Variety of Sensation")</f>
        <v>Variety of Sensation</v>
      </c>
      <c r="D1972" s="29" t="str">
        <f>IFERROR(__xludf.DUMMYFUNCTION("""COMPUTED_VALUE"""),"3 (Medium/Average)")</f>
        <v>3 (Medium/Average)</v>
      </c>
      <c r="E1972" s="29">
        <f>IFERROR(__xludf.DUMMYFUNCTION("""COMPUTED_VALUE"""),3.0)</f>
        <v>3</v>
      </c>
    </row>
    <row r="1973">
      <c r="A1973" s="33">
        <f>IFERROR(__xludf.DUMMYFUNCTION("""COMPUTED_VALUE"""),45829.2520430324)</f>
        <v>45829.25204</v>
      </c>
      <c r="B1973" s="29" t="str">
        <f>IFERROR(__xludf.DUMMYFUNCTION("""COMPUTED_VALUE"""),"Intact (Never circumcised)")</f>
        <v>Intact (Never circumcised)</v>
      </c>
      <c r="C1973" s="29" t="str">
        <f>IFERROR(__xludf.DUMMYFUNCTION("""COMPUTED_VALUE"""),"Variety of Sensation")</f>
        <v>Variety of Sensation</v>
      </c>
      <c r="D1973" s="29" t="str">
        <f>IFERROR(__xludf.DUMMYFUNCTION("""COMPUTED_VALUE"""),"3 (Medium/Average)")</f>
        <v>3 (Medium/Average)</v>
      </c>
      <c r="E1973" s="29">
        <f>IFERROR(__xludf.DUMMYFUNCTION("""COMPUTED_VALUE"""),3.0)</f>
        <v>3</v>
      </c>
    </row>
    <row r="1974">
      <c r="A1974" s="33">
        <f>IFERROR(__xludf.DUMMYFUNCTION("""COMPUTED_VALUE"""),45829.310797962964)</f>
        <v>45829.3108</v>
      </c>
      <c r="B1974" s="29" t="str">
        <f>IFERROR(__xludf.DUMMYFUNCTION("""COMPUTED_VALUE"""),"Actively restoring my foreskin / I consider myself restored")</f>
        <v>Actively restoring my foreskin / I consider myself restored</v>
      </c>
      <c r="C1974" s="29" t="str">
        <f>IFERROR(__xludf.DUMMYFUNCTION("""COMPUTED_VALUE"""),"Variety of Sensation")</f>
        <v>Variety of Sensation</v>
      </c>
      <c r="D1974" s="29" t="str">
        <f>IFERROR(__xludf.DUMMYFUNCTION("""COMPUTED_VALUE"""),"4")</f>
        <v>4</v>
      </c>
      <c r="E1974" s="29">
        <f>IFERROR(__xludf.DUMMYFUNCTION("""COMPUTED_VALUE"""),4.0)</f>
        <v>4</v>
      </c>
    </row>
    <row r="1975">
      <c r="A1975" s="33">
        <f>IFERROR(__xludf.DUMMYFUNCTION("""COMPUTED_VALUE"""),45829.33800960648)</f>
        <v>45829.33801</v>
      </c>
      <c r="B1975" s="29" t="str">
        <f>IFERROR(__xludf.DUMMYFUNCTION("""COMPUTED_VALUE"""),"Intact (Never circumcised)")</f>
        <v>Intact (Never circumcised)</v>
      </c>
      <c r="C1975" s="29" t="str">
        <f>IFERROR(__xludf.DUMMYFUNCTION("""COMPUTED_VALUE"""),"Variety of Sensation")</f>
        <v>Variety of Sensation</v>
      </c>
      <c r="D1975" s="29" t="str">
        <f>IFERROR(__xludf.DUMMYFUNCTION("""COMPUTED_VALUE"""),"4")</f>
        <v>4</v>
      </c>
      <c r="E1975" s="29">
        <f>IFERROR(__xludf.DUMMYFUNCTION("""COMPUTED_VALUE"""),4.0)</f>
        <v>4</v>
      </c>
    </row>
    <row r="1976">
      <c r="A1976" s="33">
        <f>IFERROR(__xludf.DUMMYFUNCTION("""COMPUTED_VALUE"""),45829.41961525463)</f>
        <v>45829.41962</v>
      </c>
      <c r="B1976" s="29" t="str">
        <f>IFERROR(__xludf.DUMMYFUNCTION("""COMPUTED_VALUE"""),"Intact (Never circumcised)")</f>
        <v>Intact (Never circumcised)</v>
      </c>
      <c r="C1976" s="29" t="str">
        <f>IFERROR(__xludf.DUMMYFUNCTION("""COMPUTED_VALUE"""),"Variety of Sensation")</f>
        <v>Variety of Sensation</v>
      </c>
      <c r="D1976" s="29" t="str">
        <f>IFERROR(__xludf.DUMMYFUNCTION("""COMPUTED_VALUE"""),"3 (Medium/Average)")</f>
        <v>3 (Medium/Average)</v>
      </c>
      <c r="E1976" s="29">
        <f>IFERROR(__xludf.DUMMYFUNCTION("""COMPUTED_VALUE"""),3.0)</f>
        <v>3</v>
      </c>
    </row>
    <row r="1977">
      <c r="A1977" s="33">
        <f>IFERROR(__xludf.DUMMYFUNCTION("""COMPUTED_VALUE"""),45829.42277583333)</f>
        <v>45829.42278</v>
      </c>
      <c r="B1977" s="29" t="str">
        <f>IFERROR(__xludf.DUMMYFUNCTION("""COMPUTED_VALUE"""),"Actively restoring my foreskin / I consider myself restored")</f>
        <v>Actively restoring my foreskin / I consider myself restored</v>
      </c>
      <c r="C1977" s="29" t="str">
        <f>IFERROR(__xludf.DUMMYFUNCTION("""COMPUTED_VALUE"""),"Variety of Sensation")</f>
        <v>Variety of Sensation</v>
      </c>
      <c r="D1977" s="29" t="str">
        <f>IFERROR(__xludf.DUMMYFUNCTION("""COMPUTED_VALUE"""),"5 (High/Excellent)")</f>
        <v>5 (High/Excellent)</v>
      </c>
      <c r="E1977" s="29">
        <f>IFERROR(__xludf.DUMMYFUNCTION("""COMPUTED_VALUE"""),5.0)</f>
        <v>5</v>
      </c>
    </row>
    <row r="1978">
      <c r="A1978" s="33">
        <f>IFERROR(__xludf.DUMMYFUNCTION("""COMPUTED_VALUE"""),45829.585866458336)</f>
        <v>45829.58587</v>
      </c>
      <c r="B1978" s="29" t="str">
        <f>IFERROR(__xludf.DUMMYFUNCTION("""COMPUTED_VALUE"""),"Actively restoring my foreskin / I consider myself restored")</f>
        <v>Actively restoring my foreskin / I consider myself restored</v>
      </c>
      <c r="C1978" s="29" t="str">
        <f>IFERROR(__xludf.DUMMYFUNCTION("""COMPUTED_VALUE"""),"Variety of Sensation")</f>
        <v>Variety of Sensation</v>
      </c>
      <c r="D1978" s="29" t="str">
        <f>IFERROR(__xludf.DUMMYFUNCTION("""COMPUTED_VALUE"""),"5 (High/Excellent)")</f>
        <v>5 (High/Excellent)</v>
      </c>
      <c r="E1978" s="29">
        <f>IFERROR(__xludf.DUMMYFUNCTION("""COMPUTED_VALUE"""),5.0)</f>
        <v>5</v>
      </c>
    </row>
    <row r="1979">
      <c r="A1979" s="33">
        <f>IFERROR(__xludf.DUMMYFUNCTION("""COMPUTED_VALUE"""),45829.60614784722)</f>
        <v>45829.60615</v>
      </c>
      <c r="B1979" s="29" t="str">
        <f>IFERROR(__xludf.DUMMYFUNCTION("""COMPUTED_VALUE"""),"Intact (Never circumcised)")</f>
        <v>Intact (Never circumcised)</v>
      </c>
      <c r="C1979" s="29" t="str">
        <f>IFERROR(__xludf.DUMMYFUNCTION("""COMPUTED_VALUE"""),"Variety of Sensation")</f>
        <v>Variety of Sensation</v>
      </c>
      <c r="D1979" s="29" t="str">
        <f>IFERROR(__xludf.DUMMYFUNCTION("""COMPUTED_VALUE"""),"5 (High/Excellent)")</f>
        <v>5 (High/Excellent)</v>
      </c>
      <c r="E1979" s="29">
        <f>IFERROR(__xludf.DUMMYFUNCTION("""COMPUTED_VALUE"""),5.0)</f>
        <v>5</v>
      </c>
    </row>
    <row r="1980">
      <c r="A1980" s="33">
        <f>IFERROR(__xludf.DUMMYFUNCTION("""COMPUTED_VALUE"""),45829.64056644676)</f>
        <v>45829.64057</v>
      </c>
      <c r="B1980" s="29" t="str">
        <f>IFERROR(__xludf.DUMMYFUNCTION("""COMPUTED_VALUE"""),"Actively restoring my foreskin / I consider myself restored")</f>
        <v>Actively restoring my foreskin / I consider myself restored</v>
      </c>
      <c r="C1980" s="29" t="str">
        <f>IFERROR(__xludf.DUMMYFUNCTION("""COMPUTED_VALUE"""),"Variety of Sensation")</f>
        <v>Variety of Sensation</v>
      </c>
      <c r="D1980" s="29" t="str">
        <f>IFERROR(__xludf.DUMMYFUNCTION("""COMPUTED_VALUE"""),"2")</f>
        <v>2</v>
      </c>
      <c r="E1980" s="29">
        <f>IFERROR(__xludf.DUMMYFUNCTION("""COMPUTED_VALUE"""),2.0)</f>
        <v>2</v>
      </c>
    </row>
    <row r="1981">
      <c r="A1981" s="33">
        <f>IFERROR(__xludf.DUMMYFUNCTION("""COMPUTED_VALUE"""),45829.679237766206)</f>
        <v>45829.67924</v>
      </c>
      <c r="B1981" s="29" t="str">
        <f>IFERROR(__xludf.DUMMYFUNCTION("""COMPUTED_VALUE"""),"Intact (Never circumcised)")</f>
        <v>Intact (Never circumcised)</v>
      </c>
      <c r="C1981" s="29" t="str">
        <f>IFERROR(__xludf.DUMMYFUNCTION("""COMPUTED_VALUE"""),"Variety of Sensation")</f>
        <v>Variety of Sensation</v>
      </c>
      <c r="D1981" s="29" t="str">
        <f>IFERROR(__xludf.DUMMYFUNCTION("""COMPUTED_VALUE"""),"5 (High/Excellent)")</f>
        <v>5 (High/Excellent)</v>
      </c>
      <c r="E1981" s="29">
        <f>IFERROR(__xludf.DUMMYFUNCTION("""COMPUTED_VALUE"""),5.0)</f>
        <v>5</v>
      </c>
    </row>
    <row r="1982">
      <c r="A1982" s="33">
        <f>IFERROR(__xludf.DUMMYFUNCTION("""COMPUTED_VALUE"""),45829.99185576389)</f>
        <v>45829.99186</v>
      </c>
      <c r="B1982" s="29" t="str">
        <f>IFERROR(__xludf.DUMMYFUNCTION("""COMPUTED_VALUE"""),"Circumcised")</f>
        <v>Circumcised</v>
      </c>
      <c r="C1982" s="29" t="str">
        <f>IFERROR(__xludf.DUMMYFUNCTION("""COMPUTED_VALUE"""),"Variety of Sensation")</f>
        <v>Variety of Sensation</v>
      </c>
      <c r="D1982" s="29" t="str">
        <f>IFERROR(__xludf.DUMMYFUNCTION("""COMPUTED_VALUE"""),"1 (Low/Poor)")</f>
        <v>1 (Low/Poor)</v>
      </c>
      <c r="E1982" s="29">
        <f>IFERROR(__xludf.DUMMYFUNCTION("""COMPUTED_VALUE"""),1.0)</f>
        <v>1</v>
      </c>
    </row>
    <row r="1983">
      <c r="A1983" s="33">
        <f>IFERROR(__xludf.DUMMYFUNCTION("""COMPUTED_VALUE"""),45829.99663518518)</f>
        <v>45829.99664</v>
      </c>
      <c r="B1983" s="29" t="str">
        <f>IFERROR(__xludf.DUMMYFUNCTION("""COMPUTED_VALUE"""),"Circumcised")</f>
        <v>Circumcised</v>
      </c>
      <c r="C1983" s="29" t="str">
        <f>IFERROR(__xludf.DUMMYFUNCTION("""COMPUTED_VALUE"""),"Variety of Sensation")</f>
        <v>Variety of Sensation</v>
      </c>
      <c r="D1983" s="29" t="str">
        <f>IFERROR(__xludf.DUMMYFUNCTION("""COMPUTED_VALUE"""),"5 (High/Excellent)")</f>
        <v>5 (High/Excellent)</v>
      </c>
      <c r="E1983" s="29">
        <f>IFERROR(__xludf.DUMMYFUNCTION("""COMPUTED_VALUE"""),5.0)</f>
        <v>5</v>
      </c>
    </row>
    <row r="1984">
      <c r="A1984" s="33">
        <f>IFERROR(__xludf.DUMMYFUNCTION("""COMPUTED_VALUE"""),45830.26074947917)</f>
        <v>45830.26075</v>
      </c>
      <c r="B1984" s="29" t="str">
        <f>IFERROR(__xludf.DUMMYFUNCTION("""COMPUTED_VALUE"""),"Circumcised")</f>
        <v>Circumcised</v>
      </c>
      <c r="C1984" s="29" t="str">
        <f>IFERROR(__xludf.DUMMYFUNCTION("""COMPUTED_VALUE"""),"Variety of Sensation")</f>
        <v>Variety of Sensation</v>
      </c>
      <c r="D1984" s="29" t="str">
        <f>IFERROR(__xludf.DUMMYFUNCTION("""COMPUTED_VALUE"""),"3 (Medium/Average)")</f>
        <v>3 (Medium/Average)</v>
      </c>
      <c r="E1984" s="29">
        <f>IFERROR(__xludf.DUMMYFUNCTION("""COMPUTED_VALUE"""),3.0)</f>
        <v>3</v>
      </c>
    </row>
    <row r="1985">
      <c r="A1985" s="33">
        <f>IFERROR(__xludf.DUMMYFUNCTION("""COMPUTED_VALUE"""),45830.275929791664)</f>
        <v>45830.27593</v>
      </c>
      <c r="B1985" s="29" t="str">
        <f>IFERROR(__xludf.DUMMYFUNCTION("""COMPUTED_VALUE"""),"Intact (Never circumcised)")</f>
        <v>Intact (Never circumcised)</v>
      </c>
      <c r="C1985" s="29" t="str">
        <f>IFERROR(__xludf.DUMMYFUNCTION("""COMPUTED_VALUE"""),"Variety of Sensation")</f>
        <v>Variety of Sensation</v>
      </c>
      <c r="D1985" s="29" t="str">
        <f>IFERROR(__xludf.DUMMYFUNCTION("""COMPUTED_VALUE"""),"5 (High/Excellent)")</f>
        <v>5 (High/Excellent)</v>
      </c>
      <c r="E1985" s="29">
        <f>IFERROR(__xludf.DUMMYFUNCTION("""COMPUTED_VALUE"""),5.0)</f>
        <v>5</v>
      </c>
    </row>
    <row r="1986">
      <c r="A1986" s="33">
        <f>IFERROR(__xludf.DUMMYFUNCTION("""COMPUTED_VALUE"""),45830.342906412036)</f>
        <v>45830.34291</v>
      </c>
      <c r="B1986" s="29" t="str">
        <f>IFERROR(__xludf.DUMMYFUNCTION("""COMPUTED_VALUE"""),"Intact (Never circumcised)")</f>
        <v>Intact (Never circumcised)</v>
      </c>
      <c r="C1986" s="29" t="str">
        <f>IFERROR(__xludf.DUMMYFUNCTION("""COMPUTED_VALUE"""),"Variety of Sensation")</f>
        <v>Variety of Sensation</v>
      </c>
      <c r="D1986" s="29" t="str">
        <f>IFERROR(__xludf.DUMMYFUNCTION("""COMPUTED_VALUE"""),"5 (High/Excellent)")</f>
        <v>5 (High/Excellent)</v>
      </c>
      <c r="E1986" s="29">
        <f>IFERROR(__xludf.DUMMYFUNCTION("""COMPUTED_VALUE"""),5.0)</f>
        <v>5</v>
      </c>
    </row>
    <row r="1987">
      <c r="A1987" s="33">
        <f>IFERROR(__xludf.DUMMYFUNCTION("""COMPUTED_VALUE"""),45830.397428067125)</f>
        <v>45830.39743</v>
      </c>
      <c r="B1987" s="29" t="str">
        <f>IFERROR(__xludf.DUMMYFUNCTION("""COMPUTED_VALUE"""),"Actively restoring my foreskin / I consider myself restored")</f>
        <v>Actively restoring my foreskin / I consider myself restored</v>
      </c>
      <c r="C1987" s="29" t="str">
        <f>IFERROR(__xludf.DUMMYFUNCTION("""COMPUTED_VALUE"""),"Variety of Sensation")</f>
        <v>Variety of Sensation</v>
      </c>
      <c r="D1987" s="29" t="str">
        <f>IFERROR(__xludf.DUMMYFUNCTION("""COMPUTED_VALUE"""),"2")</f>
        <v>2</v>
      </c>
      <c r="E1987" s="29">
        <f>IFERROR(__xludf.DUMMYFUNCTION("""COMPUTED_VALUE"""),2.0)</f>
        <v>2</v>
      </c>
    </row>
    <row r="1988">
      <c r="A1988" s="33">
        <f>IFERROR(__xludf.DUMMYFUNCTION("""COMPUTED_VALUE"""),45830.414605439815)</f>
        <v>45830.41461</v>
      </c>
      <c r="B1988" s="29" t="str">
        <f>IFERROR(__xludf.DUMMYFUNCTION("""COMPUTED_VALUE"""),"Intact (Never circumcised)")</f>
        <v>Intact (Never circumcised)</v>
      </c>
      <c r="C1988" s="29" t="str">
        <f>IFERROR(__xludf.DUMMYFUNCTION("""COMPUTED_VALUE"""),"Variety of Sensation")</f>
        <v>Variety of Sensation</v>
      </c>
      <c r="D1988" s="29" t="str">
        <f>IFERROR(__xludf.DUMMYFUNCTION("""COMPUTED_VALUE"""),"5 (High/Excellent)")</f>
        <v>5 (High/Excellent)</v>
      </c>
      <c r="E1988" s="29">
        <f>IFERROR(__xludf.DUMMYFUNCTION("""COMPUTED_VALUE"""),5.0)</f>
        <v>5</v>
      </c>
    </row>
    <row r="1989">
      <c r="A1989" s="33">
        <f>IFERROR(__xludf.DUMMYFUNCTION("""COMPUTED_VALUE"""),45830.43470159722)</f>
        <v>45830.4347</v>
      </c>
      <c r="B1989" s="29" t="str">
        <f>IFERROR(__xludf.DUMMYFUNCTION("""COMPUTED_VALUE"""),"Intact (Never circumcised)")</f>
        <v>Intact (Never circumcised)</v>
      </c>
      <c r="C1989" s="29" t="str">
        <f>IFERROR(__xludf.DUMMYFUNCTION("""COMPUTED_VALUE"""),"Variety of Sensation")</f>
        <v>Variety of Sensation</v>
      </c>
      <c r="D1989" s="29" t="str">
        <f>IFERROR(__xludf.DUMMYFUNCTION("""COMPUTED_VALUE"""),"2")</f>
        <v>2</v>
      </c>
      <c r="E1989" s="29">
        <f>IFERROR(__xludf.DUMMYFUNCTION("""COMPUTED_VALUE"""),2.0)</f>
        <v>2</v>
      </c>
    </row>
    <row r="1990">
      <c r="A1990" s="33">
        <f>IFERROR(__xludf.DUMMYFUNCTION("""COMPUTED_VALUE"""),45830.46624547454)</f>
        <v>45830.46625</v>
      </c>
      <c r="B1990" s="29" t="str">
        <f>IFERROR(__xludf.DUMMYFUNCTION("""COMPUTED_VALUE"""),"Circumcised")</f>
        <v>Circumcised</v>
      </c>
      <c r="C1990" s="29" t="str">
        <f>IFERROR(__xludf.DUMMYFUNCTION("""COMPUTED_VALUE"""),"Variety of Sensation")</f>
        <v>Variety of Sensation</v>
      </c>
      <c r="D1990" s="29" t="str">
        <f>IFERROR(__xludf.DUMMYFUNCTION("""COMPUTED_VALUE"""),"4")</f>
        <v>4</v>
      </c>
      <c r="E1990" s="29">
        <f>IFERROR(__xludf.DUMMYFUNCTION("""COMPUTED_VALUE"""),4.0)</f>
        <v>4</v>
      </c>
    </row>
    <row r="1991">
      <c r="A1991" s="33">
        <f>IFERROR(__xludf.DUMMYFUNCTION("""COMPUTED_VALUE"""),45830.47800052084)</f>
        <v>45830.478</v>
      </c>
      <c r="B1991" s="29" t="str">
        <f>IFERROR(__xludf.DUMMYFUNCTION("""COMPUTED_VALUE"""),"Intact (Never circumcised)")</f>
        <v>Intact (Never circumcised)</v>
      </c>
      <c r="C1991" s="29" t="str">
        <f>IFERROR(__xludf.DUMMYFUNCTION("""COMPUTED_VALUE"""),"Variety of Sensation")</f>
        <v>Variety of Sensation</v>
      </c>
      <c r="D1991" s="29" t="str">
        <f>IFERROR(__xludf.DUMMYFUNCTION("""COMPUTED_VALUE"""),"5 (High/Excellent)")</f>
        <v>5 (High/Excellent)</v>
      </c>
      <c r="E1991" s="29">
        <f>IFERROR(__xludf.DUMMYFUNCTION("""COMPUTED_VALUE"""),5.0)</f>
        <v>5</v>
      </c>
    </row>
    <row r="1992">
      <c r="A1992" s="33">
        <f>IFERROR(__xludf.DUMMYFUNCTION("""COMPUTED_VALUE"""),45830.5357296875)</f>
        <v>45830.53573</v>
      </c>
      <c r="B1992" s="29" t="str">
        <f>IFERROR(__xludf.DUMMYFUNCTION("""COMPUTED_VALUE"""),"Intact (Never circumcised)")</f>
        <v>Intact (Never circumcised)</v>
      </c>
      <c r="C1992" s="29" t="str">
        <f>IFERROR(__xludf.DUMMYFUNCTION("""COMPUTED_VALUE"""),"Variety of Sensation")</f>
        <v>Variety of Sensation</v>
      </c>
      <c r="D1992" s="29" t="str">
        <f>IFERROR(__xludf.DUMMYFUNCTION("""COMPUTED_VALUE"""),"5 (High/Excellent)")</f>
        <v>5 (High/Excellent)</v>
      </c>
      <c r="E1992" s="29">
        <f>IFERROR(__xludf.DUMMYFUNCTION("""COMPUTED_VALUE"""),5.0)</f>
        <v>5</v>
      </c>
    </row>
    <row r="1993">
      <c r="A1993" s="33">
        <f>IFERROR(__xludf.DUMMYFUNCTION("""COMPUTED_VALUE"""),45830.61729040509)</f>
        <v>45830.61729</v>
      </c>
      <c r="B1993" s="29" t="str">
        <f>IFERROR(__xludf.DUMMYFUNCTION("""COMPUTED_VALUE"""),"Intact (Never circumcised)")</f>
        <v>Intact (Never circumcised)</v>
      </c>
      <c r="C1993" s="29" t="str">
        <f>IFERROR(__xludf.DUMMYFUNCTION("""COMPUTED_VALUE"""),"Variety of Sensation")</f>
        <v>Variety of Sensation</v>
      </c>
      <c r="D1993" s="29" t="str">
        <f>IFERROR(__xludf.DUMMYFUNCTION("""COMPUTED_VALUE"""),"4")</f>
        <v>4</v>
      </c>
      <c r="E1993" s="29">
        <f>IFERROR(__xludf.DUMMYFUNCTION("""COMPUTED_VALUE"""),4.0)</f>
        <v>4</v>
      </c>
    </row>
    <row r="1994">
      <c r="A1994" s="33">
        <f>IFERROR(__xludf.DUMMYFUNCTION("""COMPUTED_VALUE"""),45830.62220851852)</f>
        <v>45830.62221</v>
      </c>
      <c r="B1994" s="29" t="str">
        <f>IFERROR(__xludf.DUMMYFUNCTION("""COMPUTED_VALUE"""),"Intact (Never circumcised)")</f>
        <v>Intact (Never circumcised)</v>
      </c>
      <c r="C1994" s="29" t="str">
        <f>IFERROR(__xludf.DUMMYFUNCTION("""COMPUTED_VALUE"""),"Variety of Sensation")</f>
        <v>Variety of Sensation</v>
      </c>
      <c r="D1994" s="29" t="str">
        <f>IFERROR(__xludf.DUMMYFUNCTION("""COMPUTED_VALUE"""),"3 (Medium/Average)")</f>
        <v>3 (Medium/Average)</v>
      </c>
      <c r="E1994" s="29">
        <f>IFERROR(__xludf.DUMMYFUNCTION("""COMPUTED_VALUE"""),3.0)</f>
        <v>3</v>
      </c>
    </row>
    <row r="1995">
      <c r="A1995" s="33">
        <f>IFERROR(__xludf.DUMMYFUNCTION("""COMPUTED_VALUE"""),45830.63773170139)</f>
        <v>45830.63773</v>
      </c>
      <c r="B1995" s="29" t="str">
        <f>IFERROR(__xludf.DUMMYFUNCTION("""COMPUTED_VALUE"""),"Intact (Never circumcised)")</f>
        <v>Intact (Never circumcised)</v>
      </c>
      <c r="C1995" s="29" t="str">
        <f>IFERROR(__xludf.DUMMYFUNCTION("""COMPUTED_VALUE"""),"Variety of Sensation")</f>
        <v>Variety of Sensation</v>
      </c>
      <c r="D1995" s="29" t="str">
        <f>IFERROR(__xludf.DUMMYFUNCTION("""COMPUTED_VALUE"""),"4")</f>
        <v>4</v>
      </c>
      <c r="E1995" s="29">
        <f>IFERROR(__xludf.DUMMYFUNCTION("""COMPUTED_VALUE"""),4.0)</f>
        <v>4</v>
      </c>
    </row>
    <row r="1996">
      <c r="A1996" s="33">
        <f>IFERROR(__xludf.DUMMYFUNCTION("""COMPUTED_VALUE"""),45830.745157337966)</f>
        <v>45830.74516</v>
      </c>
      <c r="B1996" s="29" t="str">
        <f>IFERROR(__xludf.DUMMYFUNCTION("""COMPUTED_VALUE"""),"Actively restoring my foreskin / I consider myself restored")</f>
        <v>Actively restoring my foreskin / I consider myself restored</v>
      </c>
      <c r="C1996" s="29" t="str">
        <f>IFERROR(__xludf.DUMMYFUNCTION("""COMPUTED_VALUE"""),"Variety of Sensation")</f>
        <v>Variety of Sensation</v>
      </c>
      <c r="D1996" s="29" t="str">
        <f>IFERROR(__xludf.DUMMYFUNCTION("""COMPUTED_VALUE"""),"4")</f>
        <v>4</v>
      </c>
      <c r="E1996" s="29">
        <f>IFERROR(__xludf.DUMMYFUNCTION("""COMPUTED_VALUE"""),4.0)</f>
        <v>4</v>
      </c>
    </row>
    <row r="1997">
      <c r="A1997" s="33">
        <f>IFERROR(__xludf.DUMMYFUNCTION("""COMPUTED_VALUE"""),45830.74782991898)</f>
        <v>45830.74783</v>
      </c>
      <c r="B1997" s="29" t="str">
        <f>IFERROR(__xludf.DUMMYFUNCTION("""COMPUTED_VALUE"""),"Circumcised")</f>
        <v>Circumcised</v>
      </c>
      <c r="C1997" s="29" t="str">
        <f>IFERROR(__xludf.DUMMYFUNCTION("""COMPUTED_VALUE"""),"Variety of Sensation")</f>
        <v>Variety of Sensation</v>
      </c>
      <c r="D1997" s="29" t="str">
        <f>IFERROR(__xludf.DUMMYFUNCTION("""COMPUTED_VALUE"""),"3 (Medium/Average)")</f>
        <v>3 (Medium/Average)</v>
      </c>
      <c r="E1997" s="29">
        <f>IFERROR(__xludf.DUMMYFUNCTION("""COMPUTED_VALUE"""),3.0)</f>
        <v>3</v>
      </c>
    </row>
    <row r="1998">
      <c r="A1998" s="33">
        <f>IFERROR(__xludf.DUMMYFUNCTION("""COMPUTED_VALUE"""),45830.76834444444)</f>
        <v>45830.76834</v>
      </c>
      <c r="B1998" s="29" t="str">
        <f>IFERROR(__xludf.DUMMYFUNCTION("""COMPUTED_VALUE"""),"Circumcised")</f>
        <v>Circumcised</v>
      </c>
      <c r="C1998" s="29" t="str">
        <f>IFERROR(__xludf.DUMMYFUNCTION("""COMPUTED_VALUE"""),"Variety of Sensation")</f>
        <v>Variety of Sensation</v>
      </c>
      <c r="D1998" s="29" t="str">
        <f>IFERROR(__xludf.DUMMYFUNCTION("""COMPUTED_VALUE"""),"1 (Low/Poor)")</f>
        <v>1 (Low/Poor)</v>
      </c>
      <c r="E1998" s="29">
        <f>IFERROR(__xludf.DUMMYFUNCTION("""COMPUTED_VALUE"""),1.0)</f>
        <v>1</v>
      </c>
    </row>
    <row r="1999">
      <c r="A1999" s="33">
        <f>IFERROR(__xludf.DUMMYFUNCTION("""COMPUTED_VALUE"""),45830.77002224537)</f>
        <v>45830.77002</v>
      </c>
      <c r="B1999" s="29" t="str">
        <f>IFERROR(__xludf.DUMMYFUNCTION("""COMPUTED_VALUE"""),"Actively restoring my foreskin / I consider myself restored")</f>
        <v>Actively restoring my foreskin / I consider myself restored</v>
      </c>
      <c r="C1999" s="29" t="str">
        <f>IFERROR(__xludf.DUMMYFUNCTION("""COMPUTED_VALUE"""),"Variety of Sensation")</f>
        <v>Variety of Sensation</v>
      </c>
      <c r="D1999" s="29" t="str">
        <f>IFERROR(__xludf.DUMMYFUNCTION("""COMPUTED_VALUE"""),"3 (Medium/Average)")</f>
        <v>3 (Medium/Average)</v>
      </c>
      <c r="E1999" s="29">
        <f>IFERROR(__xludf.DUMMYFUNCTION("""COMPUTED_VALUE"""),3.0)</f>
        <v>3</v>
      </c>
    </row>
    <row r="2000">
      <c r="A2000" s="33">
        <f>IFERROR(__xludf.DUMMYFUNCTION("""COMPUTED_VALUE"""),45830.85278008102)</f>
        <v>45830.85278</v>
      </c>
      <c r="B2000" s="29" t="str">
        <f>IFERROR(__xludf.DUMMYFUNCTION("""COMPUTED_VALUE"""),"Intact (Never circumcised)")</f>
        <v>Intact (Never circumcised)</v>
      </c>
      <c r="C2000" s="29" t="str">
        <f>IFERROR(__xludf.DUMMYFUNCTION("""COMPUTED_VALUE"""),"Variety of Sensation")</f>
        <v>Variety of Sensation</v>
      </c>
      <c r="D2000" s="29" t="str">
        <f>IFERROR(__xludf.DUMMYFUNCTION("""COMPUTED_VALUE"""),"4")</f>
        <v>4</v>
      </c>
      <c r="E2000" s="29">
        <f>IFERROR(__xludf.DUMMYFUNCTION("""COMPUTED_VALUE"""),4.0)</f>
        <v>4</v>
      </c>
    </row>
    <row r="2001">
      <c r="A2001" s="33">
        <f>IFERROR(__xludf.DUMMYFUNCTION("""COMPUTED_VALUE"""),45830.87385914352)</f>
        <v>45830.87386</v>
      </c>
      <c r="B2001" s="29" t="str">
        <f>IFERROR(__xludf.DUMMYFUNCTION("""COMPUTED_VALUE"""),"Circumcised")</f>
        <v>Circumcised</v>
      </c>
      <c r="C2001" s="29" t="str">
        <f>IFERROR(__xludf.DUMMYFUNCTION("""COMPUTED_VALUE"""),"Variety of Sensation")</f>
        <v>Variety of Sensation</v>
      </c>
      <c r="D2001" s="29" t="str">
        <f>IFERROR(__xludf.DUMMYFUNCTION("""COMPUTED_VALUE"""),"1 (Low/Poor)")</f>
        <v>1 (Low/Poor)</v>
      </c>
      <c r="E2001" s="29">
        <f>IFERROR(__xludf.DUMMYFUNCTION("""COMPUTED_VALUE"""),1.0)</f>
        <v>1</v>
      </c>
    </row>
    <row r="2002">
      <c r="A2002" s="33">
        <f>IFERROR(__xludf.DUMMYFUNCTION("""COMPUTED_VALUE"""),45830.97040641204)</f>
        <v>45830.97041</v>
      </c>
      <c r="B2002" s="29" t="str">
        <f>IFERROR(__xludf.DUMMYFUNCTION("""COMPUTED_VALUE"""),"Actively restoring my foreskin / I consider myself restored")</f>
        <v>Actively restoring my foreskin / I consider myself restored</v>
      </c>
      <c r="C2002" s="29" t="str">
        <f>IFERROR(__xludf.DUMMYFUNCTION("""COMPUTED_VALUE"""),"Variety of Sensation")</f>
        <v>Variety of Sensation</v>
      </c>
      <c r="D2002" s="29" t="str">
        <f>IFERROR(__xludf.DUMMYFUNCTION("""COMPUTED_VALUE"""),"3 (Medium/Average)")</f>
        <v>3 (Medium/Average)</v>
      </c>
      <c r="E2002" s="29">
        <f>IFERROR(__xludf.DUMMYFUNCTION("""COMPUTED_VALUE"""),3.0)</f>
        <v>3</v>
      </c>
    </row>
    <row r="2003">
      <c r="A2003" s="33">
        <f>IFERROR(__xludf.DUMMYFUNCTION("""COMPUTED_VALUE"""),45831.06838657407)</f>
        <v>45831.06839</v>
      </c>
      <c r="B2003" s="29" t="str">
        <f>IFERROR(__xludf.DUMMYFUNCTION("""COMPUTED_VALUE"""),"Circumcised")</f>
        <v>Circumcised</v>
      </c>
      <c r="C2003" s="29" t="str">
        <f>IFERROR(__xludf.DUMMYFUNCTION("""COMPUTED_VALUE"""),"Variety of Sensation")</f>
        <v>Variety of Sensation</v>
      </c>
      <c r="D2003" s="29" t="str">
        <f>IFERROR(__xludf.DUMMYFUNCTION("""COMPUTED_VALUE"""),"1 (Low/Poor)")</f>
        <v>1 (Low/Poor)</v>
      </c>
      <c r="E2003" s="29">
        <f>IFERROR(__xludf.DUMMYFUNCTION("""COMPUTED_VALUE"""),1.0)</f>
        <v>1</v>
      </c>
    </row>
    <row r="2004">
      <c r="A2004" s="33">
        <f>IFERROR(__xludf.DUMMYFUNCTION("""COMPUTED_VALUE"""),45831.087313819444)</f>
        <v>45831.08731</v>
      </c>
      <c r="B2004" s="29" t="str">
        <f>IFERROR(__xludf.DUMMYFUNCTION("""COMPUTED_VALUE"""),"Intact (Never circumcised)")</f>
        <v>Intact (Never circumcised)</v>
      </c>
      <c r="C2004" s="29" t="str">
        <f>IFERROR(__xludf.DUMMYFUNCTION("""COMPUTED_VALUE"""),"Variety of Sensation")</f>
        <v>Variety of Sensation</v>
      </c>
      <c r="D2004" s="29" t="str">
        <f>IFERROR(__xludf.DUMMYFUNCTION("""COMPUTED_VALUE"""),"4")</f>
        <v>4</v>
      </c>
      <c r="E2004" s="29">
        <f>IFERROR(__xludf.DUMMYFUNCTION("""COMPUTED_VALUE"""),4.0)</f>
        <v>4</v>
      </c>
    </row>
    <row r="2005">
      <c r="A2005" s="33">
        <f>IFERROR(__xludf.DUMMYFUNCTION("""COMPUTED_VALUE"""),45831.14147674769)</f>
        <v>45831.14148</v>
      </c>
      <c r="B2005" s="29" t="str">
        <f>IFERROR(__xludf.DUMMYFUNCTION("""COMPUTED_VALUE"""),"Intact (Never circumcised)")</f>
        <v>Intact (Never circumcised)</v>
      </c>
      <c r="C2005" s="29" t="str">
        <f>IFERROR(__xludf.DUMMYFUNCTION("""COMPUTED_VALUE"""),"Variety of Sensation")</f>
        <v>Variety of Sensation</v>
      </c>
      <c r="D2005" s="29" t="str">
        <f>IFERROR(__xludf.DUMMYFUNCTION("""COMPUTED_VALUE"""),"4")</f>
        <v>4</v>
      </c>
      <c r="E2005" s="29">
        <f>IFERROR(__xludf.DUMMYFUNCTION("""COMPUTED_VALUE"""),4.0)</f>
        <v>4</v>
      </c>
    </row>
    <row r="2006">
      <c r="A2006" s="33">
        <f>IFERROR(__xludf.DUMMYFUNCTION("""COMPUTED_VALUE"""),45831.20082736111)</f>
        <v>45831.20083</v>
      </c>
      <c r="B2006" s="29" t="str">
        <f>IFERROR(__xludf.DUMMYFUNCTION("""COMPUTED_VALUE"""),"Intact (Never circumcised)")</f>
        <v>Intact (Never circumcised)</v>
      </c>
      <c r="C2006" s="29" t="str">
        <f>IFERROR(__xludf.DUMMYFUNCTION("""COMPUTED_VALUE"""),"Variety of Sensation")</f>
        <v>Variety of Sensation</v>
      </c>
      <c r="D2006" s="29" t="str">
        <f>IFERROR(__xludf.DUMMYFUNCTION("""COMPUTED_VALUE"""),"4")</f>
        <v>4</v>
      </c>
      <c r="E2006" s="29">
        <f>IFERROR(__xludf.DUMMYFUNCTION("""COMPUTED_VALUE"""),4.0)</f>
        <v>4</v>
      </c>
    </row>
    <row r="2007">
      <c r="A2007" s="33">
        <f>IFERROR(__xludf.DUMMYFUNCTION("""COMPUTED_VALUE"""),45831.280710312494)</f>
        <v>45831.28071</v>
      </c>
      <c r="B2007" s="29" t="str">
        <f>IFERROR(__xludf.DUMMYFUNCTION("""COMPUTED_VALUE"""),"Intact (Never circumcised)")</f>
        <v>Intact (Never circumcised)</v>
      </c>
      <c r="C2007" s="29" t="str">
        <f>IFERROR(__xludf.DUMMYFUNCTION("""COMPUTED_VALUE"""),"Variety of Sensation")</f>
        <v>Variety of Sensation</v>
      </c>
      <c r="D2007" s="29" t="str">
        <f>IFERROR(__xludf.DUMMYFUNCTION("""COMPUTED_VALUE"""),"4")</f>
        <v>4</v>
      </c>
      <c r="E2007" s="29">
        <f>IFERROR(__xludf.DUMMYFUNCTION("""COMPUTED_VALUE"""),4.0)</f>
        <v>4</v>
      </c>
    </row>
    <row r="2008">
      <c r="A2008" s="33">
        <f>IFERROR(__xludf.DUMMYFUNCTION("""COMPUTED_VALUE"""),45831.2901250463)</f>
        <v>45831.29013</v>
      </c>
      <c r="B2008" s="29" t="str">
        <f>IFERROR(__xludf.DUMMYFUNCTION("""COMPUTED_VALUE"""),"Actively restoring my foreskin / I consider myself restored")</f>
        <v>Actively restoring my foreskin / I consider myself restored</v>
      </c>
      <c r="C2008" s="29" t="str">
        <f>IFERROR(__xludf.DUMMYFUNCTION("""COMPUTED_VALUE"""),"Variety of Sensation")</f>
        <v>Variety of Sensation</v>
      </c>
      <c r="D2008" s="29" t="str">
        <f>IFERROR(__xludf.DUMMYFUNCTION("""COMPUTED_VALUE"""),"2")</f>
        <v>2</v>
      </c>
      <c r="E2008" s="29">
        <f>IFERROR(__xludf.DUMMYFUNCTION("""COMPUTED_VALUE"""),2.0)</f>
        <v>2</v>
      </c>
    </row>
    <row r="2009">
      <c r="A2009" s="33">
        <f>IFERROR(__xludf.DUMMYFUNCTION("""COMPUTED_VALUE"""),45831.31184445602)</f>
        <v>45831.31184</v>
      </c>
      <c r="B2009" s="29" t="str">
        <f>IFERROR(__xludf.DUMMYFUNCTION("""COMPUTED_VALUE"""),"Actively restoring my foreskin / I consider myself restored")</f>
        <v>Actively restoring my foreskin / I consider myself restored</v>
      </c>
      <c r="C2009" s="29" t="str">
        <f>IFERROR(__xludf.DUMMYFUNCTION("""COMPUTED_VALUE"""),"Variety of Sensation")</f>
        <v>Variety of Sensation</v>
      </c>
      <c r="D2009" s="29" t="str">
        <f>IFERROR(__xludf.DUMMYFUNCTION("""COMPUTED_VALUE"""),"2")</f>
        <v>2</v>
      </c>
      <c r="E2009" s="29">
        <f>IFERROR(__xludf.DUMMYFUNCTION("""COMPUTED_VALUE"""),2.0)</f>
        <v>2</v>
      </c>
    </row>
    <row r="2010">
      <c r="A2010" s="33">
        <f>IFERROR(__xludf.DUMMYFUNCTION("""COMPUTED_VALUE"""),45831.337022465275)</f>
        <v>45831.33702</v>
      </c>
      <c r="B2010" s="29" t="str">
        <f>IFERROR(__xludf.DUMMYFUNCTION("""COMPUTED_VALUE"""),"Actively restoring my foreskin / I consider myself restored")</f>
        <v>Actively restoring my foreskin / I consider myself restored</v>
      </c>
      <c r="C2010" s="29" t="str">
        <f>IFERROR(__xludf.DUMMYFUNCTION("""COMPUTED_VALUE"""),"Variety of Sensation")</f>
        <v>Variety of Sensation</v>
      </c>
      <c r="D2010" s="29" t="str">
        <f>IFERROR(__xludf.DUMMYFUNCTION("""COMPUTED_VALUE"""),"1 (Low/Poor)")</f>
        <v>1 (Low/Poor)</v>
      </c>
      <c r="E2010" s="29">
        <f>IFERROR(__xludf.DUMMYFUNCTION("""COMPUTED_VALUE"""),1.0)</f>
        <v>1</v>
      </c>
    </row>
    <row r="2011">
      <c r="A2011" s="33">
        <f>IFERROR(__xludf.DUMMYFUNCTION("""COMPUTED_VALUE"""),45831.37880005787)</f>
        <v>45831.3788</v>
      </c>
      <c r="B2011" s="29" t="str">
        <f>IFERROR(__xludf.DUMMYFUNCTION("""COMPUTED_VALUE"""),"Circumcised")</f>
        <v>Circumcised</v>
      </c>
      <c r="C2011" s="29" t="str">
        <f>IFERROR(__xludf.DUMMYFUNCTION("""COMPUTED_VALUE"""),"Variety of Sensation")</f>
        <v>Variety of Sensation</v>
      </c>
      <c r="D2011" s="29" t="str">
        <f>IFERROR(__xludf.DUMMYFUNCTION("""COMPUTED_VALUE"""),"3 (Medium/Average)")</f>
        <v>3 (Medium/Average)</v>
      </c>
      <c r="E2011" s="29">
        <f>IFERROR(__xludf.DUMMYFUNCTION("""COMPUTED_VALUE"""),3.0)</f>
        <v>3</v>
      </c>
    </row>
    <row r="2012">
      <c r="A2012" s="33">
        <f>IFERROR(__xludf.DUMMYFUNCTION("""COMPUTED_VALUE"""),45831.437976030094)</f>
        <v>45831.43798</v>
      </c>
      <c r="B2012" s="29" t="str">
        <f>IFERROR(__xludf.DUMMYFUNCTION("""COMPUTED_VALUE"""),"Intact (Never circumcised)")</f>
        <v>Intact (Never circumcised)</v>
      </c>
      <c r="C2012" s="29" t="str">
        <f>IFERROR(__xludf.DUMMYFUNCTION("""COMPUTED_VALUE"""),"Variety of Sensation")</f>
        <v>Variety of Sensation</v>
      </c>
      <c r="D2012" s="29" t="str">
        <f>IFERROR(__xludf.DUMMYFUNCTION("""COMPUTED_VALUE"""),"5 (High/Excellent)")</f>
        <v>5 (High/Excellent)</v>
      </c>
      <c r="E2012" s="29">
        <f>IFERROR(__xludf.DUMMYFUNCTION("""COMPUTED_VALUE"""),5.0)</f>
        <v>5</v>
      </c>
    </row>
    <row r="2013">
      <c r="A2013" s="33">
        <f>IFERROR(__xludf.DUMMYFUNCTION("""COMPUTED_VALUE"""),45831.46863284722)</f>
        <v>45831.46863</v>
      </c>
      <c r="B2013" s="29" t="str">
        <f>IFERROR(__xludf.DUMMYFUNCTION("""COMPUTED_VALUE"""),"Actively restoring my foreskin / I consider myself restored")</f>
        <v>Actively restoring my foreskin / I consider myself restored</v>
      </c>
      <c r="C2013" s="29" t="str">
        <f>IFERROR(__xludf.DUMMYFUNCTION("""COMPUTED_VALUE"""),"Variety of Sensation")</f>
        <v>Variety of Sensation</v>
      </c>
      <c r="D2013" s="29" t="str">
        <f>IFERROR(__xludf.DUMMYFUNCTION("""COMPUTED_VALUE"""),"1 (Low/Poor)")</f>
        <v>1 (Low/Poor)</v>
      </c>
      <c r="E2013" s="29">
        <f>IFERROR(__xludf.DUMMYFUNCTION("""COMPUTED_VALUE"""),1.0)</f>
        <v>1</v>
      </c>
    </row>
    <row r="2014">
      <c r="A2014" s="33">
        <f>IFERROR(__xludf.DUMMYFUNCTION("""COMPUTED_VALUE"""),45831.47309501158)</f>
        <v>45831.4731</v>
      </c>
      <c r="B2014" s="29" t="str">
        <f>IFERROR(__xludf.DUMMYFUNCTION("""COMPUTED_VALUE"""),"Actively restoring my foreskin / I consider myself restored")</f>
        <v>Actively restoring my foreskin / I consider myself restored</v>
      </c>
      <c r="C2014" s="29" t="str">
        <f>IFERROR(__xludf.DUMMYFUNCTION("""COMPUTED_VALUE"""),"Variety of Sensation")</f>
        <v>Variety of Sensation</v>
      </c>
      <c r="D2014" s="29" t="str">
        <f>IFERROR(__xludf.DUMMYFUNCTION("""COMPUTED_VALUE"""),"2")</f>
        <v>2</v>
      </c>
      <c r="E2014" s="29">
        <f>IFERROR(__xludf.DUMMYFUNCTION("""COMPUTED_VALUE"""),2.0)</f>
        <v>2</v>
      </c>
    </row>
    <row r="2015">
      <c r="A2015" s="33">
        <f>IFERROR(__xludf.DUMMYFUNCTION("""COMPUTED_VALUE"""),45831.54904612269)</f>
        <v>45831.54905</v>
      </c>
      <c r="B2015" s="29" t="str">
        <f>IFERROR(__xludf.DUMMYFUNCTION("""COMPUTED_VALUE"""),"Intact (Never circumcised)")</f>
        <v>Intact (Never circumcised)</v>
      </c>
      <c r="C2015" s="29" t="str">
        <f>IFERROR(__xludf.DUMMYFUNCTION("""COMPUTED_VALUE"""),"Variety of Sensation")</f>
        <v>Variety of Sensation</v>
      </c>
      <c r="D2015" s="29" t="str">
        <f>IFERROR(__xludf.DUMMYFUNCTION("""COMPUTED_VALUE"""),"5 (High/Excellent)")</f>
        <v>5 (High/Excellent)</v>
      </c>
      <c r="E2015" s="29">
        <f>IFERROR(__xludf.DUMMYFUNCTION("""COMPUTED_VALUE"""),5.0)</f>
        <v>5</v>
      </c>
    </row>
    <row r="2016">
      <c r="A2016" s="33">
        <f>IFERROR(__xludf.DUMMYFUNCTION("""COMPUTED_VALUE"""),45831.61556234954)</f>
        <v>45831.61556</v>
      </c>
      <c r="B2016" s="29" t="str">
        <f>IFERROR(__xludf.DUMMYFUNCTION("""COMPUTED_VALUE"""),"Intact (Never circumcised)")</f>
        <v>Intact (Never circumcised)</v>
      </c>
      <c r="C2016" s="29" t="str">
        <f>IFERROR(__xludf.DUMMYFUNCTION("""COMPUTED_VALUE"""),"Variety of Sensation")</f>
        <v>Variety of Sensation</v>
      </c>
      <c r="D2016" s="29" t="str">
        <f>IFERROR(__xludf.DUMMYFUNCTION("""COMPUTED_VALUE"""),"5 (High/Excellent)")</f>
        <v>5 (High/Excellent)</v>
      </c>
      <c r="E2016" s="29">
        <f>IFERROR(__xludf.DUMMYFUNCTION("""COMPUTED_VALUE"""),5.0)</f>
        <v>5</v>
      </c>
    </row>
    <row r="2017">
      <c r="A2017" s="33">
        <f>IFERROR(__xludf.DUMMYFUNCTION("""COMPUTED_VALUE"""),45831.70324116898)</f>
        <v>45831.70324</v>
      </c>
      <c r="B2017" s="29" t="str">
        <f>IFERROR(__xludf.DUMMYFUNCTION("""COMPUTED_VALUE"""),"Actively restoring my foreskin / I consider myself restored")</f>
        <v>Actively restoring my foreskin / I consider myself restored</v>
      </c>
      <c r="C2017" s="29" t="str">
        <f>IFERROR(__xludf.DUMMYFUNCTION("""COMPUTED_VALUE"""),"Variety of Sensation")</f>
        <v>Variety of Sensation</v>
      </c>
      <c r="D2017" s="29" t="str">
        <f>IFERROR(__xludf.DUMMYFUNCTION("""COMPUTED_VALUE"""),"3 (Medium/Average)")</f>
        <v>3 (Medium/Average)</v>
      </c>
      <c r="E2017" s="29">
        <f>IFERROR(__xludf.DUMMYFUNCTION("""COMPUTED_VALUE"""),3.0)</f>
        <v>3</v>
      </c>
    </row>
    <row r="2018">
      <c r="A2018" s="33">
        <f>IFERROR(__xludf.DUMMYFUNCTION("""COMPUTED_VALUE"""),45831.70685833333)</f>
        <v>45831.70686</v>
      </c>
      <c r="B2018" s="29" t="str">
        <f>IFERROR(__xludf.DUMMYFUNCTION("""COMPUTED_VALUE"""),"Intact (Never circumcised)")</f>
        <v>Intact (Never circumcised)</v>
      </c>
      <c r="C2018" s="29" t="str">
        <f>IFERROR(__xludf.DUMMYFUNCTION("""COMPUTED_VALUE"""),"Variety of Sensation")</f>
        <v>Variety of Sensation</v>
      </c>
      <c r="D2018" s="29" t="str">
        <f>IFERROR(__xludf.DUMMYFUNCTION("""COMPUTED_VALUE"""),"4")</f>
        <v>4</v>
      </c>
      <c r="E2018" s="29">
        <f>IFERROR(__xludf.DUMMYFUNCTION("""COMPUTED_VALUE"""),4.0)</f>
        <v>4</v>
      </c>
    </row>
    <row r="2019">
      <c r="A2019" s="33">
        <f>IFERROR(__xludf.DUMMYFUNCTION("""COMPUTED_VALUE"""),45831.785180127314)</f>
        <v>45831.78518</v>
      </c>
      <c r="B2019" s="29" t="str">
        <f>IFERROR(__xludf.DUMMYFUNCTION("""COMPUTED_VALUE"""),"Intact (Never circumcised)")</f>
        <v>Intact (Never circumcised)</v>
      </c>
      <c r="C2019" s="29" t="str">
        <f>IFERROR(__xludf.DUMMYFUNCTION("""COMPUTED_VALUE"""),"Variety of Sensation")</f>
        <v>Variety of Sensation</v>
      </c>
      <c r="D2019" s="29" t="str">
        <f>IFERROR(__xludf.DUMMYFUNCTION("""COMPUTED_VALUE"""),"5 (High/Excellent)")</f>
        <v>5 (High/Excellent)</v>
      </c>
      <c r="E2019" s="29">
        <f>IFERROR(__xludf.DUMMYFUNCTION("""COMPUTED_VALUE"""),5.0)</f>
        <v>5</v>
      </c>
    </row>
    <row r="2020">
      <c r="A2020" s="33">
        <f>IFERROR(__xludf.DUMMYFUNCTION("""COMPUTED_VALUE"""),45831.81648645833)</f>
        <v>45831.81649</v>
      </c>
      <c r="B2020" s="29" t="str">
        <f>IFERROR(__xludf.DUMMYFUNCTION("""COMPUTED_VALUE"""),"Intact (Never circumcised)")</f>
        <v>Intact (Never circumcised)</v>
      </c>
      <c r="C2020" s="29" t="str">
        <f>IFERROR(__xludf.DUMMYFUNCTION("""COMPUTED_VALUE"""),"Variety of Sensation")</f>
        <v>Variety of Sensation</v>
      </c>
      <c r="D2020" s="29" t="str">
        <f>IFERROR(__xludf.DUMMYFUNCTION("""COMPUTED_VALUE"""),"4")</f>
        <v>4</v>
      </c>
      <c r="E2020" s="29">
        <f>IFERROR(__xludf.DUMMYFUNCTION("""COMPUTED_VALUE"""),4.0)</f>
        <v>4</v>
      </c>
    </row>
    <row r="2021">
      <c r="A2021" s="33">
        <f>IFERROR(__xludf.DUMMYFUNCTION("""COMPUTED_VALUE"""),45831.93652824074)</f>
        <v>45831.93653</v>
      </c>
      <c r="B2021" s="29" t="str">
        <f>IFERROR(__xludf.DUMMYFUNCTION("""COMPUTED_VALUE"""),"Actively restoring my foreskin / I consider myself restored")</f>
        <v>Actively restoring my foreskin / I consider myself restored</v>
      </c>
      <c r="C2021" s="29" t="str">
        <f>IFERROR(__xludf.DUMMYFUNCTION("""COMPUTED_VALUE"""),"Variety of Sensation")</f>
        <v>Variety of Sensation</v>
      </c>
      <c r="D2021" s="29" t="str">
        <f>IFERROR(__xludf.DUMMYFUNCTION("""COMPUTED_VALUE"""),"1 (Low/Poor)")</f>
        <v>1 (Low/Poor)</v>
      </c>
      <c r="E2021" s="29">
        <f>IFERROR(__xludf.DUMMYFUNCTION("""COMPUTED_VALUE"""),1.0)</f>
        <v>1</v>
      </c>
    </row>
    <row r="2022">
      <c r="A2022" s="33">
        <f>IFERROR(__xludf.DUMMYFUNCTION("""COMPUTED_VALUE"""),45832.168814212964)</f>
        <v>45832.16881</v>
      </c>
      <c r="B2022" s="29" t="str">
        <f>IFERROR(__xludf.DUMMYFUNCTION("""COMPUTED_VALUE"""),"Circumcised")</f>
        <v>Circumcised</v>
      </c>
      <c r="C2022" s="29" t="str">
        <f>IFERROR(__xludf.DUMMYFUNCTION("""COMPUTED_VALUE"""),"Variety of Sensation")</f>
        <v>Variety of Sensation</v>
      </c>
      <c r="D2022" s="29" t="str">
        <f>IFERROR(__xludf.DUMMYFUNCTION("""COMPUTED_VALUE"""),"1 (Low/Poor)")</f>
        <v>1 (Low/Poor)</v>
      </c>
      <c r="E2022" s="29">
        <f>IFERROR(__xludf.DUMMYFUNCTION("""COMPUTED_VALUE"""),1.0)</f>
        <v>1</v>
      </c>
    </row>
    <row r="2023">
      <c r="A2023" s="33">
        <f>IFERROR(__xludf.DUMMYFUNCTION("""COMPUTED_VALUE"""),45832.22020383101)</f>
        <v>45832.2202</v>
      </c>
      <c r="B2023" s="29" t="str">
        <f>IFERROR(__xludf.DUMMYFUNCTION("""COMPUTED_VALUE"""),"Intact (Never circumcised)")</f>
        <v>Intact (Never circumcised)</v>
      </c>
      <c r="C2023" s="29" t="str">
        <f>IFERROR(__xludf.DUMMYFUNCTION("""COMPUTED_VALUE"""),"Variety of Sensation")</f>
        <v>Variety of Sensation</v>
      </c>
      <c r="D2023" s="29" t="str">
        <f>IFERROR(__xludf.DUMMYFUNCTION("""COMPUTED_VALUE"""),"5 (High/Excellent)")</f>
        <v>5 (High/Excellent)</v>
      </c>
      <c r="E2023" s="29">
        <f>IFERROR(__xludf.DUMMYFUNCTION("""COMPUTED_VALUE"""),5.0)</f>
        <v>5</v>
      </c>
    </row>
    <row r="2024">
      <c r="A2024" s="33">
        <f>IFERROR(__xludf.DUMMYFUNCTION("""COMPUTED_VALUE"""),45832.38233418982)</f>
        <v>45832.38233</v>
      </c>
      <c r="B2024" s="29" t="str">
        <f>IFERROR(__xludf.DUMMYFUNCTION("""COMPUTED_VALUE"""),"Intact (Never circumcised)")</f>
        <v>Intact (Never circumcised)</v>
      </c>
      <c r="C2024" s="29" t="str">
        <f>IFERROR(__xludf.DUMMYFUNCTION("""COMPUTED_VALUE"""),"Variety of Sensation")</f>
        <v>Variety of Sensation</v>
      </c>
      <c r="D2024" s="29" t="str">
        <f>IFERROR(__xludf.DUMMYFUNCTION("""COMPUTED_VALUE"""),"5 (High/Excellent)")</f>
        <v>5 (High/Excellent)</v>
      </c>
      <c r="E2024" s="29">
        <f>IFERROR(__xludf.DUMMYFUNCTION("""COMPUTED_VALUE"""),5.0)</f>
        <v>5</v>
      </c>
    </row>
    <row r="2025">
      <c r="A2025" s="33">
        <f>IFERROR(__xludf.DUMMYFUNCTION("""COMPUTED_VALUE"""),45832.38844354167)</f>
        <v>45832.38844</v>
      </c>
      <c r="B2025" s="29" t="str">
        <f>IFERROR(__xludf.DUMMYFUNCTION("""COMPUTED_VALUE"""),"Intact (Never circumcised)")</f>
        <v>Intact (Never circumcised)</v>
      </c>
      <c r="C2025" s="29" t="str">
        <f>IFERROR(__xludf.DUMMYFUNCTION("""COMPUTED_VALUE"""),"Variety of Sensation")</f>
        <v>Variety of Sensation</v>
      </c>
      <c r="D2025" s="29" t="str">
        <f>IFERROR(__xludf.DUMMYFUNCTION("""COMPUTED_VALUE"""),"4")</f>
        <v>4</v>
      </c>
      <c r="E2025" s="29">
        <f>IFERROR(__xludf.DUMMYFUNCTION("""COMPUTED_VALUE"""),4.0)</f>
        <v>4</v>
      </c>
    </row>
    <row r="2026">
      <c r="A2026" s="33">
        <f>IFERROR(__xludf.DUMMYFUNCTION("""COMPUTED_VALUE"""),45832.400918541665)</f>
        <v>45832.40092</v>
      </c>
      <c r="B2026" s="29" t="str">
        <f>IFERROR(__xludf.DUMMYFUNCTION("""COMPUTED_VALUE"""),"Intact (Never circumcised)")</f>
        <v>Intact (Never circumcised)</v>
      </c>
      <c r="C2026" s="29" t="str">
        <f>IFERROR(__xludf.DUMMYFUNCTION("""COMPUTED_VALUE"""),"Variety of Sensation")</f>
        <v>Variety of Sensation</v>
      </c>
      <c r="D2026" s="29" t="str">
        <f>IFERROR(__xludf.DUMMYFUNCTION("""COMPUTED_VALUE"""),"4")</f>
        <v>4</v>
      </c>
      <c r="E2026" s="29">
        <f>IFERROR(__xludf.DUMMYFUNCTION("""COMPUTED_VALUE"""),4.0)</f>
        <v>4</v>
      </c>
    </row>
    <row r="2027">
      <c r="A2027" s="33">
        <f>IFERROR(__xludf.DUMMYFUNCTION("""COMPUTED_VALUE"""),45832.53223854167)</f>
        <v>45832.53224</v>
      </c>
      <c r="B2027" s="29" t="str">
        <f>IFERROR(__xludf.DUMMYFUNCTION("""COMPUTED_VALUE"""),"Actively restoring my foreskin / I consider myself restored")</f>
        <v>Actively restoring my foreskin / I consider myself restored</v>
      </c>
      <c r="C2027" s="29" t="str">
        <f>IFERROR(__xludf.DUMMYFUNCTION("""COMPUTED_VALUE"""),"Variety of Sensation")</f>
        <v>Variety of Sensation</v>
      </c>
      <c r="D2027" s="29" t="str">
        <f>IFERROR(__xludf.DUMMYFUNCTION("""COMPUTED_VALUE"""),"5 (High/Excellent)")</f>
        <v>5 (High/Excellent)</v>
      </c>
      <c r="E2027" s="29">
        <f>IFERROR(__xludf.DUMMYFUNCTION("""COMPUTED_VALUE"""),5.0)</f>
        <v>5</v>
      </c>
    </row>
    <row r="2028">
      <c r="A2028" s="33">
        <f>IFERROR(__xludf.DUMMYFUNCTION("""COMPUTED_VALUE"""),45832.613582488426)</f>
        <v>45832.61358</v>
      </c>
      <c r="B2028" s="29" t="str">
        <f>IFERROR(__xludf.DUMMYFUNCTION("""COMPUTED_VALUE"""),"Circumcised")</f>
        <v>Circumcised</v>
      </c>
      <c r="C2028" s="29" t="str">
        <f>IFERROR(__xludf.DUMMYFUNCTION("""COMPUTED_VALUE"""),"Variety of Sensation")</f>
        <v>Variety of Sensation</v>
      </c>
      <c r="D2028" s="29" t="str">
        <f>IFERROR(__xludf.DUMMYFUNCTION("""COMPUTED_VALUE"""),"3 (Medium/Average)")</f>
        <v>3 (Medium/Average)</v>
      </c>
      <c r="E2028" s="29">
        <f>IFERROR(__xludf.DUMMYFUNCTION("""COMPUTED_VALUE"""),3.0)</f>
        <v>3</v>
      </c>
    </row>
    <row r="2029">
      <c r="A2029" s="33">
        <f>IFERROR(__xludf.DUMMYFUNCTION("""COMPUTED_VALUE"""),45833.016503148145)</f>
        <v>45833.0165</v>
      </c>
      <c r="B2029" s="29" t="str">
        <f>IFERROR(__xludf.DUMMYFUNCTION("""COMPUTED_VALUE"""),"Intact (Never circumcised)")</f>
        <v>Intact (Never circumcised)</v>
      </c>
      <c r="C2029" s="29" t="str">
        <f>IFERROR(__xludf.DUMMYFUNCTION("""COMPUTED_VALUE"""),"Variety of Sensation")</f>
        <v>Variety of Sensation</v>
      </c>
      <c r="D2029" s="29" t="str">
        <f>IFERROR(__xludf.DUMMYFUNCTION("""COMPUTED_VALUE"""),"5 (High/Excellent)")</f>
        <v>5 (High/Excellent)</v>
      </c>
      <c r="E2029" s="29">
        <f>IFERROR(__xludf.DUMMYFUNCTION("""COMPUTED_VALUE"""),5.0)</f>
        <v>5</v>
      </c>
    </row>
    <row r="2030">
      <c r="A2030" s="33">
        <f>IFERROR(__xludf.DUMMYFUNCTION("""COMPUTED_VALUE"""),45833.09466783565)</f>
        <v>45833.09467</v>
      </c>
      <c r="B2030" s="29" t="str">
        <f>IFERROR(__xludf.DUMMYFUNCTION("""COMPUTED_VALUE"""),"Circumcised")</f>
        <v>Circumcised</v>
      </c>
      <c r="C2030" s="29" t="str">
        <f>IFERROR(__xludf.DUMMYFUNCTION("""COMPUTED_VALUE"""),"Variety of Sensation")</f>
        <v>Variety of Sensation</v>
      </c>
      <c r="D2030" s="29" t="str">
        <f>IFERROR(__xludf.DUMMYFUNCTION("""COMPUTED_VALUE"""),"3 (Medium/Average)")</f>
        <v>3 (Medium/Average)</v>
      </c>
      <c r="E2030" s="29">
        <f>IFERROR(__xludf.DUMMYFUNCTION("""COMPUTED_VALUE"""),3.0)</f>
        <v>3</v>
      </c>
    </row>
    <row r="2031">
      <c r="A2031" s="33">
        <f>IFERROR(__xludf.DUMMYFUNCTION("""COMPUTED_VALUE"""),45833.27167458333)</f>
        <v>45833.27167</v>
      </c>
      <c r="B2031" s="29" t="str">
        <f>IFERROR(__xludf.DUMMYFUNCTION("""COMPUTED_VALUE"""),"Intact (Never circumcised)")</f>
        <v>Intact (Never circumcised)</v>
      </c>
      <c r="C2031" s="29" t="str">
        <f>IFERROR(__xludf.DUMMYFUNCTION("""COMPUTED_VALUE"""),"Variety of Sensation")</f>
        <v>Variety of Sensation</v>
      </c>
      <c r="D2031" s="29" t="str">
        <f>IFERROR(__xludf.DUMMYFUNCTION("""COMPUTED_VALUE"""),"2")</f>
        <v>2</v>
      </c>
      <c r="E2031" s="29">
        <f>IFERROR(__xludf.DUMMYFUNCTION("""COMPUTED_VALUE"""),2.0)</f>
        <v>2</v>
      </c>
    </row>
    <row r="2032">
      <c r="A2032" s="33">
        <f>IFERROR(__xludf.DUMMYFUNCTION("""COMPUTED_VALUE"""),45833.341107002314)</f>
        <v>45833.34111</v>
      </c>
      <c r="B2032" s="29" t="str">
        <f>IFERROR(__xludf.DUMMYFUNCTION("""COMPUTED_VALUE"""),"Actively restoring my foreskin / I consider myself restored")</f>
        <v>Actively restoring my foreskin / I consider myself restored</v>
      </c>
      <c r="C2032" s="29" t="str">
        <f>IFERROR(__xludf.DUMMYFUNCTION("""COMPUTED_VALUE"""),"Variety of Sensation")</f>
        <v>Variety of Sensation</v>
      </c>
      <c r="D2032" s="29" t="str">
        <f>IFERROR(__xludf.DUMMYFUNCTION("""COMPUTED_VALUE"""),"2")</f>
        <v>2</v>
      </c>
      <c r="E2032" s="29">
        <f>IFERROR(__xludf.DUMMYFUNCTION("""COMPUTED_VALUE"""),2.0)</f>
        <v>2</v>
      </c>
    </row>
    <row r="2033">
      <c r="A2033" s="33">
        <f>IFERROR(__xludf.DUMMYFUNCTION("""COMPUTED_VALUE"""),45833.43214159722)</f>
        <v>45833.43214</v>
      </c>
      <c r="B2033" s="29" t="str">
        <f>IFERROR(__xludf.DUMMYFUNCTION("""COMPUTED_VALUE"""),"Circumcised")</f>
        <v>Circumcised</v>
      </c>
      <c r="C2033" s="29" t="str">
        <f>IFERROR(__xludf.DUMMYFUNCTION("""COMPUTED_VALUE"""),"Variety of Sensation")</f>
        <v>Variety of Sensation</v>
      </c>
      <c r="D2033" s="29" t="str">
        <f>IFERROR(__xludf.DUMMYFUNCTION("""COMPUTED_VALUE"""),"1 (Low/Poor)")</f>
        <v>1 (Low/Poor)</v>
      </c>
      <c r="E2033" s="29">
        <f>IFERROR(__xludf.DUMMYFUNCTION("""COMPUTED_VALUE"""),1.0)</f>
        <v>1</v>
      </c>
    </row>
    <row r="2034">
      <c r="A2034" s="33">
        <f>IFERROR(__xludf.DUMMYFUNCTION("""COMPUTED_VALUE"""),45833.572022002314)</f>
        <v>45833.57202</v>
      </c>
      <c r="B2034" s="29" t="str">
        <f>IFERROR(__xludf.DUMMYFUNCTION("""COMPUTED_VALUE"""),"Circumcised")</f>
        <v>Circumcised</v>
      </c>
      <c r="C2034" s="29" t="str">
        <f>IFERROR(__xludf.DUMMYFUNCTION("""COMPUTED_VALUE"""),"Variety of Sensation")</f>
        <v>Variety of Sensation</v>
      </c>
      <c r="D2034" s="29" t="str">
        <f>IFERROR(__xludf.DUMMYFUNCTION("""COMPUTED_VALUE"""),"4")</f>
        <v>4</v>
      </c>
      <c r="E2034" s="29">
        <f>IFERROR(__xludf.DUMMYFUNCTION("""COMPUTED_VALUE"""),4.0)</f>
        <v>4</v>
      </c>
    </row>
    <row r="2035">
      <c r="A2035" s="33">
        <f>IFERROR(__xludf.DUMMYFUNCTION("""COMPUTED_VALUE"""),45833.82247668981)</f>
        <v>45833.82248</v>
      </c>
      <c r="B2035" s="29" t="str">
        <f>IFERROR(__xludf.DUMMYFUNCTION("""COMPUTED_VALUE"""),"Intact (Never circumcised)")</f>
        <v>Intact (Never circumcised)</v>
      </c>
      <c r="C2035" s="29" t="str">
        <f>IFERROR(__xludf.DUMMYFUNCTION("""COMPUTED_VALUE"""),"Variety of Sensation")</f>
        <v>Variety of Sensation</v>
      </c>
      <c r="D2035" s="29" t="str">
        <f>IFERROR(__xludf.DUMMYFUNCTION("""COMPUTED_VALUE"""),"5 (High/Excellent)")</f>
        <v>5 (High/Excellent)</v>
      </c>
      <c r="E2035" s="29">
        <f>IFERROR(__xludf.DUMMYFUNCTION("""COMPUTED_VALUE"""),5.0)</f>
        <v>5</v>
      </c>
    </row>
    <row r="2036">
      <c r="A2036" s="33">
        <f>IFERROR(__xludf.DUMMYFUNCTION("""COMPUTED_VALUE"""),45833.822846944444)</f>
        <v>45833.82285</v>
      </c>
      <c r="B2036" s="29" t="str">
        <f>IFERROR(__xludf.DUMMYFUNCTION("""COMPUTED_VALUE"""),"Circumcised")</f>
        <v>Circumcised</v>
      </c>
      <c r="C2036" s="29" t="str">
        <f>IFERROR(__xludf.DUMMYFUNCTION("""COMPUTED_VALUE"""),"Variety of Sensation")</f>
        <v>Variety of Sensation</v>
      </c>
      <c r="D2036" s="29" t="str">
        <f>IFERROR(__xludf.DUMMYFUNCTION("""COMPUTED_VALUE"""),"3 (Medium/Average)")</f>
        <v>3 (Medium/Average)</v>
      </c>
      <c r="E2036" s="29">
        <f>IFERROR(__xludf.DUMMYFUNCTION("""COMPUTED_VALUE"""),3.0)</f>
        <v>3</v>
      </c>
    </row>
    <row r="2037">
      <c r="A2037" s="33">
        <f>IFERROR(__xludf.DUMMYFUNCTION("""COMPUTED_VALUE"""),45833.886279039354)</f>
        <v>45833.88628</v>
      </c>
      <c r="B2037" s="29" t="str">
        <f>IFERROR(__xludf.DUMMYFUNCTION("""COMPUTED_VALUE"""),"Circumcised")</f>
        <v>Circumcised</v>
      </c>
      <c r="C2037" s="29" t="str">
        <f>IFERROR(__xludf.DUMMYFUNCTION("""COMPUTED_VALUE"""),"Variety of Sensation")</f>
        <v>Variety of Sensation</v>
      </c>
      <c r="D2037" s="29" t="str">
        <f>IFERROR(__xludf.DUMMYFUNCTION("""COMPUTED_VALUE"""),"3 (Medium/Average)")</f>
        <v>3 (Medium/Average)</v>
      </c>
      <c r="E2037" s="29">
        <f>IFERROR(__xludf.DUMMYFUNCTION("""COMPUTED_VALUE"""),3.0)</f>
        <v>3</v>
      </c>
    </row>
    <row r="2038">
      <c r="A2038" s="33">
        <f>IFERROR(__xludf.DUMMYFUNCTION("""COMPUTED_VALUE"""),45834.08521821759)</f>
        <v>45834.08522</v>
      </c>
      <c r="B2038" s="29" t="str">
        <f>IFERROR(__xludf.DUMMYFUNCTION("""COMPUTED_VALUE"""),"Circumcised")</f>
        <v>Circumcised</v>
      </c>
      <c r="C2038" s="29" t="str">
        <f>IFERROR(__xludf.DUMMYFUNCTION("""COMPUTED_VALUE"""),"Variety of Sensation")</f>
        <v>Variety of Sensation</v>
      </c>
      <c r="D2038" s="29" t="str">
        <f>IFERROR(__xludf.DUMMYFUNCTION("""COMPUTED_VALUE"""),"4")</f>
        <v>4</v>
      </c>
      <c r="E2038" s="29">
        <f>IFERROR(__xludf.DUMMYFUNCTION("""COMPUTED_VALUE"""),4.0)</f>
        <v>4</v>
      </c>
    </row>
    <row r="2039">
      <c r="A2039" s="33">
        <f>IFERROR(__xludf.DUMMYFUNCTION("""COMPUTED_VALUE"""),45834.09703479167)</f>
        <v>45834.09703</v>
      </c>
      <c r="B2039" s="29" t="str">
        <f>IFERROR(__xludf.DUMMYFUNCTION("""COMPUTED_VALUE"""),"Circumcised")</f>
        <v>Circumcised</v>
      </c>
      <c r="C2039" s="29" t="str">
        <f>IFERROR(__xludf.DUMMYFUNCTION("""COMPUTED_VALUE"""),"Variety of Sensation")</f>
        <v>Variety of Sensation</v>
      </c>
      <c r="D2039" s="29" t="str">
        <f>IFERROR(__xludf.DUMMYFUNCTION("""COMPUTED_VALUE"""),"3 (Medium/Average)")</f>
        <v>3 (Medium/Average)</v>
      </c>
      <c r="E2039" s="29">
        <f>IFERROR(__xludf.DUMMYFUNCTION("""COMPUTED_VALUE"""),3.0)</f>
        <v>3</v>
      </c>
    </row>
    <row r="2040">
      <c r="A2040" s="33">
        <f>IFERROR(__xludf.DUMMYFUNCTION("""COMPUTED_VALUE"""),45834.14087384259)</f>
        <v>45834.14087</v>
      </c>
      <c r="B2040" s="29" t="str">
        <f>IFERROR(__xludf.DUMMYFUNCTION("""COMPUTED_VALUE"""),"Intact (Never circumcised)")</f>
        <v>Intact (Never circumcised)</v>
      </c>
      <c r="C2040" s="29" t="str">
        <f>IFERROR(__xludf.DUMMYFUNCTION("""COMPUTED_VALUE"""),"Variety of Sensation")</f>
        <v>Variety of Sensation</v>
      </c>
      <c r="D2040" s="29" t="str">
        <f>IFERROR(__xludf.DUMMYFUNCTION("""COMPUTED_VALUE"""),"5 (High/Excellent)")</f>
        <v>5 (High/Excellent)</v>
      </c>
      <c r="E2040" s="29">
        <f>IFERROR(__xludf.DUMMYFUNCTION("""COMPUTED_VALUE"""),5.0)</f>
        <v>5</v>
      </c>
    </row>
    <row r="2041">
      <c r="A2041" s="33">
        <f>IFERROR(__xludf.DUMMYFUNCTION("""COMPUTED_VALUE"""),45834.45642371528)</f>
        <v>45834.45642</v>
      </c>
      <c r="B2041" s="29" t="str">
        <f>IFERROR(__xludf.DUMMYFUNCTION("""COMPUTED_VALUE"""),"Circumcised")</f>
        <v>Circumcised</v>
      </c>
      <c r="C2041" s="29" t="str">
        <f>IFERROR(__xludf.DUMMYFUNCTION("""COMPUTED_VALUE"""),"Variety of Sensation")</f>
        <v>Variety of Sensation</v>
      </c>
      <c r="D2041" s="29" t="str">
        <f>IFERROR(__xludf.DUMMYFUNCTION("""COMPUTED_VALUE"""),"1 (Low/Poor)")</f>
        <v>1 (Low/Poor)</v>
      </c>
      <c r="E2041" s="29">
        <f>IFERROR(__xludf.DUMMYFUNCTION("""COMPUTED_VALUE"""),1.0)</f>
        <v>1</v>
      </c>
    </row>
    <row r="2042">
      <c r="A2042" s="33">
        <f>IFERROR(__xludf.DUMMYFUNCTION("""COMPUTED_VALUE"""),45834.524166041665)</f>
        <v>45834.52417</v>
      </c>
      <c r="B2042" s="29" t="str">
        <f>IFERROR(__xludf.DUMMYFUNCTION("""COMPUTED_VALUE"""),"Intact (Never circumcised)")</f>
        <v>Intact (Never circumcised)</v>
      </c>
      <c r="C2042" s="29" t="str">
        <f>IFERROR(__xludf.DUMMYFUNCTION("""COMPUTED_VALUE"""),"Variety of Sensation")</f>
        <v>Variety of Sensation</v>
      </c>
      <c r="D2042" s="29" t="str">
        <f>IFERROR(__xludf.DUMMYFUNCTION("""COMPUTED_VALUE"""),"5 (High/Excellent)")</f>
        <v>5 (High/Excellent)</v>
      </c>
      <c r="E2042" s="29">
        <f>IFERROR(__xludf.DUMMYFUNCTION("""COMPUTED_VALUE"""),5.0)</f>
        <v>5</v>
      </c>
    </row>
    <row r="2043">
      <c r="A2043" s="33">
        <f>IFERROR(__xludf.DUMMYFUNCTION("""COMPUTED_VALUE"""),45834.83290418982)</f>
        <v>45834.8329</v>
      </c>
      <c r="B2043" s="29" t="str">
        <f>IFERROR(__xludf.DUMMYFUNCTION("""COMPUTED_VALUE"""),"Circumcised")</f>
        <v>Circumcised</v>
      </c>
      <c r="C2043" s="29" t="str">
        <f>IFERROR(__xludf.DUMMYFUNCTION("""COMPUTED_VALUE"""),"Variety of Sensation")</f>
        <v>Variety of Sensation</v>
      </c>
      <c r="D2043" s="29" t="str">
        <f>IFERROR(__xludf.DUMMYFUNCTION("""COMPUTED_VALUE"""),"1 (Low/Poor)")</f>
        <v>1 (Low/Poor)</v>
      </c>
      <c r="E2043" s="29">
        <f>IFERROR(__xludf.DUMMYFUNCTION("""COMPUTED_VALUE"""),1.0)</f>
        <v>1</v>
      </c>
    </row>
    <row r="2044">
      <c r="A2044" s="33">
        <f>IFERROR(__xludf.DUMMYFUNCTION("""COMPUTED_VALUE"""),45835.44492405092)</f>
        <v>45835.44492</v>
      </c>
      <c r="B2044" s="29" t="str">
        <f>IFERROR(__xludf.DUMMYFUNCTION("""COMPUTED_VALUE"""),"Actively restoring my foreskin / I consider myself restored")</f>
        <v>Actively restoring my foreskin / I consider myself restored</v>
      </c>
      <c r="C2044" s="29" t="str">
        <f>IFERROR(__xludf.DUMMYFUNCTION("""COMPUTED_VALUE"""),"Variety of Sensation")</f>
        <v>Variety of Sensation</v>
      </c>
      <c r="D2044" s="29" t="str">
        <f>IFERROR(__xludf.DUMMYFUNCTION("""COMPUTED_VALUE"""),"1 (Low/Poor)")</f>
        <v>1 (Low/Poor)</v>
      </c>
      <c r="E2044" s="29">
        <f>IFERROR(__xludf.DUMMYFUNCTION("""COMPUTED_VALUE"""),1.0)</f>
        <v>1</v>
      </c>
    </row>
    <row r="2045">
      <c r="A2045" s="33">
        <f>IFERROR(__xludf.DUMMYFUNCTION("""COMPUTED_VALUE"""),45835.706102581025)</f>
        <v>45835.7061</v>
      </c>
      <c r="B2045" s="29" t="str">
        <f>IFERROR(__xludf.DUMMYFUNCTION("""COMPUTED_VALUE"""),"Circumcised")</f>
        <v>Circumcised</v>
      </c>
      <c r="C2045" s="29" t="str">
        <f>IFERROR(__xludf.DUMMYFUNCTION("""COMPUTED_VALUE"""),"Variety of Sensation")</f>
        <v>Variety of Sensation</v>
      </c>
      <c r="D2045" s="29" t="str">
        <f>IFERROR(__xludf.DUMMYFUNCTION("""COMPUTED_VALUE"""),"2")</f>
        <v>2</v>
      </c>
      <c r="E2045" s="29">
        <f>IFERROR(__xludf.DUMMYFUNCTION("""COMPUTED_VALUE"""),2.0)</f>
        <v>2</v>
      </c>
    </row>
    <row r="2046">
      <c r="A2046" s="33">
        <f>IFERROR(__xludf.DUMMYFUNCTION("""COMPUTED_VALUE"""),45835.889590937506)</f>
        <v>45835.88959</v>
      </c>
      <c r="B2046" s="29" t="str">
        <f>IFERROR(__xludf.DUMMYFUNCTION("""COMPUTED_VALUE"""),"Intact (Never circumcised)")</f>
        <v>Intact (Never circumcised)</v>
      </c>
      <c r="C2046" s="29" t="str">
        <f>IFERROR(__xludf.DUMMYFUNCTION("""COMPUTED_VALUE"""),"Variety of Sensation")</f>
        <v>Variety of Sensation</v>
      </c>
      <c r="D2046" s="29" t="str">
        <f>IFERROR(__xludf.DUMMYFUNCTION("""COMPUTED_VALUE"""),"5 (High/Excellent)")</f>
        <v>5 (High/Excellent)</v>
      </c>
      <c r="E2046" s="29">
        <f>IFERROR(__xludf.DUMMYFUNCTION("""COMPUTED_VALUE"""),5.0)</f>
        <v>5</v>
      </c>
    </row>
    <row r="2047">
      <c r="A2047" s="33">
        <f>IFERROR(__xludf.DUMMYFUNCTION("""COMPUTED_VALUE"""),45836.08061851852)</f>
        <v>45836.08062</v>
      </c>
      <c r="B2047" s="29" t="str">
        <f>IFERROR(__xludf.DUMMYFUNCTION("""COMPUTED_VALUE"""),"Actively restoring my foreskin / I consider myself restored")</f>
        <v>Actively restoring my foreskin / I consider myself restored</v>
      </c>
      <c r="C2047" s="29" t="str">
        <f>IFERROR(__xludf.DUMMYFUNCTION("""COMPUTED_VALUE"""),"Variety of Sensation")</f>
        <v>Variety of Sensation</v>
      </c>
      <c r="D2047" s="29" t="str">
        <f>IFERROR(__xludf.DUMMYFUNCTION("""COMPUTED_VALUE"""),"3 (Medium/Average)")</f>
        <v>3 (Medium/Average)</v>
      </c>
      <c r="E2047" s="29">
        <f>IFERROR(__xludf.DUMMYFUNCTION("""COMPUTED_VALUE"""),3.0)</f>
        <v>3</v>
      </c>
    </row>
    <row r="2048">
      <c r="A2048" s="33">
        <f>IFERROR(__xludf.DUMMYFUNCTION("""COMPUTED_VALUE"""),45836.205108657414)</f>
        <v>45836.20511</v>
      </c>
      <c r="B2048" s="29" t="str">
        <f>IFERROR(__xludf.DUMMYFUNCTION("""COMPUTED_VALUE"""),"Circumcised")</f>
        <v>Circumcised</v>
      </c>
      <c r="C2048" s="29" t="str">
        <f>IFERROR(__xludf.DUMMYFUNCTION("""COMPUTED_VALUE"""),"Variety of Sensation")</f>
        <v>Variety of Sensation</v>
      </c>
      <c r="D2048" s="29" t="str">
        <f>IFERROR(__xludf.DUMMYFUNCTION("""COMPUTED_VALUE"""),"1 (Low/Poor)")</f>
        <v>1 (Low/Poor)</v>
      </c>
      <c r="E2048" s="29">
        <f>IFERROR(__xludf.DUMMYFUNCTION("""COMPUTED_VALUE"""),1.0)</f>
        <v>1</v>
      </c>
    </row>
    <row r="2049">
      <c r="A2049" s="33">
        <f>IFERROR(__xludf.DUMMYFUNCTION("""COMPUTED_VALUE"""),45836.34391229167)</f>
        <v>45836.34391</v>
      </c>
      <c r="B2049" s="29" t="str">
        <f>IFERROR(__xludf.DUMMYFUNCTION("""COMPUTED_VALUE"""),"Intact (Never circumcised)")</f>
        <v>Intact (Never circumcised)</v>
      </c>
      <c r="C2049" s="29" t="str">
        <f>IFERROR(__xludf.DUMMYFUNCTION("""COMPUTED_VALUE"""),"Variety of Sensation")</f>
        <v>Variety of Sensation</v>
      </c>
      <c r="D2049" s="29" t="str">
        <f>IFERROR(__xludf.DUMMYFUNCTION("""COMPUTED_VALUE"""),"5 (High/Excellent)")</f>
        <v>5 (High/Excellent)</v>
      </c>
      <c r="E2049" s="29">
        <f>IFERROR(__xludf.DUMMYFUNCTION("""COMPUTED_VALUE"""),5.0)</f>
        <v>5</v>
      </c>
    </row>
    <row r="2050">
      <c r="A2050" s="33">
        <f>IFERROR(__xludf.DUMMYFUNCTION("""COMPUTED_VALUE"""),45836.46845483797)</f>
        <v>45836.46845</v>
      </c>
      <c r="B2050" s="29" t="str">
        <f>IFERROR(__xludf.DUMMYFUNCTION("""COMPUTED_VALUE"""),"Actively restoring my foreskin / I consider myself restored")</f>
        <v>Actively restoring my foreskin / I consider myself restored</v>
      </c>
      <c r="C2050" s="29" t="str">
        <f>IFERROR(__xludf.DUMMYFUNCTION("""COMPUTED_VALUE"""),"Variety of Sensation")</f>
        <v>Variety of Sensation</v>
      </c>
      <c r="D2050" s="29" t="str">
        <f>IFERROR(__xludf.DUMMYFUNCTION("""COMPUTED_VALUE"""),"3 (Medium/Average)")</f>
        <v>3 (Medium/Average)</v>
      </c>
      <c r="E2050" s="29">
        <f>IFERROR(__xludf.DUMMYFUNCTION("""COMPUTED_VALUE"""),3.0)</f>
        <v>3</v>
      </c>
    </row>
    <row r="2051">
      <c r="A2051" s="33">
        <f>IFERROR(__xludf.DUMMYFUNCTION("""COMPUTED_VALUE"""),45836.50647361111)</f>
        <v>45836.50647</v>
      </c>
      <c r="B2051" s="29" t="str">
        <f>IFERROR(__xludf.DUMMYFUNCTION("""COMPUTED_VALUE"""),"Intact (Never circumcised)")</f>
        <v>Intact (Never circumcised)</v>
      </c>
      <c r="C2051" s="29" t="str">
        <f>IFERROR(__xludf.DUMMYFUNCTION("""COMPUTED_VALUE"""),"Variety of Sensation")</f>
        <v>Variety of Sensation</v>
      </c>
      <c r="D2051" s="29" t="str">
        <f>IFERROR(__xludf.DUMMYFUNCTION("""COMPUTED_VALUE"""),"2")</f>
        <v>2</v>
      </c>
      <c r="E2051" s="29">
        <f>IFERROR(__xludf.DUMMYFUNCTION("""COMPUTED_VALUE"""),2.0)</f>
        <v>2</v>
      </c>
    </row>
    <row r="2052">
      <c r="A2052" s="33">
        <f>IFERROR(__xludf.DUMMYFUNCTION("""COMPUTED_VALUE"""),45836.70248601852)</f>
        <v>45836.70249</v>
      </c>
      <c r="B2052" s="29" t="str">
        <f>IFERROR(__xludf.DUMMYFUNCTION("""COMPUTED_VALUE"""),"Circumcised")</f>
        <v>Circumcised</v>
      </c>
      <c r="C2052" s="29" t="str">
        <f>IFERROR(__xludf.DUMMYFUNCTION("""COMPUTED_VALUE"""),"Variety of Sensation")</f>
        <v>Variety of Sensation</v>
      </c>
      <c r="D2052" s="29" t="str">
        <f>IFERROR(__xludf.DUMMYFUNCTION("""COMPUTED_VALUE"""),"3 (Medium/Average)")</f>
        <v>3 (Medium/Average)</v>
      </c>
      <c r="E2052" s="29">
        <f>IFERROR(__xludf.DUMMYFUNCTION("""COMPUTED_VALUE"""),3.0)</f>
        <v>3</v>
      </c>
    </row>
    <row r="2053">
      <c r="A2053" s="33">
        <f>IFERROR(__xludf.DUMMYFUNCTION("""COMPUTED_VALUE"""),45836.71771464121)</f>
        <v>45836.71771</v>
      </c>
      <c r="B2053" s="29" t="str">
        <f>IFERROR(__xludf.DUMMYFUNCTION("""COMPUTED_VALUE"""),"Circumcised")</f>
        <v>Circumcised</v>
      </c>
      <c r="C2053" s="29" t="str">
        <f>IFERROR(__xludf.DUMMYFUNCTION("""COMPUTED_VALUE"""),"Variety of Sensation")</f>
        <v>Variety of Sensation</v>
      </c>
      <c r="D2053" s="29" t="str">
        <f>IFERROR(__xludf.DUMMYFUNCTION("""COMPUTED_VALUE"""),"1 (Low/Poor)")</f>
        <v>1 (Low/Poor)</v>
      </c>
      <c r="E2053" s="29">
        <f>IFERROR(__xludf.DUMMYFUNCTION("""COMPUTED_VALUE"""),1.0)</f>
        <v>1</v>
      </c>
    </row>
    <row r="2054">
      <c r="A2054" s="33">
        <f>IFERROR(__xludf.DUMMYFUNCTION("""COMPUTED_VALUE"""),45836.826351354175)</f>
        <v>45836.82635</v>
      </c>
      <c r="B2054" s="29" t="str">
        <f>IFERROR(__xludf.DUMMYFUNCTION("""COMPUTED_VALUE"""),"Circumcised")</f>
        <v>Circumcised</v>
      </c>
      <c r="C2054" s="29" t="str">
        <f>IFERROR(__xludf.DUMMYFUNCTION("""COMPUTED_VALUE"""),"Variety of Sensation")</f>
        <v>Variety of Sensation</v>
      </c>
      <c r="D2054" s="29" t="str">
        <f>IFERROR(__xludf.DUMMYFUNCTION("""COMPUTED_VALUE"""),"1 (Low/Poor)")</f>
        <v>1 (Low/Poor)</v>
      </c>
      <c r="E2054" s="29">
        <f>IFERROR(__xludf.DUMMYFUNCTION("""COMPUTED_VALUE"""),1.0)</f>
        <v>1</v>
      </c>
    </row>
    <row r="2055">
      <c r="A2055" s="33">
        <f>IFERROR(__xludf.DUMMYFUNCTION("""COMPUTED_VALUE"""),45836.92451064815)</f>
        <v>45836.92451</v>
      </c>
      <c r="B2055" s="29" t="str">
        <f>IFERROR(__xludf.DUMMYFUNCTION("""COMPUTED_VALUE"""),"Intact (Never circumcised)")</f>
        <v>Intact (Never circumcised)</v>
      </c>
      <c r="C2055" s="29" t="str">
        <f>IFERROR(__xludf.DUMMYFUNCTION("""COMPUTED_VALUE"""),"Variety of Sensation")</f>
        <v>Variety of Sensation</v>
      </c>
      <c r="D2055" s="29" t="str">
        <f>IFERROR(__xludf.DUMMYFUNCTION("""COMPUTED_VALUE"""),"4")</f>
        <v>4</v>
      </c>
      <c r="E2055" s="29">
        <f>IFERROR(__xludf.DUMMYFUNCTION("""COMPUTED_VALUE"""),4.0)</f>
        <v>4</v>
      </c>
    </row>
    <row r="2056">
      <c r="A2056" s="33">
        <f>IFERROR(__xludf.DUMMYFUNCTION("""COMPUTED_VALUE"""),45837.0323637037)</f>
        <v>45837.03236</v>
      </c>
      <c r="B2056" s="29" t="str">
        <f>IFERROR(__xludf.DUMMYFUNCTION("""COMPUTED_VALUE"""),"Circumcised")</f>
        <v>Circumcised</v>
      </c>
      <c r="C2056" s="29" t="str">
        <f>IFERROR(__xludf.DUMMYFUNCTION("""COMPUTED_VALUE"""),"Variety of Sensation")</f>
        <v>Variety of Sensation</v>
      </c>
      <c r="D2056" s="29" t="str">
        <f>IFERROR(__xludf.DUMMYFUNCTION("""COMPUTED_VALUE"""),"2")</f>
        <v>2</v>
      </c>
      <c r="E2056" s="29">
        <f>IFERROR(__xludf.DUMMYFUNCTION("""COMPUTED_VALUE"""),2.0)</f>
        <v>2</v>
      </c>
    </row>
    <row r="2057">
      <c r="A2057" s="33">
        <f>IFERROR(__xludf.DUMMYFUNCTION("""COMPUTED_VALUE"""),45837.456585266205)</f>
        <v>45837.45659</v>
      </c>
      <c r="B2057" s="29" t="str">
        <f>IFERROR(__xludf.DUMMYFUNCTION("""COMPUTED_VALUE"""),"Circumcised")</f>
        <v>Circumcised</v>
      </c>
      <c r="C2057" s="29" t="str">
        <f>IFERROR(__xludf.DUMMYFUNCTION("""COMPUTED_VALUE"""),"Variety of Sensation")</f>
        <v>Variety of Sensation</v>
      </c>
      <c r="D2057" s="29" t="str">
        <f>IFERROR(__xludf.DUMMYFUNCTION("""COMPUTED_VALUE"""),"1 (Low/Poor)")</f>
        <v>1 (Low/Poor)</v>
      </c>
      <c r="E2057" s="29">
        <f>IFERROR(__xludf.DUMMYFUNCTION("""COMPUTED_VALUE"""),1.0)</f>
        <v>1</v>
      </c>
    </row>
    <row r="2058">
      <c r="A2058" s="33">
        <f>IFERROR(__xludf.DUMMYFUNCTION("""COMPUTED_VALUE"""),45837.54343665509)</f>
        <v>45837.54344</v>
      </c>
      <c r="B2058" s="29" t="str">
        <f>IFERROR(__xludf.DUMMYFUNCTION("""COMPUTED_VALUE"""),"Circumcised")</f>
        <v>Circumcised</v>
      </c>
      <c r="C2058" s="29" t="str">
        <f>IFERROR(__xludf.DUMMYFUNCTION("""COMPUTED_VALUE"""),"Variety of Sensation")</f>
        <v>Variety of Sensation</v>
      </c>
      <c r="D2058" s="29" t="str">
        <f>IFERROR(__xludf.DUMMYFUNCTION("""COMPUTED_VALUE"""),"1 (Low/Poor)")</f>
        <v>1 (Low/Poor)</v>
      </c>
      <c r="E2058" s="29">
        <f>IFERROR(__xludf.DUMMYFUNCTION("""COMPUTED_VALUE"""),1.0)</f>
        <v>1</v>
      </c>
    </row>
    <row r="2059">
      <c r="A2059" s="33">
        <f>IFERROR(__xludf.DUMMYFUNCTION("""COMPUTED_VALUE"""),45837.65933071759)</f>
        <v>45837.65933</v>
      </c>
      <c r="B2059" s="29" t="str">
        <f>IFERROR(__xludf.DUMMYFUNCTION("""COMPUTED_VALUE"""),"Actively restoring my foreskin / I consider myself restored")</f>
        <v>Actively restoring my foreskin / I consider myself restored</v>
      </c>
      <c r="C2059" s="29" t="str">
        <f>IFERROR(__xludf.DUMMYFUNCTION("""COMPUTED_VALUE"""),"Variety of Sensation")</f>
        <v>Variety of Sensation</v>
      </c>
      <c r="D2059" s="29" t="str">
        <f>IFERROR(__xludf.DUMMYFUNCTION("""COMPUTED_VALUE"""),"5 (High/Excellent)")</f>
        <v>5 (High/Excellent)</v>
      </c>
      <c r="E2059" s="29">
        <f>IFERROR(__xludf.DUMMYFUNCTION("""COMPUTED_VALUE"""),5.0)</f>
        <v>5</v>
      </c>
    </row>
    <row r="2060">
      <c r="A2060" s="33">
        <f>IFERROR(__xludf.DUMMYFUNCTION("""COMPUTED_VALUE"""),45838.117896192125)</f>
        <v>45838.1179</v>
      </c>
      <c r="B2060" s="29" t="str">
        <f>IFERROR(__xludf.DUMMYFUNCTION("""COMPUTED_VALUE"""),"Circumcised")</f>
        <v>Circumcised</v>
      </c>
      <c r="C2060" s="29" t="str">
        <f>IFERROR(__xludf.DUMMYFUNCTION("""COMPUTED_VALUE"""),"Variety of Sensation")</f>
        <v>Variety of Sensation</v>
      </c>
      <c r="D2060" s="29" t="str">
        <f>IFERROR(__xludf.DUMMYFUNCTION("""COMPUTED_VALUE"""),"1 (Low/Poor)")</f>
        <v>1 (Low/Poor)</v>
      </c>
      <c r="E2060" s="29">
        <f>IFERROR(__xludf.DUMMYFUNCTION("""COMPUTED_VALUE"""),1.0)</f>
        <v>1</v>
      </c>
    </row>
    <row r="2061">
      <c r="A2061" s="33">
        <f>IFERROR(__xludf.DUMMYFUNCTION("""COMPUTED_VALUE"""),45838.703877291664)</f>
        <v>45838.70388</v>
      </c>
      <c r="B2061" s="29" t="str">
        <f>IFERROR(__xludf.DUMMYFUNCTION("""COMPUTED_VALUE"""),"Actively restoring my foreskin / I consider myself restored")</f>
        <v>Actively restoring my foreskin / I consider myself restored</v>
      </c>
      <c r="C2061" s="29" t="str">
        <f>IFERROR(__xludf.DUMMYFUNCTION("""COMPUTED_VALUE"""),"Variety of Sensation")</f>
        <v>Variety of Sensation</v>
      </c>
      <c r="D2061" s="29" t="str">
        <f>IFERROR(__xludf.DUMMYFUNCTION("""COMPUTED_VALUE"""),"2")</f>
        <v>2</v>
      </c>
      <c r="E2061" s="29">
        <f>IFERROR(__xludf.DUMMYFUNCTION("""COMPUTED_VALUE"""),2.0)</f>
        <v>2</v>
      </c>
    </row>
    <row r="2062">
      <c r="A2062" s="33">
        <f>IFERROR(__xludf.DUMMYFUNCTION("""COMPUTED_VALUE"""),45839.585315289354)</f>
        <v>45839.58532</v>
      </c>
      <c r="B2062" s="29" t="str">
        <f>IFERROR(__xludf.DUMMYFUNCTION("""COMPUTED_VALUE"""),"Circumcised")</f>
        <v>Circumcised</v>
      </c>
      <c r="C2062" s="29" t="str">
        <f>IFERROR(__xludf.DUMMYFUNCTION("""COMPUTED_VALUE"""),"Variety of Sensation")</f>
        <v>Variety of Sensation</v>
      </c>
      <c r="D2062" s="29" t="str">
        <f>IFERROR(__xludf.DUMMYFUNCTION("""COMPUTED_VALUE"""),"3 (Medium/Average)")</f>
        <v>3 (Medium/Average)</v>
      </c>
      <c r="E2062" s="29">
        <f>IFERROR(__xludf.DUMMYFUNCTION("""COMPUTED_VALUE"""),3.0)</f>
        <v>3</v>
      </c>
    </row>
    <row r="2063">
      <c r="A2063" s="33">
        <f>IFERROR(__xludf.DUMMYFUNCTION("""COMPUTED_VALUE"""),45839.9002066551)</f>
        <v>45839.90021</v>
      </c>
      <c r="B2063" s="29" t="str">
        <f>IFERROR(__xludf.DUMMYFUNCTION("""COMPUTED_VALUE"""),"Circumcised")</f>
        <v>Circumcised</v>
      </c>
      <c r="C2063" s="29" t="str">
        <f>IFERROR(__xludf.DUMMYFUNCTION("""COMPUTED_VALUE"""),"Variety of Sensation")</f>
        <v>Variety of Sensation</v>
      </c>
      <c r="D2063" s="29" t="str">
        <f>IFERROR(__xludf.DUMMYFUNCTION("""COMPUTED_VALUE"""),"2")</f>
        <v>2</v>
      </c>
      <c r="E2063" s="29">
        <f>IFERROR(__xludf.DUMMYFUNCTION("""COMPUTED_VALUE"""),2.0)</f>
        <v>2</v>
      </c>
    </row>
    <row r="2064">
      <c r="A2064" s="33">
        <f>IFERROR(__xludf.DUMMYFUNCTION("""COMPUTED_VALUE"""),45840.28386831019)</f>
        <v>45840.28387</v>
      </c>
      <c r="B2064" s="29" t="str">
        <f>IFERROR(__xludf.DUMMYFUNCTION("""COMPUTED_VALUE"""),"Actively restoring my foreskin / I consider myself restored")</f>
        <v>Actively restoring my foreskin / I consider myself restored</v>
      </c>
      <c r="C2064" s="29" t="str">
        <f>IFERROR(__xludf.DUMMYFUNCTION("""COMPUTED_VALUE"""),"Variety of Sensation")</f>
        <v>Variety of Sensation</v>
      </c>
      <c r="D2064" s="29" t="str">
        <f>IFERROR(__xludf.DUMMYFUNCTION("""COMPUTED_VALUE"""),"3 (Medium/Average)")</f>
        <v>3 (Medium/Average)</v>
      </c>
      <c r="E2064" s="29">
        <f>IFERROR(__xludf.DUMMYFUNCTION("""COMPUTED_VALUE"""),3.0)</f>
        <v>3</v>
      </c>
    </row>
    <row r="2065">
      <c r="A2065" s="33">
        <f>IFERROR(__xludf.DUMMYFUNCTION("""COMPUTED_VALUE"""),45841.941682199074)</f>
        <v>45841.94168</v>
      </c>
      <c r="B2065" s="29" t="str">
        <f>IFERROR(__xludf.DUMMYFUNCTION("""COMPUTED_VALUE"""),"Intact (Never circumcised)")</f>
        <v>Intact (Never circumcised)</v>
      </c>
      <c r="C2065" s="29" t="str">
        <f>IFERROR(__xludf.DUMMYFUNCTION("""COMPUTED_VALUE"""),"Variety of Sensation")</f>
        <v>Variety of Sensation</v>
      </c>
      <c r="D2065" s="29" t="str">
        <f>IFERROR(__xludf.DUMMYFUNCTION("""COMPUTED_VALUE"""),"5 (High/Excellent)")</f>
        <v>5 (High/Excellent)</v>
      </c>
      <c r="E2065" s="29">
        <f>IFERROR(__xludf.DUMMYFUNCTION("""COMPUTED_VALUE"""),5.0)</f>
        <v>5</v>
      </c>
    </row>
    <row r="2066">
      <c r="A2066" s="33">
        <f>IFERROR(__xludf.DUMMYFUNCTION("""COMPUTED_VALUE"""),45842.01290361111)</f>
        <v>45842.0129</v>
      </c>
      <c r="B2066" s="29" t="str">
        <f>IFERROR(__xludf.DUMMYFUNCTION("""COMPUTED_VALUE"""),"Actively restoring my foreskin / I consider myself restored")</f>
        <v>Actively restoring my foreskin / I consider myself restored</v>
      </c>
      <c r="C2066" s="29" t="str">
        <f>IFERROR(__xludf.DUMMYFUNCTION("""COMPUTED_VALUE"""),"Variety of Sensation")</f>
        <v>Variety of Sensation</v>
      </c>
      <c r="D2066" s="29" t="str">
        <f>IFERROR(__xludf.DUMMYFUNCTION("""COMPUTED_VALUE"""),"2")</f>
        <v>2</v>
      </c>
      <c r="E2066" s="29">
        <f>IFERROR(__xludf.DUMMYFUNCTION("""COMPUTED_VALUE"""),2.0)</f>
        <v>2</v>
      </c>
    </row>
    <row r="2067">
      <c r="A2067" s="33">
        <f>IFERROR(__xludf.DUMMYFUNCTION("""COMPUTED_VALUE"""),45842.59654684028)</f>
        <v>45842.59655</v>
      </c>
      <c r="B2067" s="29" t="str">
        <f>IFERROR(__xludf.DUMMYFUNCTION("""COMPUTED_VALUE"""),"Intact (Never circumcised)")</f>
        <v>Intact (Never circumcised)</v>
      </c>
      <c r="C2067" s="29" t="str">
        <f>IFERROR(__xludf.DUMMYFUNCTION("""COMPUTED_VALUE"""),"Variety of Sensation")</f>
        <v>Variety of Sensation</v>
      </c>
      <c r="D2067" s="29" t="str">
        <f>IFERROR(__xludf.DUMMYFUNCTION("""COMPUTED_VALUE"""),"5 (High/Excellent)")</f>
        <v>5 (High/Excellent)</v>
      </c>
      <c r="E2067" s="29">
        <f>IFERROR(__xludf.DUMMYFUNCTION("""COMPUTED_VALUE"""),5.0)</f>
        <v>5</v>
      </c>
    </row>
    <row r="2068">
      <c r="A2068" s="33">
        <f>IFERROR(__xludf.DUMMYFUNCTION("""COMPUTED_VALUE"""),45842.74864692129)</f>
        <v>45842.74865</v>
      </c>
      <c r="B2068" s="29" t="str">
        <f>IFERROR(__xludf.DUMMYFUNCTION("""COMPUTED_VALUE"""),"Intact (Never circumcised)")</f>
        <v>Intact (Never circumcised)</v>
      </c>
      <c r="C2068" s="29" t="str">
        <f>IFERROR(__xludf.DUMMYFUNCTION("""COMPUTED_VALUE"""),"Variety of Sensation")</f>
        <v>Variety of Sensation</v>
      </c>
      <c r="D2068" s="29" t="str">
        <f>IFERROR(__xludf.DUMMYFUNCTION("""COMPUTED_VALUE"""),"5 (High/Excellent)")</f>
        <v>5 (High/Excellent)</v>
      </c>
      <c r="E2068" s="29">
        <f>IFERROR(__xludf.DUMMYFUNCTION("""COMPUTED_VALUE"""),5.0)</f>
        <v>5</v>
      </c>
    </row>
    <row r="2069">
      <c r="A2069" s="33">
        <f>IFERROR(__xludf.DUMMYFUNCTION("""COMPUTED_VALUE"""),45842.78131636574)</f>
        <v>45842.78132</v>
      </c>
      <c r="B2069" s="29" t="str">
        <f>IFERROR(__xludf.DUMMYFUNCTION("""COMPUTED_VALUE"""),"Intact (Never circumcised)")</f>
        <v>Intact (Never circumcised)</v>
      </c>
      <c r="C2069" s="29" t="str">
        <f>IFERROR(__xludf.DUMMYFUNCTION("""COMPUTED_VALUE"""),"Variety of Sensation")</f>
        <v>Variety of Sensation</v>
      </c>
      <c r="D2069" s="29" t="str">
        <f>IFERROR(__xludf.DUMMYFUNCTION("""COMPUTED_VALUE"""),"5 (High/Excellent)")</f>
        <v>5 (High/Excellent)</v>
      </c>
      <c r="E2069" s="29">
        <f>IFERROR(__xludf.DUMMYFUNCTION("""COMPUTED_VALUE"""),5.0)</f>
        <v>5</v>
      </c>
    </row>
    <row r="2070">
      <c r="A2070" s="33">
        <f>IFERROR(__xludf.DUMMYFUNCTION("""COMPUTED_VALUE"""),45843.44344015046)</f>
        <v>45843.44344</v>
      </c>
      <c r="B2070" s="29" t="str">
        <f>IFERROR(__xludf.DUMMYFUNCTION("""COMPUTED_VALUE"""),"Intact (Never circumcised)")</f>
        <v>Intact (Never circumcised)</v>
      </c>
      <c r="C2070" s="29" t="str">
        <f>IFERROR(__xludf.DUMMYFUNCTION("""COMPUTED_VALUE"""),"Variety of Sensation")</f>
        <v>Variety of Sensation</v>
      </c>
      <c r="D2070" s="29" t="str">
        <f>IFERROR(__xludf.DUMMYFUNCTION("""COMPUTED_VALUE"""),"3 (Medium/Average)")</f>
        <v>3 (Medium/Average)</v>
      </c>
      <c r="E2070" s="29">
        <f>IFERROR(__xludf.DUMMYFUNCTION("""COMPUTED_VALUE"""),3.0)</f>
        <v>3</v>
      </c>
    </row>
    <row r="2071">
      <c r="A2071" s="33">
        <f>IFERROR(__xludf.DUMMYFUNCTION("""COMPUTED_VALUE"""),45844.052393356484)</f>
        <v>45844.05239</v>
      </c>
      <c r="B2071" s="29" t="str">
        <f>IFERROR(__xludf.DUMMYFUNCTION("""COMPUTED_VALUE"""),"Intact (Never circumcised)")</f>
        <v>Intact (Never circumcised)</v>
      </c>
      <c r="C2071" s="29" t="str">
        <f>IFERROR(__xludf.DUMMYFUNCTION("""COMPUTED_VALUE"""),"Variety of Sensation")</f>
        <v>Variety of Sensation</v>
      </c>
      <c r="D2071" s="29" t="str">
        <f>IFERROR(__xludf.DUMMYFUNCTION("""COMPUTED_VALUE"""),"5 (High/Excellent)")</f>
        <v>5 (High/Excellent)</v>
      </c>
      <c r="E2071" s="29">
        <f>IFERROR(__xludf.DUMMYFUNCTION("""COMPUTED_VALUE"""),5.0)</f>
        <v>5</v>
      </c>
    </row>
    <row r="2072">
      <c r="A2072" s="33">
        <f>IFERROR(__xludf.DUMMYFUNCTION("""COMPUTED_VALUE"""),45844.41842277777)</f>
        <v>45844.41842</v>
      </c>
      <c r="B2072" s="29" t="str">
        <f>IFERROR(__xludf.DUMMYFUNCTION("""COMPUTED_VALUE"""),"Circumcised")</f>
        <v>Circumcised</v>
      </c>
      <c r="C2072" s="29" t="str">
        <f>IFERROR(__xludf.DUMMYFUNCTION("""COMPUTED_VALUE"""),"Variety of Sensation")</f>
        <v>Variety of Sensation</v>
      </c>
      <c r="D2072" s="29" t="str">
        <f>IFERROR(__xludf.DUMMYFUNCTION("""COMPUTED_VALUE"""),"3 (Medium/Average)")</f>
        <v>3 (Medium/Average)</v>
      </c>
      <c r="E2072" s="29">
        <f>IFERROR(__xludf.DUMMYFUNCTION("""COMPUTED_VALUE"""),3.0)</f>
        <v>3</v>
      </c>
    </row>
    <row r="2073">
      <c r="A2073" s="33">
        <f>IFERROR(__xludf.DUMMYFUNCTION("""COMPUTED_VALUE"""),45844.46542105324)</f>
        <v>45844.46542</v>
      </c>
      <c r="B2073" s="29" t="str">
        <f>IFERROR(__xludf.DUMMYFUNCTION("""COMPUTED_VALUE"""),"Intact (Never circumcised)")</f>
        <v>Intact (Never circumcised)</v>
      </c>
      <c r="C2073" s="29" t="str">
        <f>IFERROR(__xludf.DUMMYFUNCTION("""COMPUTED_VALUE"""),"Variety of Sensation")</f>
        <v>Variety of Sensation</v>
      </c>
      <c r="D2073" s="29" t="str">
        <f>IFERROR(__xludf.DUMMYFUNCTION("""COMPUTED_VALUE"""),"5 (High/Excellent)")</f>
        <v>5 (High/Excellent)</v>
      </c>
      <c r="E2073" s="29">
        <f>IFERROR(__xludf.DUMMYFUNCTION("""COMPUTED_VALUE"""),5.0)</f>
        <v>5</v>
      </c>
    </row>
    <row r="2074">
      <c r="A2074" s="33">
        <f>IFERROR(__xludf.DUMMYFUNCTION("""COMPUTED_VALUE"""),45845.519693240734)</f>
        <v>45845.51969</v>
      </c>
      <c r="B2074" s="29" t="str">
        <f>IFERROR(__xludf.DUMMYFUNCTION("""COMPUTED_VALUE"""),"Circumcised")</f>
        <v>Circumcised</v>
      </c>
      <c r="C2074" s="29" t="str">
        <f>IFERROR(__xludf.DUMMYFUNCTION("""COMPUTED_VALUE"""),"Variety of Sensation")</f>
        <v>Variety of Sensation</v>
      </c>
      <c r="D2074" s="29" t="str">
        <f>IFERROR(__xludf.DUMMYFUNCTION("""COMPUTED_VALUE"""),"4")</f>
        <v>4</v>
      </c>
      <c r="E2074" s="29">
        <f>IFERROR(__xludf.DUMMYFUNCTION("""COMPUTED_VALUE"""),4.0)</f>
        <v>4</v>
      </c>
    </row>
    <row r="2075">
      <c r="A2075" s="33">
        <f>IFERROR(__xludf.DUMMYFUNCTION("""COMPUTED_VALUE"""),45846.13157090278)</f>
        <v>45846.13157</v>
      </c>
      <c r="B2075" s="29" t="str">
        <f>IFERROR(__xludf.DUMMYFUNCTION("""COMPUTED_VALUE"""),"Circumcised")</f>
        <v>Circumcised</v>
      </c>
      <c r="C2075" s="29" t="str">
        <f>IFERROR(__xludf.DUMMYFUNCTION("""COMPUTED_VALUE"""),"Variety of Sensation")</f>
        <v>Variety of Sensation</v>
      </c>
      <c r="D2075" s="29" t="str">
        <f>IFERROR(__xludf.DUMMYFUNCTION("""COMPUTED_VALUE"""),"2")</f>
        <v>2</v>
      </c>
      <c r="E2075" s="29">
        <f>IFERROR(__xludf.DUMMYFUNCTION("""COMPUTED_VALUE"""),2.0)</f>
        <v>2</v>
      </c>
    </row>
    <row r="2076">
      <c r="A2076" s="33">
        <f>IFERROR(__xludf.DUMMYFUNCTION("""COMPUTED_VALUE"""),45849.608638680555)</f>
        <v>45849.60864</v>
      </c>
      <c r="B2076" s="29" t="str">
        <f>IFERROR(__xludf.DUMMYFUNCTION("""COMPUTED_VALUE"""),"Circumcised")</f>
        <v>Circumcised</v>
      </c>
      <c r="C2076" s="29" t="str">
        <f>IFERROR(__xludf.DUMMYFUNCTION("""COMPUTED_VALUE"""),"Variety of Sensation")</f>
        <v>Variety of Sensation</v>
      </c>
      <c r="D2076" s="29" t="str">
        <f>IFERROR(__xludf.DUMMYFUNCTION("""COMPUTED_VALUE"""),"5 (High/Excellent)")</f>
        <v>5 (High/Excellent)</v>
      </c>
      <c r="E2076" s="29">
        <f>IFERROR(__xludf.DUMMYFUNCTION("""COMPUTED_VALUE"""),5.0)</f>
        <v>5</v>
      </c>
    </row>
    <row r="2077">
      <c r="A2077" s="33">
        <f>IFERROR(__xludf.DUMMYFUNCTION("""COMPUTED_VALUE"""),45849.67123201389)</f>
        <v>45849.67123</v>
      </c>
      <c r="B2077" s="29" t="str">
        <f>IFERROR(__xludf.DUMMYFUNCTION("""COMPUTED_VALUE"""),"Intact (Never circumcised)")</f>
        <v>Intact (Never circumcised)</v>
      </c>
      <c r="C2077" s="29" t="str">
        <f>IFERROR(__xludf.DUMMYFUNCTION("""COMPUTED_VALUE"""),"Variety of Sensation")</f>
        <v>Variety of Sensation</v>
      </c>
      <c r="D2077" s="29" t="str">
        <f>IFERROR(__xludf.DUMMYFUNCTION("""COMPUTED_VALUE"""),"5 (High/Excellent)")</f>
        <v>5 (High/Excellent)</v>
      </c>
      <c r="E2077" s="29">
        <f>IFERROR(__xludf.DUMMYFUNCTION("""COMPUTED_VALUE"""),5.0)</f>
        <v>5</v>
      </c>
    </row>
    <row r="2078">
      <c r="A2078" s="33">
        <f>IFERROR(__xludf.DUMMYFUNCTION("""COMPUTED_VALUE"""),45850.18852405093)</f>
        <v>45850.18852</v>
      </c>
      <c r="B2078" s="29" t="str">
        <f>IFERROR(__xludf.DUMMYFUNCTION("""COMPUTED_VALUE"""),"Circumcised")</f>
        <v>Circumcised</v>
      </c>
      <c r="C2078" s="29" t="str">
        <f>IFERROR(__xludf.DUMMYFUNCTION("""COMPUTED_VALUE"""),"Variety of Sensation")</f>
        <v>Variety of Sensation</v>
      </c>
      <c r="D2078" s="29" t="str">
        <f>IFERROR(__xludf.DUMMYFUNCTION("""COMPUTED_VALUE"""),"5 (High/Excellent)")</f>
        <v>5 (High/Excellent)</v>
      </c>
      <c r="E2078" s="29">
        <f>IFERROR(__xludf.DUMMYFUNCTION("""COMPUTED_VALUE"""),5.0)</f>
        <v>5</v>
      </c>
    </row>
    <row r="2079">
      <c r="A2079" s="33">
        <f>IFERROR(__xludf.DUMMYFUNCTION("""COMPUTED_VALUE"""),45850.64452353009)</f>
        <v>45850.64452</v>
      </c>
      <c r="B2079" s="29" t="str">
        <f>IFERROR(__xludf.DUMMYFUNCTION("""COMPUTED_VALUE"""),"Circumcised")</f>
        <v>Circumcised</v>
      </c>
      <c r="C2079" s="29" t="str">
        <f>IFERROR(__xludf.DUMMYFUNCTION("""COMPUTED_VALUE"""),"Variety of Sensation")</f>
        <v>Variety of Sensation</v>
      </c>
      <c r="D2079" s="29" t="str">
        <f>IFERROR(__xludf.DUMMYFUNCTION("""COMPUTED_VALUE"""),"2")</f>
        <v>2</v>
      </c>
      <c r="E2079" s="29">
        <f>IFERROR(__xludf.DUMMYFUNCTION("""COMPUTED_VALUE"""),2.0)</f>
        <v>2</v>
      </c>
    </row>
    <row r="2080">
      <c r="A2080" s="33">
        <f>IFERROR(__xludf.DUMMYFUNCTION("""COMPUTED_VALUE"""),45850.886114953704)</f>
        <v>45850.88611</v>
      </c>
      <c r="B2080" s="29" t="str">
        <f>IFERROR(__xludf.DUMMYFUNCTION("""COMPUTED_VALUE"""),"Intact (Never circumcised)")</f>
        <v>Intact (Never circumcised)</v>
      </c>
      <c r="C2080" s="29" t="str">
        <f>IFERROR(__xludf.DUMMYFUNCTION("""COMPUTED_VALUE"""),"Variety of Sensation")</f>
        <v>Variety of Sensation</v>
      </c>
      <c r="D2080" s="29" t="str">
        <f>IFERROR(__xludf.DUMMYFUNCTION("""COMPUTED_VALUE"""),"3 (Medium/Average)")</f>
        <v>3 (Medium/Average)</v>
      </c>
      <c r="E2080" s="29">
        <f>IFERROR(__xludf.DUMMYFUNCTION("""COMPUTED_VALUE"""),3.0)</f>
        <v>3</v>
      </c>
    </row>
    <row r="2081">
      <c r="A2081" s="33">
        <f>IFERROR(__xludf.DUMMYFUNCTION("""COMPUTED_VALUE"""),45852.678005532405)</f>
        <v>45852.67801</v>
      </c>
      <c r="B2081" s="29" t="str">
        <f>IFERROR(__xludf.DUMMYFUNCTION("""COMPUTED_VALUE"""),"Intact (Never circumcised)")</f>
        <v>Intact (Never circumcised)</v>
      </c>
      <c r="C2081" s="29" t="str">
        <f>IFERROR(__xludf.DUMMYFUNCTION("""COMPUTED_VALUE"""),"Variety of Sensation")</f>
        <v>Variety of Sensation</v>
      </c>
      <c r="D2081" s="29" t="str">
        <f>IFERROR(__xludf.DUMMYFUNCTION("""COMPUTED_VALUE"""),"5 (High/Excellent)")</f>
        <v>5 (High/Excellent)</v>
      </c>
      <c r="E2081" s="29">
        <f>IFERROR(__xludf.DUMMYFUNCTION("""COMPUTED_VALUE"""),5.0)</f>
        <v>5</v>
      </c>
    </row>
    <row r="2082">
      <c r="A2082" s="33">
        <f>IFERROR(__xludf.DUMMYFUNCTION("""COMPUTED_VALUE"""),45852.891580891206)</f>
        <v>45852.89158</v>
      </c>
      <c r="B2082" s="29" t="str">
        <f>IFERROR(__xludf.DUMMYFUNCTION("""COMPUTED_VALUE"""),"Intact (Never circumcised)")</f>
        <v>Intact (Never circumcised)</v>
      </c>
      <c r="C2082" s="29" t="str">
        <f>IFERROR(__xludf.DUMMYFUNCTION("""COMPUTED_VALUE"""),"Variety of Sensation")</f>
        <v>Variety of Sensation</v>
      </c>
      <c r="D2082" s="29" t="str">
        <f>IFERROR(__xludf.DUMMYFUNCTION("""COMPUTED_VALUE"""),"5 (High/Excellent)")</f>
        <v>5 (High/Excellent)</v>
      </c>
      <c r="E2082" s="29">
        <f>IFERROR(__xludf.DUMMYFUNCTION("""COMPUTED_VALUE"""),5.0)</f>
        <v>5</v>
      </c>
    </row>
    <row r="2083">
      <c r="A2083" s="33">
        <f>IFERROR(__xludf.DUMMYFUNCTION("""COMPUTED_VALUE"""),45853.37019545138)</f>
        <v>45853.3702</v>
      </c>
      <c r="B2083" s="29" t="str">
        <f>IFERROR(__xludf.DUMMYFUNCTION("""COMPUTED_VALUE"""),"Intact (Never circumcised)")</f>
        <v>Intact (Never circumcised)</v>
      </c>
      <c r="C2083" s="29" t="str">
        <f>IFERROR(__xludf.DUMMYFUNCTION("""COMPUTED_VALUE"""),"Variety of Sensation")</f>
        <v>Variety of Sensation</v>
      </c>
      <c r="D2083" s="29" t="str">
        <f>IFERROR(__xludf.DUMMYFUNCTION("""COMPUTED_VALUE"""),"5 (High/Excellent)")</f>
        <v>5 (High/Excellent)</v>
      </c>
      <c r="E2083" s="29">
        <f>IFERROR(__xludf.DUMMYFUNCTION("""COMPUTED_VALUE"""),5.0)</f>
        <v>5</v>
      </c>
    </row>
    <row r="2084">
      <c r="A2084" s="33">
        <f>IFERROR(__xludf.DUMMYFUNCTION("""COMPUTED_VALUE"""),45853.81523930556)</f>
        <v>45853.81524</v>
      </c>
      <c r="B2084" s="29" t="str">
        <f>IFERROR(__xludf.DUMMYFUNCTION("""COMPUTED_VALUE"""),"Circumcised")</f>
        <v>Circumcised</v>
      </c>
      <c r="C2084" s="29" t="str">
        <f>IFERROR(__xludf.DUMMYFUNCTION("""COMPUTED_VALUE"""),"Variety of Sensation")</f>
        <v>Variety of Sensation</v>
      </c>
      <c r="D2084" s="29" t="str">
        <f>IFERROR(__xludf.DUMMYFUNCTION("""COMPUTED_VALUE"""),"1 (Low/Poor)")</f>
        <v>1 (Low/Poor)</v>
      </c>
      <c r="E2084" s="29">
        <f>IFERROR(__xludf.DUMMYFUNCTION("""COMPUTED_VALUE"""),1.0)</f>
        <v>1</v>
      </c>
    </row>
    <row r="2085">
      <c r="A2085" s="33">
        <f>IFERROR(__xludf.DUMMYFUNCTION("""COMPUTED_VALUE"""),45853.917537939815)</f>
        <v>45853.91754</v>
      </c>
      <c r="B2085" s="29" t="str">
        <f>IFERROR(__xludf.DUMMYFUNCTION("""COMPUTED_VALUE"""),"Actively restoring my foreskin / I consider myself restored")</f>
        <v>Actively restoring my foreskin / I consider myself restored</v>
      </c>
      <c r="C2085" s="29" t="str">
        <f>IFERROR(__xludf.DUMMYFUNCTION("""COMPUTED_VALUE"""),"Variety of Sensation")</f>
        <v>Variety of Sensation</v>
      </c>
      <c r="D2085" s="29" t="str">
        <f>IFERROR(__xludf.DUMMYFUNCTION("""COMPUTED_VALUE"""),"3 (Medium/Average)")</f>
        <v>3 (Medium/Average)</v>
      </c>
      <c r="E2085" s="29">
        <f>IFERROR(__xludf.DUMMYFUNCTION("""COMPUTED_VALUE"""),3.0)</f>
        <v>3</v>
      </c>
    </row>
    <row r="2086">
      <c r="A2086" s="33">
        <f>IFERROR(__xludf.DUMMYFUNCTION("""COMPUTED_VALUE"""),45854.425925324074)</f>
        <v>45854.42593</v>
      </c>
      <c r="B2086" s="29" t="str">
        <f>IFERROR(__xludf.DUMMYFUNCTION("""COMPUTED_VALUE"""),"Circumcised")</f>
        <v>Circumcised</v>
      </c>
      <c r="C2086" s="29" t="str">
        <f>IFERROR(__xludf.DUMMYFUNCTION("""COMPUTED_VALUE"""),"Variety of Sensation")</f>
        <v>Variety of Sensation</v>
      </c>
      <c r="D2086" s="29" t="str">
        <f>IFERROR(__xludf.DUMMYFUNCTION("""COMPUTED_VALUE"""),"1 (Low/Poor)")</f>
        <v>1 (Low/Poor)</v>
      </c>
      <c r="E2086" s="29">
        <f>IFERROR(__xludf.DUMMYFUNCTION("""COMPUTED_VALUE"""),1.0)</f>
        <v>1</v>
      </c>
    </row>
    <row r="2087">
      <c r="A2087" s="33">
        <f>IFERROR(__xludf.DUMMYFUNCTION("""COMPUTED_VALUE"""),45855.06532899306)</f>
        <v>45855.06533</v>
      </c>
      <c r="B2087" s="29" t="str">
        <f>IFERROR(__xludf.DUMMYFUNCTION("""COMPUTED_VALUE"""),"Circumcised")</f>
        <v>Circumcised</v>
      </c>
      <c r="C2087" s="29" t="str">
        <f>IFERROR(__xludf.DUMMYFUNCTION("""COMPUTED_VALUE"""),"Variety of Sensation")</f>
        <v>Variety of Sensation</v>
      </c>
      <c r="D2087" s="29" t="str">
        <f>IFERROR(__xludf.DUMMYFUNCTION("""COMPUTED_VALUE"""),"1 (Low/Poor)")</f>
        <v>1 (Low/Poor)</v>
      </c>
      <c r="E2087" s="29">
        <f>IFERROR(__xludf.DUMMYFUNCTION("""COMPUTED_VALUE"""),1.0)</f>
        <v>1</v>
      </c>
    </row>
    <row r="2088">
      <c r="A2088" s="33">
        <f>IFERROR(__xludf.DUMMYFUNCTION("""COMPUTED_VALUE"""),45857.18312947916)</f>
        <v>45857.18313</v>
      </c>
      <c r="B2088" s="29" t="str">
        <f>IFERROR(__xludf.DUMMYFUNCTION("""COMPUTED_VALUE"""),"Intact (Never circumcised)")</f>
        <v>Intact (Never circumcised)</v>
      </c>
      <c r="C2088" s="29" t="str">
        <f>IFERROR(__xludf.DUMMYFUNCTION("""COMPUTED_VALUE"""),"Variety of Sensation")</f>
        <v>Variety of Sensation</v>
      </c>
      <c r="D2088" s="29" t="str">
        <f>IFERROR(__xludf.DUMMYFUNCTION("""COMPUTED_VALUE"""),"5 (High/Excellent)")</f>
        <v>5 (High/Excellent)</v>
      </c>
      <c r="E2088" s="29">
        <f>IFERROR(__xludf.DUMMYFUNCTION("""COMPUTED_VALUE"""),5.0)</f>
        <v>5</v>
      </c>
    </row>
    <row r="2089">
      <c r="A2089" s="33">
        <f>IFERROR(__xludf.DUMMYFUNCTION("""COMPUTED_VALUE"""),45858.85559804398)</f>
        <v>45858.8556</v>
      </c>
      <c r="B2089" s="29" t="str">
        <f>IFERROR(__xludf.DUMMYFUNCTION("""COMPUTED_VALUE"""),"Circumcised")</f>
        <v>Circumcised</v>
      </c>
      <c r="C2089" s="29" t="str">
        <f>IFERROR(__xludf.DUMMYFUNCTION("""COMPUTED_VALUE"""),"Variety of Sensation")</f>
        <v>Variety of Sensation</v>
      </c>
      <c r="D2089" s="29" t="str">
        <f>IFERROR(__xludf.DUMMYFUNCTION("""COMPUTED_VALUE"""),"2")</f>
        <v>2</v>
      </c>
      <c r="E2089" s="29">
        <f>IFERROR(__xludf.DUMMYFUNCTION("""COMPUTED_VALUE"""),2.0)</f>
        <v>2</v>
      </c>
    </row>
    <row r="2090">
      <c r="A2090" s="33">
        <f>IFERROR(__xludf.DUMMYFUNCTION("""COMPUTED_VALUE"""),45861.16600383102)</f>
        <v>45861.166</v>
      </c>
      <c r="B2090" s="29" t="str">
        <f>IFERROR(__xludf.DUMMYFUNCTION("""COMPUTED_VALUE"""),"Intact (Never circumcised)")</f>
        <v>Intact (Never circumcised)</v>
      </c>
      <c r="C2090" s="29" t="str">
        <f>IFERROR(__xludf.DUMMYFUNCTION("""COMPUTED_VALUE"""),"Variety of Sensation")</f>
        <v>Variety of Sensation</v>
      </c>
      <c r="D2090" s="29" t="str">
        <f>IFERROR(__xludf.DUMMYFUNCTION("""COMPUTED_VALUE"""),"5 (High/Excellent)")</f>
        <v>5 (High/Excellent)</v>
      </c>
      <c r="E2090" s="29">
        <f>IFERROR(__xludf.DUMMYFUNCTION("""COMPUTED_VALUE"""),5.0)</f>
        <v>5</v>
      </c>
    </row>
    <row r="2091">
      <c r="A2091" s="33">
        <f>IFERROR(__xludf.DUMMYFUNCTION("""COMPUTED_VALUE"""),45864.54673815972)</f>
        <v>45864.54674</v>
      </c>
      <c r="B2091" s="29" t="str">
        <f>IFERROR(__xludf.DUMMYFUNCTION("""COMPUTED_VALUE"""),"Intact (Never circumcised)")</f>
        <v>Intact (Never circumcised)</v>
      </c>
      <c r="C2091" s="29" t="str">
        <f>IFERROR(__xludf.DUMMYFUNCTION("""COMPUTED_VALUE"""),"Variety of Sensation")</f>
        <v>Variety of Sensation</v>
      </c>
      <c r="D2091" s="29" t="str">
        <f>IFERROR(__xludf.DUMMYFUNCTION("""COMPUTED_VALUE"""),"5 (High/Excellent)")</f>
        <v>5 (High/Excellent)</v>
      </c>
      <c r="E2091" s="29">
        <f>IFERROR(__xludf.DUMMYFUNCTION("""COMPUTED_VALUE"""),5.0)</f>
        <v>5</v>
      </c>
    </row>
    <row r="2092">
      <c r="A2092" s="33">
        <f>IFERROR(__xludf.DUMMYFUNCTION("""COMPUTED_VALUE"""),45864.76644127315)</f>
        <v>45864.76644</v>
      </c>
      <c r="B2092" s="29" t="str">
        <f>IFERROR(__xludf.DUMMYFUNCTION("""COMPUTED_VALUE"""),"Intact (Never circumcised)")</f>
        <v>Intact (Never circumcised)</v>
      </c>
      <c r="C2092" s="29" t="str">
        <f>IFERROR(__xludf.DUMMYFUNCTION("""COMPUTED_VALUE"""),"Variety of Sensation")</f>
        <v>Variety of Sensation</v>
      </c>
      <c r="D2092" s="29" t="str">
        <f>IFERROR(__xludf.DUMMYFUNCTION("""COMPUTED_VALUE"""),"5 (High/Excellent)")</f>
        <v>5 (High/Excellent)</v>
      </c>
      <c r="E2092" s="29">
        <f>IFERROR(__xludf.DUMMYFUNCTION("""COMPUTED_VALUE"""),5.0)</f>
        <v>5</v>
      </c>
    </row>
    <row r="2093">
      <c r="A2093" s="33">
        <f>IFERROR(__xludf.DUMMYFUNCTION("""COMPUTED_VALUE"""),45865.26090908565)</f>
        <v>45865.26091</v>
      </c>
      <c r="B2093" s="29" t="str">
        <f>IFERROR(__xludf.DUMMYFUNCTION("""COMPUTED_VALUE"""),"Circumcised")</f>
        <v>Circumcised</v>
      </c>
      <c r="C2093" s="29" t="str">
        <f>IFERROR(__xludf.DUMMYFUNCTION("""COMPUTED_VALUE"""),"Variety of Sensation")</f>
        <v>Variety of Sensation</v>
      </c>
      <c r="D2093" s="29" t="str">
        <f>IFERROR(__xludf.DUMMYFUNCTION("""COMPUTED_VALUE"""),"3 (Medium/Average)")</f>
        <v>3 (Medium/Average)</v>
      </c>
      <c r="E2093" s="29">
        <f>IFERROR(__xludf.DUMMYFUNCTION("""COMPUTED_VALUE"""),3.0)</f>
        <v>3</v>
      </c>
    </row>
    <row r="2094">
      <c r="A2094" s="33">
        <f>IFERROR(__xludf.DUMMYFUNCTION("""COMPUTED_VALUE"""),45865.286593275465)</f>
        <v>45865.28659</v>
      </c>
      <c r="B2094" s="29" t="str">
        <f>IFERROR(__xludf.DUMMYFUNCTION("""COMPUTED_VALUE"""),"Circumcised")</f>
        <v>Circumcised</v>
      </c>
      <c r="C2094" s="29" t="str">
        <f>IFERROR(__xludf.DUMMYFUNCTION("""COMPUTED_VALUE"""),"Variety of Sensation")</f>
        <v>Variety of Sensation</v>
      </c>
      <c r="D2094" s="29" t="str">
        <f>IFERROR(__xludf.DUMMYFUNCTION("""COMPUTED_VALUE"""),"1 (Low/Poor)")</f>
        <v>1 (Low/Poor)</v>
      </c>
      <c r="E2094" s="29">
        <f>IFERROR(__xludf.DUMMYFUNCTION("""COMPUTED_VALUE"""),1.0)</f>
        <v>1</v>
      </c>
    </row>
    <row r="2095">
      <c r="A2095" s="33">
        <f>IFERROR(__xludf.DUMMYFUNCTION("""COMPUTED_VALUE"""),45865.61642836805)</f>
        <v>45865.61643</v>
      </c>
      <c r="B2095" s="29" t="str">
        <f>IFERROR(__xludf.DUMMYFUNCTION("""COMPUTED_VALUE"""),"Circumcised")</f>
        <v>Circumcised</v>
      </c>
      <c r="C2095" s="29" t="str">
        <f>IFERROR(__xludf.DUMMYFUNCTION("""COMPUTED_VALUE"""),"Variety of Sensation")</f>
        <v>Variety of Sensation</v>
      </c>
      <c r="D2095" s="29" t="str">
        <f>IFERROR(__xludf.DUMMYFUNCTION("""COMPUTED_VALUE"""),"2")</f>
        <v>2</v>
      </c>
      <c r="E2095" s="29">
        <f>IFERROR(__xludf.DUMMYFUNCTION("""COMPUTED_VALUE"""),2.0)</f>
        <v>2</v>
      </c>
    </row>
    <row r="2096">
      <c r="A2096" s="33">
        <f>IFERROR(__xludf.DUMMYFUNCTION("""COMPUTED_VALUE"""),45866.35659802083)</f>
        <v>45866.3566</v>
      </c>
      <c r="B2096" s="29" t="str">
        <f>IFERROR(__xludf.DUMMYFUNCTION("""COMPUTED_VALUE"""),"Actively restoring my foreskin / I consider myself restored")</f>
        <v>Actively restoring my foreskin / I consider myself restored</v>
      </c>
      <c r="C2096" s="29" t="str">
        <f>IFERROR(__xludf.DUMMYFUNCTION("""COMPUTED_VALUE"""),"Variety of Sensation")</f>
        <v>Variety of Sensation</v>
      </c>
      <c r="D2096" s="29" t="str">
        <f>IFERROR(__xludf.DUMMYFUNCTION("""COMPUTED_VALUE"""),"2")</f>
        <v>2</v>
      </c>
      <c r="E2096" s="29">
        <f>IFERROR(__xludf.DUMMYFUNCTION("""COMPUTED_VALUE"""),2.0)</f>
        <v>2</v>
      </c>
    </row>
    <row r="2097">
      <c r="A2097" s="33">
        <f>IFERROR(__xludf.DUMMYFUNCTION("""COMPUTED_VALUE"""),45866.36920435186)</f>
        <v>45866.3692</v>
      </c>
      <c r="B2097" s="29" t="str">
        <f>IFERROR(__xludf.DUMMYFUNCTION("""COMPUTED_VALUE"""),"Circumcised")</f>
        <v>Circumcised</v>
      </c>
      <c r="C2097" s="29" t="str">
        <f>IFERROR(__xludf.DUMMYFUNCTION("""COMPUTED_VALUE"""),"Variety of Sensation")</f>
        <v>Variety of Sensation</v>
      </c>
      <c r="D2097" s="29" t="str">
        <f>IFERROR(__xludf.DUMMYFUNCTION("""COMPUTED_VALUE"""),"3 (Medium/Average)")</f>
        <v>3 (Medium/Average)</v>
      </c>
      <c r="E2097" s="29">
        <f>IFERROR(__xludf.DUMMYFUNCTION("""COMPUTED_VALUE"""),3.0)</f>
        <v>3</v>
      </c>
    </row>
    <row r="2098">
      <c r="A2098" s="33">
        <f>IFERROR(__xludf.DUMMYFUNCTION("""COMPUTED_VALUE"""),45866.706210324075)</f>
        <v>45866.70621</v>
      </c>
      <c r="B2098" s="29" t="str">
        <f>IFERROR(__xludf.DUMMYFUNCTION("""COMPUTED_VALUE"""),"Intact (Never circumcised)")</f>
        <v>Intact (Never circumcised)</v>
      </c>
      <c r="C2098" s="29" t="str">
        <f>IFERROR(__xludf.DUMMYFUNCTION("""COMPUTED_VALUE"""),"Variety of Sensation")</f>
        <v>Variety of Sensation</v>
      </c>
      <c r="D2098" s="29" t="str">
        <f>IFERROR(__xludf.DUMMYFUNCTION("""COMPUTED_VALUE"""),"4")</f>
        <v>4</v>
      </c>
      <c r="E2098" s="29">
        <f>IFERROR(__xludf.DUMMYFUNCTION("""COMPUTED_VALUE"""),4.0)</f>
        <v>4</v>
      </c>
    </row>
    <row r="2099">
      <c r="A2099" s="33">
        <f>IFERROR(__xludf.DUMMYFUNCTION("""COMPUTED_VALUE"""),45867.465542523154)</f>
        <v>45867.46554</v>
      </c>
      <c r="B2099" s="29" t="str">
        <f>IFERROR(__xludf.DUMMYFUNCTION("""COMPUTED_VALUE"""),"Intact (Never circumcised)")</f>
        <v>Intact (Never circumcised)</v>
      </c>
      <c r="C2099" s="29" t="str">
        <f>IFERROR(__xludf.DUMMYFUNCTION("""COMPUTED_VALUE"""),"Variety of Sensation")</f>
        <v>Variety of Sensation</v>
      </c>
      <c r="D2099" s="29" t="str">
        <f>IFERROR(__xludf.DUMMYFUNCTION("""COMPUTED_VALUE"""),"4")</f>
        <v>4</v>
      </c>
      <c r="E2099" s="29">
        <f>IFERROR(__xludf.DUMMYFUNCTION("""COMPUTED_VALUE"""),4.0)</f>
        <v>4</v>
      </c>
    </row>
    <row r="2100">
      <c r="A2100" s="33">
        <f>IFERROR(__xludf.DUMMYFUNCTION("""COMPUTED_VALUE"""),45869.6256671875)</f>
        <v>45869.62567</v>
      </c>
      <c r="B2100" s="29" t="str">
        <f>IFERROR(__xludf.DUMMYFUNCTION("""COMPUTED_VALUE"""),"Circumcised")</f>
        <v>Circumcised</v>
      </c>
      <c r="C2100" s="29" t="str">
        <f>IFERROR(__xludf.DUMMYFUNCTION("""COMPUTED_VALUE"""),"Variety of Sensation")</f>
        <v>Variety of Sensation</v>
      </c>
      <c r="D2100" s="29" t="str">
        <f>IFERROR(__xludf.DUMMYFUNCTION("""COMPUTED_VALUE"""),"3 (Medium/Average)")</f>
        <v>3 (Medium/Average)</v>
      </c>
      <c r="E2100" s="29">
        <f>IFERROR(__xludf.DUMMYFUNCTION("""COMPUTED_VALUE"""),3.0)</f>
        <v>3</v>
      </c>
    </row>
    <row r="2101">
      <c r="A2101" s="33">
        <f>IFERROR(__xludf.DUMMYFUNCTION("""COMPUTED_VALUE"""),45870.66304393519)</f>
        <v>45870.66304</v>
      </c>
      <c r="B2101" s="29" t="str">
        <f>IFERROR(__xludf.DUMMYFUNCTION("""COMPUTED_VALUE"""),"Circumcised")</f>
        <v>Circumcised</v>
      </c>
      <c r="C2101" s="29" t="str">
        <f>IFERROR(__xludf.DUMMYFUNCTION("""COMPUTED_VALUE"""),"Variety of Sensation")</f>
        <v>Variety of Sensation</v>
      </c>
      <c r="D2101" s="29" t="str">
        <f>IFERROR(__xludf.DUMMYFUNCTION("""COMPUTED_VALUE"""),"5 (High/Excellent)")</f>
        <v>5 (High/Excellent)</v>
      </c>
      <c r="E2101" s="29">
        <f>IFERROR(__xludf.DUMMYFUNCTION("""COMPUTED_VALUE"""),5.0)</f>
        <v>5</v>
      </c>
    </row>
    <row r="2102">
      <c r="A2102" s="33">
        <f>IFERROR(__xludf.DUMMYFUNCTION("""COMPUTED_VALUE"""),45871.494499988425)</f>
        <v>45871.4945</v>
      </c>
      <c r="B2102" s="29" t="str">
        <f>IFERROR(__xludf.DUMMYFUNCTION("""COMPUTED_VALUE"""),"Circumcised")</f>
        <v>Circumcised</v>
      </c>
      <c r="C2102" s="29" t="str">
        <f>IFERROR(__xludf.DUMMYFUNCTION("""COMPUTED_VALUE"""),"Variety of Sensation")</f>
        <v>Variety of Sensation</v>
      </c>
      <c r="D2102" s="29" t="str">
        <f>IFERROR(__xludf.DUMMYFUNCTION("""COMPUTED_VALUE"""),"2")</f>
        <v>2</v>
      </c>
      <c r="E2102" s="29">
        <f>IFERROR(__xludf.DUMMYFUNCTION("""COMPUTED_VALUE"""),2.0)</f>
        <v>2</v>
      </c>
    </row>
    <row r="2103">
      <c r="A2103" s="33">
        <f>IFERROR(__xludf.DUMMYFUNCTION("""COMPUTED_VALUE"""),45872.30185957176)</f>
        <v>45872.30186</v>
      </c>
      <c r="B2103" s="29" t="str">
        <f>IFERROR(__xludf.DUMMYFUNCTION("""COMPUTED_VALUE"""),"Intact (Never circumcised)")</f>
        <v>Intact (Never circumcised)</v>
      </c>
      <c r="C2103" s="29" t="str">
        <f>IFERROR(__xludf.DUMMYFUNCTION("""COMPUTED_VALUE"""),"Variety of Sensation")</f>
        <v>Variety of Sensation</v>
      </c>
      <c r="D2103" s="29" t="str">
        <f>IFERROR(__xludf.DUMMYFUNCTION("""COMPUTED_VALUE"""),"5 (High/Excellent)")</f>
        <v>5 (High/Excellent)</v>
      </c>
      <c r="E2103" s="29">
        <f>IFERROR(__xludf.DUMMYFUNCTION("""COMPUTED_VALUE"""),5.0)</f>
        <v>5</v>
      </c>
    </row>
    <row r="2104">
      <c r="A2104" s="33">
        <f>IFERROR(__xludf.DUMMYFUNCTION("""COMPUTED_VALUE"""),45872.47329465277)</f>
        <v>45872.47329</v>
      </c>
      <c r="B2104" s="29" t="str">
        <f>IFERROR(__xludf.DUMMYFUNCTION("""COMPUTED_VALUE"""),"Circumcised")</f>
        <v>Circumcised</v>
      </c>
      <c r="C2104" s="29" t="str">
        <f>IFERROR(__xludf.DUMMYFUNCTION("""COMPUTED_VALUE"""),"Variety of Sensation")</f>
        <v>Variety of Sensation</v>
      </c>
      <c r="D2104" s="29" t="str">
        <f>IFERROR(__xludf.DUMMYFUNCTION("""COMPUTED_VALUE"""),"2")</f>
        <v>2</v>
      </c>
      <c r="E2104" s="29">
        <f>IFERROR(__xludf.DUMMYFUNCTION("""COMPUTED_VALUE"""),2.0)</f>
        <v>2</v>
      </c>
    </row>
    <row r="2105">
      <c r="A2105" s="33">
        <f>IFERROR(__xludf.DUMMYFUNCTION("""COMPUTED_VALUE"""),45876.17624883102)</f>
        <v>45876.17625</v>
      </c>
      <c r="B2105" s="29" t="str">
        <f>IFERROR(__xludf.DUMMYFUNCTION("""COMPUTED_VALUE"""),"Intact (Never circumcised)")</f>
        <v>Intact (Never circumcised)</v>
      </c>
      <c r="C2105" s="29" t="str">
        <f>IFERROR(__xludf.DUMMYFUNCTION("""COMPUTED_VALUE"""),"Variety of Sensation")</f>
        <v>Variety of Sensation</v>
      </c>
      <c r="D2105" s="29" t="str">
        <f>IFERROR(__xludf.DUMMYFUNCTION("""COMPUTED_VALUE"""),"5 (High/Excellent)")</f>
        <v>5 (High/Excellent)</v>
      </c>
      <c r="E2105" s="29">
        <f>IFERROR(__xludf.DUMMYFUNCTION("""COMPUTED_VALUE"""),5.0)</f>
        <v>5</v>
      </c>
    </row>
    <row r="2106">
      <c r="A2106" s="33">
        <f>IFERROR(__xludf.DUMMYFUNCTION("""COMPUTED_VALUE"""),45876.63808144676)</f>
        <v>45876.63808</v>
      </c>
      <c r="B2106" s="29" t="str">
        <f>IFERROR(__xludf.DUMMYFUNCTION("""COMPUTED_VALUE"""),"Intact (Never circumcised)")</f>
        <v>Intact (Never circumcised)</v>
      </c>
      <c r="C2106" s="29" t="str">
        <f>IFERROR(__xludf.DUMMYFUNCTION("""COMPUTED_VALUE"""),"Variety of Sensation")</f>
        <v>Variety of Sensation</v>
      </c>
      <c r="D2106" s="29" t="str">
        <f>IFERROR(__xludf.DUMMYFUNCTION("""COMPUTED_VALUE"""),"5 (High/Excellent)")</f>
        <v>5 (High/Excellent)</v>
      </c>
      <c r="E2106" s="29">
        <f>IFERROR(__xludf.DUMMYFUNCTION("""COMPUTED_VALUE"""),5.0)</f>
        <v>5</v>
      </c>
    </row>
    <row r="2107">
      <c r="A2107" s="33">
        <f>IFERROR(__xludf.DUMMYFUNCTION("""COMPUTED_VALUE"""),45879.53425473379)</f>
        <v>45879.53425</v>
      </c>
      <c r="B2107" s="29" t="str">
        <f>IFERROR(__xludf.DUMMYFUNCTION("""COMPUTED_VALUE"""),"Actively restoring my foreskin / I consider myself restored")</f>
        <v>Actively restoring my foreskin / I consider myself restored</v>
      </c>
      <c r="C2107" s="29" t="str">
        <f>IFERROR(__xludf.DUMMYFUNCTION("""COMPUTED_VALUE"""),"Variety of Sensation")</f>
        <v>Variety of Sensation</v>
      </c>
      <c r="D2107" s="29" t="str">
        <f>IFERROR(__xludf.DUMMYFUNCTION("""COMPUTED_VALUE"""),"5 (High/Excellent)")</f>
        <v>5 (High/Excellent)</v>
      </c>
      <c r="E2107" s="29">
        <f>IFERROR(__xludf.DUMMYFUNCTION("""COMPUTED_VALUE"""),5.0)</f>
        <v>5</v>
      </c>
    </row>
    <row r="2108">
      <c r="A2108" s="33">
        <f>IFERROR(__xludf.DUMMYFUNCTION("""COMPUTED_VALUE"""),45879.723996388886)</f>
        <v>45879.724</v>
      </c>
      <c r="B2108" s="29" t="str">
        <f>IFERROR(__xludf.DUMMYFUNCTION("""COMPUTED_VALUE"""),"Circumcised")</f>
        <v>Circumcised</v>
      </c>
      <c r="C2108" s="29" t="str">
        <f>IFERROR(__xludf.DUMMYFUNCTION("""COMPUTED_VALUE"""),"Variety of Sensation")</f>
        <v>Variety of Sensation</v>
      </c>
      <c r="D2108" s="29" t="str">
        <f>IFERROR(__xludf.DUMMYFUNCTION("""COMPUTED_VALUE"""),"3 (Medium/Average)")</f>
        <v>3 (Medium/Average)</v>
      </c>
      <c r="E2108" s="29">
        <f>IFERROR(__xludf.DUMMYFUNCTION("""COMPUTED_VALUE"""),3.0)</f>
        <v>3</v>
      </c>
    </row>
    <row r="2109">
      <c r="A2109" s="33">
        <f>IFERROR(__xludf.DUMMYFUNCTION("""COMPUTED_VALUE"""),45880.35085082176)</f>
        <v>45880.35085</v>
      </c>
      <c r="B2109" s="29" t="str">
        <f>IFERROR(__xludf.DUMMYFUNCTION("""COMPUTED_VALUE"""),"Actively restoring my foreskin / I consider myself restored")</f>
        <v>Actively restoring my foreskin / I consider myself restored</v>
      </c>
      <c r="C2109" s="29" t="str">
        <f>IFERROR(__xludf.DUMMYFUNCTION("""COMPUTED_VALUE"""),"Variety of Sensation")</f>
        <v>Variety of Sensation</v>
      </c>
      <c r="D2109" s="29" t="str">
        <f>IFERROR(__xludf.DUMMYFUNCTION("""COMPUTED_VALUE"""),"2")</f>
        <v>2</v>
      </c>
      <c r="E2109" s="29">
        <f>IFERROR(__xludf.DUMMYFUNCTION("""COMPUTED_VALUE"""),2.0)</f>
        <v>2</v>
      </c>
    </row>
    <row r="2110">
      <c r="A2110" s="33">
        <f>IFERROR(__xludf.DUMMYFUNCTION("""COMPUTED_VALUE"""),45880.668832337964)</f>
        <v>45880.66883</v>
      </c>
      <c r="B2110" s="29" t="str">
        <f>IFERROR(__xludf.DUMMYFUNCTION("""COMPUTED_VALUE"""),"Circumcised")</f>
        <v>Circumcised</v>
      </c>
      <c r="C2110" s="29" t="str">
        <f>IFERROR(__xludf.DUMMYFUNCTION("""COMPUTED_VALUE"""),"Variety of Sensation")</f>
        <v>Variety of Sensation</v>
      </c>
      <c r="D2110" s="29" t="str">
        <f>IFERROR(__xludf.DUMMYFUNCTION("""COMPUTED_VALUE"""),"2")</f>
        <v>2</v>
      </c>
      <c r="E2110" s="29">
        <f>IFERROR(__xludf.DUMMYFUNCTION("""COMPUTED_VALUE"""),2.0)</f>
        <v>2</v>
      </c>
    </row>
    <row r="2111">
      <c r="A2111" s="33">
        <f>IFERROR(__xludf.DUMMYFUNCTION("""COMPUTED_VALUE"""),45880.90769810185)</f>
        <v>45880.9077</v>
      </c>
      <c r="B2111" s="29" t="str">
        <f>IFERROR(__xludf.DUMMYFUNCTION("""COMPUTED_VALUE"""),"Actively restoring my foreskin / I consider myself restored")</f>
        <v>Actively restoring my foreskin / I consider myself restored</v>
      </c>
      <c r="C2111" s="29" t="str">
        <f>IFERROR(__xludf.DUMMYFUNCTION("""COMPUTED_VALUE"""),"Variety of Sensation")</f>
        <v>Variety of Sensation</v>
      </c>
      <c r="D2111" s="29" t="str">
        <f>IFERROR(__xludf.DUMMYFUNCTION("""COMPUTED_VALUE"""),"5 (High/Excellent)")</f>
        <v>5 (High/Excellent)</v>
      </c>
      <c r="E2111" s="29">
        <f>IFERROR(__xludf.DUMMYFUNCTION("""COMPUTED_VALUE"""),5.0)</f>
        <v>5</v>
      </c>
    </row>
    <row r="2112">
      <c r="A2112" s="33">
        <f>IFERROR(__xludf.DUMMYFUNCTION("""COMPUTED_VALUE"""),45881.71131423611)</f>
        <v>45881.71131</v>
      </c>
      <c r="B2112" s="29" t="str">
        <f>IFERROR(__xludf.DUMMYFUNCTION("""COMPUTED_VALUE"""),"Circumcised")</f>
        <v>Circumcised</v>
      </c>
      <c r="C2112" s="29" t="str">
        <f>IFERROR(__xludf.DUMMYFUNCTION("""COMPUTED_VALUE"""),"Variety of Sensation")</f>
        <v>Variety of Sensation</v>
      </c>
      <c r="D2112" s="29" t="str">
        <f>IFERROR(__xludf.DUMMYFUNCTION("""COMPUTED_VALUE"""),"2")</f>
        <v>2</v>
      </c>
      <c r="E2112" s="29">
        <f>IFERROR(__xludf.DUMMYFUNCTION("""COMPUTED_VALUE"""),2.0)</f>
        <v>2</v>
      </c>
    </row>
    <row r="2113">
      <c r="A2113" s="33">
        <f>IFERROR(__xludf.DUMMYFUNCTION("""COMPUTED_VALUE"""),45881.76282621528)</f>
        <v>45881.76283</v>
      </c>
      <c r="B2113" s="29" t="str">
        <f>IFERROR(__xludf.DUMMYFUNCTION("""COMPUTED_VALUE"""),"Actively restoring my foreskin / I consider myself restored")</f>
        <v>Actively restoring my foreskin / I consider myself restored</v>
      </c>
      <c r="C2113" s="29" t="str">
        <f>IFERROR(__xludf.DUMMYFUNCTION("""COMPUTED_VALUE"""),"Variety of Sensation")</f>
        <v>Variety of Sensation</v>
      </c>
      <c r="D2113" s="29" t="str">
        <f>IFERROR(__xludf.DUMMYFUNCTION("""COMPUTED_VALUE"""),"4")</f>
        <v>4</v>
      </c>
      <c r="E2113" s="29">
        <f>IFERROR(__xludf.DUMMYFUNCTION("""COMPUTED_VALUE"""),4.0)</f>
        <v>4</v>
      </c>
    </row>
    <row r="2114">
      <c r="A2114" s="33">
        <f>IFERROR(__xludf.DUMMYFUNCTION("""COMPUTED_VALUE"""),45891.315471574075)</f>
        <v>45891.31547</v>
      </c>
      <c r="B2114" s="29" t="str">
        <f>IFERROR(__xludf.DUMMYFUNCTION("""COMPUTED_VALUE"""),"Circumcised")</f>
        <v>Circumcised</v>
      </c>
      <c r="C2114" s="29" t="str">
        <f>IFERROR(__xludf.DUMMYFUNCTION("""COMPUTED_VALUE"""),"Variety of Sensation")</f>
        <v>Variety of Sensation</v>
      </c>
      <c r="D2114" s="29" t="str">
        <f>IFERROR(__xludf.DUMMYFUNCTION("""COMPUTED_VALUE"""),"2")</f>
        <v>2</v>
      </c>
      <c r="E2114" s="29">
        <f>IFERROR(__xludf.DUMMYFUNCTION("""COMPUTED_VALUE"""),2.0)</f>
        <v>2</v>
      </c>
    </row>
    <row r="2115">
      <c r="A2115" s="33">
        <f>IFERROR(__xludf.DUMMYFUNCTION("""COMPUTED_VALUE"""),45896.146926319445)</f>
        <v>45896.14693</v>
      </c>
      <c r="B2115" s="29" t="str">
        <f>IFERROR(__xludf.DUMMYFUNCTION("""COMPUTED_VALUE"""),"Circumcised")</f>
        <v>Circumcised</v>
      </c>
      <c r="C2115" s="29" t="str">
        <f>IFERROR(__xludf.DUMMYFUNCTION("""COMPUTED_VALUE"""),"Variety of Sensation")</f>
        <v>Variety of Sensation</v>
      </c>
      <c r="D2115" s="29" t="str">
        <f>IFERROR(__xludf.DUMMYFUNCTION("""COMPUTED_VALUE"""),"3 (Medium/Average)")</f>
        <v>3 (Medium/Average)</v>
      </c>
      <c r="E2115" s="29">
        <f>IFERROR(__xludf.DUMMYFUNCTION("""COMPUTED_VALUE"""),3.0)</f>
        <v>3</v>
      </c>
    </row>
    <row r="2116">
      <c r="A2116" s="33">
        <f>IFERROR(__xludf.DUMMYFUNCTION("""COMPUTED_VALUE"""),45896.65199521991)</f>
        <v>45896.652</v>
      </c>
      <c r="B2116" s="29" t="str">
        <f>IFERROR(__xludf.DUMMYFUNCTION("""COMPUTED_VALUE"""),"Circumcised")</f>
        <v>Circumcised</v>
      </c>
      <c r="C2116" s="29" t="str">
        <f>IFERROR(__xludf.DUMMYFUNCTION("""COMPUTED_VALUE"""),"Variety of Sensation")</f>
        <v>Variety of Sensation</v>
      </c>
      <c r="D2116" s="29" t="str">
        <f>IFERROR(__xludf.DUMMYFUNCTION("""COMPUTED_VALUE"""),"1 (Low/Poor)")</f>
        <v>1 (Low/Poor)</v>
      </c>
      <c r="E2116" s="29">
        <f>IFERROR(__xludf.DUMMYFUNCTION("""COMPUTED_VALUE"""),1.0)</f>
        <v>1</v>
      </c>
    </row>
    <row r="2117">
      <c r="A2117" s="33">
        <f>IFERROR(__xludf.DUMMYFUNCTION("""COMPUTED_VALUE"""),45898.58556331019)</f>
        <v>45898.58556</v>
      </c>
      <c r="B2117" s="29" t="str">
        <f>IFERROR(__xludf.DUMMYFUNCTION("""COMPUTED_VALUE"""),"Intact (Never circumcised)")</f>
        <v>Intact (Never circumcised)</v>
      </c>
      <c r="C2117" s="29" t="str">
        <f>IFERROR(__xludf.DUMMYFUNCTION("""COMPUTED_VALUE"""),"Variety of Sensation")</f>
        <v>Variety of Sensation</v>
      </c>
      <c r="D2117" s="29" t="str">
        <f>IFERROR(__xludf.DUMMYFUNCTION("""COMPUTED_VALUE"""),"5 (High/Excellent)")</f>
        <v>5 (High/Excellent)</v>
      </c>
      <c r="E2117" s="29">
        <f>IFERROR(__xludf.DUMMYFUNCTION("""COMPUTED_VALUE"""),5.0)</f>
        <v>5</v>
      </c>
    </row>
    <row r="2118">
      <c r="A2118" s="33">
        <f>IFERROR(__xludf.DUMMYFUNCTION("""COMPUTED_VALUE"""),45899.51747539352)</f>
        <v>45899.51748</v>
      </c>
      <c r="B2118" s="29" t="str">
        <f>IFERROR(__xludf.DUMMYFUNCTION("""COMPUTED_VALUE"""),"Actively restoring my foreskin / I consider myself restored")</f>
        <v>Actively restoring my foreskin / I consider myself restored</v>
      </c>
      <c r="C2118" s="29" t="str">
        <f>IFERROR(__xludf.DUMMYFUNCTION("""COMPUTED_VALUE"""),"Variety of Sensation")</f>
        <v>Variety of Sensation</v>
      </c>
      <c r="D2118" s="29" t="str">
        <f>IFERROR(__xludf.DUMMYFUNCTION("""COMPUTED_VALUE"""),"5 (High/Excellent)")</f>
        <v>5 (High/Excellent)</v>
      </c>
      <c r="E2118" s="29">
        <f>IFERROR(__xludf.DUMMYFUNCTION("""COMPUTED_VALUE"""),5.0)</f>
        <v>5</v>
      </c>
    </row>
    <row r="2119">
      <c r="A2119" s="33">
        <f>IFERROR(__xludf.DUMMYFUNCTION("""COMPUTED_VALUE"""),45900.64462908564)</f>
        <v>45900.64463</v>
      </c>
      <c r="B2119" s="29" t="str">
        <f>IFERROR(__xludf.DUMMYFUNCTION("""COMPUTED_VALUE"""),"Circumcised")</f>
        <v>Circumcised</v>
      </c>
      <c r="C2119" s="29" t="str">
        <f>IFERROR(__xludf.DUMMYFUNCTION("""COMPUTED_VALUE"""),"Variety of Sensation")</f>
        <v>Variety of Sensation</v>
      </c>
      <c r="D2119" s="29" t="str">
        <f>IFERROR(__xludf.DUMMYFUNCTION("""COMPUTED_VALUE"""),"5 (High/Excellent)")</f>
        <v>5 (High/Excellent)</v>
      </c>
      <c r="E2119" s="29">
        <f>IFERROR(__xludf.DUMMYFUNCTION("""COMPUTED_VALUE"""),5.0)</f>
        <v>5</v>
      </c>
    </row>
    <row r="2120">
      <c r="A2120" s="33">
        <f>IFERROR(__xludf.DUMMYFUNCTION("""COMPUTED_VALUE"""),45902.88397509259)</f>
        <v>45902.88398</v>
      </c>
      <c r="B2120" s="29" t="str">
        <f>IFERROR(__xludf.DUMMYFUNCTION("""COMPUTED_VALUE"""),"Intact (Never circumcised)")</f>
        <v>Intact (Never circumcised)</v>
      </c>
      <c r="C2120" s="29" t="str">
        <f>IFERROR(__xludf.DUMMYFUNCTION("""COMPUTED_VALUE"""),"Variety of Sensation")</f>
        <v>Variety of Sensation</v>
      </c>
      <c r="D2120" s="29" t="str">
        <f>IFERROR(__xludf.DUMMYFUNCTION("""COMPUTED_VALUE"""),"5 (High/Excellent)")</f>
        <v>5 (High/Excellent)</v>
      </c>
      <c r="E2120" s="29">
        <f>IFERROR(__xludf.DUMMYFUNCTION("""COMPUTED_VALUE"""),5.0)</f>
        <v>5</v>
      </c>
    </row>
    <row r="2121">
      <c r="A2121" s="33">
        <f>IFERROR(__xludf.DUMMYFUNCTION("""COMPUTED_VALUE"""),45902.91345981481)</f>
        <v>45902.91346</v>
      </c>
      <c r="B2121" s="29" t="str">
        <f>IFERROR(__xludf.DUMMYFUNCTION("""COMPUTED_VALUE"""),"Circumcised")</f>
        <v>Circumcised</v>
      </c>
      <c r="C2121" s="29" t="str">
        <f>IFERROR(__xludf.DUMMYFUNCTION("""COMPUTED_VALUE"""),"Variety of Sensation")</f>
        <v>Variety of Sensation</v>
      </c>
      <c r="D2121" s="29" t="str">
        <f>IFERROR(__xludf.DUMMYFUNCTION("""COMPUTED_VALUE"""),"2")</f>
        <v>2</v>
      </c>
      <c r="E2121" s="29">
        <f>IFERROR(__xludf.DUMMYFUNCTION("""COMPUTED_VALUE"""),2.0)</f>
        <v>2</v>
      </c>
    </row>
    <row r="2122">
      <c r="A2122" s="33">
        <f>IFERROR(__xludf.DUMMYFUNCTION("""COMPUTED_VALUE"""),45902.93139501157)</f>
        <v>45902.9314</v>
      </c>
      <c r="B2122" s="29" t="str">
        <f>IFERROR(__xludf.DUMMYFUNCTION("""COMPUTED_VALUE"""),"Circumcised")</f>
        <v>Circumcised</v>
      </c>
      <c r="C2122" s="29" t="str">
        <f>IFERROR(__xludf.DUMMYFUNCTION("""COMPUTED_VALUE"""),"Variety of Sensation")</f>
        <v>Variety of Sensation</v>
      </c>
      <c r="D2122" s="29" t="str">
        <f>IFERROR(__xludf.DUMMYFUNCTION("""COMPUTED_VALUE"""),"4")</f>
        <v>4</v>
      </c>
      <c r="E2122" s="29">
        <f>IFERROR(__xludf.DUMMYFUNCTION("""COMPUTED_VALUE"""),4.0)</f>
        <v>4</v>
      </c>
    </row>
    <row r="2123">
      <c r="A2123" s="33">
        <f>IFERROR(__xludf.DUMMYFUNCTION("""COMPUTED_VALUE"""),45902.9375257639)</f>
        <v>45902.93753</v>
      </c>
      <c r="B2123" s="29" t="str">
        <f>IFERROR(__xludf.DUMMYFUNCTION("""COMPUTED_VALUE"""),"Intact (Never circumcised)")</f>
        <v>Intact (Never circumcised)</v>
      </c>
      <c r="C2123" s="29" t="str">
        <f>IFERROR(__xludf.DUMMYFUNCTION("""COMPUTED_VALUE"""),"Variety of Sensation")</f>
        <v>Variety of Sensation</v>
      </c>
      <c r="D2123" s="29" t="str">
        <f>IFERROR(__xludf.DUMMYFUNCTION("""COMPUTED_VALUE"""),"4")</f>
        <v>4</v>
      </c>
      <c r="E2123" s="29">
        <f>IFERROR(__xludf.DUMMYFUNCTION("""COMPUTED_VALUE"""),4.0)</f>
        <v>4</v>
      </c>
    </row>
    <row r="2124">
      <c r="A2124" s="33">
        <f>IFERROR(__xludf.DUMMYFUNCTION("""COMPUTED_VALUE"""),45903.44211505787)</f>
        <v>45903.44212</v>
      </c>
      <c r="B2124" s="29" t="str">
        <f>IFERROR(__xludf.DUMMYFUNCTION("""COMPUTED_VALUE"""),"Intact (Never circumcised)")</f>
        <v>Intact (Never circumcised)</v>
      </c>
      <c r="C2124" s="29" t="str">
        <f>IFERROR(__xludf.DUMMYFUNCTION("""COMPUTED_VALUE"""),"Variety of Sensation")</f>
        <v>Variety of Sensation</v>
      </c>
      <c r="D2124" s="29" t="str">
        <f>IFERROR(__xludf.DUMMYFUNCTION("""COMPUTED_VALUE"""),"4")</f>
        <v>4</v>
      </c>
      <c r="E2124" s="29">
        <f>IFERROR(__xludf.DUMMYFUNCTION("""COMPUTED_VALUE"""),4.0)</f>
        <v>4</v>
      </c>
    </row>
    <row r="2125">
      <c r="A2125" s="33">
        <f>IFERROR(__xludf.DUMMYFUNCTION("""COMPUTED_VALUE"""),45903.48758677083)</f>
        <v>45903.48759</v>
      </c>
      <c r="B2125" s="29" t="str">
        <f>IFERROR(__xludf.DUMMYFUNCTION("""COMPUTED_VALUE"""),"Circumcised")</f>
        <v>Circumcised</v>
      </c>
      <c r="C2125" s="29" t="str">
        <f>IFERROR(__xludf.DUMMYFUNCTION("""COMPUTED_VALUE"""),"Variety of Sensation")</f>
        <v>Variety of Sensation</v>
      </c>
      <c r="D2125" s="29" t="str">
        <f>IFERROR(__xludf.DUMMYFUNCTION("""COMPUTED_VALUE"""),"1 (Low/Poor)")</f>
        <v>1 (Low/Poor)</v>
      </c>
      <c r="E2125" s="29">
        <f>IFERROR(__xludf.DUMMYFUNCTION("""COMPUTED_VALUE"""),1.0)</f>
        <v>1</v>
      </c>
    </row>
    <row r="2126">
      <c r="A2126" s="33">
        <f>IFERROR(__xludf.DUMMYFUNCTION("""COMPUTED_VALUE"""),45903.51030376158)</f>
        <v>45903.5103</v>
      </c>
      <c r="B2126" s="29" t="str">
        <f>IFERROR(__xludf.DUMMYFUNCTION("""COMPUTED_VALUE"""),"Intact (Never circumcised)")</f>
        <v>Intact (Never circumcised)</v>
      </c>
      <c r="C2126" s="29" t="str">
        <f>IFERROR(__xludf.DUMMYFUNCTION("""COMPUTED_VALUE"""),"Variety of Sensation")</f>
        <v>Variety of Sensation</v>
      </c>
      <c r="D2126" s="29" t="str">
        <f>IFERROR(__xludf.DUMMYFUNCTION("""COMPUTED_VALUE"""),"3 (Medium/Average)")</f>
        <v>3 (Medium/Average)</v>
      </c>
      <c r="E2126" s="29">
        <f>IFERROR(__xludf.DUMMYFUNCTION("""COMPUTED_VALUE"""),3.0)</f>
        <v>3</v>
      </c>
    </row>
    <row r="2127">
      <c r="A2127" s="33">
        <f>IFERROR(__xludf.DUMMYFUNCTION("""COMPUTED_VALUE"""),45903.51222153935)</f>
        <v>45903.51222</v>
      </c>
      <c r="B2127" s="29" t="str">
        <f>IFERROR(__xludf.DUMMYFUNCTION("""COMPUTED_VALUE"""),"Circumcised")</f>
        <v>Circumcised</v>
      </c>
      <c r="C2127" s="29" t="str">
        <f>IFERROR(__xludf.DUMMYFUNCTION("""COMPUTED_VALUE"""),"Variety of Sensation")</f>
        <v>Variety of Sensation</v>
      </c>
      <c r="D2127" s="29" t="str">
        <f>IFERROR(__xludf.DUMMYFUNCTION("""COMPUTED_VALUE"""),"2")</f>
        <v>2</v>
      </c>
      <c r="E2127" s="29">
        <f>IFERROR(__xludf.DUMMYFUNCTION("""COMPUTED_VALUE"""),2.0)</f>
        <v>2</v>
      </c>
    </row>
    <row r="2128">
      <c r="A2128" s="33">
        <f>IFERROR(__xludf.DUMMYFUNCTION("""COMPUTED_VALUE"""),45903.55631206019)</f>
        <v>45903.55631</v>
      </c>
      <c r="B2128" s="29" t="str">
        <f>IFERROR(__xludf.DUMMYFUNCTION("""COMPUTED_VALUE"""),"Intact (Never circumcised)")</f>
        <v>Intact (Never circumcised)</v>
      </c>
      <c r="C2128" s="29" t="str">
        <f>IFERROR(__xludf.DUMMYFUNCTION("""COMPUTED_VALUE"""),"Variety of Sensation")</f>
        <v>Variety of Sensation</v>
      </c>
      <c r="D2128" s="29" t="str">
        <f>IFERROR(__xludf.DUMMYFUNCTION("""COMPUTED_VALUE"""),"4")</f>
        <v>4</v>
      </c>
      <c r="E2128" s="29">
        <f>IFERROR(__xludf.DUMMYFUNCTION("""COMPUTED_VALUE"""),4.0)</f>
        <v>4</v>
      </c>
    </row>
    <row r="2129">
      <c r="A2129" s="33">
        <f>IFERROR(__xludf.DUMMYFUNCTION("""COMPUTED_VALUE"""),45903.60210783565)</f>
        <v>45903.60211</v>
      </c>
      <c r="B2129" s="29" t="str">
        <f>IFERROR(__xludf.DUMMYFUNCTION("""COMPUTED_VALUE"""),"Intact (Never circumcised)")</f>
        <v>Intact (Never circumcised)</v>
      </c>
      <c r="C2129" s="29" t="str">
        <f>IFERROR(__xludf.DUMMYFUNCTION("""COMPUTED_VALUE"""),"Variety of Sensation")</f>
        <v>Variety of Sensation</v>
      </c>
      <c r="D2129" s="29" t="str">
        <f>IFERROR(__xludf.DUMMYFUNCTION("""COMPUTED_VALUE"""),"3 (Medium/Average)")</f>
        <v>3 (Medium/Average)</v>
      </c>
      <c r="E2129" s="29">
        <f>IFERROR(__xludf.DUMMYFUNCTION("""COMPUTED_VALUE"""),3.0)</f>
        <v>3</v>
      </c>
    </row>
    <row r="2130">
      <c r="A2130" s="33">
        <f>IFERROR(__xludf.DUMMYFUNCTION("""COMPUTED_VALUE"""),45903.61053475695)</f>
        <v>45903.61053</v>
      </c>
      <c r="B2130" s="29" t="str">
        <f>IFERROR(__xludf.DUMMYFUNCTION("""COMPUTED_VALUE"""),"Circumcised")</f>
        <v>Circumcised</v>
      </c>
      <c r="C2130" s="29" t="str">
        <f>IFERROR(__xludf.DUMMYFUNCTION("""COMPUTED_VALUE"""),"Variety of Sensation")</f>
        <v>Variety of Sensation</v>
      </c>
      <c r="D2130" s="29" t="str">
        <f>IFERROR(__xludf.DUMMYFUNCTION("""COMPUTED_VALUE"""),"3 (Medium/Average)")</f>
        <v>3 (Medium/Average)</v>
      </c>
      <c r="E2130" s="29">
        <f>IFERROR(__xludf.DUMMYFUNCTION("""COMPUTED_VALUE"""),3.0)</f>
        <v>3</v>
      </c>
    </row>
    <row r="2131">
      <c r="A2131" s="33">
        <f>IFERROR(__xludf.DUMMYFUNCTION("""COMPUTED_VALUE"""),45903.6418905324)</f>
        <v>45903.64189</v>
      </c>
      <c r="B2131" s="29" t="str">
        <f>IFERROR(__xludf.DUMMYFUNCTION("""COMPUTED_VALUE"""),"Circumcised")</f>
        <v>Circumcised</v>
      </c>
      <c r="C2131" s="29" t="str">
        <f>IFERROR(__xludf.DUMMYFUNCTION("""COMPUTED_VALUE"""),"Variety of Sensation")</f>
        <v>Variety of Sensation</v>
      </c>
      <c r="D2131" s="29" t="str">
        <f>IFERROR(__xludf.DUMMYFUNCTION("""COMPUTED_VALUE"""),"3 (Medium/Average)")</f>
        <v>3 (Medium/Average)</v>
      </c>
      <c r="E2131" s="29">
        <f>IFERROR(__xludf.DUMMYFUNCTION("""COMPUTED_VALUE"""),3.0)</f>
        <v>3</v>
      </c>
    </row>
    <row r="2132">
      <c r="A2132" s="33">
        <f>IFERROR(__xludf.DUMMYFUNCTION("""COMPUTED_VALUE"""),45903.651005266205)</f>
        <v>45903.65101</v>
      </c>
      <c r="B2132" s="29" t="str">
        <f>IFERROR(__xludf.DUMMYFUNCTION("""COMPUTED_VALUE"""),"Circumcised")</f>
        <v>Circumcised</v>
      </c>
      <c r="C2132" s="29" t="str">
        <f>IFERROR(__xludf.DUMMYFUNCTION("""COMPUTED_VALUE"""),"Variety of Sensation")</f>
        <v>Variety of Sensation</v>
      </c>
      <c r="D2132" s="29" t="str">
        <f>IFERROR(__xludf.DUMMYFUNCTION("""COMPUTED_VALUE"""),"3 (Medium/Average)")</f>
        <v>3 (Medium/Average)</v>
      </c>
      <c r="E2132" s="29">
        <f>IFERROR(__xludf.DUMMYFUNCTION("""COMPUTED_VALUE"""),3.0)</f>
        <v>3</v>
      </c>
    </row>
    <row r="2133">
      <c r="A2133" s="33">
        <f>IFERROR(__xludf.DUMMYFUNCTION("""COMPUTED_VALUE"""),45903.6764394213)</f>
        <v>45903.67644</v>
      </c>
      <c r="B2133" s="29" t="str">
        <f>IFERROR(__xludf.DUMMYFUNCTION("""COMPUTED_VALUE"""),"Circumcised")</f>
        <v>Circumcised</v>
      </c>
      <c r="C2133" s="29" t="str">
        <f>IFERROR(__xludf.DUMMYFUNCTION("""COMPUTED_VALUE"""),"Variety of Sensation")</f>
        <v>Variety of Sensation</v>
      </c>
      <c r="D2133" s="29" t="str">
        <f>IFERROR(__xludf.DUMMYFUNCTION("""COMPUTED_VALUE"""),"1 (Low/Poor)")</f>
        <v>1 (Low/Poor)</v>
      </c>
      <c r="E2133" s="29">
        <f>IFERROR(__xludf.DUMMYFUNCTION("""COMPUTED_VALUE"""),1.0)</f>
        <v>1</v>
      </c>
    </row>
    <row r="2134">
      <c r="A2134" s="33">
        <f>IFERROR(__xludf.DUMMYFUNCTION("""COMPUTED_VALUE"""),45903.70256416666)</f>
        <v>45903.70256</v>
      </c>
      <c r="B2134" s="29" t="str">
        <f>IFERROR(__xludf.DUMMYFUNCTION("""COMPUTED_VALUE"""),"Actively restoring my foreskin / I consider myself restored")</f>
        <v>Actively restoring my foreskin / I consider myself restored</v>
      </c>
      <c r="C2134" s="29" t="str">
        <f>IFERROR(__xludf.DUMMYFUNCTION("""COMPUTED_VALUE"""),"Variety of Sensation")</f>
        <v>Variety of Sensation</v>
      </c>
      <c r="D2134" s="29" t="str">
        <f>IFERROR(__xludf.DUMMYFUNCTION("""COMPUTED_VALUE"""),"4")</f>
        <v>4</v>
      </c>
      <c r="E2134" s="29">
        <f>IFERROR(__xludf.DUMMYFUNCTION("""COMPUTED_VALUE"""),4.0)</f>
        <v>4</v>
      </c>
    </row>
    <row r="2135">
      <c r="A2135" s="33">
        <f>IFERROR(__xludf.DUMMYFUNCTION("""COMPUTED_VALUE"""),45904.68773384259)</f>
        <v>45904.68773</v>
      </c>
      <c r="B2135" s="29" t="str">
        <f>IFERROR(__xludf.DUMMYFUNCTION("""COMPUTED_VALUE"""),"Circumcised")</f>
        <v>Circumcised</v>
      </c>
      <c r="C2135" s="29" t="str">
        <f>IFERROR(__xludf.DUMMYFUNCTION("""COMPUTED_VALUE"""),"Variety of Sensation")</f>
        <v>Variety of Sensation</v>
      </c>
      <c r="D2135" s="29" t="str">
        <f>IFERROR(__xludf.DUMMYFUNCTION("""COMPUTED_VALUE"""),"3 (Medium/Average)")</f>
        <v>3 (Medium/Average)</v>
      </c>
      <c r="E2135" s="29">
        <f>IFERROR(__xludf.DUMMYFUNCTION("""COMPUTED_VALUE"""),3.0)</f>
        <v>3</v>
      </c>
    </row>
    <row r="2136">
      <c r="A2136" s="33">
        <f>IFERROR(__xludf.DUMMYFUNCTION("""COMPUTED_VALUE"""),45908.39691986111)</f>
        <v>45908.39692</v>
      </c>
      <c r="B2136" s="29" t="str">
        <f>IFERROR(__xludf.DUMMYFUNCTION("""COMPUTED_VALUE"""),"Actively restoring my foreskin / I consider myself restored")</f>
        <v>Actively restoring my foreskin / I consider myself restored</v>
      </c>
      <c r="C2136" s="29" t="str">
        <f>IFERROR(__xludf.DUMMYFUNCTION("""COMPUTED_VALUE"""),"Variety of Sensation")</f>
        <v>Variety of Sensation</v>
      </c>
      <c r="D2136" s="29" t="str">
        <f>IFERROR(__xludf.DUMMYFUNCTION("""COMPUTED_VALUE"""),"4")</f>
        <v>4</v>
      </c>
      <c r="E2136" s="29">
        <f>IFERROR(__xludf.DUMMYFUNCTION("""COMPUTED_VALUE"""),4.0)</f>
        <v>4</v>
      </c>
    </row>
    <row r="2137">
      <c r="A2137" s="33">
        <f>IFERROR(__xludf.DUMMYFUNCTION("""COMPUTED_VALUE"""),45908.43864734953)</f>
        <v>45908.43865</v>
      </c>
      <c r="B2137" s="29" t="str">
        <f>IFERROR(__xludf.DUMMYFUNCTION("""COMPUTED_VALUE"""),"Intact (Never circumcised)")</f>
        <v>Intact (Never circumcised)</v>
      </c>
      <c r="C2137" s="29" t="str">
        <f>IFERROR(__xludf.DUMMYFUNCTION("""COMPUTED_VALUE"""),"Variety of Sensation")</f>
        <v>Variety of Sensation</v>
      </c>
      <c r="D2137" s="29" t="str">
        <f>IFERROR(__xludf.DUMMYFUNCTION("""COMPUTED_VALUE"""),"4")</f>
        <v>4</v>
      </c>
      <c r="E2137" s="29">
        <f>IFERROR(__xludf.DUMMYFUNCTION("""COMPUTED_VALUE"""),4.0)</f>
        <v>4</v>
      </c>
    </row>
    <row r="2138">
      <c r="A2138" s="33">
        <f>IFERROR(__xludf.DUMMYFUNCTION("""COMPUTED_VALUE"""),45909.61754627315)</f>
        <v>45909.61755</v>
      </c>
      <c r="B2138" s="29" t="str">
        <f>IFERROR(__xludf.DUMMYFUNCTION("""COMPUTED_VALUE"""),"Intact (Never circumcised)")</f>
        <v>Intact (Never circumcised)</v>
      </c>
      <c r="C2138" s="29" t="str">
        <f>IFERROR(__xludf.DUMMYFUNCTION("""COMPUTED_VALUE"""),"Variety of Sensation")</f>
        <v>Variety of Sensation</v>
      </c>
      <c r="D2138" s="29" t="str">
        <f>IFERROR(__xludf.DUMMYFUNCTION("""COMPUTED_VALUE"""),"3 (Medium/Average)")</f>
        <v>3 (Medium/Average)</v>
      </c>
      <c r="E2138" s="29">
        <f>IFERROR(__xludf.DUMMYFUNCTION("""COMPUTED_VALUE"""),3.0)</f>
        <v>3</v>
      </c>
    </row>
    <row r="2139">
      <c r="A2139" s="33">
        <f>IFERROR(__xludf.DUMMYFUNCTION("""COMPUTED_VALUE"""),45909.787554953706)</f>
        <v>45909.78755</v>
      </c>
      <c r="B2139" s="29" t="str">
        <f>IFERROR(__xludf.DUMMYFUNCTION("""COMPUTED_VALUE"""),"Actively restoring my foreskin / I consider myself restored")</f>
        <v>Actively restoring my foreskin / I consider myself restored</v>
      </c>
      <c r="C2139" s="29" t="str">
        <f>IFERROR(__xludf.DUMMYFUNCTION("""COMPUTED_VALUE"""),"Variety of Sensation")</f>
        <v>Variety of Sensation</v>
      </c>
      <c r="D2139" s="29" t="str">
        <f>IFERROR(__xludf.DUMMYFUNCTION("""COMPUTED_VALUE"""),"1 (Low/Poor)")</f>
        <v>1 (Low/Poor)</v>
      </c>
      <c r="E2139" s="29">
        <f>IFERROR(__xludf.DUMMYFUNCTION("""COMPUTED_VALUE"""),1.0)</f>
        <v>1</v>
      </c>
    </row>
    <row r="2140">
      <c r="A2140" s="33">
        <f>IFERROR(__xludf.DUMMYFUNCTION("""COMPUTED_VALUE"""),45915.3204787963)</f>
        <v>45915.32048</v>
      </c>
      <c r="B2140" s="29" t="str">
        <f>IFERROR(__xludf.DUMMYFUNCTION("""COMPUTED_VALUE"""),"Actively restoring my foreskin / I consider myself restored")</f>
        <v>Actively restoring my foreskin / I consider myself restored</v>
      </c>
      <c r="C2140" s="29" t="str">
        <f>IFERROR(__xludf.DUMMYFUNCTION("""COMPUTED_VALUE"""),"Variety of Sensation")</f>
        <v>Variety of Sensation</v>
      </c>
      <c r="D2140" s="29" t="str">
        <f>IFERROR(__xludf.DUMMYFUNCTION("""COMPUTED_VALUE"""),"1 (Low/Poor)")</f>
        <v>1 (Low/Poor)</v>
      </c>
      <c r="E2140" s="29">
        <f>IFERROR(__xludf.DUMMYFUNCTION("""COMPUTED_VALUE"""),1.0)</f>
        <v>1</v>
      </c>
    </row>
    <row r="2141">
      <c r="A2141" s="33">
        <f>IFERROR(__xludf.DUMMYFUNCTION("""COMPUTED_VALUE"""),45917.67038480324)</f>
        <v>45917.67038</v>
      </c>
      <c r="B2141" s="29" t="str">
        <f>IFERROR(__xludf.DUMMYFUNCTION("""COMPUTED_VALUE"""),"Actively restoring my foreskin / I consider myself restored")</f>
        <v>Actively restoring my foreskin / I consider myself restored</v>
      </c>
      <c r="C2141" s="29" t="str">
        <f>IFERROR(__xludf.DUMMYFUNCTION("""COMPUTED_VALUE"""),"Variety of Sensation")</f>
        <v>Variety of Sensation</v>
      </c>
      <c r="D2141" s="29" t="str">
        <f>IFERROR(__xludf.DUMMYFUNCTION("""COMPUTED_VALUE"""),"1 (Low/Poor)")</f>
        <v>1 (Low/Poor)</v>
      </c>
      <c r="E2141" s="29">
        <f>IFERROR(__xludf.DUMMYFUNCTION("""COMPUTED_VALUE"""),1.0)</f>
        <v>1</v>
      </c>
    </row>
    <row r="2142">
      <c r="A2142" s="33">
        <f>IFERROR(__xludf.DUMMYFUNCTION("""COMPUTED_VALUE"""),45917.73239077546)</f>
        <v>45917.73239</v>
      </c>
      <c r="B2142" s="29" t="str">
        <f>IFERROR(__xludf.DUMMYFUNCTION("""COMPUTED_VALUE"""),"Circumcised")</f>
        <v>Circumcised</v>
      </c>
      <c r="C2142" s="29" t="str">
        <f>IFERROR(__xludf.DUMMYFUNCTION("""COMPUTED_VALUE"""),"Variety of Sensation")</f>
        <v>Variety of Sensation</v>
      </c>
      <c r="D2142" s="29" t="str">
        <f>IFERROR(__xludf.DUMMYFUNCTION("""COMPUTED_VALUE"""),"3 (Medium/Average)")</f>
        <v>3 (Medium/Average)</v>
      </c>
      <c r="E2142" s="29">
        <f>IFERROR(__xludf.DUMMYFUNCTION("""COMPUTED_VALUE"""),3.0)</f>
        <v>3</v>
      </c>
    </row>
    <row r="2143">
      <c r="A2143" s="33">
        <f>IFERROR(__xludf.DUMMYFUNCTION("""COMPUTED_VALUE"""),45918.237352870376)</f>
        <v>45918.23735</v>
      </c>
      <c r="B2143" s="29" t="str">
        <f>IFERROR(__xludf.DUMMYFUNCTION("""COMPUTED_VALUE"""),"Circumcised")</f>
        <v>Circumcised</v>
      </c>
      <c r="C2143" s="29" t="str">
        <f>IFERROR(__xludf.DUMMYFUNCTION("""COMPUTED_VALUE"""),"Variety of Sensation")</f>
        <v>Variety of Sensation</v>
      </c>
      <c r="D2143" s="29" t="str">
        <f>IFERROR(__xludf.DUMMYFUNCTION("""COMPUTED_VALUE"""),"5 (High/Excellent)")</f>
        <v>5 (High/Excellent)</v>
      </c>
      <c r="E2143" s="29">
        <f>IFERROR(__xludf.DUMMYFUNCTION("""COMPUTED_VALUE"""),5.0)</f>
        <v>5</v>
      </c>
    </row>
    <row r="2144">
      <c r="A2144" s="33">
        <f>IFERROR(__xludf.DUMMYFUNCTION("""COMPUTED_VALUE"""),45920.67861195602)</f>
        <v>45920.67861</v>
      </c>
      <c r="B2144" s="29" t="str">
        <f>IFERROR(__xludf.DUMMYFUNCTION("""COMPUTED_VALUE"""),"Intact (Never circumcised)")</f>
        <v>Intact (Never circumcised)</v>
      </c>
      <c r="C2144" s="29" t="str">
        <f>IFERROR(__xludf.DUMMYFUNCTION("""COMPUTED_VALUE"""),"Variety of Sensation")</f>
        <v>Variety of Sensation</v>
      </c>
      <c r="D2144" s="29" t="str">
        <f>IFERROR(__xludf.DUMMYFUNCTION("""COMPUTED_VALUE"""),"3 (Medium/Average)")</f>
        <v>3 (Medium/Average)</v>
      </c>
      <c r="E2144" s="29">
        <f>IFERROR(__xludf.DUMMYFUNCTION("""COMPUTED_VALUE"""),3.0)</f>
        <v>3</v>
      </c>
    </row>
    <row r="2145">
      <c r="A2145" s="33">
        <f>IFERROR(__xludf.DUMMYFUNCTION("""COMPUTED_VALUE"""),45921.55637546296)</f>
        <v>45921.55638</v>
      </c>
      <c r="B2145" s="29" t="str">
        <f>IFERROR(__xludf.DUMMYFUNCTION("""COMPUTED_VALUE"""),"Circumcised")</f>
        <v>Circumcised</v>
      </c>
      <c r="C2145" s="29" t="str">
        <f>IFERROR(__xludf.DUMMYFUNCTION("""COMPUTED_VALUE"""),"Variety of Sensation")</f>
        <v>Variety of Sensation</v>
      </c>
      <c r="D2145" s="29" t="str">
        <f>IFERROR(__xludf.DUMMYFUNCTION("""COMPUTED_VALUE"""),"3 (Medium/Average)")</f>
        <v>3 (Medium/Average)</v>
      </c>
      <c r="E2145" s="29">
        <f>IFERROR(__xludf.DUMMYFUNCTION("""COMPUTED_VALUE"""),3.0)</f>
        <v>3</v>
      </c>
    </row>
    <row r="2146">
      <c r="A2146" s="33">
        <f>IFERROR(__xludf.DUMMYFUNCTION("""COMPUTED_VALUE"""),45921.55864135417)</f>
        <v>45921.55864</v>
      </c>
      <c r="B2146" s="29" t="str">
        <f>IFERROR(__xludf.DUMMYFUNCTION("""COMPUTED_VALUE"""),"Intact (Never circumcised)")</f>
        <v>Intact (Never circumcised)</v>
      </c>
      <c r="C2146" s="29" t="str">
        <f>IFERROR(__xludf.DUMMYFUNCTION("""COMPUTED_VALUE"""),"Variety of Sensation")</f>
        <v>Variety of Sensation</v>
      </c>
      <c r="D2146" s="29" t="str">
        <f>IFERROR(__xludf.DUMMYFUNCTION("""COMPUTED_VALUE"""),"4")</f>
        <v>4</v>
      </c>
      <c r="E2146" s="29">
        <f>IFERROR(__xludf.DUMMYFUNCTION("""COMPUTED_VALUE"""),4.0)</f>
        <v>4</v>
      </c>
    </row>
    <row r="2147">
      <c r="A2147" s="33">
        <f>IFERROR(__xludf.DUMMYFUNCTION("""COMPUTED_VALUE"""),45921.571817627315)</f>
        <v>45921.57182</v>
      </c>
      <c r="B2147" s="29" t="str">
        <f>IFERROR(__xludf.DUMMYFUNCTION("""COMPUTED_VALUE"""),"Actively restoring my foreskin / I consider myself restored")</f>
        <v>Actively restoring my foreskin / I consider myself restored</v>
      </c>
      <c r="C2147" s="29" t="str">
        <f>IFERROR(__xludf.DUMMYFUNCTION("""COMPUTED_VALUE"""),"Variety of Sensation")</f>
        <v>Variety of Sensation</v>
      </c>
      <c r="D2147" s="29" t="str">
        <f>IFERROR(__xludf.DUMMYFUNCTION("""COMPUTED_VALUE"""),"3 (Medium/Average)")</f>
        <v>3 (Medium/Average)</v>
      </c>
      <c r="E2147" s="29">
        <f>IFERROR(__xludf.DUMMYFUNCTION("""COMPUTED_VALUE"""),3.0)</f>
        <v>3</v>
      </c>
    </row>
    <row r="2148">
      <c r="A2148" s="33">
        <f>IFERROR(__xludf.DUMMYFUNCTION("""COMPUTED_VALUE"""),45922.126089375)</f>
        <v>45922.12609</v>
      </c>
      <c r="B2148" s="29" t="str">
        <f>IFERROR(__xludf.DUMMYFUNCTION("""COMPUTED_VALUE"""),"Circumcised")</f>
        <v>Circumcised</v>
      </c>
      <c r="C2148" s="29" t="str">
        <f>IFERROR(__xludf.DUMMYFUNCTION("""COMPUTED_VALUE"""),"Variety of Sensation")</f>
        <v>Variety of Sensation</v>
      </c>
      <c r="D2148" s="29" t="str">
        <f>IFERROR(__xludf.DUMMYFUNCTION("""COMPUTED_VALUE"""),"5 (High/Excellent)")</f>
        <v>5 (High/Excellent)</v>
      </c>
      <c r="E2148" s="29">
        <f>IFERROR(__xludf.DUMMYFUNCTION("""COMPUTED_VALUE"""),5.0)</f>
        <v>5</v>
      </c>
    </row>
    <row r="2149">
      <c r="A2149" s="33">
        <f>IFERROR(__xludf.DUMMYFUNCTION("""COMPUTED_VALUE"""),45922.53526744213)</f>
        <v>45922.53527</v>
      </c>
      <c r="B2149" s="29" t="str">
        <f>IFERROR(__xludf.DUMMYFUNCTION("""COMPUTED_VALUE"""),"Circumcised")</f>
        <v>Circumcised</v>
      </c>
      <c r="C2149" s="29" t="str">
        <f>IFERROR(__xludf.DUMMYFUNCTION("""COMPUTED_VALUE"""),"Variety of Sensation")</f>
        <v>Variety of Sensation</v>
      </c>
      <c r="D2149" s="29" t="str">
        <f>IFERROR(__xludf.DUMMYFUNCTION("""COMPUTED_VALUE"""),"2")</f>
        <v>2</v>
      </c>
      <c r="E2149" s="29">
        <f>IFERROR(__xludf.DUMMYFUNCTION("""COMPUTED_VALUE"""),2.0)</f>
        <v>2</v>
      </c>
    </row>
    <row r="2150">
      <c r="A2150" s="33">
        <f>IFERROR(__xludf.DUMMYFUNCTION("""COMPUTED_VALUE"""),45922.540856585656)</f>
        <v>45922.54086</v>
      </c>
      <c r="B2150" s="29" t="str">
        <f>IFERROR(__xludf.DUMMYFUNCTION("""COMPUTED_VALUE"""),"Actively restoring my foreskin / I consider myself restored")</f>
        <v>Actively restoring my foreskin / I consider myself restored</v>
      </c>
      <c r="C2150" s="29" t="str">
        <f>IFERROR(__xludf.DUMMYFUNCTION("""COMPUTED_VALUE"""),"Variety of Sensation")</f>
        <v>Variety of Sensation</v>
      </c>
      <c r="D2150" s="29" t="str">
        <f>IFERROR(__xludf.DUMMYFUNCTION("""COMPUTED_VALUE"""),"1 (Low/Poor)")</f>
        <v>1 (Low/Poor)</v>
      </c>
      <c r="E2150" s="29">
        <f>IFERROR(__xludf.DUMMYFUNCTION("""COMPUTED_VALUE"""),1.0)</f>
        <v>1</v>
      </c>
    </row>
    <row r="2151">
      <c r="A2151" s="33">
        <f>IFERROR(__xludf.DUMMYFUNCTION("""COMPUTED_VALUE"""),45922.60076869212)</f>
        <v>45922.60077</v>
      </c>
      <c r="B2151" s="29" t="str">
        <f>IFERROR(__xludf.DUMMYFUNCTION("""COMPUTED_VALUE"""),"Intact (Never circumcised)")</f>
        <v>Intact (Never circumcised)</v>
      </c>
      <c r="C2151" s="29" t="str">
        <f>IFERROR(__xludf.DUMMYFUNCTION("""COMPUTED_VALUE"""),"Variety of Sensation")</f>
        <v>Variety of Sensation</v>
      </c>
      <c r="D2151" s="29" t="str">
        <f>IFERROR(__xludf.DUMMYFUNCTION("""COMPUTED_VALUE"""),"5 (High/Excellent)")</f>
        <v>5 (High/Excellent)</v>
      </c>
      <c r="E2151" s="29">
        <f>IFERROR(__xludf.DUMMYFUNCTION("""COMPUTED_VALUE"""),5.0)</f>
        <v>5</v>
      </c>
    </row>
    <row r="2152">
      <c r="A2152" s="33">
        <f>IFERROR(__xludf.DUMMYFUNCTION("""COMPUTED_VALUE"""),45922.61636423611)</f>
        <v>45922.61636</v>
      </c>
      <c r="B2152" s="29" t="str">
        <f>IFERROR(__xludf.DUMMYFUNCTION("""COMPUTED_VALUE"""),"Circumcised")</f>
        <v>Circumcised</v>
      </c>
      <c r="C2152" s="29" t="str">
        <f>IFERROR(__xludf.DUMMYFUNCTION("""COMPUTED_VALUE"""),"Variety of Sensation")</f>
        <v>Variety of Sensation</v>
      </c>
      <c r="D2152" s="29" t="str">
        <f>IFERROR(__xludf.DUMMYFUNCTION("""COMPUTED_VALUE"""),"5 (High/Excellent)")</f>
        <v>5 (High/Excellent)</v>
      </c>
      <c r="E2152" s="29">
        <f>IFERROR(__xludf.DUMMYFUNCTION("""COMPUTED_VALUE"""),5.0)</f>
        <v>5</v>
      </c>
    </row>
    <row r="2153">
      <c r="A2153" s="33">
        <f>IFERROR(__xludf.DUMMYFUNCTION("""COMPUTED_VALUE"""),45923.83860096065)</f>
        <v>45923.8386</v>
      </c>
      <c r="B2153" s="29" t="str">
        <f>IFERROR(__xludf.DUMMYFUNCTION("""COMPUTED_VALUE"""),"Intact (Never circumcised)")</f>
        <v>Intact (Never circumcised)</v>
      </c>
      <c r="C2153" s="29" t="str">
        <f>IFERROR(__xludf.DUMMYFUNCTION("""COMPUTED_VALUE"""),"Variety of Sensation")</f>
        <v>Variety of Sensation</v>
      </c>
      <c r="D2153" s="29" t="str">
        <f>IFERROR(__xludf.DUMMYFUNCTION("""COMPUTED_VALUE"""),"5 (High/Excellent)")</f>
        <v>5 (High/Excellent)</v>
      </c>
      <c r="E2153" s="29">
        <f>IFERROR(__xludf.DUMMYFUNCTION("""COMPUTED_VALUE"""),5.0)</f>
        <v>5</v>
      </c>
    </row>
    <row r="2154">
      <c r="A2154" s="33">
        <f>IFERROR(__xludf.DUMMYFUNCTION("""COMPUTED_VALUE"""),45924.36109353009)</f>
        <v>45924.36109</v>
      </c>
      <c r="B2154" s="29" t="str">
        <f>IFERROR(__xludf.DUMMYFUNCTION("""COMPUTED_VALUE"""),"Circumcised")</f>
        <v>Circumcised</v>
      </c>
      <c r="C2154" s="29" t="str">
        <f>IFERROR(__xludf.DUMMYFUNCTION("""COMPUTED_VALUE"""),"Variety of Sensation")</f>
        <v>Variety of Sensation</v>
      </c>
      <c r="D2154" s="29" t="str">
        <f>IFERROR(__xludf.DUMMYFUNCTION("""COMPUTED_VALUE"""),"2")</f>
        <v>2</v>
      </c>
      <c r="E2154" s="29">
        <f>IFERROR(__xludf.DUMMYFUNCTION("""COMPUTED_VALUE"""),2.0)</f>
        <v>2</v>
      </c>
    </row>
    <row r="2155">
      <c r="A2155" s="33">
        <f>IFERROR(__xludf.DUMMYFUNCTION("""COMPUTED_VALUE"""),45924.62656627315)</f>
        <v>45924.62657</v>
      </c>
      <c r="B2155" s="29" t="str">
        <f>IFERROR(__xludf.DUMMYFUNCTION("""COMPUTED_VALUE"""),"Actively restoring my foreskin / I consider myself restored")</f>
        <v>Actively restoring my foreskin / I consider myself restored</v>
      </c>
      <c r="C2155" s="29" t="str">
        <f>IFERROR(__xludf.DUMMYFUNCTION("""COMPUTED_VALUE"""),"Variety of Sensation")</f>
        <v>Variety of Sensation</v>
      </c>
      <c r="D2155" s="29" t="str">
        <f>IFERROR(__xludf.DUMMYFUNCTION("""COMPUTED_VALUE"""),"3 (Medium/Average)")</f>
        <v>3 (Medium/Average)</v>
      </c>
      <c r="E2155" s="29">
        <f>IFERROR(__xludf.DUMMYFUNCTION("""COMPUTED_VALUE"""),3.0)</f>
        <v>3</v>
      </c>
    </row>
    <row r="2156">
      <c r="A2156" s="33">
        <f>IFERROR(__xludf.DUMMYFUNCTION("""COMPUTED_VALUE"""),45926.096344583326)</f>
        <v>45926.09634</v>
      </c>
      <c r="B2156" s="29" t="str">
        <f>IFERROR(__xludf.DUMMYFUNCTION("""COMPUTED_VALUE"""),"Circumcised")</f>
        <v>Circumcised</v>
      </c>
      <c r="C2156" s="29" t="str">
        <f>IFERROR(__xludf.DUMMYFUNCTION("""COMPUTED_VALUE"""),"Variety of Sensation")</f>
        <v>Variety of Sensation</v>
      </c>
      <c r="D2156" s="29" t="str">
        <f>IFERROR(__xludf.DUMMYFUNCTION("""COMPUTED_VALUE"""),"1 (Low/Poor)")</f>
        <v>1 (Low/Poor)</v>
      </c>
      <c r="E2156" s="29">
        <f>IFERROR(__xludf.DUMMYFUNCTION("""COMPUTED_VALUE"""),1.0)</f>
        <v>1</v>
      </c>
    </row>
    <row r="2157">
      <c r="A2157" s="33">
        <f>IFERROR(__xludf.DUMMYFUNCTION("""COMPUTED_VALUE"""),45926.12340616898)</f>
        <v>45926.12341</v>
      </c>
      <c r="B2157" s="29" t="str">
        <f>IFERROR(__xludf.DUMMYFUNCTION("""COMPUTED_VALUE"""),"Circumcised")</f>
        <v>Circumcised</v>
      </c>
      <c r="C2157" s="29" t="str">
        <f>IFERROR(__xludf.DUMMYFUNCTION("""COMPUTED_VALUE"""),"Variety of Sensation")</f>
        <v>Variety of Sensation</v>
      </c>
      <c r="D2157" s="29" t="str">
        <f>IFERROR(__xludf.DUMMYFUNCTION("""COMPUTED_VALUE"""),"4")</f>
        <v>4</v>
      </c>
      <c r="E2157" s="29">
        <f>IFERROR(__xludf.DUMMYFUNCTION("""COMPUTED_VALUE"""),4.0)</f>
        <v>4</v>
      </c>
    </row>
    <row r="2158">
      <c r="A2158" s="33">
        <f>IFERROR(__xludf.DUMMYFUNCTION("""COMPUTED_VALUE"""),45927.602613229166)</f>
        <v>45927.60261</v>
      </c>
      <c r="B2158" s="29" t="str">
        <f>IFERROR(__xludf.DUMMYFUNCTION("""COMPUTED_VALUE"""),"Circumcised")</f>
        <v>Circumcised</v>
      </c>
      <c r="C2158" s="29" t="str">
        <f>IFERROR(__xludf.DUMMYFUNCTION("""COMPUTED_VALUE"""),"Variety of Sensation")</f>
        <v>Variety of Sensation</v>
      </c>
      <c r="D2158" s="29" t="str">
        <f>IFERROR(__xludf.DUMMYFUNCTION("""COMPUTED_VALUE"""),"3 (Medium/Average)")</f>
        <v>3 (Medium/Average)</v>
      </c>
      <c r="E2158" s="29">
        <f>IFERROR(__xludf.DUMMYFUNCTION("""COMPUTED_VALUE"""),3.0)</f>
        <v>3</v>
      </c>
    </row>
    <row r="2159">
      <c r="A2159" s="33">
        <f>IFERROR(__xludf.DUMMYFUNCTION("""COMPUTED_VALUE"""),45929.419320416666)</f>
        <v>45929.41932</v>
      </c>
      <c r="B2159" s="29" t="str">
        <f>IFERROR(__xludf.DUMMYFUNCTION("""COMPUTED_VALUE"""),"Circumcised")</f>
        <v>Circumcised</v>
      </c>
      <c r="C2159" s="29" t="str">
        <f>IFERROR(__xludf.DUMMYFUNCTION("""COMPUTED_VALUE"""),"Variety of Sensation")</f>
        <v>Variety of Sensation</v>
      </c>
      <c r="D2159" s="29" t="str">
        <f>IFERROR(__xludf.DUMMYFUNCTION("""COMPUTED_VALUE"""),"1 (Low/Poor)")</f>
        <v>1 (Low/Poor)</v>
      </c>
      <c r="E2159" s="29">
        <f>IFERROR(__xludf.DUMMYFUNCTION("""COMPUTED_VALUE"""),1.0)</f>
        <v>1</v>
      </c>
    </row>
    <row r="2160">
      <c r="A2160" s="33">
        <f>IFERROR(__xludf.DUMMYFUNCTION("""COMPUTED_VALUE"""),45929.53502336806)</f>
        <v>45929.53502</v>
      </c>
      <c r="B2160" s="29" t="str">
        <f>IFERROR(__xludf.DUMMYFUNCTION("""COMPUTED_VALUE"""),"Intact (Never circumcised)")</f>
        <v>Intact (Never circumcised)</v>
      </c>
      <c r="C2160" s="29" t="str">
        <f>IFERROR(__xludf.DUMMYFUNCTION("""COMPUTED_VALUE"""),"Variety of Sensation")</f>
        <v>Variety of Sensation</v>
      </c>
      <c r="D2160" s="29" t="str">
        <f>IFERROR(__xludf.DUMMYFUNCTION("""COMPUTED_VALUE"""),"5 (High/Excellent)")</f>
        <v>5 (High/Excellent)</v>
      </c>
      <c r="E2160" s="29">
        <f>IFERROR(__xludf.DUMMYFUNCTION("""COMPUTED_VALUE"""),5.0)</f>
        <v>5</v>
      </c>
    </row>
    <row r="2161">
      <c r="A2161" s="33">
        <f>IFERROR(__xludf.DUMMYFUNCTION("""COMPUTED_VALUE"""),45929.659956793985)</f>
        <v>45929.65996</v>
      </c>
      <c r="B2161" s="29" t="str">
        <f>IFERROR(__xludf.DUMMYFUNCTION("""COMPUTED_VALUE"""),"Circumcised")</f>
        <v>Circumcised</v>
      </c>
      <c r="C2161" s="29" t="str">
        <f>IFERROR(__xludf.DUMMYFUNCTION("""COMPUTED_VALUE"""),"Variety of Sensation")</f>
        <v>Variety of Sensation</v>
      </c>
      <c r="D2161" s="29" t="str">
        <f>IFERROR(__xludf.DUMMYFUNCTION("""COMPUTED_VALUE"""),"2")</f>
        <v>2</v>
      </c>
      <c r="E2161" s="29">
        <f>IFERROR(__xludf.DUMMYFUNCTION("""COMPUTED_VALUE"""),2.0)</f>
        <v>2</v>
      </c>
    </row>
    <row r="2162">
      <c r="A2162" s="33">
        <f>IFERROR(__xludf.DUMMYFUNCTION("""COMPUTED_VALUE"""),45929.82908622685)</f>
        <v>45929.82909</v>
      </c>
      <c r="B2162" s="29" t="str">
        <f>IFERROR(__xludf.DUMMYFUNCTION("""COMPUTED_VALUE"""),"Circumcised")</f>
        <v>Circumcised</v>
      </c>
      <c r="C2162" s="29" t="str">
        <f>IFERROR(__xludf.DUMMYFUNCTION("""COMPUTED_VALUE"""),"Variety of Sensation")</f>
        <v>Variety of Sensation</v>
      </c>
      <c r="D2162" s="29" t="str">
        <f>IFERROR(__xludf.DUMMYFUNCTION("""COMPUTED_VALUE"""),"1 (Low/Poor)")</f>
        <v>1 (Low/Poor)</v>
      </c>
      <c r="E2162" s="29">
        <f>IFERROR(__xludf.DUMMYFUNCTION("""COMPUTED_VALUE"""),1.0)</f>
        <v>1</v>
      </c>
    </row>
    <row r="2163">
      <c r="A2163" s="33">
        <f>IFERROR(__xludf.DUMMYFUNCTION("""COMPUTED_VALUE"""),45931.49685126157)</f>
        <v>45931.49685</v>
      </c>
      <c r="B2163" s="29" t="str">
        <f>IFERROR(__xludf.DUMMYFUNCTION("""COMPUTED_VALUE"""),"Circumcised")</f>
        <v>Circumcised</v>
      </c>
      <c r="C2163" s="29" t="str">
        <f>IFERROR(__xludf.DUMMYFUNCTION("""COMPUTED_VALUE"""),"Variety of Sensation")</f>
        <v>Variety of Sensation</v>
      </c>
      <c r="D2163" s="29" t="str">
        <f>IFERROR(__xludf.DUMMYFUNCTION("""COMPUTED_VALUE"""),"2")</f>
        <v>2</v>
      </c>
      <c r="E2163" s="29">
        <f>IFERROR(__xludf.DUMMYFUNCTION("""COMPUTED_VALUE"""),2.0)</f>
        <v>2</v>
      </c>
    </row>
    <row r="2164">
      <c r="A2164" s="33">
        <f>IFERROR(__xludf.DUMMYFUNCTION("""COMPUTED_VALUE"""),45933.70498268518)</f>
        <v>45933.70498</v>
      </c>
      <c r="B2164" s="29" t="str">
        <f>IFERROR(__xludf.DUMMYFUNCTION("""COMPUTED_VALUE"""),"Circumcised")</f>
        <v>Circumcised</v>
      </c>
      <c r="C2164" s="29" t="str">
        <f>IFERROR(__xludf.DUMMYFUNCTION("""COMPUTED_VALUE"""),"Variety of Sensation")</f>
        <v>Variety of Sensation</v>
      </c>
      <c r="D2164" s="29" t="str">
        <f>IFERROR(__xludf.DUMMYFUNCTION("""COMPUTED_VALUE"""),"3 (Medium/Average)")</f>
        <v>3 (Medium/Average)</v>
      </c>
      <c r="E2164" s="29">
        <f>IFERROR(__xludf.DUMMYFUNCTION("""COMPUTED_VALUE"""),3.0)</f>
        <v>3</v>
      </c>
    </row>
    <row r="2165">
      <c r="A2165" s="33">
        <f>IFERROR(__xludf.DUMMYFUNCTION("""COMPUTED_VALUE"""),45937.01626369212)</f>
        <v>45937.01626</v>
      </c>
      <c r="B2165" s="29" t="str">
        <f>IFERROR(__xludf.DUMMYFUNCTION("""COMPUTED_VALUE"""),"Actively restoring my foreskin / I consider myself restored")</f>
        <v>Actively restoring my foreskin / I consider myself restored</v>
      </c>
      <c r="C2165" s="29" t="str">
        <f>IFERROR(__xludf.DUMMYFUNCTION("""COMPUTED_VALUE"""),"Variety of Sensation")</f>
        <v>Variety of Sensation</v>
      </c>
      <c r="D2165" s="29" t="str">
        <f>IFERROR(__xludf.DUMMYFUNCTION("""COMPUTED_VALUE"""),"2")</f>
        <v>2</v>
      </c>
      <c r="E2165" s="29">
        <f>IFERROR(__xludf.DUMMYFUNCTION("""COMPUTED_VALUE"""),2.0)</f>
        <v>2</v>
      </c>
    </row>
    <row r="2166">
      <c r="A2166" s="33">
        <f>IFERROR(__xludf.DUMMYFUNCTION("""COMPUTED_VALUE"""),45937.46064668982)</f>
        <v>45937.46065</v>
      </c>
      <c r="B2166" s="29" t="str">
        <f>IFERROR(__xludf.DUMMYFUNCTION("""COMPUTED_VALUE"""),"Circumcised")</f>
        <v>Circumcised</v>
      </c>
      <c r="C2166" s="29" t="str">
        <f>IFERROR(__xludf.DUMMYFUNCTION("""COMPUTED_VALUE"""),"Variety of Sensation")</f>
        <v>Variety of Sensation</v>
      </c>
      <c r="D2166" s="29" t="str">
        <f>IFERROR(__xludf.DUMMYFUNCTION("""COMPUTED_VALUE"""),"1 (Low/Poor)")</f>
        <v>1 (Low/Poor)</v>
      </c>
      <c r="E2166" s="29">
        <f>IFERROR(__xludf.DUMMYFUNCTION("""COMPUTED_VALUE"""),1.0)</f>
        <v>1</v>
      </c>
    </row>
    <row r="2167">
      <c r="A2167" s="33">
        <f>IFERROR(__xludf.DUMMYFUNCTION("""COMPUTED_VALUE"""),45938.78715348379)</f>
        <v>45938.78715</v>
      </c>
      <c r="B2167" s="29" t="str">
        <f>IFERROR(__xludf.DUMMYFUNCTION("""COMPUTED_VALUE"""),"Circumcised")</f>
        <v>Circumcised</v>
      </c>
      <c r="C2167" s="29" t="str">
        <f>IFERROR(__xludf.DUMMYFUNCTION("""COMPUTED_VALUE"""),"Variety of Sensation")</f>
        <v>Variety of Sensation</v>
      </c>
      <c r="D2167" s="29" t="str">
        <f>IFERROR(__xludf.DUMMYFUNCTION("""COMPUTED_VALUE"""),"1 (Low/Poor)")</f>
        <v>1 (Low/Poor)</v>
      </c>
      <c r="E2167" s="29">
        <f>IFERROR(__xludf.DUMMYFUNCTION("""COMPUTED_VALUE"""),1.0)</f>
        <v>1</v>
      </c>
    </row>
    <row r="2168">
      <c r="A2168" s="33">
        <f>IFERROR(__xludf.DUMMYFUNCTION("""COMPUTED_VALUE"""),45939.365505891205)</f>
        <v>45939.36551</v>
      </c>
      <c r="B2168" s="29" t="str">
        <f>IFERROR(__xludf.DUMMYFUNCTION("""COMPUTED_VALUE"""),"Circumcised")</f>
        <v>Circumcised</v>
      </c>
      <c r="C2168" s="29" t="str">
        <f>IFERROR(__xludf.DUMMYFUNCTION("""COMPUTED_VALUE"""),"Variety of Sensation")</f>
        <v>Variety of Sensation</v>
      </c>
      <c r="D2168" s="29" t="str">
        <f>IFERROR(__xludf.DUMMYFUNCTION("""COMPUTED_VALUE"""),"4")</f>
        <v>4</v>
      </c>
      <c r="E2168" s="29">
        <f>IFERROR(__xludf.DUMMYFUNCTION("""COMPUTED_VALUE"""),4.0)</f>
        <v>4</v>
      </c>
    </row>
    <row r="2169">
      <c r="A2169" s="33">
        <f>IFERROR(__xludf.DUMMYFUNCTION("""COMPUTED_VALUE"""),45939.62882127315)</f>
        <v>45939.62882</v>
      </c>
      <c r="B2169" s="29" t="str">
        <f>IFERROR(__xludf.DUMMYFUNCTION("""COMPUTED_VALUE"""),"Circumcised")</f>
        <v>Circumcised</v>
      </c>
      <c r="C2169" s="29" t="str">
        <f>IFERROR(__xludf.DUMMYFUNCTION("""COMPUTED_VALUE"""),"Variety of Sensation")</f>
        <v>Variety of Sensation</v>
      </c>
      <c r="D2169" s="29" t="str">
        <f>IFERROR(__xludf.DUMMYFUNCTION("""COMPUTED_VALUE"""),"5 (High/Excellent)")</f>
        <v>5 (High/Excellent)</v>
      </c>
      <c r="E2169" s="29">
        <f>IFERROR(__xludf.DUMMYFUNCTION("""COMPUTED_VALUE"""),5.0)</f>
        <v>5</v>
      </c>
    </row>
    <row r="2170">
      <c r="A2170" s="33">
        <f>IFERROR(__xludf.DUMMYFUNCTION("""COMPUTED_VALUE"""),45939.6626910301)</f>
        <v>45939.66269</v>
      </c>
      <c r="B2170" s="29" t="str">
        <f>IFERROR(__xludf.DUMMYFUNCTION("""COMPUTED_VALUE"""),"Circumcised")</f>
        <v>Circumcised</v>
      </c>
      <c r="C2170" s="29" t="str">
        <f>IFERROR(__xludf.DUMMYFUNCTION("""COMPUTED_VALUE"""),"Variety of Sensation")</f>
        <v>Variety of Sensation</v>
      </c>
      <c r="D2170" s="29" t="str">
        <f>IFERROR(__xludf.DUMMYFUNCTION("""COMPUTED_VALUE"""),"1 (Low/Poor)")</f>
        <v>1 (Low/Poor)</v>
      </c>
      <c r="E2170" s="29">
        <f>IFERROR(__xludf.DUMMYFUNCTION("""COMPUTED_VALUE"""),1.0)</f>
        <v>1</v>
      </c>
    </row>
    <row r="2171">
      <c r="A2171" s="33">
        <f>IFERROR(__xludf.DUMMYFUNCTION("""COMPUTED_VALUE"""),45939.87349773148)</f>
        <v>45939.8735</v>
      </c>
      <c r="B2171" s="29" t="str">
        <f>IFERROR(__xludf.DUMMYFUNCTION("""COMPUTED_VALUE"""),"Circumcised")</f>
        <v>Circumcised</v>
      </c>
      <c r="C2171" s="29" t="str">
        <f>IFERROR(__xludf.DUMMYFUNCTION("""COMPUTED_VALUE"""),"Variety of Sensation")</f>
        <v>Variety of Sensation</v>
      </c>
      <c r="D2171" s="29" t="str">
        <f>IFERROR(__xludf.DUMMYFUNCTION("""COMPUTED_VALUE"""),"1 (Low/Poor)")</f>
        <v>1 (Low/Poor)</v>
      </c>
      <c r="E2171" s="29">
        <f>IFERROR(__xludf.DUMMYFUNCTION("""COMPUTED_VALUE"""),1.0)</f>
        <v>1</v>
      </c>
    </row>
    <row r="2172">
      <c r="A2172" s="33">
        <f>IFERROR(__xludf.DUMMYFUNCTION("""COMPUTED_VALUE"""),45940.273669965274)</f>
        <v>45940.27367</v>
      </c>
      <c r="B2172" s="29" t="str">
        <f>IFERROR(__xludf.DUMMYFUNCTION("""COMPUTED_VALUE"""),"Intact (Never circumcised)")</f>
        <v>Intact (Never circumcised)</v>
      </c>
      <c r="C2172" s="29" t="str">
        <f>IFERROR(__xludf.DUMMYFUNCTION("""COMPUTED_VALUE"""),"Variety of Sensation")</f>
        <v>Variety of Sensation</v>
      </c>
      <c r="D2172" s="29" t="str">
        <f>IFERROR(__xludf.DUMMYFUNCTION("""COMPUTED_VALUE"""),"4")</f>
        <v>4</v>
      </c>
      <c r="E2172" s="29">
        <f>IFERROR(__xludf.DUMMYFUNCTION("""COMPUTED_VALUE"""),4.0)</f>
        <v>4</v>
      </c>
    </row>
    <row r="2173">
      <c r="A2173" s="33">
        <f>IFERROR(__xludf.DUMMYFUNCTION("""COMPUTED_VALUE"""),45940.32423372685)</f>
        <v>45940.32423</v>
      </c>
      <c r="B2173" s="29" t="str">
        <f>IFERROR(__xludf.DUMMYFUNCTION("""COMPUTED_VALUE"""),"Intact (Never circumcised)")</f>
        <v>Intact (Never circumcised)</v>
      </c>
      <c r="C2173" s="29" t="str">
        <f>IFERROR(__xludf.DUMMYFUNCTION("""COMPUTED_VALUE"""),"Variety of Sensation")</f>
        <v>Variety of Sensation</v>
      </c>
      <c r="D2173" s="29" t="str">
        <f>IFERROR(__xludf.DUMMYFUNCTION("""COMPUTED_VALUE"""),"4")</f>
        <v>4</v>
      </c>
      <c r="E2173" s="29">
        <f>IFERROR(__xludf.DUMMYFUNCTION("""COMPUTED_VALUE"""),4.0)</f>
        <v>4</v>
      </c>
    </row>
    <row r="2174">
      <c r="A2174" s="33">
        <f>IFERROR(__xludf.DUMMYFUNCTION("""COMPUTED_VALUE"""),45940.56854714121)</f>
        <v>45940.56855</v>
      </c>
      <c r="B2174" s="29" t="str">
        <f>IFERROR(__xludf.DUMMYFUNCTION("""COMPUTED_VALUE"""),"Actively restoring my foreskin / I consider myself restored")</f>
        <v>Actively restoring my foreskin / I consider myself restored</v>
      </c>
      <c r="C2174" s="29" t="str">
        <f>IFERROR(__xludf.DUMMYFUNCTION("""COMPUTED_VALUE"""),"Variety of Sensation")</f>
        <v>Variety of Sensation</v>
      </c>
      <c r="D2174" s="29" t="str">
        <f>IFERROR(__xludf.DUMMYFUNCTION("""COMPUTED_VALUE"""),"1 (Low/Poor)")</f>
        <v>1 (Low/Poor)</v>
      </c>
      <c r="E2174" s="29">
        <f>IFERROR(__xludf.DUMMYFUNCTION("""COMPUTED_VALUE"""),1.0)</f>
        <v>1</v>
      </c>
    </row>
    <row r="2175">
      <c r="A2175" s="33">
        <f>IFERROR(__xludf.DUMMYFUNCTION("""COMPUTED_VALUE"""),45941.29232648148)</f>
        <v>45941.29233</v>
      </c>
      <c r="B2175" s="29" t="str">
        <f>IFERROR(__xludf.DUMMYFUNCTION("""COMPUTED_VALUE"""),"Circumcised")</f>
        <v>Circumcised</v>
      </c>
      <c r="C2175" s="29" t="str">
        <f>IFERROR(__xludf.DUMMYFUNCTION("""COMPUTED_VALUE"""),"Variety of Sensation")</f>
        <v>Variety of Sensation</v>
      </c>
      <c r="D2175" s="29" t="str">
        <f>IFERROR(__xludf.DUMMYFUNCTION("""COMPUTED_VALUE"""),"1 (Low/Poor)")</f>
        <v>1 (Low/Poor)</v>
      </c>
      <c r="E2175" s="29">
        <f>IFERROR(__xludf.DUMMYFUNCTION("""COMPUTED_VALUE"""),1.0)</f>
        <v>1</v>
      </c>
    </row>
    <row r="2176">
      <c r="A2176" s="33">
        <f>IFERROR(__xludf.DUMMYFUNCTION("""COMPUTED_VALUE"""),45941.37621672454)</f>
        <v>45941.37622</v>
      </c>
      <c r="B2176" s="29" t="str">
        <f>IFERROR(__xludf.DUMMYFUNCTION("""COMPUTED_VALUE"""),"Actively restoring my foreskin / I consider myself restored")</f>
        <v>Actively restoring my foreskin / I consider myself restored</v>
      </c>
      <c r="C2176" s="29" t="str">
        <f>IFERROR(__xludf.DUMMYFUNCTION("""COMPUTED_VALUE"""),"Variety of Sensation")</f>
        <v>Variety of Sensation</v>
      </c>
      <c r="D2176" s="29" t="str">
        <f>IFERROR(__xludf.DUMMYFUNCTION("""COMPUTED_VALUE"""),"1 (Low/Poor)")</f>
        <v>1 (Low/Poor)</v>
      </c>
      <c r="E2176" s="29">
        <f>IFERROR(__xludf.DUMMYFUNCTION("""COMPUTED_VALUE"""),1.0)</f>
        <v>1</v>
      </c>
    </row>
    <row r="2177">
      <c r="A2177" s="33">
        <f>IFERROR(__xludf.DUMMYFUNCTION("""COMPUTED_VALUE"""),45945.13833958333)</f>
        <v>45945.13834</v>
      </c>
      <c r="B2177" s="29" t="str">
        <f>IFERROR(__xludf.DUMMYFUNCTION("""COMPUTED_VALUE"""),"Circumcised")</f>
        <v>Circumcised</v>
      </c>
      <c r="C2177" s="29" t="str">
        <f>IFERROR(__xludf.DUMMYFUNCTION("""COMPUTED_VALUE"""),"Variety of Sensation")</f>
        <v>Variety of Sensation</v>
      </c>
      <c r="D2177" s="29" t="str">
        <f>IFERROR(__xludf.DUMMYFUNCTION("""COMPUTED_VALUE"""),"1 (Low/Poor)")</f>
        <v>1 (Low/Poor)</v>
      </c>
      <c r="E2177" s="29">
        <f>IFERROR(__xludf.DUMMYFUNCTION("""COMPUTED_VALUE"""),1.0)</f>
        <v>1</v>
      </c>
    </row>
    <row r="2178">
      <c r="A2178" s="33">
        <f>IFERROR(__xludf.DUMMYFUNCTION("""COMPUTED_VALUE"""),45945.52582347223)</f>
        <v>45945.52582</v>
      </c>
      <c r="B2178" s="29" t="str">
        <f>IFERROR(__xludf.DUMMYFUNCTION("""COMPUTED_VALUE"""),"Intact (Never circumcised)")</f>
        <v>Intact (Never circumcised)</v>
      </c>
      <c r="C2178" s="29" t="str">
        <f>IFERROR(__xludf.DUMMYFUNCTION("""COMPUTED_VALUE"""),"Variety of Sensation")</f>
        <v>Variety of Sensation</v>
      </c>
      <c r="D2178" s="29" t="str">
        <f>IFERROR(__xludf.DUMMYFUNCTION("""COMPUTED_VALUE"""),"4")</f>
        <v>4</v>
      </c>
      <c r="E2178" s="29">
        <f>IFERROR(__xludf.DUMMYFUNCTION("""COMPUTED_VALUE"""),4.0)</f>
        <v>4</v>
      </c>
    </row>
    <row r="2179">
      <c r="A2179" s="33">
        <f>IFERROR(__xludf.DUMMYFUNCTION("""COMPUTED_VALUE"""),45947.59925792824)</f>
        <v>45947.59926</v>
      </c>
      <c r="B2179" s="29" t="str">
        <f>IFERROR(__xludf.DUMMYFUNCTION("""COMPUTED_VALUE"""),"Actively restoring my foreskin / I consider myself restored")</f>
        <v>Actively restoring my foreskin / I consider myself restored</v>
      </c>
      <c r="C2179" s="29" t="str">
        <f>IFERROR(__xludf.DUMMYFUNCTION("""COMPUTED_VALUE"""),"Variety of Sensation")</f>
        <v>Variety of Sensation</v>
      </c>
      <c r="D2179" s="29" t="str">
        <f>IFERROR(__xludf.DUMMYFUNCTION("""COMPUTED_VALUE"""),"4")</f>
        <v>4</v>
      </c>
      <c r="E2179" s="29">
        <f>IFERROR(__xludf.DUMMYFUNCTION("""COMPUTED_VALUE"""),4.0)</f>
        <v>4</v>
      </c>
    </row>
    <row r="2180">
      <c r="A2180" s="33">
        <f>IFERROR(__xludf.DUMMYFUNCTION("""COMPUTED_VALUE"""),45948.43710914352)</f>
        <v>45948.43711</v>
      </c>
      <c r="B2180" s="29" t="str">
        <f>IFERROR(__xludf.DUMMYFUNCTION("""COMPUTED_VALUE"""),"Circumcised")</f>
        <v>Circumcised</v>
      </c>
      <c r="C2180" s="29" t="str">
        <f>IFERROR(__xludf.DUMMYFUNCTION("""COMPUTED_VALUE"""),"Variety of Sensation")</f>
        <v>Variety of Sensation</v>
      </c>
      <c r="D2180" s="29" t="str">
        <f>IFERROR(__xludf.DUMMYFUNCTION("""COMPUTED_VALUE"""),"5 (High/Excellent)")</f>
        <v>5 (High/Excellent)</v>
      </c>
      <c r="E2180" s="29">
        <f>IFERROR(__xludf.DUMMYFUNCTION("""COMPUTED_VALUE"""),5.0)</f>
        <v>5</v>
      </c>
    </row>
    <row r="2181">
      <c r="A2181" s="33">
        <f>IFERROR(__xludf.DUMMYFUNCTION("""COMPUTED_VALUE"""),45951.280845023146)</f>
        <v>45951.28085</v>
      </c>
      <c r="B2181" s="29" t="str">
        <f>IFERROR(__xludf.DUMMYFUNCTION("""COMPUTED_VALUE"""),"Circumcised")</f>
        <v>Circumcised</v>
      </c>
      <c r="C2181" s="29" t="str">
        <f>IFERROR(__xludf.DUMMYFUNCTION("""COMPUTED_VALUE"""),"Variety of Sensation")</f>
        <v>Variety of Sensation</v>
      </c>
      <c r="D2181" s="29" t="str">
        <f>IFERROR(__xludf.DUMMYFUNCTION("""COMPUTED_VALUE"""),"3 (Medium/Average)")</f>
        <v>3 (Medium/Average)</v>
      </c>
      <c r="E2181" s="29">
        <f>IFERROR(__xludf.DUMMYFUNCTION("""COMPUTED_VALUE"""),3.0)</f>
        <v>3</v>
      </c>
    </row>
    <row r="2182">
      <c r="A2182" s="33">
        <f>IFERROR(__xludf.DUMMYFUNCTION("""COMPUTED_VALUE"""),45953.0329640162)</f>
        <v>45953.03296</v>
      </c>
      <c r="B2182" s="29" t="str">
        <f>IFERROR(__xludf.DUMMYFUNCTION("""COMPUTED_VALUE"""),"Intact (Never circumcised)")</f>
        <v>Intact (Never circumcised)</v>
      </c>
      <c r="C2182" s="29" t="str">
        <f>IFERROR(__xludf.DUMMYFUNCTION("""COMPUTED_VALUE"""),"Variety of Sensation")</f>
        <v>Variety of Sensation</v>
      </c>
      <c r="D2182" s="29" t="str">
        <f>IFERROR(__xludf.DUMMYFUNCTION("""COMPUTED_VALUE"""),"3 (Medium/Average)")</f>
        <v>3 (Medium/Average)</v>
      </c>
      <c r="E2182" s="29">
        <f>IFERROR(__xludf.DUMMYFUNCTION("""COMPUTED_VALUE"""),3.0)</f>
        <v>3</v>
      </c>
    </row>
    <row r="2183">
      <c r="A2183" s="33">
        <f>IFERROR(__xludf.DUMMYFUNCTION("""COMPUTED_VALUE"""),45953.438401666666)</f>
        <v>45953.4384</v>
      </c>
      <c r="B2183" s="29" t="str">
        <f>IFERROR(__xludf.DUMMYFUNCTION("""COMPUTED_VALUE"""),"Intact (Never circumcised)")</f>
        <v>Intact (Never circumcised)</v>
      </c>
      <c r="C2183" s="29" t="str">
        <f>IFERROR(__xludf.DUMMYFUNCTION("""COMPUTED_VALUE"""),"Variety of Sensation")</f>
        <v>Variety of Sensation</v>
      </c>
      <c r="D2183" s="29" t="str">
        <f>IFERROR(__xludf.DUMMYFUNCTION("""COMPUTED_VALUE"""),"3 (Medium/Average)")</f>
        <v>3 (Medium/Average)</v>
      </c>
      <c r="E2183" s="29">
        <f>IFERROR(__xludf.DUMMYFUNCTION("""COMPUTED_VALUE"""),3.0)</f>
        <v>3</v>
      </c>
    </row>
    <row r="2184">
      <c r="A2184" s="33">
        <f>IFERROR(__xludf.DUMMYFUNCTION("""COMPUTED_VALUE"""),45956.00984539352)</f>
        <v>45956.00985</v>
      </c>
      <c r="B2184" s="29" t="str">
        <f>IFERROR(__xludf.DUMMYFUNCTION("""COMPUTED_VALUE"""),"Circumcised")</f>
        <v>Circumcised</v>
      </c>
      <c r="C2184" s="29" t="str">
        <f>IFERROR(__xludf.DUMMYFUNCTION("""COMPUTED_VALUE"""),"Variety of Sensation")</f>
        <v>Variety of Sensation</v>
      </c>
      <c r="D2184" s="29" t="str">
        <f>IFERROR(__xludf.DUMMYFUNCTION("""COMPUTED_VALUE"""),"1 (Low/Poor)")</f>
        <v>1 (Low/Poor)</v>
      </c>
      <c r="E2184" s="29">
        <f>IFERROR(__xludf.DUMMYFUNCTION("""COMPUTED_VALUE"""),1.0)</f>
        <v>1</v>
      </c>
    </row>
    <row r="2185">
      <c r="A2185" s="33">
        <f>IFERROR(__xludf.DUMMYFUNCTION("""COMPUTED_VALUE"""),45956.86146025463)</f>
        <v>45956.86146</v>
      </c>
      <c r="B2185" s="29" t="str">
        <f>IFERROR(__xludf.DUMMYFUNCTION("""COMPUTED_VALUE"""),"Circumcised")</f>
        <v>Circumcised</v>
      </c>
      <c r="C2185" s="29" t="str">
        <f>IFERROR(__xludf.DUMMYFUNCTION("""COMPUTED_VALUE"""),"Variety of Sensation")</f>
        <v>Variety of Sensation</v>
      </c>
      <c r="D2185" s="29" t="str">
        <f>IFERROR(__xludf.DUMMYFUNCTION("""COMPUTED_VALUE"""),"2")</f>
        <v>2</v>
      </c>
      <c r="E2185" s="29">
        <f>IFERROR(__xludf.DUMMYFUNCTION("""COMPUTED_VALUE"""),2.0)</f>
        <v>2</v>
      </c>
    </row>
    <row r="2186">
      <c r="A2186" s="33">
        <f>IFERROR(__xludf.DUMMYFUNCTION("""COMPUTED_VALUE"""),45956.90730827546)</f>
        <v>45956.90731</v>
      </c>
      <c r="B2186" s="29" t="str">
        <f>IFERROR(__xludf.DUMMYFUNCTION("""COMPUTED_VALUE"""),"Circumcised")</f>
        <v>Circumcised</v>
      </c>
      <c r="C2186" s="29" t="str">
        <f>IFERROR(__xludf.DUMMYFUNCTION("""COMPUTED_VALUE"""),"Variety of Sensation")</f>
        <v>Variety of Sensation</v>
      </c>
      <c r="D2186" s="29" t="str">
        <f>IFERROR(__xludf.DUMMYFUNCTION("""COMPUTED_VALUE"""),"3 (Medium/Average)")</f>
        <v>3 (Medium/Average)</v>
      </c>
      <c r="E2186" s="29">
        <f>IFERROR(__xludf.DUMMYFUNCTION("""COMPUTED_VALUE"""),3.0)</f>
        <v>3</v>
      </c>
    </row>
    <row r="2187">
      <c r="A2187" s="33">
        <f>IFERROR(__xludf.DUMMYFUNCTION("""COMPUTED_VALUE"""),45956.911861469904)</f>
        <v>45956.91186</v>
      </c>
      <c r="B2187" s="29" t="str">
        <f>IFERROR(__xludf.DUMMYFUNCTION("""COMPUTED_VALUE"""),"Actively restoring my foreskin / I consider myself restored")</f>
        <v>Actively restoring my foreskin / I consider myself restored</v>
      </c>
      <c r="C2187" s="29" t="str">
        <f>IFERROR(__xludf.DUMMYFUNCTION("""COMPUTED_VALUE"""),"Variety of Sensation")</f>
        <v>Variety of Sensation</v>
      </c>
      <c r="D2187" s="29" t="str">
        <f>IFERROR(__xludf.DUMMYFUNCTION("""COMPUTED_VALUE"""),"2")</f>
        <v>2</v>
      </c>
      <c r="E2187" s="29">
        <f>IFERROR(__xludf.DUMMYFUNCTION("""COMPUTED_VALUE"""),2.0)</f>
        <v>2</v>
      </c>
    </row>
    <row r="2188">
      <c r="A2188" s="33">
        <f>IFERROR(__xludf.DUMMYFUNCTION("""COMPUTED_VALUE"""),45957.40870927083)</f>
        <v>45957.40871</v>
      </c>
      <c r="B2188" s="29" t="str">
        <f>IFERROR(__xludf.DUMMYFUNCTION("""COMPUTED_VALUE"""),"Intact (Never circumcised)")</f>
        <v>Intact (Never circumcised)</v>
      </c>
      <c r="C2188" s="29" t="str">
        <f>IFERROR(__xludf.DUMMYFUNCTION("""COMPUTED_VALUE"""),"Variety of Sensation")</f>
        <v>Variety of Sensation</v>
      </c>
      <c r="D2188" s="29" t="str">
        <f>IFERROR(__xludf.DUMMYFUNCTION("""COMPUTED_VALUE"""),"5 (High/Excellent)")</f>
        <v>5 (High/Excellent)</v>
      </c>
      <c r="E2188" s="29">
        <f>IFERROR(__xludf.DUMMYFUNCTION("""COMPUTED_VALUE"""),5.0)</f>
        <v>5</v>
      </c>
    </row>
    <row r="2189">
      <c r="A2189" s="33">
        <f>IFERROR(__xludf.DUMMYFUNCTION("""COMPUTED_VALUE"""),45957.667292418984)</f>
        <v>45957.66729</v>
      </c>
      <c r="B2189" s="29" t="str">
        <f>IFERROR(__xludf.DUMMYFUNCTION("""COMPUTED_VALUE"""),"Actively restoring my foreskin / I consider myself restored")</f>
        <v>Actively restoring my foreskin / I consider myself restored</v>
      </c>
      <c r="C2189" s="29" t="str">
        <f>IFERROR(__xludf.DUMMYFUNCTION("""COMPUTED_VALUE"""),"Variety of Sensation")</f>
        <v>Variety of Sensation</v>
      </c>
      <c r="D2189" s="29" t="str">
        <f>IFERROR(__xludf.DUMMYFUNCTION("""COMPUTED_VALUE"""),"1 (Low/Poor)")</f>
        <v>1 (Low/Poor)</v>
      </c>
      <c r="E2189" s="29">
        <f>IFERROR(__xludf.DUMMYFUNCTION("""COMPUTED_VALUE"""),1.0)</f>
        <v>1</v>
      </c>
    </row>
    <row r="2190">
      <c r="A2190" s="33">
        <f>IFERROR(__xludf.DUMMYFUNCTION("""COMPUTED_VALUE"""),45959.10253167824)</f>
        <v>45959.10253</v>
      </c>
      <c r="B2190" s="29" t="str">
        <f>IFERROR(__xludf.DUMMYFUNCTION("""COMPUTED_VALUE"""),"Circumcised")</f>
        <v>Circumcised</v>
      </c>
      <c r="C2190" s="29" t="str">
        <f>IFERROR(__xludf.DUMMYFUNCTION("""COMPUTED_VALUE"""),"Variety of Sensation")</f>
        <v>Variety of Sensation</v>
      </c>
      <c r="D2190" s="29" t="str">
        <f>IFERROR(__xludf.DUMMYFUNCTION("""COMPUTED_VALUE"""),"1 (Low/Poor)")</f>
        <v>1 (Low/Poor)</v>
      </c>
      <c r="E2190" s="29">
        <f>IFERROR(__xludf.DUMMYFUNCTION("""COMPUTED_VALUE"""),1.0)</f>
        <v>1</v>
      </c>
    </row>
    <row r="2191">
      <c r="A2191" s="33">
        <f>IFERROR(__xludf.DUMMYFUNCTION("""COMPUTED_VALUE"""),45959.17554484954)</f>
        <v>45959.17554</v>
      </c>
      <c r="B2191" s="29" t="str">
        <f>IFERROR(__xludf.DUMMYFUNCTION("""COMPUTED_VALUE"""),"Circumcised")</f>
        <v>Circumcised</v>
      </c>
      <c r="C2191" s="29" t="str">
        <f>IFERROR(__xludf.DUMMYFUNCTION("""COMPUTED_VALUE"""),"Variety of Sensation")</f>
        <v>Variety of Sensation</v>
      </c>
      <c r="D2191" s="29" t="str">
        <f>IFERROR(__xludf.DUMMYFUNCTION("""COMPUTED_VALUE"""),"2")</f>
        <v>2</v>
      </c>
      <c r="E2191" s="29">
        <f>IFERROR(__xludf.DUMMYFUNCTION("""COMPUTED_VALUE"""),2.0)</f>
        <v>2</v>
      </c>
    </row>
    <row r="2192">
      <c r="A2192" s="33">
        <f>IFERROR(__xludf.DUMMYFUNCTION("""COMPUTED_VALUE"""),45959.8298531713)</f>
        <v>45959.82985</v>
      </c>
      <c r="B2192" s="29" t="str">
        <f>IFERROR(__xludf.DUMMYFUNCTION("""COMPUTED_VALUE"""),"Actively restoring my foreskin / I consider myself restored")</f>
        <v>Actively restoring my foreskin / I consider myself restored</v>
      </c>
      <c r="C2192" s="29" t="str">
        <f>IFERROR(__xludf.DUMMYFUNCTION("""COMPUTED_VALUE"""),"Variety of Sensation")</f>
        <v>Variety of Sensation</v>
      </c>
      <c r="D2192" s="29" t="str">
        <f>IFERROR(__xludf.DUMMYFUNCTION("""COMPUTED_VALUE"""),"3 (Medium/Average)")</f>
        <v>3 (Medium/Average)</v>
      </c>
      <c r="E2192" s="29">
        <f>IFERROR(__xludf.DUMMYFUNCTION("""COMPUTED_VALUE"""),3.0)</f>
        <v>3</v>
      </c>
    </row>
    <row r="2193">
      <c r="A2193" s="33">
        <f>IFERROR(__xludf.DUMMYFUNCTION("""COMPUTED_VALUE"""),45960.621607500005)</f>
        <v>45960.62161</v>
      </c>
      <c r="B2193" s="29" t="str">
        <f>IFERROR(__xludf.DUMMYFUNCTION("""COMPUTED_VALUE"""),"Circumcised")</f>
        <v>Circumcised</v>
      </c>
      <c r="C2193" s="29" t="str">
        <f>IFERROR(__xludf.DUMMYFUNCTION("""COMPUTED_VALUE"""),"Variety of Sensation")</f>
        <v>Variety of Sensation</v>
      </c>
      <c r="D2193" s="29" t="str">
        <f>IFERROR(__xludf.DUMMYFUNCTION("""COMPUTED_VALUE"""),"3 (Medium/Average)")</f>
        <v>3 (Medium/Average)</v>
      </c>
      <c r="E2193" s="29">
        <f>IFERROR(__xludf.DUMMYFUNCTION("""COMPUTED_VALUE"""),3.0)</f>
        <v>3</v>
      </c>
    </row>
    <row r="2194">
      <c r="A2194" s="33">
        <f>IFERROR(__xludf.DUMMYFUNCTION("""COMPUTED_VALUE"""),45960.99731127315)</f>
        <v>45960.99731</v>
      </c>
      <c r="B2194" s="29" t="str">
        <f>IFERROR(__xludf.DUMMYFUNCTION("""COMPUTED_VALUE"""),"Actively restoring my foreskin / I consider myself restored")</f>
        <v>Actively restoring my foreskin / I consider myself restored</v>
      </c>
      <c r="C2194" s="29" t="str">
        <f>IFERROR(__xludf.DUMMYFUNCTION("""COMPUTED_VALUE"""),"Variety of Sensation")</f>
        <v>Variety of Sensation</v>
      </c>
      <c r="D2194" s="29" t="str">
        <f>IFERROR(__xludf.DUMMYFUNCTION("""COMPUTED_VALUE"""),"2")</f>
        <v>2</v>
      </c>
      <c r="E2194" s="29">
        <f>IFERROR(__xludf.DUMMYFUNCTION("""COMPUTED_VALUE"""),2.0)</f>
        <v>2</v>
      </c>
    </row>
    <row r="2195">
      <c r="A2195" s="33">
        <f>IFERROR(__xludf.DUMMYFUNCTION("""COMPUTED_VALUE"""),45963.67673798611)</f>
        <v>45963.67674</v>
      </c>
      <c r="B2195" s="29" t="str">
        <f>IFERROR(__xludf.DUMMYFUNCTION("""COMPUTED_VALUE"""),"Actively restoring my foreskin / I consider myself restored")</f>
        <v>Actively restoring my foreskin / I consider myself restored</v>
      </c>
      <c r="C2195" s="29" t="str">
        <f>IFERROR(__xludf.DUMMYFUNCTION("""COMPUTED_VALUE"""),"Variety of Sensation")</f>
        <v>Variety of Sensation</v>
      </c>
      <c r="D2195" s="29" t="str">
        <f>IFERROR(__xludf.DUMMYFUNCTION("""COMPUTED_VALUE"""),"2")</f>
        <v>2</v>
      </c>
      <c r="E2195" s="29">
        <f>IFERROR(__xludf.DUMMYFUNCTION("""COMPUTED_VALUE"""),2.0)</f>
        <v>2</v>
      </c>
    </row>
    <row r="2196">
      <c r="A2196" s="33">
        <f>IFERROR(__xludf.DUMMYFUNCTION("""COMPUTED_VALUE"""),45969.39095245371)</f>
        <v>45969.39095</v>
      </c>
      <c r="B2196" s="29" t="str">
        <f>IFERROR(__xludf.DUMMYFUNCTION("""COMPUTED_VALUE"""),"Circumcised")</f>
        <v>Circumcised</v>
      </c>
      <c r="C2196" s="29" t="str">
        <f>IFERROR(__xludf.DUMMYFUNCTION("""COMPUTED_VALUE"""),"Variety of Sensation")</f>
        <v>Variety of Sensation</v>
      </c>
      <c r="D2196" s="29" t="str">
        <f>IFERROR(__xludf.DUMMYFUNCTION("""COMPUTED_VALUE"""),"5 (High/Excellent)")</f>
        <v>5 (High/Excellent)</v>
      </c>
      <c r="E2196" s="29">
        <f>IFERROR(__xludf.DUMMYFUNCTION("""COMPUTED_VALUE"""),5.0)</f>
        <v>5</v>
      </c>
    </row>
    <row r="2197">
      <c r="A2197" s="33">
        <f>IFERROR(__xludf.DUMMYFUNCTION("""COMPUTED_VALUE"""),45969.849535775465)</f>
        <v>45969.84954</v>
      </c>
      <c r="B2197" s="29" t="str">
        <f>IFERROR(__xludf.DUMMYFUNCTION("""COMPUTED_VALUE"""),"Actively restoring my foreskin / I consider myself restored")</f>
        <v>Actively restoring my foreskin / I consider myself restored</v>
      </c>
      <c r="C2197" s="29" t="str">
        <f>IFERROR(__xludf.DUMMYFUNCTION("""COMPUTED_VALUE"""),"Variety of Sensation")</f>
        <v>Variety of Sensation</v>
      </c>
      <c r="D2197" s="29" t="str">
        <f>IFERROR(__xludf.DUMMYFUNCTION("""COMPUTED_VALUE"""),"3 (Medium/Average)")</f>
        <v>3 (Medium/Average)</v>
      </c>
      <c r="E2197" s="29">
        <f>IFERROR(__xludf.DUMMYFUNCTION("""COMPUTED_VALUE"""),3.0)</f>
        <v>3</v>
      </c>
    </row>
    <row r="2198">
      <c r="A2198" s="33">
        <f>IFERROR(__xludf.DUMMYFUNCTION("""COMPUTED_VALUE"""),45969.897841296304)</f>
        <v>45969.89784</v>
      </c>
      <c r="B2198" s="29" t="str">
        <f>IFERROR(__xludf.DUMMYFUNCTION("""COMPUTED_VALUE"""),"Actively restoring my foreskin / I consider myself restored")</f>
        <v>Actively restoring my foreskin / I consider myself restored</v>
      </c>
      <c r="C2198" s="29" t="str">
        <f>IFERROR(__xludf.DUMMYFUNCTION("""COMPUTED_VALUE"""),"Variety of Sensation")</f>
        <v>Variety of Sensation</v>
      </c>
      <c r="D2198" s="29" t="str">
        <f>IFERROR(__xludf.DUMMYFUNCTION("""COMPUTED_VALUE"""),"2")</f>
        <v>2</v>
      </c>
      <c r="E2198" s="29">
        <f>IFERROR(__xludf.DUMMYFUNCTION("""COMPUTED_VALUE"""),2.0)</f>
        <v>2</v>
      </c>
    </row>
    <row r="2199">
      <c r="A2199" s="33">
        <f>IFERROR(__xludf.DUMMYFUNCTION("""COMPUTED_VALUE"""),45969.90605799769)</f>
        <v>45969.90606</v>
      </c>
      <c r="B2199" s="29" t="str">
        <f>IFERROR(__xludf.DUMMYFUNCTION("""COMPUTED_VALUE"""),"Circumcised")</f>
        <v>Circumcised</v>
      </c>
      <c r="C2199" s="29" t="str">
        <f>IFERROR(__xludf.DUMMYFUNCTION("""COMPUTED_VALUE"""),"Variety of Sensation")</f>
        <v>Variety of Sensation</v>
      </c>
      <c r="D2199" s="29" t="str">
        <f>IFERROR(__xludf.DUMMYFUNCTION("""COMPUTED_VALUE"""),"2")</f>
        <v>2</v>
      </c>
      <c r="E2199" s="29">
        <f>IFERROR(__xludf.DUMMYFUNCTION("""COMPUTED_VALUE"""),2.0)</f>
        <v>2</v>
      </c>
    </row>
    <row r="2200">
      <c r="A2200" s="33">
        <f>IFERROR(__xludf.DUMMYFUNCTION("""COMPUTED_VALUE"""),45970.06699965278)</f>
        <v>45970.067</v>
      </c>
      <c r="B2200" s="29" t="str">
        <f>IFERROR(__xludf.DUMMYFUNCTION("""COMPUTED_VALUE"""),"Circumcised")</f>
        <v>Circumcised</v>
      </c>
      <c r="C2200" s="29" t="str">
        <f>IFERROR(__xludf.DUMMYFUNCTION("""COMPUTED_VALUE"""),"Variety of Sensation")</f>
        <v>Variety of Sensation</v>
      </c>
      <c r="D2200" s="29" t="str">
        <f>IFERROR(__xludf.DUMMYFUNCTION("""COMPUTED_VALUE"""),"4")</f>
        <v>4</v>
      </c>
      <c r="E2200" s="29">
        <f>IFERROR(__xludf.DUMMYFUNCTION("""COMPUTED_VALUE"""),4.0)</f>
        <v>4</v>
      </c>
    </row>
    <row r="2201">
      <c r="A2201" s="33">
        <f>IFERROR(__xludf.DUMMYFUNCTION("""COMPUTED_VALUE"""),45970.38046627314)</f>
        <v>45970.38047</v>
      </c>
      <c r="B2201" s="29" t="str">
        <f>IFERROR(__xludf.DUMMYFUNCTION("""COMPUTED_VALUE"""),"Circumcised")</f>
        <v>Circumcised</v>
      </c>
      <c r="C2201" s="29" t="str">
        <f>IFERROR(__xludf.DUMMYFUNCTION("""COMPUTED_VALUE"""),"Variety of Sensation")</f>
        <v>Variety of Sensation</v>
      </c>
      <c r="D2201" s="29" t="str">
        <f>IFERROR(__xludf.DUMMYFUNCTION("""COMPUTED_VALUE"""),"3 (Medium/Average)")</f>
        <v>3 (Medium/Average)</v>
      </c>
      <c r="E2201" s="29">
        <f>IFERROR(__xludf.DUMMYFUNCTION("""COMPUTED_VALUE"""),3.0)</f>
        <v>3</v>
      </c>
    </row>
    <row r="2202">
      <c r="A2202" s="33">
        <f>IFERROR(__xludf.DUMMYFUNCTION("""COMPUTED_VALUE"""),45970.48485820602)</f>
        <v>45970.48486</v>
      </c>
      <c r="B2202" s="29" t="str">
        <f>IFERROR(__xludf.DUMMYFUNCTION("""COMPUTED_VALUE"""),"Intact (Never circumcised)")</f>
        <v>Intact (Never circumcised)</v>
      </c>
      <c r="C2202" s="29" t="str">
        <f>IFERROR(__xludf.DUMMYFUNCTION("""COMPUTED_VALUE"""),"Variety of Sensation")</f>
        <v>Variety of Sensation</v>
      </c>
      <c r="D2202" s="29" t="str">
        <f>IFERROR(__xludf.DUMMYFUNCTION("""COMPUTED_VALUE"""),"5 (High/Excellent)")</f>
        <v>5 (High/Excellent)</v>
      </c>
      <c r="E2202" s="29">
        <f>IFERROR(__xludf.DUMMYFUNCTION("""COMPUTED_VALUE"""),5.0)</f>
        <v>5</v>
      </c>
    </row>
    <row r="2203">
      <c r="A2203" s="33">
        <f>IFERROR(__xludf.DUMMYFUNCTION("""COMPUTED_VALUE"""),45970.66629606481)</f>
        <v>45970.6663</v>
      </c>
      <c r="B2203" s="29" t="str">
        <f>IFERROR(__xludf.DUMMYFUNCTION("""COMPUTED_VALUE"""),"Circumcised")</f>
        <v>Circumcised</v>
      </c>
      <c r="C2203" s="29" t="str">
        <f>IFERROR(__xludf.DUMMYFUNCTION("""COMPUTED_VALUE"""),"Variety of Sensation")</f>
        <v>Variety of Sensation</v>
      </c>
      <c r="D2203" s="29" t="str">
        <f>IFERROR(__xludf.DUMMYFUNCTION("""COMPUTED_VALUE"""),"3 (Medium/Average)")</f>
        <v>3 (Medium/Average)</v>
      </c>
      <c r="E2203" s="29">
        <f>IFERROR(__xludf.DUMMYFUNCTION("""COMPUTED_VALUE"""),3.0)</f>
        <v>3</v>
      </c>
    </row>
    <row r="2204">
      <c r="A2204" s="33">
        <f>IFERROR(__xludf.DUMMYFUNCTION("""COMPUTED_VALUE"""),45971.65164621528)</f>
        <v>45971.65165</v>
      </c>
      <c r="B2204" s="29" t="str">
        <f>IFERROR(__xludf.DUMMYFUNCTION("""COMPUTED_VALUE"""),"Circumcised")</f>
        <v>Circumcised</v>
      </c>
      <c r="C2204" s="29" t="str">
        <f>IFERROR(__xludf.DUMMYFUNCTION("""COMPUTED_VALUE"""),"Variety of Sensation")</f>
        <v>Variety of Sensation</v>
      </c>
      <c r="D2204" s="29" t="str">
        <f>IFERROR(__xludf.DUMMYFUNCTION("""COMPUTED_VALUE"""),"3 (Medium/Average)")</f>
        <v>3 (Medium/Average)</v>
      </c>
      <c r="E2204" s="29">
        <f>IFERROR(__xludf.DUMMYFUNCTION("""COMPUTED_VALUE"""),3.0)</f>
        <v>3</v>
      </c>
    </row>
    <row r="2205">
      <c r="A2205" s="33">
        <f>IFERROR(__xludf.DUMMYFUNCTION("""COMPUTED_VALUE"""),45971.66754105324)</f>
        <v>45971.66754</v>
      </c>
      <c r="B2205" s="29" t="str">
        <f>IFERROR(__xludf.DUMMYFUNCTION("""COMPUTED_VALUE"""),"Intact (Never circumcised)")</f>
        <v>Intact (Never circumcised)</v>
      </c>
      <c r="C2205" s="29" t="str">
        <f>IFERROR(__xludf.DUMMYFUNCTION("""COMPUTED_VALUE"""),"Variety of Sensation")</f>
        <v>Variety of Sensation</v>
      </c>
      <c r="D2205" s="29" t="str">
        <f>IFERROR(__xludf.DUMMYFUNCTION("""COMPUTED_VALUE"""),"5 (High/Excellent)")</f>
        <v>5 (High/Excellent)</v>
      </c>
      <c r="E2205" s="29">
        <f>IFERROR(__xludf.DUMMYFUNCTION("""COMPUTED_VALUE"""),5.0)</f>
        <v>5</v>
      </c>
    </row>
    <row r="2206">
      <c r="A2206" s="33">
        <f>IFERROR(__xludf.DUMMYFUNCTION("""COMPUTED_VALUE"""),45972.193447893515)</f>
        <v>45972.19345</v>
      </c>
      <c r="B2206" s="29" t="str">
        <f>IFERROR(__xludf.DUMMYFUNCTION("""COMPUTED_VALUE"""),"Intact (Never circumcised)")</f>
        <v>Intact (Never circumcised)</v>
      </c>
      <c r="C2206" s="29" t="str">
        <f>IFERROR(__xludf.DUMMYFUNCTION("""COMPUTED_VALUE"""),"Variety of Sensation")</f>
        <v>Variety of Sensation</v>
      </c>
      <c r="D2206" s="29" t="str">
        <f>IFERROR(__xludf.DUMMYFUNCTION("""COMPUTED_VALUE"""),"5 (High/Excellent)")</f>
        <v>5 (High/Excellent)</v>
      </c>
      <c r="E2206" s="29">
        <f>IFERROR(__xludf.DUMMYFUNCTION("""COMPUTED_VALUE"""),5.0)</f>
        <v>5</v>
      </c>
    </row>
    <row r="2207">
      <c r="A2207" s="33">
        <f>IFERROR(__xludf.DUMMYFUNCTION("""COMPUTED_VALUE"""),45972.63994190972)</f>
        <v>45972.63994</v>
      </c>
      <c r="B2207" s="29" t="str">
        <f>IFERROR(__xludf.DUMMYFUNCTION("""COMPUTED_VALUE"""),"Circumcised")</f>
        <v>Circumcised</v>
      </c>
      <c r="C2207" s="29" t="str">
        <f>IFERROR(__xludf.DUMMYFUNCTION("""COMPUTED_VALUE"""),"Variety of Sensation")</f>
        <v>Variety of Sensation</v>
      </c>
      <c r="D2207" s="29" t="str">
        <f>IFERROR(__xludf.DUMMYFUNCTION("""COMPUTED_VALUE"""),"5 (High/Excellent)")</f>
        <v>5 (High/Excellent)</v>
      </c>
      <c r="E2207" s="29">
        <f>IFERROR(__xludf.DUMMYFUNCTION("""COMPUTED_VALUE"""),5.0)</f>
        <v>5</v>
      </c>
    </row>
    <row r="2208">
      <c r="A2208" s="33">
        <f>IFERROR(__xludf.DUMMYFUNCTION("""COMPUTED_VALUE"""),45978.17339207176)</f>
        <v>45978.17339</v>
      </c>
      <c r="B2208" s="29" t="str">
        <f>IFERROR(__xludf.DUMMYFUNCTION("""COMPUTED_VALUE"""),"Intact (Never circumcised)")</f>
        <v>Intact (Never circumcised)</v>
      </c>
      <c r="C2208" s="29" t="str">
        <f>IFERROR(__xludf.DUMMYFUNCTION("""COMPUTED_VALUE"""),"Variety of Sensation")</f>
        <v>Variety of Sensation</v>
      </c>
      <c r="D2208" s="29" t="str">
        <f>IFERROR(__xludf.DUMMYFUNCTION("""COMPUTED_VALUE"""),"3 (Medium/Average)")</f>
        <v>3 (Medium/Average)</v>
      </c>
      <c r="E2208" s="29">
        <f>IFERROR(__xludf.DUMMYFUNCTION("""COMPUTED_VALUE"""),3.0)</f>
        <v>3</v>
      </c>
    </row>
    <row r="2209">
      <c r="A2209" s="33">
        <f>IFERROR(__xludf.DUMMYFUNCTION("""COMPUTED_VALUE"""),45979.00060761574)</f>
        <v>45979.00061</v>
      </c>
      <c r="B2209" s="29" t="str">
        <f>IFERROR(__xludf.DUMMYFUNCTION("""COMPUTED_VALUE"""),"Circumcised")</f>
        <v>Circumcised</v>
      </c>
      <c r="C2209" s="29" t="str">
        <f>IFERROR(__xludf.DUMMYFUNCTION("""COMPUTED_VALUE"""),"Variety of Sensation")</f>
        <v>Variety of Sensation</v>
      </c>
      <c r="D2209" s="29" t="str">
        <f>IFERROR(__xludf.DUMMYFUNCTION("""COMPUTED_VALUE"""),"1 (Low/Poor)")</f>
        <v>1 (Low/Poor)</v>
      </c>
      <c r="E2209" s="29">
        <f>IFERROR(__xludf.DUMMYFUNCTION("""COMPUTED_VALUE"""),1.0)</f>
        <v>1</v>
      </c>
    </row>
    <row r="2210">
      <c r="A2210" s="33">
        <f>IFERROR(__xludf.DUMMYFUNCTION("""COMPUTED_VALUE"""),45979.79978149306)</f>
        <v>45979.79978</v>
      </c>
      <c r="B2210" s="29" t="str">
        <f>IFERROR(__xludf.DUMMYFUNCTION("""COMPUTED_VALUE"""),"Actively restoring my foreskin / I consider myself restored")</f>
        <v>Actively restoring my foreskin / I consider myself restored</v>
      </c>
      <c r="C2210" s="29" t="str">
        <f>IFERROR(__xludf.DUMMYFUNCTION("""COMPUTED_VALUE"""),"Variety of Sensation")</f>
        <v>Variety of Sensation</v>
      </c>
      <c r="D2210" s="29" t="str">
        <f>IFERROR(__xludf.DUMMYFUNCTION("""COMPUTED_VALUE"""),"5 (High/Excellent)")</f>
        <v>5 (High/Excellent)</v>
      </c>
      <c r="E2210" s="29">
        <f>IFERROR(__xludf.DUMMYFUNCTION("""COMPUTED_VALUE"""),5.0)</f>
        <v>5</v>
      </c>
    </row>
    <row r="2211">
      <c r="A2211" s="33">
        <f>IFERROR(__xludf.DUMMYFUNCTION("""COMPUTED_VALUE"""),45979.96655393518)</f>
        <v>45979.96655</v>
      </c>
      <c r="B2211" s="29" t="str">
        <f>IFERROR(__xludf.DUMMYFUNCTION("""COMPUTED_VALUE"""),"Circumcised")</f>
        <v>Circumcised</v>
      </c>
      <c r="C2211" s="29" t="str">
        <f>IFERROR(__xludf.DUMMYFUNCTION("""COMPUTED_VALUE"""),"Variety of Sensation")</f>
        <v>Variety of Sensation</v>
      </c>
      <c r="D2211" s="29" t="str">
        <f>IFERROR(__xludf.DUMMYFUNCTION("""COMPUTED_VALUE"""),"5 (High/Excellent)")</f>
        <v>5 (High/Excellent)</v>
      </c>
      <c r="E2211" s="29">
        <f>IFERROR(__xludf.DUMMYFUNCTION("""COMPUTED_VALUE"""),5.0)</f>
        <v>5</v>
      </c>
    </row>
    <row r="2212">
      <c r="A2212" s="33">
        <f>IFERROR(__xludf.DUMMYFUNCTION("""COMPUTED_VALUE"""),45980.70007561342)</f>
        <v>45980.70008</v>
      </c>
      <c r="B2212" s="29" t="str">
        <f>IFERROR(__xludf.DUMMYFUNCTION("""COMPUTED_VALUE"""),"Actively restoring my foreskin / I consider myself restored")</f>
        <v>Actively restoring my foreskin / I consider myself restored</v>
      </c>
      <c r="C2212" s="29" t="str">
        <f>IFERROR(__xludf.DUMMYFUNCTION("""COMPUTED_VALUE"""),"Variety of Sensation")</f>
        <v>Variety of Sensation</v>
      </c>
      <c r="D2212" s="29" t="str">
        <f>IFERROR(__xludf.DUMMYFUNCTION("""COMPUTED_VALUE"""),"3 (Medium/Average)")</f>
        <v>3 (Medium/Average)</v>
      </c>
      <c r="E2212" s="29">
        <f>IFERROR(__xludf.DUMMYFUNCTION("""COMPUTED_VALUE"""),3.0)</f>
        <v>3</v>
      </c>
    </row>
    <row r="2213">
      <c r="A2213" s="33">
        <f>IFERROR(__xludf.DUMMYFUNCTION("""COMPUTED_VALUE"""),45983.2148534375)</f>
        <v>45983.21485</v>
      </c>
      <c r="B2213" s="29" t="str">
        <f>IFERROR(__xludf.DUMMYFUNCTION("""COMPUTED_VALUE"""),"Circumcised")</f>
        <v>Circumcised</v>
      </c>
      <c r="C2213" s="29" t="str">
        <f>IFERROR(__xludf.DUMMYFUNCTION("""COMPUTED_VALUE"""),"Variety of Sensation")</f>
        <v>Variety of Sensation</v>
      </c>
      <c r="D2213" s="29" t="str">
        <f>IFERROR(__xludf.DUMMYFUNCTION("""COMPUTED_VALUE"""),"1 (Low/Poor)")</f>
        <v>1 (Low/Poor)</v>
      </c>
      <c r="E2213" s="29">
        <f>IFERROR(__xludf.DUMMYFUNCTION("""COMPUTED_VALUE"""),1.0)</f>
        <v>1</v>
      </c>
    </row>
    <row r="2214">
      <c r="A2214" s="33">
        <f>IFERROR(__xludf.DUMMYFUNCTION("""COMPUTED_VALUE"""),45983.6917247338)</f>
        <v>45983.69172</v>
      </c>
      <c r="B2214" s="29" t="str">
        <f>IFERROR(__xludf.DUMMYFUNCTION("""COMPUTED_VALUE"""),"Actively restoring my foreskin / I consider myself restored")</f>
        <v>Actively restoring my foreskin / I consider myself restored</v>
      </c>
      <c r="C2214" s="29" t="str">
        <f>IFERROR(__xludf.DUMMYFUNCTION("""COMPUTED_VALUE"""),"Variety of Sensation")</f>
        <v>Variety of Sensation</v>
      </c>
      <c r="D2214" s="29" t="str">
        <f>IFERROR(__xludf.DUMMYFUNCTION("""COMPUTED_VALUE"""),"2")</f>
        <v>2</v>
      </c>
      <c r="E2214" s="29">
        <f>IFERROR(__xludf.DUMMYFUNCTION("""COMPUTED_VALUE"""),2.0)</f>
        <v>2</v>
      </c>
    </row>
    <row r="2215">
      <c r="A2215" s="33">
        <f>IFERROR(__xludf.DUMMYFUNCTION("""COMPUTED_VALUE"""),45983.925561076394)</f>
        <v>45983.92556</v>
      </c>
      <c r="B2215" s="29" t="str">
        <f>IFERROR(__xludf.DUMMYFUNCTION("""COMPUTED_VALUE"""),"Intact (Never circumcised)")</f>
        <v>Intact (Never circumcised)</v>
      </c>
      <c r="C2215" s="29" t="str">
        <f>IFERROR(__xludf.DUMMYFUNCTION("""COMPUTED_VALUE"""),"Variety of Sensation")</f>
        <v>Variety of Sensation</v>
      </c>
      <c r="D2215" s="29" t="str">
        <f>IFERROR(__xludf.DUMMYFUNCTION("""COMPUTED_VALUE"""),"5 (High/Excellent)")</f>
        <v>5 (High/Excellent)</v>
      </c>
      <c r="E2215" s="29">
        <f>IFERROR(__xludf.DUMMYFUNCTION("""COMPUTED_VALUE"""),5.0)</f>
        <v>5</v>
      </c>
    </row>
    <row r="2216">
      <c r="A2216" s="33">
        <f>IFERROR(__xludf.DUMMYFUNCTION("""COMPUTED_VALUE"""),45983.95113446759)</f>
        <v>45983.95113</v>
      </c>
      <c r="B2216" s="29" t="str">
        <f>IFERROR(__xludf.DUMMYFUNCTION("""COMPUTED_VALUE"""),"Intact (Never circumcised)")</f>
        <v>Intact (Never circumcised)</v>
      </c>
      <c r="C2216" s="29" t="str">
        <f>IFERROR(__xludf.DUMMYFUNCTION("""COMPUTED_VALUE"""),"Variety of Sensation")</f>
        <v>Variety of Sensation</v>
      </c>
      <c r="D2216" s="29" t="str">
        <f>IFERROR(__xludf.DUMMYFUNCTION("""COMPUTED_VALUE"""),"5 (High/Excellent)")</f>
        <v>5 (High/Excellent)</v>
      </c>
      <c r="E2216" s="29">
        <f>IFERROR(__xludf.DUMMYFUNCTION("""COMPUTED_VALUE"""),5.0)</f>
        <v>5</v>
      </c>
    </row>
    <row r="2217">
      <c r="A2217" s="33">
        <f>IFERROR(__xludf.DUMMYFUNCTION("""COMPUTED_VALUE"""),45992.05210868055)</f>
        <v>45992.05211</v>
      </c>
      <c r="B2217" s="29" t="str">
        <f>IFERROR(__xludf.DUMMYFUNCTION("""COMPUTED_VALUE"""),"Circumcised")</f>
        <v>Circumcised</v>
      </c>
      <c r="C2217" s="29" t="str">
        <f>IFERROR(__xludf.DUMMYFUNCTION("""COMPUTED_VALUE"""),"Variety of Sensation")</f>
        <v>Variety of Sensation</v>
      </c>
      <c r="D2217" s="29" t="str">
        <f>IFERROR(__xludf.DUMMYFUNCTION("""COMPUTED_VALUE"""),"4")</f>
        <v>4</v>
      </c>
      <c r="E2217" s="29">
        <f>IFERROR(__xludf.DUMMYFUNCTION("""COMPUTED_VALUE"""),4.0)</f>
        <v>4</v>
      </c>
    </row>
    <row r="2218">
      <c r="A2218" s="33">
        <f>IFERROR(__xludf.DUMMYFUNCTION("""COMPUTED_VALUE"""),45992.67591680555)</f>
        <v>45992.67592</v>
      </c>
      <c r="B2218" s="29" t="str">
        <f>IFERROR(__xludf.DUMMYFUNCTION("""COMPUTED_VALUE"""),"Circumcised")</f>
        <v>Circumcised</v>
      </c>
      <c r="C2218" s="29" t="str">
        <f>IFERROR(__xludf.DUMMYFUNCTION("""COMPUTED_VALUE"""),"Variety of Sensation")</f>
        <v>Variety of Sensation</v>
      </c>
      <c r="D2218" s="29" t="str">
        <f>IFERROR(__xludf.DUMMYFUNCTION("""COMPUTED_VALUE"""),"5 (High/Excellent)")</f>
        <v>5 (High/Excellent)</v>
      </c>
      <c r="E2218" s="29">
        <f>IFERROR(__xludf.DUMMYFUNCTION("""COMPUTED_VALUE"""),5.0)</f>
        <v>5</v>
      </c>
    </row>
    <row r="2219">
      <c r="A2219" s="33">
        <f>IFERROR(__xludf.DUMMYFUNCTION("""COMPUTED_VALUE"""),45996.37980859953)</f>
        <v>45996.37981</v>
      </c>
      <c r="B2219" s="29" t="str">
        <f>IFERROR(__xludf.DUMMYFUNCTION("""COMPUTED_VALUE"""),"Circumcised")</f>
        <v>Circumcised</v>
      </c>
      <c r="C2219" s="29" t="str">
        <f>IFERROR(__xludf.DUMMYFUNCTION("""COMPUTED_VALUE"""),"Variety of Sensation")</f>
        <v>Variety of Sensation</v>
      </c>
      <c r="D2219" s="29" t="str">
        <f>IFERROR(__xludf.DUMMYFUNCTION("""COMPUTED_VALUE"""),"3 (Medium/Average)")</f>
        <v>3 (Medium/Average)</v>
      </c>
      <c r="E2219" s="29">
        <f>IFERROR(__xludf.DUMMYFUNCTION("""COMPUTED_VALUE"""),3.0)</f>
        <v>3</v>
      </c>
    </row>
    <row r="2220">
      <c r="A2220" s="33">
        <f>IFERROR(__xludf.DUMMYFUNCTION("""COMPUTED_VALUE"""),45996.56378877315)</f>
        <v>45996.56379</v>
      </c>
      <c r="B2220" s="29" t="str">
        <f>IFERROR(__xludf.DUMMYFUNCTION("""COMPUTED_VALUE"""),"Circumcised")</f>
        <v>Circumcised</v>
      </c>
      <c r="C2220" s="29" t="str">
        <f>IFERROR(__xludf.DUMMYFUNCTION("""COMPUTED_VALUE"""),"Variety of Sensation")</f>
        <v>Variety of Sensation</v>
      </c>
      <c r="D2220" s="29" t="str">
        <f>IFERROR(__xludf.DUMMYFUNCTION("""COMPUTED_VALUE"""),"5 (High/Excellent)")</f>
        <v>5 (High/Excellent)</v>
      </c>
      <c r="E2220" s="29">
        <f>IFERROR(__xludf.DUMMYFUNCTION("""COMPUTED_VALUE"""),5.0)</f>
        <v>5</v>
      </c>
    </row>
    <row r="2221">
      <c r="A2221" s="33">
        <f>IFERROR(__xludf.DUMMYFUNCTION("""COMPUTED_VALUE"""),45999.3960019213)</f>
        <v>45999.396</v>
      </c>
      <c r="B2221" s="29" t="str">
        <f>IFERROR(__xludf.DUMMYFUNCTION("""COMPUTED_VALUE"""),"Circumcised")</f>
        <v>Circumcised</v>
      </c>
      <c r="C2221" s="29" t="str">
        <f>IFERROR(__xludf.DUMMYFUNCTION("""COMPUTED_VALUE"""),"Variety of Sensation")</f>
        <v>Variety of Sensation</v>
      </c>
      <c r="D2221" s="29" t="str">
        <f>IFERROR(__xludf.DUMMYFUNCTION("""COMPUTED_VALUE"""),"3 (Medium/Average)")</f>
        <v>3 (Medium/Average)</v>
      </c>
      <c r="E2221" s="29">
        <f>IFERROR(__xludf.DUMMYFUNCTION("""COMPUTED_VALUE"""),3.0)</f>
        <v>3</v>
      </c>
    </row>
    <row r="2222">
      <c r="A2222" s="33">
        <f>IFERROR(__xludf.DUMMYFUNCTION("""COMPUTED_VALUE"""),46001.23924292824)</f>
        <v>46001.23924</v>
      </c>
      <c r="B2222" s="29" t="str">
        <f>IFERROR(__xludf.DUMMYFUNCTION("""COMPUTED_VALUE"""),"Circumcised")</f>
        <v>Circumcised</v>
      </c>
      <c r="C2222" s="29" t="str">
        <f>IFERROR(__xludf.DUMMYFUNCTION("""COMPUTED_VALUE"""),"Variety of Sensation")</f>
        <v>Variety of Sensation</v>
      </c>
      <c r="D2222" s="29" t="str">
        <f>IFERROR(__xludf.DUMMYFUNCTION("""COMPUTED_VALUE"""),"2")</f>
        <v>2</v>
      </c>
      <c r="E2222" s="29">
        <f>IFERROR(__xludf.DUMMYFUNCTION("""COMPUTED_VALUE"""),2.0)</f>
        <v>2</v>
      </c>
    </row>
    <row r="2223">
      <c r="A2223" s="33">
        <f>IFERROR(__xludf.DUMMYFUNCTION("""COMPUTED_VALUE"""),46003.78513780092)</f>
        <v>46003.78514</v>
      </c>
      <c r="B2223" s="29" t="str">
        <f>IFERROR(__xludf.DUMMYFUNCTION("""COMPUTED_VALUE"""),"Circumcised")</f>
        <v>Circumcised</v>
      </c>
      <c r="C2223" s="29" t="str">
        <f>IFERROR(__xludf.DUMMYFUNCTION("""COMPUTED_VALUE"""),"Variety of Sensation")</f>
        <v>Variety of Sensation</v>
      </c>
      <c r="D2223" s="29" t="str">
        <f>IFERROR(__xludf.DUMMYFUNCTION("""COMPUTED_VALUE"""),"1 (Low/Poor)")</f>
        <v>1 (Low/Poor)</v>
      </c>
      <c r="E2223" s="29">
        <f>IFERROR(__xludf.DUMMYFUNCTION("""COMPUTED_VALUE"""),1.0)</f>
        <v>1</v>
      </c>
    </row>
    <row r="2224">
      <c r="A2224" s="33">
        <f>IFERROR(__xludf.DUMMYFUNCTION("""COMPUTED_VALUE"""),46009.51232134259)</f>
        <v>46009.51232</v>
      </c>
      <c r="B2224" s="29" t="str">
        <f>IFERROR(__xludf.DUMMYFUNCTION("""COMPUTED_VALUE"""),"Circumcised")</f>
        <v>Circumcised</v>
      </c>
      <c r="C2224" s="29" t="str">
        <f>IFERROR(__xludf.DUMMYFUNCTION("""COMPUTED_VALUE"""),"Variety of Sensation")</f>
        <v>Variety of Sensation</v>
      </c>
      <c r="D2224" s="29" t="str">
        <f>IFERROR(__xludf.DUMMYFUNCTION("""COMPUTED_VALUE"""),"2")</f>
        <v>2</v>
      </c>
      <c r="E2224" s="29">
        <f>IFERROR(__xludf.DUMMYFUNCTION("""COMPUTED_VALUE"""),2.0)</f>
        <v>2</v>
      </c>
    </row>
    <row r="2225">
      <c r="A2225" s="33">
        <f>IFERROR(__xludf.DUMMYFUNCTION("""COMPUTED_VALUE"""),46012.822104016195)</f>
        <v>46012.8221</v>
      </c>
      <c r="B2225" s="29" t="str">
        <f>IFERROR(__xludf.DUMMYFUNCTION("""COMPUTED_VALUE"""),"Actively restoring my foreskin / I consider myself restored")</f>
        <v>Actively restoring my foreskin / I consider myself restored</v>
      </c>
      <c r="C2225" s="29" t="str">
        <f>IFERROR(__xludf.DUMMYFUNCTION("""COMPUTED_VALUE"""),"Variety of Sensation")</f>
        <v>Variety of Sensation</v>
      </c>
      <c r="D2225" s="29" t="str">
        <f>IFERROR(__xludf.DUMMYFUNCTION("""COMPUTED_VALUE"""),"5 (High/Excellent)")</f>
        <v>5 (High/Excellent)</v>
      </c>
      <c r="E2225" s="29">
        <f>IFERROR(__xludf.DUMMYFUNCTION("""COMPUTED_VALUE"""),5.0)</f>
        <v>5</v>
      </c>
    </row>
    <row r="2226">
      <c r="A2226" s="33">
        <f>IFERROR(__xludf.DUMMYFUNCTION("""COMPUTED_VALUE"""),46012.99766703704)</f>
        <v>46012.99767</v>
      </c>
      <c r="B2226" s="29" t="str">
        <f>IFERROR(__xludf.DUMMYFUNCTION("""COMPUTED_VALUE"""),"Circumcised")</f>
        <v>Circumcised</v>
      </c>
      <c r="C2226" s="29" t="str">
        <f>IFERROR(__xludf.DUMMYFUNCTION("""COMPUTED_VALUE"""),"Variety of Sensation")</f>
        <v>Variety of Sensation</v>
      </c>
      <c r="D2226" s="29" t="str">
        <f>IFERROR(__xludf.DUMMYFUNCTION("""COMPUTED_VALUE"""),"2")</f>
        <v>2</v>
      </c>
      <c r="E2226" s="29">
        <f>IFERROR(__xludf.DUMMYFUNCTION("""COMPUTED_VALUE"""),2.0)</f>
        <v>2</v>
      </c>
    </row>
    <row r="2227">
      <c r="A2227" s="33">
        <f>IFERROR(__xludf.DUMMYFUNCTION("""COMPUTED_VALUE"""),46019.43110707175)</f>
        <v>46019.43111</v>
      </c>
      <c r="B2227" s="29" t="str">
        <f>IFERROR(__xludf.DUMMYFUNCTION("""COMPUTED_VALUE"""),"Circumcised")</f>
        <v>Circumcised</v>
      </c>
      <c r="C2227" s="29" t="str">
        <f>IFERROR(__xludf.DUMMYFUNCTION("""COMPUTED_VALUE"""),"Variety of Sensation")</f>
        <v>Variety of Sensation</v>
      </c>
      <c r="D2227" s="29" t="str">
        <f>IFERROR(__xludf.DUMMYFUNCTION("""COMPUTED_VALUE"""),"1 (Low/Poor)")</f>
        <v>1 (Low/Poor)</v>
      </c>
      <c r="E2227" s="29">
        <f>IFERROR(__xludf.DUMMYFUNCTION("""COMPUTED_VALUE"""),1.0)</f>
        <v>1</v>
      </c>
    </row>
    <row r="2228">
      <c r="A2228" s="33">
        <f>IFERROR(__xludf.DUMMYFUNCTION("""COMPUTED_VALUE"""),46019.70274966436)</f>
        <v>46019.70275</v>
      </c>
      <c r="B2228" s="29" t="str">
        <f>IFERROR(__xludf.DUMMYFUNCTION("""COMPUTED_VALUE"""),"Circumcised")</f>
        <v>Circumcised</v>
      </c>
      <c r="C2228" s="29" t="str">
        <f>IFERROR(__xludf.DUMMYFUNCTION("""COMPUTED_VALUE"""),"Variety of Sensation")</f>
        <v>Variety of Sensation</v>
      </c>
      <c r="D2228" s="29" t="str">
        <f>IFERROR(__xludf.DUMMYFUNCTION("""COMPUTED_VALUE"""),"4")</f>
        <v>4</v>
      </c>
      <c r="E2228" s="29">
        <f>IFERROR(__xludf.DUMMYFUNCTION("""COMPUTED_VALUE"""),4.0)</f>
        <v>4</v>
      </c>
    </row>
    <row r="2229">
      <c r="A2229" s="33">
        <f>IFERROR(__xludf.DUMMYFUNCTION("""COMPUTED_VALUE"""),46025.157875034725)</f>
        <v>46025.15788</v>
      </c>
      <c r="B2229" s="29" t="str">
        <f>IFERROR(__xludf.DUMMYFUNCTION("""COMPUTED_VALUE"""),"Circumcised")</f>
        <v>Circumcised</v>
      </c>
      <c r="C2229" s="29" t="str">
        <f>IFERROR(__xludf.DUMMYFUNCTION("""COMPUTED_VALUE"""),"Variety of Sensation")</f>
        <v>Variety of Sensation</v>
      </c>
      <c r="D2229" s="29" t="str">
        <f>IFERROR(__xludf.DUMMYFUNCTION("""COMPUTED_VALUE"""),"3 (Medium/Average)")</f>
        <v>3 (Medium/Average)</v>
      </c>
      <c r="E2229" s="29">
        <f>IFERROR(__xludf.DUMMYFUNCTION("""COMPUTED_VALUE"""),3.0)</f>
        <v>3</v>
      </c>
    </row>
    <row r="2230">
      <c r="A2230" s="33">
        <f>IFERROR(__xludf.DUMMYFUNCTION("""COMPUTED_VALUE"""),46025.18449309027)</f>
        <v>46025.18449</v>
      </c>
      <c r="B2230" s="29" t="str">
        <f>IFERROR(__xludf.DUMMYFUNCTION("""COMPUTED_VALUE"""),"Intact (Never circumcised)")</f>
        <v>Intact (Never circumcised)</v>
      </c>
      <c r="C2230" s="29" t="str">
        <f>IFERROR(__xludf.DUMMYFUNCTION("""COMPUTED_VALUE"""),"Variety of Sensation")</f>
        <v>Variety of Sensation</v>
      </c>
      <c r="D2230" s="29" t="str">
        <f>IFERROR(__xludf.DUMMYFUNCTION("""COMPUTED_VALUE"""),"5 (High/Excellent)")</f>
        <v>5 (High/Excellent)</v>
      </c>
      <c r="E2230" s="29">
        <f>IFERROR(__xludf.DUMMYFUNCTION("""COMPUTED_VALUE"""),5.0)</f>
        <v>5</v>
      </c>
    </row>
    <row r="2231">
      <c r="A2231" s="33">
        <f>IFERROR(__xludf.DUMMYFUNCTION("""COMPUTED_VALUE"""),46026.317358437496)</f>
        <v>46026.31736</v>
      </c>
      <c r="B2231" s="29" t="str">
        <f>IFERROR(__xludf.DUMMYFUNCTION("""COMPUTED_VALUE"""),"Actively restoring my foreskin / I consider myself restored")</f>
        <v>Actively restoring my foreskin / I consider myself restored</v>
      </c>
      <c r="C2231" s="29" t="str">
        <f>IFERROR(__xludf.DUMMYFUNCTION("""COMPUTED_VALUE"""),"Variety of Sensation")</f>
        <v>Variety of Sensation</v>
      </c>
      <c r="D2231" s="29" t="str">
        <f>IFERROR(__xludf.DUMMYFUNCTION("""COMPUTED_VALUE"""),"3 (Medium/Average)")</f>
        <v>3 (Medium/Average)</v>
      </c>
      <c r="E2231" s="29">
        <f>IFERROR(__xludf.DUMMYFUNCTION("""COMPUTED_VALUE"""),3.0)</f>
        <v>3</v>
      </c>
    </row>
    <row r="2232">
      <c r="A2232" s="33">
        <f>IFERROR(__xludf.DUMMYFUNCTION("""COMPUTED_VALUE"""),46028.958640625)</f>
        <v>46028.95864</v>
      </c>
      <c r="B2232" s="29" t="str">
        <f>IFERROR(__xludf.DUMMYFUNCTION("""COMPUTED_VALUE"""),"Circumcised")</f>
        <v>Circumcised</v>
      </c>
      <c r="C2232" s="29" t="str">
        <f>IFERROR(__xludf.DUMMYFUNCTION("""COMPUTED_VALUE"""),"Variety of Sensation")</f>
        <v>Variety of Sensation</v>
      </c>
      <c r="D2232" s="29" t="str">
        <f>IFERROR(__xludf.DUMMYFUNCTION("""COMPUTED_VALUE"""),"1 (Low/Poor)")</f>
        <v>1 (Low/Poor)</v>
      </c>
      <c r="E2232" s="29">
        <f>IFERROR(__xludf.DUMMYFUNCTION("""COMPUTED_VALUE"""),1.0)</f>
        <v>1</v>
      </c>
    </row>
    <row r="2233">
      <c r="A2233" s="33">
        <f>IFERROR(__xludf.DUMMYFUNCTION("""COMPUTED_VALUE"""),46029.12269635416)</f>
        <v>46029.1227</v>
      </c>
      <c r="B2233" s="29" t="str">
        <f>IFERROR(__xludf.DUMMYFUNCTION("""COMPUTED_VALUE"""),"Intact (Never circumcised)")</f>
        <v>Intact (Never circumcised)</v>
      </c>
      <c r="C2233" s="29" t="str">
        <f>IFERROR(__xludf.DUMMYFUNCTION("""COMPUTED_VALUE"""),"Variety of Sensation")</f>
        <v>Variety of Sensation</v>
      </c>
      <c r="D2233" s="29" t="str">
        <f>IFERROR(__xludf.DUMMYFUNCTION("""COMPUTED_VALUE"""),"5 (High/Excellent)")</f>
        <v>5 (High/Excellent)</v>
      </c>
      <c r="E2233" s="29">
        <f>IFERROR(__xludf.DUMMYFUNCTION("""COMPUTED_VALUE"""),5.0)</f>
        <v>5</v>
      </c>
    </row>
    <row r="2234">
      <c r="A2234" s="33">
        <f>IFERROR(__xludf.DUMMYFUNCTION("""COMPUTED_VALUE"""),46032.64016930556)</f>
        <v>46032.64017</v>
      </c>
      <c r="B2234" s="29" t="str">
        <f>IFERROR(__xludf.DUMMYFUNCTION("""COMPUTED_VALUE"""),"Actively restoring my foreskin / I consider myself restored")</f>
        <v>Actively restoring my foreskin / I consider myself restored</v>
      </c>
      <c r="C2234" s="29" t="str">
        <f>IFERROR(__xludf.DUMMYFUNCTION("""COMPUTED_VALUE"""),"Variety of Sensation")</f>
        <v>Variety of Sensation</v>
      </c>
      <c r="D2234" s="29" t="str">
        <f>IFERROR(__xludf.DUMMYFUNCTION("""COMPUTED_VALUE"""),"4")</f>
        <v>4</v>
      </c>
      <c r="E2234" s="29">
        <f>IFERROR(__xludf.DUMMYFUNCTION("""COMPUTED_VALUE"""),4.0)</f>
        <v>4</v>
      </c>
    </row>
    <row r="2235">
      <c r="A2235" s="33">
        <f>IFERROR(__xludf.DUMMYFUNCTION("""COMPUTED_VALUE"""),46037.4918693287)</f>
        <v>46037.49187</v>
      </c>
      <c r="B2235" s="29" t="str">
        <f>IFERROR(__xludf.DUMMYFUNCTION("""COMPUTED_VALUE"""),"Actively restoring my foreskin / I consider myself restored")</f>
        <v>Actively restoring my foreskin / I consider myself restored</v>
      </c>
      <c r="C2235" s="29" t="str">
        <f>IFERROR(__xludf.DUMMYFUNCTION("""COMPUTED_VALUE"""),"Variety of Sensation")</f>
        <v>Variety of Sensation</v>
      </c>
      <c r="D2235" s="29" t="str">
        <f>IFERROR(__xludf.DUMMYFUNCTION("""COMPUTED_VALUE"""),"1 (Low/Poor)")</f>
        <v>1 (Low/Poor)</v>
      </c>
      <c r="E2235" s="29">
        <f>IFERROR(__xludf.DUMMYFUNCTION("""COMPUTED_VALUE"""),1.0)</f>
        <v>1</v>
      </c>
    </row>
    <row r="2236">
      <c r="A2236" s="33">
        <f>IFERROR(__xludf.DUMMYFUNCTION("""COMPUTED_VALUE"""),46037.5570009375)</f>
        <v>46037.557</v>
      </c>
      <c r="B2236" s="29" t="str">
        <f>IFERROR(__xludf.DUMMYFUNCTION("""COMPUTED_VALUE"""),"Intact (Never circumcised)")</f>
        <v>Intact (Never circumcised)</v>
      </c>
      <c r="C2236" s="29" t="str">
        <f>IFERROR(__xludf.DUMMYFUNCTION("""COMPUTED_VALUE"""),"Variety of Sensation")</f>
        <v>Variety of Sensation</v>
      </c>
      <c r="D2236" s="29" t="str">
        <f>IFERROR(__xludf.DUMMYFUNCTION("""COMPUTED_VALUE"""),"3 (Medium/Average)")</f>
        <v>3 (Medium/Average)</v>
      </c>
      <c r="E2236" s="29">
        <f>IFERROR(__xludf.DUMMYFUNCTION("""COMPUTED_VALUE"""),3.0)</f>
        <v>3</v>
      </c>
    </row>
    <row r="2237">
      <c r="A2237" s="33">
        <f>IFERROR(__xludf.DUMMYFUNCTION("""COMPUTED_VALUE"""),46053.61221619213)</f>
        <v>46053.61222</v>
      </c>
      <c r="B2237" s="29" t="str">
        <f>IFERROR(__xludf.DUMMYFUNCTION("""COMPUTED_VALUE"""),"Circumcised")</f>
        <v>Circumcised</v>
      </c>
      <c r="C2237" s="29" t="str">
        <f>IFERROR(__xludf.DUMMYFUNCTION("""COMPUTED_VALUE"""),"Variety of Sensation")</f>
        <v>Variety of Sensation</v>
      </c>
      <c r="D2237" s="29" t="str">
        <f>IFERROR(__xludf.DUMMYFUNCTION("""COMPUTED_VALUE"""),"4")</f>
        <v>4</v>
      </c>
      <c r="E2237" s="29">
        <f>IFERROR(__xludf.DUMMYFUNCTION("""COMPUTED_VALUE"""),4.0)</f>
        <v>4</v>
      </c>
    </row>
    <row r="2238">
      <c r="A2238" s="33">
        <f>IFERROR(__xludf.DUMMYFUNCTION("""COMPUTED_VALUE"""),46053.776607708336)</f>
        <v>46053.77661</v>
      </c>
      <c r="B2238" s="29" t="str">
        <f>IFERROR(__xludf.DUMMYFUNCTION("""COMPUTED_VALUE"""),"Circumcised")</f>
        <v>Circumcised</v>
      </c>
      <c r="C2238" s="29" t="str">
        <f>IFERROR(__xludf.DUMMYFUNCTION("""COMPUTED_VALUE"""),"Variety of Sensation")</f>
        <v>Variety of Sensation</v>
      </c>
      <c r="D2238" s="29" t="str">
        <f>IFERROR(__xludf.DUMMYFUNCTION("""COMPUTED_VALUE"""),"3 (Medium/Average)")</f>
        <v>3 (Medium/Average)</v>
      </c>
      <c r="E2238" s="29">
        <f>IFERROR(__xludf.DUMMYFUNCTION("""COMPUTED_VALUE"""),3.0)</f>
        <v>3</v>
      </c>
    </row>
    <row r="2239">
      <c r="A2239" s="33">
        <f>IFERROR(__xludf.DUMMYFUNCTION("""COMPUTED_VALUE"""),46055.729800081026)</f>
        <v>46055.7298</v>
      </c>
      <c r="B2239" s="29" t="str">
        <f>IFERROR(__xludf.DUMMYFUNCTION("""COMPUTED_VALUE"""),"Circumcised")</f>
        <v>Circumcised</v>
      </c>
      <c r="C2239" s="29" t="str">
        <f>IFERROR(__xludf.DUMMYFUNCTION("""COMPUTED_VALUE"""),"Variety of Sensation")</f>
        <v>Variety of Sensation</v>
      </c>
      <c r="D2239" s="29" t="str">
        <f>IFERROR(__xludf.DUMMYFUNCTION("""COMPUTED_VALUE"""),"1 (Low/Poor)")</f>
        <v>1 (Low/Poor)</v>
      </c>
      <c r="E2239" s="29">
        <f>IFERROR(__xludf.DUMMYFUNCTION("""COMPUTED_VALUE"""),1.0)</f>
        <v>1</v>
      </c>
    </row>
    <row r="2240">
      <c r="A2240" s="33">
        <f>IFERROR(__xludf.DUMMYFUNCTION("""COMPUTED_VALUE"""),46060.45633940972)</f>
        <v>46060.45634</v>
      </c>
      <c r="B2240" s="29" t="str">
        <f>IFERROR(__xludf.DUMMYFUNCTION("""COMPUTED_VALUE"""),"Circumcised")</f>
        <v>Circumcised</v>
      </c>
      <c r="C2240" s="29" t="str">
        <f>IFERROR(__xludf.DUMMYFUNCTION("""COMPUTED_VALUE"""),"Variety of Sensation")</f>
        <v>Variety of Sensation</v>
      </c>
      <c r="D2240" s="29" t="str">
        <f>IFERROR(__xludf.DUMMYFUNCTION("""COMPUTED_VALUE"""),"2")</f>
        <v>2</v>
      </c>
      <c r="E2240" s="29">
        <f>IFERROR(__xludf.DUMMYFUNCTION("""COMPUTED_VALUE"""),2.0)</f>
        <v>2</v>
      </c>
    </row>
    <row r="2241">
      <c r="A2241" s="33">
        <f>IFERROR(__xludf.DUMMYFUNCTION("""COMPUTED_VALUE"""),46061.530180625006)</f>
        <v>46061.53018</v>
      </c>
      <c r="B2241" s="29" t="str">
        <f>IFERROR(__xludf.DUMMYFUNCTION("""COMPUTED_VALUE"""),"Intact (Never circumcised)")</f>
        <v>Intact (Never circumcised)</v>
      </c>
      <c r="C2241" s="29" t="str">
        <f>IFERROR(__xludf.DUMMYFUNCTION("""COMPUTED_VALUE"""),"Variety of Sensation")</f>
        <v>Variety of Sensation</v>
      </c>
      <c r="D2241" s="29" t="str">
        <f>IFERROR(__xludf.DUMMYFUNCTION("""COMPUTED_VALUE"""),"5 (High/Excellent)")</f>
        <v>5 (High/Excellent)</v>
      </c>
      <c r="E2241" s="29">
        <f>IFERROR(__xludf.DUMMYFUNCTION("""COMPUTED_VALUE"""),5.0)</f>
        <v>5</v>
      </c>
    </row>
    <row r="2242">
      <c r="A2242" s="33">
        <f>IFERROR(__xludf.DUMMYFUNCTION("""COMPUTED_VALUE"""),46064.90010012731)</f>
        <v>46064.9001</v>
      </c>
      <c r="B2242" s="29" t="str">
        <f>IFERROR(__xludf.DUMMYFUNCTION("""COMPUTED_VALUE"""),"Intact (Never circumcised)")</f>
        <v>Intact (Never circumcised)</v>
      </c>
      <c r="C2242" s="29" t="str">
        <f>IFERROR(__xludf.DUMMYFUNCTION("""COMPUTED_VALUE"""),"Variety of Sensation")</f>
        <v>Variety of Sensation</v>
      </c>
      <c r="D2242" s="29" t="str">
        <f>IFERROR(__xludf.DUMMYFUNCTION("""COMPUTED_VALUE"""),"5 (High/Excellent)")</f>
        <v>5 (High/Excellent)</v>
      </c>
      <c r="E2242" s="29">
        <f>IFERROR(__xludf.DUMMYFUNCTION("""COMPUTED_VALUE"""),5.0)</f>
        <v>5</v>
      </c>
    </row>
    <row r="2243">
      <c r="A2243" s="33">
        <f>IFERROR(__xludf.DUMMYFUNCTION("""COMPUTED_VALUE"""),46064.99989840278)</f>
        <v>46064.9999</v>
      </c>
      <c r="B2243" s="29" t="str">
        <f>IFERROR(__xludf.DUMMYFUNCTION("""COMPUTED_VALUE"""),"Circumcised")</f>
        <v>Circumcised</v>
      </c>
      <c r="C2243" s="29" t="str">
        <f>IFERROR(__xludf.DUMMYFUNCTION("""COMPUTED_VALUE"""),"Variety of Sensation")</f>
        <v>Variety of Sensation</v>
      </c>
      <c r="D2243" s="29" t="str">
        <f>IFERROR(__xludf.DUMMYFUNCTION("""COMPUTED_VALUE"""),"2")</f>
        <v>2</v>
      </c>
      <c r="E2243" s="29">
        <f>IFERROR(__xludf.DUMMYFUNCTION("""COMPUTED_VALUE"""),2.0)</f>
        <v>2</v>
      </c>
    </row>
    <row r="2244">
      <c r="A2244" s="33">
        <f>IFERROR(__xludf.DUMMYFUNCTION("""COMPUTED_VALUE"""),46065.31308600695)</f>
        <v>46065.31309</v>
      </c>
      <c r="B2244" s="29" t="str">
        <f>IFERROR(__xludf.DUMMYFUNCTION("""COMPUTED_VALUE"""),"Circumcised")</f>
        <v>Circumcised</v>
      </c>
      <c r="C2244" s="29" t="str">
        <f>IFERROR(__xludf.DUMMYFUNCTION("""COMPUTED_VALUE"""),"Variety of Sensation")</f>
        <v>Variety of Sensation</v>
      </c>
      <c r="D2244" s="29" t="str">
        <f>IFERROR(__xludf.DUMMYFUNCTION("""COMPUTED_VALUE"""),"1 (Low/Poor)")</f>
        <v>1 (Low/Poor)</v>
      </c>
      <c r="E2244" s="29">
        <f>IFERROR(__xludf.DUMMYFUNCTION("""COMPUTED_VALUE"""),1.0)</f>
        <v>1</v>
      </c>
    </row>
    <row r="2245">
      <c r="A2245" s="33">
        <f>IFERROR(__xludf.DUMMYFUNCTION("""COMPUTED_VALUE"""),46065.52200550926)</f>
        <v>46065.52201</v>
      </c>
      <c r="B2245" s="29" t="str">
        <f>IFERROR(__xludf.DUMMYFUNCTION("""COMPUTED_VALUE"""),"Circumcised")</f>
        <v>Circumcised</v>
      </c>
      <c r="C2245" s="29" t="str">
        <f>IFERROR(__xludf.DUMMYFUNCTION("""COMPUTED_VALUE"""),"Variety of Sensation")</f>
        <v>Variety of Sensation</v>
      </c>
      <c r="D2245" s="29" t="str">
        <f>IFERROR(__xludf.DUMMYFUNCTION("""COMPUTED_VALUE"""),"1 (Low/Poor)")</f>
        <v>1 (Low/Poor)</v>
      </c>
      <c r="E2245" s="29">
        <f>IFERROR(__xludf.DUMMYFUNCTION("""COMPUTED_VALUE"""),1.0)</f>
        <v>1</v>
      </c>
    </row>
    <row r="2246">
      <c r="A2246" s="33">
        <f>IFERROR(__xludf.DUMMYFUNCTION("""COMPUTED_VALUE"""),46065.61208627315)</f>
        <v>46065.61209</v>
      </c>
      <c r="B2246" s="29" t="str">
        <f>IFERROR(__xludf.DUMMYFUNCTION("""COMPUTED_VALUE"""),"Intact (Never circumcised)")</f>
        <v>Intact (Never circumcised)</v>
      </c>
      <c r="C2246" s="29" t="str">
        <f>IFERROR(__xludf.DUMMYFUNCTION("""COMPUTED_VALUE"""),"Variety of Sensation")</f>
        <v>Variety of Sensation</v>
      </c>
      <c r="D2246" s="29" t="str">
        <f>IFERROR(__xludf.DUMMYFUNCTION("""COMPUTED_VALUE"""),"3 (Medium/Average)")</f>
        <v>3 (Medium/Average)</v>
      </c>
      <c r="E2246" s="29">
        <f>IFERROR(__xludf.DUMMYFUNCTION("""COMPUTED_VALUE"""),3.0)</f>
        <v>3</v>
      </c>
    </row>
    <row r="2247">
      <c r="A2247" s="33">
        <f>IFERROR(__xludf.DUMMYFUNCTION("""COMPUTED_VALUE"""),46066.35949877315)</f>
        <v>46066.3595</v>
      </c>
      <c r="B2247" s="29" t="str">
        <f>IFERROR(__xludf.DUMMYFUNCTION("""COMPUTED_VALUE"""),"Circumcised")</f>
        <v>Circumcised</v>
      </c>
      <c r="C2247" s="29" t="str">
        <f>IFERROR(__xludf.DUMMYFUNCTION("""COMPUTED_VALUE"""),"Variety of Sensation")</f>
        <v>Variety of Sensation</v>
      </c>
      <c r="D2247" s="29" t="str">
        <f>IFERROR(__xludf.DUMMYFUNCTION("""COMPUTED_VALUE"""),"1 (Low/Poor)")</f>
        <v>1 (Low/Poor)</v>
      </c>
      <c r="E2247" s="29">
        <f>IFERROR(__xludf.DUMMYFUNCTION("""COMPUTED_VALUE"""),1.0)</f>
        <v>1</v>
      </c>
    </row>
    <row r="2248">
      <c r="A2248" s="33">
        <f>IFERROR(__xludf.DUMMYFUNCTION("""COMPUTED_VALUE"""),46066.93613185186)</f>
        <v>46066.93613</v>
      </c>
      <c r="B2248" s="29" t="str">
        <f>IFERROR(__xludf.DUMMYFUNCTION("""COMPUTED_VALUE"""),"Circumcised")</f>
        <v>Circumcised</v>
      </c>
      <c r="C2248" s="29" t="str">
        <f>IFERROR(__xludf.DUMMYFUNCTION("""COMPUTED_VALUE"""),"Variety of Sensation")</f>
        <v>Variety of Sensation</v>
      </c>
      <c r="D2248" s="29" t="str">
        <f>IFERROR(__xludf.DUMMYFUNCTION("""COMPUTED_VALUE"""),"4")</f>
        <v>4</v>
      </c>
      <c r="E2248" s="29">
        <f>IFERROR(__xludf.DUMMYFUNCTION("""COMPUTED_VALUE"""),4.0)</f>
        <v>4</v>
      </c>
    </row>
    <row r="2249">
      <c r="A2249" s="33">
        <f>IFERROR(__xludf.DUMMYFUNCTION("""COMPUTED_VALUE"""),46067.17601916667)</f>
        <v>46067.17602</v>
      </c>
      <c r="B2249" s="29" t="str">
        <f>IFERROR(__xludf.DUMMYFUNCTION("""COMPUTED_VALUE"""),"Intact (Never circumcised)")</f>
        <v>Intact (Never circumcised)</v>
      </c>
      <c r="C2249" s="29" t="str">
        <f>IFERROR(__xludf.DUMMYFUNCTION("""COMPUTED_VALUE"""),"Variety of Sensation")</f>
        <v>Variety of Sensation</v>
      </c>
      <c r="D2249" s="29" t="str">
        <f>IFERROR(__xludf.DUMMYFUNCTION("""COMPUTED_VALUE"""),"3 (Medium/Average)")</f>
        <v>3 (Medium/Average)</v>
      </c>
      <c r="E2249" s="29">
        <f>IFERROR(__xludf.DUMMYFUNCTION("""COMPUTED_VALUE"""),3.0)</f>
        <v>3</v>
      </c>
    </row>
    <row r="2250">
      <c r="A2250" s="33">
        <f>IFERROR(__xludf.DUMMYFUNCTION("""COMPUTED_VALUE"""),46069.69560907408)</f>
        <v>46069.69561</v>
      </c>
      <c r="B2250" s="29" t="str">
        <f>IFERROR(__xludf.DUMMYFUNCTION("""COMPUTED_VALUE"""),"Circumcised")</f>
        <v>Circumcised</v>
      </c>
      <c r="C2250" s="29" t="str">
        <f>IFERROR(__xludf.DUMMYFUNCTION("""COMPUTED_VALUE"""),"Variety of Sensation")</f>
        <v>Variety of Sensation</v>
      </c>
      <c r="D2250" s="29" t="str">
        <f>IFERROR(__xludf.DUMMYFUNCTION("""COMPUTED_VALUE"""),"5 (High/Excellent)")</f>
        <v>5 (High/Excellent)</v>
      </c>
      <c r="E2250" s="29">
        <f>IFERROR(__xludf.DUMMYFUNCTION("""COMPUTED_VALUE"""),5.0)</f>
        <v>5</v>
      </c>
    </row>
    <row r="2251">
      <c r="A2251" s="33">
        <f>IFERROR(__xludf.DUMMYFUNCTION("""COMPUTED_VALUE"""),46069.74153994213)</f>
        <v>46069.74154</v>
      </c>
      <c r="B2251" s="29" t="str">
        <f>IFERROR(__xludf.DUMMYFUNCTION("""COMPUTED_VALUE"""),"Actively restoring my foreskin / I consider myself restored")</f>
        <v>Actively restoring my foreskin / I consider myself restored</v>
      </c>
      <c r="C2251" s="29" t="str">
        <f>IFERROR(__xludf.DUMMYFUNCTION("""COMPUTED_VALUE"""),"Variety of Sensation")</f>
        <v>Variety of Sensation</v>
      </c>
      <c r="D2251" s="29" t="str">
        <f>IFERROR(__xludf.DUMMYFUNCTION("""COMPUTED_VALUE"""),"4")</f>
        <v>4</v>
      </c>
      <c r="E2251" s="29">
        <f>IFERROR(__xludf.DUMMYFUNCTION("""COMPUTED_VALUE"""),4.0)</f>
        <v>4</v>
      </c>
    </row>
    <row r="2252">
      <c r="A2252" s="33">
        <f>IFERROR(__xludf.DUMMYFUNCTION("""COMPUTED_VALUE"""),46070.524625185186)</f>
        <v>46070.52463</v>
      </c>
      <c r="B2252" s="29" t="str">
        <f>IFERROR(__xludf.DUMMYFUNCTION("""COMPUTED_VALUE"""),"Intact (Never circumcised)")</f>
        <v>Intact (Never circumcised)</v>
      </c>
      <c r="C2252" s="29" t="str">
        <f>IFERROR(__xludf.DUMMYFUNCTION("""COMPUTED_VALUE"""),"Variety of Sensation")</f>
        <v>Variety of Sensation</v>
      </c>
      <c r="D2252" s="29" t="str">
        <f>IFERROR(__xludf.DUMMYFUNCTION("""COMPUTED_VALUE"""),"5 (High/Excellent)")</f>
        <v>5 (High/Excellent)</v>
      </c>
      <c r="E2252" s="29">
        <f>IFERROR(__xludf.DUMMYFUNCTION("""COMPUTED_VALUE"""),5.0)</f>
        <v>5</v>
      </c>
    </row>
    <row r="2253">
      <c r="A2253" s="33">
        <f>IFERROR(__xludf.DUMMYFUNCTION("""COMPUTED_VALUE"""),46076.66878359954)</f>
        <v>46076.66878</v>
      </c>
      <c r="B2253" s="29" t="str">
        <f>IFERROR(__xludf.DUMMYFUNCTION("""COMPUTED_VALUE"""),"Circumcised")</f>
        <v>Circumcised</v>
      </c>
      <c r="C2253" s="29" t="str">
        <f>IFERROR(__xludf.DUMMYFUNCTION("""COMPUTED_VALUE"""),"Variety of Sensation")</f>
        <v>Variety of Sensation</v>
      </c>
      <c r="D2253" s="29" t="str">
        <f>IFERROR(__xludf.DUMMYFUNCTION("""COMPUTED_VALUE"""),"1 (Low/Poor)")</f>
        <v>1 (Low/Poor)</v>
      </c>
      <c r="E2253" s="29">
        <f>IFERROR(__xludf.DUMMYFUNCTION("""COMPUTED_VALUE"""),1.0)</f>
        <v>1</v>
      </c>
    </row>
    <row r="2254">
      <c r="A2254" s="33">
        <f>IFERROR(__xludf.DUMMYFUNCTION("""COMPUTED_VALUE"""),46078.59408679398)</f>
        <v>46078.59409</v>
      </c>
      <c r="B2254" s="29" t="str">
        <f>IFERROR(__xludf.DUMMYFUNCTION("""COMPUTED_VALUE"""),"Circumcised")</f>
        <v>Circumcised</v>
      </c>
      <c r="C2254" s="29" t="str">
        <f>IFERROR(__xludf.DUMMYFUNCTION("""COMPUTED_VALUE"""),"Variety of Sensation")</f>
        <v>Variety of Sensation</v>
      </c>
      <c r="D2254" s="29" t="str">
        <f>IFERROR(__xludf.DUMMYFUNCTION("""COMPUTED_VALUE"""),"3 (Medium/Average)")</f>
        <v>3 (Medium/Average)</v>
      </c>
      <c r="E2254" s="29">
        <f>IFERROR(__xludf.DUMMYFUNCTION("""COMPUTED_VALUE"""),3.0)</f>
        <v>3</v>
      </c>
    </row>
    <row r="2255">
      <c r="A2255" s="33">
        <f>IFERROR(__xludf.DUMMYFUNCTION("""COMPUTED_VALUE"""),46089.89088146991)</f>
        <v>46089.89088</v>
      </c>
      <c r="B2255" s="29" t="str">
        <f>IFERROR(__xludf.DUMMYFUNCTION("""COMPUTED_VALUE"""),"Actively restoring my foreskin / I consider myself restored")</f>
        <v>Actively restoring my foreskin / I consider myself restored</v>
      </c>
      <c r="C2255" s="29" t="str">
        <f>IFERROR(__xludf.DUMMYFUNCTION("""COMPUTED_VALUE"""),"Variety of Sensation")</f>
        <v>Variety of Sensation</v>
      </c>
      <c r="D2255" s="29" t="str">
        <f>IFERROR(__xludf.DUMMYFUNCTION("""COMPUTED_VALUE"""),"5 (High/Excellent)")</f>
        <v>5 (High/Excellent)</v>
      </c>
      <c r="E2255" s="29">
        <f>IFERROR(__xludf.DUMMYFUNCTION("""COMPUTED_VALUE"""),5.0)</f>
        <v>5</v>
      </c>
    </row>
    <row r="2256">
      <c r="A2256" s="33">
        <f>IFERROR(__xludf.DUMMYFUNCTION("""COMPUTED_VALUE"""),46091.30222179399)</f>
        <v>46091.30222</v>
      </c>
      <c r="B2256" s="29" t="str">
        <f>IFERROR(__xludf.DUMMYFUNCTION("""COMPUTED_VALUE"""),"Circumcised")</f>
        <v>Circumcised</v>
      </c>
      <c r="C2256" s="29" t="str">
        <f>IFERROR(__xludf.DUMMYFUNCTION("""COMPUTED_VALUE"""),"Variety of Sensation")</f>
        <v>Variety of Sensation</v>
      </c>
      <c r="D2256" s="29" t="str">
        <f>IFERROR(__xludf.DUMMYFUNCTION("""COMPUTED_VALUE"""),"3 (Medium/Average)")</f>
        <v>3 (Medium/Average)</v>
      </c>
      <c r="E2256" s="29">
        <f>IFERROR(__xludf.DUMMYFUNCTION("""COMPUTED_VALUE"""),3.0)</f>
        <v>3</v>
      </c>
    </row>
    <row r="2257">
      <c r="A2257" s="33">
        <f>IFERROR(__xludf.DUMMYFUNCTION("""COMPUTED_VALUE"""),46091.744138333335)</f>
        <v>46091.74414</v>
      </c>
      <c r="B2257" s="29" t="str">
        <f>IFERROR(__xludf.DUMMYFUNCTION("""COMPUTED_VALUE"""),"Circumcised")</f>
        <v>Circumcised</v>
      </c>
      <c r="C2257" s="29" t="str">
        <f>IFERROR(__xludf.DUMMYFUNCTION("""COMPUTED_VALUE"""),"Variety of Sensation")</f>
        <v>Variety of Sensation</v>
      </c>
      <c r="D2257" s="29" t="str">
        <f>IFERROR(__xludf.DUMMYFUNCTION("""COMPUTED_VALUE"""),"2")</f>
        <v>2</v>
      </c>
      <c r="E2257" s="29">
        <f>IFERROR(__xludf.DUMMYFUNCTION("""COMPUTED_VALUE"""),2.0)</f>
        <v>2</v>
      </c>
    </row>
    <row r="2258">
      <c r="A2258" s="33">
        <f>IFERROR(__xludf.DUMMYFUNCTION("""COMPUTED_VALUE"""),46093.81161307871)</f>
        <v>46093.81161</v>
      </c>
      <c r="B2258" s="29" t="str">
        <f>IFERROR(__xludf.DUMMYFUNCTION("""COMPUTED_VALUE"""),"Circumcised")</f>
        <v>Circumcised</v>
      </c>
      <c r="C2258" s="29" t="str">
        <f>IFERROR(__xludf.DUMMYFUNCTION("""COMPUTED_VALUE"""),"Variety of Sensation")</f>
        <v>Variety of Sensation</v>
      </c>
      <c r="D2258" s="29" t="str">
        <f>IFERROR(__xludf.DUMMYFUNCTION("""COMPUTED_VALUE"""),"3 (Medium/Average)")</f>
        <v>3 (Medium/Average)</v>
      </c>
      <c r="E2258" s="29">
        <f>IFERROR(__xludf.DUMMYFUNCTION("""COMPUTED_VALUE"""),3.0)</f>
        <v>3</v>
      </c>
    </row>
    <row r="2259">
      <c r="A2259" s="33">
        <f>IFERROR(__xludf.DUMMYFUNCTION("""COMPUTED_VALUE"""),46095.51932767361)</f>
        <v>46095.51933</v>
      </c>
      <c r="B2259" s="29" t="str">
        <f>IFERROR(__xludf.DUMMYFUNCTION("""COMPUTED_VALUE"""),"Circumcised")</f>
        <v>Circumcised</v>
      </c>
      <c r="C2259" s="29" t="str">
        <f>IFERROR(__xludf.DUMMYFUNCTION("""COMPUTED_VALUE"""),"Variety of Sensation")</f>
        <v>Variety of Sensation</v>
      </c>
      <c r="D2259" s="29" t="str">
        <f>IFERROR(__xludf.DUMMYFUNCTION("""COMPUTED_VALUE"""),"1 (Low/Poor)")</f>
        <v>1 (Low/Poor)</v>
      </c>
      <c r="E2259" s="29">
        <f>IFERROR(__xludf.DUMMYFUNCTION("""COMPUTED_VALUE"""),1.0)</f>
        <v>1</v>
      </c>
    </row>
    <row r="2260">
      <c r="A2260" s="33">
        <f>IFERROR(__xludf.DUMMYFUNCTION("""COMPUTED_VALUE"""),46098.99564787037)</f>
        <v>46098.99565</v>
      </c>
      <c r="B2260" s="29" t="str">
        <f>IFERROR(__xludf.DUMMYFUNCTION("""COMPUTED_VALUE"""),"Actively restoring my foreskin / I consider myself restored")</f>
        <v>Actively restoring my foreskin / I consider myself restored</v>
      </c>
      <c r="C2260" s="29" t="str">
        <f>IFERROR(__xludf.DUMMYFUNCTION("""COMPUTED_VALUE"""),"Variety of Sensation")</f>
        <v>Variety of Sensation</v>
      </c>
      <c r="D2260" s="29" t="str">
        <f>IFERROR(__xludf.DUMMYFUNCTION("""COMPUTED_VALUE"""),"2")</f>
        <v>2</v>
      </c>
      <c r="E2260" s="29">
        <f>IFERROR(__xludf.DUMMYFUNCTION("""COMPUTED_VALUE"""),2.0)</f>
        <v>2</v>
      </c>
    </row>
    <row r="2261">
      <c r="A2261" s="33">
        <f>IFERROR(__xludf.DUMMYFUNCTION("""COMPUTED_VALUE"""),46100.79148802084)</f>
        <v>46100.79149</v>
      </c>
      <c r="B2261" s="29" t="str">
        <f>IFERROR(__xludf.DUMMYFUNCTION("""COMPUTED_VALUE"""),"Actively restoring my foreskin / I consider myself restored")</f>
        <v>Actively restoring my foreskin / I consider myself restored</v>
      </c>
      <c r="C2261" s="29" t="str">
        <f>IFERROR(__xludf.DUMMYFUNCTION("""COMPUTED_VALUE"""),"Variety of Sensation")</f>
        <v>Variety of Sensation</v>
      </c>
      <c r="D2261" s="29" t="str">
        <f>IFERROR(__xludf.DUMMYFUNCTION("""COMPUTED_VALUE"""),"4")</f>
        <v>4</v>
      </c>
      <c r="E2261" s="29">
        <f>IFERROR(__xludf.DUMMYFUNCTION("""COMPUTED_VALUE"""),4.0)</f>
        <v>4</v>
      </c>
    </row>
    <row r="2262">
      <c r="A2262" s="33">
        <f>IFERROR(__xludf.DUMMYFUNCTION("""COMPUTED_VALUE"""),46104.68932258101)</f>
        <v>46104.68932</v>
      </c>
      <c r="B2262" s="29" t="str">
        <f>IFERROR(__xludf.DUMMYFUNCTION("""COMPUTED_VALUE"""),"Intact (Never circumcised)")</f>
        <v>Intact (Never circumcised)</v>
      </c>
      <c r="C2262" s="29" t="str">
        <f>IFERROR(__xludf.DUMMYFUNCTION("""COMPUTED_VALUE"""),"Variety of Sensation")</f>
        <v>Variety of Sensation</v>
      </c>
      <c r="D2262" s="29" t="str">
        <f>IFERROR(__xludf.DUMMYFUNCTION("""COMPUTED_VALUE"""),"4")</f>
        <v>4</v>
      </c>
      <c r="E2262" s="29">
        <f>IFERROR(__xludf.DUMMYFUNCTION("""COMPUTED_VALUE"""),4.0)</f>
        <v>4</v>
      </c>
    </row>
    <row r="2263">
      <c r="A2263" s="33">
        <f>IFERROR(__xludf.DUMMYFUNCTION("""COMPUTED_VALUE"""),46111.22171283565)</f>
        <v>46111.22171</v>
      </c>
      <c r="B2263" s="29" t="str">
        <f>IFERROR(__xludf.DUMMYFUNCTION("""COMPUTED_VALUE"""),"Circumcised")</f>
        <v>Circumcised</v>
      </c>
      <c r="C2263" s="29" t="str">
        <f>IFERROR(__xludf.DUMMYFUNCTION("""COMPUTED_VALUE"""),"Variety of Sensation")</f>
        <v>Variety of Sensation</v>
      </c>
      <c r="D2263" s="29" t="str">
        <f>IFERROR(__xludf.DUMMYFUNCTION("""COMPUTED_VALUE"""),"2")</f>
        <v>2</v>
      </c>
      <c r="E2263" s="29">
        <f>IFERROR(__xludf.DUMMYFUNCTION("""COMPUTED_VALUE"""),2.0)</f>
        <v>2</v>
      </c>
    </row>
    <row r="2264">
      <c r="A2264" s="33">
        <f>IFERROR(__xludf.DUMMYFUNCTION("""COMPUTED_VALUE"""),46114.45798623843)</f>
        <v>46114.45799</v>
      </c>
      <c r="B2264" s="29" t="str">
        <f>IFERROR(__xludf.DUMMYFUNCTION("""COMPUTED_VALUE"""),"Circumcised")</f>
        <v>Circumcised</v>
      </c>
      <c r="C2264" s="29" t="str">
        <f>IFERROR(__xludf.DUMMYFUNCTION("""COMPUTED_VALUE"""),"Variety of Sensation")</f>
        <v>Variety of Sensation</v>
      </c>
      <c r="D2264" s="29" t="str">
        <f>IFERROR(__xludf.DUMMYFUNCTION("""COMPUTED_VALUE"""),"4")</f>
        <v>4</v>
      </c>
      <c r="E2264" s="29">
        <f>IFERROR(__xludf.DUMMYFUNCTION("""COMPUTED_VALUE"""),4.0)</f>
        <v>4</v>
      </c>
    </row>
    <row r="2265">
      <c r="A2265" s="33">
        <f>IFERROR(__xludf.DUMMYFUNCTION("""COMPUTED_VALUE"""),46116.70468314815)</f>
        <v>46116.70468</v>
      </c>
      <c r="B2265" s="29" t="str">
        <f>IFERROR(__xludf.DUMMYFUNCTION("""COMPUTED_VALUE"""),"Circumcised")</f>
        <v>Circumcised</v>
      </c>
      <c r="C2265" s="29" t="str">
        <f>IFERROR(__xludf.DUMMYFUNCTION("""COMPUTED_VALUE"""),"Variety of Sensation")</f>
        <v>Variety of Sensation</v>
      </c>
      <c r="D2265" s="29" t="str">
        <f>IFERROR(__xludf.DUMMYFUNCTION("""COMPUTED_VALUE"""),"1 (Low/Poor)")</f>
        <v>1 (Low/Poor)</v>
      </c>
      <c r="E2265" s="29">
        <f>IFERROR(__xludf.DUMMYFUNCTION("""COMPUTED_VALUE"""),1.0)</f>
        <v>1</v>
      </c>
    </row>
    <row r="2266">
      <c r="A2266" s="33">
        <f>IFERROR(__xludf.DUMMYFUNCTION("""COMPUTED_VALUE"""),46116.71896637732)</f>
        <v>46116.71897</v>
      </c>
      <c r="B2266" s="29" t="str">
        <f>IFERROR(__xludf.DUMMYFUNCTION("""COMPUTED_VALUE"""),"Intact (Never circumcised)")</f>
        <v>Intact (Never circumcised)</v>
      </c>
      <c r="C2266" s="29" t="str">
        <f>IFERROR(__xludf.DUMMYFUNCTION("""COMPUTED_VALUE"""),"Variety of Sensation")</f>
        <v>Variety of Sensation</v>
      </c>
      <c r="D2266" s="29" t="str">
        <f>IFERROR(__xludf.DUMMYFUNCTION("""COMPUTED_VALUE"""),"4")</f>
        <v>4</v>
      </c>
      <c r="E2266" s="29">
        <f>IFERROR(__xludf.DUMMYFUNCTION("""COMPUTED_VALUE"""),4.0)</f>
        <v>4</v>
      </c>
    </row>
    <row r="2267">
      <c r="A2267" s="33">
        <f>IFERROR(__xludf.DUMMYFUNCTION("""COMPUTED_VALUE"""),46116.83796020834)</f>
        <v>46116.83796</v>
      </c>
      <c r="B2267" s="29" t="str">
        <f>IFERROR(__xludf.DUMMYFUNCTION("""COMPUTED_VALUE"""),"Circumcised")</f>
        <v>Circumcised</v>
      </c>
      <c r="C2267" s="29" t="str">
        <f>IFERROR(__xludf.DUMMYFUNCTION("""COMPUTED_VALUE"""),"Variety of Sensation")</f>
        <v>Variety of Sensation</v>
      </c>
      <c r="D2267" s="29" t="str">
        <f>IFERROR(__xludf.DUMMYFUNCTION("""COMPUTED_VALUE"""),"2")</f>
        <v>2</v>
      </c>
      <c r="E2267" s="29">
        <f>IFERROR(__xludf.DUMMYFUNCTION("""COMPUTED_VALUE"""),2.0)</f>
        <v>2</v>
      </c>
    </row>
    <row r="2268">
      <c r="A2268" s="33">
        <f>IFERROR(__xludf.DUMMYFUNCTION("""COMPUTED_VALUE"""),46117.02418079861)</f>
        <v>46117.02418</v>
      </c>
      <c r="B2268" s="29" t="str">
        <f>IFERROR(__xludf.DUMMYFUNCTION("""COMPUTED_VALUE"""),"Intact (Never circumcised)")</f>
        <v>Intact (Never circumcised)</v>
      </c>
      <c r="C2268" s="29" t="str">
        <f>IFERROR(__xludf.DUMMYFUNCTION("""COMPUTED_VALUE"""),"Variety of Sensation")</f>
        <v>Variety of Sensation</v>
      </c>
      <c r="D2268" s="29" t="str">
        <f>IFERROR(__xludf.DUMMYFUNCTION("""COMPUTED_VALUE"""),"5 (High/Excellent)")</f>
        <v>5 (High/Excellent)</v>
      </c>
      <c r="E2268" s="29">
        <f>IFERROR(__xludf.DUMMYFUNCTION("""COMPUTED_VALUE"""),5.0)</f>
        <v>5</v>
      </c>
    </row>
    <row r="2269">
      <c r="A2269" s="33">
        <f>IFERROR(__xludf.DUMMYFUNCTION("""COMPUTED_VALUE"""),46117.10372409722)</f>
        <v>46117.10372</v>
      </c>
      <c r="B2269" s="29" t="str">
        <f>IFERROR(__xludf.DUMMYFUNCTION("""COMPUTED_VALUE"""),"Intact (Never circumcised)")</f>
        <v>Intact (Never circumcised)</v>
      </c>
      <c r="C2269" s="29" t="str">
        <f>IFERROR(__xludf.DUMMYFUNCTION("""COMPUTED_VALUE"""),"Variety of Sensation")</f>
        <v>Variety of Sensation</v>
      </c>
      <c r="D2269" s="29" t="str">
        <f>IFERROR(__xludf.DUMMYFUNCTION("""COMPUTED_VALUE"""),"5 (High/Excellent)")</f>
        <v>5 (High/Excellent)</v>
      </c>
      <c r="E2269" s="29">
        <f>IFERROR(__xludf.DUMMYFUNCTION("""COMPUTED_VALUE"""),5.0)</f>
        <v>5</v>
      </c>
    </row>
    <row r="2270">
      <c r="A2270" s="33">
        <f>IFERROR(__xludf.DUMMYFUNCTION("""COMPUTED_VALUE"""),46117.11012297453)</f>
        <v>46117.11012</v>
      </c>
      <c r="B2270" s="29" t="str">
        <f>IFERROR(__xludf.DUMMYFUNCTION("""COMPUTED_VALUE"""),"Circumcised")</f>
        <v>Circumcised</v>
      </c>
      <c r="C2270" s="29" t="str">
        <f>IFERROR(__xludf.DUMMYFUNCTION("""COMPUTED_VALUE"""),"Variety of Sensation")</f>
        <v>Variety of Sensation</v>
      </c>
      <c r="D2270" s="29" t="str">
        <f>IFERROR(__xludf.DUMMYFUNCTION("""COMPUTED_VALUE"""),"2")</f>
        <v>2</v>
      </c>
      <c r="E2270" s="29">
        <f>IFERROR(__xludf.DUMMYFUNCTION("""COMPUTED_VALUE"""),2.0)</f>
        <v>2</v>
      </c>
    </row>
    <row r="2271">
      <c r="A2271" s="33">
        <f>IFERROR(__xludf.DUMMYFUNCTION("""COMPUTED_VALUE"""),46117.37274850695)</f>
        <v>46117.37275</v>
      </c>
      <c r="B2271" s="29" t="str">
        <f>IFERROR(__xludf.DUMMYFUNCTION("""COMPUTED_VALUE"""),"Circumcised")</f>
        <v>Circumcised</v>
      </c>
      <c r="C2271" s="29" t="str">
        <f>IFERROR(__xludf.DUMMYFUNCTION("""COMPUTED_VALUE"""),"Variety of Sensation")</f>
        <v>Variety of Sensation</v>
      </c>
      <c r="D2271" s="29" t="str">
        <f>IFERROR(__xludf.DUMMYFUNCTION("""COMPUTED_VALUE"""),"2")</f>
        <v>2</v>
      </c>
      <c r="E2271" s="29">
        <f>IFERROR(__xludf.DUMMYFUNCTION("""COMPUTED_VALUE"""),2.0)</f>
        <v>2</v>
      </c>
    </row>
    <row r="2272">
      <c r="A2272" s="33">
        <f>IFERROR(__xludf.DUMMYFUNCTION("""COMPUTED_VALUE"""),46117.40241266204)</f>
        <v>46117.40241</v>
      </c>
      <c r="B2272" s="29" t="str">
        <f>IFERROR(__xludf.DUMMYFUNCTION("""COMPUTED_VALUE"""),"Circumcised")</f>
        <v>Circumcised</v>
      </c>
      <c r="C2272" s="29" t="str">
        <f>IFERROR(__xludf.DUMMYFUNCTION("""COMPUTED_VALUE"""),"Variety of Sensation")</f>
        <v>Variety of Sensation</v>
      </c>
      <c r="D2272" s="29" t="str">
        <f>IFERROR(__xludf.DUMMYFUNCTION("""COMPUTED_VALUE"""),"5 (High/Excellent)")</f>
        <v>5 (High/Excellent)</v>
      </c>
      <c r="E2272" s="29">
        <f>IFERROR(__xludf.DUMMYFUNCTION("""COMPUTED_VALUE"""),5.0)</f>
        <v>5</v>
      </c>
    </row>
    <row r="2273">
      <c r="A2273" s="33">
        <f>IFERROR(__xludf.DUMMYFUNCTION("""COMPUTED_VALUE"""),46117.406726597226)</f>
        <v>46117.40673</v>
      </c>
      <c r="B2273" s="29" t="str">
        <f>IFERROR(__xludf.DUMMYFUNCTION("""COMPUTED_VALUE"""),"Actively restoring my foreskin / I consider myself restored")</f>
        <v>Actively restoring my foreskin / I consider myself restored</v>
      </c>
      <c r="C2273" s="29" t="str">
        <f>IFERROR(__xludf.DUMMYFUNCTION("""COMPUTED_VALUE"""),"Variety of Sensation")</f>
        <v>Variety of Sensation</v>
      </c>
      <c r="D2273" s="29" t="str">
        <f>IFERROR(__xludf.DUMMYFUNCTION("""COMPUTED_VALUE"""),"2")</f>
        <v>2</v>
      </c>
      <c r="E2273" s="29">
        <f>IFERROR(__xludf.DUMMYFUNCTION("""COMPUTED_VALUE"""),2.0)</f>
        <v>2</v>
      </c>
    </row>
    <row r="2274">
      <c r="A2274" s="33">
        <f>IFERROR(__xludf.DUMMYFUNCTION("""COMPUTED_VALUE"""),46117.43835497685)</f>
        <v>46117.43835</v>
      </c>
      <c r="B2274" s="29" t="str">
        <f>IFERROR(__xludf.DUMMYFUNCTION("""COMPUTED_VALUE"""),"Circumcised")</f>
        <v>Circumcised</v>
      </c>
      <c r="C2274" s="29" t="str">
        <f>IFERROR(__xludf.DUMMYFUNCTION("""COMPUTED_VALUE"""),"Variety of Sensation")</f>
        <v>Variety of Sensation</v>
      </c>
      <c r="D2274" s="29" t="str">
        <f>IFERROR(__xludf.DUMMYFUNCTION("""COMPUTED_VALUE"""),"2")</f>
        <v>2</v>
      </c>
      <c r="E2274" s="29">
        <f>IFERROR(__xludf.DUMMYFUNCTION("""COMPUTED_VALUE"""),2.0)</f>
        <v>2</v>
      </c>
    </row>
    <row r="2275">
      <c r="A2275" s="33">
        <f>IFERROR(__xludf.DUMMYFUNCTION("""COMPUTED_VALUE"""),46117.52108172454)</f>
        <v>46117.52108</v>
      </c>
      <c r="B2275" s="29" t="str">
        <f>IFERROR(__xludf.DUMMYFUNCTION("""COMPUTED_VALUE"""),"Actively restoring my foreskin / I consider myself restored")</f>
        <v>Actively restoring my foreskin / I consider myself restored</v>
      </c>
      <c r="C2275" s="29" t="str">
        <f>IFERROR(__xludf.DUMMYFUNCTION("""COMPUTED_VALUE"""),"Variety of Sensation")</f>
        <v>Variety of Sensation</v>
      </c>
      <c r="D2275" s="29" t="str">
        <f>IFERROR(__xludf.DUMMYFUNCTION("""COMPUTED_VALUE"""),"2")</f>
        <v>2</v>
      </c>
      <c r="E2275" s="29">
        <f>IFERROR(__xludf.DUMMYFUNCTION("""COMPUTED_VALUE"""),2.0)</f>
        <v>2</v>
      </c>
    </row>
    <row r="2276">
      <c r="A2276" s="33">
        <f>IFERROR(__xludf.DUMMYFUNCTION("""COMPUTED_VALUE"""),46117.65196458333)</f>
        <v>46117.65196</v>
      </c>
      <c r="B2276" s="29" t="str">
        <f>IFERROR(__xludf.DUMMYFUNCTION("""COMPUTED_VALUE"""),"Actively restoring my foreskin / I consider myself restored")</f>
        <v>Actively restoring my foreskin / I consider myself restored</v>
      </c>
      <c r="C2276" s="29" t="str">
        <f>IFERROR(__xludf.DUMMYFUNCTION("""COMPUTED_VALUE"""),"Variety of Sensation")</f>
        <v>Variety of Sensation</v>
      </c>
      <c r="D2276" s="29" t="str">
        <f>IFERROR(__xludf.DUMMYFUNCTION("""COMPUTED_VALUE"""),"1 (Low/Poor)")</f>
        <v>1 (Low/Poor)</v>
      </c>
      <c r="E2276" s="29">
        <f>IFERROR(__xludf.DUMMYFUNCTION("""COMPUTED_VALUE"""),1.0)</f>
        <v>1</v>
      </c>
    </row>
    <row r="2277">
      <c r="A2277" s="33">
        <f>IFERROR(__xludf.DUMMYFUNCTION("""COMPUTED_VALUE"""),46117.68275197917)</f>
        <v>46117.68275</v>
      </c>
      <c r="B2277" s="29" t="str">
        <f>IFERROR(__xludf.DUMMYFUNCTION("""COMPUTED_VALUE"""),"Circumcised")</f>
        <v>Circumcised</v>
      </c>
      <c r="C2277" s="29" t="str">
        <f>IFERROR(__xludf.DUMMYFUNCTION("""COMPUTED_VALUE"""),"Variety of Sensation")</f>
        <v>Variety of Sensation</v>
      </c>
      <c r="D2277" s="29" t="str">
        <f>IFERROR(__xludf.DUMMYFUNCTION("""COMPUTED_VALUE"""),"3 (Medium/Average)")</f>
        <v>3 (Medium/Average)</v>
      </c>
      <c r="E2277" s="29">
        <f>IFERROR(__xludf.DUMMYFUNCTION("""COMPUTED_VALUE"""),3.0)</f>
        <v>3</v>
      </c>
    </row>
    <row r="2278">
      <c r="A2278" s="33">
        <f>IFERROR(__xludf.DUMMYFUNCTION("""COMPUTED_VALUE"""),46117.68807715278)</f>
        <v>46117.68808</v>
      </c>
      <c r="B2278" s="29" t="str">
        <f>IFERROR(__xludf.DUMMYFUNCTION("""COMPUTED_VALUE"""),"Actively restoring my foreskin / I consider myself restored")</f>
        <v>Actively restoring my foreskin / I consider myself restored</v>
      </c>
      <c r="C2278" s="29" t="str">
        <f>IFERROR(__xludf.DUMMYFUNCTION("""COMPUTED_VALUE"""),"Variety of Sensation")</f>
        <v>Variety of Sensation</v>
      </c>
      <c r="D2278" s="29" t="str">
        <f>IFERROR(__xludf.DUMMYFUNCTION("""COMPUTED_VALUE"""),"3 (Medium/Average)")</f>
        <v>3 (Medium/Average)</v>
      </c>
      <c r="E2278" s="29">
        <f>IFERROR(__xludf.DUMMYFUNCTION("""COMPUTED_VALUE"""),3.0)</f>
        <v>3</v>
      </c>
    </row>
    <row r="2279">
      <c r="A2279" s="33">
        <f>IFERROR(__xludf.DUMMYFUNCTION("""COMPUTED_VALUE"""),46118.06487167824)</f>
        <v>46118.06487</v>
      </c>
      <c r="B2279" s="29" t="str">
        <f>IFERROR(__xludf.DUMMYFUNCTION("""COMPUTED_VALUE"""),"Actively restoring my foreskin / I consider myself restored")</f>
        <v>Actively restoring my foreskin / I consider myself restored</v>
      </c>
      <c r="C2279" s="29" t="str">
        <f>IFERROR(__xludf.DUMMYFUNCTION("""COMPUTED_VALUE"""),"Variety of Sensation")</f>
        <v>Variety of Sensation</v>
      </c>
      <c r="D2279" s="29" t="str">
        <f>IFERROR(__xludf.DUMMYFUNCTION("""COMPUTED_VALUE"""),"2")</f>
        <v>2</v>
      </c>
      <c r="E2279" s="29">
        <f>IFERROR(__xludf.DUMMYFUNCTION("""COMPUTED_VALUE"""),2.0)</f>
        <v>2</v>
      </c>
    </row>
    <row r="2280">
      <c r="A2280" s="33">
        <f>IFERROR(__xludf.DUMMYFUNCTION("""COMPUTED_VALUE"""),46118.1994543287)</f>
        <v>46118.19945</v>
      </c>
      <c r="B2280" s="29" t="str">
        <f>IFERROR(__xludf.DUMMYFUNCTION("""COMPUTED_VALUE"""),"Actively restoring my foreskin / I consider myself restored")</f>
        <v>Actively restoring my foreskin / I consider myself restored</v>
      </c>
      <c r="C2280" s="29" t="str">
        <f>IFERROR(__xludf.DUMMYFUNCTION("""COMPUTED_VALUE"""),"Variety of Sensation")</f>
        <v>Variety of Sensation</v>
      </c>
      <c r="D2280" s="29" t="str">
        <f>IFERROR(__xludf.DUMMYFUNCTION("""COMPUTED_VALUE"""),"3 (Medium/Average)")</f>
        <v>3 (Medium/Average)</v>
      </c>
      <c r="E2280" s="29">
        <f>IFERROR(__xludf.DUMMYFUNCTION("""COMPUTED_VALUE"""),3.0)</f>
        <v>3</v>
      </c>
    </row>
    <row r="2281">
      <c r="A2281" s="33">
        <f>IFERROR(__xludf.DUMMYFUNCTION("""COMPUTED_VALUE"""),46118.532824270835)</f>
        <v>46118.53282</v>
      </c>
      <c r="B2281" s="29" t="str">
        <f>IFERROR(__xludf.DUMMYFUNCTION("""COMPUTED_VALUE"""),"Actively restoring my foreskin / I consider myself restored")</f>
        <v>Actively restoring my foreskin / I consider myself restored</v>
      </c>
      <c r="C2281" s="29" t="str">
        <f>IFERROR(__xludf.DUMMYFUNCTION("""COMPUTED_VALUE"""),"Variety of Sensation")</f>
        <v>Variety of Sensation</v>
      </c>
      <c r="D2281" s="29" t="str">
        <f>IFERROR(__xludf.DUMMYFUNCTION("""COMPUTED_VALUE"""),"5 (High/Excellent)")</f>
        <v>5 (High/Excellent)</v>
      </c>
      <c r="E2281" s="29">
        <f>IFERROR(__xludf.DUMMYFUNCTION("""COMPUTED_VALUE"""),5.0)</f>
        <v>5</v>
      </c>
    </row>
    <row r="2282">
      <c r="A2282" s="33">
        <f>IFERROR(__xludf.DUMMYFUNCTION("""COMPUTED_VALUE"""),46118.63432261574)</f>
        <v>46118.63432</v>
      </c>
      <c r="B2282" s="29" t="str">
        <f>IFERROR(__xludf.DUMMYFUNCTION("""COMPUTED_VALUE"""),"Circumcised")</f>
        <v>Circumcised</v>
      </c>
      <c r="C2282" s="29" t="str">
        <f>IFERROR(__xludf.DUMMYFUNCTION("""COMPUTED_VALUE"""),"Variety of Sensation")</f>
        <v>Variety of Sensation</v>
      </c>
      <c r="D2282" s="29" t="str">
        <f>IFERROR(__xludf.DUMMYFUNCTION("""COMPUTED_VALUE"""),"1 (Low/Poor)")</f>
        <v>1 (Low/Poor)</v>
      </c>
      <c r="E2282" s="29">
        <f>IFERROR(__xludf.DUMMYFUNCTION("""COMPUTED_VALUE"""),1.0)</f>
        <v>1</v>
      </c>
    </row>
    <row r="2283">
      <c r="A2283" s="33">
        <f>IFERROR(__xludf.DUMMYFUNCTION("""COMPUTED_VALUE"""),46118.69740087963)</f>
        <v>46118.6974</v>
      </c>
      <c r="B2283" s="29" t="str">
        <f>IFERROR(__xludf.DUMMYFUNCTION("""COMPUTED_VALUE"""),"Intact (Never circumcised)")</f>
        <v>Intact (Never circumcised)</v>
      </c>
      <c r="C2283" s="29" t="str">
        <f>IFERROR(__xludf.DUMMYFUNCTION("""COMPUTED_VALUE"""),"Variety of Sensation")</f>
        <v>Variety of Sensation</v>
      </c>
      <c r="D2283" s="29" t="str">
        <f>IFERROR(__xludf.DUMMYFUNCTION("""COMPUTED_VALUE"""),"3 (Medium/Average)")</f>
        <v>3 (Medium/Average)</v>
      </c>
      <c r="E2283" s="29">
        <f>IFERROR(__xludf.DUMMYFUNCTION("""COMPUTED_VALUE"""),3.0)</f>
        <v>3</v>
      </c>
    </row>
    <row r="2284">
      <c r="A2284" s="33">
        <f>IFERROR(__xludf.DUMMYFUNCTION("""COMPUTED_VALUE"""),46118.738876469906)</f>
        <v>46118.73888</v>
      </c>
      <c r="B2284" s="29" t="str">
        <f>IFERROR(__xludf.DUMMYFUNCTION("""COMPUTED_VALUE"""),"Actively restoring my foreskin / I consider myself restored")</f>
        <v>Actively restoring my foreskin / I consider myself restored</v>
      </c>
      <c r="C2284" s="29" t="str">
        <f>IFERROR(__xludf.DUMMYFUNCTION("""COMPUTED_VALUE"""),"Variety of Sensation")</f>
        <v>Variety of Sensation</v>
      </c>
      <c r="D2284" s="29" t="str">
        <f>IFERROR(__xludf.DUMMYFUNCTION("""COMPUTED_VALUE"""),"2")</f>
        <v>2</v>
      </c>
      <c r="E2284" s="29">
        <f>IFERROR(__xludf.DUMMYFUNCTION("""COMPUTED_VALUE"""),2.0)</f>
        <v>2</v>
      </c>
    </row>
    <row r="2285">
      <c r="A2285" s="33">
        <f>IFERROR(__xludf.DUMMYFUNCTION("""COMPUTED_VALUE"""),46118.77396358796)</f>
        <v>46118.77396</v>
      </c>
      <c r="B2285" s="29" t="str">
        <f>IFERROR(__xludf.DUMMYFUNCTION("""COMPUTED_VALUE"""),"Intact (Never circumcised)")</f>
        <v>Intact (Never circumcised)</v>
      </c>
      <c r="C2285" s="29" t="str">
        <f>IFERROR(__xludf.DUMMYFUNCTION("""COMPUTED_VALUE"""),"Variety of Sensation")</f>
        <v>Variety of Sensation</v>
      </c>
      <c r="D2285" s="29" t="str">
        <f>IFERROR(__xludf.DUMMYFUNCTION("""COMPUTED_VALUE"""),"4")</f>
        <v>4</v>
      </c>
      <c r="E2285" s="29">
        <f>IFERROR(__xludf.DUMMYFUNCTION("""COMPUTED_VALUE"""),4.0)</f>
        <v>4</v>
      </c>
    </row>
    <row r="2286">
      <c r="A2286" s="33">
        <f>IFERROR(__xludf.DUMMYFUNCTION("""COMPUTED_VALUE"""),46118.83804181713)</f>
        <v>46118.83804</v>
      </c>
      <c r="B2286" s="29" t="str">
        <f>IFERROR(__xludf.DUMMYFUNCTION("""COMPUTED_VALUE"""),"Circumcised")</f>
        <v>Circumcised</v>
      </c>
      <c r="C2286" s="29" t="str">
        <f>IFERROR(__xludf.DUMMYFUNCTION("""COMPUTED_VALUE"""),"Variety of Sensation")</f>
        <v>Variety of Sensation</v>
      </c>
      <c r="D2286" s="29" t="str">
        <f>IFERROR(__xludf.DUMMYFUNCTION("""COMPUTED_VALUE"""),"2")</f>
        <v>2</v>
      </c>
      <c r="E2286" s="29">
        <f>IFERROR(__xludf.DUMMYFUNCTION("""COMPUTED_VALUE"""),2.0)</f>
        <v>2</v>
      </c>
    </row>
    <row r="2287">
      <c r="A2287" s="33">
        <f>IFERROR(__xludf.DUMMYFUNCTION("""COMPUTED_VALUE"""),46118.86745592592)</f>
        <v>46118.86746</v>
      </c>
      <c r="B2287" s="29" t="str">
        <f>IFERROR(__xludf.DUMMYFUNCTION("""COMPUTED_VALUE"""),"Circumcised")</f>
        <v>Circumcised</v>
      </c>
      <c r="C2287" s="29" t="str">
        <f>IFERROR(__xludf.DUMMYFUNCTION("""COMPUTED_VALUE"""),"Variety of Sensation")</f>
        <v>Variety of Sensation</v>
      </c>
      <c r="D2287" s="29" t="str">
        <f>IFERROR(__xludf.DUMMYFUNCTION("""COMPUTED_VALUE"""),"4")</f>
        <v>4</v>
      </c>
      <c r="E2287" s="29">
        <f>IFERROR(__xludf.DUMMYFUNCTION("""COMPUTED_VALUE"""),4.0)</f>
        <v>4</v>
      </c>
    </row>
    <row r="2288">
      <c r="A2288" s="33">
        <f>IFERROR(__xludf.DUMMYFUNCTION("""COMPUTED_VALUE"""),46118.906964062495)</f>
        <v>46118.90696</v>
      </c>
      <c r="B2288" s="29" t="str">
        <f>IFERROR(__xludf.DUMMYFUNCTION("""COMPUTED_VALUE"""),"Actively restoring my foreskin / I consider myself restored")</f>
        <v>Actively restoring my foreskin / I consider myself restored</v>
      </c>
      <c r="C2288" s="29" t="str">
        <f>IFERROR(__xludf.DUMMYFUNCTION("""COMPUTED_VALUE"""),"Variety of Sensation")</f>
        <v>Variety of Sensation</v>
      </c>
      <c r="D2288" s="29" t="str">
        <f>IFERROR(__xludf.DUMMYFUNCTION("""COMPUTED_VALUE"""),"1 (Low/Poor)")</f>
        <v>1 (Low/Poor)</v>
      </c>
      <c r="E2288" s="29">
        <f>IFERROR(__xludf.DUMMYFUNCTION("""COMPUTED_VALUE"""),1.0)</f>
        <v>1</v>
      </c>
    </row>
    <row r="2289">
      <c r="A2289" s="33">
        <f>IFERROR(__xludf.DUMMYFUNCTION("""COMPUTED_VALUE"""),46118.94306069445)</f>
        <v>46118.94306</v>
      </c>
      <c r="B2289" s="29" t="str">
        <f>IFERROR(__xludf.DUMMYFUNCTION("""COMPUTED_VALUE"""),"Actively restoring my foreskin / I consider myself restored")</f>
        <v>Actively restoring my foreskin / I consider myself restored</v>
      </c>
      <c r="C2289" s="29" t="str">
        <f>IFERROR(__xludf.DUMMYFUNCTION("""COMPUTED_VALUE"""),"Variety of Sensation")</f>
        <v>Variety of Sensation</v>
      </c>
      <c r="D2289" s="29" t="str">
        <f>IFERROR(__xludf.DUMMYFUNCTION("""COMPUTED_VALUE"""),"2")</f>
        <v>2</v>
      </c>
      <c r="E2289" s="29">
        <f>IFERROR(__xludf.DUMMYFUNCTION("""COMPUTED_VALUE"""),2.0)</f>
        <v>2</v>
      </c>
    </row>
    <row r="2290">
      <c r="A2290" s="33">
        <f>IFERROR(__xludf.DUMMYFUNCTION("""COMPUTED_VALUE"""),46119.19832857639)</f>
        <v>46119.19833</v>
      </c>
      <c r="B2290" s="29" t="str">
        <f>IFERROR(__xludf.DUMMYFUNCTION("""COMPUTED_VALUE"""),"Circumcised")</f>
        <v>Circumcised</v>
      </c>
      <c r="C2290" s="29" t="str">
        <f>IFERROR(__xludf.DUMMYFUNCTION("""COMPUTED_VALUE"""),"Variety of Sensation")</f>
        <v>Variety of Sensation</v>
      </c>
      <c r="D2290" s="29" t="str">
        <f>IFERROR(__xludf.DUMMYFUNCTION("""COMPUTED_VALUE"""),"2")</f>
        <v>2</v>
      </c>
      <c r="E2290" s="29">
        <f>IFERROR(__xludf.DUMMYFUNCTION("""COMPUTED_VALUE"""),2.0)</f>
        <v>2</v>
      </c>
    </row>
    <row r="2291">
      <c r="A2291" s="33">
        <f>IFERROR(__xludf.DUMMYFUNCTION("""COMPUTED_VALUE"""),46119.33508711806)</f>
        <v>46119.33509</v>
      </c>
      <c r="B2291" s="29" t="str">
        <f>IFERROR(__xludf.DUMMYFUNCTION("""COMPUTED_VALUE"""),"Circumcised")</f>
        <v>Circumcised</v>
      </c>
      <c r="C2291" s="29" t="str">
        <f>IFERROR(__xludf.DUMMYFUNCTION("""COMPUTED_VALUE"""),"Variety of Sensation")</f>
        <v>Variety of Sensation</v>
      </c>
      <c r="D2291" s="29" t="str">
        <f>IFERROR(__xludf.DUMMYFUNCTION("""COMPUTED_VALUE"""),"2")</f>
        <v>2</v>
      </c>
      <c r="E2291" s="29">
        <f>IFERROR(__xludf.DUMMYFUNCTION("""COMPUTED_VALUE"""),2.0)</f>
        <v>2</v>
      </c>
    </row>
    <row r="2292">
      <c r="A2292" s="33">
        <f>IFERROR(__xludf.DUMMYFUNCTION("""COMPUTED_VALUE"""),46119.630449895834)</f>
        <v>46119.63045</v>
      </c>
      <c r="B2292" s="29" t="str">
        <f>IFERROR(__xludf.DUMMYFUNCTION("""COMPUTED_VALUE"""),"Actively restoring my foreskin / I consider myself restored")</f>
        <v>Actively restoring my foreskin / I consider myself restored</v>
      </c>
      <c r="C2292" s="29" t="str">
        <f>IFERROR(__xludf.DUMMYFUNCTION("""COMPUTED_VALUE"""),"Variety of Sensation")</f>
        <v>Variety of Sensation</v>
      </c>
      <c r="D2292" s="29" t="str">
        <f>IFERROR(__xludf.DUMMYFUNCTION("""COMPUTED_VALUE"""),"1 (Low/Poor)")</f>
        <v>1 (Low/Poor)</v>
      </c>
      <c r="E2292" s="29">
        <f>IFERROR(__xludf.DUMMYFUNCTION("""COMPUTED_VALUE"""),1.0)</f>
        <v>1</v>
      </c>
    </row>
    <row r="2293">
      <c r="A2293" s="33">
        <f>IFERROR(__xludf.DUMMYFUNCTION("""COMPUTED_VALUE"""),46119.998828379634)</f>
        <v>46119.99883</v>
      </c>
      <c r="B2293" s="29" t="str">
        <f>IFERROR(__xludf.DUMMYFUNCTION("""COMPUTED_VALUE"""),"Intact (Never circumcised)")</f>
        <v>Intact (Never circumcised)</v>
      </c>
      <c r="C2293" s="29" t="str">
        <f>IFERROR(__xludf.DUMMYFUNCTION("""COMPUTED_VALUE"""),"Variety of Sensation")</f>
        <v>Variety of Sensation</v>
      </c>
      <c r="D2293" s="29" t="str">
        <f>IFERROR(__xludf.DUMMYFUNCTION("""COMPUTED_VALUE"""),"5 (High/Excellent)")</f>
        <v>5 (High/Excellent)</v>
      </c>
      <c r="E2293" s="29">
        <f>IFERROR(__xludf.DUMMYFUNCTION("""COMPUTED_VALUE"""),5.0)</f>
        <v>5</v>
      </c>
    </row>
    <row r="2294">
      <c r="A2294" s="33">
        <f>IFERROR(__xludf.DUMMYFUNCTION("""COMPUTED_VALUE"""),46120.45189376157)</f>
        <v>46120.45189</v>
      </c>
      <c r="B2294" s="29" t="str">
        <f>IFERROR(__xludf.DUMMYFUNCTION("""COMPUTED_VALUE"""),"Circumcised")</f>
        <v>Circumcised</v>
      </c>
      <c r="C2294" s="29" t="str">
        <f>IFERROR(__xludf.DUMMYFUNCTION("""COMPUTED_VALUE"""),"Variety of Sensation")</f>
        <v>Variety of Sensation</v>
      </c>
      <c r="D2294" s="29" t="str">
        <f>IFERROR(__xludf.DUMMYFUNCTION("""COMPUTED_VALUE"""),"4")</f>
        <v>4</v>
      </c>
      <c r="E2294" s="29">
        <f>IFERROR(__xludf.DUMMYFUNCTION("""COMPUTED_VALUE"""),4.0)</f>
        <v>4</v>
      </c>
    </row>
    <row r="2295">
      <c r="A2295" s="33">
        <f>IFERROR(__xludf.DUMMYFUNCTION("""COMPUTED_VALUE"""),46121.04974232639)</f>
        <v>46121.04974</v>
      </c>
      <c r="B2295" s="29" t="str">
        <f>IFERROR(__xludf.DUMMYFUNCTION("""COMPUTED_VALUE"""),"Circumcised")</f>
        <v>Circumcised</v>
      </c>
      <c r="C2295" s="29" t="str">
        <f>IFERROR(__xludf.DUMMYFUNCTION("""COMPUTED_VALUE"""),"Variety of Sensation")</f>
        <v>Variety of Sensation</v>
      </c>
      <c r="D2295" s="29" t="str">
        <f>IFERROR(__xludf.DUMMYFUNCTION("""COMPUTED_VALUE"""),"5 (High/Excellent)")</f>
        <v>5 (High/Excellent)</v>
      </c>
      <c r="E2295" s="29">
        <f>IFERROR(__xludf.DUMMYFUNCTION("""COMPUTED_VALUE"""),5.0)</f>
        <v>5</v>
      </c>
    </row>
    <row r="2296">
      <c r="A2296" s="33">
        <f>IFERROR(__xludf.DUMMYFUNCTION("""COMPUTED_VALUE"""),46121.27570546296)</f>
        <v>46121.27571</v>
      </c>
      <c r="B2296" s="29" t="str">
        <f>IFERROR(__xludf.DUMMYFUNCTION("""COMPUTED_VALUE"""),"Actively restoring my foreskin / I consider myself restored")</f>
        <v>Actively restoring my foreskin / I consider myself restored</v>
      </c>
      <c r="C2296" s="29" t="str">
        <f>IFERROR(__xludf.DUMMYFUNCTION("""COMPUTED_VALUE"""),"Variety of Sensation")</f>
        <v>Variety of Sensation</v>
      </c>
      <c r="D2296" s="29" t="str">
        <f>IFERROR(__xludf.DUMMYFUNCTION("""COMPUTED_VALUE"""),"1 (Low/Poor)")</f>
        <v>1 (Low/Poor)</v>
      </c>
      <c r="E2296" s="29">
        <f>IFERROR(__xludf.DUMMYFUNCTION("""COMPUTED_VALUE"""),1.0)</f>
        <v>1</v>
      </c>
    </row>
    <row r="2297">
      <c r="A2297" s="33">
        <f>IFERROR(__xludf.DUMMYFUNCTION("""COMPUTED_VALUE"""),46121.93295483796)</f>
        <v>46121.93295</v>
      </c>
      <c r="B2297" s="29" t="str">
        <f>IFERROR(__xludf.DUMMYFUNCTION("""COMPUTED_VALUE"""),"Circumcised")</f>
        <v>Circumcised</v>
      </c>
      <c r="C2297" s="29" t="str">
        <f>IFERROR(__xludf.DUMMYFUNCTION("""COMPUTED_VALUE"""),"Variety of Sensation")</f>
        <v>Variety of Sensation</v>
      </c>
      <c r="D2297" s="29" t="str">
        <f>IFERROR(__xludf.DUMMYFUNCTION("""COMPUTED_VALUE"""),"3 (Medium/Average)")</f>
        <v>3 (Medium/Average)</v>
      </c>
      <c r="E2297" s="29">
        <f>IFERROR(__xludf.DUMMYFUNCTION("""COMPUTED_VALUE"""),3.0)</f>
        <v>3</v>
      </c>
    </row>
    <row r="2298">
      <c r="A2298" s="33">
        <f>IFERROR(__xludf.DUMMYFUNCTION("""COMPUTED_VALUE"""),46122.46081304398)</f>
        <v>46122.46081</v>
      </c>
      <c r="B2298" s="29" t="str">
        <f>IFERROR(__xludf.DUMMYFUNCTION("""COMPUTED_VALUE"""),"Circumcised")</f>
        <v>Circumcised</v>
      </c>
      <c r="C2298" s="29" t="str">
        <f>IFERROR(__xludf.DUMMYFUNCTION("""COMPUTED_VALUE"""),"Variety of Sensation")</f>
        <v>Variety of Sensation</v>
      </c>
      <c r="D2298" s="29" t="str">
        <f>IFERROR(__xludf.DUMMYFUNCTION("""COMPUTED_VALUE"""),"1 (Low/Poor)")</f>
        <v>1 (Low/Poor)</v>
      </c>
      <c r="E2298" s="29">
        <f>IFERROR(__xludf.DUMMYFUNCTION("""COMPUTED_VALUE"""),1.0)</f>
        <v>1</v>
      </c>
    </row>
    <row r="2299">
      <c r="A2299" s="33">
        <f>IFERROR(__xludf.DUMMYFUNCTION("""COMPUTED_VALUE"""),46122.94345912037)</f>
        <v>46122.94346</v>
      </c>
      <c r="B2299" s="29" t="str">
        <f>IFERROR(__xludf.DUMMYFUNCTION("""COMPUTED_VALUE"""),"Circumcised")</f>
        <v>Circumcised</v>
      </c>
      <c r="C2299" s="29" t="str">
        <f>IFERROR(__xludf.DUMMYFUNCTION("""COMPUTED_VALUE"""),"Variety of Sensation")</f>
        <v>Variety of Sensation</v>
      </c>
      <c r="D2299" s="29" t="str">
        <f>IFERROR(__xludf.DUMMYFUNCTION("""COMPUTED_VALUE"""),"1 (Low/Poor)")</f>
        <v>1 (Low/Poor)</v>
      </c>
      <c r="E2299" s="29">
        <f>IFERROR(__xludf.DUMMYFUNCTION("""COMPUTED_VALUE"""),1.0)</f>
        <v>1</v>
      </c>
    </row>
    <row r="2300">
      <c r="A2300" s="33">
        <f>IFERROR(__xludf.DUMMYFUNCTION("""COMPUTED_VALUE"""),46123.0318577199)</f>
        <v>46123.03186</v>
      </c>
      <c r="B2300" s="29" t="str">
        <f>IFERROR(__xludf.DUMMYFUNCTION("""COMPUTED_VALUE"""),"Intact (Never circumcised)")</f>
        <v>Intact (Never circumcised)</v>
      </c>
      <c r="C2300" s="29" t="str">
        <f>IFERROR(__xludf.DUMMYFUNCTION("""COMPUTED_VALUE"""),"Variety of Sensation")</f>
        <v>Variety of Sensation</v>
      </c>
      <c r="D2300" s="29" t="str">
        <f>IFERROR(__xludf.DUMMYFUNCTION("""COMPUTED_VALUE"""),"5 (High/Excellent)")</f>
        <v>5 (High/Excellent)</v>
      </c>
      <c r="E2300" s="29">
        <f>IFERROR(__xludf.DUMMYFUNCTION("""COMPUTED_VALUE"""),5.0)</f>
        <v>5</v>
      </c>
    </row>
    <row r="2301">
      <c r="A2301" s="33">
        <f>IFERROR(__xludf.DUMMYFUNCTION("""COMPUTED_VALUE"""),46123.75352236111)</f>
        <v>46123.75352</v>
      </c>
      <c r="B2301" s="29" t="str">
        <f>IFERROR(__xludf.DUMMYFUNCTION("""COMPUTED_VALUE"""),"Actively restoring my foreskin / I consider myself restored")</f>
        <v>Actively restoring my foreskin / I consider myself restored</v>
      </c>
      <c r="C2301" s="29" t="str">
        <f>IFERROR(__xludf.DUMMYFUNCTION("""COMPUTED_VALUE"""),"Variety of Sensation")</f>
        <v>Variety of Sensation</v>
      </c>
      <c r="D2301" s="29" t="str">
        <f>IFERROR(__xludf.DUMMYFUNCTION("""COMPUTED_VALUE"""),"2")</f>
        <v>2</v>
      </c>
      <c r="E2301" s="29">
        <f>IFERROR(__xludf.DUMMYFUNCTION("""COMPUTED_VALUE"""),2.0)</f>
        <v>2</v>
      </c>
    </row>
    <row r="2302">
      <c r="A2302" s="33">
        <f>IFERROR(__xludf.DUMMYFUNCTION("""COMPUTED_VALUE"""),46124.27076814815)</f>
        <v>46124.27077</v>
      </c>
      <c r="B2302" s="29" t="str">
        <f>IFERROR(__xludf.DUMMYFUNCTION("""COMPUTED_VALUE"""),"Circumcised")</f>
        <v>Circumcised</v>
      </c>
      <c r="C2302" s="29" t="str">
        <f>IFERROR(__xludf.DUMMYFUNCTION("""COMPUTED_VALUE"""),"Variety of Sensation")</f>
        <v>Variety of Sensation</v>
      </c>
      <c r="D2302" s="29" t="str">
        <f>IFERROR(__xludf.DUMMYFUNCTION("""COMPUTED_VALUE"""),"4")</f>
        <v>4</v>
      </c>
      <c r="E2302" s="29">
        <f>IFERROR(__xludf.DUMMYFUNCTION("""COMPUTED_VALUE"""),4.0)</f>
        <v>4</v>
      </c>
    </row>
    <row r="2303">
      <c r="A2303" s="33">
        <f>IFERROR(__xludf.DUMMYFUNCTION("""COMPUTED_VALUE"""),46124.78037094907)</f>
        <v>46124.78037</v>
      </c>
      <c r="B2303" s="29" t="str">
        <f>IFERROR(__xludf.DUMMYFUNCTION("""COMPUTED_VALUE"""),"Circumcised")</f>
        <v>Circumcised</v>
      </c>
      <c r="C2303" s="29" t="str">
        <f>IFERROR(__xludf.DUMMYFUNCTION("""COMPUTED_VALUE"""),"Variety of Sensation")</f>
        <v>Variety of Sensation</v>
      </c>
      <c r="D2303" s="29" t="str">
        <f>IFERROR(__xludf.DUMMYFUNCTION("""COMPUTED_VALUE"""),"2")</f>
        <v>2</v>
      </c>
      <c r="E2303" s="29">
        <f>IFERROR(__xludf.DUMMYFUNCTION("""COMPUTED_VALUE"""),2.0)</f>
        <v>2</v>
      </c>
    </row>
    <row r="2304">
      <c r="A2304" s="33">
        <f>IFERROR(__xludf.DUMMYFUNCTION("""COMPUTED_VALUE"""),46125.61132210649)</f>
        <v>46125.61132</v>
      </c>
      <c r="B2304" s="29" t="str">
        <f>IFERROR(__xludf.DUMMYFUNCTION("""COMPUTED_VALUE"""),"Circumcised")</f>
        <v>Circumcised</v>
      </c>
      <c r="C2304" s="29" t="str">
        <f>IFERROR(__xludf.DUMMYFUNCTION("""COMPUTED_VALUE"""),"Variety of Sensation")</f>
        <v>Variety of Sensation</v>
      </c>
      <c r="D2304" s="29" t="str">
        <f>IFERROR(__xludf.DUMMYFUNCTION("""COMPUTED_VALUE"""),"5 (High/Excellent)")</f>
        <v>5 (High/Excellent)</v>
      </c>
      <c r="E2304" s="29">
        <f>IFERROR(__xludf.DUMMYFUNCTION("""COMPUTED_VALUE"""),5.0)</f>
        <v>5</v>
      </c>
    </row>
    <row r="2305">
      <c r="A2305" s="33">
        <f>IFERROR(__xludf.DUMMYFUNCTION("""COMPUTED_VALUE"""),46126.37213568287)</f>
        <v>46126.37214</v>
      </c>
      <c r="B2305" s="29" t="str">
        <f>IFERROR(__xludf.DUMMYFUNCTION("""COMPUTED_VALUE"""),"Intact (Never circumcised)")</f>
        <v>Intact (Never circumcised)</v>
      </c>
      <c r="C2305" s="29" t="str">
        <f>IFERROR(__xludf.DUMMYFUNCTION("""COMPUTED_VALUE"""),"Variety of Sensation")</f>
        <v>Variety of Sensation</v>
      </c>
      <c r="D2305" s="29" t="str">
        <f>IFERROR(__xludf.DUMMYFUNCTION("""COMPUTED_VALUE"""),"5 (High/Excellent)")</f>
        <v>5 (High/Excellent)</v>
      </c>
      <c r="E2305" s="29">
        <f>IFERROR(__xludf.DUMMYFUNCTION("""COMPUTED_VALUE"""),5.0)</f>
        <v>5</v>
      </c>
    </row>
    <row r="2306">
      <c r="A2306" s="33">
        <f>IFERROR(__xludf.DUMMYFUNCTION("""COMPUTED_VALUE"""),46126.609716817125)</f>
        <v>46126.60972</v>
      </c>
      <c r="B2306" s="29" t="str">
        <f>IFERROR(__xludf.DUMMYFUNCTION("""COMPUTED_VALUE"""),"Intact (Never circumcised)")</f>
        <v>Intact (Never circumcised)</v>
      </c>
      <c r="C2306" s="29" t="str">
        <f>IFERROR(__xludf.DUMMYFUNCTION("""COMPUTED_VALUE"""),"Variety of Sensation")</f>
        <v>Variety of Sensation</v>
      </c>
      <c r="D2306" s="29" t="str">
        <f>IFERROR(__xludf.DUMMYFUNCTION("""COMPUTED_VALUE"""),"5 (High/Excellent)")</f>
        <v>5 (High/Excellent)</v>
      </c>
      <c r="E2306" s="29">
        <f>IFERROR(__xludf.DUMMYFUNCTION("""COMPUTED_VALUE"""),5.0)</f>
        <v>5</v>
      </c>
    </row>
    <row r="2307">
      <c r="A2307" s="33">
        <f>IFERROR(__xludf.DUMMYFUNCTION("""COMPUTED_VALUE"""),46129.64641299768)</f>
        <v>46129.64641</v>
      </c>
      <c r="B2307" s="29" t="str">
        <f>IFERROR(__xludf.DUMMYFUNCTION("""COMPUTED_VALUE"""),"Circumcised")</f>
        <v>Circumcised</v>
      </c>
      <c r="C2307" s="29" t="str">
        <f>IFERROR(__xludf.DUMMYFUNCTION("""COMPUTED_VALUE"""),"Variety of Sensation")</f>
        <v>Variety of Sensation</v>
      </c>
      <c r="D2307" s="29" t="str">
        <f>IFERROR(__xludf.DUMMYFUNCTION("""COMPUTED_VALUE"""),"4")</f>
        <v>4</v>
      </c>
      <c r="E2307" s="29">
        <f>IFERROR(__xludf.DUMMYFUNCTION("""COMPUTED_VALUE"""),4.0)</f>
        <v>4</v>
      </c>
    </row>
    <row r="2308">
      <c r="A2308" s="33">
        <f>IFERROR(__xludf.DUMMYFUNCTION("""COMPUTED_VALUE"""),46131.52759640047)</f>
        <v>46131.5276</v>
      </c>
      <c r="B2308" s="29" t="str">
        <f>IFERROR(__xludf.DUMMYFUNCTION("""COMPUTED_VALUE"""),"Circumcised")</f>
        <v>Circumcised</v>
      </c>
      <c r="C2308" s="29" t="str">
        <f>IFERROR(__xludf.DUMMYFUNCTION("""COMPUTED_VALUE"""),"Variety of Sensation")</f>
        <v>Variety of Sensation</v>
      </c>
      <c r="D2308" s="29" t="str">
        <f>IFERROR(__xludf.DUMMYFUNCTION("""COMPUTED_VALUE"""),"1 (Low/Poor)")</f>
        <v>1 (Low/Poor)</v>
      </c>
      <c r="E2308" s="29">
        <f>IFERROR(__xludf.DUMMYFUNCTION("""COMPUTED_VALUE"""),1.0)</f>
        <v>1</v>
      </c>
    </row>
    <row r="2309">
      <c r="A2309" s="33">
        <f>IFERROR(__xludf.DUMMYFUNCTION("""COMPUTED_VALUE"""),46132.226501157405)</f>
        <v>46132.2265</v>
      </c>
      <c r="B2309" s="29" t="str">
        <f>IFERROR(__xludf.DUMMYFUNCTION("""COMPUTED_VALUE"""),"Intact (Never circumcised)")</f>
        <v>Intact (Never circumcised)</v>
      </c>
      <c r="C2309" s="29" t="str">
        <f>IFERROR(__xludf.DUMMYFUNCTION("""COMPUTED_VALUE"""),"Variety of Sensation")</f>
        <v>Variety of Sensation</v>
      </c>
      <c r="D2309" s="29" t="str">
        <f>IFERROR(__xludf.DUMMYFUNCTION("""COMPUTED_VALUE"""),"5 (High/Excellent)")</f>
        <v>5 (High/Excellent)</v>
      </c>
      <c r="E2309" s="29">
        <f>IFERROR(__xludf.DUMMYFUNCTION("""COMPUTED_VALUE"""),5.0)</f>
        <v>5</v>
      </c>
    </row>
    <row r="2310">
      <c r="A2310" s="33">
        <f>IFERROR(__xludf.DUMMYFUNCTION("""COMPUTED_VALUE"""),46133.03297357639)</f>
        <v>46133.03297</v>
      </c>
      <c r="B2310" s="29" t="str">
        <f>IFERROR(__xludf.DUMMYFUNCTION("""COMPUTED_VALUE"""),"Intact (Never circumcised)")</f>
        <v>Intact (Never circumcised)</v>
      </c>
      <c r="C2310" s="29" t="str">
        <f>IFERROR(__xludf.DUMMYFUNCTION("""COMPUTED_VALUE"""),"Variety of Sensation")</f>
        <v>Variety of Sensation</v>
      </c>
      <c r="D2310" s="29" t="str">
        <f>IFERROR(__xludf.DUMMYFUNCTION("""COMPUTED_VALUE"""),"4")</f>
        <v>4</v>
      </c>
      <c r="E2310" s="29">
        <f>IFERROR(__xludf.DUMMYFUNCTION("""COMPUTED_VALUE"""),4.0)</f>
        <v>4</v>
      </c>
    </row>
    <row r="2311">
      <c r="A2311" s="33">
        <f>IFERROR(__xludf.DUMMYFUNCTION("""COMPUTED_VALUE"""),46133.186501759265)</f>
        <v>46133.1865</v>
      </c>
      <c r="B2311" s="29" t="str">
        <f>IFERROR(__xludf.DUMMYFUNCTION("""COMPUTED_VALUE"""),"Circumcised")</f>
        <v>Circumcised</v>
      </c>
      <c r="C2311" s="29" t="str">
        <f>IFERROR(__xludf.DUMMYFUNCTION("""COMPUTED_VALUE"""),"Variety of Sensation")</f>
        <v>Variety of Sensation</v>
      </c>
      <c r="D2311" s="29" t="str">
        <f>IFERROR(__xludf.DUMMYFUNCTION("""COMPUTED_VALUE"""),"1 (Low/Poor)")</f>
        <v>1 (Low/Poor)</v>
      </c>
      <c r="E2311" s="29">
        <f>IFERROR(__xludf.DUMMYFUNCTION("""COMPUTED_VALUE"""),1.0)</f>
        <v>1</v>
      </c>
    </row>
    <row r="2312">
      <c r="A2312" s="33">
        <f>IFERROR(__xludf.DUMMYFUNCTION("""COMPUTED_VALUE"""),46134.22396824074)</f>
        <v>46134.22397</v>
      </c>
      <c r="B2312" s="29" t="str">
        <f>IFERROR(__xludf.DUMMYFUNCTION("""COMPUTED_VALUE"""),"Circumcised")</f>
        <v>Circumcised</v>
      </c>
      <c r="C2312" s="29" t="str">
        <f>IFERROR(__xludf.DUMMYFUNCTION("""COMPUTED_VALUE"""),"Variety of Sensation")</f>
        <v>Variety of Sensation</v>
      </c>
      <c r="D2312" s="29" t="str">
        <f>IFERROR(__xludf.DUMMYFUNCTION("""COMPUTED_VALUE"""),"4")</f>
        <v>4</v>
      </c>
      <c r="E2312" s="29">
        <f>IFERROR(__xludf.DUMMYFUNCTION("""COMPUTED_VALUE"""),4.0)</f>
        <v>4</v>
      </c>
    </row>
    <row r="2313">
      <c r="A2313" s="33">
        <f>IFERROR(__xludf.DUMMYFUNCTION("""COMPUTED_VALUE"""),46139.22647099537)</f>
        <v>46139.22647</v>
      </c>
      <c r="B2313" s="29" t="str">
        <f>IFERROR(__xludf.DUMMYFUNCTION("""COMPUTED_VALUE"""),"Circumcised")</f>
        <v>Circumcised</v>
      </c>
      <c r="C2313" s="29" t="str">
        <f>IFERROR(__xludf.DUMMYFUNCTION("""COMPUTED_VALUE"""),"Variety of Sensation")</f>
        <v>Variety of Sensation</v>
      </c>
      <c r="D2313" s="29" t="str">
        <f>IFERROR(__xludf.DUMMYFUNCTION("""COMPUTED_VALUE"""),"3 (Medium/Average)")</f>
        <v>3 (Medium/Average)</v>
      </c>
      <c r="E2313" s="29">
        <f>IFERROR(__xludf.DUMMYFUNCTION("""COMPUTED_VALUE"""),3.0)</f>
        <v>3</v>
      </c>
    </row>
    <row r="2314">
      <c r="A2314" s="33">
        <f>IFERROR(__xludf.DUMMYFUNCTION("""COMPUTED_VALUE"""),46143.65511586805)</f>
        <v>46143.65512</v>
      </c>
      <c r="B2314" s="29" t="str">
        <f>IFERROR(__xludf.DUMMYFUNCTION("""COMPUTED_VALUE"""),"Circumcised")</f>
        <v>Circumcised</v>
      </c>
      <c r="C2314" s="29" t="str">
        <f>IFERROR(__xludf.DUMMYFUNCTION("""COMPUTED_VALUE"""),"Variety of Sensation")</f>
        <v>Variety of Sensation</v>
      </c>
      <c r="D2314" s="29" t="str">
        <f>IFERROR(__xludf.DUMMYFUNCTION("""COMPUTED_VALUE"""),"3 (Medium/Average)")</f>
        <v>3 (Medium/Average)</v>
      </c>
      <c r="E2314" s="29">
        <f>IFERROR(__xludf.DUMMYFUNCTION("""COMPUTED_VALUE"""),3.0)</f>
        <v>3</v>
      </c>
    </row>
    <row r="2315">
      <c r="A2315" s="33">
        <f>IFERROR(__xludf.DUMMYFUNCTION("""COMPUTED_VALUE"""),46146.244808854164)</f>
        <v>46146.24481</v>
      </c>
      <c r="B2315" s="29" t="str">
        <f>IFERROR(__xludf.DUMMYFUNCTION("""COMPUTED_VALUE"""),"Circumcised")</f>
        <v>Circumcised</v>
      </c>
      <c r="C2315" s="29" t="str">
        <f>IFERROR(__xludf.DUMMYFUNCTION("""COMPUTED_VALUE"""),"Variety of Sensation")</f>
        <v>Variety of Sensation</v>
      </c>
      <c r="D2315" s="29" t="str">
        <f>IFERROR(__xludf.DUMMYFUNCTION("""COMPUTED_VALUE"""),"1 (Low/Poor)")</f>
        <v>1 (Low/Poor)</v>
      </c>
      <c r="E2315" s="29">
        <f>IFERROR(__xludf.DUMMYFUNCTION("""COMPUTED_VALUE"""),1.0)</f>
        <v>1</v>
      </c>
    </row>
    <row r="2316">
      <c r="A2316" s="33">
        <f>IFERROR(__xludf.DUMMYFUNCTION("""COMPUTED_VALUE"""),46150.09750815973)</f>
        <v>46150.09751</v>
      </c>
      <c r="B2316" s="29" t="str">
        <f>IFERROR(__xludf.DUMMYFUNCTION("""COMPUTED_VALUE"""),"Circumcised")</f>
        <v>Circumcised</v>
      </c>
      <c r="C2316" s="29" t="str">
        <f>IFERROR(__xludf.DUMMYFUNCTION("""COMPUTED_VALUE"""),"Variety of Sensation")</f>
        <v>Variety of Sensation</v>
      </c>
      <c r="D2316" s="29" t="str">
        <f>IFERROR(__xludf.DUMMYFUNCTION("""COMPUTED_VALUE"""),"3 (Medium/Average)")</f>
        <v>3 (Medium/Average)</v>
      </c>
      <c r="E2316" s="29">
        <f>IFERROR(__xludf.DUMMYFUNCTION("""COMPUTED_VALUE"""),3.0)</f>
        <v>3</v>
      </c>
    </row>
    <row r="2317">
      <c r="A2317" s="33">
        <f>IFERROR(__xludf.DUMMYFUNCTION("""COMPUTED_VALUE"""),46159.019054930555)</f>
        <v>46159.01905</v>
      </c>
      <c r="B2317" s="29" t="str">
        <f>IFERROR(__xludf.DUMMYFUNCTION("""COMPUTED_VALUE"""),"Circumcised")</f>
        <v>Circumcised</v>
      </c>
      <c r="C2317" s="29" t="str">
        <f>IFERROR(__xludf.DUMMYFUNCTION("""COMPUTED_VALUE"""),"Variety of Sensation")</f>
        <v>Variety of Sensation</v>
      </c>
      <c r="D2317" s="29" t="str">
        <f>IFERROR(__xludf.DUMMYFUNCTION("""COMPUTED_VALUE"""),"3 (Medium/Average)")</f>
        <v>3 (Medium/Average)</v>
      </c>
      <c r="E2317" s="29">
        <f>IFERROR(__xludf.DUMMYFUNCTION("""COMPUTED_VALUE"""),3.0)</f>
        <v>3</v>
      </c>
    </row>
    <row r="2318">
      <c r="A2318" s="33">
        <f>IFERROR(__xludf.DUMMYFUNCTION("""COMPUTED_VALUE"""),46172.316871793984)</f>
        <v>46172.31687</v>
      </c>
      <c r="B2318" s="29" t="str">
        <f>IFERROR(__xludf.DUMMYFUNCTION("""COMPUTED_VALUE"""),"Intact (Never circumcised)")</f>
        <v>Intact (Never circumcised)</v>
      </c>
      <c r="C2318" s="29" t="str">
        <f>IFERROR(__xludf.DUMMYFUNCTION("""COMPUTED_VALUE"""),"Variety of Sensation")</f>
        <v>Variety of Sensation</v>
      </c>
      <c r="D2318" s="29" t="str">
        <f>IFERROR(__xludf.DUMMYFUNCTION("""COMPUTED_VALUE"""),"5 (High/Excellent)")</f>
        <v>5 (High/Excellent)</v>
      </c>
      <c r="E2318" s="29">
        <f>IFERROR(__xludf.DUMMYFUNCTION("""COMPUTED_VALUE"""),5.0)</f>
        <v>5</v>
      </c>
    </row>
    <row r="2319">
      <c r="A2319" s="33">
        <f>IFERROR(__xludf.DUMMYFUNCTION("""COMPUTED_VALUE"""),46176.16395915509)</f>
        <v>46176.16396</v>
      </c>
      <c r="B2319" s="29" t="str">
        <f>IFERROR(__xludf.DUMMYFUNCTION("""COMPUTED_VALUE"""),"Circumcised")</f>
        <v>Circumcised</v>
      </c>
      <c r="C2319" s="29" t="str">
        <f>IFERROR(__xludf.DUMMYFUNCTION("""COMPUTED_VALUE"""),"Variety of Sensation")</f>
        <v>Variety of Sensation</v>
      </c>
      <c r="D2319" s="29" t="str">
        <f>IFERROR(__xludf.DUMMYFUNCTION("""COMPUTED_VALUE"""),"4")</f>
        <v>4</v>
      </c>
      <c r="E2319" s="29">
        <f>IFERROR(__xludf.DUMMYFUNCTION("""COMPUTED_VALUE"""),4.0)</f>
        <v>4</v>
      </c>
    </row>
    <row r="2320">
      <c r="A2320" s="33">
        <f>IFERROR(__xludf.DUMMYFUNCTION("""COMPUTED_VALUE"""),46179.82143106481)</f>
        <v>46179.82143</v>
      </c>
      <c r="B2320" s="29" t="str">
        <f>IFERROR(__xludf.DUMMYFUNCTION("""COMPUTED_VALUE"""),"Intact (Never circumcised)")</f>
        <v>Intact (Never circumcised)</v>
      </c>
      <c r="C2320" s="29" t="str">
        <f>IFERROR(__xludf.DUMMYFUNCTION("""COMPUTED_VALUE"""),"Variety of Sensation")</f>
        <v>Variety of Sensation</v>
      </c>
      <c r="D2320" s="29" t="str">
        <f>IFERROR(__xludf.DUMMYFUNCTION("""COMPUTED_VALUE"""),"4")</f>
        <v>4</v>
      </c>
      <c r="E2320" s="29">
        <f>IFERROR(__xludf.DUMMYFUNCTION("""COMPUTED_VALUE"""),4.0)</f>
        <v>4</v>
      </c>
    </row>
    <row r="2321">
      <c r="A2321" s="33">
        <f>IFERROR(__xludf.DUMMYFUNCTION("""COMPUTED_VALUE"""),46181.34934444445)</f>
        <v>46181.34934</v>
      </c>
      <c r="B2321" s="29" t="str">
        <f>IFERROR(__xludf.DUMMYFUNCTION("""COMPUTED_VALUE"""),"Intact (Never circumcised)")</f>
        <v>Intact (Never circumcised)</v>
      </c>
      <c r="C2321" s="29" t="str">
        <f>IFERROR(__xludf.DUMMYFUNCTION("""COMPUTED_VALUE"""),"Variety of Sensation")</f>
        <v>Variety of Sensation</v>
      </c>
      <c r="D2321" s="29" t="str">
        <f>IFERROR(__xludf.DUMMYFUNCTION("""COMPUTED_VALUE"""),"4")</f>
        <v>4</v>
      </c>
      <c r="E2321" s="29">
        <f>IFERROR(__xludf.DUMMYFUNCTION("""COMPUTED_VALUE"""),4.0)</f>
        <v>4</v>
      </c>
    </row>
    <row r="2322">
      <c r="A2322" s="33">
        <f>IFERROR(__xludf.DUMMYFUNCTION("""COMPUTED_VALUE"""),46181.86271541667)</f>
        <v>46181.86272</v>
      </c>
      <c r="B2322" s="29" t="str">
        <f>IFERROR(__xludf.DUMMYFUNCTION("""COMPUTED_VALUE"""),"Circumcised")</f>
        <v>Circumcised</v>
      </c>
      <c r="C2322" s="29" t="str">
        <f>IFERROR(__xludf.DUMMYFUNCTION("""COMPUTED_VALUE"""),"Variety of Sensation")</f>
        <v>Variety of Sensation</v>
      </c>
      <c r="D2322" s="29" t="str">
        <f>IFERROR(__xludf.DUMMYFUNCTION("""COMPUTED_VALUE"""),"3 (Medium/Average)")</f>
        <v>3 (Medium/Average)</v>
      </c>
      <c r="E2322" s="29">
        <f>IFERROR(__xludf.DUMMYFUNCTION("""COMPUTED_VALUE"""),3.0)</f>
        <v>3</v>
      </c>
    </row>
    <row r="2323">
      <c r="A2323" s="33">
        <f>IFERROR(__xludf.DUMMYFUNCTION("""COMPUTED_VALUE"""),46182.806710358804)</f>
        <v>46182.80671</v>
      </c>
      <c r="B2323" s="29" t="str">
        <f>IFERROR(__xludf.DUMMYFUNCTION("""COMPUTED_VALUE"""),"Intact (Never circumcised)")</f>
        <v>Intact (Never circumcised)</v>
      </c>
      <c r="C2323" s="29" t="str">
        <f>IFERROR(__xludf.DUMMYFUNCTION("""COMPUTED_VALUE"""),"Variety of Sensation")</f>
        <v>Variety of Sensation</v>
      </c>
      <c r="D2323" s="29" t="str">
        <f>IFERROR(__xludf.DUMMYFUNCTION("""COMPUTED_VALUE"""),"3 (Medium/Average)")</f>
        <v>3 (Medium/Average)</v>
      </c>
      <c r="E2323" s="29">
        <f>IFERROR(__xludf.DUMMYFUNCTION("""COMPUTED_VALUE"""),3.0)</f>
        <v>3</v>
      </c>
    </row>
    <row r="2324">
      <c r="A2324" s="33">
        <f>IFERROR(__xludf.DUMMYFUNCTION("""COMPUTED_VALUE"""),46187.824254467596)</f>
        <v>46187.82425</v>
      </c>
      <c r="B2324" s="29" t="str">
        <f>IFERROR(__xludf.DUMMYFUNCTION("""COMPUTED_VALUE"""),"Circumcised")</f>
        <v>Circumcised</v>
      </c>
      <c r="C2324" s="29" t="str">
        <f>IFERROR(__xludf.DUMMYFUNCTION("""COMPUTED_VALUE"""),"Variety of Sensation")</f>
        <v>Variety of Sensation</v>
      </c>
      <c r="D2324" s="29" t="str">
        <f>IFERROR(__xludf.DUMMYFUNCTION("""COMPUTED_VALUE"""),"3 (Medium/Average)")</f>
        <v>3 (Medium/Average)</v>
      </c>
      <c r="E2324" s="29">
        <f>IFERROR(__xludf.DUMMYFUNCTION("""COMPUTED_VALUE"""),3.0)</f>
        <v>3</v>
      </c>
    </row>
    <row r="2325">
      <c r="E2325" s="29"/>
    </row>
    <row r="2326">
      <c r="E2326" s="29"/>
    </row>
    <row r="2327">
      <c r="E2327" s="29"/>
    </row>
    <row r="2328">
      <c r="E2328" s="29"/>
    </row>
    <row r="2329">
      <c r="E2329" s="29"/>
    </row>
    <row r="2330">
      <c r="E2330" s="29"/>
    </row>
    <row r="2331">
      <c r="E2331" s="29"/>
    </row>
    <row r="2332">
      <c r="E2332" s="29"/>
    </row>
    <row r="2333">
      <c r="E2333" s="29"/>
    </row>
    <row r="2334">
      <c r="E2334" s="29"/>
    </row>
    <row r="2335">
      <c r="E2335" s="29"/>
    </row>
    <row r="2336">
      <c r="E2336" s="29"/>
    </row>
    <row r="2337">
      <c r="E2337" s="29"/>
    </row>
    <row r="2338">
      <c r="E2338" s="29"/>
    </row>
    <row r="2339">
      <c r="E2339" s="29"/>
    </row>
    <row r="2340">
      <c r="E2340" s="29"/>
    </row>
    <row r="2341">
      <c r="E2341" s="29"/>
    </row>
    <row r="2342">
      <c r="E2342" s="29"/>
    </row>
    <row r="2343">
      <c r="E2343" s="29"/>
    </row>
    <row r="2344">
      <c r="E2344" s="29"/>
    </row>
    <row r="2345">
      <c r="E2345" s="29"/>
    </row>
    <row r="2346">
      <c r="E2346" s="29"/>
    </row>
    <row r="2347">
      <c r="E2347" s="29"/>
    </row>
    <row r="2348">
      <c r="E2348" s="29"/>
    </row>
    <row r="2349">
      <c r="E2349" s="29"/>
    </row>
    <row r="2350">
      <c r="E2350" s="29"/>
    </row>
    <row r="2351">
      <c r="E2351" s="29"/>
    </row>
    <row r="2352">
      <c r="E2352" s="29"/>
    </row>
    <row r="2353">
      <c r="E2353" s="29"/>
    </row>
    <row r="2354">
      <c r="E2354" s="29"/>
    </row>
    <row r="2355">
      <c r="E2355" s="29"/>
    </row>
    <row r="2356">
      <c r="E2356" s="29"/>
    </row>
    <row r="2357">
      <c r="E2357" s="29"/>
    </row>
    <row r="2358">
      <c r="E2358" s="29"/>
    </row>
    <row r="2359">
      <c r="E2359" s="29"/>
    </row>
    <row r="2360">
      <c r="E2360" s="29"/>
    </row>
    <row r="2361">
      <c r="E2361" s="29"/>
    </row>
    <row r="2362">
      <c r="E2362" s="29"/>
    </row>
    <row r="2363">
      <c r="E2363" s="29"/>
    </row>
    <row r="2364">
      <c r="E2364" s="29"/>
    </row>
    <row r="2365">
      <c r="E2365" s="29"/>
    </row>
    <row r="2366">
      <c r="E2366" s="29"/>
    </row>
    <row r="2367">
      <c r="E2367" s="29"/>
    </row>
    <row r="2368">
      <c r="E2368" s="29"/>
    </row>
    <row r="2369">
      <c r="E2369" s="29"/>
    </row>
    <row r="2370">
      <c r="E2370" s="29"/>
    </row>
    <row r="2371">
      <c r="E2371" s="29"/>
    </row>
    <row r="2372">
      <c r="E2372" s="29"/>
    </row>
    <row r="2373">
      <c r="E2373" s="29"/>
    </row>
    <row r="2374">
      <c r="E2374" s="29"/>
    </row>
    <row r="2375">
      <c r="E2375" s="29"/>
    </row>
    <row r="2376">
      <c r="E2376" s="29"/>
    </row>
    <row r="2377">
      <c r="E2377" s="29"/>
    </row>
    <row r="2378">
      <c r="E2378" s="29"/>
    </row>
    <row r="2379">
      <c r="E2379" s="29"/>
    </row>
    <row r="2380">
      <c r="E2380" s="29"/>
    </row>
    <row r="2381">
      <c r="E2381" s="29"/>
    </row>
    <row r="2382">
      <c r="E2382" s="29"/>
    </row>
    <row r="2383">
      <c r="E2383" s="29"/>
    </row>
    <row r="2384">
      <c r="E2384" s="29"/>
    </row>
    <row r="2385">
      <c r="E2385" s="29"/>
    </row>
    <row r="2386">
      <c r="E2386" s="29"/>
    </row>
    <row r="2387">
      <c r="E2387" s="29"/>
    </row>
    <row r="2388">
      <c r="E2388" s="29"/>
    </row>
    <row r="2389">
      <c r="E2389" s="29"/>
    </row>
    <row r="2390">
      <c r="E2390" s="29"/>
    </row>
    <row r="2391">
      <c r="E2391" s="29"/>
    </row>
    <row r="2392">
      <c r="E2392" s="29"/>
    </row>
    <row r="2393">
      <c r="E2393" s="29"/>
    </row>
    <row r="2394">
      <c r="E2394" s="29"/>
    </row>
    <row r="2395">
      <c r="E2395" s="29"/>
    </row>
    <row r="2396">
      <c r="E2396" s="29"/>
    </row>
    <row r="2397">
      <c r="E2397" s="29"/>
    </row>
    <row r="2398">
      <c r="E2398" s="29"/>
    </row>
    <row r="2399">
      <c r="E2399" s="29"/>
    </row>
    <row r="2400">
      <c r="E2400" s="29"/>
    </row>
    <row r="2401">
      <c r="E2401" s="29"/>
    </row>
    <row r="2402">
      <c r="E2402" s="29"/>
    </row>
    <row r="2403">
      <c r="E2403" s="29"/>
    </row>
    <row r="2404">
      <c r="E2404" s="29"/>
    </row>
    <row r="2405">
      <c r="E2405" s="29"/>
    </row>
    <row r="2406">
      <c r="E2406" s="29"/>
    </row>
    <row r="2407">
      <c r="E2407" s="29"/>
    </row>
    <row r="2408">
      <c r="E2408" s="29"/>
    </row>
    <row r="2409">
      <c r="E2409" s="29"/>
    </row>
    <row r="2410">
      <c r="E2410" s="29"/>
    </row>
    <row r="2411">
      <c r="E2411" s="29"/>
    </row>
    <row r="2412">
      <c r="E2412" s="29"/>
    </row>
    <row r="2413">
      <c r="E2413" s="29"/>
    </row>
    <row r="2414">
      <c r="E2414" s="29"/>
    </row>
    <row r="2415">
      <c r="E2415" s="29"/>
    </row>
    <row r="2416">
      <c r="E2416" s="29"/>
    </row>
    <row r="2417">
      <c r="E2417" s="29"/>
    </row>
    <row r="2418">
      <c r="E2418" s="29"/>
    </row>
    <row r="2419">
      <c r="E2419" s="29"/>
    </row>
    <row r="2420">
      <c r="E2420" s="29"/>
    </row>
    <row r="2421">
      <c r="E2421" s="29"/>
    </row>
    <row r="2422">
      <c r="E2422" s="29"/>
    </row>
    <row r="2423">
      <c r="E2423" s="29"/>
    </row>
    <row r="2424">
      <c r="E2424" s="29"/>
    </row>
    <row r="2425">
      <c r="E2425" s="29"/>
    </row>
    <row r="2426">
      <c r="E2426" s="29"/>
    </row>
    <row r="2427">
      <c r="E2427" s="29"/>
    </row>
    <row r="2428">
      <c r="E2428" s="29"/>
    </row>
    <row r="2429">
      <c r="E2429" s="29"/>
    </row>
    <row r="2430">
      <c r="E2430" s="29"/>
    </row>
    <row r="2431">
      <c r="E2431" s="29"/>
    </row>
    <row r="2432">
      <c r="E2432" s="29"/>
    </row>
    <row r="2433">
      <c r="E2433" s="29"/>
    </row>
    <row r="2434">
      <c r="E2434" s="29"/>
    </row>
    <row r="2435">
      <c r="E2435" s="29"/>
    </row>
    <row r="2436">
      <c r="E2436" s="29"/>
    </row>
    <row r="2437">
      <c r="E2437" s="29"/>
    </row>
    <row r="2438">
      <c r="E2438" s="29"/>
    </row>
    <row r="2439">
      <c r="E2439" s="29"/>
    </row>
    <row r="2440">
      <c r="E2440" s="29"/>
    </row>
    <row r="2441">
      <c r="E2441" s="29"/>
    </row>
    <row r="2442">
      <c r="E2442" s="29"/>
    </row>
    <row r="2443">
      <c r="E2443" s="29"/>
    </row>
    <row r="2444">
      <c r="E2444" s="29"/>
    </row>
    <row r="2445">
      <c r="E2445" s="29"/>
    </row>
    <row r="2446">
      <c r="E2446" s="29"/>
    </row>
    <row r="2447">
      <c r="E2447" s="29"/>
    </row>
    <row r="2448">
      <c r="E2448" s="29"/>
    </row>
    <row r="2449">
      <c r="E2449" s="29"/>
    </row>
    <row r="2450">
      <c r="E2450" s="29"/>
    </row>
    <row r="2451">
      <c r="E2451" s="29"/>
    </row>
    <row r="2452">
      <c r="E2452" s="29"/>
    </row>
    <row r="2453">
      <c r="E2453" s="29"/>
    </row>
    <row r="2454">
      <c r="E2454" s="29"/>
    </row>
    <row r="2455">
      <c r="E2455" s="29"/>
    </row>
    <row r="2456">
      <c r="E2456" s="29"/>
    </row>
    <row r="2457">
      <c r="E2457" s="29"/>
    </row>
    <row r="2458">
      <c r="E2458" s="29"/>
    </row>
    <row r="2459">
      <c r="E2459" s="29"/>
    </row>
    <row r="2460">
      <c r="E2460" s="29"/>
    </row>
    <row r="2461">
      <c r="E2461" s="29"/>
    </row>
    <row r="2462">
      <c r="E2462" s="29"/>
    </row>
    <row r="2463">
      <c r="E2463" s="29"/>
    </row>
    <row r="2464">
      <c r="E2464" s="29"/>
    </row>
    <row r="2465">
      <c r="E2465" s="29"/>
    </row>
    <row r="2466">
      <c r="E2466" s="29"/>
    </row>
    <row r="2467">
      <c r="E2467" s="29"/>
    </row>
    <row r="2468">
      <c r="E2468" s="29"/>
    </row>
    <row r="2469">
      <c r="E2469" s="29"/>
    </row>
    <row r="2470">
      <c r="E2470" s="29"/>
    </row>
    <row r="2471">
      <c r="E2471" s="29"/>
    </row>
    <row r="2472">
      <c r="E2472" s="29"/>
    </row>
    <row r="2473">
      <c r="E2473" s="29"/>
    </row>
    <row r="2474">
      <c r="E2474" s="29"/>
    </row>
    <row r="2475">
      <c r="E2475" s="29"/>
    </row>
    <row r="2476">
      <c r="E2476" s="29"/>
    </row>
    <row r="2477">
      <c r="E2477" s="29"/>
    </row>
    <row r="2478">
      <c r="E2478" s="29"/>
    </row>
    <row r="2479">
      <c r="E2479" s="29"/>
    </row>
    <row r="2480">
      <c r="E2480" s="29"/>
    </row>
    <row r="2481">
      <c r="E2481" s="29"/>
    </row>
    <row r="2482">
      <c r="E2482" s="29"/>
    </row>
    <row r="2483">
      <c r="E2483" s="29"/>
    </row>
    <row r="2484">
      <c r="E2484" s="29"/>
    </row>
    <row r="2485">
      <c r="E2485" s="29"/>
    </row>
    <row r="2486">
      <c r="E2486" s="29"/>
    </row>
    <row r="2487">
      <c r="E2487" s="29"/>
    </row>
    <row r="2488">
      <c r="E2488" s="29"/>
    </row>
    <row r="2489">
      <c r="E2489" s="29"/>
    </row>
    <row r="2490">
      <c r="E2490" s="29"/>
    </row>
    <row r="2491">
      <c r="E2491" s="29"/>
    </row>
    <row r="2492">
      <c r="E2492" s="29"/>
    </row>
    <row r="2493">
      <c r="E2493" s="29"/>
    </row>
    <row r="2494">
      <c r="E2494" s="29"/>
    </row>
    <row r="2495">
      <c r="E2495" s="29"/>
    </row>
    <row r="2496">
      <c r="E2496" s="29"/>
    </row>
    <row r="2497">
      <c r="E2497" s="29"/>
    </row>
    <row r="2498">
      <c r="E2498" s="29"/>
    </row>
    <row r="2499">
      <c r="E2499" s="29"/>
    </row>
    <row r="2500">
      <c r="E2500" s="29"/>
    </row>
    <row r="2501">
      <c r="E2501" s="29"/>
    </row>
    <row r="2502">
      <c r="E2502" s="29"/>
    </row>
    <row r="2503">
      <c r="E2503" s="29"/>
    </row>
    <row r="2504">
      <c r="E2504" s="29"/>
    </row>
    <row r="2505">
      <c r="E2505" s="29"/>
    </row>
    <row r="2506">
      <c r="E2506" s="29"/>
    </row>
    <row r="2507">
      <c r="E2507" s="29"/>
    </row>
    <row r="2508">
      <c r="E2508" s="29"/>
    </row>
    <row r="2509">
      <c r="E2509" s="29"/>
    </row>
    <row r="2510">
      <c r="E2510" s="29"/>
    </row>
    <row r="2511">
      <c r="E2511" s="29"/>
    </row>
    <row r="2512">
      <c r="E2512" s="29"/>
    </row>
    <row r="2513">
      <c r="E2513" s="29"/>
    </row>
    <row r="2514">
      <c r="E2514" s="29"/>
    </row>
    <row r="2515">
      <c r="E2515" s="29"/>
    </row>
    <row r="2516">
      <c r="E2516" s="29"/>
    </row>
    <row r="2517">
      <c r="E2517" s="29"/>
    </row>
    <row r="2518">
      <c r="E2518" s="29"/>
    </row>
    <row r="2519">
      <c r="E2519" s="29"/>
    </row>
    <row r="2520">
      <c r="E2520" s="29"/>
    </row>
    <row r="2521">
      <c r="E2521" s="29"/>
    </row>
    <row r="2522">
      <c r="E2522" s="29"/>
    </row>
    <row r="2523">
      <c r="E2523" s="29"/>
    </row>
    <row r="2524">
      <c r="E2524" s="29"/>
    </row>
    <row r="2525">
      <c r="E2525" s="29"/>
    </row>
    <row r="2526">
      <c r="E2526" s="29"/>
    </row>
    <row r="2527">
      <c r="E2527" s="29"/>
    </row>
    <row r="2528">
      <c r="E2528" s="29"/>
    </row>
    <row r="2529">
      <c r="E2529" s="29"/>
    </row>
    <row r="2530">
      <c r="E2530" s="29"/>
    </row>
    <row r="2531">
      <c r="E2531" s="29"/>
    </row>
    <row r="2532">
      <c r="E2532" s="29"/>
    </row>
    <row r="2533">
      <c r="E2533" s="29"/>
    </row>
    <row r="2534">
      <c r="E2534" s="29"/>
    </row>
    <row r="2535">
      <c r="E2535" s="29"/>
    </row>
    <row r="2536">
      <c r="E2536" s="29"/>
    </row>
    <row r="2537">
      <c r="E2537" s="29"/>
    </row>
    <row r="2538">
      <c r="E2538" s="29"/>
    </row>
    <row r="2539">
      <c r="E2539" s="29"/>
    </row>
    <row r="2540">
      <c r="E2540" s="29"/>
    </row>
    <row r="2541">
      <c r="E2541" s="29"/>
    </row>
    <row r="2542">
      <c r="E2542" s="29"/>
    </row>
    <row r="2543">
      <c r="E2543" s="29"/>
    </row>
    <row r="2544">
      <c r="E2544" s="29"/>
    </row>
    <row r="2545">
      <c r="E2545" s="29"/>
    </row>
    <row r="2546">
      <c r="E2546" s="29"/>
    </row>
    <row r="2547">
      <c r="E2547" s="29"/>
    </row>
    <row r="2548">
      <c r="E2548" s="29"/>
    </row>
    <row r="2549">
      <c r="E2549" s="29"/>
    </row>
    <row r="2550">
      <c r="E2550" s="29"/>
    </row>
    <row r="2551">
      <c r="E2551" s="29"/>
    </row>
    <row r="2552">
      <c r="E2552" s="29"/>
    </row>
    <row r="2553">
      <c r="E2553" s="29"/>
    </row>
    <row r="2554">
      <c r="E2554" s="29"/>
    </row>
    <row r="2555">
      <c r="E2555" s="29"/>
    </row>
    <row r="2556">
      <c r="E2556" s="29"/>
    </row>
    <row r="2557">
      <c r="E2557" s="29"/>
    </row>
    <row r="2558">
      <c r="E2558" s="29"/>
    </row>
    <row r="2559">
      <c r="E2559" s="29"/>
    </row>
    <row r="2560">
      <c r="E2560" s="29"/>
    </row>
    <row r="2561">
      <c r="E2561" s="29"/>
    </row>
    <row r="2562">
      <c r="E2562" s="29"/>
    </row>
    <row r="2563">
      <c r="E2563" s="29"/>
    </row>
    <row r="2564">
      <c r="E2564" s="29"/>
    </row>
    <row r="2565">
      <c r="E2565" s="29"/>
    </row>
    <row r="2566">
      <c r="E2566" s="29"/>
    </row>
    <row r="2567">
      <c r="E2567" s="29"/>
    </row>
    <row r="2568">
      <c r="E2568" s="29"/>
    </row>
    <row r="2569">
      <c r="E2569" s="29"/>
    </row>
    <row r="2570">
      <c r="E2570" s="29"/>
    </row>
    <row r="2571">
      <c r="E2571" s="29"/>
    </row>
    <row r="2572">
      <c r="E2572" s="29"/>
    </row>
    <row r="2573">
      <c r="E2573" s="29"/>
    </row>
    <row r="2574">
      <c r="E2574" s="29"/>
    </row>
    <row r="2575">
      <c r="E2575" s="29"/>
    </row>
    <row r="2576">
      <c r="E2576" s="29"/>
    </row>
    <row r="2577">
      <c r="E2577" s="29"/>
    </row>
    <row r="2578">
      <c r="E2578" s="29"/>
    </row>
    <row r="2579">
      <c r="E2579" s="29"/>
    </row>
    <row r="2580">
      <c r="E2580" s="29"/>
    </row>
    <row r="2581">
      <c r="E2581" s="29"/>
    </row>
    <row r="2582">
      <c r="E2582" s="29"/>
    </row>
    <row r="2583">
      <c r="E2583" s="29"/>
    </row>
    <row r="2584">
      <c r="E2584" s="29"/>
    </row>
    <row r="2585">
      <c r="E2585" s="29"/>
    </row>
    <row r="2586">
      <c r="E2586" s="29"/>
    </row>
    <row r="2587">
      <c r="E2587" s="29"/>
    </row>
    <row r="2588">
      <c r="E2588" s="29"/>
    </row>
    <row r="2589">
      <c r="E2589" s="29"/>
    </row>
    <row r="2590">
      <c r="E2590" s="29"/>
    </row>
    <row r="2591">
      <c r="E2591" s="29"/>
    </row>
    <row r="2592">
      <c r="E2592" s="29"/>
    </row>
    <row r="2593">
      <c r="E2593" s="29"/>
    </row>
    <row r="2594">
      <c r="E2594" s="29"/>
    </row>
    <row r="2595">
      <c r="E2595" s="29"/>
    </row>
    <row r="2596">
      <c r="E2596" s="29"/>
    </row>
    <row r="2597">
      <c r="E2597" s="29"/>
    </row>
    <row r="2598">
      <c r="E2598" s="29"/>
    </row>
    <row r="2599">
      <c r="E2599" s="29"/>
    </row>
    <row r="2600">
      <c r="E2600" s="29"/>
    </row>
    <row r="2601">
      <c r="E2601" s="29"/>
    </row>
    <row r="2602">
      <c r="E2602" s="29"/>
    </row>
    <row r="2603">
      <c r="E2603" s="29"/>
    </row>
    <row r="2604">
      <c r="E2604" s="29"/>
    </row>
    <row r="2605">
      <c r="E2605" s="29"/>
    </row>
    <row r="2606">
      <c r="E2606" s="29"/>
    </row>
    <row r="2607">
      <c r="E2607" s="29"/>
    </row>
    <row r="2608">
      <c r="E2608" s="29"/>
    </row>
    <row r="2609">
      <c r="E2609" s="29"/>
    </row>
    <row r="2610">
      <c r="E2610" s="29"/>
    </row>
    <row r="2611">
      <c r="E2611" s="29"/>
    </row>
    <row r="2612">
      <c r="E2612" s="29"/>
    </row>
    <row r="2613">
      <c r="E2613" s="29"/>
    </row>
    <row r="2614">
      <c r="E2614" s="29"/>
    </row>
    <row r="2615">
      <c r="E2615" s="29"/>
    </row>
    <row r="2616">
      <c r="E2616" s="29"/>
    </row>
    <row r="2617">
      <c r="E2617" s="29"/>
    </row>
    <row r="2618">
      <c r="E2618" s="29"/>
    </row>
    <row r="2619">
      <c r="E2619" s="29"/>
    </row>
    <row r="2620">
      <c r="E2620" s="29"/>
    </row>
    <row r="2621">
      <c r="E2621" s="29"/>
    </row>
    <row r="2622">
      <c r="E2622" s="29"/>
    </row>
    <row r="2623">
      <c r="E2623" s="29"/>
    </row>
    <row r="2624">
      <c r="E2624" s="29"/>
    </row>
    <row r="2625">
      <c r="E2625" s="29"/>
    </row>
    <row r="2626">
      <c r="E2626" s="29"/>
    </row>
    <row r="2627">
      <c r="E2627" s="29"/>
    </row>
    <row r="2628">
      <c r="E2628" s="29"/>
    </row>
    <row r="2629">
      <c r="E2629" s="29"/>
    </row>
    <row r="2630">
      <c r="E2630" s="29"/>
    </row>
    <row r="2631">
      <c r="E2631" s="29"/>
    </row>
    <row r="2632">
      <c r="E2632" s="29"/>
    </row>
    <row r="2633">
      <c r="E2633" s="29"/>
    </row>
    <row r="2634">
      <c r="E2634" s="29"/>
    </row>
    <row r="2635">
      <c r="E2635" s="29"/>
    </row>
    <row r="2636">
      <c r="E2636" s="29"/>
    </row>
    <row r="2637">
      <c r="E2637" s="29"/>
    </row>
    <row r="2638">
      <c r="E2638" s="29"/>
    </row>
    <row r="2639">
      <c r="E2639" s="29"/>
    </row>
    <row r="2640">
      <c r="E2640" s="29"/>
    </row>
    <row r="2641">
      <c r="E2641" s="29"/>
    </row>
    <row r="2642">
      <c r="E2642" s="29"/>
    </row>
    <row r="2643">
      <c r="E2643" s="29"/>
    </row>
    <row r="2644">
      <c r="E2644" s="29"/>
    </row>
    <row r="2645">
      <c r="E2645" s="29"/>
    </row>
    <row r="2646">
      <c r="E2646" s="29"/>
    </row>
    <row r="2647">
      <c r="E2647" s="29"/>
    </row>
    <row r="2648">
      <c r="E2648" s="29"/>
    </row>
    <row r="2649">
      <c r="E2649" s="29"/>
    </row>
    <row r="2650">
      <c r="E2650" s="29"/>
    </row>
    <row r="2651">
      <c r="E2651" s="29"/>
    </row>
    <row r="2652">
      <c r="E2652" s="29"/>
    </row>
    <row r="2653">
      <c r="E2653" s="29"/>
    </row>
    <row r="2654">
      <c r="E2654" s="29"/>
    </row>
    <row r="2655">
      <c r="E2655" s="29"/>
    </row>
    <row r="2656">
      <c r="E2656" s="29"/>
    </row>
    <row r="2657">
      <c r="E2657" s="29"/>
    </row>
    <row r="2658">
      <c r="E2658" s="29"/>
    </row>
    <row r="2659">
      <c r="E2659" s="29"/>
    </row>
    <row r="2660">
      <c r="E2660" s="29"/>
    </row>
    <row r="2661">
      <c r="E2661" s="29"/>
    </row>
    <row r="2662">
      <c r="E2662" s="29"/>
    </row>
    <row r="2663">
      <c r="E2663" s="29"/>
    </row>
    <row r="2664">
      <c r="E2664" s="29"/>
    </row>
    <row r="2665">
      <c r="E2665" s="29"/>
    </row>
    <row r="2666">
      <c r="E2666" s="29"/>
    </row>
    <row r="2667">
      <c r="E2667" s="29"/>
    </row>
    <row r="2668">
      <c r="E2668" s="29"/>
    </row>
    <row r="2669">
      <c r="E2669" s="29"/>
    </row>
    <row r="2670">
      <c r="E2670" s="29"/>
    </row>
    <row r="2671">
      <c r="E2671" s="29"/>
    </row>
    <row r="2672">
      <c r="E2672" s="29"/>
    </row>
    <row r="2673">
      <c r="E2673" s="29"/>
    </row>
    <row r="2674">
      <c r="E2674" s="29"/>
    </row>
    <row r="2675">
      <c r="E2675" s="29"/>
    </row>
    <row r="2676">
      <c r="E2676" s="29"/>
    </row>
    <row r="2677">
      <c r="E2677" s="29"/>
    </row>
    <row r="2678">
      <c r="E2678" s="29"/>
    </row>
    <row r="2679">
      <c r="E2679" s="29"/>
    </row>
    <row r="2680">
      <c r="E2680" s="29"/>
    </row>
    <row r="2681">
      <c r="E2681" s="29"/>
    </row>
    <row r="2682">
      <c r="E2682" s="29"/>
    </row>
    <row r="2683">
      <c r="E2683" s="29"/>
    </row>
    <row r="2684">
      <c r="E2684" s="29"/>
    </row>
    <row r="2685">
      <c r="E2685" s="29"/>
    </row>
    <row r="2686">
      <c r="E2686" s="29"/>
    </row>
    <row r="2687">
      <c r="E2687" s="29"/>
    </row>
    <row r="2688">
      <c r="E2688" s="29"/>
    </row>
    <row r="2689">
      <c r="E2689" s="29"/>
    </row>
    <row r="2690">
      <c r="E2690" s="29"/>
    </row>
    <row r="2691">
      <c r="E2691" s="29"/>
    </row>
    <row r="2692">
      <c r="E2692" s="29"/>
    </row>
    <row r="2693">
      <c r="E2693" s="29"/>
    </row>
    <row r="2694">
      <c r="E2694" s="29"/>
    </row>
    <row r="2695">
      <c r="E2695" s="29"/>
    </row>
    <row r="2696">
      <c r="E2696" s="29"/>
    </row>
    <row r="2697">
      <c r="E2697" s="29"/>
    </row>
    <row r="2698">
      <c r="E2698" s="29"/>
    </row>
    <row r="2699">
      <c r="E2699" s="29"/>
    </row>
    <row r="2700">
      <c r="E2700" s="29"/>
    </row>
    <row r="2701">
      <c r="E2701" s="29"/>
    </row>
    <row r="2702">
      <c r="E2702" s="29"/>
    </row>
    <row r="2703">
      <c r="E2703" s="29"/>
    </row>
    <row r="2704">
      <c r="E2704" s="29"/>
    </row>
    <row r="2705">
      <c r="E2705" s="29"/>
    </row>
    <row r="2706">
      <c r="E2706" s="29"/>
    </row>
    <row r="2707">
      <c r="E2707" s="29"/>
    </row>
    <row r="2708">
      <c r="E2708" s="29"/>
    </row>
    <row r="2709">
      <c r="E2709" s="29"/>
    </row>
    <row r="2710">
      <c r="E2710" s="29"/>
    </row>
    <row r="2711">
      <c r="E2711" s="29"/>
    </row>
    <row r="2712">
      <c r="E2712" s="29"/>
    </row>
    <row r="2713">
      <c r="E2713" s="29"/>
    </row>
    <row r="2714">
      <c r="E2714" s="29"/>
    </row>
    <row r="2715">
      <c r="E2715" s="29"/>
    </row>
    <row r="2716">
      <c r="E2716" s="29"/>
    </row>
    <row r="2717">
      <c r="E2717" s="29"/>
    </row>
    <row r="2718">
      <c r="E2718" s="29"/>
    </row>
    <row r="2719">
      <c r="E2719" s="29"/>
    </row>
    <row r="2720">
      <c r="E2720" s="29"/>
    </row>
    <row r="2721">
      <c r="E2721" s="29"/>
    </row>
    <row r="2722">
      <c r="E2722" s="29"/>
    </row>
    <row r="2723">
      <c r="E2723" s="29"/>
    </row>
    <row r="2724">
      <c r="E2724" s="29"/>
    </row>
    <row r="2725">
      <c r="E2725" s="29"/>
    </row>
    <row r="2726">
      <c r="E2726" s="29"/>
    </row>
    <row r="2727">
      <c r="E2727" s="29"/>
    </row>
    <row r="2728">
      <c r="E2728" s="29"/>
    </row>
    <row r="2729">
      <c r="E2729" s="29"/>
    </row>
    <row r="2730">
      <c r="E2730" s="29"/>
    </row>
    <row r="2731">
      <c r="E2731" s="29"/>
    </row>
    <row r="2732">
      <c r="E2732" s="29"/>
    </row>
    <row r="2733">
      <c r="E2733" s="29"/>
    </row>
    <row r="2734">
      <c r="E2734" s="29"/>
    </row>
    <row r="2735">
      <c r="E2735" s="29"/>
    </row>
    <row r="2736">
      <c r="E2736" s="29"/>
    </row>
    <row r="2737">
      <c r="E2737" s="29"/>
    </row>
    <row r="2738">
      <c r="E2738" s="29"/>
    </row>
    <row r="2739">
      <c r="E2739" s="29"/>
    </row>
    <row r="2740">
      <c r="E2740" s="29"/>
    </row>
    <row r="2741">
      <c r="E2741" s="29"/>
    </row>
    <row r="2742">
      <c r="E2742" s="29"/>
    </row>
    <row r="2743">
      <c r="E2743" s="29"/>
    </row>
    <row r="2744">
      <c r="E2744" s="29"/>
    </row>
    <row r="2745">
      <c r="E2745" s="29"/>
    </row>
    <row r="2746">
      <c r="E2746" s="29"/>
    </row>
    <row r="2747">
      <c r="E2747" s="29"/>
    </row>
    <row r="2748">
      <c r="E2748" s="29"/>
    </row>
    <row r="2749">
      <c r="E2749" s="29"/>
    </row>
    <row r="2750">
      <c r="E2750" s="29"/>
    </row>
    <row r="2751">
      <c r="E2751" s="29"/>
    </row>
    <row r="2752">
      <c r="E2752" s="29"/>
    </row>
    <row r="2753">
      <c r="E2753" s="29"/>
    </row>
    <row r="2754">
      <c r="E2754" s="29"/>
    </row>
    <row r="2755">
      <c r="E2755" s="29"/>
    </row>
    <row r="2756">
      <c r="E2756" s="29"/>
    </row>
    <row r="2757">
      <c r="E2757" s="29"/>
    </row>
    <row r="2758">
      <c r="E2758" s="29"/>
    </row>
    <row r="2759">
      <c r="E2759" s="29"/>
    </row>
    <row r="2760">
      <c r="E2760" s="29"/>
    </row>
    <row r="2761">
      <c r="E2761" s="29"/>
    </row>
    <row r="2762">
      <c r="E2762" s="29"/>
    </row>
    <row r="2763">
      <c r="E2763" s="29"/>
    </row>
    <row r="2764">
      <c r="E2764" s="29"/>
    </row>
    <row r="2765">
      <c r="E2765" s="29"/>
    </row>
    <row r="2766">
      <c r="E2766" s="29"/>
    </row>
    <row r="2767">
      <c r="E2767" s="29"/>
    </row>
    <row r="2768">
      <c r="E2768" s="29"/>
    </row>
    <row r="2769">
      <c r="E2769" s="29"/>
    </row>
    <row r="2770">
      <c r="E2770" s="29"/>
    </row>
    <row r="2771">
      <c r="E2771" s="29"/>
    </row>
    <row r="2772">
      <c r="E2772" s="29"/>
    </row>
    <row r="2773">
      <c r="E2773" s="29"/>
    </row>
    <row r="2774">
      <c r="E2774" s="29"/>
    </row>
    <row r="2775">
      <c r="E2775" s="29"/>
    </row>
    <row r="2776">
      <c r="E2776" s="29"/>
    </row>
    <row r="2777">
      <c r="E2777" s="29"/>
    </row>
    <row r="2778">
      <c r="E2778" s="29"/>
    </row>
    <row r="2779">
      <c r="E2779" s="29"/>
    </row>
    <row r="2780">
      <c r="E2780" s="29"/>
    </row>
    <row r="2781">
      <c r="E2781" s="29"/>
    </row>
    <row r="2782">
      <c r="E2782" s="29"/>
    </row>
    <row r="2783">
      <c r="E2783" s="29"/>
    </row>
    <row r="2784">
      <c r="E2784" s="29"/>
    </row>
    <row r="2785">
      <c r="E2785" s="29"/>
    </row>
    <row r="2786">
      <c r="E2786" s="29"/>
    </row>
    <row r="2787">
      <c r="E2787" s="29"/>
    </row>
    <row r="2788">
      <c r="E2788" s="29"/>
    </row>
    <row r="2789">
      <c r="E2789" s="29"/>
    </row>
    <row r="2790">
      <c r="E2790" s="29"/>
    </row>
    <row r="2791">
      <c r="E2791" s="29"/>
    </row>
    <row r="2792">
      <c r="E2792" s="29"/>
    </row>
    <row r="2793">
      <c r="E2793" s="29"/>
    </row>
    <row r="2794">
      <c r="E2794" s="29"/>
    </row>
    <row r="2795">
      <c r="E2795" s="29"/>
    </row>
    <row r="2796">
      <c r="E2796" s="29"/>
    </row>
    <row r="2797">
      <c r="E2797" s="29"/>
    </row>
    <row r="2798">
      <c r="E2798" s="29"/>
    </row>
    <row r="2799">
      <c r="E2799" s="29"/>
    </row>
    <row r="2800">
      <c r="E2800" s="29"/>
    </row>
    <row r="2801">
      <c r="E2801" s="29"/>
    </row>
    <row r="2802">
      <c r="E2802" s="29"/>
    </row>
    <row r="2803">
      <c r="E2803" s="29"/>
    </row>
    <row r="2804">
      <c r="E2804" s="29"/>
    </row>
    <row r="2805">
      <c r="E2805" s="29"/>
    </row>
    <row r="2806">
      <c r="E2806" s="29"/>
    </row>
    <row r="2807">
      <c r="E2807" s="29"/>
    </row>
    <row r="2808">
      <c r="E2808" s="29"/>
    </row>
    <row r="2809">
      <c r="E2809" s="29"/>
    </row>
    <row r="2810">
      <c r="E2810" s="29"/>
    </row>
    <row r="2811">
      <c r="E2811" s="29"/>
    </row>
    <row r="2812">
      <c r="E2812" s="29"/>
    </row>
    <row r="2813">
      <c r="E2813" s="29"/>
    </row>
    <row r="2814">
      <c r="E2814" s="29"/>
    </row>
    <row r="2815">
      <c r="E2815" s="29"/>
    </row>
    <row r="2816">
      <c r="E2816" s="29"/>
    </row>
    <row r="2817">
      <c r="E2817" s="29"/>
    </row>
    <row r="2818">
      <c r="E2818" s="29"/>
    </row>
    <row r="2819">
      <c r="E2819" s="29"/>
    </row>
    <row r="2820">
      <c r="E2820" s="29"/>
    </row>
    <row r="2821">
      <c r="E2821" s="29"/>
    </row>
    <row r="2822">
      <c r="E2822" s="29"/>
    </row>
    <row r="2823">
      <c r="E2823" s="29"/>
    </row>
    <row r="2824">
      <c r="E2824" s="29"/>
    </row>
    <row r="2825">
      <c r="E2825" s="29"/>
    </row>
    <row r="2826">
      <c r="E2826" s="29"/>
    </row>
    <row r="2827">
      <c r="E2827" s="29"/>
    </row>
    <row r="2828">
      <c r="E2828" s="29"/>
    </row>
    <row r="2829">
      <c r="E2829" s="29"/>
    </row>
    <row r="2830">
      <c r="E2830" s="29"/>
    </row>
    <row r="2831">
      <c r="E2831" s="29"/>
    </row>
    <row r="2832">
      <c r="E2832" s="29"/>
    </row>
    <row r="2833">
      <c r="E2833" s="29"/>
    </row>
    <row r="2834">
      <c r="E2834" s="29"/>
    </row>
    <row r="2835">
      <c r="E2835" s="29"/>
    </row>
    <row r="2836">
      <c r="E2836" s="29"/>
    </row>
    <row r="2837">
      <c r="E2837" s="29"/>
    </row>
    <row r="2838">
      <c r="E2838" s="29"/>
    </row>
    <row r="2839">
      <c r="E2839" s="29"/>
    </row>
    <row r="2840">
      <c r="E2840" s="29"/>
    </row>
    <row r="2841">
      <c r="E2841" s="29"/>
    </row>
    <row r="2842">
      <c r="E2842" s="29"/>
    </row>
    <row r="2843">
      <c r="E2843" s="29"/>
    </row>
    <row r="2844">
      <c r="E2844" s="29"/>
    </row>
    <row r="2845">
      <c r="E2845" s="29"/>
    </row>
    <row r="2846">
      <c r="E2846" s="29"/>
    </row>
    <row r="2847">
      <c r="E2847" s="29"/>
    </row>
    <row r="2848">
      <c r="E2848" s="29"/>
    </row>
    <row r="2849">
      <c r="E2849" s="29"/>
    </row>
    <row r="2850">
      <c r="E2850" s="29"/>
    </row>
    <row r="2851">
      <c r="E2851" s="29"/>
    </row>
    <row r="2852">
      <c r="E2852" s="29"/>
    </row>
    <row r="2853">
      <c r="E2853" s="29"/>
    </row>
    <row r="2854">
      <c r="E2854" s="29"/>
    </row>
    <row r="2855">
      <c r="E2855" s="29"/>
    </row>
    <row r="2856">
      <c r="E2856" s="29"/>
    </row>
    <row r="2857">
      <c r="E2857" s="29"/>
    </row>
    <row r="2858">
      <c r="E2858" s="29"/>
    </row>
    <row r="2859">
      <c r="E2859" s="29"/>
    </row>
    <row r="2860">
      <c r="E2860" s="29"/>
    </row>
    <row r="2861">
      <c r="E2861" s="29"/>
    </row>
    <row r="2862">
      <c r="E2862" s="29"/>
    </row>
    <row r="2863">
      <c r="E2863" s="29"/>
    </row>
    <row r="2864">
      <c r="E2864" s="29"/>
    </row>
    <row r="2865">
      <c r="E2865" s="29"/>
    </row>
    <row r="2866">
      <c r="E2866" s="29"/>
    </row>
    <row r="2867">
      <c r="E2867" s="29"/>
    </row>
    <row r="2868">
      <c r="E2868" s="29"/>
    </row>
    <row r="2869">
      <c r="E2869" s="29"/>
    </row>
    <row r="2870">
      <c r="E2870" s="29"/>
    </row>
    <row r="2871">
      <c r="E2871" s="29"/>
    </row>
    <row r="2872">
      <c r="E2872" s="29"/>
    </row>
    <row r="2873">
      <c r="E2873" s="29"/>
    </row>
    <row r="2874">
      <c r="E2874" s="29"/>
    </row>
    <row r="2875">
      <c r="E2875" s="29"/>
    </row>
    <row r="2876">
      <c r="E2876" s="29"/>
    </row>
    <row r="2877">
      <c r="E2877" s="29"/>
    </row>
    <row r="2878">
      <c r="E2878" s="29"/>
    </row>
    <row r="2879">
      <c r="E2879" s="29"/>
    </row>
    <row r="2880">
      <c r="E2880" s="29"/>
    </row>
    <row r="2881">
      <c r="E2881" s="29"/>
    </row>
    <row r="2882">
      <c r="E2882" s="29"/>
    </row>
    <row r="2883">
      <c r="E2883" s="29"/>
    </row>
    <row r="2884">
      <c r="E2884" s="29"/>
    </row>
    <row r="2885">
      <c r="E2885" s="29"/>
    </row>
    <row r="2886">
      <c r="E2886" s="29"/>
    </row>
    <row r="2887">
      <c r="E2887" s="29"/>
    </row>
    <row r="2888">
      <c r="E2888" s="29"/>
    </row>
    <row r="2889">
      <c r="E2889" s="29"/>
    </row>
    <row r="2890">
      <c r="E2890" s="29"/>
    </row>
    <row r="2891">
      <c r="E2891" s="29"/>
    </row>
    <row r="2892">
      <c r="E2892" s="29"/>
    </row>
    <row r="2893">
      <c r="E2893" s="29"/>
    </row>
    <row r="2894">
      <c r="E2894" s="29"/>
    </row>
    <row r="2895">
      <c r="E2895" s="29"/>
    </row>
    <row r="2896">
      <c r="E2896" s="29"/>
    </row>
    <row r="2897">
      <c r="E2897" s="29"/>
    </row>
    <row r="2898">
      <c r="E2898" s="29"/>
    </row>
    <row r="2899">
      <c r="E2899" s="29"/>
    </row>
    <row r="2900">
      <c r="E2900" s="29"/>
    </row>
    <row r="2901">
      <c r="E2901" s="29"/>
    </row>
    <row r="2902">
      <c r="E2902" s="29"/>
    </row>
    <row r="2903">
      <c r="E2903" s="29"/>
    </row>
    <row r="2904">
      <c r="E2904" s="29"/>
    </row>
    <row r="2905">
      <c r="E2905" s="29"/>
    </row>
    <row r="2906">
      <c r="E2906" s="29"/>
    </row>
    <row r="2907">
      <c r="E2907" s="29"/>
    </row>
    <row r="2908">
      <c r="E2908" s="29"/>
    </row>
    <row r="2909">
      <c r="E2909" s="29"/>
    </row>
    <row r="2910">
      <c r="E2910" s="29"/>
    </row>
    <row r="2911">
      <c r="E2911" s="29"/>
    </row>
    <row r="2912">
      <c r="E2912" s="29"/>
    </row>
    <row r="2913">
      <c r="E2913" s="29"/>
    </row>
    <row r="2914">
      <c r="E2914" s="29"/>
    </row>
    <row r="2915">
      <c r="E2915" s="29"/>
    </row>
    <row r="2916">
      <c r="E2916" s="29"/>
    </row>
    <row r="2917">
      <c r="E2917" s="29"/>
    </row>
    <row r="2918">
      <c r="E2918" s="29"/>
    </row>
    <row r="2919">
      <c r="E2919" s="29"/>
    </row>
    <row r="2920">
      <c r="E2920" s="29"/>
    </row>
    <row r="2921">
      <c r="E2921" s="29"/>
    </row>
    <row r="2922">
      <c r="E2922" s="29"/>
    </row>
    <row r="2923">
      <c r="E2923" s="29"/>
    </row>
    <row r="2924">
      <c r="E2924" s="29"/>
    </row>
    <row r="2925">
      <c r="E2925" s="29"/>
    </row>
    <row r="2926">
      <c r="E2926" s="29"/>
    </row>
    <row r="2927">
      <c r="E2927" s="29"/>
    </row>
    <row r="2928">
      <c r="E2928" s="29"/>
    </row>
    <row r="2929">
      <c r="E2929" s="29"/>
    </row>
    <row r="2930">
      <c r="E2930" s="29"/>
    </row>
    <row r="2931">
      <c r="E2931" s="29"/>
    </row>
    <row r="2932">
      <c r="E2932" s="29"/>
    </row>
    <row r="2933">
      <c r="E2933" s="29"/>
    </row>
    <row r="2934">
      <c r="E2934" s="29"/>
    </row>
    <row r="2935">
      <c r="E2935" s="29"/>
    </row>
    <row r="2936">
      <c r="E2936" s="29"/>
    </row>
    <row r="2937">
      <c r="E2937" s="29"/>
    </row>
    <row r="2938">
      <c r="E2938" s="29"/>
    </row>
    <row r="2939">
      <c r="E2939" s="29"/>
    </row>
    <row r="2940">
      <c r="E2940" s="29"/>
    </row>
    <row r="2941">
      <c r="E2941" s="29"/>
    </row>
    <row r="2942">
      <c r="E2942" s="29"/>
    </row>
    <row r="2943">
      <c r="E2943" s="29"/>
    </row>
    <row r="2944">
      <c r="E2944" s="29"/>
    </row>
    <row r="2945">
      <c r="E2945" s="29"/>
    </row>
    <row r="2946">
      <c r="E2946" s="29"/>
    </row>
    <row r="2947">
      <c r="E2947" s="29"/>
    </row>
    <row r="2948">
      <c r="E2948" s="29"/>
    </row>
    <row r="2949">
      <c r="E2949" s="29"/>
    </row>
    <row r="2950">
      <c r="E2950" s="29"/>
    </row>
    <row r="2951">
      <c r="E2951" s="29"/>
    </row>
    <row r="2952">
      <c r="E2952" s="29"/>
    </row>
    <row r="2953">
      <c r="E2953" s="29"/>
    </row>
    <row r="2954">
      <c r="E2954" s="29"/>
    </row>
    <row r="2955">
      <c r="E2955" s="29"/>
    </row>
    <row r="2956">
      <c r="E2956" s="29"/>
    </row>
    <row r="2957">
      <c r="E2957" s="29"/>
    </row>
    <row r="2958">
      <c r="E2958" s="29"/>
    </row>
    <row r="2959">
      <c r="E2959" s="29"/>
    </row>
    <row r="2960">
      <c r="E2960" s="29"/>
    </row>
    <row r="2961">
      <c r="E2961" s="29"/>
    </row>
    <row r="2962">
      <c r="E2962" s="29"/>
    </row>
    <row r="2963">
      <c r="E2963" s="29"/>
    </row>
    <row r="2964">
      <c r="E2964" s="29"/>
    </row>
    <row r="2965">
      <c r="E2965" s="29"/>
    </row>
    <row r="2966">
      <c r="E2966" s="29"/>
    </row>
    <row r="2967">
      <c r="E2967" s="29"/>
    </row>
    <row r="2968">
      <c r="E2968" s="29"/>
    </row>
    <row r="2969">
      <c r="E2969" s="29"/>
    </row>
    <row r="2970">
      <c r="E2970" s="29"/>
    </row>
    <row r="2971">
      <c r="E2971" s="29"/>
    </row>
    <row r="2972">
      <c r="E2972" s="29"/>
    </row>
    <row r="2973">
      <c r="E2973" s="29"/>
    </row>
    <row r="2974">
      <c r="E2974" s="29"/>
    </row>
    <row r="2975">
      <c r="E2975" s="29"/>
    </row>
    <row r="2976">
      <c r="E2976" s="29"/>
    </row>
    <row r="2977">
      <c r="E2977" s="29"/>
    </row>
    <row r="2978">
      <c r="E2978" s="29"/>
    </row>
    <row r="2979">
      <c r="E2979" s="29"/>
    </row>
    <row r="2980">
      <c r="E2980" s="29"/>
    </row>
    <row r="2981">
      <c r="E2981" s="29"/>
    </row>
    <row r="2982">
      <c r="E2982" s="29"/>
    </row>
    <row r="2983">
      <c r="E2983" s="29"/>
    </row>
    <row r="2984">
      <c r="E2984" s="29"/>
    </row>
    <row r="2985">
      <c r="E2985" s="29"/>
    </row>
    <row r="2986">
      <c r="E2986" s="29"/>
    </row>
    <row r="2987">
      <c r="E2987" s="29"/>
    </row>
    <row r="2988">
      <c r="E2988" s="29"/>
    </row>
    <row r="2989">
      <c r="E2989" s="29"/>
    </row>
    <row r="2990">
      <c r="E2990" s="29"/>
    </row>
    <row r="2991">
      <c r="E2991" s="29"/>
    </row>
    <row r="2992">
      <c r="E2992" s="29"/>
    </row>
    <row r="2993">
      <c r="E2993" s="29"/>
    </row>
    <row r="2994">
      <c r="E2994" s="29"/>
    </row>
    <row r="2995">
      <c r="E2995" s="29"/>
    </row>
    <row r="2996">
      <c r="E2996" s="29"/>
    </row>
    <row r="2997">
      <c r="E2997" s="29"/>
    </row>
    <row r="2998">
      <c r="E2998" s="29"/>
    </row>
    <row r="2999">
      <c r="E2999" s="29"/>
    </row>
    <row r="3000">
      <c r="E3000" s="29"/>
    </row>
    <row r="3001">
      <c r="E3001" s="29"/>
    </row>
    <row r="3002">
      <c r="E3002" s="29"/>
    </row>
    <row r="3003">
      <c r="E3003" s="29"/>
    </row>
    <row r="3004">
      <c r="E3004" s="29"/>
    </row>
    <row r="3005">
      <c r="E3005" s="29"/>
    </row>
    <row r="3006">
      <c r="E3006" s="29"/>
    </row>
    <row r="3007">
      <c r="E3007" s="29"/>
    </row>
    <row r="3008">
      <c r="E3008" s="29"/>
    </row>
    <row r="3009">
      <c r="E3009" s="29"/>
    </row>
    <row r="3010">
      <c r="E3010" s="29"/>
    </row>
    <row r="3011">
      <c r="E3011" s="29"/>
    </row>
    <row r="3012">
      <c r="E3012" s="29"/>
    </row>
    <row r="3013">
      <c r="E3013" s="29"/>
    </row>
    <row r="3014">
      <c r="E3014" s="29"/>
    </row>
    <row r="3015">
      <c r="E3015" s="29"/>
    </row>
    <row r="3016">
      <c r="E3016" s="29"/>
    </row>
    <row r="3017">
      <c r="E3017" s="29"/>
    </row>
    <row r="3018">
      <c r="E3018" s="29"/>
    </row>
    <row r="3019">
      <c r="E3019" s="29"/>
    </row>
    <row r="3020">
      <c r="E3020" s="29"/>
    </row>
    <row r="3021">
      <c r="E3021" s="29"/>
    </row>
    <row r="3022">
      <c r="E3022" s="29"/>
    </row>
    <row r="3023">
      <c r="E3023" s="29"/>
    </row>
    <row r="3024">
      <c r="E3024" s="29"/>
    </row>
    <row r="3025">
      <c r="E3025" s="29"/>
    </row>
    <row r="3026">
      <c r="E3026" s="29"/>
    </row>
    <row r="3027">
      <c r="E3027" s="29"/>
    </row>
    <row r="3028">
      <c r="E3028" s="29"/>
    </row>
    <row r="3029">
      <c r="E3029" s="29"/>
    </row>
    <row r="3030">
      <c r="E3030" s="29"/>
    </row>
    <row r="3031">
      <c r="E3031" s="29"/>
    </row>
    <row r="3032">
      <c r="E3032" s="29"/>
    </row>
    <row r="3033">
      <c r="E3033" s="29"/>
    </row>
    <row r="3034">
      <c r="E3034" s="29"/>
    </row>
    <row r="3035">
      <c r="E3035" s="29"/>
    </row>
    <row r="3036">
      <c r="E3036" s="29"/>
    </row>
    <row r="3037">
      <c r="E3037" s="29"/>
    </row>
    <row r="3038">
      <c r="E3038" s="29"/>
    </row>
    <row r="3039">
      <c r="E3039" s="29"/>
    </row>
    <row r="3040">
      <c r="E3040" s="29"/>
    </row>
    <row r="3041">
      <c r="E3041" s="29"/>
    </row>
    <row r="3042">
      <c r="E3042" s="29"/>
    </row>
    <row r="3043">
      <c r="E3043" s="29"/>
    </row>
    <row r="3044">
      <c r="E3044" s="29"/>
    </row>
    <row r="3045">
      <c r="E3045" s="29"/>
    </row>
    <row r="3046">
      <c r="E3046" s="29"/>
    </row>
    <row r="3047">
      <c r="E3047" s="29"/>
    </row>
    <row r="3048">
      <c r="E3048" s="29"/>
    </row>
    <row r="3049">
      <c r="E3049" s="29"/>
    </row>
    <row r="3050">
      <c r="E3050" s="29"/>
    </row>
    <row r="3051">
      <c r="E3051" s="29"/>
    </row>
    <row r="3052">
      <c r="E3052" s="29"/>
    </row>
    <row r="3053">
      <c r="E3053" s="29"/>
    </row>
    <row r="3054">
      <c r="E3054" s="29"/>
    </row>
    <row r="3055">
      <c r="E3055" s="29"/>
    </row>
    <row r="3056">
      <c r="E3056" s="29"/>
    </row>
    <row r="3057">
      <c r="E3057" s="29"/>
    </row>
    <row r="3058">
      <c r="E3058" s="29"/>
    </row>
    <row r="3059">
      <c r="E3059" s="29"/>
    </row>
    <row r="3060">
      <c r="E3060" s="29"/>
    </row>
    <row r="3061">
      <c r="E3061" s="29"/>
    </row>
    <row r="3062">
      <c r="E3062" s="29"/>
    </row>
    <row r="3063">
      <c r="E3063" s="29"/>
    </row>
    <row r="3064">
      <c r="E3064" s="29"/>
    </row>
    <row r="3065">
      <c r="E3065" s="29"/>
    </row>
    <row r="3066">
      <c r="E3066" s="29"/>
    </row>
    <row r="3067">
      <c r="E3067" s="29"/>
    </row>
    <row r="3068">
      <c r="E3068" s="29"/>
    </row>
    <row r="3069">
      <c r="E3069" s="29"/>
    </row>
    <row r="3070">
      <c r="E3070" s="29"/>
    </row>
    <row r="3071">
      <c r="E3071" s="29"/>
    </row>
    <row r="3072">
      <c r="E3072" s="29"/>
    </row>
    <row r="3073">
      <c r="E3073" s="29"/>
    </row>
    <row r="3074">
      <c r="E3074" s="29"/>
    </row>
    <row r="3075">
      <c r="E3075" s="29"/>
    </row>
    <row r="3076">
      <c r="E3076" s="29"/>
    </row>
    <row r="3077">
      <c r="E3077" s="29"/>
    </row>
    <row r="3078">
      <c r="E3078" s="29"/>
    </row>
    <row r="3079">
      <c r="E3079" s="29"/>
    </row>
    <row r="3080">
      <c r="E3080" s="29"/>
    </row>
    <row r="3081">
      <c r="E3081" s="29"/>
    </row>
    <row r="3082">
      <c r="E3082" s="29"/>
    </row>
    <row r="3083">
      <c r="E3083" s="29"/>
    </row>
    <row r="3084">
      <c r="E3084" s="29"/>
    </row>
    <row r="3085">
      <c r="E3085" s="29"/>
    </row>
    <row r="3086">
      <c r="E3086" s="29"/>
    </row>
    <row r="3087">
      <c r="E3087" s="29"/>
    </row>
    <row r="3088">
      <c r="E3088" s="29"/>
    </row>
    <row r="3089">
      <c r="E3089" s="29"/>
    </row>
    <row r="3090">
      <c r="E3090" s="29"/>
    </row>
    <row r="3091">
      <c r="E3091" s="29"/>
    </row>
    <row r="3092">
      <c r="E3092" s="29"/>
    </row>
    <row r="3093">
      <c r="E3093" s="29"/>
    </row>
    <row r="3094">
      <c r="E3094" s="29"/>
    </row>
    <row r="3095">
      <c r="E3095" s="29"/>
    </row>
    <row r="3096">
      <c r="E3096" s="29"/>
    </row>
    <row r="3097">
      <c r="E3097" s="29"/>
    </row>
    <row r="3098">
      <c r="E3098" s="29"/>
    </row>
    <row r="3099">
      <c r="E3099" s="29"/>
    </row>
    <row r="3100">
      <c r="E3100" s="29"/>
    </row>
    <row r="3101">
      <c r="E3101" s="29"/>
    </row>
    <row r="3102">
      <c r="E3102" s="29"/>
    </row>
    <row r="3103">
      <c r="E3103" s="29"/>
    </row>
    <row r="3104">
      <c r="E3104" s="29"/>
    </row>
    <row r="3105">
      <c r="E3105" s="29"/>
    </row>
    <row r="3106">
      <c r="E3106" s="29"/>
    </row>
    <row r="3107">
      <c r="E3107" s="29"/>
    </row>
    <row r="3108">
      <c r="E3108" s="29"/>
    </row>
    <row r="3109">
      <c r="E3109" s="29"/>
    </row>
    <row r="3110">
      <c r="E3110" s="29"/>
    </row>
    <row r="3111">
      <c r="E3111" s="29"/>
    </row>
    <row r="3112">
      <c r="E3112" s="29"/>
    </row>
    <row r="3113">
      <c r="E3113" s="29"/>
    </row>
    <row r="3114">
      <c r="E3114" s="29"/>
    </row>
    <row r="3115">
      <c r="E3115" s="29"/>
    </row>
    <row r="3116">
      <c r="E3116" s="29"/>
    </row>
    <row r="3117">
      <c r="E3117" s="29"/>
    </row>
    <row r="3118">
      <c r="E3118" s="29"/>
    </row>
    <row r="3119">
      <c r="E3119" s="29"/>
    </row>
    <row r="3120">
      <c r="E3120" s="29"/>
    </row>
    <row r="3121">
      <c r="E3121" s="29"/>
    </row>
    <row r="3122">
      <c r="E3122" s="29"/>
    </row>
    <row r="3123">
      <c r="E3123" s="29"/>
    </row>
    <row r="3124">
      <c r="E3124" s="29"/>
    </row>
    <row r="3125">
      <c r="E3125" s="29"/>
    </row>
    <row r="3126">
      <c r="E3126" s="29"/>
    </row>
    <row r="3127">
      <c r="E3127" s="29"/>
    </row>
    <row r="3128">
      <c r="E3128" s="29"/>
    </row>
    <row r="3129">
      <c r="E3129" s="29"/>
    </row>
    <row r="3130">
      <c r="E3130" s="29"/>
    </row>
    <row r="3131">
      <c r="E3131" s="29"/>
    </row>
    <row r="3132">
      <c r="E3132" s="29"/>
    </row>
    <row r="3133">
      <c r="E3133" s="29"/>
    </row>
    <row r="3134">
      <c r="E3134" s="29"/>
    </row>
    <row r="3135">
      <c r="E3135" s="29"/>
    </row>
    <row r="3136">
      <c r="E3136" s="29"/>
    </row>
    <row r="3137">
      <c r="E3137" s="29"/>
    </row>
    <row r="3138">
      <c r="E3138" s="29"/>
    </row>
    <row r="3139">
      <c r="E3139" s="29"/>
    </row>
    <row r="3140">
      <c r="E3140" s="29"/>
    </row>
    <row r="3141">
      <c r="E3141" s="29"/>
    </row>
    <row r="3142">
      <c r="E3142" s="29"/>
    </row>
    <row r="3143">
      <c r="E3143" s="29"/>
    </row>
    <row r="3144">
      <c r="E3144" s="29"/>
    </row>
    <row r="3145">
      <c r="E3145" s="29"/>
    </row>
    <row r="3146">
      <c r="E3146" s="29"/>
    </row>
    <row r="3147">
      <c r="E3147" s="29"/>
    </row>
    <row r="3148">
      <c r="E3148" s="29"/>
    </row>
    <row r="3149">
      <c r="E3149" s="29"/>
    </row>
    <row r="3150">
      <c r="E3150" s="29"/>
    </row>
    <row r="3151">
      <c r="E3151" s="29"/>
    </row>
    <row r="3152">
      <c r="E3152" s="29"/>
    </row>
    <row r="3153">
      <c r="E3153" s="29"/>
    </row>
    <row r="3154">
      <c r="E3154" s="29"/>
    </row>
    <row r="3155">
      <c r="E3155" s="29"/>
    </row>
    <row r="3156">
      <c r="E3156" s="29"/>
    </row>
    <row r="3157">
      <c r="E3157" s="29"/>
    </row>
    <row r="3158">
      <c r="E3158" s="29"/>
    </row>
    <row r="3159">
      <c r="E3159" s="29"/>
    </row>
    <row r="3160">
      <c r="E3160" s="29"/>
    </row>
    <row r="3161">
      <c r="E3161" s="29"/>
    </row>
    <row r="3162">
      <c r="E3162" s="29"/>
    </row>
    <row r="3163">
      <c r="E3163" s="29"/>
    </row>
    <row r="3164">
      <c r="E3164" s="29"/>
    </row>
    <row r="3165">
      <c r="E3165" s="29"/>
    </row>
    <row r="3166">
      <c r="E3166" s="29"/>
    </row>
    <row r="3167">
      <c r="E3167" s="29"/>
    </row>
    <row r="3168">
      <c r="E3168" s="29"/>
    </row>
    <row r="3169">
      <c r="E3169" s="29"/>
    </row>
    <row r="3170">
      <c r="E3170" s="29"/>
    </row>
    <row r="3171">
      <c r="E3171" s="29"/>
    </row>
    <row r="3172">
      <c r="E3172" s="29"/>
    </row>
    <row r="3173">
      <c r="E3173" s="29"/>
    </row>
    <row r="3174">
      <c r="E3174" s="29"/>
    </row>
    <row r="3175">
      <c r="E3175" s="29"/>
    </row>
    <row r="3176">
      <c r="E3176" s="29"/>
    </row>
    <row r="3177">
      <c r="E3177" s="29"/>
    </row>
    <row r="3178">
      <c r="E3178" s="29"/>
    </row>
    <row r="3179">
      <c r="E3179" s="29"/>
    </row>
    <row r="3180">
      <c r="E3180" s="29"/>
    </row>
    <row r="3181">
      <c r="E3181" s="29"/>
    </row>
    <row r="3182">
      <c r="E3182" s="29"/>
    </row>
    <row r="3183">
      <c r="E3183" s="29"/>
    </row>
    <row r="3184">
      <c r="E3184" s="29"/>
    </row>
    <row r="3185">
      <c r="E3185" s="29"/>
    </row>
    <row r="3186">
      <c r="E3186" s="29"/>
    </row>
    <row r="3187">
      <c r="E3187" s="29"/>
    </row>
    <row r="3188">
      <c r="E3188" s="29"/>
    </row>
    <row r="3189">
      <c r="E3189" s="29"/>
    </row>
    <row r="3190">
      <c r="E3190" s="29"/>
    </row>
    <row r="3191">
      <c r="E3191" s="29"/>
    </row>
    <row r="3192">
      <c r="E3192" s="29"/>
    </row>
    <row r="3193">
      <c r="E3193" s="29"/>
    </row>
    <row r="3194">
      <c r="E3194" s="29"/>
    </row>
    <row r="3195">
      <c r="E3195" s="29"/>
    </row>
    <row r="3196">
      <c r="E3196" s="29"/>
    </row>
    <row r="3197">
      <c r="E3197" s="29"/>
    </row>
    <row r="3198">
      <c r="E3198" s="29"/>
    </row>
    <row r="3199">
      <c r="E3199" s="29"/>
    </row>
    <row r="3200">
      <c r="E3200" s="29"/>
    </row>
    <row r="3201">
      <c r="E3201" s="29"/>
    </row>
    <row r="3202">
      <c r="E3202" s="29"/>
    </row>
    <row r="3203">
      <c r="E3203" s="29"/>
    </row>
    <row r="3204">
      <c r="E3204" s="29"/>
    </row>
    <row r="3205">
      <c r="E3205" s="29"/>
    </row>
    <row r="3206">
      <c r="E3206" s="29"/>
    </row>
    <row r="3207">
      <c r="E3207" s="29"/>
    </row>
    <row r="3208">
      <c r="E3208" s="29"/>
    </row>
    <row r="3209">
      <c r="E3209" s="29"/>
    </row>
    <row r="3210">
      <c r="E3210" s="29"/>
    </row>
    <row r="3211">
      <c r="E3211" s="29"/>
    </row>
    <row r="3212">
      <c r="E3212" s="29"/>
    </row>
    <row r="3213">
      <c r="E3213" s="29"/>
    </row>
    <row r="3214">
      <c r="E3214" s="29"/>
    </row>
    <row r="3215">
      <c r="E3215" s="29"/>
    </row>
    <row r="3216">
      <c r="E3216" s="29"/>
    </row>
    <row r="3217">
      <c r="E3217" s="29"/>
    </row>
    <row r="3218">
      <c r="E3218" s="29"/>
    </row>
    <row r="3219">
      <c r="E3219" s="29"/>
    </row>
    <row r="3220">
      <c r="E3220" s="29"/>
    </row>
    <row r="3221">
      <c r="E3221" s="29"/>
    </row>
    <row r="3222">
      <c r="E3222" s="29"/>
    </row>
    <row r="3223">
      <c r="E3223" s="29"/>
    </row>
    <row r="3224">
      <c r="E3224" s="29"/>
    </row>
    <row r="3225">
      <c r="E3225" s="29"/>
    </row>
    <row r="3226">
      <c r="E3226" s="29"/>
    </row>
    <row r="3227">
      <c r="E3227" s="29"/>
    </row>
    <row r="3228">
      <c r="E3228" s="29"/>
    </row>
    <row r="3229">
      <c r="E3229" s="29"/>
    </row>
    <row r="3230">
      <c r="E3230" s="29"/>
    </row>
    <row r="3231">
      <c r="E3231" s="29"/>
    </row>
    <row r="3232">
      <c r="E3232" s="29"/>
    </row>
    <row r="3233">
      <c r="E3233" s="29"/>
    </row>
    <row r="3234">
      <c r="E3234" s="29"/>
    </row>
    <row r="3235">
      <c r="E3235" s="29"/>
    </row>
    <row r="3236">
      <c r="E3236" s="29"/>
    </row>
    <row r="3237">
      <c r="E3237" s="29"/>
    </row>
    <row r="3238">
      <c r="E3238" s="29"/>
    </row>
    <row r="3239">
      <c r="E3239" s="29"/>
    </row>
    <row r="3240">
      <c r="E3240" s="29"/>
    </row>
    <row r="3241">
      <c r="E3241" s="29"/>
    </row>
    <row r="3242">
      <c r="E3242" s="29"/>
    </row>
    <row r="3243">
      <c r="E3243" s="29"/>
    </row>
    <row r="3244">
      <c r="E3244" s="29"/>
    </row>
    <row r="3245">
      <c r="E3245" s="29"/>
    </row>
    <row r="3246">
      <c r="E3246" s="29"/>
    </row>
    <row r="3247">
      <c r="E3247" s="29"/>
    </row>
    <row r="3248">
      <c r="E3248" s="29"/>
    </row>
    <row r="3249">
      <c r="E3249" s="29"/>
    </row>
    <row r="3250">
      <c r="E3250" s="29"/>
    </row>
    <row r="3251">
      <c r="E3251" s="29"/>
    </row>
    <row r="3252">
      <c r="E3252" s="29"/>
    </row>
    <row r="3253">
      <c r="E3253" s="29"/>
    </row>
    <row r="3254">
      <c r="E3254" s="29"/>
    </row>
    <row r="3255">
      <c r="E3255" s="29"/>
    </row>
    <row r="3256">
      <c r="E3256" s="29"/>
    </row>
    <row r="3257">
      <c r="E3257" s="29"/>
    </row>
    <row r="3258">
      <c r="E3258" s="29"/>
    </row>
    <row r="3259">
      <c r="E3259" s="29"/>
    </row>
    <row r="3260">
      <c r="E3260" s="29"/>
    </row>
    <row r="3261">
      <c r="E3261" s="29"/>
    </row>
    <row r="3262">
      <c r="E3262" s="29"/>
    </row>
    <row r="3263">
      <c r="E3263" s="29"/>
    </row>
    <row r="3264">
      <c r="E3264" s="29"/>
    </row>
    <row r="3265">
      <c r="E3265" s="29"/>
    </row>
    <row r="3266">
      <c r="E3266" s="29"/>
    </row>
    <row r="3267">
      <c r="E3267" s="29"/>
    </row>
    <row r="3268">
      <c r="E3268" s="29"/>
    </row>
    <row r="3269">
      <c r="E3269" s="29"/>
    </row>
    <row r="3270">
      <c r="E3270" s="29"/>
    </row>
    <row r="3271">
      <c r="E3271" s="29"/>
    </row>
    <row r="3272">
      <c r="E3272" s="29"/>
    </row>
    <row r="3273">
      <c r="E3273" s="29"/>
    </row>
    <row r="3274">
      <c r="E3274" s="29"/>
    </row>
    <row r="3275">
      <c r="E3275" s="29"/>
    </row>
    <row r="3276">
      <c r="E3276" s="29"/>
    </row>
    <row r="3277">
      <c r="E3277" s="29"/>
    </row>
    <row r="3278">
      <c r="E3278" s="29"/>
    </row>
    <row r="3279">
      <c r="E3279" s="29"/>
    </row>
    <row r="3280">
      <c r="E3280" s="29"/>
    </row>
    <row r="3281">
      <c r="E3281" s="29"/>
    </row>
    <row r="3282">
      <c r="E3282" s="29"/>
    </row>
    <row r="3283">
      <c r="E3283" s="29"/>
    </row>
    <row r="3284">
      <c r="E3284" s="29"/>
    </row>
    <row r="3285">
      <c r="E3285" s="29"/>
    </row>
    <row r="3286">
      <c r="E3286" s="29"/>
    </row>
    <row r="3287">
      <c r="E3287" s="29"/>
    </row>
    <row r="3288">
      <c r="E3288" s="29"/>
    </row>
    <row r="3289">
      <c r="E3289" s="29"/>
    </row>
    <row r="3290">
      <c r="E3290" s="29"/>
    </row>
    <row r="3291">
      <c r="E3291" s="29"/>
    </row>
    <row r="3292">
      <c r="E3292" s="29"/>
    </row>
    <row r="3293">
      <c r="E3293" s="29"/>
    </row>
    <row r="3294">
      <c r="E3294" s="29"/>
    </row>
    <row r="3295">
      <c r="E3295" s="29"/>
    </row>
    <row r="3296">
      <c r="E3296" s="29"/>
    </row>
    <row r="3297">
      <c r="E3297" s="29"/>
    </row>
    <row r="3298">
      <c r="E3298" s="29"/>
    </row>
    <row r="3299">
      <c r="E3299" s="29"/>
    </row>
    <row r="3300">
      <c r="E3300" s="29"/>
    </row>
    <row r="3301">
      <c r="E3301" s="29"/>
    </row>
    <row r="3302">
      <c r="E3302" s="29"/>
    </row>
    <row r="3303">
      <c r="E3303" s="29"/>
    </row>
    <row r="3304">
      <c r="E3304" s="29"/>
    </row>
    <row r="3305">
      <c r="E3305" s="29"/>
    </row>
    <row r="3306">
      <c r="E3306" s="29"/>
    </row>
    <row r="3307">
      <c r="E3307" s="29"/>
    </row>
    <row r="3308">
      <c r="E3308" s="29"/>
    </row>
    <row r="3309">
      <c r="E3309" s="29"/>
    </row>
    <row r="3310">
      <c r="E3310" s="29"/>
    </row>
    <row r="3311">
      <c r="E3311" s="29"/>
    </row>
    <row r="3312">
      <c r="E3312" s="29"/>
    </row>
    <row r="3313">
      <c r="E3313" s="29"/>
    </row>
    <row r="3314">
      <c r="E3314" s="29"/>
    </row>
    <row r="3315">
      <c r="E3315" s="29"/>
    </row>
    <row r="3316">
      <c r="E3316" s="29"/>
    </row>
    <row r="3317">
      <c r="E3317" s="29"/>
    </row>
    <row r="3318">
      <c r="E3318" s="29"/>
    </row>
    <row r="3319">
      <c r="E3319" s="29"/>
    </row>
    <row r="3320">
      <c r="E3320" s="29"/>
    </row>
    <row r="3321">
      <c r="E3321" s="29"/>
    </row>
    <row r="3322">
      <c r="E3322" s="29"/>
    </row>
    <row r="3323">
      <c r="E3323" s="29"/>
    </row>
    <row r="3324">
      <c r="E3324" s="29"/>
    </row>
    <row r="3325">
      <c r="E3325" s="29"/>
    </row>
    <row r="3326">
      <c r="E3326" s="29"/>
    </row>
    <row r="3327">
      <c r="E3327" s="29"/>
    </row>
    <row r="3328">
      <c r="E3328" s="29"/>
    </row>
    <row r="3329">
      <c r="E3329" s="29"/>
    </row>
    <row r="3330">
      <c r="E3330" s="29"/>
    </row>
    <row r="3331">
      <c r="E3331" s="29"/>
    </row>
    <row r="3332">
      <c r="E3332" s="29"/>
    </row>
    <row r="3333">
      <c r="E3333" s="29"/>
    </row>
    <row r="3334">
      <c r="E3334" s="29"/>
    </row>
    <row r="3335">
      <c r="E3335" s="29"/>
    </row>
    <row r="3336">
      <c r="E3336" s="29"/>
    </row>
    <row r="3337">
      <c r="E3337" s="29"/>
    </row>
    <row r="3338">
      <c r="E3338" s="29"/>
    </row>
    <row r="3339">
      <c r="E3339" s="29"/>
    </row>
    <row r="3340">
      <c r="E3340" s="29"/>
    </row>
    <row r="3341">
      <c r="E3341" s="29"/>
    </row>
    <row r="3342">
      <c r="E3342" s="29"/>
    </row>
    <row r="3343">
      <c r="E3343" s="29"/>
    </row>
    <row r="3344">
      <c r="E3344" s="29"/>
    </row>
    <row r="3345">
      <c r="E3345" s="29"/>
    </row>
    <row r="3346">
      <c r="E3346" s="29"/>
    </row>
    <row r="3347">
      <c r="E3347" s="29"/>
    </row>
    <row r="3348">
      <c r="E3348" s="29"/>
    </row>
    <row r="3349">
      <c r="E3349" s="29"/>
    </row>
    <row r="3350">
      <c r="E3350" s="29"/>
    </row>
    <row r="3351">
      <c r="E3351" s="29"/>
    </row>
    <row r="3352">
      <c r="E3352" s="29"/>
    </row>
    <row r="3353">
      <c r="E3353" s="29"/>
    </row>
    <row r="3354">
      <c r="E3354" s="29"/>
    </row>
    <row r="3355">
      <c r="E3355" s="29"/>
    </row>
    <row r="3356">
      <c r="E3356" s="29"/>
    </row>
    <row r="3357">
      <c r="E3357" s="29"/>
    </row>
    <row r="3358">
      <c r="E3358" s="29"/>
    </row>
    <row r="3359">
      <c r="E3359" s="29"/>
    </row>
    <row r="3360">
      <c r="E3360" s="29"/>
    </row>
    <row r="3361">
      <c r="E3361" s="29"/>
    </row>
    <row r="3362">
      <c r="E3362" s="29"/>
    </row>
    <row r="3363">
      <c r="E3363" s="29"/>
    </row>
    <row r="3364">
      <c r="E3364" s="29"/>
    </row>
    <row r="3365">
      <c r="E3365" s="29"/>
    </row>
    <row r="3366">
      <c r="E3366" s="29"/>
    </row>
    <row r="3367">
      <c r="E3367" s="29"/>
    </row>
    <row r="3368">
      <c r="E3368" s="29"/>
    </row>
    <row r="3369">
      <c r="E3369" s="29"/>
    </row>
    <row r="3370">
      <c r="E3370" s="29"/>
    </row>
    <row r="3371">
      <c r="E3371" s="29"/>
    </row>
    <row r="3372">
      <c r="E3372" s="29"/>
    </row>
    <row r="3373">
      <c r="E3373" s="29"/>
    </row>
    <row r="3374">
      <c r="E3374" s="29"/>
    </row>
    <row r="3375">
      <c r="E3375" s="29"/>
    </row>
    <row r="3376">
      <c r="E3376" s="29"/>
    </row>
    <row r="3377">
      <c r="E3377" s="29"/>
    </row>
    <row r="3378">
      <c r="E3378" s="29"/>
    </row>
    <row r="3379">
      <c r="E3379" s="29"/>
    </row>
    <row r="3380">
      <c r="E3380" s="29"/>
    </row>
    <row r="3381">
      <c r="E3381" s="29"/>
    </row>
    <row r="3382">
      <c r="E3382" s="29"/>
    </row>
    <row r="3383">
      <c r="E3383" s="29"/>
    </row>
    <row r="3384">
      <c r="E3384" s="29"/>
    </row>
    <row r="3385">
      <c r="E3385" s="29"/>
    </row>
    <row r="3386">
      <c r="E3386" s="29"/>
    </row>
    <row r="3387">
      <c r="E3387" s="29"/>
    </row>
    <row r="3388">
      <c r="E3388" s="29"/>
    </row>
    <row r="3389">
      <c r="E3389" s="29"/>
    </row>
    <row r="3390">
      <c r="E3390" s="29"/>
    </row>
    <row r="3391">
      <c r="E3391" s="29"/>
    </row>
    <row r="3392">
      <c r="E3392" s="29"/>
    </row>
    <row r="3393">
      <c r="E3393" s="29"/>
    </row>
    <row r="3394">
      <c r="E3394" s="29"/>
    </row>
    <row r="3395">
      <c r="E3395" s="29"/>
    </row>
    <row r="3396">
      <c r="E3396" s="29"/>
    </row>
    <row r="3397">
      <c r="E3397" s="29"/>
    </row>
    <row r="3398">
      <c r="E3398" s="29"/>
    </row>
    <row r="3399">
      <c r="E3399" s="29"/>
    </row>
    <row r="3400">
      <c r="E3400" s="29"/>
    </row>
    <row r="3401">
      <c r="E3401" s="29"/>
    </row>
    <row r="3402">
      <c r="E3402" s="29"/>
    </row>
    <row r="3403">
      <c r="E3403" s="29"/>
    </row>
    <row r="3404">
      <c r="E3404" s="29"/>
    </row>
    <row r="3405">
      <c r="E3405" s="29"/>
    </row>
    <row r="3406">
      <c r="E3406" s="29"/>
    </row>
    <row r="3407">
      <c r="E3407" s="29"/>
    </row>
    <row r="3408">
      <c r="E3408" s="29"/>
    </row>
    <row r="3409">
      <c r="E3409" s="29"/>
    </row>
    <row r="3410">
      <c r="E3410" s="29"/>
    </row>
    <row r="3411">
      <c r="E3411" s="29"/>
    </row>
    <row r="3412">
      <c r="E3412" s="29"/>
    </row>
    <row r="3413">
      <c r="E3413" s="29"/>
    </row>
    <row r="3414">
      <c r="E3414" s="29"/>
    </row>
    <row r="3415">
      <c r="E3415" s="29"/>
    </row>
    <row r="3416">
      <c r="E3416" s="29"/>
    </row>
    <row r="3417">
      <c r="E3417" s="29"/>
    </row>
    <row r="3418">
      <c r="E3418" s="29"/>
    </row>
    <row r="3419">
      <c r="E3419" s="29"/>
    </row>
    <row r="3420">
      <c r="E3420" s="29"/>
    </row>
    <row r="3421">
      <c r="E3421" s="29"/>
    </row>
    <row r="3422">
      <c r="E3422" s="29"/>
    </row>
    <row r="3423">
      <c r="E3423" s="29"/>
    </row>
  </sheetData>
  <autoFilter ref="$A$1:$Z$1147">
    <filterColumn colId="2">
      <filters>
        <filter val="Orgasm Intensity"/>
        <filter val="Light Touch Sensitivity"/>
        <filter val="Ease of Orgasm"/>
      </filters>
    </filterColumn>
    <sortState ref="A1:Z1147">
      <sortCondition descending="1" ref="C1:C1147"/>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BA45"/>
    <outlinePr summaryBelow="0" summaryRight="0"/>
  </sheetPr>
  <sheetViews>
    <sheetView workbookViewId="0"/>
  </sheetViews>
  <sheetFormatPr customHeight="1" defaultColWidth="12.63" defaultRowHeight="15.75"/>
  <cols>
    <col hidden="1" min="39" max="48" width="12.63"/>
    <col hidden="1" min="91" max="150" width="12.63"/>
    <col hidden="1" min="190" max="192" width="12.63"/>
    <col hidden="1" min="196" max="196" width="12.63"/>
    <col hidden="1" min="203" max="205" width="12.63"/>
  </cols>
  <sheetData>
    <row r="1" ht="104.25" customHeight="1">
      <c r="A1" s="36" t="s">
        <v>10408</v>
      </c>
      <c r="B1" s="37" t="s">
        <v>0</v>
      </c>
      <c r="C1" s="37" t="s">
        <v>1</v>
      </c>
      <c r="D1" s="37" t="s">
        <v>2</v>
      </c>
      <c r="E1" s="37" t="s">
        <v>3</v>
      </c>
      <c r="F1" s="37" t="s">
        <v>4</v>
      </c>
      <c r="G1" s="37" t="s">
        <v>5</v>
      </c>
      <c r="H1" s="37" t="s">
        <v>6</v>
      </c>
      <c r="I1" s="37" t="s">
        <v>7</v>
      </c>
      <c r="J1" s="37" t="s">
        <v>8</v>
      </c>
      <c r="K1" s="37" t="s">
        <v>9</v>
      </c>
      <c r="L1" s="37" t="s">
        <v>10</v>
      </c>
      <c r="M1" s="37" t="s">
        <v>11</v>
      </c>
      <c r="N1" s="37" t="s">
        <v>12</v>
      </c>
      <c r="O1" s="37" t="s">
        <v>13</v>
      </c>
      <c r="P1" s="37" t="s">
        <v>14</v>
      </c>
      <c r="Q1" s="37" t="s">
        <v>15</v>
      </c>
      <c r="R1" s="37" t="s">
        <v>16</v>
      </c>
      <c r="S1" s="37" t="s">
        <v>17</v>
      </c>
      <c r="T1" s="37" t="s">
        <v>18</v>
      </c>
      <c r="U1" s="37" t="s">
        <v>19</v>
      </c>
      <c r="V1" s="37" t="s">
        <v>20</v>
      </c>
      <c r="W1" s="37" t="s">
        <v>21</v>
      </c>
      <c r="X1" s="37" t="s">
        <v>22</v>
      </c>
      <c r="Y1" s="37" t="s">
        <v>23</v>
      </c>
      <c r="Z1" s="37" t="s">
        <v>10001</v>
      </c>
      <c r="AA1" s="37" t="s">
        <v>10003</v>
      </c>
      <c r="AB1" s="37" t="s">
        <v>10409</v>
      </c>
      <c r="AC1" s="37" t="s">
        <v>10007</v>
      </c>
      <c r="AD1" s="37" t="s">
        <v>10009</v>
      </c>
      <c r="AE1" s="37" t="s">
        <v>10011</v>
      </c>
      <c r="AF1" s="37" t="s">
        <v>10410</v>
      </c>
      <c r="AG1" s="37" t="s">
        <v>10411</v>
      </c>
      <c r="AH1" s="37" t="s">
        <v>10017</v>
      </c>
      <c r="AI1" s="37" t="s">
        <v>10019</v>
      </c>
      <c r="AJ1" s="37" t="s">
        <v>10021</v>
      </c>
      <c r="AK1" s="37" t="s">
        <v>10023</v>
      </c>
      <c r="AL1" s="37" t="s">
        <v>10025</v>
      </c>
      <c r="AM1" s="37" t="s">
        <v>10027</v>
      </c>
      <c r="AN1" s="37" t="s">
        <v>10029</v>
      </c>
      <c r="AO1" s="37" t="s">
        <v>10412</v>
      </c>
      <c r="AP1" s="37" t="s">
        <v>10413</v>
      </c>
      <c r="AQ1" s="37" t="s">
        <v>10035</v>
      </c>
      <c r="AR1" s="37" t="s">
        <v>10037</v>
      </c>
      <c r="AS1" s="37" t="s">
        <v>10039</v>
      </c>
      <c r="AT1" s="37" t="s">
        <v>10041</v>
      </c>
      <c r="AU1" s="37" t="s">
        <v>10043</v>
      </c>
      <c r="AV1" s="37" t="s">
        <v>10414</v>
      </c>
      <c r="AW1" s="37" t="s">
        <v>47</v>
      </c>
      <c r="AX1" s="37" t="s">
        <v>48</v>
      </c>
      <c r="AY1" s="37" t="s">
        <v>49</v>
      </c>
      <c r="AZ1" s="37" t="s">
        <v>50</v>
      </c>
      <c r="BA1" s="37" t="s">
        <v>51</v>
      </c>
      <c r="BB1" s="37" t="s">
        <v>52</v>
      </c>
      <c r="BC1" s="37" t="s">
        <v>53</v>
      </c>
      <c r="BD1" s="37" t="s">
        <v>54</v>
      </c>
      <c r="BE1" s="37" t="s">
        <v>55</v>
      </c>
      <c r="BF1" s="37" t="s">
        <v>56</v>
      </c>
      <c r="BG1" s="37" t="s">
        <v>57</v>
      </c>
      <c r="BH1" s="37" t="s">
        <v>58</v>
      </c>
      <c r="BI1" s="37" t="s">
        <v>59</v>
      </c>
      <c r="BJ1" s="37" t="s">
        <v>60</v>
      </c>
      <c r="BK1" s="37" t="s">
        <v>61</v>
      </c>
      <c r="BL1" s="37" t="s">
        <v>62</v>
      </c>
      <c r="BM1" s="37" t="s">
        <v>63</v>
      </c>
      <c r="BN1" s="37" t="s">
        <v>64</v>
      </c>
      <c r="BO1" s="37" t="s">
        <v>10065</v>
      </c>
      <c r="BP1" s="37" t="s">
        <v>66</v>
      </c>
      <c r="BQ1" s="37" t="s">
        <v>67</v>
      </c>
      <c r="BR1" s="37" t="s">
        <v>68</v>
      </c>
      <c r="BS1" s="37" t="s">
        <v>69</v>
      </c>
      <c r="BT1" s="37" t="s">
        <v>70</v>
      </c>
      <c r="BU1" s="37" t="s">
        <v>71</v>
      </c>
      <c r="BV1" s="37" t="s">
        <v>72</v>
      </c>
      <c r="BW1" s="37" t="s">
        <v>73</v>
      </c>
      <c r="BX1" s="37" t="s">
        <v>74</v>
      </c>
      <c r="BY1" s="37" t="s">
        <v>75</v>
      </c>
      <c r="BZ1" s="37" t="s">
        <v>76</v>
      </c>
      <c r="CA1" s="37" t="s">
        <v>77</v>
      </c>
      <c r="CB1" s="37" t="s">
        <v>78</v>
      </c>
      <c r="CC1" s="37" t="s">
        <v>79</v>
      </c>
      <c r="CD1" s="37" t="s">
        <v>80</v>
      </c>
      <c r="CE1" s="37" t="s">
        <v>81</v>
      </c>
      <c r="CF1" s="37" t="s">
        <v>82</v>
      </c>
      <c r="CG1" s="37" t="s">
        <v>83</v>
      </c>
      <c r="CH1" s="37" t="s">
        <v>84</v>
      </c>
      <c r="CI1" s="37" t="s">
        <v>85</v>
      </c>
      <c r="CJ1" s="37" t="s">
        <v>86</v>
      </c>
      <c r="CK1" s="37" t="s">
        <v>87</v>
      </c>
      <c r="CL1" s="37" t="s">
        <v>10093</v>
      </c>
      <c r="CM1" s="37" t="s">
        <v>89</v>
      </c>
      <c r="CN1" s="37" t="s">
        <v>90</v>
      </c>
      <c r="CO1" s="37" t="s">
        <v>91</v>
      </c>
      <c r="CP1" s="37" t="s">
        <v>92</v>
      </c>
      <c r="CQ1" s="37" t="s">
        <v>93</v>
      </c>
      <c r="CR1" s="37" t="s">
        <v>94</v>
      </c>
      <c r="CS1" s="37" t="s">
        <v>95</v>
      </c>
      <c r="CT1" s="37" t="s">
        <v>96</v>
      </c>
      <c r="CU1" s="37" t="s">
        <v>97</v>
      </c>
      <c r="CV1" s="37" t="s">
        <v>98</v>
      </c>
      <c r="CW1" s="37" t="s">
        <v>99</v>
      </c>
      <c r="CX1" s="37" t="s">
        <v>100</v>
      </c>
      <c r="CY1" s="37" t="s">
        <v>101</v>
      </c>
      <c r="CZ1" s="37" t="s">
        <v>102</v>
      </c>
      <c r="DA1" s="37" t="s">
        <v>10415</v>
      </c>
      <c r="DB1" s="37" t="s">
        <v>104</v>
      </c>
      <c r="DC1" s="37" t="s">
        <v>105</v>
      </c>
      <c r="DD1" s="37" t="s">
        <v>106</v>
      </c>
      <c r="DE1" s="37" t="s">
        <v>107</v>
      </c>
      <c r="DF1" s="37" t="s">
        <v>108</v>
      </c>
      <c r="DG1" s="37" t="s">
        <v>109</v>
      </c>
      <c r="DH1" s="37" t="s">
        <v>110</v>
      </c>
      <c r="DI1" s="37" t="s">
        <v>111</v>
      </c>
      <c r="DJ1" s="37" t="s">
        <v>10122</v>
      </c>
      <c r="DK1" s="37" t="s">
        <v>113</v>
      </c>
      <c r="DL1" s="37" t="s">
        <v>10125</v>
      </c>
      <c r="DM1" s="37" t="s">
        <v>10416</v>
      </c>
      <c r="DN1" s="37" t="s">
        <v>116</v>
      </c>
      <c r="DO1" s="37" t="s">
        <v>117</v>
      </c>
      <c r="DP1" s="37" t="s">
        <v>118</v>
      </c>
      <c r="DQ1" s="37" t="s">
        <v>119</v>
      </c>
      <c r="DR1" s="37" t="s">
        <v>120</v>
      </c>
      <c r="DS1" s="37" t="s">
        <v>121</v>
      </c>
      <c r="DT1" s="37" t="s">
        <v>122</v>
      </c>
      <c r="DU1" s="37" t="s">
        <v>123</v>
      </c>
      <c r="DV1" s="37" t="s">
        <v>10417</v>
      </c>
      <c r="DW1" s="37" t="s">
        <v>125</v>
      </c>
      <c r="DX1" s="37" t="s">
        <v>126</v>
      </c>
      <c r="DY1" s="37" t="s">
        <v>127</v>
      </c>
      <c r="DZ1" s="37" t="s">
        <v>128</v>
      </c>
      <c r="EA1" s="37" t="s">
        <v>129</v>
      </c>
      <c r="EB1" s="37" t="s">
        <v>130</v>
      </c>
      <c r="EC1" s="37" t="s">
        <v>10145</v>
      </c>
      <c r="ED1" s="37" t="s">
        <v>132</v>
      </c>
      <c r="EE1" s="37" t="s">
        <v>133</v>
      </c>
      <c r="EF1" s="37" t="s">
        <v>254</v>
      </c>
      <c r="EG1" s="37" t="s">
        <v>10418</v>
      </c>
      <c r="EH1" s="37" t="s">
        <v>10419</v>
      </c>
      <c r="EI1" s="37" t="s">
        <v>10420</v>
      </c>
      <c r="EJ1" s="37" t="s">
        <v>10421</v>
      </c>
      <c r="EK1" s="37" t="s">
        <v>10422</v>
      </c>
      <c r="EL1" s="37" t="s">
        <v>256</v>
      </c>
      <c r="EM1" s="37" t="s">
        <v>257</v>
      </c>
      <c r="EN1" s="37" t="s">
        <v>258</v>
      </c>
      <c r="EO1" s="37" t="s">
        <v>259</v>
      </c>
      <c r="EP1" s="37" t="s">
        <v>260</v>
      </c>
      <c r="EQ1" s="37" t="s">
        <v>261</v>
      </c>
      <c r="ER1" s="37" t="s">
        <v>146</v>
      </c>
      <c r="ES1" s="37" t="s">
        <v>147</v>
      </c>
      <c r="ET1" s="37" t="s">
        <v>148</v>
      </c>
      <c r="EU1" s="37" t="s">
        <v>149</v>
      </c>
      <c r="EV1" s="37" t="s">
        <v>150</v>
      </c>
      <c r="EW1" s="37" t="s">
        <v>151</v>
      </c>
      <c r="EX1" s="37" t="s">
        <v>152</v>
      </c>
      <c r="EY1" s="37" t="s">
        <v>153</v>
      </c>
      <c r="EZ1" s="37" t="s">
        <v>154</v>
      </c>
      <c r="FA1" s="37" t="s">
        <v>155</v>
      </c>
      <c r="FB1" s="37" t="s">
        <v>156</v>
      </c>
      <c r="FC1" s="37" t="s">
        <v>157</v>
      </c>
      <c r="FD1" s="37" t="s">
        <v>158</v>
      </c>
      <c r="FE1" s="37" t="s">
        <v>159</v>
      </c>
      <c r="FF1" s="37" t="s">
        <v>160</v>
      </c>
      <c r="FG1" s="37" t="s">
        <v>161</v>
      </c>
      <c r="FH1" s="37" t="s">
        <v>162</v>
      </c>
      <c r="FI1" s="37" t="s">
        <v>163</v>
      </c>
      <c r="FJ1" s="37" t="s">
        <v>164</v>
      </c>
      <c r="FK1" s="37" t="s">
        <v>165</v>
      </c>
      <c r="FL1" s="37" t="s">
        <v>166</v>
      </c>
      <c r="FM1" s="37" t="s">
        <v>167</v>
      </c>
      <c r="FN1" s="37" t="s">
        <v>168</v>
      </c>
      <c r="FO1" s="37" t="s">
        <v>169</v>
      </c>
      <c r="FP1" s="37" t="s">
        <v>170</v>
      </c>
      <c r="FQ1" s="37" t="s">
        <v>171</v>
      </c>
      <c r="FR1" s="37" t="s">
        <v>10188</v>
      </c>
      <c r="FS1" s="37" t="s">
        <v>173</v>
      </c>
      <c r="FT1" s="37" t="s">
        <v>174</v>
      </c>
      <c r="FU1" s="37" t="s">
        <v>175</v>
      </c>
      <c r="FV1" s="37" t="s">
        <v>176</v>
      </c>
      <c r="FW1" s="37" t="s">
        <v>177</v>
      </c>
      <c r="FX1" s="37" t="s">
        <v>178</v>
      </c>
      <c r="FY1" s="37" t="s">
        <v>179</v>
      </c>
      <c r="FZ1" s="37" t="s">
        <v>180</v>
      </c>
      <c r="GA1" s="37" t="s">
        <v>181</v>
      </c>
      <c r="GB1" s="37" t="s">
        <v>182</v>
      </c>
      <c r="GC1" s="37" t="s">
        <v>10423</v>
      </c>
      <c r="GD1" s="37" t="s">
        <v>184</v>
      </c>
      <c r="GE1" s="37" t="s">
        <v>185</v>
      </c>
      <c r="GF1" s="36" t="s">
        <v>186</v>
      </c>
      <c r="GG1" s="36" t="s">
        <v>187</v>
      </c>
      <c r="GH1" s="36" t="s">
        <v>10205</v>
      </c>
      <c r="GI1" s="36" t="s">
        <v>10207</v>
      </c>
      <c r="GJ1" s="36" t="s">
        <v>10209</v>
      </c>
      <c r="GK1" s="36" t="s">
        <v>191</v>
      </c>
      <c r="GL1" s="36" t="s">
        <v>10212</v>
      </c>
      <c r="GM1" s="36" t="s">
        <v>10214</v>
      </c>
      <c r="GN1" s="36" t="s">
        <v>10424</v>
      </c>
      <c r="GO1" s="36" t="s">
        <v>195</v>
      </c>
      <c r="GP1" s="36" t="s">
        <v>196</v>
      </c>
      <c r="GQ1" s="36" t="s">
        <v>197</v>
      </c>
      <c r="GR1" s="36" t="s">
        <v>198</v>
      </c>
      <c r="GS1" s="36" t="s">
        <v>199</v>
      </c>
      <c r="GT1" s="36" t="s">
        <v>200</v>
      </c>
      <c r="GU1" s="38" t="s">
        <v>201</v>
      </c>
      <c r="GV1" s="38" t="s">
        <v>202</v>
      </c>
      <c r="GW1" s="39"/>
      <c r="GX1" s="39"/>
      <c r="GY1" s="39"/>
      <c r="GZ1" s="39"/>
      <c r="HA1" s="39"/>
      <c r="HB1" s="39"/>
      <c r="HC1" s="39"/>
      <c r="HD1" s="39"/>
      <c r="HE1" s="39"/>
      <c r="HF1" s="39"/>
      <c r="HG1" s="39"/>
      <c r="HH1" s="39"/>
      <c r="HI1" s="39"/>
      <c r="HJ1" s="39"/>
      <c r="HK1" s="39"/>
      <c r="HL1" s="39"/>
      <c r="HM1" s="39"/>
      <c r="HN1" s="39"/>
      <c r="HO1" s="39"/>
      <c r="HP1" s="39"/>
      <c r="HQ1" s="39"/>
      <c r="HR1" s="39"/>
      <c r="HS1" s="39"/>
      <c r="HT1" s="39"/>
      <c r="HU1" s="39"/>
      <c r="HV1" s="39"/>
      <c r="HW1" s="39"/>
      <c r="HX1" s="39"/>
      <c r="HY1" s="39"/>
      <c r="HZ1" s="39"/>
      <c r="IA1" s="39"/>
      <c r="IB1" s="39"/>
      <c r="IC1" s="39"/>
      <c r="ID1" s="39"/>
      <c r="IE1" s="39"/>
      <c r="IF1" s="39"/>
      <c r="IG1" s="39"/>
      <c r="IH1" s="39"/>
      <c r="II1" s="39"/>
      <c r="IJ1" s="39"/>
      <c r="IK1" s="39"/>
      <c r="IL1" s="39"/>
      <c r="IM1" s="39"/>
      <c r="IN1" s="39"/>
      <c r="IO1" s="39"/>
      <c r="IP1" s="39"/>
      <c r="IQ1" s="39"/>
      <c r="IR1" s="39"/>
      <c r="IS1" s="39"/>
      <c r="IT1" s="39"/>
      <c r="IU1" s="39"/>
      <c r="IV1" s="39"/>
      <c r="IW1" s="39"/>
      <c r="IX1" s="39"/>
      <c r="IY1" s="39"/>
      <c r="IZ1" s="39"/>
      <c r="JA1" s="39"/>
      <c r="JB1" s="39"/>
      <c r="JC1" s="39"/>
      <c r="JD1" s="39"/>
      <c r="JE1" s="39"/>
      <c r="JF1" s="39"/>
      <c r="JG1" s="39"/>
      <c r="JH1" s="39"/>
      <c r="JI1" s="39"/>
      <c r="JJ1" s="39"/>
      <c r="JK1" s="39"/>
      <c r="JL1" s="39"/>
      <c r="JM1" s="39"/>
      <c r="JN1" s="39"/>
      <c r="JO1" s="39"/>
      <c r="JP1" s="39"/>
      <c r="JQ1" s="39"/>
      <c r="JR1" s="39"/>
      <c r="JS1" s="39"/>
      <c r="JT1" s="39"/>
      <c r="JU1" s="39"/>
      <c r="JV1" s="39"/>
      <c r="JW1" s="39"/>
      <c r="JX1" s="39"/>
      <c r="JY1" s="39"/>
      <c r="JZ1" s="39"/>
      <c r="KA1" s="39"/>
      <c r="KB1" s="39"/>
      <c r="KC1" s="39"/>
      <c r="KD1" s="39"/>
      <c r="KE1" s="39"/>
      <c r="KF1" s="39"/>
      <c r="KG1" s="39"/>
      <c r="KH1" s="39"/>
      <c r="KI1" s="39"/>
      <c r="KJ1" s="39"/>
      <c r="KK1" s="39"/>
      <c r="KL1" s="39"/>
      <c r="KM1" s="39"/>
      <c r="KN1" s="39"/>
      <c r="KO1" s="39"/>
      <c r="KP1" s="39"/>
      <c r="KQ1" s="39"/>
      <c r="KR1" s="39"/>
      <c r="KS1" s="39"/>
      <c r="KT1" s="39"/>
      <c r="KU1" s="39"/>
      <c r="KV1" s="39"/>
      <c r="KW1" s="39"/>
      <c r="KX1" s="39"/>
      <c r="KY1" s="39"/>
      <c r="KZ1" s="39"/>
      <c r="LA1" s="39"/>
      <c r="LB1" s="39"/>
      <c r="LC1" s="39"/>
      <c r="LD1" s="39"/>
      <c r="LE1" s="39"/>
      <c r="LF1" s="39"/>
      <c r="LG1" s="39"/>
      <c r="LH1" s="39"/>
      <c r="LI1" s="39"/>
      <c r="LJ1" s="39"/>
      <c r="LK1" s="39"/>
      <c r="LL1" s="39"/>
      <c r="LM1" s="39"/>
      <c r="LN1" s="39"/>
      <c r="LO1" s="39"/>
      <c r="LP1" s="39"/>
      <c r="LQ1" s="39"/>
      <c r="LR1" s="39"/>
      <c r="LS1" s="39"/>
      <c r="LT1" s="39"/>
      <c r="LU1" s="39"/>
      <c r="LV1" s="39"/>
      <c r="LW1" s="39"/>
      <c r="LX1" s="39"/>
      <c r="LY1" s="39"/>
      <c r="LZ1" s="39"/>
      <c r="MA1" s="39"/>
      <c r="MB1" s="39"/>
      <c r="MC1" s="39"/>
      <c r="MD1" s="39"/>
      <c r="ME1" s="39"/>
      <c r="MF1" s="39"/>
      <c r="MG1" s="39"/>
      <c r="MH1" s="39"/>
      <c r="MI1" s="39"/>
      <c r="MJ1" s="39"/>
      <c r="MK1" s="39"/>
      <c r="ML1" s="39"/>
      <c r="MM1" s="39"/>
      <c r="MN1" s="39"/>
      <c r="MO1" s="39"/>
      <c r="MP1" s="39"/>
      <c r="MQ1" s="39"/>
      <c r="MR1" s="39"/>
      <c r="MS1" s="39"/>
      <c r="MT1" s="39"/>
      <c r="MU1" s="39"/>
      <c r="MV1" s="39"/>
      <c r="MW1" s="39"/>
      <c r="MX1" s="39"/>
      <c r="MY1" s="39"/>
      <c r="MZ1" s="39"/>
      <c r="NA1" s="39"/>
      <c r="NB1" s="39"/>
      <c r="NC1" s="39"/>
      <c r="ND1" s="39"/>
      <c r="NE1" s="39"/>
    </row>
    <row r="2">
      <c r="A2" s="40"/>
      <c r="B2" s="40">
        <v>45824.9229365625</v>
      </c>
      <c r="C2" s="35" t="s">
        <v>368</v>
      </c>
      <c r="D2" s="35" t="s">
        <v>369</v>
      </c>
      <c r="E2" s="35" t="s">
        <v>370</v>
      </c>
      <c r="G2" s="35" t="s">
        <v>371</v>
      </c>
      <c r="H2" s="35" t="s">
        <v>372</v>
      </c>
      <c r="I2" s="35" t="s">
        <v>373</v>
      </c>
      <c r="J2" s="35" t="s">
        <v>374</v>
      </c>
      <c r="K2" s="35" t="s">
        <v>375</v>
      </c>
      <c r="L2" s="35" t="s">
        <v>376</v>
      </c>
      <c r="M2" s="35" t="s">
        <v>377</v>
      </c>
      <c r="N2" s="35" t="s">
        <v>378</v>
      </c>
      <c r="O2" s="35" t="s">
        <v>379</v>
      </c>
      <c r="P2" s="35" t="s">
        <v>380</v>
      </c>
      <c r="Q2" s="35" t="s">
        <v>381</v>
      </c>
      <c r="R2" s="35" t="s">
        <v>382</v>
      </c>
      <c r="S2" s="35" t="s">
        <v>383</v>
      </c>
      <c r="T2" s="35" t="s">
        <v>384</v>
      </c>
      <c r="U2" s="35" t="s">
        <v>385</v>
      </c>
      <c r="X2" s="35" t="s">
        <v>386</v>
      </c>
      <c r="Y2" s="35" t="s">
        <v>387</v>
      </c>
      <c r="Z2" s="35" t="s">
        <v>388</v>
      </c>
      <c r="AA2" s="35" t="s">
        <v>389</v>
      </c>
      <c r="AW2" s="35" t="s">
        <v>390</v>
      </c>
      <c r="AX2" s="35" t="s">
        <v>391</v>
      </c>
      <c r="AY2" s="35" t="s">
        <v>391</v>
      </c>
      <c r="AZ2" s="35" t="s">
        <v>391</v>
      </c>
      <c r="BA2" s="35" t="s">
        <v>391</v>
      </c>
      <c r="BB2" s="35" t="s">
        <v>391</v>
      </c>
      <c r="BC2" s="35" t="s">
        <v>391</v>
      </c>
      <c r="BF2" s="35" t="s">
        <v>392</v>
      </c>
      <c r="BG2" s="35" t="s">
        <v>393</v>
      </c>
      <c r="BH2" s="35" t="s">
        <v>394</v>
      </c>
      <c r="BL2" s="35" t="s">
        <v>395</v>
      </c>
      <c r="BM2" s="35" t="s">
        <v>396</v>
      </c>
      <c r="BN2" s="35" t="s">
        <v>397</v>
      </c>
      <c r="BO2" s="35" t="s">
        <v>398</v>
      </c>
      <c r="BP2" s="35" t="s">
        <v>399</v>
      </c>
      <c r="BQ2" s="35" t="s">
        <v>400</v>
      </c>
      <c r="BR2" s="35" t="s">
        <v>401</v>
      </c>
      <c r="BS2" s="35" t="s">
        <v>402</v>
      </c>
      <c r="BT2" s="35" t="s">
        <v>403</v>
      </c>
      <c r="BU2" s="35" t="s">
        <v>404</v>
      </c>
      <c r="BV2" s="35" t="s">
        <v>405</v>
      </c>
      <c r="BX2" s="35" t="s">
        <v>406</v>
      </c>
      <c r="BY2" s="35" t="s">
        <v>407</v>
      </c>
      <c r="BZ2" s="35" t="s">
        <v>408</v>
      </c>
      <c r="CE2" s="35" t="s">
        <v>409</v>
      </c>
      <c r="CJ2" s="35" t="s">
        <v>410</v>
      </c>
      <c r="CK2" s="35" t="s">
        <v>411</v>
      </c>
      <c r="CL2" s="35" t="s">
        <v>412</v>
      </c>
      <c r="FA2" s="35" t="s">
        <v>413</v>
      </c>
      <c r="FB2" s="35" t="s">
        <v>414</v>
      </c>
      <c r="FC2" s="35" t="s">
        <v>413</v>
      </c>
      <c r="FD2" s="35" t="s">
        <v>413</v>
      </c>
      <c r="FE2" s="35" t="s">
        <v>413</v>
      </c>
      <c r="FF2" s="35" t="s">
        <v>415</v>
      </c>
      <c r="FG2" s="35" t="s">
        <v>413</v>
      </c>
      <c r="FH2" s="35" t="s">
        <v>413</v>
      </c>
      <c r="FI2" s="35" t="s">
        <v>416</v>
      </c>
      <c r="FJ2" s="35" t="s">
        <v>414</v>
      </c>
      <c r="FK2" s="35" t="s">
        <v>415</v>
      </c>
      <c r="FL2" s="35" t="s">
        <v>415</v>
      </c>
      <c r="FM2" s="35" t="s">
        <v>415</v>
      </c>
      <c r="FN2" s="35" t="s">
        <v>413</v>
      </c>
      <c r="FO2" s="35" t="s">
        <v>415</v>
      </c>
      <c r="FP2" s="35" t="s">
        <v>417</v>
      </c>
      <c r="FQ2" s="35" t="s">
        <v>418</v>
      </c>
      <c r="FR2" s="35" t="s">
        <v>419</v>
      </c>
      <c r="FT2" s="35" t="s">
        <v>420</v>
      </c>
      <c r="FU2" s="35" t="s">
        <v>421</v>
      </c>
      <c r="GC2" s="35" t="s">
        <v>408</v>
      </c>
    </row>
    <row r="3">
      <c r="A3" s="40"/>
      <c r="B3" s="40">
        <v>45827.16678185185</v>
      </c>
      <c r="C3" s="35" t="s">
        <v>368</v>
      </c>
      <c r="D3" s="35" t="s">
        <v>894</v>
      </c>
      <c r="E3" s="35" t="s">
        <v>894</v>
      </c>
      <c r="H3" s="35" t="s">
        <v>422</v>
      </c>
      <c r="I3" s="35" t="s">
        <v>496</v>
      </c>
      <c r="J3" s="35" t="s">
        <v>374</v>
      </c>
      <c r="K3" s="35" t="s">
        <v>1240</v>
      </c>
      <c r="L3" s="35" t="s">
        <v>376</v>
      </c>
      <c r="M3" s="35" t="s">
        <v>426</v>
      </c>
      <c r="N3" s="35" t="s">
        <v>860</v>
      </c>
      <c r="O3" s="35" t="s">
        <v>379</v>
      </c>
      <c r="P3" s="35" t="s">
        <v>719</v>
      </c>
      <c r="Q3" s="35" t="s">
        <v>498</v>
      </c>
      <c r="R3" s="35" t="s">
        <v>499</v>
      </c>
      <c r="S3" s="35" t="s">
        <v>427</v>
      </c>
      <c r="T3" s="35" t="s">
        <v>384</v>
      </c>
      <c r="U3" s="35" t="s">
        <v>385</v>
      </c>
      <c r="V3" s="35" t="s">
        <v>1241</v>
      </c>
      <c r="W3" s="35" t="s">
        <v>1241</v>
      </c>
      <c r="X3" s="35" t="s">
        <v>428</v>
      </c>
      <c r="AW3" s="35" t="s">
        <v>1242</v>
      </c>
      <c r="AX3" s="35" t="s">
        <v>675</v>
      </c>
      <c r="AY3" s="35" t="s">
        <v>675</v>
      </c>
      <c r="AZ3" s="35" t="s">
        <v>675</v>
      </c>
      <c r="BA3" s="35" t="s">
        <v>675</v>
      </c>
      <c r="BB3" s="35" t="s">
        <v>675</v>
      </c>
      <c r="BC3" s="35" t="s">
        <v>675</v>
      </c>
      <c r="BD3" s="35" t="s">
        <v>10425</v>
      </c>
      <c r="BE3" s="35" t="s">
        <v>10426</v>
      </c>
      <c r="BF3" s="35" t="s">
        <v>432</v>
      </c>
      <c r="BG3" s="35" t="s">
        <v>1245</v>
      </c>
      <c r="BH3" s="35" t="s">
        <v>394</v>
      </c>
      <c r="BI3" s="35" t="s">
        <v>1246</v>
      </c>
      <c r="BJ3" s="35" t="s">
        <v>976</v>
      </c>
      <c r="BK3" s="35" t="s">
        <v>1211</v>
      </c>
      <c r="BL3" s="35" t="s">
        <v>681</v>
      </c>
      <c r="BM3" s="35" t="s">
        <v>603</v>
      </c>
      <c r="BN3" s="35" t="s">
        <v>1247</v>
      </c>
      <c r="BO3" s="35" t="s">
        <v>398</v>
      </c>
      <c r="BP3" s="35" t="s">
        <v>1248</v>
      </c>
      <c r="BQ3" s="35" t="s">
        <v>10427</v>
      </c>
      <c r="BR3" s="35" t="s">
        <v>442</v>
      </c>
      <c r="BS3" s="35" t="s">
        <v>1250</v>
      </c>
      <c r="BT3" s="35" t="s">
        <v>1251</v>
      </c>
      <c r="BU3" s="35" t="s">
        <v>404</v>
      </c>
      <c r="BV3" s="35" t="s">
        <v>405</v>
      </c>
      <c r="BW3" s="35" t="s">
        <v>1252</v>
      </c>
      <c r="BX3" s="35" t="s">
        <v>988</v>
      </c>
      <c r="BZ3" s="35" t="s">
        <v>455</v>
      </c>
      <c r="CA3" s="35" t="s">
        <v>10428</v>
      </c>
      <c r="CB3" s="35" t="s">
        <v>1254</v>
      </c>
      <c r="CC3" s="35" t="s">
        <v>1255</v>
      </c>
      <c r="CD3" s="35" t="s">
        <v>10429</v>
      </c>
      <c r="CE3" s="35" t="s">
        <v>1257</v>
      </c>
      <c r="CF3" s="35" t="s">
        <v>1252</v>
      </c>
      <c r="CG3" s="35" t="s">
        <v>1258</v>
      </c>
      <c r="CI3" s="35" t="s">
        <v>1259</v>
      </c>
      <c r="CJ3" s="35" t="s">
        <v>410</v>
      </c>
      <c r="CK3" s="35" t="s">
        <v>10430</v>
      </c>
      <c r="CL3" s="35" t="s">
        <v>1261</v>
      </c>
      <c r="EU3" s="35" t="s">
        <v>526</v>
      </c>
      <c r="EV3" s="35" t="s">
        <v>1127</v>
      </c>
      <c r="EW3" s="35" t="s">
        <v>1262</v>
      </c>
      <c r="EY3" s="35" t="s">
        <v>10431</v>
      </c>
      <c r="EZ3" s="35" t="s">
        <v>10432</v>
      </c>
      <c r="FA3" s="35" t="s">
        <v>415</v>
      </c>
      <c r="FB3" s="35" t="s">
        <v>414</v>
      </c>
      <c r="FC3" s="35" t="s">
        <v>413</v>
      </c>
      <c r="FD3" s="35" t="s">
        <v>414</v>
      </c>
      <c r="FE3" s="35" t="s">
        <v>413</v>
      </c>
      <c r="FF3" s="35" t="s">
        <v>414</v>
      </c>
      <c r="FG3" s="35" t="s">
        <v>414</v>
      </c>
      <c r="FH3" s="35" t="s">
        <v>413</v>
      </c>
      <c r="FI3" s="35" t="s">
        <v>583</v>
      </c>
      <c r="FJ3" s="35" t="s">
        <v>415</v>
      </c>
      <c r="FK3" s="35" t="s">
        <v>415</v>
      </c>
      <c r="FL3" s="35" t="s">
        <v>415</v>
      </c>
      <c r="FM3" s="35" t="s">
        <v>414</v>
      </c>
      <c r="FN3" s="35" t="s">
        <v>413</v>
      </c>
      <c r="FO3" s="35" t="s">
        <v>414</v>
      </c>
      <c r="FP3" s="35" t="s">
        <v>417</v>
      </c>
      <c r="FQ3" s="35" t="s">
        <v>486</v>
      </c>
      <c r="FR3" s="35" t="s">
        <v>749</v>
      </c>
      <c r="FT3" s="35" t="s">
        <v>420</v>
      </c>
      <c r="FU3" s="35" t="s">
        <v>488</v>
      </c>
      <c r="FV3" s="35" t="s">
        <v>918</v>
      </c>
      <c r="FW3" s="35" t="s">
        <v>490</v>
      </c>
      <c r="FX3" s="35" t="s">
        <v>491</v>
      </c>
      <c r="FY3" s="35" t="s">
        <v>10433</v>
      </c>
      <c r="FZ3" s="35" t="s">
        <v>535</v>
      </c>
      <c r="GA3" s="35" t="s">
        <v>10434</v>
      </c>
      <c r="GC3" s="35" t="s">
        <v>455</v>
      </c>
      <c r="GD3" s="35" t="s">
        <v>10435</v>
      </c>
      <c r="GF3" s="35" t="s">
        <v>753</v>
      </c>
      <c r="GK3" s="35" t="s">
        <v>1000</v>
      </c>
      <c r="GL3" s="35" t="s">
        <v>1000</v>
      </c>
      <c r="GM3" s="35" t="s">
        <v>858</v>
      </c>
    </row>
    <row r="4">
      <c r="A4" s="40"/>
      <c r="B4" s="40">
        <v>45827.582390254625</v>
      </c>
      <c r="C4" s="35" t="s">
        <v>368</v>
      </c>
      <c r="D4" s="35" t="s">
        <v>894</v>
      </c>
      <c r="E4" s="35" t="s">
        <v>894</v>
      </c>
      <c r="H4" s="35" t="s">
        <v>422</v>
      </c>
      <c r="I4" s="35" t="s">
        <v>373</v>
      </c>
      <c r="J4" s="35" t="s">
        <v>638</v>
      </c>
      <c r="K4" s="35" t="s">
        <v>425</v>
      </c>
      <c r="L4" s="35" t="s">
        <v>376</v>
      </c>
      <c r="M4" s="35" t="s">
        <v>379</v>
      </c>
      <c r="N4" s="35" t="s">
        <v>1663</v>
      </c>
      <c r="O4" s="35" t="s">
        <v>379</v>
      </c>
      <c r="P4" s="35" t="s">
        <v>671</v>
      </c>
      <c r="Q4" s="35" t="s">
        <v>498</v>
      </c>
      <c r="R4" s="35" t="s">
        <v>862</v>
      </c>
      <c r="S4" s="35" t="s">
        <v>500</v>
      </c>
      <c r="T4" s="35" t="s">
        <v>1664</v>
      </c>
      <c r="U4" s="35" t="s">
        <v>385</v>
      </c>
      <c r="V4" s="35" t="s">
        <v>896</v>
      </c>
      <c r="W4" s="35" t="s">
        <v>896</v>
      </c>
      <c r="X4" s="35" t="s">
        <v>428</v>
      </c>
      <c r="AW4" s="35" t="s">
        <v>597</v>
      </c>
      <c r="AX4" s="41">
        <v>4.0</v>
      </c>
      <c r="AY4" s="35" t="s">
        <v>391</v>
      </c>
      <c r="AZ4" s="35" t="s">
        <v>675</v>
      </c>
      <c r="BA4" s="35" t="s">
        <v>675</v>
      </c>
      <c r="BB4" s="35" t="s">
        <v>675</v>
      </c>
      <c r="BC4" s="35" t="s">
        <v>391</v>
      </c>
      <c r="BD4" s="35" t="s">
        <v>1665</v>
      </c>
      <c r="BE4" s="35" t="s">
        <v>1666</v>
      </c>
      <c r="BF4" s="35" t="s">
        <v>392</v>
      </c>
      <c r="BG4" s="35" t="s">
        <v>393</v>
      </c>
      <c r="BH4" s="35" t="s">
        <v>394</v>
      </c>
      <c r="BI4" s="35" t="s">
        <v>10436</v>
      </c>
      <c r="BJ4" s="35" t="s">
        <v>824</v>
      </c>
      <c r="BL4" s="35" t="s">
        <v>681</v>
      </c>
      <c r="BM4" s="35" t="s">
        <v>396</v>
      </c>
      <c r="BN4" s="35" t="s">
        <v>549</v>
      </c>
      <c r="BO4" s="35" t="s">
        <v>398</v>
      </c>
      <c r="BP4" s="35" t="s">
        <v>10437</v>
      </c>
      <c r="BQ4" s="35" t="s">
        <v>1669</v>
      </c>
      <c r="BR4" s="35" t="s">
        <v>442</v>
      </c>
      <c r="BS4" s="35" t="s">
        <v>1670</v>
      </c>
      <c r="BT4" s="35" t="s">
        <v>1671</v>
      </c>
      <c r="BU4" s="35" t="s">
        <v>1672</v>
      </c>
      <c r="BV4" s="35" t="s">
        <v>405</v>
      </c>
      <c r="BW4" s="35" t="s">
        <v>10438</v>
      </c>
      <c r="BX4" s="35" t="s">
        <v>988</v>
      </c>
      <c r="BZ4" s="35" t="s">
        <v>455</v>
      </c>
      <c r="CA4" s="35" t="s">
        <v>1674</v>
      </c>
      <c r="CB4" s="35" t="s">
        <v>1675</v>
      </c>
      <c r="CC4" s="35" t="s">
        <v>10439</v>
      </c>
      <c r="CD4" s="35" t="s">
        <v>1677</v>
      </c>
      <c r="CE4" s="35" t="s">
        <v>451</v>
      </c>
      <c r="CF4" s="35" t="s">
        <v>10440</v>
      </c>
      <c r="CG4" s="35" t="s">
        <v>1258</v>
      </c>
      <c r="CI4" s="35" t="s">
        <v>1679</v>
      </c>
      <c r="CJ4" s="35" t="s">
        <v>410</v>
      </c>
      <c r="CK4" s="35" t="s">
        <v>1680</v>
      </c>
      <c r="CL4" s="35" t="s">
        <v>1681</v>
      </c>
      <c r="EU4" s="35" t="s">
        <v>526</v>
      </c>
      <c r="EV4" s="35" t="s">
        <v>887</v>
      </c>
      <c r="EW4" s="35" t="s">
        <v>480</v>
      </c>
      <c r="EX4" s="35" t="s">
        <v>1682</v>
      </c>
      <c r="EY4" s="35" t="s">
        <v>10441</v>
      </c>
      <c r="EZ4" s="35" t="s">
        <v>10442</v>
      </c>
      <c r="FA4" s="35" t="s">
        <v>583</v>
      </c>
      <c r="FB4" s="35" t="s">
        <v>583</v>
      </c>
      <c r="FC4" s="35" t="s">
        <v>415</v>
      </c>
      <c r="FD4" s="35" t="s">
        <v>583</v>
      </c>
      <c r="FE4" s="35" t="s">
        <v>416</v>
      </c>
      <c r="FF4" s="35" t="s">
        <v>583</v>
      </c>
      <c r="FG4" s="35" t="s">
        <v>583</v>
      </c>
      <c r="FH4" s="35" t="s">
        <v>414</v>
      </c>
      <c r="FI4" s="35" t="s">
        <v>414</v>
      </c>
      <c r="FJ4" s="35" t="s">
        <v>414</v>
      </c>
      <c r="FK4" s="35" t="s">
        <v>414</v>
      </c>
      <c r="FL4" s="35" t="s">
        <v>583</v>
      </c>
      <c r="FM4" s="35" t="s">
        <v>583</v>
      </c>
      <c r="FN4" s="35" t="s">
        <v>414</v>
      </c>
      <c r="FO4" s="35" t="s">
        <v>583</v>
      </c>
      <c r="FP4" s="35" t="s">
        <v>485</v>
      </c>
      <c r="FQ4" s="35" t="s">
        <v>418</v>
      </c>
      <c r="FR4" s="35" t="s">
        <v>419</v>
      </c>
      <c r="FS4" s="35" t="s">
        <v>1685</v>
      </c>
      <c r="FT4" s="35" t="s">
        <v>420</v>
      </c>
      <c r="FU4" s="35" t="s">
        <v>488</v>
      </c>
      <c r="FV4" s="35" t="s">
        <v>489</v>
      </c>
      <c r="FW4" s="35" t="s">
        <v>490</v>
      </c>
      <c r="FX4" s="35" t="s">
        <v>491</v>
      </c>
      <c r="FY4" s="35" t="s">
        <v>10443</v>
      </c>
      <c r="FZ4" s="35" t="s">
        <v>535</v>
      </c>
      <c r="GA4" s="35" t="s">
        <v>10444</v>
      </c>
      <c r="GB4" s="35" t="s">
        <v>10445</v>
      </c>
      <c r="GC4" s="35" t="s">
        <v>455</v>
      </c>
      <c r="GD4" s="35" t="s">
        <v>10446</v>
      </c>
      <c r="GE4" s="35" t="s">
        <v>10447</v>
      </c>
      <c r="GF4" s="35" t="s">
        <v>753</v>
      </c>
      <c r="GG4" s="35" t="s">
        <v>10448</v>
      </c>
      <c r="GK4" s="35" t="s">
        <v>755</v>
      </c>
      <c r="GL4" s="35" t="s">
        <v>755</v>
      </c>
      <c r="GM4" s="35" t="s">
        <v>817</v>
      </c>
    </row>
    <row r="5">
      <c r="A5" s="40"/>
      <c r="B5" s="40">
        <v>45827.59833847222</v>
      </c>
      <c r="C5" s="35" t="s">
        <v>368</v>
      </c>
      <c r="D5" s="35" t="s">
        <v>370</v>
      </c>
      <c r="F5" s="35" t="s">
        <v>371</v>
      </c>
      <c r="H5" s="35" t="s">
        <v>422</v>
      </c>
      <c r="I5" s="35" t="s">
        <v>373</v>
      </c>
      <c r="J5" s="35" t="s">
        <v>374</v>
      </c>
      <c r="K5" s="35" t="s">
        <v>718</v>
      </c>
      <c r="L5" s="35" t="s">
        <v>376</v>
      </c>
      <c r="M5" s="35" t="s">
        <v>591</v>
      </c>
      <c r="N5" s="35" t="s">
        <v>1690</v>
      </c>
      <c r="O5" s="35" t="s">
        <v>591</v>
      </c>
      <c r="Q5" s="35" t="s">
        <v>381</v>
      </c>
      <c r="R5" s="35" t="s">
        <v>1156</v>
      </c>
      <c r="S5" s="35" t="s">
        <v>500</v>
      </c>
      <c r="T5" s="35" t="s">
        <v>384</v>
      </c>
      <c r="U5" s="35" t="s">
        <v>385</v>
      </c>
      <c r="X5" s="35" t="s">
        <v>428</v>
      </c>
      <c r="AW5" s="35" t="s">
        <v>1242</v>
      </c>
      <c r="AX5" s="35" t="s">
        <v>675</v>
      </c>
      <c r="AY5" s="35" t="s">
        <v>675</v>
      </c>
      <c r="AZ5" s="35" t="s">
        <v>675</v>
      </c>
      <c r="BA5" s="41">
        <v>4.0</v>
      </c>
      <c r="BB5" s="35" t="s">
        <v>675</v>
      </c>
      <c r="BC5" s="35" t="s">
        <v>675</v>
      </c>
      <c r="BF5" s="35" t="s">
        <v>902</v>
      </c>
      <c r="BG5" s="35" t="s">
        <v>1245</v>
      </c>
      <c r="BH5" s="35" t="s">
        <v>394</v>
      </c>
      <c r="BJ5" s="35" t="s">
        <v>976</v>
      </c>
      <c r="BL5" s="35" t="s">
        <v>602</v>
      </c>
      <c r="BM5" s="35" t="s">
        <v>603</v>
      </c>
      <c r="BN5" s="35" t="s">
        <v>1314</v>
      </c>
      <c r="BO5" s="35" t="s">
        <v>398</v>
      </c>
      <c r="BR5" s="35" t="s">
        <v>442</v>
      </c>
      <c r="BS5" s="35" t="s">
        <v>1691</v>
      </c>
      <c r="BT5" s="35" t="s">
        <v>1692</v>
      </c>
      <c r="BU5" s="35" t="s">
        <v>1672</v>
      </c>
      <c r="BV5" s="35" t="s">
        <v>1693</v>
      </c>
      <c r="BW5" s="35" t="s">
        <v>10449</v>
      </c>
      <c r="BX5" s="35" t="s">
        <v>988</v>
      </c>
      <c r="BZ5" s="35" t="s">
        <v>408</v>
      </c>
      <c r="CD5" s="35" t="s">
        <v>1695</v>
      </c>
      <c r="CE5" s="35" t="s">
        <v>451</v>
      </c>
      <c r="CF5" s="35" t="s">
        <v>1696</v>
      </c>
      <c r="CG5" s="35" t="s">
        <v>1697</v>
      </c>
      <c r="CI5" s="35" t="s">
        <v>1698</v>
      </c>
      <c r="CJ5" s="35" t="s">
        <v>410</v>
      </c>
      <c r="CK5" s="35" t="s">
        <v>1699</v>
      </c>
      <c r="CL5" s="35" t="s">
        <v>1700</v>
      </c>
      <c r="EU5" s="35" t="s">
        <v>526</v>
      </c>
      <c r="EV5" s="35" t="s">
        <v>479</v>
      </c>
      <c r="EW5" s="35" t="s">
        <v>1262</v>
      </c>
      <c r="EZ5" s="35" t="s">
        <v>1701</v>
      </c>
      <c r="FA5" s="35" t="s">
        <v>414</v>
      </c>
      <c r="FB5" s="35" t="s">
        <v>414</v>
      </c>
      <c r="FC5" s="35" t="s">
        <v>415</v>
      </c>
      <c r="FD5" s="35" t="s">
        <v>583</v>
      </c>
      <c r="FE5" s="35" t="s">
        <v>413</v>
      </c>
      <c r="FF5" s="35" t="s">
        <v>583</v>
      </c>
      <c r="FG5" s="35" t="s">
        <v>583</v>
      </c>
      <c r="FH5" s="35" t="s">
        <v>583</v>
      </c>
      <c r="FI5" s="35" t="s">
        <v>583</v>
      </c>
      <c r="FJ5" s="35" t="s">
        <v>583</v>
      </c>
      <c r="FK5" s="35" t="s">
        <v>414</v>
      </c>
      <c r="FL5" s="35" t="s">
        <v>583</v>
      </c>
      <c r="FM5" s="35" t="s">
        <v>583</v>
      </c>
      <c r="FN5" s="35" t="s">
        <v>413</v>
      </c>
      <c r="FO5" s="35" t="s">
        <v>583</v>
      </c>
      <c r="FP5" s="35" t="s">
        <v>850</v>
      </c>
      <c r="FQ5" s="35" t="s">
        <v>418</v>
      </c>
      <c r="FR5" s="35" t="s">
        <v>419</v>
      </c>
      <c r="FS5" s="35" t="s">
        <v>10450</v>
      </c>
      <c r="FT5" s="35" t="s">
        <v>1076</v>
      </c>
      <c r="FU5" s="35" t="s">
        <v>488</v>
      </c>
      <c r="FV5" s="35" t="s">
        <v>533</v>
      </c>
      <c r="FW5" s="35" t="s">
        <v>490</v>
      </c>
      <c r="FX5" s="35" t="s">
        <v>491</v>
      </c>
      <c r="FZ5" s="35" t="s">
        <v>493</v>
      </c>
      <c r="GC5" s="35" t="s">
        <v>408</v>
      </c>
      <c r="GK5" s="35" t="s">
        <v>755</v>
      </c>
      <c r="GL5" s="35" t="s">
        <v>755</v>
      </c>
      <c r="GM5" s="35" t="s">
        <v>946</v>
      </c>
    </row>
    <row r="6">
      <c r="A6" s="40"/>
      <c r="B6" s="40">
        <v>45827.666499756946</v>
      </c>
      <c r="C6" s="35" t="s">
        <v>368</v>
      </c>
      <c r="D6" s="35" t="s">
        <v>1703</v>
      </c>
      <c r="E6" s="35" t="s">
        <v>1703</v>
      </c>
      <c r="F6" s="35" t="s">
        <v>1202</v>
      </c>
      <c r="H6" s="35" t="s">
        <v>422</v>
      </c>
      <c r="I6" s="35" t="s">
        <v>637</v>
      </c>
      <c r="J6" s="35" t="s">
        <v>638</v>
      </c>
      <c r="K6" s="35" t="s">
        <v>590</v>
      </c>
      <c r="L6" s="35" t="s">
        <v>376</v>
      </c>
      <c r="M6" s="35" t="s">
        <v>670</v>
      </c>
      <c r="N6" s="35" t="s">
        <v>720</v>
      </c>
      <c r="O6" s="35" t="s">
        <v>793</v>
      </c>
      <c r="P6" s="35" t="s">
        <v>719</v>
      </c>
      <c r="Q6" s="35" t="s">
        <v>592</v>
      </c>
      <c r="R6" s="35" t="s">
        <v>382</v>
      </c>
      <c r="S6" s="35" t="s">
        <v>1704</v>
      </c>
      <c r="T6" s="35" t="s">
        <v>1705</v>
      </c>
      <c r="U6" s="35" t="s">
        <v>385</v>
      </c>
      <c r="X6" s="35" t="s">
        <v>760</v>
      </c>
      <c r="Y6" s="35" t="s">
        <v>1706</v>
      </c>
      <c r="AD6" s="35" t="s">
        <v>1707</v>
      </c>
      <c r="AE6" s="35" t="s">
        <v>1708</v>
      </c>
      <c r="AF6" s="35" t="s">
        <v>455</v>
      </c>
      <c r="AG6" s="35" t="s">
        <v>1709</v>
      </c>
      <c r="AH6" s="41">
        <v>5.0</v>
      </c>
      <c r="AI6" s="35" t="s">
        <v>1639</v>
      </c>
      <c r="AJ6" s="35" t="s">
        <v>1710</v>
      </c>
      <c r="AK6" s="35" t="s">
        <v>1711</v>
      </c>
      <c r="AL6" s="35" t="s">
        <v>1712</v>
      </c>
      <c r="AW6" s="35" t="s">
        <v>1242</v>
      </c>
      <c r="AX6" s="35" t="s">
        <v>675</v>
      </c>
      <c r="AY6" s="35" t="s">
        <v>675</v>
      </c>
      <c r="AZ6" s="35" t="s">
        <v>675</v>
      </c>
      <c r="BA6" s="35" t="s">
        <v>675</v>
      </c>
      <c r="BB6" s="35" t="s">
        <v>675</v>
      </c>
      <c r="BC6" s="35" t="s">
        <v>675</v>
      </c>
      <c r="BD6" s="35" t="s">
        <v>1713</v>
      </c>
      <c r="BE6" s="35" t="s">
        <v>1714</v>
      </c>
      <c r="BF6" s="35" t="s">
        <v>902</v>
      </c>
      <c r="BG6" s="35" t="s">
        <v>1245</v>
      </c>
      <c r="BH6" s="35" t="s">
        <v>394</v>
      </c>
      <c r="BI6" s="35" t="s">
        <v>1715</v>
      </c>
      <c r="BJ6" s="35" t="s">
        <v>976</v>
      </c>
      <c r="BL6" s="35" t="s">
        <v>681</v>
      </c>
      <c r="BM6" s="35" t="s">
        <v>904</v>
      </c>
      <c r="BN6" s="35" t="s">
        <v>1314</v>
      </c>
      <c r="BO6" s="35" t="s">
        <v>398</v>
      </c>
      <c r="BP6" s="35" t="s">
        <v>1716</v>
      </c>
      <c r="BQ6" s="35" t="s">
        <v>1717</v>
      </c>
      <c r="BR6" s="35" t="s">
        <v>442</v>
      </c>
      <c r="BS6" s="35" t="s">
        <v>1718</v>
      </c>
      <c r="BT6" s="35" t="s">
        <v>1671</v>
      </c>
      <c r="BV6" s="35" t="s">
        <v>405</v>
      </c>
      <c r="BX6" s="35" t="s">
        <v>457</v>
      </c>
      <c r="BZ6" s="35" t="s">
        <v>408</v>
      </c>
      <c r="CB6" s="35" t="s">
        <v>1719</v>
      </c>
      <c r="CC6" s="35" t="s">
        <v>1720</v>
      </c>
      <c r="CD6" s="35" t="s">
        <v>1721</v>
      </c>
      <c r="CE6" s="35" t="s">
        <v>1257</v>
      </c>
      <c r="CG6" s="35" t="s">
        <v>1722</v>
      </c>
      <c r="CH6" s="35" t="s">
        <v>1723</v>
      </c>
      <c r="CI6" s="35" t="s">
        <v>1259</v>
      </c>
      <c r="CJ6" s="35" t="s">
        <v>833</v>
      </c>
      <c r="CK6" s="35" t="s">
        <v>1724</v>
      </c>
      <c r="CL6" s="35" t="s">
        <v>1725</v>
      </c>
      <c r="EU6" s="35" t="s">
        <v>578</v>
      </c>
      <c r="EV6" s="35" t="s">
        <v>479</v>
      </c>
      <c r="EW6" s="35" t="s">
        <v>663</v>
      </c>
      <c r="EX6" s="35" t="s">
        <v>1726</v>
      </c>
      <c r="EY6" s="35" t="s">
        <v>10451</v>
      </c>
      <c r="EZ6" s="35" t="s">
        <v>1728</v>
      </c>
      <c r="FA6" s="35" t="s">
        <v>414</v>
      </c>
      <c r="FB6" s="35" t="s">
        <v>414</v>
      </c>
      <c r="FC6" s="35" t="s">
        <v>416</v>
      </c>
      <c r="FD6" s="35" t="s">
        <v>414</v>
      </c>
      <c r="FE6" s="35" t="s">
        <v>415</v>
      </c>
      <c r="FF6" s="35" t="s">
        <v>414</v>
      </c>
      <c r="FG6" s="35" t="s">
        <v>415</v>
      </c>
      <c r="FH6" s="35" t="s">
        <v>415</v>
      </c>
      <c r="FI6" s="35" t="s">
        <v>415</v>
      </c>
      <c r="FJ6" s="35" t="s">
        <v>414</v>
      </c>
      <c r="FK6" s="35" t="s">
        <v>414</v>
      </c>
      <c r="FL6" s="35" t="s">
        <v>416</v>
      </c>
      <c r="FM6" s="35" t="s">
        <v>416</v>
      </c>
      <c r="FN6" s="35" t="s">
        <v>416</v>
      </c>
      <c r="FO6" s="35" t="s">
        <v>414</v>
      </c>
      <c r="FP6" s="35" t="s">
        <v>417</v>
      </c>
      <c r="FQ6" s="35" t="s">
        <v>418</v>
      </c>
      <c r="FR6" s="35" t="s">
        <v>712</v>
      </c>
      <c r="FS6" s="35" t="s">
        <v>1729</v>
      </c>
      <c r="FT6" s="35" t="s">
        <v>420</v>
      </c>
      <c r="FU6" s="35" t="s">
        <v>488</v>
      </c>
      <c r="FV6" s="35" t="s">
        <v>489</v>
      </c>
      <c r="FW6" s="35" t="s">
        <v>490</v>
      </c>
      <c r="FX6" s="35" t="s">
        <v>491</v>
      </c>
      <c r="FY6" s="35" t="s">
        <v>1730</v>
      </c>
      <c r="FZ6" s="35" t="s">
        <v>535</v>
      </c>
      <c r="GA6" s="35" t="s">
        <v>1731</v>
      </c>
      <c r="GB6" s="35" t="s">
        <v>1732</v>
      </c>
      <c r="GC6" s="35" t="s">
        <v>455</v>
      </c>
      <c r="GD6" s="35" t="s">
        <v>10452</v>
      </c>
      <c r="GF6" s="35" t="s">
        <v>1339</v>
      </c>
      <c r="GG6" s="35" t="s">
        <v>1733</v>
      </c>
      <c r="GK6" s="35" t="s">
        <v>920</v>
      </c>
      <c r="GL6" s="35" t="s">
        <v>788</v>
      </c>
      <c r="GM6" s="35" t="s">
        <v>858</v>
      </c>
    </row>
    <row r="7">
      <c r="A7" s="40"/>
      <c r="B7" s="40">
        <v>45827.70323135417</v>
      </c>
      <c r="C7" s="35" t="s">
        <v>368</v>
      </c>
      <c r="D7" s="35" t="s">
        <v>370</v>
      </c>
      <c r="F7" s="35" t="s">
        <v>371</v>
      </c>
      <c r="H7" s="35" t="s">
        <v>1269</v>
      </c>
      <c r="I7" s="35" t="s">
        <v>423</v>
      </c>
      <c r="J7" s="35" t="s">
        <v>424</v>
      </c>
      <c r="K7" s="35" t="s">
        <v>375</v>
      </c>
      <c r="L7" s="35" t="s">
        <v>376</v>
      </c>
      <c r="M7" s="35" t="s">
        <v>379</v>
      </c>
      <c r="N7" s="35" t="s">
        <v>380</v>
      </c>
      <c r="O7" s="35" t="s">
        <v>379</v>
      </c>
      <c r="P7" s="35" t="s">
        <v>497</v>
      </c>
      <c r="Q7" s="35" t="s">
        <v>498</v>
      </c>
      <c r="R7" s="35" t="s">
        <v>382</v>
      </c>
      <c r="S7" s="35" t="s">
        <v>949</v>
      </c>
      <c r="T7" s="35" t="s">
        <v>384</v>
      </c>
      <c r="U7" s="35" t="s">
        <v>385</v>
      </c>
      <c r="X7" s="35" t="s">
        <v>386</v>
      </c>
      <c r="Y7" s="35" t="s">
        <v>387</v>
      </c>
      <c r="Z7" s="35" t="s">
        <v>388</v>
      </c>
      <c r="AA7" s="35" t="s">
        <v>389</v>
      </c>
      <c r="AB7" s="35" t="s">
        <v>408</v>
      </c>
      <c r="AC7" s="35" t="s">
        <v>408</v>
      </c>
      <c r="AW7" s="35" t="s">
        <v>1242</v>
      </c>
      <c r="AX7" s="35" t="s">
        <v>675</v>
      </c>
      <c r="AY7" s="35" t="s">
        <v>675</v>
      </c>
      <c r="AZ7" s="35" t="s">
        <v>675</v>
      </c>
      <c r="BA7" s="35" t="s">
        <v>675</v>
      </c>
      <c r="BB7" s="35" t="s">
        <v>675</v>
      </c>
      <c r="BC7" s="35" t="s">
        <v>675</v>
      </c>
      <c r="BD7" s="35" t="s">
        <v>10453</v>
      </c>
      <c r="BE7" s="35" t="s">
        <v>10454</v>
      </c>
      <c r="BF7" s="35" t="s">
        <v>902</v>
      </c>
      <c r="BG7" s="35" t="s">
        <v>1095</v>
      </c>
      <c r="BH7" s="35" t="s">
        <v>394</v>
      </c>
      <c r="BI7" s="35" t="s">
        <v>1736</v>
      </c>
      <c r="BJ7" s="35" t="s">
        <v>435</v>
      </c>
      <c r="BK7" s="35" t="s">
        <v>1737</v>
      </c>
      <c r="BL7" s="35" t="s">
        <v>602</v>
      </c>
      <c r="BM7" s="35" t="s">
        <v>603</v>
      </c>
      <c r="BN7" s="35" t="s">
        <v>1247</v>
      </c>
      <c r="BO7" s="35" t="s">
        <v>398</v>
      </c>
      <c r="BP7" s="35" t="s">
        <v>1738</v>
      </c>
      <c r="BQ7" s="35" t="s">
        <v>1739</v>
      </c>
      <c r="BR7" s="35" t="s">
        <v>401</v>
      </c>
      <c r="BS7" s="35" t="s">
        <v>1740</v>
      </c>
      <c r="BT7" s="35" t="s">
        <v>1741</v>
      </c>
      <c r="BU7" s="35" t="s">
        <v>1742</v>
      </c>
      <c r="BV7" s="35" t="s">
        <v>1693</v>
      </c>
      <c r="BW7" s="35" t="s">
        <v>1743</v>
      </c>
      <c r="BX7" s="35" t="s">
        <v>988</v>
      </c>
      <c r="BZ7" s="35" t="s">
        <v>455</v>
      </c>
      <c r="CA7" s="35" t="s">
        <v>1744</v>
      </c>
      <c r="CB7" s="35" t="s">
        <v>1745</v>
      </c>
      <c r="CC7" s="35" t="s">
        <v>1746</v>
      </c>
      <c r="CD7" s="35" t="s">
        <v>1747</v>
      </c>
      <c r="CE7" s="35" t="s">
        <v>409</v>
      </c>
      <c r="CF7" s="35" t="s">
        <v>1748</v>
      </c>
      <c r="CG7" s="35" t="s">
        <v>1749</v>
      </c>
      <c r="CH7" s="35" t="s">
        <v>1750</v>
      </c>
      <c r="CI7" s="35" t="s">
        <v>1751</v>
      </c>
      <c r="CJ7" s="35" t="s">
        <v>410</v>
      </c>
      <c r="CK7" s="35" t="s">
        <v>1752</v>
      </c>
      <c r="CL7" s="35" t="s">
        <v>1753</v>
      </c>
      <c r="EU7" s="35" t="s">
        <v>526</v>
      </c>
      <c r="EV7" s="35" t="s">
        <v>579</v>
      </c>
      <c r="EW7" s="35" t="s">
        <v>1262</v>
      </c>
      <c r="EX7" s="35" t="s">
        <v>1754</v>
      </c>
      <c r="EY7" s="35" t="s">
        <v>1755</v>
      </c>
      <c r="EZ7" s="35" t="s">
        <v>1756</v>
      </c>
      <c r="FA7" s="35" t="s">
        <v>413</v>
      </c>
      <c r="FB7" s="35" t="s">
        <v>415</v>
      </c>
      <c r="FC7" s="35" t="s">
        <v>413</v>
      </c>
      <c r="FD7" s="35" t="s">
        <v>413</v>
      </c>
      <c r="FE7" s="35" t="s">
        <v>413</v>
      </c>
      <c r="FF7" s="35" t="s">
        <v>415</v>
      </c>
      <c r="FG7" s="35" t="s">
        <v>413</v>
      </c>
      <c r="FH7" s="35" t="s">
        <v>413</v>
      </c>
      <c r="FI7" s="35" t="s">
        <v>414</v>
      </c>
      <c r="FJ7" s="35" t="s">
        <v>414</v>
      </c>
      <c r="FK7" s="35" t="s">
        <v>415</v>
      </c>
      <c r="FL7" s="35" t="s">
        <v>413</v>
      </c>
      <c r="FM7" s="35" t="s">
        <v>413</v>
      </c>
      <c r="FN7" s="35" t="s">
        <v>413</v>
      </c>
      <c r="FO7" s="35" t="s">
        <v>583</v>
      </c>
      <c r="FP7" s="35" t="s">
        <v>417</v>
      </c>
      <c r="FQ7" s="35" t="s">
        <v>486</v>
      </c>
      <c r="FR7" s="35" t="s">
        <v>749</v>
      </c>
      <c r="FS7" s="35" t="s">
        <v>1757</v>
      </c>
      <c r="FT7" s="35" t="s">
        <v>420</v>
      </c>
      <c r="FU7" s="35" t="s">
        <v>1462</v>
      </c>
      <c r="FV7" s="35" t="s">
        <v>489</v>
      </c>
      <c r="FW7" s="35" t="s">
        <v>490</v>
      </c>
      <c r="FX7" s="35" t="s">
        <v>491</v>
      </c>
      <c r="FY7" s="35" t="s">
        <v>1758</v>
      </c>
      <c r="FZ7" s="35" t="s">
        <v>493</v>
      </c>
      <c r="GB7" s="35" t="s">
        <v>1759</v>
      </c>
      <c r="GC7" s="35" t="s">
        <v>455</v>
      </c>
      <c r="GD7" s="35" t="s">
        <v>10455</v>
      </c>
      <c r="GF7" s="35" t="s">
        <v>753</v>
      </c>
      <c r="GG7" s="35" t="s">
        <v>408</v>
      </c>
      <c r="GK7" s="35" t="s">
        <v>920</v>
      </c>
      <c r="GL7" s="35" t="s">
        <v>920</v>
      </c>
      <c r="GM7" s="35" t="s">
        <v>817</v>
      </c>
    </row>
    <row r="8">
      <c r="A8" s="40"/>
      <c r="B8" s="40">
        <v>45827.705325347226</v>
      </c>
      <c r="C8" s="35" t="s">
        <v>368</v>
      </c>
      <c r="D8" s="35" t="s">
        <v>370</v>
      </c>
      <c r="F8" s="35" t="s">
        <v>1001</v>
      </c>
      <c r="H8" s="35" t="s">
        <v>422</v>
      </c>
      <c r="I8" s="35" t="s">
        <v>637</v>
      </c>
      <c r="J8" s="35" t="s">
        <v>638</v>
      </c>
      <c r="K8" s="35" t="s">
        <v>1240</v>
      </c>
      <c r="L8" s="35" t="s">
        <v>376</v>
      </c>
      <c r="M8" s="35" t="s">
        <v>591</v>
      </c>
      <c r="N8" s="35" t="s">
        <v>639</v>
      </c>
      <c r="O8" s="35" t="s">
        <v>379</v>
      </c>
      <c r="P8" s="35" t="s">
        <v>497</v>
      </c>
      <c r="Q8" s="35" t="s">
        <v>1760</v>
      </c>
      <c r="R8" s="35" t="s">
        <v>818</v>
      </c>
      <c r="S8" s="35" t="s">
        <v>427</v>
      </c>
      <c r="T8" s="35" t="s">
        <v>384</v>
      </c>
      <c r="U8" s="35" t="s">
        <v>385</v>
      </c>
      <c r="X8" s="35" t="s">
        <v>428</v>
      </c>
      <c r="AW8" s="35" t="s">
        <v>1242</v>
      </c>
      <c r="AX8" s="35" t="s">
        <v>675</v>
      </c>
      <c r="AY8" s="35" t="s">
        <v>675</v>
      </c>
      <c r="AZ8" s="35" t="s">
        <v>675</v>
      </c>
      <c r="BA8" s="35" t="s">
        <v>675</v>
      </c>
      <c r="BB8" s="35" t="s">
        <v>675</v>
      </c>
      <c r="BC8" s="35" t="s">
        <v>675</v>
      </c>
      <c r="BF8" s="35" t="s">
        <v>902</v>
      </c>
      <c r="BG8" s="35" t="s">
        <v>1047</v>
      </c>
      <c r="BH8" s="35" t="s">
        <v>394</v>
      </c>
      <c r="BJ8" s="35" t="s">
        <v>976</v>
      </c>
      <c r="BL8" s="35" t="s">
        <v>602</v>
      </c>
      <c r="BM8" s="35" t="s">
        <v>603</v>
      </c>
      <c r="BN8" s="35" t="s">
        <v>1314</v>
      </c>
      <c r="BO8" s="35" t="s">
        <v>398</v>
      </c>
      <c r="BR8" s="35" t="s">
        <v>604</v>
      </c>
      <c r="BS8" s="35" t="s">
        <v>1761</v>
      </c>
      <c r="BT8" s="35" t="s">
        <v>1741</v>
      </c>
      <c r="BU8" s="35" t="s">
        <v>1672</v>
      </c>
      <c r="BV8" s="35" t="s">
        <v>405</v>
      </c>
      <c r="BX8" s="35" t="s">
        <v>457</v>
      </c>
      <c r="BZ8" s="35" t="s">
        <v>733</v>
      </c>
      <c r="CE8" s="35" t="s">
        <v>409</v>
      </c>
      <c r="CG8" s="35" t="s">
        <v>1258</v>
      </c>
      <c r="CI8" s="35" t="s">
        <v>1698</v>
      </c>
      <c r="CJ8" s="35" t="s">
        <v>833</v>
      </c>
      <c r="CK8" s="35" t="s">
        <v>10456</v>
      </c>
      <c r="CL8" s="35" t="s">
        <v>10457</v>
      </c>
      <c r="EU8" s="35" t="s">
        <v>526</v>
      </c>
      <c r="EV8" s="35" t="s">
        <v>887</v>
      </c>
      <c r="EW8" s="35" t="s">
        <v>1262</v>
      </c>
      <c r="EY8" s="35" t="s">
        <v>10458</v>
      </c>
      <c r="EZ8" s="35" t="s">
        <v>1765</v>
      </c>
      <c r="FP8" s="35" t="s">
        <v>485</v>
      </c>
      <c r="FQ8" s="35" t="s">
        <v>486</v>
      </c>
      <c r="FR8" s="35" t="s">
        <v>419</v>
      </c>
      <c r="FT8" s="35" t="s">
        <v>420</v>
      </c>
      <c r="FU8" s="35" t="s">
        <v>488</v>
      </c>
      <c r="FW8" s="35" t="s">
        <v>490</v>
      </c>
      <c r="FX8" s="35" t="s">
        <v>491</v>
      </c>
      <c r="FZ8" s="35" t="s">
        <v>535</v>
      </c>
      <c r="GC8" s="35" t="s">
        <v>408</v>
      </c>
      <c r="GK8" s="35" t="s">
        <v>920</v>
      </c>
      <c r="GL8" s="35" t="s">
        <v>920</v>
      </c>
      <c r="GM8" s="35" t="s">
        <v>756</v>
      </c>
    </row>
    <row r="9">
      <c r="A9" s="40"/>
      <c r="B9" s="40">
        <v>45827.709368090276</v>
      </c>
      <c r="C9" s="35" t="s">
        <v>368</v>
      </c>
      <c r="D9" s="35" t="s">
        <v>370</v>
      </c>
      <c r="F9" s="35" t="s">
        <v>371</v>
      </c>
      <c r="H9" s="35" t="s">
        <v>422</v>
      </c>
      <c r="I9" s="35" t="s">
        <v>496</v>
      </c>
      <c r="J9" s="35" t="s">
        <v>374</v>
      </c>
      <c r="K9" s="35" t="s">
        <v>425</v>
      </c>
      <c r="L9" s="35" t="s">
        <v>376</v>
      </c>
      <c r="M9" s="35" t="s">
        <v>379</v>
      </c>
      <c r="N9" s="35" t="s">
        <v>1442</v>
      </c>
      <c r="O9" s="35" t="s">
        <v>379</v>
      </c>
      <c r="P9" s="35" t="s">
        <v>671</v>
      </c>
      <c r="Q9" s="35" t="s">
        <v>498</v>
      </c>
      <c r="R9" s="35" t="s">
        <v>382</v>
      </c>
      <c r="S9" s="35" t="s">
        <v>427</v>
      </c>
      <c r="T9" s="35" t="s">
        <v>384</v>
      </c>
      <c r="U9" s="35" t="s">
        <v>385</v>
      </c>
      <c r="X9" s="35" t="s">
        <v>428</v>
      </c>
      <c r="AW9" s="35" t="s">
        <v>1242</v>
      </c>
      <c r="AX9" s="35" t="s">
        <v>675</v>
      </c>
      <c r="AY9" s="35" t="s">
        <v>675</v>
      </c>
      <c r="AZ9" s="35" t="s">
        <v>675</v>
      </c>
      <c r="BA9" s="35" t="s">
        <v>675</v>
      </c>
      <c r="BB9" s="35" t="s">
        <v>675</v>
      </c>
      <c r="BC9" s="35" t="s">
        <v>675</v>
      </c>
      <c r="BD9" s="35" t="s">
        <v>10459</v>
      </c>
      <c r="BE9" s="35" t="s">
        <v>10460</v>
      </c>
      <c r="BF9" s="35" t="s">
        <v>432</v>
      </c>
      <c r="BG9" s="35" t="s">
        <v>1245</v>
      </c>
      <c r="BH9" s="35" t="s">
        <v>434</v>
      </c>
      <c r="BI9" s="35" t="s">
        <v>10461</v>
      </c>
      <c r="BJ9" s="35" t="s">
        <v>976</v>
      </c>
      <c r="BL9" s="35" t="s">
        <v>437</v>
      </c>
      <c r="BM9" s="35" t="s">
        <v>603</v>
      </c>
      <c r="BN9" s="35" t="s">
        <v>1314</v>
      </c>
      <c r="BO9" s="35" t="s">
        <v>398</v>
      </c>
      <c r="BP9" s="35" t="s">
        <v>10462</v>
      </c>
      <c r="BQ9" s="35" t="s">
        <v>1379</v>
      </c>
      <c r="BR9" s="35" t="s">
        <v>401</v>
      </c>
      <c r="BS9" s="35" t="s">
        <v>1770</v>
      </c>
      <c r="BT9" s="35" t="s">
        <v>1671</v>
      </c>
      <c r="BU9" s="35" t="s">
        <v>1771</v>
      </c>
      <c r="BV9" s="35" t="s">
        <v>1772</v>
      </c>
      <c r="BW9" s="35" t="s">
        <v>10463</v>
      </c>
      <c r="BX9" s="35" t="s">
        <v>988</v>
      </c>
      <c r="BZ9" s="35" t="s">
        <v>408</v>
      </c>
      <c r="CB9" s="35" t="s">
        <v>10464</v>
      </c>
      <c r="CC9" s="35" t="s">
        <v>8448</v>
      </c>
      <c r="CD9" s="35" t="s">
        <v>1776</v>
      </c>
      <c r="CE9" s="35" t="s">
        <v>409</v>
      </c>
      <c r="CG9" s="35" t="s">
        <v>1258</v>
      </c>
      <c r="CI9" s="35" t="s">
        <v>1259</v>
      </c>
      <c r="CJ9" s="35" t="s">
        <v>410</v>
      </c>
      <c r="CK9" s="35" t="s">
        <v>10465</v>
      </c>
      <c r="CL9" s="35" t="s">
        <v>10466</v>
      </c>
      <c r="EU9" s="35" t="s">
        <v>478</v>
      </c>
      <c r="EV9" s="35" t="s">
        <v>887</v>
      </c>
      <c r="EW9" s="35" t="s">
        <v>480</v>
      </c>
      <c r="EY9" s="35" t="s">
        <v>1779</v>
      </c>
      <c r="EZ9" s="35" t="s">
        <v>10467</v>
      </c>
      <c r="FA9" s="35" t="s">
        <v>583</v>
      </c>
      <c r="FB9" s="35" t="s">
        <v>583</v>
      </c>
      <c r="FC9" s="35" t="s">
        <v>583</v>
      </c>
      <c r="FD9" s="35" t="s">
        <v>583</v>
      </c>
      <c r="FE9" s="35" t="s">
        <v>415</v>
      </c>
      <c r="FF9" s="35" t="s">
        <v>583</v>
      </c>
      <c r="FG9" s="35" t="s">
        <v>583</v>
      </c>
      <c r="FH9" s="35" t="s">
        <v>583</v>
      </c>
      <c r="FI9" s="35" t="s">
        <v>583</v>
      </c>
      <c r="FJ9" s="35" t="s">
        <v>583</v>
      </c>
      <c r="FK9" s="35" t="s">
        <v>583</v>
      </c>
      <c r="FL9" s="35" t="s">
        <v>583</v>
      </c>
      <c r="FM9" s="35" t="s">
        <v>583</v>
      </c>
      <c r="FN9" s="35" t="s">
        <v>583</v>
      </c>
      <c r="FO9" s="35" t="s">
        <v>484</v>
      </c>
      <c r="FP9" s="35" t="s">
        <v>485</v>
      </c>
      <c r="FQ9" s="35" t="s">
        <v>418</v>
      </c>
      <c r="FR9" s="35" t="s">
        <v>419</v>
      </c>
      <c r="FS9" s="35" t="s">
        <v>1781</v>
      </c>
      <c r="FT9" s="35" t="s">
        <v>420</v>
      </c>
      <c r="FU9" s="35" t="s">
        <v>1462</v>
      </c>
      <c r="FV9" s="35" t="s">
        <v>918</v>
      </c>
      <c r="FW9" s="35" t="s">
        <v>490</v>
      </c>
      <c r="FX9" s="35" t="s">
        <v>491</v>
      </c>
      <c r="FY9" s="35" t="s">
        <v>1782</v>
      </c>
      <c r="FZ9" s="35" t="s">
        <v>535</v>
      </c>
      <c r="GC9" s="35" t="s">
        <v>455</v>
      </c>
      <c r="GD9" s="35" t="s">
        <v>10468</v>
      </c>
      <c r="GF9" s="35" t="s">
        <v>753</v>
      </c>
      <c r="GK9" s="35" t="s">
        <v>755</v>
      </c>
      <c r="GL9" s="35" t="s">
        <v>920</v>
      </c>
      <c r="GM9" s="35" t="s">
        <v>921</v>
      </c>
    </row>
    <row r="10">
      <c r="A10" s="40"/>
      <c r="B10" s="40">
        <v>45827.75108425926</v>
      </c>
      <c r="C10" s="35" t="s">
        <v>368</v>
      </c>
      <c r="D10" s="35" t="s">
        <v>894</v>
      </c>
      <c r="E10" s="35" t="s">
        <v>894</v>
      </c>
      <c r="H10" s="35" t="s">
        <v>422</v>
      </c>
      <c r="I10" s="35" t="s">
        <v>423</v>
      </c>
      <c r="J10" s="35" t="s">
        <v>668</v>
      </c>
      <c r="K10" s="35" t="s">
        <v>540</v>
      </c>
      <c r="L10" s="35" t="s">
        <v>376</v>
      </c>
      <c r="M10" s="35" t="s">
        <v>426</v>
      </c>
      <c r="N10" s="35" t="s">
        <v>541</v>
      </c>
      <c r="O10" s="35" t="s">
        <v>379</v>
      </c>
      <c r="P10" s="35" t="s">
        <v>497</v>
      </c>
      <c r="Q10" s="35" t="s">
        <v>498</v>
      </c>
      <c r="R10" s="35" t="s">
        <v>862</v>
      </c>
      <c r="S10" s="35" t="s">
        <v>949</v>
      </c>
      <c r="T10" s="35" t="s">
        <v>384</v>
      </c>
      <c r="U10" s="35" t="s">
        <v>385</v>
      </c>
      <c r="V10" s="35" t="s">
        <v>1822</v>
      </c>
      <c r="W10" s="35" t="s">
        <v>1823</v>
      </c>
      <c r="X10" s="35" t="s">
        <v>386</v>
      </c>
      <c r="Y10" s="35" t="s">
        <v>387</v>
      </c>
      <c r="Z10" s="35" t="s">
        <v>1824</v>
      </c>
      <c r="AA10" s="35" t="s">
        <v>543</v>
      </c>
      <c r="AB10" s="35" t="s">
        <v>552</v>
      </c>
      <c r="AC10" s="35" t="s">
        <v>408</v>
      </c>
      <c r="AW10" s="35" t="s">
        <v>1310</v>
      </c>
      <c r="AX10" s="35" t="s">
        <v>675</v>
      </c>
      <c r="AY10" s="35" t="s">
        <v>675</v>
      </c>
      <c r="AZ10" s="35" t="s">
        <v>675</v>
      </c>
      <c r="BA10" s="35" t="s">
        <v>675</v>
      </c>
      <c r="BB10" s="35" t="s">
        <v>675</v>
      </c>
      <c r="BC10" s="35" t="s">
        <v>675</v>
      </c>
      <c r="BD10" s="35" t="s">
        <v>10469</v>
      </c>
      <c r="BE10" s="35" t="s">
        <v>1826</v>
      </c>
      <c r="BF10" s="35" t="s">
        <v>432</v>
      </c>
      <c r="BG10" s="35" t="s">
        <v>1095</v>
      </c>
      <c r="BH10" s="35" t="s">
        <v>394</v>
      </c>
      <c r="BI10" s="35" t="s">
        <v>10470</v>
      </c>
      <c r="BJ10" s="35" t="s">
        <v>976</v>
      </c>
      <c r="BL10" s="35" t="s">
        <v>602</v>
      </c>
      <c r="BM10" s="35" t="s">
        <v>904</v>
      </c>
      <c r="BN10" s="35" t="s">
        <v>1314</v>
      </c>
      <c r="BO10" s="35" t="s">
        <v>398</v>
      </c>
      <c r="BP10" s="35" t="s">
        <v>10471</v>
      </c>
      <c r="BQ10" s="35" t="s">
        <v>10472</v>
      </c>
      <c r="BR10" s="35" t="s">
        <v>604</v>
      </c>
      <c r="BS10" s="35" t="s">
        <v>1830</v>
      </c>
      <c r="BT10" s="35" t="s">
        <v>1671</v>
      </c>
      <c r="BU10" s="35" t="s">
        <v>1672</v>
      </c>
      <c r="BV10" s="35" t="s">
        <v>1831</v>
      </c>
      <c r="BW10" s="35" t="s">
        <v>10473</v>
      </c>
      <c r="BX10" s="35" t="s">
        <v>988</v>
      </c>
      <c r="BZ10" s="35" t="s">
        <v>455</v>
      </c>
      <c r="CA10" s="35" t="s">
        <v>10474</v>
      </c>
      <c r="CB10" s="35" t="s">
        <v>10475</v>
      </c>
      <c r="CC10" s="35" t="s">
        <v>10476</v>
      </c>
      <c r="CD10" s="35" t="s">
        <v>10477</v>
      </c>
      <c r="CE10" s="35" t="s">
        <v>451</v>
      </c>
      <c r="CF10" s="35" t="s">
        <v>10478</v>
      </c>
      <c r="CG10" s="35" t="s">
        <v>1722</v>
      </c>
      <c r="CH10" s="35" t="s">
        <v>10479</v>
      </c>
      <c r="CI10" s="35" t="s">
        <v>1679</v>
      </c>
      <c r="CJ10" s="35" t="s">
        <v>410</v>
      </c>
      <c r="CK10" s="35" t="s">
        <v>10480</v>
      </c>
      <c r="CL10" s="35" t="s">
        <v>10481</v>
      </c>
      <c r="EU10" s="35" t="s">
        <v>526</v>
      </c>
      <c r="EV10" s="35" t="s">
        <v>479</v>
      </c>
      <c r="EW10" s="35" t="s">
        <v>527</v>
      </c>
      <c r="EX10" s="35" t="s">
        <v>10482</v>
      </c>
      <c r="EY10" s="35" t="s">
        <v>10483</v>
      </c>
      <c r="EZ10" s="35" t="s">
        <v>1843</v>
      </c>
      <c r="FA10" s="35" t="s">
        <v>583</v>
      </c>
      <c r="FB10" s="35" t="s">
        <v>583</v>
      </c>
      <c r="FC10" s="35" t="s">
        <v>583</v>
      </c>
      <c r="FD10" s="35" t="s">
        <v>583</v>
      </c>
      <c r="FE10" s="35" t="s">
        <v>415</v>
      </c>
      <c r="FF10" s="35" t="s">
        <v>583</v>
      </c>
      <c r="FG10" s="35" t="s">
        <v>583</v>
      </c>
      <c r="FH10" s="35" t="s">
        <v>583</v>
      </c>
      <c r="FI10" s="35" t="s">
        <v>415</v>
      </c>
      <c r="FJ10" s="35" t="s">
        <v>583</v>
      </c>
      <c r="FK10" s="35" t="s">
        <v>583</v>
      </c>
      <c r="FL10" s="35" t="s">
        <v>583</v>
      </c>
      <c r="FM10" s="35" t="s">
        <v>583</v>
      </c>
      <c r="FN10" s="35" t="s">
        <v>415</v>
      </c>
      <c r="FO10" s="35" t="s">
        <v>583</v>
      </c>
      <c r="FP10" s="35" t="s">
        <v>485</v>
      </c>
      <c r="FQ10" s="35" t="s">
        <v>418</v>
      </c>
      <c r="FR10" s="35" t="s">
        <v>419</v>
      </c>
      <c r="FS10" s="35" t="s">
        <v>10484</v>
      </c>
      <c r="FT10" s="35" t="s">
        <v>420</v>
      </c>
      <c r="FU10" s="35" t="s">
        <v>488</v>
      </c>
      <c r="FV10" s="35" t="s">
        <v>585</v>
      </c>
      <c r="FW10" s="35" t="s">
        <v>490</v>
      </c>
      <c r="FX10" s="35" t="s">
        <v>491</v>
      </c>
      <c r="FY10" s="35" t="s">
        <v>10485</v>
      </c>
      <c r="FZ10" s="35" t="s">
        <v>535</v>
      </c>
      <c r="GA10" s="35" t="s">
        <v>1846</v>
      </c>
      <c r="GB10" s="35" t="s">
        <v>10486</v>
      </c>
      <c r="GC10" s="35" t="s">
        <v>455</v>
      </c>
      <c r="GD10" s="35" t="s">
        <v>10487</v>
      </c>
      <c r="GF10" s="35" t="s">
        <v>786</v>
      </c>
      <c r="GG10" s="35" t="s">
        <v>10488</v>
      </c>
      <c r="GK10" s="35" t="s">
        <v>755</v>
      </c>
      <c r="GL10" s="35" t="s">
        <v>755</v>
      </c>
      <c r="GM10" s="35" t="s">
        <v>946</v>
      </c>
    </row>
    <row r="11">
      <c r="A11" s="40"/>
      <c r="B11" s="40">
        <v>45827.80988215278</v>
      </c>
      <c r="C11" s="35" t="s">
        <v>368</v>
      </c>
      <c r="D11" s="35" t="s">
        <v>370</v>
      </c>
      <c r="F11" s="35" t="s">
        <v>495</v>
      </c>
      <c r="H11" s="35" t="s">
        <v>422</v>
      </c>
      <c r="I11" s="35" t="s">
        <v>1921</v>
      </c>
      <c r="J11" s="35" t="s">
        <v>668</v>
      </c>
      <c r="K11" s="35" t="s">
        <v>375</v>
      </c>
      <c r="L11" s="35" t="s">
        <v>376</v>
      </c>
      <c r="M11" s="35" t="s">
        <v>379</v>
      </c>
      <c r="N11" s="35" t="s">
        <v>860</v>
      </c>
      <c r="O11" s="35" t="s">
        <v>377</v>
      </c>
      <c r="P11" s="35" t="s">
        <v>380</v>
      </c>
      <c r="Q11" s="35" t="s">
        <v>381</v>
      </c>
      <c r="R11" s="35" t="s">
        <v>382</v>
      </c>
      <c r="S11" s="35" t="s">
        <v>427</v>
      </c>
      <c r="T11" s="35" t="s">
        <v>384</v>
      </c>
      <c r="U11" s="35" t="s">
        <v>385</v>
      </c>
      <c r="X11" s="35" t="s">
        <v>760</v>
      </c>
      <c r="Y11" s="35" t="s">
        <v>387</v>
      </c>
      <c r="Z11" s="35" t="s">
        <v>1922</v>
      </c>
      <c r="AA11" s="35" t="s">
        <v>543</v>
      </c>
      <c r="AB11" s="35" t="s">
        <v>1923</v>
      </c>
      <c r="AW11" s="35" t="s">
        <v>1242</v>
      </c>
      <c r="AX11" s="41">
        <v>4.0</v>
      </c>
      <c r="AY11" s="35" t="s">
        <v>391</v>
      </c>
      <c r="AZ11" s="35" t="s">
        <v>391</v>
      </c>
      <c r="BA11" s="41">
        <v>4.0</v>
      </c>
      <c r="BB11" s="35" t="s">
        <v>675</v>
      </c>
      <c r="BC11" s="35" t="s">
        <v>675</v>
      </c>
      <c r="BD11" s="35" t="s">
        <v>1924</v>
      </c>
      <c r="BE11" s="35" t="s">
        <v>1925</v>
      </c>
      <c r="BF11" s="35" t="s">
        <v>432</v>
      </c>
      <c r="BG11" s="35" t="s">
        <v>393</v>
      </c>
      <c r="BH11" s="35" t="s">
        <v>434</v>
      </c>
      <c r="BJ11" s="35" t="s">
        <v>976</v>
      </c>
      <c r="BL11" s="35" t="s">
        <v>681</v>
      </c>
      <c r="BM11" s="35" t="s">
        <v>438</v>
      </c>
      <c r="BN11" s="35" t="s">
        <v>1314</v>
      </c>
      <c r="BO11" s="35" t="s">
        <v>398</v>
      </c>
      <c r="BP11" s="35" t="s">
        <v>1926</v>
      </c>
      <c r="BQ11" s="35" t="s">
        <v>1927</v>
      </c>
      <c r="BR11" s="35" t="s">
        <v>401</v>
      </c>
      <c r="BS11" s="35" t="s">
        <v>1928</v>
      </c>
      <c r="BT11" s="35" t="s">
        <v>403</v>
      </c>
      <c r="BU11" s="35" t="s">
        <v>404</v>
      </c>
      <c r="BV11" s="35" t="s">
        <v>405</v>
      </c>
      <c r="BX11" s="35" t="s">
        <v>406</v>
      </c>
      <c r="BY11" s="35" t="s">
        <v>407</v>
      </c>
      <c r="BZ11" s="35" t="s">
        <v>408</v>
      </c>
      <c r="CC11" s="35" t="s">
        <v>1929</v>
      </c>
      <c r="CD11" s="35" t="s">
        <v>1930</v>
      </c>
      <c r="CE11" s="35" t="s">
        <v>1931</v>
      </c>
      <c r="CG11" s="35" t="s">
        <v>1258</v>
      </c>
      <c r="CI11" s="35" t="s">
        <v>1259</v>
      </c>
      <c r="CJ11" s="35" t="s">
        <v>1220</v>
      </c>
      <c r="CK11" s="35" t="s">
        <v>1932</v>
      </c>
      <c r="CL11" s="35" t="s">
        <v>1933</v>
      </c>
      <c r="EU11" s="35" t="s">
        <v>526</v>
      </c>
      <c r="EV11" s="35" t="s">
        <v>1037</v>
      </c>
      <c r="EW11" s="35" t="s">
        <v>527</v>
      </c>
      <c r="EX11" s="35" t="s">
        <v>1934</v>
      </c>
      <c r="EY11" s="35" t="s">
        <v>1935</v>
      </c>
      <c r="EZ11" s="35" t="s">
        <v>1380</v>
      </c>
      <c r="FA11" s="35" t="s">
        <v>413</v>
      </c>
      <c r="FB11" s="35" t="s">
        <v>414</v>
      </c>
      <c r="FC11" s="35" t="s">
        <v>414</v>
      </c>
      <c r="FD11" s="35" t="s">
        <v>414</v>
      </c>
      <c r="FE11" s="35" t="s">
        <v>413</v>
      </c>
      <c r="FF11" s="35" t="s">
        <v>414</v>
      </c>
      <c r="FG11" s="35" t="s">
        <v>415</v>
      </c>
      <c r="FH11" s="35" t="s">
        <v>413</v>
      </c>
      <c r="FI11" s="35" t="s">
        <v>414</v>
      </c>
      <c r="FJ11" s="35" t="s">
        <v>415</v>
      </c>
      <c r="FK11" s="35" t="s">
        <v>415</v>
      </c>
      <c r="FL11" s="35" t="s">
        <v>415</v>
      </c>
      <c r="FM11" s="35" t="s">
        <v>415</v>
      </c>
      <c r="FN11" s="35" t="s">
        <v>416</v>
      </c>
      <c r="FO11" s="35" t="s">
        <v>414</v>
      </c>
      <c r="FP11" s="35" t="s">
        <v>1074</v>
      </c>
      <c r="FQ11" s="35" t="s">
        <v>418</v>
      </c>
      <c r="FR11" s="35" t="s">
        <v>749</v>
      </c>
      <c r="FT11" s="35" t="s">
        <v>420</v>
      </c>
      <c r="FU11" s="35" t="s">
        <v>488</v>
      </c>
      <c r="FV11" s="35" t="s">
        <v>918</v>
      </c>
      <c r="FW11" s="35" t="s">
        <v>490</v>
      </c>
      <c r="FX11" s="35" t="s">
        <v>491</v>
      </c>
      <c r="FY11" s="35" t="s">
        <v>1936</v>
      </c>
      <c r="FZ11" s="35" t="s">
        <v>535</v>
      </c>
      <c r="GA11" s="35" t="s">
        <v>1937</v>
      </c>
      <c r="GC11" s="35" t="s">
        <v>455</v>
      </c>
      <c r="GD11" s="35" t="s">
        <v>10489</v>
      </c>
      <c r="GF11" s="35" t="s">
        <v>855</v>
      </c>
      <c r="GK11" s="35" t="s">
        <v>788</v>
      </c>
      <c r="GL11" s="35" t="s">
        <v>788</v>
      </c>
      <c r="GM11" s="35" t="s">
        <v>921</v>
      </c>
    </row>
    <row r="12">
      <c r="A12" s="40"/>
      <c r="B12" s="40">
        <v>45827.84110394676</v>
      </c>
      <c r="C12" s="35" t="s">
        <v>368</v>
      </c>
      <c r="D12" s="35" t="s">
        <v>1984</v>
      </c>
      <c r="E12" s="35" t="s">
        <v>1984</v>
      </c>
      <c r="X12" s="35" t="s">
        <v>386</v>
      </c>
      <c r="Y12" s="35" t="s">
        <v>387</v>
      </c>
      <c r="Z12" s="35" t="s">
        <v>388</v>
      </c>
      <c r="AA12" s="35" t="s">
        <v>543</v>
      </c>
      <c r="AB12" s="35" t="s">
        <v>1985</v>
      </c>
      <c r="AC12" s="35" t="s">
        <v>1986</v>
      </c>
      <c r="AW12" s="35" t="s">
        <v>1242</v>
      </c>
      <c r="AX12" s="35" t="s">
        <v>675</v>
      </c>
      <c r="AY12" s="35" t="s">
        <v>391</v>
      </c>
      <c r="AZ12" s="41">
        <v>4.0</v>
      </c>
      <c r="BA12" s="41">
        <v>2.0</v>
      </c>
      <c r="BB12" s="35" t="s">
        <v>675</v>
      </c>
      <c r="BC12" s="35" t="s">
        <v>675</v>
      </c>
      <c r="BD12" s="35" t="s">
        <v>1987</v>
      </c>
      <c r="BE12" s="35" t="s">
        <v>1988</v>
      </c>
      <c r="BF12" s="35" t="s">
        <v>902</v>
      </c>
      <c r="BG12" s="35" t="s">
        <v>1095</v>
      </c>
      <c r="BH12" s="35" t="s">
        <v>434</v>
      </c>
      <c r="BI12" s="35" t="s">
        <v>1989</v>
      </c>
      <c r="BJ12" s="35" t="s">
        <v>727</v>
      </c>
      <c r="BK12" s="35" t="s">
        <v>1990</v>
      </c>
      <c r="BL12" s="35" t="s">
        <v>437</v>
      </c>
      <c r="BM12" s="35" t="s">
        <v>904</v>
      </c>
      <c r="BN12" s="35" t="s">
        <v>397</v>
      </c>
      <c r="BO12" s="35" t="s">
        <v>398</v>
      </c>
      <c r="BP12" s="35" t="s">
        <v>1991</v>
      </c>
      <c r="BQ12" s="35" t="s">
        <v>1992</v>
      </c>
      <c r="BR12" s="35" t="s">
        <v>604</v>
      </c>
      <c r="BS12" s="35" t="s">
        <v>1993</v>
      </c>
      <c r="BT12" s="35" t="s">
        <v>1741</v>
      </c>
      <c r="BU12" s="35" t="s">
        <v>1994</v>
      </c>
      <c r="BV12" s="35" t="s">
        <v>405</v>
      </c>
      <c r="BW12" s="35" t="s">
        <v>1995</v>
      </c>
      <c r="BX12" s="35" t="s">
        <v>457</v>
      </c>
      <c r="BZ12" s="35" t="s">
        <v>455</v>
      </c>
      <c r="CA12" s="35" t="s">
        <v>1996</v>
      </c>
      <c r="CB12" s="35" t="s">
        <v>1997</v>
      </c>
      <c r="CC12" s="35" t="s">
        <v>1998</v>
      </c>
      <c r="CD12" s="35" t="s">
        <v>1999</v>
      </c>
      <c r="CE12" s="35" t="s">
        <v>409</v>
      </c>
      <c r="CF12" s="35" t="s">
        <v>2000</v>
      </c>
      <c r="CG12" s="35" t="s">
        <v>1749</v>
      </c>
      <c r="CH12" s="35" t="s">
        <v>2001</v>
      </c>
      <c r="CI12" s="35" t="s">
        <v>1259</v>
      </c>
      <c r="CJ12" s="35" t="s">
        <v>833</v>
      </c>
      <c r="CK12" s="35" t="s">
        <v>2002</v>
      </c>
      <c r="CL12" s="35" t="s">
        <v>2003</v>
      </c>
      <c r="EU12" s="35" t="s">
        <v>578</v>
      </c>
      <c r="EV12" s="35" t="s">
        <v>579</v>
      </c>
      <c r="EW12" s="35" t="s">
        <v>778</v>
      </c>
      <c r="EX12" s="35" t="s">
        <v>2004</v>
      </c>
      <c r="EY12" s="35" t="s">
        <v>2005</v>
      </c>
      <c r="EZ12" s="35" t="s">
        <v>2006</v>
      </c>
      <c r="FA12" s="35" t="s">
        <v>416</v>
      </c>
      <c r="FB12" s="35" t="s">
        <v>414</v>
      </c>
      <c r="FC12" s="35" t="s">
        <v>413</v>
      </c>
      <c r="FD12" s="35" t="s">
        <v>413</v>
      </c>
      <c r="FE12" s="35" t="s">
        <v>413</v>
      </c>
      <c r="FF12" s="35" t="s">
        <v>414</v>
      </c>
      <c r="FG12" s="35" t="s">
        <v>413</v>
      </c>
      <c r="FH12" s="35" t="s">
        <v>413</v>
      </c>
      <c r="FI12" s="35" t="s">
        <v>416</v>
      </c>
      <c r="FJ12" s="35" t="s">
        <v>413</v>
      </c>
      <c r="FK12" s="35" t="s">
        <v>413</v>
      </c>
      <c r="FL12" s="35" t="s">
        <v>413</v>
      </c>
      <c r="FM12" s="35" t="s">
        <v>413</v>
      </c>
      <c r="FN12" s="35" t="s">
        <v>413</v>
      </c>
      <c r="FO12" s="35" t="s">
        <v>413</v>
      </c>
      <c r="FP12" s="35" t="s">
        <v>417</v>
      </c>
      <c r="FQ12" s="35" t="s">
        <v>486</v>
      </c>
      <c r="FR12" s="35" t="s">
        <v>749</v>
      </c>
      <c r="FS12" s="35" t="s">
        <v>2007</v>
      </c>
      <c r="FT12" s="35" t="s">
        <v>420</v>
      </c>
      <c r="FU12" s="35" t="s">
        <v>1462</v>
      </c>
      <c r="FV12" s="35" t="s">
        <v>918</v>
      </c>
      <c r="FW12" s="35" t="s">
        <v>1101</v>
      </c>
      <c r="FX12" s="35" t="s">
        <v>491</v>
      </c>
      <c r="FY12" s="35" t="s">
        <v>2008</v>
      </c>
      <c r="FZ12" s="35" t="s">
        <v>535</v>
      </c>
      <c r="GA12" s="35" t="s">
        <v>2009</v>
      </c>
      <c r="GB12" s="35" t="s">
        <v>2010</v>
      </c>
      <c r="GC12" s="35" t="s">
        <v>455</v>
      </c>
      <c r="GD12" s="35" t="s">
        <v>10490</v>
      </c>
      <c r="GE12" s="35" t="s">
        <v>10491</v>
      </c>
      <c r="GF12" s="35" t="s">
        <v>753</v>
      </c>
      <c r="GG12" s="35" t="s">
        <v>2011</v>
      </c>
      <c r="GK12" s="35" t="s">
        <v>857</v>
      </c>
      <c r="GL12" s="35" t="s">
        <v>857</v>
      </c>
      <c r="GM12" s="35" t="s">
        <v>817</v>
      </c>
      <c r="GO12" s="35" t="s">
        <v>1984</v>
      </c>
    </row>
    <row r="13">
      <c r="A13" s="40"/>
      <c r="B13" s="40">
        <v>45827.892397233794</v>
      </c>
      <c r="C13" s="35" t="s">
        <v>368</v>
      </c>
      <c r="D13" s="35" t="s">
        <v>370</v>
      </c>
      <c r="F13" s="35" t="s">
        <v>2114</v>
      </c>
      <c r="H13" s="35" t="s">
        <v>422</v>
      </c>
      <c r="I13" s="35" t="s">
        <v>637</v>
      </c>
      <c r="J13" s="35" t="s">
        <v>638</v>
      </c>
      <c r="K13" s="35" t="s">
        <v>425</v>
      </c>
      <c r="L13" s="35" t="s">
        <v>376</v>
      </c>
      <c r="M13" s="35" t="s">
        <v>379</v>
      </c>
      <c r="N13" s="35" t="s">
        <v>541</v>
      </c>
      <c r="O13" s="35" t="s">
        <v>379</v>
      </c>
      <c r="P13" s="35" t="s">
        <v>497</v>
      </c>
      <c r="Q13" s="35" t="s">
        <v>381</v>
      </c>
      <c r="R13" s="35" t="s">
        <v>1156</v>
      </c>
      <c r="S13" s="35" t="s">
        <v>427</v>
      </c>
      <c r="T13" s="35" t="s">
        <v>384</v>
      </c>
      <c r="U13" s="35" t="s">
        <v>385</v>
      </c>
      <c r="X13" s="35" t="s">
        <v>386</v>
      </c>
      <c r="Y13" s="35" t="s">
        <v>387</v>
      </c>
      <c r="Z13" s="35" t="s">
        <v>2115</v>
      </c>
      <c r="AA13" s="35" t="s">
        <v>502</v>
      </c>
      <c r="AB13" s="35" t="s">
        <v>2116</v>
      </c>
      <c r="AC13" s="35" t="s">
        <v>408</v>
      </c>
      <c r="AW13" s="35" t="s">
        <v>597</v>
      </c>
      <c r="AX13" s="41">
        <v>4.0</v>
      </c>
      <c r="AY13" s="41">
        <v>4.0</v>
      </c>
      <c r="AZ13" s="35" t="s">
        <v>675</v>
      </c>
      <c r="BA13" s="41">
        <v>4.0</v>
      </c>
      <c r="BB13" s="35" t="s">
        <v>675</v>
      </c>
      <c r="BC13" s="35" t="s">
        <v>675</v>
      </c>
      <c r="BD13" s="35" t="s">
        <v>2117</v>
      </c>
      <c r="BE13" s="35" t="s">
        <v>2118</v>
      </c>
      <c r="BF13" s="35" t="s">
        <v>902</v>
      </c>
      <c r="BG13" s="35" t="s">
        <v>1245</v>
      </c>
      <c r="BH13" s="35" t="s">
        <v>765</v>
      </c>
      <c r="BI13" s="35" t="s">
        <v>2119</v>
      </c>
      <c r="BJ13" s="35" t="s">
        <v>435</v>
      </c>
      <c r="BK13" s="35" t="s">
        <v>2120</v>
      </c>
      <c r="BL13" s="35" t="s">
        <v>602</v>
      </c>
      <c r="BM13" s="35" t="s">
        <v>438</v>
      </c>
      <c r="BN13" s="35" t="s">
        <v>397</v>
      </c>
      <c r="BO13" s="35" t="s">
        <v>398</v>
      </c>
      <c r="BP13" s="35" t="s">
        <v>2121</v>
      </c>
      <c r="BQ13" s="35" t="s">
        <v>2122</v>
      </c>
      <c r="BR13" s="35" t="s">
        <v>401</v>
      </c>
      <c r="BS13" s="35" t="s">
        <v>2123</v>
      </c>
      <c r="BT13" s="35" t="s">
        <v>1671</v>
      </c>
      <c r="BU13" s="35" t="s">
        <v>1771</v>
      </c>
      <c r="BV13" s="35" t="s">
        <v>1693</v>
      </c>
      <c r="BW13" s="35" t="s">
        <v>2124</v>
      </c>
      <c r="BX13" s="35" t="s">
        <v>988</v>
      </c>
      <c r="BZ13" s="35" t="s">
        <v>408</v>
      </c>
      <c r="CB13" s="35" t="s">
        <v>2125</v>
      </c>
      <c r="CC13" s="35" t="s">
        <v>2126</v>
      </c>
      <c r="CD13" s="35" t="s">
        <v>2127</v>
      </c>
      <c r="CE13" s="35" t="s">
        <v>451</v>
      </c>
      <c r="CF13" s="35" t="s">
        <v>2128</v>
      </c>
      <c r="CG13" s="35" t="s">
        <v>1258</v>
      </c>
      <c r="CH13" s="35" t="s">
        <v>2129</v>
      </c>
      <c r="CI13" s="35" t="s">
        <v>1679</v>
      </c>
      <c r="CJ13" s="35" t="s">
        <v>833</v>
      </c>
      <c r="CK13" s="35" t="s">
        <v>2130</v>
      </c>
      <c r="CL13" s="35" t="s">
        <v>2131</v>
      </c>
      <c r="EU13" s="35" t="s">
        <v>578</v>
      </c>
      <c r="EV13" s="35" t="s">
        <v>887</v>
      </c>
      <c r="EW13" s="35" t="s">
        <v>1262</v>
      </c>
      <c r="EX13" s="35" t="s">
        <v>2132</v>
      </c>
      <c r="EY13" s="35" t="s">
        <v>2133</v>
      </c>
      <c r="EZ13" s="35" t="s">
        <v>2134</v>
      </c>
      <c r="FA13" s="35" t="s">
        <v>583</v>
      </c>
      <c r="FB13" s="35" t="s">
        <v>583</v>
      </c>
      <c r="FC13" s="35" t="s">
        <v>416</v>
      </c>
      <c r="FD13" s="35" t="s">
        <v>583</v>
      </c>
      <c r="FE13" s="35" t="s">
        <v>415</v>
      </c>
      <c r="FF13" s="35" t="s">
        <v>583</v>
      </c>
      <c r="FG13" s="35" t="s">
        <v>583</v>
      </c>
      <c r="FH13" s="35" t="s">
        <v>415</v>
      </c>
      <c r="FI13" s="35" t="s">
        <v>415</v>
      </c>
      <c r="FJ13" s="35" t="s">
        <v>583</v>
      </c>
      <c r="FK13" s="35" t="s">
        <v>583</v>
      </c>
      <c r="FL13" s="35" t="s">
        <v>415</v>
      </c>
      <c r="FM13" s="35" t="s">
        <v>583</v>
      </c>
      <c r="FN13" s="35" t="s">
        <v>416</v>
      </c>
      <c r="FO13" s="35" t="s">
        <v>415</v>
      </c>
      <c r="FP13" s="35" t="s">
        <v>1074</v>
      </c>
      <c r="FQ13" s="35" t="s">
        <v>486</v>
      </c>
      <c r="FR13" s="35" t="s">
        <v>419</v>
      </c>
      <c r="FS13" s="35" t="s">
        <v>2135</v>
      </c>
      <c r="FT13" s="35" t="s">
        <v>1076</v>
      </c>
      <c r="FU13" s="35" t="s">
        <v>1462</v>
      </c>
      <c r="FV13" s="35" t="s">
        <v>533</v>
      </c>
      <c r="FW13" s="35" t="s">
        <v>2136</v>
      </c>
      <c r="FX13" s="35" t="s">
        <v>1853</v>
      </c>
      <c r="FY13" s="35" t="s">
        <v>2137</v>
      </c>
      <c r="FZ13" s="35" t="s">
        <v>1020</v>
      </c>
      <c r="GA13" s="35" t="s">
        <v>2138</v>
      </c>
      <c r="GB13" s="35" t="s">
        <v>2139</v>
      </c>
      <c r="GC13" s="35" t="s">
        <v>408</v>
      </c>
      <c r="GK13" s="35" t="s">
        <v>1000</v>
      </c>
      <c r="GL13" s="35" t="s">
        <v>1000</v>
      </c>
      <c r="GM13" s="35" t="s">
        <v>817</v>
      </c>
    </row>
    <row r="14">
      <c r="A14" s="40"/>
      <c r="B14" s="40">
        <v>45827.91347165509</v>
      </c>
      <c r="C14" s="35" t="s">
        <v>368</v>
      </c>
      <c r="D14" s="35" t="s">
        <v>635</v>
      </c>
      <c r="E14" s="35" t="s">
        <v>894</v>
      </c>
      <c r="H14" s="35" t="s">
        <v>2161</v>
      </c>
      <c r="I14" s="35" t="s">
        <v>496</v>
      </c>
      <c r="J14" s="35" t="s">
        <v>374</v>
      </c>
      <c r="K14" s="35" t="s">
        <v>1204</v>
      </c>
      <c r="L14" s="35" t="s">
        <v>376</v>
      </c>
      <c r="M14" s="35" t="s">
        <v>426</v>
      </c>
      <c r="N14" s="35" t="s">
        <v>2162</v>
      </c>
      <c r="O14" s="35" t="s">
        <v>426</v>
      </c>
      <c r="P14" s="35" t="s">
        <v>497</v>
      </c>
      <c r="Q14" s="35" t="s">
        <v>498</v>
      </c>
      <c r="R14" s="35" t="s">
        <v>759</v>
      </c>
      <c r="S14" s="35" t="s">
        <v>427</v>
      </c>
      <c r="T14" s="35" t="s">
        <v>384</v>
      </c>
      <c r="U14" s="35" t="s">
        <v>385</v>
      </c>
      <c r="W14" s="35" t="s">
        <v>896</v>
      </c>
      <c r="X14" s="35" t="s">
        <v>760</v>
      </c>
      <c r="Y14" s="35" t="s">
        <v>387</v>
      </c>
      <c r="Z14" s="35" t="s">
        <v>388</v>
      </c>
      <c r="AA14" s="35" t="s">
        <v>389</v>
      </c>
      <c r="AB14" s="35" t="s">
        <v>796</v>
      </c>
      <c r="AC14" s="35" t="s">
        <v>2163</v>
      </c>
      <c r="AW14" s="35" t="s">
        <v>1242</v>
      </c>
      <c r="AX14" s="35" t="s">
        <v>675</v>
      </c>
      <c r="AY14" s="35" t="s">
        <v>675</v>
      </c>
      <c r="AZ14" s="35" t="s">
        <v>675</v>
      </c>
      <c r="BA14" s="35" t="s">
        <v>675</v>
      </c>
      <c r="BB14" s="35" t="s">
        <v>675</v>
      </c>
      <c r="BC14" s="35" t="s">
        <v>675</v>
      </c>
      <c r="BD14" s="35" t="s">
        <v>2164</v>
      </c>
      <c r="BE14" s="35" t="s">
        <v>2165</v>
      </c>
      <c r="BF14" s="35" t="s">
        <v>902</v>
      </c>
      <c r="BG14" s="35" t="s">
        <v>1245</v>
      </c>
      <c r="BH14" s="35" t="s">
        <v>394</v>
      </c>
      <c r="BJ14" s="35" t="s">
        <v>727</v>
      </c>
      <c r="BK14" s="35" t="s">
        <v>2166</v>
      </c>
      <c r="BL14" s="35" t="s">
        <v>395</v>
      </c>
      <c r="BM14" s="35" t="s">
        <v>396</v>
      </c>
      <c r="BN14" s="35" t="s">
        <v>1314</v>
      </c>
      <c r="BO14" s="35" t="s">
        <v>398</v>
      </c>
      <c r="BP14" s="35" t="s">
        <v>2167</v>
      </c>
      <c r="BQ14" s="35" t="s">
        <v>2168</v>
      </c>
      <c r="BR14" s="35" t="s">
        <v>682</v>
      </c>
      <c r="BS14" s="35" t="s">
        <v>2169</v>
      </c>
      <c r="BT14" s="35" t="s">
        <v>403</v>
      </c>
      <c r="BV14" s="35" t="s">
        <v>405</v>
      </c>
      <c r="BX14" s="35" t="s">
        <v>406</v>
      </c>
      <c r="BY14" s="35" t="s">
        <v>1867</v>
      </c>
      <c r="BZ14" s="35" t="s">
        <v>455</v>
      </c>
      <c r="CA14" s="35" t="s">
        <v>2170</v>
      </c>
      <c r="CC14" s="35" t="s">
        <v>2171</v>
      </c>
      <c r="CD14" s="35" t="s">
        <v>2172</v>
      </c>
      <c r="CE14" s="35" t="s">
        <v>1257</v>
      </c>
      <c r="CF14" s="35" t="s">
        <v>2173</v>
      </c>
      <c r="CG14" s="35" t="s">
        <v>1258</v>
      </c>
      <c r="CI14" s="35" t="s">
        <v>1259</v>
      </c>
      <c r="CJ14" s="35" t="s">
        <v>1220</v>
      </c>
      <c r="CK14" s="35" t="s">
        <v>2174</v>
      </c>
      <c r="CL14" s="35" t="s">
        <v>2175</v>
      </c>
      <c r="EU14" s="35" t="s">
        <v>526</v>
      </c>
      <c r="EV14" s="35" t="s">
        <v>579</v>
      </c>
      <c r="EW14" s="35" t="s">
        <v>778</v>
      </c>
      <c r="EX14" s="35" t="s">
        <v>2176</v>
      </c>
      <c r="EY14" s="35" t="s">
        <v>1755</v>
      </c>
      <c r="EZ14" s="35" t="s">
        <v>2177</v>
      </c>
      <c r="FA14" s="35" t="s">
        <v>414</v>
      </c>
      <c r="FB14" s="35" t="s">
        <v>414</v>
      </c>
      <c r="FC14" s="35" t="s">
        <v>413</v>
      </c>
      <c r="FD14" s="35" t="s">
        <v>415</v>
      </c>
      <c r="FE14" s="35" t="s">
        <v>414</v>
      </c>
      <c r="FF14" s="35" t="s">
        <v>414</v>
      </c>
      <c r="FG14" s="35" t="s">
        <v>414</v>
      </c>
      <c r="FH14" s="35" t="s">
        <v>414</v>
      </c>
      <c r="FI14" s="35" t="s">
        <v>413</v>
      </c>
      <c r="FJ14" s="35" t="s">
        <v>414</v>
      </c>
      <c r="FK14" s="35" t="s">
        <v>415</v>
      </c>
      <c r="FL14" s="35" t="s">
        <v>415</v>
      </c>
      <c r="FM14" s="35" t="s">
        <v>415</v>
      </c>
      <c r="FN14" s="35" t="s">
        <v>415</v>
      </c>
      <c r="FO14" s="35" t="s">
        <v>415</v>
      </c>
      <c r="FP14" s="35" t="s">
        <v>417</v>
      </c>
      <c r="FQ14" s="35" t="s">
        <v>486</v>
      </c>
      <c r="FR14" s="35" t="s">
        <v>712</v>
      </c>
      <c r="FS14" s="35" t="s">
        <v>2178</v>
      </c>
      <c r="FT14" s="35" t="s">
        <v>420</v>
      </c>
      <c r="FU14" s="35" t="s">
        <v>488</v>
      </c>
      <c r="FV14" s="35" t="s">
        <v>1235</v>
      </c>
      <c r="FW14" s="35" t="s">
        <v>490</v>
      </c>
      <c r="FX14" s="35" t="s">
        <v>491</v>
      </c>
      <c r="FY14" s="35" t="s">
        <v>2179</v>
      </c>
      <c r="FZ14" s="35" t="s">
        <v>1020</v>
      </c>
      <c r="GA14" s="35" t="s">
        <v>2180</v>
      </c>
      <c r="GB14" s="35" t="s">
        <v>2181</v>
      </c>
      <c r="GC14" s="35" t="s">
        <v>455</v>
      </c>
      <c r="GD14" s="35" t="s">
        <v>10492</v>
      </c>
      <c r="GF14" s="35" t="s">
        <v>753</v>
      </c>
      <c r="GG14" s="35" t="s">
        <v>455</v>
      </c>
      <c r="GK14" s="35" t="s">
        <v>857</v>
      </c>
      <c r="GL14" s="35" t="s">
        <v>857</v>
      </c>
      <c r="GM14" s="35" t="s">
        <v>790</v>
      </c>
      <c r="GO14" s="35" t="s">
        <v>635</v>
      </c>
    </row>
    <row r="15">
      <c r="A15" s="40"/>
      <c r="B15" s="40">
        <v>45827.91495508102</v>
      </c>
      <c r="C15" s="35" t="s">
        <v>368</v>
      </c>
      <c r="D15" s="35" t="s">
        <v>1201</v>
      </c>
      <c r="E15" s="35" t="s">
        <v>1201</v>
      </c>
      <c r="H15" s="35" t="s">
        <v>422</v>
      </c>
      <c r="I15" s="35" t="s">
        <v>496</v>
      </c>
      <c r="J15" s="35" t="s">
        <v>424</v>
      </c>
      <c r="K15" s="35" t="s">
        <v>425</v>
      </c>
      <c r="L15" s="35" t="s">
        <v>376</v>
      </c>
      <c r="M15" s="35" t="s">
        <v>591</v>
      </c>
      <c r="N15" s="35" t="s">
        <v>639</v>
      </c>
      <c r="O15" s="35" t="s">
        <v>793</v>
      </c>
      <c r="P15" s="35" t="s">
        <v>639</v>
      </c>
      <c r="Q15" s="35" t="s">
        <v>498</v>
      </c>
      <c r="R15" s="35" t="s">
        <v>862</v>
      </c>
      <c r="S15" s="35" t="s">
        <v>500</v>
      </c>
      <c r="T15" s="35" t="s">
        <v>384</v>
      </c>
      <c r="U15" s="35" t="s">
        <v>385</v>
      </c>
      <c r="X15" s="35" t="s">
        <v>428</v>
      </c>
      <c r="AW15" s="35" t="s">
        <v>1310</v>
      </c>
      <c r="AX15" s="41">
        <v>4.0</v>
      </c>
      <c r="AY15" s="41">
        <v>4.0</v>
      </c>
      <c r="AZ15" s="35" t="s">
        <v>675</v>
      </c>
      <c r="BA15" s="35" t="s">
        <v>675</v>
      </c>
      <c r="BB15" s="35" t="s">
        <v>675</v>
      </c>
      <c r="BC15" s="35" t="s">
        <v>675</v>
      </c>
      <c r="BD15" s="35" t="s">
        <v>10493</v>
      </c>
      <c r="BE15" s="35" t="s">
        <v>10493</v>
      </c>
      <c r="BF15" s="35" t="s">
        <v>902</v>
      </c>
      <c r="BG15" s="35" t="s">
        <v>1047</v>
      </c>
      <c r="BH15" s="35" t="s">
        <v>434</v>
      </c>
      <c r="BI15" s="35" t="s">
        <v>2183</v>
      </c>
      <c r="BJ15" s="35" t="s">
        <v>976</v>
      </c>
      <c r="BK15" s="35" t="s">
        <v>1211</v>
      </c>
      <c r="BL15" s="35" t="s">
        <v>681</v>
      </c>
      <c r="BM15" s="35" t="s">
        <v>603</v>
      </c>
      <c r="BN15" s="35" t="s">
        <v>1247</v>
      </c>
      <c r="BO15" s="35" t="s">
        <v>398</v>
      </c>
      <c r="BP15" s="35" t="s">
        <v>2184</v>
      </c>
      <c r="BQ15" s="35" t="s">
        <v>2185</v>
      </c>
      <c r="BR15" s="35" t="s">
        <v>604</v>
      </c>
      <c r="BS15" s="35" t="s">
        <v>2186</v>
      </c>
      <c r="BT15" s="35" t="s">
        <v>1671</v>
      </c>
      <c r="BU15" s="35" t="s">
        <v>1994</v>
      </c>
      <c r="BV15" s="35" t="s">
        <v>405</v>
      </c>
      <c r="BW15" s="35" t="s">
        <v>1211</v>
      </c>
      <c r="BX15" s="35" t="s">
        <v>988</v>
      </c>
      <c r="BY15" s="35" t="s">
        <v>407</v>
      </c>
      <c r="BZ15" s="35" t="s">
        <v>408</v>
      </c>
      <c r="CA15" s="35" t="s">
        <v>1211</v>
      </c>
      <c r="CB15" s="35" t="s">
        <v>1211</v>
      </c>
      <c r="CC15" s="35" t="s">
        <v>10494</v>
      </c>
      <c r="CD15" s="35" t="s">
        <v>10495</v>
      </c>
      <c r="CE15" s="35" t="s">
        <v>409</v>
      </c>
      <c r="CF15" s="35" t="s">
        <v>2189</v>
      </c>
      <c r="CG15" s="35" t="s">
        <v>1722</v>
      </c>
      <c r="CI15" s="35" t="s">
        <v>1751</v>
      </c>
      <c r="CJ15" s="35" t="s">
        <v>833</v>
      </c>
      <c r="CK15" s="35" t="s">
        <v>2190</v>
      </c>
      <c r="CL15" s="35" t="s">
        <v>2191</v>
      </c>
      <c r="EU15" s="35" t="s">
        <v>526</v>
      </c>
      <c r="EV15" s="35" t="s">
        <v>579</v>
      </c>
      <c r="EW15" s="35" t="s">
        <v>1262</v>
      </c>
      <c r="EY15" s="35" t="s">
        <v>733</v>
      </c>
      <c r="EZ15" s="35" t="s">
        <v>733</v>
      </c>
      <c r="FA15" s="35" t="s">
        <v>415</v>
      </c>
      <c r="FB15" s="35" t="s">
        <v>415</v>
      </c>
      <c r="FC15" s="35" t="s">
        <v>416</v>
      </c>
      <c r="FD15" s="35" t="s">
        <v>415</v>
      </c>
      <c r="FE15" s="35" t="s">
        <v>416</v>
      </c>
      <c r="FF15" s="35" t="s">
        <v>416</v>
      </c>
      <c r="FG15" s="35" t="s">
        <v>416</v>
      </c>
      <c r="FH15" s="35" t="s">
        <v>416</v>
      </c>
      <c r="FI15" s="35" t="s">
        <v>484</v>
      </c>
      <c r="FJ15" s="35" t="s">
        <v>416</v>
      </c>
      <c r="FK15" s="35" t="s">
        <v>415</v>
      </c>
      <c r="FL15" s="35" t="s">
        <v>416</v>
      </c>
      <c r="FM15" s="35" t="s">
        <v>416</v>
      </c>
      <c r="FN15" s="35" t="s">
        <v>416</v>
      </c>
      <c r="FO15" s="35" t="s">
        <v>415</v>
      </c>
      <c r="FP15" s="35" t="s">
        <v>485</v>
      </c>
      <c r="FQ15" s="35" t="s">
        <v>486</v>
      </c>
      <c r="FR15" s="35" t="s">
        <v>749</v>
      </c>
      <c r="FS15" s="35" t="s">
        <v>2192</v>
      </c>
      <c r="FT15" s="35" t="s">
        <v>1189</v>
      </c>
      <c r="FU15" s="35" t="s">
        <v>1462</v>
      </c>
      <c r="FV15" s="35" t="s">
        <v>585</v>
      </c>
      <c r="FW15" s="35" t="s">
        <v>490</v>
      </c>
      <c r="FX15" s="35" t="s">
        <v>491</v>
      </c>
      <c r="FY15" s="35" t="s">
        <v>2193</v>
      </c>
      <c r="FZ15" s="35" t="s">
        <v>535</v>
      </c>
      <c r="GC15" s="35" t="s">
        <v>408</v>
      </c>
      <c r="GK15" s="35" t="s">
        <v>755</v>
      </c>
      <c r="GL15" s="35" t="s">
        <v>755</v>
      </c>
      <c r="GM15" s="35" t="s">
        <v>946</v>
      </c>
      <c r="GO15" s="35" t="s">
        <v>2194</v>
      </c>
      <c r="GP15" s="35" t="s">
        <v>2194</v>
      </c>
    </row>
    <row r="16">
      <c r="A16" s="40"/>
      <c r="B16" s="40">
        <v>45827.94294872685</v>
      </c>
      <c r="C16" s="35" t="s">
        <v>368</v>
      </c>
      <c r="D16" s="35" t="s">
        <v>370</v>
      </c>
      <c r="F16" s="35" t="s">
        <v>2195</v>
      </c>
      <c r="H16" s="35" t="s">
        <v>1093</v>
      </c>
      <c r="I16" s="35" t="s">
        <v>496</v>
      </c>
      <c r="J16" s="35" t="s">
        <v>374</v>
      </c>
      <c r="K16" s="35" t="s">
        <v>375</v>
      </c>
      <c r="L16" s="35" t="s">
        <v>376</v>
      </c>
      <c r="M16" s="35" t="s">
        <v>793</v>
      </c>
      <c r="N16" s="35" t="s">
        <v>2196</v>
      </c>
      <c r="O16" s="35" t="s">
        <v>793</v>
      </c>
      <c r="P16" s="35" t="s">
        <v>2197</v>
      </c>
      <c r="Q16" s="35" t="s">
        <v>498</v>
      </c>
      <c r="R16" s="35" t="s">
        <v>382</v>
      </c>
      <c r="S16" s="35" t="s">
        <v>427</v>
      </c>
      <c r="T16" s="35" t="s">
        <v>384</v>
      </c>
      <c r="U16" s="35" t="s">
        <v>385</v>
      </c>
      <c r="X16" s="35" t="s">
        <v>428</v>
      </c>
      <c r="AW16" s="35" t="s">
        <v>1310</v>
      </c>
      <c r="AX16" s="41">
        <v>4.0</v>
      </c>
      <c r="AY16" s="41">
        <v>4.0</v>
      </c>
      <c r="AZ16" s="41">
        <v>4.0</v>
      </c>
      <c r="BA16" s="41">
        <v>4.0</v>
      </c>
      <c r="BB16" s="41">
        <v>4.0</v>
      </c>
      <c r="BC16" s="35" t="s">
        <v>675</v>
      </c>
      <c r="BD16" s="35" t="s">
        <v>2198</v>
      </c>
      <c r="BE16" s="35" t="s">
        <v>2199</v>
      </c>
      <c r="BF16" s="35" t="s">
        <v>902</v>
      </c>
      <c r="BG16" s="35" t="s">
        <v>1095</v>
      </c>
      <c r="BH16" s="35" t="s">
        <v>725</v>
      </c>
      <c r="BI16" s="35" t="s">
        <v>2200</v>
      </c>
      <c r="BJ16" s="35" t="s">
        <v>976</v>
      </c>
      <c r="BL16" s="35" t="s">
        <v>437</v>
      </c>
      <c r="BM16" s="35" t="s">
        <v>603</v>
      </c>
      <c r="BN16" s="35" t="s">
        <v>1247</v>
      </c>
      <c r="BO16" s="35" t="s">
        <v>398</v>
      </c>
      <c r="BP16" s="35" t="s">
        <v>2201</v>
      </c>
      <c r="BQ16" s="35" t="s">
        <v>2202</v>
      </c>
      <c r="BR16" s="35" t="s">
        <v>442</v>
      </c>
      <c r="BS16" s="35" t="s">
        <v>2203</v>
      </c>
      <c r="BT16" s="35" t="s">
        <v>1741</v>
      </c>
      <c r="BU16" s="35" t="s">
        <v>1742</v>
      </c>
      <c r="BV16" s="35" t="s">
        <v>1772</v>
      </c>
      <c r="BW16" s="35" t="s">
        <v>2204</v>
      </c>
      <c r="BX16" s="35" t="s">
        <v>988</v>
      </c>
      <c r="BZ16" s="35" t="s">
        <v>455</v>
      </c>
      <c r="CA16" s="35" t="s">
        <v>2205</v>
      </c>
      <c r="CB16" s="35" t="s">
        <v>2206</v>
      </c>
      <c r="CC16" s="35" t="s">
        <v>2207</v>
      </c>
      <c r="CD16" s="35" t="s">
        <v>10496</v>
      </c>
      <c r="CE16" s="35" t="s">
        <v>409</v>
      </c>
      <c r="CF16" s="35" t="s">
        <v>2209</v>
      </c>
      <c r="CG16" s="35" t="s">
        <v>1697</v>
      </c>
      <c r="CH16" s="35" t="s">
        <v>2210</v>
      </c>
      <c r="CI16" s="35" t="s">
        <v>1751</v>
      </c>
      <c r="CJ16" s="35" t="s">
        <v>833</v>
      </c>
      <c r="CK16" s="35" t="s">
        <v>2211</v>
      </c>
      <c r="CL16" s="35" t="s">
        <v>10497</v>
      </c>
      <c r="EU16" s="35" t="s">
        <v>578</v>
      </c>
      <c r="EV16" s="35" t="s">
        <v>887</v>
      </c>
      <c r="EW16" s="35" t="s">
        <v>480</v>
      </c>
      <c r="EX16" s="35" t="s">
        <v>2213</v>
      </c>
      <c r="EY16" s="35" t="s">
        <v>2214</v>
      </c>
      <c r="EZ16" s="35" t="s">
        <v>2215</v>
      </c>
      <c r="FA16" s="35" t="s">
        <v>414</v>
      </c>
      <c r="FB16" s="35" t="s">
        <v>583</v>
      </c>
      <c r="FC16" s="35" t="s">
        <v>414</v>
      </c>
      <c r="FD16" s="35" t="s">
        <v>414</v>
      </c>
      <c r="FE16" s="35" t="s">
        <v>413</v>
      </c>
      <c r="FF16" s="35" t="s">
        <v>583</v>
      </c>
      <c r="FG16" s="35" t="s">
        <v>415</v>
      </c>
      <c r="FH16" s="35" t="s">
        <v>416</v>
      </c>
      <c r="FI16" s="35" t="s">
        <v>414</v>
      </c>
      <c r="FJ16" s="35" t="s">
        <v>583</v>
      </c>
      <c r="FK16" s="35" t="s">
        <v>414</v>
      </c>
      <c r="FL16" s="35" t="s">
        <v>415</v>
      </c>
      <c r="FM16" s="35" t="s">
        <v>414</v>
      </c>
      <c r="FN16" s="35" t="s">
        <v>416</v>
      </c>
      <c r="FO16" s="35" t="s">
        <v>414</v>
      </c>
      <c r="FP16" s="35" t="s">
        <v>485</v>
      </c>
      <c r="FQ16" s="35" t="s">
        <v>418</v>
      </c>
      <c r="FR16" s="35" t="s">
        <v>749</v>
      </c>
      <c r="FS16" s="35" t="s">
        <v>2216</v>
      </c>
      <c r="FT16" s="35" t="s">
        <v>1189</v>
      </c>
      <c r="FU16" s="35" t="s">
        <v>1462</v>
      </c>
      <c r="FV16" s="35" t="s">
        <v>489</v>
      </c>
      <c r="FW16" s="35" t="s">
        <v>1101</v>
      </c>
      <c r="FX16" s="35" t="s">
        <v>491</v>
      </c>
      <c r="FY16" s="35" t="s">
        <v>2217</v>
      </c>
      <c r="FZ16" s="35" t="s">
        <v>493</v>
      </c>
      <c r="GA16" s="35" t="s">
        <v>2218</v>
      </c>
      <c r="GC16" s="35" t="s">
        <v>408</v>
      </c>
      <c r="GK16" s="35" t="s">
        <v>755</v>
      </c>
      <c r="GL16" s="35" t="s">
        <v>755</v>
      </c>
      <c r="GM16" s="35" t="s">
        <v>817</v>
      </c>
    </row>
    <row r="17">
      <c r="A17" s="40"/>
      <c r="B17" s="40">
        <v>45827.94687665509</v>
      </c>
      <c r="C17" s="35" t="s">
        <v>368</v>
      </c>
      <c r="D17" s="35" t="s">
        <v>1201</v>
      </c>
      <c r="E17" s="35" t="s">
        <v>1201</v>
      </c>
      <c r="H17" s="35" t="s">
        <v>1783</v>
      </c>
      <c r="I17" s="35" t="s">
        <v>496</v>
      </c>
      <c r="J17" s="35" t="s">
        <v>374</v>
      </c>
      <c r="K17" s="35" t="s">
        <v>590</v>
      </c>
      <c r="L17" s="35" t="s">
        <v>376</v>
      </c>
      <c r="M17" s="35" t="s">
        <v>379</v>
      </c>
      <c r="N17" s="35" t="s">
        <v>2219</v>
      </c>
      <c r="O17" s="35" t="s">
        <v>591</v>
      </c>
      <c r="P17" s="35" t="s">
        <v>639</v>
      </c>
      <c r="Q17" s="35" t="s">
        <v>1504</v>
      </c>
      <c r="R17" s="35" t="s">
        <v>759</v>
      </c>
      <c r="S17" s="35" t="s">
        <v>427</v>
      </c>
      <c r="T17" s="35" t="s">
        <v>384</v>
      </c>
      <c r="U17" s="35" t="s">
        <v>385</v>
      </c>
      <c r="X17" s="35" t="s">
        <v>386</v>
      </c>
      <c r="AW17" s="35" t="s">
        <v>1242</v>
      </c>
      <c r="AX17" s="35" t="s">
        <v>675</v>
      </c>
      <c r="AY17" s="35" t="s">
        <v>675</v>
      </c>
      <c r="AZ17" s="35" t="s">
        <v>675</v>
      </c>
      <c r="BA17" s="35" t="s">
        <v>675</v>
      </c>
      <c r="BB17" s="35" t="s">
        <v>675</v>
      </c>
      <c r="BC17" s="35" t="s">
        <v>675</v>
      </c>
      <c r="BD17" s="35" t="s">
        <v>7938</v>
      </c>
      <c r="BE17" s="35" t="s">
        <v>2221</v>
      </c>
      <c r="BF17" s="35" t="s">
        <v>902</v>
      </c>
      <c r="BG17" s="35" t="s">
        <v>1245</v>
      </c>
      <c r="BH17" s="35" t="s">
        <v>394</v>
      </c>
      <c r="BI17" s="35" t="s">
        <v>2222</v>
      </c>
      <c r="BJ17" s="35" t="s">
        <v>435</v>
      </c>
      <c r="BK17" s="35" t="s">
        <v>2223</v>
      </c>
      <c r="BL17" s="35" t="s">
        <v>395</v>
      </c>
      <c r="BM17" s="35" t="s">
        <v>904</v>
      </c>
      <c r="BN17" s="35" t="s">
        <v>1314</v>
      </c>
      <c r="BO17" s="35" t="s">
        <v>398</v>
      </c>
      <c r="BP17" s="35" t="s">
        <v>10498</v>
      </c>
      <c r="BQ17" s="35" t="s">
        <v>2225</v>
      </c>
      <c r="BR17" s="35" t="s">
        <v>2226</v>
      </c>
      <c r="BS17" s="35" t="s">
        <v>2227</v>
      </c>
      <c r="BT17" s="35" t="s">
        <v>1692</v>
      </c>
      <c r="BU17" s="35" t="s">
        <v>1742</v>
      </c>
      <c r="BV17" s="35" t="s">
        <v>405</v>
      </c>
      <c r="BW17" s="35" t="s">
        <v>1252</v>
      </c>
      <c r="BX17" s="35" t="s">
        <v>988</v>
      </c>
      <c r="BZ17" s="35" t="s">
        <v>455</v>
      </c>
      <c r="CA17" s="35" t="s">
        <v>2228</v>
      </c>
      <c r="CB17" s="35" t="s">
        <v>2229</v>
      </c>
      <c r="CC17" s="35" t="s">
        <v>2230</v>
      </c>
      <c r="CD17" s="35" t="s">
        <v>10499</v>
      </c>
      <c r="CE17" s="35" t="s">
        <v>451</v>
      </c>
      <c r="CF17" s="35" t="s">
        <v>2232</v>
      </c>
      <c r="CG17" s="35" t="s">
        <v>2233</v>
      </c>
      <c r="CH17" s="35" t="s">
        <v>2234</v>
      </c>
      <c r="CI17" s="35" t="s">
        <v>1259</v>
      </c>
      <c r="CJ17" s="35" t="s">
        <v>1220</v>
      </c>
      <c r="CK17" s="35" t="s">
        <v>10500</v>
      </c>
      <c r="CL17" s="35" t="s">
        <v>2236</v>
      </c>
      <c r="EU17" s="35" t="s">
        <v>526</v>
      </c>
      <c r="EV17" s="35" t="s">
        <v>887</v>
      </c>
      <c r="EW17" s="35" t="s">
        <v>480</v>
      </c>
      <c r="EX17" s="35" t="s">
        <v>10501</v>
      </c>
      <c r="EY17" s="35" t="s">
        <v>2238</v>
      </c>
      <c r="EZ17" s="35" t="s">
        <v>2239</v>
      </c>
      <c r="FA17" s="35" t="s">
        <v>415</v>
      </c>
      <c r="FB17" s="35" t="s">
        <v>415</v>
      </c>
      <c r="FC17" s="35" t="s">
        <v>413</v>
      </c>
      <c r="FD17" s="35" t="s">
        <v>413</v>
      </c>
      <c r="FE17" s="35" t="s">
        <v>413</v>
      </c>
      <c r="FF17" s="35" t="s">
        <v>415</v>
      </c>
      <c r="FG17" s="35" t="s">
        <v>413</v>
      </c>
      <c r="FH17" s="35" t="s">
        <v>415</v>
      </c>
      <c r="FI17" s="35" t="s">
        <v>413</v>
      </c>
      <c r="FJ17" s="35" t="s">
        <v>415</v>
      </c>
      <c r="FK17" s="35" t="s">
        <v>413</v>
      </c>
      <c r="FL17" s="35" t="s">
        <v>415</v>
      </c>
      <c r="FM17" s="35" t="s">
        <v>415</v>
      </c>
      <c r="FN17" s="35" t="s">
        <v>415</v>
      </c>
      <c r="FO17" s="35" t="s">
        <v>415</v>
      </c>
      <c r="FP17" s="35" t="s">
        <v>850</v>
      </c>
      <c r="FQ17" s="35" t="s">
        <v>418</v>
      </c>
      <c r="FR17" s="35" t="s">
        <v>749</v>
      </c>
      <c r="FT17" s="35" t="s">
        <v>420</v>
      </c>
      <c r="FU17" s="35" t="s">
        <v>488</v>
      </c>
      <c r="FV17" s="35" t="s">
        <v>585</v>
      </c>
      <c r="FW17" s="35" t="s">
        <v>490</v>
      </c>
      <c r="FX17" s="35" t="s">
        <v>491</v>
      </c>
      <c r="FY17" s="35" t="s">
        <v>2240</v>
      </c>
      <c r="FZ17" s="35" t="s">
        <v>535</v>
      </c>
      <c r="GA17" s="35" t="s">
        <v>10502</v>
      </c>
      <c r="GB17" s="35" t="s">
        <v>2242</v>
      </c>
      <c r="GC17" s="35" t="s">
        <v>455</v>
      </c>
      <c r="GD17" s="35" t="s">
        <v>10503</v>
      </c>
      <c r="GF17" s="35" t="s">
        <v>753</v>
      </c>
      <c r="GG17" s="35" t="s">
        <v>10504</v>
      </c>
      <c r="GK17" s="35" t="s">
        <v>755</v>
      </c>
      <c r="GL17" s="35" t="s">
        <v>1000</v>
      </c>
      <c r="GM17" s="35" t="s">
        <v>756</v>
      </c>
      <c r="GO17" s="35" t="s">
        <v>10505</v>
      </c>
      <c r="GP17" s="35" t="s">
        <v>10505</v>
      </c>
    </row>
    <row r="18">
      <c r="A18" s="40"/>
      <c r="B18" s="40">
        <v>45827.950535625</v>
      </c>
      <c r="C18" s="35" t="s">
        <v>368</v>
      </c>
      <c r="D18" s="35" t="s">
        <v>538</v>
      </c>
      <c r="E18" s="35" t="s">
        <v>538</v>
      </c>
      <c r="H18" s="35" t="s">
        <v>422</v>
      </c>
      <c r="I18" s="35" t="s">
        <v>423</v>
      </c>
      <c r="J18" s="35" t="s">
        <v>424</v>
      </c>
      <c r="K18" s="35" t="s">
        <v>1204</v>
      </c>
      <c r="L18" s="35" t="s">
        <v>376</v>
      </c>
      <c r="M18" s="35" t="s">
        <v>377</v>
      </c>
      <c r="N18" s="35" t="s">
        <v>378</v>
      </c>
      <c r="O18" s="35" t="s">
        <v>377</v>
      </c>
      <c r="P18" s="35" t="s">
        <v>497</v>
      </c>
      <c r="Q18" s="35" t="s">
        <v>381</v>
      </c>
      <c r="R18" s="35" t="s">
        <v>818</v>
      </c>
      <c r="S18" s="35" t="s">
        <v>949</v>
      </c>
      <c r="T18" s="35" t="s">
        <v>384</v>
      </c>
      <c r="U18" s="35" t="s">
        <v>385</v>
      </c>
      <c r="AW18" s="35" t="s">
        <v>1242</v>
      </c>
      <c r="AX18" s="35" t="s">
        <v>391</v>
      </c>
      <c r="AY18" s="41">
        <v>2.0</v>
      </c>
      <c r="AZ18" s="35" t="s">
        <v>391</v>
      </c>
      <c r="BA18" s="41">
        <v>4.0</v>
      </c>
      <c r="BB18" s="35" t="s">
        <v>675</v>
      </c>
      <c r="BC18" s="35" t="s">
        <v>675</v>
      </c>
      <c r="BD18" s="35" t="s">
        <v>10506</v>
      </c>
      <c r="BE18" s="35" t="s">
        <v>10507</v>
      </c>
      <c r="BF18" s="35" t="s">
        <v>432</v>
      </c>
      <c r="BG18" s="35" t="s">
        <v>1095</v>
      </c>
      <c r="BH18" s="35" t="s">
        <v>434</v>
      </c>
      <c r="BI18" s="35" t="s">
        <v>2245</v>
      </c>
      <c r="BJ18" s="35" t="s">
        <v>976</v>
      </c>
      <c r="BK18" s="41">
        <v>9.0</v>
      </c>
      <c r="BL18" s="35" t="s">
        <v>437</v>
      </c>
      <c r="BM18" s="35" t="s">
        <v>603</v>
      </c>
      <c r="BN18" s="35" t="s">
        <v>1247</v>
      </c>
      <c r="BO18" s="35" t="s">
        <v>398</v>
      </c>
      <c r="BP18" s="35" t="s">
        <v>10508</v>
      </c>
      <c r="BQ18" s="35" t="s">
        <v>552</v>
      </c>
      <c r="BR18" s="35" t="s">
        <v>401</v>
      </c>
      <c r="BS18" s="41">
        <v>7.0</v>
      </c>
      <c r="BT18" s="35" t="s">
        <v>403</v>
      </c>
      <c r="BU18" s="35" t="s">
        <v>404</v>
      </c>
      <c r="BV18" s="35" t="s">
        <v>405</v>
      </c>
      <c r="CC18" s="35" t="s">
        <v>2247</v>
      </c>
      <c r="CD18" s="35" t="s">
        <v>10504</v>
      </c>
      <c r="CE18" s="35" t="s">
        <v>2248</v>
      </c>
      <c r="CF18" s="35" t="s">
        <v>408</v>
      </c>
      <c r="GO18" s="35" t="s">
        <v>10509</v>
      </c>
      <c r="GP18" s="35" t="s">
        <v>10510</v>
      </c>
    </row>
    <row r="19">
      <c r="A19" s="40"/>
      <c r="B19" s="40">
        <v>45828.00873828704</v>
      </c>
      <c r="C19" s="35" t="s">
        <v>368</v>
      </c>
      <c r="D19" s="35" t="s">
        <v>538</v>
      </c>
      <c r="E19" s="35" t="s">
        <v>538</v>
      </c>
      <c r="H19" s="35" t="s">
        <v>422</v>
      </c>
      <c r="I19" s="35" t="s">
        <v>496</v>
      </c>
      <c r="J19" s="35" t="s">
        <v>374</v>
      </c>
      <c r="K19" s="35" t="s">
        <v>669</v>
      </c>
      <c r="L19" s="35" t="s">
        <v>376</v>
      </c>
      <c r="M19" s="35" t="s">
        <v>591</v>
      </c>
      <c r="N19" s="35" t="s">
        <v>639</v>
      </c>
      <c r="O19" s="35" t="s">
        <v>793</v>
      </c>
      <c r="P19" s="35" t="s">
        <v>639</v>
      </c>
      <c r="Q19" s="35" t="s">
        <v>498</v>
      </c>
      <c r="R19" s="35" t="s">
        <v>1004</v>
      </c>
      <c r="S19" s="35" t="s">
        <v>2277</v>
      </c>
      <c r="T19" s="35" t="s">
        <v>384</v>
      </c>
      <c r="U19" s="35" t="s">
        <v>385</v>
      </c>
      <c r="X19" s="35" t="s">
        <v>428</v>
      </c>
      <c r="AW19" s="35" t="s">
        <v>1310</v>
      </c>
      <c r="AX19" s="35" t="s">
        <v>675</v>
      </c>
      <c r="AY19" s="35" t="s">
        <v>675</v>
      </c>
      <c r="AZ19" s="41">
        <v>2.0</v>
      </c>
      <c r="BA19" s="35" t="s">
        <v>391</v>
      </c>
      <c r="BB19" s="41">
        <v>4.0</v>
      </c>
      <c r="BC19" s="41">
        <v>4.0</v>
      </c>
      <c r="BD19" s="35" t="s">
        <v>10511</v>
      </c>
      <c r="BE19" s="35" t="s">
        <v>2279</v>
      </c>
      <c r="BF19" s="35" t="s">
        <v>902</v>
      </c>
      <c r="BG19" s="35" t="s">
        <v>1095</v>
      </c>
      <c r="BH19" s="35" t="s">
        <v>394</v>
      </c>
      <c r="BI19" s="35" t="s">
        <v>10512</v>
      </c>
      <c r="BJ19" s="35" t="s">
        <v>976</v>
      </c>
      <c r="BL19" s="35" t="s">
        <v>602</v>
      </c>
      <c r="BM19" s="35" t="s">
        <v>603</v>
      </c>
      <c r="BN19" s="35" t="s">
        <v>1247</v>
      </c>
      <c r="BO19" s="35" t="s">
        <v>398</v>
      </c>
      <c r="BP19" s="35" t="s">
        <v>10513</v>
      </c>
      <c r="BQ19" s="35" t="s">
        <v>2282</v>
      </c>
      <c r="BR19" s="35" t="s">
        <v>401</v>
      </c>
      <c r="BS19" s="35" t="s">
        <v>2283</v>
      </c>
      <c r="BT19" s="35" t="s">
        <v>403</v>
      </c>
      <c r="BU19" s="35" t="s">
        <v>1994</v>
      </c>
      <c r="BV19" s="35" t="s">
        <v>405</v>
      </c>
      <c r="BX19" s="35" t="s">
        <v>406</v>
      </c>
      <c r="BY19" s="35" t="s">
        <v>1867</v>
      </c>
      <c r="BZ19" s="35" t="s">
        <v>455</v>
      </c>
      <c r="CA19" s="35" t="s">
        <v>2284</v>
      </c>
      <c r="CC19" s="35" t="s">
        <v>10514</v>
      </c>
      <c r="CD19" s="35" t="s">
        <v>10515</v>
      </c>
      <c r="CE19" s="35" t="s">
        <v>409</v>
      </c>
      <c r="CF19" s="35" t="s">
        <v>10516</v>
      </c>
      <c r="CG19" s="35" t="s">
        <v>1258</v>
      </c>
      <c r="CI19" s="35" t="s">
        <v>1259</v>
      </c>
      <c r="CJ19" s="35" t="s">
        <v>1220</v>
      </c>
      <c r="CK19" s="35" t="s">
        <v>10517</v>
      </c>
      <c r="CL19" s="35" t="s">
        <v>10518</v>
      </c>
      <c r="EU19" s="35" t="s">
        <v>526</v>
      </c>
      <c r="EV19" s="35" t="s">
        <v>579</v>
      </c>
      <c r="EW19" s="35" t="s">
        <v>1534</v>
      </c>
      <c r="EY19" s="35" t="s">
        <v>10519</v>
      </c>
      <c r="EZ19" s="35" t="s">
        <v>10520</v>
      </c>
      <c r="FA19" s="35" t="s">
        <v>415</v>
      </c>
      <c r="FB19" s="35" t="s">
        <v>415</v>
      </c>
      <c r="FC19" s="35" t="s">
        <v>413</v>
      </c>
      <c r="FD19" s="35" t="s">
        <v>413</v>
      </c>
      <c r="FE19" s="35" t="s">
        <v>413</v>
      </c>
      <c r="FF19" s="35" t="s">
        <v>415</v>
      </c>
      <c r="FG19" s="35" t="s">
        <v>415</v>
      </c>
      <c r="FH19" s="35" t="s">
        <v>416</v>
      </c>
      <c r="FI19" s="35" t="s">
        <v>414</v>
      </c>
      <c r="FJ19" s="35" t="s">
        <v>413</v>
      </c>
      <c r="FK19" s="35" t="s">
        <v>416</v>
      </c>
      <c r="FL19" s="35" t="s">
        <v>415</v>
      </c>
      <c r="FM19" s="35" t="s">
        <v>414</v>
      </c>
      <c r="FN19" s="35" t="s">
        <v>416</v>
      </c>
      <c r="FO19" s="35" t="s">
        <v>414</v>
      </c>
      <c r="FP19" s="35" t="s">
        <v>417</v>
      </c>
      <c r="FQ19" s="35" t="s">
        <v>418</v>
      </c>
      <c r="FR19" s="35" t="s">
        <v>749</v>
      </c>
      <c r="FT19" s="35" t="s">
        <v>1189</v>
      </c>
      <c r="FU19" s="35" t="s">
        <v>1462</v>
      </c>
      <c r="FV19" s="35" t="s">
        <v>1235</v>
      </c>
      <c r="FW19" s="35" t="s">
        <v>490</v>
      </c>
      <c r="FX19" s="35" t="s">
        <v>491</v>
      </c>
      <c r="FZ19" s="35" t="s">
        <v>1854</v>
      </c>
      <c r="GA19" s="35" t="s">
        <v>2292</v>
      </c>
      <c r="GC19" s="35" t="s">
        <v>455</v>
      </c>
      <c r="GD19" s="35" t="s">
        <v>10521</v>
      </c>
      <c r="GF19" s="35" t="s">
        <v>753</v>
      </c>
      <c r="GK19" s="35" t="s">
        <v>920</v>
      </c>
      <c r="GL19" s="35" t="s">
        <v>1000</v>
      </c>
      <c r="GM19" s="35" t="s">
        <v>817</v>
      </c>
      <c r="GO19" s="35" t="s">
        <v>2293</v>
      </c>
      <c r="GP19" s="35" t="s">
        <v>2293</v>
      </c>
    </row>
    <row r="20">
      <c r="A20" s="40"/>
      <c r="B20" s="40">
        <v>45828.05815188657</v>
      </c>
      <c r="C20" s="35" t="s">
        <v>368</v>
      </c>
      <c r="D20" s="35" t="s">
        <v>370</v>
      </c>
      <c r="F20" s="35" t="s">
        <v>2335</v>
      </c>
      <c r="H20" s="35" t="s">
        <v>422</v>
      </c>
      <c r="I20" s="35" t="s">
        <v>373</v>
      </c>
      <c r="J20" s="35" t="s">
        <v>374</v>
      </c>
      <c r="K20" s="35" t="s">
        <v>540</v>
      </c>
      <c r="L20" s="35" t="s">
        <v>376</v>
      </c>
      <c r="M20" s="35" t="s">
        <v>793</v>
      </c>
      <c r="N20" s="35" t="s">
        <v>2336</v>
      </c>
      <c r="O20" s="35" t="s">
        <v>793</v>
      </c>
      <c r="P20" s="35" t="s">
        <v>719</v>
      </c>
      <c r="Q20" s="35" t="s">
        <v>498</v>
      </c>
      <c r="R20" s="35" t="s">
        <v>862</v>
      </c>
      <c r="S20" s="35" t="s">
        <v>427</v>
      </c>
      <c r="T20" s="35" t="s">
        <v>384</v>
      </c>
      <c r="U20" s="35" t="s">
        <v>385</v>
      </c>
      <c r="X20" s="35" t="s">
        <v>386</v>
      </c>
      <c r="Y20" s="35" t="s">
        <v>387</v>
      </c>
      <c r="Z20" s="35" t="s">
        <v>1444</v>
      </c>
      <c r="AA20" s="35" t="s">
        <v>389</v>
      </c>
      <c r="AB20" s="35" t="s">
        <v>2337</v>
      </c>
      <c r="AC20" s="35" t="s">
        <v>2338</v>
      </c>
      <c r="AW20" s="35" t="s">
        <v>597</v>
      </c>
      <c r="AX20" s="35" t="s">
        <v>391</v>
      </c>
      <c r="AY20" s="41">
        <v>4.0</v>
      </c>
      <c r="AZ20" s="35" t="s">
        <v>391</v>
      </c>
      <c r="BA20" s="35" t="s">
        <v>675</v>
      </c>
      <c r="BB20" s="35" t="s">
        <v>675</v>
      </c>
      <c r="BC20" s="41">
        <v>4.0</v>
      </c>
      <c r="BD20" s="35" t="s">
        <v>2339</v>
      </c>
      <c r="BE20" s="35" t="s">
        <v>2340</v>
      </c>
      <c r="BF20" s="35" t="s">
        <v>392</v>
      </c>
      <c r="BG20" s="35" t="s">
        <v>393</v>
      </c>
      <c r="BH20" s="35" t="s">
        <v>394</v>
      </c>
      <c r="BI20" s="35" t="s">
        <v>2341</v>
      </c>
      <c r="BJ20" s="35" t="s">
        <v>824</v>
      </c>
      <c r="BL20" s="35" t="s">
        <v>395</v>
      </c>
      <c r="BM20" s="35" t="s">
        <v>396</v>
      </c>
      <c r="BN20" s="35" t="s">
        <v>397</v>
      </c>
      <c r="BO20" s="35" t="s">
        <v>398</v>
      </c>
      <c r="BP20" s="35" t="s">
        <v>2342</v>
      </c>
      <c r="BQ20" s="35" t="s">
        <v>2343</v>
      </c>
      <c r="BR20" s="35" t="s">
        <v>604</v>
      </c>
      <c r="BS20" s="35" t="s">
        <v>2344</v>
      </c>
      <c r="BT20" s="35" t="s">
        <v>1741</v>
      </c>
      <c r="BU20" s="35" t="s">
        <v>1672</v>
      </c>
      <c r="BV20" s="35" t="s">
        <v>405</v>
      </c>
      <c r="BX20" s="35" t="s">
        <v>988</v>
      </c>
      <c r="BZ20" s="35" t="s">
        <v>408</v>
      </c>
      <c r="CB20" s="35" t="s">
        <v>2345</v>
      </c>
      <c r="CC20" s="35" t="s">
        <v>2346</v>
      </c>
      <c r="CD20" s="35" t="s">
        <v>2347</v>
      </c>
      <c r="CE20" s="35" t="s">
        <v>409</v>
      </c>
      <c r="CF20" s="35" t="s">
        <v>2348</v>
      </c>
      <c r="CG20" s="35" t="s">
        <v>1258</v>
      </c>
      <c r="CI20" s="35" t="s">
        <v>1259</v>
      </c>
      <c r="CJ20" s="35" t="s">
        <v>410</v>
      </c>
      <c r="CK20" s="35" t="s">
        <v>2349</v>
      </c>
      <c r="CL20" s="35" t="s">
        <v>2350</v>
      </c>
      <c r="EU20" s="35" t="s">
        <v>526</v>
      </c>
      <c r="EV20" s="35" t="s">
        <v>579</v>
      </c>
      <c r="EW20" s="35" t="s">
        <v>778</v>
      </c>
      <c r="EX20" s="35" t="s">
        <v>2351</v>
      </c>
      <c r="EY20" s="35" t="s">
        <v>2352</v>
      </c>
      <c r="EZ20" s="35" t="s">
        <v>2353</v>
      </c>
      <c r="FA20" s="35" t="s">
        <v>416</v>
      </c>
      <c r="FB20" s="35" t="s">
        <v>416</v>
      </c>
      <c r="FC20" s="35" t="s">
        <v>413</v>
      </c>
      <c r="FD20" s="35" t="s">
        <v>413</v>
      </c>
      <c r="FE20" s="35" t="s">
        <v>413</v>
      </c>
      <c r="FF20" s="35" t="s">
        <v>416</v>
      </c>
      <c r="FG20" s="35" t="s">
        <v>413</v>
      </c>
      <c r="FH20" s="35" t="s">
        <v>413</v>
      </c>
      <c r="FI20" s="35" t="s">
        <v>583</v>
      </c>
      <c r="FJ20" s="35" t="s">
        <v>413</v>
      </c>
      <c r="FK20" s="35" t="s">
        <v>413</v>
      </c>
      <c r="FL20" s="35" t="s">
        <v>413</v>
      </c>
      <c r="FM20" s="35" t="s">
        <v>413</v>
      </c>
      <c r="FN20" s="35" t="s">
        <v>413</v>
      </c>
      <c r="FO20" s="35" t="s">
        <v>583</v>
      </c>
      <c r="FP20" s="35" t="s">
        <v>417</v>
      </c>
      <c r="FQ20" s="35" t="s">
        <v>418</v>
      </c>
      <c r="FR20" s="35" t="s">
        <v>1039</v>
      </c>
      <c r="FS20" s="35" t="s">
        <v>2354</v>
      </c>
      <c r="FT20" s="35" t="s">
        <v>420</v>
      </c>
      <c r="FU20" s="35" t="s">
        <v>488</v>
      </c>
      <c r="FV20" s="35" t="s">
        <v>1235</v>
      </c>
      <c r="FW20" s="35" t="s">
        <v>490</v>
      </c>
      <c r="FX20" s="35" t="s">
        <v>491</v>
      </c>
      <c r="FY20" s="35" t="s">
        <v>2355</v>
      </c>
      <c r="FZ20" s="35" t="s">
        <v>535</v>
      </c>
      <c r="GA20" s="35" t="s">
        <v>2356</v>
      </c>
      <c r="GB20" s="35" t="s">
        <v>2357</v>
      </c>
      <c r="GC20" s="35" t="s">
        <v>455</v>
      </c>
      <c r="GD20" s="35" t="s">
        <v>10522</v>
      </c>
      <c r="GE20" s="35" t="s">
        <v>10523</v>
      </c>
      <c r="GF20" s="35" t="s">
        <v>1339</v>
      </c>
      <c r="GG20" s="35" t="s">
        <v>2358</v>
      </c>
      <c r="GK20" s="35" t="s">
        <v>755</v>
      </c>
      <c r="GL20" s="35" t="s">
        <v>755</v>
      </c>
      <c r="GM20" s="35" t="s">
        <v>946</v>
      </c>
    </row>
    <row r="21">
      <c r="A21" s="40"/>
      <c r="B21" s="40">
        <v>45828.15012672453</v>
      </c>
      <c r="C21" s="35" t="s">
        <v>368</v>
      </c>
      <c r="D21" s="35" t="s">
        <v>370</v>
      </c>
      <c r="F21" s="35" t="s">
        <v>2400</v>
      </c>
      <c r="H21" s="35" t="s">
        <v>422</v>
      </c>
      <c r="I21" s="35" t="s">
        <v>496</v>
      </c>
      <c r="J21" s="35" t="s">
        <v>1022</v>
      </c>
      <c r="K21" s="35" t="s">
        <v>425</v>
      </c>
      <c r="L21" s="35" t="s">
        <v>376</v>
      </c>
      <c r="M21" s="35" t="s">
        <v>591</v>
      </c>
      <c r="N21" s="35" t="s">
        <v>720</v>
      </c>
      <c r="O21" s="35" t="s">
        <v>670</v>
      </c>
      <c r="P21" s="35" t="s">
        <v>720</v>
      </c>
      <c r="Q21" s="35" t="s">
        <v>592</v>
      </c>
      <c r="R21" s="35" t="s">
        <v>499</v>
      </c>
      <c r="S21" s="35" t="s">
        <v>427</v>
      </c>
      <c r="T21" s="35" t="s">
        <v>384</v>
      </c>
      <c r="U21" s="35" t="s">
        <v>385</v>
      </c>
      <c r="X21" s="35" t="s">
        <v>428</v>
      </c>
      <c r="AW21" s="35" t="s">
        <v>1242</v>
      </c>
      <c r="AX21" s="41">
        <v>4.0</v>
      </c>
      <c r="AY21" s="35" t="s">
        <v>391</v>
      </c>
      <c r="AZ21" s="41">
        <v>4.0</v>
      </c>
      <c r="BA21" s="35" t="s">
        <v>675</v>
      </c>
      <c r="BB21" s="35" t="s">
        <v>675</v>
      </c>
      <c r="BC21" s="41">
        <v>4.0</v>
      </c>
      <c r="BD21" s="35" t="s">
        <v>10524</v>
      </c>
      <c r="BE21" s="35" t="s">
        <v>10525</v>
      </c>
      <c r="BF21" s="35" t="s">
        <v>902</v>
      </c>
      <c r="BG21" s="35" t="s">
        <v>1095</v>
      </c>
      <c r="BH21" s="35" t="s">
        <v>394</v>
      </c>
      <c r="BI21" s="35" t="s">
        <v>10526</v>
      </c>
      <c r="BJ21" s="35" t="s">
        <v>435</v>
      </c>
      <c r="BK21" s="35" t="s">
        <v>10527</v>
      </c>
      <c r="BL21" s="35" t="s">
        <v>437</v>
      </c>
      <c r="BM21" s="35" t="s">
        <v>603</v>
      </c>
      <c r="BN21" s="35" t="s">
        <v>1314</v>
      </c>
      <c r="BO21" s="35" t="s">
        <v>398</v>
      </c>
      <c r="BP21" s="35" t="s">
        <v>10528</v>
      </c>
      <c r="BQ21" s="35" t="s">
        <v>10529</v>
      </c>
      <c r="BS21" s="35" t="s">
        <v>2407</v>
      </c>
      <c r="BT21" s="35" t="s">
        <v>1692</v>
      </c>
      <c r="BU21" s="35" t="s">
        <v>1672</v>
      </c>
      <c r="BV21" s="35" t="s">
        <v>405</v>
      </c>
      <c r="BX21" s="35" t="s">
        <v>457</v>
      </c>
      <c r="BZ21" s="35" t="s">
        <v>455</v>
      </c>
      <c r="CA21" s="35" t="s">
        <v>10530</v>
      </c>
      <c r="CB21" s="35" t="s">
        <v>10531</v>
      </c>
      <c r="CC21" s="35" t="s">
        <v>10532</v>
      </c>
      <c r="CD21" s="35" t="s">
        <v>10533</v>
      </c>
      <c r="CE21" s="35" t="s">
        <v>409</v>
      </c>
      <c r="CF21" s="35" t="s">
        <v>10534</v>
      </c>
      <c r="CG21" s="35" t="s">
        <v>1258</v>
      </c>
      <c r="CI21" s="35" t="s">
        <v>1698</v>
      </c>
      <c r="CJ21" s="35" t="s">
        <v>410</v>
      </c>
      <c r="CK21" s="35" t="s">
        <v>10535</v>
      </c>
      <c r="CL21" s="35" t="s">
        <v>10536</v>
      </c>
      <c r="EU21" s="35" t="s">
        <v>578</v>
      </c>
      <c r="EV21" s="35" t="s">
        <v>479</v>
      </c>
      <c r="EW21" s="35" t="s">
        <v>1262</v>
      </c>
      <c r="EX21" s="35" t="s">
        <v>10537</v>
      </c>
      <c r="EY21" s="35" t="s">
        <v>10538</v>
      </c>
      <c r="EZ21" s="35" t="s">
        <v>10539</v>
      </c>
      <c r="FA21" s="35" t="s">
        <v>583</v>
      </c>
      <c r="FB21" s="35" t="s">
        <v>583</v>
      </c>
      <c r="FC21" s="35" t="s">
        <v>414</v>
      </c>
      <c r="FD21" s="35" t="s">
        <v>583</v>
      </c>
      <c r="FE21" s="35" t="s">
        <v>484</v>
      </c>
      <c r="FF21" s="35" t="s">
        <v>583</v>
      </c>
      <c r="FG21" s="35" t="s">
        <v>583</v>
      </c>
      <c r="FH21" s="35" t="s">
        <v>416</v>
      </c>
      <c r="FI21" s="35" t="s">
        <v>583</v>
      </c>
      <c r="FJ21" s="35" t="s">
        <v>415</v>
      </c>
      <c r="FK21" s="35" t="s">
        <v>415</v>
      </c>
      <c r="FL21" s="35" t="s">
        <v>416</v>
      </c>
      <c r="FM21" s="35" t="s">
        <v>414</v>
      </c>
      <c r="FN21" s="35" t="s">
        <v>413</v>
      </c>
      <c r="FO21" s="35" t="s">
        <v>583</v>
      </c>
      <c r="FP21" s="35" t="s">
        <v>417</v>
      </c>
      <c r="FQ21" s="35" t="s">
        <v>418</v>
      </c>
      <c r="FR21" s="35" t="s">
        <v>749</v>
      </c>
      <c r="FS21" s="35" t="s">
        <v>10540</v>
      </c>
      <c r="FT21" s="35" t="s">
        <v>420</v>
      </c>
      <c r="FU21" s="35" t="s">
        <v>488</v>
      </c>
      <c r="FV21" s="35" t="s">
        <v>489</v>
      </c>
      <c r="FW21" s="35" t="s">
        <v>490</v>
      </c>
      <c r="FX21" s="35" t="s">
        <v>491</v>
      </c>
      <c r="FY21" s="35" t="s">
        <v>10541</v>
      </c>
      <c r="FZ21" s="35" t="s">
        <v>535</v>
      </c>
      <c r="GA21" s="35" t="s">
        <v>10542</v>
      </c>
      <c r="GB21" s="35" t="s">
        <v>10543</v>
      </c>
      <c r="GC21" s="35" t="s">
        <v>455</v>
      </c>
      <c r="GD21" s="35" t="s">
        <v>10544</v>
      </c>
      <c r="GE21" s="35" t="s">
        <v>10545</v>
      </c>
      <c r="GF21" s="35" t="s">
        <v>753</v>
      </c>
      <c r="GG21" s="35" t="s">
        <v>10546</v>
      </c>
      <c r="GK21" s="35" t="s">
        <v>1000</v>
      </c>
      <c r="GL21" s="35" t="s">
        <v>1000</v>
      </c>
      <c r="GM21" s="35" t="s">
        <v>858</v>
      </c>
    </row>
    <row r="22">
      <c r="A22" s="40"/>
      <c r="B22" s="40">
        <v>45828.202019930555</v>
      </c>
      <c r="C22" s="35" t="s">
        <v>368</v>
      </c>
      <c r="D22" s="35" t="s">
        <v>1341</v>
      </c>
      <c r="E22" s="35" t="s">
        <v>1341</v>
      </c>
      <c r="H22" s="35" t="s">
        <v>422</v>
      </c>
      <c r="I22" s="35" t="s">
        <v>373</v>
      </c>
      <c r="J22" s="35" t="s">
        <v>638</v>
      </c>
      <c r="K22" s="35" t="s">
        <v>718</v>
      </c>
      <c r="L22" s="35" t="s">
        <v>376</v>
      </c>
      <c r="M22" s="35" t="s">
        <v>591</v>
      </c>
      <c r="N22" s="35" t="s">
        <v>639</v>
      </c>
      <c r="O22" s="35" t="s">
        <v>591</v>
      </c>
      <c r="P22" s="35" t="s">
        <v>380</v>
      </c>
      <c r="Q22" s="35" t="s">
        <v>498</v>
      </c>
      <c r="R22" s="35" t="s">
        <v>862</v>
      </c>
      <c r="S22" s="35" t="s">
        <v>500</v>
      </c>
      <c r="T22" s="35" t="s">
        <v>384</v>
      </c>
      <c r="U22" s="35" t="s">
        <v>385</v>
      </c>
      <c r="X22" s="35" t="s">
        <v>428</v>
      </c>
      <c r="Y22" s="35" t="s">
        <v>2423</v>
      </c>
      <c r="AW22" s="35" t="s">
        <v>1242</v>
      </c>
      <c r="AX22" s="41">
        <v>4.0</v>
      </c>
      <c r="AY22" s="41">
        <v>4.0</v>
      </c>
      <c r="AZ22" s="35" t="s">
        <v>675</v>
      </c>
      <c r="BA22" s="35" t="s">
        <v>675</v>
      </c>
      <c r="BB22" s="35" t="s">
        <v>675</v>
      </c>
      <c r="BC22" s="35" t="s">
        <v>675</v>
      </c>
      <c r="BD22" s="35" t="s">
        <v>10547</v>
      </c>
      <c r="BE22" s="35" t="s">
        <v>10548</v>
      </c>
      <c r="BF22" s="35" t="s">
        <v>432</v>
      </c>
      <c r="BG22" s="35" t="s">
        <v>1095</v>
      </c>
      <c r="BH22" s="35" t="s">
        <v>394</v>
      </c>
      <c r="BI22" s="35" t="s">
        <v>10549</v>
      </c>
      <c r="BJ22" s="35" t="s">
        <v>435</v>
      </c>
      <c r="BL22" s="35" t="s">
        <v>511</v>
      </c>
      <c r="BM22" s="35" t="s">
        <v>603</v>
      </c>
      <c r="BN22" s="35" t="s">
        <v>1314</v>
      </c>
      <c r="BO22" s="35" t="s">
        <v>398</v>
      </c>
      <c r="BP22" s="35" t="s">
        <v>10550</v>
      </c>
      <c r="BQ22" s="35" t="s">
        <v>408</v>
      </c>
      <c r="BR22" s="35" t="s">
        <v>401</v>
      </c>
      <c r="BS22" s="35" t="s">
        <v>2428</v>
      </c>
      <c r="BT22" s="35" t="s">
        <v>1741</v>
      </c>
      <c r="BU22" s="35" t="s">
        <v>1994</v>
      </c>
      <c r="BV22" s="35" t="s">
        <v>405</v>
      </c>
      <c r="BX22" s="35" t="s">
        <v>406</v>
      </c>
      <c r="BZ22" s="35" t="s">
        <v>455</v>
      </c>
      <c r="CA22" s="35" t="s">
        <v>10551</v>
      </c>
      <c r="CC22" s="35" t="s">
        <v>10552</v>
      </c>
      <c r="CD22" s="35" t="s">
        <v>2431</v>
      </c>
      <c r="CE22" s="35" t="s">
        <v>451</v>
      </c>
      <c r="CF22" s="35" t="s">
        <v>10553</v>
      </c>
      <c r="CG22" s="35" t="s">
        <v>1258</v>
      </c>
      <c r="CI22" s="35" t="s">
        <v>1259</v>
      </c>
      <c r="CJ22" s="35" t="s">
        <v>410</v>
      </c>
      <c r="CK22" s="35" t="s">
        <v>2433</v>
      </c>
      <c r="CL22" s="35" t="s">
        <v>10554</v>
      </c>
      <c r="EU22" s="35" t="s">
        <v>578</v>
      </c>
      <c r="EV22" s="35" t="s">
        <v>579</v>
      </c>
      <c r="EW22" s="35" t="s">
        <v>527</v>
      </c>
      <c r="EX22" s="35" t="s">
        <v>10555</v>
      </c>
      <c r="EY22" s="35" t="s">
        <v>10556</v>
      </c>
      <c r="EZ22" s="35" t="s">
        <v>2437</v>
      </c>
      <c r="FA22" s="35" t="s">
        <v>415</v>
      </c>
      <c r="FB22" s="35" t="s">
        <v>414</v>
      </c>
      <c r="FC22" s="35" t="s">
        <v>413</v>
      </c>
      <c r="FD22" s="35" t="s">
        <v>414</v>
      </c>
      <c r="FE22" s="35" t="s">
        <v>413</v>
      </c>
      <c r="FF22" s="35" t="s">
        <v>415</v>
      </c>
      <c r="FG22" s="35" t="s">
        <v>413</v>
      </c>
      <c r="FH22" s="35" t="s">
        <v>484</v>
      </c>
      <c r="FI22" s="35" t="s">
        <v>413</v>
      </c>
      <c r="FJ22" s="35" t="s">
        <v>416</v>
      </c>
      <c r="FK22" s="35" t="s">
        <v>415</v>
      </c>
      <c r="FL22" s="35" t="s">
        <v>416</v>
      </c>
      <c r="FM22" s="35" t="s">
        <v>415</v>
      </c>
      <c r="FN22" s="35" t="s">
        <v>415</v>
      </c>
      <c r="FO22" s="35" t="s">
        <v>413</v>
      </c>
      <c r="FP22" s="35" t="s">
        <v>417</v>
      </c>
      <c r="FQ22" s="35" t="s">
        <v>486</v>
      </c>
      <c r="FR22" s="35" t="s">
        <v>712</v>
      </c>
      <c r="FS22" s="35" t="s">
        <v>2438</v>
      </c>
      <c r="FT22" s="35" t="s">
        <v>420</v>
      </c>
      <c r="FU22" s="35" t="s">
        <v>1462</v>
      </c>
      <c r="FV22" s="35" t="s">
        <v>585</v>
      </c>
      <c r="FW22" s="35" t="s">
        <v>490</v>
      </c>
      <c r="FX22" s="35" t="s">
        <v>491</v>
      </c>
      <c r="FZ22" s="35" t="s">
        <v>535</v>
      </c>
      <c r="GA22" s="35" t="s">
        <v>10557</v>
      </c>
      <c r="GC22" s="35" t="s">
        <v>455</v>
      </c>
      <c r="GD22" s="35" t="s">
        <v>10558</v>
      </c>
      <c r="GF22" s="35" t="s">
        <v>786</v>
      </c>
      <c r="GG22" s="35" t="s">
        <v>10559</v>
      </c>
      <c r="GK22" s="35" t="s">
        <v>755</v>
      </c>
      <c r="GL22" s="35" t="s">
        <v>755</v>
      </c>
      <c r="GM22" s="35" t="s">
        <v>817</v>
      </c>
    </row>
    <row r="23">
      <c r="A23" s="40"/>
      <c r="B23" s="40">
        <v>45828.21023520833</v>
      </c>
      <c r="C23" s="35" t="s">
        <v>368</v>
      </c>
      <c r="D23" s="35" t="s">
        <v>370</v>
      </c>
      <c r="F23" s="35" t="s">
        <v>371</v>
      </c>
      <c r="H23" s="35" t="s">
        <v>422</v>
      </c>
      <c r="I23" s="35" t="s">
        <v>637</v>
      </c>
      <c r="J23" s="35" t="s">
        <v>638</v>
      </c>
      <c r="K23" s="35" t="s">
        <v>590</v>
      </c>
      <c r="L23" s="35" t="s">
        <v>376</v>
      </c>
      <c r="M23" s="35" t="s">
        <v>670</v>
      </c>
      <c r="N23" s="35" t="s">
        <v>860</v>
      </c>
      <c r="O23" s="35" t="s">
        <v>793</v>
      </c>
      <c r="P23" s="35" t="s">
        <v>720</v>
      </c>
      <c r="Q23" s="35" t="s">
        <v>592</v>
      </c>
      <c r="R23" s="35" t="s">
        <v>862</v>
      </c>
      <c r="S23" s="35" t="s">
        <v>427</v>
      </c>
      <c r="T23" s="35" t="s">
        <v>384</v>
      </c>
      <c r="U23" s="35" t="s">
        <v>385</v>
      </c>
      <c r="X23" s="35" t="s">
        <v>760</v>
      </c>
      <c r="Y23" s="35" t="s">
        <v>1706</v>
      </c>
      <c r="AD23" s="35" t="s">
        <v>1707</v>
      </c>
      <c r="AE23" s="35" t="s">
        <v>1708</v>
      </c>
      <c r="AF23" s="35" t="s">
        <v>455</v>
      </c>
      <c r="AG23" s="35" t="s">
        <v>2441</v>
      </c>
      <c r="AH23" s="41">
        <v>3.0</v>
      </c>
      <c r="AI23" s="35" t="s">
        <v>647</v>
      </c>
      <c r="AJ23" s="35" t="s">
        <v>2442</v>
      </c>
      <c r="AK23" s="35" t="s">
        <v>2443</v>
      </c>
      <c r="AL23" s="35" t="s">
        <v>1712</v>
      </c>
      <c r="AW23" s="35" t="s">
        <v>1242</v>
      </c>
      <c r="AX23" s="35" t="s">
        <v>675</v>
      </c>
      <c r="AY23" s="41">
        <v>4.0</v>
      </c>
      <c r="AZ23" s="35" t="s">
        <v>675</v>
      </c>
      <c r="BA23" s="35" t="s">
        <v>675</v>
      </c>
      <c r="BB23" s="35" t="s">
        <v>675</v>
      </c>
      <c r="BC23" s="35" t="s">
        <v>675</v>
      </c>
      <c r="BD23" s="35" t="s">
        <v>2444</v>
      </c>
      <c r="BE23" s="35" t="s">
        <v>2445</v>
      </c>
      <c r="BF23" s="35" t="s">
        <v>902</v>
      </c>
      <c r="BG23" s="35" t="s">
        <v>1245</v>
      </c>
      <c r="BH23" s="35" t="s">
        <v>765</v>
      </c>
      <c r="BI23" s="35" t="s">
        <v>2446</v>
      </c>
      <c r="BJ23" s="35" t="s">
        <v>509</v>
      </c>
      <c r="BK23" s="35" t="s">
        <v>2447</v>
      </c>
      <c r="BL23" s="35" t="s">
        <v>437</v>
      </c>
      <c r="BM23" s="35" t="s">
        <v>438</v>
      </c>
      <c r="BN23" s="35" t="s">
        <v>1247</v>
      </c>
      <c r="BO23" s="35" t="s">
        <v>398</v>
      </c>
      <c r="BP23" s="35" t="s">
        <v>10560</v>
      </c>
      <c r="BQ23" s="35" t="s">
        <v>2449</v>
      </c>
      <c r="BR23" s="35" t="s">
        <v>604</v>
      </c>
      <c r="BS23" s="35" t="s">
        <v>2450</v>
      </c>
      <c r="BT23" s="35" t="s">
        <v>1741</v>
      </c>
      <c r="BU23" s="35" t="s">
        <v>404</v>
      </c>
      <c r="BV23" s="35" t="s">
        <v>1772</v>
      </c>
      <c r="BW23" s="35" t="s">
        <v>2451</v>
      </c>
      <c r="BX23" s="35" t="s">
        <v>457</v>
      </c>
      <c r="BZ23" s="35" t="s">
        <v>455</v>
      </c>
      <c r="CA23" s="35" t="s">
        <v>2452</v>
      </c>
      <c r="CB23" s="35" t="s">
        <v>2453</v>
      </c>
      <c r="CC23" s="35" t="s">
        <v>2454</v>
      </c>
      <c r="CD23" s="35" t="s">
        <v>2455</v>
      </c>
      <c r="CE23" s="35" t="s">
        <v>1931</v>
      </c>
      <c r="CG23" s="35" t="s">
        <v>1258</v>
      </c>
      <c r="CI23" s="35" t="s">
        <v>1698</v>
      </c>
      <c r="CJ23" s="35" t="s">
        <v>833</v>
      </c>
      <c r="CK23" s="35" t="s">
        <v>2456</v>
      </c>
      <c r="CL23" s="35" t="s">
        <v>2457</v>
      </c>
      <c r="EU23" s="35" t="s">
        <v>578</v>
      </c>
      <c r="EV23" s="35" t="s">
        <v>1127</v>
      </c>
      <c r="EW23" s="35" t="s">
        <v>663</v>
      </c>
      <c r="EY23" s="35" t="s">
        <v>2458</v>
      </c>
      <c r="EZ23" s="35" t="s">
        <v>2459</v>
      </c>
      <c r="FA23" s="35" t="s">
        <v>583</v>
      </c>
      <c r="FB23" s="35" t="s">
        <v>583</v>
      </c>
      <c r="FC23" s="35" t="s">
        <v>415</v>
      </c>
      <c r="FD23" s="35" t="s">
        <v>414</v>
      </c>
      <c r="FE23" s="35" t="s">
        <v>413</v>
      </c>
      <c r="FF23" s="35" t="s">
        <v>414</v>
      </c>
      <c r="FG23" s="35" t="s">
        <v>414</v>
      </c>
      <c r="FH23" s="35" t="s">
        <v>415</v>
      </c>
      <c r="FI23" s="35" t="s">
        <v>583</v>
      </c>
      <c r="FJ23" s="35" t="s">
        <v>414</v>
      </c>
      <c r="FK23" s="35" t="s">
        <v>414</v>
      </c>
      <c r="FL23" s="35" t="s">
        <v>415</v>
      </c>
      <c r="FM23" s="35" t="s">
        <v>415</v>
      </c>
      <c r="FN23" s="35" t="s">
        <v>413</v>
      </c>
      <c r="FO23" s="35" t="s">
        <v>583</v>
      </c>
      <c r="FP23" s="35" t="s">
        <v>850</v>
      </c>
      <c r="FQ23" s="35" t="s">
        <v>418</v>
      </c>
      <c r="FR23" s="35" t="s">
        <v>419</v>
      </c>
      <c r="FS23" s="35" t="s">
        <v>2460</v>
      </c>
      <c r="FT23" s="35" t="s">
        <v>420</v>
      </c>
      <c r="FU23" s="35" t="s">
        <v>488</v>
      </c>
      <c r="FV23" s="35" t="s">
        <v>489</v>
      </c>
      <c r="FW23" s="35" t="s">
        <v>490</v>
      </c>
      <c r="FX23" s="35" t="s">
        <v>491</v>
      </c>
      <c r="FY23" s="35" t="s">
        <v>10561</v>
      </c>
      <c r="FZ23" s="35" t="s">
        <v>493</v>
      </c>
      <c r="GA23" s="35" t="s">
        <v>2462</v>
      </c>
      <c r="GB23" s="35" t="s">
        <v>2463</v>
      </c>
      <c r="GC23" s="35" t="s">
        <v>408</v>
      </c>
      <c r="GK23" s="35" t="s">
        <v>1000</v>
      </c>
      <c r="GL23" s="35" t="s">
        <v>755</v>
      </c>
      <c r="GM23" s="35" t="s">
        <v>817</v>
      </c>
    </row>
    <row r="24">
      <c r="A24" s="40"/>
      <c r="B24" s="40">
        <v>45828.25383616898</v>
      </c>
      <c r="C24" s="35" t="s">
        <v>368</v>
      </c>
      <c r="D24" s="35" t="s">
        <v>635</v>
      </c>
      <c r="E24" s="35" t="s">
        <v>635</v>
      </c>
      <c r="H24" s="35" t="s">
        <v>422</v>
      </c>
      <c r="I24" s="35" t="s">
        <v>637</v>
      </c>
      <c r="J24" s="35" t="s">
        <v>638</v>
      </c>
      <c r="K24" s="35" t="s">
        <v>590</v>
      </c>
      <c r="L24" s="35" t="s">
        <v>376</v>
      </c>
      <c r="M24" s="35" t="s">
        <v>670</v>
      </c>
      <c r="N24" s="35" t="s">
        <v>2482</v>
      </c>
      <c r="O24" s="35" t="s">
        <v>793</v>
      </c>
      <c r="P24" s="35" t="s">
        <v>671</v>
      </c>
      <c r="Q24" s="35" t="s">
        <v>498</v>
      </c>
      <c r="R24" s="35" t="s">
        <v>862</v>
      </c>
      <c r="S24" s="35" t="s">
        <v>500</v>
      </c>
      <c r="T24" s="35" t="s">
        <v>384</v>
      </c>
      <c r="U24" s="35" t="s">
        <v>385</v>
      </c>
      <c r="X24" s="35" t="s">
        <v>428</v>
      </c>
      <c r="AW24" s="35" t="s">
        <v>1310</v>
      </c>
      <c r="AX24" s="41">
        <v>4.0</v>
      </c>
      <c r="AY24" s="35" t="s">
        <v>391</v>
      </c>
      <c r="AZ24" s="41">
        <v>4.0</v>
      </c>
      <c r="BA24" s="35" t="s">
        <v>675</v>
      </c>
      <c r="BB24" s="35" t="s">
        <v>675</v>
      </c>
      <c r="BC24" s="41">
        <v>4.0</v>
      </c>
      <c r="BD24" s="35" t="s">
        <v>2483</v>
      </c>
      <c r="BE24" s="35" t="s">
        <v>2484</v>
      </c>
      <c r="BF24" s="35" t="s">
        <v>432</v>
      </c>
      <c r="BG24" s="35" t="s">
        <v>393</v>
      </c>
      <c r="BH24" s="35" t="s">
        <v>394</v>
      </c>
      <c r="BI24" s="35" t="s">
        <v>2485</v>
      </c>
      <c r="BJ24" s="35" t="s">
        <v>976</v>
      </c>
      <c r="BL24" s="35" t="s">
        <v>681</v>
      </c>
      <c r="BM24" s="35" t="s">
        <v>603</v>
      </c>
      <c r="BN24" s="35" t="s">
        <v>1247</v>
      </c>
      <c r="BO24" s="35" t="s">
        <v>398</v>
      </c>
      <c r="BP24" s="35" t="s">
        <v>2486</v>
      </c>
      <c r="BQ24" s="35" t="s">
        <v>2487</v>
      </c>
      <c r="BR24" s="35" t="s">
        <v>401</v>
      </c>
      <c r="BS24" s="35" t="s">
        <v>2488</v>
      </c>
      <c r="BU24" s="35" t="s">
        <v>1994</v>
      </c>
      <c r="BV24" s="35" t="s">
        <v>405</v>
      </c>
      <c r="BX24" s="35" t="s">
        <v>406</v>
      </c>
      <c r="BZ24" s="35" t="s">
        <v>408</v>
      </c>
      <c r="CB24" s="35" t="s">
        <v>2489</v>
      </c>
      <c r="CC24" s="35" t="s">
        <v>2490</v>
      </c>
      <c r="CD24" s="35" t="s">
        <v>2491</v>
      </c>
      <c r="CE24" s="35" t="s">
        <v>1257</v>
      </c>
      <c r="CI24" s="35" t="s">
        <v>1259</v>
      </c>
      <c r="CJ24" s="35" t="s">
        <v>833</v>
      </c>
      <c r="CK24" s="35" t="s">
        <v>2492</v>
      </c>
      <c r="CL24" s="35" t="s">
        <v>2493</v>
      </c>
      <c r="EU24" s="35" t="s">
        <v>578</v>
      </c>
      <c r="EV24" s="35" t="s">
        <v>579</v>
      </c>
      <c r="EW24" s="35" t="s">
        <v>527</v>
      </c>
      <c r="EX24" s="35" t="s">
        <v>2494</v>
      </c>
      <c r="EY24" s="35" t="s">
        <v>2495</v>
      </c>
      <c r="EZ24" s="35" t="s">
        <v>2496</v>
      </c>
      <c r="FA24" s="35" t="s">
        <v>416</v>
      </c>
      <c r="FB24" s="35" t="s">
        <v>484</v>
      </c>
      <c r="FC24" s="35" t="s">
        <v>413</v>
      </c>
      <c r="FD24" s="35" t="s">
        <v>413</v>
      </c>
      <c r="FE24" s="35" t="s">
        <v>413</v>
      </c>
      <c r="FF24" s="35" t="s">
        <v>414</v>
      </c>
      <c r="FG24" s="35" t="s">
        <v>413</v>
      </c>
      <c r="FH24" s="35" t="s">
        <v>415</v>
      </c>
      <c r="FI24" s="35" t="s">
        <v>415</v>
      </c>
      <c r="FJ24" s="35" t="s">
        <v>413</v>
      </c>
      <c r="FK24" s="35" t="s">
        <v>416</v>
      </c>
      <c r="FL24" s="35" t="s">
        <v>484</v>
      </c>
      <c r="FM24" s="35" t="s">
        <v>484</v>
      </c>
      <c r="FN24" s="35" t="s">
        <v>484</v>
      </c>
      <c r="FO24" s="35" t="s">
        <v>484</v>
      </c>
      <c r="FP24" s="35" t="s">
        <v>850</v>
      </c>
      <c r="FQ24" s="35" t="s">
        <v>418</v>
      </c>
      <c r="FR24" s="35" t="s">
        <v>1039</v>
      </c>
      <c r="FS24" s="35" t="s">
        <v>631</v>
      </c>
      <c r="FT24" s="35" t="s">
        <v>420</v>
      </c>
      <c r="FU24" s="35" t="s">
        <v>488</v>
      </c>
      <c r="FV24" s="35" t="s">
        <v>1235</v>
      </c>
      <c r="FW24" s="35" t="s">
        <v>490</v>
      </c>
      <c r="FX24" s="35" t="s">
        <v>491</v>
      </c>
      <c r="FZ24" s="35" t="s">
        <v>535</v>
      </c>
      <c r="GC24" s="35" t="s">
        <v>455</v>
      </c>
      <c r="GE24" s="35" t="s">
        <v>2497</v>
      </c>
      <c r="GF24" s="35" t="s">
        <v>753</v>
      </c>
      <c r="GK24" s="35" t="s">
        <v>1000</v>
      </c>
      <c r="GL24" s="35" t="s">
        <v>1000</v>
      </c>
      <c r="GM24" s="35" t="s">
        <v>858</v>
      </c>
    </row>
    <row r="25">
      <c r="A25" s="40"/>
      <c r="B25" s="40">
        <v>45828.2956471412</v>
      </c>
      <c r="C25" s="35" t="s">
        <v>368</v>
      </c>
      <c r="D25" s="35" t="s">
        <v>2498</v>
      </c>
      <c r="E25" s="35" t="s">
        <v>894</v>
      </c>
      <c r="H25" s="35" t="s">
        <v>422</v>
      </c>
      <c r="I25" s="35" t="s">
        <v>423</v>
      </c>
      <c r="J25" s="35" t="s">
        <v>424</v>
      </c>
      <c r="K25" s="35" t="s">
        <v>375</v>
      </c>
      <c r="L25" s="35" t="s">
        <v>376</v>
      </c>
      <c r="M25" s="35" t="s">
        <v>379</v>
      </c>
      <c r="N25" s="35" t="s">
        <v>378</v>
      </c>
      <c r="O25" s="35" t="s">
        <v>379</v>
      </c>
      <c r="P25" s="35" t="s">
        <v>497</v>
      </c>
      <c r="Q25" s="35" t="s">
        <v>381</v>
      </c>
      <c r="R25" s="35" t="s">
        <v>862</v>
      </c>
      <c r="S25" s="35" t="s">
        <v>949</v>
      </c>
      <c r="T25" s="35" t="s">
        <v>384</v>
      </c>
      <c r="U25" s="35" t="s">
        <v>385</v>
      </c>
      <c r="W25" s="35" t="s">
        <v>1045</v>
      </c>
      <c r="X25" s="35" t="s">
        <v>428</v>
      </c>
      <c r="AW25" s="35" t="s">
        <v>1310</v>
      </c>
      <c r="AX25" s="41">
        <v>4.0</v>
      </c>
      <c r="AY25" s="41">
        <v>4.0</v>
      </c>
      <c r="AZ25" s="41">
        <v>4.0</v>
      </c>
      <c r="BA25" s="41">
        <v>4.0</v>
      </c>
      <c r="BB25" s="41">
        <v>4.0</v>
      </c>
      <c r="BC25" s="41">
        <v>4.0</v>
      </c>
      <c r="BD25" s="35" t="s">
        <v>10562</v>
      </c>
      <c r="BE25" s="35" t="s">
        <v>10563</v>
      </c>
      <c r="BF25" s="35" t="s">
        <v>432</v>
      </c>
      <c r="BG25" s="35" t="s">
        <v>1095</v>
      </c>
      <c r="BH25" s="35" t="s">
        <v>394</v>
      </c>
      <c r="BI25" s="35" t="s">
        <v>2501</v>
      </c>
      <c r="BJ25" s="35" t="s">
        <v>976</v>
      </c>
      <c r="BL25" s="35" t="s">
        <v>395</v>
      </c>
      <c r="BM25" s="35" t="s">
        <v>904</v>
      </c>
      <c r="BN25" s="35" t="s">
        <v>1314</v>
      </c>
      <c r="BO25" s="35" t="s">
        <v>398</v>
      </c>
      <c r="BP25" s="35" t="s">
        <v>10564</v>
      </c>
      <c r="BQ25" s="35" t="s">
        <v>408</v>
      </c>
      <c r="BR25" s="35" t="s">
        <v>442</v>
      </c>
      <c r="BS25" s="35" t="s">
        <v>2488</v>
      </c>
      <c r="BT25" s="35" t="s">
        <v>1741</v>
      </c>
      <c r="BU25" s="35" t="s">
        <v>1994</v>
      </c>
      <c r="BV25" s="35" t="s">
        <v>405</v>
      </c>
      <c r="BX25" s="35" t="s">
        <v>406</v>
      </c>
      <c r="BY25" s="35" t="s">
        <v>2503</v>
      </c>
      <c r="BZ25" s="35" t="s">
        <v>408</v>
      </c>
      <c r="CC25" s="35" t="s">
        <v>10565</v>
      </c>
      <c r="CD25" s="35" t="s">
        <v>10566</v>
      </c>
      <c r="CE25" s="35" t="s">
        <v>1257</v>
      </c>
      <c r="CG25" s="35" t="s">
        <v>2233</v>
      </c>
      <c r="CI25" s="35" t="s">
        <v>1259</v>
      </c>
      <c r="CJ25" s="35" t="s">
        <v>410</v>
      </c>
      <c r="CK25" s="35" t="s">
        <v>8640</v>
      </c>
      <c r="CL25" s="35" t="s">
        <v>2507</v>
      </c>
      <c r="EU25" s="35" t="s">
        <v>526</v>
      </c>
      <c r="EV25" s="35" t="s">
        <v>1127</v>
      </c>
      <c r="EW25" s="35" t="s">
        <v>663</v>
      </c>
      <c r="EX25" s="35" t="s">
        <v>10567</v>
      </c>
      <c r="EZ25" s="35" t="s">
        <v>9045</v>
      </c>
      <c r="FA25" s="35" t="s">
        <v>413</v>
      </c>
      <c r="FB25" s="35" t="s">
        <v>416</v>
      </c>
      <c r="FC25" s="35" t="s">
        <v>413</v>
      </c>
      <c r="FD25" s="35" t="s">
        <v>413</v>
      </c>
      <c r="FE25" s="35" t="s">
        <v>413</v>
      </c>
      <c r="FF25" s="35" t="s">
        <v>414</v>
      </c>
      <c r="FG25" s="35" t="s">
        <v>413</v>
      </c>
      <c r="FH25" s="35" t="s">
        <v>413</v>
      </c>
      <c r="FI25" s="35" t="s">
        <v>413</v>
      </c>
      <c r="FJ25" s="35" t="s">
        <v>416</v>
      </c>
      <c r="FK25" s="35" t="s">
        <v>413</v>
      </c>
      <c r="FL25" s="35" t="s">
        <v>413</v>
      </c>
      <c r="FM25" s="35" t="s">
        <v>416</v>
      </c>
      <c r="FN25" s="35" t="s">
        <v>413</v>
      </c>
      <c r="FO25" s="35" t="s">
        <v>484</v>
      </c>
      <c r="FP25" s="35" t="s">
        <v>417</v>
      </c>
      <c r="FQ25" s="35" t="s">
        <v>418</v>
      </c>
      <c r="FR25" s="35" t="s">
        <v>712</v>
      </c>
      <c r="FS25" s="35" t="s">
        <v>6587</v>
      </c>
      <c r="FT25" s="35" t="s">
        <v>420</v>
      </c>
      <c r="FU25" s="35" t="s">
        <v>488</v>
      </c>
      <c r="FV25" s="35" t="s">
        <v>918</v>
      </c>
      <c r="FW25" s="35" t="s">
        <v>490</v>
      </c>
      <c r="FX25" s="35" t="s">
        <v>491</v>
      </c>
      <c r="FY25" s="35" t="s">
        <v>10568</v>
      </c>
      <c r="FZ25" s="35" t="s">
        <v>535</v>
      </c>
      <c r="GA25" s="35" t="s">
        <v>2512</v>
      </c>
      <c r="GC25" s="35" t="s">
        <v>408</v>
      </c>
      <c r="GK25" s="35" t="s">
        <v>755</v>
      </c>
      <c r="GL25" s="35" t="s">
        <v>755</v>
      </c>
      <c r="GM25" s="35" t="s">
        <v>946</v>
      </c>
      <c r="GO25" s="35" t="s">
        <v>2513</v>
      </c>
    </row>
    <row r="26">
      <c r="A26" s="40"/>
      <c r="B26" s="40">
        <v>45828.34100351852</v>
      </c>
      <c r="C26" s="35" t="s">
        <v>368</v>
      </c>
      <c r="D26" s="35" t="s">
        <v>370</v>
      </c>
      <c r="F26" s="35" t="s">
        <v>667</v>
      </c>
      <c r="H26" s="35" t="s">
        <v>372</v>
      </c>
      <c r="I26" s="35" t="s">
        <v>373</v>
      </c>
      <c r="J26" s="35" t="s">
        <v>374</v>
      </c>
      <c r="K26" s="35" t="s">
        <v>590</v>
      </c>
      <c r="L26" s="35" t="s">
        <v>376</v>
      </c>
      <c r="M26" s="35" t="s">
        <v>1526</v>
      </c>
      <c r="N26" s="35" t="s">
        <v>2464</v>
      </c>
      <c r="O26" s="35" t="s">
        <v>1526</v>
      </c>
      <c r="P26" s="35" t="s">
        <v>497</v>
      </c>
      <c r="Q26" s="35" t="s">
        <v>381</v>
      </c>
      <c r="R26" s="35" t="s">
        <v>382</v>
      </c>
      <c r="S26" s="35" t="s">
        <v>500</v>
      </c>
      <c r="T26" s="35" t="s">
        <v>384</v>
      </c>
      <c r="U26" s="35" t="s">
        <v>385</v>
      </c>
      <c r="X26" s="35" t="s">
        <v>760</v>
      </c>
      <c r="Y26" s="35" t="s">
        <v>387</v>
      </c>
      <c r="Z26" s="35" t="s">
        <v>388</v>
      </c>
      <c r="AA26" s="35" t="s">
        <v>389</v>
      </c>
      <c r="AW26" s="35" t="s">
        <v>1242</v>
      </c>
      <c r="AX26" s="35" t="s">
        <v>675</v>
      </c>
      <c r="AY26" s="41">
        <v>4.0</v>
      </c>
      <c r="AZ26" s="35" t="s">
        <v>675</v>
      </c>
      <c r="BA26" s="41">
        <v>4.0</v>
      </c>
      <c r="BB26" s="35" t="s">
        <v>675</v>
      </c>
      <c r="BC26" s="35" t="s">
        <v>675</v>
      </c>
      <c r="BD26" s="35" t="s">
        <v>2525</v>
      </c>
      <c r="BE26" s="35" t="s">
        <v>2526</v>
      </c>
      <c r="BF26" s="35" t="s">
        <v>432</v>
      </c>
      <c r="BG26" s="35" t="s">
        <v>1245</v>
      </c>
      <c r="BH26" s="35" t="s">
        <v>394</v>
      </c>
      <c r="BI26" s="35" t="s">
        <v>10569</v>
      </c>
      <c r="BJ26" s="35" t="s">
        <v>727</v>
      </c>
      <c r="BL26" s="35" t="s">
        <v>437</v>
      </c>
      <c r="BM26" s="35" t="s">
        <v>512</v>
      </c>
      <c r="BN26" s="35" t="s">
        <v>1314</v>
      </c>
      <c r="BO26" s="35" t="s">
        <v>398</v>
      </c>
      <c r="BP26" s="35" t="s">
        <v>10570</v>
      </c>
      <c r="BR26" s="35" t="s">
        <v>604</v>
      </c>
      <c r="BS26" s="35" t="s">
        <v>2529</v>
      </c>
      <c r="BT26" s="35" t="s">
        <v>1741</v>
      </c>
      <c r="BU26" s="35" t="s">
        <v>1672</v>
      </c>
      <c r="BV26" s="35" t="s">
        <v>405</v>
      </c>
      <c r="BX26" s="35" t="s">
        <v>406</v>
      </c>
      <c r="BY26" s="35" t="s">
        <v>2503</v>
      </c>
      <c r="BZ26" s="35" t="s">
        <v>408</v>
      </c>
      <c r="CC26" s="35" t="s">
        <v>2530</v>
      </c>
      <c r="CD26" s="35" t="s">
        <v>10571</v>
      </c>
      <c r="CE26" s="35" t="s">
        <v>2248</v>
      </c>
      <c r="CG26" s="35" t="s">
        <v>1722</v>
      </c>
      <c r="CH26" s="35" t="s">
        <v>2532</v>
      </c>
      <c r="CI26" s="35" t="s">
        <v>1259</v>
      </c>
      <c r="CJ26" s="35" t="s">
        <v>410</v>
      </c>
      <c r="CK26" s="35" t="s">
        <v>10572</v>
      </c>
      <c r="CL26" s="35" t="s">
        <v>2534</v>
      </c>
      <c r="EU26" s="35" t="s">
        <v>526</v>
      </c>
      <c r="EV26" s="35" t="s">
        <v>1127</v>
      </c>
      <c r="EW26" s="35" t="s">
        <v>1262</v>
      </c>
      <c r="EY26" s="35" t="s">
        <v>10573</v>
      </c>
      <c r="EZ26" s="35" t="s">
        <v>2536</v>
      </c>
      <c r="FA26" s="35" t="s">
        <v>414</v>
      </c>
      <c r="FB26" s="35" t="s">
        <v>414</v>
      </c>
      <c r="FC26" s="35" t="s">
        <v>413</v>
      </c>
      <c r="FD26" s="35" t="s">
        <v>415</v>
      </c>
      <c r="FE26" s="35" t="s">
        <v>413</v>
      </c>
      <c r="FF26" s="35" t="s">
        <v>415</v>
      </c>
      <c r="FG26" s="35" t="s">
        <v>413</v>
      </c>
      <c r="FH26" s="35" t="s">
        <v>413</v>
      </c>
      <c r="FI26" s="35" t="s">
        <v>413</v>
      </c>
      <c r="FJ26" s="35" t="s">
        <v>415</v>
      </c>
      <c r="FK26" s="35" t="s">
        <v>415</v>
      </c>
      <c r="FL26" s="35" t="s">
        <v>415</v>
      </c>
      <c r="FM26" s="35" t="s">
        <v>415</v>
      </c>
      <c r="FN26" s="35" t="s">
        <v>413</v>
      </c>
      <c r="FO26" s="35" t="s">
        <v>583</v>
      </c>
      <c r="FP26" s="35" t="s">
        <v>485</v>
      </c>
      <c r="FQ26" s="35" t="s">
        <v>1200</v>
      </c>
      <c r="FR26" s="35" t="s">
        <v>749</v>
      </c>
      <c r="FT26" s="35" t="s">
        <v>420</v>
      </c>
      <c r="FU26" s="35" t="s">
        <v>488</v>
      </c>
      <c r="FV26" s="35" t="s">
        <v>489</v>
      </c>
      <c r="FW26" s="35" t="s">
        <v>490</v>
      </c>
      <c r="FX26" s="35" t="s">
        <v>491</v>
      </c>
      <c r="FY26" s="35" t="s">
        <v>10574</v>
      </c>
      <c r="FZ26" s="35" t="s">
        <v>493</v>
      </c>
      <c r="GC26" s="35" t="s">
        <v>455</v>
      </c>
      <c r="GD26" s="35" t="s">
        <v>10575</v>
      </c>
      <c r="GF26" s="35" t="s">
        <v>753</v>
      </c>
      <c r="GK26" s="35" t="s">
        <v>789</v>
      </c>
      <c r="GL26" s="35" t="s">
        <v>789</v>
      </c>
      <c r="GM26" s="35" t="s">
        <v>946</v>
      </c>
    </row>
    <row r="27">
      <c r="A27" s="40"/>
      <c r="B27" s="40">
        <v>45828.351169953705</v>
      </c>
      <c r="C27" s="35" t="s">
        <v>368</v>
      </c>
      <c r="D27" s="35" t="s">
        <v>2538</v>
      </c>
      <c r="E27" s="35" t="s">
        <v>894</v>
      </c>
      <c r="H27" s="35" t="s">
        <v>422</v>
      </c>
      <c r="I27" s="35" t="s">
        <v>496</v>
      </c>
      <c r="J27" s="35" t="s">
        <v>374</v>
      </c>
      <c r="K27" s="35" t="s">
        <v>540</v>
      </c>
      <c r="L27" s="35" t="s">
        <v>376</v>
      </c>
      <c r="M27" s="35" t="s">
        <v>793</v>
      </c>
      <c r="N27" s="35" t="s">
        <v>2539</v>
      </c>
      <c r="O27" s="35" t="s">
        <v>670</v>
      </c>
      <c r="P27" s="35" t="s">
        <v>1270</v>
      </c>
      <c r="Q27" s="35" t="s">
        <v>498</v>
      </c>
      <c r="R27" s="35" t="s">
        <v>382</v>
      </c>
      <c r="S27" s="35" t="s">
        <v>427</v>
      </c>
      <c r="T27" s="35" t="s">
        <v>384</v>
      </c>
      <c r="U27" s="35" t="s">
        <v>385</v>
      </c>
      <c r="W27" s="35" t="s">
        <v>896</v>
      </c>
      <c r="X27" s="35" t="s">
        <v>428</v>
      </c>
      <c r="AW27" s="35" t="s">
        <v>1242</v>
      </c>
      <c r="AX27" s="35" t="s">
        <v>675</v>
      </c>
      <c r="AY27" s="35" t="s">
        <v>391</v>
      </c>
      <c r="AZ27" s="35" t="s">
        <v>675</v>
      </c>
      <c r="BA27" s="35" t="s">
        <v>675</v>
      </c>
      <c r="BB27" s="35" t="s">
        <v>675</v>
      </c>
      <c r="BC27" s="35" t="s">
        <v>675</v>
      </c>
      <c r="BD27" s="35" t="s">
        <v>2540</v>
      </c>
      <c r="BE27" s="35" t="s">
        <v>10576</v>
      </c>
      <c r="BF27" s="35" t="s">
        <v>432</v>
      </c>
      <c r="BG27" s="35" t="s">
        <v>1095</v>
      </c>
      <c r="BH27" s="35" t="s">
        <v>765</v>
      </c>
      <c r="BI27" s="35" t="s">
        <v>2542</v>
      </c>
      <c r="BJ27" s="35" t="s">
        <v>435</v>
      </c>
      <c r="BK27" s="35" t="s">
        <v>2543</v>
      </c>
      <c r="BL27" s="35" t="s">
        <v>681</v>
      </c>
      <c r="BM27" s="35" t="s">
        <v>438</v>
      </c>
      <c r="BN27" s="35" t="s">
        <v>1314</v>
      </c>
      <c r="BO27" s="35" t="s">
        <v>398</v>
      </c>
      <c r="BP27" s="35" t="s">
        <v>2544</v>
      </c>
      <c r="BQ27" s="35" t="s">
        <v>2545</v>
      </c>
      <c r="BR27" s="35" t="s">
        <v>401</v>
      </c>
      <c r="BS27" s="35" t="s">
        <v>2488</v>
      </c>
      <c r="BT27" s="35" t="s">
        <v>403</v>
      </c>
      <c r="BU27" s="35" t="s">
        <v>1994</v>
      </c>
      <c r="BV27" s="35" t="s">
        <v>405</v>
      </c>
      <c r="BX27" s="35" t="s">
        <v>406</v>
      </c>
      <c r="BY27" s="35" t="s">
        <v>2503</v>
      </c>
      <c r="BZ27" s="35" t="s">
        <v>455</v>
      </c>
      <c r="CA27" s="35" t="s">
        <v>2546</v>
      </c>
      <c r="CB27" s="35" t="s">
        <v>2547</v>
      </c>
      <c r="CC27" s="35" t="s">
        <v>2548</v>
      </c>
      <c r="CD27" s="35" t="s">
        <v>2549</v>
      </c>
      <c r="CE27" s="35" t="s">
        <v>2248</v>
      </c>
      <c r="CG27" s="35" t="s">
        <v>1749</v>
      </c>
      <c r="CH27" s="35" t="s">
        <v>2550</v>
      </c>
      <c r="CI27" s="35" t="s">
        <v>1698</v>
      </c>
      <c r="CJ27" s="35" t="s">
        <v>833</v>
      </c>
      <c r="CK27" s="35" t="s">
        <v>10577</v>
      </c>
      <c r="CL27" s="35" t="s">
        <v>2552</v>
      </c>
      <c r="EU27" s="35" t="s">
        <v>578</v>
      </c>
      <c r="EV27" s="35" t="s">
        <v>1127</v>
      </c>
      <c r="EW27" s="35" t="s">
        <v>480</v>
      </c>
      <c r="EX27" s="35" t="s">
        <v>2553</v>
      </c>
      <c r="EY27" s="35" t="s">
        <v>2554</v>
      </c>
      <c r="FA27" s="35" t="s">
        <v>415</v>
      </c>
      <c r="FB27" s="35" t="s">
        <v>414</v>
      </c>
      <c r="FC27" s="35" t="s">
        <v>413</v>
      </c>
      <c r="FD27" s="35" t="s">
        <v>416</v>
      </c>
      <c r="FE27" s="35" t="s">
        <v>413</v>
      </c>
      <c r="FF27" s="35" t="s">
        <v>414</v>
      </c>
      <c r="FG27" s="35" t="s">
        <v>415</v>
      </c>
      <c r="FH27" s="35" t="s">
        <v>415</v>
      </c>
      <c r="FI27" s="35" t="s">
        <v>583</v>
      </c>
      <c r="FJ27" s="35" t="s">
        <v>414</v>
      </c>
      <c r="FK27" s="35" t="s">
        <v>414</v>
      </c>
      <c r="FL27" s="35" t="s">
        <v>415</v>
      </c>
      <c r="FM27" s="35" t="s">
        <v>416</v>
      </c>
      <c r="FN27" s="35" t="s">
        <v>416</v>
      </c>
      <c r="FO27" s="35" t="s">
        <v>583</v>
      </c>
      <c r="FP27" s="35" t="s">
        <v>1074</v>
      </c>
      <c r="FQ27" s="35" t="s">
        <v>486</v>
      </c>
      <c r="FR27" s="35" t="s">
        <v>419</v>
      </c>
      <c r="FS27" s="35" t="s">
        <v>2555</v>
      </c>
      <c r="FT27" s="35" t="s">
        <v>420</v>
      </c>
      <c r="FU27" s="35" t="s">
        <v>1462</v>
      </c>
      <c r="FV27" s="35" t="s">
        <v>489</v>
      </c>
      <c r="FW27" s="35" t="s">
        <v>490</v>
      </c>
      <c r="FX27" s="35" t="s">
        <v>1853</v>
      </c>
      <c r="FY27" s="35" t="s">
        <v>2556</v>
      </c>
      <c r="FZ27" s="35" t="s">
        <v>535</v>
      </c>
      <c r="GA27" s="35" t="s">
        <v>2557</v>
      </c>
      <c r="GC27" s="35" t="s">
        <v>455</v>
      </c>
      <c r="GD27" s="35" t="s">
        <v>10578</v>
      </c>
      <c r="GF27" s="35" t="s">
        <v>786</v>
      </c>
      <c r="GG27" s="35" t="s">
        <v>10579</v>
      </c>
      <c r="GK27" s="35" t="s">
        <v>755</v>
      </c>
      <c r="GL27" s="35" t="s">
        <v>755</v>
      </c>
      <c r="GM27" s="35" t="s">
        <v>817</v>
      </c>
    </row>
    <row r="28">
      <c r="A28" s="40"/>
      <c r="B28" s="40">
        <v>45828.35893381944</v>
      </c>
      <c r="C28" s="35" t="s">
        <v>368</v>
      </c>
      <c r="D28" s="35" t="s">
        <v>894</v>
      </c>
      <c r="E28" s="35" t="s">
        <v>894</v>
      </c>
      <c r="H28" s="35" t="s">
        <v>422</v>
      </c>
      <c r="I28" s="35" t="s">
        <v>496</v>
      </c>
      <c r="J28" s="35" t="s">
        <v>2578</v>
      </c>
      <c r="K28" s="35" t="s">
        <v>758</v>
      </c>
      <c r="L28" s="35" t="s">
        <v>376</v>
      </c>
      <c r="M28" s="35" t="s">
        <v>793</v>
      </c>
      <c r="N28" s="35" t="s">
        <v>2539</v>
      </c>
      <c r="O28" s="35" t="s">
        <v>379</v>
      </c>
      <c r="P28" s="35" t="s">
        <v>2579</v>
      </c>
      <c r="Q28" s="35" t="s">
        <v>381</v>
      </c>
      <c r="R28" s="35" t="s">
        <v>1004</v>
      </c>
      <c r="S28" s="35" t="s">
        <v>427</v>
      </c>
      <c r="T28" s="35" t="s">
        <v>384</v>
      </c>
      <c r="U28" s="35" t="s">
        <v>385</v>
      </c>
      <c r="V28" s="35" t="s">
        <v>896</v>
      </c>
      <c r="W28" s="35" t="s">
        <v>896</v>
      </c>
      <c r="X28" s="35" t="s">
        <v>760</v>
      </c>
      <c r="Y28" s="35" t="s">
        <v>387</v>
      </c>
      <c r="Z28" s="35" t="s">
        <v>388</v>
      </c>
      <c r="AA28" s="35" t="s">
        <v>389</v>
      </c>
      <c r="AB28" s="35" t="s">
        <v>2580</v>
      </c>
      <c r="AW28" s="35" t="s">
        <v>1310</v>
      </c>
      <c r="AX28" s="35" t="s">
        <v>675</v>
      </c>
      <c r="AY28" s="41">
        <v>4.0</v>
      </c>
      <c r="AZ28" s="41">
        <v>4.0</v>
      </c>
      <c r="BA28" s="35" t="s">
        <v>391</v>
      </c>
      <c r="BB28" s="41">
        <v>4.0</v>
      </c>
      <c r="BC28" s="35" t="s">
        <v>675</v>
      </c>
      <c r="BF28" s="35" t="s">
        <v>902</v>
      </c>
      <c r="BG28" s="35" t="s">
        <v>1095</v>
      </c>
      <c r="BH28" s="35" t="s">
        <v>394</v>
      </c>
      <c r="BJ28" s="35" t="s">
        <v>435</v>
      </c>
      <c r="BL28" s="35" t="s">
        <v>395</v>
      </c>
      <c r="BM28" s="35" t="s">
        <v>438</v>
      </c>
      <c r="BN28" s="35" t="s">
        <v>1247</v>
      </c>
      <c r="BO28" s="35" t="s">
        <v>398</v>
      </c>
      <c r="BP28" s="35" t="s">
        <v>2581</v>
      </c>
      <c r="BQ28" s="35" t="s">
        <v>2582</v>
      </c>
      <c r="BR28" s="35" t="s">
        <v>442</v>
      </c>
      <c r="BS28" s="35" t="s">
        <v>2583</v>
      </c>
      <c r="BT28" s="35" t="s">
        <v>403</v>
      </c>
      <c r="BU28" s="35" t="s">
        <v>404</v>
      </c>
      <c r="BV28" s="35" t="s">
        <v>405</v>
      </c>
      <c r="BX28" s="35" t="s">
        <v>406</v>
      </c>
      <c r="BY28" s="35" t="s">
        <v>407</v>
      </c>
      <c r="BZ28" s="35" t="s">
        <v>408</v>
      </c>
      <c r="CB28" s="35" t="s">
        <v>2584</v>
      </c>
      <c r="CC28" s="35" t="s">
        <v>2585</v>
      </c>
      <c r="CD28" s="35" t="s">
        <v>2586</v>
      </c>
      <c r="CE28" s="35" t="s">
        <v>409</v>
      </c>
      <c r="CF28" s="35" t="s">
        <v>2587</v>
      </c>
      <c r="CG28" s="35" t="s">
        <v>1258</v>
      </c>
      <c r="CI28" s="35" t="s">
        <v>1751</v>
      </c>
      <c r="CJ28" s="35" t="s">
        <v>833</v>
      </c>
      <c r="CK28" s="35" t="s">
        <v>2588</v>
      </c>
      <c r="CL28" s="35" t="s">
        <v>10580</v>
      </c>
      <c r="EU28" s="35" t="s">
        <v>526</v>
      </c>
      <c r="EV28" s="35" t="s">
        <v>1127</v>
      </c>
      <c r="EW28" s="35" t="s">
        <v>1262</v>
      </c>
      <c r="EY28" s="35" t="s">
        <v>2590</v>
      </c>
      <c r="EZ28" s="35" t="s">
        <v>2591</v>
      </c>
      <c r="FA28" s="35" t="s">
        <v>414</v>
      </c>
      <c r="FB28" s="35" t="s">
        <v>414</v>
      </c>
      <c r="FC28" s="35" t="s">
        <v>413</v>
      </c>
      <c r="FD28" s="35" t="s">
        <v>415</v>
      </c>
      <c r="FE28" s="35" t="s">
        <v>413</v>
      </c>
      <c r="FF28" s="35" t="s">
        <v>414</v>
      </c>
      <c r="FG28" s="35" t="s">
        <v>415</v>
      </c>
      <c r="FH28" s="35" t="s">
        <v>413</v>
      </c>
      <c r="FI28" s="35" t="s">
        <v>583</v>
      </c>
      <c r="FJ28" s="35" t="s">
        <v>415</v>
      </c>
      <c r="FK28" s="35" t="s">
        <v>415</v>
      </c>
      <c r="FL28" s="35" t="s">
        <v>415</v>
      </c>
      <c r="FM28" s="35" t="s">
        <v>415</v>
      </c>
      <c r="FN28" s="35" t="s">
        <v>413</v>
      </c>
      <c r="FO28" s="35" t="s">
        <v>583</v>
      </c>
      <c r="FP28" s="35" t="s">
        <v>850</v>
      </c>
      <c r="FQ28" s="35" t="s">
        <v>418</v>
      </c>
      <c r="FR28" s="35" t="s">
        <v>749</v>
      </c>
      <c r="FS28" s="35" t="s">
        <v>2592</v>
      </c>
      <c r="FT28" s="35" t="s">
        <v>1189</v>
      </c>
      <c r="FU28" s="35" t="s">
        <v>488</v>
      </c>
      <c r="FV28" s="35" t="s">
        <v>918</v>
      </c>
      <c r="FW28" s="35" t="s">
        <v>490</v>
      </c>
      <c r="FX28" s="35" t="s">
        <v>491</v>
      </c>
      <c r="FY28" s="35" t="s">
        <v>2593</v>
      </c>
      <c r="FZ28" s="35" t="s">
        <v>535</v>
      </c>
      <c r="GC28" s="35" t="s">
        <v>455</v>
      </c>
      <c r="GD28" s="35" t="s">
        <v>10581</v>
      </c>
      <c r="GF28" s="35" t="s">
        <v>1420</v>
      </c>
      <c r="GG28" s="35" t="s">
        <v>913</v>
      </c>
      <c r="GK28" s="35" t="s">
        <v>857</v>
      </c>
      <c r="GL28" s="35" t="s">
        <v>857</v>
      </c>
      <c r="GM28" s="35" t="s">
        <v>790</v>
      </c>
    </row>
    <row r="29">
      <c r="A29" s="40"/>
      <c r="B29" s="40">
        <v>45828.35894726852</v>
      </c>
      <c r="C29" s="35" t="s">
        <v>368</v>
      </c>
      <c r="D29" s="35" t="s">
        <v>370</v>
      </c>
      <c r="F29" s="35" t="s">
        <v>1382</v>
      </c>
      <c r="H29" s="35" t="s">
        <v>422</v>
      </c>
      <c r="I29" s="35" t="s">
        <v>373</v>
      </c>
      <c r="J29" s="35" t="s">
        <v>638</v>
      </c>
      <c r="K29" s="35" t="s">
        <v>590</v>
      </c>
      <c r="L29" s="35" t="s">
        <v>376</v>
      </c>
      <c r="M29" s="35" t="s">
        <v>426</v>
      </c>
      <c r="N29" s="35" t="s">
        <v>378</v>
      </c>
      <c r="O29" s="35" t="s">
        <v>793</v>
      </c>
      <c r="P29" s="35" t="s">
        <v>2594</v>
      </c>
      <c r="Q29" s="35" t="s">
        <v>381</v>
      </c>
      <c r="R29" s="35" t="s">
        <v>382</v>
      </c>
      <c r="S29" s="35" t="s">
        <v>500</v>
      </c>
      <c r="T29" s="35" t="s">
        <v>384</v>
      </c>
      <c r="U29" s="35" t="s">
        <v>385</v>
      </c>
      <c r="X29" s="35" t="s">
        <v>593</v>
      </c>
      <c r="Y29" s="35" t="s">
        <v>387</v>
      </c>
      <c r="Z29" s="35" t="s">
        <v>2115</v>
      </c>
      <c r="AA29" s="35" t="s">
        <v>502</v>
      </c>
      <c r="AB29" s="35" t="s">
        <v>10582</v>
      </c>
      <c r="AC29" s="35" t="s">
        <v>2596</v>
      </c>
      <c r="AW29" s="35" t="s">
        <v>1242</v>
      </c>
      <c r="AX29" s="41">
        <v>4.0</v>
      </c>
      <c r="AY29" s="41">
        <v>4.0</v>
      </c>
      <c r="AZ29" s="41">
        <v>2.0</v>
      </c>
      <c r="BA29" s="35" t="s">
        <v>675</v>
      </c>
      <c r="BB29" s="35" t="s">
        <v>675</v>
      </c>
      <c r="BC29" s="35" t="s">
        <v>675</v>
      </c>
      <c r="BD29" s="35" t="s">
        <v>2597</v>
      </c>
      <c r="BE29" s="35" t="s">
        <v>2598</v>
      </c>
      <c r="BF29" s="35" t="s">
        <v>902</v>
      </c>
      <c r="BG29" s="35" t="s">
        <v>1047</v>
      </c>
      <c r="BH29" s="35" t="s">
        <v>394</v>
      </c>
      <c r="BI29" s="35" t="s">
        <v>2599</v>
      </c>
      <c r="BJ29" s="35" t="s">
        <v>435</v>
      </c>
      <c r="BK29" s="35" t="s">
        <v>2600</v>
      </c>
      <c r="BL29" s="35" t="s">
        <v>602</v>
      </c>
      <c r="BM29" s="35" t="s">
        <v>603</v>
      </c>
      <c r="BN29" s="35" t="s">
        <v>1314</v>
      </c>
      <c r="BO29" s="35" t="s">
        <v>398</v>
      </c>
      <c r="BP29" s="35" t="s">
        <v>2601</v>
      </c>
      <c r="BQ29" s="35" t="s">
        <v>2602</v>
      </c>
      <c r="BR29" s="35" t="s">
        <v>604</v>
      </c>
      <c r="BS29" s="35" t="s">
        <v>2603</v>
      </c>
      <c r="BT29" s="35" t="s">
        <v>1671</v>
      </c>
      <c r="BU29" s="35" t="s">
        <v>1771</v>
      </c>
      <c r="BV29" s="35" t="s">
        <v>405</v>
      </c>
      <c r="BX29" s="35" t="s">
        <v>457</v>
      </c>
      <c r="BZ29" s="35" t="s">
        <v>455</v>
      </c>
      <c r="CA29" s="35" t="s">
        <v>10583</v>
      </c>
      <c r="CB29" s="35" t="s">
        <v>2605</v>
      </c>
      <c r="CC29" s="35" t="s">
        <v>2606</v>
      </c>
      <c r="CD29" s="35" t="s">
        <v>2607</v>
      </c>
      <c r="CE29" s="35" t="s">
        <v>409</v>
      </c>
      <c r="CF29" s="35" t="s">
        <v>2608</v>
      </c>
      <c r="CG29" s="35" t="s">
        <v>1722</v>
      </c>
      <c r="CH29" s="35" t="s">
        <v>2609</v>
      </c>
      <c r="CI29" s="35" t="s">
        <v>1698</v>
      </c>
      <c r="CJ29" s="35" t="s">
        <v>410</v>
      </c>
      <c r="CK29" s="35" t="s">
        <v>2610</v>
      </c>
      <c r="CL29" s="35" t="s">
        <v>10584</v>
      </c>
      <c r="EU29" s="35" t="s">
        <v>526</v>
      </c>
      <c r="EV29" s="35" t="s">
        <v>479</v>
      </c>
      <c r="EW29" s="35" t="s">
        <v>527</v>
      </c>
      <c r="EX29" s="35" t="s">
        <v>2612</v>
      </c>
      <c r="EY29" s="35" t="s">
        <v>10585</v>
      </c>
      <c r="EZ29" s="35" t="s">
        <v>2614</v>
      </c>
      <c r="FA29" s="35" t="s">
        <v>583</v>
      </c>
      <c r="FB29" s="35" t="s">
        <v>583</v>
      </c>
      <c r="FC29" s="35" t="s">
        <v>414</v>
      </c>
      <c r="FD29" s="35" t="s">
        <v>583</v>
      </c>
      <c r="FE29" s="35" t="s">
        <v>413</v>
      </c>
      <c r="FF29" s="35" t="s">
        <v>583</v>
      </c>
      <c r="FG29" s="35" t="s">
        <v>414</v>
      </c>
      <c r="FH29" s="35" t="s">
        <v>416</v>
      </c>
      <c r="FI29" s="35" t="s">
        <v>583</v>
      </c>
      <c r="FJ29" s="35" t="s">
        <v>583</v>
      </c>
      <c r="FK29" s="35" t="s">
        <v>583</v>
      </c>
      <c r="FL29" s="35" t="s">
        <v>415</v>
      </c>
      <c r="FM29" s="35" t="s">
        <v>414</v>
      </c>
      <c r="FN29" s="35" t="s">
        <v>416</v>
      </c>
      <c r="FO29" s="35" t="s">
        <v>414</v>
      </c>
      <c r="FP29" s="35" t="s">
        <v>417</v>
      </c>
      <c r="FQ29" s="35" t="s">
        <v>418</v>
      </c>
      <c r="FR29" s="35" t="s">
        <v>749</v>
      </c>
      <c r="FS29" s="35" t="s">
        <v>2615</v>
      </c>
      <c r="FT29" s="35" t="s">
        <v>420</v>
      </c>
      <c r="FU29" s="35" t="s">
        <v>1462</v>
      </c>
      <c r="FV29" s="35" t="s">
        <v>489</v>
      </c>
      <c r="FW29" s="35" t="s">
        <v>490</v>
      </c>
      <c r="FX29" s="35" t="s">
        <v>491</v>
      </c>
      <c r="FY29" s="35" t="s">
        <v>10586</v>
      </c>
      <c r="FZ29" s="35" t="s">
        <v>535</v>
      </c>
      <c r="GA29" s="35" t="s">
        <v>2617</v>
      </c>
      <c r="GB29" s="35" t="s">
        <v>2618</v>
      </c>
      <c r="GC29" s="35" t="s">
        <v>455</v>
      </c>
      <c r="GD29" s="35" t="s">
        <v>10587</v>
      </c>
      <c r="GE29" s="29" t="str">
        <v>#ERROR!</v>
      </c>
      <c r="GF29" s="35" t="s">
        <v>753</v>
      </c>
      <c r="GG29" s="35" t="s">
        <v>10588</v>
      </c>
      <c r="GK29" s="35" t="s">
        <v>755</v>
      </c>
      <c r="GL29" s="35" t="s">
        <v>755</v>
      </c>
      <c r="GM29" s="35" t="s">
        <v>817</v>
      </c>
    </row>
    <row r="30">
      <c r="A30" s="40"/>
      <c r="B30" s="40">
        <v>45828.46985780093</v>
      </c>
      <c r="C30" s="35" t="s">
        <v>368</v>
      </c>
      <c r="D30" s="35" t="s">
        <v>370</v>
      </c>
      <c r="F30" s="35" t="s">
        <v>371</v>
      </c>
      <c r="H30" s="35" t="s">
        <v>2657</v>
      </c>
      <c r="I30" s="35" t="s">
        <v>373</v>
      </c>
      <c r="J30" s="35" t="s">
        <v>374</v>
      </c>
      <c r="K30" s="35" t="s">
        <v>669</v>
      </c>
      <c r="L30" s="35" t="s">
        <v>376</v>
      </c>
      <c r="M30" s="35" t="s">
        <v>591</v>
      </c>
      <c r="N30" s="35" t="s">
        <v>2658</v>
      </c>
      <c r="O30" s="35" t="s">
        <v>793</v>
      </c>
      <c r="P30" s="35" t="s">
        <v>2579</v>
      </c>
      <c r="Q30" s="35" t="s">
        <v>592</v>
      </c>
      <c r="R30" s="35" t="s">
        <v>382</v>
      </c>
      <c r="S30" s="35" t="s">
        <v>427</v>
      </c>
      <c r="T30" s="35" t="s">
        <v>384</v>
      </c>
      <c r="U30" s="35" t="s">
        <v>385</v>
      </c>
      <c r="X30" s="35" t="s">
        <v>428</v>
      </c>
      <c r="AW30" s="35" t="s">
        <v>1242</v>
      </c>
      <c r="AX30" s="35" t="s">
        <v>675</v>
      </c>
      <c r="AY30" s="41">
        <v>4.0</v>
      </c>
      <c r="AZ30" s="41">
        <v>4.0</v>
      </c>
      <c r="BA30" s="35" t="s">
        <v>675</v>
      </c>
      <c r="BB30" s="35" t="s">
        <v>675</v>
      </c>
      <c r="BC30" s="35" t="s">
        <v>675</v>
      </c>
      <c r="BF30" s="35" t="s">
        <v>902</v>
      </c>
      <c r="BG30" s="35" t="s">
        <v>1245</v>
      </c>
      <c r="BH30" s="35" t="s">
        <v>725</v>
      </c>
      <c r="BJ30" s="35" t="s">
        <v>435</v>
      </c>
      <c r="BK30" s="35" t="s">
        <v>10589</v>
      </c>
      <c r="BL30" s="35" t="s">
        <v>681</v>
      </c>
      <c r="BM30" s="35" t="s">
        <v>603</v>
      </c>
      <c r="BN30" s="35" t="s">
        <v>1247</v>
      </c>
      <c r="BO30" s="35" t="s">
        <v>398</v>
      </c>
      <c r="BP30" s="35" t="s">
        <v>2660</v>
      </c>
      <c r="BQ30" s="35" t="s">
        <v>2661</v>
      </c>
      <c r="BR30" s="35" t="s">
        <v>604</v>
      </c>
      <c r="BS30" s="35" t="s">
        <v>2662</v>
      </c>
      <c r="BT30" s="35" t="s">
        <v>1741</v>
      </c>
      <c r="BU30" s="35" t="s">
        <v>1742</v>
      </c>
      <c r="BV30" s="35" t="s">
        <v>1772</v>
      </c>
      <c r="BW30" s="35" t="s">
        <v>2663</v>
      </c>
      <c r="BX30" s="35" t="s">
        <v>988</v>
      </c>
      <c r="BZ30" s="35" t="s">
        <v>408</v>
      </c>
      <c r="CB30" s="35" t="s">
        <v>2664</v>
      </c>
      <c r="CC30" s="35" t="s">
        <v>2665</v>
      </c>
      <c r="CD30" s="35" t="s">
        <v>2666</v>
      </c>
      <c r="CE30" s="35" t="s">
        <v>409</v>
      </c>
      <c r="CF30" s="35" t="s">
        <v>10590</v>
      </c>
      <c r="CG30" s="35" t="s">
        <v>1258</v>
      </c>
      <c r="CI30" s="35" t="s">
        <v>1698</v>
      </c>
      <c r="CJ30" s="35" t="s">
        <v>833</v>
      </c>
      <c r="CK30" s="35" t="s">
        <v>10591</v>
      </c>
      <c r="CL30" s="35" t="s">
        <v>10592</v>
      </c>
      <c r="EU30" s="35" t="s">
        <v>526</v>
      </c>
      <c r="EV30" s="35" t="s">
        <v>479</v>
      </c>
      <c r="EW30" s="35" t="s">
        <v>480</v>
      </c>
      <c r="EY30" s="35" t="s">
        <v>2670</v>
      </c>
      <c r="EZ30" s="35" t="s">
        <v>2671</v>
      </c>
      <c r="FA30" s="35" t="s">
        <v>415</v>
      </c>
      <c r="FB30" s="35" t="s">
        <v>415</v>
      </c>
      <c r="FC30" s="35" t="s">
        <v>413</v>
      </c>
      <c r="FD30" s="35" t="s">
        <v>415</v>
      </c>
      <c r="FE30" s="35" t="s">
        <v>413</v>
      </c>
      <c r="FF30" s="35" t="s">
        <v>414</v>
      </c>
      <c r="FG30" s="35" t="s">
        <v>415</v>
      </c>
      <c r="FH30" s="35" t="s">
        <v>413</v>
      </c>
      <c r="FI30" s="35" t="s">
        <v>415</v>
      </c>
      <c r="FJ30" s="35" t="s">
        <v>415</v>
      </c>
      <c r="FK30" s="35" t="s">
        <v>415</v>
      </c>
      <c r="FL30" s="35" t="s">
        <v>415</v>
      </c>
      <c r="FM30" s="35" t="s">
        <v>415</v>
      </c>
      <c r="FN30" s="35" t="s">
        <v>416</v>
      </c>
      <c r="FO30" s="35" t="s">
        <v>414</v>
      </c>
      <c r="FP30" s="35" t="s">
        <v>485</v>
      </c>
      <c r="FQ30" s="35" t="s">
        <v>418</v>
      </c>
      <c r="FR30" s="35" t="s">
        <v>749</v>
      </c>
      <c r="FS30" s="35" t="s">
        <v>2672</v>
      </c>
      <c r="FT30" s="35" t="s">
        <v>420</v>
      </c>
      <c r="FU30" s="35" t="s">
        <v>1462</v>
      </c>
      <c r="FV30" s="35" t="s">
        <v>489</v>
      </c>
      <c r="FW30" s="35" t="s">
        <v>490</v>
      </c>
      <c r="FX30" s="35" t="s">
        <v>491</v>
      </c>
      <c r="FY30" s="35" t="s">
        <v>2673</v>
      </c>
      <c r="FZ30" s="35" t="s">
        <v>493</v>
      </c>
      <c r="GC30" s="35" t="s">
        <v>455</v>
      </c>
      <c r="GD30" s="35" t="s">
        <v>10593</v>
      </c>
      <c r="GF30" s="35" t="s">
        <v>1420</v>
      </c>
      <c r="GK30" s="35" t="s">
        <v>788</v>
      </c>
      <c r="GL30" s="35" t="s">
        <v>920</v>
      </c>
      <c r="GM30" s="35" t="s">
        <v>858</v>
      </c>
    </row>
    <row r="31">
      <c r="A31" s="40"/>
      <c r="B31" s="40">
        <v>45828.52431340278</v>
      </c>
      <c r="C31" s="35" t="s">
        <v>368</v>
      </c>
      <c r="D31" s="35" t="s">
        <v>2727</v>
      </c>
      <c r="E31" s="35" t="s">
        <v>370</v>
      </c>
      <c r="G31" s="35" t="s">
        <v>1421</v>
      </c>
      <c r="H31" s="35" t="s">
        <v>2657</v>
      </c>
      <c r="I31" s="35" t="s">
        <v>637</v>
      </c>
      <c r="J31" s="35" t="s">
        <v>638</v>
      </c>
      <c r="K31" s="35" t="s">
        <v>425</v>
      </c>
      <c r="L31" s="35" t="s">
        <v>376</v>
      </c>
      <c r="M31" s="35" t="s">
        <v>591</v>
      </c>
      <c r="N31" s="35" t="s">
        <v>719</v>
      </c>
      <c r="O31" s="35" t="s">
        <v>396</v>
      </c>
      <c r="P31" s="35" t="s">
        <v>2728</v>
      </c>
      <c r="Q31" s="35" t="s">
        <v>381</v>
      </c>
      <c r="R31" s="35" t="s">
        <v>382</v>
      </c>
      <c r="S31" s="35" t="s">
        <v>500</v>
      </c>
      <c r="T31" s="35" t="s">
        <v>384</v>
      </c>
      <c r="U31" s="35" t="s">
        <v>385</v>
      </c>
      <c r="X31" s="35" t="s">
        <v>428</v>
      </c>
      <c r="Y31" s="35" t="s">
        <v>2729</v>
      </c>
      <c r="AW31" s="35" t="s">
        <v>390</v>
      </c>
      <c r="AX31" s="35" t="s">
        <v>429</v>
      </c>
      <c r="AY31" s="35" t="s">
        <v>391</v>
      </c>
      <c r="AZ31" s="35" t="s">
        <v>429</v>
      </c>
      <c r="BA31" s="35" t="s">
        <v>391</v>
      </c>
      <c r="BB31" s="35" t="s">
        <v>391</v>
      </c>
      <c r="BC31" s="41">
        <v>2.0</v>
      </c>
      <c r="BD31" s="35" t="s">
        <v>2730</v>
      </c>
      <c r="BE31" s="35" t="s">
        <v>10594</v>
      </c>
      <c r="BF31" s="35" t="s">
        <v>432</v>
      </c>
      <c r="BG31" s="35" t="s">
        <v>393</v>
      </c>
      <c r="BH31" s="35" t="s">
        <v>725</v>
      </c>
      <c r="BI31" s="35" t="s">
        <v>2732</v>
      </c>
      <c r="BJ31" s="35" t="s">
        <v>509</v>
      </c>
      <c r="BK31" s="35" t="s">
        <v>10595</v>
      </c>
      <c r="BL31" s="35" t="s">
        <v>681</v>
      </c>
      <c r="BM31" s="35" t="s">
        <v>512</v>
      </c>
      <c r="BN31" s="35" t="s">
        <v>549</v>
      </c>
      <c r="BO31" s="35" t="s">
        <v>398</v>
      </c>
      <c r="BP31" s="35" t="s">
        <v>2734</v>
      </c>
      <c r="BQ31" s="35" t="s">
        <v>10596</v>
      </c>
      <c r="BR31" s="35" t="s">
        <v>604</v>
      </c>
      <c r="BS31" s="35" t="s">
        <v>10597</v>
      </c>
      <c r="BT31" s="35" t="s">
        <v>1671</v>
      </c>
      <c r="BV31" s="35" t="s">
        <v>1831</v>
      </c>
      <c r="BW31" s="35" t="s">
        <v>10598</v>
      </c>
      <c r="BX31" s="35" t="s">
        <v>988</v>
      </c>
      <c r="BZ31" s="35" t="s">
        <v>455</v>
      </c>
      <c r="CA31" s="35" t="s">
        <v>10599</v>
      </c>
      <c r="CB31" s="35" t="s">
        <v>10600</v>
      </c>
      <c r="CC31" s="35" t="s">
        <v>10601</v>
      </c>
      <c r="CD31" s="35" t="s">
        <v>10602</v>
      </c>
      <c r="CE31" s="35" t="s">
        <v>451</v>
      </c>
      <c r="CF31" s="35" t="s">
        <v>2742</v>
      </c>
      <c r="CG31" s="35" t="s">
        <v>1749</v>
      </c>
      <c r="CH31" s="35" t="s">
        <v>10603</v>
      </c>
      <c r="CI31" s="35" t="s">
        <v>2744</v>
      </c>
      <c r="CJ31" s="35" t="s">
        <v>410</v>
      </c>
      <c r="CK31" s="35" t="s">
        <v>10604</v>
      </c>
      <c r="CL31" s="35" t="s">
        <v>10605</v>
      </c>
      <c r="EU31" s="35" t="s">
        <v>2747</v>
      </c>
      <c r="EV31" s="35" t="s">
        <v>579</v>
      </c>
      <c r="EW31" s="35" t="s">
        <v>1262</v>
      </c>
      <c r="EY31" s="35" t="s">
        <v>2748</v>
      </c>
      <c r="EZ31" s="35" t="s">
        <v>10606</v>
      </c>
      <c r="FA31" s="35" t="s">
        <v>415</v>
      </c>
      <c r="FB31" s="35" t="s">
        <v>583</v>
      </c>
      <c r="FC31" s="35" t="s">
        <v>413</v>
      </c>
      <c r="FD31" s="35" t="s">
        <v>583</v>
      </c>
      <c r="FE31" s="35" t="s">
        <v>583</v>
      </c>
      <c r="FF31" s="35" t="s">
        <v>583</v>
      </c>
      <c r="FG31" s="35" t="s">
        <v>414</v>
      </c>
      <c r="FH31" s="35" t="s">
        <v>415</v>
      </c>
      <c r="FI31" s="35" t="s">
        <v>415</v>
      </c>
      <c r="FJ31" s="35" t="s">
        <v>415</v>
      </c>
      <c r="FK31" s="35" t="s">
        <v>415</v>
      </c>
      <c r="FL31" s="35" t="s">
        <v>415</v>
      </c>
      <c r="FM31" s="35" t="s">
        <v>415</v>
      </c>
      <c r="FN31" s="35" t="s">
        <v>415</v>
      </c>
      <c r="FO31" s="35" t="s">
        <v>415</v>
      </c>
      <c r="FP31" s="35" t="s">
        <v>1537</v>
      </c>
      <c r="FQ31" s="35" t="s">
        <v>418</v>
      </c>
      <c r="FR31" s="35" t="s">
        <v>712</v>
      </c>
      <c r="FS31" s="35" t="s">
        <v>5744</v>
      </c>
      <c r="FT31" s="35" t="s">
        <v>1871</v>
      </c>
      <c r="FU31" s="35" t="s">
        <v>2750</v>
      </c>
      <c r="FV31" s="35" t="s">
        <v>918</v>
      </c>
      <c r="FW31" s="35" t="s">
        <v>2387</v>
      </c>
      <c r="FX31" s="35" t="s">
        <v>1853</v>
      </c>
      <c r="FY31" s="35" t="s">
        <v>10607</v>
      </c>
      <c r="FZ31" s="35" t="s">
        <v>1337</v>
      </c>
      <c r="GA31" s="35" t="s">
        <v>10608</v>
      </c>
      <c r="GC31" s="35" t="s">
        <v>408</v>
      </c>
      <c r="GK31" s="35" t="s">
        <v>755</v>
      </c>
      <c r="GL31" s="35" t="s">
        <v>755</v>
      </c>
      <c r="GM31" s="35" t="s">
        <v>858</v>
      </c>
      <c r="GO31" s="35" t="s">
        <v>2753</v>
      </c>
    </row>
    <row r="32">
      <c r="A32" s="40"/>
      <c r="B32" s="40">
        <v>45828.55194200232</v>
      </c>
      <c r="C32" s="35" t="s">
        <v>368</v>
      </c>
      <c r="D32" s="35" t="s">
        <v>2498</v>
      </c>
      <c r="E32" s="35" t="s">
        <v>2498</v>
      </c>
      <c r="H32" s="35" t="s">
        <v>422</v>
      </c>
      <c r="I32" s="35" t="s">
        <v>637</v>
      </c>
      <c r="J32" s="35" t="s">
        <v>1022</v>
      </c>
      <c r="K32" s="35" t="s">
        <v>1023</v>
      </c>
      <c r="L32" s="35" t="s">
        <v>376</v>
      </c>
      <c r="M32" s="35" t="s">
        <v>1526</v>
      </c>
      <c r="N32" s="35" t="s">
        <v>1024</v>
      </c>
      <c r="O32" s="35" t="s">
        <v>1526</v>
      </c>
      <c r="P32" s="35" t="s">
        <v>497</v>
      </c>
      <c r="Q32" s="35" t="s">
        <v>759</v>
      </c>
      <c r="R32" s="35" t="s">
        <v>759</v>
      </c>
      <c r="S32" s="35" t="s">
        <v>427</v>
      </c>
      <c r="T32" s="35" t="s">
        <v>384</v>
      </c>
      <c r="U32" s="35" t="s">
        <v>385</v>
      </c>
      <c r="X32" s="35" t="s">
        <v>386</v>
      </c>
      <c r="Y32" s="35" t="s">
        <v>387</v>
      </c>
      <c r="AA32" s="35" t="s">
        <v>389</v>
      </c>
      <c r="AC32" s="35" t="s">
        <v>2778</v>
      </c>
      <c r="AW32" s="35" t="s">
        <v>1242</v>
      </c>
      <c r="AX32" s="41">
        <v>4.0</v>
      </c>
      <c r="AY32" s="41">
        <v>4.0</v>
      </c>
      <c r="AZ32" s="35" t="s">
        <v>675</v>
      </c>
      <c r="BA32" s="35" t="s">
        <v>675</v>
      </c>
      <c r="BB32" s="35" t="s">
        <v>675</v>
      </c>
      <c r="BC32" s="41">
        <v>4.0</v>
      </c>
      <c r="BD32" s="35" t="s">
        <v>2779</v>
      </c>
      <c r="BE32" s="35" t="s">
        <v>2780</v>
      </c>
      <c r="BF32" s="35" t="s">
        <v>1094</v>
      </c>
      <c r="BG32" s="35" t="s">
        <v>1095</v>
      </c>
      <c r="BH32" s="35" t="s">
        <v>394</v>
      </c>
      <c r="BI32" s="35" t="s">
        <v>2781</v>
      </c>
      <c r="BJ32" s="35" t="s">
        <v>824</v>
      </c>
      <c r="BL32" s="35" t="s">
        <v>437</v>
      </c>
      <c r="BM32" s="35" t="s">
        <v>396</v>
      </c>
      <c r="BN32" s="35" t="s">
        <v>1314</v>
      </c>
      <c r="BO32" s="35" t="s">
        <v>398</v>
      </c>
      <c r="BP32" s="35" t="s">
        <v>2782</v>
      </c>
      <c r="BQ32" s="35" t="s">
        <v>2783</v>
      </c>
      <c r="BR32" s="35" t="s">
        <v>604</v>
      </c>
      <c r="BS32" s="35" t="s">
        <v>2784</v>
      </c>
      <c r="BT32" s="35" t="s">
        <v>1741</v>
      </c>
      <c r="BU32" s="35" t="s">
        <v>1994</v>
      </c>
      <c r="BV32" s="35" t="s">
        <v>405</v>
      </c>
      <c r="BX32" s="35" t="s">
        <v>406</v>
      </c>
      <c r="BY32" s="35" t="s">
        <v>2503</v>
      </c>
      <c r="BZ32" s="35" t="s">
        <v>455</v>
      </c>
      <c r="CA32" s="35" t="s">
        <v>2785</v>
      </c>
      <c r="CC32" s="35" t="s">
        <v>2786</v>
      </c>
      <c r="CD32" s="35" t="s">
        <v>2787</v>
      </c>
      <c r="CE32" s="35" t="s">
        <v>1257</v>
      </c>
      <c r="CF32" s="35" t="s">
        <v>2788</v>
      </c>
      <c r="CG32" s="35" t="s">
        <v>1258</v>
      </c>
      <c r="CI32" s="35" t="s">
        <v>1259</v>
      </c>
      <c r="CJ32" s="35" t="s">
        <v>1964</v>
      </c>
      <c r="CK32" s="35" t="s">
        <v>2789</v>
      </c>
      <c r="CL32" s="35" t="s">
        <v>10609</v>
      </c>
      <c r="EU32" s="35" t="s">
        <v>526</v>
      </c>
      <c r="EV32" s="35" t="s">
        <v>579</v>
      </c>
      <c r="EW32" s="35" t="s">
        <v>1534</v>
      </c>
      <c r="FA32" s="35" t="s">
        <v>413</v>
      </c>
      <c r="FB32" s="35" t="s">
        <v>414</v>
      </c>
      <c r="FC32" s="35" t="s">
        <v>413</v>
      </c>
      <c r="FD32" s="35" t="s">
        <v>415</v>
      </c>
      <c r="FE32" s="35" t="s">
        <v>413</v>
      </c>
      <c r="FF32" s="35" t="s">
        <v>415</v>
      </c>
      <c r="FG32" s="35" t="s">
        <v>413</v>
      </c>
      <c r="FH32" s="35" t="s">
        <v>413</v>
      </c>
      <c r="FJ32" s="35" t="s">
        <v>413</v>
      </c>
      <c r="FK32" s="35" t="s">
        <v>416</v>
      </c>
      <c r="FL32" s="35" t="s">
        <v>413</v>
      </c>
      <c r="FM32" s="35" t="s">
        <v>413</v>
      </c>
      <c r="FN32" s="35" t="s">
        <v>484</v>
      </c>
      <c r="FO32" s="35" t="s">
        <v>484</v>
      </c>
      <c r="FP32" s="35" t="s">
        <v>417</v>
      </c>
      <c r="FQ32" s="35" t="s">
        <v>418</v>
      </c>
      <c r="FR32" s="35" t="s">
        <v>1039</v>
      </c>
      <c r="FS32" s="35" t="s">
        <v>2791</v>
      </c>
      <c r="FT32" s="35" t="s">
        <v>420</v>
      </c>
      <c r="FU32" s="35" t="s">
        <v>488</v>
      </c>
      <c r="FV32" s="35" t="s">
        <v>1235</v>
      </c>
      <c r="FW32" s="35" t="s">
        <v>490</v>
      </c>
      <c r="FX32" s="35" t="s">
        <v>491</v>
      </c>
      <c r="FY32" s="35" t="s">
        <v>2792</v>
      </c>
      <c r="FZ32" s="35" t="s">
        <v>535</v>
      </c>
      <c r="GA32" s="35" t="s">
        <v>2793</v>
      </c>
      <c r="GC32" s="35" t="s">
        <v>455</v>
      </c>
      <c r="GF32" s="35" t="s">
        <v>1420</v>
      </c>
      <c r="GK32" s="35" t="s">
        <v>755</v>
      </c>
      <c r="GL32" s="35" t="s">
        <v>755</v>
      </c>
      <c r="GM32" s="35" t="s">
        <v>756</v>
      </c>
      <c r="GO32" s="35" t="s">
        <v>2794</v>
      </c>
    </row>
    <row r="33">
      <c r="A33" s="40"/>
      <c r="B33" s="40">
        <v>45828.57987178241</v>
      </c>
      <c r="C33" s="35" t="s">
        <v>368</v>
      </c>
      <c r="D33" s="35" t="s">
        <v>370</v>
      </c>
      <c r="F33" s="35" t="s">
        <v>667</v>
      </c>
      <c r="H33" s="35" t="s">
        <v>1269</v>
      </c>
      <c r="I33" s="35" t="s">
        <v>496</v>
      </c>
      <c r="J33" s="35" t="s">
        <v>2578</v>
      </c>
      <c r="K33" s="35" t="s">
        <v>669</v>
      </c>
      <c r="L33" s="35" t="s">
        <v>376</v>
      </c>
      <c r="M33" s="35" t="s">
        <v>379</v>
      </c>
      <c r="N33" s="35" t="s">
        <v>2464</v>
      </c>
      <c r="O33" s="35" t="s">
        <v>379</v>
      </c>
      <c r="P33" s="35" t="s">
        <v>497</v>
      </c>
      <c r="Q33" s="35" t="s">
        <v>381</v>
      </c>
      <c r="R33" s="35" t="s">
        <v>862</v>
      </c>
      <c r="S33" s="35" t="s">
        <v>949</v>
      </c>
      <c r="T33" s="35" t="s">
        <v>384</v>
      </c>
      <c r="U33" s="35" t="s">
        <v>385</v>
      </c>
      <c r="X33" s="35" t="s">
        <v>428</v>
      </c>
      <c r="AW33" s="35" t="s">
        <v>597</v>
      </c>
      <c r="AX33" s="35" t="s">
        <v>391</v>
      </c>
      <c r="AY33" s="35" t="s">
        <v>391</v>
      </c>
      <c r="AZ33" s="35" t="s">
        <v>391</v>
      </c>
      <c r="BA33" s="41">
        <v>4.0</v>
      </c>
      <c r="BB33" s="41">
        <v>4.0</v>
      </c>
      <c r="BC33" s="35" t="s">
        <v>391</v>
      </c>
      <c r="BD33" s="35" t="s">
        <v>2809</v>
      </c>
      <c r="BE33" s="35" t="s">
        <v>2810</v>
      </c>
      <c r="BF33" s="35" t="s">
        <v>392</v>
      </c>
      <c r="BG33" s="35" t="s">
        <v>393</v>
      </c>
      <c r="BH33" s="35" t="s">
        <v>725</v>
      </c>
      <c r="BI33" s="35" t="s">
        <v>2811</v>
      </c>
      <c r="BJ33" s="35" t="s">
        <v>435</v>
      </c>
      <c r="BK33" s="35" t="s">
        <v>10610</v>
      </c>
      <c r="BL33" s="35" t="s">
        <v>681</v>
      </c>
      <c r="BM33" s="35" t="s">
        <v>438</v>
      </c>
      <c r="BN33" s="35" t="s">
        <v>397</v>
      </c>
      <c r="BO33" s="35" t="s">
        <v>398</v>
      </c>
      <c r="BP33" s="35" t="s">
        <v>2813</v>
      </c>
      <c r="BQ33" s="35" t="s">
        <v>10611</v>
      </c>
      <c r="BR33" s="35" t="s">
        <v>604</v>
      </c>
      <c r="BS33" s="35" t="s">
        <v>2815</v>
      </c>
      <c r="BT33" s="35" t="s">
        <v>403</v>
      </c>
      <c r="BU33" s="35" t="s">
        <v>1742</v>
      </c>
      <c r="BV33" s="35" t="s">
        <v>1693</v>
      </c>
      <c r="BW33" s="35" t="s">
        <v>10612</v>
      </c>
      <c r="BX33" s="35" t="s">
        <v>406</v>
      </c>
      <c r="BY33" s="35" t="s">
        <v>2503</v>
      </c>
      <c r="BZ33" s="35" t="s">
        <v>408</v>
      </c>
      <c r="CB33" s="35" t="s">
        <v>2817</v>
      </c>
      <c r="CC33" s="35" t="s">
        <v>10613</v>
      </c>
      <c r="CD33" s="35" t="s">
        <v>10614</v>
      </c>
      <c r="CE33" s="35" t="s">
        <v>409</v>
      </c>
      <c r="CF33" s="35" t="s">
        <v>2820</v>
      </c>
      <c r="CG33" s="35" t="s">
        <v>1258</v>
      </c>
      <c r="CI33" s="35" t="s">
        <v>1698</v>
      </c>
      <c r="CJ33" s="35" t="s">
        <v>833</v>
      </c>
      <c r="CK33" s="35" t="s">
        <v>2821</v>
      </c>
      <c r="EU33" s="35" t="s">
        <v>578</v>
      </c>
      <c r="EV33" s="35" t="s">
        <v>479</v>
      </c>
      <c r="EW33" s="35" t="s">
        <v>527</v>
      </c>
      <c r="EX33" s="35" t="s">
        <v>10615</v>
      </c>
      <c r="EY33" s="35" t="s">
        <v>2823</v>
      </c>
      <c r="EZ33" s="35" t="s">
        <v>10616</v>
      </c>
      <c r="FA33" s="35" t="s">
        <v>414</v>
      </c>
      <c r="FB33" s="35" t="s">
        <v>414</v>
      </c>
      <c r="FC33" s="35" t="s">
        <v>415</v>
      </c>
      <c r="FD33" s="35" t="s">
        <v>583</v>
      </c>
      <c r="FE33" s="35" t="s">
        <v>416</v>
      </c>
      <c r="FF33" s="35" t="s">
        <v>583</v>
      </c>
      <c r="FG33" s="35" t="s">
        <v>414</v>
      </c>
      <c r="FH33" s="35" t="s">
        <v>416</v>
      </c>
      <c r="FI33" s="35" t="s">
        <v>414</v>
      </c>
      <c r="FJ33" s="35" t="s">
        <v>583</v>
      </c>
      <c r="FK33" s="35" t="s">
        <v>583</v>
      </c>
      <c r="FL33" s="35" t="s">
        <v>415</v>
      </c>
      <c r="FM33" s="35" t="s">
        <v>415</v>
      </c>
      <c r="FN33" s="35" t="s">
        <v>415</v>
      </c>
      <c r="FO33" s="35" t="s">
        <v>583</v>
      </c>
      <c r="FP33" s="35" t="s">
        <v>850</v>
      </c>
      <c r="FQ33" s="35" t="s">
        <v>486</v>
      </c>
      <c r="FR33" s="35" t="s">
        <v>630</v>
      </c>
      <c r="FS33" s="35" t="s">
        <v>2825</v>
      </c>
      <c r="FT33" s="35" t="s">
        <v>1189</v>
      </c>
      <c r="FU33" s="35" t="s">
        <v>1462</v>
      </c>
      <c r="FV33" s="35" t="s">
        <v>533</v>
      </c>
      <c r="FW33" s="35" t="s">
        <v>490</v>
      </c>
      <c r="FX33" s="35" t="s">
        <v>491</v>
      </c>
      <c r="FZ33" s="35" t="s">
        <v>1020</v>
      </c>
      <c r="GB33" s="35" t="s">
        <v>10617</v>
      </c>
      <c r="GC33" s="35" t="s">
        <v>408</v>
      </c>
      <c r="GK33" s="35" t="s">
        <v>920</v>
      </c>
      <c r="GL33" s="35" t="s">
        <v>920</v>
      </c>
      <c r="GM33" s="35" t="s">
        <v>817</v>
      </c>
    </row>
    <row r="34">
      <c r="A34" s="40"/>
      <c r="B34" s="40">
        <v>45828.64029736111</v>
      </c>
      <c r="C34" s="35" t="s">
        <v>368</v>
      </c>
      <c r="D34" s="35" t="s">
        <v>370</v>
      </c>
      <c r="F34" s="35" t="s">
        <v>495</v>
      </c>
      <c r="H34" s="35" t="s">
        <v>422</v>
      </c>
      <c r="I34" s="35" t="s">
        <v>637</v>
      </c>
      <c r="J34" s="35" t="s">
        <v>638</v>
      </c>
      <c r="K34" s="35" t="s">
        <v>590</v>
      </c>
      <c r="L34" s="35" t="s">
        <v>376</v>
      </c>
      <c r="M34" s="35" t="s">
        <v>379</v>
      </c>
      <c r="N34" s="35" t="s">
        <v>2464</v>
      </c>
      <c r="O34" s="35" t="s">
        <v>377</v>
      </c>
      <c r="P34" s="35" t="s">
        <v>380</v>
      </c>
      <c r="Q34" s="35" t="s">
        <v>1760</v>
      </c>
      <c r="R34" s="35" t="s">
        <v>1156</v>
      </c>
      <c r="S34" s="35" t="s">
        <v>500</v>
      </c>
      <c r="T34" s="35" t="s">
        <v>2837</v>
      </c>
      <c r="U34" s="35" t="s">
        <v>385</v>
      </c>
      <c r="X34" s="35" t="s">
        <v>593</v>
      </c>
      <c r="Y34" s="35" t="s">
        <v>387</v>
      </c>
      <c r="Z34" s="35" t="s">
        <v>1922</v>
      </c>
      <c r="AA34" s="35" t="s">
        <v>543</v>
      </c>
      <c r="AB34" s="35" t="s">
        <v>10618</v>
      </c>
      <c r="AC34" s="35" t="s">
        <v>10619</v>
      </c>
      <c r="AW34" s="35" t="s">
        <v>1310</v>
      </c>
      <c r="AX34" s="35" t="s">
        <v>675</v>
      </c>
      <c r="AY34" s="35" t="s">
        <v>675</v>
      </c>
      <c r="AZ34" s="35" t="s">
        <v>675</v>
      </c>
      <c r="BA34" s="35" t="s">
        <v>391</v>
      </c>
      <c r="BB34" s="35" t="s">
        <v>675</v>
      </c>
      <c r="BC34" s="35" t="s">
        <v>675</v>
      </c>
      <c r="BD34" s="35" t="s">
        <v>10620</v>
      </c>
      <c r="BE34" s="35" t="s">
        <v>10621</v>
      </c>
      <c r="BF34" s="35" t="s">
        <v>432</v>
      </c>
      <c r="BG34" s="35" t="s">
        <v>1245</v>
      </c>
      <c r="BH34" s="35" t="s">
        <v>434</v>
      </c>
      <c r="BI34" s="35" t="s">
        <v>2842</v>
      </c>
      <c r="BJ34" s="35" t="s">
        <v>435</v>
      </c>
      <c r="BK34" s="35" t="s">
        <v>2843</v>
      </c>
      <c r="BL34" s="35" t="s">
        <v>437</v>
      </c>
      <c r="BM34" s="35" t="s">
        <v>603</v>
      </c>
      <c r="BN34" s="35" t="s">
        <v>1314</v>
      </c>
      <c r="BO34" s="35" t="s">
        <v>398</v>
      </c>
      <c r="BP34" s="35" t="s">
        <v>10622</v>
      </c>
      <c r="BQ34" s="35" t="s">
        <v>10623</v>
      </c>
      <c r="BR34" s="35" t="s">
        <v>604</v>
      </c>
      <c r="BS34" s="35" t="s">
        <v>2488</v>
      </c>
      <c r="BT34" s="35" t="s">
        <v>1741</v>
      </c>
      <c r="BV34" s="35" t="s">
        <v>1831</v>
      </c>
      <c r="BW34" s="35" t="s">
        <v>10624</v>
      </c>
      <c r="BX34" s="35" t="s">
        <v>457</v>
      </c>
      <c r="BZ34" s="35" t="s">
        <v>408</v>
      </c>
      <c r="CB34" s="35" t="s">
        <v>10625</v>
      </c>
      <c r="CC34" s="35" t="s">
        <v>10626</v>
      </c>
      <c r="CD34" s="35" t="s">
        <v>10627</v>
      </c>
      <c r="CE34" s="35" t="s">
        <v>409</v>
      </c>
      <c r="CF34" s="35" t="s">
        <v>10628</v>
      </c>
      <c r="CG34" s="35" t="s">
        <v>1722</v>
      </c>
      <c r="CH34" s="35" t="s">
        <v>2851</v>
      </c>
      <c r="CI34" s="35" t="s">
        <v>2852</v>
      </c>
      <c r="CJ34" s="35" t="s">
        <v>410</v>
      </c>
      <c r="CK34" s="35" t="s">
        <v>10629</v>
      </c>
      <c r="CL34" s="35" t="s">
        <v>10630</v>
      </c>
      <c r="EU34" s="35" t="s">
        <v>578</v>
      </c>
      <c r="EV34" s="35" t="s">
        <v>579</v>
      </c>
      <c r="EW34" s="35" t="s">
        <v>778</v>
      </c>
      <c r="EX34" s="35" t="s">
        <v>10631</v>
      </c>
      <c r="EY34" s="35" t="s">
        <v>10632</v>
      </c>
      <c r="EZ34" s="35" t="s">
        <v>10633</v>
      </c>
      <c r="FA34" s="35" t="s">
        <v>583</v>
      </c>
      <c r="FB34" s="35" t="s">
        <v>583</v>
      </c>
      <c r="FC34" s="35" t="s">
        <v>413</v>
      </c>
      <c r="FD34" s="35" t="s">
        <v>413</v>
      </c>
      <c r="FE34" s="35" t="s">
        <v>413</v>
      </c>
      <c r="FF34" s="35" t="s">
        <v>413</v>
      </c>
      <c r="FG34" s="35" t="s">
        <v>415</v>
      </c>
      <c r="FH34" s="35" t="s">
        <v>413</v>
      </c>
      <c r="FI34" s="35" t="s">
        <v>583</v>
      </c>
      <c r="FJ34" s="35" t="s">
        <v>413</v>
      </c>
      <c r="FK34" s="35" t="s">
        <v>583</v>
      </c>
      <c r="FL34" s="35" t="s">
        <v>583</v>
      </c>
      <c r="FM34" s="35" t="s">
        <v>583</v>
      </c>
      <c r="FN34" s="35" t="s">
        <v>413</v>
      </c>
      <c r="FO34" s="35" t="s">
        <v>583</v>
      </c>
      <c r="FP34" s="35" t="s">
        <v>485</v>
      </c>
      <c r="FQ34" s="35" t="s">
        <v>418</v>
      </c>
      <c r="FR34" s="35" t="s">
        <v>749</v>
      </c>
      <c r="FS34" s="35" t="s">
        <v>10634</v>
      </c>
      <c r="FT34" s="35" t="s">
        <v>420</v>
      </c>
      <c r="FU34" s="35" t="s">
        <v>488</v>
      </c>
      <c r="FV34" s="35" t="s">
        <v>489</v>
      </c>
      <c r="FW34" s="35" t="s">
        <v>490</v>
      </c>
      <c r="FX34" s="35" t="s">
        <v>491</v>
      </c>
      <c r="FY34" s="35" t="s">
        <v>10635</v>
      </c>
      <c r="FZ34" s="35" t="s">
        <v>493</v>
      </c>
      <c r="GA34" s="35" t="s">
        <v>10636</v>
      </c>
      <c r="GC34" s="35" t="s">
        <v>455</v>
      </c>
      <c r="GD34" s="35" t="s">
        <v>10637</v>
      </c>
      <c r="GE34" s="41">
        <v>3.306419721E9</v>
      </c>
      <c r="GF34" s="35" t="s">
        <v>753</v>
      </c>
      <c r="GG34" s="35" t="s">
        <v>10638</v>
      </c>
      <c r="GK34" s="35" t="s">
        <v>755</v>
      </c>
      <c r="GL34" s="35" t="s">
        <v>755</v>
      </c>
      <c r="GM34" s="35" t="s">
        <v>946</v>
      </c>
    </row>
    <row r="35">
      <c r="A35" s="40"/>
      <c r="B35" s="40">
        <v>45828.643401828704</v>
      </c>
      <c r="C35" s="35" t="s">
        <v>368</v>
      </c>
      <c r="D35" s="35" t="s">
        <v>370</v>
      </c>
      <c r="F35" s="35" t="s">
        <v>1480</v>
      </c>
      <c r="H35" s="35" t="s">
        <v>422</v>
      </c>
      <c r="I35" s="35" t="s">
        <v>1203</v>
      </c>
      <c r="J35" s="35" t="s">
        <v>638</v>
      </c>
      <c r="K35" s="35" t="s">
        <v>1204</v>
      </c>
      <c r="L35" s="35" t="s">
        <v>376</v>
      </c>
      <c r="M35" s="35" t="s">
        <v>591</v>
      </c>
      <c r="N35" s="35" t="s">
        <v>720</v>
      </c>
      <c r="O35" s="35" t="s">
        <v>591</v>
      </c>
      <c r="P35" s="35" t="s">
        <v>719</v>
      </c>
      <c r="Q35" s="35" t="s">
        <v>498</v>
      </c>
      <c r="R35" s="35" t="s">
        <v>382</v>
      </c>
      <c r="S35" s="35" t="s">
        <v>949</v>
      </c>
      <c r="T35" s="35" t="s">
        <v>384</v>
      </c>
      <c r="U35" s="35" t="s">
        <v>385</v>
      </c>
      <c r="X35" s="35" t="s">
        <v>428</v>
      </c>
      <c r="AW35" s="35" t="s">
        <v>597</v>
      </c>
      <c r="AX35" s="35" t="s">
        <v>675</v>
      </c>
      <c r="AY35" s="41">
        <v>4.0</v>
      </c>
      <c r="AZ35" s="35" t="s">
        <v>675</v>
      </c>
      <c r="BA35" s="35" t="s">
        <v>675</v>
      </c>
      <c r="BB35" s="35" t="s">
        <v>675</v>
      </c>
      <c r="BC35" s="35" t="s">
        <v>675</v>
      </c>
      <c r="BD35" s="35" t="s">
        <v>2862</v>
      </c>
      <c r="BE35" s="35" t="s">
        <v>2863</v>
      </c>
      <c r="BF35" s="35" t="s">
        <v>432</v>
      </c>
      <c r="BG35" s="35" t="s">
        <v>1095</v>
      </c>
      <c r="BH35" s="35" t="s">
        <v>394</v>
      </c>
      <c r="BJ35" s="35" t="s">
        <v>824</v>
      </c>
      <c r="BL35" s="35" t="s">
        <v>395</v>
      </c>
      <c r="BM35" s="35" t="s">
        <v>603</v>
      </c>
      <c r="BN35" s="35" t="s">
        <v>397</v>
      </c>
      <c r="BO35" s="35" t="s">
        <v>398</v>
      </c>
      <c r="BQ35" s="35" t="s">
        <v>2864</v>
      </c>
      <c r="BR35" s="35" t="s">
        <v>604</v>
      </c>
      <c r="BS35" s="35" t="s">
        <v>2865</v>
      </c>
      <c r="BT35" s="35" t="s">
        <v>1741</v>
      </c>
      <c r="BU35" s="35" t="s">
        <v>1742</v>
      </c>
      <c r="BV35" s="35" t="s">
        <v>1693</v>
      </c>
      <c r="BW35" s="35" t="s">
        <v>2866</v>
      </c>
      <c r="BX35" s="35" t="s">
        <v>406</v>
      </c>
      <c r="BY35" s="35" t="s">
        <v>407</v>
      </c>
      <c r="BZ35" s="35" t="s">
        <v>408</v>
      </c>
      <c r="CD35" s="35" t="s">
        <v>2867</v>
      </c>
      <c r="CE35" s="35" t="s">
        <v>409</v>
      </c>
      <c r="CF35" s="35" t="s">
        <v>2868</v>
      </c>
      <c r="CG35" s="35" t="s">
        <v>1258</v>
      </c>
      <c r="CI35" s="35" t="s">
        <v>1698</v>
      </c>
      <c r="CJ35" s="35" t="s">
        <v>833</v>
      </c>
      <c r="CK35" s="35" t="s">
        <v>10639</v>
      </c>
      <c r="CL35" s="35" t="s">
        <v>2870</v>
      </c>
      <c r="EU35" s="35" t="s">
        <v>578</v>
      </c>
      <c r="EV35" s="35" t="s">
        <v>479</v>
      </c>
      <c r="EW35" s="35" t="s">
        <v>527</v>
      </c>
      <c r="EX35" s="35" t="s">
        <v>2871</v>
      </c>
      <c r="EY35" s="35" t="s">
        <v>2872</v>
      </c>
      <c r="EZ35" s="35" t="s">
        <v>2873</v>
      </c>
      <c r="FA35" s="35" t="s">
        <v>583</v>
      </c>
      <c r="FB35" s="35" t="s">
        <v>583</v>
      </c>
      <c r="FC35" s="35" t="s">
        <v>415</v>
      </c>
      <c r="FD35" s="35" t="s">
        <v>583</v>
      </c>
      <c r="FE35" s="35" t="s">
        <v>416</v>
      </c>
      <c r="FF35" s="35" t="s">
        <v>583</v>
      </c>
      <c r="FG35" s="35" t="s">
        <v>414</v>
      </c>
      <c r="FH35" s="35" t="s">
        <v>415</v>
      </c>
      <c r="FI35" s="35" t="s">
        <v>415</v>
      </c>
      <c r="FJ35" s="35" t="s">
        <v>583</v>
      </c>
      <c r="FK35" s="35" t="s">
        <v>583</v>
      </c>
      <c r="FL35" s="35" t="s">
        <v>415</v>
      </c>
      <c r="FM35" s="35" t="s">
        <v>415</v>
      </c>
      <c r="FN35" s="35" t="s">
        <v>415</v>
      </c>
      <c r="FO35" s="35" t="s">
        <v>415</v>
      </c>
      <c r="FP35" s="35" t="s">
        <v>485</v>
      </c>
      <c r="FQ35" s="35" t="s">
        <v>418</v>
      </c>
      <c r="FR35" s="35" t="s">
        <v>419</v>
      </c>
      <c r="FS35" s="35" t="s">
        <v>2874</v>
      </c>
      <c r="FT35" s="35" t="s">
        <v>995</v>
      </c>
      <c r="FU35" s="35" t="s">
        <v>1462</v>
      </c>
      <c r="FV35" s="35" t="s">
        <v>533</v>
      </c>
      <c r="FW35" s="35" t="s">
        <v>490</v>
      </c>
      <c r="FX35" s="35" t="s">
        <v>491</v>
      </c>
      <c r="FY35" s="35" t="s">
        <v>2875</v>
      </c>
      <c r="FZ35" s="35" t="s">
        <v>493</v>
      </c>
      <c r="GA35" s="35" t="s">
        <v>2876</v>
      </c>
      <c r="GC35" s="35" t="s">
        <v>455</v>
      </c>
      <c r="GE35" s="35" t="s">
        <v>2877</v>
      </c>
      <c r="GF35" s="35" t="s">
        <v>855</v>
      </c>
      <c r="GK35" s="35" t="s">
        <v>755</v>
      </c>
      <c r="GL35" s="35" t="s">
        <v>755</v>
      </c>
      <c r="GM35" s="35" t="s">
        <v>817</v>
      </c>
    </row>
    <row r="36">
      <c r="A36" s="40"/>
      <c r="B36" s="40">
        <v>45829.217301041666</v>
      </c>
      <c r="C36" s="35" t="s">
        <v>368</v>
      </c>
      <c r="D36" s="35" t="s">
        <v>3013</v>
      </c>
      <c r="E36" s="35" t="s">
        <v>894</v>
      </c>
      <c r="H36" s="35" t="s">
        <v>422</v>
      </c>
      <c r="I36" s="35" t="s">
        <v>373</v>
      </c>
      <c r="J36" s="35" t="s">
        <v>638</v>
      </c>
      <c r="K36" s="35" t="s">
        <v>375</v>
      </c>
      <c r="L36" s="35" t="s">
        <v>376</v>
      </c>
      <c r="M36" s="35" t="s">
        <v>591</v>
      </c>
      <c r="N36" s="35" t="s">
        <v>639</v>
      </c>
      <c r="O36" s="35" t="s">
        <v>379</v>
      </c>
      <c r="P36" s="35" t="s">
        <v>497</v>
      </c>
      <c r="Q36" s="35" t="s">
        <v>498</v>
      </c>
      <c r="R36" s="35" t="s">
        <v>382</v>
      </c>
      <c r="S36" s="35" t="s">
        <v>949</v>
      </c>
      <c r="T36" s="35" t="s">
        <v>384</v>
      </c>
      <c r="U36" s="35" t="s">
        <v>385</v>
      </c>
      <c r="W36" s="35" t="s">
        <v>896</v>
      </c>
      <c r="X36" s="35" t="s">
        <v>3014</v>
      </c>
      <c r="AW36" s="35" t="s">
        <v>390</v>
      </c>
      <c r="AX36" s="41">
        <v>4.0</v>
      </c>
      <c r="AY36" s="35" t="s">
        <v>391</v>
      </c>
      <c r="AZ36" s="41">
        <v>4.0</v>
      </c>
      <c r="BA36" s="35" t="s">
        <v>675</v>
      </c>
      <c r="BB36" s="41">
        <v>4.0</v>
      </c>
      <c r="BC36" s="35" t="s">
        <v>391</v>
      </c>
      <c r="BD36" s="35" t="s">
        <v>3015</v>
      </c>
      <c r="BE36" s="35" t="s">
        <v>3016</v>
      </c>
      <c r="BF36" s="35" t="s">
        <v>392</v>
      </c>
      <c r="BG36" s="35" t="s">
        <v>1095</v>
      </c>
      <c r="BH36" s="35" t="s">
        <v>394</v>
      </c>
      <c r="BJ36" s="35" t="s">
        <v>435</v>
      </c>
      <c r="BK36" s="35" t="s">
        <v>3017</v>
      </c>
      <c r="BL36" s="35" t="s">
        <v>602</v>
      </c>
      <c r="BM36" s="35" t="s">
        <v>438</v>
      </c>
      <c r="BN36" s="35" t="s">
        <v>549</v>
      </c>
      <c r="BO36" s="35" t="s">
        <v>398</v>
      </c>
      <c r="BP36" s="35" t="s">
        <v>3018</v>
      </c>
      <c r="BQ36" s="35" t="s">
        <v>3019</v>
      </c>
      <c r="BR36" s="35" t="s">
        <v>604</v>
      </c>
      <c r="BS36" s="35" t="s">
        <v>3020</v>
      </c>
      <c r="BT36" s="35" t="s">
        <v>1741</v>
      </c>
      <c r="BU36" s="35" t="s">
        <v>1672</v>
      </c>
      <c r="BV36" s="35" t="s">
        <v>1693</v>
      </c>
      <c r="BW36" s="35" t="s">
        <v>3021</v>
      </c>
      <c r="BX36" s="35" t="s">
        <v>988</v>
      </c>
      <c r="BZ36" s="35" t="s">
        <v>408</v>
      </c>
      <c r="CB36" s="35" t="s">
        <v>3022</v>
      </c>
      <c r="CC36" s="35" t="s">
        <v>3023</v>
      </c>
      <c r="CD36" s="35" t="s">
        <v>3015</v>
      </c>
      <c r="CE36" s="35" t="s">
        <v>451</v>
      </c>
      <c r="CF36" s="35" t="s">
        <v>3024</v>
      </c>
      <c r="CG36" s="35" t="s">
        <v>1697</v>
      </c>
      <c r="CI36" s="35" t="s">
        <v>1679</v>
      </c>
      <c r="CJ36" s="35" t="s">
        <v>1220</v>
      </c>
      <c r="CK36" s="35" t="s">
        <v>3025</v>
      </c>
      <c r="EU36" s="35" t="s">
        <v>478</v>
      </c>
      <c r="EV36" s="35" t="s">
        <v>887</v>
      </c>
      <c r="EW36" s="35" t="s">
        <v>663</v>
      </c>
      <c r="FA36" s="35" t="s">
        <v>413</v>
      </c>
      <c r="FB36" s="35" t="s">
        <v>415</v>
      </c>
      <c r="FC36" s="35" t="s">
        <v>413</v>
      </c>
      <c r="FD36" s="35" t="s">
        <v>415</v>
      </c>
      <c r="FE36" s="35" t="s">
        <v>413</v>
      </c>
      <c r="FF36" s="35" t="s">
        <v>415</v>
      </c>
      <c r="FG36" s="35" t="s">
        <v>415</v>
      </c>
      <c r="FH36" s="35" t="s">
        <v>415</v>
      </c>
      <c r="FI36" s="35" t="s">
        <v>583</v>
      </c>
      <c r="FJ36" s="35" t="s">
        <v>414</v>
      </c>
      <c r="FK36" s="35" t="s">
        <v>415</v>
      </c>
      <c r="FL36" s="35" t="s">
        <v>414</v>
      </c>
      <c r="FM36" s="35" t="s">
        <v>414</v>
      </c>
      <c r="FN36" s="35" t="s">
        <v>415</v>
      </c>
      <c r="FO36" s="35" t="s">
        <v>415</v>
      </c>
      <c r="FP36" s="35" t="s">
        <v>850</v>
      </c>
      <c r="FQ36" s="35" t="s">
        <v>2651</v>
      </c>
      <c r="FR36" s="35" t="s">
        <v>712</v>
      </c>
      <c r="FT36" s="35" t="s">
        <v>420</v>
      </c>
      <c r="FU36" s="35" t="s">
        <v>1476</v>
      </c>
      <c r="FV36" s="35" t="s">
        <v>918</v>
      </c>
      <c r="FW36" s="35" t="s">
        <v>490</v>
      </c>
      <c r="FX36" s="35" t="s">
        <v>491</v>
      </c>
      <c r="FZ36" s="35" t="s">
        <v>1854</v>
      </c>
      <c r="GA36" s="35" t="s">
        <v>3026</v>
      </c>
      <c r="GC36" s="35" t="s">
        <v>455</v>
      </c>
      <c r="GD36" s="35" t="s">
        <v>10640</v>
      </c>
      <c r="GF36" s="35" t="s">
        <v>753</v>
      </c>
      <c r="GL36" s="35" t="s">
        <v>1000</v>
      </c>
      <c r="GM36" s="35" t="s">
        <v>817</v>
      </c>
      <c r="GO36" s="35" t="s">
        <v>894</v>
      </c>
    </row>
    <row r="37">
      <c r="A37" s="40"/>
      <c r="B37" s="40">
        <v>45829.25204303241</v>
      </c>
      <c r="C37" s="35" t="s">
        <v>368</v>
      </c>
      <c r="D37" s="35" t="s">
        <v>370</v>
      </c>
      <c r="F37" s="35" t="s">
        <v>371</v>
      </c>
      <c r="H37" s="35" t="s">
        <v>372</v>
      </c>
      <c r="I37" s="35" t="s">
        <v>373</v>
      </c>
      <c r="J37" s="35" t="s">
        <v>374</v>
      </c>
      <c r="K37" s="35" t="s">
        <v>758</v>
      </c>
      <c r="L37" s="35" t="s">
        <v>376</v>
      </c>
      <c r="M37" s="35" t="s">
        <v>377</v>
      </c>
      <c r="N37" s="35" t="s">
        <v>10641</v>
      </c>
      <c r="O37" s="35" t="s">
        <v>377</v>
      </c>
      <c r="P37" s="35" t="s">
        <v>1196</v>
      </c>
      <c r="Q37" s="35" t="s">
        <v>381</v>
      </c>
      <c r="R37" s="35" t="s">
        <v>862</v>
      </c>
      <c r="S37" s="35" t="s">
        <v>949</v>
      </c>
      <c r="T37" s="35" t="s">
        <v>384</v>
      </c>
      <c r="U37" s="35" t="s">
        <v>385</v>
      </c>
      <c r="X37" s="35" t="s">
        <v>3014</v>
      </c>
      <c r="AW37" s="35" t="s">
        <v>1310</v>
      </c>
      <c r="AX37" s="35" t="s">
        <v>391</v>
      </c>
      <c r="AY37" s="35" t="s">
        <v>391</v>
      </c>
      <c r="AZ37" s="35" t="s">
        <v>391</v>
      </c>
      <c r="BA37" s="35" t="s">
        <v>391</v>
      </c>
      <c r="BB37" s="35" t="s">
        <v>391</v>
      </c>
      <c r="BC37" s="35" t="s">
        <v>391</v>
      </c>
      <c r="BD37" s="35" t="s">
        <v>10642</v>
      </c>
      <c r="BE37" s="35" t="s">
        <v>10643</v>
      </c>
      <c r="BF37" s="35" t="s">
        <v>432</v>
      </c>
      <c r="BG37" s="35" t="s">
        <v>1095</v>
      </c>
      <c r="BH37" s="35" t="s">
        <v>394</v>
      </c>
      <c r="BI37" s="35" t="s">
        <v>10644</v>
      </c>
      <c r="BJ37" s="35" t="s">
        <v>435</v>
      </c>
      <c r="BK37" s="35" t="s">
        <v>10645</v>
      </c>
      <c r="BL37" s="35" t="s">
        <v>681</v>
      </c>
      <c r="BM37" s="35" t="s">
        <v>603</v>
      </c>
      <c r="BN37" s="35" t="s">
        <v>1247</v>
      </c>
      <c r="BO37" s="35" t="s">
        <v>398</v>
      </c>
      <c r="BP37" s="35" t="s">
        <v>10646</v>
      </c>
      <c r="BR37" s="35" t="s">
        <v>442</v>
      </c>
      <c r="BS37" s="35" t="s">
        <v>1740</v>
      </c>
      <c r="BT37" s="35" t="s">
        <v>1741</v>
      </c>
      <c r="BU37" s="35" t="s">
        <v>1672</v>
      </c>
      <c r="BV37" s="35" t="s">
        <v>1772</v>
      </c>
      <c r="BW37" s="35" t="s">
        <v>10647</v>
      </c>
      <c r="BX37" s="35" t="s">
        <v>988</v>
      </c>
      <c r="BY37" s="35" t="s">
        <v>407</v>
      </c>
      <c r="BZ37" s="35" t="s">
        <v>408</v>
      </c>
      <c r="CC37" s="35" t="s">
        <v>10648</v>
      </c>
      <c r="CD37" s="35" t="s">
        <v>10649</v>
      </c>
      <c r="CE37" s="35" t="s">
        <v>451</v>
      </c>
      <c r="CF37" s="35" t="s">
        <v>10650</v>
      </c>
      <c r="CG37" s="35" t="s">
        <v>1749</v>
      </c>
      <c r="CH37" s="35" t="s">
        <v>10651</v>
      </c>
      <c r="CI37" s="35" t="s">
        <v>1751</v>
      </c>
      <c r="CJ37" s="35" t="s">
        <v>410</v>
      </c>
      <c r="CK37" s="35" t="s">
        <v>10652</v>
      </c>
      <c r="CL37" s="35" t="s">
        <v>3039</v>
      </c>
      <c r="EU37" s="35" t="s">
        <v>578</v>
      </c>
      <c r="EV37" s="35" t="s">
        <v>579</v>
      </c>
      <c r="EW37" s="35" t="s">
        <v>527</v>
      </c>
      <c r="EX37" s="35" t="s">
        <v>3040</v>
      </c>
      <c r="EY37" s="35" t="s">
        <v>10653</v>
      </c>
      <c r="EZ37" s="35" t="s">
        <v>3042</v>
      </c>
      <c r="FA37" s="35" t="s">
        <v>414</v>
      </c>
      <c r="FB37" s="35" t="s">
        <v>414</v>
      </c>
      <c r="FC37" s="35" t="s">
        <v>413</v>
      </c>
      <c r="FD37" s="35" t="s">
        <v>414</v>
      </c>
      <c r="FE37" s="35" t="s">
        <v>413</v>
      </c>
      <c r="FF37" s="35" t="s">
        <v>414</v>
      </c>
      <c r="FG37" s="35" t="s">
        <v>415</v>
      </c>
      <c r="FH37" s="35" t="s">
        <v>416</v>
      </c>
      <c r="FI37" s="35" t="s">
        <v>414</v>
      </c>
      <c r="FJ37" s="35" t="s">
        <v>415</v>
      </c>
      <c r="FK37" s="35" t="s">
        <v>415</v>
      </c>
      <c r="FL37" s="35" t="s">
        <v>415</v>
      </c>
      <c r="FM37" s="35" t="s">
        <v>415</v>
      </c>
      <c r="FN37" s="35" t="s">
        <v>416</v>
      </c>
      <c r="FO37" s="35" t="s">
        <v>414</v>
      </c>
      <c r="FP37" s="35" t="s">
        <v>850</v>
      </c>
      <c r="FQ37" s="35" t="s">
        <v>418</v>
      </c>
      <c r="FR37" s="35" t="s">
        <v>1039</v>
      </c>
      <c r="FT37" s="35" t="s">
        <v>420</v>
      </c>
      <c r="FU37" s="35" t="s">
        <v>488</v>
      </c>
      <c r="FV37" s="35" t="s">
        <v>585</v>
      </c>
      <c r="FW37" s="35" t="s">
        <v>490</v>
      </c>
      <c r="FX37" s="35" t="s">
        <v>491</v>
      </c>
      <c r="FY37" s="35" t="s">
        <v>10654</v>
      </c>
      <c r="FZ37" s="35" t="s">
        <v>535</v>
      </c>
      <c r="GC37" s="35" t="s">
        <v>455</v>
      </c>
      <c r="GD37" s="35" t="s">
        <v>10655</v>
      </c>
      <c r="GE37" s="35" t="s">
        <v>10656</v>
      </c>
      <c r="GF37" s="35" t="s">
        <v>944</v>
      </c>
      <c r="GG37" s="35" t="s">
        <v>10657</v>
      </c>
      <c r="GK37" s="35" t="s">
        <v>755</v>
      </c>
      <c r="GL37" s="35" t="s">
        <v>755</v>
      </c>
      <c r="GM37" s="35" t="s">
        <v>946</v>
      </c>
    </row>
    <row r="38">
      <c r="A38" s="40"/>
      <c r="B38" s="40">
        <v>45829.33800960648</v>
      </c>
      <c r="C38" s="35" t="s">
        <v>368</v>
      </c>
      <c r="D38" s="35" t="s">
        <v>538</v>
      </c>
      <c r="E38" s="35" t="s">
        <v>947</v>
      </c>
      <c r="H38" s="35" t="s">
        <v>422</v>
      </c>
      <c r="I38" s="35" t="s">
        <v>539</v>
      </c>
      <c r="J38" s="35" t="s">
        <v>424</v>
      </c>
      <c r="K38" s="35" t="s">
        <v>375</v>
      </c>
      <c r="L38" s="35" t="s">
        <v>376</v>
      </c>
      <c r="M38" s="35" t="s">
        <v>591</v>
      </c>
      <c r="N38" s="35" t="s">
        <v>639</v>
      </c>
      <c r="O38" s="35" t="s">
        <v>377</v>
      </c>
      <c r="P38" s="35" t="s">
        <v>380</v>
      </c>
      <c r="Q38" s="35" t="s">
        <v>381</v>
      </c>
      <c r="S38" s="35" t="s">
        <v>500</v>
      </c>
      <c r="T38" s="35" t="s">
        <v>384</v>
      </c>
      <c r="U38" s="35" t="s">
        <v>385</v>
      </c>
      <c r="X38" s="35" t="s">
        <v>3014</v>
      </c>
      <c r="AW38" s="35" t="s">
        <v>1242</v>
      </c>
      <c r="AX38" s="35" t="s">
        <v>391</v>
      </c>
      <c r="AY38" s="41">
        <v>4.0</v>
      </c>
      <c r="AZ38" s="35" t="s">
        <v>391</v>
      </c>
      <c r="BA38" s="41">
        <v>4.0</v>
      </c>
      <c r="BB38" s="41">
        <v>4.0</v>
      </c>
      <c r="BC38" s="41">
        <v>4.0</v>
      </c>
      <c r="BD38" s="35" t="s">
        <v>3069</v>
      </c>
      <c r="BE38" s="35" t="s">
        <v>10658</v>
      </c>
      <c r="BF38" s="35" t="s">
        <v>432</v>
      </c>
      <c r="BG38" s="35" t="s">
        <v>393</v>
      </c>
      <c r="BH38" s="35" t="s">
        <v>394</v>
      </c>
      <c r="BJ38" s="35" t="s">
        <v>435</v>
      </c>
      <c r="BL38" s="35" t="s">
        <v>437</v>
      </c>
      <c r="BM38" s="35" t="s">
        <v>603</v>
      </c>
      <c r="BN38" s="35" t="s">
        <v>1314</v>
      </c>
      <c r="BO38" s="35" t="s">
        <v>398</v>
      </c>
      <c r="BP38" s="35" t="s">
        <v>10659</v>
      </c>
      <c r="BQ38" s="35" t="s">
        <v>3072</v>
      </c>
      <c r="BR38" s="35" t="s">
        <v>401</v>
      </c>
      <c r="BS38" s="35" t="s">
        <v>402</v>
      </c>
      <c r="BU38" s="35" t="s">
        <v>1994</v>
      </c>
      <c r="BV38" s="35" t="s">
        <v>405</v>
      </c>
      <c r="BX38" s="35" t="s">
        <v>406</v>
      </c>
      <c r="BY38" s="35" t="s">
        <v>1867</v>
      </c>
      <c r="BZ38" s="35" t="s">
        <v>408</v>
      </c>
      <c r="CD38" s="35" t="s">
        <v>10660</v>
      </c>
      <c r="CE38" s="35" t="s">
        <v>1257</v>
      </c>
      <c r="CG38" s="35" t="s">
        <v>1722</v>
      </c>
      <c r="CH38" s="35" t="s">
        <v>10661</v>
      </c>
      <c r="CI38" s="35" t="s">
        <v>1259</v>
      </c>
      <c r="CK38" s="35" t="s">
        <v>10662</v>
      </c>
      <c r="EU38" s="35" t="s">
        <v>526</v>
      </c>
      <c r="EV38" s="35" t="s">
        <v>579</v>
      </c>
      <c r="EW38" s="35" t="s">
        <v>527</v>
      </c>
      <c r="EX38" s="35" t="s">
        <v>3076</v>
      </c>
      <c r="EY38" s="35" t="s">
        <v>3077</v>
      </c>
      <c r="FA38" s="35" t="s">
        <v>415</v>
      </c>
      <c r="FB38" s="35" t="s">
        <v>415</v>
      </c>
      <c r="FC38" s="35" t="s">
        <v>413</v>
      </c>
      <c r="FD38" s="35" t="s">
        <v>416</v>
      </c>
      <c r="FE38" s="35" t="s">
        <v>413</v>
      </c>
      <c r="FF38" s="35" t="s">
        <v>415</v>
      </c>
      <c r="FG38" s="35" t="s">
        <v>415</v>
      </c>
      <c r="FH38" s="35" t="s">
        <v>484</v>
      </c>
      <c r="FI38" s="35" t="s">
        <v>484</v>
      </c>
      <c r="FJ38" s="35" t="s">
        <v>484</v>
      </c>
      <c r="FK38" s="35" t="s">
        <v>416</v>
      </c>
      <c r="FL38" s="35" t="s">
        <v>484</v>
      </c>
      <c r="FM38" s="35" t="s">
        <v>484</v>
      </c>
      <c r="FN38" s="35" t="s">
        <v>484</v>
      </c>
      <c r="FO38" s="35" t="s">
        <v>484</v>
      </c>
      <c r="FP38" s="35" t="s">
        <v>850</v>
      </c>
      <c r="FQ38" s="35" t="s">
        <v>418</v>
      </c>
      <c r="FR38" s="35" t="s">
        <v>1039</v>
      </c>
      <c r="FT38" s="35" t="s">
        <v>420</v>
      </c>
      <c r="FU38" s="35" t="s">
        <v>488</v>
      </c>
      <c r="FV38" s="35" t="s">
        <v>918</v>
      </c>
      <c r="FW38" s="35" t="s">
        <v>490</v>
      </c>
      <c r="FX38" s="35" t="s">
        <v>491</v>
      </c>
      <c r="FY38" s="35" t="s">
        <v>10663</v>
      </c>
      <c r="FZ38" s="35" t="s">
        <v>1337</v>
      </c>
      <c r="GA38" s="35" t="s">
        <v>10664</v>
      </c>
      <c r="GC38" s="35" t="s">
        <v>455</v>
      </c>
      <c r="GD38" s="35" t="s">
        <v>10665</v>
      </c>
      <c r="GF38" s="35" t="s">
        <v>1339</v>
      </c>
      <c r="GG38" s="35" t="s">
        <v>10666</v>
      </c>
      <c r="GK38" s="35" t="s">
        <v>920</v>
      </c>
      <c r="GL38" s="35" t="s">
        <v>920</v>
      </c>
      <c r="GM38" s="35" t="s">
        <v>756</v>
      </c>
      <c r="GO38" s="35" t="s">
        <v>3012</v>
      </c>
      <c r="GP38" s="35" t="s">
        <v>947</v>
      </c>
    </row>
    <row r="39">
      <c r="A39" s="40"/>
      <c r="B39" s="40">
        <v>45829.41961525463</v>
      </c>
      <c r="C39" s="35" t="s">
        <v>368</v>
      </c>
      <c r="D39" s="35" t="s">
        <v>3081</v>
      </c>
      <c r="E39" s="35" t="s">
        <v>3081</v>
      </c>
      <c r="H39" s="35" t="s">
        <v>422</v>
      </c>
      <c r="I39" s="35" t="s">
        <v>373</v>
      </c>
      <c r="J39" s="35" t="s">
        <v>374</v>
      </c>
      <c r="K39" s="35" t="s">
        <v>375</v>
      </c>
      <c r="L39" s="35" t="s">
        <v>376</v>
      </c>
      <c r="M39" s="35" t="s">
        <v>426</v>
      </c>
      <c r="N39" s="35" t="s">
        <v>378</v>
      </c>
      <c r="O39" s="35" t="s">
        <v>591</v>
      </c>
      <c r="P39" s="35" t="s">
        <v>1799</v>
      </c>
      <c r="Q39" s="35" t="s">
        <v>498</v>
      </c>
      <c r="R39" s="35" t="s">
        <v>499</v>
      </c>
      <c r="S39" s="35" t="s">
        <v>500</v>
      </c>
      <c r="T39" s="35" t="s">
        <v>384</v>
      </c>
      <c r="U39" s="35" t="s">
        <v>385</v>
      </c>
      <c r="X39" s="35" t="s">
        <v>386</v>
      </c>
      <c r="Y39" s="35" t="s">
        <v>387</v>
      </c>
      <c r="Z39" s="35" t="s">
        <v>388</v>
      </c>
      <c r="AA39" s="35" t="s">
        <v>389</v>
      </c>
      <c r="AW39" s="35" t="s">
        <v>597</v>
      </c>
      <c r="AX39" s="35" t="s">
        <v>391</v>
      </c>
      <c r="AY39" s="35" t="s">
        <v>391</v>
      </c>
      <c r="AZ39" s="41">
        <v>4.0</v>
      </c>
      <c r="BA39" s="35" t="s">
        <v>391</v>
      </c>
      <c r="BB39" s="35" t="s">
        <v>391</v>
      </c>
      <c r="BC39" s="35" t="s">
        <v>391</v>
      </c>
      <c r="BF39" s="35" t="s">
        <v>432</v>
      </c>
      <c r="BG39" s="35" t="s">
        <v>393</v>
      </c>
      <c r="BH39" s="35" t="s">
        <v>725</v>
      </c>
      <c r="BJ39" s="35" t="s">
        <v>824</v>
      </c>
      <c r="BL39" s="35" t="s">
        <v>681</v>
      </c>
      <c r="BM39" s="35" t="s">
        <v>396</v>
      </c>
      <c r="BN39" s="35" t="s">
        <v>397</v>
      </c>
      <c r="BO39" s="35" t="s">
        <v>398</v>
      </c>
      <c r="BR39" s="35" t="s">
        <v>401</v>
      </c>
      <c r="BS39" s="35" t="s">
        <v>2488</v>
      </c>
      <c r="BT39" s="35" t="s">
        <v>403</v>
      </c>
      <c r="BU39" s="35" t="s">
        <v>1994</v>
      </c>
      <c r="BV39" s="35" t="s">
        <v>405</v>
      </c>
      <c r="BX39" s="35" t="s">
        <v>406</v>
      </c>
      <c r="BY39" s="35" t="s">
        <v>2503</v>
      </c>
      <c r="BZ39" s="35" t="s">
        <v>408</v>
      </c>
      <c r="CE39" s="35" t="s">
        <v>1257</v>
      </c>
      <c r="CG39" s="35" t="s">
        <v>1258</v>
      </c>
      <c r="CI39" s="35" t="s">
        <v>1259</v>
      </c>
      <c r="CJ39" s="35" t="s">
        <v>1964</v>
      </c>
      <c r="CK39" s="35" t="s">
        <v>1699</v>
      </c>
      <c r="EU39" s="35" t="s">
        <v>578</v>
      </c>
      <c r="EV39" s="35" t="s">
        <v>579</v>
      </c>
      <c r="EW39" s="35" t="s">
        <v>580</v>
      </c>
      <c r="FA39" s="35" t="s">
        <v>414</v>
      </c>
      <c r="FB39" s="35" t="s">
        <v>414</v>
      </c>
      <c r="FC39" s="35" t="s">
        <v>416</v>
      </c>
      <c r="FD39" s="35" t="s">
        <v>416</v>
      </c>
      <c r="FE39" s="35" t="s">
        <v>415</v>
      </c>
      <c r="FF39" s="35" t="s">
        <v>415</v>
      </c>
      <c r="FG39" s="35" t="s">
        <v>416</v>
      </c>
      <c r="FH39" s="35" t="s">
        <v>415</v>
      </c>
      <c r="FI39" s="35" t="s">
        <v>415</v>
      </c>
      <c r="FJ39" s="35" t="s">
        <v>413</v>
      </c>
      <c r="FK39" s="35" t="s">
        <v>415</v>
      </c>
      <c r="FL39" s="35" t="s">
        <v>415</v>
      </c>
      <c r="FM39" s="35" t="s">
        <v>414</v>
      </c>
      <c r="FN39" s="35" t="s">
        <v>415</v>
      </c>
      <c r="FO39" s="35" t="s">
        <v>415</v>
      </c>
      <c r="FP39" s="35" t="s">
        <v>417</v>
      </c>
      <c r="FQ39" s="35" t="s">
        <v>486</v>
      </c>
      <c r="FR39" s="35" t="s">
        <v>749</v>
      </c>
      <c r="FT39" s="35" t="s">
        <v>420</v>
      </c>
      <c r="FU39" s="35" t="s">
        <v>1462</v>
      </c>
      <c r="FW39" s="35" t="s">
        <v>490</v>
      </c>
      <c r="FX39" s="35" t="s">
        <v>491</v>
      </c>
      <c r="FZ39" s="35" t="s">
        <v>493</v>
      </c>
      <c r="GC39" s="35" t="s">
        <v>455</v>
      </c>
      <c r="GK39" s="35" t="s">
        <v>788</v>
      </c>
      <c r="GL39" s="35" t="s">
        <v>857</v>
      </c>
      <c r="GM39" s="35" t="s">
        <v>790</v>
      </c>
    </row>
    <row r="40">
      <c r="A40" s="40"/>
      <c r="B40" s="40">
        <v>45829.49291922453</v>
      </c>
      <c r="C40" s="35" t="s">
        <v>368</v>
      </c>
      <c r="D40" s="35" t="s">
        <v>894</v>
      </c>
      <c r="E40" s="35" t="s">
        <v>894</v>
      </c>
      <c r="H40" s="35" t="s">
        <v>422</v>
      </c>
      <c r="J40" s="35" t="s">
        <v>638</v>
      </c>
      <c r="K40" s="35" t="s">
        <v>1204</v>
      </c>
      <c r="L40" s="35" t="s">
        <v>376</v>
      </c>
      <c r="M40" s="35" t="s">
        <v>1526</v>
      </c>
      <c r="O40" s="35" t="s">
        <v>1526</v>
      </c>
      <c r="Q40" s="35" t="s">
        <v>592</v>
      </c>
      <c r="S40" s="35" t="s">
        <v>949</v>
      </c>
      <c r="T40" s="35" t="s">
        <v>384</v>
      </c>
      <c r="U40" s="35" t="s">
        <v>385</v>
      </c>
      <c r="V40" s="35" t="s">
        <v>1241</v>
      </c>
      <c r="W40" s="35" t="s">
        <v>1241</v>
      </c>
      <c r="X40" s="35" t="s">
        <v>3014</v>
      </c>
      <c r="AW40" s="35" t="s">
        <v>1242</v>
      </c>
      <c r="BH40" s="35" t="s">
        <v>394</v>
      </c>
      <c r="BJ40" s="35" t="s">
        <v>824</v>
      </c>
      <c r="BL40" s="35" t="s">
        <v>511</v>
      </c>
      <c r="BN40" s="35" t="s">
        <v>1247</v>
      </c>
      <c r="BO40" s="35" t="s">
        <v>398</v>
      </c>
      <c r="BR40" s="35" t="s">
        <v>442</v>
      </c>
      <c r="EV40" s="35" t="s">
        <v>579</v>
      </c>
      <c r="EW40" s="35" t="s">
        <v>527</v>
      </c>
      <c r="FX40" s="35" t="s">
        <v>491</v>
      </c>
      <c r="FZ40" s="35" t="s">
        <v>535</v>
      </c>
      <c r="GC40" s="35" t="s">
        <v>408</v>
      </c>
      <c r="GL40" s="35" t="s">
        <v>755</v>
      </c>
      <c r="GM40" s="35" t="s">
        <v>946</v>
      </c>
    </row>
    <row r="41">
      <c r="A41" s="40"/>
      <c r="B41" s="40">
        <v>45829.606147847226</v>
      </c>
      <c r="C41" s="35" t="s">
        <v>368</v>
      </c>
      <c r="D41" s="35" t="s">
        <v>370</v>
      </c>
      <c r="F41" s="35" t="s">
        <v>667</v>
      </c>
      <c r="H41" s="35" t="s">
        <v>3145</v>
      </c>
      <c r="I41" s="35" t="s">
        <v>373</v>
      </c>
      <c r="J41" s="35" t="s">
        <v>374</v>
      </c>
      <c r="K41" s="35" t="s">
        <v>375</v>
      </c>
      <c r="L41" s="35" t="s">
        <v>376</v>
      </c>
      <c r="M41" s="35" t="s">
        <v>377</v>
      </c>
      <c r="N41" s="35" t="s">
        <v>378</v>
      </c>
      <c r="O41" s="35" t="s">
        <v>379</v>
      </c>
      <c r="P41" s="35" t="s">
        <v>380</v>
      </c>
      <c r="Q41" s="35" t="s">
        <v>381</v>
      </c>
      <c r="R41" s="35" t="s">
        <v>862</v>
      </c>
      <c r="S41" s="35" t="s">
        <v>500</v>
      </c>
      <c r="T41" s="35" t="s">
        <v>384</v>
      </c>
      <c r="U41" s="35" t="s">
        <v>385</v>
      </c>
      <c r="X41" s="35" t="s">
        <v>386</v>
      </c>
      <c r="Y41" s="35" t="s">
        <v>387</v>
      </c>
      <c r="Z41" s="35" t="s">
        <v>1966</v>
      </c>
      <c r="AA41" s="35" t="s">
        <v>543</v>
      </c>
      <c r="AB41" s="35" t="s">
        <v>3146</v>
      </c>
      <c r="AC41" s="35" t="s">
        <v>3147</v>
      </c>
      <c r="AW41" s="35" t="s">
        <v>1242</v>
      </c>
      <c r="AX41" s="35" t="s">
        <v>675</v>
      </c>
      <c r="AY41" s="41">
        <v>4.0</v>
      </c>
      <c r="AZ41" s="35" t="s">
        <v>391</v>
      </c>
      <c r="BA41" s="41">
        <v>4.0</v>
      </c>
      <c r="BB41" s="35" t="s">
        <v>675</v>
      </c>
      <c r="BC41" s="35" t="s">
        <v>675</v>
      </c>
      <c r="BD41" s="35" t="s">
        <v>3148</v>
      </c>
      <c r="BE41" s="35" t="s">
        <v>3149</v>
      </c>
      <c r="BF41" s="35" t="s">
        <v>432</v>
      </c>
      <c r="BG41" s="35" t="s">
        <v>1095</v>
      </c>
      <c r="BH41" s="35" t="s">
        <v>394</v>
      </c>
      <c r="BI41" s="35" t="s">
        <v>3150</v>
      </c>
      <c r="BJ41" s="35" t="s">
        <v>824</v>
      </c>
      <c r="BL41" s="35" t="s">
        <v>395</v>
      </c>
      <c r="BM41" s="35" t="s">
        <v>396</v>
      </c>
      <c r="BN41" s="35" t="s">
        <v>1314</v>
      </c>
      <c r="BO41" s="35" t="s">
        <v>398</v>
      </c>
      <c r="BP41" s="35" t="s">
        <v>3151</v>
      </c>
      <c r="BQ41" s="35" t="s">
        <v>3152</v>
      </c>
      <c r="BR41" s="35" t="s">
        <v>604</v>
      </c>
      <c r="BS41" s="35" t="s">
        <v>3153</v>
      </c>
      <c r="BT41" s="35" t="s">
        <v>403</v>
      </c>
      <c r="BU41" s="35" t="s">
        <v>1672</v>
      </c>
      <c r="BV41" s="35" t="s">
        <v>405</v>
      </c>
      <c r="BX41" s="35" t="s">
        <v>406</v>
      </c>
      <c r="BY41" s="35" t="s">
        <v>407</v>
      </c>
      <c r="BZ41" s="35" t="s">
        <v>408</v>
      </c>
      <c r="CB41" s="35" t="s">
        <v>3154</v>
      </c>
      <c r="CC41" s="35" t="s">
        <v>3155</v>
      </c>
      <c r="CD41" s="35" t="s">
        <v>3156</v>
      </c>
      <c r="CE41" s="35" t="s">
        <v>1257</v>
      </c>
      <c r="CG41" s="35" t="s">
        <v>1258</v>
      </c>
      <c r="CI41" s="35" t="s">
        <v>1698</v>
      </c>
      <c r="CJ41" s="35" t="s">
        <v>410</v>
      </c>
      <c r="CK41" s="35" t="s">
        <v>3157</v>
      </c>
      <c r="CL41" s="35" t="s">
        <v>3158</v>
      </c>
      <c r="EU41" s="35" t="s">
        <v>478</v>
      </c>
      <c r="EV41" s="35" t="s">
        <v>887</v>
      </c>
      <c r="EW41" s="35" t="s">
        <v>527</v>
      </c>
      <c r="EX41" s="35" t="s">
        <v>3159</v>
      </c>
      <c r="EY41" s="35" t="s">
        <v>3160</v>
      </c>
      <c r="EZ41" s="35" t="s">
        <v>3161</v>
      </c>
      <c r="FA41" s="35" t="s">
        <v>583</v>
      </c>
      <c r="FB41" s="35" t="s">
        <v>583</v>
      </c>
      <c r="FC41" s="35" t="s">
        <v>583</v>
      </c>
      <c r="FD41" s="35" t="s">
        <v>583</v>
      </c>
      <c r="FE41" s="35" t="s">
        <v>415</v>
      </c>
      <c r="FF41" s="35" t="s">
        <v>583</v>
      </c>
      <c r="FG41" s="35" t="s">
        <v>583</v>
      </c>
      <c r="FH41" s="35" t="s">
        <v>583</v>
      </c>
      <c r="FI41" s="35" t="s">
        <v>413</v>
      </c>
      <c r="FJ41" s="35" t="s">
        <v>583</v>
      </c>
      <c r="FK41" s="35" t="s">
        <v>583</v>
      </c>
      <c r="FL41" s="35" t="s">
        <v>583</v>
      </c>
      <c r="FM41" s="35" t="s">
        <v>583</v>
      </c>
      <c r="FN41" s="35" t="s">
        <v>484</v>
      </c>
      <c r="FO41" s="35" t="s">
        <v>484</v>
      </c>
      <c r="FP41" s="35" t="s">
        <v>417</v>
      </c>
      <c r="FQ41" s="35" t="s">
        <v>418</v>
      </c>
      <c r="FR41" s="35" t="s">
        <v>630</v>
      </c>
      <c r="FS41" s="35" t="s">
        <v>3162</v>
      </c>
      <c r="FT41" s="35" t="s">
        <v>420</v>
      </c>
      <c r="FU41" s="35" t="s">
        <v>488</v>
      </c>
      <c r="FV41" s="35" t="s">
        <v>533</v>
      </c>
      <c r="FW41" s="35" t="s">
        <v>490</v>
      </c>
      <c r="FX41" s="35" t="s">
        <v>491</v>
      </c>
      <c r="FY41" s="35" t="s">
        <v>3163</v>
      </c>
      <c r="FZ41" s="35" t="s">
        <v>535</v>
      </c>
      <c r="GA41" s="35" t="s">
        <v>3164</v>
      </c>
      <c r="GC41" s="35" t="s">
        <v>455</v>
      </c>
      <c r="GD41" s="35" t="s">
        <v>10667</v>
      </c>
      <c r="GF41" s="35" t="s">
        <v>1339</v>
      </c>
      <c r="GG41" s="35" t="s">
        <v>3165</v>
      </c>
      <c r="GK41" s="35" t="s">
        <v>857</v>
      </c>
      <c r="GL41" s="35" t="s">
        <v>857</v>
      </c>
      <c r="GM41" s="35" t="s">
        <v>790</v>
      </c>
    </row>
    <row r="42">
      <c r="A42" s="40"/>
      <c r="B42" s="40">
        <v>45829.679237766206</v>
      </c>
      <c r="C42" s="35" t="s">
        <v>368</v>
      </c>
      <c r="D42" s="35" t="s">
        <v>370</v>
      </c>
      <c r="F42" s="35" t="s">
        <v>3172</v>
      </c>
      <c r="H42" s="35" t="s">
        <v>422</v>
      </c>
      <c r="I42" s="35" t="s">
        <v>496</v>
      </c>
      <c r="J42" s="35" t="s">
        <v>374</v>
      </c>
      <c r="K42" s="35" t="s">
        <v>375</v>
      </c>
      <c r="L42" s="35" t="s">
        <v>376</v>
      </c>
      <c r="M42" s="35" t="s">
        <v>591</v>
      </c>
      <c r="N42" s="35" t="s">
        <v>639</v>
      </c>
      <c r="O42" s="35" t="s">
        <v>379</v>
      </c>
      <c r="P42" s="35" t="s">
        <v>2464</v>
      </c>
      <c r="Q42" s="35" t="s">
        <v>381</v>
      </c>
      <c r="R42" s="35" t="s">
        <v>862</v>
      </c>
      <c r="S42" s="35" t="s">
        <v>500</v>
      </c>
      <c r="T42" s="35" t="s">
        <v>384</v>
      </c>
      <c r="U42" s="35" t="s">
        <v>385</v>
      </c>
      <c r="X42" s="35" t="s">
        <v>3014</v>
      </c>
      <c r="AW42" s="35" t="s">
        <v>1310</v>
      </c>
      <c r="AX42" s="41">
        <v>4.0</v>
      </c>
      <c r="AY42" s="41">
        <v>4.0</v>
      </c>
      <c r="AZ42" s="35" t="s">
        <v>675</v>
      </c>
      <c r="BA42" s="41">
        <v>4.0</v>
      </c>
      <c r="BB42" s="41">
        <v>4.0</v>
      </c>
      <c r="BC42" s="35" t="s">
        <v>675</v>
      </c>
      <c r="BD42" s="35" t="s">
        <v>3173</v>
      </c>
      <c r="BE42" s="35" t="s">
        <v>10668</v>
      </c>
      <c r="BF42" s="35" t="s">
        <v>432</v>
      </c>
      <c r="BG42" s="35" t="s">
        <v>1095</v>
      </c>
      <c r="BH42" s="35" t="s">
        <v>434</v>
      </c>
      <c r="BI42" s="35" t="s">
        <v>3175</v>
      </c>
      <c r="BJ42" s="35" t="s">
        <v>727</v>
      </c>
      <c r="BL42" s="35" t="s">
        <v>395</v>
      </c>
      <c r="BM42" s="35" t="s">
        <v>603</v>
      </c>
      <c r="BN42" s="35" t="s">
        <v>1247</v>
      </c>
      <c r="BO42" s="35" t="s">
        <v>398</v>
      </c>
      <c r="BP42" s="35" t="s">
        <v>10669</v>
      </c>
      <c r="BQ42" s="35" t="s">
        <v>10670</v>
      </c>
      <c r="BR42" s="35" t="s">
        <v>682</v>
      </c>
      <c r="BS42" s="35" t="s">
        <v>3020</v>
      </c>
      <c r="BT42" s="35" t="s">
        <v>403</v>
      </c>
      <c r="BU42" s="35" t="s">
        <v>404</v>
      </c>
      <c r="BV42" s="35" t="s">
        <v>1772</v>
      </c>
      <c r="BW42" s="35" t="s">
        <v>3178</v>
      </c>
      <c r="BX42" s="35" t="s">
        <v>406</v>
      </c>
      <c r="BY42" s="35" t="s">
        <v>407</v>
      </c>
      <c r="BZ42" s="35" t="s">
        <v>408</v>
      </c>
      <c r="CC42" s="35" t="s">
        <v>3179</v>
      </c>
      <c r="CD42" s="35" t="s">
        <v>3180</v>
      </c>
      <c r="CE42" s="35" t="s">
        <v>451</v>
      </c>
      <c r="CF42" s="35" t="s">
        <v>3181</v>
      </c>
      <c r="CG42" s="35" t="s">
        <v>1749</v>
      </c>
      <c r="CH42" s="35" t="s">
        <v>3182</v>
      </c>
      <c r="CI42" s="35" t="s">
        <v>1751</v>
      </c>
      <c r="CJ42" s="35" t="s">
        <v>410</v>
      </c>
      <c r="CK42" s="35" t="s">
        <v>3183</v>
      </c>
      <c r="CL42" s="35" t="s">
        <v>10671</v>
      </c>
      <c r="EU42" s="35" t="s">
        <v>578</v>
      </c>
      <c r="EV42" s="35" t="s">
        <v>887</v>
      </c>
      <c r="EW42" s="35" t="s">
        <v>480</v>
      </c>
      <c r="EZ42" s="35" t="s">
        <v>3185</v>
      </c>
      <c r="FA42" s="35" t="s">
        <v>416</v>
      </c>
      <c r="FB42" s="35" t="s">
        <v>416</v>
      </c>
      <c r="FC42" s="35" t="s">
        <v>413</v>
      </c>
      <c r="FD42" s="35" t="s">
        <v>413</v>
      </c>
      <c r="FE42" s="35" t="s">
        <v>413</v>
      </c>
      <c r="FF42" s="35" t="s">
        <v>415</v>
      </c>
      <c r="FG42" s="35" t="s">
        <v>415</v>
      </c>
      <c r="FH42" s="35" t="s">
        <v>413</v>
      </c>
      <c r="FI42" s="35" t="s">
        <v>583</v>
      </c>
      <c r="FJ42" s="35" t="s">
        <v>583</v>
      </c>
      <c r="FK42" s="35" t="s">
        <v>416</v>
      </c>
      <c r="FL42" s="35" t="s">
        <v>415</v>
      </c>
      <c r="FM42" s="35" t="s">
        <v>415</v>
      </c>
      <c r="FN42" s="35" t="s">
        <v>416</v>
      </c>
      <c r="FO42" s="35" t="s">
        <v>414</v>
      </c>
      <c r="FP42" s="35" t="s">
        <v>1074</v>
      </c>
      <c r="FQ42" s="35" t="s">
        <v>418</v>
      </c>
      <c r="FR42" s="35" t="s">
        <v>749</v>
      </c>
      <c r="FS42" s="35" t="s">
        <v>3186</v>
      </c>
      <c r="FT42" s="35" t="s">
        <v>420</v>
      </c>
      <c r="FU42" s="35" t="s">
        <v>1462</v>
      </c>
      <c r="FV42" s="35" t="s">
        <v>533</v>
      </c>
      <c r="FW42" s="35" t="s">
        <v>490</v>
      </c>
      <c r="FX42" s="35" t="s">
        <v>491</v>
      </c>
      <c r="FZ42" s="35" t="s">
        <v>493</v>
      </c>
      <c r="GC42" s="35" t="s">
        <v>455</v>
      </c>
      <c r="GD42" s="35" t="s">
        <v>10672</v>
      </c>
      <c r="GF42" s="35" t="s">
        <v>753</v>
      </c>
      <c r="GK42" s="35" t="s">
        <v>755</v>
      </c>
      <c r="GL42" s="35" t="s">
        <v>755</v>
      </c>
      <c r="GM42" s="35" t="s">
        <v>817</v>
      </c>
    </row>
    <row r="43">
      <c r="A43" s="40"/>
      <c r="B43" s="40">
        <v>45830.275929791664</v>
      </c>
      <c r="C43" s="35" t="s">
        <v>368</v>
      </c>
      <c r="D43" s="35" t="s">
        <v>370</v>
      </c>
      <c r="F43" s="35" t="s">
        <v>1464</v>
      </c>
      <c r="H43" s="35" t="s">
        <v>422</v>
      </c>
      <c r="I43" s="35" t="s">
        <v>423</v>
      </c>
      <c r="J43" s="35" t="s">
        <v>424</v>
      </c>
      <c r="K43" s="35" t="s">
        <v>375</v>
      </c>
      <c r="L43" s="35" t="s">
        <v>376</v>
      </c>
      <c r="M43" s="35" t="s">
        <v>379</v>
      </c>
      <c r="N43" s="35" t="s">
        <v>378</v>
      </c>
      <c r="O43" s="35" t="s">
        <v>379</v>
      </c>
      <c r="P43" s="35" t="s">
        <v>719</v>
      </c>
      <c r="Q43" s="35" t="s">
        <v>498</v>
      </c>
      <c r="R43" s="35" t="s">
        <v>1156</v>
      </c>
      <c r="S43" s="35" t="s">
        <v>427</v>
      </c>
      <c r="T43" s="35" t="s">
        <v>384</v>
      </c>
      <c r="U43" s="35" t="s">
        <v>385</v>
      </c>
      <c r="X43" s="35" t="s">
        <v>3231</v>
      </c>
      <c r="AW43" s="35" t="s">
        <v>1242</v>
      </c>
      <c r="AX43" s="35" t="s">
        <v>391</v>
      </c>
      <c r="AY43" s="35" t="s">
        <v>391</v>
      </c>
      <c r="AZ43" s="35" t="s">
        <v>429</v>
      </c>
      <c r="BA43" s="35" t="s">
        <v>675</v>
      </c>
      <c r="BB43" s="35" t="s">
        <v>675</v>
      </c>
      <c r="BC43" s="35" t="s">
        <v>675</v>
      </c>
      <c r="BD43" s="35" t="s">
        <v>3232</v>
      </c>
      <c r="BE43" s="35" t="s">
        <v>3233</v>
      </c>
      <c r="BF43" s="35" t="s">
        <v>392</v>
      </c>
      <c r="BG43" s="35" t="s">
        <v>433</v>
      </c>
      <c r="BH43" s="35" t="s">
        <v>725</v>
      </c>
      <c r="BI43" s="35" t="s">
        <v>3234</v>
      </c>
      <c r="BJ43" s="35" t="s">
        <v>435</v>
      </c>
      <c r="BK43" s="35" t="s">
        <v>3235</v>
      </c>
      <c r="BL43" s="35" t="s">
        <v>602</v>
      </c>
      <c r="BM43" s="35" t="s">
        <v>512</v>
      </c>
      <c r="BN43" s="35" t="s">
        <v>1247</v>
      </c>
      <c r="BO43" s="35" t="s">
        <v>398</v>
      </c>
      <c r="BP43" s="35" t="s">
        <v>3236</v>
      </c>
      <c r="BQ43" s="35" t="s">
        <v>3237</v>
      </c>
      <c r="BR43" s="35" t="s">
        <v>442</v>
      </c>
      <c r="BS43" s="35" t="s">
        <v>3238</v>
      </c>
      <c r="BT43" s="35" t="s">
        <v>1251</v>
      </c>
      <c r="BU43" s="35" t="s">
        <v>1994</v>
      </c>
      <c r="BV43" s="35" t="s">
        <v>405</v>
      </c>
      <c r="BX43" s="35" t="s">
        <v>406</v>
      </c>
      <c r="BY43" s="35" t="s">
        <v>407</v>
      </c>
      <c r="BZ43" s="35" t="s">
        <v>455</v>
      </c>
      <c r="CA43" s="35" t="s">
        <v>3239</v>
      </c>
      <c r="CB43" s="35" t="s">
        <v>3240</v>
      </c>
      <c r="CC43" s="35" t="s">
        <v>3241</v>
      </c>
      <c r="CD43" s="35" t="s">
        <v>3242</v>
      </c>
      <c r="CE43" s="35" t="s">
        <v>409</v>
      </c>
      <c r="CF43" s="35" t="s">
        <v>3243</v>
      </c>
      <c r="CG43" s="35" t="s">
        <v>2233</v>
      </c>
      <c r="CH43" s="35" t="s">
        <v>3244</v>
      </c>
      <c r="CI43" s="35" t="s">
        <v>1259</v>
      </c>
      <c r="CJ43" s="35" t="s">
        <v>410</v>
      </c>
      <c r="CK43" s="35" t="s">
        <v>3245</v>
      </c>
      <c r="CL43" s="35" t="s">
        <v>3246</v>
      </c>
      <c r="EU43" s="35" t="s">
        <v>526</v>
      </c>
      <c r="EV43" s="35" t="s">
        <v>479</v>
      </c>
      <c r="EW43" s="35" t="s">
        <v>480</v>
      </c>
      <c r="EX43" s="35" t="s">
        <v>3247</v>
      </c>
      <c r="EY43" s="35" t="s">
        <v>10673</v>
      </c>
      <c r="EZ43" s="35" t="s">
        <v>3249</v>
      </c>
      <c r="FA43" s="35" t="s">
        <v>583</v>
      </c>
      <c r="FB43" s="35" t="s">
        <v>583</v>
      </c>
      <c r="FC43" s="35" t="s">
        <v>414</v>
      </c>
      <c r="FD43" s="35" t="s">
        <v>583</v>
      </c>
      <c r="FE43" s="35" t="s">
        <v>416</v>
      </c>
      <c r="FF43" s="35" t="s">
        <v>583</v>
      </c>
      <c r="FG43" s="35" t="s">
        <v>414</v>
      </c>
      <c r="FH43" s="35" t="s">
        <v>583</v>
      </c>
      <c r="FI43" s="35" t="s">
        <v>415</v>
      </c>
      <c r="FJ43" s="35" t="s">
        <v>583</v>
      </c>
      <c r="FK43" s="35" t="s">
        <v>583</v>
      </c>
      <c r="FL43" s="35" t="s">
        <v>414</v>
      </c>
      <c r="FM43" s="35" t="s">
        <v>414</v>
      </c>
      <c r="FN43" s="35" t="s">
        <v>413</v>
      </c>
      <c r="FO43" s="35" t="s">
        <v>583</v>
      </c>
      <c r="FP43" s="35" t="s">
        <v>417</v>
      </c>
      <c r="FQ43" s="35" t="s">
        <v>418</v>
      </c>
      <c r="FR43" s="35" t="s">
        <v>419</v>
      </c>
      <c r="FS43" s="35" t="s">
        <v>3250</v>
      </c>
      <c r="FT43" s="35" t="s">
        <v>420</v>
      </c>
      <c r="FU43" s="35" t="s">
        <v>488</v>
      </c>
      <c r="FV43" s="35" t="s">
        <v>533</v>
      </c>
      <c r="FW43" s="35" t="s">
        <v>490</v>
      </c>
      <c r="FX43" s="35" t="s">
        <v>491</v>
      </c>
      <c r="FY43" s="35" t="s">
        <v>3251</v>
      </c>
      <c r="FZ43" s="35" t="s">
        <v>535</v>
      </c>
      <c r="GA43" s="35" t="s">
        <v>3252</v>
      </c>
      <c r="GB43" s="35" t="s">
        <v>3253</v>
      </c>
      <c r="GC43" s="35" t="s">
        <v>455</v>
      </c>
      <c r="GD43" s="35" t="s">
        <v>10674</v>
      </c>
      <c r="GF43" s="35" t="s">
        <v>753</v>
      </c>
      <c r="GG43" s="35" t="s">
        <v>3254</v>
      </c>
      <c r="GK43" s="35" t="s">
        <v>755</v>
      </c>
      <c r="GL43" s="35" t="s">
        <v>1000</v>
      </c>
      <c r="GM43" s="35" t="s">
        <v>946</v>
      </c>
      <c r="GQ43" s="35" t="s">
        <v>387</v>
      </c>
      <c r="GR43" s="35" t="s">
        <v>3255</v>
      </c>
    </row>
    <row r="44">
      <c r="A44" s="40"/>
      <c r="B44" s="40">
        <v>45830.342906412036</v>
      </c>
      <c r="C44" s="35" t="s">
        <v>368</v>
      </c>
      <c r="D44" s="35" t="s">
        <v>370</v>
      </c>
      <c r="F44" s="35" t="s">
        <v>495</v>
      </c>
      <c r="H44" s="35" t="s">
        <v>422</v>
      </c>
      <c r="I44" s="35" t="s">
        <v>496</v>
      </c>
      <c r="J44" s="35" t="s">
        <v>374</v>
      </c>
      <c r="K44" s="35" t="s">
        <v>540</v>
      </c>
      <c r="L44" s="35" t="s">
        <v>376</v>
      </c>
      <c r="M44" s="35" t="s">
        <v>379</v>
      </c>
      <c r="N44" s="35" t="s">
        <v>719</v>
      </c>
      <c r="O44" s="35" t="s">
        <v>426</v>
      </c>
      <c r="P44" s="35" t="s">
        <v>671</v>
      </c>
      <c r="Q44" s="35" t="s">
        <v>592</v>
      </c>
      <c r="R44" s="35" t="s">
        <v>499</v>
      </c>
      <c r="S44" s="35" t="s">
        <v>427</v>
      </c>
      <c r="T44" s="35" t="s">
        <v>384</v>
      </c>
      <c r="U44" s="35" t="s">
        <v>385</v>
      </c>
      <c r="X44" s="35" t="s">
        <v>386</v>
      </c>
      <c r="Y44" s="35" t="s">
        <v>387</v>
      </c>
      <c r="Z44" s="35" t="s">
        <v>388</v>
      </c>
      <c r="AA44" s="35" t="s">
        <v>543</v>
      </c>
      <c r="AB44" s="35" t="s">
        <v>3256</v>
      </c>
      <c r="AW44" s="35" t="s">
        <v>1242</v>
      </c>
      <c r="AX44" s="35" t="s">
        <v>675</v>
      </c>
      <c r="AY44" s="35" t="s">
        <v>675</v>
      </c>
      <c r="AZ44" s="35" t="s">
        <v>675</v>
      </c>
      <c r="BA44" s="35" t="s">
        <v>675</v>
      </c>
      <c r="BB44" s="35" t="s">
        <v>675</v>
      </c>
      <c r="BC44" s="35" t="s">
        <v>675</v>
      </c>
      <c r="BD44" s="35" t="s">
        <v>3257</v>
      </c>
      <c r="BE44" s="35" t="s">
        <v>3258</v>
      </c>
      <c r="BF44" s="35" t="s">
        <v>902</v>
      </c>
      <c r="BG44" s="35" t="s">
        <v>1245</v>
      </c>
      <c r="BH44" s="35" t="s">
        <v>394</v>
      </c>
      <c r="BI44" s="35" t="s">
        <v>3259</v>
      </c>
      <c r="BJ44" s="35" t="s">
        <v>976</v>
      </c>
      <c r="BL44" s="35" t="s">
        <v>681</v>
      </c>
      <c r="BM44" s="35" t="s">
        <v>904</v>
      </c>
      <c r="BN44" s="35" t="s">
        <v>1314</v>
      </c>
      <c r="BO44" s="35" t="s">
        <v>398</v>
      </c>
      <c r="BP44" s="35" t="s">
        <v>3260</v>
      </c>
      <c r="BQ44" s="35" t="s">
        <v>3261</v>
      </c>
      <c r="BR44" s="35" t="s">
        <v>401</v>
      </c>
      <c r="BS44" s="35" t="s">
        <v>1761</v>
      </c>
      <c r="BT44" s="35" t="s">
        <v>1692</v>
      </c>
      <c r="BU44" s="35" t="s">
        <v>1742</v>
      </c>
      <c r="BV44" s="35" t="s">
        <v>405</v>
      </c>
      <c r="BW44" s="35" t="s">
        <v>3262</v>
      </c>
      <c r="BX44" s="35" t="s">
        <v>988</v>
      </c>
      <c r="BZ44" s="35" t="s">
        <v>408</v>
      </c>
      <c r="CB44" s="35" t="s">
        <v>3263</v>
      </c>
      <c r="CC44" s="35" t="s">
        <v>3264</v>
      </c>
      <c r="CD44" s="35" t="s">
        <v>3265</v>
      </c>
      <c r="CE44" s="35" t="s">
        <v>409</v>
      </c>
      <c r="CF44" s="35" t="s">
        <v>3266</v>
      </c>
      <c r="CG44" s="35" t="s">
        <v>1258</v>
      </c>
      <c r="CI44" s="35" t="s">
        <v>1698</v>
      </c>
      <c r="CJ44" s="35" t="s">
        <v>410</v>
      </c>
      <c r="CK44" s="35" t="s">
        <v>3267</v>
      </c>
      <c r="CL44" s="35" t="s">
        <v>3268</v>
      </c>
      <c r="EU44" s="35" t="s">
        <v>578</v>
      </c>
      <c r="EV44" s="35" t="s">
        <v>887</v>
      </c>
      <c r="EW44" s="35" t="s">
        <v>480</v>
      </c>
      <c r="EY44" s="35" t="s">
        <v>3269</v>
      </c>
      <c r="EZ44" s="35" t="s">
        <v>3270</v>
      </c>
      <c r="FA44" s="35" t="s">
        <v>414</v>
      </c>
      <c r="FB44" s="35" t="s">
        <v>583</v>
      </c>
      <c r="FC44" s="35" t="s">
        <v>413</v>
      </c>
      <c r="FD44" s="35" t="s">
        <v>583</v>
      </c>
      <c r="FE44" s="35" t="s">
        <v>413</v>
      </c>
      <c r="FF44" s="35" t="s">
        <v>414</v>
      </c>
      <c r="FG44" s="35" t="s">
        <v>414</v>
      </c>
      <c r="FH44" s="35" t="s">
        <v>416</v>
      </c>
      <c r="FI44" s="35" t="s">
        <v>414</v>
      </c>
      <c r="FJ44" s="35" t="s">
        <v>414</v>
      </c>
      <c r="FK44" s="35" t="s">
        <v>414</v>
      </c>
      <c r="FL44" s="35" t="s">
        <v>414</v>
      </c>
      <c r="FM44" s="35" t="s">
        <v>414</v>
      </c>
      <c r="FN44" s="35" t="s">
        <v>416</v>
      </c>
      <c r="FO44" s="35" t="s">
        <v>583</v>
      </c>
      <c r="FP44" s="35" t="s">
        <v>850</v>
      </c>
      <c r="FQ44" s="35" t="s">
        <v>418</v>
      </c>
      <c r="FR44" s="35" t="s">
        <v>419</v>
      </c>
      <c r="FS44" s="35" t="s">
        <v>3271</v>
      </c>
      <c r="FT44" s="35" t="s">
        <v>420</v>
      </c>
      <c r="FU44" s="35" t="s">
        <v>488</v>
      </c>
      <c r="FV44" s="35" t="s">
        <v>489</v>
      </c>
      <c r="FW44" s="35" t="s">
        <v>490</v>
      </c>
      <c r="FX44" s="35" t="s">
        <v>491</v>
      </c>
      <c r="FY44" s="35" t="s">
        <v>3272</v>
      </c>
      <c r="FZ44" s="35" t="s">
        <v>535</v>
      </c>
      <c r="GC44" s="35" t="s">
        <v>408</v>
      </c>
      <c r="GK44" s="35" t="s">
        <v>755</v>
      </c>
      <c r="GL44" s="35" t="s">
        <v>755</v>
      </c>
      <c r="GM44" s="35" t="s">
        <v>817</v>
      </c>
      <c r="GR44" s="35" t="s">
        <v>3273</v>
      </c>
    </row>
    <row r="45">
      <c r="A45" s="40"/>
      <c r="B45" s="40">
        <v>45830.414605439815</v>
      </c>
      <c r="C45" s="35" t="s">
        <v>368</v>
      </c>
      <c r="D45" s="35" t="s">
        <v>370</v>
      </c>
      <c r="F45" s="35" t="s">
        <v>1441</v>
      </c>
      <c r="H45" s="35" t="s">
        <v>422</v>
      </c>
      <c r="I45" s="35" t="s">
        <v>373</v>
      </c>
      <c r="J45" s="35" t="s">
        <v>638</v>
      </c>
      <c r="K45" s="35" t="s">
        <v>718</v>
      </c>
      <c r="L45" s="35" t="s">
        <v>376</v>
      </c>
      <c r="M45" s="35" t="s">
        <v>426</v>
      </c>
      <c r="N45" s="35" t="s">
        <v>378</v>
      </c>
      <c r="O45" s="35" t="s">
        <v>793</v>
      </c>
      <c r="P45" s="35" t="s">
        <v>1270</v>
      </c>
      <c r="Q45" s="35" t="s">
        <v>592</v>
      </c>
      <c r="R45" s="35" t="s">
        <v>499</v>
      </c>
      <c r="S45" s="35" t="s">
        <v>427</v>
      </c>
      <c r="T45" s="35" t="s">
        <v>384</v>
      </c>
      <c r="U45" s="35" t="s">
        <v>385</v>
      </c>
      <c r="X45" s="35" t="s">
        <v>386</v>
      </c>
      <c r="Y45" s="35" t="s">
        <v>387</v>
      </c>
      <c r="Z45" s="35" t="s">
        <v>1824</v>
      </c>
      <c r="AA45" s="35" t="s">
        <v>543</v>
      </c>
      <c r="AB45" s="35" t="s">
        <v>3307</v>
      </c>
      <c r="AW45" s="35" t="s">
        <v>1242</v>
      </c>
      <c r="AX45" s="35" t="s">
        <v>675</v>
      </c>
      <c r="AY45" s="35" t="s">
        <v>675</v>
      </c>
      <c r="AZ45" s="35" t="s">
        <v>675</v>
      </c>
      <c r="BA45" s="35" t="s">
        <v>675</v>
      </c>
      <c r="BB45" s="35" t="s">
        <v>675</v>
      </c>
      <c r="BC45" s="35" t="s">
        <v>675</v>
      </c>
      <c r="BH45" s="35" t="s">
        <v>434</v>
      </c>
      <c r="BJ45" s="35" t="s">
        <v>976</v>
      </c>
      <c r="BL45" s="35" t="s">
        <v>681</v>
      </c>
      <c r="BM45" s="35" t="s">
        <v>603</v>
      </c>
      <c r="BN45" s="35" t="s">
        <v>1247</v>
      </c>
      <c r="BO45" s="35" t="s">
        <v>398</v>
      </c>
      <c r="BP45" s="35" t="s">
        <v>3308</v>
      </c>
      <c r="BQ45" s="35" t="s">
        <v>3309</v>
      </c>
      <c r="BR45" s="35" t="s">
        <v>442</v>
      </c>
      <c r="BS45" s="35" t="s">
        <v>3310</v>
      </c>
      <c r="BT45" s="35" t="s">
        <v>403</v>
      </c>
      <c r="BU45" s="35" t="s">
        <v>404</v>
      </c>
      <c r="BV45" s="35" t="s">
        <v>1772</v>
      </c>
      <c r="BW45" s="35" t="s">
        <v>10675</v>
      </c>
      <c r="BX45" s="35" t="s">
        <v>406</v>
      </c>
      <c r="BY45" s="35" t="s">
        <v>407</v>
      </c>
      <c r="BZ45" s="35" t="s">
        <v>408</v>
      </c>
      <c r="CC45" s="35" t="s">
        <v>10676</v>
      </c>
      <c r="CD45" s="35" t="s">
        <v>3313</v>
      </c>
      <c r="CE45" s="35" t="s">
        <v>1931</v>
      </c>
      <c r="CG45" s="35" t="s">
        <v>1258</v>
      </c>
      <c r="CI45" s="35" t="s">
        <v>1751</v>
      </c>
      <c r="CJ45" s="35" t="s">
        <v>410</v>
      </c>
      <c r="CK45" s="35" t="s">
        <v>10677</v>
      </c>
      <c r="CL45" s="35" t="s">
        <v>10678</v>
      </c>
      <c r="EU45" s="35" t="s">
        <v>578</v>
      </c>
      <c r="EV45" s="35" t="s">
        <v>479</v>
      </c>
      <c r="EW45" s="35" t="s">
        <v>480</v>
      </c>
      <c r="EY45" s="35" t="s">
        <v>10679</v>
      </c>
      <c r="EZ45" s="35" t="s">
        <v>2963</v>
      </c>
      <c r="FA45" s="35" t="s">
        <v>414</v>
      </c>
      <c r="FB45" s="35" t="s">
        <v>583</v>
      </c>
      <c r="FC45" s="35" t="s">
        <v>413</v>
      </c>
      <c r="FD45" s="35" t="s">
        <v>583</v>
      </c>
      <c r="FE45" s="35" t="s">
        <v>415</v>
      </c>
      <c r="FF45" s="35" t="s">
        <v>583</v>
      </c>
      <c r="FG45" s="35" t="s">
        <v>415</v>
      </c>
      <c r="FH45" s="35" t="s">
        <v>413</v>
      </c>
      <c r="FI45" s="35" t="s">
        <v>415</v>
      </c>
      <c r="FJ45" s="35" t="s">
        <v>583</v>
      </c>
      <c r="FK45" s="35" t="s">
        <v>415</v>
      </c>
      <c r="FL45" s="35" t="s">
        <v>415</v>
      </c>
      <c r="FM45" s="35" t="s">
        <v>415</v>
      </c>
      <c r="FN45" s="35" t="s">
        <v>413</v>
      </c>
      <c r="FO45" s="35" t="s">
        <v>583</v>
      </c>
      <c r="FP45" s="35" t="s">
        <v>850</v>
      </c>
      <c r="FQ45" s="35" t="s">
        <v>486</v>
      </c>
      <c r="FR45" s="35" t="s">
        <v>749</v>
      </c>
      <c r="FS45" s="35" t="s">
        <v>10680</v>
      </c>
      <c r="FT45" s="35" t="s">
        <v>420</v>
      </c>
      <c r="FU45" s="35" t="s">
        <v>1476</v>
      </c>
      <c r="FV45" s="35" t="s">
        <v>533</v>
      </c>
      <c r="FW45" s="35" t="s">
        <v>490</v>
      </c>
      <c r="FX45" s="35" t="s">
        <v>491</v>
      </c>
      <c r="FY45" s="35" t="s">
        <v>10681</v>
      </c>
      <c r="FZ45" s="35" t="s">
        <v>493</v>
      </c>
      <c r="GC45" s="35" t="s">
        <v>455</v>
      </c>
      <c r="GD45" s="35" t="s">
        <v>10682</v>
      </c>
      <c r="GF45" s="35" t="s">
        <v>753</v>
      </c>
      <c r="GK45" s="35" t="s">
        <v>1000</v>
      </c>
      <c r="GL45" s="35" t="s">
        <v>1000</v>
      </c>
      <c r="GM45" s="35" t="s">
        <v>817</v>
      </c>
      <c r="GR45" s="35" t="s">
        <v>3273</v>
      </c>
    </row>
    <row r="46">
      <c r="A46" s="40"/>
      <c r="B46" s="40">
        <v>45830.43470159722</v>
      </c>
      <c r="C46" s="35" t="s">
        <v>368</v>
      </c>
      <c r="D46" s="35" t="s">
        <v>894</v>
      </c>
      <c r="E46" s="35" t="s">
        <v>894</v>
      </c>
      <c r="H46" s="35" t="s">
        <v>1783</v>
      </c>
      <c r="I46" s="35" t="s">
        <v>496</v>
      </c>
      <c r="J46" s="35" t="s">
        <v>374</v>
      </c>
      <c r="K46" s="35" t="s">
        <v>375</v>
      </c>
      <c r="L46" s="35" t="s">
        <v>376</v>
      </c>
      <c r="M46" s="35" t="s">
        <v>591</v>
      </c>
      <c r="N46" s="35" t="s">
        <v>719</v>
      </c>
      <c r="O46" s="35" t="s">
        <v>591</v>
      </c>
      <c r="P46" s="35" t="s">
        <v>719</v>
      </c>
      <c r="Q46" s="35" t="s">
        <v>592</v>
      </c>
      <c r="R46" s="35" t="s">
        <v>862</v>
      </c>
      <c r="S46" s="35" t="s">
        <v>427</v>
      </c>
      <c r="T46" s="35" t="s">
        <v>384</v>
      </c>
      <c r="U46" s="35" t="s">
        <v>385</v>
      </c>
      <c r="V46" s="35" t="s">
        <v>896</v>
      </c>
      <c r="W46" s="35" t="s">
        <v>896</v>
      </c>
      <c r="X46" s="35" t="s">
        <v>3014</v>
      </c>
      <c r="AW46" s="35" t="s">
        <v>1310</v>
      </c>
      <c r="AX46" s="41">
        <v>2.0</v>
      </c>
      <c r="AY46" s="41">
        <v>2.0</v>
      </c>
      <c r="AZ46" s="41">
        <v>2.0</v>
      </c>
      <c r="BA46" s="41">
        <v>2.0</v>
      </c>
      <c r="BB46" s="41">
        <v>2.0</v>
      </c>
      <c r="BC46" s="41">
        <v>2.0</v>
      </c>
      <c r="BD46" s="35" t="s">
        <v>1766</v>
      </c>
      <c r="BE46" s="35" t="s">
        <v>3319</v>
      </c>
      <c r="BF46" s="35" t="s">
        <v>432</v>
      </c>
      <c r="BG46" s="35" t="s">
        <v>1095</v>
      </c>
      <c r="BH46" s="35" t="s">
        <v>725</v>
      </c>
      <c r="BI46" s="35" t="s">
        <v>1211</v>
      </c>
      <c r="BJ46" s="35" t="s">
        <v>435</v>
      </c>
      <c r="BK46" s="35" t="s">
        <v>3320</v>
      </c>
      <c r="BL46" s="35" t="s">
        <v>602</v>
      </c>
      <c r="BM46" s="35" t="s">
        <v>438</v>
      </c>
      <c r="BN46" s="35" t="s">
        <v>1247</v>
      </c>
      <c r="BO46" s="35" t="s">
        <v>398</v>
      </c>
      <c r="BP46" s="35" t="s">
        <v>3321</v>
      </c>
      <c r="BQ46" s="35" t="s">
        <v>10683</v>
      </c>
      <c r="BR46" s="35" t="s">
        <v>442</v>
      </c>
      <c r="BS46" s="35" t="s">
        <v>3323</v>
      </c>
      <c r="BT46" s="35" t="s">
        <v>1741</v>
      </c>
      <c r="BU46" s="35" t="s">
        <v>404</v>
      </c>
      <c r="BV46" s="35" t="s">
        <v>405</v>
      </c>
      <c r="BW46" s="35" t="s">
        <v>1252</v>
      </c>
      <c r="BX46" s="35" t="s">
        <v>988</v>
      </c>
      <c r="BZ46" s="35" t="s">
        <v>455</v>
      </c>
      <c r="CA46" s="35" t="s">
        <v>10684</v>
      </c>
      <c r="CB46" s="35" t="s">
        <v>3325</v>
      </c>
      <c r="CC46" s="35" t="s">
        <v>10685</v>
      </c>
      <c r="CD46" s="35" t="s">
        <v>10686</v>
      </c>
      <c r="CE46" s="35" t="s">
        <v>1257</v>
      </c>
      <c r="CF46" s="35" t="s">
        <v>10687</v>
      </c>
      <c r="CK46" s="35" t="s">
        <v>10688</v>
      </c>
      <c r="CL46" s="35" t="s">
        <v>10689</v>
      </c>
      <c r="EU46" s="35" t="s">
        <v>578</v>
      </c>
      <c r="EV46" s="35" t="s">
        <v>1127</v>
      </c>
      <c r="EW46" s="35" t="s">
        <v>1262</v>
      </c>
      <c r="EX46" s="35" t="s">
        <v>3331</v>
      </c>
      <c r="EY46" s="35" t="s">
        <v>3332</v>
      </c>
      <c r="EZ46" s="35" t="s">
        <v>3333</v>
      </c>
      <c r="FA46" s="35" t="s">
        <v>415</v>
      </c>
      <c r="FB46" s="35" t="s">
        <v>415</v>
      </c>
      <c r="FC46" s="35" t="s">
        <v>413</v>
      </c>
      <c r="FD46" s="35" t="s">
        <v>415</v>
      </c>
      <c r="FE46" s="35" t="s">
        <v>413</v>
      </c>
      <c r="FF46" s="35" t="s">
        <v>415</v>
      </c>
      <c r="FG46" s="35" t="s">
        <v>416</v>
      </c>
      <c r="FH46" s="35" t="s">
        <v>413</v>
      </c>
      <c r="FI46" s="35" t="s">
        <v>583</v>
      </c>
      <c r="FJ46" s="35" t="s">
        <v>416</v>
      </c>
      <c r="FK46" s="35" t="s">
        <v>415</v>
      </c>
      <c r="FL46" s="35" t="s">
        <v>416</v>
      </c>
      <c r="FM46" s="35" t="s">
        <v>416</v>
      </c>
      <c r="FN46" s="35" t="s">
        <v>416</v>
      </c>
      <c r="FO46" s="35" t="s">
        <v>414</v>
      </c>
      <c r="FP46" s="35" t="s">
        <v>850</v>
      </c>
      <c r="FQ46" s="35" t="s">
        <v>418</v>
      </c>
      <c r="FR46" s="35" t="s">
        <v>749</v>
      </c>
      <c r="FS46" s="35" t="s">
        <v>3334</v>
      </c>
      <c r="FT46" s="35" t="s">
        <v>420</v>
      </c>
      <c r="FU46" s="35" t="s">
        <v>1462</v>
      </c>
      <c r="FV46" s="35" t="s">
        <v>585</v>
      </c>
      <c r="FW46" s="35" t="s">
        <v>490</v>
      </c>
      <c r="FX46" s="35" t="s">
        <v>491</v>
      </c>
      <c r="FY46" s="35" t="s">
        <v>10690</v>
      </c>
      <c r="FZ46" s="35" t="s">
        <v>535</v>
      </c>
      <c r="GA46" s="35" t="s">
        <v>3336</v>
      </c>
      <c r="GB46" s="35" t="s">
        <v>2927</v>
      </c>
      <c r="GC46" s="35" t="s">
        <v>455</v>
      </c>
      <c r="GD46" s="35" t="s">
        <v>10691</v>
      </c>
      <c r="GF46" s="35" t="s">
        <v>786</v>
      </c>
      <c r="GG46" s="35" t="s">
        <v>10692</v>
      </c>
      <c r="GK46" s="35" t="s">
        <v>920</v>
      </c>
      <c r="GL46" s="35" t="s">
        <v>789</v>
      </c>
      <c r="GM46" s="35" t="s">
        <v>756</v>
      </c>
      <c r="GR46" s="35" t="s">
        <v>3273</v>
      </c>
    </row>
    <row r="47">
      <c r="A47" s="40"/>
      <c r="B47" s="40">
        <v>45830.47800052083</v>
      </c>
      <c r="C47" s="35" t="s">
        <v>368</v>
      </c>
      <c r="D47" s="35" t="s">
        <v>370</v>
      </c>
      <c r="F47" s="35" t="s">
        <v>667</v>
      </c>
      <c r="H47" s="35" t="s">
        <v>422</v>
      </c>
      <c r="I47" s="35" t="s">
        <v>496</v>
      </c>
      <c r="J47" s="35" t="s">
        <v>374</v>
      </c>
      <c r="K47" s="35" t="s">
        <v>718</v>
      </c>
      <c r="L47" s="35" t="s">
        <v>376</v>
      </c>
      <c r="M47" s="35" t="s">
        <v>793</v>
      </c>
      <c r="N47" s="35" t="s">
        <v>378</v>
      </c>
      <c r="O47" s="35" t="s">
        <v>793</v>
      </c>
      <c r="P47" s="35" t="s">
        <v>3352</v>
      </c>
      <c r="Q47" s="35" t="s">
        <v>1504</v>
      </c>
      <c r="R47" s="35" t="s">
        <v>1156</v>
      </c>
      <c r="S47" s="35" t="s">
        <v>427</v>
      </c>
      <c r="T47" s="35" t="s">
        <v>384</v>
      </c>
      <c r="U47" s="35" t="s">
        <v>385</v>
      </c>
      <c r="X47" s="35" t="s">
        <v>386</v>
      </c>
      <c r="Y47" s="35" t="s">
        <v>387</v>
      </c>
      <c r="Z47" s="35" t="s">
        <v>3353</v>
      </c>
      <c r="AA47" s="35" t="s">
        <v>389</v>
      </c>
      <c r="AW47" s="35" t="s">
        <v>1310</v>
      </c>
      <c r="AX47" s="41">
        <v>4.0</v>
      </c>
      <c r="AY47" s="41">
        <v>4.0</v>
      </c>
      <c r="AZ47" s="41">
        <v>4.0</v>
      </c>
      <c r="BA47" s="35" t="s">
        <v>391</v>
      </c>
      <c r="BB47" s="41">
        <v>4.0</v>
      </c>
      <c r="BC47" s="35" t="s">
        <v>675</v>
      </c>
      <c r="BF47" s="35" t="s">
        <v>432</v>
      </c>
      <c r="BG47" s="35" t="s">
        <v>1245</v>
      </c>
      <c r="BH47" s="35" t="s">
        <v>394</v>
      </c>
      <c r="BJ47" s="35" t="s">
        <v>976</v>
      </c>
      <c r="BL47" s="35" t="s">
        <v>395</v>
      </c>
      <c r="BM47" s="35" t="s">
        <v>904</v>
      </c>
      <c r="BN47" s="35" t="s">
        <v>1247</v>
      </c>
      <c r="BO47" s="35" t="s">
        <v>398</v>
      </c>
      <c r="BR47" s="35" t="s">
        <v>401</v>
      </c>
      <c r="BS47" s="35" t="s">
        <v>2488</v>
      </c>
      <c r="BT47" s="35" t="s">
        <v>403</v>
      </c>
      <c r="BU47" s="35" t="s">
        <v>404</v>
      </c>
      <c r="BV47" s="35" t="s">
        <v>405</v>
      </c>
      <c r="BX47" s="35" t="s">
        <v>406</v>
      </c>
      <c r="BY47" s="35" t="s">
        <v>1867</v>
      </c>
      <c r="BZ47" s="35" t="s">
        <v>408</v>
      </c>
      <c r="CE47" s="35" t="s">
        <v>451</v>
      </c>
      <c r="CG47" s="35" t="s">
        <v>1258</v>
      </c>
      <c r="CI47" s="35" t="s">
        <v>1751</v>
      </c>
      <c r="CJ47" s="35" t="s">
        <v>410</v>
      </c>
      <c r="CK47" s="35" t="s">
        <v>3354</v>
      </c>
      <c r="EU47" s="35" t="s">
        <v>526</v>
      </c>
      <c r="EV47" s="35" t="s">
        <v>1037</v>
      </c>
      <c r="EW47" s="35" t="s">
        <v>580</v>
      </c>
      <c r="FA47" s="35" t="s">
        <v>416</v>
      </c>
      <c r="FB47" s="35" t="s">
        <v>414</v>
      </c>
      <c r="FC47" s="35" t="s">
        <v>413</v>
      </c>
      <c r="FD47" s="35" t="s">
        <v>414</v>
      </c>
      <c r="FE47" s="35" t="s">
        <v>416</v>
      </c>
      <c r="FF47" s="35" t="s">
        <v>414</v>
      </c>
      <c r="FG47" s="35" t="s">
        <v>415</v>
      </c>
      <c r="FH47" s="35" t="s">
        <v>415</v>
      </c>
      <c r="FI47" s="35" t="s">
        <v>414</v>
      </c>
      <c r="FJ47" s="35" t="s">
        <v>414</v>
      </c>
      <c r="FK47" s="35" t="s">
        <v>416</v>
      </c>
      <c r="FL47" s="35" t="s">
        <v>416</v>
      </c>
      <c r="FM47" s="35" t="s">
        <v>484</v>
      </c>
      <c r="FN47" s="35" t="s">
        <v>484</v>
      </c>
      <c r="FO47" s="35" t="s">
        <v>484</v>
      </c>
      <c r="FP47" s="35" t="s">
        <v>485</v>
      </c>
      <c r="FQ47" s="35" t="s">
        <v>486</v>
      </c>
      <c r="FR47" s="35" t="s">
        <v>712</v>
      </c>
      <c r="FT47" s="35" t="s">
        <v>1076</v>
      </c>
      <c r="FU47" s="35" t="s">
        <v>488</v>
      </c>
      <c r="FV47" s="35" t="s">
        <v>489</v>
      </c>
      <c r="FW47" s="35" t="s">
        <v>490</v>
      </c>
      <c r="FX47" s="35" t="s">
        <v>491</v>
      </c>
      <c r="FZ47" s="35" t="s">
        <v>493</v>
      </c>
      <c r="GC47" s="35" t="s">
        <v>408</v>
      </c>
      <c r="GK47" s="35" t="s">
        <v>857</v>
      </c>
      <c r="GL47" s="35" t="s">
        <v>857</v>
      </c>
      <c r="GM47" s="35" t="s">
        <v>790</v>
      </c>
      <c r="GR47" s="42" t="s">
        <v>3355</v>
      </c>
    </row>
    <row r="48">
      <c r="A48" s="40"/>
      <c r="B48" s="40">
        <v>45830.5357296875</v>
      </c>
      <c r="C48" s="35" t="s">
        <v>368</v>
      </c>
      <c r="D48" s="35" t="s">
        <v>370</v>
      </c>
      <c r="F48" s="35" t="s">
        <v>1875</v>
      </c>
      <c r="H48" s="35" t="s">
        <v>422</v>
      </c>
      <c r="I48" s="35" t="s">
        <v>496</v>
      </c>
      <c r="J48" s="35" t="s">
        <v>374</v>
      </c>
      <c r="K48" s="35" t="s">
        <v>718</v>
      </c>
      <c r="L48" s="35" t="s">
        <v>376</v>
      </c>
      <c r="M48" s="35" t="s">
        <v>591</v>
      </c>
      <c r="N48" s="35" t="s">
        <v>719</v>
      </c>
      <c r="O48" s="35" t="s">
        <v>591</v>
      </c>
      <c r="P48" s="35" t="s">
        <v>719</v>
      </c>
      <c r="Q48" s="35" t="s">
        <v>498</v>
      </c>
      <c r="R48" s="35" t="s">
        <v>499</v>
      </c>
      <c r="S48" s="35" t="s">
        <v>427</v>
      </c>
      <c r="T48" s="35" t="s">
        <v>384</v>
      </c>
      <c r="U48" s="35" t="s">
        <v>385</v>
      </c>
      <c r="X48" s="35" t="s">
        <v>386</v>
      </c>
      <c r="Y48" s="35" t="s">
        <v>387</v>
      </c>
      <c r="Z48" s="35" t="s">
        <v>388</v>
      </c>
      <c r="AA48" s="35" t="s">
        <v>543</v>
      </c>
      <c r="AB48" s="35" t="s">
        <v>408</v>
      </c>
      <c r="AC48" s="35" t="s">
        <v>10693</v>
      </c>
      <c r="AW48" s="35" t="s">
        <v>1310</v>
      </c>
      <c r="AX48" s="35" t="s">
        <v>675</v>
      </c>
      <c r="AY48" s="41">
        <v>4.0</v>
      </c>
      <c r="AZ48" s="35" t="s">
        <v>675</v>
      </c>
      <c r="BA48" s="35" t="s">
        <v>675</v>
      </c>
      <c r="BB48" s="35" t="s">
        <v>675</v>
      </c>
      <c r="BC48" s="35" t="s">
        <v>675</v>
      </c>
      <c r="BD48" s="35" t="s">
        <v>10694</v>
      </c>
      <c r="BE48" s="35" t="s">
        <v>10695</v>
      </c>
      <c r="BF48" s="35" t="s">
        <v>2379</v>
      </c>
      <c r="BG48" s="35" t="s">
        <v>1095</v>
      </c>
      <c r="BH48" s="35" t="s">
        <v>725</v>
      </c>
      <c r="BI48" s="35" t="s">
        <v>3359</v>
      </c>
      <c r="BJ48" s="35" t="s">
        <v>727</v>
      </c>
      <c r="BL48" s="35" t="s">
        <v>395</v>
      </c>
      <c r="BM48" s="35" t="s">
        <v>603</v>
      </c>
      <c r="BN48" s="35" t="s">
        <v>1247</v>
      </c>
      <c r="BO48" s="35" t="s">
        <v>398</v>
      </c>
      <c r="BP48" s="35" t="s">
        <v>10696</v>
      </c>
      <c r="BQ48" s="35" t="s">
        <v>10697</v>
      </c>
      <c r="BR48" s="35" t="s">
        <v>604</v>
      </c>
      <c r="BS48" s="35" t="s">
        <v>3362</v>
      </c>
      <c r="BT48" s="35" t="s">
        <v>1251</v>
      </c>
      <c r="BU48" s="35" t="s">
        <v>1672</v>
      </c>
      <c r="BV48" s="35" t="s">
        <v>405</v>
      </c>
      <c r="BX48" s="35" t="s">
        <v>457</v>
      </c>
      <c r="BZ48" s="35" t="s">
        <v>408</v>
      </c>
      <c r="CB48" s="35" t="s">
        <v>10698</v>
      </c>
      <c r="CC48" s="35" t="s">
        <v>10699</v>
      </c>
      <c r="CD48" s="35" t="s">
        <v>10700</v>
      </c>
      <c r="CE48" s="35" t="s">
        <v>409</v>
      </c>
      <c r="CF48" s="35" t="s">
        <v>10701</v>
      </c>
      <c r="CI48" s="35" t="s">
        <v>1698</v>
      </c>
      <c r="CJ48" s="35" t="s">
        <v>1964</v>
      </c>
      <c r="CK48" s="35" t="s">
        <v>10702</v>
      </c>
      <c r="CL48" s="35" t="s">
        <v>10703</v>
      </c>
      <c r="EU48" s="35" t="s">
        <v>578</v>
      </c>
      <c r="EV48" s="35" t="s">
        <v>887</v>
      </c>
      <c r="EW48" s="35" t="s">
        <v>663</v>
      </c>
      <c r="EY48" s="35" t="s">
        <v>10704</v>
      </c>
      <c r="EZ48" s="35" t="s">
        <v>10705</v>
      </c>
      <c r="FA48" s="35" t="s">
        <v>414</v>
      </c>
      <c r="FB48" s="35" t="s">
        <v>414</v>
      </c>
      <c r="FC48" s="35" t="s">
        <v>413</v>
      </c>
      <c r="FD48" s="35" t="s">
        <v>415</v>
      </c>
      <c r="FE48" s="35" t="s">
        <v>413</v>
      </c>
      <c r="FF48" s="35" t="s">
        <v>583</v>
      </c>
      <c r="FG48" s="35" t="s">
        <v>413</v>
      </c>
      <c r="FH48" s="35" t="s">
        <v>415</v>
      </c>
      <c r="FI48" s="35" t="s">
        <v>583</v>
      </c>
      <c r="FJ48" s="35" t="s">
        <v>415</v>
      </c>
      <c r="FK48" s="35" t="s">
        <v>415</v>
      </c>
      <c r="FL48" s="35" t="s">
        <v>413</v>
      </c>
      <c r="FM48" s="35" t="s">
        <v>583</v>
      </c>
      <c r="FN48" s="35" t="s">
        <v>583</v>
      </c>
      <c r="FO48" s="35" t="s">
        <v>413</v>
      </c>
      <c r="FP48" s="35" t="s">
        <v>417</v>
      </c>
      <c r="FQ48" s="35" t="s">
        <v>418</v>
      </c>
      <c r="FR48" s="35" t="s">
        <v>419</v>
      </c>
      <c r="FS48" s="35" t="s">
        <v>3371</v>
      </c>
      <c r="FT48" s="35" t="s">
        <v>1189</v>
      </c>
      <c r="FU48" s="35" t="s">
        <v>488</v>
      </c>
      <c r="FV48" s="35" t="s">
        <v>489</v>
      </c>
      <c r="FW48" s="35" t="s">
        <v>490</v>
      </c>
      <c r="FX48" s="35" t="s">
        <v>491</v>
      </c>
      <c r="FY48" s="35" t="s">
        <v>10706</v>
      </c>
      <c r="FZ48" s="35" t="s">
        <v>493</v>
      </c>
      <c r="GA48" s="35" t="s">
        <v>10707</v>
      </c>
      <c r="GB48" s="35" t="s">
        <v>10708</v>
      </c>
      <c r="GC48" s="35" t="s">
        <v>455</v>
      </c>
      <c r="GK48" s="35" t="s">
        <v>789</v>
      </c>
      <c r="GL48" s="35" t="s">
        <v>788</v>
      </c>
      <c r="GM48" s="35" t="s">
        <v>921</v>
      </c>
      <c r="GR48" s="35" t="s">
        <v>3273</v>
      </c>
    </row>
    <row r="49">
      <c r="A49" s="40"/>
      <c r="B49" s="40">
        <v>45830.61729040509</v>
      </c>
      <c r="C49" s="35" t="s">
        <v>368</v>
      </c>
      <c r="D49" s="35" t="s">
        <v>894</v>
      </c>
      <c r="E49" s="35" t="s">
        <v>894</v>
      </c>
      <c r="H49" s="35" t="s">
        <v>422</v>
      </c>
      <c r="I49" s="35" t="s">
        <v>539</v>
      </c>
      <c r="J49" s="35" t="s">
        <v>424</v>
      </c>
      <c r="K49" s="35" t="s">
        <v>718</v>
      </c>
      <c r="L49" s="35" t="s">
        <v>376</v>
      </c>
      <c r="M49" s="35" t="s">
        <v>379</v>
      </c>
      <c r="N49" s="35" t="s">
        <v>378</v>
      </c>
      <c r="O49" s="35" t="s">
        <v>379</v>
      </c>
      <c r="P49" s="35" t="s">
        <v>497</v>
      </c>
      <c r="Q49" s="35" t="s">
        <v>592</v>
      </c>
      <c r="R49" s="35" t="s">
        <v>499</v>
      </c>
      <c r="S49" s="35" t="s">
        <v>500</v>
      </c>
      <c r="T49" s="35" t="s">
        <v>384</v>
      </c>
      <c r="U49" s="35" t="s">
        <v>385</v>
      </c>
      <c r="V49" s="35" t="s">
        <v>896</v>
      </c>
      <c r="W49" s="35" t="s">
        <v>896</v>
      </c>
      <c r="X49" s="35" t="s">
        <v>3014</v>
      </c>
      <c r="AW49" s="35" t="s">
        <v>1242</v>
      </c>
      <c r="AX49" s="41">
        <v>4.0</v>
      </c>
      <c r="AY49" s="41">
        <v>4.0</v>
      </c>
      <c r="AZ49" s="41">
        <v>4.0</v>
      </c>
      <c r="BA49" s="41">
        <v>4.0</v>
      </c>
      <c r="BB49" s="35" t="s">
        <v>675</v>
      </c>
      <c r="BC49" s="41">
        <v>4.0</v>
      </c>
      <c r="BF49" s="35" t="s">
        <v>432</v>
      </c>
      <c r="BG49" s="35" t="s">
        <v>1095</v>
      </c>
      <c r="BH49" s="35" t="s">
        <v>394</v>
      </c>
      <c r="BJ49" s="35" t="s">
        <v>435</v>
      </c>
      <c r="BL49" s="35" t="s">
        <v>395</v>
      </c>
      <c r="BM49" s="35" t="s">
        <v>512</v>
      </c>
      <c r="BN49" s="35" t="s">
        <v>1314</v>
      </c>
      <c r="BO49" s="35" t="s">
        <v>398</v>
      </c>
      <c r="BR49" s="35" t="s">
        <v>442</v>
      </c>
      <c r="BS49" s="35" t="s">
        <v>3375</v>
      </c>
      <c r="BU49" s="35" t="s">
        <v>1672</v>
      </c>
      <c r="BV49" s="35" t="s">
        <v>1693</v>
      </c>
      <c r="BX49" s="35" t="s">
        <v>457</v>
      </c>
      <c r="BZ49" s="35" t="s">
        <v>408</v>
      </c>
      <c r="CE49" s="35" t="s">
        <v>451</v>
      </c>
      <c r="CG49" s="35" t="s">
        <v>1722</v>
      </c>
      <c r="CI49" s="35" t="s">
        <v>1698</v>
      </c>
      <c r="CJ49" s="35" t="s">
        <v>410</v>
      </c>
      <c r="EU49" s="35" t="s">
        <v>578</v>
      </c>
      <c r="EV49" s="35" t="s">
        <v>479</v>
      </c>
      <c r="EW49" s="35" t="s">
        <v>480</v>
      </c>
      <c r="FA49" s="35" t="s">
        <v>583</v>
      </c>
      <c r="FB49" s="35" t="s">
        <v>583</v>
      </c>
      <c r="FC49" s="35" t="s">
        <v>583</v>
      </c>
      <c r="FD49" s="35" t="s">
        <v>583</v>
      </c>
      <c r="FE49" s="35" t="s">
        <v>415</v>
      </c>
      <c r="FF49" s="35" t="s">
        <v>583</v>
      </c>
      <c r="FG49" s="35" t="s">
        <v>583</v>
      </c>
      <c r="FH49" s="35" t="s">
        <v>416</v>
      </c>
      <c r="FI49" s="35" t="s">
        <v>583</v>
      </c>
      <c r="FJ49" s="35" t="s">
        <v>583</v>
      </c>
      <c r="FK49" s="35" t="s">
        <v>583</v>
      </c>
      <c r="FL49" s="35" t="s">
        <v>484</v>
      </c>
      <c r="FM49" s="35" t="s">
        <v>583</v>
      </c>
      <c r="FN49" s="35" t="s">
        <v>416</v>
      </c>
      <c r="FO49" s="35" t="s">
        <v>583</v>
      </c>
      <c r="FP49" s="35" t="s">
        <v>1074</v>
      </c>
      <c r="FQ49" s="35" t="s">
        <v>418</v>
      </c>
      <c r="FR49" s="35" t="s">
        <v>419</v>
      </c>
      <c r="FT49" s="35" t="s">
        <v>995</v>
      </c>
      <c r="FU49" s="35" t="s">
        <v>488</v>
      </c>
      <c r="FV49" s="35" t="s">
        <v>533</v>
      </c>
      <c r="FW49" s="35" t="s">
        <v>1101</v>
      </c>
      <c r="FX49" s="35" t="s">
        <v>491</v>
      </c>
      <c r="FZ49" s="35" t="s">
        <v>1020</v>
      </c>
      <c r="GC49" s="35" t="s">
        <v>408</v>
      </c>
      <c r="GK49" s="35" t="s">
        <v>755</v>
      </c>
      <c r="GL49" s="35" t="s">
        <v>755</v>
      </c>
      <c r="GM49" s="35" t="s">
        <v>946</v>
      </c>
      <c r="GR49" s="35" t="s">
        <v>3273</v>
      </c>
    </row>
    <row r="50">
      <c r="A50" s="40"/>
      <c r="B50" s="40">
        <v>45830.622208518515</v>
      </c>
      <c r="C50" s="35" t="s">
        <v>368</v>
      </c>
      <c r="D50" s="35" t="s">
        <v>3376</v>
      </c>
      <c r="E50" s="35" t="s">
        <v>3376</v>
      </c>
      <c r="H50" s="35" t="s">
        <v>1093</v>
      </c>
      <c r="I50" s="35" t="s">
        <v>373</v>
      </c>
      <c r="J50" s="35" t="s">
        <v>374</v>
      </c>
      <c r="K50" s="35" t="s">
        <v>375</v>
      </c>
      <c r="L50" s="35" t="s">
        <v>376</v>
      </c>
      <c r="M50" s="35" t="s">
        <v>1526</v>
      </c>
      <c r="N50" s="35" t="s">
        <v>3377</v>
      </c>
      <c r="O50" s="35" t="s">
        <v>1526</v>
      </c>
      <c r="P50" s="35" t="s">
        <v>1799</v>
      </c>
      <c r="Q50" s="35" t="s">
        <v>1760</v>
      </c>
      <c r="R50" s="35" t="s">
        <v>759</v>
      </c>
      <c r="S50" s="35" t="s">
        <v>3378</v>
      </c>
      <c r="T50" s="35" t="s">
        <v>384</v>
      </c>
      <c r="U50" s="35" t="s">
        <v>385</v>
      </c>
      <c r="X50" s="35" t="s">
        <v>1023</v>
      </c>
      <c r="Y50" s="35" t="s">
        <v>2729</v>
      </c>
      <c r="AW50" s="35" t="s">
        <v>1310</v>
      </c>
      <c r="AX50" s="35" t="s">
        <v>391</v>
      </c>
      <c r="AY50" s="35" t="s">
        <v>391</v>
      </c>
      <c r="AZ50" s="41">
        <v>2.0</v>
      </c>
      <c r="BA50" s="41">
        <v>2.0</v>
      </c>
      <c r="BB50" s="35" t="s">
        <v>391</v>
      </c>
      <c r="BC50" s="35" t="s">
        <v>391</v>
      </c>
      <c r="BD50" s="35" t="s">
        <v>3379</v>
      </c>
      <c r="BE50" s="35" t="s">
        <v>3380</v>
      </c>
      <c r="BF50" s="35" t="s">
        <v>432</v>
      </c>
      <c r="BG50" s="35" t="s">
        <v>1047</v>
      </c>
      <c r="BH50" s="35" t="s">
        <v>434</v>
      </c>
      <c r="BI50" s="35" t="s">
        <v>3381</v>
      </c>
      <c r="BJ50" s="35" t="s">
        <v>435</v>
      </c>
      <c r="BK50" s="35" t="s">
        <v>3382</v>
      </c>
      <c r="BL50" s="35" t="s">
        <v>511</v>
      </c>
      <c r="BM50" s="35" t="s">
        <v>438</v>
      </c>
      <c r="BN50" s="35" t="s">
        <v>397</v>
      </c>
      <c r="BO50" s="35" t="s">
        <v>398</v>
      </c>
      <c r="BP50" s="35" t="s">
        <v>3383</v>
      </c>
      <c r="BQ50" s="35" t="s">
        <v>3384</v>
      </c>
      <c r="BR50" s="35" t="s">
        <v>401</v>
      </c>
      <c r="BS50" s="35" t="s">
        <v>3385</v>
      </c>
      <c r="BT50" s="35" t="s">
        <v>403</v>
      </c>
      <c r="BU50" s="35" t="s">
        <v>1994</v>
      </c>
      <c r="BV50" s="35" t="s">
        <v>405</v>
      </c>
      <c r="BX50" s="35" t="s">
        <v>406</v>
      </c>
      <c r="BY50" s="35" t="s">
        <v>1867</v>
      </c>
      <c r="BZ50" s="35" t="s">
        <v>455</v>
      </c>
      <c r="CA50" s="35" t="s">
        <v>3386</v>
      </c>
      <c r="CB50" s="35" t="s">
        <v>3387</v>
      </c>
      <c r="CC50" s="35" t="s">
        <v>3388</v>
      </c>
      <c r="CD50" s="35" t="s">
        <v>3389</v>
      </c>
      <c r="CE50" s="35" t="s">
        <v>409</v>
      </c>
      <c r="CF50" s="35" t="s">
        <v>3390</v>
      </c>
      <c r="CG50" s="35" t="s">
        <v>1258</v>
      </c>
      <c r="CI50" s="35" t="s">
        <v>1698</v>
      </c>
      <c r="CJ50" s="35" t="s">
        <v>1220</v>
      </c>
      <c r="CK50" s="35" t="s">
        <v>3391</v>
      </c>
      <c r="CL50" s="35" t="s">
        <v>3392</v>
      </c>
      <c r="EU50" s="35" t="s">
        <v>478</v>
      </c>
      <c r="EV50" s="35" t="s">
        <v>579</v>
      </c>
      <c r="EW50" s="35" t="s">
        <v>527</v>
      </c>
      <c r="EX50" s="35" t="s">
        <v>3393</v>
      </c>
      <c r="EY50" s="35" t="s">
        <v>3394</v>
      </c>
      <c r="EZ50" s="35" t="s">
        <v>3395</v>
      </c>
      <c r="FA50" s="35" t="s">
        <v>415</v>
      </c>
      <c r="FB50" s="35" t="s">
        <v>414</v>
      </c>
      <c r="FC50" s="35" t="s">
        <v>415</v>
      </c>
      <c r="FD50" s="35" t="s">
        <v>415</v>
      </c>
      <c r="FE50" s="35" t="s">
        <v>415</v>
      </c>
      <c r="FF50" s="35" t="s">
        <v>415</v>
      </c>
      <c r="FG50" s="35" t="s">
        <v>415</v>
      </c>
      <c r="FH50" s="35" t="s">
        <v>415</v>
      </c>
      <c r="FI50" s="35" t="s">
        <v>415</v>
      </c>
      <c r="FJ50" s="35" t="s">
        <v>415</v>
      </c>
      <c r="FK50" s="35" t="s">
        <v>415</v>
      </c>
      <c r="FL50" s="35" t="s">
        <v>415</v>
      </c>
      <c r="FM50" s="35" t="s">
        <v>415</v>
      </c>
      <c r="FN50" s="35" t="s">
        <v>415</v>
      </c>
      <c r="FO50" s="35" t="s">
        <v>415</v>
      </c>
      <c r="FP50" s="35" t="s">
        <v>3396</v>
      </c>
      <c r="FQ50" s="35" t="s">
        <v>486</v>
      </c>
      <c r="FR50" s="35" t="s">
        <v>712</v>
      </c>
      <c r="FS50" s="35" t="s">
        <v>3397</v>
      </c>
      <c r="FT50" s="35" t="s">
        <v>420</v>
      </c>
      <c r="FU50" s="35" t="s">
        <v>1462</v>
      </c>
      <c r="FV50" s="35" t="s">
        <v>918</v>
      </c>
      <c r="FW50" s="35" t="s">
        <v>490</v>
      </c>
      <c r="FX50" s="35" t="s">
        <v>491</v>
      </c>
      <c r="FY50" s="35" t="s">
        <v>3398</v>
      </c>
      <c r="FZ50" s="35" t="s">
        <v>493</v>
      </c>
      <c r="GA50" s="35" t="s">
        <v>3399</v>
      </c>
      <c r="GB50" s="35" t="s">
        <v>3400</v>
      </c>
      <c r="GC50" s="35" t="s">
        <v>455</v>
      </c>
      <c r="GE50" s="35" t="s">
        <v>3401</v>
      </c>
      <c r="GF50" s="35" t="s">
        <v>855</v>
      </c>
      <c r="GG50" s="35" t="s">
        <v>3402</v>
      </c>
      <c r="GK50" s="35" t="s">
        <v>857</v>
      </c>
      <c r="GL50" s="35" t="s">
        <v>857</v>
      </c>
      <c r="GM50" s="35" t="s">
        <v>817</v>
      </c>
      <c r="GO50" s="35" t="s">
        <v>3376</v>
      </c>
      <c r="GP50" s="35" t="s">
        <v>3376</v>
      </c>
      <c r="GR50" s="35" t="s">
        <v>3208</v>
      </c>
    </row>
    <row r="51">
      <c r="A51" s="40"/>
      <c r="B51" s="40">
        <v>45830.63773170139</v>
      </c>
      <c r="C51" s="35" t="s">
        <v>368</v>
      </c>
      <c r="D51" s="35" t="s">
        <v>894</v>
      </c>
      <c r="E51" s="35" t="s">
        <v>894</v>
      </c>
      <c r="H51" s="35" t="s">
        <v>422</v>
      </c>
      <c r="I51" s="35" t="s">
        <v>539</v>
      </c>
      <c r="J51" s="35" t="s">
        <v>2578</v>
      </c>
      <c r="K51" s="35" t="s">
        <v>590</v>
      </c>
      <c r="L51" s="35" t="s">
        <v>376</v>
      </c>
      <c r="M51" s="35" t="s">
        <v>379</v>
      </c>
      <c r="N51" s="35" t="s">
        <v>948</v>
      </c>
      <c r="O51" s="35" t="s">
        <v>426</v>
      </c>
      <c r="P51" s="35" t="s">
        <v>639</v>
      </c>
      <c r="Q51" s="35" t="s">
        <v>498</v>
      </c>
      <c r="R51" s="35" t="s">
        <v>382</v>
      </c>
      <c r="S51" s="35" t="s">
        <v>427</v>
      </c>
      <c r="T51" s="35" t="s">
        <v>384</v>
      </c>
      <c r="U51" s="35" t="s">
        <v>385</v>
      </c>
      <c r="V51" s="35" t="s">
        <v>1045</v>
      </c>
      <c r="W51" s="35" t="s">
        <v>1045</v>
      </c>
      <c r="X51" s="35" t="s">
        <v>3014</v>
      </c>
      <c r="AW51" s="35" t="s">
        <v>597</v>
      </c>
      <c r="AX51" s="35" t="s">
        <v>391</v>
      </c>
      <c r="AY51" s="35" t="s">
        <v>391</v>
      </c>
      <c r="AZ51" s="35" t="s">
        <v>391</v>
      </c>
      <c r="BA51" s="41">
        <v>4.0</v>
      </c>
      <c r="BB51" s="41">
        <v>4.0</v>
      </c>
      <c r="BC51" s="41">
        <v>4.0</v>
      </c>
      <c r="BD51" s="35" t="s">
        <v>3403</v>
      </c>
      <c r="BE51" s="35" t="s">
        <v>3404</v>
      </c>
      <c r="BF51" s="35" t="s">
        <v>432</v>
      </c>
      <c r="BG51" s="35" t="s">
        <v>393</v>
      </c>
      <c r="BH51" s="35" t="s">
        <v>725</v>
      </c>
      <c r="BI51" s="35" t="s">
        <v>3405</v>
      </c>
      <c r="BJ51" s="35" t="s">
        <v>435</v>
      </c>
      <c r="BK51" s="35" t="s">
        <v>10709</v>
      </c>
      <c r="BL51" s="35" t="s">
        <v>681</v>
      </c>
      <c r="BM51" s="35" t="s">
        <v>438</v>
      </c>
      <c r="BN51" s="35" t="s">
        <v>397</v>
      </c>
      <c r="BO51" s="35" t="s">
        <v>398</v>
      </c>
      <c r="BP51" s="35" t="s">
        <v>10710</v>
      </c>
      <c r="BQ51" s="35" t="s">
        <v>3408</v>
      </c>
      <c r="BR51" s="35" t="s">
        <v>604</v>
      </c>
      <c r="BS51" s="35" t="s">
        <v>3409</v>
      </c>
      <c r="BT51" s="35" t="s">
        <v>1251</v>
      </c>
      <c r="BV51" s="35" t="s">
        <v>1772</v>
      </c>
      <c r="BW51" s="35" t="s">
        <v>3410</v>
      </c>
      <c r="BX51" s="35" t="s">
        <v>457</v>
      </c>
      <c r="BZ51" s="35" t="s">
        <v>408</v>
      </c>
      <c r="CB51" s="35" t="s">
        <v>10711</v>
      </c>
      <c r="CC51" s="35" t="s">
        <v>3412</v>
      </c>
      <c r="CD51" s="35" t="s">
        <v>3413</v>
      </c>
      <c r="CE51" s="35" t="s">
        <v>409</v>
      </c>
      <c r="CF51" s="35" t="s">
        <v>3414</v>
      </c>
      <c r="CG51" s="35" t="s">
        <v>1258</v>
      </c>
      <c r="CI51" s="35" t="s">
        <v>1698</v>
      </c>
      <c r="CJ51" s="35" t="s">
        <v>833</v>
      </c>
      <c r="CK51" s="35" t="s">
        <v>3415</v>
      </c>
      <c r="CL51" s="35" t="s">
        <v>3416</v>
      </c>
      <c r="EU51" s="35" t="s">
        <v>526</v>
      </c>
      <c r="EV51" s="35" t="s">
        <v>1127</v>
      </c>
      <c r="EW51" s="35" t="s">
        <v>527</v>
      </c>
      <c r="EX51" s="35" t="s">
        <v>3417</v>
      </c>
      <c r="EY51" s="35" t="s">
        <v>10712</v>
      </c>
      <c r="EZ51" s="35" t="s">
        <v>10713</v>
      </c>
      <c r="FA51" s="35" t="s">
        <v>415</v>
      </c>
      <c r="FB51" s="35" t="s">
        <v>414</v>
      </c>
      <c r="FC51" s="35" t="s">
        <v>413</v>
      </c>
      <c r="FD51" s="35" t="s">
        <v>484</v>
      </c>
      <c r="FE51" s="35" t="s">
        <v>413</v>
      </c>
      <c r="FF51" s="35" t="s">
        <v>416</v>
      </c>
      <c r="FG51" s="35" t="s">
        <v>415</v>
      </c>
      <c r="FH51" s="35" t="s">
        <v>416</v>
      </c>
      <c r="FI51" s="35" t="s">
        <v>414</v>
      </c>
      <c r="FJ51" s="35" t="s">
        <v>484</v>
      </c>
      <c r="FK51" s="35" t="s">
        <v>583</v>
      </c>
      <c r="FL51" s="35" t="s">
        <v>484</v>
      </c>
      <c r="FM51" s="35" t="s">
        <v>414</v>
      </c>
      <c r="FN51" s="35" t="s">
        <v>413</v>
      </c>
      <c r="FO51" s="35" t="s">
        <v>414</v>
      </c>
      <c r="FP51" s="35" t="s">
        <v>1074</v>
      </c>
      <c r="FQ51" s="35" t="s">
        <v>486</v>
      </c>
      <c r="FR51" s="35" t="s">
        <v>630</v>
      </c>
      <c r="FS51" s="35" t="s">
        <v>10714</v>
      </c>
      <c r="FT51" s="35" t="s">
        <v>1189</v>
      </c>
      <c r="FU51" s="35" t="s">
        <v>1462</v>
      </c>
      <c r="FV51" s="35" t="s">
        <v>489</v>
      </c>
      <c r="FW51" s="35" t="s">
        <v>1101</v>
      </c>
      <c r="FX51" s="35" t="s">
        <v>491</v>
      </c>
      <c r="FY51" s="35" t="s">
        <v>3421</v>
      </c>
      <c r="FZ51" s="35" t="s">
        <v>1020</v>
      </c>
      <c r="GA51" s="35" t="s">
        <v>10715</v>
      </c>
      <c r="GB51" s="35" t="s">
        <v>3423</v>
      </c>
      <c r="GC51" s="35" t="s">
        <v>455</v>
      </c>
      <c r="GD51" s="35" t="s">
        <v>10716</v>
      </c>
      <c r="GE51" s="35" t="s">
        <v>10717</v>
      </c>
      <c r="GF51" s="35" t="s">
        <v>753</v>
      </c>
      <c r="GG51" s="35" t="s">
        <v>10718</v>
      </c>
      <c r="GK51" s="35" t="s">
        <v>920</v>
      </c>
      <c r="GL51" s="35" t="s">
        <v>788</v>
      </c>
      <c r="GM51" s="35" t="s">
        <v>946</v>
      </c>
      <c r="GR51" s="35" t="s">
        <v>3208</v>
      </c>
    </row>
    <row r="52">
      <c r="A52" s="40"/>
      <c r="B52" s="40">
        <v>45830.85278008102</v>
      </c>
      <c r="C52" s="35" t="s">
        <v>368</v>
      </c>
      <c r="D52" s="35" t="s">
        <v>894</v>
      </c>
      <c r="E52" s="35" t="s">
        <v>894</v>
      </c>
      <c r="H52" s="35" t="s">
        <v>422</v>
      </c>
      <c r="I52" s="35" t="s">
        <v>496</v>
      </c>
      <c r="J52" s="35" t="s">
        <v>374</v>
      </c>
      <c r="K52" s="35" t="s">
        <v>375</v>
      </c>
      <c r="L52" s="35" t="s">
        <v>376</v>
      </c>
      <c r="M52" s="35" t="s">
        <v>426</v>
      </c>
      <c r="N52" s="35" t="s">
        <v>2464</v>
      </c>
      <c r="O52" s="35" t="s">
        <v>426</v>
      </c>
      <c r="P52" s="35" t="s">
        <v>719</v>
      </c>
      <c r="Q52" s="35" t="s">
        <v>498</v>
      </c>
      <c r="R52" s="35" t="s">
        <v>862</v>
      </c>
      <c r="S52" s="35" t="s">
        <v>427</v>
      </c>
      <c r="T52" s="35" t="s">
        <v>384</v>
      </c>
      <c r="U52" s="35" t="s">
        <v>385</v>
      </c>
      <c r="V52" s="35" t="s">
        <v>1241</v>
      </c>
      <c r="W52" s="35" t="s">
        <v>1025</v>
      </c>
      <c r="X52" s="35" t="s">
        <v>3014</v>
      </c>
      <c r="AW52" s="35" t="s">
        <v>1310</v>
      </c>
      <c r="AX52" s="41">
        <v>4.0</v>
      </c>
      <c r="AY52" s="35" t="s">
        <v>391</v>
      </c>
      <c r="AZ52" s="35" t="s">
        <v>391</v>
      </c>
      <c r="BA52" s="35" t="s">
        <v>391</v>
      </c>
      <c r="BB52" s="41">
        <v>4.0</v>
      </c>
      <c r="BC52" s="41">
        <v>4.0</v>
      </c>
      <c r="BF52" s="35" t="s">
        <v>432</v>
      </c>
      <c r="BH52" s="35" t="s">
        <v>434</v>
      </c>
      <c r="BJ52" s="35" t="s">
        <v>976</v>
      </c>
      <c r="BL52" s="35" t="s">
        <v>681</v>
      </c>
      <c r="BM52" s="35" t="s">
        <v>438</v>
      </c>
      <c r="BN52" s="35" t="s">
        <v>1247</v>
      </c>
      <c r="BO52" s="35" t="s">
        <v>398</v>
      </c>
      <c r="BR52" s="35" t="s">
        <v>442</v>
      </c>
      <c r="BS52" s="35" t="s">
        <v>3323</v>
      </c>
      <c r="BT52" s="35" t="s">
        <v>403</v>
      </c>
      <c r="BU52" s="35" t="s">
        <v>1771</v>
      </c>
      <c r="BV52" s="35" t="s">
        <v>1772</v>
      </c>
      <c r="BX52" s="35" t="s">
        <v>988</v>
      </c>
      <c r="BY52" s="35" t="s">
        <v>1867</v>
      </c>
      <c r="BZ52" s="35" t="s">
        <v>408</v>
      </c>
      <c r="CE52" s="35" t="s">
        <v>409</v>
      </c>
      <c r="CG52" s="35" t="s">
        <v>1258</v>
      </c>
      <c r="CI52" s="35" t="s">
        <v>1751</v>
      </c>
      <c r="CJ52" s="35" t="s">
        <v>1220</v>
      </c>
      <c r="EU52" s="35" t="s">
        <v>526</v>
      </c>
      <c r="EV52" s="35" t="s">
        <v>1127</v>
      </c>
      <c r="EW52" s="35" t="s">
        <v>1262</v>
      </c>
      <c r="FA52" s="35" t="s">
        <v>415</v>
      </c>
      <c r="FB52" s="35" t="s">
        <v>415</v>
      </c>
      <c r="FC52" s="35" t="s">
        <v>416</v>
      </c>
      <c r="FD52" s="35" t="s">
        <v>414</v>
      </c>
      <c r="FE52" s="35" t="s">
        <v>413</v>
      </c>
      <c r="FF52" s="35" t="s">
        <v>415</v>
      </c>
      <c r="FG52" s="35" t="s">
        <v>415</v>
      </c>
      <c r="FH52" s="35" t="s">
        <v>416</v>
      </c>
      <c r="FI52" s="35" t="s">
        <v>416</v>
      </c>
      <c r="FJ52" s="35" t="s">
        <v>415</v>
      </c>
      <c r="FK52" s="35" t="s">
        <v>415</v>
      </c>
      <c r="FL52" s="35" t="s">
        <v>416</v>
      </c>
      <c r="FM52" s="35" t="s">
        <v>416</v>
      </c>
      <c r="FN52" s="35" t="s">
        <v>416</v>
      </c>
      <c r="FO52" s="35" t="s">
        <v>415</v>
      </c>
      <c r="FP52" s="35" t="s">
        <v>485</v>
      </c>
      <c r="FQ52" s="35" t="s">
        <v>418</v>
      </c>
      <c r="FR52" s="35" t="s">
        <v>712</v>
      </c>
      <c r="FT52" s="35" t="s">
        <v>1189</v>
      </c>
      <c r="FU52" s="35" t="s">
        <v>1462</v>
      </c>
      <c r="FV52" s="35" t="s">
        <v>585</v>
      </c>
      <c r="FW52" s="35" t="s">
        <v>490</v>
      </c>
      <c r="FX52" s="35" t="s">
        <v>491</v>
      </c>
      <c r="FZ52" s="35" t="s">
        <v>1337</v>
      </c>
      <c r="GC52" s="35" t="s">
        <v>408</v>
      </c>
      <c r="GK52" s="35" t="s">
        <v>920</v>
      </c>
      <c r="GL52" s="35" t="s">
        <v>920</v>
      </c>
      <c r="GM52" s="35" t="s">
        <v>858</v>
      </c>
      <c r="GR52" s="35" t="s">
        <v>3351</v>
      </c>
    </row>
    <row r="53">
      <c r="A53" s="40"/>
      <c r="B53" s="40">
        <v>45831.087313819444</v>
      </c>
      <c r="C53" s="35" t="s">
        <v>368</v>
      </c>
      <c r="D53" s="35" t="s">
        <v>3524</v>
      </c>
      <c r="E53" s="35" t="s">
        <v>370</v>
      </c>
      <c r="G53" s="35" t="s">
        <v>2114</v>
      </c>
      <c r="H53" s="35" t="s">
        <v>372</v>
      </c>
      <c r="I53" s="35" t="s">
        <v>539</v>
      </c>
      <c r="J53" s="35" t="s">
        <v>374</v>
      </c>
      <c r="K53" s="35" t="s">
        <v>375</v>
      </c>
      <c r="L53" s="35" t="s">
        <v>376</v>
      </c>
      <c r="M53" s="35" t="s">
        <v>591</v>
      </c>
      <c r="N53" s="35" t="s">
        <v>2464</v>
      </c>
      <c r="O53" s="35" t="s">
        <v>793</v>
      </c>
      <c r="P53" s="35" t="s">
        <v>719</v>
      </c>
      <c r="Q53" s="35" t="s">
        <v>498</v>
      </c>
      <c r="R53" s="35" t="s">
        <v>818</v>
      </c>
      <c r="S53" s="35" t="s">
        <v>427</v>
      </c>
      <c r="T53" s="35" t="s">
        <v>384</v>
      </c>
      <c r="U53" s="35" t="s">
        <v>385</v>
      </c>
      <c r="X53" s="35" t="s">
        <v>386</v>
      </c>
      <c r="Y53" s="35" t="s">
        <v>387</v>
      </c>
      <c r="Z53" s="35" t="s">
        <v>388</v>
      </c>
      <c r="AA53" s="35" t="s">
        <v>543</v>
      </c>
      <c r="AB53" s="35" t="s">
        <v>408</v>
      </c>
      <c r="AC53" s="35" t="s">
        <v>408</v>
      </c>
      <c r="AW53" s="35" t="s">
        <v>1242</v>
      </c>
      <c r="AX53" s="35" t="s">
        <v>675</v>
      </c>
      <c r="AY53" s="35" t="s">
        <v>675</v>
      </c>
      <c r="AZ53" s="35" t="s">
        <v>391</v>
      </c>
      <c r="BA53" s="35" t="s">
        <v>391</v>
      </c>
      <c r="BB53" s="41">
        <v>4.0</v>
      </c>
      <c r="BC53" s="41">
        <v>4.0</v>
      </c>
      <c r="BD53" s="35" t="s">
        <v>3525</v>
      </c>
      <c r="BE53" s="35" t="s">
        <v>3526</v>
      </c>
      <c r="BF53" s="35" t="s">
        <v>902</v>
      </c>
      <c r="BG53" s="35" t="s">
        <v>1095</v>
      </c>
      <c r="BH53" s="35" t="s">
        <v>434</v>
      </c>
      <c r="BI53" s="35" t="s">
        <v>10719</v>
      </c>
      <c r="BJ53" s="35" t="s">
        <v>976</v>
      </c>
      <c r="BK53" s="35" t="s">
        <v>3528</v>
      </c>
      <c r="BL53" s="35" t="s">
        <v>681</v>
      </c>
      <c r="BM53" s="35" t="s">
        <v>603</v>
      </c>
      <c r="BN53" s="35" t="s">
        <v>1247</v>
      </c>
      <c r="BO53" s="35" t="s">
        <v>398</v>
      </c>
      <c r="BP53" s="35" t="s">
        <v>3529</v>
      </c>
      <c r="BQ53" s="35" t="s">
        <v>3530</v>
      </c>
      <c r="BR53" s="35" t="s">
        <v>604</v>
      </c>
      <c r="BS53" s="35" t="s">
        <v>402</v>
      </c>
      <c r="BT53" s="35" t="s">
        <v>1741</v>
      </c>
      <c r="BU53" s="35" t="s">
        <v>1994</v>
      </c>
      <c r="BV53" s="35" t="s">
        <v>1772</v>
      </c>
      <c r="BW53" s="35" t="s">
        <v>3531</v>
      </c>
      <c r="BX53" s="35" t="s">
        <v>406</v>
      </c>
      <c r="BY53" s="35" t="s">
        <v>2503</v>
      </c>
      <c r="BZ53" s="35" t="s">
        <v>455</v>
      </c>
      <c r="CA53" s="35" t="s">
        <v>3532</v>
      </c>
      <c r="CB53" s="35" t="s">
        <v>3533</v>
      </c>
      <c r="CC53" s="35" t="s">
        <v>3534</v>
      </c>
      <c r="CD53" s="35" t="s">
        <v>3535</v>
      </c>
      <c r="CE53" s="35" t="s">
        <v>409</v>
      </c>
      <c r="CF53" s="35" t="s">
        <v>3536</v>
      </c>
      <c r="CG53" s="35" t="s">
        <v>1258</v>
      </c>
      <c r="CH53" s="35" t="s">
        <v>396</v>
      </c>
      <c r="CI53" s="35" t="s">
        <v>1698</v>
      </c>
      <c r="CJ53" s="35" t="s">
        <v>410</v>
      </c>
      <c r="CK53" s="35" t="s">
        <v>3537</v>
      </c>
      <c r="CL53" s="35" t="s">
        <v>3538</v>
      </c>
      <c r="EU53" s="35" t="s">
        <v>526</v>
      </c>
      <c r="EV53" s="35" t="s">
        <v>887</v>
      </c>
      <c r="EW53" s="35" t="s">
        <v>580</v>
      </c>
      <c r="EX53" s="35" t="s">
        <v>3539</v>
      </c>
      <c r="EY53" s="35" t="s">
        <v>3540</v>
      </c>
      <c r="EZ53" s="35" t="s">
        <v>3541</v>
      </c>
      <c r="FA53" s="35" t="s">
        <v>416</v>
      </c>
      <c r="FB53" s="35" t="s">
        <v>414</v>
      </c>
      <c r="FC53" s="35" t="s">
        <v>413</v>
      </c>
      <c r="FD53" s="35" t="s">
        <v>583</v>
      </c>
      <c r="FE53" s="35" t="s">
        <v>416</v>
      </c>
      <c r="FF53" s="35" t="s">
        <v>583</v>
      </c>
      <c r="FG53" s="35" t="s">
        <v>413</v>
      </c>
      <c r="FH53" s="35" t="s">
        <v>416</v>
      </c>
      <c r="FI53" s="35" t="s">
        <v>583</v>
      </c>
      <c r="FJ53" s="35" t="s">
        <v>583</v>
      </c>
      <c r="FK53" s="35" t="s">
        <v>414</v>
      </c>
      <c r="FL53" s="35" t="s">
        <v>414</v>
      </c>
      <c r="FM53" s="35" t="s">
        <v>414</v>
      </c>
      <c r="FN53" s="35" t="s">
        <v>415</v>
      </c>
      <c r="FO53" s="35" t="s">
        <v>583</v>
      </c>
      <c r="FP53" s="35" t="s">
        <v>485</v>
      </c>
      <c r="FQ53" s="35" t="s">
        <v>418</v>
      </c>
      <c r="FR53" s="35" t="s">
        <v>419</v>
      </c>
      <c r="FS53" s="35" t="s">
        <v>3542</v>
      </c>
      <c r="FT53" s="35" t="s">
        <v>420</v>
      </c>
      <c r="FU53" s="35" t="s">
        <v>1462</v>
      </c>
      <c r="FV53" s="35" t="s">
        <v>489</v>
      </c>
      <c r="FW53" s="35" t="s">
        <v>490</v>
      </c>
      <c r="FX53" s="35" t="s">
        <v>491</v>
      </c>
      <c r="FY53" s="35" t="s">
        <v>3543</v>
      </c>
      <c r="FZ53" s="35" t="s">
        <v>535</v>
      </c>
      <c r="GA53" s="35" t="s">
        <v>3544</v>
      </c>
      <c r="GB53" s="35" t="s">
        <v>3545</v>
      </c>
      <c r="GC53" s="35" t="s">
        <v>455</v>
      </c>
      <c r="GD53" s="35" t="s">
        <v>10720</v>
      </c>
      <c r="GE53" s="35" t="s">
        <v>10721</v>
      </c>
      <c r="GF53" s="35" t="s">
        <v>753</v>
      </c>
      <c r="GG53" s="35" t="s">
        <v>2619</v>
      </c>
      <c r="GK53" s="35" t="s">
        <v>755</v>
      </c>
      <c r="GL53" s="35" t="s">
        <v>755</v>
      </c>
      <c r="GM53" s="35" t="s">
        <v>817</v>
      </c>
      <c r="GO53" s="35" t="s">
        <v>3524</v>
      </c>
      <c r="GR53" s="35" t="s">
        <v>3208</v>
      </c>
    </row>
    <row r="54">
      <c r="A54" s="40"/>
      <c r="B54" s="40">
        <v>45831.14147674768</v>
      </c>
      <c r="C54" s="35" t="s">
        <v>368</v>
      </c>
      <c r="D54" s="35" t="s">
        <v>538</v>
      </c>
      <c r="E54" s="35" t="s">
        <v>1201</v>
      </c>
      <c r="H54" s="35" t="s">
        <v>422</v>
      </c>
      <c r="I54" s="35" t="s">
        <v>423</v>
      </c>
      <c r="J54" s="35" t="s">
        <v>424</v>
      </c>
      <c r="K54" s="35" t="s">
        <v>425</v>
      </c>
      <c r="L54" s="35" t="s">
        <v>376</v>
      </c>
      <c r="M54" s="35" t="s">
        <v>379</v>
      </c>
      <c r="N54" s="35" t="s">
        <v>541</v>
      </c>
      <c r="O54" s="35" t="s">
        <v>379</v>
      </c>
      <c r="P54" s="35" t="s">
        <v>3546</v>
      </c>
      <c r="Q54" s="35" t="s">
        <v>498</v>
      </c>
      <c r="R54" s="35" t="s">
        <v>382</v>
      </c>
      <c r="S54" s="35" t="s">
        <v>427</v>
      </c>
      <c r="T54" s="35" t="s">
        <v>384</v>
      </c>
      <c r="U54" s="35" t="s">
        <v>385</v>
      </c>
      <c r="X54" s="35" t="s">
        <v>3014</v>
      </c>
      <c r="AW54" s="35" t="s">
        <v>1310</v>
      </c>
      <c r="AX54" s="41">
        <v>4.0</v>
      </c>
      <c r="AY54" s="41">
        <v>4.0</v>
      </c>
      <c r="AZ54" s="35" t="s">
        <v>391</v>
      </c>
      <c r="BA54" s="35" t="s">
        <v>391</v>
      </c>
      <c r="BB54" s="41">
        <v>4.0</v>
      </c>
      <c r="BC54" s="41">
        <v>4.0</v>
      </c>
      <c r="BD54" s="35" t="s">
        <v>3547</v>
      </c>
      <c r="BE54" s="35" t="s">
        <v>3548</v>
      </c>
      <c r="BF54" s="35" t="s">
        <v>432</v>
      </c>
      <c r="BG54" s="35" t="s">
        <v>1095</v>
      </c>
      <c r="BH54" s="35" t="s">
        <v>725</v>
      </c>
      <c r="BI54" s="35" t="s">
        <v>3549</v>
      </c>
      <c r="BJ54" s="35" t="s">
        <v>435</v>
      </c>
      <c r="BK54" s="35" t="s">
        <v>3550</v>
      </c>
      <c r="BL54" s="35" t="s">
        <v>395</v>
      </c>
      <c r="BM54" s="35" t="s">
        <v>603</v>
      </c>
      <c r="BN54" s="35" t="s">
        <v>1247</v>
      </c>
      <c r="BO54" s="35" t="s">
        <v>398</v>
      </c>
      <c r="BP54" s="35" t="s">
        <v>3551</v>
      </c>
      <c r="BQ54" s="35" t="s">
        <v>3552</v>
      </c>
      <c r="BR54" s="35" t="s">
        <v>604</v>
      </c>
      <c r="BS54" s="35" t="s">
        <v>3553</v>
      </c>
      <c r="BT54" s="35" t="s">
        <v>403</v>
      </c>
      <c r="BU54" s="35" t="s">
        <v>1994</v>
      </c>
      <c r="BV54" s="35" t="s">
        <v>1772</v>
      </c>
      <c r="BW54" s="35" t="s">
        <v>3554</v>
      </c>
      <c r="BX54" s="35" t="s">
        <v>406</v>
      </c>
      <c r="BY54" s="35" t="s">
        <v>2503</v>
      </c>
      <c r="BZ54" s="35" t="s">
        <v>408</v>
      </c>
      <c r="CB54" s="35" t="s">
        <v>3555</v>
      </c>
      <c r="CC54" s="35" t="s">
        <v>3556</v>
      </c>
      <c r="CD54" s="35" t="s">
        <v>3557</v>
      </c>
      <c r="CE54" s="35" t="s">
        <v>409</v>
      </c>
      <c r="CF54" s="35" t="s">
        <v>3558</v>
      </c>
      <c r="CG54" s="35" t="s">
        <v>1258</v>
      </c>
      <c r="CI54" s="35" t="s">
        <v>1259</v>
      </c>
      <c r="CJ54" s="35" t="s">
        <v>833</v>
      </c>
      <c r="CK54" s="35" t="s">
        <v>3559</v>
      </c>
      <c r="CL54" s="35" t="s">
        <v>3560</v>
      </c>
      <c r="EU54" s="35" t="s">
        <v>578</v>
      </c>
      <c r="EV54" s="35" t="s">
        <v>479</v>
      </c>
      <c r="EW54" s="35" t="s">
        <v>527</v>
      </c>
      <c r="EX54" s="35" t="s">
        <v>3561</v>
      </c>
      <c r="EY54" s="35" t="s">
        <v>3562</v>
      </c>
      <c r="EZ54" s="35" t="s">
        <v>3563</v>
      </c>
      <c r="FA54" s="35" t="s">
        <v>414</v>
      </c>
      <c r="FB54" s="35" t="s">
        <v>583</v>
      </c>
      <c r="FC54" s="35" t="s">
        <v>415</v>
      </c>
      <c r="FD54" s="35" t="s">
        <v>414</v>
      </c>
      <c r="FE54" s="35" t="s">
        <v>416</v>
      </c>
      <c r="FF54" s="35" t="s">
        <v>583</v>
      </c>
      <c r="FG54" s="35" t="s">
        <v>414</v>
      </c>
      <c r="FH54" s="35" t="s">
        <v>416</v>
      </c>
      <c r="FI54" s="35" t="s">
        <v>414</v>
      </c>
      <c r="FJ54" s="35" t="s">
        <v>415</v>
      </c>
      <c r="FK54" s="35" t="s">
        <v>414</v>
      </c>
      <c r="FL54" s="35" t="s">
        <v>415</v>
      </c>
      <c r="FM54" s="35" t="s">
        <v>415</v>
      </c>
      <c r="FN54" s="35" t="s">
        <v>416</v>
      </c>
      <c r="FO54" s="35" t="s">
        <v>414</v>
      </c>
      <c r="FP54" s="35" t="s">
        <v>850</v>
      </c>
      <c r="FQ54" s="35" t="s">
        <v>418</v>
      </c>
      <c r="FR54" s="35" t="s">
        <v>749</v>
      </c>
      <c r="FS54" s="35" t="s">
        <v>3564</v>
      </c>
      <c r="FT54" s="35" t="s">
        <v>1189</v>
      </c>
      <c r="FU54" s="35" t="s">
        <v>1462</v>
      </c>
      <c r="FV54" s="35" t="s">
        <v>918</v>
      </c>
      <c r="FW54" s="35" t="s">
        <v>490</v>
      </c>
      <c r="FX54" s="35" t="s">
        <v>491</v>
      </c>
      <c r="FY54" s="35" t="s">
        <v>3565</v>
      </c>
      <c r="FZ54" s="35" t="s">
        <v>493</v>
      </c>
      <c r="GA54" s="35" t="s">
        <v>3566</v>
      </c>
      <c r="GB54" s="35" t="s">
        <v>3567</v>
      </c>
      <c r="GC54" s="35" t="s">
        <v>408</v>
      </c>
      <c r="GK54" s="35" t="s">
        <v>920</v>
      </c>
      <c r="GL54" s="35" t="s">
        <v>920</v>
      </c>
      <c r="GM54" s="35" t="s">
        <v>756</v>
      </c>
      <c r="GO54" s="35" t="s">
        <v>3012</v>
      </c>
      <c r="GP54" s="35" t="s">
        <v>3568</v>
      </c>
      <c r="GR54" s="35" t="s">
        <v>3569</v>
      </c>
    </row>
    <row r="55">
      <c r="A55" s="40"/>
      <c r="B55" s="40">
        <v>45831.20082736111</v>
      </c>
      <c r="C55" s="35" t="s">
        <v>368</v>
      </c>
      <c r="D55" s="35" t="s">
        <v>3570</v>
      </c>
      <c r="E55" s="35" t="s">
        <v>370</v>
      </c>
      <c r="G55" s="35" t="s">
        <v>2114</v>
      </c>
      <c r="H55" s="35" t="s">
        <v>372</v>
      </c>
      <c r="I55" s="35" t="s">
        <v>373</v>
      </c>
      <c r="J55" s="35" t="s">
        <v>374</v>
      </c>
      <c r="K55" s="35" t="s">
        <v>375</v>
      </c>
      <c r="L55" s="35" t="s">
        <v>376</v>
      </c>
      <c r="M55" s="35" t="s">
        <v>379</v>
      </c>
      <c r="N55" s="35" t="s">
        <v>541</v>
      </c>
      <c r="O55" s="35" t="s">
        <v>379</v>
      </c>
      <c r="P55" s="35" t="s">
        <v>380</v>
      </c>
      <c r="Q55" s="35" t="s">
        <v>381</v>
      </c>
      <c r="R55" s="35" t="s">
        <v>818</v>
      </c>
      <c r="S55" s="35" t="s">
        <v>427</v>
      </c>
      <c r="T55" s="35" t="s">
        <v>384</v>
      </c>
      <c r="U55" s="35" t="s">
        <v>385</v>
      </c>
      <c r="X55" s="35" t="s">
        <v>593</v>
      </c>
      <c r="Y55" s="35" t="s">
        <v>387</v>
      </c>
      <c r="AW55" s="35" t="s">
        <v>1310</v>
      </c>
      <c r="AX55" s="41">
        <v>4.0</v>
      </c>
      <c r="AY55" s="41">
        <v>4.0</v>
      </c>
      <c r="AZ55" s="41">
        <v>4.0</v>
      </c>
      <c r="BA55" s="35" t="s">
        <v>675</v>
      </c>
      <c r="BB55" s="35" t="s">
        <v>675</v>
      </c>
      <c r="BC55" s="41">
        <v>4.0</v>
      </c>
      <c r="BF55" s="35" t="s">
        <v>432</v>
      </c>
      <c r="BG55" s="35" t="s">
        <v>393</v>
      </c>
      <c r="BH55" s="35" t="s">
        <v>394</v>
      </c>
      <c r="BJ55" s="35" t="s">
        <v>976</v>
      </c>
      <c r="BL55" s="35" t="s">
        <v>681</v>
      </c>
      <c r="BM55" s="35" t="s">
        <v>904</v>
      </c>
      <c r="BN55" s="35" t="s">
        <v>1276</v>
      </c>
      <c r="BO55" s="35" t="s">
        <v>398</v>
      </c>
      <c r="BR55" s="35" t="s">
        <v>442</v>
      </c>
      <c r="BS55" s="35" t="s">
        <v>3571</v>
      </c>
      <c r="BU55" s="35" t="s">
        <v>404</v>
      </c>
      <c r="BV55" s="35" t="s">
        <v>405</v>
      </c>
      <c r="BX55" s="35" t="s">
        <v>406</v>
      </c>
      <c r="BY55" s="35" t="s">
        <v>2503</v>
      </c>
      <c r="BZ55" s="35" t="s">
        <v>408</v>
      </c>
      <c r="CE55" s="35" t="s">
        <v>1257</v>
      </c>
      <c r="CI55" s="35" t="s">
        <v>1698</v>
      </c>
      <c r="CJ55" s="35" t="s">
        <v>833</v>
      </c>
      <c r="CK55" s="35" t="s">
        <v>3572</v>
      </c>
      <c r="CL55" s="35" t="s">
        <v>10722</v>
      </c>
      <c r="EU55" s="35" t="s">
        <v>478</v>
      </c>
      <c r="EV55" s="35" t="s">
        <v>1127</v>
      </c>
      <c r="EW55" s="35" t="s">
        <v>778</v>
      </c>
      <c r="EX55" s="35" t="s">
        <v>3574</v>
      </c>
      <c r="EY55" s="35" t="s">
        <v>10723</v>
      </c>
      <c r="FP55" s="35" t="s">
        <v>3396</v>
      </c>
      <c r="FQ55" s="35" t="s">
        <v>418</v>
      </c>
      <c r="FR55" s="35" t="s">
        <v>712</v>
      </c>
      <c r="FT55" s="35" t="s">
        <v>420</v>
      </c>
      <c r="FU55" s="35" t="s">
        <v>488</v>
      </c>
      <c r="FV55" s="35" t="s">
        <v>918</v>
      </c>
      <c r="FW55" s="35" t="s">
        <v>490</v>
      </c>
      <c r="FX55" s="35" t="s">
        <v>491</v>
      </c>
      <c r="FZ55" s="35" t="s">
        <v>535</v>
      </c>
      <c r="GC55" s="35" t="s">
        <v>408</v>
      </c>
      <c r="GK55" s="35" t="s">
        <v>788</v>
      </c>
      <c r="GL55" s="35" t="s">
        <v>788</v>
      </c>
    </row>
    <row r="56">
      <c r="A56" s="40"/>
      <c r="B56" s="40">
        <v>45831.2807103125</v>
      </c>
      <c r="C56" s="35" t="s">
        <v>368</v>
      </c>
      <c r="D56" s="35" t="s">
        <v>3576</v>
      </c>
      <c r="E56" s="35" t="s">
        <v>3576</v>
      </c>
      <c r="H56" s="35" t="s">
        <v>422</v>
      </c>
      <c r="I56" s="35" t="s">
        <v>423</v>
      </c>
      <c r="J56" s="35" t="s">
        <v>668</v>
      </c>
      <c r="K56" s="35" t="s">
        <v>718</v>
      </c>
      <c r="L56" s="35" t="s">
        <v>376</v>
      </c>
      <c r="M56" s="35" t="s">
        <v>793</v>
      </c>
      <c r="N56" s="35" t="s">
        <v>639</v>
      </c>
      <c r="O56" s="35" t="s">
        <v>377</v>
      </c>
      <c r="P56" s="35" t="s">
        <v>2097</v>
      </c>
      <c r="Q56" s="35" t="s">
        <v>498</v>
      </c>
      <c r="R56" s="35" t="s">
        <v>382</v>
      </c>
      <c r="S56" s="35" t="s">
        <v>500</v>
      </c>
      <c r="T56" s="35" t="s">
        <v>384</v>
      </c>
      <c r="U56" s="35" t="s">
        <v>385</v>
      </c>
      <c r="X56" s="35" t="s">
        <v>3014</v>
      </c>
      <c r="AW56" s="35" t="s">
        <v>1242</v>
      </c>
      <c r="AX56" s="41">
        <v>4.0</v>
      </c>
      <c r="AY56" s="41">
        <v>4.0</v>
      </c>
      <c r="AZ56" s="41">
        <v>4.0</v>
      </c>
      <c r="BA56" s="41">
        <v>4.0</v>
      </c>
      <c r="BB56" s="41">
        <v>4.0</v>
      </c>
      <c r="BC56" s="41">
        <v>4.0</v>
      </c>
      <c r="BD56" s="35" t="s">
        <v>10724</v>
      </c>
      <c r="BE56" s="35" t="s">
        <v>10725</v>
      </c>
      <c r="BF56" s="35" t="s">
        <v>2379</v>
      </c>
      <c r="BG56" s="35" t="s">
        <v>1095</v>
      </c>
      <c r="BH56" s="35" t="s">
        <v>394</v>
      </c>
      <c r="BI56" s="35" t="s">
        <v>10726</v>
      </c>
      <c r="BJ56" s="35" t="s">
        <v>976</v>
      </c>
      <c r="BK56" s="35" t="s">
        <v>10727</v>
      </c>
      <c r="BL56" s="35" t="s">
        <v>511</v>
      </c>
      <c r="BM56" s="35" t="s">
        <v>904</v>
      </c>
      <c r="BN56" s="35" t="s">
        <v>1314</v>
      </c>
      <c r="BO56" s="35" t="s">
        <v>398</v>
      </c>
      <c r="BP56" s="35" t="s">
        <v>10728</v>
      </c>
      <c r="BQ56" s="35" t="s">
        <v>3580</v>
      </c>
      <c r="BR56" s="35" t="s">
        <v>401</v>
      </c>
      <c r="BS56" s="35" t="s">
        <v>1740</v>
      </c>
      <c r="BT56" s="35" t="s">
        <v>403</v>
      </c>
      <c r="BU56" s="35" t="s">
        <v>1994</v>
      </c>
      <c r="BV56" s="35" t="s">
        <v>1772</v>
      </c>
      <c r="BW56" s="35" t="s">
        <v>10729</v>
      </c>
      <c r="BX56" s="35" t="s">
        <v>3582</v>
      </c>
      <c r="BY56" s="35" t="s">
        <v>1867</v>
      </c>
      <c r="BZ56" s="35" t="s">
        <v>408</v>
      </c>
      <c r="CA56" s="35" t="s">
        <v>10727</v>
      </c>
      <c r="CB56" s="35" t="s">
        <v>10730</v>
      </c>
      <c r="CC56" s="35" t="s">
        <v>3584</v>
      </c>
      <c r="CD56" s="35" t="s">
        <v>10731</v>
      </c>
      <c r="CE56" s="35" t="s">
        <v>451</v>
      </c>
      <c r="CF56" s="35" t="s">
        <v>10732</v>
      </c>
      <c r="CG56" s="35" t="s">
        <v>2233</v>
      </c>
      <c r="CH56" s="35" t="s">
        <v>10733</v>
      </c>
      <c r="CI56" s="35" t="s">
        <v>2744</v>
      </c>
      <c r="CJ56" s="35" t="s">
        <v>410</v>
      </c>
      <c r="CK56" s="35" t="s">
        <v>10734</v>
      </c>
      <c r="CL56" s="35" t="s">
        <v>10735</v>
      </c>
      <c r="EU56" s="35" t="s">
        <v>526</v>
      </c>
      <c r="EV56" s="35" t="s">
        <v>579</v>
      </c>
      <c r="EW56" s="35" t="s">
        <v>580</v>
      </c>
      <c r="EY56" s="35" t="s">
        <v>10736</v>
      </c>
      <c r="EZ56" s="35" t="s">
        <v>10727</v>
      </c>
      <c r="FA56" s="35" t="s">
        <v>415</v>
      </c>
      <c r="FB56" s="35" t="s">
        <v>413</v>
      </c>
      <c r="FC56" s="35" t="s">
        <v>416</v>
      </c>
      <c r="FD56" s="35" t="s">
        <v>416</v>
      </c>
      <c r="FE56" s="35" t="s">
        <v>416</v>
      </c>
      <c r="FF56" s="35" t="s">
        <v>414</v>
      </c>
      <c r="FG56" s="35" t="s">
        <v>415</v>
      </c>
      <c r="FH56" s="35" t="s">
        <v>415</v>
      </c>
      <c r="FI56" s="35" t="s">
        <v>416</v>
      </c>
      <c r="FJ56" s="35" t="s">
        <v>415</v>
      </c>
      <c r="FK56" s="35" t="s">
        <v>415</v>
      </c>
      <c r="FL56" s="35" t="s">
        <v>415</v>
      </c>
      <c r="FM56" s="35" t="s">
        <v>415</v>
      </c>
      <c r="FN56" s="35" t="s">
        <v>415</v>
      </c>
      <c r="FO56" s="35" t="s">
        <v>415</v>
      </c>
      <c r="FP56" s="35" t="s">
        <v>850</v>
      </c>
      <c r="FQ56" s="35" t="s">
        <v>418</v>
      </c>
      <c r="FR56" s="35" t="s">
        <v>531</v>
      </c>
      <c r="FS56" s="35" t="s">
        <v>10737</v>
      </c>
      <c r="FT56" s="35" t="s">
        <v>1189</v>
      </c>
      <c r="FU56" s="35" t="s">
        <v>421</v>
      </c>
      <c r="FV56" s="35" t="s">
        <v>918</v>
      </c>
      <c r="FW56" s="35" t="s">
        <v>490</v>
      </c>
      <c r="FX56" s="35" t="s">
        <v>491</v>
      </c>
      <c r="FY56" s="35" t="s">
        <v>10738</v>
      </c>
      <c r="FZ56" s="35" t="s">
        <v>1854</v>
      </c>
      <c r="GC56" s="35" t="s">
        <v>455</v>
      </c>
      <c r="GD56" s="35" t="s">
        <v>10739</v>
      </c>
      <c r="GF56" s="35" t="s">
        <v>753</v>
      </c>
      <c r="GG56" s="35" t="s">
        <v>455</v>
      </c>
      <c r="GK56" s="35" t="s">
        <v>755</v>
      </c>
      <c r="GL56" s="35" t="s">
        <v>920</v>
      </c>
      <c r="GM56" s="35" t="s">
        <v>946</v>
      </c>
      <c r="GO56" s="35" t="s">
        <v>3593</v>
      </c>
      <c r="GP56" s="35" t="s">
        <v>3594</v>
      </c>
      <c r="GR56" s="35" t="s">
        <v>3208</v>
      </c>
    </row>
    <row r="57">
      <c r="A57" s="40"/>
      <c r="B57" s="40">
        <v>45831.437976030094</v>
      </c>
      <c r="C57" s="35" t="s">
        <v>368</v>
      </c>
      <c r="D57" s="35" t="s">
        <v>370</v>
      </c>
      <c r="F57" s="35" t="s">
        <v>859</v>
      </c>
      <c r="H57" s="35" t="s">
        <v>372</v>
      </c>
      <c r="I57" s="35" t="s">
        <v>373</v>
      </c>
      <c r="J57" s="35" t="s">
        <v>374</v>
      </c>
      <c r="K57" s="35" t="s">
        <v>669</v>
      </c>
      <c r="L57" s="35" t="s">
        <v>376</v>
      </c>
      <c r="M57" s="35" t="s">
        <v>793</v>
      </c>
      <c r="N57" s="35" t="s">
        <v>378</v>
      </c>
      <c r="O57" s="35" t="s">
        <v>793</v>
      </c>
      <c r="P57" s="35" t="s">
        <v>3673</v>
      </c>
      <c r="Q57" s="35" t="s">
        <v>592</v>
      </c>
      <c r="R57" s="35" t="s">
        <v>382</v>
      </c>
      <c r="S57" s="35" t="s">
        <v>795</v>
      </c>
      <c r="T57" s="35" t="s">
        <v>384</v>
      </c>
      <c r="U57" s="35" t="s">
        <v>385</v>
      </c>
      <c r="X57" s="35" t="s">
        <v>386</v>
      </c>
      <c r="AW57" s="35" t="s">
        <v>1242</v>
      </c>
      <c r="AX57" s="35" t="s">
        <v>675</v>
      </c>
      <c r="AY57" s="35" t="s">
        <v>675</v>
      </c>
      <c r="AZ57" s="35" t="s">
        <v>675</v>
      </c>
      <c r="BA57" s="35" t="s">
        <v>675</v>
      </c>
      <c r="BB57" s="35" t="s">
        <v>675</v>
      </c>
      <c r="BC57" s="35" t="s">
        <v>675</v>
      </c>
      <c r="BD57" s="35" t="s">
        <v>10740</v>
      </c>
      <c r="BE57" s="35" t="s">
        <v>10741</v>
      </c>
      <c r="BF57" s="35" t="s">
        <v>2379</v>
      </c>
      <c r="BG57" s="35" t="s">
        <v>1245</v>
      </c>
      <c r="BH57" s="35" t="s">
        <v>394</v>
      </c>
      <c r="BI57" s="35" t="s">
        <v>3676</v>
      </c>
      <c r="BJ57" s="35" t="s">
        <v>435</v>
      </c>
      <c r="BK57" s="35" t="s">
        <v>10742</v>
      </c>
      <c r="BL57" s="35" t="s">
        <v>681</v>
      </c>
      <c r="BM57" s="35" t="s">
        <v>603</v>
      </c>
      <c r="BN57" s="35" t="s">
        <v>1314</v>
      </c>
      <c r="BO57" s="35" t="s">
        <v>398</v>
      </c>
      <c r="BP57" s="35" t="s">
        <v>3678</v>
      </c>
      <c r="BQ57" s="35" t="s">
        <v>3679</v>
      </c>
      <c r="BR57" s="35" t="s">
        <v>604</v>
      </c>
      <c r="BS57" s="35" t="s">
        <v>1830</v>
      </c>
      <c r="BT57" s="35" t="s">
        <v>1741</v>
      </c>
      <c r="BU57" s="35" t="s">
        <v>1742</v>
      </c>
      <c r="BV57" s="35" t="s">
        <v>405</v>
      </c>
      <c r="BW57" s="35" t="s">
        <v>1211</v>
      </c>
      <c r="BX57" s="35" t="s">
        <v>988</v>
      </c>
      <c r="BZ57" s="35" t="s">
        <v>408</v>
      </c>
      <c r="CB57" s="35" t="s">
        <v>10743</v>
      </c>
      <c r="CC57" s="35" t="s">
        <v>10744</v>
      </c>
      <c r="CE57" s="35" t="s">
        <v>1257</v>
      </c>
      <c r="CF57" s="35" t="s">
        <v>3682</v>
      </c>
      <c r="CG57" s="35" t="s">
        <v>1722</v>
      </c>
      <c r="CH57" s="35" t="s">
        <v>10745</v>
      </c>
      <c r="CI57" s="35" t="s">
        <v>1259</v>
      </c>
      <c r="CJ57" s="35" t="s">
        <v>410</v>
      </c>
      <c r="CK57" s="35" t="s">
        <v>10746</v>
      </c>
      <c r="CL57" s="35" t="s">
        <v>3685</v>
      </c>
      <c r="EU57" s="35" t="s">
        <v>526</v>
      </c>
      <c r="EV57" s="35" t="s">
        <v>579</v>
      </c>
      <c r="EW57" s="35" t="s">
        <v>778</v>
      </c>
      <c r="EX57" s="35" t="s">
        <v>10747</v>
      </c>
      <c r="EY57" s="35" t="s">
        <v>3687</v>
      </c>
      <c r="EZ57" s="35" t="s">
        <v>3688</v>
      </c>
      <c r="FA57" s="35" t="s">
        <v>413</v>
      </c>
      <c r="FB57" s="35" t="s">
        <v>413</v>
      </c>
      <c r="FC57" s="35" t="s">
        <v>413</v>
      </c>
      <c r="FD57" s="35" t="s">
        <v>413</v>
      </c>
      <c r="FE57" s="35" t="s">
        <v>413</v>
      </c>
      <c r="FF57" s="35" t="s">
        <v>413</v>
      </c>
      <c r="FG57" s="35" t="s">
        <v>413</v>
      </c>
      <c r="FH57" s="35" t="s">
        <v>416</v>
      </c>
      <c r="FI57" s="35" t="s">
        <v>416</v>
      </c>
      <c r="FJ57" s="35" t="s">
        <v>413</v>
      </c>
      <c r="FK57" s="35" t="s">
        <v>413</v>
      </c>
      <c r="FL57" s="35" t="s">
        <v>413</v>
      </c>
      <c r="FM57" s="35" t="s">
        <v>413</v>
      </c>
      <c r="FN57" s="35" t="s">
        <v>415</v>
      </c>
      <c r="FO57" s="35" t="s">
        <v>413</v>
      </c>
      <c r="FP57" s="35" t="s">
        <v>417</v>
      </c>
      <c r="FQ57" s="35" t="s">
        <v>418</v>
      </c>
      <c r="FR57" s="35" t="s">
        <v>531</v>
      </c>
      <c r="FS57" s="35" t="s">
        <v>3689</v>
      </c>
      <c r="FT57" s="35" t="s">
        <v>420</v>
      </c>
      <c r="FU57" s="35" t="s">
        <v>488</v>
      </c>
      <c r="FV57" s="35" t="s">
        <v>1235</v>
      </c>
      <c r="FW57" s="35" t="s">
        <v>490</v>
      </c>
      <c r="FX57" s="35" t="s">
        <v>491</v>
      </c>
      <c r="FY57" s="35" t="s">
        <v>10748</v>
      </c>
      <c r="FZ57" s="35" t="s">
        <v>493</v>
      </c>
      <c r="GA57" s="35" t="s">
        <v>10749</v>
      </c>
      <c r="GB57" s="35" t="s">
        <v>10750</v>
      </c>
      <c r="GC57" s="35" t="s">
        <v>455</v>
      </c>
      <c r="GE57" s="35" t="s">
        <v>3693</v>
      </c>
      <c r="GF57" s="35" t="s">
        <v>753</v>
      </c>
      <c r="GG57" s="35" t="s">
        <v>1479</v>
      </c>
      <c r="GK57" s="35" t="s">
        <v>755</v>
      </c>
      <c r="GL57" s="35" t="s">
        <v>755</v>
      </c>
      <c r="GM57" s="35" t="s">
        <v>946</v>
      </c>
      <c r="GR57" s="35" t="s">
        <v>3208</v>
      </c>
    </row>
    <row r="58">
      <c r="A58" s="40"/>
      <c r="B58" s="40">
        <v>45831.54904612269</v>
      </c>
      <c r="C58" s="35" t="s">
        <v>368</v>
      </c>
      <c r="D58" s="35" t="s">
        <v>370</v>
      </c>
      <c r="F58" s="35" t="s">
        <v>1421</v>
      </c>
      <c r="H58" s="35" t="s">
        <v>422</v>
      </c>
      <c r="I58" s="35" t="s">
        <v>539</v>
      </c>
      <c r="J58" s="35" t="s">
        <v>374</v>
      </c>
      <c r="K58" s="35" t="s">
        <v>425</v>
      </c>
      <c r="L58" s="35" t="s">
        <v>376</v>
      </c>
      <c r="M58" s="35" t="s">
        <v>793</v>
      </c>
      <c r="N58" s="35" t="s">
        <v>639</v>
      </c>
      <c r="O58" s="35" t="s">
        <v>591</v>
      </c>
      <c r="P58" s="35" t="s">
        <v>719</v>
      </c>
      <c r="Q58" s="35" t="s">
        <v>498</v>
      </c>
      <c r="R58" s="35" t="s">
        <v>862</v>
      </c>
      <c r="S58" s="35" t="s">
        <v>949</v>
      </c>
      <c r="T58" s="35" t="s">
        <v>384</v>
      </c>
      <c r="U58" s="35" t="s">
        <v>385</v>
      </c>
      <c r="X58" s="35" t="s">
        <v>3014</v>
      </c>
      <c r="AW58" s="35" t="s">
        <v>597</v>
      </c>
      <c r="AX58" s="35" t="s">
        <v>675</v>
      </c>
      <c r="AY58" s="41">
        <v>4.0</v>
      </c>
      <c r="AZ58" s="35" t="s">
        <v>391</v>
      </c>
      <c r="BA58" s="41">
        <v>4.0</v>
      </c>
      <c r="BB58" s="35" t="s">
        <v>675</v>
      </c>
      <c r="BC58" s="35" t="s">
        <v>675</v>
      </c>
      <c r="BD58" s="35" t="s">
        <v>10751</v>
      </c>
      <c r="BE58" s="35" t="s">
        <v>10752</v>
      </c>
      <c r="BF58" s="35" t="s">
        <v>902</v>
      </c>
      <c r="BG58" s="35" t="s">
        <v>1095</v>
      </c>
      <c r="BH58" s="35" t="s">
        <v>394</v>
      </c>
      <c r="BI58" s="35" t="s">
        <v>3760</v>
      </c>
      <c r="BJ58" s="35" t="s">
        <v>976</v>
      </c>
      <c r="BL58" s="35" t="s">
        <v>437</v>
      </c>
      <c r="BM58" s="35" t="s">
        <v>603</v>
      </c>
      <c r="BN58" s="35" t="s">
        <v>1314</v>
      </c>
      <c r="BO58" s="35" t="s">
        <v>398</v>
      </c>
      <c r="BP58" s="35" t="s">
        <v>10753</v>
      </c>
      <c r="BQ58" s="35" t="s">
        <v>10754</v>
      </c>
      <c r="BR58" s="35" t="s">
        <v>442</v>
      </c>
      <c r="BS58" s="35" t="s">
        <v>3763</v>
      </c>
      <c r="BT58" s="35" t="s">
        <v>1741</v>
      </c>
      <c r="BU58" s="35" t="s">
        <v>1672</v>
      </c>
      <c r="BV58" s="35" t="s">
        <v>1693</v>
      </c>
      <c r="BW58" s="35" t="s">
        <v>10755</v>
      </c>
      <c r="BX58" s="35" t="s">
        <v>457</v>
      </c>
      <c r="BZ58" s="35" t="s">
        <v>408</v>
      </c>
      <c r="CB58" s="35" t="s">
        <v>10756</v>
      </c>
      <c r="CC58" s="35" t="s">
        <v>10757</v>
      </c>
      <c r="CD58" s="35" t="s">
        <v>10758</v>
      </c>
      <c r="CE58" s="35" t="s">
        <v>451</v>
      </c>
      <c r="CF58" s="35" t="s">
        <v>10759</v>
      </c>
      <c r="CG58" s="35" t="s">
        <v>1722</v>
      </c>
      <c r="CH58" s="35" t="s">
        <v>10760</v>
      </c>
      <c r="CI58" s="35" t="s">
        <v>1679</v>
      </c>
      <c r="CJ58" s="35" t="s">
        <v>410</v>
      </c>
      <c r="CK58" s="35" t="s">
        <v>3770</v>
      </c>
      <c r="CL58" s="35" t="s">
        <v>10761</v>
      </c>
      <c r="EU58" s="35" t="s">
        <v>578</v>
      </c>
      <c r="EV58" s="35" t="s">
        <v>479</v>
      </c>
      <c r="EW58" s="35" t="s">
        <v>480</v>
      </c>
      <c r="EX58" s="35" t="s">
        <v>3772</v>
      </c>
      <c r="EY58" s="35" t="s">
        <v>10762</v>
      </c>
      <c r="EZ58" s="35" t="s">
        <v>10763</v>
      </c>
      <c r="FA58" s="35" t="s">
        <v>583</v>
      </c>
      <c r="FB58" s="35" t="s">
        <v>583</v>
      </c>
      <c r="FC58" s="35" t="s">
        <v>583</v>
      </c>
      <c r="FD58" s="35" t="s">
        <v>583</v>
      </c>
      <c r="FE58" s="35" t="s">
        <v>416</v>
      </c>
      <c r="FF58" s="35" t="s">
        <v>583</v>
      </c>
      <c r="FG58" s="35" t="s">
        <v>583</v>
      </c>
      <c r="FH58" s="35" t="s">
        <v>413</v>
      </c>
      <c r="FI58" s="35" t="s">
        <v>583</v>
      </c>
      <c r="FJ58" s="35" t="s">
        <v>414</v>
      </c>
      <c r="FK58" s="35" t="s">
        <v>414</v>
      </c>
      <c r="FL58" s="35" t="s">
        <v>413</v>
      </c>
      <c r="FM58" s="35" t="s">
        <v>413</v>
      </c>
      <c r="FN58" s="35" t="s">
        <v>413</v>
      </c>
      <c r="FO58" s="35" t="s">
        <v>583</v>
      </c>
      <c r="FP58" s="35" t="s">
        <v>417</v>
      </c>
      <c r="FQ58" s="35" t="s">
        <v>418</v>
      </c>
      <c r="FR58" s="35" t="s">
        <v>419</v>
      </c>
      <c r="FS58" s="35" t="s">
        <v>10764</v>
      </c>
      <c r="FT58" s="35" t="s">
        <v>420</v>
      </c>
      <c r="FU58" s="35" t="s">
        <v>488</v>
      </c>
      <c r="FV58" s="35" t="s">
        <v>489</v>
      </c>
      <c r="FW58" s="35" t="s">
        <v>490</v>
      </c>
      <c r="FX58" s="35" t="s">
        <v>491</v>
      </c>
      <c r="FY58" s="35" t="s">
        <v>10765</v>
      </c>
      <c r="FZ58" s="35" t="s">
        <v>535</v>
      </c>
      <c r="GA58" s="35" t="s">
        <v>3777</v>
      </c>
      <c r="GC58" s="35" t="s">
        <v>408</v>
      </c>
      <c r="GK58" s="35" t="s">
        <v>755</v>
      </c>
      <c r="GL58" s="35" t="s">
        <v>755</v>
      </c>
      <c r="GM58" s="35" t="s">
        <v>817</v>
      </c>
      <c r="GR58" s="35" t="s">
        <v>3351</v>
      </c>
    </row>
    <row r="59">
      <c r="A59" s="40"/>
      <c r="B59" s="40">
        <v>45831.615562349536</v>
      </c>
      <c r="C59" s="35" t="s">
        <v>368</v>
      </c>
      <c r="D59" s="35" t="s">
        <v>370</v>
      </c>
      <c r="F59" s="35" t="s">
        <v>1001</v>
      </c>
      <c r="H59" s="35" t="s">
        <v>422</v>
      </c>
      <c r="I59" s="35" t="s">
        <v>496</v>
      </c>
      <c r="J59" s="35" t="s">
        <v>2578</v>
      </c>
      <c r="K59" s="35" t="s">
        <v>375</v>
      </c>
      <c r="L59" s="35" t="s">
        <v>376</v>
      </c>
      <c r="M59" s="35" t="s">
        <v>793</v>
      </c>
      <c r="N59" s="35" t="s">
        <v>719</v>
      </c>
      <c r="O59" s="35" t="s">
        <v>591</v>
      </c>
      <c r="P59" s="35" t="s">
        <v>719</v>
      </c>
      <c r="Q59" s="35" t="s">
        <v>592</v>
      </c>
      <c r="R59" s="35" t="s">
        <v>818</v>
      </c>
      <c r="S59" s="35" t="s">
        <v>427</v>
      </c>
      <c r="T59" s="35" t="s">
        <v>384</v>
      </c>
      <c r="U59" s="35" t="s">
        <v>385</v>
      </c>
      <c r="X59" s="35" t="s">
        <v>3014</v>
      </c>
      <c r="AW59" s="35" t="s">
        <v>1310</v>
      </c>
      <c r="AX59" s="35" t="s">
        <v>675</v>
      </c>
      <c r="AY59" s="35" t="s">
        <v>675</v>
      </c>
      <c r="AZ59" s="41">
        <v>4.0</v>
      </c>
      <c r="BA59" s="35" t="s">
        <v>391</v>
      </c>
      <c r="BB59" s="35" t="s">
        <v>675</v>
      </c>
      <c r="BC59" s="35" t="s">
        <v>675</v>
      </c>
      <c r="BD59" s="35" t="s">
        <v>3778</v>
      </c>
      <c r="BE59" s="35" t="s">
        <v>3779</v>
      </c>
      <c r="BF59" s="35" t="s">
        <v>392</v>
      </c>
      <c r="BG59" s="35" t="s">
        <v>1245</v>
      </c>
      <c r="BH59" s="35" t="s">
        <v>434</v>
      </c>
      <c r="BI59" s="35" t="s">
        <v>3780</v>
      </c>
      <c r="BJ59" s="35" t="s">
        <v>976</v>
      </c>
      <c r="BK59" s="35" t="s">
        <v>3781</v>
      </c>
      <c r="BL59" s="35" t="s">
        <v>511</v>
      </c>
      <c r="BM59" s="35" t="s">
        <v>904</v>
      </c>
      <c r="BN59" s="35" t="s">
        <v>1247</v>
      </c>
      <c r="BO59" s="35" t="s">
        <v>398</v>
      </c>
      <c r="BP59" s="35" t="s">
        <v>3782</v>
      </c>
      <c r="BQ59" s="35" t="s">
        <v>3783</v>
      </c>
      <c r="BR59" s="35" t="s">
        <v>442</v>
      </c>
      <c r="BS59" s="35" t="s">
        <v>3784</v>
      </c>
      <c r="BT59" s="35" t="s">
        <v>1671</v>
      </c>
      <c r="BU59" s="35" t="s">
        <v>1672</v>
      </c>
      <c r="BV59" s="35" t="s">
        <v>405</v>
      </c>
      <c r="BW59" s="35" t="s">
        <v>3785</v>
      </c>
      <c r="BX59" s="35" t="s">
        <v>457</v>
      </c>
      <c r="BY59" s="35" t="s">
        <v>1867</v>
      </c>
      <c r="BZ59" s="35" t="s">
        <v>408</v>
      </c>
      <c r="CC59" s="35" t="s">
        <v>10766</v>
      </c>
      <c r="CD59" s="35" t="s">
        <v>3787</v>
      </c>
      <c r="CE59" s="35" t="s">
        <v>451</v>
      </c>
      <c r="CF59" s="35" t="s">
        <v>3788</v>
      </c>
      <c r="CG59" s="35" t="s">
        <v>1258</v>
      </c>
      <c r="CI59" s="35" t="s">
        <v>1259</v>
      </c>
      <c r="CJ59" s="35" t="s">
        <v>410</v>
      </c>
      <c r="CK59" s="35" t="s">
        <v>10767</v>
      </c>
      <c r="CL59" s="35" t="s">
        <v>3790</v>
      </c>
      <c r="EU59" s="35" t="s">
        <v>578</v>
      </c>
      <c r="EV59" s="35" t="s">
        <v>1037</v>
      </c>
      <c r="EW59" s="35" t="s">
        <v>580</v>
      </c>
      <c r="EY59" s="35" t="s">
        <v>3791</v>
      </c>
      <c r="EZ59" s="35" t="s">
        <v>3792</v>
      </c>
      <c r="FA59" s="35" t="s">
        <v>416</v>
      </c>
      <c r="FB59" s="35" t="s">
        <v>416</v>
      </c>
      <c r="FC59" s="35" t="s">
        <v>413</v>
      </c>
      <c r="FD59" s="35" t="s">
        <v>413</v>
      </c>
      <c r="FE59" s="35" t="s">
        <v>413</v>
      </c>
      <c r="FF59" s="35" t="s">
        <v>413</v>
      </c>
      <c r="FG59" s="35" t="s">
        <v>413</v>
      </c>
      <c r="FH59" s="35" t="s">
        <v>413</v>
      </c>
      <c r="FI59" s="35" t="s">
        <v>583</v>
      </c>
      <c r="FJ59" s="35" t="s">
        <v>415</v>
      </c>
      <c r="FK59" s="35" t="s">
        <v>415</v>
      </c>
      <c r="FL59" s="35" t="s">
        <v>413</v>
      </c>
      <c r="FM59" s="35" t="s">
        <v>413</v>
      </c>
      <c r="FN59" s="35" t="s">
        <v>413</v>
      </c>
      <c r="FO59" s="35" t="s">
        <v>414</v>
      </c>
      <c r="FP59" s="35" t="s">
        <v>485</v>
      </c>
      <c r="FQ59" s="35" t="s">
        <v>418</v>
      </c>
      <c r="FR59" s="35" t="s">
        <v>749</v>
      </c>
      <c r="FS59" s="35" t="s">
        <v>2381</v>
      </c>
      <c r="FT59" s="35" t="s">
        <v>1189</v>
      </c>
      <c r="FU59" s="35" t="s">
        <v>488</v>
      </c>
      <c r="FV59" s="35" t="s">
        <v>918</v>
      </c>
      <c r="FW59" s="35" t="s">
        <v>490</v>
      </c>
      <c r="FX59" s="35" t="s">
        <v>491</v>
      </c>
      <c r="FY59" s="35" t="s">
        <v>3793</v>
      </c>
      <c r="FZ59" s="35" t="s">
        <v>535</v>
      </c>
      <c r="GA59" s="35" t="s">
        <v>3794</v>
      </c>
      <c r="GB59" s="35" t="s">
        <v>3795</v>
      </c>
      <c r="GC59" s="35" t="s">
        <v>455</v>
      </c>
      <c r="GD59" s="35" t="s">
        <v>10768</v>
      </c>
      <c r="GF59" s="35" t="s">
        <v>753</v>
      </c>
      <c r="GG59" s="35" t="s">
        <v>3796</v>
      </c>
      <c r="GK59" s="35" t="s">
        <v>920</v>
      </c>
      <c r="GL59" s="35" t="s">
        <v>920</v>
      </c>
      <c r="GM59" s="35" t="s">
        <v>756</v>
      </c>
      <c r="GR59" s="35" t="s">
        <v>3273</v>
      </c>
    </row>
    <row r="60">
      <c r="A60" s="40"/>
      <c r="B60" s="40">
        <v>45831.70685833333</v>
      </c>
      <c r="C60" s="35" t="s">
        <v>368</v>
      </c>
      <c r="D60" s="35" t="s">
        <v>370</v>
      </c>
      <c r="F60" s="35" t="s">
        <v>2114</v>
      </c>
      <c r="H60" s="35" t="s">
        <v>422</v>
      </c>
      <c r="I60" s="35" t="s">
        <v>496</v>
      </c>
      <c r="J60" s="35" t="s">
        <v>374</v>
      </c>
      <c r="K60" s="35" t="s">
        <v>540</v>
      </c>
      <c r="L60" s="35" t="s">
        <v>376</v>
      </c>
      <c r="M60" s="35" t="s">
        <v>591</v>
      </c>
      <c r="N60" s="35" t="s">
        <v>639</v>
      </c>
      <c r="O60" s="35" t="s">
        <v>426</v>
      </c>
      <c r="P60" s="35" t="s">
        <v>671</v>
      </c>
      <c r="Q60" s="35" t="s">
        <v>498</v>
      </c>
      <c r="R60" s="35" t="s">
        <v>1156</v>
      </c>
      <c r="S60" s="35" t="s">
        <v>427</v>
      </c>
      <c r="T60" s="35" t="s">
        <v>384</v>
      </c>
      <c r="U60" s="35" t="s">
        <v>385</v>
      </c>
      <c r="X60" s="35" t="s">
        <v>593</v>
      </c>
      <c r="Y60" s="35" t="s">
        <v>387</v>
      </c>
      <c r="Z60" s="35" t="s">
        <v>542</v>
      </c>
      <c r="AA60" s="35" t="s">
        <v>543</v>
      </c>
      <c r="AB60" s="35" t="s">
        <v>3826</v>
      </c>
      <c r="AC60" s="35" t="s">
        <v>3827</v>
      </c>
      <c r="AW60" s="35" t="s">
        <v>1242</v>
      </c>
      <c r="AX60" s="35" t="s">
        <v>391</v>
      </c>
      <c r="AY60" s="41">
        <v>4.0</v>
      </c>
      <c r="AZ60" s="35" t="s">
        <v>391</v>
      </c>
      <c r="BA60" s="41">
        <v>2.0</v>
      </c>
      <c r="BB60" s="41">
        <v>4.0</v>
      </c>
      <c r="BC60" s="41">
        <v>4.0</v>
      </c>
      <c r="BD60" s="35" t="s">
        <v>3828</v>
      </c>
      <c r="BE60" s="35" t="s">
        <v>3829</v>
      </c>
      <c r="BF60" s="35" t="s">
        <v>432</v>
      </c>
      <c r="BG60" s="35" t="s">
        <v>1095</v>
      </c>
      <c r="BH60" s="35" t="s">
        <v>725</v>
      </c>
      <c r="BI60" s="35" t="s">
        <v>3830</v>
      </c>
      <c r="BJ60" s="35" t="s">
        <v>976</v>
      </c>
      <c r="BL60" s="35" t="s">
        <v>681</v>
      </c>
      <c r="BM60" s="35" t="s">
        <v>438</v>
      </c>
      <c r="BN60" s="35" t="s">
        <v>1314</v>
      </c>
      <c r="BO60" s="35" t="s">
        <v>398</v>
      </c>
      <c r="BP60" s="35" t="s">
        <v>3831</v>
      </c>
      <c r="BQ60" s="35" t="s">
        <v>3832</v>
      </c>
      <c r="BR60" s="35" t="s">
        <v>604</v>
      </c>
      <c r="BS60" s="35" t="s">
        <v>3833</v>
      </c>
      <c r="BT60" s="35" t="s">
        <v>403</v>
      </c>
      <c r="BU60" s="35" t="s">
        <v>404</v>
      </c>
      <c r="BV60" s="35" t="s">
        <v>405</v>
      </c>
      <c r="BX60" s="35" t="s">
        <v>406</v>
      </c>
      <c r="BY60" s="35" t="s">
        <v>407</v>
      </c>
      <c r="BZ60" s="35" t="s">
        <v>408</v>
      </c>
      <c r="CA60" s="35" t="s">
        <v>3834</v>
      </c>
      <c r="CB60" s="35" t="s">
        <v>3835</v>
      </c>
      <c r="CC60" s="35" t="s">
        <v>3836</v>
      </c>
      <c r="CD60" s="35" t="s">
        <v>3837</v>
      </c>
      <c r="CE60" s="35" t="s">
        <v>409</v>
      </c>
      <c r="CF60" s="35" t="s">
        <v>3838</v>
      </c>
      <c r="CG60" s="35" t="s">
        <v>1258</v>
      </c>
      <c r="CI60" s="35" t="s">
        <v>1698</v>
      </c>
      <c r="CJ60" s="35" t="s">
        <v>833</v>
      </c>
      <c r="CK60" s="35" t="s">
        <v>3839</v>
      </c>
      <c r="CL60" s="35" t="s">
        <v>3840</v>
      </c>
      <c r="EU60" s="35" t="s">
        <v>526</v>
      </c>
      <c r="EV60" s="35" t="s">
        <v>1037</v>
      </c>
      <c r="EW60" s="35" t="s">
        <v>580</v>
      </c>
      <c r="EX60" s="35" t="s">
        <v>3841</v>
      </c>
      <c r="EY60" s="35" t="s">
        <v>3842</v>
      </c>
      <c r="EZ60" s="35" t="s">
        <v>3843</v>
      </c>
      <c r="FA60" s="35" t="s">
        <v>414</v>
      </c>
      <c r="FB60" s="35" t="s">
        <v>414</v>
      </c>
      <c r="FC60" s="35" t="s">
        <v>416</v>
      </c>
      <c r="FD60" s="35" t="s">
        <v>415</v>
      </c>
      <c r="FE60" s="35" t="s">
        <v>413</v>
      </c>
      <c r="FF60" s="35" t="s">
        <v>414</v>
      </c>
      <c r="FG60" s="35" t="s">
        <v>484</v>
      </c>
      <c r="FH60" s="35" t="s">
        <v>415</v>
      </c>
      <c r="FI60" s="35" t="s">
        <v>415</v>
      </c>
      <c r="FJ60" s="35" t="s">
        <v>414</v>
      </c>
      <c r="FK60" s="35" t="s">
        <v>415</v>
      </c>
      <c r="FL60" s="35" t="s">
        <v>484</v>
      </c>
      <c r="FM60" s="35" t="s">
        <v>484</v>
      </c>
      <c r="FN60" s="35" t="s">
        <v>484</v>
      </c>
      <c r="FO60" s="35" t="s">
        <v>484</v>
      </c>
      <c r="FP60" s="35" t="s">
        <v>485</v>
      </c>
      <c r="FQ60" s="35" t="s">
        <v>418</v>
      </c>
      <c r="FR60" s="35" t="s">
        <v>749</v>
      </c>
      <c r="FT60" s="35" t="s">
        <v>420</v>
      </c>
      <c r="FU60" s="35" t="s">
        <v>1476</v>
      </c>
      <c r="FV60" s="35" t="s">
        <v>489</v>
      </c>
      <c r="FW60" s="35" t="s">
        <v>490</v>
      </c>
      <c r="FX60" s="35" t="s">
        <v>491</v>
      </c>
      <c r="FY60" s="35" t="s">
        <v>3844</v>
      </c>
      <c r="FZ60" s="35" t="s">
        <v>1337</v>
      </c>
      <c r="GC60" s="35" t="s">
        <v>455</v>
      </c>
      <c r="GD60" s="35" t="s">
        <v>10769</v>
      </c>
      <c r="GF60" s="35" t="s">
        <v>855</v>
      </c>
      <c r="GK60" s="35" t="s">
        <v>857</v>
      </c>
      <c r="GL60" s="35" t="s">
        <v>857</v>
      </c>
      <c r="GM60" s="35" t="s">
        <v>817</v>
      </c>
      <c r="GR60" s="35" t="s">
        <v>3273</v>
      </c>
    </row>
    <row r="61">
      <c r="A61" s="40"/>
      <c r="B61" s="40">
        <v>45831.785180127314</v>
      </c>
      <c r="C61" s="35" t="s">
        <v>368</v>
      </c>
      <c r="D61" s="35" t="s">
        <v>370</v>
      </c>
      <c r="F61" s="35" t="s">
        <v>1441</v>
      </c>
      <c r="H61" s="35" t="s">
        <v>1093</v>
      </c>
      <c r="I61" s="35" t="s">
        <v>373</v>
      </c>
      <c r="J61" s="35" t="s">
        <v>374</v>
      </c>
      <c r="K61" s="35" t="s">
        <v>425</v>
      </c>
      <c r="L61" s="35" t="s">
        <v>376</v>
      </c>
      <c r="M61" s="35" t="s">
        <v>379</v>
      </c>
      <c r="N61" s="35" t="s">
        <v>3845</v>
      </c>
      <c r="O61" s="35" t="s">
        <v>426</v>
      </c>
      <c r="P61" s="35" t="s">
        <v>380</v>
      </c>
      <c r="Q61" s="35" t="s">
        <v>381</v>
      </c>
      <c r="R61" s="35" t="s">
        <v>499</v>
      </c>
      <c r="S61" s="35" t="s">
        <v>1197</v>
      </c>
      <c r="T61" s="35" t="s">
        <v>384</v>
      </c>
      <c r="U61" s="35" t="s">
        <v>385</v>
      </c>
      <c r="X61" s="35" t="s">
        <v>3014</v>
      </c>
      <c r="AW61" s="35" t="s">
        <v>1242</v>
      </c>
      <c r="AX61" s="35" t="s">
        <v>675</v>
      </c>
      <c r="AY61" s="35" t="s">
        <v>675</v>
      </c>
      <c r="AZ61" s="35" t="s">
        <v>675</v>
      </c>
      <c r="BA61" s="35" t="s">
        <v>675</v>
      </c>
      <c r="BB61" s="35" t="s">
        <v>675</v>
      </c>
      <c r="BC61" s="35" t="s">
        <v>675</v>
      </c>
      <c r="BD61" s="35" t="s">
        <v>10770</v>
      </c>
      <c r="BE61" s="35" t="s">
        <v>3847</v>
      </c>
      <c r="BF61" s="35" t="s">
        <v>2259</v>
      </c>
      <c r="BG61" s="35" t="s">
        <v>1245</v>
      </c>
      <c r="BH61" s="35" t="s">
        <v>394</v>
      </c>
      <c r="BI61" s="35" t="s">
        <v>3848</v>
      </c>
      <c r="BJ61" s="35" t="s">
        <v>976</v>
      </c>
      <c r="BL61" s="35" t="s">
        <v>602</v>
      </c>
      <c r="BM61" s="35" t="s">
        <v>904</v>
      </c>
      <c r="BN61" s="35" t="s">
        <v>1314</v>
      </c>
      <c r="BO61" s="35" t="s">
        <v>398</v>
      </c>
      <c r="BP61" s="35" t="s">
        <v>3849</v>
      </c>
      <c r="BQ61" s="35" t="s">
        <v>3850</v>
      </c>
      <c r="BR61" s="35" t="s">
        <v>401</v>
      </c>
      <c r="BS61" s="35" t="s">
        <v>1830</v>
      </c>
      <c r="BT61" s="35" t="s">
        <v>1741</v>
      </c>
      <c r="BU61" s="35" t="s">
        <v>404</v>
      </c>
      <c r="BV61" s="35" t="s">
        <v>1772</v>
      </c>
      <c r="BW61" s="35" t="s">
        <v>3851</v>
      </c>
      <c r="BX61" s="35" t="s">
        <v>406</v>
      </c>
      <c r="BY61" s="35" t="s">
        <v>2503</v>
      </c>
      <c r="BZ61" s="35" t="s">
        <v>408</v>
      </c>
      <c r="CC61" s="35" t="s">
        <v>3852</v>
      </c>
      <c r="CD61" s="35" t="s">
        <v>3853</v>
      </c>
      <c r="CE61" s="35" t="s">
        <v>1931</v>
      </c>
      <c r="CG61" s="35" t="s">
        <v>1258</v>
      </c>
      <c r="CI61" s="35" t="s">
        <v>1698</v>
      </c>
      <c r="CJ61" s="35" t="s">
        <v>410</v>
      </c>
      <c r="CK61" s="35" t="s">
        <v>10771</v>
      </c>
      <c r="CL61" s="35" t="s">
        <v>3855</v>
      </c>
      <c r="EU61" s="35" t="s">
        <v>578</v>
      </c>
      <c r="EV61" s="35" t="s">
        <v>1037</v>
      </c>
      <c r="EW61" s="35" t="s">
        <v>1262</v>
      </c>
      <c r="EY61" s="35" t="s">
        <v>3856</v>
      </c>
      <c r="EZ61" s="35" t="s">
        <v>3857</v>
      </c>
      <c r="FA61" s="35" t="s">
        <v>413</v>
      </c>
      <c r="FB61" s="35" t="s">
        <v>413</v>
      </c>
      <c r="FC61" s="35" t="s">
        <v>413</v>
      </c>
      <c r="FD61" s="35" t="s">
        <v>413</v>
      </c>
      <c r="FE61" s="35" t="s">
        <v>413</v>
      </c>
      <c r="FF61" s="35" t="s">
        <v>413</v>
      </c>
      <c r="FG61" s="35" t="s">
        <v>413</v>
      </c>
      <c r="FH61" s="35" t="s">
        <v>413</v>
      </c>
      <c r="FI61" s="35" t="s">
        <v>413</v>
      </c>
      <c r="FJ61" s="35" t="s">
        <v>413</v>
      </c>
      <c r="FK61" s="35" t="s">
        <v>413</v>
      </c>
      <c r="FL61" s="35" t="s">
        <v>413</v>
      </c>
      <c r="FM61" s="35" t="s">
        <v>413</v>
      </c>
      <c r="FN61" s="35" t="s">
        <v>413</v>
      </c>
      <c r="FO61" s="35" t="s">
        <v>583</v>
      </c>
      <c r="FP61" s="35" t="s">
        <v>417</v>
      </c>
      <c r="FQ61" s="35" t="s">
        <v>418</v>
      </c>
      <c r="FR61" s="35" t="s">
        <v>419</v>
      </c>
      <c r="FS61" s="35" t="s">
        <v>10772</v>
      </c>
      <c r="FT61" s="35" t="s">
        <v>420</v>
      </c>
      <c r="FU61" s="35" t="s">
        <v>488</v>
      </c>
      <c r="FV61" s="35" t="s">
        <v>918</v>
      </c>
      <c r="FW61" s="35" t="s">
        <v>490</v>
      </c>
      <c r="FX61" s="35" t="s">
        <v>491</v>
      </c>
      <c r="FY61" s="35" t="s">
        <v>10773</v>
      </c>
      <c r="FZ61" s="35" t="s">
        <v>535</v>
      </c>
      <c r="GA61" s="35" t="s">
        <v>10774</v>
      </c>
      <c r="GC61" s="35" t="s">
        <v>408</v>
      </c>
      <c r="GK61" s="35" t="s">
        <v>920</v>
      </c>
      <c r="GL61" s="35" t="s">
        <v>1000</v>
      </c>
      <c r="GM61" s="35" t="s">
        <v>921</v>
      </c>
      <c r="GR61" s="35" t="s">
        <v>3273</v>
      </c>
    </row>
    <row r="62">
      <c r="A62" s="40"/>
      <c r="B62" s="40">
        <v>45831.81648645834</v>
      </c>
      <c r="C62" s="35" t="s">
        <v>368</v>
      </c>
      <c r="D62" s="35" t="s">
        <v>894</v>
      </c>
      <c r="E62" s="35" t="s">
        <v>894</v>
      </c>
      <c r="H62" s="35" t="s">
        <v>422</v>
      </c>
      <c r="I62" s="35" t="s">
        <v>496</v>
      </c>
      <c r="J62" s="35" t="s">
        <v>374</v>
      </c>
      <c r="K62" s="35" t="s">
        <v>718</v>
      </c>
      <c r="L62" s="35" t="s">
        <v>376</v>
      </c>
      <c r="M62" s="35" t="s">
        <v>591</v>
      </c>
      <c r="N62" s="35" t="s">
        <v>378</v>
      </c>
      <c r="O62" s="35" t="s">
        <v>793</v>
      </c>
      <c r="P62" s="35" t="s">
        <v>1270</v>
      </c>
      <c r="Q62" s="35" t="s">
        <v>498</v>
      </c>
      <c r="R62" s="35" t="s">
        <v>862</v>
      </c>
      <c r="S62" s="35" t="s">
        <v>427</v>
      </c>
      <c r="T62" s="35" t="s">
        <v>384</v>
      </c>
      <c r="U62" s="35" t="s">
        <v>385</v>
      </c>
      <c r="V62" s="35" t="s">
        <v>3861</v>
      </c>
      <c r="W62" s="35" t="s">
        <v>896</v>
      </c>
      <c r="X62" s="35" t="s">
        <v>3231</v>
      </c>
      <c r="AW62" s="35" t="s">
        <v>390</v>
      </c>
      <c r="AX62" s="41">
        <v>2.0</v>
      </c>
      <c r="AY62" s="35" t="s">
        <v>391</v>
      </c>
      <c r="AZ62" s="41">
        <v>2.0</v>
      </c>
      <c r="BA62" s="41">
        <v>4.0</v>
      </c>
      <c r="BB62" s="41">
        <v>4.0</v>
      </c>
      <c r="BC62" s="41">
        <v>4.0</v>
      </c>
      <c r="BD62" s="35" t="s">
        <v>3862</v>
      </c>
      <c r="BE62" s="35" t="s">
        <v>3863</v>
      </c>
      <c r="BF62" s="35" t="s">
        <v>432</v>
      </c>
      <c r="BG62" s="35" t="s">
        <v>1047</v>
      </c>
      <c r="BH62" s="35" t="s">
        <v>394</v>
      </c>
      <c r="BI62" s="35" t="s">
        <v>3864</v>
      </c>
      <c r="BJ62" s="35" t="s">
        <v>435</v>
      </c>
      <c r="BK62" s="35" t="s">
        <v>3865</v>
      </c>
      <c r="BL62" s="35" t="s">
        <v>602</v>
      </c>
      <c r="BM62" s="35" t="s">
        <v>438</v>
      </c>
      <c r="BN62" s="35" t="s">
        <v>549</v>
      </c>
      <c r="BO62" s="35" t="s">
        <v>398</v>
      </c>
      <c r="BP62" s="35" t="s">
        <v>3866</v>
      </c>
      <c r="BQ62" s="35" t="s">
        <v>3867</v>
      </c>
      <c r="BR62" s="35" t="s">
        <v>442</v>
      </c>
      <c r="BS62" s="35" t="s">
        <v>3868</v>
      </c>
      <c r="BT62" s="35" t="s">
        <v>1671</v>
      </c>
      <c r="BU62" s="35" t="s">
        <v>1742</v>
      </c>
      <c r="BV62" s="35" t="s">
        <v>1831</v>
      </c>
      <c r="BW62" s="35" t="s">
        <v>3869</v>
      </c>
      <c r="BX62" s="35" t="s">
        <v>457</v>
      </c>
      <c r="BZ62" s="35" t="s">
        <v>455</v>
      </c>
      <c r="CA62" s="35" t="s">
        <v>3870</v>
      </c>
      <c r="CB62" s="35" t="s">
        <v>3871</v>
      </c>
      <c r="CC62" s="35" t="s">
        <v>3872</v>
      </c>
      <c r="CD62" s="35" t="s">
        <v>3873</v>
      </c>
      <c r="CE62" s="35" t="s">
        <v>451</v>
      </c>
      <c r="CF62" s="35" t="s">
        <v>3874</v>
      </c>
      <c r="CG62" s="35" t="s">
        <v>1258</v>
      </c>
      <c r="CI62" s="35" t="s">
        <v>1679</v>
      </c>
      <c r="CJ62" s="35" t="s">
        <v>410</v>
      </c>
      <c r="CK62" s="35" t="s">
        <v>3875</v>
      </c>
      <c r="CL62" s="35" t="s">
        <v>3876</v>
      </c>
      <c r="EU62" s="35" t="s">
        <v>578</v>
      </c>
      <c r="EV62" s="35" t="s">
        <v>887</v>
      </c>
      <c r="EW62" s="35" t="s">
        <v>480</v>
      </c>
      <c r="EY62" s="35" t="s">
        <v>3877</v>
      </c>
      <c r="EZ62" s="35" t="s">
        <v>3878</v>
      </c>
      <c r="FA62" s="35" t="s">
        <v>583</v>
      </c>
      <c r="FB62" s="35" t="s">
        <v>583</v>
      </c>
      <c r="FC62" s="35" t="s">
        <v>414</v>
      </c>
      <c r="FD62" s="35" t="s">
        <v>583</v>
      </c>
      <c r="FE62" s="35" t="s">
        <v>416</v>
      </c>
      <c r="FF62" s="35" t="s">
        <v>583</v>
      </c>
      <c r="FG62" s="35" t="s">
        <v>414</v>
      </c>
      <c r="FH62" s="35" t="s">
        <v>415</v>
      </c>
      <c r="FI62" s="35" t="s">
        <v>414</v>
      </c>
      <c r="FJ62" s="35" t="s">
        <v>414</v>
      </c>
      <c r="FK62" s="35" t="s">
        <v>414</v>
      </c>
      <c r="FL62" s="35" t="s">
        <v>414</v>
      </c>
      <c r="FM62" s="35" t="s">
        <v>414</v>
      </c>
      <c r="FN62" s="35" t="s">
        <v>415</v>
      </c>
      <c r="FO62" s="35" t="s">
        <v>414</v>
      </c>
      <c r="FP62" s="35" t="s">
        <v>1074</v>
      </c>
      <c r="FQ62" s="35" t="s">
        <v>418</v>
      </c>
      <c r="FR62" s="35" t="s">
        <v>419</v>
      </c>
      <c r="FS62" s="35" t="s">
        <v>3879</v>
      </c>
      <c r="FT62" s="35" t="s">
        <v>1871</v>
      </c>
      <c r="FU62" s="35" t="s">
        <v>421</v>
      </c>
      <c r="FV62" s="35" t="s">
        <v>489</v>
      </c>
      <c r="FW62" s="35" t="s">
        <v>1101</v>
      </c>
      <c r="FX62" s="35" t="s">
        <v>491</v>
      </c>
      <c r="FY62" s="35" t="s">
        <v>3880</v>
      </c>
      <c r="FZ62" s="35" t="s">
        <v>1020</v>
      </c>
      <c r="GA62" s="35" t="s">
        <v>3881</v>
      </c>
      <c r="GC62" s="35" t="s">
        <v>455</v>
      </c>
      <c r="GD62" s="35" t="s">
        <v>10775</v>
      </c>
      <c r="GF62" s="35" t="s">
        <v>753</v>
      </c>
      <c r="GG62" s="35" t="s">
        <v>3882</v>
      </c>
      <c r="GK62" s="35" t="s">
        <v>1000</v>
      </c>
      <c r="GL62" s="35" t="s">
        <v>1000</v>
      </c>
      <c r="GM62" s="35" t="s">
        <v>817</v>
      </c>
      <c r="GQ62" s="35" t="s">
        <v>387</v>
      </c>
      <c r="GR62" s="35" t="s">
        <v>3273</v>
      </c>
    </row>
    <row r="63">
      <c r="A63" s="40"/>
      <c r="B63" s="40">
        <v>45832.22020383102</v>
      </c>
      <c r="C63" s="35" t="s">
        <v>368</v>
      </c>
      <c r="D63" s="35" t="s">
        <v>370</v>
      </c>
      <c r="F63" s="35" t="s">
        <v>757</v>
      </c>
      <c r="H63" s="35" t="s">
        <v>422</v>
      </c>
      <c r="I63" s="35" t="s">
        <v>373</v>
      </c>
      <c r="J63" s="35" t="s">
        <v>638</v>
      </c>
      <c r="K63" s="35" t="s">
        <v>425</v>
      </c>
      <c r="L63" s="35" t="s">
        <v>376</v>
      </c>
      <c r="M63" s="35" t="s">
        <v>1526</v>
      </c>
      <c r="N63" s="35" t="s">
        <v>720</v>
      </c>
      <c r="O63" s="35" t="s">
        <v>1526</v>
      </c>
      <c r="P63" s="35" t="s">
        <v>380</v>
      </c>
      <c r="Q63" s="35" t="s">
        <v>498</v>
      </c>
      <c r="R63" s="35" t="s">
        <v>818</v>
      </c>
      <c r="S63" s="35" t="s">
        <v>427</v>
      </c>
      <c r="T63" s="35" t="s">
        <v>384</v>
      </c>
      <c r="U63" s="35" t="s">
        <v>385</v>
      </c>
      <c r="X63" s="35" t="s">
        <v>386</v>
      </c>
      <c r="Y63" s="35" t="s">
        <v>387</v>
      </c>
      <c r="Z63" s="35" t="s">
        <v>761</v>
      </c>
      <c r="AA63" s="35" t="s">
        <v>543</v>
      </c>
      <c r="AW63" s="35" t="s">
        <v>1310</v>
      </c>
      <c r="AX63" s="35" t="s">
        <v>675</v>
      </c>
      <c r="AY63" s="35" t="s">
        <v>675</v>
      </c>
      <c r="AZ63" s="35" t="s">
        <v>675</v>
      </c>
      <c r="BA63" s="35" t="s">
        <v>675</v>
      </c>
      <c r="BB63" s="35" t="s">
        <v>675</v>
      </c>
      <c r="BC63" s="35" t="s">
        <v>675</v>
      </c>
      <c r="BD63" s="35" t="s">
        <v>3938</v>
      </c>
      <c r="BE63" s="35" t="s">
        <v>3939</v>
      </c>
      <c r="BF63" s="35" t="s">
        <v>2379</v>
      </c>
      <c r="BG63" s="35" t="s">
        <v>1047</v>
      </c>
      <c r="BH63" s="35" t="s">
        <v>394</v>
      </c>
      <c r="BI63" s="35" t="s">
        <v>3940</v>
      </c>
      <c r="BJ63" s="35" t="s">
        <v>976</v>
      </c>
      <c r="BL63" s="35" t="s">
        <v>395</v>
      </c>
      <c r="BM63" s="35" t="s">
        <v>603</v>
      </c>
      <c r="BN63" s="35" t="s">
        <v>1314</v>
      </c>
      <c r="BO63" s="35" t="s">
        <v>398</v>
      </c>
      <c r="BP63" s="35" t="s">
        <v>10776</v>
      </c>
      <c r="BQ63" s="35" t="s">
        <v>10777</v>
      </c>
      <c r="BR63" s="35" t="s">
        <v>604</v>
      </c>
      <c r="BS63" s="35" t="s">
        <v>3943</v>
      </c>
      <c r="BT63" s="35" t="s">
        <v>1671</v>
      </c>
      <c r="BV63" s="35" t="s">
        <v>405</v>
      </c>
      <c r="BX63" s="35" t="s">
        <v>988</v>
      </c>
      <c r="BZ63" s="35" t="s">
        <v>408</v>
      </c>
      <c r="CB63" s="35" t="s">
        <v>3944</v>
      </c>
      <c r="CC63" s="35" t="s">
        <v>3945</v>
      </c>
      <c r="CD63" s="35" t="s">
        <v>10778</v>
      </c>
      <c r="CE63" s="35" t="s">
        <v>1257</v>
      </c>
      <c r="CG63" s="35" t="s">
        <v>1258</v>
      </c>
      <c r="CI63" s="35" t="s">
        <v>1259</v>
      </c>
      <c r="CJ63" s="35" t="s">
        <v>410</v>
      </c>
      <c r="CK63" s="35" t="s">
        <v>10779</v>
      </c>
      <c r="CL63" s="35" t="s">
        <v>10780</v>
      </c>
      <c r="EU63" s="35" t="s">
        <v>526</v>
      </c>
      <c r="EV63" s="35" t="s">
        <v>479</v>
      </c>
      <c r="EW63" s="35" t="s">
        <v>778</v>
      </c>
      <c r="EX63" s="35" t="s">
        <v>3949</v>
      </c>
      <c r="EY63" s="35" t="s">
        <v>3950</v>
      </c>
      <c r="EZ63" s="35" t="s">
        <v>3951</v>
      </c>
      <c r="FA63" s="35" t="s">
        <v>413</v>
      </c>
      <c r="FB63" s="35" t="s">
        <v>413</v>
      </c>
      <c r="FC63" s="35" t="s">
        <v>413</v>
      </c>
      <c r="FD63" s="35" t="s">
        <v>415</v>
      </c>
      <c r="FE63" s="35" t="s">
        <v>413</v>
      </c>
      <c r="FF63" s="35" t="s">
        <v>415</v>
      </c>
      <c r="FG63" s="35" t="s">
        <v>413</v>
      </c>
      <c r="FH63" s="35" t="s">
        <v>413</v>
      </c>
      <c r="FI63" s="35" t="s">
        <v>415</v>
      </c>
      <c r="FJ63" s="35" t="s">
        <v>583</v>
      </c>
      <c r="FK63" s="35" t="s">
        <v>414</v>
      </c>
      <c r="FL63" s="35" t="s">
        <v>413</v>
      </c>
      <c r="FM63" s="35" t="s">
        <v>415</v>
      </c>
      <c r="FN63" s="35" t="s">
        <v>415</v>
      </c>
      <c r="FO63" s="35" t="s">
        <v>415</v>
      </c>
      <c r="FP63" s="35" t="s">
        <v>417</v>
      </c>
      <c r="FQ63" s="35" t="s">
        <v>418</v>
      </c>
      <c r="FR63" s="35" t="s">
        <v>749</v>
      </c>
      <c r="FS63" s="35" t="s">
        <v>3952</v>
      </c>
      <c r="FT63" s="35" t="s">
        <v>420</v>
      </c>
      <c r="FU63" s="35" t="s">
        <v>488</v>
      </c>
      <c r="FV63" s="35" t="s">
        <v>489</v>
      </c>
      <c r="FW63" s="35" t="s">
        <v>490</v>
      </c>
      <c r="FX63" s="35" t="s">
        <v>491</v>
      </c>
      <c r="FY63" s="35" t="s">
        <v>10781</v>
      </c>
      <c r="FZ63" s="35" t="s">
        <v>535</v>
      </c>
      <c r="GA63" s="35" t="s">
        <v>10782</v>
      </c>
      <c r="GC63" s="35" t="s">
        <v>455</v>
      </c>
      <c r="GD63" s="35" t="s">
        <v>10783</v>
      </c>
      <c r="GF63" s="35" t="s">
        <v>855</v>
      </c>
      <c r="GK63" s="35" t="s">
        <v>788</v>
      </c>
      <c r="GL63" s="35" t="s">
        <v>788</v>
      </c>
      <c r="GM63" s="35" t="s">
        <v>946</v>
      </c>
      <c r="GR63" s="35" t="s">
        <v>3273</v>
      </c>
    </row>
    <row r="64">
      <c r="A64" s="40"/>
      <c r="B64" s="40">
        <v>45832.38233418981</v>
      </c>
      <c r="C64" s="35" t="s">
        <v>368</v>
      </c>
      <c r="D64" s="35" t="s">
        <v>370</v>
      </c>
      <c r="F64" s="35" t="s">
        <v>3955</v>
      </c>
      <c r="H64" s="35" t="s">
        <v>422</v>
      </c>
      <c r="I64" s="35" t="s">
        <v>496</v>
      </c>
      <c r="J64" s="35" t="s">
        <v>374</v>
      </c>
      <c r="K64" s="35" t="s">
        <v>718</v>
      </c>
      <c r="L64" s="35" t="s">
        <v>376</v>
      </c>
      <c r="M64" s="35" t="s">
        <v>793</v>
      </c>
      <c r="N64" s="35" t="s">
        <v>1270</v>
      </c>
      <c r="O64" s="35" t="s">
        <v>670</v>
      </c>
      <c r="P64" s="35" t="s">
        <v>3956</v>
      </c>
      <c r="Q64" s="35" t="s">
        <v>498</v>
      </c>
      <c r="R64" s="35" t="s">
        <v>862</v>
      </c>
      <c r="S64" s="35" t="s">
        <v>1901</v>
      </c>
      <c r="T64" s="35" t="s">
        <v>3957</v>
      </c>
      <c r="U64" s="35" t="s">
        <v>385</v>
      </c>
      <c r="X64" s="35" t="s">
        <v>3014</v>
      </c>
      <c r="AW64" s="35" t="s">
        <v>1242</v>
      </c>
      <c r="AX64" s="35" t="s">
        <v>675</v>
      </c>
      <c r="AY64" s="35" t="s">
        <v>675</v>
      </c>
      <c r="AZ64" s="41">
        <v>4.0</v>
      </c>
      <c r="BA64" s="41">
        <v>4.0</v>
      </c>
      <c r="BB64" s="35" t="s">
        <v>675</v>
      </c>
      <c r="BC64" s="35" t="s">
        <v>675</v>
      </c>
      <c r="BD64" s="35" t="s">
        <v>10784</v>
      </c>
      <c r="BE64" s="35" t="s">
        <v>10785</v>
      </c>
      <c r="BF64" s="35" t="s">
        <v>432</v>
      </c>
      <c r="BG64" s="35" t="s">
        <v>1047</v>
      </c>
      <c r="BH64" s="35" t="s">
        <v>765</v>
      </c>
      <c r="BJ64" s="35" t="s">
        <v>727</v>
      </c>
      <c r="BL64" s="35" t="s">
        <v>681</v>
      </c>
      <c r="BM64" s="35" t="s">
        <v>904</v>
      </c>
      <c r="BN64" s="35" t="s">
        <v>1247</v>
      </c>
      <c r="BO64" s="35" t="s">
        <v>398</v>
      </c>
      <c r="BP64" s="35" t="s">
        <v>10786</v>
      </c>
      <c r="BQ64" s="35" t="s">
        <v>10787</v>
      </c>
      <c r="BR64" s="35" t="s">
        <v>442</v>
      </c>
      <c r="BS64" s="35" t="s">
        <v>10788</v>
      </c>
      <c r="BT64" s="35" t="s">
        <v>1741</v>
      </c>
      <c r="BU64" s="35" t="s">
        <v>404</v>
      </c>
      <c r="BV64" s="35" t="s">
        <v>1772</v>
      </c>
      <c r="BW64" s="35" t="s">
        <v>10789</v>
      </c>
      <c r="BX64" s="35" t="s">
        <v>988</v>
      </c>
      <c r="BZ64" s="35" t="s">
        <v>408</v>
      </c>
      <c r="CA64" s="35" t="s">
        <v>10790</v>
      </c>
      <c r="CC64" s="35" t="s">
        <v>3965</v>
      </c>
      <c r="CD64" s="35" t="s">
        <v>3966</v>
      </c>
      <c r="CE64" s="35" t="s">
        <v>409</v>
      </c>
      <c r="CF64" s="35" t="s">
        <v>10791</v>
      </c>
      <c r="CG64" s="35" t="s">
        <v>1722</v>
      </c>
      <c r="CH64" s="35" t="s">
        <v>10792</v>
      </c>
      <c r="CI64" s="35" t="s">
        <v>1698</v>
      </c>
      <c r="CJ64" s="35" t="s">
        <v>410</v>
      </c>
      <c r="CK64" s="35" t="s">
        <v>2506</v>
      </c>
      <c r="CL64" s="35" t="s">
        <v>10793</v>
      </c>
      <c r="EU64" s="35" t="s">
        <v>578</v>
      </c>
      <c r="EV64" s="35" t="s">
        <v>479</v>
      </c>
      <c r="EW64" s="35" t="s">
        <v>1262</v>
      </c>
      <c r="EY64" s="35" t="s">
        <v>10794</v>
      </c>
      <c r="EZ64" s="35" t="s">
        <v>10795</v>
      </c>
      <c r="FP64" s="35" t="s">
        <v>417</v>
      </c>
      <c r="FQ64" s="35" t="s">
        <v>486</v>
      </c>
      <c r="FR64" s="35" t="s">
        <v>712</v>
      </c>
      <c r="FT64" s="35" t="s">
        <v>420</v>
      </c>
      <c r="FU64" s="35" t="s">
        <v>488</v>
      </c>
      <c r="FV64" s="35" t="s">
        <v>489</v>
      </c>
      <c r="FW64" s="35" t="s">
        <v>490</v>
      </c>
      <c r="FX64" s="35" t="s">
        <v>491</v>
      </c>
      <c r="FY64" s="35" t="s">
        <v>10796</v>
      </c>
      <c r="FZ64" s="35" t="s">
        <v>493</v>
      </c>
      <c r="GC64" s="35" t="s">
        <v>408</v>
      </c>
      <c r="GK64" s="35" t="s">
        <v>1000</v>
      </c>
      <c r="GL64" s="35" t="s">
        <v>1000</v>
      </c>
      <c r="GM64" s="35" t="s">
        <v>756</v>
      </c>
      <c r="GR64" s="35" t="s">
        <v>3208</v>
      </c>
    </row>
    <row r="65">
      <c r="A65" s="40"/>
      <c r="B65" s="40">
        <v>45832.38844354167</v>
      </c>
      <c r="C65" s="35" t="s">
        <v>368</v>
      </c>
      <c r="D65" s="35" t="s">
        <v>3973</v>
      </c>
      <c r="E65" s="35" t="s">
        <v>3081</v>
      </c>
      <c r="H65" s="35" t="s">
        <v>1093</v>
      </c>
      <c r="I65" s="35" t="s">
        <v>637</v>
      </c>
      <c r="J65" s="35" t="s">
        <v>638</v>
      </c>
      <c r="K65" s="35" t="s">
        <v>590</v>
      </c>
      <c r="L65" s="35" t="s">
        <v>376</v>
      </c>
      <c r="M65" s="35" t="s">
        <v>591</v>
      </c>
      <c r="N65" s="35" t="s">
        <v>3974</v>
      </c>
      <c r="O65" s="35" t="s">
        <v>396</v>
      </c>
      <c r="P65" s="35" t="s">
        <v>3975</v>
      </c>
      <c r="Q65" s="35" t="s">
        <v>498</v>
      </c>
      <c r="R65" s="35" t="s">
        <v>818</v>
      </c>
      <c r="S65" s="35" t="s">
        <v>3976</v>
      </c>
      <c r="T65" s="35" t="s">
        <v>384</v>
      </c>
      <c r="U65" s="35" t="s">
        <v>385</v>
      </c>
      <c r="X65" s="35" t="s">
        <v>3231</v>
      </c>
      <c r="AW65" s="35" t="s">
        <v>1310</v>
      </c>
      <c r="AX65" s="35" t="s">
        <v>675</v>
      </c>
      <c r="AY65" s="35" t="s">
        <v>675</v>
      </c>
      <c r="AZ65" s="35" t="s">
        <v>675</v>
      </c>
      <c r="BA65" s="35" t="s">
        <v>675</v>
      </c>
      <c r="BB65" s="35" t="s">
        <v>675</v>
      </c>
      <c r="BC65" s="41">
        <v>4.0</v>
      </c>
      <c r="BD65" s="35" t="s">
        <v>3977</v>
      </c>
      <c r="BE65" s="35" t="s">
        <v>10797</v>
      </c>
      <c r="BF65" s="35" t="s">
        <v>2259</v>
      </c>
      <c r="BG65" s="35" t="s">
        <v>1245</v>
      </c>
      <c r="BH65" s="35" t="s">
        <v>394</v>
      </c>
      <c r="BJ65" s="35" t="s">
        <v>824</v>
      </c>
      <c r="BK65" s="35" t="s">
        <v>1211</v>
      </c>
      <c r="BL65" s="35" t="s">
        <v>602</v>
      </c>
      <c r="BM65" s="35" t="s">
        <v>396</v>
      </c>
      <c r="BN65" s="35" t="s">
        <v>1247</v>
      </c>
      <c r="BO65" s="35" t="s">
        <v>398</v>
      </c>
      <c r="BP65" s="35" t="s">
        <v>3979</v>
      </c>
      <c r="BQ65" s="35" t="s">
        <v>3980</v>
      </c>
      <c r="BR65" s="35" t="s">
        <v>604</v>
      </c>
      <c r="BS65" s="35" t="s">
        <v>3981</v>
      </c>
      <c r="BT65" s="35" t="s">
        <v>1251</v>
      </c>
      <c r="BU65" s="35" t="s">
        <v>404</v>
      </c>
      <c r="BV65" s="35" t="s">
        <v>405</v>
      </c>
      <c r="BX65" s="35" t="s">
        <v>406</v>
      </c>
      <c r="BY65" s="35" t="s">
        <v>1867</v>
      </c>
      <c r="BZ65" s="35" t="s">
        <v>408</v>
      </c>
      <c r="CB65" s="35" t="s">
        <v>3982</v>
      </c>
      <c r="CC65" s="35" t="s">
        <v>3983</v>
      </c>
      <c r="CD65" s="35" t="s">
        <v>3984</v>
      </c>
      <c r="CE65" s="35" t="s">
        <v>409</v>
      </c>
      <c r="CF65" s="35" t="s">
        <v>3985</v>
      </c>
      <c r="CG65" s="35" t="s">
        <v>1258</v>
      </c>
      <c r="CI65" s="35" t="s">
        <v>1259</v>
      </c>
      <c r="CJ65" s="35" t="s">
        <v>1220</v>
      </c>
      <c r="CK65" s="35" t="s">
        <v>3986</v>
      </c>
      <c r="CL65" s="35" t="s">
        <v>3987</v>
      </c>
      <c r="EU65" s="35" t="s">
        <v>526</v>
      </c>
      <c r="EV65" s="35" t="s">
        <v>887</v>
      </c>
      <c r="EW65" s="35" t="s">
        <v>663</v>
      </c>
      <c r="EX65" s="35" t="s">
        <v>3988</v>
      </c>
      <c r="EY65" s="35" t="s">
        <v>3989</v>
      </c>
      <c r="EZ65" s="35" t="s">
        <v>3990</v>
      </c>
      <c r="FA65" s="35" t="s">
        <v>583</v>
      </c>
      <c r="FB65" s="35" t="s">
        <v>583</v>
      </c>
      <c r="FC65" s="35" t="s">
        <v>583</v>
      </c>
      <c r="FD65" s="35" t="s">
        <v>583</v>
      </c>
      <c r="FE65" s="35" t="s">
        <v>583</v>
      </c>
      <c r="FF65" s="35" t="s">
        <v>583</v>
      </c>
      <c r="FG65" s="35" t="s">
        <v>583</v>
      </c>
      <c r="FH65" s="35" t="s">
        <v>583</v>
      </c>
      <c r="FI65" s="35" t="s">
        <v>583</v>
      </c>
      <c r="FJ65" s="35" t="s">
        <v>583</v>
      </c>
      <c r="FK65" s="35" t="s">
        <v>583</v>
      </c>
      <c r="FL65" s="35" t="s">
        <v>583</v>
      </c>
      <c r="FM65" s="35" t="s">
        <v>583</v>
      </c>
      <c r="FN65" s="35" t="s">
        <v>583</v>
      </c>
      <c r="FO65" s="35" t="s">
        <v>583</v>
      </c>
      <c r="FP65" s="35" t="s">
        <v>485</v>
      </c>
      <c r="FQ65" s="35" t="s">
        <v>486</v>
      </c>
      <c r="FR65" s="35" t="s">
        <v>630</v>
      </c>
      <c r="FS65" s="35" t="s">
        <v>3991</v>
      </c>
      <c r="FT65" s="35" t="s">
        <v>1189</v>
      </c>
      <c r="FU65" s="35" t="s">
        <v>1462</v>
      </c>
      <c r="FV65" s="35" t="s">
        <v>533</v>
      </c>
      <c r="FW65" s="35" t="s">
        <v>1101</v>
      </c>
      <c r="FX65" s="35" t="s">
        <v>491</v>
      </c>
      <c r="FY65" s="35" t="s">
        <v>3992</v>
      </c>
      <c r="FZ65" s="35" t="s">
        <v>535</v>
      </c>
      <c r="GC65" s="35" t="s">
        <v>455</v>
      </c>
      <c r="GD65" s="35" t="s">
        <v>10798</v>
      </c>
      <c r="GF65" s="35" t="s">
        <v>753</v>
      </c>
      <c r="GG65" s="35" t="s">
        <v>1479</v>
      </c>
      <c r="GK65" s="35" t="s">
        <v>1000</v>
      </c>
      <c r="GL65" s="35" t="s">
        <v>1000</v>
      </c>
      <c r="GM65" s="35" t="s">
        <v>817</v>
      </c>
      <c r="GO65" s="35" t="s">
        <v>3993</v>
      </c>
      <c r="GP65" s="35" t="s">
        <v>3973</v>
      </c>
      <c r="GQ65" s="35" t="s">
        <v>3994</v>
      </c>
      <c r="GR65" s="35" t="s">
        <v>3208</v>
      </c>
    </row>
    <row r="66">
      <c r="A66" s="40"/>
      <c r="B66" s="40">
        <v>45832.400918541665</v>
      </c>
      <c r="C66" s="35" t="s">
        <v>368</v>
      </c>
      <c r="D66" s="35" t="s">
        <v>370</v>
      </c>
      <c r="F66" s="35" t="s">
        <v>1480</v>
      </c>
      <c r="H66" s="35" t="s">
        <v>422</v>
      </c>
      <c r="I66" s="35" t="s">
        <v>1921</v>
      </c>
      <c r="J66" s="35" t="s">
        <v>668</v>
      </c>
      <c r="K66" s="35" t="s">
        <v>758</v>
      </c>
      <c r="L66" s="35" t="s">
        <v>376</v>
      </c>
      <c r="M66" s="35" t="s">
        <v>379</v>
      </c>
      <c r="N66" s="35" t="s">
        <v>378</v>
      </c>
      <c r="O66" s="35" t="s">
        <v>426</v>
      </c>
      <c r="P66" s="35" t="s">
        <v>380</v>
      </c>
      <c r="Q66" s="35" t="s">
        <v>498</v>
      </c>
      <c r="R66" s="35" t="s">
        <v>499</v>
      </c>
      <c r="S66" s="35" t="s">
        <v>500</v>
      </c>
      <c r="T66" s="35" t="s">
        <v>384</v>
      </c>
      <c r="U66" s="35" t="s">
        <v>385</v>
      </c>
      <c r="X66" s="35" t="s">
        <v>3231</v>
      </c>
      <c r="AW66" s="35" t="s">
        <v>1242</v>
      </c>
      <c r="AX66" s="35" t="s">
        <v>675</v>
      </c>
      <c r="AY66" s="41">
        <v>4.0</v>
      </c>
      <c r="AZ66" s="41">
        <v>4.0</v>
      </c>
      <c r="BA66" s="35" t="s">
        <v>675</v>
      </c>
      <c r="BB66" s="41">
        <v>4.0</v>
      </c>
      <c r="BC66" s="41">
        <v>4.0</v>
      </c>
      <c r="BF66" s="35" t="s">
        <v>432</v>
      </c>
      <c r="BG66" s="35" t="s">
        <v>1245</v>
      </c>
      <c r="BH66" s="35" t="s">
        <v>725</v>
      </c>
      <c r="BJ66" s="35" t="s">
        <v>727</v>
      </c>
      <c r="BL66" s="35" t="s">
        <v>681</v>
      </c>
      <c r="BM66" s="35" t="s">
        <v>603</v>
      </c>
      <c r="BN66" s="35" t="s">
        <v>1314</v>
      </c>
      <c r="BO66" s="35" t="s">
        <v>398</v>
      </c>
      <c r="BR66" s="35" t="s">
        <v>604</v>
      </c>
      <c r="BV66" s="35" t="s">
        <v>1693</v>
      </c>
      <c r="BX66" s="35" t="s">
        <v>406</v>
      </c>
      <c r="BY66" s="35" t="s">
        <v>407</v>
      </c>
      <c r="BZ66" s="35" t="s">
        <v>408</v>
      </c>
      <c r="CE66" s="35" t="s">
        <v>409</v>
      </c>
      <c r="CG66" s="35" t="s">
        <v>1722</v>
      </c>
      <c r="CI66" s="35" t="s">
        <v>1751</v>
      </c>
      <c r="CJ66" s="35" t="s">
        <v>1220</v>
      </c>
      <c r="CK66" s="35" t="s">
        <v>3995</v>
      </c>
      <c r="EU66" s="35" t="s">
        <v>526</v>
      </c>
      <c r="EV66" s="35" t="s">
        <v>479</v>
      </c>
      <c r="EW66" s="35" t="s">
        <v>1262</v>
      </c>
      <c r="FA66" s="35" t="s">
        <v>414</v>
      </c>
      <c r="FB66" s="35" t="s">
        <v>414</v>
      </c>
      <c r="FC66" s="35" t="s">
        <v>413</v>
      </c>
      <c r="FD66" s="35" t="s">
        <v>414</v>
      </c>
      <c r="FE66" s="35" t="s">
        <v>413</v>
      </c>
      <c r="FF66" s="35" t="s">
        <v>414</v>
      </c>
      <c r="FG66" s="35" t="s">
        <v>413</v>
      </c>
      <c r="FH66" s="35" t="s">
        <v>414</v>
      </c>
      <c r="FI66" s="35" t="s">
        <v>413</v>
      </c>
      <c r="FJ66" s="35" t="s">
        <v>414</v>
      </c>
      <c r="FK66" s="35" t="s">
        <v>414</v>
      </c>
      <c r="FL66" s="35" t="s">
        <v>415</v>
      </c>
      <c r="FM66" s="35" t="s">
        <v>415</v>
      </c>
      <c r="FN66" s="35" t="s">
        <v>415</v>
      </c>
      <c r="FO66" s="35" t="s">
        <v>415</v>
      </c>
      <c r="FP66" s="35" t="s">
        <v>850</v>
      </c>
      <c r="FQ66" s="35" t="s">
        <v>418</v>
      </c>
      <c r="FR66" s="35" t="s">
        <v>749</v>
      </c>
      <c r="FT66" s="35" t="s">
        <v>420</v>
      </c>
      <c r="FU66" s="35" t="s">
        <v>488</v>
      </c>
      <c r="FV66" s="35" t="s">
        <v>918</v>
      </c>
      <c r="FW66" s="35" t="s">
        <v>490</v>
      </c>
      <c r="FX66" s="35" t="s">
        <v>491</v>
      </c>
      <c r="FZ66" s="35" t="s">
        <v>1337</v>
      </c>
      <c r="GC66" s="35" t="s">
        <v>408</v>
      </c>
      <c r="GK66" s="35" t="s">
        <v>755</v>
      </c>
      <c r="GL66" s="35" t="s">
        <v>755</v>
      </c>
      <c r="GM66" s="35" t="s">
        <v>946</v>
      </c>
      <c r="GR66" s="35" t="s">
        <v>3351</v>
      </c>
    </row>
    <row r="67">
      <c r="A67" s="40"/>
      <c r="B67" s="40">
        <v>45833.016503148145</v>
      </c>
      <c r="C67" s="35" t="s">
        <v>368</v>
      </c>
      <c r="D67" s="35" t="s">
        <v>894</v>
      </c>
      <c r="E67" s="35" t="s">
        <v>894</v>
      </c>
      <c r="H67" s="35" t="s">
        <v>422</v>
      </c>
      <c r="I67" s="35" t="s">
        <v>637</v>
      </c>
      <c r="J67" s="35" t="s">
        <v>638</v>
      </c>
      <c r="K67" s="35" t="s">
        <v>590</v>
      </c>
      <c r="L67" s="35" t="s">
        <v>376</v>
      </c>
      <c r="M67" s="35" t="s">
        <v>591</v>
      </c>
      <c r="N67" s="35" t="s">
        <v>378</v>
      </c>
      <c r="O67" s="35" t="s">
        <v>591</v>
      </c>
      <c r="P67" s="35" t="s">
        <v>719</v>
      </c>
      <c r="Q67" s="35" t="s">
        <v>498</v>
      </c>
      <c r="R67" s="35" t="s">
        <v>862</v>
      </c>
      <c r="S67" s="35" t="s">
        <v>949</v>
      </c>
      <c r="T67" s="35" t="s">
        <v>384</v>
      </c>
      <c r="U67" s="35" t="s">
        <v>385</v>
      </c>
      <c r="V67" s="35" t="s">
        <v>896</v>
      </c>
      <c r="W67" s="35" t="s">
        <v>896</v>
      </c>
      <c r="X67" s="35" t="s">
        <v>593</v>
      </c>
      <c r="Y67" s="35" t="s">
        <v>387</v>
      </c>
      <c r="Z67" s="35" t="s">
        <v>388</v>
      </c>
      <c r="AA67" s="35" t="s">
        <v>543</v>
      </c>
      <c r="AC67" s="35" t="s">
        <v>4029</v>
      </c>
      <c r="AW67" s="35" t="s">
        <v>1242</v>
      </c>
      <c r="AX67" s="35" t="s">
        <v>675</v>
      </c>
      <c r="AY67" s="35" t="s">
        <v>391</v>
      </c>
      <c r="AZ67" s="41">
        <v>2.0</v>
      </c>
      <c r="BA67" s="41">
        <v>4.0</v>
      </c>
      <c r="BB67" s="41">
        <v>4.0</v>
      </c>
      <c r="BC67" s="35" t="s">
        <v>675</v>
      </c>
      <c r="BD67" s="35" t="s">
        <v>4030</v>
      </c>
      <c r="BE67" s="35" t="s">
        <v>4031</v>
      </c>
      <c r="BF67" s="35" t="s">
        <v>432</v>
      </c>
      <c r="BG67" s="35" t="s">
        <v>1095</v>
      </c>
      <c r="BH67" s="35" t="s">
        <v>394</v>
      </c>
      <c r="BI67" s="35" t="s">
        <v>10799</v>
      </c>
      <c r="BJ67" s="35" t="s">
        <v>435</v>
      </c>
      <c r="BK67" s="35" t="s">
        <v>4033</v>
      </c>
      <c r="BL67" s="35" t="s">
        <v>681</v>
      </c>
      <c r="BM67" s="35" t="s">
        <v>603</v>
      </c>
      <c r="BN67" s="35" t="s">
        <v>1314</v>
      </c>
      <c r="BO67" s="35" t="s">
        <v>398</v>
      </c>
      <c r="BP67" s="35" t="s">
        <v>4034</v>
      </c>
      <c r="BQ67" s="35" t="s">
        <v>4035</v>
      </c>
      <c r="BR67" s="35" t="s">
        <v>604</v>
      </c>
      <c r="BS67" s="35" t="s">
        <v>4036</v>
      </c>
      <c r="BT67" s="35" t="s">
        <v>1671</v>
      </c>
      <c r="BU67" s="35" t="s">
        <v>404</v>
      </c>
      <c r="BV67" s="35" t="s">
        <v>1772</v>
      </c>
      <c r="BW67" s="35" t="s">
        <v>4037</v>
      </c>
      <c r="BX67" s="35" t="s">
        <v>988</v>
      </c>
      <c r="BZ67" s="35" t="s">
        <v>408</v>
      </c>
      <c r="CB67" s="35" t="s">
        <v>10800</v>
      </c>
      <c r="CC67" s="35" t="s">
        <v>4039</v>
      </c>
      <c r="CD67" s="35" t="s">
        <v>4040</v>
      </c>
      <c r="CE67" s="35" t="s">
        <v>1257</v>
      </c>
      <c r="CG67" s="35" t="s">
        <v>1258</v>
      </c>
      <c r="CI67" s="35" t="s">
        <v>1259</v>
      </c>
      <c r="CJ67" s="35" t="s">
        <v>410</v>
      </c>
      <c r="CK67" s="35" t="s">
        <v>4041</v>
      </c>
      <c r="CL67" s="35" t="s">
        <v>4042</v>
      </c>
      <c r="EU67" s="35" t="s">
        <v>526</v>
      </c>
      <c r="EV67" s="35" t="s">
        <v>1127</v>
      </c>
      <c r="EW67" s="35" t="s">
        <v>1262</v>
      </c>
      <c r="EY67" s="35" t="s">
        <v>4043</v>
      </c>
      <c r="EZ67" s="35" t="s">
        <v>4044</v>
      </c>
      <c r="FA67" s="35" t="s">
        <v>415</v>
      </c>
      <c r="FB67" s="35" t="s">
        <v>414</v>
      </c>
      <c r="FC67" s="35" t="s">
        <v>415</v>
      </c>
      <c r="FD67" s="35" t="s">
        <v>415</v>
      </c>
      <c r="FE67" s="35" t="s">
        <v>416</v>
      </c>
      <c r="FF67" s="35" t="s">
        <v>414</v>
      </c>
      <c r="FG67" s="35" t="s">
        <v>415</v>
      </c>
      <c r="FH67" s="35" t="s">
        <v>413</v>
      </c>
      <c r="FI67" s="35" t="s">
        <v>583</v>
      </c>
      <c r="FJ67" s="35" t="s">
        <v>415</v>
      </c>
      <c r="FK67" s="35" t="s">
        <v>415</v>
      </c>
      <c r="FL67" s="35" t="s">
        <v>484</v>
      </c>
      <c r="FM67" s="35" t="s">
        <v>415</v>
      </c>
      <c r="FN67" s="35" t="s">
        <v>416</v>
      </c>
      <c r="FO67" s="35" t="s">
        <v>414</v>
      </c>
      <c r="FP67" s="35" t="s">
        <v>850</v>
      </c>
      <c r="FQ67" s="35" t="s">
        <v>418</v>
      </c>
      <c r="FR67" s="35" t="s">
        <v>749</v>
      </c>
      <c r="FS67" s="35" t="s">
        <v>4045</v>
      </c>
      <c r="FT67" s="35" t="s">
        <v>420</v>
      </c>
      <c r="FU67" s="35" t="s">
        <v>1462</v>
      </c>
      <c r="FV67" s="35" t="s">
        <v>489</v>
      </c>
      <c r="FW67" s="35" t="s">
        <v>490</v>
      </c>
      <c r="FX67" s="35" t="s">
        <v>491</v>
      </c>
      <c r="FY67" s="35" t="s">
        <v>4046</v>
      </c>
      <c r="FZ67" s="35" t="s">
        <v>535</v>
      </c>
      <c r="GA67" s="35" t="s">
        <v>4047</v>
      </c>
      <c r="GB67" s="35" t="s">
        <v>4048</v>
      </c>
      <c r="GC67" s="35" t="s">
        <v>408</v>
      </c>
      <c r="GK67" s="35" t="s">
        <v>755</v>
      </c>
      <c r="GL67" s="35" t="s">
        <v>1000</v>
      </c>
      <c r="GM67" s="35" t="s">
        <v>817</v>
      </c>
      <c r="GR67" s="35" t="s">
        <v>3273</v>
      </c>
    </row>
    <row r="68">
      <c r="A68" s="40"/>
      <c r="B68" s="40">
        <v>45833.27167458333</v>
      </c>
      <c r="C68" s="35" t="s">
        <v>368</v>
      </c>
      <c r="D68" s="35" t="s">
        <v>1201</v>
      </c>
      <c r="E68" s="35" t="s">
        <v>1201</v>
      </c>
      <c r="H68" s="35" t="s">
        <v>422</v>
      </c>
      <c r="I68" s="35" t="s">
        <v>637</v>
      </c>
      <c r="J68" s="35" t="s">
        <v>638</v>
      </c>
      <c r="K68" s="35" t="s">
        <v>590</v>
      </c>
      <c r="L68" s="35" t="s">
        <v>376</v>
      </c>
      <c r="M68" s="35" t="s">
        <v>379</v>
      </c>
      <c r="N68" s="35" t="s">
        <v>639</v>
      </c>
      <c r="O68" s="35" t="s">
        <v>591</v>
      </c>
      <c r="P68" s="35" t="s">
        <v>2579</v>
      </c>
      <c r="Q68" s="35" t="s">
        <v>498</v>
      </c>
      <c r="R68" s="35" t="s">
        <v>862</v>
      </c>
      <c r="S68" s="35" t="s">
        <v>949</v>
      </c>
      <c r="T68" s="35" t="s">
        <v>384</v>
      </c>
      <c r="U68" s="35" t="s">
        <v>385</v>
      </c>
      <c r="X68" s="35" t="s">
        <v>3014</v>
      </c>
      <c r="AW68" s="35" t="s">
        <v>390</v>
      </c>
      <c r="AX68" s="41">
        <v>4.0</v>
      </c>
      <c r="AY68" s="35" t="s">
        <v>391</v>
      </c>
      <c r="AZ68" s="35" t="s">
        <v>391</v>
      </c>
      <c r="BA68" s="35" t="s">
        <v>391</v>
      </c>
      <c r="BB68" s="35" t="s">
        <v>391</v>
      </c>
      <c r="BC68" s="41">
        <v>2.0</v>
      </c>
      <c r="BD68" s="35" t="s">
        <v>4066</v>
      </c>
      <c r="BE68" s="35" t="s">
        <v>4067</v>
      </c>
      <c r="BF68" s="35" t="s">
        <v>392</v>
      </c>
      <c r="BG68" s="35" t="s">
        <v>433</v>
      </c>
      <c r="BH68" s="35" t="s">
        <v>394</v>
      </c>
      <c r="BJ68" s="35" t="s">
        <v>727</v>
      </c>
      <c r="BL68" s="35" t="s">
        <v>437</v>
      </c>
      <c r="BM68" s="35" t="s">
        <v>438</v>
      </c>
      <c r="BN68" s="35" t="s">
        <v>439</v>
      </c>
      <c r="BO68" s="35" t="s">
        <v>398</v>
      </c>
      <c r="BP68" s="35" t="s">
        <v>4068</v>
      </c>
      <c r="BQ68" s="35" t="s">
        <v>4069</v>
      </c>
      <c r="BR68" s="35" t="s">
        <v>604</v>
      </c>
      <c r="BS68" s="35" t="s">
        <v>4070</v>
      </c>
      <c r="BT68" s="35" t="s">
        <v>4071</v>
      </c>
      <c r="BU68" s="35" t="s">
        <v>4072</v>
      </c>
      <c r="BV68" s="35" t="s">
        <v>1831</v>
      </c>
      <c r="BW68" s="35" t="s">
        <v>4073</v>
      </c>
      <c r="BX68" s="35" t="s">
        <v>457</v>
      </c>
      <c r="BZ68" s="35" t="s">
        <v>408</v>
      </c>
      <c r="CC68" s="35" t="s">
        <v>4074</v>
      </c>
      <c r="CD68" s="35" t="s">
        <v>4075</v>
      </c>
      <c r="CE68" s="35" t="s">
        <v>451</v>
      </c>
      <c r="CF68" s="35" t="s">
        <v>4076</v>
      </c>
      <c r="CG68" s="35" t="s">
        <v>1258</v>
      </c>
      <c r="CI68" s="35" t="s">
        <v>2852</v>
      </c>
      <c r="CJ68" s="35" t="s">
        <v>410</v>
      </c>
      <c r="CK68" s="35" t="s">
        <v>4077</v>
      </c>
      <c r="CL68" s="35" t="s">
        <v>4078</v>
      </c>
      <c r="EU68" s="35" t="s">
        <v>578</v>
      </c>
      <c r="EV68" s="35" t="s">
        <v>579</v>
      </c>
      <c r="EW68" s="35" t="s">
        <v>1534</v>
      </c>
      <c r="EY68" s="35" t="s">
        <v>4079</v>
      </c>
      <c r="EZ68" s="35" t="s">
        <v>4080</v>
      </c>
      <c r="FA68" s="35" t="s">
        <v>415</v>
      </c>
      <c r="FB68" s="35" t="s">
        <v>414</v>
      </c>
      <c r="FC68" s="35" t="s">
        <v>416</v>
      </c>
      <c r="FD68" s="35" t="s">
        <v>414</v>
      </c>
      <c r="FE68" s="35" t="s">
        <v>416</v>
      </c>
      <c r="FF68" s="35" t="s">
        <v>414</v>
      </c>
      <c r="FG68" s="35" t="s">
        <v>415</v>
      </c>
      <c r="FH68" s="35" t="s">
        <v>415</v>
      </c>
      <c r="FI68" s="35" t="s">
        <v>415</v>
      </c>
      <c r="FJ68" s="35" t="s">
        <v>416</v>
      </c>
      <c r="FK68" s="35" t="s">
        <v>415</v>
      </c>
      <c r="FL68" s="35" t="s">
        <v>415</v>
      </c>
      <c r="FM68" s="35" t="s">
        <v>415</v>
      </c>
      <c r="FN68" s="35" t="s">
        <v>415</v>
      </c>
      <c r="FO68" s="35" t="s">
        <v>415</v>
      </c>
      <c r="FP68" s="35" t="s">
        <v>850</v>
      </c>
      <c r="FQ68" s="35" t="s">
        <v>486</v>
      </c>
      <c r="FR68" s="35" t="s">
        <v>749</v>
      </c>
      <c r="FS68" s="35" t="s">
        <v>4081</v>
      </c>
      <c r="FT68" s="35" t="s">
        <v>1076</v>
      </c>
      <c r="FU68" s="35" t="s">
        <v>1462</v>
      </c>
      <c r="FV68" s="35" t="s">
        <v>1235</v>
      </c>
      <c r="FW68" s="35" t="s">
        <v>1101</v>
      </c>
      <c r="FX68" s="35" t="s">
        <v>491</v>
      </c>
      <c r="FY68" s="35" t="s">
        <v>4082</v>
      </c>
      <c r="FZ68" s="35" t="s">
        <v>1854</v>
      </c>
      <c r="GA68" s="35" t="s">
        <v>4083</v>
      </c>
      <c r="GC68" s="35" t="s">
        <v>408</v>
      </c>
      <c r="GK68" s="35" t="s">
        <v>857</v>
      </c>
      <c r="GL68" s="35" t="s">
        <v>857</v>
      </c>
      <c r="GM68" s="35" t="s">
        <v>790</v>
      </c>
      <c r="GP68" s="35" t="s">
        <v>4084</v>
      </c>
      <c r="GR68" s="35" t="s">
        <v>3351</v>
      </c>
    </row>
    <row r="69">
      <c r="A69" s="40"/>
      <c r="B69" s="40">
        <v>45833.82247668982</v>
      </c>
      <c r="C69" s="35" t="s">
        <v>368</v>
      </c>
      <c r="D69" s="35" t="s">
        <v>370</v>
      </c>
      <c r="F69" s="35" t="s">
        <v>791</v>
      </c>
      <c r="H69" s="35" t="s">
        <v>422</v>
      </c>
      <c r="I69" s="35" t="s">
        <v>637</v>
      </c>
      <c r="J69" s="35" t="s">
        <v>638</v>
      </c>
      <c r="K69" s="35" t="s">
        <v>425</v>
      </c>
      <c r="L69" s="35" t="s">
        <v>376</v>
      </c>
      <c r="M69" s="35" t="s">
        <v>426</v>
      </c>
      <c r="N69" s="35" t="s">
        <v>4157</v>
      </c>
      <c r="O69" s="35" t="s">
        <v>591</v>
      </c>
      <c r="P69" s="35" t="s">
        <v>2464</v>
      </c>
      <c r="Q69" s="35" t="s">
        <v>498</v>
      </c>
      <c r="R69" s="35" t="s">
        <v>862</v>
      </c>
      <c r="S69" s="35" t="s">
        <v>949</v>
      </c>
      <c r="T69" s="35" t="s">
        <v>384</v>
      </c>
      <c r="U69" s="35" t="s">
        <v>385</v>
      </c>
      <c r="X69" s="35" t="s">
        <v>3231</v>
      </c>
      <c r="AW69" s="35" t="s">
        <v>1310</v>
      </c>
      <c r="AX69" s="35" t="s">
        <v>391</v>
      </c>
      <c r="AY69" s="35" t="s">
        <v>391</v>
      </c>
      <c r="AZ69" s="41">
        <v>4.0</v>
      </c>
      <c r="BA69" s="41">
        <v>4.0</v>
      </c>
      <c r="BB69" s="35" t="s">
        <v>675</v>
      </c>
      <c r="BC69" s="35" t="s">
        <v>675</v>
      </c>
      <c r="BD69" s="35" t="s">
        <v>4158</v>
      </c>
      <c r="BE69" s="35" t="s">
        <v>4159</v>
      </c>
      <c r="BF69" s="35" t="s">
        <v>432</v>
      </c>
      <c r="BG69" s="35" t="s">
        <v>393</v>
      </c>
      <c r="BH69" s="35" t="s">
        <v>394</v>
      </c>
      <c r="BI69" s="35" t="s">
        <v>4160</v>
      </c>
      <c r="BJ69" s="35" t="s">
        <v>824</v>
      </c>
      <c r="BL69" s="35" t="s">
        <v>681</v>
      </c>
      <c r="BM69" s="35" t="s">
        <v>396</v>
      </c>
      <c r="BN69" s="35" t="s">
        <v>1247</v>
      </c>
      <c r="BO69" s="35" t="s">
        <v>398</v>
      </c>
      <c r="BP69" s="35" t="s">
        <v>4161</v>
      </c>
      <c r="BQ69" s="35" t="s">
        <v>4162</v>
      </c>
      <c r="BR69" s="35" t="s">
        <v>604</v>
      </c>
      <c r="BS69" s="35" t="s">
        <v>2662</v>
      </c>
      <c r="BT69" s="35" t="s">
        <v>1671</v>
      </c>
      <c r="BU69" s="35" t="s">
        <v>1771</v>
      </c>
      <c r="BV69" s="35" t="s">
        <v>405</v>
      </c>
      <c r="BX69" s="35" t="s">
        <v>988</v>
      </c>
      <c r="BZ69" s="35" t="s">
        <v>408</v>
      </c>
      <c r="CC69" s="35" t="s">
        <v>4163</v>
      </c>
      <c r="CD69" s="35" t="s">
        <v>10801</v>
      </c>
      <c r="CE69" s="35" t="s">
        <v>409</v>
      </c>
      <c r="CF69" s="35" t="s">
        <v>10802</v>
      </c>
      <c r="CG69" s="35" t="s">
        <v>2233</v>
      </c>
      <c r="CI69" s="35" t="s">
        <v>1751</v>
      </c>
      <c r="CJ69" s="35" t="s">
        <v>410</v>
      </c>
      <c r="CK69" s="35" t="s">
        <v>10803</v>
      </c>
      <c r="CL69" s="35" t="s">
        <v>4167</v>
      </c>
      <c r="EU69" s="35" t="s">
        <v>478</v>
      </c>
      <c r="EV69" s="35" t="s">
        <v>887</v>
      </c>
      <c r="EW69" s="35" t="s">
        <v>480</v>
      </c>
      <c r="EY69" s="35" t="s">
        <v>10804</v>
      </c>
      <c r="EZ69" s="35" t="s">
        <v>10805</v>
      </c>
      <c r="FA69" s="35" t="s">
        <v>416</v>
      </c>
      <c r="FB69" s="35" t="s">
        <v>414</v>
      </c>
      <c r="FC69" s="35" t="s">
        <v>413</v>
      </c>
      <c r="FD69" s="35" t="s">
        <v>413</v>
      </c>
      <c r="FE69" s="35" t="s">
        <v>413</v>
      </c>
      <c r="FF69" s="35" t="s">
        <v>414</v>
      </c>
      <c r="FG69" s="35" t="s">
        <v>413</v>
      </c>
      <c r="FH69" s="35" t="s">
        <v>413</v>
      </c>
      <c r="FI69" s="35" t="s">
        <v>484</v>
      </c>
      <c r="FJ69" s="35" t="s">
        <v>414</v>
      </c>
      <c r="FK69" s="35" t="s">
        <v>414</v>
      </c>
      <c r="FL69" s="35" t="s">
        <v>416</v>
      </c>
      <c r="FM69" s="35" t="s">
        <v>416</v>
      </c>
      <c r="FN69" s="35" t="s">
        <v>413</v>
      </c>
      <c r="FO69" s="35" t="s">
        <v>583</v>
      </c>
      <c r="FP69" s="35" t="s">
        <v>485</v>
      </c>
      <c r="FQ69" s="35" t="s">
        <v>418</v>
      </c>
      <c r="FR69" s="35" t="s">
        <v>419</v>
      </c>
      <c r="FS69" s="35" t="s">
        <v>4169</v>
      </c>
      <c r="FT69" s="35" t="s">
        <v>1189</v>
      </c>
      <c r="FU69" s="35" t="s">
        <v>1462</v>
      </c>
      <c r="FV69" s="35" t="s">
        <v>489</v>
      </c>
      <c r="FW69" s="35" t="s">
        <v>490</v>
      </c>
      <c r="FX69" s="35" t="s">
        <v>491</v>
      </c>
      <c r="FZ69" s="35" t="s">
        <v>493</v>
      </c>
      <c r="GC69" s="35" t="s">
        <v>408</v>
      </c>
      <c r="GK69" s="35" t="s">
        <v>857</v>
      </c>
      <c r="GM69" s="35" t="s">
        <v>817</v>
      </c>
      <c r="GQ69" s="35" t="s">
        <v>387</v>
      </c>
      <c r="GR69" s="35" t="s">
        <v>3208</v>
      </c>
    </row>
    <row r="70">
      <c r="A70" s="40"/>
      <c r="B70" s="40">
        <v>45834.140873842596</v>
      </c>
      <c r="C70" s="35" t="s">
        <v>368</v>
      </c>
      <c r="D70" s="35" t="s">
        <v>370</v>
      </c>
      <c r="F70" s="35" t="s">
        <v>2359</v>
      </c>
      <c r="H70" s="35" t="s">
        <v>422</v>
      </c>
      <c r="I70" s="35" t="s">
        <v>496</v>
      </c>
      <c r="J70" s="35" t="s">
        <v>424</v>
      </c>
      <c r="K70" s="35" t="s">
        <v>375</v>
      </c>
      <c r="L70" s="35" t="s">
        <v>376</v>
      </c>
      <c r="M70" s="35" t="s">
        <v>426</v>
      </c>
      <c r="N70" s="35" t="s">
        <v>378</v>
      </c>
      <c r="O70" s="35" t="s">
        <v>591</v>
      </c>
      <c r="P70" s="35" t="s">
        <v>719</v>
      </c>
      <c r="Q70" s="35" t="s">
        <v>498</v>
      </c>
      <c r="R70" s="35" t="s">
        <v>382</v>
      </c>
      <c r="S70" s="35" t="s">
        <v>427</v>
      </c>
      <c r="T70" s="35" t="s">
        <v>384</v>
      </c>
      <c r="U70" s="35" t="s">
        <v>385</v>
      </c>
      <c r="X70" s="35" t="s">
        <v>3014</v>
      </c>
      <c r="AW70" s="35" t="s">
        <v>1242</v>
      </c>
      <c r="AX70" s="35" t="s">
        <v>675</v>
      </c>
      <c r="AY70" s="35" t="s">
        <v>675</v>
      </c>
      <c r="AZ70" s="35" t="s">
        <v>675</v>
      </c>
      <c r="BA70" s="41">
        <v>4.0</v>
      </c>
      <c r="BB70" s="35" t="s">
        <v>675</v>
      </c>
      <c r="BC70" s="35" t="s">
        <v>675</v>
      </c>
      <c r="BD70" s="35" t="s">
        <v>4243</v>
      </c>
      <c r="BE70" s="35" t="s">
        <v>2991</v>
      </c>
      <c r="BF70" s="35" t="s">
        <v>1094</v>
      </c>
      <c r="BG70" s="35" t="s">
        <v>1095</v>
      </c>
      <c r="BH70" s="35" t="s">
        <v>725</v>
      </c>
      <c r="BJ70" s="35" t="s">
        <v>976</v>
      </c>
      <c r="BL70" s="35" t="s">
        <v>437</v>
      </c>
      <c r="BM70" s="35" t="s">
        <v>904</v>
      </c>
      <c r="BN70" s="35" t="s">
        <v>1314</v>
      </c>
      <c r="BO70" s="35" t="s">
        <v>398</v>
      </c>
      <c r="BP70" s="35" t="s">
        <v>10806</v>
      </c>
      <c r="BQ70" s="35" t="s">
        <v>4245</v>
      </c>
      <c r="BR70" s="35" t="s">
        <v>442</v>
      </c>
      <c r="BS70" s="35" t="s">
        <v>4246</v>
      </c>
      <c r="BT70" s="35" t="s">
        <v>1671</v>
      </c>
      <c r="BU70" s="35" t="s">
        <v>404</v>
      </c>
      <c r="BV70" s="35" t="s">
        <v>405</v>
      </c>
      <c r="BX70" s="35" t="s">
        <v>988</v>
      </c>
      <c r="BZ70" s="35" t="s">
        <v>408</v>
      </c>
      <c r="CB70" s="35" t="s">
        <v>10807</v>
      </c>
      <c r="CC70" s="35" t="s">
        <v>10808</v>
      </c>
      <c r="CD70" s="35" t="s">
        <v>10809</v>
      </c>
      <c r="CE70" s="35" t="s">
        <v>409</v>
      </c>
      <c r="CF70" s="35" t="s">
        <v>10810</v>
      </c>
      <c r="CG70" s="35" t="s">
        <v>1258</v>
      </c>
      <c r="CI70" s="35" t="s">
        <v>1259</v>
      </c>
      <c r="CJ70" s="35" t="s">
        <v>410</v>
      </c>
      <c r="CK70" s="35" t="s">
        <v>10811</v>
      </c>
      <c r="CL70" s="35" t="s">
        <v>10812</v>
      </c>
      <c r="EU70" s="35" t="s">
        <v>526</v>
      </c>
      <c r="EV70" s="35" t="s">
        <v>479</v>
      </c>
      <c r="EW70" s="35" t="s">
        <v>1262</v>
      </c>
      <c r="EY70" s="35" t="s">
        <v>10813</v>
      </c>
      <c r="EZ70" s="35" t="s">
        <v>10814</v>
      </c>
      <c r="FA70" s="35" t="s">
        <v>414</v>
      </c>
      <c r="FB70" s="35" t="s">
        <v>583</v>
      </c>
      <c r="FC70" s="35" t="s">
        <v>583</v>
      </c>
      <c r="FD70" s="35" t="s">
        <v>583</v>
      </c>
      <c r="FE70" s="35" t="s">
        <v>415</v>
      </c>
      <c r="FF70" s="35" t="s">
        <v>583</v>
      </c>
      <c r="FG70" s="35" t="s">
        <v>583</v>
      </c>
      <c r="FH70" s="35" t="s">
        <v>583</v>
      </c>
      <c r="FI70" s="35" t="s">
        <v>583</v>
      </c>
      <c r="FJ70" s="35" t="s">
        <v>583</v>
      </c>
      <c r="FK70" s="35" t="s">
        <v>583</v>
      </c>
      <c r="FL70" s="35" t="s">
        <v>414</v>
      </c>
      <c r="FM70" s="35" t="s">
        <v>414</v>
      </c>
      <c r="FN70" s="35" t="s">
        <v>413</v>
      </c>
      <c r="FO70" s="35" t="s">
        <v>583</v>
      </c>
      <c r="FP70" s="35" t="s">
        <v>417</v>
      </c>
      <c r="FQ70" s="35" t="s">
        <v>418</v>
      </c>
      <c r="FR70" s="35" t="s">
        <v>749</v>
      </c>
      <c r="FS70" s="35" t="s">
        <v>1775</v>
      </c>
      <c r="FT70" s="35" t="s">
        <v>420</v>
      </c>
      <c r="FU70" s="35" t="s">
        <v>488</v>
      </c>
      <c r="FV70" s="35" t="s">
        <v>489</v>
      </c>
      <c r="FW70" s="35" t="s">
        <v>490</v>
      </c>
      <c r="FX70" s="35" t="s">
        <v>491</v>
      </c>
      <c r="FZ70" s="35" t="s">
        <v>535</v>
      </c>
      <c r="GA70" s="35" t="s">
        <v>10815</v>
      </c>
      <c r="GC70" s="35" t="s">
        <v>408</v>
      </c>
      <c r="GK70" s="35" t="s">
        <v>920</v>
      </c>
      <c r="GL70" s="35" t="s">
        <v>755</v>
      </c>
      <c r="GM70" s="35" t="s">
        <v>817</v>
      </c>
      <c r="GR70" s="35" t="s">
        <v>3273</v>
      </c>
    </row>
    <row r="71">
      <c r="A71" s="40"/>
      <c r="B71" s="40">
        <v>45834.524166041665</v>
      </c>
      <c r="C71" s="35" t="s">
        <v>368</v>
      </c>
      <c r="D71" s="35" t="s">
        <v>370</v>
      </c>
      <c r="F71" s="35" t="s">
        <v>1441</v>
      </c>
      <c r="H71" s="35" t="s">
        <v>422</v>
      </c>
      <c r="I71" s="35" t="s">
        <v>1921</v>
      </c>
      <c r="J71" s="35" t="s">
        <v>668</v>
      </c>
      <c r="K71" s="35" t="s">
        <v>1023</v>
      </c>
      <c r="L71" s="35" t="s">
        <v>376</v>
      </c>
      <c r="M71" s="35" t="s">
        <v>426</v>
      </c>
      <c r="N71" s="35" t="s">
        <v>378</v>
      </c>
      <c r="O71" s="35" t="s">
        <v>591</v>
      </c>
      <c r="P71" s="35" t="s">
        <v>719</v>
      </c>
      <c r="Q71" s="35" t="s">
        <v>498</v>
      </c>
      <c r="R71" s="35" t="s">
        <v>382</v>
      </c>
      <c r="S71" s="35" t="s">
        <v>427</v>
      </c>
      <c r="T71" s="35" t="s">
        <v>384</v>
      </c>
      <c r="U71" s="35" t="s">
        <v>385</v>
      </c>
      <c r="X71" s="35" t="s">
        <v>3231</v>
      </c>
      <c r="AW71" s="35" t="s">
        <v>1242</v>
      </c>
      <c r="AX71" s="35" t="s">
        <v>675</v>
      </c>
      <c r="AY71" s="35" t="s">
        <v>675</v>
      </c>
      <c r="AZ71" s="35" t="s">
        <v>675</v>
      </c>
      <c r="BA71" s="35" t="s">
        <v>675</v>
      </c>
      <c r="BB71" s="35" t="s">
        <v>675</v>
      </c>
      <c r="BC71" s="35" t="s">
        <v>675</v>
      </c>
      <c r="BD71" s="35" t="s">
        <v>4267</v>
      </c>
      <c r="BE71" s="35" t="s">
        <v>4268</v>
      </c>
      <c r="BF71" s="35" t="s">
        <v>2379</v>
      </c>
      <c r="BG71" s="35" t="s">
        <v>1245</v>
      </c>
      <c r="BH71" s="35" t="s">
        <v>394</v>
      </c>
      <c r="BI71" s="35" t="s">
        <v>4269</v>
      </c>
      <c r="BJ71" s="35" t="s">
        <v>976</v>
      </c>
      <c r="BK71" s="35" t="s">
        <v>4270</v>
      </c>
      <c r="BL71" s="35" t="s">
        <v>681</v>
      </c>
      <c r="BM71" s="35" t="s">
        <v>904</v>
      </c>
      <c r="BN71" s="35" t="s">
        <v>1314</v>
      </c>
      <c r="BO71" s="35" t="s">
        <v>398</v>
      </c>
      <c r="BQ71" s="35" t="s">
        <v>10816</v>
      </c>
      <c r="BR71" s="35" t="s">
        <v>604</v>
      </c>
      <c r="BS71" s="35" t="s">
        <v>4272</v>
      </c>
      <c r="BT71" s="35" t="s">
        <v>1251</v>
      </c>
      <c r="BU71" s="35" t="s">
        <v>404</v>
      </c>
      <c r="BV71" s="35" t="s">
        <v>1831</v>
      </c>
      <c r="BW71" s="35" t="s">
        <v>10817</v>
      </c>
      <c r="BX71" s="35" t="s">
        <v>406</v>
      </c>
      <c r="BY71" s="35" t="s">
        <v>407</v>
      </c>
      <c r="BZ71" s="35" t="s">
        <v>455</v>
      </c>
      <c r="CA71" s="35" t="s">
        <v>10818</v>
      </c>
      <c r="CB71" s="35" t="s">
        <v>4275</v>
      </c>
      <c r="CC71" s="35" t="s">
        <v>10819</v>
      </c>
      <c r="CD71" s="35" t="s">
        <v>4277</v>
      </c>
      <c r="CE71" s="35" t="s">
        <v>451</v>
      </c>
      <c r="CF71" s="35" t="s">
        <v>4278</v>
      </c>
      <c r="CG71" s="35" t="s">
        <v>1697</v>
      </c>
      <c r="CI71" s="35" t="s">
        <v>2744</v>
      </c>
      <c r="CJ71" s="35" t="s">
        <v>410</v>
      </c>
      <c r="CK71" s="35" t="s">
        <v>4279</v>
      </c>
      <c r="CL71" s="35" t="s">
        <v>10820</v>
      </c>
      <c r="EU71" s="35" t="s">
        <v>526</v>
      </c>
      <c r="EV71" s="35" t="s">
        <v>887</v>
      </c>
      <c r="EW71" s="35" t="s">
        <v>480</v>
      </c>
      <c r="EY71" s="35" t="s">
        <v>4281</v>
      </c>
      <c r="EZ71" s="35" t="s">
        <v>4282</v>
      </c>
      <c r="FA71" s="35" t="s">
        <v>583</v>
      </c>
      <c r="FB71" s="35" t="s">
        <v>583</v>
      </c>
      <c r="FC71" s="35" t="s">
        <v>583</v>
      </c>
      <c r="FD71" s="35" t="s">
        <v>583</v>
      </c>
      <c r="FE71" s="35" t="s">
        <v>583</v>
      </c>
      <c r="FF71" s="35" t="s">
        <v>583</v>
      </c>
      <c r="FG71" s="35" t="s">
        <v>583</v>
      </c>
      <c r="FH71" s="35" t="s">
        <v>583</v>
      </c>
      <c r="FI71" s="35" t="s">
        <v>583</v>
      </c>
      <c r="FJ71" s="35" t="s">
        <v>583</v>
      </c>
      <c r="FK71" s="35" t="s">
        <v>583</v>
      </c>
      <c r="FL71" s="35" t="s">
        <v>583</v>
      </c>
      <c r="FM71" s="35" t="s">
        <v>583</v>
      </c>
      <c r="FN71" s="35" t="s">
        <v>583</v>
      </c>
      <c r="FO71" s="35" t="s">
        <v>583</v>
      </c>
      <c r="FQ71" s="35" t="s">
        <v>2524</v>
      </c>
      <c r="FR71" s="35" t="s">
        <v>630</v>
      </c>
      <c r="FS71" s="35" t="s">
        <v>4283</v>
      </c>
      <c r="FT71" s="35" t="s">
        <v>420</v>
      </c>
      <c r="FU71" s="35" t="s">
        <v>488</v>
      </c>
      <c r="FV71" s="35" t="s">
        <v>533</v>
      </c>
      <c r="FW71" s="35" t="s">
        <v>490</v>
      </c>
      <c r="FX71" s="35" t="s">
        <v>491</v>
      </c>
      <c r="FZ71" s="35" t="s">
        <v>1020</v>
      </c>
      <c r="GB71" s="35" t="s">
        <v>10821</v>
      </c>
      <c r="GC71" s="35" t="s">
        <v>455</v>
      </c>
      <c r="GE71" s="35" t="s">
        <v>4285</v>
      </c>
      <c r="GF71" s="35" t="s">
        <v>753</v>
      </c>
      <c r="GG71" s="35" t="s">
        <v>3080</v>
      </c>
      <c r="GK71" s="35" t="s">
        <v>755</v>
      </c>
      <c r="GL71" s="35" t="s">
        <v>755</v>
      </c>
      <c r="GM71" s="35" t="s">
        <v>946</v>
      </c>
      <c r="GQ71" s="35" t="s">
        <v>387</v>
      </c>
      <c r="GR71" s="35" t="s">
        <v>3306</v>
      </c>
    </row>
    <row r="72">
      <c r="A72" s="40"/>
      <c r="B72" s="40">
        <v>45835.8895909375</v>
      </c>
      <c r="C72" s="35" t="s">
        <v>368</v>
      </c>
      <c r="D72" s="35" t="s">
        <v>370</v>
      </c>
      <c r="E72" s="35" t="s">
        <v>370</v>
      </c>
      <c r="F72" s="35" t="s">
        <v>1798</v>
      </c>
      <c r="G72" s="35" t="s">
        <v>4361</v>
      </c>
      <c r="H72" s="35" t="s">
        <v>1269</v>
      </c>
      <c r="I72" s="35" t="s">
        <v>373</v>
      </c>
      <c r="J72" s="35" t="s">
        <v>374</v>
      </c>
      <c r="K72" s="35" t="s">
        <v>425</v>
      </c>
      <c r="L72" s="35" t="s">
        <v>376</v>
      </c>
      <c r="M72" s="35" t="s">
        <v>379</v>
      </c>
      <c r="N72" s="35" t="s">
        <v>2464</v>
      </c>
      <c r="O72" s="35" t="s">
        <v>591</v>
      </c>
      <c r="P72" s="35" t="s">
        <v>640</v>
      </c>
      <c r="Q72" s="35" t="s">
        <v>498</v>
      </c>
      <c r="R72" s="35" t="s">
        <v>382</v>
      </c>
      <c r="S72" s="35" t="s">
        <v>500</v>
      </c>
      <c r="T72" s="35" t="s">
        <v>384</v>
      </c>
      <c r="U72" s="35" t="s">
        <v>385</v>
      </c>
      <c r="X72" s="35" t="s">
        <v>3231</v>
      </c>
      <c r="AW72" s="35" t="s">
        <v>1242</v>
      </c>
      <c r="AX72" s="35" t="s">
        <v>675</v>
      </c>
      <c r="AY72" s="35" t="s">
        <v>675</v>
      </c>
      <c r="AZ72" s="35" t="s">
        <v>675</v>
      </c>
      <c r="BA72" s="35" t="s">
        <v>675</v>
      </c>
      <c r="BB72" s="35" t="s">
        <v>675</v>
      </c>
      <c r="BC72" s="35" t="s">
        <v>675</v>
      </c>
      <c r="BD72" s="35" t="s">
        <v>4362</v>
      </c>
      <c r="BE72" s="35" t="s">
        <v>4363</v>
      </c>
      <c r="BF72" s="35" t="s">
        <v>2379</v>
      </c>
      <c r="BG72" s="35" t="s">
        <v>1095</v>
      </c>
      <c r="BH72" s="35" t="s">
        <v>725</v>
      </c>
      <c r="BI72" s="35" t="s">
        <v>4364</v>
      </c>
      <c r="BJ72" s="35" t="s">
        <v>976</v>
      </c>
      <c r="BL72" s="35" t="s">
        <v>395</v>
      </c>
      <c r="BM72" s="35" t="s">
        <v>904</v>
      </c>
      <c r="BN72" s="35" t="s">
        <v>1314</v>
      </c>
      <c r="BO72" s="35" t="s">
        <v>398</v>
      </c>
      <c r="BP72" s="35" t="s">
        <v>4365</v>
      </c>
      <c r="BQ72" s="35" t="s">
        <v>4366</v>
      </c>
      <c r="BR72" s="35" t="s">
        <v>401</v>
      </c>
      <c r="BS72" s="35" t="s">
        <v>4367</v>
      </c>
      <c r="BT72" s="35" t="s">
        <v>1671</v>
      </c>
      <c r="BU72" s="35" t="s">
        <v>4368</v>
      </c>
      <c r="BV72" s="35" t="s">
        <v>405</v>
      </c>
      <c r="BX72" s="35" t="s">
        <v>988</v>
      </c>
      <c r="BZ72" s="35" t="s">
        <v>408</v>
      </c>
      <c r="CB72" s="35" t="s">
        <v>4369</v>
      </c>
      <c r="CC72" s="35" t="s">
        <v>4370</v>
      </c>
      <c r="CD72" s="35" t="s">
        <v>4371</v>
      </c>
      <c r="CE72" s="35" t="s">
        <v>1257</v>
      </c>
      <c r="CG72" s="35" t="s">
        <v>1722</v>
      </c>
      <c r="CH72" s="35" t="s">
        <v>4372</v>
      </c>
      <c r="CI72" s="35" t="s">
        <v>1259</v>
      </c>
      <c r="CJ72" s="35" t="s">
        <v>410</v>
      </c>
      <c r="CK72" s="35" t="s">
        <v>10822</v>
      </c>
      <c r="CL72" s="35" t="s">
        <v>4374</v>
      </c>
      <c r="EU72" s="35" t="s">
        <v>526</v>
      </c>
      <c r="EV72" s="35" t="s">
        <v>479</v>
      </c>
      <c r="EW72" s="35" t="s">
        <v>480</v>
      </c>
      <c r="EX72" s="35" t="s">
        <v>4375</v>
      </c>
      <c r="EY72" s="35" t="s">
        <v>4376</v>
      </c>
      <c r="EZ72" s="35" t="s">
        <v>4377</v>
      </c>
      <c r="FA72" s="35" t="s">
        <v>583</v>
      </c>
      <c r="FB72" s="35" t="s">
        <v>583</v>
      </c>
      <c r="FC72" s="35" t="s">
        <v>413</v>
      </c>
      <c r="FD72" s="35" t="s">
        <v>583</v>
      </c>
      <c r="FE72" s="35" t="s">
        <v>415</v>
      </c>
      <c r="FF72" s="35" t="s">
        <v>583</v>
      </c>
      <c r="FG72" s="35" t="s">
        <v>583</v>
      </c>
      <c r="FH72" s="35" t="s">
        <v>413</v>
      </c>
      <c r="FI72" s="35" t="s">
        <v>583</v>
      </c>
      <c r="FJ72" s="35" t="s">
        <v>414</v>
      </c>
      <c r="FK72" s="35" t="s">
        <v>414</v>
      </c>
      <c r="FL72" s="35" t="s">
        <v>415</v>
      </c>
      <c r="FM72" s="35" t="s">
        <v>415</v>
      </c>
      <c r="FN72" s="35" t="s">
        <v>413</v>
      </c>
      <c r="FO72" s="35" t="s">
        <v>583</v>
      </c>
      <c r="FP72" s="35" t="s">
        <v>417</v>
      </c>
      <c r="FQ72" s="35" t="s">
        <v>418</v>
      </c>
      <c r="FR72" s="35" t="s">
        <v>749</v>
      </c>
      <c r="FS72" s="35" t="s">
        <v>4378</v>
      </c>
      <c r="FT72" s="35" t="s">
        <v>420</v>
      </c>
      <c r="FU72" s="35" t="s">
        <v>488</v>
      </c>
      <c r="FV72" s="35" t="s">
        <v>489</v>
      </c>
      <c r="FW72" s="35" t="s">
        <v>490</v>
      </c>
      <c r="FX72" s="35" t="s">
        <v>491</v>
      </c>
      <c r="FY72" s="35" t="s">
        <v>4379</v>
      </c>
      <c r="FZ72" s="35" t="s">
        <v>535</v>
      </c>
      <c r="GA72" s="35" t="s">
        <v>4380</v>
      </c>
      <c r="GB72" s="35" t="s">
        <v>10823</v>
      </c>
      <c r="GC72" s="35" t="s">
        <v>455</v>
      </c>
      <c r="GD72" s="35" t="s">
        <v>10824</v>
      </c>
      <c r="GE72" s="35" t="s">
        <v>10825</v>
      </c>
      <c r="GF72" s="35" t="s">
        <v>1339</v>
      </c>
      <c r="GG72" s="35" t="s">
        <v>4382</v>
      </c>
      <c r="GK72" s="35" t="s">
        <v>755</v>
      </c>
      <c r="GL72" s="35" t="s">
        <v>755</v>
      </c>
      <c r="GM72" s="35" t="s">
        <v>946</v>
      </c>
      <c r="GQ72" s="35" t="s">
        <v>387</v>
      </c>
      <c r="GR72" s="35" t="s">
        <v>3208</v>
      </c>
    </row>
    <row r="73">
      <c r="A73" s="40"/>
      <c r="B73" s="40">
        <v>45836.34391229167</v>
      </c>
      <c r="C73" s="35" t="s">
        <v>368</v>
      </c>
      <c r="D73" s="35" t="s">
        <v>894</v>
      </c>
      <c r="E73" s="35" t="s">
        <v>370</v>
      </c>
      <c r="G73" s="35" t="s">
        <v>371</v>
      </c>
      <c r="H73" s="35" t="s">
        <v>422</v>
      </c>
      <c r="I73" s="35" t="s">
        <v>373</v>
      </c>
      <c r="J73" s="35" t="s">
        <v>374</v>
      </c>
      <c r="K73" s="35" t="s">
        <v>718</v>
      </c>
      <c r="L73" s="35" t="s">
        <v>376</v>
      </c>
      <c r="M73" s="35" t="s">
        <v>591</v>
      </c>
      <c r="N73" s="35" t="s">
        <v>860</v>
      </c>
      <c r="O73" s="35" t="s">
        <v>379</v>
      </c>
      <c r="P73" s="35" t="s">
        <v>671</v>
      </c>
      <c r="Q73" s="35" t="s">
        <v>592</v>
      </c>
      <c r="R73" s="35" t="s">
        <v>382</v>
      </c>
      <c r="S73" s="35" t="s">
        <v>500</v>
      </c>
      <c r="T73" s="35" t="s">
        <v>384</v>
      </c>
      <c r="U73" s="35" t="s">
        <v>385</v>
      </c>
      <c r="V73" s="35" t="s">
        <v>1045</v>
      </c>
      <c r="X73" s="35" t="s">
        <v>386</v>
      </c>
      <c r="Y73" s="35" t="s">
        <v>387</v>
      </c>
      <c r="Z73" s="35" t="s">
        <v>388</v>
      </c>
      <c r="AA73" s="35" t="s">
        <v>543</v>
      </c>
      <c r="AB73" s="35" t="s">
        <v>4418</v>
      </c>
      <c r="AC73" s="35" t="s">
        <v>4419</v>
      </c>
      <c r="AW73" s="35" t="s">
        <v>1310</v>
      </c>
      <c r="AX73" s="35" t="s">
        <v>675</v>
      </c>
      <c r="AY73" s="35" t="s">
        <v>675</v>
      </c>
      <c r="AZ73" s="35" t="s">
        <v>675</v>
      </c>
      <c r="BA73" s="35" t="s">
        <v>675</v>
      </c>
      <c r="BB73" s="35" t="s">
        <v>675</v>
      </c>
      <c r="BC73" s="35" t="s">
        <v>675</v>
      </c>
      <c r="BE73" s="35" t="s">
        <v>4420</v>
      </c>
      <c r="BF73" s="35" t="s">
        <v>392</v>
      </c>
      <c r="BG73" s="35" t="s">
        <v>1095</v>
      </c>
      <c r="BH73" s="35" t="s">
        <v>394</v>
      </c>
      <c r="BI73" s="35" t="s">
        <v>4421</v>
      </c>
      <c r="BJ73" s="35" t="s">
        <v>976</v>
      </c>
      <c r="BK73" s="35" t="s">
        <v>4422</v>
      </c>
      <c r="BL73" s="35" t="s">
        <v>437</v>
      </c>
      <c r="BM73" s="35" t="s">
        <v>603</v>
      </c>
      <c r="BN73" s="35" t="s">
        <v>1247</v>
      </c>
      <c r="BO73" s="35" t="s">
        <v>398</v>
      </c>
      <c r="BP73" s="35" t="s">
        <v>4423</v>
      </c>
      <c r="BQ73" s="35" t="s">
        <v>4424</v>
      </c>
      <c r="BR73" s="35" t="s">
        <v>604</v>
      </c>
      <c r="BS73" s="35" t="s">
        <v>4425</v>
      </c>
      <c r="BT73" s="35" t="s">
        <v>1671</v>
      </c>
      <c r="BU73" s="35" t="s">
        <v>1994</v>
      </c>
      <c r="BV73" s="35" t="s">
        <v>405</v>
      </c>
      <c r="BW73" s="35" t="s">
        <v>4426</v>
      </c>
      <c r="BX73" s="35" t="s">
        <v>457</v>
      </c>
      <c r="BZ73" s="35" t="s">
        <v>408</v>
      </c>
      <c r="CB73" s="35" t="s">
        <v>4427</v>
      </c>
      <c r="CC73" s="35" t="s">
        <v>4428</v>
      </c>
      <c r="CD73" s="35" t="s">
        <v>4429</v>
      </c>
      <c r="CE73" s="35" t="s">
        <v>409</v>
      </c>
      <c r="CF73" s="35" t="s">
        <v>4430</v>
      </c>
      <c r="CG73" s="35" t="s">
        <v>1722</v>
      </c>
      <c r="CH73" s="35" t="s">
        <v>4431</v>
      </c>
      <c r="CI73" s="35" t="s">
        <v>1698</v>
      </c>
      <c r="CJ73" s="35" t="s">
        <v>410</v>
      </c>
      <c r="CK73" s="35" t="s">
        <v>10826</v>
      </c>
      <c r="EU73" s="35" t="s">
        <v>578</v>
      </c>
      <c r="EV73" s="35" t="s">
        <v>579</v>
      </c>
      <c r="EW73" s="35" t="s">
        <v>1262</v>
      </c>
      <c r="EY73" s="35" t="s">
        <v>4433</v>
      </c>
      <c r="EZ73" s="35" t="s">
        <v>4434</v>
      </c>
      <c r="FA73" s="35" t="s">
        <v>415</v>
      </c>
      <c r="FB73" s="35" t="s">
        <v>583</v>
      </c>
      <c r="FC73" s="35" t="s">
        <v>413</v>
      </c>
      <c r="FD73" s="35" t="s">
        <v>416</v>
      </c>
      <c r="FE73" s="35" t="s">
        <v>413</v>
      </c>
      <c r="FF73" s="35" t="s">
        <v>484</v>
      </c>
      <c r="FG73" s="35" t="s">
        <v>415</v>
      </c>
      <c r="FH73" s="35" t="s">
        <v>413</v>
      </c>
      <c r="FI73" s="35" t="s">
        <v>414</v>
      </c>
      <c r="FJ73" s="35" t="s">
        <v>416</v>
      </c>
      <c r="FK73" s="35" t="s">
        <v>416</v>
      </c>
      <c r="FL73" s="35" t="s">
        <v>415</v>
      </c>
      <c r="FM73" s="35" t="s">
        <v>415</v>
      </c>
      <c r="FN73" s="35" t="s">
        <v>415</v>
      </c>
      <c r="FO73" s="35" t="s">
        <v>415</v>
      </c>
      <c r="FP73" s="35" t="s">
        <v>485</v>
      </c>
      <c r="FQ73" s="35" t="s">
        <v>418</v>
      </c>
      <c r="FR73" s="35" t="s">
        <v>531</v>
      </c>
      <c r="FT73" s="35" t="s">
        <v>420</v>
      </c>
      <c r="FU73" s="35" t="s">
        <v>488</v>
      </c>
      <c r="FV73" s="35" t="s">
        <v>533</v>
      </c>
      <c r="FW73" s="35" t="s">
        <v>490</v>
      </c>
      <c r="FX73" s="35" t="s">
        <v>491</v>
      </c>
      <c r="FY73" s="35" t="s">
        <v>4435</v>
      </c>
      <c r="FZ73" s="35" t="s">
        <v>535</v>
      </c>
      <c r="GA73" s="35" t="s">
        <v>4436</v>
      </c>
      <c r="GC73" s="35" t="s">
        <v>408</v>
      </c>
      <c r="GK73" s="35" t="s">
        <v>755</v>
      </c>
      <c r="GL73" s="35" t="s">
        <v>755</v>
      </c>
      <c r="GM73" s="35" t="s">
        <v>817</v>
      </c>
      <c r="GR73" s="35" t="s">
        <v>3208</v>
      </c>
    </row>
    <row r="74">
      <c r="A74" s="40"/>
      <c r="B74" s="40">
        <v>45836.50647361111</v>
      </c>
      <c r="C74" s="35" t="s">
        <v>368</v>
      </c>
      <c r="D74" s="35" t="s">
        <v>538</v>
      </c>
      <c r="E74" s="35" t="s">
        <v>538</v>
      </c>
      <c r="H74" s="35" t="s">
        <v>422</v>
      </c>
      <c r="I74" s="35" t="s">
        <v>1921</v>
      </c>
      <c r="K74" s="35" t="s">
        <v>425</v>
      </c>
      <c r="L74" s="35" t="s">
        <v>376</v>
      </c>
      <c r="M74" s="35" t="s">
        <v>426</v>
      </c>
      <c r="N74" s="35" t="s">
        <v>378</v>
      </c>
      <c r="O74" s="35" t="s">
        <v>426</v>
      </c>
      <c r="P74" s="35" t="s">
        <v>497</v>
      </c>
      <c r="Q74" s="35" t="s">
        <v>498</v>
      </c>
      <c r="R74" s="35" t="s">
        <v>499</v>
      </c>
      <c r="S74" s="35" t="s">
        <v>427</v>
      </c>
      <c r="T74" s="35" t="s">
        <v>384</v>
      </c>
      <c r="U74" s="35" t="s">
        <v>385</v>
      </c>
      <c r="X74" s="35" t="s">
        <v>3014</v>
      </c>
      <c r="AW74" s="35" t="s">
        <v>390</v>
      </c>
      <c r="AX74" s="35" t="s">
        <v>391</v>
      </c>
      <c r="AY74" s="41">
        <v>2.0</v>
      </c>
      <c r="AZ74" s="41">
        <v>2.0</v>
      </c>
      <c r="BA74" s="41">
        <v>2.0</v>
      </c>
      <c r="BB74" s="35" t="s">
        <v>391</v>
      </c>
      <c r="BC74" s="41">
        <v>2.0</v>
      </c>
      <c r="BD74" s="35" t="s">
        <v>10827</v>
      </c>
      <c r="BE74" s="35" t="s">
        <v>4458</v>
      </c>
      <c r="BF74" s="35" t="s">
        <v>432</v>
      </c>
      <c r="BG74" s="35" t="s">
        <v>393</v>
      </c>
      <c r="BJ74" s="35" t="s">
        <v>435</v>
      </c>
      <c r="BK74" s="35" t="s">
        <v>4459</v>
      </c>
      <c r="BL74" s="35" t="s">
        <v>437</v>
      </c>
      <c r="BM74" s="35" t="s">
        <v>603</v>
      </c>
      <c r="BN74" s="35" t="s">
        <v>549</v>
      </c>
      <c r="BO74" s="35" t="s">
        <v>398</v>
      </c>
      <c r="BP74" s="35" t="s">
        <v>4460</v>
      </c>
      <c r="BQ74" s="35" t="s">
        <v>4461</v>
      </c>
      <c r="BR74" s="35" t="s">
        <v>401</v>
      </c>
      <c r="BS74" s="35" t="s">
        <v>4462</v>
      </c>
      <c r="BT74" s="35" t="s">
        <v>403</v>
      </c>
      <c r="BU74" s="35" t="s">
        <v>404</v>
      </c>
      <c r="BV74" s="35" t="s">
        <v>1772</v>
      </c>
      <c r="BW74" s="35" t="s">
        <v>4463</v>
      </c>
      <c r="BX74" s="35" t="s">
        <v>4464</v>
      </c>
      <c r="CA74" s="35" t="s">
        <v>10828</v>
      </c>
      <c r="CB74" s="35" t="s">
        <v>4466</v>
      </c>
      <c r="CC74" s="35" t="s">
        <v>4467</v>
      </c>
      <c r="CD74" s="35" t="s">
        <v>4468</v>
      </c>
      <c r="CE74" s="35" t="s">
        <v>409</v>
      </c>
      <c r="CG74" s="35" t="s">
        <v>1258</v>
      </c>
      <c r="CI74" s="35" t="s">
        <v>1751</v>
      </c>
      <c r="CJ74" s="35" t="s">
        <v>1220</v>
      </c>
      <c r="CK74" s="35" t="s">
        <v>4469</v>
      </c>
      <c r="CL74" s="35" t="s">
        <v>4470</v>
      </c>
      <c r="EU74" s="35" t="s">
        <v>478</v>
      </c>
      <c r="EW74" s="35" t="s">
        <v>1534</v>
      </c>
      <c r="EY74" s="35" t="s">
        <v>4471</v>
      </c>
      <c r="EZ74" s="35" t="s">
        <v>4472</v>
      </c>
      <c r="FA74" s="35" t="s">
        <v>416</v>
      </c>
      <c r="FB74" s="35" t="s">
        <v>416</v>
      </c>
      <c r="FC74" s="35" t="s">
        <v>413</v>
      </c>
      <c r="FD74" s="35" t="s">
        <v>415</v>
      </c>
      <c r="FE74" s="35" t="s">
        <v>413</v>
      </c>
      <c r="FF74" s="35" t="s">
        <v>415</v>
      </c>
      <c r="FG74" s="35" t="s">
        <v>415</v>
      </c>
      <c r="FH74" s="35" t="s">
        <v>415</v>
      </c>
      <c r="FI74" s="35" t="s">
        <v>414</v>
      </c>
      <c r="FJ74" s="35" t="s">
        <v>416</v>
      </c>
      <c r="FK74" s="35" t="s">
        <v>416</v>
      </c>
      <c r="FL74" s="35" t="s">
        <v>416</v>
      </c>
      <c r="FM74" s="35" t="s">
        <v>415</v>
      </c>
      <c r="FN74" s="35" t="s">
        <v>415</v>
      </c>
      <c r="FO74" s="35" t="s">
        <v>415</v>
      </c>
      <c r="FP74" s="35" t="s">
        <v>485</v>
      </c>
      <c r="FQ74" s="35" t="s">
        <v>418</v>
      </c>
      <c r="FS74" s="35" t="s">
        <v>4473</v>
      </c>
      <c r="FT74" s="35" t="s">
        <v>420</v>
      </c>
      <c r="FV74" s="35" t="s">
        <v>585</v>
      </c>
      <c r="FW74" s="35" t="s">
        <v>490</v>
      </c>
      <c r="FX74" s="35" t="s">
        <v>491</v>
      </c>
      <c r="FY74" s="35" t="s">
        <v>4474</v>
      </c>
      <c r="FZ74" s="35" t="s">
        <v>493</v>
      </c>
      <c r="GA74" s="35" t="s">
        <v>4475</v>
      </c>
      <c r="GB74" s="35" t="s">
        <v>4476</v>
      </c>
      <c r="GC74" s="35" t="s">
        <v>455</v>
      </c>
      <c r="GD74" s="35" t="s">
        <v>10829</v>
      </c>
      <c r="GF74" s="35" t="s">
        <v>1420</v>
      </c>
      <c r="GG74" s="35" t="s">
        <v>4477</v>
      </c>
      <c r="GK74" s="35" t="s">
        <v>920</v>
      </c>
      <c r="GL74" s="35" t="s">
        <v>920</v>
      </c>
      <c r="GM74" s="35" t="s">
        <v>858</v>
      </c>
      <c r="GO74" s="35" t="s">
        <v>4478</v>
      </c>
      <c r="GR74" s="35" t="s">
        <v>4479</v>
      </c>
    </row>
    <row r="75">
      <c r="A75" s="40"/>
      <c r="B75" s="40">
        <v>45836.92451064815</v>
      </c>
      <c r="C75" s="35" t="s">
        <v>368</v>
      </c>
      <c r="D75" s="35" t="s">
        <v>370</v>
      </c>
      <c r="E75" s="35" t="s">
        <v>370</v>
      </c>
      <c r="F75" s="35" t="s">
        <v>1875</v>
      </c>
      <c r="G75" s="35" t="s">
        <v>2400</v>
      </c>
      <c r="H75" s="35" t="s">
        <v>422</v>
      </c>
      <c r="I75" s="35" t="s">
        <v>496</v>
      </c>
      <c r="J75" s="35" t="s">
        <v>374</v>
      </c>
      <c r="K75" s="35" t="s">
        <v>375</v>
      </c>
      <c r="L75" s="35" t="s">
        <v>376</v>
      </c>
      <c r="M75" s="35" t="s">
        <v>793</v>
      </c>
      <c r="N75" s="35" t="s">
        <v>719</v>
      </c>
      <c r="O75" s="35" t="s">
        <v>591</v>
      </c>
      <c r="P75" s="35" t="s">
        <v>719</v>
      </c>
      <c r="Q75" s="35" t="s">
        <v>592</v>
      </c>
      <c r="R75" s="35" t="s">
        <v>382</v>
      </c>
      <c r="S75" s="35" t="s">
        <v>641</v>
      </c>
      <c r="T75" s="35" t="s">
        <v>3728</v>
      </c>
      <c r="U75" s="35" t="s">
        <v>385</v>
      </c>
      <c r="X75" s="35" t="s">
        <v>3014</v>
      </c>
      <c r="AW75" s="35" t="s">
        <v>1310</v>
      </c>
      <c r="AX75" s="41">
        <v>4.0</v>
      </c>
      <c r="AY75" s="41">
        <v>4.0</v>
      </c>
      <c r="AZ75" s="41">
        <v>4.0</v>
      </c>
      <c r="BA75" s="35" t="s">
        <v>675</v>
      </c>
      <c r="BB75" s="35" t="s">
        <v>675</v>
      </c>
      <c r="BC75" s="41">
        <v>4.0</v>
      </c>
      <c r="BF75" s="35" t="s">
        <v>902</v>
      </c>
      <c r="BH75" s="35" t="s">
        <v>434</v>
      </c>
      <c r="BI75" s="35" t="s">
        <v>4543</v>
      </c>
      <c r="BJ75" s="35" t="s">
        <v>509</v>
      </c>
      <c r="BL75" s="35" t="s">
        <v>681</v>
      </c>
      <c r="BM75" s="35" t="s">
        <v>438</v>
      </c>
      <c r="BN75" s="35" t="s">
        <v>1247</v>
      </c>
      <c r="BO75" s="35" t="s">
        <v>398</v>
      </c>
      <c r="BP75" s="35" t="s">
        <v>10830</v>
      </c>
      <c r="BQ75" s="35" t="s">
        <v>10831</v>
      </c>
      <c r="BR75" s="35" t="s">
        <v>604</v>
      </c>
      <c r="BS75" s="35" t="s">
        <v>1691</v>
      </c>
      <c r="BT75" s="35" t="s">
        <v>1671</v>
      </c>
      <c r="BU75" s="35" t="s">
        <v>1771</v>
      </c>
      <c r="BV75" s="35" t="s">
        <v>1772</v>
      </c>
      <c r="BW75" s="35" t="s">
        <v>10832</v>
      </c>
      <c r="BX75" s="35" t="s">
        <v>988</v>
      </c>
      <c r="BZ75" s="35" t="s">
        <v>408</v>
      </c>
      <c r="CC75" s="35" t="s">
        <v>10833</v>
      </c>
      <c r="CD75" s="35" t="s">
        <v>10834</v>
      </c>
      <c r="CE75" s="35" t="s">
        <v>409</v>
      </c>
      <c r="CG75" s="35" t="s">
        <v>1258</v>
      </c>
      <c r="CI75" s="35" t="s">
        <v>1698</v>
      </c>
      <c r="CK75" s="35" t="s">
        <v>10835</v>
      </c>
      <c r="CL75" s="35" t="s">
        <v>10836</v>
      </c>
      <c r="EU75" s="35" t="s">
        <v>526</v>
      </c>
      <c r="EV75" s="35" t="s">
        <v>887</v>
      </c>
      <c r="EW75" s="35" t="s">
        <v>527</v>
      </c>
      <c r="EY75" s="35" t="s">
        <v>4551</v>
      </c>
      <c r="FA75" s="35" t="s">
        <v>415</v>
      </c>
      <c r="FB75" s="35" t="s">
        <v>414</v>
      </c>
      <c r="FC75" s="35" t="s">
        <v>416</v>
      </c>
      <c r="FD75" s="35" t="s">
        <v>414</v>
      </c>
      <c r="FE75" s="35" t="s">
        <v>413</v>
      </c>
      <c r="FF75" s="35" t="s">
        <v>414</v>
      </c>
      <c r="FG75" s="35" t="s">
        <v>415</v>
      </c>
      <c r="FH75" s="35" t="s">
        <v>413</v>
      </c>
      <c r="FI75" s="35" t="s">
        <v>414</v>
      </c>
      <c r="FJ75" s="35" t="s">
        <v>415</v>
      </c>
      <c r="FK75" s="35" t="s">
        <v>414</v>
      </c>
      <c r="FL75" s="35" t="s">
        <v>416</v>
      </c>
      <c r="FM75" s="35" t="s">
        <v>413</v>
      </c>
      <c r="FN75" s="35" t="s">
        <v>416</v>
      </c>
      <c r="FO75" s="35" t="s">
        <v>415</v>
      </c>
      <c r="FP75" s="35" t="s">
        <v>485</v>
      </c>
      <c r="FQ75" s="35" t="s">
        <v>486</v>
      </c>
      <c r="FR75" s="35" t="s">
        <v>749</v>
      </c>
      <c r="FT75" s="35" t="s">
        <v>1189</v>
      </c>
      <c r="FU75" s="35" t="s">
        <v>1462</v>
      </c>
      <c r="FV75" s="35" t="s">
        <v>489</v>
      </c>
      <c r="FW75" s="35" t="s">
        <v>490</v>
      </c>
      <c r="FX75" s="35" t="s">
        <v>491</v>
      </c>
      <c r="FZ75" s="35" t="s">
        <v>493</v>
      </c>
      <c r="GA75" s="35" t="s">
        <v>4552</v>
      </c>
      <c r="GC75" s="35" t="s">
        <v>408</v>
      </c>
      <c r="GK75" s="35" t="s">
        <v>1000</v>
      </c>
      <c r="GL75" s="35" t="s">
        <v>1000</v>
      </c>
      <c r="GM75" s="35" t="s">
        <v>946</v>
      </c>
      <c r="GR75" s="35" t="s">
        <v>3273</v>
      </c>
    </row>
    <row r="76">
      <c r="A76" s="40"/>
      <c r="B76" s="40">
        <v>45841.941682199074</v>
      </c>
      <c r="C76" s="35" t="s">
        <v>368</v>
      </c>
      <c r="D76" s="35" t="s">
        <v>370</v>
      </c>
      <c r="E76" s="35" t="s">
        <v>370</v>
      </c>
      <c r="F76" s="35" t="s">
        <v>371</v>
      </c>
      <c r="G76" s="35" t="s">
        <v>371</v>
      </c>
      <c r="H76" s="35" t="s">
        <v>372</v>
      </c>
      <c r="I76" s="35" t="s">
        <v>373</v>
      </c>
      <c r="J76" s="35" t="s">
        <v>374</v>
      </c>
      <c r="K76" s="35" t="s">
        <v>540</v>
      </c>
      <c r="L76" s="35" t="s">
        <v>376</v>
      </c>
      <c r="M76" s="35" t="s">
        <v>379</v>
      </c>
      <c r="N76" s="35" t="s">
        <v>639</v>
      </c>
      <c r="O76" s="35" t="s">
        <v>379</v>
      </c>
      <c r="P76" s="35" t="s">
        <v>4735</v>
      </c>
      <c r="Q76" s="35" t="s">
        <v>498</v>
      </c>
      <c r="R76" s="35" t="s">
        <v>818</v>
      </c>
      <c r="S76" s="35" t="s">
        <v>500</v>
      </c>
      <c r="T76" s="35" t="s">
        <v>384</v>
      </c>
      <c r="U76" s="35" t="s">
        <v>385</v>
      </c>
      <c r="X76" s="35" t="s">
        <v>593</v>
      </c>
      <c r="Y76" s="35" t="s">
        <v>387</v>
      </c>
      <c r="Z76" s="35" t="s">
        <v>388</v>
      </c>
      <c r="AA76" s="35" t="s">
        <v>543</v>
      </c>
      <c r="AB76" s="35" t="s">
        <v>2675</v>
      </c>
      <c r="AC76" s="35" t="s">
        <v>2675</v>
      </c>
      <c r="AW76" s="35" t="s">
        <v>390</v>
      </c>
      <c r="AX76" s="35" t="s">
        <v>391</v>
      </c>
      <c r="AY76" s="35" t="s">
        <v>391</v>
      </c>
      <c r="AZ76" s="35" t="s">
        <v>391</v>
      </c>
      <c r="BA76" s="35" t="s">
        <v>675</v>
      </c>
      <c r="BB76" s="35" t="s">
        <v>675</v>
      </c>
      <c r="BC76" s="35" t="s">
        <v>675</v>
      </c>
      <c r="BD76" s="35" t="s">
        <v>4736</v>
      </c>
      <c r="BE76" s="35" t="s">
        <v>4737</v>
      </c>
      <c r="BF76" s="35" t="s">
        <v>432</v>
      </c>
      <c r="BG76" s="35" t="s">
        <v>1095</v>
      </c>
      <c r="BH76" s="35" t="s">
        <v>725</v>
      </c>
      <c r="BJ76" s="35" t="s">
        <v>976</v>
      </c>
      <c r="BL76" s="35" t="s">
        <v>437</v>
      </c>
      <c r="BM76" s="35" t="s">
        <v>603</v>
      </c>
      <c r="BN76" s="35" t="s">
        <v>549</v>
      </c>
      <c r="BO76" s="35" t="s">
        <v>398</v>
      </c>
      <c r="BP76" s="35" t="s">
        <v>4738</v>
      </c>
      <c r="BQ76" s="35" t="s">
        <v>4739</v>
      </c>
      <c r="BR76" s="35" t="s">
        <v>401</v>
      </c>
      <c r="BS76" s="35" t="s">
        <v>1830</v>
      </c>
      <c r="BT76" s="35" t="s">
        <v>403</v>
      </c>
      <c r="BU76" s="35" t="s">
        <v>1994</v>
      </c>
      <c r="BV76" s="35" t="s">
        <v>405</v>
      </c>
      <c r="BX76" s="35" t="s">
        <v>406</v>
      </c>
      <c r="BY76" s="35" t="s">
        <v>2503</v>
      </c>
      <c r="BZ76" s="35" t="s">
        <v>455</v>
      </c>
      <c r="CC76" s="35" t="s">
        <v>4740</v>
      </c>
      <c r="CE76" s="35" t="s">
        <v>451</v>
      </c>
      <c r="EU76" s="35" t="s">
        <v>526</v>
      </c>
      <c r="EV76" s="35" t="s">
        <v>579</v>
      </c>
      <c r="EW76" s="35" t="s">
        <v>1262</v>
      </c>
      <c r="FA76" s="35" t="s">
        <v>414</v>
      </c>
      <c r="FB76" s="35" t="s">
        <v>415</v>
      </c>
      <c r="FC76" s="35" t="s">
        <v>413</v>
      </c>
      <c r="FD76" s="35" t="s">
        <v>413</v>
      </c>
      <c r="FE76" s="35" t="s">
        <v>413</v>
      </c>
      <c r="FF76" s="35" t="s">
        <v>414</v>
      </c>
      <c r="FG76" s="35" t="s">
        <v>413</v>
      </c>
      <c r="FH76" s="35" t="s">
        <v>413</v>
      </c>
      <c r="FI76" s="35" t="s">
        <v>413</v>
      </c>
      <c r="FJ76" s="35" t="s">
        <v>413</v>
      </c>
      <c r="FK76" s="35" t="s">
        <v>414</v>
      </c>
      <c r="FL76" s="35" t="s">
        <v>415</v>
      </c>
      <c r="FM76" s="35" t="s">
        <v>415</v>
      </c>
      <c r="FN76" s="35" t="s">
        <v>413</v>
      </c>
      <c r="FO76" s="35" t="s">
        <v>414</v>
      </c>
      <c r="FP76" s="35" t="s">
        <v>485</v>
      </c>
      <c r="FQ76" s="35" t="s">
        <v>418</v>
      </c>
      <c r="FR76" s="35" t="s">
        <v>630</v>
      </c>
      <c r="FT76" s="35" t="s">
        <v>420</v>
      </c>
      <c r="FU76" s="35" t="s">
        <v>421</v>
      </c>
      <c r="FV76" s="35" t="s">
        <v>918</v>
      </c>
      <c r="FW76" s="35" t="s">
        <v>490</v>
      </c>
      <c r="FX76" s="35" t="s">
        <v>491</v>
      </c>
      <c r="FZ76" s="35" t="s">
        <v>1020</v>
      </c>
      <c r="GC76" s="35" t="s">
        <v>408</v>
      </c>
      <c r="GK76" s="35" t="s">
        <v>755</v>
      </c>
      <c r="GL76" s="35" t="s">
        <v>755</v>
      </c>
      <c r="GR76" s="35" t="s">
        <v>3351</v>
      </c>
      <c r="GS76" s="35" t="s">
        <v>4741</v>
      </c>
      <c r="GT76" s="35" t="s">
        <v>2675</v>
      </c>
    </row>
    <row r="77">
      <c r="A77" s="40"/>
      <c r="B77" s="40">
        <v>45842.59654684028</v>
      </c>
      <c r="C77" s="35" t="s">
        <v>368</v>
      </c>
      <c r="D77" s="35" t="s">
        <v>538</v>
      </c>
      <c r="E77" s="35" t="s">
        <v>894</v>
      </c>
      <c r="H77" s="35" t="s">
        <v>422</v>
      </c>
      <c r="I77" s="35" t="s">
        <v>423</v>
      </c>
      <c r="J77" s="35" t="s">
        <v>424</v>
      </c>
      <c r="K77" s="35" t="s">
        <v>590</v>
      </c>
      <c r="L77" s="35" t="s">
        <v>376</v>
      </c>
      <c r="M77" s="35" t="s">
        <v>377</v>
      </c>
      <c r="N77" s="35" t="s">
        <v>1442</v>
      </c>
      <c r="O77" s="35" t="s">
        <v>377</v>
      </c>
      <c r="P77" s="35" t="s">
        <v>497</v>
      </c>
      <c r="Q77" s="35" t="s">
        <v>1760</v>
      </c>
      <c r="R77" s="35" t="s">
        <v>499</v>
      </c>
      <c r="S77" s="35" t="s">
        <v>500</v>
      </c>
      <c r="T77" s="35" t="s">
        <v>384</v>
      </c>
      <c r="U77" s="35" t="s">
        <v>385</v>
      </c>
      <c r="W77" s="35" t="s">
        <v>896</v>
      </c>
      <c r="X77" s="35" t="s">
        <v>3231</v>
      </c>
      <c r="AW77" s="35" t="s">
        <v>1242</v>
      </c>
      <c r="AX77" s="35" t="s">
        <v>675</v>
      </c>
      <c r="AY77" s="35" t="s">
        <v>675</v>
      </c>
      <c r="AZ77" s="41">
        <v>4.0</v>
      </c>
      <c r="BA77" s="35" t="s">
        <v>675</v>
      </c>
      <c r="BB77" s="35" t="s">
        <v>675</v>
      </c>
      <c r="BC77" s="35" t="s">
        <v>675</v>
      </c>
      <c r="BD77" s="35" t="s">
        <v>4776</v>
      </c>
      <c r="BE77" s="35" t="s">
        <v>10837</v>
      </c>
      <c r="BF77" s="35" t="s">
        <v>432</v>
      </c>
      <c r="BG77" s="35" t="s">
        <v>1245</v>
      </c>
      <c r="BH77" s="35" t="s">
        <v>725</v>
      </c>
      <c r="BI77" s="35" t="s">
        <v>4778</v>
      </c>
      <c r="BJ77" s="35" t="s">
        <v>435</v>
      </c>
      <c r="BK77" s="35" t="s">
        <v>4779</v>
      </c>
      <c r="BL77" s="35" t="s">
        <v>602</v>
      </c>
      <c r="BM77" s="35" t="s">
        <v>603</v>
      </c>
      <c r="BN77" s="35" t="s">
        <v>1314</v>
      </c>
      <c r="BO77" s="35" t="s">
        <v>398</v>
      </c>
      <c r="BQ77" s="35" t="s">
        <v>4780</v>
      </c>
      <c r="BR77" s="35" t="s">
        <v>604</v>
      </c>
      <c r="BS77" s="35" t="s">
        <v>4781</v>
      </c>
      <c r="BT77" s="35" t="s">
        <v>403</v>
      </c>
      <c r="BU77" s="35" t="s">
        <v>1994</v>
      </c>
      <c r="BV77" s="35" t="s">
        <v>405</v>
      </c>
      <c r="BX77" s="35" t="s">
        <v>406</v>
      </c>
      <c r="BY77" s="35" t="s">
        <v>2503</v>
      </c>
      <c r="BZ77" s="35" t="s">
        <v>455</v>
      </c>
      <c r="CA77" s="35" t="s">
        <v>10838</v>
      </c>
      <c r="CB77" s="35" t="s">
        <v>10839</v>
      </c>
      <c r="CC77" s="35" t="s">
        <v>10840</v>
      </c>
      <c r="CD77" s="35" t="s">
        <v>10841</v>
      </c>
      <c r="CE77" s="35" t="s">
        <v>451</v>
      </c>
      <c r="CF77" s="35" t="s">
        <v>10842</v>
      </c>
      <c r="CG77" s="35" t="s">
        <v>1697</v>
      </c>
      <c r="CI77" s="35" t="s">
        <v>1259</v>
      </c>
      <c r="CJ77" s="35" t="s">
        <v>410</v>
      </c>
      <c r="CK77" s="35" t="s">
        <v>10843</v>
      </c>
      <c r="CL77" s="35" t="s">
        <v>4788</v>
      </c>
      <c r="EU77" s="35" t="s">
        <v>526</v>
      </c>
      <c r="EV77" s="35" t="s">
        <v>579</v>
      </c>
      <c r="EW77" s="35" t="s">
        <v>527</v>
      </c>
      <c r="EX77" s="35" t="s">
        <v>4789</v>
      </c>
      <c r="EY77" s="35" t="s">
        <v>4790</v>
      </c>
      <c r="EZ77" s="35" t="s">
        <v>4791</v>
      </c>
      <c r="FA77" s="35" t="s">
        <v>413</v>
      </c>
      <c r="FB77" s="35" t="s">
        <v>583</v>
      </c>
      <c r="FC77" s="35" t="s">
        <v>413</v>
      </c>
      <c r="FD77" s="35" t="s">
        <v>413</v>
      </c>
      <c r="FE77" s="35" t="s">
        <v>413</v>
      </c>
      <c r="FF77" s="35" t="s">
        <v>415</v>
      </c>
      <c r="FG77" s="35" t="s">
        <v>413</v>
      </c>
      <c r="FH77" s="35" t="s">
        <v>413</v>
      </c>
      <c r="FI77" s="35" t="s">
        <v>413</v>
      </c>
      <c r="FJ77" s="35" t="s">
        <v>413</v>
      </c>
      <c r="FK77" s="35" t="s">
        <v>413</v>
      </c>
      <c r="FL77" s="35" t="s">
        <v>413</v>
      </c>
      <c r="FM77" s="35" t="s">
        <v>413</v>
      </c>
      <c r="FN77" s="35" t="s">
        <v>413</v>
      </c>
      <c r="FO77" s="35" t="s">
        <v>413</v>
      </c>
      <c r="FP77" s="35" t="s">
        <v>417</v>
      </c>
      <c r="FQ77" s="35" t="s">
        <v>418</v>
      </c>
      <c r="FR77" s="35" t="s">
        <v>531</v>
      </c>
      <c r="FS77" s="35" t="s">
        <v>10844</v>
      </c>
      <c r="FT77" s="35" t="s">
        <v>420</v>
      </c>
      <c r="FU77" s="35" t="s">
        <v>488</v>
      </c>
      <c r="FV77" s="35" t="s">
        <v>1235</v>
      </c>
      <c r="FW77" s="35" t="s">
        <v>490</v>
      </c>
      <c r="FX77" s="35" t="s">
        <v>1853</v>
      </c>
      <c r="FY77" s="35" t="s">
        <v>10845</v>
      </c>
      <c r="FZ77" s="35" t="s">
        <v>535</v>
      </c>
      <c r="GA77" s="35" t="s">
        <v>4794</v>
      </c>
      <c r="GB77" s="35" t="s">
        <v>4795</v>
      </c>
      <c r="GC77" s="35" t="s">
        <v>408</v>
      </c>
      <c r="GK77" s="35" t="s">
        <v>755</v>
      </c>
      <c r="GL77" s="35" t="s">
        <v>755</v>
      </c>
      <c r="GM77" s="35" t="s">
        <v>946</v>
      </c>
      <c r="GO77" s="35" t="s">
        <v>538</v>
      </c>
      <c r="GQ77" s="35" t="s">
        <v>387</v>
      </c>
      <c r="GR77" s="35" t="s">
        <v>4796</v>
      </c>
      <c r="GS77" s="35" t="s">
        <v>4741</v>
      </c>
      <c r="GT77" s="35" t="s">
        <v>4797</v>
      </c>
    </row>
    <row r="78">
      <c r="A78" s="40"/>
      <c r="B78" s="40">
        <v>45842.748646921296</v>
      </c>
      <c r="C78" s="35" t="s">
        <v>368</v>
      </c>
      <c r="D78" s="35" t="s">
        <v>370</v>
      </c>
      <c r="E78" s="35" t="s">
        <v>370</v>
      </c>
      <c r="F78" s="35" t="s">
        <v>667</v>
      </c>
      <c r="G78" s="35" t="s">
        <v>1510</v>
      </c>
      <c r="H78" s="35" t="s">
        <v>422</v>
      </c>
      <c r="I78" s="35" t="s">
        <v>496</v>
      </c>
      <c r="J78" s="35" t="s">
        <v>2578</v>
      </c>
      <c r="K78" s="35" t="s">
        <v>425</v>
      </c>
      <c r="L78" s="35" t="s">
        <v>376</v>
      </c>
      <c r="M78" s="35" t="s">
        <v>591</v>
      </c>
      <c r="N78" s="35" t="s">
        <v>719</v>
      </c>
      <c r="O78" s="35" t="s">
        <v>379</v>
      </c>
      <c r="P78" s="35" t="s">
        <v>380</v>
      </c>
      <c r="Q78" s="35" t="s">
        <v>381</v>
      </c>
      <c r="R78" s="35" t="s">
        <v>862</v>
      </c>
      <c r="S78" s="35" t="s">
        <v>949</v>
      </c>
      <c r="T78" s="35" t="s">
        <v>384</v>
      </c>
      <c r="U78" s="35" t="s">
        <v>385</v>
      </c>
      <c r="X78" s="35" t="s">
        <v>386</v>
      </c>
      <c r="Y78" s="35" t="s">
        <v>387</v>
      </c>
      <c r="Z78" s="35" t="s">
        <v>1824</v>
      </c>
      <c r="AA78" s="35" t="s">
        <v>543</v>
      </c>
      <c r="AB78" s="35" t="s">
        <v>4798</v>
      </c>
      <c r="AC78" s="35" t="s">
        <v>10846</v>
      </c>
      <c r="AW78" s="35" t="s">
        <v>597</v>
      </c>
      <c r="AX78" s="41">
        <v>4.0</v>
      </c>
      <c r="AY78" s="41">
        <v>2.0</v>
      </c>
      <c r="AZ78" s="35" t="s">
        <v>675</v>
      </c>
      <c r="BA78" s="41">
        <v>4.0</v>
      </c>
      <c r="BB78" s="35" t="s">
        <v>675</v>
      </c>
      <c r="BC78" s="35" t="s">
        <v>675</v>
      </c>
      <c r="BD78" s="35" t="s">
        <v>4800</v>
      </c>
      <c r="BE78" s="35" t="s">
        <v>4801</v>
      </c>
      <c r="BF78" s="35" t="s">
        <v>432</v>
      </c>
      <c r="BG78" s="35" t="s">
        <v>1095</v>
      </c>
      <c r="BH78" s="35" t="s">
        <v>394</v>
      </c>
      <c r="BI78" s="35" t="s">
        <v>4802</v>
      </c>
      <c r="BJ78" s="35" t="s">
        <v>509</v>
      </c>
      <c r="BK78" s="35" t="s">
        <v>4803</v>
      </c>
      <c r="BL78" s="35" t="s">
        <v>511</v>
      </c>
      <c r="BM78" s="35" t="s">
        <v>512</v>
      </c>
      <c r="BN78" s="35" t="s">
        <v>397</v>
      </c>
      <c r="BO78" s="35" t="s">
        <v>398</v>
      </c>
      <c r="BP78" s="35" t="s">
        <v>4804</v>
      </c>
      <c r="BQ78" s="35" t="s">
        <v>10847</v>
      </c>
      <c r="BR78" s="35" t="s">
        <v>442</v>
      </c>
      <c r="BS78" s="35" t="s">
        <v>4806</v>
      </c>
      <c r="BT78" s="35" t="s">
        <v>1671</v>
      </c>
      <c r="BU78" s="35" t="s">
        <v>4368</v>
      </c>
      <c r="BV78" s="35" t="s">
        <v>1831</v>
      </c>
      <c r="BW78" s="35" t="s">
        <v>4807</v>
      </c>
      <c r="BX78" s="35" t="s">
        <v>406</v>
      </c>
      <c r="BY78" s="35" t="s">
        <v>407</v>
      </c>
      <c r="BZ78" s="35" t="s">
        <v>733</v>
      </c>
      <c r="CA78" s="35" t="s">
        <v>4808</v>
      </c>
      <c r="CB78" s="35" t="s">
        <v>10848</v>
      </c>
      <c r="CC78" s="35" t="s">
        <v>4810</v>
      </c>
      <c r="CD78" s="35" t="s">
        <v>4811</v>
      </c>
      <c r="CE78" s="35" t="s">
        <v>451</v>
      </c>
      <c r="CF78" s="35" t="s">
        <v>4812</v>
      </c>
      <c r="CG78" s="35" t="s">
        <v>1749</v>
      </c>
      <c r="CH78" s="35" t="s">
        <v>4813</v>
      </c>
      <c r="CI78" s="35" t="s">
        <v>2744</v>
      </c>
      <c r="CJ78" s="35" t="s">
        <v>410</v>
      </c>
      <c r="CK78" s="35" t="s">
        <v>4814</v>
      </c>
      <c r="CL78" s="35" t="s">
        <v>4815</v>
      </c>
      <c r="EU78" s="35" t="s">
        <v>578</v>
      </c>
      <c r="EV78" s="35" t="s">
        <v>479</v>
      </c>
      <c r="EW78" s="35" t="s">
        <v>527</v>
      </c>
      <c r="EX78" s="35" t="s">
        <v>4816</v>
      </c>
      <c r="EY78" s="35" t="s">
        <v>10849</v>
      </c>
      <c r="EZ78" s="35" t="s">
        <v>4818</v>
      </c>
      <c r="FA78" s="35" t="s">
        <v>583</v>
      </c>
      <c r="FB78" s="35" t="s">
        <v>583</v>
      </c>
      <c r="FC78" s="35" t="s">
        <v>414</v>
      </c>
      <c r="FD78" s="35" t="s">
        <v>583</v>
      </c>
      <c r="FE78" s="35" t="s">
        <v>415</v>
      </c>
      <c r="FF78" s="35" t="s">
        <v>583</v>
      </c>
      <c r="FG78" s="35" t="s">
        <v>583</v>
      </c>
      <c r="FH78" s="35" t="s">
        <v>583</v>
      </c>
      <c r="FI78" s="35" t="s">
        <v>414</v>
      </c>
      <c r="FJ78" s="35" t="s">
        <v>583</v>
      </c>
      <c r="FK78" s="35" t="s">
        <v>583</v>
      </c>
      <c r="FL78" s="35" t="s">
        <v>415</v>
      </c>
      <c r="FM78" s="35" t="s">
        <v>583</v>
      </c>
      <c r="FN78" s="35" t="s">
        <v>415</v>
      </c>
      <c r="FO78" s="35" t="s">
        <v>414</v>
      </c>
      <c r="FP78" s="35" t="s">
        <v>417</v>
      </c>
      <c r="FQ78" s="35" t="s">
        <v>418</v>
      </c>
      <c r="FR78" s="35" t="s">
        <v>630</v>
      </c>
      <c r="FS78" s="35" t="s">
        <v>10850</v>
      </c>
      <c r="FT78" s="35" t="s">
        <v>1189</v>
      </c>
      <c r="FU78" s="35" t="s">
        <v>1462</v>
      </c>
      <c r="FV78" s="35" t="s">
        <v>489</v>
      </c>
      <c r="FW78" s="35" t="s">
        <v>490</v>
      </c>
      <c r="FX78" s="35" t="s">
        <v>491</v>
      </c>
      <c r="FY78" s="35" t="s">
        <v>4820</v>
      </c>
      <c r="FZ78" s="35" t="s">
        <v>493</v>
      </c>
      <c r="GA78" s="35" t="s">
        <v>4821</v>
      </c>
      <c r="GB78" s="35" t="s">
        <v>4822</v>
      </c>
      <c r="GC78" s="35" t="s">
        <v>455</v>
      </c>
      <c r="GD78" s="35" t="s">
        <v>10851</v>
      </c>
      <c r="GE78" s="35" t="s">
        <v>10852</v>
      </c>
      <c r="GF78" s="35" t="s">
        <v>786</v>
      </c>
      <c r="GG78" s="35" t="s">
        <v>4823</v>
      </c>
      <c r="GK78" s="35" t="s">
        <v>857</v>
      </c>
      <c r="GL78" s="35" t="s">
        <v>857</v>
      </c>
      <c r="GM78" s="35" t="s">
        <v>946</v>
      </c>
      <c r="GR78" s="35" t="s">
        <v>3208</v>
      </c>
      <c r="GS78" s="35" t="s">
        <v>4774</v>
      </c>
      <c r="GT78" s="35" t="s">
        <v>10853</v>
      </c>
    </row>
    <row r="79">
      <c r="A79" s="40"/>
      <c r="B79" s="40">
        <v>45842.78131636574</v>
      </c>
      <c r="C79" s="35" t="s">
        <v>368</v>
      </c>
      <c r="D79" s="35" t="s">
        <v>370</v>
      </c>
      <c r="E79" s="35" t="s">
        <v>370</v>
      </c>
      <c r="F79" s="35" t="s">
        <v>1001</v>
      </c>
      <c r="G79" s="35" t="s">
        <v>1001</v>
      </c>
      <c r="H79" s="35" t="s">
        <v>422</v>
      </c>
      <c r="I79" s="35" t="s">
        <v>637</v>
      </c>
      <c r="J79" s="35" t="s">
        <v>638</v>
      </c>
      <c r="K79" s="35" t="s">
        <v>375</v>
      </c>
      <c r="L79" s="35" t="s">
        <v>376</v>
      </c>
      <c r="M79" s="35" t="s">
        <v>670</v>
      </c>
      <c r="N79" s="35" t="s">
        <v>639</v>
      </c>
      <c r="O79" s="35" t="s">
        <v>670</v>
      </c>
      <c r="P79" s="35" t="s">
        <v>497</v>
      </c>
      <c r="Q79" s="35" t="s">
        <v>498</v>
      </c>
      <c r="R79" s="35" t="s">
        <v>862</v>
      </c>
      <c r="S79" s="35" t="s">
        <v>949</v>
      </c>
      <c r="T79" s="35" t="s">
        <v>384</v>
      </c>
      <c r="U79" s="35" t="s">
        <v>385</v>
      </c>
      <c r="X79" s="35" t="s">
        <v>386</v>
      </c>
      <c r="Y79" s="35" t="s">
        <v>387</v>
      </c>
      <c r="AA79" s="35" t="s">
        <v>543</v>
      </c>
      <c r="AW79" s="35" t="s">
        <v>1310</v>
      </c>
      <c r="AX79" s="35" t="s">
        <v>675</v>
      </c>
      <c r="AY79" s="35" t="s">
        <v>675</v>
      </c>
      <c r="AZ79" s="35" t="s">
        <v>675</v>
      </c>
      <c r="BA79" s="41">
        <v>4.0</v>
      </c>
      <c r="BB79" s="35" t="s">
        <v>675</v>
      </c>
      <c r="BC79" s="35" t="s">
        <v>675</v>
      </c>
      <c r="BF79" s="35" t="s">
        <v>902</v>
      </c>
      <c r="BG79" s="35" t="s">
        <v>1095</v>
      </c>
      <c r="BH79" s="35" t="s">
        <v>394</v>
      </c>
      <c r="BJ79" s="35" t="s">
        <v>727</v>
      </c>
      <c r="BL79" s="35" t="s">
        <v>602</v>
      </c>
      <c r="BM79" s="35" t="s">
        <v>603</v>
      </c>
      <c r="BN79" s="35" t="s">
        <v>1314</v>
      </c>
      <c r="BO79" s="35" t="s">
        <v>398</v>
      </c>
      <c r="BR79" s="35" t="s">
        <v>442</v>
      </c>
      <c r="BS79" s="35" t="s">
        <v>4825</v>
      </c>
      <c r="BT79" s="35" t="s">
        <v>1741</v>
      </c>
      <c r="BU79" s="35" t="s">
        <v>1771</v>
      </c>
      <c r="BV79" s="35" t="s">
        <v>405</v>
      </c>
      <c r="BX79" s="35" t="s">
        <v>457</v>
      </c>
      <c r="BZ79" s="35" t="s">
        <v>408</v>
      </c>
      <c r="CE79" s="35" t="s">
        <v>1257</v>
      </c>
      <c r="CG79" s="35" t="s">
        <v>1258</v>
      </c>
      <c r="CI79" s="35" t="s">
        <v>1259</v>
      </c>
      <c r="EU79" s="35" t="s">
        <v>526</v>
      </c>
      <c r="EV79" s="35" t="s">
        <v>1127</v>
      </c>
      <c r="EW79" s="35" t="s">
        <v>527</v>
      </c>
      <c r="FA79" s="35" t="s">
        <v>413</v>
      </c>
      <c r="FB79" s="35" t="s">
        <v>415</v>
      </c>
      <c r="FC79" s="35" t="s">
        <v>413</v>
      </c>
      <c r="FD79" s="35" t="s">
        <v>413</v>
      </c>
      <c r="FE79" s="35" t="s">
        <v>413</v>
      </c>
      <c r="FF79" s="35" t="s">
        <v>413</v>
      </c>
      <c r="FG79" s="35" t="s">
        <v>413</v>
      </c>
      <c r="FH79" s="35" t="s">
        <v>583</v>
      </c>
      <c r="FI79" s="35" t="s">
        <v>413</v>
      </c>
      <c r="FJ79" s="35" t="s">
        <v>415</v>
      </c>
      <c r="FK79" s="35" t="s">
        <v>416</v>
      </c>
      <c r="FL79" s="35" t="s">
        <v>413</v>
      </c>
      <c r="FM79" s="35" t="s">
        <v>415</v>
      </c>
      <c r="FN79" s="35" t="s">
        <v>414</v>
      </c>
      <c r="FO79" s="35" t="s">
        <v>416</v>
      </c>
      <c r="FP79" s="35" t="s">
        <v>485</v>
      </c>
      <c r="FQ79" s="35" t="s">
        <v>418</v>
      </c>
      <c r="FR79" s="35" t="s">
        <v>1039</v>
      </c>
      <c r="FT79" s="35" t="s">
        <v>420</v>
      </c>
      <c r="FU79" s="35" t="s">
        <v>488</v>
      </c>
      <c r="FV79" s="35" t="s">
        <v>918</v>
      </c>
      <c r="FW79" s="35" t="s">
        <v>490</v>
      </c>
      <c r="FX79" s="35" t="s">
        <v>491</v>
      </c>
      <c r="FZ79" s="35" t="s">
        <v>535</v>
      </c>
      <c r="GC79" s="35" t="s">
        <v>408</v>
      </c>
      <c r="GK79" s="35" t="s">
        <v>755</v>
      </c>
      <c r="GL79" s="35" t="s">
        <v>755</v>
      </c>
      <c r="GM79" s="35" t="s">
        <v>817</v>
      </c>
      <c r="GR79" s="35" t="s">
        <v>3208</v>
      </c>
      <c r="GS79" s="35" t="s">
        <v>4774</v>
      </c>
    </row>
    <row r="80">
      <c r="A80" s="40"/>
      <c r="B80" s="40">
        <v>45843.44344015046</v>
      </c>
      <c r="C80" s="35" t="s">
        <v>368</v>
      </c>
      <c r="D80" s="35" t="s">
        <v>538</v>
      </c>
      <c r="H80" s="35" t="s">
        <v>422</v>
      </c>
      <c r="I80" s="35" t="s">
        <v>423</v>
      </c>
      <c r="J80" s="35" t="s">
        <v>668</v>
      </c>
      <c r="K80" s="35" t="s">
        <v>590</v>
      </c>
      <c r="L80" s="35" t="s">
        <v>376</v>
      </c>
      <c r="M80" s="35" t="s">
        <v>377</v>
      </c>
      <c r="N80" s="35" t="s">
        <v>380</v>
      </c>
      <c r="O80" s="35" t="s">
        <v>377</v>
      </c>
      <c r="P80" s="35" t="s">
        <v>497</v>
      </c>
      <c r="Q80" s="35" t="s">
        <v>381</v>
      </c>
      <c r="R80" s="35" t="s">
        <v>862</v>
      </c>
      <c r="S80" s="35" t="s">
        <v>427</v>
      </c>
      <c r="T80" s="35" t="s">
        <v>384</v>
      </c>
      <c r="U80" s="35" t="s">
        <v>385</v>
      </c>
      <c r="X80" s="35" t="s">
        <v>593</v>
      </c>
      <c r="Y80" s="35" t="s">
        <v>387</v>
      </c>
      <c r="AA80" s="35" t="s">
        <v>543</v>
      </c>
      <c r="AB80" s="35" t="s">
        <v>408</v>
      </c>
      <c r="AW80" s="35" t="s">
        <v>597</v>
      </c>
      <c r="AX80" s="41">
        <v>4.0</v>
      </c>
      <c r="AY80" s="35" t="s">
        <v>391</v>
      </c>
      <c r="AZ80" s="41">
        <v>4.0</v>
      </c>
      <c r="BA80" s="35" t="s">
        <v>391</v>
      </c>
      <c r="BB80" s="41">
        <v>2.0</v>
      </c>
      <c r="BC80" s="35" t="s">
        <v>391</v>
      </c>
      <c r="BD80" s="35" t="s">
        <v>4826</v>
      </c>
      <c r="BE80" s="35" t="s">
        <v>10854</v>
      </c>
      <c r="BF80" s="35" t="s">
        <v>392</v>
      </c>
      <c r="BH80" s="35" t="s">
        <v>725</v>
      </c>
      <c r="BJ80" s="35" t="s">
        <v>435</v>
      </c>
      <c r="BK80" s="35" t="s">
        <v>4828</v>
      </c>
      <c r="BL80" s="35" t="s">
        <v>395</v>
      </c>
      <c r="BM80" s="35" t="s">
        <v>512</v>
      </c>
      <c r="BN80" s="35" t="s">
        <v>397</v>
      </c>
      <c r="BO80" s="35" t="s">
        <v>398</v>
      </c>
      <c r="BQ80" s="35" t="s">
        <v>10855</v>
      </c>
      <c r="BR80" s="35" t="s">
        <v>401</v>
      </c>
      <c r="BS80" s="35" t="s">
        <v>4830</v>
      </c>
      <c r="BT80" s="35" t="s">
        <v>4071</v>
      </c>
      <c r="BU80" s="35" t="s">
        <v>4072</v>
      </c>
      <c r="BV80" s="35" t="s">
        <v>1772</v>
      </c>
      <c r="BW80" s="35" t="s">
        <v>4831</v>
      </c>
      <c r="BX80" s="35" t="s">
        <v>406</v>
      </c>
      <c r="BY80" s="35" t="s">
        <v>1867</v>
      </c>
      <c r="BZ80" s="35" t="s">
        <v>455</v>
      </c>
      <c r="CA80" s="35" t="s">
        <v>4832</v>
      </c>
      <c r="CB80" s="35" t="s">
        <v>10856</v>
      </c>
      <c r="CC80" s="35" t="s">
        <v>4834</v>
      </c>
      <c r="CD80" s="35" t="s">
        <v>10857</v>
      </c>
      <c r="CE80" s="35" t="s">
        <v>409</v>
      </c>
      <c r="CF80" s="35" t="s">
        <v>10858</v>
      </c>
      <c r="CG80" s="35" t="s">
        <v>1258</v>
      </c>
      <c r="CI80" s="35" t="s">
        <v>1698</v>
      </c>
      <c r="CK80" s="35" t="s">
        <v>4836</v>
      </c>
      <c r="EU80" s="35" t="s">
        <v>578</v>
      </c>
      <c r="EV80" s="35" t="s">
        <v>579</v>
      </c>
      <c r="EW80" s="35" t="s">
        <v>1534</v>
      </c>
      <c r="EY80" s="35" t="s">
        <v>10859</v>
      </c>
      <c r="EZ80" s="35" t="s">
        <v>1380</v>
      </c>
      <c r="FA80" s="35" t="s">
        <v>415</v>
      </c>
      <c r="FB80" s="35" t="s">
        <v>415</v>
      </c>
      <c r="FC80" s="35" t="s">
        <v>413</v>
      </c>
      <c r="FD80" s="35" t="s">
        <v>414</v>
      </c>
      <c r="FE80" s="35" t="s">
        <v>413</v>
      </c>
      <c r="FF80" s="35" t="s">
        <v>484</v>
      </c>
      <c r="FG80" s="35" t="s">
        <v>583</v>
      </c>
      <c r="FH80" s="35" t="s">
        <v>414</v>
      </c>
      <c r="FI80" s="35" t="s">
        <v>416</v>
      </c>
      <c r="FJ80" s="35" t="s">
        <v>416</v>
      </c>
      <c r="FK80" s="35" t="s">
        <v>583</v>
      </c>
      <c r="FL80" s="35" t="s">
        <v>415</v>
      </c>
      <c r="FM80" s="35" t="s">
        <v>415</v>
      </c>
      <c r="FN80" s="35" t="s">
        <v>415</v>
      </c>
      <c r="FO80" s="35" t="s">
        <v>583</v>
      </c>
      <c r="FP80" s="35" t="s">
        <v>1074</v>
      </c>
      <c r="FQ80" s="35" t="s">
        <v>486</v>
      </c>
      <c r="FR80" s="35" t="s">
        <v>419</v>
      </c>
      <c r="FS80" s="35" t="s">
        <v>4838</v>
      </c>
      <c r="FT80" s="35" t="s">
        <v>1076</v>
      </c>
      <c r="FU80" s="35" t="s">
        <v>488</v>
      </c>
      <c r="FV80" s="35" t="s">
        <v>918</v>
      </c>
      <c r="FW80" s="35" t="s">
        <v>490</v>
      </c>
      <c r="FX80" s="35" t="s">
        <v>491</v>
      </c>
      <c r="FY80" s="35" t="s">
        <v>10860</v>
      </c>
      <c r="FZ80" s="35" t="s">
        <v>535</v>
      </c>
      <c r="GC80" s="35" t="s">
        <v>455</v>
      </c>
      <c r="GD80" s="35" t="s">
        <v>10861</v>
      </c>
      <c r="GF80" s="35" t="s">
        <v>753</v>
      </c>
      <c r="GG80" s="35" t="s">
        <v>455</v>
      </c>
      <c r="GK80" s="35" t="s">
        <v>789</v>
      </c>
      <c r="GL80" s="35" t="s">
        <v>789</v>
      </c>
      <c r="GM80" s="35" t="s">
        <v>790</v>
      </c>
      <c r="GR80" s="35" t="s">
        <v>3208</v>
      </c>
      <c r="GS80" s="35" t="s">
        <v>4840</v>
      </c>
      <c r="GT80" s="35" t="s">
        <v>4841</v>
      </c>
    </row>
    <row r="81">
      <c r="A81" s="40"/>
      <c r="B81" s="40">
        <v>45844.052393356484</v>
      </c>
      <c r="C81" s="35" t="s">
        <v>368</v>
      </c>
      <c r="D81" s="35" t="s">
        <v>947</v>
      </c>
      <c r="E81" s="35" t="s">
        <v>947</v>
      </c>
      <c r="H81" s="35" t="s">
        <v>422</v>
      </c>
      <c r="I81" s="35" t="s">
        <v>637</v>
      </c>
      <c r="J81" s="35" t="s">
        <v>638</v>
      </c>
      <c r="K81" s="35" t="s">
        <v>375</v>
      </c>
      <c r="L81" s="35" t="s">
        <v>376</v>
      </c>
      <c r="M81" s="35" t="s">
        <v>379</v>
      </c>
      <c r="N81" s="35" t="s">
        <v>860</v>
      </c>
      <c r="O81" s="35" t="s">
        <v>377</v>
      </c>
      <c r="P81" s="35" t="s">
        <v>380</v>
      </c>
      <c r="Q81" s="35" t="s">
        <v>381</v>
      </c>
      <c r="R81" s="35" t="s">
        <v>382</v>
      </c>
      <c r="S81" s="35" t="s">
        <v>500</v>
      </c>
      <c r="T81" s="35" t="s">
        <v>384</v>
      </c>
      <c r="U81" s="35" t="s">
        <v>385</v>
      </c>
      <c r="X81" s="35" t="s">
        <v>3014</v>
      </c>
      <c r="AW81" s="35" t="s">
        <v>1242</v>
      </c>
      <c r="AX81" s="35" t="s">
        <v>675</v>
      </c>
      <c r="AY81" s="35" t="s">
        <v>675</v>
      </c>
      <c r="AZ81" s="35" t="s">
        <v>675</v>
      </c>
      <c r="BA81" s="35" t="s">
        <v>675</v>
      </c>
      <c r="BB81" s="35" t="s">
        <v>675</v>
      </c>
      <c r="BC81" s="35" t="s">
        <v>675</v>
      </c>
      <c r="BD81" s="35" t="s">
        <v>10862</v>
      </c>
      <c r="BF81" s="35" t="s">
        <v>432</v>
      </c>
      <c r="BG81" s="35" t="s">
        <v>1245</v>
      </c>
      <c r="BH81" s="35" t="s">
        <v>394</v>
      </c>
      <c r="BJ81" s="35" t="s">
        <v>435</v>
      </c>
      <c r="BK81" s="35" t="s">
        <v>4843</v>
      </c>
      <c r="BL81" s="35" t="s">
        <v>602</v>
      </c>
      <c r="BM81" s="35" t="s">
        <v>904</v>
      </c>
      <c r="BN81" s="35" t="s">
        <v>1247</v>
      </c>
      <c r="BO81" s="35" t="s">
        <v>398</v>
      </c>
      <c r="BP81" s="35" t="s">
        <v>4844</v>
      </c>
      <c r="BR81" s="35" t="s">
        <v>604</v>
      </c>
      <c r="BS81" s="35" t="s">
        <v>2583</v>
      </c>
      <c r="BT81" s="35" t="s">
        <v>4071</v>
      </c>
      <c r="BU81" s="35" t="s">
        <v>4845</v>
      </c>
      <c r="BV81" s="35" t="s">
        <v>405</v>
      </c>
      <c r="BX81" s="35" t="s">
        <v>406</v>
      </c>
      <c r="BY81" s="35" t="s">
        <v>2503</v>
      </c>
      <c r="BZ81" s="35" t="s">
        <v>408</v>
      </c>
      <c r="CC81" s="35" t="s">
        <v>4846</v>
      </c>
      <c r="CD81" s="35" t="s">
        <v>6790</v>
      </c>
      <c r="CE81" s="35" t="s">
        <v>451</v>
      </c>
      <c r="CF81" s="35" t="s">
        <v>4847</v>
      </c>
      <c r="CG81" s="35" t="s">
        <v>1697</v>
      </c>
      <c r="CH81" s="35" t="s">
        <v>4848</v>
      </c>
      <c r="CI81" s="35" t="s">
        <v>1259</v>
      </c>
      <c r="CJ81" s="35" t="s">
        <v>410</v>
      </c>
      <c r="CK81" s="35" t="s">
        <v>4849</v>
      </c>
      <c r="EU81" s="35" t="s">
        <v>578</v>
      </c>
      <c r="EV81" s="35" t="s">
        <v>579</v>
      </c>
      <c r="EW81" s="35" t="s">
        <v>1534</v>
      </c>
      <c r="FA81" s="35" t="s">
        <v>583</v>
      </c>
      <c r="FB81" s="35" t="s">
        <v>583</v>
      </c>
      <c r="FC81" s="35" t="s">
        <v>413</v>
      </c>
      <c r="FD81" s="35" t="s">
        <v>414</v>
      </c>
      <c r="FE81" s="35" t="s">
        <v>413</v>
      </c>
      <c r="FF81" s="35" t="s">
        <v>583</v>
      </c>
      <c r="FG81" s="35" t="s">
        <v>484</v>
      </c>
      <c r="FH81" s="35" t="s">
        <v>583</v>
      </c>
      <c r="FI81" s="35" t="s">
        <v>413</v>
      </c>
      <c r="FK81" s="35" t="s">
        <v>484</v>
      </c>
      <c r="FL81" s="35" t="s">
        <v>484</v>
      </c>
      <c r="FM81" s="35" t="s">
        <v>484</v>
      </c>
      <c r="FN81" s="35" t="s">
        <v>484</v>
      </c>
      <c r="FO81" s="35" t="s">
        <v>484</v>
      </c>
      <c r="FP81" s="35" t="s">
        <v>417</v>
      </c>
      <c r="FQ81" s="35" t="s">
        <v>486</v>
      </c>
      <c r="FR81" s="35" t="s">
        <v>749</v>
      </c>
      <c r="FT81" s="35" t="s">
        <v>420</v>
      </c>
      <c r="FU81" s="35" t="s">
        <v>488</v>
      </c>
      <c r="FV81" s="35" t="s">
        <v>585</v>
      </c>
      <c r="FW81" s="35" t="s">
        <v>490</v>
      </c>
      <c r="FX81" s="35" t="s">
        <v>491</v>
      </c>
      <c r="FZ81" s="35" t="s">
        <v>535</v>
      </c>
      <c r="GC81" s="35" t="s">
        <v>408</v>
      </c>
      <c r="GK81" s="35" t="s">
        <v>755</v>
      </c>
      <c r="GL81" s="35" t="s">
        <v>755</v>
      </c>
      <c r="GM81" s="35" t="s">
        <v>946</v>
      </c>
      <c r="GO81" s="35" t="s">
        <v>4850</v>
      </c>
      <c r="GP81" s="35" t="s">
        <v>10863</v>
      </c>
      <c r="GR81" s="35" t="s">
        <v>3351</v>
      </c>
      <c r="GS81" s="35" t="s">
        <v>4774</v>
      </c>
    </row>
    <row r="82">
      <c r="A82" s="40"/>
      <c r="B82" s="40">
        <v>45844.46542105324</v>
      </c>
      <c r="C82" s="35" t="s">
        <v>368</v>
      </c>
      <c r="D82" s="35" t="s">
        <v>370</v>
      </c>
      <c r="E82" s="35" t="s">
        <v>370</v>
      </c>
      <c r="F82" s="35" t="s">
        <v>791</v>
      </c>
      <c r="G82" s="35" t="s">
        <v>791</v>
      </c>
      <c r="H82" s="35" t="s">
        <v>422</v>
      </c>
      <c r="I82" s="35" t="s">
        <v>539</v>
      </c>
      <c r="J82" s="35" t="s">
        <v>2578</v>
      </c>
      <c r="K82" s="35" t="s">
        <v>590</v>
      </c>
      <c r="L82" s="35" t="s">
        <v>376</v>
      </c>
      <c r="M82" s="35" t="s">
        <v>426</v>
      </c>
      <c r="N82" s="35" t="s">
        <v>541</v>
      </c>
      <c r="O82" s="35" t="s">
        <v>426</v>
      </c>
      <c r="P82" s="35" t="s">
        <v>4861</v>
      </c>
      <c r="Q82" s="35" t="s">
        <v>498</v>
      </c>
      <c r="R82" s="35" t="s">
        <v>499</v>
      </c>
      <c r="S82" s="35" t="s">
        <v>500</v>
      </c>
      <c r="T82" s="35" t="s">
        <v>384</v>
      </c>
      <c r="U82" s="35" t="s">
        <v>385</v>
      </c>
      <c r="X82" s="35" t="s">
        <v>386</v>
      </c>
      <c r="Y82" s="35" t="s">
        <v>387</v>
      </c>
      <c r="Z82" s="35" t="s">
        <v>1444</v>
      </c>
      <c r="AA82" s="35" t="s">
        <v>543</v>
      </c>
      <c r="AW82" s="35" t="s">
        <v>1242</v>
      </c>
      <c r="AX82" s="35" t="s">
        <v>675</v>
      </c>
      <c r="AY82" s="35" t="s">
        <v>675</v>
      </c>
      <c r="AZ82" s="35" t="s">
        <v>391</v>
      </c>
      <c r="BA82" s="35" t="s">
        <v>391</v>
      </c>
      <c r="BB82" s="35" t="s">
        <v>675</v>
      </c>
      <c r="BC82" s="35" t="s">
        <v>675</v>
      </c>
      <c r="BD82" s="35" t="s">
        <v>4862</v>
      </c>
      <c r="BE82" s="35" t="s">
        <v>4863</v>
      </c>
      <c r="BF82" s="35" t="s">
        <v>902</v>
      </c>
      <c r="BG82" s="35" t="s">
        <v>1095</v>
      </c>
      <c r="BH82" s="35" t="s">
        <v>434</v>
      </c>
      <c r="BI82" s="35" t="s">
        <v>4864</v>
      </c>
      <c r="BJ82" s="35" t="s">
        <v>435</v>
      </c>
      <c r="BL82" s="35" t="s">
        <v>437</v>
      </c>
      <c r="BM82" s="35" t="s">
        <v>603</v>
      </c>
      <c r="BN82" s="35" t="s">
        <v>1314</v>
      </c>
      <c r="BO82" s="35" t="s">
        <v>398</v>
      </c>
      <c r="BP82" s="35" t="s">
        <v>4865</v>
      </c>
      <c r="BQ82" s="35" t="s">
        <v>408</v>
      </c>
      <c r="BR82" s="35" t="s">
        <v>442</v>
      </c>
      <c r="BS82" s="35" t="s">
        <v>2227</v>
      </c>
      <c r="BT82" s="35" t="s">
        <v>1741</v>
      </c>
      <c r="BU82" s="35" t="s">
        <v>404</v>
      </c>
      <c r="BV82" s="35" t="s">
        <v>405</v>
      </c>
      <c r="BX82" s="35" t="s">
        <v>988</v>
      </c>
      <c r="BZ82" s="35" t="s">
        <v>408</v>
      </c>
      <c r="CB82" s="35" t="s">
        <v>10864</v>
      </c>
      <c r="CC82" s="35" t="s">
        <v>4867</v>
      </c>
      <c r="CD82" s="35" t="s">
        <v>4868</v>
      </c>
      <c r="CE82" s="35" t="s">
        <v>1257</v>
      </c>
      <c r="CG82" s="35" t="s">
        <v>1722</v>
      </c>
      <c r="CH82" s="35" t="s">
        <v>10865</v>
      </c>
      <c r="CI82" s="35" t="s">
        <v>1259</v>
      </c>
      <c r="CJ82" s="35" t="s">
        <v>410</v>
      </c>
      <c r="CK82" s="35" t="s">
        <v>4870</v>
      </c>
      <c r="CL82" s="35" t="s">
        <v>10866</v>
      </c>
      <c r="EU82" s="35" t="s">
        <v>526</v>
      </c>
      <c r="EV82" s="35" t="s">
        <v>479</v>
      </c>
      <c r="EW82" s="35" t="s">
        <v>1262</v>
      </c>
      <c r="EY82" s="35" t="s">
        <v>4872</v>
      </c>
      <c r="FA82" s="35" t="s">
        <v>415</v>
      </c>
      <c r="FB82" s="35" t="s">
        <v>415</v>
      </c>
      <c r="FC82" s="35" t="s">
        <v>413</v>
      </c>
      <c r="FD82" s="35" t="s">
        <v>415</v>
      </c>
      <c r="FE82" s="35" t="s">
        <v>413</v>
      </c>
      <c r="FF82" s="35" t="s">
        <v>415</v>
      </c>
      <c r="FG82" s="35" t="s">
        <v>415</v>
      </c>
      <c r="FH82" s="35" t="s">
        <v>415</v>
      </c>
      <c r="FI82" s="35" t="s">
        <v>414</v>
      </c>
      <c r="FJ82" s="35" t="s">
        <v>414</v>
      </c>
      <c r="FK82" s="35" t="s">
        <v>414</v>
      </c>
      <c r="FL82" s="35" t="s">
        <v>415</v>
      </c>
      <c r="FM82" s="35" t="s">
        <v>415</v>
      </c>
      <c r="FN82" s="35" t="s">
        <v>415</v>
      </c>
      <c r="FO82" s="35" t="s">
        <v>415</v>
      </c>
      <c r="FP82" s="35" t="s">
        <v>850</v>
      </c>
      <c r="FQ82" s="35" t="s">
        <v>418</v>
      </c>
      <c r="FR82" s="35" t="s">
        <v>419</v>
      </c>
      <c r="FT82" s="35" t="s">
        <v>995</v>
      </c>
      <c r="FU82" s="35" t="s">
        <v>488</v>
      </c>
      <c r="FV82" s="35" t="s">
        <v>489</v>
      </c>
      <c r="FW82" s="35" t="s">
        <v>490</v>
      </c>
      <c r="FX82" s="35" t="s">
        <v>491</v>
      </c>
      <c r="FZ82" s="35" t="s">
        <v>1337</v>
      </c>
      <c r="GC82" s="35" t="s">
        <v>455</v>
      </c>
      <c r="GD82" s="35" t="s">
        <v>10867</v>
      </c>
      <c r="GF82" s="35" t="s">
        <v>855</v>
      </c>
      <c r="GK82" s="35" t="s">
        <v>857</v>
      </c>
      <c r="GL82" s="35" t="s">
        <v>857</v>
      </c>
      <c r="GM82" s="35" t="s">
        <v>946</v>
      </c>
      <c r="GR82" s="35" t="s">
        <v>3351</v>
      </c>
      <c r="GS82" s="35" t="s">
        <v>4741</v>
      </c>
    </row>
    <row r="83">
      <c r="A83" s="40"/>
      <c r="B83" s="40">
        <v>45844.61704993056</v>
      </c>
      <c r="C83" s="35" t="s">
        <v>368</v>
      </c>
      <c r="D83" s="35" t="s">
        <v>4873</v>
      </c>
      <c r="E83" s="35" t="s">
        <v>4874</v>
      </c>
      <c r="H83" s="35" t="s">
        <v>422</v>
      </c>
      <c r="I83" s="35" t="s">
        <v>637</v>
      </c>
      <c r="J83" s="35" t="s">
        <v>638</v>
      </c>
      <c r="K83" s="35" t="s">
        <v>375</v>
      </c>
      <c r="L83" s="35" t="s">
        <v>376</v>
      </c>
      <c r="M83" s="35" t="s">
        <v>793</v>
      </c>
      <c r="N83" s="35" t="s">
        <v>1270</v>
      </c>
      <c r="O83" s="35" t="s">
        <v>793</v>
      </c>
      <c r="P83" s="35" t="s">
        <v>720</v>
      </c>
      <c r="Q83" s="35" t="s">
        <v>498</v>
      </c>
      <c r="R83" s="35" t="s">
        <v>759</v>
      </c>
      <c r="S83" s="35" t="s">
        <v>427</v>
      </c>
      <c r="T83" s="35" t="s">
        <v>384</v>
      </c>
      <c r="U83" s="35" t="s">
        <v>385</v>
      </c>
      <c r="AW83" s="35" t="s">
        <v>597</v>
      </c>
      <c r="BF83" s="35" t="s">
        <v>392</v>
      </c>
      <c r="BO83" s="35" t="s">
        <v>398</v>
      </c>
      <c r="BV83" s="35" t="s">
        <v>1693</v>
      </c>
      <c r="CE83" s="35" t="s">
        <v>451</v>
      </c>
      <c r="CG83" s="35" t="s">
        <v>1697</v>
      </c>
      <c r="FP83" s="35" t="s">
        <v>1074</v>
      </c>
      <c r="FQ83" s="35" t="s">
        <v>1200</v>
      </c>
      <c r="FT83" s="35" t="s">
        <v>1871</v>
      </c>
      <c r="FU83" s="35" t="s">
        <v>2398</v>
      </c>
      <c r="FV83" s="35" t="s">
        <v>918</v>
      </c>
      <c r="FX83" s="35" t="s">
        <v>1853</v>
      </c>
      <c r="GC83" s="35" t="s">
        <v>408</v>
      </c>
      <c r="GL83" s="35" t="s">
        <v>755</v>
      </c>
      <c r="GM83" s="35" t="s">
        <v>946</v>
      </c>
      <c r="GR83" s="35" t="s">
        <v>3208</v>
      </c>
    </row>
    <row r="84">
      <c r="A84" s="40"/>
      <c r="B84" s="40">
        <v>45849.67123201389</v>
      </c>
      <c r="C84" s="35" t="s">
        <v>368</v>
      </c>
      <c r="D84" s="35" t="s">
        <v>370</v>
      </c>
      <c r="E84" s="35" t="s">
        <v>370</v>
      </c>
      <c r="F84" s="35" t="s">
        <v>1421</v>
      </c>
      <c r="G84" s="35" t="s">
        <v>1849</v>
      </c>
      <c r="H84" s="35" t="s">
        <v>422</v>
      </c>
      <c r="I84" s="35" t="s">
        <v>373</v>
      </c>
      <c r="J84" s="35" t="s">
        <v>374</v>
      </c>
      <c r="K84" s="35" t="s">
        <v>425</v>
      </c>
      <c r="L84" s="35" t="s">
        <v>376</v>
      </c>
      <c r="M84" s="35" t="s">
        <v>591</v>
      </c>
      <c r="N84" s="35" t="s">
        <v>378</v>
      </c>
      <c r="O84" s="35" t="s">
        <v>591</v>
      </c>
      <c r="P84" s="35" t="s">
        <v>497</v>
      </c>
      <c r="Q84" s="35" t="s">
        <v>381</v>
      </c>
      <c r="R84" s="35" t="s">
        <v>1156</v>
      </c>
      <c r="S84" s="35" t="s">
        <v>427</v>
      </c>
      <c r="T84" s="35" t="s">
        <v>384</v>
      </c>
      <c r="U84" s="35" t="s">
        <v>385</v>
      </c>
      <c r="X84" s="35" t="s">
        <v>593</v>
      </c>
      <c r="Y84" s="35" t="s">
        <v>387</v>
      </c>
      <c r="Z84" s="35" t="s">
        <v>897</v>
      </c>
      <c r="AA84" s="35" t="s">
        <v>543</v>
      </c>
      <c r="AB84" s="35" t="s">
        <v>4937</v>
      </c>
      <c r="AC84" s="35" t="s">
        <v>4938</v>
      </c>
      <c r="AW84" s="35" t="s">
        <v>597</v>
      </c>
      <c r="AX84" s="35" t="s">
        <v>675</v>
      </c>
      <c r="AY84" s="41">
        <v>4.0</v>
      </c>
      <c r="AZ84" s="35" t="s">
        <v>675</v>
      </c>
      <c r="BA84" s="35" t="s">
        <v>675</v>
      </c>
      <c r="BB84" s="35" t="s">
        <v>391</v>
      </c>
      <c r="BC84" s="35" t="s">
        <v>675</v>
      </c>
      <c r="BD84" s="35" t="s">
        <v>2220</v>
      </c>
      <c r="BE84" s="35" t="s">
        <v>4939</v>
      </c>
      <c r="BF84" s="35" t="s">
        <v>392</v>
      </c>
      <c r="BG84" s="35" t="s">
        <v>1095</v>
      </c>
      <c r="BH84" s="35" t="s">
        <v>394</v>
      </c>
      <c r="BI84" s="35" t="s">
        <v>4940</v>
      </c>
      <c r="BJ84" s="35" t="s">
        <v>976</v>
      </c>
      <c r="BL84" s="35" t="s">
        <v>437</v>
      </c>
      <c r="BM84" s="35" t="s">
        <v>603</v>
      </c>
      <c r="BN84" s="35" t="s">
        <v>1247</v>
      </c>
      <c r="BO84" s="35" t="s">
        <v>398</v>
      </c>
      <c r="BP84" s="35" t="s">
        <v>4941</v>
      </c>
      <c r="BQ84" s="35" t="s">
        <v>4942</v>
      </c>
      <c r="BR84" s="35" t="s">
        <v>442</v>
      </c>
      <c r="BS84" s="35" t="s">
        <v>4943</v>
      </c>
      <c r="BT84" s="35" t="s">
        <v>1671</v>
      </c>
      <c r="BU84" s="35" t="s">
        <v>1771</v>
      </c>
      <c r="BV84" s="35" t="s">
        <v>405</v>
      </c>
      <c r="BX84" s="35" t="s">
        <v>457</v>
      </c>
      <c r="BZ84" s="35" t="s">
        <v>455</v>
      </c>
      <c r="CA84" s="35" t="s">
        <v>4944</v>
      </c>
      <c r="CB84" s="35" t="s">
        <v>4945</v>
      </c>
      <c r="CC84" s="35" t="s">
        <v>4946</v>
      </c>
      <c r="CD84" s="35" t="s">
        <v>4947</v>
      </c>
      <c r="CE84" s="35" t="s">
        <v>409</v>
      </c>
      <c r="CF84" s="35" t="s">
        <v>4948</v>
      </c>
      <c r="CG84" s="35" t="s">
        <v>1258</v>
      </c>
      <c r="CI84" s="35" t="s">
        <v>1679</v>
      </c>
      <c r="CJ84" s="35" t="s">
        <v>410</v>
      </c>
      <c r="CK84" s="35" t="s">
        <v>10868</v>
      </c>
      <c r="CL84" s="35" t="s">
        <v>4950</v>
      </c>
      <c r="EU84" s="35" t="s">
        <v>526</v>
      </c>
      <c r="EV84" s="35" t="s">
        <v>887</v>
      </c>
      <c r="EW84" s="35" t="s">
        <v>1534</v>
      </c>
      <c r="EX84" s="35" t="s">
        <v>4951</v>
      </c>
      <c r="EY84" s="35" t="s">
        <v>4952</v>
      </c>
      <c r="EZ84" s="35" t="s">
        <v>4953</v>
      </c>
      <c r="FA84" s="35" t="s">
        <v>415</v>
      </c>
      <c r="FB84" s="35" t="s">
        <v>414</v>
      </c>
      <c r="FC84" s="35" t="s">
        <v>414</v>
      </c>
      <c r="FD84" s="35" t="s">
        <v>414</v>
      </c>
      <c r="FE84" s="35" t="s">
        <v>415</v>
      </c>
      <c r="FF84" s="35" t="s">
        <v>414</v>
      </c>
      <c r="FG84" s="35" t="s">
        <v>415</v>
      </c>
      <c r="FH84" s="35" t="s">
        <v>415</v>
      </c>
      <c r="FI84" s="35" t="s">
        <v>416</v>
      </c>
      <c r="FJ84" s="35" t="s">
        <v>415</v>
      </c>
      <c r="FK84" s="35" t="s">
        <v>415</v>
      </c>
      <c r="FL84" s="35" t="s">
        <v>484</v>
      </c>
      <c r="FM84" s="35" t="s">
        <v>484</v>
      </c>
      <c r="FN84" s="35" t="s">
        <v>484</v>
      </c>
      <c r="FO84" s="35" t="s">
        <v>484</v>
      </c>
      <c r="FP84" s="35" t="s">
        <v>485</v>
      </c>
      <c r="FQ84" s="35" t="s">
        <v>486</v>
      </c>
      <c r="FR84" s="35" t="s">
        <v>712</v>
      </c>
      <c r="FS84" s="35" t="s">
        <v>4954</v>
      </c>
      <c r="FT84" s="35" t="s">
        <v>1189</v>
      </c>
      <c r="FU84" s="35" t="s">
        <v>1476</v>
      </c>
      <c r="FV84" s="35" t="s">
        <v>533</v>
      </c>
      <c r="FW84" s="35" t="s">
        <v>490</v>
      </c>
      <c r="FX84" s="35" t="s">
        <v>491</v>
      </c>
      <c r="FY84" s="35" t="s">
        <v>4955</v>
      </c>
      <c r="FZ84" s="35" t="s">
        <v>535</v>
      </c>
      <c r="GB84" s="35" t="s">
        <v>10869</v>
      </c>
      <c r="GC84" s="35" t="s">
        <v>455</v>
      </c>
      <c r="GD84" s="35" t="s">
        <v>10870</v>
      </c>
      <c r="GE84" s="35" t="s">
        <v>10871</v>
      </c>
      <c r="GF84" s="35" t="s">
        <v>1339</v>
      </c>
      <c r="GG84" s="35" t="s">
        <v>4957</v>
      </c>
      <c r="GK84" s="35" t="s">
        <v>788</v>
      </c>
      <c r="GL84" s="35" t="s">
        <v>788</v>
      </c>
      <c r="GM84" s="35" t="s">
        <v>858</v>
      </c>
      <c r="GR84" s="35" t="s">
        <v>4653</v>
      </c>
      <c r="GS84" s="35" t="s">
        <v>4774</v>
      </c>
    </row>
    <row r="85">
      <c r="A85" s="40"/>
      <c r="B85" s="40">
        <v>45824.9229365625</v>
      </c>
      <c r="C85" s="35" t="s">
        <v>368</v>
      </c>
      <c r="D85" s="35" t="s">
        <v>369</v>
      </c>
      <c r="E85" s="35" t="s">
        <v>370</v>
      </c>
      <c r="G85" s="35" t="s">
        <v>371</v>
      </c>
      <c r="H85" s="35" t="s">
        <v>372</v>
      </c>
      <c r="I85" s="35" t="s">
        <v>373</v>
      </c>
      <c r="J85" s="35" t="s">
        <v>374</v>
      </c>
      <c r="K85" s="35" t="s">
        <v>375</v>
      </c>
      <c r="L85" s="35" t="s">
        <v>376</v>
      </c>
      <c r="M85" s="35" t="s">
        <v>377</v>
      </c>
      <c r="N85" s="35" t="s">
        <v>378</v>
      </c>
      <c r="O85" s="35" t="s">
        <v>379</v>
      </c>
      <c r="P85" s="35" t="s">
        <v>380</v>
      </c>
      <c r="Q85" s="35" t="s">
        <v>381</v>
      </c>
      <c r="R85" s="35" t="s">
        <v>382</v>
      </c>
      <c r="S85" s="35" t="s">
        <v>383</v>
      </c>
      <c r="T85" s="35" t="s">
        <v>384</v>
      </c>
      <c r="U85" s="35" t="s">
        <v>385</v>
      </c>
      <c r="X85" s="35" t="s">
        <v>386</v>
      </c>
      <c r="Y85" s="35" t="s">
        <v>387</v>
      </c>
      <c r="Z85" s="35" t="s">
        <v>388</v>
      </c>
      <c r="AA85" s="35" t="s">
        <v>389</v>
      </c>
      <c r="AW85" s="35" t="s">
        <v>390</v>
      </c>
      <c r="AX85" s="35" t="s">
        <v>391</v>
      </c>
      <c r="AY85" s="35" t="s">
        <v>391</v>
      </c>
      <c r="AZ85" s="35" t="s">
        <v>391</v>
      </c>
      <c r="BA85" s="35" t="s">
        <v>391</v>
      </c>
      <c r="BB85" s="35" t="s">
        <v>391</v>
      </c>
      <c r="BC85" s="35" t="s">
        <v>391</v>
      </c>
      <c r="BF85" s="35" t="s">
        <v>392</v>
      </c>
      <c r="BG85" s="35" t="s">
        <v>393</v>
      </c>
      <c r="BH85" s="35" t="s">
        <v>394</v>
      </c>
      <c r="BL85" s="35" t="s">
        <v>395</v>
      </c>
      <c r="BM85" s="35" t="s">
        <v>396</v>
      </c>
      <c r="BN85" s="35" t="s">
        <v>397</v>
      </c>
      <c r="BO85" s="35" t="s">
        <v>398</v>
      </c>
      <c r="BP85" s="35" t="s">
        <v>399</v>
      </c>
      <c r="BQ85" s="35" t="s">
        <v>400</v>
      </c>
      <c r="BR85" s="35" t="s">
        <v>401</v>
      </c>
      <c r="BS85" s="35" t="s">
        <v>402</v>
      </c>
      <c r="BT85" s="35" t="s">
        <v>403</v>
      </c>
      <c r="BU85" s="35" t="s">
        <v>404</v>
      </c>
      <c r="BV85" s="35" t="s">
        <v>405</v>
      </c>
      <c r="BX85" s="35" t="s">
        <v>406</v>
      </c>
      <c r="BY85" s="35" t="s">
        <v>407</v>
      </c>
      <c r="BZ85" s="35" t="s">
        <v>408</v>
      </c>
      <c r="CE85" s="35" t="s">
        <v>409</v>
      </c>
      <c r="CJ85" s="35" t="s">
        <v>410</v>
      </c>
      <c r="CK85" s="35" t="s">
        <v>411</v>
      </c>
      <c r="CL85" s="35" t="s">
        <v>412</v>
      </c>
      <c r="FA85" s="35" t="s">
        <v>413</v>
      </c>
      <c r="FB85" s="35" t="s">
        <v>414</v>
      </c>
      <c r="FC85" s="35" t="s">
        <v>413</v>
      </c>
      <c r="FD85" s="35" t="s">
        <v>413</v>
      </c>
      <c r="FE85" s="35" t="s">
        <v>413</v>
      </c>
      <c r="FF85" s="35" t="s">
        <v>415</v>
      </c>
      <c r="FG85" s="35" t="s">
        <v>413</v>
      </c>
      <c r="FH85" s="35" t="s">
        <v>413</v>
      </c>
      <c r="FI85" s="35" t="s">
        <v>416</v>
      </c>
      <c r="FJ85" s="35" t="s">
        <v>414</v>
      </c>
      <c r="FK85" s="35" t="s">
        <v>415</v>
      </c>
      <c r="FL85" s="35" t="s">
        <v>415</v>
      </c>
      <c r="FM85" s="35" t="s">
        <v>415</v>
      </c>
      <c r="FN85" s="35" t="s">
        <v>413</v>
      </c>
      <c r="FO85" s="35" t="s">
        <v>415</v>
      </c>
      <c r="FP85" s="35" t="s">
        <v>417</v>
      </c>
      <c r="FQ85" s="35" t="s">
        <v>418</v>
      </c>
      <c r="FR85" s="35" t="s">
        <v>419</v>
      </c>
      <c r="FT85" s="35" t="s">
        <v>420</v>
      </c>
      <c r="FU85" s="35" t="s">
        <v>421</v>
      </c>
      <c r="GC85" s="35" t="s">
        <v>408</v>
      </c>
    </row>
    <row r="86">
      <c r="A86" s="40"/>
      <c r="B86" s="40">
        <v>45827.16678185185</v>
      </c>
      <c r="C86" s="35" t="s">
        <v>368</v>
      </c>
      <c r="D86" s="35" t="s">
        <v>894</v>
      </c>
      <c r="E86" s="35" t="s">
        <v>894</v>
      </c>
      <c r="H86" s="35" t="s">
        <v>422</v>
      </c>
      <c r="I86" s="35" t="s">
        <v>496</v>
      </c>
      <c r="J86" s="35" t="s">
        <v>374</v>
      </c>
      <c r="K86" s="35" t="s">
        <v>1240</v>
      </c>
      <c r="L86" s="35" t="s">
        <v>376</v>
      </c>
      <c r="M86" s="35" t="s">
        <v>426</v>
      </c>
      <c r="N86" s="35" t="s">
        <v>860</v>
      </c>
      <c r="O86" s="35" t="s">
        <v>379</v>
      </c>
      <c r="P86" s="35" t="s">
        <v>719</v>
      </c>
      <c r="Q86" s="35" t="s">
        <v>498</v>
      </c>
      <c r="R86" s="35" t="s">
        <v>499</v>
      </c>
      <c r="S86" s="35" t="s">
        <v>427</v>
      </c>
      <c r="T86" s="35" t="s">
        <v>384</v>
      </c>
      <c r="U86" s="35" t="s">
        <v>385</v>
      </c>
      <c r="V86" s="35" t="s">
        <v>1241</v>
      </c>
      <c r="W86" s="35" t="s">
        <v>1241</v>
      </c>
      <c r="X86" s="35" t="s">
        <v>428</v>
      </c>
      <c r="AW86" s="35" t="s">
        <v>1242</v>
      </c>
      <c r="AX86" s="35" t="s">
        <v>675</v>
      </c>
      <c r="AY86" s="35" t="s">
        <v>675</v>
      </c>
      <c r="AZ86" s="35" t="s">
        <v>675</v>
      </c>
      <c r="BA86" s="35" t="s">
        <v>675</v>
      </c>
      <c r="BB86" s="35" t="s">
        <v>675</v>
      </c>
      <c r="BC86" s="35" t="s">
        <v>675</v>
      </c>
      <c r="BD86" s="35" t="s">
        <v>10425</v>
      </c>
      <c r="BE86" s="35" t="s">
        <v>10426</v>
      </c>
      <c r="BF86" s="35" t="s">
        <v>432</v>
      </c>
      <c r="BG86" s="35" t="s">
        <v>1245</v>
      </c>
      <c r="BH86" s="35" t="s">
        <v>394</v>
      </c>
      <c r="BI86" s="35" t="s">
        <v>1246</v>
      </c>
      <c r="BJ86" s="35" t="s">
        <v>976</v>
      </c>
      <c r="BK86" s="35" t="s">
        <v>1211</v>
      </c>
      <c r="BL86" s="35" t="s">
        <v>681</v>
      </c>
      <c r="BM86" s="35" t="s">
        <v>603</v>
      </c>
      <c r="BN86" s="35" t="s">
        <v>1247</v>
      </c>
      <c r="BO86" s="35" t="s">
        <v>398</v>
      </c>
      <c r="BP86" s="35" t="s">
        <v>1248</v>
      </c>
      <c r="BQ86" s="35" t="s">
        <v>10427</v>
      </c>
      <c r="BR86" s="35" t="s">
        <v>442</v>
      </c>
      <c r="BS86" s="35" t="s">
        <v>1250</v>
      </c>
      <c r="BT86" s="35" t="s">
        <v>1251</v>
      </c>
      <c r="BU86" s="35" t="s">
        <v>404</v>
      </c>
      <c r="BV86" s="35" t="s">
        <v>405</v>
      </c>
      <c r="BW86" s="35" t="s">
        <v>1252</v>
      </c>
      <c r="BX86" s="35" t="s">
        <v>988</v>
      </c>
      <c r="BZ86" s="35" t="s">
        <v>455</v>
      </c>
      <c r="CA86" s="35" t="s">
        <v>10428</v>
      </c>
      <c r="CB86" s="35" t="s">
        <v>1254</v>
      </c>
      <c r="CC86" s="35" t="s">
        <v>1255</v>
      </c>
      <c r="CD86" s="35" t="s">
        <v>10429</v>
      </c>
      <c r="CE86" s="35" t="s">
        <v>1257</v>
      </c>
      <c r="CF86" s="35" t="s">
        <v>1252</v>
      </c>
      <c r="CG86" s="35" t="s">
        <v>1258</v>
      </c>
      <c r="CI86" s="35" t="s">
        <v>1259</v>
      </c>
      <c r="CJ86" s="35" t="s">
        <v>410</v>
      </c>
      <c r="CK86" s="35" t="s">
        <v>10430</v>
      </c>
      <c r="CL86" s="35" t="s">
        <v>1261</v>
      </c>
      <c r="EU86" s="35" t="s">
        <v>526</v>
      </c>
      <c r="EV86" s="35" t="s">
        <v>1127</v>
      </c>
      <c r="EW86" s="35" t="s">
        <v>1262</v>
      </c>
      <c r="EY86" s="35" t="s">
        <v>10431</v>
      </c>
      <c r="EZ86" s="35" t="s">
        <v>10432</v>
      </c>
      <c r="FA86" s="35" t="s">
        <v>415</v>
      </c>
      <c r="FB86" s="35" t="s">
        <v>414</v>
      </c>
      <c r="FC86" s="35" t="s">
        <v>413</v>
      </c>
      <c r="FD86" s="35" t="s">
        <v>414</v>
      </c>
      <c r="FE86" s="35" t="s">
        <v>413</v>
      </c>
      <c r="FF86" s="35" t="s">
        <v>414</v>
      </c>
      <c r="FG86" s="35" t="s">
        <v>414</v>
      </c>
      <c r="FH86" s="35" t="s">
        <v>413</v>
      </c>
      <c r="FI86" s="35" t="s">
        <v>583</v>
      </c>
      <c r="FJ86" s="35" t="s">
        <v>415</v>
      </c>
      <c r="FK86" s="35" t="s">
        <v>415</v>
      </c>
      <c r="FL86" s="35" t="s">
        <v>415</v>
      </c>
      <c r="FM86" s="35" t="s">
        <v>414</v>
      </c>
      <c r="FN86" s="35" t="s">
        <v>413</v>
      </c>
      <c r="FO86" s="35" t="s">
        <v>414</v>
      </c>
      <c r="FP86" s="35" t="s">
        <v>417</v>
      </c>
      <c r="FQ86" s="35" t="s">
        <v>486</v>
      </c>
      <c r="FR86" s="35" t="s">
        <v>749</v>
      </c>
      <c r="FT86" s="35" t="s">
        <v>420</v>
      </c>
      <c r="FU86" s="35" t="s">
        <v>488</v>
      </c>
      <c r="FV86" s="35" t="s">
        <v>918</v>
      </c>
      <c r="FW86" s="35" t="s">
        <v>490</v>
      </c>
      <c r="FX86" s="35" t="s">
        <v>491</v>
      </c>
      <c r="FY86" s="35" t="s">
        <v>10433</v>
      </c>
      <c r="FZ86" s="35" t="s">
        <v>535</v>
      </c>
      <c r="GA86" s="35" t="s">
        <v>10434</v>
      </c>
      <c r="GC86" s="35" t="s">
        <v>455</v>
      </c>
      <c r="GD86" s="35" t="s">
        <v>10435</v>
      </c>
      <c r="GF86" s="35" t="s">
        <v>753</v>
      </c>
      <c r="GK86" s="35" t="s">
        <v>1000</v>
      </c>
      <c r="GL86" s="35" t="s">
        <v>1000</v>
      </c>
      <c r="GM86" s="35" t="s">
        <v>858</v>
      </c>
    </row>
    <row r="87">
      <c r="A87" s="40"/>
      <c r="B87" s="40">
        <v>45827.582390254625</v>
      </c>
      <c r="C87" s="35" t="s">
        <v>368</v>
      </c>
      <c r="D87" s="35" t="s">
        <v>894</v>
      </c>
      <c r="E87" s="35" t="s">
        <v>894</v>
      </c>
      <c r="H87" s="35" t="s">
        <v>422</v>
      </c>
      <c r="I87" s="35" t="s">
        <v>373</v>
      </c>
      <c r="J87" s="35" t="s">
        <v>638</v>
      </c>
      <c r="K87" s="35" t="s">
        <v>425</v>
      </c>
      <c r="L87" s="35" t="s">
        <v>376</v>
      </c>
      <c r="M87" s="35" t="s">
        <v>379</v>
      </c>
      <c r="N87" s="35" t="s">
        <v>1663</v>
      </c>
      <c r="O87" s="35" t="s">
        <v>379</v>
      </c>
      <c r="P87" s="35" t="s">
        <v>671</v>
      </c>
      <c r="Q87" s="35" t="s">
        <v>498</v>
      </c>
      <c r="R87" s="35" t="s">
        <v>862</v>
      </c>
      <c r="S87" s="35" t="s">
        <v>500</v>
      </c>
      <c r="T87" s="35" t="s">
        <v>1664</v>
      </c>
      <c r="U87" s="35" t="s">
        <v>385</v>
      </c>
      <c r="V87" s="35" t="s">
        <v>896</v>
      </c>
      <c r="W87" s="35" t="s">
        <v>896</v>
      </c>
      <c r="X87" s="35" t="s">
        <v>428</v>
      </c>
      <c r="AW87" s="35" t="s">
        <v>597</v>
      </c>
      <c r="AX87" s="41">
        <v>4.0</v>
      </c>
      <c r="AY87" s="35" t="s">
        <v>391</v>
      </c>
      <c r="AZ87" s="35" t="s">
        <v>675</v>
      </c>
      <c r="BA87" s="35" t="s">
        <v>675</v>
      </c>
      <c r="BB87" s="35" t="s">
        <v>675</v>
      </c>
      <c r="BC87" s="35" t="s">
        <v>391</v>
      </c>
      <c r="BD87" s="35" t="s">
        <v>1665</v>
      </c>
      <c r="BE87" s="35" t="s">
        <v>1666</v>
      </c>
      <c r="BF87" s="35" t="s">
        <v>392</v>
      </c>
      <c r="BG87" s="35" t="s">
        <v>393</v>
      </c>
      <c r="BH87" s="35" t="s">
        <v>394</v>
      </c>
      <c r="BI87" s="35" t="s">
        <v>10436</v>
      </c>
      <c r="BJ87" s="35" t="s">
        <v>824</v>
      </c>
      <c r="BL87" s="35" t="s">
        <v>681</v>
      </c>
      <c r="BM87" s="35" t="s">
        <v>396</v>
      </c>
      <c r="BN87" s="35" t="s">
        <v>549</v>
      </c>
      <c r="BO87" s="35" t="s">
        <v>398</v>
      </c>
      <c r="BP87" s="35" t="s">
        <v>10437</v>
      </c>
      <c r="BQ87" s="35" t="s">
        <v>1669</v>
      </c>
      <c r="BR87" s="35" t="s">
        <v>442</v>
      </c>
      <c r="BS87" s="35" t="s">
        <v>1670</v>
      </c>
      <c r="BT87" s="35" t="s">
        <v>1671</v>
      </c>
      <c r="BU87" s="35" t="s">
        <v>1672</v>
      </c>
      <c r="BV87" s="35" t="s">
        <v>405</v>
      </c>
      <c r="BW87" s="35" t="s">
        <v>10438</v>
      </c>
      <c r="BX87" s="35" t="s">
        <v>988</v>
      </c>
      <c r="BZ87" s="35" t="s">
        <v>455</v>
      </c>
      <c r="CA87" s="35" t="s">
        <v>1674</v>
      </c>
      <c r="CB87" s="35" t="s">
        <v>1675</v>
      </c>
      <c r="CC87" s="35" t="s">
        <v>10439</v>
      </c>
      <c r="CD87" s="35" t="s">
        <v>1677</v>
      </c>
      <c r="CE87" s="35" t="s">
        <v>451</v>
      </c>
      <c r="CF87" s="35" t="s">
        <v>10440</v>
      </c>
      <c r="CG87" s="35" t="s">
        <v>1258</v>
      </c>
      <c r="CI87" s="35" t="s">
        <v>1679</v>
      </c>
      <c r="CJ87" s="35" t="s">
        <v>410</v>
      </c>
      <c r="CK87" s="35" t="s">
        <v>1680</v>
      </c>
      <c r="CL87" s="35" t="s">
        <v>1681</v>
      </c>
      <c r="EU87" s="35" t="s">
        <v>526</v>
      </c>
      <c r="EV87" s="35" t="s">
        <v>887</v>
      </c>
      <c r="EW87" s="35" t="s">
        <v>480</v>
      </c>
      <c r="EX87" s="35" t="s">
        <v>1682</v>
      </c>
      <c r="EY87" s="35" t="s">
        <v>10441</v>
      </c>
      <c r="EZ87" s="35" t="s">
        <v>10442</v>
      </c>
      <c r="FA87" s="35" t="s">
        <v>583</v>
      </c>
      <c r="FB87" s="35" t="s">
        <v>583</v>
      </c>
      <c r="FC87" s="35" t="s">
        <v>415</v>
      </c>
      <c r="FD87" s="35" t="s">
        <v>583</v>
      </c>
      <c r="FE87" s="35" t="s">
        <v>416</v>
      </c>
      <c r="FF87" s="35" t="s">
        <v>583</v>
      </c>
      <c r="FG87" s="35" t="s">
        <v>583</v>
      </c>
      <c r="FH87" s="35" t="s">
        <v>414</v>
      </c>
      <c r="FI87" s="35" t="s">
        <v>414</v>
      </c>
      <c r="FJ87" s="35" t="s">
        <v>414</v>
      </c>
      <c r="FK87" s="35" t="s">
        <v>414</v>
      </c>
      <c r="FL87" s="35" t="s">
        <v>583</v>
      </c>
      <c r="FM87" s="35" t="s">
        <v>583</v>
      </c>
      <c r="FN87" s="35" t="s">
        <v>414</v>
      </c>
      <c r="FO87" s="35" t="s">
        <v>583</v>
      </c>
      <c r="FP87" s="35" t="s">
        <v>485</v>
      </c>
      <c r="FQ87" s="35" t="s">
        <v>418</v>
      </c>
      <c r="FR87" s="35" t="s">
        <v>419</v>
      </c>
      <c r="FS87" s="35" t="s">
        <v>1685</v>
      </c>
      <c r="FT87" s="35" t="s">
        <v>420</v>
      </c>
      <c r="FU87" s="35" t="s">
        <v>488</v>
      </c>
      <c r="FV87" s="35" t="s">
        <v>489</v>
      </c>
      <c r="FW87" s="35" t="s">
        <v>490</v>
      </c>
      <c r="FX87" s="35" t="s">
        <v>491</v>
      </c>
      <c r="FY87" s="35" t="s">
        <v>10443</v>
      </c>
      <c r="FZ87" s="35" t="s">
        <v>535</v>
      </c>
      <c r="GA87" s="35" t="s">
        <v>10444</v>
      </c>
      <c r="GB87" s="35" t="s">
        <v>10445</v>
      </c>
      <c r="GC87" s="35" t="s">
        <v>455</v>
      </c>
      <c r="GD87" s="35" t="s">
        <v>10446</v>
      </c>
      <c r="GE87" s="35" t="s">
        <v>10447</v>
      </c>
      <c r="GF87" s="35" t="s">
        <v>753</v>
      </c>
      <c r="GG87" s="35" t="s">
        <v>10448</v>
      </c>
      <c r="GK87" s="35" t="s">
        <v>755</v>
      </c>
      <c r="GL87" s="35" t="s">
        <v>755</v>
      </c>
      <c r="GM87" s="35" t="s">
        <v>817</v>
      </c>
    </row>
    <row r="88">
      <c r="A88" s="40"/>
      <c r="B88" s="40">
        <v>45827.59833847222</v>
      </c>
      <c r="C88" s="35" t="s">
        <v>368</v>
      </c>
      <c r="D88" s="35" t="s">
        <v>370</v>
      </c>
      <c r="F88" s="35" t="s">
        <v>371</v>
      </c>
      <c r="H88" s="35" t="s">
        <v>422</v>
      </c>
      <c r="I88" s="35" t="s">
        <v>373</v>
      </c>
      <c r="J88" s="35" t="s">
        <v>374</v>
      </c>
      <c r="K88" s="35" t="s">
        <v>718</v>
      </c>
      <c r="L88" s="35" t="s">
        <v>376</v>
      </c>
      <c r="M88" s="35" t="s">
        <v>591</v>
      </c>
      <c r="N88" s="35" t="s">
        <v>1690</v>
      </c>
      <c r="O88" s="35" t="s">
        <v>591</v>
      </c>
      <c r="Q88" s="35" t="s">
        <v>381</v>
      </c>
      <c r="R88" s="35" t="s">
        <v>1156</v>
      </c>
      <c r="S88" s="35" t="s">
        <v>500</v>
      </c>
      <c r="T88" s="35" t="s">
        <v>384</v>
      </c>
      <c r="U88" s="35" t="s">
        <v>385</v>
      </c>
      <c r="X88" s="35" t="s">
        <v>428</v>
      </c>
      <c r="AW88" s="35" t="s">
        <v>1242</v>
      </c>
      <c r="AX88" s="35" t="s">
        <v>675</v>
      </c>
      <c r="AY88" s="35" t="s">
        <v>675</v>
      </c>
      <c r="AZ88" s="35" t="s">
        <v>675</v>
      </c>
      <c r="BA88" s="41">
        <v>4.0</v>
      </c>
      <c r="BB88" s="35" t="s">
        <v>675</v>
      </c>
      <c r="BC88" s="35" t="s">
        <v>675</v>
      </c>
      <c r="BF88" s="35" t="s">
        <v>902</v>
      </c>
      <c r="BG88" s="35" t="s">
        <v>1245</v>
      </c>
      <c r="BH88" s="35" t="s">
        <v>394</v>
      </c>
      <c r="BJ88" s="35" t="s">
        <v>976</v>
      </c>
      <c r="BL88" s="35" t="s">
        <v>602</v>
      </c>
      <c r="BM88" s="35" t="s">
        <v>603</v>
      </c>
      <c r="BN88" s="35" t="s">
        <v>1314</v>
      </c>
      <c r="BO88" s="35" t="s">
        <v>398</v>
      </c>
      <c r="BR88" s="35" t="s">
        <v>442</v>
      </c>
      <c r="BS88" s="35" t="s">
        <v>1691</v>
      </c>
      <c r="BT88" s="35" t="s">
        <v>1692</v>
      </c>
      <c r="BU88" s="35" t="s">
        <v>1672</v>
      </c>
      <c r="BV88" s="35" t="s">
        <v>1693</v>
      </c>
      <c r="BW88" s="35" t="s">
        <v>10449</v>
      </c>
      <c r="BX88" s="35" t="s">
        <v>988</v>
      </c>
      <c r="BZ88" s="35" t="s">
        <v>408</v>
      </c>
      <c r="CD88" s="35" t="s">
        <v>1695</v>
      </c>
      <c r="CE88" s="35" t="s">
        <v>451</v>
      </c>
      <c r="CF88" s="35" t="s">
        <v>1696</v>
      </c>
      <c r="CG88" s="35" t="s">
        <v>1697</v>
      </c>
      <c r="CI88" s="35" t="s">
        <v>1698</v>
      </c>
      <c r="CJ88" s="35" t="s">
        <v>410</v>
      </c>
      <c r="CK88" s="35" t="s">
        <v>1699</v>
      </c>
      <c r="CL88" s="35" t="s">
        <v>1700</v>
      </c>
      <c r="EU88" s="35" t="s">
        <v>526</v>
      </c>
      <c r="EV88" s="35" t="s">
        <v>479</v>
      </c>
      <c r="EW88" s="35" t="s">
        <v>1262</v>
      </c>
      <c r="EZ88" s="35" t="s">
        <v>1701</v>
      </c>
      <c r="FA88" s="35" t="s">
        <v>414</v>
      </c>
      <c r="FB88" s="35" t="s">
        <v>414</v>
      </c>
      <c r="FC88" s="35" t="s">
        <v>415</v>
      </c>
      <c r="FD88" s="35" t="s">
        <v>583</v>
      </c>
      <c r="FE88" s="35" t="s">
        <v>413</v>
      </c>
      <c r="FF88" s="35" t="s">
        <v>583</v>
      </c>
      <c r="FG88" s="35" t="s">
        <v>583</v>
      </c>
      <c r="FH88" s="35" t="s">
        <v>583</v>
      </c>
      <c r="FI88" s="35" t="s">
        <v>583</v>
      </c>
      <c r="FJ88" s="35" t="s">
        <v>583</v>
      </c>
      <c r="FK88" s="35" t="s">
        <v>414</v>
      </c>
      <c r="FL88" s="35" t="s">
        <v>583</v>
      </c>
      <c r="FM88" s="35" t="s">
        <v>583</v>
      </c>
      <c r="FN88" s="35" t="s">
        <v>413</v>
      </c>
      <c r="FO88" s="35" t="s">
        <v>583</v>
      </c>
      <c r="FP88" s="35" t="s">
        <v>850</v>
      </c>
      <c r="FQ88" s="35" t="s">
        <v>418</v>
      </c>
      <c r="FR88" s="35" t="s">
        <v>419</v>
      </c>
      <c r="FS88" s="35" t="s">
        <v>10450</v>
      </c>
      <c r="FT88" s="35" t="s">
        <v>1076</v>
      </c>
      <c r="FU88" s="35" t="s">
        <v>488</v>
      </c>
      <c r="FV88" s="35" t="s">
        <v>533</v>
      </c>
      <c r="FW88" s="35" t="s">
        <v>490</v>
      </c>
      <c r="FX88" s="35" t="s">
        <v>491</v>
      </c>
      <c r="FZ88" s="35" t="s">
        <v>493</v>
      </c>
      <c r="GC88" s="35" t="s">
        <v>408</v>
      </c>
      <c r="GK88" s="35" t="s">
        <v>755</v>
      </c>
      <c r="GL88" s="35" t="s">
        <v>755</v>
      </c>
      <c r="GM88" s="35" t="s">
        <v>946</v>
      </c>
    </row>
    <row r="89">
      <c r="A89" s="40"/>
      <c r="B89" s="40">
        <v>45827.666499756946</v>
      </c>
      <c r="C89" s="35" t="s">
        <v>368</v>
      </c>
      <c r="D89" s="35" t="s">
        <v>1703</v>
      </c>
      <c r="E89" s="35" t="s">
        <v>1703</v>
      </c>
      <c r="F89" s="35" t="s">
        <v>1202</v>
      </c>
      <c r="H89" s="35" t="s">
        <v>422</v>
      </c>
      <c r="I89" s="35" t="s">
        <v>637</v>
      </c>
      <c r="J89" s="35" t="s">
        <v>638</v>
      </c>
      <c r="K89" s="35" t="s">
        <v>590</v>
      </c>
      <c r="L89" s="35" t="s">
        <v>376</v>
      </c>
      <c r="M89" s="35" t="s">
        <v>670</v>
      </c>
      <c r="N89" s="35" t="s">
        <v>720</v>
      </c>
      <c r="O89" s="35" t="s">
        <v>793</v>
      </c>
      <c r="P89" s="35" t="s">
        <v>719</v>
      </c>
      <c r="Q89" s="35" t="s">
        <v>592</v>
      </c>
      <c r="R89" s="35" t="s">
        <v>382</v>
      </c>
      <c r="S89" s="35" t="s">
        <v>1704</v>
      </c>
      <c r="T89" s="35" t="s">
        <v>1705</v>
      </c>
      <c r="U89" s="35" t="s">
        <v>385</v>
      </c>
      <c r="X89" s="35" t="s">
        <v>760</v>
      </c>
      <c r="Y89" s="35" t="s">
        <v>1706</v>
      </c>
      <c r="AD89" s="35" t="s">
        <v>1707</v>
      </c>
      <c r="AE89" s="35" t="s">
        <v>1708</v>
      </c>
      <c r="AF89" s="35" t="s">
        <v>455</v>
      </c>
      <c r="AG89" s="35" t="s">
        <v>1709</v>
      </c>
      <c r="AH89" s="41">
        <v>5.0</v>
      </c>
      <c r="AI89" s="35" t="s">
        <v>1639</v>
      </c>
      <c r="AJ89" s="35" t="s">
        <v>1710</v>
      </c>
      <c r="AK89" s="35" t="s">
        <v>1711</v>
      </c>
      <c r="AL89" s="35" t="s">
        <v>1712</v>
      </c>
      <c r="AW89" s="35" t="s">
        <v>1242</v>
      </c>
      <c r="AX89" s="35" t="s">
        <v>675</v>
      </c>
      <c r="AY89" s="35" t="s">
        <v>675</v>
      </c>
      <c r="AZ89" s="35" t="s">
        <v>675</v>
      </c>
      <c r="BA89" s="35" t="s">
        <v>675</v>
      </c>
      <c r="BB89" s="35" t="s">
        <v>675</v>
      </c>
      <c r="BC89" s="35" t="s">
        <v>675</v>
      </c>
      <c r="BD89" s="35" t="s">
        <v>1713</v>
      </c>
      <c r="BE89" s="35" t="s">
        <v>1714</v>
      </c>
      <c r="BF89" s="35" t="s">
        <v>902</v>
      </c>
      <c r="BG89" s="35" t="s">
        <v>1245</v>
      </c>
      <c r="BH89" s="35" t="s">
        <v>394</v>
      </c>
      <c r="BI89" s="35" t="s">
        <v>1715</v>
      </c>
      <c r="BJ89" s="35" t="s">
        <v>976</v>
      </c>
      <c r="BL89" s="35" t="s">
        <v>681</v>
      </c>
      <c r="BM89" s="35" t="s">
        <v>904</v>
      </c>
      <c r="BN89" s="35" t="s">
        <v>1314</v>
      </c>
      <c r="BO89" s="35" t="s">
        <v>398</v>
      </c>
      <c r="BP89" s="35" t="s">
        <v>1716</v>
      </c>
      <c r="BQ89" s="35" t="s">
        <v>1717</v>
      </c>
      <c r="BR89" s="35" t="s">
        <v>442</v>
      </c>
      <c r="BS89" s="35" t="s">
        <v>1718</v>
      </c>
      <c r="BT89" s="35" t="s">
        <v>1671</v>
      </c>
      <c r="BV89" s="35" t="s">
        <v>405</v>
      </c>
      <c r="BX89" s="35" t="s">
        <v>457</v>
      </c>
      <c r="BZ89" s="35" t="s">
        <v>408</v>
      </c>
      <c r="CB89" s="35" t="s">
        <v>1719</v>
      </c>
      <c r="CC89" s="35" t="s">
        <v>1720</v>
      </c>
      <c r="CD89" s="35" t="s">
        <v>1721</v>
      </c>
      <c r="CE89" s="35" t="s">
        <v>1257</v>
      </c>
      <c r="CG89" s="35" t="s">
        <v>1722</v>
      </c>
      <c r="CH89" s="35" t="s">
        <v>1723</v>
      </c>
      <c r="CI89" s="35" t="s">
        <v>1259</v>
      </c>
      <c r="CJ89" s="35" t="s">
        <v>833</v>
      </c>
      <c r="CK89" s="35" t="s">
        <v>1724</v>
      </c>
      <c r="CL89" s="35" t="s">
        <v>1725</v>
      </c>
      <c r="EU89" s="35" t="s">
        <v>578</v>
      </c>
      <c r="EV89" s="35" t="s">
        <v>479</v>
      </c>
      <c r="EW89" s="35" t="s">
        <v>663</v>
      </c>
      <c r="EX89" s="35" t="s">
        <v>1726</v>
      </c>
      <c r="EY89" s="35" t="s">
        <v>10451</v>
      </c>
      <c r="EZ89" s="35" t="s">
        <v>1728</v>
      </c>
      <c r="FA89" s="35" t="s">
        <v>414</v>
      </c>
      <c r="FB89" s="35" t="s">
        <v>414</v>
      </c>
      <c r="FC89" s="35" t="s">
        <v>416</v>
      </c>
      <c r="FD89" s="35" t="s">
        <v>414</v>
      </c>
      <c r="FE89" s="35" t="s">
        <v>415</v>
      </c>
      <c r="FF89" s="35" t="s">
        <v>414</v>
      </c>
      <c r="FG89" s="35" t="s">
        <v>415</v>
      </c>
      <c r="FH89" s="35" t="s">
        <v>415</v>
      </c>
      <c r="FI89" s="35" t="s">
        <v>415</v>
      </c>
      <c r="FJ89" s="35" t="s">
        <v>414</v>
      </c>
      <c r="FK89" s="35" t="s">
        <v>414</v>
      </c>
      <c r="FL89" s="35" t="s">
        <v>416</v>
      </c>
      <c r="FM89" s="35" t="s">
        <v>416</v>
      </c>
      <c r="FN89" s="35" t="s">
        <v>416</v>
      </c>
      <c r="FO89" s="35" t="s">
        <v>414</v>
      </c>
      <c r="FP89" s="35" t="s">
        <v>417</v>
      </c>
      <c r="FQ89" s="35" t="s">
        <v>418</v>
      </c>
      <c r="FR89" s="35" t="s">
        <v>712</v>
      </c>
      <c r="FS89" s="35" t="s">
        <v>1729</v>
      </c>
      <c r="FT89" s="35" t="s">
        <v>420</v>
      </c>
      <c r="FU89" s="35" t="s">
        <v>488</v>
      </c>
      <c r="FV89" s="35" t="s">
        <v>489</v>
      </c>
      <c r="FW89" s="35" t="s">
        <v>490</v>
      </c>
      <c r="FX89" s="35" t="s">
        <v>491</v>
      </c>
      <c r="FY89" s="35" t="s">
        <v>1730</v>
      </c>
      <c r="FZ89" s="35" t="s">
        <v>535</v>
      </c>
      <c r="GA89" s="35" t="s">
        <v>1731</v>
      </c>
      <c r="GB89" s="35" t="s">
        <v>1732</v>
      </c>
      <c r="GC89" s="35" t="s">
        <v>455</v>
      </c>
      <c r="GD89" s="35" t="s">
        <v>10452</v>
      </c>
      <c r="GF89" s="35" t="s">
        <v>1339</v>
      </c>
      <c r="GG89" s="35" t="s">
        <v>1733</v>
      </c>
      <c r="GK89" s="35" t="s">
        <v>920</v>
      </c>
      <c r="GL89" s="35" t="s">
        <v>788</v>
      </c>
      <c r="GM89" s="35" t="s">
        <v>858</v>
      </c>
    </row>
    <row r="90">
      <c r="A90" s="40"/>
      <c r="B90" s="40">
        <v>45827.70323135417</v>
      </c>
      <c r="C90" s="35" t="s">
        <v>368</v>
      </c>
      <c r="D90" s="35" t="s">
        <v>370</v>
      </c>
      <c r="F90" s="35" t="s">
        <v>371</v>
      </c>
      <c r="H90" s="35" t="s">
        <v>1269</v>
      </c>
      <c r="I90" s="35" t="s">
        <v>423</v>
      </c>
      <c r="J90" s="35" t="s">
        <v>424</v>
      </c>
      <c r="K90" s="35" t="s">
        <v>375</v>
      </c>
      <c r="L90" s="35" t="s">
        <v>376</v>
      </c>
      <c r="M90" s="35" t="s">
        <v>379</v>
      </c>
      <c r="N90" s="35" t="s">
        <v>380</v>
      </c>
      <c r="O90" s="35" t="s">
        <v>379</v>
      </c>
      <c r="P90" s="35" t="s">
        <v>497</v>
      </c>
      <c r="Q90" s="35" t="s">
        <v>498</v>
      </c>
      <c r="R90" s="35" t="s">
        <v>382</v>
      </c>
      <c r="S90" s="35" t="s">
        <v>949</v>
      </c>
      <c r="T90" s="35" t="s">
        <v>384</v>
      </c>
      <c r="U90" s="35" t="s">
        <v>385</v>
      </c>
      <c r="X90" s="35" t="s">
        <v>386</v>
      </c>
      <c r="Y90" s="35" t="s">
        <v>387</v>
      </c>
      <c r="Z90" s="35" t="s">
        <v>388</v>
      </c>
      <c r="AA90" s="35" t="s">
        <v>389</v>
      </c>
      <c r="AB90" s="35" t="s">
        <v>408</v>
      </c>
      <c r="AC90" s="35" t="s">
        <v>408</v>
      </c>
      <c r="AW90" s="35" t="s">
        <v>1242</v>
      </c>
      <c r="AX90" s="35" t="s">
        <v>675</v>
      </c>
      <c r="AY90" s="35" t="s">
        <v>675</v>
      </c>
      <c r="AZ90" s="35" t="s">
        <v>675</v>
      </c>
      <c r="BA90" s="35" t="s">
        <v>675</v>
      </c>
      <c r="BB90" s="35" t="s">
        <v>675</v>
      </c>
      <c r="BC90" s="35" t="s">
        <v>675</v>
      </c>
      <c r="BD90" s="35" t="s">
        <v>10453</v>
      </c>
      <c r="BE90" s="35" t="s">
        <v>10454</v>
      </c>
      <c r="BF90" s="35" t="s">
        <v>902</v>
      </c>
      <c r="BG90" s="35" t="s">
        <v>1095</v>
      </c>
      <c r="BH90" s="35" t="s">
        <v>394</v>
      </c>
      <c r="BI90" s="35" t="s">
        <v>1736</v>
      </c>
      <c r="BJ90" s="35" t="s">
        <v>435</v>
      </c>
      <c r="BK90" s="35" t="s">
        <v>1737</v>
      </c>
      <c r="BL90" s="35" t="s">
        <v>602</v>
      </c>
      <c r="BM90" s="35" t="s">
        <v>603</v>
      </c>
      <c r="BN90" s="35" t="s">
        <v>1247</v>
      </c>
      <c r="BO90" s="35" t="s">
        <v>398</v>
      </c>
      <c r="BP90" s="35" t="s">
        <v>1738</v>
      </c>
      <c r="BQ90" s="35" t="s">
        <v>1739</v>
      </c>
      <c r="BR90" s="35" t="s">
        <v>401</v>
      </c>
      <c r="BS90" s="35" t="s">
        <v>1740</v>
      </c>
      <c r="BT90" s="35" t="s">
        <v>1741</v>
      </c>
      <c r="BU90" s="35" t="s">
        <v>1742</v>
      </c>
      <c r="BV90" s="35" t="s">
        <v>1693</v>
      </c>
      <c r="BW90" s="35" t="s">
        <v>1743</v>
      </c>
      <c r="BX90" s="35" t="s">
        <v>988</v>
      </c>
      <c r="BZ90" s="35" t="s">
        <v>455</v>
      </c>
      <c r="CA90" s="35" t="s">
        <v>1744</v>
      </c>
      <c r="CB90" s="35" t="s">
        <v>1745</v>
      </c>
      <c r="CC90" s="35" t="s">
        <v>1746</v>
      </c>
      <c r="CD90" s="35" t="s">
        <v>1747</v>
      </c>
      <c r="CE90" s="35" t="s">
        <v>409</v>
      </c>
      <c r="CF90" s="35" t="s">
        <v>1748</v>
      </c>
      <c r="CG90" s="35" t="s">
        <v>1749</v>
      </c>
      <c r="CH90" s="35" t="s">
        <v>1750</v>
      </c>
      <c r="CI90" s="35" t="s">
        <v>1751</v>
      </c>
      <c r="CJ90" s="35" t="s">
        <v>410</v>
      </c>
      <c r="CK90" s="35" t="s">
        <v>1752</v>
      </c>
      <c r="CL90" s="35" t="s">
        <v>1753</v>
      </c>
      <c r="EU90" s="35" t="s">
        <v>526</v>
      </c>
      <c r="EV90" s="35" t="s">
        <v>579</v>
      </c>
      <c r="EW90" s="35" t="s">
        <v>1262</v>
      </c>
      <c r="EX90" s="35" t="s">
        <v>1754</v>
      </c>
      <c r="EY90" s="35" t="s">
        <v>1755</v>
      </c>
      <c r="EZ90" s="35" t="s">
        <v>1756</v>
      </c>
      <c r="FA90" s="35" t="s">
        <v>413</v>
      </c>
      <c r="FB90" s="35" t="s">
        <v>415</v>
      </c>
      <c r="FC90" s="35" t="s">
        <v>413</v>
      </c>
      <c r="FD90" s="35" t="s">
        <v>413</v>
      </c>
      <c r="FE90" s="35" t="s">
        <v>413</v>
      </c>
      <c r="FF90" s="35" t="s">
        <v>415</v>
      </c>
      <c r="FG90" s="35" t="s">
        <v>413</v>
      </c>
      <c r="FH90" s="35" t="s">
        <v>413</v>
      </c>
      <c r="FI90" s="35" t="s">
        <v>414</v>
      </c>
      <c r="FJ90" s="35" t="s">
        <v>414</v>
      </c>
      <c r="FK90" s="35" t="s">
        <v>415</v>
      </c>
      <c r="FL90" s="35" t="s">
        <v>413</v>
      </c>
      <c r="FM90" s="35" t="s">
        <v>413</v>
      </c>
      <c r="FN90" s="35" t="s">
        <v>413</v>
      </c>
      <c r="FO90" s="35" t="s">
        <v>583</v>
      </c>
      <c r="FP90" s="35" t="s">
        <v>417</v>
      </c>
      <c r="FQ90" s="35" t="s">
        <v>486</v>
      </c>
      <c r="FR90" s="35" t="s">
        <v>749</v>
      </c>
      <c r="FS90" s="35" t="s">
        <v>1757</v>
      </c>
      <c r="FT90" s="35" t="s">
        <v>420</v>
      </c>
      <c r="FU90" s="35" t="s">
        <v>1462</v>
      </c>
      <c r="FV90" s="35" t="s">
        <v>489</v>
      </c>
      <c r="FW90" s="35" t="s">
        <v>490</v>
      </c>
      <c r="FX90" s="35" t="s">
        <v>491</v>
      </c>
      <c r="FY90" s="35" t="s">
        <v>1758</v>
      </c>
      <c r="FZ90" s="35" t="s">
        <v>493</v>
      </c>
      <c r="GB90" s="35" t="s">
        <v>1759</v>
      </c>
      <c r="GC90" s="35" t="s">
        <v>455</v>
      </c>
      <c r="GD90" s="35" t="s">
        <v>10455</v>
      </c>
      <c r="GF90" s="35" t="s">
        <v>753</v>
      </c>
      <c r="GG90" s="35" t="s">
        <v>408</v>
      </c>
      <c r="GK90" s="35" t="s">
        <v>920</v>
      </c>
      <c r="GL90" s="35" t="s">
        <v>920</v>
      </c>
      <c r="GM90" s="35" t="s">
        <v>817</v>
      </c>
    </row>
    <row r="91">
      <c r="A91" s="40"/>
      <c r="B91" s="40">
        <v>45827.705325347226</v>
      </c>
      <c r="C91" s="35" t="s">
        <v>368</v>
      </c>
      <c r="D91" s="35" t="s">
        <v>370</v>
      </c>
      <c r="F91" s="35" t="s">
        <v>1001</v>
      </c>
      <c r="H91" s="35" t="s">
        <v>422</v>
      </c>
      <c r="I91" s="35" t="s">
        <v>637</v>
      </c>
      <c r="J91" s="35" t="s">
        <v>638</v>
      </c>
      <c r="K91" s="35" t="s">
        <v>1240</v>
      </c>
      <c r="L91" s="35" t="s">
        <v>376</v>
      </c>
      <c r="M91" s="35" t="s">
        <v>591</v>
      </c>
      <c r="N91" s="35" t="s">
        <v>639</v>
      </c>
      <c r="O91" s="35" t="s">
        <v>379</v>
      </c>
      <c r="P91" s="35" t="s">
        <v>497</v>
      </c>
      <c r="Q91" s="35" t="s">
        <v>1760</v>
      </c>
      <c r="R91" s="35" t="s">
        <v>818</v>
      </c>
      <c r="S91" s="35" t="s">
        <v>427</v>
      </c>
      <c r="T91" s="35" t="s">
        <v>384</v>
      </c>
      <c r="U91" s="35" t="s">
        <v>385</v>
      </c>
      <c r="X91" s="35" t="s">
        <v>428</v>
      </c>
      <c r="AW91" s="35" t="s">
        <v>1242</v>
      </c>
      <c r="AX91" s="35" t="s">
        <v>675</v>
      </c>
      <c r="AY91" s="35" t="s">
        <v>675</v>
      </c>
      <c r="AZ91" s="35" t="s">
        <v>675</v>
      </c>
      <c r="BA91" s="35" t="s">
        <v>675</v>
      </c>
      <c r="BB91" s="35" t="s">
        <v>675</v>
      </c>
      <c r="BC91" s="35" t="s">
        <v>675</v>
      </c>
      <c r="BF91" s="35" t="s">
        <v>902</v>
      </c>
      <c r="BG91" s="35" t="s">
        <v>1047</v>
      </c>
      <c r="BH91" s="35" t="s">
        <v>394</v>
      </c>
      <c r="BJ91" s="35" t="s">
        <v>976</v>
      </c>
      <c r="BL91" s="35" t="s">
        <v>602</v>
      </c>
      <c r="BM91" s="35" t="s">
        <v>603</v>
      </c>
      <c r="BN91" s="35" t="s">
        <v>1314</v>
      </c>
      <c r="BO91" s="35" t="s">
        <v>398</v>
      </c>
      <c r="BR91" s="35" t="s">
        <v>604</v>
      </c>
      <c r="BS91" s="35" t="s">
        <v>1761</v>
      </c>
      <c r="BT91" s="35" t="s">
        <v>1741</v>
      </c>
      <c r="BU91" s="35" t="s">
        <v>1672</v>
      </c>
      <c r="BV91" s="35" t="s">
        <v>405</v>
      </c>
      <c r="BX91" s="35" t="s">
        <v>457</v>
      </c>
      <c r="BZ91" s="35" t="s">
        <v>733</v>
      </c>
      <c r="CE91" s="35" t="s">
        <v>409</v>
      </c>
      <c r="CG91" s="35" t="s">
        <v>1258</v>
      </c>
      <c r="CI91" s="35" t="s">
        <v>1698</v>
      </c>
      <c r="CJ91" s="35" t="s">
        <v>833</v>
      </c>
      <c r="CK91" s="35" t="s">
        <v>10456</v>
      </c>
      <c r="CL91" s="35" t="s">
        <v>10457</v>
      </c>
      <c r="EU91" s="35" t="s">
        <v>526</v>
      </c>
      <c r="EV91" s="35" t="s">
        <v>887</v>
      </c>
      <c r="EW91" s="35" t="s">
        <v>1262</v>
      </c>
      <c r="EY91" s="35" t="s">
        <v>10458</v>
      </c>
      <c r="EZ91" s="35" t="s">
        <v>1765</v>
      </c>
      <c r="FP91" s="35" t="s">
        <v>485</v>
      </c>
      <c r="FQ91" s="35" t="s">
        <v>486</v>
      </c>
      <c r="FR91" s="35" t="s">
        <v>419</v>
      </c>
      <c r="FT91" s="35" t="s">
        <v>420</v>
      </c>
      <c r="FU91" s="35" t="s">
        <v>488</v>
      </c>
      <c r="FW91" s="35" t="s">
        <v>490</v>
      </c>
      <c r="FX91" s="35" t="s">
        <v>491</v>
      </c>
      <c r="FZ91" s="35" t="s">
        <v>535</v>
      </c>
      <c r="GC91" s="35" t="s">
        <v>408</v>
      </c>
      <c r="GK91" s="35" t="s">
        <v>920</v>
      </c>
      <c r="GL91" s="35" t="s">
        <v>920</v>
      </c>
      <c r="GM91" s="35" t="s">
        <v>756</v>
      </c>
    </row>
    <row r="92">
      <c r="A92" s="40"/>
      <c r="B92" s="40">
        <v>45827.709368090276</v>
      </c>
      <c r="C92" s="35" t="s">
        <v>368</v>
      </c>
      <c r="D92" s="35" t="s">
        <v>370</v>
      </c>
      <c r="F92" s="35" t="s">
        <v>371</v>
      </c>
      <c r="H92" s="35" t="s">
        <v>422</v>
      </c>
      <c r="I92" s="35" t="s">
        <v>496</v>
      </c>
      <c r="J92" s="35" t="s">
        <v>374</v>
      </c>
      <c r="K92" s="35" t="s">
        <v>425</v>
      </c>
      <c r="L92" s="35" t="s">
        <v>376</v>
      </c>
      <c r="M92" s="35" t="s">
        <v>379</v>
      </c>
      <c r="N92" s="35" t="s">
        <v>1442</v>
      </c>
      <c r="O92" s="35" t="s">
        <v>379</v>
      </c>
      <c r="P92" s="35" t="s">
        <v>671</v>
      </c>
      <c r="Q92" s="35" t="s">
        <v>498</v>
      </c>
      <c r="R92" s="35" t="s">
        <v>382</v>
      </c>
      <c r="S92" s="35" t="s">
        <v>427</v>
      </c>
      <c r="T92" s="35" t="s">
        <v>384</v>
      </c>
      <c r="U92" s="35" t="s">
        <v>385</v>
      </c>
      <c r="X92" s="35" t="s">
        <v>428</v>
      </c>
      <c r="AW92" s="35" t="s">
        <v>1242</v>
      </c>
      <c r="AX92" s="35" t="s">
        <v>675</v>
      </c>
      <c r="AY92" s="35" t="s">
        <v>675</v>
      </c>
      <c r="AZ92" s="35" t="s">
        <v>675</v>
      </c>
      <c r="BA92" s="35" t="s">
        <v>675</v>
      </c>
      <c r="BB92" s="35" t="s">
        <v>675</v>
      </c>
      <c r="BC92" s="35" t="s">
        <v>675</v>
      </c>
      <c r="BD92" s="35" t="s">
        <v>10459</v>
      </c>
      <c r="BE92" s="35" t="s">
        <v>10460</v>
      </c>
      <c r="BF92" s="35" t="s">
        <v>432</v>
      </c>
      <c r="BG92" s="35" t="s">
        <v>1245</v>
      </c>
      <c r="BH92" s="35" t="s">
        <v>434</v>
      </c>
      <c r="BI92" s="35" t="s">
        <v>10461</v>
      </c>
      <c r="BJ92" s="35" t="s">
        <v>976</v>
      </c>
      <c r="BL92" s="35" t="s">
        <v>437</v>
      </c>
      <c r="BM92" s="35" t="s">
        <v>603</v>
      </c>
      <c r="BN92" s="35" t="s">
        <v>1314</v>
      </c>
      <c r="BO92" s="35" t="s">
        <v>398</v>
      </c>
      <c r="BP92" s="35" t="s">
        <v>10462</v>
      </c>
      <c r="BQ92" s="35" t="s">
        <v>1379</v>
      </c>
      <c r="BR92" s="35" t="s">
        <v>401</v>
      </c>
      <c r="BS92" s="35" t="s">
        <v>1770</v>
      </c>
      <c r="BT92" s="35" t="s">
        <v>1671</v>
      </c>
      <c r="BU92" s="35" t="s">
        <v>1771</v>
      </c>
      <c r="BV92" s="35" t="s">
        <v>1772</v>
      </c>
      <c r="BW92" s="35" t="s">
        <v>10463</v>
      </c>
      <c r="BX92" s="35" t="s">
        <v>988</v>
      </c>
      <c r="BZ92" s="35" t="s">
        <v>408</v>
      </c>
      <c r="CB92" s="35" t="s">
        <v>10464</v>
      </c>
      <c r="CC92" s="35" t="s">
        <v>8448</v>
      </c>
      <c r="CD92" s="35" t="s">
        <v>1776</v>
      </c>
      <c r="CE92" s="35" t="s">
        <v>409</v>
      </c>
      <c r="CG92" s="35" t="s">
        <v>1258</v>
      </c>
      <c r="CI92" s="35" t="s">
        <v>1259</v>
      </c>
      <c r="CJ92" s="35" t="s">
        <v>410</v>
      </c>
      <c r="CK92" s="35" t="s">
        <v>10465</v>
      </c>
      <c r="CL92" s="35" t="s">
        <v>10466</v>
      </c>
      <c r="EU92" s="35" t="s">
        <v>478</v>
      </c>
      <c r="EV92" s="35" t="s">
        <v>887</v>
      </c>
      <c r="EW92" s="35" t="s">
        <v>480</v>
      </c>
      <c r="EY92" s="35" t="s">
        <v>1779</v>
      </c>
      <c r="EZ92" s="35" t="s">
        <v>10467</v>
      </c>
      <c r="FA92" s="35" t="s">
        <v>583</v>
      </c>
      <c r="FB92" s="35" t="s">
        <v>583</v>
      </c>
      <c r="FC92" s="35" t="s">
        <v>583</v>
      </c>
      <c r="FD92" s="35" t="s">
        <v>583</v>
      </c>
      <c r="FE92" s="35" t="s">
        <v>415</v>
      </c>
      <c r="FF92" s="35" t="s">
        <v>583</v>
      </c>
      <c r="FG92" s="35" t="s">
        <v>583</v>
      </c>
      <c r="FH92" s="35" t="s">
        <v>583</v>
      </c>
      <c r="FI92" s="35" t="s">
        <v>583</v>
      </c>
      <c r="FJ92" s="35" t="s">
        <v>583</v>
      </c>
      <c r="FK92" s="35" t="s">
        <v>583</v>
      </c>
      <c r="FL92" s="35" t="s">
        <v>583</v>
      </c>
      <c r="FM92" s="35" t="s">
        <v>583</v>
      </c>
      <c r="FN92" s="35" t="s">
        <v>583</v>
      </c>
      <c r="FO92" s="35" t="s">
        <v>484</v>
      </c>
      <c r="FP92" s="35" t="s">
        <v>485</v>
      </c>
      <c r="FQ92" s="35" t="s">
        <v>418</v>
      </c>
      <c r="FR92" s="35" t="s">
        <v>419</v>
      </c>
      <c r="FS92" s="35" t="s">
        <v>1781</v>
      </c>
      <c r="FT92" s="35" t="s">
        <v>420</v>
      </c>
      <c r="FU92" s="35" t="s">
        <v>1462</v>
      </c>
      <c r="FV92" s="35" t="s">
        <v>918</v>
      </c>
      <c r="FW92" s="35" t="s">
        <v>490</v>
      </c>
      <c r="FX92" s="35" t="s">
        <v>491</v>
      </c>
      <c r="FY92" s="35" t="s">
        <v>1782</v>
      </c>
      <c r="FZ92" s="35" t="s">
        <v>535</v>
      </c>
      <c r="GC92" s="35" t="s">
        <v>455</v>
      </c>
      <c r="GD92" s="35" t="s">
        <v>10468</v>
      </c>
      <c r="GF92" s="35" t="s">
        <v>753</v>
      </c>
      <c r="GK92" s="35" t="s">
        <v>755</v>
      </c>
      <c r="GL92" s="35" t="s">
        <v>920</v>
      </c>
      <c r="GM92" s="35" t="s">
        <v>921</v>
      </c>
    </row>
    <row r="93">
      <c r="A93" s="40"/>
      <c r="B93" s="40">
        <v>45827.75108425926</v>
      </c>
      <c r="C93" s="35" t="s">
        <v>368</v>
      </c>
      <c r="D93" s="35" t="s">
        <v>894</v>
      </c>
      <c r="E93" s="35" t="s">
        <v>894</v>
      </c>
      <c r="H93" s="35" t="s">
        <v>422</v>
      </c>
      <c r="I93" s="35" t="s">
        <v>423</v>
      </c>
      <c r="J93" s="35" t="s">
        <v>668</v>
      </c>
      <c r="K93" s="35" t="s">
        <v>540</v>
      </c>
      <c r="L93" s="35" t="s">
        <v>376</v>
      </c>
      <c r="M93" s="35" t="s">
        <v>426</v>
      </c>
      <c r="N93" s="35" t="s">
        <v>541</v>
      </c>
      <c r="O93" s="35" t="s">
        <v>379</v>
      </c>
      <c r="P93" s="35" t="s">
        <v>497</v>
      </c>
      <c r="Q93" s="35" t="s">
        <v>498</v>
      </c>
      <c r="R93" s="35" t="s">
        <v>862</v>
      </c>
      <c r="S93" s="35" t="s">
        <v>949</v>
      </c>
      <c r="T93" s="35" t="s">
        <v>384</v>
      </c>
      <c r="U93" s="35" t="s">
        <v>385</v>
      </c>
      <c r="V93" s="35" t="s">
        <v>1822</v>
      </c>
      <c r="W93" s="35" t="s">
        <v>1823</v>
      </c>
      <c r="X93" s="35" t="s">
        <v>386</v>
      </c>
      <c r="Y93" s="35" t="s">
        <v>387</v>
      </c>
      <c r="Z93" s="35" t="s">
        <v>1824</v>
      </c>
      <c r="AA93" s="35" t="s">
        <v>543</v>
      </c>
      <c r="AB93" s="35" t="s">
        <v>552</v>
      </c>
      <c r="AC93" s="35" t="s">
        <v>408</v>
      </c>
      <c r="AW93" s="35" t="s">
        <v>1310</v>
      </c>
      <c r="AX93" s="35" t="s">
        <v>675</v>
      </c>
      <c r="AY93" s="35" t="s">
        <v>675</v>
      </c>
      <c r="AZ93" s="35" t="s">
        <v>675</v>
      </c>
      <c r="BA93" s="35" t="s">
        <v>675</v>
      </c>
      <c r="BB93" s="35" t="s">
        <v>675</v>
      </c>
      <c r="BC93" s="35" t="s">
        <v>675</v>
      </c>
      <c r="BD93" s="35" t="s">
        <v>10469</v>
      </c>
      <c r="BE93" s="35" t="s">
        <v>1826</v>
      </c>
      <c r="BF93" s="35" t="s">
        <v>432</v>
      </c>
      <c r="BG93" s="35" t="s">
        <v>1095</v>
      </c>
      <c r="BH93" s="35" t="s">
        <v>394</v>
      </c>
      <c r="BI93" s="35" t="s">
        <v>10470</v>
      </c>
      <c r="BJ93" s="35" t="s">
        <v>976</v>
      </c>
      <c r="BL93" s="35" t="s">
        <v>602</v>
      </c>
      <c r="BM93" s="35" t="s">
        <v>904</v>
      </c>
      <c r="BN93" s="35" t="s">
        <v>1314</v>
      </c>
      <c r="BO93" s="35" t="s">
        <v>398</v>
      </c>
      <c r="BP93" s="35" t="s">
        <v>10471</v>
      </c>
      <c r="BQ93" s="35" t="s">
        <v>10472</v>
      </c>
      <c r="BR93" s="35" t="s">
        <v>604</v>
      </c>
      <c r="BS93" s="35" t="s">
        <v>1830</v>
      </c>
      <c r="BT93" s="35" t="s">
        <v>1671</v>
      </c>
      <c r="BU93" s="35" t="s">
        <v>1672</v>
      </c>
      <c r="BV93" s="35" t="s">
        <v>1831</v>
      </c>
      <c r="BW93" s="35" t="s">
        <v>10473</v>
      </c>
      <c r="BX93" s="35" t="s">
        <v>988</v>
      </c>
      <c r="BZ93" s="35" t="s">
        <v>455</v>
      </c>
      <c r="CA93" s="35" t="s">
        <v>10474</v>
      </c>
      <c r="CB93" s="35" t="s">
        <v>10475</v>
      </c>
      <c r="CC93" s="35" t="s">
        <v>10476</v>
      </c>
      <c r="CD93" s="35" t="s">
        <v>10477</v>
      </c>
      <c r="CE93" s="35" t="s">
        <v>451</v>
      </c>
      <c r="CF93" s="35" t="s">
        <v>10478</v>
      </c>
      <c r="CG93" s="35" t="s">
        <v>1722</v>
      </c>
      <c r="CH93" s="35" t="s">
        <v>10479</v>
      </c>
      <c r="CI93" s="35" t="s">
        <v>1679</v>
      </c>
      <c r="CJ93" s="35" t="s">
        <v>410</v>
      </c>
      <c r="CK93" s="35" t="s">
        <v>10480</v>
      </c>
      <c r="CL93" s="35" t="s">
        <v>10481</v>
      </c>
      <c r="EU93" s="35" t="s">
        <v>526</v>
      </c>
      <c r="EV93" s="35" t="s">
        <v>479</v>
      </c>
      <c r="EW93" s="35" t="s">
        <v>527</v>
      </c>
      <c r="EX93" s="35" t="s">
        <v>10482</v>
      </c>
      <c r="EY93" s="35" t="s">
        <v>10483</v>
      </c>
      <c r="EZ93" s="35" t="s">
        <v>1843</v>
      </c>
      <c r="FA93" s="35" t="s">
        <v>583</v>
      </c>
      <c r="FB93" s="35" t="s">
        <v>583</v>
      </c>
      <c r="FC93" s="35" t="s">
        <v>583</v>
      </c>
      <c r="FD93" s="35" t="s">
        <v>583</v>
      </c>
      <c r="FE93" s="35" t="s">
        <v>415</v>
      </c>
      <c r="FF93" s="35" t="s">
        <v>583</v>
      </c>
      <c r="FG93" s="35" t="s">
        <v>583</v>
      </c>
      <c r="FH93" s="35" t="s">
        <v>583</v>
      </c>
      <c r="FI93" s="35" t="s">
        <v>415</v>
      </c>
      <c r="FJ93" s="35" t="s">
        <v>583</v>
      </c>
      <c r="FK93" s="35" t="s">
        <v>583</v>
      </c>
      <c r="FL93" s="35" t="s">
        <v>583</v>
      </c>
      <c r="FM93" s="35" t="s">
        <v>583</v>
      </c>
      <c r="FN93" s="35" t="s">
        <v>415</v>
      </c>
      <c r="FO93" s="35" t="s">
        <v>583</v>
      </c>
      <c r="FP93" s="35" t="s">
        <v>485</v>
      </c>
      <c r="FQ93" s="35" t="s">
        <v>418</v>
      </c>
      <c r="FR93" s="35" t="s">
        <v>419</v>
      </c>
      <c r="FS93" s="35" t="s">
        <v>10484</v>
      </c>
      <c r="FT93" s="35" t="s">
        <v>420</v>
      </c>
      <c r="FU93" s="35" t="s">
        <v>488</v>
      </c>
      <c r="FV93" s="35" t="s">
        <v>585</v>
      </c>
      <c r="FW93" s="35" t="s">
        <v>490</v>
      </c>
      <c r="FX93" s="35" t="s">
        <v>491</v>
      </c>
      <c r="FY93" s="35" t="s">
        <v>10485</v>
      </c>
      <c r="FZ93" s="35" t="s">
        <v>535</v>
      </c>
      <c r="GA93" s="35" t="s">
        <v>1846</v>
      </c>
      <c r="GB93" s="35" t="s">
        <v>10486</v>
      </c>
      <c r="GC93" s="35" t="s">
        <v>455</v>
      </c>
      <c r="GD93" s="35" t="s">
        <v>10487</v>
      </c>
      <c r="GF93" s="35" t="s">
        <v>786</v>
      </c>
      <c r="GG93" s="35" t="s">
        <v>10488</v>
      </c>
      <c r="GK93" s="35" t="s">
        <v>755</v>
      </c>
      <c r="GL93" s="35" t="s">
        <v>755</v>
      </c>
      <c r="GM93" s="35" t="s">
        <v>946</v>
      </c>
    </row>
    <row r="94">
      <c r="A94" s="40"/>
      <c r="B94" s="40">
        <v>45827.80988215278</v>
      </c>
      <c r="C94" s="35" t="s">
        <v>368</v>
      </c>
      <c r="D94" s="35" t="s">
        <v>370</v>
      </c>
      <c r="F94" s="35" t="s">
        <v>495</v>
      </c>
      <c r="H94" s="35" t="s">
        <v>422</v>
      </c>
      <c r="I94" s="35" t="s">
        <v>1921</v>
      </c>
      <c r="J94" s="35" t="s">
        <v>668</v>
      </c>
      <c r="K94" s="35" t="s">
        <v>375</v>
      </c>
      <c r="L94" s="35" t="s">
        <v>376</v>
      </c>
      <c r="M94" s="35" t="s">
        <v>379</v>
      </c>
      <c r="N94" s="35" t="s">
        <v>860</v>
      </c>
      <c r="O94" s="35" t="s">
        <v>377</v>
      </c>
      <c r="P94" s="35" t="s">
        <v>380</v>
      </c>
      <c r="Q94" s="35" t="s">
        <v>381</v>
      </c>
      <c r="R94" s="35" t="s">
        <v>382</v>
      </c>
      <c r="S94" s="35" t="s">
        <v>427</v>
      </c>
      <c r="T94" s="35" t="s">
        <v>384</v>
      </c>
      <c r="U94" s="35" t="s">
        <v>385</v>
      </c>
      <c r="X94" s="35" t="s">
        <v>760</v>
      </c>
      <c r="Y94" s="35" t="s">
        <v>387</v>
      </c>
      <c r="Z94" s="35" t="s">
        <v>1922</v>
      </c>
      <c r="AA94" s="35" t="s">
        <v>543</v>
      </c>
      <c r="AB94" s="35" t="s">
        <v>1923</v>
      </c>
      <c r="AW94" s="35" t="s">
        <v>1242</v>
      </c>
      <c r="AX94" s="41">
        <v>4.0</v>
      </c>
      <c r="AY94" s="35" t="s">
        <v>391</v>
      </c>
      <c r="AZ94" s="35" t="s">
        <v>391</v>
      </c>
      <c r="BA94" s="41">
        <v>4.0</v>
      </c>
      <c r="BB94" s="35" t="s">
        <v>675</v>
      </c>
      <c r="BC94" s="35" t="s">
        <v>675</v>
      </c>
      <c r="BD94" s="35" t="s">
        <v>1924</v>
      </c>
      <c r="BE94" s="35" t="s">
        <v>1925</v>
      </c>
      <c r="BF94" s="35" t="s">
        <v>432</v>
      </c>
      <c r="BG94" s="35" t="s">
        <v>393</v>
      </c>
      <c r="BH94" s="35" t="s">
        <v>434</v>
      </c>
      <c r="BJ94" s="35" t="s">
        <v>976</v>
      </c>
      <c r="BL94" s="35" t="s">
        <v>681</v>
      </c>
      <c r="BM94" s="35" t="s">
        <v>438</v>
      </c>
      <c r="BN94" s="35" t="s">
        <v>1314</v>
      </c>
      <c r="BO94" s="35" t="s">
        <v>398</v>
      </c>
      <c r="BP94" s="35" t="s">
        <v>1926</v>
      </c>
      <c r="BQ94" s="35" t="s">
        <v>1927</v>
      </c>
      <c r="BR94" s="35" t="s">
        <v>401</v>
      </c>
      <c r="BS94" s="35" t="s">
        <v>1928</v>
      </c>
      <c r="BT94" s="35" t="s">
        <v>403</v>
      </c>
      <c r="BU94" s="35" t="s">
        <v>404</v>
      </c>
      <c r="BV94" s="35" t="s">
        <v>405</v>
      </c>
      <c r="BX94" s="35" t="s">
        <v>406</v>
      </c>
      <c r="BY94" s="35" t="s">
        <v>407</v>
      </c>
      <c r="BZ94" s="35" t="s">
        <v>408</v>
      </c>
      <c r="CC94" s="35" t="s">
        <v>1929</v>
      </c>
      <c r="CD94" s="35" t="s">
        <v>1930</v>
      </c>
      <c r="CE94" s="35" t="s">
        <v>1931</v>
      </c>
      <c r="CG94" s="35" t="s">
        <v>1258</v>
      </c>
      <c r="CI94" s="35" t="s">
        <v>1259</v>
      </c>
      <c r="CJ94" s="35" t="s">
        <v>1220</v>
      </c>
      <c r="CK94" s="35" t="s">
        <v>1932</v>
      </c>
      <c r="CL94" s="35" t="s">
        <v>1933</v>
      </c>
      <c r="EU94" s="35" t="s">
        <v>526</v>
      </c>
      <c r="EV94" s="35" t="s">
        <v>1037</v>
      </c>
      <c r="EW94" s="35" t="s">
        <v>527</v>
      </c>
      <c r="EX94" s="35" t="s">
        <v>1934</v>
      </c>
      <c r="EY94" s="35" t="s">
        <v>1935</v>
      </c>
      <c r="EZ94" s="35" t="s">
        <v>1380</v>
      </c>
      <c r="FA94" s="35" t="s">
        <v>413</v>
      </c>
      <c r="FB94" s="35" t="s">
        <v>414</v>
      </c>
      <c r="FC94" s="35" t="s">
        <v>414</v>
      </c>
      <c r="FD94" s="35" t="s">
        <v>414</v>
      </c>
      <c r="FE94" s="35" t="s">
        <v>413</v>
      </c>
      <c r="FF94" s="35" t="s">
        <v>414</v>
      </c>
      <c r="FG94" s="35" t="s">
        <v>415</v>
      </c>
      <c r="FH94" s="35" t="s">
        <v>413</v>
      </c>
      <c r="FI94" s="35" t="s">
        <v>414</v>
      </c>
      <c r="FJ94" s="35" t="s">
        <v>415</v>
      </c>
      <c r="FK94" s="35" t="s">
        <v>415</v>
      </c>
      <c r="FL94" s="35" t="s">
        <v>415</v>
      </c>
      <c r="FM94" s="35" t="s">
        <v>415</v>
      </c>
      <c r="FN94" s="35" t="s">
        <v>416</v>
      </c>
      <c r="FO94" s="35" t="s">
        <v>414</v>
      </c>
      <c r="FP94" s="35" t="s">
        <v>1074</v>
      </c>
      <c r="FQ94" s="35" t="s">
        <v>418</v>
      </c>
      <c r="FR94" s="35" t="s">
        <v>749</v>
      </c>
      <c r="FT94" s="35" t="s">
        <v>420</v>
      </c>
      <c r="FU94" s="35" t="s">
        <v>488</v>
      </c>
      <c r="FV94" s="35" t="s">
        <v>918</v>
      </c>
      <c r="FW94" s="35" t="s">
        <v>490</v>
      </c>
      <c r="FX94" s="35" t="s">
        <v>491</v>
      </c>
      <c r="FY94" s="35" t="s">
        <v>1936</v>
      </c>
      <c r="FZ94" s="35" t="s">
        <v>535</v>
      </c>
      <c r="GA94" s="35" t="s">
        <v>1937</v>
      </c>
      <c r="GC94" s="35" t="s">
        <v>455</v>
      </c>
      <c r="GD94" s="35" t="s">
        <v>10489</v>
      </c>
      <c r="GF94" s="35" t="s">
        <v>855</v>
      </c>
      <c r="GK94" s="35" t="s">
        <v>788</v>
      </c>
      <c r="GL94" s="35" t="s">
        <v>788</v>
      </c>
      <c r="GM94" s="35" t="s">
        <v>921</v>
      </c>
    </row>
    <row r="95">
      <c r="A95" s="40"/>
      <c r="B95" s="40">
        <v>45827.84110394676</v>
      </c>
      <c r="C95" s="35" t="s">
        <v>368</v>
      </c>
      <c r="D95" s="35" t="s">
        <v>1984</v>
      </c>
      <c r="E95" s="35" t="s">
        <v>1984</v>
      </c>
      <c r="X95" s="35" t="s">
        <v>386</v>
      </c>
      <c r="Y95" s="35" t="s">
        <v>387</v>
      </c>
      <c r="Z95" s="35" t="s">
        <v>388</v>
      </c>
      <c r="AA95" s="35" t="s">
        <v>543</v>
      </c>
      <c r="AB95" s="35" t="s">
        <v>1985</v>
      </c>
      <c r="AC95" s="35" t="s">
        <v>1986</v>
      </c>
      <c r="AW95" s="35" t="s">
        <v>1242</v>
      </c>
      <c r="AX95" s="35" t="s">
        <v>675</v>
      </c>
      <c r="AY95" s="35" t="s">
        <v>391</v>
      </c>
      <c r="AZ95" s="41">
        <v>4.0</v>
      </c>
      <c r="BA95" s="41">
        <v>2.0</v>
      </c>
      <c r="BB95" s="35" t="s">
        <v>675</v>
      </c>
      <c r="BC95" s="35" t="s">
        <v>675</v>
      </c>
      <c r="BD95" s="35" t="s">
        <v>1987</v>
      </c>
      <c r="BE95" s="35" t="s">
        <v>1988</v>
      </c>
      <c r="BF95" s="35" t="s">
        <v>902</v>
      </c>
      <c r="BG95" s="35" t="s">
        <v>1095</v>
      </c>
      <c r="BH95" s="35" t="s">
        <v>434</v>
      </c>
      <c r="BI95" s="35" t="s">
        <v>1989</v>
      </c>
      <c r="BJ95" s="35" t="s">
        <v>727</v>
      </c>
      <c r="BK95" s="35" t="s">
        <v>1990</v>
      </c>
      <c r="BL95" s="35" t="s">
        <v>437</v>
      </c>
      <c r="BM95" s="35" t="s">
        <v>904</v>
      </c>
      <c r="BN95" s="35" t="s">
        <v>397</v>
      </c>
      <c r="BO95" s="35" t="s">
        <v>398</v>
      </c>
      <c r="BP95" s="35" t="s">
        <v>1991</v>
      </c>
      <c r="BQ95" s="35" t="s">
        <v>1992</v>
      </c>
      <c r="BR95" s="35" t="s">
        <v>604</v>
      </c>
      <c r="BS95" s="35" t="s">
        <v>1993</v>
      </c>
      <c r="BT95" s="35" t="s">
        <v>1741</v>
      </c>
      <c r="BU95" s="35" t="s">
        <v>1994</v>
      </c>
      <c r="BV95" s="35" t="s">
        <v>405</v>
      </c>
      <c r="BW95" s="35" t="s">
        <v>1995</v>
      </c>
      <c r="BX95" s="35" t="s">
        <v>457</v>
      </c>
      <c r="BZ95" s="35" t="s">
        <v>455</v>
      </c>
      <c r="CA95" s="35" t="s">
        <v>1996</v>
      </c>
      <c r="CB95" s="35" t="s">
        <v>1997</v>
      </c>
      <c r="CC95" s="35" t="s">
        <v>1998</v>
      </c>
      <c r="CD95" s="35" t="s">
        <v>1999</v>
      </c>
      <c r="CE95" s="35" t="s">
        <v>409</v>
      </c>
      <c r="CF95" s="35" t="s">
        <v>2000</v>
      </c>
      <c r="CG95" s="35" t="s">
        <v>1749</v>
      </c>
      <c r="CH95" s="35" t="s">
        <v>2001</v>
      </c>
      <c r="CI95" s="35" t="s">
        <v>1259</v>
      </c>
      <c r="CJ95" s="35" t="s">
        <v>833</v>
      </c>
      <c r="CK95" s="35" t="s">
        <v>2002</v>
      </c>
      <c r="CL95" s="35" t="s">
        <v>2003</v>
      </c>
      <c r="EU95" s="35" t="s">
        <v>578</v>
      </c>
      <c r="EV95" s="35" t="s">
        <v>579</v>
      </c>
      <c r="EW95" s="35" t="s">
        <v>778</v>
      </c>
      <c r="EX95" s="35" t="s">
        <v>2004</v>
      </c>
      <c r="EY95" s="35" t="s">
        <v>2005</v>
      </c>
      <c r="EZ95" s="35" t="s">
        <v>2006</v>
      </c>
      <c r="FA95" s="35" t="s">
        <v>416</v>
      </c>
      <c r="FB95" s="35" t="s">
        <v>414</v>
      </c>
      <c r="FC95" s="35" t="s">
        <v>413</v>
      </c>
      <c r="FD95" s="35" t="s">
        <v>413</v>
      </c>
      <c r="FE95" s="35" t="s">
        <v>413</v>
      </c>
      <c r="FF95" s="35" t="s">
        <v>414</v>
      </c>
      <c r="FG95" s="35" t="s">
        <v>413</v>
      </c>
      <c r="FH95" s="35" t="s">
        <v>413</v>
      </c>
      <c r="FI95" s="35" t="s">
        <v>416</v>
      </c>
      <c r="FJ95" s="35" t="s">
        <v>413</v>
      </c>
      <c r="FK95" s="35" t="s">
        <v>413</v>
      </c>
      <c r="FL95" s="35" t="s">
        <v>413</v>
      </c>
      <c r="FM95" s="35" t="s">
        <v>413</v>
      </c>
      <c r="FN95" s="35" t="s">
        <v>413</v>
      </c>
      <c r="FO95" s="35" t="s">
        <v>413</v>
      </c>
      <c r="FP95" s="35" t="s">
        <v>417</v>
      </c>
      <c r="FQ95" s="35" t="s">
        <v>486</v>
      </c>
      <c r="FR95" s="35" t="s">
        <v>749</v>
      </c>
      <c r="FS95" s="35" t="s">
        <v>2007</v>
      </c>
      <c r="FT95" s="35" t="s">
        <v>420</v>
      </c>
      <c r="FU95" s="35" t="s">
        <v>1462</v>
      </c>
      <c r="FV95" s="35" t="s">
        <v>918</v>
      </c>
      <c r="FW95" s="35" t="s">
        <v>1101</v>
      </c>
      <c r="FX95" s="35" t="s">
        <v>491</v>
      </c>
      <c r="FY95" s="35" t="s">
        <v>2008</v>
      </c>
      <c r="FZ95" s="35" t="s">
        <v>535</v>
      </c>
      <c r="GA95" s="35" t="s">
        <v>2009</v>
      </c>
      <c r="GB95" s="35" t="s">
        <v>2010</v>
      </c>
      <c r="GC95" s="35" t="s">
        <v>455</v>
      </c>
      <c r="GD95" s="35" t="s">
        <v>10490</v>
      </c>
      <c r="GE95" s="35" t="s">
        <v>10491</v>
      </c>
      <c r="GF95" s="35" t="s">
        <v>753</v>
      </c>
      <c r="GG95" s="35" t="s">
        <v>2011</v>
      </c>
      <c r="GK95" s="35" t="s">
        <v>857</v>
      </c>
      <c r="GL95" s="35" t="s">
        <v>857</v>
      </c>
      <c r="GM95" s="35" t="s">
        <v>817</v>
      </c>
      <c r="GO95" s="35" t="s">
        <v>1984</v>
      </c>
    </row>
    <row r="96">
      <c r="A96" s="40"/>
      <c r="B96" s="40">
        <v>45827.892397233794</v>
      </c>
      <c r="C96" s="35" t="s">
        <v>368</v>
      </c>
      <c r="D96" s="35" t="s">
        <v>370</v>
      </c>
      <c r="F96" s="35" t="s">
        <v>2114</v>
      </c>
      <c r="H96" s="35" t="s">
        <v>422</v>
      </c>
      <c r="I96" s="35" t="s">
        <v>637</v>
      </c>
      <c r="J96" s="35" t="s">
        <v>638</v>
      </c>
      <c r="K96" s="35" t="s">
        <v>425</v>
      </c>
      <c r="L96" s="35" t="s">
        <v>376</v>
      </c>
      <c r="M96" s="35" t="s">
        <v>379</v>
      </c>
      <c r="N96" s="35" t="s">
        <v>541</v>
      </c>
      <c r="O96" s="35" t="s">
        <v>379</v>
      </c>
      <c r="P96" s="35" t="s">
        <v>497</v>
      </c>
      <c r="Q96" s="35" t="s">
        <v>381</v>
      </c>
      <c r="R96" s="35" t="s">
        <v>1156</v>
      </c>
      <c r="S96" s="35" t="s">
        <v>427</v>
      </c>
      <c r="T96" s="35" t="s">
        <v>384</v>
      </c>
      <c r="U96" s="35" t="s">
        <v>385</v>
      </c>
      <c r="X96" s="35" t="s">
        <v>386</v>
      </c>
      <c r="Y96" s="35" t="s">
        <v>387</v>
      </c>
      <c r="Z96" s="35" t="s">
        <v>2115</v>
      </c>
      <c r="AA96" s="35" t="s">
        <v>502</v>
      </c>
      <c r="AB96" s="35" t="s">
        <v>2116</v>
      </c>
      <c r="AC96" s="35" t="s">
        <v>408</v>
      </c>
      <c r="AW96" s="35" t="s">
        <v>597</v>
      </c>
      <c r="AX96" s="41">
        <v>4.0</v>
      </c>
      <c r="AY96" s="41">
        <v>4.0</v>
      </c>
      <c r="AZ96" s="35" t="s">
        <v>675</v>
      </c>
      <c r="BA96" s="41">
        <v>4.0</v>
      </c>
      <c r="BB96" s="35" t="s">
        <v>675</v>
      </c>
      <c r="BC96" s="35" t="s">
        <v>675</v>
      </c>
      <c r="BD96" s="35" t="s">
        <v>2117</v>
      </c>
      <c r="BE96" s="35" t="s">
        <v>2118</v>
      </c>
      <c r="BF96" s="35" t="s">
        <v>902</v>
      </c>
      <c r="BG96" s="35" t="s">
        <v>1245</v>
      </c>
      <c r="BH96" s="35" t="s">
        <v>765</v>
      </c>
      <c r="BI96" s="35" t="s">
        <v>2119</v>
      </c>
      <c r="BJ96" s="35" t="s">
        <v>435</v>
      </c>
      <c r="BK96" s="35" t="s">
        <v>2120</v>
      </c>
      <c r="BL96" s="35" t="s">
        <v>602</v>
      </c>
      <c r="BM96" s="35" t="s">
        <v>438</v>
      </c>
      <c r="BN96" s="35" t="s">
        <v>397</v>
      </c>
      <c r="BO96" s="35" t="s">
        <v>398</v>
      </c>
      <c r="BP96" s="35" t="s">
        <v>2121</v>
      </c>
      <c r="BQ96" s="35" t="s">
        <v>2122</v>
      </c>
      <c r="BR96" s="35" t="s">
        <v>401</v>
      </c>
      <c r="BS96" s="35" t="s">
        <v>2123</v>
      </c>
      <c r="BT96" s="35" t="s">
        <v>1671</v>
      </c>
      <c r="BU96" s="35" t="s">
        <v>1771</v>
      </c>
      <c r="BV96" s="35" t="s">
        <v>1693</v>
      </c>
      <c r="BW96" s="35" t="s">
        <v>2124</v>
      </c>
      <c r="BX96" s="35" t="s">
        <v>988</v>
      </c>
      <c r="BZ96" s="35" t="s">
        <v>408</v>
      </c>
      <c r="CB96" s="35" t="s">
        <v>2125</v>
      </c>
      <c r="CC96" s="35" t="s">
        <v>2126</v>
      </c>
      <c r="CD96" s="35" t="s">
        <v>2127</v>
      </c>
      <c r="CE96" s="35" t="s">
        <v>451</v>
      </c>
      <c r="CF96" s="35" t="s">
        <v>2128</v>
      </c>
      <c r="CG96" s="35" t="s">
        <v>1258</v>
      </c>
      <c r="CH96" s="35" t="s">
        <v>2129</v>
      </c>
      <c r="CI96" s="35" t="s">
        <v>1679</v>
      </c>
      <c r="CJ96" s="35" t="s">
        <v>833</v>
      </c>
      <c r="CK96" s="35" t="s">
        <v>2130</v>
      </c>
      <c r="CL96" s="35" t="s">
        <v>2131</v>
      </c>
      <c r="EU96" s="35" t="s">
        <v>578</v>
      </c>
      <c r="EV96" s="35" t="s">
        <v>887</v>
      </c>
      <c r="EW96" s="35" t="s">
        <v>1262</v>
      </c>
      <c r="EX96" s="35" t="s">
        <v>2132</v>
      </c>
      <c r="EY96" s="35" t="s">
        <v>2133</v>
      </c>
      <c r="EZ96" s="35" t="s">
        <v>2134</v>
      </c>
      <c r="FA96" s="35" t="s">
        <v>583</v>
      </c>
      <c r="FB96" s="35" t="s">
        <v>583</v>
      </c>
      <c r="FC96" s="35" t="s">
        <v>416</v>
      </c>
      <c r="FD96" s="35" t="s">
        <v>583</v>
      </c>
      <c r="FE96" s="35" t="s">
        <v>415</v>
      </c>
      <c r="FF96" s="35" t="s">
        <v>583</v>
      </c>
      <c r="FG96" s="35" t="s">
        <v>583</v>
      </c>
      <c r="FH96" s="35" t="s">
        <v>415</v>
      </c>
      <c r="FI96" s="35" t="s">
        <v>415</v>
      </c>
      <c r="FJ96" s="35" t="s">
        <v>583</v>
      </c>
      <c r="FK96" s="35" t="s">
        <v>583</v>
      </c>
      <c r="FL96" s="35" t="s">
        <v>415</v>
      </c>
      <c r="FM96" s="35" t="s">
        <v>583</v>
      </c>
      <c r="FN96" s="35" t="s">
        <v>416</v>
      </c>
      <c r="FO96" s="35" t="s">
        <v>415</v>
      </c>
      <c r="FP96" s="35" t="s">
        <v>1074</v>
      </c>
      <c r="FQ96" s="35" t="s">
        <v>486</v>
      </c>
      <c r="FR96" s="35" t="s">
        <v>419</v>
      </c>
      <c r="FS96" s="35" t="s">
        <v>2135</v>
      </c>
      <c r="FT96" s="35" t="s">
        <v>1076</v>
      </c>
      <c r="FU96" s="35" t="s">
        <v>1462</v>
      </c>
      <c r="FV96" s="35" t="s">
        <v>533</v>
      </c>
      <c r="FW96" s="35" t="s">
        <v>2136</v>
      </c>
      <c r="FX96" s="35" t="s">
        <v>1853</v>
      </c>
      <c r="FY96" s="35" t="s">
        <v>2137</v>
      </c>
      <c r="FZ96" s="35" t="s">
        <v>1020</v>
      </c>
      <c r="GA96" s="35" t="s">
        <v>2138</v>
      </c>
      <c r="GB96" s="35" t="s">
        <v>2139</v>
      </c>
      <c r="GC96" s="35" t="s">
        <v>408</v>
      </c>
      <c r="GK96" s="35" t="s">
        <v>1000</v>
      </c>
      <c r="GL96" s="35" t="s">
        <v>1000</v>
      </c>
      <c r="GM96" s="35" t="s">
        <v>817</v>
      </c>
    </row>
    <row r="97">
      <c r="A97" s="40"/>
      <c r="B97" s="40">
        <v>45827.91347165509</v>
      </c>
      <c r="C97" s="35" t="s">
        <v>368</v>
      </c>
      <c r="D97" s="35" t="s">
        <v>635</v>
      </c>
      <c r="E97" s="35" t="s">
        <v>894</v>
      </c>
      <c r="H97" s="35" t="s">
        <v>2161</v>
      </c>
      <c r="I97" s="35" t="s">
        <v>496</v>
      </c>
      <c r="J97" s="35" t="s">
        <v>374</v>
      </c>
      <c r="K97" s="35" t="s">
        <v>1204</v>
      </c>
      <c r="L97" s="35" t="s">
        <v>376</v>
      </c>
      <c r="M97" s="35" t="s">
        <v>426</v>
      </c>
      <c r="N97" s="35" t="s">
        <v>2162</v>
      </c>
      <c r="O97" s="35" t="s">
        <v>426</v>
      </c>
      <c r="P97" s="35" t="s">
        <v>497</v>
      </c>
      <c r="Q97" s="35" t="s">
        <v>498</v>
      </c>
      <c r="R97" s="35" t="s">
        <v>759</v>
      </c>
      <c r="S97" s="35" t="s">
        <v>427</v>
      </c>
      <c r="T97" s="35" t="s">
        <v>384</v>
      </c>
      <c r="U97" s="35" t="s">
        <v>385</v>
      </c>
      <c r="W97" s="35" t="s">
        <v>896</v>
      </c>
      <c r="X97" s="35" t="s">
        <v>760</v>
      </c>
      <c r="Y97" s="35" t="s">
        <v>387</v>
      </c>
      <c r="Z97" s="35" t="s">
        <v>388</v>
      </c>
      <c r="AA97" s="35" t="s">
        <v>389</v>
      </c>
      <c r="AB97" s="35" t="s">
        <v>796</v>
      </c>
      <c r="AC97" s="35" t="s">
        <v>2163</v>
      </c>
      <c r="AW97" s="35" t="s">
        <v>1242</v>
      </c>
      <c r="AX97" s="35" t="s">
        <v>675</v>
      </c>
      <c r="AY97" s="35" t="s">
        <v>675</v>
      </c>
      <c r="AZ97" s="35" t="s">
        <v>675</v>
      </c>
      <c r="BA97" s="35" t="s">
        <v>675</v>
      </c>
      <c r="BB97" s="35" t="s">
        <v>675</v>
      </c>
      <c r="BC97" s="35" t="s">
        <v>675</v>
      </c>
      <c r="BD97" s="35" t="s">
        <v>2164</v>
      </c>
      <c r="BE97" s="35" t="s">
        <v>2165</v>
      </c>
      <c r="BF97" s="35" t="s">
        <v>902</v>
      </c>
      <c r="BG97" s="35" t="s">
        <v>1245</v>
      </c>
      <c r="BH97" s="35" t="s">
        <v>394</v>
      </c>
      <c r="BJ97" s="35" t="s">
        <v>727</v>
      </c>
      <c r="BK97" s="35" t="s">
        <v>2166</v>
      </c>
      <c r="BL97" s="35" t="s">
        <v>395</v>
      </c>
      <c r="BM97" s="35" t="s">
        <v>396</v>
      </c>
      <c r="BN97" s="35" t="s">
        <v>1314</v>
      </c>
      <c r="BO97" s="35" t="s">
        <v>398</v>
      </c>
      <c r="BP97" s="35" t="s">
        <v>2167</v>
      </c>
      <c r="BQ97" s="35" t="s">
        <v>2168</v>
      </c>
      <c r="BR97" s="35" t="s">
        <v>682</v>
      </c>
      <c r="BS97" s="35" t="s">
        <v>2169</v>
      </c>
      <c r="BT97" s="35" t="s">
        <v>403</v>
      </c>
      <c r="BV97" s="35" t="s">
        <v>405</v>
      </c>
      <c r="BX97" s="35" t="s">
        <v>406</v>
      </c>
      <c r="BY97" s="35" t="s">
        <v>1867</v>
      </c>
      <c r="BZ97" s="35" t="s">
        <v>455</v>
      </c>
      <c r="CA97" s="35" t="s">
        <v>2170</v>
      </c>
      <c r="CC97" s="35" t="s">
        <v>2171</v>
      </c>
      <c r="CD97" s="35" t="s">
        <v>2172</v>
      </c>
      <c r="CE97" s="35" t="s">
        <v>1257</v>
      </c>
      <c r="CF97" s="35" t="s">
        <v>2173</v>
      </c>
      <c r="CG97" s="35" t="s">
        <v>1258</v>
      </c>
      <c r="CI97" s="35" t="s">
        <v>1259</v>
      </c>
      <c r="CJ97" s="35" t="s">
        <v>1220</v>
      </c>
      <c r="CK97" s="35" t="s">
        <v>2174</v>
      </c>
      <c r="CL97" s="35" t="s">
        <v>2175</v>
      </c>
      <c r="EU97" s="35" t="s">
        <v>526</v>
      </c>
      <c r="EV97" s="35" t="s">
        <v>579</v>
      </c>
      <c r="EW97" s="35" t="s">
        <v>778</v>
      </c>
      <c r="EX97" s="35" t="s">
        <v>2176</v>
      </c>
      <c r="EY97" s="35" t="s">
        <v>1755</v>
      </c>
      <c r="EZ97" s="35" t="s">
        <v>2177</v>
      </c>
      <c r="FA97" s="35" t="s">
        <v>414</v>
      </c>
      <c r="FB97" s="35" t="s">
        <v>414</v>
      </c>
      <c r="FC97" s="35" t="s">
        <v>413</v>
      </c>
      <c r="FD97" s="35" t="s">
        <v>415</v>
      </c>
      <c r="FE97" s="35" t="s">
        <v>414</v>
      </c>
      <c r="FF97" s="35" t="s">
        <v>414</v>
      </c>
      <c r="FG97" s="35" t="s">
        <v>414</v>
      </c>
      <c r="FH97" s="35" t="s">
        <v>414</v>
      </c>
      <c r="FI97" s="35" t="s">
        <v>413</v>
      </c>
      <c r="FJ97" s="35" t="s">
        <v>414</v>
      </c>
      <c r="FK97" s="35" t="s">
        <v>415</v>
      </c>
      <c r="FL97" s="35" t="s">
        <v>415</v>
      </c>
      <c r="FM97" s="35" t="s">
        <v>415</v>
      </c>
      <c r="FN97" s="35" t="s">
        <v>415</v>
      </c>
      <c r="FO97" s="35" t="s">
        <v>415</v>
      </c>
      <c r="FP97" s="35" t="s">
        <v>417</v>
      </c>
      <c r="FQ97" s="35" t="s">
        <v>486</v>
      </c>
      <c r="FR97" s="35" t="s">
        <v>712</v>
      </c>
      <c r="FS97" s="35" t="s">
        <v>2178</v>
      </c>
      <c r="FT97" s="35" t="s">
        <v>420</v>
      </c>
      <c r="FU97" s="35" t="s">
        <v>488</v>
      </c>
      <c r="FV97" s="35" t="s">
        <v>1235</v>
      </c>
      <c r="FW97" s="35" t="s">
        <v>490</v>
      </c>
      <c r="FX97" s="35" t="s">
        <v>491</v>
      </c>
      <c r="FY97" s="35" t="s">
        <v>2179</v>
      </c>
      <c r="FZ97" s="35" t="s">
        <v>1020</v>
      </c>
      <c r="GA97" s="35" t="s">
        <v>2180</v>
      </c>
      <c r="GB97" s="35" t="s">
        <v>2181</v>
      </c>
      <c r="GC97" s="35" t="s">
        <v>455</v>
      </c>
      <c r="GD97" s="35" t="s">
        <v>10492</v>
      </c>
      <c r="GF97" s="35" t="s">
        <v>753</v>
      </c>
      <c r="GG97" s="35" t="s">
        <v>455</v>
      </c>
      <c r="GK97" s="35" t="s">
        <v>857</v>
      </c>
      <c r="GL97" s="35" t="s">
        <v>857</v>
      </c>
      <c r="GM97" s="35" t="s">
        <v>790</v>
      </c>
      <c r="GO97" s="35" t="s">
        <v>635</v>
      </c>
    </row>
    <row r="98">
      <c r="A98" s="40"/>
      <c r="B98" s="40">
        <v>45827.91495508102</v>
      </c>
      <c r="C98" s="35" t="s">
        <v>368</v>
      </c>
      <c r="D98" s="35" t="s">
        <v>1201</v>
      </c>
      <c r="E98" s="35" t="s">
        <v>1201</v>
      </c>
      <c r="H98" s="35" t="s">
        <v>422</v>
      </c>
      <c r="I98" s="35" t="s">
        <v>496</v>
      </c>
      <c r="J98" s="35" t="s">
        <v>424</v>
      </c>
      <c r="K98" s="35" t="s">
        <v>425</v>
      </c>
      <c r="L98" s="35" t="s">
        <v>376</v>
      </c>
      <c r="M98" s="35" t="s">
        <v>591</v>
      </c>
      <c r="N98" s="35" t="s">
        <v>639</v>
      </c>
      <c r="O98" s="35" t="s">
        <v>793</v>
      </c>
      <c r="P98" s="35" t="s">
        <v>639</v>
      </c>
      <c r="Q98" s="35" t="s">
        <v>498</v>
      </c>
      <c r="R98" s="35" t="s">
        <v>862</v>
      </c>
      <c r="S98" s="35" t="s">
        <v>500</v>
      </c>
      <c r="T98" s="35" t="s">
        <v>384</v>
      </c>
      <c r="U98" s="35" t="s">
        <v>385</v>
      </c>
      <c r="X98" s="35" t="s">
        <v>428</v>
      </c>
      <c r="AW98" s="35" t="s">
        <v>1310</v>
      </c>
      <c r="AX98" s="41">
        <v>4.0</v>
      </c>
      <c r="AY98" s="41">
        <v>4.0</v>
      </c>
      <c r="AZ98" s="35" t="s">
        <v>675</v>
      </c>
      <c r="BA98" s="35" t="s">
        <v>675</v>
      </c>
      <c r="BB98" s="35" t="s">
        <v>675</v>
      </c>
      <c r="BC98" s="35" t="s">
        <v>675</v>
      </c>
      <c r="BD98" s="35" t="s">
        <v>10493</v>
      </c>
      <c r="BE98" s="35" t="s">
        <v>10493</v>
      </c>
      <c r="BF98" s="35" t="s">
        <v>902</v>
      </c>
      <c r="BG98" s="35" t="s">
        <v>1047</v>
      </c>
      <c r="BH98" s="35" t="s">
        <v>434</v>
      </c>
      <c r="BI98" s="35" t="s">
        <v>2183</v>
      </c>
      <c r="BJ98" s="35" t="s">
        <v>976</v>
      </c>
      <c r="BK98" s="35" t="s">
        <v>1211</v>
      </c>
      <c r="BL98" s="35" t="s">
        <v>681</v>
      </c>
      <c r="BM98" s="35" t="s">
        <v>603</v>
      </c>
      <c r="BN98" s="35" t="s">
        <v>1247</v>
      </c>
      <c r="BO98" s="35" t="s">
        <v>398</v>
      </c>
      <c r="BP98" s="35" t="s">
        <v>2184</v>
      </c>
      <c r="BQ98" s="35" t="s">
        <v>2185</v>
      </c>
      <c r="BR98" s="35" t="s">
        <v>604</v>
      </c>
      <c r="BS98" s="35" t="s">
        <v>2186</v>
      </c>
      <c r="BT98" s="35" t="s">
        <v>1671</v>
      </c>
      <c r="BU98" s="35" t="s">
        <v>1994</v>
      </c>
      <c r="BV98" s="35" t="s">
        <v>405</v>
      </c>
      <c r="BW98" s="35" t="s">
        <v>1211</v>
      </c>
      <c r="BX98" s="35" t="s">
        <v>988</v>
      </c>
      <c r="BY98" s="35" t="s">
        <v>407</v>
      </c>
      <c r="BZ98" s="35" t="s">
        <v>408</v>
      </c>
      <c r="CA98" s="35" t="s">
        <v>1211</v>
      </c>
      <c r="CB98" s="35" t="s">
        <v>1211</v>
      </c>
      <c r="CC98" s="35" t="s">
        <v>10494</v>
      </c>
      <c r="CD98" s="35" t="s">
        <v>10495</v>
      </c>
      <c r="CE98" s="35" t="s">
        <v>409</v>
      </c>
      <c r="CF98" s="35" t="s">
        <v>2189</v>
      </c>
      <c r="CG98" s="35" t="s">
        <v>1722</v>
      </c>
      <c r="CI98" s="35" t="s">
        <v>1751</v>
      </c>
      <c r="CJ98" s="35" t="s">
        <v>833</v>
      </c>
      <c r="CK98" s="35" t="s">
        <v>2190</v>
      </c>
      <c r="CL98" s="35" t="s">
        <v>2191</v>
      </c>
      <c r="EU98" s="35" t="s">
        <v>526</v>
      </c>
      <c r="EV98" s="35" t="s">
        <v>579</v>
      </c>
      <c r="EW98" s="35" t="s">
        <v>1262</v>
      </c>
      <c r="EY98" s="35" t="s">
        <v>733</v>
      </c>
      <c r="EZ98" s="35" t="s">
        <v>733</v>
      </c>
      <c r="FA98" s="35" t="s">
        <v>415</v>
      </c>
      <c r="FB98" s="35" t="s">
        <v>415</v>
      </c>
      <c r="FC98" s="35" t="s">
        <v>416</v>
      </c>
      <c r="FD98" s="35" t="s">
        <v>415</v>
      </c>
      <c r="FE98" s="35" t="s">
        <v>416</v>
      </c>
      <c r="FF98" s="35" t="s">
        <v>416</v>
      </c>
      <c r="FG98" s="35" t="s">
        <v>416</v>
      </c>
      <c r="FH98" s="35" t="s">
        <v>416</v>
      </c>
      <c r="FI98" s="35" t="s">
        <v>484</v>
      </c>
      <c r="FJ98" s="35" t="s">
        <v>416</v>
      </c>
      <c r="FK98" s="35" t="s">
        <v>415</v>
      </c>
      <c r="FL98" s="35" t="s">
        <v>416</v>
      </c>
      <c r="FM98" s="35" t="s">
        <v>416</v>
      </c>
      <c r="FN98" s="35" t="s">
        <v>416</v>
      </c>
      <c r="FO98" s="35" t="s">
        <v>415</v>
      </c>
      <c r="FP98" s="35" t="s">
        <v>485</v>
      </c>
      <c r="FQ98" s="35" t="s">
        <v>486</v>
      </c>
      <c r="FR98" s="35" t="s">
        <v>749</v>
      </c>
      <c r="FS98" s="35" t="s">
        <v>2192</v>
      </c>
      <c r="FT98" s="35" t="s">
        <v>1189</v>
      </c>
      <c r="FU98" s="35" t="s">
        <v>1462</v>
      </c>
      <c r="FV98" s="35" t="s">
        <v>585</v>
      </c>
      <c r="FW98" s="35" t="s">
        <v>490</v>
      </c>
      <c r="FX98" s="35" t="s">
        <v>491</v>
      </c>
      <c r="FY98" s="35" t="s">
        <v>2193</v>
      </c>
      <c r="FZ98" s="35" t="s">
        <v>535</v>
      </c>
      <c r="GC98" s="35" t="s">
        <v>408</v>
      </c>
      <c r="GK98" s="35" t="s">
        <v>755</v>
      </c>
      <c r="GL98" s="35" t="s">
        <v>755</v>
      </c>
      <c r="GM98" s="35" t="s">
        <v>946</v>
      </c>
      <c r="GO98" s="35" t="s">
        <v>2194</v>
      </c>
      <c r="GP98" s="35" t="s">
        <v>2194</v>
      </c>
    </row>
    <row r="99">
      <c r="A99" s="40"/>
      <c r="B99" s="40">
        <v>45827.94294872685</v>
      </c>
      <c r="C99" s="35" t="s">
        <v>368</v>
      </c>
      <c r="D99" s="35" t="s">
        <v>370</v>
      </c>
      <c r="F99" s="35" t="s">
        <v>2195</v>
      </c>
      <c r="H99" s="35" t="s">
        <v>1093</v>
      </c>
      <c r="I99" s="35" t="s">
        <v>496</v>
      </c>
      <c r="J99" s="35" t="s">
        <v>374</v>
      </c>
      <c r="K99" s="35" t="s">
        <v>375</v>
      </c>
      <c r="L99" s="35" t="s">
        <v>376</v>
      </c>
      <c r="M99" s="35" t="s">
        <v>793</v>
      </c>
      <c r="N99" s="35" t="s">
        <v>2196</v>
      </c>
      <c r="O99" s="35" t="s">
        <v>793</v>
      </c>
      <c r="P99" s="35" t="s">
        <v>2197</v>
      </c>
      <c r="Q99" s="35" t="s">
        <v>498</v>
      </c>
      <c r="R99" s="35" t="s">
        <v>382</v>
      </c>
      <c r="S99" s="35" t="s">
        <v>427</v>
      </c>
      <c r="T99" s="35" t="s">
        <v>384</v>
      </c>
      <c r="U99" s="35" t="s">
        <v>385</v>
      </c>
      <c r="X99" s="35" t="s">
        <v>428</v>
      </c>
      <c r="AW99" s="35" t="s">
        <v>1310</v>
      </c>
      <c r="AX99" s="41">
        <v>4.0</v>
      </c>
      <c r="AY99" s="41">
        <v>4.0</v>
      </c>
      <c r="AZ99" s="41">
        <v>4.0</v>
      </c>
      <c r="BA99" s="41">
        <v>4.0</v>
      </c>
      <c r="BB99" s="41">
        <v>4.0</v>
      </c>
      <c r="BC99" s="35" t="s">
        <v>675</v>
      </c>
      <c r="BD99" s="35" t="s">
        <v>2198</v>
      </c>
      <c r="BE99" s="35" t="s">
        <v>2199</v>
      </c>
      <c r="BF99" s="35" t="s">
        <v>902</v>
      </c>
      <c r="BG99" s="35" t="s">
        <v>1095</v>
      </c>
      <c r="BH99" s="35" t="s">
        <v>725</v>
      </c>
      <c r="BI99" s="35" t="s">
        <v>2200</v>
      </c>
      <c r="BJ99" s="35" t="s">
        <v>976</v>
      </c>
      <c r="BL99" s="35" t="s">
        <v>437</v>
      </c>
      <c r="BM99" s="35" t="s">
        <v>603</v>
      </c>
      <c r="BN99" s="35" t="s">
        <v>1247</v>
      </c>
      <c r="BO99" s="35" t="s">
        <v>398</v>
      </c>
      <c r="BP99" s="35" t="s">
        <v>2201</v>
      </c>
      <c r="BQ99" s="35" t="s">
        <v>2202</v>
      </c>
      <c r="BR99" s="35" t="s">
        <v>442</v>
      </c>
      <c r="BS99" s="35" t="s">
        <v>2203</v>
      </c>
      <c r="BT99" s="35" t="s">
        <v>1741</v>
      </c>
      <c r="BU99" s="35" t="s">
        <v>1742</v>
      </c>
      <c r="BV99" s="35" t="s">
        <v>1772</v>
      </c>
      <c r="BW99" s="35" t="s">
        <v>2204</v>
      </c>
      <c r="BX99" s="35" t="s">
        <v>988</v>
      </c>
      <c r="BZ99" s="35" t="s">
        <v>455</v>
      </c>
      <c r="CA99" s="35" t="s">
        <v>2205</v>
      </c>
      <c r="CB99" s="35" t="s">
        <v>2206</v>
      </c>
      <c r="CC99" s="35" t="s">
        <v>2207</v>
      </c>
      <c r="CD99" s="35" t="s">
        <v>10496</v>
      </c>
      <c r="CE99" s="35" t="s">
        <v>409</v>
      </c>
      <c r="CF99" s="35" t="s">
        <v>2209</v>
      </c>
      <c r="CG99" s="35" t="s">
        <v>1697</v>
      </c>
      <c r="CH99" s="35" t="s">
        <v>2210</v>
      </c>
      <c r="CI99" s="35" t="s">
        <v>1751</v>
      </c>
      <c r="CJ99" s="35" t="s">
        <v>833</v>
      </c>
      <c r="CK99" s="35" t="s">
        <v>2211</v>
      </c>
      <c r="CL99" s="35" t="s">
        <v>10497</v>
      </c>
      <c r="EU99" s="35" t="s">
        <v>578</v>
      </c>
      <c r="EV99" s="35" t="s">
        <v>887</v>
      </c>
      <c r="EW99" s="35" t="s">
        <v>480</v>
      </c>
      <c r="EX99" s="35" t="s">
        <v>2213</v>
      </c>
      <c r="EY99" s="35" t="s">
        <v>2214</v>
      </c>
      <c r="EZ99" s="35" t="s">
        <v>2215</v>
      </c>
      <c r="FA99" s="35" t="s">
        <v>414</v>
      </c>
      <c r="FB99" s="35" t="s">
        <v>583</v>
      </c>
      <c r="FC99" s="35" t="s">
        <v>414</v>
      </c>
      <c r="FD99" s="35" t="s">
        <v>414</v>
      </c>
      <c r="FE99" s="35" t="s">
        <v>413</v>
      </c>
      <c r="FF99" s="35" t="s">
        <v>583</v>
      </c>
      <c r="FG99" s="35" t="s">
        <v>415</v>
      </c>
      <c r="FH99" s="35" t="s">
        <v>416</v>
      </c>
      <c r="FI99" s="35" t="s">
        <v>414</v>
      </c>
      <c r="FJ99" s="35" t="s">
        <v>583</v>
      </c>
      <c r="FK99" s="35" t="s">
        <v>414</v>
      </c>
      <c r="FL99" s="35" t="s">
        <v>415</v>
      </c>
      <c r="FM99" s="35" t="s">
        <v>414</v>
      </c>
      <c r="FN99" s="35" t="s">
        <v>416</v>
      </c>
      <c r="FO99" s="35" t="s">
        <v>414</v>
      </c>
      <c r="FP99" s="35" t="s">
        <v>485</v>
      </c>
      <c r="FQ99" s="35" t="s">
        <v>418</v>
      </c>
      <c r="FR99" s="35" t="s">
        <v>749</v>
      </c>
      <c r="FS99" s="35" t="s">
        <v>2216</v>
      </c>
      <c r="FT99" s="35" t="s">
        <v>1189</v>
      </c>
      <c r="FU99" s="35" t="s">
        <v>1462</v>
      </c>
      <c r="FV99" s="35" t="s">
        <v>489</v>
      </c>
      <c r="FW99" s="35" t="s">
        <v>1101</v>
      </c>
      <c r="FX99" s="35" t="s">
        <v>491</v>
      </c>
      <c r="FY99" s="35" t="s">
        <v>2217</v>
      </c>
      <c r="FZ99" s="35" t="s">
        <v>493</v>
      </c>
      <c r="GA99" s="35" t="s">
        <v>2218</v>
      </c>
      <c r="GC99" s="35" t="s">
        <v>408</v>
      </c>
      <c r="GK99" s="35" t="s">
        <v>755</v>
      </c>
      <c r="GL99" s="35" t="s">
        <v>755</v>
      </c>
      <c r="GM99" s="35" t="s">
        <v>817</v>
      </c>
    </row>
    <row r="100">
      <c r="A100" s="40"/>
      <c r="B100" s="40">
        <v>45827.94687665509</v>
      </c>
      <c r="C100" s="35" t="s">
        <v>368</v>
      </c>
      <c r="D100" s="35" t="s">
        <v>1201</v>
      </c>
      <c r="E100" s="35" t="s">
        <v>1201</v>
      </c>
      <c r="H100" s="35" t="s">
        <v>1783</v>
      </c>
      <c r="I100" s="35" t="s">
        <v>496</v>
      </c>
      <c r="J100" s="35" t="s">
        <v>374</v>
      </c>
      <c r="K100" s="35" t="s">
        <v>590</v>
      </c>
      <c r="L100" s="35" t="s">
        <v>376</v>
      </c>
      <c r="M100" s="35" t="s">
        <v>379</v>
      </c>
      <c r="N100" s="35" t="s">
        <v>2219</v>
      </c>
      <c r="O100" s="35" t="s">
        <v>591</v>
      </c>
      <c r="P100" s="35" t="s">
        <v>639</v>
      </c>
      <c r="Q100" s="35" t="s">
        <v>1504</v>
      </c>
      <c r="R100" s="35" t="s">
        <v>759</v>
      </c>
      <c r="S100" s="35" t="s">
        <v>427</v>
      </c>
      <c r="T100" s="35" t="s">
        <v>384</v>
      </c>
      <c r="U100" s="35" t="s">
        <v>385</v>
      </c>
      <c r="X100" s="35" t="s">
        <v>386</v>
      </c>
      <c r="AW100" s="35" t="s">
        <v>1242</v>
      </c>
      <c r="AX100" s="35" t="s">
        <v>675</v>
      </c>
      <c r="AY100" s="35" t="s">
        <v>675</v>
      </c>
      <c r="AZ100" s="35" t="s">
        <v>675</v>
      </c>
      <c r="BA100" s="35" t="s">
        <v>675</v>
      </c>
      <c r="BB100" s="35" t="s">
        <v>675</v>
      </c>
      <c r="BC100" s="35" t="s">
        <v>675</v>
      </c>
      <c r="BD100" s="35" t="s">
        <v>7938</v>
      </c>
      <c r="BE100" s="35" t="s">
        <v>2221</v>
      </c>
      <c r="BF100" s="35" t="s">
        <v>902</v>
      </c>
      <c r="BG100" s="35" t="s">
        <v>1245</v>
      </c>
      <c r="BH100" s="35" t="s">
        <v>394</v>
      </c>
      <c r="BI100" s="35" t="s">
        <v>2222</v>
      </c>
      <c r="BJ100" s="35" t="s">
        <v>435</v>
      </c>
      <c r="BK100" s="35" t="s">
        <v>2223</v>
      </c>
      <c r="BL100" s="35" t="s">
        <v>395</v>
      </c>
      <c r="BM100" s="35" t="s">
        <v>904</v>
      </c>
      <c r="BN100" s="35" t="s">
        <v>1314</v>
      </c>
      <c r="BO100" s="35" t="s">
        <v>398</v>
      </c>
      <c r="BP100" s="35" t="s">
        <v>10498</v>
      </c>
      <c r="BQ100" s="35" t="s">
        <v>2225</v>
      </c>
      <c r="BR100" s="35" t="s">
        <v>2226</v>
      </c>
      <c r="BS100" s="35" t="s">
        <v>2227</v>
      </c>
      <c r="BT100" s="35" t="s">
        <v>1692</v>
      </c>
      <c r="BU100" s="35" t="s">
        <v>1742</v>
      </c>
      <c r="BV100" s="35" t="s">
        <v>405</v>
      </c>
      <c r="BW100" s="35" t="s">
        <v>1252</v>
      </c>
      <c r="BX100" s="35" t="s">
        <v>988</v>
      </c>
      <c r="BZ100" s="35" t="s">
        <v>455</v>
      </c>
      <c r="CA100" s="35" t="s">
        <v>2228</v>
      </c>
      <c r="CB100" s="35" t="s">
        <v>2229</v>
      </c>
      <c r="CC100" s="35" t="s">
        <v>2230</v>
      </c>
      <c r="CD100" s="35" t="s">
        <v>10499</v>
      </c>
      <c r="CE100" s="35" t="s">
        <v>451</v>
      </c>
      <c r="CF100" s="35" t="s">
        <v>2232</v>
      </c>
      <c r="CG100" s="35" t="s">
        <v>2233</v>
      </c>
      <c r="CH100" s="35" t="s">
        <v>2234</v>
      </c>
      <c r="CI100" s="35" t="s">
        <v>1259</v>
      </c>
      <c r="CJ100" s="35" t="s">
        <v>1220</v>
      </c>
      <c r="CK100" s="35" t="s">
        <v>10500</v>
      </c>
      <c r="CL100" s="35" t="s">
        <v>2236</v>
      </c>
      <c r="EU100" s="35" t="s">
        <v>526</v>
      </c>
      <c r="EV100" s="35" t="s">
        <v>887</v>
      </c>
      <c r="EW100" s="35" t="s">
        <v>480</v>
      </c>
      <c r="EX100" s="35" t="s">
        <v>10501</v>
      </c>
      <c r="EY100" s="35" t="s">
        <v>2238</v>
      </c>
      <c r="EZ100" s="35" t="s">
        <v>2239</v>
      </c>
      <c r="FA100" s="35" t="s">
        <v>415</v>
      </c>
      <c r="FB100" s="35" t="s">
        <v>415</v>
      </c>
      <c r="FC100" s="35" t="s">
        <v>413</v>
      </c>
      <c r="FD100" s="35" t="s">
        <v>413</v>
      </c>
      <c r="FE100" s="35" t="s">
        <v>413</v>
      </c>
      <c r="FF100" s="35" t="s">
        <v>415</v>
      </c>
      <c r="FG100" s="35" t="s">
        <v>413</v>
      </c>
      <c r="FH100" s="35" t="s">
        <v>415</v>
      </c>
      <c r="FI100" s="35" t="s">
        <v>413</v>
      </c>
      <c r="FJ100" s="35" t="s">
        <v>415</v>
      </c>
      <c r="FK100" s="35" t="s">
        <v>413</v>
      </c>
      <c r="FL100" s="35" t="s">
        <v>415</v>
      </c>
      <c r="FM100" s="35" t="s">
        <v>415</v>
      </c>
      <c r="FN100" s="35" t="s">
        <v>415</v>
      </c>
      <c r="FO100" s="35" t="s">
        <v>415</v>
      </c>
      <c r="FP100" s="35" t="s">
        <v>850</v>
      </c>
      <c r="FQ100" s="35" t="s">
        <v>418</v>
      </c>
      <c r="FR100" s="35" t="s">
        <v>749</v>
      </c>
      <c r="FT100" s="35" t="s">
        <v>420</v>
      </c>
      <c r="FU100" s="35" t="s">
        <v>488</v>
      </c>
      <c r="FV100" s="35" t="s">
        <v>585</v>
      </c>
      <c r="FW100" s="35" t="s">
        <v>490</v>
      </c>
      <c r="FX100" s="35" t="s">
        <v>491</v>
      </c>
      <c r="FY100" s="35" t="s">
        <v>2240</v>
      </c>
      <c r="FZ100" s="35" t="s">
        <v>535</v>
      </c>
      <c r="GA100" s="35" t="s">
        <v>10502</v>
      </c>
      <c r="GB100" s="35" t="s">
        <v>2242</v>
      </c>
      <c r="GC100" s="35" t="s">
        <v>455</v>
      </c>
      <c r="GD100" s="35" t="s">
        <v>10503</v>
      </c>
      <c r="GF100" s="35" t="s">
        <v>753</v>
      </c>
      <c r="GG100" s="35" t="s">
        <v>10504</v>
      </c>
      <c r="GK100" s="35" t="s">
        <v>755</v>
      </c>
      <c r="GL100" s="35" t="s">
        <v>1000</v>
      </c>
      <c r="GM100" s="35" t="s">
        <v>756</v>
      </c>
      <c r="GO100" s="35" t="s">
        <v>10505</v>
      </c>
      <c r="GP100" s="35" t="s">
        <v>10505</v>
      </c>
    </row>
    <row r="101">
      <c r="A101" s="40"/>
      <c r="B101" s="40">
        <v>45827.950535625</v>
      </c>
      <c r="C101" s="35" t="s">
        <v>368</v>
      </c>
      <c r="D101" s="35" t="s">
        <v>538</v>
      </c>
      <c r="E101" s="35" t="s">
        <v>538</v>
      </c>
      <c r="H101" s="35" t="s">
        <v>422</v>
      </c>
      <c r="I101" s="35" t="s">
        <v>423</v>
      </c>
      <c r="J101" s="35" t="s">
        <v>424</v>
      </c>
      <c r="K101" s="35" t="s">
        <v>1204</v>
      </c>
      <c r="L101" s="35" t="s">
        <v>376</v>
      </c>
      <c r="M101" s="35" t="s">
        <v>377</v>
      </c>
      <c r="N101" s="35" t="s">
        <v>378</v>
      </c>
      <c r="O101" s="35" t="s">
        <v>377</v>
      </c>
      <c r="P101" s="35" t="s">
        <v>497</v>
      </c>
      <c r="Q101" s="35" t="s">
        <v>381</v>
      </c>
      <c r="R101" s="35" t="s">
        <v>818</v>
      </c>
      <c r="S101" s="35" t="s">
        <v>949</v>
      </c>
      <c r="T101" s="35" t="s">
        <v>384</v>
      </c>
      <c r="U101" s="35" t="s">
        <v>385</v>
      </c>
      <c r="AW101" s="35" t="s">
        <v>1242</v>
      </c>
      <c r="AX101" s="35" t="s">
        <v>391</v>
      </c>
      <c r="AY101" s="41">
        <v>2.0</v>
      </c>
      <c r="AZ101" s="35" t="s">
        <v>391</v>
      </c>
      <c r="BA101" s="41">
        <v>4.0</v>
      </c>
      <c r="BB101" s="35" t="s">
        <v>675</v>
      </c>
      <c r="BC101" s="35" t="s">
        <v>675</v>
      </c>
      <c r="BD101" s="35" t="s">
        <v>10506</v>
      </c>
      <c r="BE101" s="35" t="s">
        <v>10507</v>
      </c>
      <c r="BF101" s="35" t="s">
        <v>432</v>
      </c>
      <c r="BG101" s="35" t="s">
        <v>1095</v>
      </c>
      <c r="BH101" s="35" t="s">
        <v>434</v>
      </c>
      <c r="BI101" s="35" t="s">
        <v>2245</v>
      </c>
      <c r="BJ101" s="35" t="s">
        <v>976</v>
      </c>
      <c r="BK101" s="41">
        <v>9.0</v>
      </c>
      <c r="BL101" s="35" t="s">
        <v>437</v>
      </c>
      <c r="BM101" s="35" t="s">
        <v>603</v>
      </c>
      <c r="BN101" s="35" t="s">
        <v>1247</v>
      </c>
      <c r="BO101" s="35" t="s">
        <v>398</v>
      </c>
      <c r="BP101" s="35" t="s">
        <v>10508</v>
      </c>
      <c r="BQ101" s="35" t="s">
        <v>552</v>
      </c>
      <c r="BR101" s="35" t="s">
        <v>401</v>
      </c>
      <c r="BS101" s="41">
        <v>7.0</v>
      </c>
      <c r="BT101" s="35" t="s">
        <v>403</v>
      </c>
      <c r="BU101" s="35" t="s">
        <v>404</v>
      </c>
      <c r="BV101" s="35" t="s">
        <v>405</v>
      </c>
      <c r="CC101" s="35" t="s">
        <v>2247</v>
      </c>
      <c r="CD101" s="35" t="s">
        <v>10504</v>
      </c>
      <c r="CE101" s="35" t="s">
        <v>2248</v>
      </c>
      <c r="CF101" s="35" t="s">
        <v>408</v>
      </c>
      <c r="GO101" s="35" t="s">
        <v>10509</v>
      </c>
      <c r="GP101" s="35" t="s">
        <v>10510</v>
      </c>
    </row>
    <row r="102">
      <c r="A102" s="40"/>
      <c r="B102" s="40">
        <v>45828.00873828704</v>
      </c>
      <c r="C102" s="35" t="s">
        <v>368</v>
      </c>
      <c r="D102" s="35" t="s">
        <v>538</v>
      </c>
      <c r="E102" s="35" t="s">
        <v>538</v>
      </c>
      <c r="H102" s="35" t="s">
        <v>422</v>
      </c>
      <c r="I102" s="35" t="s">
        <v>496</v>
      </c>
      <c r="J102" s="35" t="s">
        <v>374</v>
      </c>
      <c r="K102" s="35" t="s">
        <v>669</v>
      </c>
      <c r="L102" s="35" t="s">
        <v>376</v>
      </c>
      <c r="M102" s="35" t="s">
        <v>591</v>
      </c>
      <c r="N102" s="35" t="s">
        <v>639</v>
      </c>
      <c r="O102" s="35" t="s">
        <v>793</v>
      </c>
      <c r="P102" s="35" t="s">
        <v>639</v>
      </c>
      <c r="Q102" s="35" t="s">
        <v>498</v>
      </c>
      <c r="R102" s="35" t="s">
        <v>1004</v>
      </c>
      <c r="S102" s="35" t="s">
        <v>2277</v>
      </c>
      <c r="T102" s="35" t="s">
        <v>384</v>
      </c>
      <c r="U102" s="35" t="s">
        <v>385</v>
      </c>
      <c r="X102" s="35" t="s">
        <v>428</v>
      </c>
      <c r="AW102" s="35" t="s">
        <v>1310</v>
      </c>
      <c r="AX102" s="35" t="s">
        <v>675</v>
      </c>
      <c r="AY102" s="35" t="s">
        <v>675</v>
      </c>
      <c r="AZ102" s="41">
        <v>2.0</v>
      </c>
      <c r="BA102" s="35" t="s">
        <v>391</v>
      </c>
      <c r="BB102" s="41">
        <v>4.0</v>
      </c>
      <c r="BC102" s="41">
        <v>4.0</v>
      </c>
      <c r="BD102" s="35" t="s">
        <v>10511</v>
      </c>
      <c r="BE102" s="35" t="s">
        <v>2279</v>
      </c>
      <c r="BF102" s="35" t="s">
        <v>902</v>
      </c>
      <c r="BG102" s="35" t="s">
        <v>1095</v>
      </c>
      <c r="BH102" s="35" t="s">
        <v>394</v>
      </c>
      <c r="BI102" s="35" t="s">
        <v>10512</v>
      </c>
      <c r="BJ102" s="35" t="s">
        <v>976</v>
      </c>
      <c r="BL102" s="35" t="s">
        <v>602</v>
      </c>
      <c r="BM102" s="35" t="s">
        <v>603</v>
      </c>
      <c r="BN102" s="35" t="s">
        <v>1247</v>
      </c>
      <c r="BO102" s="35" t="s">
        <v>398</v>
      </c>
      <c r="BP102" s="35" t="s">
        <v>10513</v>
      </c>
      <c r="BQ102" s="35" t="s">
        <v>2282</v>
      </c>
      <c r="BR102" s="35" t="s">
        <v>401</v>
      </c>
      <c r="BS102" s="35" t="s">
        <v>2283</v>
      </c>
      <c r="BT102" s="35" t="s">
        <v>403</v>
      </c>
      <c r="BU102" s="35" t="s">
        <v>1994</v>
      </c>
      <c r="BV102" s="35" t="s">
        <v>405</v>
      </c>
      <c r="BX102" s="35" t="s">
        <v>406</v>
      </c>
      <c r="BY102" s="35" t="s">
        <v>1867</v>
      </c>
      <c r="BZ102" s="35" t="s">
        <v>455</v>
      </c>
      <c r="CA102" s="35" t="s">
        <v>2284</v>
      </c>
      <c r="CC102" s="35" t="s">
        <v>10514</v>
      </c>
      <c r="CD102" s="35" t="s">
        <v>10515</v>
      </c>
      <c r="CE102" s="35" t="s">
        <v>409</v>
      </c>
      <c r="CF102" s="35" t="s">
        <v>10516</v>
      </c>
      <c r="CG102" s="35" t="s">
        <v>1258</v>
      </c>
      <c r="CI102" s="35" t="s">
        <v>1259</v>
      </c>
      <c r="CJ102" s="35" t="s">
        <v>1220</v>
      </c>
      <c r="CK102" s="35" t="s">
        <v>10517</v>
      </c>
      <c r="CL102" s="35" t="s">
        <v>10518</v>
      </c>
      <c r="EU102" s="35" t="s">
        <v>526</v>
      </c>
      <c r="EV102" s="35" t="s">
        <v>579</v>
      </c>
      <c r="EW102" s="35" t="s">
        <v>1534</v>
      </c>
      <c r="EY102" s="35" t="s">
        <v>10519</v>
      </c>
      <c r="EZ102" s="35" t="s">
        <v>10520</v>
      </c>
      <c r="FA102" s="35" t="s">
        <v>415</v>
      </c>
      <c r="FB102" s="35" t="s">
        <v>415</v>
      </c>
      <c r="FC102" s="35" t="s">
        <v>413</v>
      </c>
      <c r="FD102" s="35" t="s">
        <v>413</v>
      </c>
      <c r="FE102" s="35" t="s">
        <v>413</v>
      </c>
      <c r="FF102" s="35" t="s">
        <v>415</v>
      </c>
      <c r="FG102" s="35" t="s">
        <v>415</v>
      </c>
      <c r="FH102" s="35" t="s">
        <v>416</v>
      </c>
      <c r="FI102" s="35" t="s">
        <v>414</v>
      </c>
      <c r="FJ102" s="35" t="s">
        <v>413</v>
      </c>
      <c r="FK102" s="35" t="s">
        <v>416</v>
      </c>
      <c r="FL102" s="35" t="s">
        <v>415</v>
      </c>
      <c r="FM102" s="35" t="s">
        <v>414</v>
      </c>
      <c r="FN102" s="35" t="s">
        <v>416</v>
      </c>
      <c r="FO102" s="35" t="s">
        <v>414</v>
      </c>
      <c r="FP102" s="35" t="s">
        <v>417</v>
      </c>
      <c r="FQ102" s="35" t="s">
        <v>418</v>
      </c>
      <c r="FR102" s="35" t="s">
        <v>749</v>
      </c>
      <c r="FT102" s="35" t="s">
        <v>1189</v>
      </c>
      <c r="FU102" s="35" t="s">
        <v>1462</v>
      </c>
      <c r="FV102" s="35" t="s">
        <v>1235</v>
      </c>
      <c r="FW102" s="35" t="s">
        <v>490</v>
      </c>
      <c r="FX102" s="35" t="s">
        <v>491</v>
      </c>
      <c r="FZ102" s="35" t="s">
        <v>1854</v>
      </c>
      <c r="GA102" s="35" t="s">
        <v>2292</v>
      </c>
      <c r="GC102" s="35" t="s">
        <v>455</v>
      </c>
      <c r="GD102" s="35" t="s">
        <v>10521</v>
      </c>
      <c r="GF102" s="35" t="s">
        <v>753</v>
      </c>
      <c r="GK102" s="35" t="s">
        <v>920</v>
      </c>
      <c r="GL102" s="35" t="s">
        <v>1000</v>
      </c>
      <c r="GM102" s="35" t="s">
        <v>817</v>
      </c>
      <c r="GO102" s="35" t="s">
        <v>2293</v>
      </c>
      <c r="GP102" s="35" t="s">
        <v>2293</v>
      </c>
    </row>
    <row r="103">
      <c r="A103" s="40"/>
      <c r="B103" s="40">
        <v>45828.05815188657</v>
      </c>
      <c r="C103" s="35" t="s">
        <v>368</v>
      </c>
      <c r="D103" s="35" t="s">
        <v>370</v>
      </c>
      <c r="F103" s="35" t="s">
        <v>2335</v>
      </c>
      <c r="H103" s="35" t="s">
        <v>422</v>
      </c>
      <c r="I103" s="35" t="s">
        <v>373</v>
      </c>
      <c r="J103" s="35" t="s">
        <v>374</v>
      </c>
      <c r="K103" s="35" t="s">
        <v>540</v>
      </c>
      <c r="L103" s="35" t="s">
        <v>376</v>
      </c>
      <c r="M103" s="35" t="s">
        <v>793</v>
      </c>
      <c r="N103" s="35" t="s">
        <v>2336</v>
      </c>
      <c r="O103" s="35" t="s">
        <v>793</v>
      </c>
      <c r="P103" s="35" t="s">
        <v>719</v>
      </c>
      <c r="Q103" s="35" t="s">
        <v>498</v>
      </c>
      <c r="R103" s="35" t="s">
        <v>862</v>
      </c>
      <c r="S103" s="35" t="s">
        <v>427</v>
      </c>
      <c r="T103" s="35" t="s">
        <v>384</v>
      </c>
      <c r="U103" s="35" t="s">
        <v>385</v>
      </c>
      <c r="X103" s="35" t="s">
        <v>386</v>
      </c>
      <c r="Y103" s="35" t="s">
        <v>387</v>
      </c>
      <c r="Z103" s="35" t="s">
        <v>1444</v>
      </c>
      <c r="AA103" s="35" t="s">
        <v>389</v>
      </c>
      <c r="AB103" s="35" t="s">
        <v>2337</v>
      </c>
      <c r="AC103" s="35" t="s">
        <v>2338</v>
      </c>
      <c r="AW103" s="35" t="s">
        <v>597</v>
      </c>
      <c r="AX103" s="35" t="s">
        <v>391</v>
      </c>
      <c r="AY103" s="41">
        <v>4.0</v>
      </c>
      <c r="AZ103" s="35" t="s">
        <v>391</v>
      </c>
      <c r="BA103" s="35" t="s">
        <v>675</v>
      </c>
      <c r="BB103" s="35" t="s">
        <v>675</v>
      </c>
      <c r="BC103" s="41">
        <v>4.0</v>
      </c>
      <c r="BD103" s="35" t="s">
        <v>2339</v>
      </c>
      <c r="BE103" s="35" t="s">
        <v>2340</v>
      </c>
      <c r="BF103" s="35" t="s">
        <v>392</v>
      </c>
      <c r="BG103" s="35" t="s">
        <v>393</v>
      </c>
      <c r="BH103" s="35" t="s">
        <v>394</v>
      </c>
      <c r="BI103" s="35" t="s">
        <v>2341</v>
      </c>
      <c r="BJ103" s="35" t="s">
        <v>824</v>
      </c>
      <c r="BL103" s="35" t="s">
        <v>395</v>
      </c>
      <c r="BM103" s="35" t="s">
        <v>396</v>
      </c>
      <c r="BN103" s="35" t="s">
        <v>397</v>
      </c>
      <c r="BO103" s="35" t="s">
        <v>398</v>
      </c>
      <c r="BP103" s="35" t="s">
        <v>2342</v>
      </c>
      <c r="BQ103" s="35" t="s">
        <v>2343</v>
      </c>
      <c r="BR103" s="35" t="s">
        <v>604</v>
      </c>
      <c r="BS103" s="35" t="s">
        <v>2344</v>
      </c>
      <c r="BT103" s="35" t="s">
        <v>1741</v>
      </c>
      <c r="BU103" s="35" t="s">
        <v>1672</v>
      </c>
      <c r="BV103" s="35" t="s">
        <v>405</v>
      </c>
      <c r="BX103" s="35" t="s">
        <v>988</v>
      </c>
      <c r="BZ103" s="35" t="s">
        <v>408</v>
      </c>
      <c r="CB103" s="35" t="s">
        <v>2345</v>
      </c>
      <c r="CC103" s="35" t="s">
        <v>2346</v>
      </c>
      <c r="CD103" s="35" t="s">
        <v>2347</v>
      </c>
      <c r="CE103" s="35" t="s">
        <v>409</v>
      </c>
      <c r="CF103" s="35" t="s">
        <v>2348</v>
      </c>
      <c r="CG103" s="35" t="s">
        <v>1258</v>
      </c>
      <c r="CI103" s="35" t="s">
        <v>1259</v>
      </c>
      <c r="CJ103" s="35" t="s">
        <v>410</v>
      </c>
      <c r="CK103" s="35" t="s">
        <v>2349</v>
      </c>
      <c r="CL103" s="35" t="s">
        <v>2350</v>
      </c>
      <c r="EU103" s="35" t="s">
        <v>526</v>
      </c>
      <c r="EV103" s="35" t="s">
        <v>579</v>
      </c>
      <c r="EW103" s="35" t="s">
        <v>778</v>
      </c>
      <c r="EX103" s="35" t="s">
        <v>2351</v>
      </c>
      <c r="EY103" s="35" t="s">
        <v>2352</v>
      </c>
      <c r="EZ103" s="35" t="s">
        <v>2353</v>
      </c>
      <c r="FA103" s="35" t="s">
        <v>416</v>
      </c>
      <c r="FB103" s="35" t="s">
        <v>416</v>
      </c>
      <c r="FC103" s="35" t="s">
        <v>413</v>
      </c>
      <c r="FD103" s="35" t="s">
        <v>413</v>
      </c>
      <c r="FE103" s="35" t="s">
        <v>413</v>
      </c>
      <c r="FF103" s="35" t="s">
        <v>416</v>
      </c>
      <c r="FG103" s="35" t="s">
        <v>413</v>
      </c>
      <c r="FH103" s="35" t="s">
        <v>413</v>
      </c>
      <c r="FI103" s="35" t="s">
        <v>583</v>
      </c>
      <c r="FJ103" s="35" t="s">
        <v>413</v>
      </c>
      <c r="FK103" s="35" t="s">
        <v>413</v>
      </c>
      <c r="FL103" s="35" t="s">
        <v>413</v>
      </c>
      <c r="FM103" s="35" t="s">
        <v>413</v>
      </c>
      <c r="FN103" s="35" t="s">
        <v>413</v>
      </c>
      <c r="FO103" s="35" t="s">
        <v>583</v>
      </c>
      <c r="FP103" s="35" t="s">
        <v>417</v>
      </c>
      <c r="FQ103" s="35" t="s">
        <v>418</v>
      </c>
      <c r="FR103" s="35" t="s">
        <v>1039</v>
      </c>
      <c r="FS103" s="35" t="s">
        <v>2354</v>
      </c>
      <c r="FT103" s="35" t="s">
        <v>420</v>
      </c>
      <c r="FU103" s="35" t="s">
        <v>488</v>
      </c>
      <c r="FV103" s="35" t="s">
        <v>1235</v>
      </c>
      <c r="FW103" s="35" t="s">
        <v>490</v>
      </c>
      <c r="FX103" s="35" t="s">
        <v>491</v>
      </c>
      <c r="FY103" s="35" t="s">
        <v>2355</v>
      </c>
      <c r="FZ103" s="35" t="s">
        <v>535</v>
      </c>
      <c r="GA103" s="35" t="s">
        <v>2356</v>
      </c>
      <c r="GB103" s="35" t="s">
        <v>2357</v>
      </c>
      <c r="GC103" s="35" t="s">
        <v>455</v>
      </c>
      <c r="GD103" s="35" t="s">
        <v>10522</v>
      </c>
      <c r="GE103" s="35" t="s">
        <v>10523</v>
      </c>
      <c r="GF103" s="35" t="s">
        <v>1339</v>
      </c>
      <c r="GG103" s="35" t="s">
        <v>2358</v>
      </c>
      <c r="GK103" s="35" t="s">
        <v>755</v>
      </c>
      <c r="GL103" s="35" t="s">
        <v>755</v>
      </c>
      <c r="GM103" s="35" t="s">
        <v>946</v>
      </c>
    </row>
    <row r="104">
      <c r="A104" s="40"/>
      <c r="B104" s="40">
        <v>45828.15012672453</v>
      </c>
      <c r="C104" s="35" t="s">
        <v>368</v>
      </c>
      <c r="D104" s="35" t="s">
        <v>370</v>
      </c>
      <c r="F104" s="35" t="s">
        <v>2400</v>
      </c>
      <c r="H104" s="35" t="s">
        <v>422</v>
      </c>
      <c r="I104" s="35" t="s">
        <v>496</v>
      </c>
      <c r="J104" s="35" t="s">
        <v>1022</v>
      </c>
      <c r="K104" s="35" t="s">
        <v>425</v>
      </c>
      <c r="L104" s="35" t="s">
        <v>376</v>
      </c>
      <c r="M104" s="35" t="s">
        <v>591</v>
      </c>
      <c r="N104" s="35" t="s">
        <v>720</v>
      </c>
      <c r="O104" s="35" t="s">
        <v>670</v>
      </c>
      <c r="P104" s="35" t="s">
        <v>720</v>
      </c>
      <c r="Q104" s="35" t="s">
        <v>592</v>
      </c>
      <c r="R104" s="35" t="s">
        <v>499</v>
      </c>
      <c r="S104" s="35" t="s">
        <v>427</v>
      </c>
      <c r="T104" s="35" t="s">
        <v>384</v>
      </c>
      <c r="U104" s="35" t="s">
        <v>385</v>
      </c>
      <c r="X104" s="35" t="s">
        <v>428</v>
      </c>
      <c r="AW104" s="35" t="s">
        <v>1242</v>
      </c>
      <c r="AX104" s="41">
        <v>4.0</v>
      </c>
      <c r="AY104" s="35" t="s">
        <v>391</v>
      </c>
      <c r="AZ104" s="41">
        <v>4.0</v>
      </c>
      <c r="BA104" s="35" t="s">
        <v>675</v>
      </c>
      <c r="BB104" s="35" t="s">
        <v>675</v>
      </c>
      <c r="BC104" s="41">
        <v>4.0</v>
      </c>
      <c r="BD104" s="35" t="s">
        <v>10524</v>
      </c>
      <c r="BE104" s="35" t="s">
        <v>10525</v>
      </c>
      <c r="BF104" s="35" t="s">
        <v>902</v>
      </c>
      <c r="BG104" s="35" t="s">
        <v>1095</v>
      </c>
      <c r="BH104" s="35" t="s">
        <v>394</v>
      </c>
      <c r="BI104" s="35" t="s">
        <v>10526</v>
      </c>
      <c r="BJ104" s="35" t="s">
        <v>435</v>
      </c>
      <c r="BK104" s="35" t="s">
        <v>10527</v>
      </c>
      <c r="BL104" s="35" t="s">
        <v>437</v>
      </c>
      <c r="BM104" s="35" t="s">
        <v>603</v>
      </c>
      <c r="BN104" s="35" t="s">
        <v>1314</v>
      </c>
      <c r="BO104" s="35" t="s">
        <v>398</v>
      </c>
      <c r="BP104" s="35" t="s">
        <v>10528</v>
      </c>
      <c r="BQ104" s="35" t="s">
        <v>10529</v>
      </c>
      <c r="BS104" s="35" t="s">
        <v>2407</v>
      </c>
      <c r="BT104" s="35" t="s">
        <v>1692</v>
      </c>
      <c r="BU104" s="35" t="s">
        <v>1672</v>
      </c>
      <c r="BV104" s="35" t="s">
        <v>405</v>
      </c>
      <c r="BX104" s="35" t="s">
        <v>457</v>
      </c>
      <c r="BZ104" s="35" t="s">
        <v>455</v>
      </c>
      <c r="CA104" s="35" t="s">
        <v>10530</v>
      </c>
      <c r="CB104" s="35" t="s">
        <v>10531</v>
      </c>
      <c r="CC104" s="35" t="s">
        <v>10532</v>
      </c>
      <c r="CD104" s="35" t="s">
        <v>10533</v>
      </c>
      <c r="CE104" s="35" t="s">
        <v>409</v>
      </c>
      <c r="CF104" s="35" t="s">
        <v>10534</v>
      </c>
      <c r="CG104" s="35" t="s">
        <v>1258</v>
      </c>
      <c r="CI104" s="35" t="s">
        <v>1698</v>
      </c>
      <c r="CJ104" s="35" t="s">
        <v>410</v>
      </c>
      <c r="CK104" s="35" t="s">
        <v>10535</v>
      </c>
      <c r="CL104" s="35" t="s">
        <v>10536</v>
      </c>
      <c r="EU104" s="35" t="s">
        <v>578</v>
      </c>
      <c r="EV104" s="35" t="s">
        <v>479</v>
      </c>
      <c r="EW104" s="35" t="s">
        <v>1262</v>
      </c>
      <c r="EX104" s="35" t="s">
        <v>10537</v>
      </c>
      <c r="EY104" s="35" t="s">
        <v>10538</v>
      </c>
      <c r="EZ104" s="35" t="s">
        <v>10539</v>
      </c>
      <c r="FA104" s="35" t="s">
        <v>583</v>
      </c>
      <c r="FB104" s="35" t="s">
        <v>583</v>
      </c>
      <c r="FC104" s="35" t="s">
        <v>414</v>
      </c>
      <c r="FD104" s="35" t="s">
        <v>583</v>
      </c>
      <c r="FE104" s="35" t="s">
        <v>484</v>
      </c>
      <c r="FF104" s="35" t="s">
        <v>583</v>
      </c>
      <c r="FG104" s="35" t="s">
        <v>583</v>
      </c>
      <c r="FH104" s="35" t="s">
        <v>416</v>
      </c>
      <c r="FI104" s="35" t="s">
        <v>583</v>
      </c>
      <c r="FJ104" s="35" t="s">
        <v>415</v>
      </c>
      <c r="FK104" s="35" t="s">
        <v>415</v>
      </c>
      <c r="FL104" s="35" t="s">
        <v>416</v>
      </c>
      <c r="FM104" s="35" t="s">
        <v>414</v>
      </c>
      <c r="FN104" s="35" t="s">
        <v>413</v>
      </c>
      <c r="FO104" s="35" t="s">
        <v>583</v>
      </c>
      <c r="FP104" s="35" t="s">
        <v>417</v>
      </c>
      <c r="FQ104" s="35" t="s">
        <v>418</v>
      </c>
      <c r="FR104" s="35" t="s">
        <v>749</v>
      </c>
      <c r="FS104" s="35" t="s">
        <v>10540</v>
      </c>
      <c r="FT104" s="35" t="s">
        <v>420</v>
      </c>
      <c r="FU104" s="35" t="s">
        <v>488</v>
      </c>
      <c r="FV104" s="35" t="s">
        <v>489</v>
      </c>
      <c r="FW104" s="35" t="s">
        <v>490</v>
      </c>
      <c r="FX104" s="35" t="s">
        <v>491</v>
      </c>
      <c r="FY104" s="35" t="s">
        <v>10541</v>
      </c>
      <c r="FZ104" s="35" t="s">
        <v>535</v>
      </c>
      <c r="GA104" s="35" t="s">
        <v>10542</v>
      </c>
      <c r="GB104" s="35" t="s">
        <v>10543</v>
      </c>
      <c r="GC104" s="35" t="s">
        <v>455</v>
      </c>
      <c r="GD104" s="35" t="s">
        <v>10544</v>
      </c>
      <c r="GE104" s="35" t="s">
        <v>10545</v>
      </c>
      <c r="GF104" s="35" t="s">
        <v>753</v>
      </c>
      <c r="GG104" s="35" t="s">
        <v>10546</v>
      </c>
      <c r="GK104" s="35" t="s">
        <v>1000</v>
      </c>
      <c r="GL104" s="35" t="s">
        <v>1000</v>
      </c>
      <c r="GM104" s="35" t="s">
        <v>858</v>
      </c>
    </row>
    <row r="105">
      <c r="A105" s="40"/>
      <c r="B105" s="40">
        <v>45828.202019930555</v>
      </c>
      <c r="C105" s="35" t="s">
        <v>368</v>
      </c>
      <c r="D105" s="35" t="s">
        <v>1341</v>
      </c>
      <c r="E105" s="35" t="s">
        <v>1341</v>
      </c>
      <c r="H105" s="35" t="s">
        <v>422</v>
      </c>
      <c r="I105" s="35" t="s">
        <v>373</v>
      </c>
      <c r="J105" s="35" t="s">
        <v>638</v>
      </c>
      <c r="K105" s="35" t="s">
        <v>718</v>
      </c>
      <c r="L105" s="35" t="s">
        <v>376</v>
      </c>
      <c r="M105" s="35" t="s">
        <v>591</v>
      </c>
      <c r="N105" s="35" t="s">
        <v>639</v>
      </c>
      <c r="O105" s="35" t="s">
        <v>591</v>
      </c>
      <c r="P105" s="35" t="s">
        <v>380</v>
      </c>
      <c r="Q105" s="35" t="s">
        <v>498</v>
      </c>
      <c r="R105" s="35" t="s">
        <v>862</v>
      </c>
      <c r="S105" s="35" t="s">
        <v>500</v>
      </c>
      <c r="T105" s="35" t="s">
        <v>384</v>
      </c>
      <c r="U105" s="35" t="s">
        <v>385</v>
      </c>
      <c r="X105" s="35" t="s">
        <v>428</v>
      </c>
      <c r="Y105" s="35" t="s">
        <v>2423</v>
      </c>
      <c r="AW105" s="35" t="s">
        <v>1242</v>
      </c>
      <c r="AX105" s="41">
        <v>4.0</v>
      </c>
      <c r="AY105" s="41">
        <v>4.0</v>
      </c>
      <c r="AZ105" s="35" t="s">
        <v>675</v>
      </c>
      <c r="BA105" s="35" t="s">
        <v>675</v>
      </c>
      <c r="BB105" s="35" t="s">
        <v>675</v>
      </c>
      <c r="BC105" s="35" t="s">
        <v>675</v>
      </c>
      <c r="BD105" s="35" t="s">
        <v>10547</v>
      </c>
      <c r="BE105" s="35" t="s">
        <v>10548</v>
      </c>
      <c r="BF105" s="35" t="s">
        <v>432</v>
      </c>
      <c r="BG105" s="35" t="s">
        <v>1095</v>
      </c>
      <c r="BH105" s="35" t="s">
        <v>394</v>
      </c>
      <c r="BI105" s="35" t="s">
        <v>10549</v>
      </c>
      <c r="BJ105" s="35" t="s">
        <v>435</v>
      </c>
      <c r="BL105" s="35" t="s">
        <v>511</v>
      </c>
      <c r="BM105" s="35" t="s">
        <v>603</v>
      </c>
      <c r="BN105" s="35" t="s">
        <v>1314</v>
      </c>
      <c r="BO105" s="35" t="s">
        <v>398</v>
      </c>
      <c r="BP105" s="35" t="s">
        <v>10550</v>
      </c>
      <c r="BQ105" s="35" t="s">
        <v>408</v>
      </c>
      <c r="BR105" s="35" t="s">
        <v>401</v>
      </c>
      <c r="BS105" s="35" t="s">
        <v>2428</v>
      </c>
      <c r="BT105" s="35" t="s">
        <v>1741</v>
      </c>
      <c r="BU105" s="35" t="s">
        <v>1994</v>
      </c>
      <c r="BV105" s="35" t="s">
        <v>405</v>
      </c>
      <c r="BX105" s="35" t="s">
        <v>406</v>
      </c>
      <c r="BZ105" s="35" t="s">
        <v>455</v>
      </c>
      <c r="CA105" s="35" t="s">
        <v>10551</v>
      </c>
      <c r="CC105" s="35" t="s">
        <v>10552</v>
      </c>
      <c r="CD105" s="35" t="s">
        <v>2431</v>
      </c>
      <c r="CE105" s="35" t="s">
        <v>451</v>
      </c>
      <c r="CF105" s="35" t="s">
        <v>10553</v>
      </c>
      <c r="CG105" s="35" t="s">
        <v>1258</v>
      </c>
      <c r="CI105" s="35" t="s">
        <v>1259</v>
      </c>
      <c r="CJ105" s="35" t="s">
        <v>410</v>
      </c>
      <c r="CK105" s="35" t="s">
        <v>2433</v>
      </c>
      <c r="CL105" s="35" t="s">
        <v>10554</v>
      </c>
      <c r="EU105" s="35" t="s">
        <v>578</v>
      </c>
      <c r="EV105" s="35" t="s">
        <v>579</v>
      </c>
      <c r="EW105" s="35" t="s">
        <v>527</v>
      </c>
      <c r="EX105" s="35" t="s">
        <v>10555</v>
      </c>
      <c r="EY105" s="35" t="s">
        <v>10556</v>
      </c>
      <c r="EZ105" s="35" t="s">
        <v>2437</v>
      </c>
      <c r="FA105" s="35" t="s">
        <v>415</v>
      </c>
      <c r="FB105" s="35" t="s">
        <v>414</v>
      </c>
      <c r="FC105" s="35" t="s">
        <v>413</v>
      </c>
      <c r="FD105" s="35" t="s">
        <v>414</v>
      </c>
      <c r="FE105" s="35" t="s">
        <v>413</v>
      </c>
      <c r="FF105" s="35" t="s">
        <v>415</v>
      </c>
      <c r="FG105" s="35" t="s">
        <v>413</v>
      </c>
      <c r="FH105" s="35" t="s">
        <v>484</v>
      </c>
      <c r="FI105" s="35" t="s">
        <v>413</v>
      </c>
      <c r="FJ105" s="35" t="s">
        <v>416</v>
      </c>
      <c r="FK105" s="35" t="s">
        <v>415</v>
      </c>
      <c r="FL105" s="35" t="s">
        <v>416</v>
      </c>
      <c r="FM105" s="35" t="s">
        <v>415</v>
      </c>
      <c r="FN105" s="35" t="s">
        <v>415</v>
      </c>
      <c r="FO105" s="35" t="s">
        <v>413</v>
      </c>
      <c r="FP105" s="35" t="s">
        <v>417</v>
      </c>
      <c r="FQ105" s="35" t="s">
        <v>486</v>
      </c>
      <c r="FR105" s="35" t="s">
        <v>712</v>
      </c>
      <c r="FS105" s="35" t="s">
        <v>2438</v>
      </c>
      <c r="FT105" s="35" t="s">
        <v>420</v>
      </c>
      <c r="FU105" s="35" t="s">
        <v>1462</v>
      </c>
      <c r="FV105" s="35" t="s">
        <v>585</v>
      </c>
      <c r="FW105" s="35" t="s">
        <v>490</v>
      </c>
      <c r="FX105" s="35" t="s">
        <v>491</v>
      </c>
      <c r="FZ105" s="35" t="s">
        <v>535</v>
      </c>
      <c r="GA105" s="35" t="s">
        <v>10557</v>
      </c>
      <c r="GC105" s="35" t="s">
        <v>455</v>
      </c>
      <c r="GD105" s="35" t="s">
        <v>10558</v>
      </c>
      <c r="GF105" s="35" t="s">
        <v>786</v>
      </c>
      <c r="GG105" s="35" t="s">
        <v>10559</v>
      </c>
      <c r="GK105" s="35" t="s">
        <v>755</v>
      </c>
      <c r="GL105" s="35" t="s">
        <v>755</v>
      </c>
      <c r="GM105" s="35" t="s">
        <v>817</v>
      </c>
    </row>
    <row r="106">
      <c r="A106" s="40"/>
      <c r="B106" s="40">
        <v>45828.21023520833</v>
      </c>
      <c r="C106" s="35" t="s">
        <v>368</v>
      </c>
      <c r="D106" s="35" t="s">
        <v>370</v>
      </c>
      <c r="F106" s="35" t="s">
        <v>371</v>
      </c>
      <c r="H106" s="35" t="s">
        <v>422</v>
      </c>
      <c r="I106" s="35" t="s">
        <v>637</v>
      </c>
      <c r="J106" s="35" t="s">
        <v>638</v>
      </c>
      <c r="K106" s="35" t="s">
        <v>590</v>
      </c>
      <c r="L106" s="35" t="s">
        <v>376</v>
      </c>
      <c r="M106" s="35" t="s">
        <v>670</v>
      </c>
      <c r="N106" s="35" t="s">
        <v>860</v>
      </c>
      <c r="O106" s="35" t="s">
        <v>793</v>
      </c>
      <c r="P106" s="35" t="s">
        <v>720</v>
      </c>
      <c r="Q106" s="35" t="s">
        <v>592</v>
      </c>
      <c r="R106" s="35" t="s">
        <v>862</v>
      </c>
      <c r="S106" s="35" t="s">
        <v>427</v>
      </c>
      <c r="T106" s="35" t="s">
        <v>384</v>
      </c>
      <c r="U106" s="35" t="s">
        <v>385</v>
      </c>
      <c r="X106" s="35" t="s">
        <v>760</v>
      </c>
      <c r="Y106" s="35" t="s">
        <v>1706</v>
      </c>
      <c r="AD106" s="35" t="s">
        <v>1707</v>
      </c>
      <c r="AE106" s="35" t="s">
        <v>1708</v>
      </c>
      <c r="AF106" s="35" t="s">
        <v>455</v>
      </c>
      <c r="AG106" s="35" t="s">
        <v>2441</v>
      </c>
      <c r="AH106" s="41">
        <v>3.0</v>
      </c>
      <c r="AI106" s="35" t="s">
        <v>647</v>
      </c>
      <c r="AJ106" s="35" t="s">
        <v>2442</v>
      </c>
      <c r="AK106" s="35" t="s">
        <v>2443</v>
      </c>
      <c r="AL106" s="35" t="s">
        <v>1712</v>
      </c>
      <c r="AW106" s="35" t="s">
        <v>1242</v>
      </c>
      <c r="AX106" s="35" t="s">
        <v>675</v>
      </c>
      <c r="AY106" s="41">
        <v>4.0</v>
      </c>
      <c r="AZ106" s="35" t="s">
        <v>675</v>
      </c>
      <c r="BA106" s="35" t="s">
        <v>675</v>
      </c>
      <c r="BB106" s="35" t="s">
        <v>675</v>
      </c>
      <c r="BC106" s="35" t="s">
        <v>675</v>
      </c>
      <c r="BD106" s="35" t="s">
        <v>2444</v>
      </c>
      <c r="BE106" s="35" t="s">
        <v>2445</v>
      </c>
      <c r="BF106" s="35" t="s">
        <v>902</v>
      </c>
      <c r="BG106" s="35" t="s">
        <v>1245</v>
      </c>
      <c r="BH106" s="35" t="s">
        <v>765</v>
      </c>
      <c r="BI106" s="35" t="s">
        <v>2446</v>
      </c>
      <c r="BJ106" s="35" t="s">
        <v>509</v>
      </c>
      <c r="BK106" s="35" t="s">
        <v>2447</v>
      </c>
      <c r="BL106" s="35" t="s">
        <v>437</v>
      </c>
      <c r="BM106" s="35" t="s">
        <v>438</v>
      </c>
      <c r="BN106" s="35" t="s">
        <v>1247</v>
      </c>
      <c r="BO106" s="35" t="s">
        <v>398</v>
      </c>
      <c r="BP106" s="35" t="s">
        <v>10560</v>
      </c>
      <c r="BQ106" s="35" t="s">
        <v>2449</v>
      </c>
      <c r="BR106" s="35" t="s">
        <v>604</v>
      </c>
      <c r="BS106" s="35" t="s">
        <v>2450</v>
      </c>
      <c r="BT106" s="35" t="s">
        <v>1741</v>
      </c>
      <c r="BU106" s="35" t="s">
        <v>404</v>
      </c>
      <c r="BV106" s="35" t="s">
        <v>1772</v>
      </c>
      <c r="BW106" s="35" t="s">
        <v>2451</v>
      </c>
      <c r="BX106" s="35" t="s">
        <v>457</v>
      </c>
      <c r="BZ106" s="35" t="s">
        <v>455</v>
      </c>
      <c r="CA106" s="35" t="s">
        <v>2452</v>
      </c>
      <c r="CB106" s="35" t="s">
        <v>2453</v>
      </c>
      <c r="CC106" s="35" t="s">
        <v>2454</v>
      </c>
      <c r="CD106" s="35" t="s">
        <v>2455</v>
      </c>
      <c r="CE106" s="35" t="s">
        <v>1931</v>
      </c>
      <c r="CG106" s="35" t="s">
        <v>1258</v>
      </c>
      <c r="CI106" s="35" t="s">
        <v>1698</v>
      </c>
      <c r="CJ106" s="35" t="s">
        <v>833</v>
      </c>
      <c r="CK106" s="35" t="s">
        <v>2456</v>
      </c>
      <c r="CL106" s="35" t="s">
        <v>2457</v>
      </c>
      <c r="EU106" s="35" t="s">
        <v>578</v>
      </c>
      <c r="EV106" s="35" t="s">
        <v>1127</v>
      </c>
      <c r="EW106" s="35" t="s">
        <v>663</v>
      </c>
      <c r="EY106" s="35" t="s">
        <v>2458</v>
      </c>
      <c r="EZ106" s="35" t="s">
        <v>2459</v>
      </c>
      <c r="FA106" s="35" t="s">
        <v>583</v>
      </c>
      <c r="FB106" s="35" t="s">
        <v>583</v>
      </c>
      <c r="FC106" s="35" t="s">
        <v>415</v>
      </c>
      <c r="FD106" s="35" t="s">
        <v>414</v>
      </c>
      <c r="FE106" s="35" t="s">
        <v>413</v>
      </c>
      <c r="FF106" s="35" t="s">
        <v>414</v>
      </c>
      <c r="FG106" s="35" t="s">
        <v>414</v>
      </c>
      <c r="FH106" s="35" t="s">
        <v>415</v>
      </c>
      <c r="FI106" s="35" t="s">
        <v>583</v>
      </c>
      <c r="FJ106" s="35" t="s">
        <v>414</v>
      </c>
      <c r="FK106" s="35" t="s">
        <v>414</v>
      </c>
      <c r="FL106" s="35" t="s">
        <v>415</v>
      </c>
      <c r="FM106" s="35" t="s">
        <v>415</v>
      </c>
      <c r="FN106" s="35" t="s">
        <v>413</v>
      </c>
      <c r="FO106" s="35" t="s">
        <v>583</v>
      </c>
      <c r="FP106" s="35" t="s">
        <v>850</v>
      </c>
      <c r="FQ106" s="35" t="s">
        <v>418</v>
      </c>
      <c r="FR106" s="35" t="s">
        <v>419</v>
      </c>
      <c r="FS106" s="35" t="s">
        <v>2460</v>
      </c>
      <c r="FT106" s="35" t="s">
        <v>420</v>
      </c>
      <c r="FU106" s="35" t="s">
        <v>488</v>
      </c>
      <c r="FV106" s="35" t="s">
        <v>489</v>
      </c>
      <c r="FW106" s="35" t="s">
        <v>490</v>
      </c>
      <c r="FX106" s="35" t="s">
        <v>491</v>
      </c>
      <c r="FY106" s="35" t="s">
        <v>10561</v>
      </c>
      <c r="FZ106" s="35" t="s">
        <v>493</v>
      </c>
      <c r="GA106" s="35" t="s">
        <v>2462</v>
      </c>
      <c r="GB106" s="35" t="s">
        <v>2463</v>
      </c>
      <c r="GC106" s="35" t="s">
        <v>408</v>
      </c>
      <c r="GK106" s="35" t="s">
        <v>1000</v>
      </c>
      <c r="GL106" s="35" t="s">
        <v>755</v>
      </c>
      <c r="GM106" s="35" t="s">
        <v>817</v>
      </c>
    </row>
    <row r="107">
      <c r="A107" s="40"/>
      <c r="B107" s="40">
        <v>45828.25383616898</v>
      </c>
      <c r="C107" s="35" t="s">
        <v>368</v>
      </c>
      <c r="D107" s="35" t="s">
        <v>635</v>
      </c>
      <c r="E107" s="35" t="s">
        <v>635</v>
      </c>
      <c r="H107" s="35" t="s">
        <v>422</v>
      </c>
      <c r="I107" s="35" t="s">
        <v>637</v>
      </c>
      <c r="J107" s="35" t="s">
        <v>638</v>
      </c>
      <c r="K107" s="35" t="s">
        <v>590</v>
      </c>
      <c r="L107" s="35" t="s">
        <v>376</v>
      </c>
      <c r="M107" s="35" t="s">
        <v>670</v>
      </c>
      <c r="N107" s="35" t="s">
        <v>2482</v>
      </c>
      <c r="O107" s="35" t="s">
        <v>793</v>
      </c>
      <c r="P107" s="35" t="s">
        <v>671</v>
      </c>
      <c r="Q107" s="35" t="s">
        <v>498</v>
      </c>
      <c r="R107" s="35" t="s">
        <v>862</v>
      </c>
      <c r="S107" s="35" t="s">
        <v>500</v>
      </c>
      <c r="T107" s="35" t="s">
        <v>384</v>
      </c>
      <c r="U107" s="35" t="s">
        <v>385</v>
      </c>
      <c r="X107" s="35" t="s">
        <v>428</v>
      </c>
      <c r="AW107" s="35" t="s">
        <v>1310</v>
      </c>
      <c r="AX107" s="41">
        <v>4.0</v>
      </c>
      <c r="AY107" s="35" t="s">
        <v>391</v>
      </c>
      <c r="AZ107" s="41">
        <v>4.0</v>
      </c>
      <c r="BA107" s="35" t="s">
        <v>675</v>
      </c>
      <c r="BB107" s="35" t="s">
        <v>675</v>
      </c>
      <c r="BC107" s="41">
        <v>4.0</v>
      </c>
      <c r="BD107" s="35" t="s">
        <v>2483</v>
      </c>
      <c r="BE107" s="35" t="s">
        <v>2484</v>
      </c>
      <c r="BF107" s="35" t="s">
        <v>432</v>
      </c>
      <c r="BG107" s="35" t="s">
        <v>393</v>
      </c>
      <c r="BH107" s="35" t="s">
        <v>394</v>
      </c>
      <c r="BI107" s="35" t="s">
        <v>2485</v>
      </c>
      <c r="BJ107" s="35" t="s">
        <v>976</v>
      </c>
      <c r="BL107" s="35" t="s">
        <v>681</v>
      </c>
      <c r="BM107" s="35" t="s">
        <v>603</v>
      </c>
      <c r="BN107" s="35" t="s">
        <v>1247</v>
      </c>
      <c r="BO107" s="35" t="s">
        <v>398</v>
      </c>
      <c r="BP107" s="35" t="s">
        <v>2486</v>
      </c>
      <c r="BQ107" s="35" t="s">
        <v>2487</v>
      </c>
      <c r="BR107" s="35" t="s">
        <v>401</v>
      </c>
      <c r="BS107" s="35" t="s">
        <v>2488</v>
      </c>
      <c r="BU107" s="35" t="s">
        <v>1994</v>
      </c>
      <c r="BV107" s="35" t="s">
        <v>405</v>
      </c>
      <c r="BX107" s="35" t="s">
        <v>406</v>
      </c>
      <c r="BZ107" s="35" t="s">
        <v>408</v>
      </c>
      <c r="CB107" s="35" t="s">
        <v>2489</v>
      </c>
      <c r="CC107" s="35" t="s">
        <v>2490</v>
      </c>
      <c r="CD107" s="35" t="s">
        <v>2491</v>
      </c>
      <c r="CE107" s="35" t="s">
        <v>1257</v>
      </c>
      <c r="CI107" s="35" t="s">
        <v>1259</v>
      </c>
      <c r="CJ107" s="35" t="s">
        <v>833</v>
      </c>
      <c r="CK107" s="35" t="s">
        <v>2492</v>
      </c>
      <c r="CL107" s="35" t="s">
        <v>2493</v>
      </c>
      <c r="EU107" s="35" t="s">
        <v>578</v>
      </c>
      <c r="EV107" s="35" t="s">
        <v>579</v>
      </c>
      <c r="EW107" s="35" t="s">
        <v>527</v>
      </c>
      <c r="EX107" s="35" t="s">
        <v>2494</v>
      </c>
      <c r="EY107" s="35" t="s">
        <v>2495</v>
      </c>
      <c r="EZ107" s="35" t="s">
        <v>2496</v>
      </c>
      <c r="FA107" s="35" t="s">
        <v>416</v>
      </c>
      <c r="FB107" s="35" t="s">
        <v>484</v>
      </c>
      <c r="FC107" s="35" t="s">
        <v>413</v>
      </c>
      <c r="FD107" s="35" t="s">
        <v>413</v>
      </c>
      <c r="FE107" s="35" t="s">
        <v>413</v>
      </c>
      <c r="FF107" s="35" t="s">
        <v>414</v>
      </c>
      <c r="FG107" s="35" t="s">
        <v>413</v>
      </c>
      <c r="FH107" s="35" t="s">
        <v>415</v>
      </c>
      <c r="FI107" s="35" t="s">
        <v>415</v>
      </c>
      <c r="FJ107" s="35" t="s">
        <v>413</v>
      </c>
      <c r="FK107" s="35" t="s">
        <v>416</v>
      </c>
      <c r="FL107" s="35" t="s">
        <v>484</v>
      </c>
      <c r="FM107" s="35" t="s">
        <v>484</v>
      </c>
      <c r="FN107" s="35" t="s">
        <v>484</v>
      </c>
      <c r="FO107" s="35" t="s">
        <v>484</v>
      </c>
      <c r="FP107" s="35" t="s">
        <v>850</v>
      </c>
      <c r="FQ107" s="35" t="s">
        <v>418</v>
      </c>
      <c r="FR107" s="35" t="s">
        <v>1039</v>
      </c>
      <c r="FS107" s="35" t="s">
        <v>631</v>
      </c>
      <c r="FT107" s="35" t="s">
        <v>420</v>
      </c>
      <c r="FU107" s="35" t="s">
        <v>488</v>
      </c>
      <c r="FV107" s="35" t="s">
        <v>1235</v>
      </c>
      <c r="FW107" s="35" t="s">
        <v>490</v>
      </c>
      <c r="FX107" s="35" t="s">
        <v>491</v>
      </c>
      <c r="FZ107" s="35" t="s">
        <v>535</v>
      </c>
      <c r="GC107" s="35" t="s">
        <v>455</v>
      </c>
      <c r="GE107" s="35" t="s">
        <v>2497</v>
      </c>
      <c r="GF107" s="35" t="s">
        <v>753</v>
      </c>
      <c r="GK107" s="35" t="s">
        <v>1000</v>
      </c>
      <c r="GL107" s="35" t="s">
        <v>1000</v>
      </c>
      <c r="GM107" s="35" t="s">
        <v>858</v>
      </c>
    </row>
    <row r="108">
      <c r="A108" s="40"/>
      <c r="B108" s="40">
        <v>45828.2956471412</v>
      </c>
      <c r="C108" s="35" t="s">
        <v>368</v>
      </c>
      <c r="D108" s="35" t="s">
        <v>2498</v>
      </c>
      <c r="E108" s="35" t="s">
        <v>894</v>
      </c>
      <c r="H108" s="35" t="s">
        <v>422</v>
      </c>
      <c r="I108" s="35" t="s">
        <v>423</v>
      </c>
      <c r="J108" s="35" t="s">
        <v>424</v>
      </c>
      <c r="K108" s="35" t="s">
        <v>375</v>
      </c>
      <c r="L108" s="35" t="s">
        <v>376</v>
      </c>
      <c r="M108" s="35" t="s">
        <v>379</v>
      </c>
      <c r="N108" s="35" t="s">
        <v>378</v>
      </c>
      <c r="O108" s="35" t="s">
        <v>379</v>
      </c>
      <c r="P108" s="35" t="s">
        <v>497</v>
      </c>
      <c r="Q108" s="35" t="s">
        <v>381</v>
      </c>
      <c r="R108" s="35" t="s">
        <v>862</v>
      </c>
      <c r="S108" s="35" t="s">
        <v>949</v>
      </c>
      <c r="T108" s="35" t="s">
        <v>384</v>
      </c>
      <c r="U108" s="35" t="s">
        <v>385</v>
      </c>
      <c r="W108" s="35" t="s">
        <v>1045</v>
      </c>
      <c r="X108" s="35" t="s">
        <v>428</v>
      </c>
      <c r="AW108" s="35" t="s">
        <v>1310</v>
      </c>
      <c r="AX108" s="41">
        <v>4.0</v>
      </c>
      <c r="AY108" s="41">
        <v>4.0</v>
      </c>
      <c r="AZ108" s="41">
        <v>4.0</v>
      </c>
      <c r="BA108" s="41">
        <v>4.0</v>
      </c>
      <c r="BB108" s="41">
        <v>4.0</v>
      </c>
      <c r="BC108" s="41">
        <v>4.0</v>
      </c>
      <c r="BD108" s="35" t="s">
        <v>10562</v>
      </c>
      <c r="BE108" s="35" t="s">
        <v>10563</v>
      </c>
      <c r="BF108" s="35" t="s">
        <v>432</v>
      </c>
      <c r="BG108" s="35" t="s">
        <v>1095</v>
      </c>
      <c r="BH108" s="35" t="s">
        <v>394</v>
      </c>
      <c r="BI108" s="35" t="s">
        <v>2501</v>
      </c>
      <c r="BJ108" s="35" t="s">
        <v>976</v>
      </c>
      <c r="BL108" s="35" t="s">
        <v>395</v>
      </c>
      <c r="BM108" s="35" t="s">
        <v>904</v>
      </c>
      <c r="BN108" s="35" t="s">
        <v>1314</v>
      </c>
      <c r="BO108" s="35" t="s">
        <v>398</v>
      </c>
      <c r="BP108" s="35" t="s">
        <v>10564</v>
      </c>
      <c r="BQ108" s="35" t="s">
        <v>408</v>
      </c>
      <c r="BR108" s="35" t="s">
        <v>442</v>
      </c>
      <c r="BS108" s="35" t="s">
        <v>2488</v>
      </c>
      <c r="BT108" s="35" t="s">
        <v>1741</v>
      </c>
      <c r="BU108" s="35" t="s">
        <v>1994</v>
      </c>
      <c r="BV108" s="35" t="s">
        <v>405</v>
      </c>
      <c r="BX108" s="35" t="s">
        <v>406</v>
      </c>
      <c r="BY108" s="35" t="s">
        <v>2503</v>
      </c>
      <c r="BZ108" s="35" t="s">
        <v>408</v>
      </c>
      <c r="CC108" s="35" t="s">
        <v>10565</v>
      </c>
      <c r="CD108" s="35" t="s">
        <v>10566</v>
      </c>
      <c r="CE108" s="35" t="s">
        <v>1257</v>
      </c>
      <c r="CG108" s="35" t="s">
        <v>2233</v>
      </c>
      <c r="CI108" s="35" t="s">
        <v>1259</v>
      </c>
      <c r="CJ108" s="35" t="s">
        <v>410</v>
      </c>
      <c r="CK108" s="35" t="s">
        <v>8640</v>
      </c>
      <c r="CL108" s="35" t="s">
        <v>2507</v>
      </c>
      <c r="EU108" s="35" t="s">
        <v>526</v>
      </c>
      <c r="EV108" s="35" t="s">
        <v>1127</v>
      </c>
      <c r="EW108" s="35" t="s">
        <v>663</v>
      </c>
      <c r="EX108" s="35" t="s">
        <v>10567</v>
      </c>
      <c r="EZ108" s="35" t="s">
        <v>9045</v>
      </c>
      <c r="FA108" s="35" t="s">
        <v>413</v>
      </c>
      <c r="FB108" s="35" t="s">
        <v>416</v>
      </c>
      <c r="FC108" s="35" t="s">
        <v>413</v>
      </c>
      <c r="FD108" s="35" t="s">
        <v>413</v>
      </c>
      <c r="FE108" s="35" t="s">
        <v>413</v>
      </c>
      <c r="FF108" s="35" t="s">
        <v>414</v>
      </c>
      <c r="FG108" s="35" t="s">
        <v>413</v>
      </c>
      <c r="FH108" s="35" t="s">
        <v>413</v>
      </c>
      <c r="FI108" s="35" t="s">
        <v>413</v>
      </c>
      <c r="FJ108" s="35" t="s">
        <v>416</v>
      </c>
      <c r="FK108" s="35" t="s">
        <v>413</v>
      </c>
      <c r="FL108" s="35" t="s">
        <v>413</v>
      </c>
      <c r="FM108" s="35" t="s">
        <v>416</v>
      </c>
      <c r="FN108" s="35" t="s">
        <v>413</v>
      </c>
      <c r="FO108" s="35" t="s">
        <v>484</v>
      </c>
      <c r="FP108" s="35" t="s">
        <v>417</v>
      </c>
      <c r="FQ108" s="35" t="s">
        <v>418</v>
      </c>
      <c r="FR108" s="35" t="s">
        <v>712</v>
      </c>
      <c r="FS108" s="35" t="s">
        <v>6587</v>
      </c>
      <c r="FT108" s="35" t="s">
        <v>420</v>
      </c>
      <c r="FU108" s="35" t="s">
        <v>488</v>
      </c>
      <c r="FV108" s="35" t="s">
        <v>918</v>
      </c>
      <c r="FW108" s="35" t="s">
        <v>490</v>
      </c>
      <c r="FX108" s="35" t="s">
        <v>491</v>
      </c>
      <c r="FY108" s="35" t="s">
        <v>10568</v>
      </c>
      <c r="FZ108" s="35" t="s">
        <v>535</v>
      </c>
      <c r="GA108" s="35" t="s">
        <v>2512</v>
      </c>
      <c r="GC108" s="35" t="s">
        <v>408</v>
      </c>
      <c r="GK108" s="35" t="s">
        <v>755</v>
      </c>
      <c r="GL108" s="35" t="s">
        <v>755</v>
      </c>
      <c r="GM108" s="35" t="s">
        <v>946</v>
      </c>
      <c r="GO108" s="35" t="s">
        <v>2513</v>
      </c>
    </row>
    <row r="109">
      <c r="A109" s="40"/>
      <c r="B109" s="40">
        <v>45828.34100351852</v>
      </c>
      <c r="C109" s="35" t="s">
        <v>368</v>
      </c>
      <c r="D109" s="35" t="s">
        <v>370</v>
      </c>
      <c r="F109" s="35" t="s">
        <v>667</v>
      </c>
      <c r="H109" s="35" t="s">
        <v>372</v>
      </c>
      <c r="I109" s="35" t="s">
        <v>373</v>
      </c>
      <c r="J109" s="35" t="s">
        <v>374</v>
      </c>
      <c r="K109" s="35" t="s">
        <v>590</v>
      </c>
      <c r="L109" s="35" t="s">
        <v>376</v>
      </c>
      <c r="M109" s="35" t="s">
        <v>1526</v>
      </c>
      <c r="N109" s="35" t="s">
        <v>2464</v>
      </c>
      <c r="O109" s="35" t="s">
        <v>1526</v>
      </c>
      <c r="P109" s="35" t="s">
        <v>497</v>
      </c>
      <c r="Q109" s="35" t="s">
        <v>381</v>
      </c>
      <c r="R109" s="35" t="s">
        <v>382</v>
      </c>
      <c r="S109" s="35" t="s">
        <v>500</v>
      </c>
      <c r="T109" s="35" t="s">
        <v>384</v>
      </c>
      <c r="U109" s="35" t="s">
        <v>385</v>
      </c>
      <c r="X109" s="35" t="s">
        <v>760</v>
      </c>
      <c r="Y109" s="35" t="s">
        <v>387</v>
      </c>
      <c r="Z109" s="35" t="s">
        <v>388</v>
      </c>
      <c r="AA109" s="35" t="s">
        <v>389</v>
      </c>
      <c r="AW109" s="35" t="s">
        <v>1242</v>
      </c>
      <c r="AX109" s="35" t="s">
        <v>675</v>
      </c>
      <c r="AY109" s="41">
        <v>4.0</v>
      </c>
      <c r="AZ109" s="35" t="s">
        <v>675</v>
      </c>
      <c r="BA109" s="41">
        <v>4.0</v>
      </c>
      <c r="BB109" s="35" t="s">
        <v>675</v>
      </c>
      <c r="BC109" s="35" t="s">
        <v>675</v>
      </c>
      <c r="BD109" s="35" t="s">
        <v>2525</v>
      </c>
      <c r="BE109" s="35" t="s">
        <v>2526</v>
      </c>
      <c r="BF109" s="35" t="s">
        <v>432</v>
      </c>
      <c r="BG109" s="35" t="s">
        <v>1245</v>
      </c>
      <c r="BH109" s="35" t="s">
        <v>394</v>
      </c>
      <c r="BI109" s="35" t="s">
        <v>10569</v>
      </c>
      <c r="BJ109" s="35" t="s">
        <v>727</v>
      </c>
      <c r="BL109" s="35" t="s">
        <v>437</v>
      </c>
      <c r="BM109" s="35" t="s">
        <v>512</v>
      </c>
      <c r="BN109" s="35" t="s">
        <v>1314</v>
      </c>
      <c r="BO109" s="35" t="s">
        <v>398</v>
      </c>
      <c r="BP109" s="35" t="s">
        <v>10570</v>
      </c>
      <c r="BR109" s="35" t="s">
        <v>604</v>
      </c>
      <c r="BS109" s="35" t="s">
        <v>2529</v>
      </c>
      <c r="BT109" s="35" t="s">
        <v>1741</v>
      </c>
      <c r="BU109" s="35" t="s">
        <v>1672</v>
      </c>
      <c r="BV109" s="35" t="s">
        <v>405</v>
      </c>
      <c r="BX109" s="35" t="s">
        <v>406</v>
      </c>
      <c r="BY109" s="35" t="s">
        <v>2503</v>
      </c>
      <c r="BZ109" s="35" t="s">
        <v>408</v>
      </c>
      <c r="CC109" s="35" t="s">
        <v>2530</v>
      </c>
      <c r="CD109" s="35" t="s">
        <v>10571</v>
      </c>
      <c r="CE109" s="35" t="s">
        <v>2248</v>
      </c>
      <c r="CG109" s="35" t="s">
        <v>1722</v>
      </c>
      <c r="CH109" s="35" t="s">
        <v>2532</v>
      </c>
      <c r="CI109" s="35" t="s">
        <v>1259</v>
      </c>
      <c r="CJ109" s="35" t="s">
        <v>410</v>
      </c>
      <c r="CK109" s="35" t="s">
        <v>10572</v>
      </c>
      <c r="CL109" s="35" t="s">
        <v>2534</v>
      </c>
      <c r="EU109" s="35" t="s">
        <v>526</v>
      </c>
      <c r="EV109" s="35" t="s">
        <v>1127</v>
      </c>
      <c r="EW109" s="35" t="s">
        <v>1262</v>
      </c>
      <c r="EY109" s="35" t="s">
        <v>10573</v>
      </c>
      <c r="EZ109" s="35" t="s">
        <v>2536</v>
      </c>
      <c r="FA109" s="35" t="s">
        <v>414</v>
      </c>
      <c r="FB109" s="35" t="s">
        <v>414</v>
      </c>
      <c r="FC109" s="35" t="s">
        <v>413</v>
      </c>
      <c r="FD109" s="35" t="s">
        <v>415</v>
      </c>
      <c r="FE109" s="35" t="s">
        <v>413</v>
      </c>
      <c r="FF109" s="35" t="s">
        <v>415</v>
      </c>
      <c r="FG109" s="35" t="s">
        <v>413</v>
      </c>
      <c r="FH109" s="35" t="s">
        <v>413</v>
      </c>
      <c r="FI109" s="35" t="s">
        <v>413</v>
      </c>
      <c r="FJ109" s="35" t="s">
        <v>415</v>
      </c>
      <c r="FK109" s="35" t="s">
        <v>415</v>
      </c>
      <c r="FL109" s="35" t="s">
        <v>415</v>
      </c>
      <c r="FM109" s="35" t="s">
        <v>415</v>
      </c>
      <c r="FN109" s="35" t="s">
        <v>413</v>
      </c>
      <c r="FO109" s="35" t="s">
        <v>583</v>
      </c>
      <c r="FP109" s="35" t="s">
        <v>485</v>
      </c>
      <c r="FQ109" s="35" t="s">
        <v>1200</v>
      </c>
      <c r="FR109" s="35" t="s">
        <v>749</v>
      </c>
      <c r="FT109" s="35" t="s">
        <v>420</v>
      </c>
      <c r="FU109" s="35" t="s">
        <v>488</v>
      </c>
      <c r="FV109" s="35" t="s">
        <v>489</v>
      </c>
      <c r="FW109" s="35" t="s">
        <v>490</v>
      </c>
      <c r="FX109" s="35" t="s">
        <v>491</v>
      </c>
      <c r="FY109" s="35" t="s">
        <v>10574</v>
      </c>
      <c r="FZ109" s="35" t="s">
        <v>493</v>
      </c>
      <c r="GC109" s="35" t="s">
        <v>455</v>
      </c>
      <c r="GD109" s="35" t="s">
        <v>10575</v>
      </c>
      <c r="GF109" s="35" t="s">
        <v>753</v>
      </c>
      <c r="GK109" s="35" t="s">
        <v>789</v>
      </c>
      <c r="GL109" s="35" t="s">
        <v>789</v>
      </c>
      <c r="GM109" s="35" t="s">
        <v>946</v>
      </c>
    </row>
    <row r="110">
      <c r="A110" s="40"/>
      <c r="B110" s="40">
        <v>45828.351169953705</v>
      </c>
      <c r="C110" s="35" t="s">
        <v>368</v>
      </c>
      <c r="D110" s="35" t="s">
        <v>2538</v>
      </c>
      <c r="E110" s="35" t="s">
        <v>894</v>
      </c>
      <c r="H110" s="35" t="s">
        <v>422</v>
      </c>
      <c r="I110" s="35" t="s">
        <v>496</v>
      </c>
      <c r="J110" s="35" t="s">
        <v>374</v>
      </c>
      <c r="K110" s="35" t="s">
        <v>540</v>
      </c>
      <c r="L110" s="35" t="s">
        <v>376</v>
      </c>
      <c r="M110" s="35" t="s">
        <v>793</v>
      </c>
      <c r="N110" s="35" t="s">
        <v>2539</v>
      </c>
      <c r="O110" s="35" t="s">
        <v>670</v>
      </c>
      <c r="P110" s="35" t="s">
        <v>1270</v>
      </c>
      <c r="Q110" s="35" t="s">
        <v>498</v>
      </c>
      <c r="R110" s="35" t="s">
        <v>382</v>
      </c>
      <c r="S110" s="35" t="s">
        <v>427</v>
      </c>
      <c r="T110" s="35" t="s">
        <v>384</v>
      </c>
      <c r="U110" s="35" t="s">
        <v>385</v>
      </c>
      <c r="W110" s="35" t="s">
        <v>896</v>
      </c>
      <c r="X110" s="35" t="s">
        <v>428</v>
      </c>
      <c r="AW110" s="35" t="s">
        <v>1242</v>
      </c>
      <c r="AX110" s="35" t="s">
        <v>675</v>
      </c>
      <c r="AY110" s="35" t="s">
        <v>391</v>
      </c>
      <c r="AZ110" s="35" t="s">
        <v>675</v>
      </c>
      <c r="BA110" s="35" t="s">
        <v>675</v>
      </c>
      <c r="BB110" s="35" t="s">
        <v>675</v>
      </c>
      <c r="BC110" s="35" t="s">
        <v>675</v>
      </c>
      <c r="BD110" s="35" t="s">
        <v>2540</v>
      </c>
      <c r="BE110" s="35" t="s">
        <v>10576</v>
      </c>
      <c r="BF110" s="35" t="s">
        <v>432</v>
      </c>
      <c r="BG110" s="35" t="s">
        <v>1095</v>
      </c>
      <c r="BH110" s="35" t="s">
        <v>765</v>
      </c>
      <c r="BI110" s="35" t="s">
        <v>2542</v>
      </c>
      <c r="BJ110" s="35" t="s">
        <v>435</v>
      </c>
      <c r="BK110" s="35" t="s">
        <v>2543</v>
      </c>
      <c r="BL110" s="35" t="s">
        <v>681</v>
      </c>
      <c r="BM110" s="35" t="s">
        <v>438</v>
      </c>
      <c r="BN110" s="35" t="s">
        <v>1314</v>
      </c>
      <c r="BO110" s="35" t="s">
        <v>398</v>
      </c>
      <c r="BP110" s="35" t="s">
        <v>2544</v>
      </c>
      <c r="BQ110" s="35" t="s">
        <v>2545</v>
      </c>
      <c r="BR110" s="35" t="s">
        <v>401</v>
      </c>
      <c r="BS110" s="35" t="s">
        <v>2488</v>
      </c>
      <c r="BT110" s="35" t="s">
        <v>403</v>
      </c>
      <c r="BU110" s="35" t="s">
        <v>1994</v>
      </c>
      <c r="BV110" s="35" t="s">
        <v>405</v>
      </c>
      <c r="BX110" s="35" t="s">
        <v>406</v>
      </c>
      <c r="BY110" s="35" t="s">
        <v>2503</v>
      </c>
      <c r="BZ110" s="35" t="s">
        <v>455</v>
      </c>
      <c r="CA110" s="35" t="s">
        <v>2546</v>
      </c>
      <c r="CB110" s="35" t="s">
        <v>2547</v>
      </c>
      <c r="CC110" s="35" t="s">
        <v>2548</v>
      </c>
      <c r="CD110" s="35" t="s">
        <v>2549</v>
      </c>
      <c r="CE110" s="35" t="s">
        <v>2248</v>
      </c>
      <c r="CG110" s="35" t="s">
        <v>1749</v>
      </c>
      <c r="CH110" s="35" t="s">
        <v>2550</v>
      </c>
      <c r="CI110" s="35" t="s">
        <v>1698</v>
      </c>
      <c r="CJ110" s="35" t="s">
        <v>833</v>
      </c>
      <c r="CK110" s="35" t="s">
        <v>10577</v>
      </c>
      <c r="CL110" s="35" t="s">
        <v>2552</v>
      </c>
      <c r="EU110" s="35" t="s">
        <v>578</v>
      </c>
      <c r="EV110" s="35" t="s">
        <v>1127</v>
      </c>
      <c r="EW110" s="35" t="s">
        <v>480</v>
      </c>
      <c r="EX110" s="35" t="s">
        <v>2553</v>
      </c>
      <c r="EY110" s="35" t="s">
        <v>2554</v>
      </c>
      <c r="FA110" s="35" t="s">
        <v>415</v>
      </c>
      <c r="FB110" s="35" t="s">
        <v>414</v>
      </c>
      <c r="FC110" s="35" t="s">
        <v>413</v>
      </c>
      <c r="FD110" s="35" t="s">
        <v>416</v>
      </c>
      <c r="FE110" s="35" t="s">
        <v>413</v>
      </c>
      <c r="FF110" s="35" t="s">
        <v>414</v>
      </c>
      <c r="FG110" s="35" t="s">
        <v>415</v>
      </c>
      <c r="FH110" s="35" t="s">
        <v>415</v>
      </c>
      <c r="FI110" s="35" t="s">
        <v>583</v>
      </c>
      <c r="FJ110" s="35" t="s">
        <v>414</v>
      </c>
      <c r="FK110" s="35" t="s">
        <v>414</v>
      </c>
      <c r="FL110" s="35" t="s">
        <v>415</v>
      </c>
      <c r="FM110" s="35" t="s">
        <v>416</v>
      </c>
      <c r="FN110" s="35" t="s">
        <v>416</v>
      </c>
      <c r="FO110" s="35" t="s">
        <v>583</v>
      </c>
      <c r="FP110" s="35" t="s">
        <v>1074</v>
      </c>
      <c r="FQ110" s="35" t="s">
        <v>486</v>
      </c>
      <c r="FR110" s="35" t="s">
        <v>419</v>
      </c>
      <c r="FS110" s="35" t="s">
        <v>2555</v>
      </c>
      <c r="FT110" s="35" t="s">
        <v>420</v>
      </c>
      <c r="FU110" s="35" t="s">
        <v>1462</v>
      </c>
      <c r="FV110" s="35" t="s">
        <v>489</v>
      </c>
      <c r="FW110" s="35" t="s">
        <v>490</v>
      </c>
      <c r="FX110" s="35" t="s">
        <v>1853</v>
      </c>
      <c r="FY110" s="35" t="s">
        <v>2556</v>
      </c>
      <c r="FZ110" s="35" t="s">
        <v>535</v>
      </c>
      <c r="GA110" s="35" t="s">
        <v>2557</v>
      </c>
      <c r="GC110" s="35" t="s">
        <v>455</v>
      </c>
      <c r="GD110" s="35" t="s">
        <v>10578</v>
      </c>
      <c r="GF110" s="35" t="s">
        <v>786</v>
      </c>
      <c r="GG110" s="35" t="s">
        <v>10579</v>
      </c>
      <c r="GK110" s="35" t="s">
        <v>755</v>
      </c>
      <c r="GL110" s="35" t="s">
        <v>755</v>
      </c>
      <c r="GM110" s="35" t="s">
        <v>817</v>
      </c>
    </row>
    <row r="111">
      <c r="A111" s="40"/>
      <c r="B111" s="40">
        <v>45828.35893381944</v>
      </c>
      <c r="C111" s="35" t="s">
        <v>368</v>
      </c>
      <c r="D111" s="35" t="s">
        <v>894</v>
      </c>
      <c r="E111" s="35" t="s">
        <v>894</v>
      </c>
      <c r="H111" s="35" t="s">
        <v>422</v>
      </c>
      <c r="I111" s="35" t="s">
        <v>496</v>
      </c>
      <c r="J111" s="35" t="s">
        <v>2578</v>
      </c>
      <c r="K111" s="35" t="s">
        <v>758</v>
      </c>
      <c r="L111" s="35" t="s">
        <v>376</v>
      </c>
      <c r="M111" s="35" t="s">
        <v>793</v>
      </c>
      <c r="N111" s="35" t="s">
        <v>2539</v>
      </c>
      <c r="O111" s="35" t="s">
        <v>379</v>
      </c>
      <c r="P111" s="35" t="s">
        <v>2579</v>
      </c>
      <c r="Q111" s="35" t="s">
        <v>381</v>
      </c>
      <c r="R111" s="35" t="s">
        <v>1004</v>
      </c>
      <c r="S111" s="35" t="s">
        <v>427</v>
      </c>
      <c r="T111" s="35" t="s">
        <v>384</v>
      </c>
      <c r="U111" s="35" t="s">
        <v>385</v>
      </c>
      <c r="V111" s="35" t="s">
        <v>896</v>
      </c>
      <c r="W111" s="35" t="s">
        <v>896</v>
      </c>
      <c r="X111" s="35" t="s">
        <v>760</v>
      </c>
      <c r="Y111" s="35" t="s">
        <v>387</v>
      </c>
      <c r="Z111" s="35" t="s">
        <v>388</v>
      </c>
      <c r="AA111" s="35" t="s">
        <v>389</v>
      </c>
      <c r="AB111" s="35" t="s">
        <v>2580</v>
      </c>
      <c r="AW111" s="35" t="s">
        <v>1310</v>
      </c>
      <c r="AX111" s="35" t="s">
        <v>675</v>
      </c>
      <c r="AY111" s="41">
        <v>4.0</v>
      </c>
      <c r="AZ111" s="41">
        <v>4.0</v>
      </c>
      <c r="BA111" s="35" t="s">
        <v>391</v>
      </c>
      <c r="BB111" s="41">
        <v>4.0</v>
      </c>
      <c r="BC111" s="35" t="s">
        <v>675</v>
      </c>
      <c r="BF111" s="35" t="s">
        <v>902</v>
      </c>
      <c r="BG111" s="35" t="s">
        <v>1095</v>
      </c>
      <c r="BH111" s="35" t="s">
        <v>394</v>
      </c>
      <c r="BJ111" s="35" t="s">
        <v>435</v>
      </c>
      <c r="BL111" s="35" t="s">
        <v>395</v>
      </c>
      <c r="BM111" s="35" t="s">
        <v>438</v>
      </c>
      <c r="BN111" s="35" t="s">
        <v>1247</v>
      </c>
      <c r="BO111" s="35" t="s">
        <v>398</v>
      </c>
      <c r="BP111" s="35" t="s">
        <v>2581</v>
      </c>
      <c r="BQ111" s="35" t="s">
        <v>2582</v>
      </c>
      <c r="BR111" s="35" t="s">
        <v>442</v>
      </c>
      <c r="BS111" s="35" t="s">
        <v>2583</v>
      </c>
      <c r="BT111" s="35" t="s">
        <v>403</v>
      </c>
      <c r="BU111" s="35" t="s">
        <v>404</v>
      </c>
      <c r="BV111" s="35" t="s">
        <v>405</v>
      </c>
      <c r="BX111" s="35" t="s">
        <v>406</v>
      </c>
      <c r="BY111" s="35" t="s">
        <v>407</v>
      </c>
      <c r="BZ111" s="35" t="s">
        <v>408</v>
      </c>
      <c r="CB111" s="35" t="s">
        <v>2584</v>
      </c>
      <c r="CC111" s="35" t="s">
        <v>2585</v>
      </c>
      <c r="CD111" s="35" t="s">
        <v>2586</v>
      </c>
      <c r="CE111" s="35" t="s">
        <v>409</v>
      </c>
      <c r="CF111" s="35" t="s">
        <v>2587</v>
      </c>
      <c r="CG111" s="35" t="s">
        <v>1258</v>
      </c>
      <c r="CI111" s="35" t="s">
        <v>1751</v>
      </c>
      <c r="CJ111" s="35" t="s">
        <v>833</v>
      </c>
      <c r="CK111" s="35" t="s">
        <v>2588</v>
      </c>
      <c r="CL111" s="35" t="s">
        <v>10580</v>
      </c>
      <c r="EU111" s="35" t="s">
        <v>526</v>
      </c>
      <c r="EV111" s="35" t="s">
        <v>1127</v>
      </c>
      <c r="EW111" s="35" t="s">
        <v>1262</v>
      </c>
      <c r="EY111" s="35" t="s">
        <v>2590</v>
      </c>
      <c r="EZ111" s="35" t="s">
        <v>2591</v>
      </c>
      <c r="FA111" s="35" t="s">
        <v>414</v>
      </c>
      <c r="FB111" s="35" t="s">
        <v>414</v>
      </c>
      <c r="FC111" s="35" t="s">
        <v>413</v>
      </c>
      <c r="FD111" s="35" t="s">
        <v>415</v>
      </c>
      <c r="FE111" s="35" t="s">
        <v>413</v>
      </c>
      <c r="FF111" s="35" t="s">
        <v>414</v>
      </c>
      <c r="FG111" s="35" t="s">
        <v>415</v>
      </c>
      <c r="FH111" s="35" t="s">
        <v>413</v>
      </c>
      <c r="FI111" s="35" t="s">
        <v>583</v>
      </c>
      <c r="FJ111" s="35" t="s">
        <v>415</v>
      </c>
      <c r="FK111" s="35" t="s">
        <v>415</v>
      </c>
      <c r="FL111" s="35" t="s">
        <v>415</v>
      </c>
      <c r="FM111" s="35" t="s">
        <v>415</v>
      </c>
      <c r="FN111" s="35" t="s">
        <v>413</v>
      </c>
      <c r="FO111" s="35" t="s">
        <v>583</v>
      </c>
      <c r="FP111" s="35" t="s">
        <v>850</v>
      </c>
      <c r="FQ111" s="35" t="s">
        <v>418</v>
      </c>
      <c r="FR111" s="35" t="s">
        <v>749</v>
      </c>
      <c r="FS111" s="35" t="s">
        <v>2592</v>
      </c>
      <c r="FT111" s="35" t="s">
        <v>1189</v>
      </c>
      <c r="FU111" s="35" t="s">
        <v>488</v>
      </c>
      <c r="FV111" s="35" t="s">
        <v>918</v>
      </c>
      <c r="FW111" s="35" t="s">
        <v>490</v>
      </c>
      <c r="FX111" s="35" t="s">
        <v>491</v>
      </c>
      <c r="FY111" s="35" t="s">
        <v>2593</v>
      </c>
      <c r="FZ111" s="35" t="s">
        <v>535</v>
      </c>
      <c r="GC111" s="35" t="s">
        <v>455</v>
      </c>
      <c r="GD111" s="35" t="s">
        <v>10581</v>
      </c>
      <c r="GF111" s="35" t="s">
        <v>1420</v>
      </c>
      <c r="GG111" s="35" t="s">
        <v>913</v>
      </c>
      <c r="GK111" s="35" t="s">
        <v>857</v>
      </c>
      <c r="GL111" s="35" t="s">
        <v>857</v>
      </c>
      <c r="GM111" s="35" t="s">
        <v>790</v>
      </c>
    </row>
    <row r="112">
      <c r="A112" s="40"/>
      <c r="B112" s="40">
        <v>45828.35894726852</v>
      </c>
      <c r="C112" s="35" t="s">
        <v>368</v>
      </c>
      <c r="D112" s="35" t="s">
        <v>370</v>
      </c>
      <c r="F112" s="35" t="s">
        <v>1382</v>
      </c>
      <c r="H112" s="35" t="s">
        <v>422</v>
      </c>
      <c r="I112" s="35" t="s">
        <v>373</v>
      </c>
      <c r="J112" s="35" t="s">
        <v>638</v>
      </c>
      <c r="K112" s="35" t="s">
        <v>590</v>
      </c>
      <c r="L112" s="35" t="s">
        <v>376</v>
      </c>
      <c r="M112" s="35" t="s">
        <v>426</v>
      </c>
      <c r="N112" s="35" t="s">
        <v>378</v>
      </c>
      <c r="O112" s="35" t="s">
        <v>793</v>
      </c>
      <c r="P112" s="35" t="s">
        <v>2594</v>
      </c>
      <c r="Q112" s="35" t="s">
        <v>381</v>
      </c>
      <c r="R112" s="35" t="s">
        <v>382</v>
      </c>
      <c r="S112" s="35" t="s">
        <v>500</v>
      </c>
      <c r="T112" s="35" t="s">
        <v>384</v>
      </c>
      <c r="U112" s="35" t="s">
        <v>385</v>
      </c>
      <c r="X112" s="35" t="s">
        <v>593</v>
      </c>
      <c r="Y112" s="35" t="s">
        <v>387</v>
      </c>
      <c r="Z112" s="35" t="s">
        <v>2115</v>
      </c>
      <c r="AA112" s="35" t="s">
        <v>502</v>
      </c>
      <c r="AB112" s="35" t="s">
        <v>10582</v>
      </c>
      <c r="AC112" s="35" t="s">
        <v>2596</v>
      </c>
      <c r="AW112" s="35" t="s">
        <v>1242</v>
      </c>
      <c r="AX112" s="41">
        <v>4.0</v>
      </c>
      <c r="AY112" s="41">
        <v>4.0</v>
      </c>
      <c r="AZ112" s="41">
        <v>2.0</v>
      </c>
      <c r="BA112" s="35" t="s">
        <v>675</v>
      </c>
      <c r="BB112" s="35" t="s">
        <v>675</v>
      </c>
      <c r="BC112" s="35" t="s">
        <v>675</v>
      </c>
      <c r="BD112" s="35" t="s">
        <v>2597</v>
      </c>
      <c r="BE112" s="35" t="s">
        <v>2598</v>
      </c>
      <c r="BF112" s="35" t="s">
        <v>902</v>
      </c>
      <c r="BG112" s="35" t="s">
        <v>1047</v>
      </c>
      <c r="BH112" s="35" t="s">
        <v>394</v>
      </c>
      <c r="BI112" s="35" t="s">
        <v>2599</v>
      </c>
      <c r="BJ112" s="35" t="s">
        <v>435</v>
      </c>
      <c r="BK112" s="35" t="s">
        <v>2600</v>
      </c>
      <c r="BL112" s="35" t="s">
        <v>602</v>
      </c>
      <c r="BM112" s="35" t="s">
        <v>603</v>
      </c>
      <c r="BN112" s="35" t="s">
        <v>1314</v>
      </c>
      <c r="BO112" s="35" t="s">
        <v>398</v>
      </c>
      <c r="BP112" s="35" t="s">
        <v>2601</v>
      </c>
      <c r="BQ112" s="35" t="s">
        <v>2602</v>
      </c>
      <c r="BR112" s="35" t="s">
        <v>604</v>
      </c>
      <c r="BS112" s="35" t="s">
        <v>2603</v>
      </c>
      <c r="BT112" s="35" t="s">
        <v>1671</v>
      </c>
      <c r="BU112" s="35" t="s">
        <v>1771</v>
      </c>
      <c r="BV112" s="35" t="s">
        <v>405</v>
      </c>
      <c r="BX112" s="35" t="s">
        <v>457</v>
      </c>
      <c r="BZ112" s="35" t="s">
        <v>455</v>
      </c>
      <c r="CA112" s="35" t="s">
        <v>10583</v>
      </c>
      <c r="CB112" s="35" t="s">
        <v>2605</v>
      </c>
      <c r="CC112" s="35" t="s">
        <v>2606</v>
      </c>
      <c r="CD112" s="35" t="s">
        <v>2607</v>
      </c>
      <c r="CE112" s="35" t="s">
        <v>409</v>
      </c>
      <c r="CF112" s="35" t="s">
        <v>2608</v>
      </c>
      <c r="CG112" s="35" t="s">
        <v>1722</v>
      </c>
      <c r="CH112" s="35" t="s">
        <v>2609</v>
      </c>
      <c r="CI112" s="35" t="s">
        <v>1698</v>
      </c>
      <c r="CJ112" s="35" t="s">
        <v>410</v>
      </c>
      <c r="CK112" s="35" t="s">
        <v>2610</v>
      </c>
      <c r="CL112" s="35" t="s">
        <v>10584</v>
      </c>
      <c r="EU112" s="35" t="s">
        <v>526</v>
      </c>
      <c r="EV112" s="35" t="s">
        <v>479</v>
      </c>
      <c r="EW112" s="35" t="s">
        <v>527</v>
      </c>
      <c r="EX112" s="35" t="s">
        <v>2612</v>
      </c>
      <c r="EY112" s="35" t="s">
        <v>10585</v>
      </c>
      <c r="EZ112" s="35" t="s">
        <v>2614</v>
      </c>
      <c r="FA112" s="35" t="s">
        <v>583</v>
      </c>
      <c r="FB112" s="35" t="s">
        <v>583</v>
      </c>
      <c r="FC112" s="35" t="s">
        <v>414</v>
      </c>
      <c r="FD112" s="35" t="s">
        <v>583</v>
      </c>
      <c r="FE112" s="35" t="s">
        <v>413</v>
      </c>
      <c r="FF112" s="35" t="s">
        <v>583</v>
      </c>
      <c r="FG112" s="35" t="s">
        <v>414</v>
      </c>
      <c r="FH112" s="35" t="s">
        <v>416</v>
      </c>
      <c r="FI112" s="35" t="s">
        <v>583</v>
      </c>
      <c r="FJ112" s="35" t="s">
        <v>583</v>
      </c>
      <c r="FK112" s="35" t="s">
        <v>583</v>
      </c>
      <c r="FL112" s="35" t="s">
        <v>415</v>
      </c>
      <c r="FM112" s="35" t="s">
        <v>414</v>
      </c>
      <c r="FN112" s="35" t="s">
        <v>416</v>
      </c>
      <c r="FO112" s="35" t="s">
        <v>414</v>
      </c>
      <c r="FP112" s="35" t="s">
        <v>417</v>
      </c>
      <c r="FQ112" s="35" t="s">
        <v>418</v>
      </c>
      <c r="FR112" s="35" t="s">
        <v>749</v>
      </c>
      <c r="FS112" s="35" t="s">
        <v>2615</v>
      </c>
      <c r="FT112" s="35" t="s">
        <v>420</v>
      </c>
      <c r="FU112" s="35" t="s">
        <v>1462</v>
      </c>
      <c r="FV112" s="35" t="s">
        <v>489</v>
      </c>
      <c r="FW112" s="35" t="s">
        <v>490</v>
      </c>
      <c r="FX112" s="35" t="s">
        <v>491</v>
      </c>
      <c r="FY112" s="35" t="s">
        <v>10586</v>
      </c>
      <c r="FZ112" s="35" t="s">
        <v>535</v>
      </c>
      <c r="GA112" s="35" t="s">
        <v>2617</v>
      </c>
      <c r="GB112" s="35" t="s">
        <v>2618</v>
      </c>
      <c r="GC112" s="35" t="s">
        <v>455</v>
      </c>
      <c r="GD112" s="35" t="s">
        <v>10587</v>
      </c>
      <c r="GE112" s="29" t="str">
        <v>#ERROR!</v>
      </c>
      <c r="GF112" s="35" t="s">
        <v>753</v>
      </c>
      <c r="GG112" s="35" t="s">
        <v>10588</v>
      </c>
      <c r="GK112" s="35" t="s">
        <v>755</v>
      </c>
      <c r="GL112" s="35" t="s">
        <v>755</v>
      </c>
      <c r="GM112" s="35" t="s">
        <v>817</v>
      </c>
    </row>
    <row r="113">
      <c r="A113" s="40"/>
      <c r="B113" s="40">
        <v>45828.46985780093</v>
      </c>
      <c r="C113" s="35" t="s">
        <v>368</v>
      </c>
      <c r="D113" s="35" t="s">
        <v>370</v>
      </c>
      <c r="F113" s="35" t="s">
        <v>371</v>
      </c>
      <c r="H113" s="35" t="s">
        <v>2657</v>
      </c>
      <c r="I113" s="35" t="s">
        <v>373</v>
      </c>
      <c r="J113" s="35" t="s">
        <v>374</v>
      </c>
      <c r="K113" s="35" t="s">
        <v>669</v>
      </c>
      <c r="L113" s="35" t="s">
        <v>376</v>
      </c>
      <c r="M113" s="35" t="s">
        <v>591</v>
      </c>
      <c r="N113" s="35" t="s">
        <v>2658</v>
      </c>
      <c r="O113" s="35" t="s">
        <v>793</v>
      </c>
      <c r="P113" s="35" t="s">
        <v>2579</v>
      </c>
      <c r="Q113" s="35" t="s">
        <v>592</v>
      </c>
      <c r="R113" s="35" t="s">
        <v>382</v>
      </c>
      <c r="S113" s="35" t="s">
        <v>427</v>
      </c>
      <c r="T113" s="35" t="s">
        <v>384</v>
      </c>
      <c r="U113" s="35" t="s">
        <v>385</v>
      </c>
      <c r="X113" s="35" t="s">
        <v>428</v>
      </c>
      <c r="AW113" s="35" t="s">
        <v>1242</v>
      </c>
      <c r="AX113" s="35" t="s">
        <v>675</v>
      </c>
      <c r="AY113" s="41">
        <v>4.0</v>
      </c>
      <c r="AZ113" s="41">
        <v>4.0</v>
      </c>
      <c r="BA113" s="35" t="s">
        <v>675</v>
      </c>
      <c r="BB113" s="35" t="s">
        <v>675</v>
      </c>
      <c r="BC113" s="35" t="s">
        <v>675</v>
      </c>
      <c r="BF113" s="35" t="s">
        <v>902</v>
      </c>
      <c r="BG113" s="35" t="s">
        <v>1245</v>
      </c>
      <c r="BH113" s="35" t="s">
        <v>725</v>
      </c>
      <c r="BJ113" s="35" t="s">
        <v>435</v>
      </c>
      <c r="BK113" s="35" t="s">
        <v>10589</v>
      </c>
      <c r="BL113" s="35" t="s">
        <v>681</v>
      </c>
      <c r="BM113" s="35" t="s">
        <v>603</v>
      </c>
      <c r="BN113" s="35" t="s">
        <v>1247</v>
      </c>
      <c r="BO113" s="35" t="s">
        <v>398</v>
      </c>
      <c r="BP113" s="35" t="s">
        <v>2660</v>
      </c>
      <c r="BQ113" s="35" t="s">
        <v>2661</v>
      </c>
      <c r="BR113" s="35" t="s">
        <v>604</v>
      </c>
      <c r="BS113" s="35" t="s">
        <v>2662</v>
      </c>
      <c r="BT113" s="35" t="s">
        <v>1741</v>
      </c>
      <c r="BU113" s="35" t="s">
        <v>1742</v>
      </c>
      <c r="BV113" s="35" t="s">
        <v>1772</v>
      </c>
      <c r="BW113" s="35" t="s">
        <v>2663</v>
      </c>
      <c r="BX113" s="35" t="s">
        <v>988</v>
      </c>
      <c r="BZ113" s="35" t="s">
        <v>408</v>
      </c>
      <c r="CB113" s="35" t="s">
        <v>2664</v>
      </c>
      <c r="CC113" s="35" t="s">
        <v>2665</v>
      </c>
      <c r="CD113" s="35" t="s">
        <v>2666</v>
      </c>
      <c r="CE113" s="35" t="s">
        <v>409</v>
      </c>
      <c r="CF113" s="35" t="s">
        <v>10590</v>
      </c>
      <c r="CG113" s="35" t="s">
        <v>1258</v>
      </c>
      <c r="CI113" s="35" t="s">
        <v>1698</v>
      </c>
      <c r="CJ113" s="35" t="s">
        <v>833</v>
      </c>
      <c r="CK113" s="35" t="s">
        <v>10591</v>
      </c>
      <c r="CL113" s="35" t="s">
        <v>10592</v>
      </c>
      <c r="EU113" s="35" t="s">
        <v>526</v>
      </c>
      <c r="EV113" s="35" t="s">
        <v>479</v>
      </c>
      <c r="EW113" s="35" t="s">
        <v>480</v>
      </c>
      <c r="EY113" s="35" t="s">
        <v>2670</v>
      </c>
      <c r="EZ113" s="35" t="s">
        <v>2671</v>
      </c>
      <c r="FA113" s="35" t="s">
        <v>415</v>
      </c>
      <c r="FB113" s="35" t="s">
        <v>415</v>
      </c>
      <c r="FC113" s="35" t="s">
        <v>413</v>
      </c>
      <c r="FD113" s="35" t="s">
        <v>415</v>
      </c>
      <c r="FE113" s="35" t="s">
        <v>413</v>
      </c>
      <c r="FF113" s="35" t="s">
        <v>414</v>
      </c>
      <c r="FG113" s="35" t="s">
        <v>415</v>
      </c>
      <c r="FH113" s="35" t="s">
        <v>413</v>
      </c>
      <c r="FI113" s="35" t="s">
        <v>415</v>
      </c>
      <c r="FJ113" s="35" t="s">
        <v>415</v>
      </c>
      <c r="FK113" s="35" t="s">
        <v>415</v>
      </c>
      <c r="FL113" s="35" t="s">
        <v>415</v>
      </c>
      <c r="FM113" s="35" t="s">
        <v>415</v>
      </c>
      <c r="FN113" s="35" t="s">
        <v>416</v>
      </c>
      <c r="FO113" s="35" t="s">
        <v>414</v>
      </c>
      <c r="FP113" s="35" t="s">
        <v>485</v>
      </c>
      <c r="FQ113" s="35" t="s">
        <v>418</v>
      </c>
      <c r="FR113" s="35" t="s">
        <v>749</v>
      </c>
      <c r="FS113" s="35" t="s">
        <v>2672</v>
      </c>
      <c r="FT113" s="35" t="s">
        <v>420</v>
      </c>
      <c r="FU113" s="35" t="s">
        <v>1462</v>
      </c>
      <c r="FV113" s="35" t="s">
        <v>489</v>
      </c>
      <c r="FW113" s="35" t="s">
        <v>490</v>
      </c>
      <c r="FX113" s="35" t="s">
        <v>491</v>
      </c>
      <c r="FY113" s="35" t="s">
        <v>2673</v>
      </c>
      <c r="FZ113" s="35" t="s">
        <v>493</v>
      </c>
      <c r="GC113" s="35" t="s">
        <v>455</v>
      </c>
      <c r="GD113" s="35" t="s">
        <v>10593</v>
      </c>
      <c r="GF113" s="35" t="s">
        <v>1420</v>
      </c>
      <c r="GK113" s="35" t="s">
        <v>788</v>
      </c>
      <c r="GL113" s="35" t="s">
        <v>920</v>
      </c>
      <c r="GM113" s="35" t="s">
        <v>858</v>
      </c>
    </row>
    <row r="114">
      <c r="A114" s="40"/>
      <c r="B114" s="40">
        <v>45828.52431340278</v>
      </c>
      <c r="C114" s="35" t="s">
        <v>368</v>
      </c>
      <c r="D114" s="35" t="s">
        <v>2727</v>
      </c>
      <c r="E114" s="35" t="s">
        <v>370</v>
      </c>
      <c r="G114" s="35" t="s">
        <v>1421</v>
      </c>
      <c r="H114" s="35" t="s">
        <v>2657</v>
      </c>
      <c r="I114" s="35" t="s">
        <v>637</v>
      </c>
      <c r="J114" s="35" t="s">
        <v>638</v>
      </c>
      <c r="K114" s="35" t="s">
        <v>425</v>
      </c>
      <c r="L114" s="35" t="s">
        <v>376</v>
      </c>
      <c r="M114" s="35" t="s">
        <v>591</v>
      </c>
      <c r="N114" s="35" t="s">
        <v>719</v>
      </c>
      <c r="O114" s="35" t="s">
        <v>396</v>
      </c>
      <c r="P114" s="35" t="s">
        <v>2728</v>
      </c>
      <c r="Q114" s="35" t="s">
        <v>381</v>
      </c>
      <c r="R114" s="35" t="s">
        <v>382</v>
      </c>
      <c r="S114" s="35" t="s">
        <v>500</v>
      </c>
      <c r="T114" s="35" t="s">
        <v>384</v>
      </c>
      <c r="U114" s="35" t="s">
        <v>385</v>
      </c>
      <c r="X114" s="35" t="s">
        <v>428</v>
      </c>
      <c r="Y114" s="35" t="s">
        <v>2729</v>
      </c>
      <c r="AW114" s="35" t="s">
        <v>390</v>
      </c>
      <c r="AX114" s="35" t="s">
        <v>429</v>
      </c>
      <c r="AY114" s="35" t="s">
        <v>391</v>
      </c>
      <c r="AZ114" s="35" t="s">
        <v>429</v>
      </c>
      <c r="BA114" s="35" t="s">
        <v>391</v>
      </c>
      <c r="BB114" s="35" t="s">
        <v>391</v>
      </c>
      <c r="BC114" s="41">
        <v>2.0</v>
      </c>
      <c r="BD114" s="35" t="s">
        <v>2730</v>
      </c>
      <c r="BE114" s="35" t="s">
        <v>10594</v>
      </c>
      <c r="BF114" s="35" t="s">
        <v>432</v>
      </c>
      <c r="BG114" s="35" t="s">
        <v>393</v>
      </c>
      <c r="BH114" s="35" t="s">
        <v>725</v>
      </c>
      <c r="BI114" s="35" t="s">
        <v>2732</v>
      </c>
      <c r="BJ114" s="35" t="s">
        <v>509</v>
      </c>
      <c r="BK114" s="35" t="s">
        <v>10595</v>
      </c>
      <c r="BL114" s="35" t="s">
        <v>681</v>
      </c>
      <c r="BM114" s="35" t="s">
        <v>512</v>
      </c>
      <c r="BN114" s="35" t="s">
        <v>549</v>
      </c>
      <c r="BO114" s="35" t="s">
        <v>398</v>
      </c>
      <c r="BP114" s="35" t="s">
        <v>2734</v>
      </c>
      <c r="BQ114" s="35" t="s">
        <v>10596</v>
      </c>
      <c r="BR114" s="35" t="s">
        <v>604</v>
      </c>
      <c r="BS114" s="35" t="s">
        <v>10597</v>
      </c>
      <c r="BT114" s="35" t="s">
        <v>1671</v>
      </c>
      <c r="BV114" s="35" t="s">
        <v>1831</v>
      </c>
      <c r="BW114" s="35" t="s">
        <v>10598</v>
      </c>
      <c r="BX114" s="35" t="s">
        <v>988</v>
      </c>
      <c r="BZ114" s="35" t="s">
        <v>455</v>
      </c>
      <c r="CA114" s="35" t="s">
        <v>10599</v>
      </c>
      <c r="CB114" s="35" t="s">
        <v>10600</v>
      </c>
      <c r="CC114" s="35" t="s">
        <v>10601</v>
      </c>
      <c r="CD114" s="35" t="s">
        <v>10602</v>
      </c>
      <c r="CE114" s="35" t="s">
        <v>451</v>
      </c>
      <c r="CF114" s="35" t="s">
        <v>2742</v>
      </c>
      <c r="CG114" s="35" t="s">
        <v>1749</v>
      </c>
      <c r="CH114" s="35" t="s">
        <v>10603</v>
      </c>
      <c r="CI114" s="35" t="s">
        <v>2744</v>
      </c>
      <c r="CJ114" s="35" t="s">
        <v>410</v>
      </c>
      <c r="CK114" s="35" t="s">
        <v>10604</v>
      </c>
      <c r="CL114" s="35" t="s">
        <v>10605</v>
      </c>
      <c r="EU114" s="35" t="s">
        <v>2747</v>
      </c>
      <c r="EV114" s="35" t="s">
        <v>579</v>
      </c>
      <c r="EW114" s="35" t="s">
        <v>1262</v>
      </c>
      <c r="EY114" s="35" t="s">
        <v>2748</v>
      </c>
      <c r="EZ114" s="35" t="s">
        <v>10606</v>
      </c>
      <c r="FA114" s="35" t="s">
        <v>415</v>
      </c>
      <c r="FB114" s="35" t="s">
        <v>583</v>
      </c>
      <c r="FC114" s="35" t="s">
        <v>413</v>
      </c>
      <c r="FD114" s="35" t="s">
        <v>583</v>
      </c>
      <c r="FE114" s="35" t="s">
        <v>583</v>
      </c>
      <c r="FF114" s="35" t="s">
        <v>583</v>
      </c>
      <c r="FG114" s="35" t="s">
        <v>414</v>
      </c>
      <c r="FH114" s="35" t="s">
        <v>415</v>
      </c>
      <c r="FI114" s="35" t="s">
        <v>415</v>
      </c>
      <c r="FJ114" s="35" t="s">
        <v>415</v>
      </c>
      <c r="FK114" s="35" t="s">
        <v>415</v>
      </c>
      <c r="FL114" s="35" t="s">
        <v>415</v>
      </c>
      <c r="FM114" s="35" t="s">
        <v>415</v>
      </c>
      <c r="FN114" s="35" t="s">
        <v>415</v>
      </c>
      <c r="FO114" s="35" t="s">
        <v>415</v>
      </c>
      <c r="FP114" s="35" t="s">
        <v>1537</v>
      </c>
      <c r="FQ114" s="35" t="s">
        <v>418</v>
      </c>
      <c r="FR114" s="35" t="s">
        <v>712</v>
      </c>
      <c r="FS114" s="35" t="s">
        <v>5744</v>
      </c>
      <c r="FT114" s="35" t="s">
        <v>1871</v>
      </c>
      <c r="FU114" s="35" t="s">
        <v>2750</v>
      </c>
      <c r="FV114" s="35" t="s">
        <v>918</v>
      </c>
      <c r="FW114" s="35" t="s">
        <v>2387</v>
      </c>
      <c r="FX114" s="35" t="s">
        <v>1853</v>
      </c>
      <c r="FY114" s="35" t="s">
        <v>10607</v>
      </c>
      <c r="FZ114" s="35" t="s">
        <v>1337</v>
      </c>
      <c r="GA114" s="35" t="s">
        <v>10608</v>
      </c>
      <c r="GC114" s="35" t="s">
        <v>408</v>
      </c>
      <c r="GK114" s="35" t="s">
        <v>755</v>
      </c>
      <c r="GL114" s="35" t="s">
        <v>755</v>
      </c>
      <c r="GM114" s="35" t="s">
        <v>858</v>
      </c>
      <c r="GO114" s="35" t="s">
        <v>2753</v>
      </c>
    </row>
    <row r="115">
      <c r="A115" s="40"/>
      <c r="B115" s="40">
        <v>45828.55194200232</v>
      </c>
      <c r="C115" s="35" t="s">
        <v>368</v>
      </c>
      <c r="D115" s="35" t="s">
        <v>2498</v>
      </c>
      <c r="E115" s="35" t="s">
        <v>2498</v>
      </c>
      <c r="H115" s="35" t="s">
        <v>422</v>
      </c>
      <c r="I115" s="35" t="s">
        <v>637</v>
      </c>
      <c r="J115" s="35" t="s">
        <v>1022</v>
      </c>
      <c r="K115" s="35" t="s">
        <v>1023</v>
      </c>
      <c r="L115" s="35" t="s">
        <v>376</v>
      </c>
      <c r="M115" s="35" t="s">
        <v>1526</v>
      </c>
      <c r="N115" s="35" t="s">
        <v>1024</v>
      </c>
      <c r="O115" s="35" t="s">
        <v>1526</v>
      </c>
      <c r="P115" s="35" t="s">
        <v>497</v>
      </c>
      <c r="Q115" s="35" t="s">
        <v>759</v>
      </c>
      <c r="R115" s="35" t="s">
        <v>759</v>
      </c>
      <c r="S115" s="35" t="s">
        <v>427</v>
      </c>
      <c r="T115" s="35" t="s">
        <v>384</v>
      </c>
      <c r="U115" s="35" t="s">
        <v>385</v>
      </c>
      <c r="X115" s="35" t="s">
        <v>386</v>
      </c>
      <c r="Y115" s="35" t="s">
        <v>387</v>
      </c>
      <c r="AA115" s="35" t="s">
        <v>389</v>
      </c>
      <c r="AC115" s="35" t="s">
        <v>2778</v>
      </c>
      <c r="AW115" s="35" t="s">
        <v>1242</v>
      </c>
      <c r="AX115" s="41">
        <v>4.0</v>
      </c>
      <c r="AY115" s="41">
        <v>4.0</v>
      </c>
      <c r="AZ115" s="35" t="s">
        <v>675</v>
      </c>
      <c r="BA115" s="35" t="s">
        <v>675</v>
      </c>
      <c r="BB115" s="35" t="s">
        <v>675</v>
      </c>
      <c r="BC115" s="41">
        <v>4.0</v>
      </c>
      <c r="BD115" s="35" t="s">
        <v>2779</v>
      </c>
      <c r="BE115" s="35" t="s">
        <v>2780</v>
      </c>
      <c r="BF115" s="35" t="s">
        <v>1094</v>
      </c>
      <c r="BG115" s="35" t="s">
        <v>1095</v>
      </c>
      <c r="BH115" s="35" t="s">
        <v>394</v>
      </c>
      <c r="BI115" s="35" t="s">
        <v>2781</v>
      </c>
      <c r="BJ115" s="35" t="s">
        <v>824</v>
      </c>
      <c r="BL115" s="35" t="s">
        <v>437</v>
      </c>
      <c r="BM115" s="35" t="s">
        <v>396</v>
      </c>
      <c r="BN115" s="35" t="s">
        <v>1314</v>
      </c>
      <c r="BO115" s="35" t="s">
        <v>398</v>
      </c>
      <c r="BP115" s="35" t="s">
        <v>2782</v>
      </c>
      <c r="BQ115" s="35" t="s">
        <v>2783</v>
      </c>
      <c r="BR115" s="35" t="s">
        <v>604</v>
      </c>
      <c r="BS115" s="35" t="s">
        <v>2784</v>
      </c>
      <c r="BT115" s="35" t="s">
        <v>1741</v>
      </c>
      <c r="BU115" s="35" t="s">
        <v>1994</v>
      </c>
      <c r="BV115" s="35" t="s">
        <v>405</v>
      </c>
      <c r="BX115" s="35" t="s">
        <v>406</v>
      </c>
      <c r="BY115" s="35" t="s">
        <v>2503</v>
      </c>
      <c r="BZ115" s="35" t="s">
        <v>455</v>
      </c>
      <c r="CA115" s="35" t="s">
        <v>2785</v>
      </c>
      <c r="CC115" s="35" t="s">
        <v>2786</v>
      </c>
      <c r="CD115" s="35" t="s">
        <v>2787</v>
      </c>
      <c r="CE115" s="35" t="s">
        <v>1257</v>
      </c>
      <c r="CF115" s="35" t="s">
        <v>2788</v>
      </c>
      <c r="CG115" s="35" t="s">
        <v>1258</v>
      </c>
      <c r="CI115" s="35" t="s">
        <v>1259</v>
      </c>
      <c r="CJ115" s="35" t="s">
        <v>1964</v>
      </c>
      <c r="CK115" s="35" t="s">
        <v>2789</v>
      </c>
      <c r="CL115" s="35" t="s">
        <v>10609</v>
      </c>
      <c r="EU115" s="35" t="s">
        <v>526</v>
      </c>
      <c r="EV115" s="35" t="s">
        <v>579</v>
      </c>
      <c r="EW115" s="35" t="s">
        <v>1534</v>
      </c>
      <c r="FA115" s="35" t="s">
        <v>413</v>
      </c>
      <c r="FB115" s="35" t="s">
        <v>414</v>
      </c>
      <c r="FC115" s="35" t="s">
        <v>413</v>
      </c>
      <c r="FD115" s="35" t="s">
        <v>415</v>
      </c>
      <c r="FE115" s="35" t="s">
        <v>413</v>
      </c>
      <c r="FF115" s="35" t="s">
        <v>415</v>
      </c>
      <c r="FG115" s="35" t="s">
        <v>413</v>
      </c>
      <c r="FH115" s="35" t="s">
        <v>413</v>
      </c>
      <c r="FJ115" s="35" t="s">
        <v>413</v>
      </c>
      <c r="FK115" s="35" t="s">
        <v>416</v>
      </c>
      <c r="FL115" s="35" t="s">
        <v>413</v>
      </c>
      <c r="FM115" s="35" t="s">
        <v>413</v>
      </c>
      <c r="FN115" s="35" t="s">
        <v>484</v>
      </c>
      <c r="FO115" s="35" t="s">
        <v>484</v>
      </c>
      <c r="FP115" s="35" t="s">
        <v>417</v>
      </c>
      <c r="FQ115" s="35" t="s">
        <v>418</v>
      </c>
      <c r="FR115" s="35" t="s">
        <v>1039</v>
      </c>
      <c r="FS115" s="35" t="s">
        <v>2791</v>
      </c>
      <c r="FT115" s="35" t="s">
        <v>420</v>
      </c>
      <c r="FU115" s="35" t="s">
        <v>488</v>
      </c>
      <c r="FV115" s="35" t="s">
        <v>1235</v>
      </c>
      <c r="FW115" s="35" t="s">
        <v>490</v>
      </c>
      <c r="FX115" s="35" t="s">
        <v>491</v>
      </c>
      <c r="FY115" s="35" t="s">
        <v>2792</v>
      </c>
      <c r="FZ115" s="35" t="s">
        <v>535</v>
      </c>
      <c r="GA115" s="35" t="s">
        <v>2793</v>
      </c>
      <c r="GC115" s="35" t="s">
        <v>455</v>
      </c>
      <c r="GF115" s="35" t="s">
        <v>1420</v>
      </c>
      <c r="GK115" s="35" t="s">
        <v>755</v>
      </c>
      <c r="GL115" s="35" t="s">
        <v>755</v>
      </c>
      <c r="GM115" s="35" t="s">
        <v>756</v>
      </c>
      <c r="GO115" s="35" t="s">
        <v>2794</v>
      </c>
    </row>
    <row r="116">
      <c r="A116" s="40"/>
      <c r="B116" s="40">
        <v>45828.57987178241</v>
      </c>
      <c r="C116" s="35" t="s">
        <v>368</v>
      </c>
      <c r="D116" s="35" t="s">
        <v>370</v>
      </c>
      <c r="F116" s="35" t="s">
        <v>667</v>
      </c>
      <c r="H116" s="35" t="s">
        <v>1269</v>
      </c>
      <c r="I116" s="35" t="s">
        <v>496</v>
      </c>
      <c r="J116" s="35" t="s">
        <v>2578</v>
      </c>
      <c r="K116" s="35" t="s">
        <v>669</v>
      </c>
      <c r="L116" s="35" t="s">
        <v>376</v>
      </c>
      <c r="M116" s="35" t="s">
        <v>379</v>
      </c>
      <c r="N116" s="35" t="s">
        <v>2464</v>
      </c>
      <c r="O116" s="35" t="s">
        <v>379</v>
      </c>
      <c r="P116" s="35" t="s">
        <v>497</v>
      </c>
      <c r="Q116" s="35" t="s">
        <v>381</v>
      </c>
      <c r="R116" s="35" t="s">
        <v>862</v>
      </c>
      <c r="S116" s="35" t="s">
        <v>949</v>
      </c>
      <c r="T116" s="35" t="s">
        <v>384</v>
      </c>
      <c r="U116" s="35" t="s">
        <v>385</v>
      </c>
      <c r="X116" s="35" t="s">
        <v>428</v>
      </c>
      <c r="AW116" s="35" t="s">
        <v>597</v>
      </c>
      <c r="AX116" s="35" t="s">
        <v>391</v>
      </c>
      <c r="AY116" s="35" t="s">
        <v>391</v>
      </c>
      <c r="AZ116" s="35" t="s">
        <v>391</v>
      </c>
      <c r="BA116" s="41">
        <v>4.0</v>
      </c>
      <c r="BB116" s="41">
        <v>4.0</v>
      </c>
      <c r="BC116" s="35" t="s">
        <v>391</v>
      </c>
      <c r="BD116" s="35" t="s">
        <v>2809</v>
      </c>
      <c r="BE116" s="35" t="s">
        <v>2810</v>
      </c>
      <c r="BF116" s="35" t="s">
        <v>392</v>
      </c>
      <c r="BG116" s="35" t="s">
        <v>393</v>
      </c>
      <c r="BH116" s="35" t="s">
        <v>725</v>
      </c>
      <c r="BI116" s="35" t="s">
        <v>2811</v>
      </c>
      <c r="BJ116" s="35" t="s">
        <v>435</v>
      </c>
      <c r="BK116" s="35" t="s">
        <v>10610</v>
      </c>
      <c r="BL116" s="35" t="s">
        <v>681</v>
      </c>
      <c r="BM116" s="35" t="s">
        <v>438</v>
      </c>
      <c r="BN116" s="35" t="s">
        <v>397</v>
      </c>
      <c r="BO116" s="35" t="s">
        <v>398</v>
      </c>
      <c r="BP116" s="35" t="s">
        <v>2813</v>
      </c>
      <c r="BQ116" s="35" t="s">
        <v>10611</v>
      </c>
      <c r="BR116" s="35" t="s">
        <v>604</v>
      </c>
      <c r="BS116" s="35" t="s">
        <v>2815</v>
      </c>
      <c r="BT116" s="35" t="s">
        <v>403</v>
      </c>
      <c r="BU116" s="35" t="s">
        <v>1742</v>
      </c>
      <c r="BV116" s="35" t="s">
        <v>1693</v>
      </c>
      <c r="BW116" s="35" t="s">
        <v>10612</v>
      </c>
      <c r="BX116" s="35" t="s">
        <v>406</v>
      </c>
      <c r="BY116" s="35" t="s">
        <v>2503</v>
      </c>
      <c r="BZ116" s="35" t="s">
        <v>408</v>
      </c>
      <c r="CB116" s="35" t="s">
        <v>2817</v>
      </c>
      <c r="CC116" s="35" t="s">
        <v>10613</v>
      </c>
      <c r="CD116" s="35" t="s">
        <v>10614</v>
      </c>
      <c r="CE116" s="35" t="s">
        <v>409</v>
      </c>
      <c r="CF116" s="35" t="s">
        <v>2820</v>
      </c>
      <c r="CG116" s="35" t="s">
        <v>1258</v>
      </c>
      <c r="CI116" s="35" t="s">
        <v>1698</v>
      </c>
      <c r="CJ116" s="35" t="s">
        <v>833</v>
      </c>
      <c r="CK116" s="35" t="s">
        <v>2821</v>
      </c>
      <c r="EU116" s="35" t="s">
        <v>578</v>
      </c>
      <c r="EV116" s="35" t="s">
        <v>479</v>
      </c>
      <c r="EW116" s="35" t="s">
        <v>527</v>
      </c>
      <c r="EX116" s="35" t="s">
        <v>10615</v>
      </c>
      <c r="EY116" s="35" t="s">
        <v>2823</v>
      </c>
      <c r="EZ116" s="35" t="s">
        <v>10616</v>
      </c>
      <c r="FA116" s="35" t="s">
        <v>414</v>
      </c>
      <c r="FB116" s="35" t="s">
        <v>414</v>
      </c>
      <c r="FC116" s="35" t="s">
        <v>415</v>
      </c>
      <c r="FD116" s="35" t="s">
        <v>583</v>
      </c>
      <c r="FE116" s="35" t="s">
        <v>416</v>
      </c>
      <c r="FF116" s="35" t="s">
        <v>583</v>
      </c>
      <c r="FG116" s="35" t="s">
        <v>414</v>
      </c>
      <c r="FH116" s="35" t="s">
        <v>416</v>
      </c>
      <c r="FI116" s="35" t="s">
        <v>414</v>
      </c>
      <c r="FJ116" s="35" t="s">
        <v>583</v>
      </c>
      <c r="FK116" s="35" t="s">
        <v>583</v>
      </c>
      <c r="FL116" s="35" t="s">
        <v>415</v>
      </c>
      <c r="FM116" s="35" t="s">
        <v>415</v>
      </c>
      <c r="FN116" s="35" t="s">
        <v>415</v>
      </c>
      <c r="FO116" s="35" t="s">
        <v>583</v>
      </c>
      <c r="FP116" s="35" t="s">
        <v>850</v>
      </c>
      <c r="FQ116" s="35" t="s">
        <v>486</v>
      </c>
      <c r="FR116" s="35" t="s">
        <v>630</v>
      </c>
      <c r="FS116" s="35" t="s">
        <v>2825</v>
      </c>
      <c r="FT116" s="35" t="s">
        <v>1189</v>
      </c>
      <c r="FU116" s="35" t="s">
        <v>1462</v>
      </c>
      <c r="FV116" s="35" t="s">
        <v>533</v>
      </c>
      <c r="FW116" s="35" t="s">
        <v>490</v>
      </c>
      <c r="FX116" s="35" t="s">
        <v>491</v>
      </c>
      <c r="FZ116" s="35" t="s">
        <v>1020</v>
      </c>
      <c r="GB116" s="35" t="s">
        <v>10617</v>
      </c>
      <c r="GC116" s="35" t="s">
        <v>408</v>
      </c>
      <c r="GK116" s="35" t="s">
        <v>920</v>
      </c>
      <c r="GL116" s="35" t="s">
        <v>920</v>
      </c>
      <c r="GM116" s="35" t="s">
        <v>817</v>
      </c>
    </row>
    <row r="117">
      <c r="A117" s="40"/>
      <c r="B117" s="40">
        <v>45828.64029736111</v>
      </c>
      <c r="C117" s="35" t="s">
        <v>368</v>
      </c>
      <c r="D117" s="35" t="s">
        <v>370</v>
      </c>
      <c r="F117" s="35" t="s">
        <v>495</v>
      </c>
      <c r="H117" s="35" t="s">
        <v>422</v>
      </c>
      <c r="I117" s="35" t="s">
        <v>637</v>
      </c>
      <c r="J117" s="35" t="s">
        <v>638</v>
      </c>
      <c r="K117" s="35" t="s">
        <v>590</v>
      </c>
      <c r="L117" s="35" t="s">
        <v>376</v>
      </c>
      <c r="M117" s="35" t="s">
        <v>379</v>
      </c>
      <c r="N117" s="35" t="s">
        <v>2464</v>
      </c>
      <c r="O117" s="35" t="s">
        <v>377</v>
      </c>
      <c r="P117" s="35" t="s">
        <v>380</v>
      </c>
      <c r="Q117" s="35" t="s">
        <v>1760</v>
      </c>
      <c r="R117" s="35" t="s">
        <v>1156</v>
      </c>
      <c r="S117" s="35" t="s">
        <v>500</v>
      </c>
      <c r="T117" s="35" t="s">
        <v>2837</v>
      </c>
      <c r="U117" s="35" t="s">
        <v>385</v>
      </c>
      <c r="X117" s="35" t="s">
        <v>593</v>
      </c>
      <c r="Y117" s="35" t="s">
        <v>387</v>
      </c>
      <c r="Z117" s="35" t="s">
        <v>1922</v>
      </c>
      <c r="AA117" s="35" t="s">
        <v>543</v>
      </c>
      <c r="AB117" s="35" t="s">
        <v>10618</v>
      </c>
      <c r="AC117" s="35" t="s">
        <v>10619</v>
      </c>
      <c r="AW117" s="35" t="s">
        <v>1310</v>
      </c>
      <c r="AX117" s="35" t="s">
        <v>675</v>
      </c>
      <c r="AY117" s="35" t="s">
        <v>675</v>
      </c>
      <c r="AZ117" s="35" t="s">
        <v>675</v>
      </c>
      <c r="BA117" s="35" t="s">
        <v>391</v>
      </c>
      <c r="BB117" s="35" t="s">
        <v>675</v>
      </c>
      <c r="BC117" s="35" t="s">
        <v>675</v>
      </c>
      <c r="BD117" s="35" t="s">
        <v>10620</v>
      </c>
      <c r="BE117" s="35" t="s">
        <v>10621</v>
      </c>
      <c r="BF117" s="35" t="s">
        <v>432</v>
      </c>
      <c r="BG117" s="35" t="s">
        <v>1245</v>
      </c>
      <c r="BH117" s="35" t="s">
        <v>434</v>
      </c>
      <c r="BI117" s="35" t="s">
        <v>2842</v>
      </c>
      <c r="BJ117" s="35" t="s">
        <v>435</v>
      </c>
      <c r="BK117" s="35" t="s">
        <v>2843</v>
      </c>
      <c r="BL117" s="35" t="s">
        <v>437</v>
      </c>
      <c r="BM117" s="35" t="s">
        <v>603</v>
      </c>
      <c r="BN117" s="35" t="s">
        <v>1314</v>
      </c>
      <c r="BO117" s="35" t="s">
        <v>398</v>
      </c>
      <c r="BP117" s="35" t="s">
        <v>10622</v>
      </c>
      <c r="BQ117" s="35" t="s">
        <v>10623</v>
      </c>
      <c r="BR117" s="35" t="s">
        <v>604</v>
      </c>
      <c r="BS117" s="35" t="s">
        <v>2488</v>
      </c>
      <c r="BT117" s="35" t="s">
        <v>1741</v>
      </c>
      <c r="BV117" s="35" t="s">
        <v>1831</v>
      </c>
      <c r="BW117" s="35" t="s">
        <v>10624</v>
      </c>
      <c r="BX117" s="35" t="s">
        <v>457</v>
      </c>
      <c r="BZ117" s="35" t="s">
        <v>408</v>
      </c>
      <c r="CB117" s="35" t="s">
        <v>10625</v>
      </c>
      <c r="CC117" s="35" t="s">
        <v>10626</v>
      </c>
      <c r="CD117" s="35" t="s">
        <v>10627</v>
      </c>
      <c r="CE117" s="35" t="s">
        <v>409</v>
      </c>
      <c r="CF117" s="35" t="s">
        <v>10628</v>
      </c>
      <c r="CG117" s="35" t="s">
        <v>1722</v>
      </c>
      <c r="CH117" s="35" t="s">
        <v>2851</v>
      </c>
      <c r="CI117" s="35" t="s">
        <v>2852</v>
      </c>
      <c r="CJ117" s="35" t="s">
        <v>410</v>
      </c>
      <c r="CK117" s="35" t="s">
        <v>10629</v>
      </c>
      <c r="CL117" s="35" t="s">
        <v>10630</v>
      </c>
      <c r="EU117" s="35" t="s">
        <v>578</v>
      </c>
      <c r="EV117" s="35" t="s">
        <v>579</v>
      </c>
      <c r="EW117" s="35" t="s">
        <v>778</v>
      </c>
      <c r="EX117" s="35" t="s">
        <v>10631</v>
      </c>
      <c r="EY117" s="35" t="s">
        <v>10632</v>
      </c>
      <c r="EZ117" s="35" t="s">
        <v>10633</v>
      </c>
      <c r="FA117" s="35" t="s">
        <v>583</v>
      </c>
      <c r="FB117" s="35" t="s">
        <v>583</v>
      </c>
      <c r="FC117" s="35" t="s">
        <v>413</v>
      </c>
      <c r="FD117" s="35" t="s">
        <v>413</v>
      </c>
      <c r="FE117" s="35" t="s">
        <v>413</v>
      </c>
      <c r="FF117" s="35" t="s">
        <v>413</v>
      </c>
      <c r="FG117" s="35" t="s">
        <v>415</v>
      </c>
      <c r="FH117" s="35" t="s">
        <v>413</v>
      </c>
      <c r="FI117" s="35" t="s">
        <v>583</v>
      </c>
      <c r="FJ117" s="35" t="s">
        <v>413</v>
      </c>
      <c r="FK117" s="35" t="s">
        <v>583</v>
      </c>
      <c r="FL117" s="35" t="s">
        <v>583</v>
      </c>
      <c r="FM117" s="35" t="s">
        <v>583</v>
      </c>
      <c r="FN117" s="35" t="s">
        <v>413</v>
      </c>
      <c r="FO117" s="35" t="s">
        <v>583</v>
      </c>
      <c r="FP117" s="35" t="s">
        <v>485</v>
      </c>
      <c r="FQ117" s="35" t="s">
        <v>418</v>
      </c>
      <c r="FR117" s="35" t="s">
        <v>749</v>
      </c>
      <c r="FS117" s="35" t="s">
        <v>10634</v>
      </c>
      <c r="FT117" s="35" t="s">
        <v>420</v>
      </c>
      <c r="FU117" s="35" t="s">
        <v>488</v>
      </c>
      <c r="FV117" s="35" t="s">
        <v>489</v>
      </c>
      <c r="FW117" s="35" t="s">
        <v>490</v>
      </c>
      <c r="FX117" s="35" t="s">
        <v>491</v>
      </c>
      <c r="FY117" s="35" t="s">
        <v>10635</v>
      </c>
      <c r="FZ117" s="35" t="s">
        <v>493</v>
      </c>
      <c r="GA117" s="35" t="s">
        <v>10636</v>
      </c>
      <c r="GC117" s="35" t="s">
        <v>455</v>
      </c>
      <c r="GD117" s="35" t="s">
        <v>10637</v>
      </c>
      <c r="GE117" s="41">
        <v>3.306419721E9</v>
      </c>
      <c r="GF117" s="35" t="s">
        <v>753</v>
      </c>
      <c r="GG117" s="35" t="s">
        <v>10638</v>
      </c>
      <c r="GK117" s="35" t="s">
        <v>755</v>
      </c>
      <c r="GL117" s="35" t="s">
        <v>755</v>
      </c>
      <c r="GM117" s="35" t="s">
        <v>946</v>
      </c>
    </row>
    <row r="118">
      <c r="A118" s="40"/>
      <c r="B118" s="40">
        <v>45828.643401828704</v>
      </c>
      <c r="C118" s="35" t="s">
        <v>368</v>
      </c>
      <c r="D118" s="35" t="s">
        <v>370</v>
      </c>
      <c r="F118" s="35" t="s">
        <v>1480</v>
      </c>
      <c r="H118" s="35" t="s">
        <v>422</v>
      </c>
      <c r="I118" s="35" t="s">
        <v>1203</v>
      </c>
      <c r="J118" s="35" t="s">
        <v>638</v>
      </c>
      <c r="K118" s="35" t="s">
        <v>1204</v>
      </c>
      <c r="L118" s="35" t="s">
        <v>376</v>
      </c>
      <c r="M118" s="35" t="s">
        <v>591</v>
      </c>
      <c r="N118" s="35" t="s">
        <v>720</v>
      </c>
      <c r="O118" s="35" t="s">
        <v>591</v>
      </c>
      <c r="P118" s="35" t="s">
        <v>719</v>
      </c>
      <c r="Q118" s="35" t="s">
        <v>498</v>
      </c>
      <c r="R118" s="35" t="s">
        <v>382</v>
      </c>
      <c r="S118" s="35" t="s">
        <v>949</v>
      </c>
      <c r="T118" s="35" t="s">
        <v>384</v>
      </c>
      <c r="U118" s="35" t="s">
        <v>385</v>
      </c>
      <c r="X118" s="35" t="s">
        <v>428</v>
      </c>
      <c r="AW118" s="35" t="s">
        <v>597</v>
      </c>
      <c r="AX118" s="35" t="s">
        <v>675</v>
      </c>
      <c r="AY118" s="41">
        <v>4.0</v>
      </c>
      <c r="AZ118" s="35" t="s">
        <v>675</v>
      </c>
      <c r="BA118" s="35" t="s">
        <v>675</v>
      </c>
      <c r="BB118" s="35" t="s">
        <v>675</v>
      </c>
      <c r="BC118" s="35" t="s">
        <v>675</v>
      </c>
      <c r="BD118" s="35" t="s">
        <v>2862</v>
      </c>
      <c r="BE118" s="35" t="s">
        <v>2863</v>
      </c>
      <c r="BF118" s="35" t="s">
        <v>432</v>
      </c>
      <c r="BG118" s="35" t="s">
        <v>1095</v>
      </c>
      <c r="BH118" s="35" t="s">
        <v>394</v>
      </c>
      <c r="BJ118" s="35" t="s">
        <v>824</v>
      </c>
      <c r="BL118" s="35" t="s">
        <v>395</v>
      </c>
      <c r="BM118" s="35" t="s">
        <v>603</v>
      </c>
      <c r="BN118" s="35" t="s">
        <v>397</v>
      </c>
      <c r="BO118" s="35" t="s">
        <v>398</v>
      </c>
      <c r="BQ118" s="35" t="s">
        <v>2864</v>
      </c>
      <c r="BR118" s="35" t="s">
        <v>604</v>
      </c>
      <c r="BS118" s="35" t="s">
        <v>2865</v>
      </c>
      <c r="BT118" s="35" t="s">
        <v>1741</v>
      </c>
      <c r="BU118" s="35" t="s">
        <v>1742</v>
      </c>
      <c r="BV118" s="35" t="s">
        <v>1693</v>
      </c>
      <c r="BW118" s="35" t="s">
        <v>2866</v>
      </c>
      <c r="BX118" s="35" t="s">
        <v>406</v>
      </c>
      <c r="BY118" s="35" t="s">
        <v>407</v>
      </c>
      <c r="BZ118" s="35" t="s">
        <v>408</v>
      </c>
      <c r="CD118" s="35" t="s">
        <v>2867</v>
      </c>
      <c r="CE118" s="35" t="s">
        <v>409</v>
      </c>
      <c r="CF118" s="35" t="s">
        <v>2868</v>
      </c>
      <c r="CG118" s="35" t="s">
        <v>1258</v>
      </c>
      <c r="CI118" s="35" t="s">
        <v>1698</v>
      </c>
      <c r="CJ118" s="35" t="s">
        <v>833</v>
      </c>
      <c r="CK118" s="35" t="s">
        <v>10639</v>
      </c>
      <c r="CL118" s="35" t="s">
        <v>2870</v>
      </c>
      <c r="EU118" s="35" t="s">
        <v>578</v>
      </c>
      <c r="EV118" s="35" t="s">
        <v>479</v>
      </c>
      <c r="EW118" s="35" t="s">
        <v>527</v>
      </c>
      <c r="EX118" s="35" t="s">
        <v>2871</v>
      </c>
      <c r="EY118" s="35" t="s">
        <v>2872</v>
      </c>
      <c r="EZ118" s="35" t="s">
        <v>2873</v>
      </c>
      <c r="FA118" s="35" t="s">
        <v>583</v>
      </c>
      <c r="FB118" s="35" t="s">
        <v>583</v>
      </c>
      <c r="FC118" s="35" t="s">
        <v>415</v>
      </c>
      <c r="FD118" s="35" t="s">
        <v>583</v>
      </c>
      <c r="FE118" s="35" t="s">
        <v>416</v>
      </c>
      <c r="FF118" s="35" t="s">
        <v>583</v>
      </c>
      <c r="FG118" s="35" t="s">
        <v>414</v>
      </c>
      <c r="FH118" s="35" t="s">
        <v>415</v>
      </c>
      <c r="FI118" s="35" t="s">
        <v>415</v>
      </c>
      <c r="FJ118" s="35" t="s">
        <v>583</v>
      </c>
      <c r="FK118" s="35" t="s">
        <v>583</v>
      </c>
      <c r="FL118" s="35" t="s">
        <v>415</v>
      </c>
      <c r="FM118" s="35" t="s">
        <v>415</v>
      </c>
      <c r="FN118" s="35" t="s">
        <v>415</v>
      </c>
      <c r="FO118" s="35" t="s">
        <v>415</v>
      </c>
      <c r="FP118" s="35" t="s">
        <v>485</v>
      </c>
      <c r="FQ118" s="35" t="s">
        <v>418</v>
      </c>
      <c r="FR118" s="35" t="s">
        <v>419</v>
      </c>
      <c r="FS118" s="35" t="s">
        <v>2874</v>
      </c>
      <c r="FT118" s="35" t="s">
        <v>995</v>
      </c>
      <c r="FU118" s="35" t="s">
        <v>1462</v>
      </c>
      <c r="FV118" s="35" t="s">
        <v>533</v>
      </c>
      <c r="FW118" s="35" t="s">
        <v>490</v>
      </c>
      <c r="FX118" s="35" t="s">
        <v>491</v>
      </c>
      <c r="FY118" s="35" t="s">
        <v>2875</v>
      </c>
      <c r="FZ118" s="35" t="s">
        <v>493</v>
      </c>
      <c r="GA118" s="35" t="s">
        <v>2876</v>
      </c>
      <c r="GC118" s="35" t="s">
        <v>455</v>
      </c>
      <c r="GE118" s="35" t="s">
        <v>2877</v>
      </c>
      <c r="GF118" s="35" t="s">
        <v>855</v>
      </c>
      <c r="GK118" s="35" t="s">
        <v>755</v>
      </c>
      <c r="GL118" s="35" t="s">
        <v>755</v>
      </c>
      <c r="GM118" s="35" t="s">
        <v>817</v>
      </c>
    </row>
    <row r="119">
      <c r="A119" s="40"/>
      <c r="B119" s="40">
        <v>45829.217301041666</v>
      </c>
      <c r="C119" s="35" t="s">
        <v>368</v>
      </c>
      <c r="D119" s="35" t="s">
        <v>3013</v>
      </c>
      <c r="E119" s="35" t="s">
        <v>894</v>
      </c>
      <c r="H119" s="35" t="s">
        <v>422</v>
      </c>
      <c r="I119" s="35" t="s">
        <v>373</v>
      </c>
      <c r="J119" s="35" t="s">
        <v>638</v>
      </c>
      <c r="K119" s="35" t="s">
        <v>375</v>
      </c>
      <c r="L119" s="35" t="s">
        <v>376</v>
      </c>
      <c r="M119" s="35" t="s">
        <v>591</v>
      </c>
      <c r="N119" s="35" t="s">
        <v>639</v>
      </c>
      <c r="O119" s="35" t="s">
        <v>379</v>
      </c>
      <c r="P119" s="35" t="s">
        <v>497</v>
      </c>
      <c r="Q119" s="35" t="s">
        <v>498</v>
      </c>
      <c r="R119" s="35" t="s">
        <v>382</v>
      </c>
      <c r="S119" s="35" t="s">
        <v>949</v>
      </c>
      <c r="T119" s="35" t="s">
        <v>384</v>
      </c>
      <c r="U119" s="35" t="s">
        <v>385</v>
      </c>
      <c r="W119" s="35" t="s">
        <v>896</v>
      </c>
      <c r="X119" s="35" t="s">
        <v>3014</v>
      </c>
      <c r="AW119" s="35" t="s">
        <v>390</v>
      </c>
      <c r="AX119" s="41">
        <v>4.0</v>
      </c>
      <c r="AY119" s="35" t="s">
        <v>391</v>
      </c>
      <c r="AZ119" s="41">
        <v>4.0</v>
      </c>
      <c r="BA119" s="35" t="s">
        <v>675</v>
      </c>
      <c r="BB119" s="41">
        <v>4.0</v>
      </c>
      <c r="BC119" s="35" t="s">
        <v>391</v>
      </c>
      <c r="BD119" s="35" t="s">
        <v>3015</v>
      </c>
      <c r="BE119" s="35" t="s">
        <v>3016</v>
      </c>
      <c r="BF119" s="35" t="s">
        <v>392</v>
      </c>
      <c r="BG119" s="35" t="s">
        <v>1095</v>
      </c>
      <c r="BH119" s="35" t="s">
        <v>394</v>
      </c>
      <c r="BJ119" s="35" t="s">
        <v>435</v>
      </c>
      <c r="BK119" s="35" t="s">
        <v>3017</v>
      </c>
      <c r="BL119" s="35" t="s">
        <v>602</v>
      </c>
      <c r="BM119" s="35" t="s">
        <v>438</v>
      </c>
      <c r="BN119" s="35" t="s">
        <v>549</v>
      </c>
      <c r="BO119" s="35" t="s">
        <v>398</v>
      </c>
      <c r="BP119" s="35" t="s">
        <v>3018</v>
      </c>
      <c r="BQ119" s="35" t="s">
        <v>3019</v>
      </c>
      <c r="BR119" s="35" t="s">
        <v>604</v>
      </c>
      <c r="BS119" s="35" t="s">
        <v>3020</v>
      </c>
      <c r="BT119" s="35" t="s">
        <v>1741</v>
      </c>
      <c r="BU119" s="35" t="s">
        <v>1672</v>
      </c>
      <c r="BV119" s="35" t="s">
        <v>1693</v>
      </c>
      <c r="BW119" s="35" t="s">
        <v>3021</v>
      </c>
      <c r="BX119" s="35" t="s">
        <v>988</v>
      </c>
      <c r="BZ119" s="35" t="s">
        <v>408</v>
      </c>
      <c r="CB119" s="35" t="s">
        <v>3022</v>
      </c>
      <c r="CC119" s="35" t="s">
        <v>3023</v>
      </c>
      <c r="CD119" s="35" t="s">
        <v>3015</v>
      </c>
      <c r="CE119" s="35" t="s">
        <v>451</v>
      </c>
      <c r="CF119" s="35" t="s">
        <v>3024</v>
      </c>
      <c r="CG119" s="35" t="s">
        <v>1697</v>
      </c>
      <c r="CI119" s="35" t="s">
        <v>1679</v>
      </c>
      <c r="CJ119" s="35" t="s">
        <v>1220</v>
      </c>
      <c r="CK119" s="35" t="s">
        <v>3025</v>
      </c>
      <c r="EU119" s="35" t="s">
        <v>478</v>
      </c>
      <c r="EV119" s="35" t="s">
        <v>887</v>
      </c>
      <c r="EW119" s="35" t="s">
        <v>663</v>
      </c>
      <c r="FA119" s="35" t="s">
        <v>413</v>
      </c>
      <c r="FB119" s="35" t="s">
        <v>415</v>
      </c>
      <c r="FC119" s="35" t="s">
        <v>413</v>
      </c>
      <c r="FD119" s="35" t="s">
        <v>415</v>
      </c>
      <c r="FE119" s="35" t="s">
        <v>413</v>
      </c>
      <c r="FF119" s="35" t="s">
        <v>415</v>
      </c>
      <c r="FG119" s="35" t="s">
        <v>415</v>
      </c>
      <c r="FH119" s="35" t="s">
        <v>415</v>
      </c>
      <c r="FI119" s="35" t="s">
        <v>583</v>
      </c>
      <c r="FJ119" s="35" t="s">
        <v>414</v>
      </c>
      <c r="FK119" s="35" t="s">
        <v>415</v>
      </c>
      <c r="FL119" s="35" t="s">
        <v>414</v>
      </c>
      <c r="FM119" s="35" t="s">
        <v>414</v>
      </c>
      <c r="FN119" s="35" t="s">
        <v>415</v>
      </c>
      <c r="FO119" s="35" t="s">
        <v>415</v>
      </c>
      <c r="FP119" s="35" t="s">
        <v>850</v>
      </c>
      <c r="FQ119" s="35" t="s">
        <v>2651</v>
      </c>
      <c r="FR119" s="35" t="s">
        <v>712</v>
      </c>
      <c r="FT119" s="35" t="s">
        <v>420</v>
      </c>
      <c r="FU119" s="35" t="s">
        <v>1476</v>
      </c>
      <c r="FV119" s="35" t="s">
        <v>918</v>
      </c>
      <c r="FW119" s="35" t="s">
        <v>490</v>
      </c>
      <c r="FX119" s="35" t="s">
        <v>491</v>
      </c>
      <c r="FZ119" s="35" t="s">
        <v>1854</v>
      </c>
      <c r="GA119" s="35" t="s">
        <v>3026</v>
      </c>
      <c r="GC119" s="35" t="s">
        <v>455</v>
      </c>
      <c r="GD119" s="35" t="s">
        <v>10640</v>
      </c>
      <c r="GF119" s="35" t="s">
        <v>753</v>
      </c>
      <c r="GL119" s="35" t="s">
        <v>1000</v>
      </c>
      <c r="GM119" s="35" t="s">
        <v>817</v>
      </c>
      <c r="GO119" s="35" t="s">
        <v>894</v>
      </c>
    </row>
    <row r="120">
      <c r="A120" s="40"/>
      <c r="B120" s="40">
        <v>45829.25204303241</v>
      </c>
      <c r="C120" s="35" t="s">
        <v>368</v>
      </c>
      <c r="D120" s="35" t="s">
        <v>370</v>
      </c>
      <c r="F120" s="35" t="s">
        <v>371</v>
      </c>
      <c r="H120" s="35" t="s">
        <v>372</v>
      </c>
      <c r="I120" s="35" t="s">
        <v>373</v>
      </c>
      <c r="J120" s="35" t="s">
        <v>374</v>
      </c>
      <c r="K120" s="35" t="s">
        <v>758</v>
      </c>
      <c r="L120" s="35" t="s">
        <v>376</v>
      </c>
      <c r="M120" s="35" t="s">
        <v>377</v>
      </c>
      <c r="N120" s="35" t="s">
        <v>10641</v>
      </c>
      <c r="O120" s="35" t="s">
        <v>377</v>
      </c>
      <c r="P120" s="35" t="s">
        <v>1196</v>
      </c>
      <c r="Q120" s="35" t="s">
        <v>381</v>
      </c>
      <c r="R120" s="35" t="s">
        <v>862</v>
      </c>
      <c r="S120" s="35" t="s">
        <v>949</v>
      </c>
      <c r="T120" s="35" t="s">
        <v>384</v>
      </c>
      <c r="U120" s="35" t="s">
        <v>385</v>
      </c>
      <c r="X120" s="35" t="s">
        <v>3014</v>
      </c>
      <c r="AW120" s="35" t="s">
        <v>1310</v>
      </c>
      <c r="AX120" s="35" t="s">
        <v>391</v>
      </c>
      <c r="AY120" s="35" t="s">
        <v>391</v>
      </c>
      <c r="AZ120" s="35" t="s">
        <v>391</v>
      </c>
      <c r="BA120" s="35" t="s">
        <v>391</v>
      </c>
      <c r="BB120" s="35" t="s">
        <v>391</v>
      </c>
      <c r="BC120" s="35" t="s">
        <v>391</v>
      </c>
      <c r="BD120" s="35" t="s">
        <v>10642</v>
      </c>
      <c r="BE120" s="35" t="s">
        <v>10643</v>
      </c>
      <c r="BF120" s="35" t="s">
        <v>432</v>
      </c>
      <c r="BG120" s="35" t="s">
        <v>1095</v>
      </c>
      <c r="BH120" s="35" t="s">
        <v>394</v>
      </c>
      <c r="BI120" s="35" t="s">
        <v>10644</v>
      </c>
      <c r="BJ120" s="35" t="s">
        <v>435</v>
      </c>
      <c r="BK120" s="35" t="s">
        <v>10645</v>
      </c>
      <c r="BL120" s="35" t="s">
        <v>681</v>
      </c>
      <c r="BM120" s="35" t="s">
        <v>603</v>
      </c>
      <c r="BN120" s="35" t="s">
        <v>1247</v>
      </c>
      <c r="BO120" s="35" t="s">
        <v>398</v>
      </c>
      <c r="BP120" s="35" t="s">
        <v>10646</v>
      </c>
      <c r="BR120" s="35" t="s">
        <v>442</v>
      </c>
      <c r="BS120" s="35" t="s">
        <v>1740</v>
      </c>
      <c r="BT120" s="35" t="s">
        <v>1741</v>
      </c>
      <c r="BU120" s="35" t="s">
        <v>1672</v>
      </c>
      <c r="BV120" s="35" t="s">
        <v>1772</v>
      </c>
      <c r="BW120" s="35" t="s">
        <v>10647</v>
      </c>
      <c r="BX120" s="35" t="s">
        <v>988</v>
      </c>
      <c r="BY120" s="35" t="s">
        <v>407</v>
      </c>
      <c r="BZ120" s="35" t="s">
        <v>408</v>
      </c>
      <c r="CC120" s="35" t="s">
        <v>10648</v>
      </c>
      <c r="CD120" s="35" t="s">
        <v>10649</v>
      </c>
      <c r="CE120" s="35" t="s">
        <v>451</v>
      </c>
      <c r="CF120" s="35" t="s">
        <v>10650</v>
      </c>
      <c r="CG120" s="35" t="s">
        <v>1749</v>
      </c>
      <c r="CH120" s="35" t="s">
        <v>10651</v>
      </c>
      <c r="CI120" s="35" t="s">
        <v>1751</v>
      </c>
      <c r="CJ120" s="35" t="s">
        <v>410</v>
      </c>
      <c r="CK120" s="35" t="s">
        <v>10652</v>
      </c>
      <c r="CL120" s="35" t="s">
        <v>3039</v>
      </c>
      <c r="EU120" s="35" t="s">
        <v>578</v>
      </c>
      <c r="EV120" s="35" t="s">
        <v>579</v>
      </c>
      <c r="EW120" s="35" t="s">
        <v>527</v>
      </c>
      <c r="EX120" s="35" t="s">
        <v>3040</v>
      </c>
      <c r="EY120" s="35" t="s">
        <v>10653</v>
      </c>
      <c r="EZ120" s="35" t="s">
        <v>3042</v>
      </c>
      <c r="FA120" s="35" t="s">
        <v>414</v>
      </c>
      <c r="FB120" s="35" t="s">
        <v>414</v>
      </c>
      <c r="FC120" s="35" t="s">
        <v>413</v>
      </c>
      <c r="FD120" s="35" t="s">
        <v>414</v>
      </c>
      <c r="FE120" s="35" t="s">
        <v>413</v>
      </c>
      <c r="FF120" s="35" t="s">
        <v>414</v>
      </c>
      <c r="FG120" s="35" t="s">
        <v>415</v>
      </c>
      <c r="FH120" s="35" t="s">
        <v>416</v>
      </c>
      <c r="FI120" s="35" t="s">
        <v>414</v>
      </c>
      <c r="FJ120" s="35" t="s">
        <v>415</v>
      </c>
      <c r="FK120" s="35" t="s">
        <v>415</v>
      </c>
      <c r="FL120" s="35" t="s">
        <v>415</v>
      </c>
      <c r="FM120" s="35" t="s">
        <v>415</v>
      </c>
      <c r="FN120" s="35" t="s">
        <v>416</v>
      </c>
      <c r="FO120" s="35" t="s">
        <v>414</v>
      </c>
      <c r="FP120" s="35" t="s">
        <v>850</v>
      </c>
      <c r="FQ120" s="35" t="s">
        <v>418</v>
      </c>
      <c r="FR120" s="35" t="s">
        <v>1039</v>
      </c>
      <c r="FT120" s="35" t="s">
        <v>420</v>
      </c>
      <c r="FU120" s="35" t="s">
        <v>488</v>
      </c>
      <c r="FV120" s="35" t="s">
        <v>585</v>
      </c>
      <c r="FW120" s="35" t="s">
        <v>490</v>
      </c>
      <c r="FX120" s="35" t="s">
        <v>491</v>
      </c>
      <c r="FY120" s="35" t="s">
        <v>10654</v>
      </c>
      <c r="FZ120" s="35" t="s">
        <v>535</v>
      </c>
      <c r="GC120" s="35" t="s">
        <v>455</v>
      </c>
      <c r="GD120" s="35" t="s">
        <v>10655</v>
      </c>
      <c r="GE120" s="35" t="s">
        <v>10656</v>
      </c>
      <c r="GF120" s="35" t="s">
        <v>944</v>
      </c>
      <c r="GG120" s="35" t="s">
        <v>10657</v>
      </c>
      <c r="GK120" s="35" t="s">
        <v>755</v>
      </c>
      <c r="GL120" s="35" t="s">
        <v>755</v>
      </c>
      <c r="GM120" s="35" t="s">
        <v>946</v>
      </c>
    </row>
    <row r="121">
      <c r="A121" s="40"/>
      <c r="B121" s="40">
        <v>45829.33800960648</v>
      </c>
      <c r="C121" s="35" t="s">
        <v>368</v>
      </c>
      <c r="D121" s="35" t="s">
        <v>538</v>
      </c>
      <c r="E121" s="35" t="s">
        <v>947</v>
      </c>
      <c r="H121" s="35" t="s">
        <v>422</v>
      </c>
      <c r="I121" s="35" t="s">
        <v>539</v>
      </c>
      <c r="J121" s="35" t="s">
        <v>424</v>
      </c>
      <c r="K121" s="35" t="s">
        <v>375</v>
      </c>
      <c r="L121" s="35" t="s">
        <v>376</v>
      </c>
      <c r="M121" s="35" t="s">
        <v>591</v>
      </c>
      <c r="N121" s="35" t="s">
        <v>639</v>
      </c>
      <c r="O121" s="35" t="s">
        <v>377</v>
      </c>
      <c r="P121" s="35" t="s">
        <v>380</v>
      </c>
      <c r="Q121" s="35" t="s">
        <v>381</v>
      </c>
      <c r="S121" s="35" t="s">
        <v>500</v>
      </c>
      <c r="T121" s="35" t="s">
        <v>384</v>
      </c>
      <c r="U121" s="35" t="s">
        <v>385</v>
      </c>
      <c r="X121" s="35" t="s">
        <v>3014</v>
      </c>
      <c r="AW121" s="35" t="s">
        <v>1242</v>
      </c>
      <c r="AX121" s="35" t="s">
        <v>391</v>
      </c>
      <c r="AY121" s="41">
        <v>4.0</v>
      </c>
      <c r="AZ121" s="35" t="s">
        <v>391</v>
      </c>
      <c r="BA121" s="41">
        <v>4.0</v>
      </c>
      <c r="BB121" s="41">
        <v>4.0</v>
      </c>
      <c r="BC121" s="41">
        <v>4.0</v>
      </c>
      <c r="BD121" s="35" t="s">
        <v>3069</v>
      </c>
      <c r="BE121" s="35" t="s">
        <v>10658</v>
      </c>
      <c r="BF121" s="35" t="s">
        <v>432</v>
      </c>
      <c r="BG121" s="35" t="s">
        <v>393</v>
      </c>
      <c r="BH121" s="35" t="s">
        <v>394</v>
      </c>
      <c r="BJ121" s="35" t="s">
        <v>435</v>
      </c>
      <c r="BL121" s="35" t="s">
        <v>437</v>
      </c>
      <c r="BM121" s="35" t="s">
        <v>603</v>
      </c>
      <c r="BN121" s="35" t="s">
        <v>1314</v>
      </c>
      <c r="BO121" s="35" t="s">
        <v>398</v>
      </c>
      <c r="BP121" s="35" t="s">
        <v>10659</v>
      </c>
      <c r="BQ121" s="35" t="s">
        <v>3072</v>
      </c>
      <c r="BR121" s="35" t="s">
        <v>401</v>
      </c>
      <c r="BS121" s="35" t="s">
        <v>402</v>
      </c>
      <c r="BU121" s="35" t="s">
        <v>1994</v>
      </c>
      <c r="BV121" s="35" t="s">
        <v>405</v>
      </c>
      <c r="BX121" s="35" t="s">
        <v>406</v>
      </c>
      <c r="BY121" s="35" t="s">
        <v>1867</v>
      </c>
      <c r="BZ121" s="35" t="s">
        <v>408</v>
      </c>
      <c r="CD121" s="35" t="s">
        <v>10660</v>
      </c>
      <c r="CE121" s="35" t="s">
        <v>1257</v>
      </c>
      <c r="CG121" s="35" t="s">
        <v>1722</v>
      </c>
      <c r="CH121" s="35" t="s">
        <v>10661</v>
      </c>
      <c r="CI121" s="35" t="s">
        <v>1259</v>
      </c>
      <c r="CK121" s="35" t="s">
        <v>10662</v>
      </c>
      <c r="EU121" s="35" t="s">
        <v>526</v>
      </c>
      <c r="EV121" s="35" t="s">
        <v>579</v>
      </c>
      <c r="EW121" s="35" t="s">
        <v>527</v>
      </c>
      <c r="EX121" s="35" t="s">
        <v>3076</v>
      </c>
      <c r="EY121" s="35" t="s">
        <v>3077</v>
      </c>
      <c r="FA121" s="35" t="s">
        <v>415</v>
      </c>
      <c r="FB121" s="35" t="s">
        <v>415</v>
      </c>
      <c r="FC121" s="35" t="s">
        <v>413</v>
      </c>
      <c r="FD121" s="35" t="s">
        <v>416</v>
      </c>
      <c r="FE121" s="35" t="s">
        <v>413</v>
      </c>
      <c r="FF121" s="35" t="s">
        <v>415</v>
      </c>
      <c r="FG121" s="35" t="s">
        <v>415</v>
      </c>
      <c r="FH121" s="35" t="s">
        <v>484</v>
      </c>
      <c r="FI121" s="35" t="s">
        <v>484</v>
      </c>
      <c r="FJ121" s="35" t="s">
        <v>484</v>
      </c>
      <c r="FK121" s="35" t="s">
        <v>416</v>
      </c>
      <c r="FL121" s="35" t="s">
        <v>484</v>
      </c>
      <c r="FM121" s="35" t="s">
        <v>484</v>
      </c>
      <c r="FN121" s="35" t="s">
        <v>484</v>
      </c>
      <c r="FO121" s="35" t="s">
        <v>484</v>
      </c>
      <c r="FP121" s="35" t="s">
        <v>850</v>
      </c>
      <c r="FQ121" s="35" t="s">
        <v>418</v>
      </c>
      <c r="FR121" s="35" t="s">
        <v>1039</v>
      </c>
      <c r="FT121" s="35" t="s">
        <v>420</v>
      </c>
      <c r="FU121" s="35" t="s">
        <v>488</v>
      </c>
      <c r="FV121" s="35" t="s">
        <v>918</v>
      </c>
      <c r="FW121" s="35" t="s">
        <v>490</v>
      </c>
      <c r="FX121" s="35" t="s">
        <v>491</v>
      </c>
      <c r="FY121" s="35" t="s">
        <v>10663</v>
      </c>
      <c r="FZ121" s="35" t="s">
        <v>1337</v>
      </c>
      <c r="GA121" s="35" t="s">
        <v>10664</v>
      </c>
      <c r="GC121" s="35" t="s">
        <v>455</v>
      </c>
      <c r="GD121" s="35" t="s">
        <v>10665</v>
      </c>
      <c r="GF121" s="35" t="s">
        <v>1339</v>
      </c>
      <c r="GG121" s="35" t="s">
        <v>10666</v>
      </c>
      <c r="GK121" s="35" t="s">
        <v>920</v>
      </c>
      <c r="GL121" s="35" t="s">
        <v>920</v>
      </c>
      <c r="GM121" s="35" t="s">
        <v>756</v>
      </c>
      <c r="GO121" s="35" t="s">
        <v>3012</v>
      </c>
      <c r="GP121" s="35" t="s">
        <v>947</v>
      </c>
    </row>
    <row r="122">
      <c r="A122" s="40"/>
      <c r="B122" s="40">
        <v>45829.41961525463</v>
      </c>
      <c r="C122" s="35" t="s">
        <v>368</v>
      </c>
      <c r="D122" s="35" t="s">
        <v>3081</v>
      </c>
      <c r="E122" s="35" t="s">
        <v>3081</v>
      </c>
      <c r="H122" s="35" t="s">
        <v>422</v>
      </c>
      <c r="I122" s="35" t="s">
        <v>373</v>
      </c>
      <c r="J122" s="35" t="s">
        <v>374</v>
      </c>
      <c r="K122" s="35" t="s">
        <v>375</v>
      </c>
      <c r="L122" s="35" t="s">
        <v>376</v>
      </c>
      <c r="M122" s="35" t="s">
        <v>426</v>
      </c>
      <c r="N122" s="35" t="s">
        <v>378</v>
      </c>
      <c r="O122" s="35" t="s">
        <v>591</v>
      </c>
      <c r="P122" s="35" t="s">
        <v>1799</v>
      </c>
      <c r="Q122" s="35" t="s">
        <v>498</v>
      </c>
      <c r="R122" s="35" t="s">
        <v>499</v>
      </c>
      <c r="S122" s="35" t="s">
        <v>500</v>
      </c>
      <c r="T122" s="35" t="s">
        <v>384</v>
      </c>
      <c r="U122" s="35" t="s">
        <v>385</v>
      </c>
      <c r="X122" s="35" t="s">
        <v>386</v>
      </c>
      <c r="Y122" s="35" t="s">
        <v>387</v>
      </c>
      <c r="Z122" s="35" t="s">
        <v>388</v>
      </c>
      <c r="AA122" s="35" t="s">
        <v>389</v>
      </c>
      <c r="AW122" s="35" t="s">
        <v>597</v>
      </c>
      <c r="AX122" s="35" t="s">
        <v>391</v>
      </c>
      <c r="AY122" s="35" t="s">
        <v>391</v>
      </c>
      <c r="AZ122" s="41">
        <v>4.0</v>
      </c>
      <c r="BA122" s="35" t="s">
        <v>391</v>
      </c>
      <c r="BB122" s="35" t="s">
        <v>391</v>
      </c>
      <c r="BC122" s="35" t="s">
        <v>391</v>
      </c>
      <c r="BF122" s="35" t="s">
        <v>432</v>
      </c>
      <c r="BG122" s="35" t="s">
        <v>393</v>
      </c>
      <c r="BH122" s="35" t="s">
        <v>725</v>
      </c>
      <c r="BJ122" s="35" t="s">
        <v>824</v>
      </c>
      <c r="BL122" s="35" t="s">
        <v>681</v>
      </c>
      <c r="BM122" s="35" t="s">
        <v>396</v>
      </c>
      <c r="BN122" s="35" t="s">
        <v>397</v>
      </c>
      <c r="BO122" s="35" t="s">
        <v>398</v>
      </c>
      <c r="BR122" s="35" t="s">
        <v>401</v>
      </c>
      <c r="BS122" s="35" t="s">
        <v>2488</v>
      </c>
      <c r="BT122" s="35" t="s">
        <v>403</v>
      </c>
      <c r="BU122" s="35" t="s">
        <v>1994</v>
      </c>
      <c r="BV122" s="35" t="s">
        <v>405</v>
      </c>
      <c r="BX122" s="35" t="s">
        <v>406</v>
      </c>
      <c r="BY122" s="35" t="s">
        <v>2503</v>
      </c>
      <c r="BZ122" s="35" t="s">
        <v>408</v>
      </c>
      <c r="CE122" s="35" t="s">
        <v>1257</v>
      </c>
      <c r="CG122" s="35" t="s">
        <v>1258</v>
      </c>
      <c r="CI122" s="35" t="s">
        <v>1259</v>
      </c>
      <c r="CJ122" s="35" t="s">
        <v>1964</v>
      </c>
      <c r="CK122" s="35" t="s">
        <v>1699</v>
      </c>
      <c r="EU122" s="35" t="s">
        <v>578</v>
      </c>
      <c r="EV122" s="35" t="s">
        <v>579</v>
      </c>
      <c r="EW122" s="35" t="s">
        <v>580</v>
      </c>
      <c r="FA122" s="35" t="s">
        <v>414</v>
      </c>
      <c r="FB122" s="35" t="s">
        <v>414</v>
      </c>
      <c r="FC122" s="35" t="s">
        <v>416</v>
      </c>
      <c r="FD122" s="35" t="s">
        <v>416</v>
      </c>
      <c r="FE122" s="35" t="s">
        <v>415</v>
      </c>
      <c r="FF122" s="35" t="s">
        <v>415</v>
      </c>
      <c r="FG122" s="35" t="s">
        <v>416</v>
      </c>
      <c r="FH122" s="35" t="s">
        <v>415</v>
      </c>
      <c r="FI122" s="35" t="s">
        <v>415</v>
      </c>
      <c r="FJ122" s="35" t="s">
        <v>413</v>
      </c>
      <c r="FK122" s="35" t="s">
        <v>415</v>
      </c>
      <c r="FL122" s="35" t="s">
        <v>415</v>
      </c>
      <c r="FM122" s="35" t="s">
        <v>414</v>
      </c>
      <c r="FN122" s="35" t="s">
        <v>415</v>
      </c>
      <c r="FO122" s="35" t="s">
        <v>415</v>
      </c>
      <c r="FP122" s="35" t="s">
        <v>417</v>
      </c>
      <c r="FQ122" s="35" t="s">
        <v>486</v>
      </c>
      <c r="FR122" s="35" t="s">
        <v>749</v>
      </c>
      <c r="FT122" s="35" t="s">
        <v>420</v>
      </c>
      <c r="FU122" s="35" t="s">
        <v>1462</v>
      </c>
      <c r="FW122" s="35" t="s">
        <v>490</v>
      </c>
      <c r="FX122" s="35" t="s">
        <v>491</v>
      </c>
      <c r="FZ122" s="35" t="s">
        <v>493</v>
      </c>
      <c r="GC122" s="35" t="s">
        <v>455</v>
      </c>
      <c r="GK122" s="35" t="s">
        <v>788</v>
      </c>
      <c r="GL122" s="35" t="s">
        <v>857</v>
      </c>
      <c r="GM122" s="35" t="s">
        <v>790</v>
      </c>
    </row>
    <row r="123">
      <c r="A123" s="40"/>
      <c r="B123" s="40">
        <v>45829.49291922453</v>
      </c>
      <c r="C123" s="35" t="s">
        <v>368</v>
      </c>
      <c r="D123" s="35" t="s">
        <v>894</v>
      </c>
      <c r="E123" s="35" t="s">
        <v>894</v>
      </c>
      <c r="H123" s="35" t="s">
        <v>422</v>
      </c>
      <c r="J123" s="35" t="s">
        <v>638</v>
      </c>
      <c r="K123" s="35" t="s">
        <v>1204</v>
      </c>
      <c r="L123" s="35" t="s">
        <v>376</v>
      </c>
      <c r="M123" s="35" t="s">
        <v>1526</v>
      </c>
      <c r="O123" s="35" t="s">
        <v>1526</v>
      </c>
      <c r="Q123" s="35" t="s">
        <v>592</v>
      </c>
      <c r="S123" s="35" t="s">
        <v>949</v>
      </c>
      <c r="T123" s="35" t="s">
        <v>384</v>
      </c>
      <c r="U123" s="35" t="s">
        <v>385</v>
      </c>
      <c r="V123" s="35" t="s">
        <v>1241</v>
      </c>
      <c r="W123" s="35" t="s">
        <v>1241</v>
      </c>
      <c r="X123" s="35" t="s">
        <v>3014</v>
      </c>
      <c r="AW123" s="35" t="s">
        <v>1242</v>
      </c>
      <c r="BH123" s="35" t="s">
        <v>394</v>
      </c>
      <c r="BJ123" s="35" t="s">
        <v>824</v>
      </c>
      <c r="BL123" s="35" t="s">
        <v>511</v>
      </c>
      <c r="BN123" s="35" t="s">
        <v>1247</v>
      </c>
      <c r="BO123" s="35" t="s">
        <v>398</v>
      </c>
      <c r="BR123" s="35" t="s">
        <v>442</v>
      </c>
      <c r="EV123" s="35" t="s">
        <v>579</v>
      </c>
      <c r="EW123" s="35" t="s">
        <v>527</v>
      </c>
      <c r="FX123" s="35" t="s">
        <v>491</v>
      </c>
      <c r="FZ123" s="35" t="s">
        <v>535</v>
      </c>
      <c r="GC123" s="35" t="s">
        <v>408</v>
      </c>
      <c r="GL123" s="35" t="s">
        <v>755</v>
      </c>
      <c r="GM123" s="35" t="s">
        <v>946</v>
      </c>
    </row>
    <row r="124">
      <c r="A124" s="40"/>
      <c r="B124" s="40">
        <v>45829.606147847226</v>
      </c>
      <c r="C124" s="35" t="s">
        <v>368</v>
      </c>
      <c r="D124" s="35" t="s">
        <v>370</v>
      </c>
      <c r="F124" s="35" t="s">
        <v>667</v>
      </c>
      <c r="H124" s="35" t="s">
        <v>3145</v>
      </c>
      <c r="I124" s="35" t="s">
        <v>373</v>
      </c>
      <c r="J124" s="35" t="s">
        <v>374</v>
      </c>
      <c r="K124" s="35" t="s">
        <v>375</v>
      </c>
      <c r="L124" s="35" t="s">
        <v>376</v>
      </c>
      <c r="M124" s="35" t="s">
        <v>377</v>
      </c>
      <c r="N124" s="35" t="s">
        <v>378</v>
      </c>
      <c r="O124" s="35" t="s">
        <v>379</v>
      </c>
      <c r="P124" s="35" t="s">
        <v>380</v>
      </c>
      <c r="Q124" s="35" t="s">
        <v>381</v>
      </c>
      <c r="R124" s="35" t="s">
        <v>862</v>
      </c>
      <c r="S124" s="35" t="s">
        <v>500</v>
      </c>
      <c r="T124" s="35" t="s">
        <v>384</v>
      </c>
      <c r="U124" s="35" t="s">
        <v>385</v>
      </c>
      <c r="X124" s="35" t="s">
        <v>386</v>
      </c>
      <c r="Y124" s="35" t="s">
        <v>387</v>
      </c>
      <c r="Z124" s="35" t="s">
        <v>1966</v>
      </c>
      <c r="AA124" s="35" t="s">
        <v>543</v>
      </c>
      <c r="AB124" s="35" t="s">
        <v>3146</v>
      </c>
      <c r="AC124" s="35" t="s">
        <v>3147</v>
      </c>
      <c r="AW124" s="35" t="s">
        <v>1242</v>
      </c>
      <c r="AX124" s="35" t="s">
        <v>675</v>
      </c>
      <c r="AY124" s="41">
        <v>4.0</v>
      </c>
      <c r="AZ124" s="35" t="s">
        <v>391</v>
      </c>
      <c r="BA124" s="41">
        <v>4.0</v>
      </c>
      <c r="BB124" s="35" t="s">
        <v>675</v>
      </c>
      <c r="BC124" s="35" t="s">
        <v>675</v>
      </c>
      <c r="BD124" s="35" t="s">
        <v>3148</v>
      </c>
      <c r="BE124" s="35" t="s">
        <v>3149</v>
      </c>
      <c r="BF124" s="35" t="s">
        <v>432</v>
      </c>
      <c r="BG124" s="35" t="s">
        <v>1095</v>
      </c>
      <c r="BH124" s="35" t="s">
        <v>394</v>
      </c>
      <c r="BI124" s="35" t="s">
        <v>3150</v>
      </c>
      <c r="BJ124" s="35" t="s">
        <v>824</v>
      </c>
      <c r="BL124" s="35" t="s">
        <v>395</v>
      </c>
      <c r="BM124" s="35" t="s">
        <v>396</v>
      </c>
      <c r="BN124" s="35" t="s">
        <v>1314</v>
      </c>
      <c r="BO124" s="35" t="s">
        <v>398</v>
      </c>
      <c r="BP124" s="35" t="s">
        <v>3151</v>
      </c>
      <c r="BQ124" s="35" t="s">
        <v>3152</v>
      </c>
      <c r="BR124" s="35" t="s">
        <v>604</v>
      </c>
      <c r="BS124" s="35" t="s">
        <v>3153</v>
      </c>
      <c r="BT124" s="35" t="s">
        <v>403</v>
      </c>
      <c r="BU124" s="35" t="s">
        <v>1672</v>
      </c>
      <c r="BV124" s="35" t="s">
        <v>405</v>
      </c>
      <c r="BX124" s="35" t="s">
        <v>406</v>
      </c>
      <c r="BY124" s="35" t="s">
        <v>407</v>
      </c>
      <c r="BZ124" s="35" t="s">
        <v>408</v>
      </c>
      <c r="CB124" s="35" t="s">
        <v>3154</v>
      </c>
      <c r="CC124" s="35" t="s">
        <v>3155</v>
      </c>
      <c r="CD124" s="35" t="s">
        <v>3156</v>
      </c>
      <c r="CE124" s="35" t="s">
        <v>1257</v>
      </c>
      <c r="CG124" s="35" t="s">
        <v>1258</v>
      </c>
      <c r="CI124" s="35" t="s">
        <v>1698</v>
      </c>
      <c r="CJ124" s="35" t="s">
        <v>410</v>
      </c>
      <c r="CK124" s="35" t="s">
        <v>3157</v>
      </c>
      <c r="CL124" s="35" t="s">
        <v>3158</v>
      </c>
      <c r="EU124" s="35" t="s">
        <v>478</v>
      </c>
      <c r="EV124" s="35" t="s">
        <v>887</v>
      </c>
      <c r="EW124" s="35" t="s">
        <v>527</v>
      </c>
      <c r="EX124" s="35" t="s">
        <v>3159</v>
      </c>
      <c r="EY124" s="35" t="s">
        <v>3160</v>
      </c>
      <c r="EZ124" s="35" t="s">
        <v>3161</v>
      </c>
      <c r="FA124" s="35" t="s">
        <v>583</v>
      </c>
      <c r="FB124" s="35" t="s">
        <v>583</v>
      </c>
      <c r="FC124" s="35" t="s">
        <v>583</v>
      </c>
      <c r="FD124" s="35" t="s">
        <v>583</v>
      </c>
      <c r="FE124" s="35" t="s">
        <v>415</v>
      </c>
      <c r="FF124" s="35" t="s">
        <v>583</v>
      </c>
      <c r="FG124" s="35" t="s">
        <v>583</v>
      </c>
      <c r="FH124" s="35" t="s">
        <v>583</v>
      </c>
      <c r="FI124" s="35" t="s">
        <v>413</v>
      </c>
      <c r="FJ124" s="35" t="s">
        <v>583</v>
      </c>
      <c r="FK124" s="35" t="s">
        <v>583</v>
      </c>
      <c r="FL124" s="35" t="s">
        <v>583</v>
      </c>
      <c r="FM124" s="35" t="s">
        <v>583</v>
      </c>
      <c r="FN124" s="35" t="s">
        <v>484</v>
      </c>
      <c r="FO124" s="35" t="s">
        <v>484</v>
      </c>
      <c r="FP124" s="35" t="s">
        <v>417</v>
      </c>
      <c r="FQ124" s="35" t="s">
        <v>418</v>
      </c>
      <c r="FR124" s="35" t="s">
        <v>630</v>
      </c>
      <c r="FS124" s="35" t="s">
        <v>3162</v>
      </c>
      <c r="FT124" s="35" t="s">
        <v>420</v>
      </c>
      <c r="FU124" s="35" t="s">
        <v>488</v>
      </c>
      <c r="FV124" s="35" t="s">
        <v>533</v>
      </c>
      <c r="FW124" s="35" t="s">
        <v>490</v>
      </c>
      <c r="FX124" s="35" t="s">
        <v>491</v>
      </c>
      <c r="FY124" s="35" t="s">
        <v>3163</v>
      </c>
      <c r="FZ124" s="35" t="s">
        <v>535</v>
      </c>
      <c r="GA124" s="35" t="s">
        <v>3164</v>
      </c>
      <c r="GC124" s="35" t="s">
        <v>455</v>
      </c>
      <c r="GD124" s="35" t="s">
        <v>10667</v>
      </c>
      <c r="GF124" s="35" t="s">
        <v>1339</v>
      </c>
      <c r="GG124" s="35" t="s">
        <v>3165</v>
      </c>
      <c r="GK124" s="35" t="s">
        <v>857</v>
      </c>
      <c r="GL124" s="35" t="s">
        <v>857</v>
      </c>
      <c r="GM124" s="35" t="s">
        <v>790</v>
      </c>
    </row>
    <row r="125">
      <c r="A125" s="40"/>
      <c r="B125" s="40">
        <v>45829.679237766206</v>
      </c>
      <c r="C125" s="35" t="s">
        <v>368</v>
      </c>
      <c r="D125" s="35" t="s">
        <v>370</v>
      </c>
      <c r="F125" s="35" t="s">
        <v>3172</v>
      </c>
      <c r="H125" s="35" t="s">
        <v>422</v>
      </c>
      <c r="I125" s="35" t="s">
        <v>496</v>
      </c>
      <c r="J125" s="35" t="s">
        <v>374</v>
      </c>
      <c r="K125" s="35" t="s">
        <v>375</v>
      </c>
      <c r="L125" s="35" t="s">
        <v>376</v>
      </c>
      <c r="M125" s="35" t="s">
        <v>591</v>
      </c>
      <c r="N125" s="35" t="s">
        <v>639</v>
      </c>
      <c r="O125" s="35" t="s">
        <v>379</v>
      </c>
      <c r="P125" s="35" t="s">
        <v>2464</v>
      </c>
      <c r="Q125" s="35" t="s">
        <v>381</v>
      </c>
      <c r="R125" s="35" t="s">
        <v>862</v>
      </c>
      <c r="S125" s="35" t="s">
        <v>500</v>
      </c>
      <c r="T125" s="35" t="s">
        <v>384</v>
      </c>
      <c r="U125" s="35" t="s">
        <v>385</v>
      </c>
      <c r="X125" s="35" t="s">
        <v>3014</v>
      </c>
      <c r="AW125" s="35" t="s">
        <v>1310</v>
      </c>
      <c r="AX125" s="41">
        <v>4.0</v>
      </c>
      <c r="AY125" s="41">
        <v>4.0</v>
      </c>
      <c r="AZ125" s="35" t="s">
        <v>675</v>
      </c>
      <c r="BA125" s="41">
        <v>4.0</v>
      </c>
      <c r="BB125" s="41">
        <v>4.0</v>
      </c>
      <c r="BC125" s="35" t="s">
        <v>675</v>
      </c>
      <c r="BD125" s="35" t="s">
        <v>3173</v>
      </c>
      <c r="BE125" s="35" t="s">
        <v>10668</v>
      </c>
      <c r="BF125" s="35" t="s">
        <v>432</v>
      </c>
      <c r="BG125" s="35" t="s">
        <v>1095</v>
      </c>
      <c r="BH125" s="35" t="s">
        <v>434</v>
      </c>
      <c r="BI125" s="35" t="s">
        <v>3175</v>
      </c>
      <c r="BJ125" s="35" t="s">
        <v>727</v>
      </c>
      <c r="BL125" s="35" t="s">
        <v>395</v>
      </c>
      <c r="BM125" s="35" t="s">
        <v>603</v>
      </c>
      <c r="BN125" s="35" t="s">
        <v>1247</v>
      </c>
      <c r="BO125" s="35" t="s">
        <v>398</v>
      </c>
      <c r="BP125" s="35" t="s">
        <v>10669</v>
      </c>
      <c r="BQ125" s="35" t="s">
        <v>10670</v>
      </c>
      <c r="BR125" s="35" t="s">
        <v>682</v>
      </c>
      <c r="BS125" s="35" t="s">
        <v>3020</v>
      </c>
      <c r="BT125" s="35" t="s">
        <v>403</v>
      </c>
      <c r="BU125" s="35" t="s">
        <v>404</v>
      </c>
      <c r="BV125" s="35" t="s">
        <v>1772</v>
      </c>
      <c r="BW125" s="35" t="s">
        <v>3178</v>
      </c>
      <c r="BX125" s="35" t="s">
        <v>406</v>
      </c>
      <c r="BY125" s="35" t="s">
        <v>407</v>
      </c>
      <c r="BZ125" s="35" t="s">
        <v>408</v>
      </c>
      <c r="CC125" s="35" t="s">
        <v>3179</v>
      </c>
      <c r="CD125" s="35" t="s">
        <v>3180</v>
      </c>
      <c r="CE125" s="35" t="s">
        <v>451</v>
      </c>
      <c r="CF125" s="35" t="s">
        <v>3181</v>
      </c>
      <c r="CG125" s="35" t="s">
        <v>1749</v>
      </c>
      <c r="CH125" s="35" t="s">
        <v>3182</v>
      </c>
      <c r="CI125" s="35" t="s">
        <v>1751</v>
      </c>
      <c r="CJ125" s="35" t="s">
        <v>410</v>
      </c>
      <c r="CK125" s="35" t="s">
        <v>3183</v>
      </c>
      <c r="CL125" s="35" t="s">
        <v>10671</v>
      </c>
      <c r="EU125" s="35" t="s">
        <v>578</v>
      </c>
      <c r="EV125" s="35" t="s">
        <v>887</v>
      </c>
      <c r="EW125" s="35" t="s">
        <v>480</v>
      </c>
      <c r="EZ125" s="35" t="s">
        <v>3185</v>
      </c>
      <c r="FA125" s="35" t="s">
        <v>416</v>
      </c>
      <c r="FB125" s="35" t="s">
        <v>416</v>
      </c>
      <c r="FC125" s="35" t="s">
        <v>413</v>
      </c>
      <c r="FD125" s="35" t="s">
        <v>413</v>
      </c>
      <c r="FE125" s="35" t="s">
        <v>413</v>
      </c>
      <c r="FF125" s="35" t="s">
        <v>415</v>
      </c>
      <c r="FG125" s="35" t="s">
        <v>415</v>
      </c>
      <c r="FH125" s="35" t="s">
        <v>413</v>
      </c>
      <c r="FI125" s="35" t="s">
        <v>583</v>
      </c>
      <c r="FJ125" s="35" t="s">
        <v>583</v>
      </c>
      <c r="FK125" s="35" t="s">
        <v>416</v>
      </c>
      <c r="FL125" s="35" t="s">
        <v>415</v>
      </c>
      <c r="FM125" s="35" t="s">
        <v>415</v>
      </c>
      <c r="FN125" s="35" t="s">
        <v>416</v>
      </c>
      <c r="FO125" s="35" t="s">
        <v>414</v>
      </c>
      <c r="FP125" s="35" t="s">
        <v>1074</v>
      </c>
      <c r="FQ125" s="35" t="s">
        <v>418</v>
      </c>
      <c r="FR125" s="35" t="s">
        <v>749</v>
      </c>
      <c r="FS125" s="35" t="s">
        <v>3186</v>
      </c>
      <c r="FT125" s="35" t="s">
        <v>420</v>
      </c>
      <c r="FU125" s="35" t="s">
        <v>1462</v>
      </c>
      <c r="FV125" s="35" t="s">
        <v>533</v>
      </c>
      <c r="FW125" s="35" t="s">
        <v>490</v>
      </c>
      <c r="FX125" s="35" t="s">
        <v>491</v>
      </c>
      <c r="FZ125" s="35" t="s">
        <v>493</v>
      </c>
      <c r="GC125" s="35" t="s">
        <v>455</v>
      </c>
      <c r="GD125" s="35" t="s">
        <v>10672</v>
      </c>
      <c r="GF125" s="35" t="s">
        <v>753</v>
      </c>
      <c r="GK125" s="35" t="s">
        <v>755</v>
      </c>
      <c r="GL125" s="35" t="s">
        <v>755</v>
      </c>
      <c r="GM125" s="35" t="s">
        <v>817</v>
      </c>
    </row>
    <row r="126">
      <c r="A126" s="40"/>
      <c r="B126" s="40">
        <v>45830.275929791664</v>
      </c>
      <c r="C126" s="35" t="s">
        <v>368</v>
      </c>
      <c r="D126" s="35" t="s">
        <v>370</v>
      </c>
      <c r="F126" s="35" t="s">
        <v>1464</v>
      </c>
      <c r="H126" s="35" t="s">
        <v>422</v>
      </c>
      <c r="I126" s="35" t="s">
        <v>423</v>
      </c>
      <c r="J126" s="35" t="s">
        <v>424</v>
      </c>
      <c r="K126" s="35" t="s">
        <v>375</v>
      </c>
      <c r="L126" s="35" t="s">
        <v>376</v>
      </c>
      <c r="M126" s="35" t="s">
        <v>379</v>
      </c>
      <c r="N126" s="35" t="s">
        <v>378</v>
      </c>
      <c r="O126" s="35" t="s">
        <v>379</v>
      </c>
      <c r="P126" s="35" t="s">
        <v>719</v>
      </c>
      <c r="Q126" s="35" t="s">
        <v>498</v>
      </c>
      <c r="R126" s="35" t="s">
        <v>1156</v>
      </c>
      <c r="S126" s="35" t="s">
        <v>427</v>
      </c>
      <c r="T126" s="35" t="s">
        <v>384</v>
      </c>
      <c r="U126" s="35" t="s">
        <v>385</v>
      </c>
      <c r="X126" s="35" t="s">
        <v>3231</v>
      </c>
      <c r="AW126" s="35" t="s">
        <v>1242</v>
      </c>
      <c r="AX126" s="35" t="s">
        <v>391</v>
      </c>
      <c r="AY126" s="35" t="s">
        <v>391</v>
      </c>
      <c r="AZ126" s="35" t="s">
        <v>429</v>
      </c>
      <c r="BA126" s="35" t="s">
        <v>675</v>
      </c>
      <c r="BB126" s="35" t="s">
        <v>675</v>
      </c>
      <c r="BC126" s="35" t="s">
        <v>675</v>
      </c>
      <c r="BD126" s="35" t="s">
        <v>3232</v>
      </c>
      <c r="BE126" s="35" t="s">
        <v>3233</v>
      </c>
      <c r="BF126" s="35" t="s">
        <v>392</v>
      </c>
      <c r="BG126" s="35" t="s">
        <v>433</v>
      </c>
      <c r="BH126" s="35" t="s">
        <v>725</v>
      </c>
      <c r="BI126" s="35" t="s">
        <v>3234</v>
      </c>
      <c r="BJ126" s="35" t="s">
        <v>435</v>
      </c>
      <c r="BK126" s="35" t="s">
        <v>3235</v>
      </c>
      <c r="BL126" s="35" t="s">
        <v>602</v>
      </c>
      <c r="BM126" s="35" t="s">
        <v>512</v>
      </c>
      <c r="BN126" s="35" t="s">
        <v>1247</v>
      </c>
      <c r="BO126" s="35" t="s">
        <v>398</v>
      </c>
      <c r="BP126" s="35" t="s">
        <v>3236</v>
      </c>
      <c r="BQ126" s="35" t="s">
        <v>3237</v>
      </c>
      <c r="BR126" s="35" t="s">
        <v>442</v>
      </c>
      <c r="BS126" s="35" t="s">
        <v>3238</v>
      </c>
      <c r="BT126" s="35" t="s">
        <v>1251</v>
      </c>
      <c r="BU126" s="35" t="s">
        <v>1994</v>
      </c>
      <c r="BV126" s="35" t="s">
        <v>405</v>
      </c>
      <c r="BX126" s="35" t="s">
        <v>406</v>
      </c>
      <c r="BY126" s="35" t="s">
        <v>407</v>
      </c>
      <c r="BZ126" s="35" t="s">
        <v>455</v>
      </c>
      <c r="CA126" s="35" t="s">
        <v>3239</v>
      </c>
      <c r="CB126" s="35" t="s">
        <v>3240</v>
      </c>
      <c r="CC126" s="35" t="s">
        <v>3241</v>
      </c>
      <c r="CD126" s="35" t="s">
        <v>3242</v>
      </c>
      <c r="CE126" s="35" t="s">
        <v>409</v>
      </c>
      <c r="CF126" s="35" t="s">
        <v>3243</v>
      </c>
      <c r="CG126" s="35" t="s">
        <v>2233</v>
      </c>
      <c r="CH126" s="35" t="s">
        <v>3244</v>
      </c>
      <c r="CI126" s="35" t="s">
        <v>1259</v>
      </c>
      <c r="CJ126" s="35" t="s">
        <v>410</v>
      </c>
      <c r="CK126" s="35" t="s">
        <v>3245</v>
      </c>
      <c r="CL126" s="35" t="s">
        <v>3246</v>
      </c>
      <c r="EU126" s="35" t="s">
        <v>526</v>
      </c>
      <c r="EV126" s="35" t="s">
        <v>479</v>
      </c>
      <c r="EW126" s="35" t="s">
        <v>480</v>
      </c>
      <c r="EX126" s="35" t="s">
        <v>3247</v>
      </c>
      <c r="EY126" s="35" t="s">
        <v>10673</v>
      </c>
      <c r="EZ126" s="35" t="s">
        <v>3249</v>
      </c>
      <c r="FA126" s="35" t="s">
        <v>583</v>
      </c>
      <c r="FB126" s="35" t="s">
        <v>583</v>
      </c>
      <c r="FC126" s="35" t="s">
        <v>414</v>
      </c>
      <c r="FD126" s="35" t="s">
        <v>583</v>
      </c>
      <c r="FE126" s="35" t="s">
        <v>416</v>
      </c>
      <c r="FF126" s="35" t="s">
        <v>583</v>
      </c>
      <c r="FG126" s="35" t="s">
        <v>414</v>
      </c>
      <c r="FH126" s="35" t="s">
        <v>583</v>
      </c>
      <c r="FI126" s="35" t="s">
        <v>415</v>
      </c>
      <c r="FJ126" s="35" t="s">
        <v>583</v>
      </c>
      <c r="FK126" s="35" t="s">
        <v>583</v>
      </c>
      <c r="FL126" s="35" t="s">
        <v>414</v>
      </c>
      <c r="FM126" s="35" t="s">
        <v>414</v>
      </c>
      <c r="FN126" s="35" t="s">
        <v>413</v>
      </c>
      <c r="FO126" s="35" t="s">
        <v>583</v>
      </c>
      <c r="FP126" s="35" t="s">
        <v>417</v>
      </c>
      <c r="FQ126" s="35" t="s">
        <v>418</v>
      </c>
      <c r="FR126" s="35" t="s">
        <v>419</v>
      </c>
      <c r="FS126" s="35" t="s">
        <v>3250</v>
      </c>
      <c r="FT126" s="35" t="s">
        <v>420</v>
      </c>
      <c r="FU126" s="35" t="s">
        <v>488</v>
      </c>
      <c r="FV126" s="35" t="s">
        <v>533</v>
      </c>
      <c r="FW126" s="35" t="s">
        <v>490</v>
      </c>
      <c r="FX126" s="35" t="s">
        <v>491</v>
      </c>
      <c r="FY126" s="35" t="s">
        <v>3251</v>
      </c>
      <c r="FZ126" s="35" t="s">
        <v>535</v>
      </c>
      <c r="GA126" s="35" t="s">
        <v>3252</v>
      </c>
      <c r="GB126" s="35" t="s">
        <v>3253</v>
      </c>
      <c r="GC126" s="35" t="s">
        <v>455</v>
      </c>
      <c r="GD126" s="35" t="s">
        <v>10674</v>
      </c>
      <c r="GF126" s="35" t="s">
        <v>753</v>
      </c>
      <c r="GG126" s="35" t="s">
        <v>3254</v>
      </c>
      <c r="GK126" s="35" t="s">
        <v>755</v>
      </c>
      <c r="GL126" s="35" t="s">
        <v>1000</v>
      </c>
      <c r="GM126" s="35" t="s">
        <v>946</v>
      </c>
      <c r="GQ126" s="35" t="s">
        <v>387</v>
      </c>
      <c r="GR126" s="35" t="s">
        <v>3255</v>
      </c>
    </row>
    <row r="127">
      <c r="A127" s="40"/>
      <c r="B127" s="40">
        <v>45830.342906412036</v>
      </c>
      <c r="C127" s="35" t="s">
        <v>368</v>
      </c>
      <c r="D127" s="35" t="s">
        <v>370</v>
      </c>
      <c r="F127" s="35" t="s">
        <v>495</v>
      </c>
      <c r="H127" s="35" t="s">
        <v>422</v>
      </c>
      <c r="I127" s="35" t="s">
        <v>496</v>
      </c>
      <c r="J127" s="35" t="s">
        <v>374</v>
      </c>
      <c r="K127" s="35" t="s">
        <v>540</v>
      </c>
      <c r="L127" s="35" t="s">
        <v>376</v>
      </c>
      <c r="M127" s="35" t="s">
        <v>379</v>
      </c>
      <c r="N127" s="35" t="s">
        <v>719</v>
      </c>
      <c r="O127" s="35" t="s">
        <v>426</v>
      </c>
      <c r="P127" s="35" t="s">
        <v>671</v>
      </c>
      <c r="Q127" s="35" t="s">
        <v>592</v>
      </c>
      <c r="R127" s="35" t="s">
        <v>499</v>
      </c>
      <c r="S127" s="35" t="s">
        <v>427</v>
      </c>
      <c r="T127" s="35" t="s">
        <v>384</v>
      </c>
      <c r="U127" s="35" t="s">
        <v>385</v>
      </c>
      <c r="X127" s="35" t="s">
        <v>386</v>
      </c>
      <c r="Y127" s="35" t="s">
        <v>387</v>
      </c>
      <c r="Z127" s="35" t="s">
        <v>388</v>
      </c>
      <c r="AA127" s="35" t="s">
        <v>543</v>
      </c>
      <c r="AB127" s="35" t="s">
        <v>3256</v>
      </c>
      <c r="AW127" s="35" t="s">
        <v>1242</v>
      </c>
      <c r="AX127" s="35" t="s">
        <v>675</v>
      </c>
      <c r="AY127" s="35" t="s">
        <v>675</v>
      </c>
      <c r="AZ127" s="35" t="s">
        <v>675</v>
      </c>
      <c r="BA127" s="35" t="s">
        <v>675</v>
      </c>
      <c r="BB127" s="35" t="s">
        <v>675</v>
      </c>
      <c r="BC127" s="35" t="s">
        <v>675</v>
      </c>
      <c r="BD127" s="35" t="s">
        <v>3257</v>
      </c>
      <c r="BE127" s="35" t="s">
        <v>3258</v>
      </c>
      <c r="BF127" s="35" t="s">
        <v>902</v>
      </c>
      <c r="BG127" s="35" t="s">
        <v>1245</v>
      </c>
      <c r="BH127" s="35" t="s">
        <v>394</v>
      </c>
      <c r="BI127" s="35" t="s">
        <v>3259</v>
      </c>
      <c r="BJ127" s="35" t="s">
        <v>976</v>
      </c>
      <c r="BL127" s="35" t="s">
        <v>681</v>
      </c>
      <c r="BM127" s="35" t="s">
        <v>904</v>
      </c>
      <c r="BN127" s="35" t="s">
        <v>1314</v>
      </c>
      <c r="BO127" s="35" t="s">
        <v>398</v>
      </c>
      <c r="BP127" s="35" t="s">
        <v>3260</v>
      </c>
      <c r="BQ127" s="35" t="s">
        <v>3261</v>
      </c>
      <c r="BR127" s="35" t="s">
        <v>401</v>
      </c>
      <c r="BS127" s="35" t="s">
        <v>1761</v>
      </c>
      <c r="BT127" s="35" t="s">
        <v>1692</v>
      </c>
      <c r="BU127" s="35" t="s">
        <v>1742</v>
      </c>
      <c r="BV127" s="35" t="s">
        <v>405</v>
      </c>
      <c r="BW127" s="35" t="s">
        <v>3262</v>
      </c>
      <c r="BX127" s="35" t="s">
        <v>988</v>
      </c>
      <c r="BZ127" s="35" t="s">
        <v>408</v>
      </c>
      <c r="CB127" s="35" t="s">
        <v>3263</v>
      </c>
      <c r="CC127" s="35" t="s">
        <v>3264</v>
      </c>
      <c r="CD127" s="35" t="s">
        <v>3265</v>
      </c>
      <c r="CE127" s="35" t="s">
        <v>409</v>
      </c>
      <c r="CF127" s="35" t="s">
        <v>3266</v>
      </c>
      <c r="CG127" s="35" t="s">
        <v>1258</v>
      </c>
      <c r="CI127" s="35" t="s">
        <v>1698</v>
      </c>
      <c r="CJ127" s="35" t="s">
        <v>410</v>
      </c>
      <c r="CK127" s="35" t="s">
        <v>3267</v>
      </c>
      <c r="CL127" s="35" t="s">
        <v>3268</v>
      </c>
      <c r="EU127" s="35" t="s">
        <v>578</v>
      </c>
      <c r="EV127" s="35" t="s">
        <v>887</v>
      </c>
      <c r="EW127" s="35" t="s">
        <v>480</v>
      </c>
      <c r="EY127" s="35" t="s">
        <v>3269</v>
      </c>
      <c r="EZ127" s="35" t="s">
        <v>3270</v>
      </c>
      <c r="FA127" s="35" t="s">
        <v>414</v>
      </c>
      <c r="FB127" s="35" t="s">
        <v>583</v>
      </c>
      <c r="FC127" s="35" t="s">
        <v>413</v>
      </c>
      <c r="FD127" s="35" t="s">
        <v>583</v>
      </c>
      <c r="FE127" s="35" t="s">
        <v>413</v>
      </c>
      <c r="FF127" s="35" t="s">
        <v>414</v>
      </c>
      <c r="FG127" s="35" t="s">
        <v>414</v>
      </c>
      <c r="FH127" s="35" t="s">
        <v>416</v>
      </c>
      <c r="FI127" s="35" t="s">
        <v>414</v>
      </c>
      <c r="FJ127" s="35" t="s">
        <v>414</v>
      </c>
      <c r="FK127" s="35" t="s">
        <v>414</v>
      </c>
      <c r="FL127" s="35" t="s">
        <v>414</v>
      </c>
      <c r="FM127" s="35" t="s">
        <v>414</v>
      </c>
      <c r="FN127" s="35" t="s">
        <v>416</v>
      </c>
      <c r="FO127" s="35" t="s">
        <v>583</v>
      </c>
      <c r="FP127" s="35" t="s">
        <v>850</v>
      </c>
      <c r="FQ127" s="35" t="s">
        <v>418</v>
      </c>
      <c r="FR127" s="35" t="s">
        <v>419</v>
      </c>
      <c r="FS127" s="35" t="s">
        <v>3271</v>
      </c>
      <c r="FT127" s="35" t="s">
        <v>420</v>
      </c>
      <c r="FU127" s="35" t="s">
        <v>488</v>
      </c>
      <c r="FV127" s="35" t="s">
        <v>489</v>
      </c>
      <c r="FW127" s="35" t="s">
        <v>490</v>
      </c>
      <c r="FX127" s="35" t="s">
        <v>491</v>
      </c>
      <c r="FY127" s="35" t="s">
        <v>3272</v>
      </c>
      <c r="FZ127" s="35" t="s">
        <v>535</v>
      </c>
      <c r="GC127" s="35" t="s">
        <v>408</v>
      </c>
      <c r="GK127" s="35" t="s">
        <v>755</v>
      </c>
      <c r="GL127" s="35" t="s">
        <v>755</v>
      </c>
      <c r="GM127" s="35" t="s">
        <v>817</v>
      </c>
      <c r="GR127" s="35" t="s">
        <v>3273</v>
      </c>
    </row>
    <row r="128">
      <c r="A128" s="40"/>
      <c r="B128" s="40">
        <v>45830.414605439815</v>
      </c>
      <c r="C128" s="35" t="s">
        <v>368</v>
      </c>
      <c r="D128" s="35" t="s">
        <v>370</v>
      </c>
      <c r="F128" s="35" t="s">
        <v>1441</v>
      </c>
      <c r="H128" s="35" t="s">
        <v>422</v>
      </c>
      <c r="I128" s="35" t="s">
        <v>373</v>
      </c>
      <c r="J128" s="35" t="s">
        <v>638</v>
      </c>
      <c r="K128" s="35" t="s">
        <v>718</v>
      </c>
      <c r="L128" s="35" t="s">
        <v>376</v>
      </c>
      <c r="M128" s="35" t="s">
        <v>426</v>
      </c>
      <c r="N128" s="35" t="s">
        <v>378</v>
      </c>
      <c r="O128" s="35" t="s">
        <v>793</v>
      </c>
      <c r="P128" s="35" t="s">
        <v>1270</v>
      </c>
      <c r="Q128" s="35" t="s">
        <v>592</v>
      </c>
      <c r="R128" s="35" t="s">
        <v>499</v>
      </c>
      <c r="S128" s="35" t="s">
        <v>427</v>
      </c>
      <c r="T128" s="35" t="s">
        <v>384</v>
      </c>
      <c r="U128" s="35" t="s">
        <v>385</v>
      </c>
      <c r="X128" s="35" t="s">
        <v>386</v>
      </c>
      <c r="Y128" s="35" t="s">
        <v>387</v>
      </c>
      <c r="Z128" s="35" t="s">
        <v>1824</v>
      </c>
      <c r="AA128" s="35" t="s">
        <v>543</v>
      </c>
      <c r="AB128" s="35" t="s">
        <v>3307</v>
      </c>
      <c r="AW128" s="35" t="s">
        <v>1242</v>
      </c>
      <c r="AX128" s="35" t="s">
        <v>675</v>
      </c>
      <c r="AY128" s="35" t="s">
        <v>675</v>
      </c>
      <c r="AZ128" s="35" t="s">
        <v>675</v>
      </c>
      <c r="BA128" s="35" t="s">
        <v>675</v>
      </c>
      <c r="BB128" s="35" t="s">
        <v>675</v>
      </c>
      <c r="BC128" s="35" t="s">
        <v>675</v>
      </c>
      <c r="BH128" s="35" t="s">
        <v>434</v>
      </c>
      <c r="BJ128" s="35" t="s">
        <v>976</v>
      </c>
      <c r="BL128" s="35" t="s">
        <v>681</v>
      </c>
      <c r="BM128" s="35" t="s">
        <v>603</v>
      </c>
      <c r="BN128" s="35" t="s">
        <v>1247</v>
      </c>
      <c r="BO128" s="35" t="s">
        <v>398</v>
      </c>
      <c r="BP128" s="35" t="s">
        <v>3308</v>
      </c>
      <c r="BQ128" s="35" t="s">
        <v>3309</v>
      </c>
      <c r="BR128" s="35" t="s">
        <v>442</v>
      </c>
      <c r="BS128" s="35" t="s">
        <v>3310</v>
      </c>
      <c r="BT128" s="35" t="s">
        <v>403</v>
      </c>
      <c r="BU128" s="35" t="s">
        <v>404</v>
      </c>
      <c r="BV128" s="35" t="s">
        <v>1772</v>
      </c>
      <c r="BW128" s="35" t="s">
        <v>10675</v>
      </c>
      <c r="BX128" s="35" t="s">
        <v>406</v>
      </c>
      <c r="BY128" s="35" t="s">
        <v>407</v>
      </c>
      <c r="BZ128" s="35" t="s">
        <v>408</v>
      </c>
      <c r="CC128" s="35" t="s">
        <v>10676</v>
      </c>
      <c r="CD128" s="35" t="s">
        <v>3313</v>
      </c>
      <c r="CE128" s="35" t="s">
        <v>1931</v>
      </c>
      <c r="CG128" s="35" t="s">
        <v>1258</v>
      </c>
      <c r="CI128" s="35" t="s">
        <v>1751</v>
      </c>
      <c r="CJ128" s="35" t="s">
        <v>410</v>
      </c>
      <c r="CK128" s="35" t="s">
        <v>10677</v>
      </c>
      <c r="CL128" s="35" t="s">
        <v>10678</v>
      </c>
      <c r="EU128" s="35" t="s">
        <v>578</v>
      </c>
      <c r="EV128" s="35" t="s">
        <v>479</v>
      </c>
      <c r="EW128" s="35" t="s">
        <v>480</v>
      </c>
      <c r="EY128" s="35" t="s">
        <v>10679</v>
      </c>
      <c r="EZ128" s="35" t="s">
        <v>2963</v>
      </c>
      <c r="FA128" s="35" t="s">
        <v>414</v>
      </c>
      <c r="FB128" s="35" t="s">
        <v>583</v>
      </c>
      <c r="FC128" s="35" t="s">
        <v>413</v>
      </c>
      <c r="FD128" s="35" t="s">
        <v>583</v>
      </c>
      <c r="FE128" s="35" t="s">
        <v>415</v>
      </c>
      <c r="FF128" s="35" t="s">
        <v>583</v>
      </c>
      <c r="FG128" s="35" t="s">
        <v>415</v>
      </c>
      <c r="FH128" s="35" t="s">
        <v>413</v>
      </c>
      <c r="FI128" s="35" t="s">
        <v>415</v>
      </c>
      <c r="FJ128" s="35" t="s">
        <v>583</v>
      </c>
      <c r="FK128" s="35" t="s">
        <v>415</v>
      </c>
      <c r="FL128" s="35" t="s">
        <v>415</v>
      </c>
      <c r="FM128" s="35" t="s">
        <v>415</v>
      </c>
      <c r="FN128" s="35" t="s">
        <v>413</v>
      </c>
      <c r="FO128" s="35" t="s">
        <v>583</v>
      </c>
      <c r="FP128" s="35" t="s">
        <v>850</v>
      </c>
      <c r="FQ128" s="35" t="s">
        <v>486</v>
      </c>
      <c r="FR128" s="35" t="s">
        <v>749</v>
      </c>
      <c r="FS128" s="35" t="s">
        <v>10680</v>
      </c>
      <c r="FT128" s="35" t="s">
        <v>420</v>
      </c>
      <c r="FU128" s="35" t="s">
        <v>1476</v>
      </c>
      <c r="FV128" s="35" t="s">
        <v>533</v>
      </c>
      <c r="FW128" s="35" t="s">
        <v>490</v>
      </c>
      <c r="FX128" s="35" t="s">
        <v>491</v>
      </c>
      <c r="FY128" s="35" t="s">
        <v>10681</v>
      </c>
      <c r="FZ128" s="35" t="s">
        <v>493</v>
      </c>
      <c r="GC128" s="35" t="s">
        <v>455</v>
      </c>
      <c r="GD128" s="35" t="s">
        <v>10682</v>
      </c>
      <c r="GF128" s="35" t="s">
        <v>753</v>
      </c>
      <c r="GK128" s="35" t="s">
        <v>1000</v>
      </c>
      <c r="GL128" s="35" t="s">
        <v>1000</v>
      </c>
      <c r="GM128" s="35" t="s">
        <v>817</v>
      </c>
      <c r="GR128" s="35" t="s">
        <v>3273</v>
      </c>
    </row>
    <row r="129">
      <c r="A129" s="40"/>
      <c r="B129" s="40">
        <v>45830.43470159722</v>
      </c>
      <c r="C129" s="35" t="s">
        <v>368</v>
      </c>
      <c r="D129" s="35" t="s">
        <v>894</v>
      </c>
      <c r="E129" s="35" t="s">
        <v>894</v>
      </c>
      <c r="H129" s="35" t="s">
        <v>1783</v>
      </c>
      <c r="I129" s="35" t="s">
        <v>496</v>
      </c>
      <c r="J129" s="35" t="s">
        <v>374</v>
      </c>
      <c r="K129" s="35" t="s">
        <v>375</v>
      </c>
      <c r="L129" s="35" t="s">
        <v>376</v>
      </c>
      <c r="M129" s="35" t="s">
        <v>591</v>
      </c>
      <c r="N129" s="35" t="s">
        <v>719</v>
      </c>
      <c r="O129" s="35" t="s">
        <v>591</v>
      </c>
      <c r="P129" s="35" t="s">
        <v>719</v>
      </c>
      <c r="Q129" s="35" t="s">
        <v>592</v>
      </c>
      <c r="R129" s="35" t="s">
        <v>862</v>
      </c>
      <c r="S129" s="35" t="s">
        <v>427</v>
      </c>
      <c r="T129" s="35" t="s">
        <v>384</v>
      </c>
      <c r="U129" s="35" t="s">
        <v>385</v>
      </c>
      <c r="V129" s="35" t="s">
        <v>896</v>
      </c>
      <c r="W129" s="35" t="s">
        <v>896</v>
      </c>
      <c r="X129" s="35" t="s">
        <v>3014</v>
      </c>
      <c r="AW129" s="35" t="s">
        <v>1310</v>
      </c>
      <c r="AX129" s="41">
        <v>2.0</v>
      </c>
      <c r="AY129" s="41">
        <v>2.0</v>
      </c>
      <c r="AZ129" s="41">
        <v>2.0</v>
      </c>
      <c r="BA129" s="41">
        <v>2.0</v>
      </c>
      <c r="BB129" s="41">
        <v>2.0</v>
      </c>
      <c r="BC129" s="41">
        <v>2.0</v>
      </c>
      <c r="BD129" s="35" t="s">
        <v>1766</v>
      </c>
      <c r="BE129" s="35" t="s">
        <v>3319</v>
      </c>
      <c r="BF129" s="35" t="s">
        <v>432</v>
      </c>
      <c r="BG129" s="35" t="s">
        <v>1095</v>
      </c>
      <c r="BH129" s="35" t="s">
        <v>725</v>
      </c>
      <c r="BI129" s="35" t="s">
        <v>1211</v>
      </c>
      <c r="BJ129" s="35" t="s">
        <v>435</v>
      </c>
      <c r="BK129" s="35" t="s">
        <v>3320</v>
      </c>
      <c r="BL129" s="35" t="s">
        <v>602</v>
      </c>
      <c r="BM129" s="35" t="s">
        <v>438</v>
      </c>
      <c r="BN129" s="35" t="s">
        <v>1247</v>
      </c>
      <c r="BO129" s="35" t="s">
        <v>398</v>
      </c>
      <c r="BP129" s="35" t="s">
        <v>3321</v>
      </c>
      <c r="BQ129" s="35" t="s">
        <v>10683</v>
      </c>
      <c r="BR129" s="35" t="s">
        <v>442</v>
      </c>
      <c r="BS129" s="35" t="s">
        <v>3323</v>
      </c>
      <c r="BT129" s="35" t="s">
        <v>1741</v>
      </c>
      <c r="BU129" s="35" t="s">
        <v>404</v>
      </c>
      <c r="BV129" s="35" t="s">
        <v>405</v>
      </c>
      <c r="BW129" s="35" t="s">
        <v>1252</v>
      </c>
      <c r="BX129" s="35" t="s">
        <v>988</v>
      </c>
      <c r="BZ129" s="35" t="s">
        <v>455</v>
      </c>
      <c r="CA129" s="35" t="s">
        <v>10684</v>
      </c>
      <c r="CB129" s="35" t="s">
        <v>3325</v>
      </c>
      <c r="CC129" s="35" t="s">
        <v>10685</v>
      </c>
      <c r="CD129" s="35" t="s">
        <v>10686</v>
      </c>
      <c r="CE129" s="35" t="s">
        <v>1257</v>
      </c>
      <c r="CF129" s="35" t="s">
        <v>10687</v>
      </c>
      <c r="CK129" s="35" t="s">
        <v>10688</v>
      </c>
      <c r="CL129" s="35" t="s">
        <v>10689</v>
      </c>
      <c r="EU129" s="35" t="s">
        <v>578</v>
      </c>
      <c r="EV129" s="35" t="s">
        <v>1127</v>
      </c>
      <c r="EW129" s="35" t="s">
        <v>1262</v>
      </c>
      <c r="EX129" s="35" t="s">
        <v>3331</v>
      </c>
      <c r="EY129" s="35" t="s">
        <v>3332</v>
      </c>
      <c r="EZ129" s="35" t="s">
        <v>3333</v>
      </c>
      <c r="FA129" s="35" t="s">
        <v>415</v>
      </c>
      <c r="FB129" s="35" t="s">
        <v>415</v>
      </c>
      <c r="FC129" s="35" t="s">
        <v>413</v>
      </c>
      <c r="FD129" s="35" t="s">
        <v>415</v>
      </c>
      <c r="FE129" s="35" t="s">
        <v>413</v>
      </c>
      <c r="FF129" s="35" t="s">
        <v>415</v>
      </c>
      <c r="FG129" s="35" t="s">
        <v>416</v>
      </c>
      <c r="FH129" s="35" t="s">
        <v>413</v>
      </c>
      <c r="FI129" s="35" t="s">
        <v>583</v>
      </c>
      <c r="FJ129" s="35" t="s">
        <v>416</v>
      </c>
      <c r="FK129" s="35" t="s">
        <v>415</v>
      </c>
      <c r="FL129" s="35" t="s">
        <v>416</v>
      </c>
      <c r="FM129" s="35" t="s">
        <v>416</v>
      </c>
      <c r="FN129" s="35" t="s">
        <v>416</v>
      </c>
      <c r="FO129" s="35" t="s">
        <v>414</v>
      </c>
      <c r="FP129" s="35" t="s">
        <v>850</v>
      </c>
      <c r="FQ129" s="35" t="s">
        <v>418</v>
      </c>
      <c r="FR129" s="35" t="s">
        <v>749</v>
      </c>
      <c r="FS129" s="35" t="s">
        <v>3334</v>
      </c>
      <c r="FT129" s="35" t="s">
        <v>420</v>
      </c>
      <c r="FU129" s="35" t="s">
        <v>1462</v>
      </c>
      <c r="FV129" s="35" t="s">
        <v>585</v>
      </c>
      <c r="FW129" s="35" t="s">
        <v>490</v>
      </c>
      <c r="FX129" s="35" t="s">
        <v>491</v>
      </c>
      <c r="FY129" s="35" t="s">
        <v>10690</v>
      </c>
      <c r="FZ129" s="35" t="s">
        <v>535</v>
      </c>
      <c r="GA129" s="35" t="s">
        <v>3336</v>
      </c>
      <c r="GB129" s="35" t="s">
        <v>2927</v>
      </c>
      <c r="GC129" s="35" t="s">
        <v>455</v>
      </c>
      <c r="GD129" s="35" t="s">
        <v>10691</v>
      </c>
      <c r="GF129" s="35" t="s">
        <v>786</v>
      </c>
      <c r="GG129" s="35" t="s">
        <v>10692</v>
      </c>
      <c r="GK129" s="35" t="s">
        <v>920</v>
      </c>
      <c r="GL129" s="35" t="s">
        <v>789</v>
      </c>
      <c r="GM129" s="35" t="s">
        <v>756</v>
      </c>
      <c r="GR129" s="35" t="s">
        <v>3273</v>
      </c>
    </row>
    <row r="130">
      <c r="A130" s="40"/>
      <c r="B130" s="40">
        <v>45830.47800052083</v>
      </c>
      <c r="C130" s="35" t="s">
        <v>368</v>
      </c>
      <c r="D130" s="35" t="s">
        <v>370</v>
      </c>
      <c r="F130" s="35" t="s">
        <v>667</v>
      </c>
      <c r="H130" s="35" t="s">
        <v>422</v>
      </c>
      <c r="I130" s="35" t="s">
        <v>496</v>
      </c>
      <c r="J130" s="35" t="s">
        <v>374</v>
      </c>
      <c r="K130" s="35" t="s">
        <v>718</v>
      </c>
      <c r="L130" s="35" t="s">
        <v>376</v>
      </c>
      <c r="M130" s="35" t="s">
        <v>793</v>
      </c>
      <c r="N130" s="35" t="s">
        <v>378</v>
      </c>
      <c r="O130" s="35" t="s">
        <v>793</v>
      </c>
      <c r="P130" s="35" t="s">
        <v>3352</v>
      </c>
      <c r="Q130" s="35" t="s">
        <v>1504</v>
      </c>
      <c r="R130" s="35" t="s">
        <v>1156</v>
      </c>
      <c r="S130" s="35" t="s">
        <v>427</v>
      </c>
      <c r="T130" s="35" t="s">
        <v>384</v>
      </c>
      <c r="U130" s="35" t="s">
        <v>385</v>
      </c>
      <c r="X130" s="35" t="s">
        <v>386</v>
      </c>
      <c r="Y130" s="35" t="s">
        <v>387</v>
      </c>
      <c r="Z130" s="35" t="s">
        <v>3353</v>
      </c>
      <c r="AA130" s="35" t="s">
        <v>389</v>
      </c>
      <c r="AW130" s="35" t="s">
        <v>1310</v>
      </c>
      <c r="AX130" s="41">
        <v>4.0</v>
      </c>
      <c r="AY130" s="41">
        <v>4.0</v>
      </c>
      <c r="AZ130" s="41">
        <v>4.0</v>
      </c>
      <c r="BA130" s="35" t="s">
        <v>391</v>
      </c>
      <c r="BB130" s="41">
        <v>4.0</v>
      </c>
      <c r="BC130" s="35" t="s">
        <v>675</v>
      </c>
      <c r="BF130" s="35" t="s">
        <v>432</v>
      </c>
      <c r="BG130" s="35" t="s">
        <v>1245</v>
      </c>
      <c r="BH130" s="35" t="s">
        <v>394</v>
      </c>
      <c r="BJ130" s="35" t="s">
        <v>976</v>
      </c>
      <c r="BL130" s="35" t="s">
        <v>395</v>
      </c>
      <c r="BM130" s="35" t="s">
        <v>904</v>
      </c>
      <c r="BN130" s="35" t="s">
        <v>1247</v>
      </c>
      <c r="BO130" s="35" t="s">
        <v>398</v>
      </c>
      <c r="BR130" s="35" t="s">
        <v>401</v>
      </c>
      <c r="BS130" s="35" t="s">
        <v>2488</v>
      </c>
      <c r="BT130" s="35" t="s">
        <v>403</v>
      </c>
      <c r="BU130" s="35" t="s">
        <v>404</v>
      </c>
      <c r="BV130" s="35" t="s">
        <v>405</v>
      </c>
      <c r="BX130" s="35" t="s">
        <v>406</v>
      </c>
      <c r="BY130" s="35" t="s">
        <v>1867</v>
      </c>
      <c r="BZ130" s="35" t="s">
        <v>408</v>
      </c>
      <c r="CE130" s="35" t="s">
        <v>451</v>
      </c>
      <c r="CG130" s="35" t="s">
        <v>1258</v>
      </c>
      <c r="CI130" s="35" t="s">
        <v>1751</v>
      </c>
      <c r="CJ130" s="35" t="s">
        <v>410</v>
      </c>
      <c r="CK130" s="35" t="s">
        <v>3354</v>
      </c>
      <c r="EU130" s="35" t="s">
        <v>526</v>
      </c>
      <c r="EV130" s="35" t="s">
        <v>1037</v>
      </c>
      <c r="EW130" s="35" t="s">
        <v>580</v>
      </c>
      <c r="FA130" s="35" t="s">
        <v>416</v>
      </c>
      <c r="FB130" s="35" t="s">
        <v>414</v>
      </c>
      <c r="FC130" s="35" t="s">
        <v>413</v>
      </c>
      <c r="FD130" s="35" t="s">
        <v>414</v>
      </c>
      <c r="FE130" s="35" t="s">
        <v>416</v>
      </c>
      <c r="FF130" s="35" t="s">
        <v>414</v>
      </c>
      <c r="FG130" s="35" t="s">
        <v>415</v>
      </c>
      <c r="FH130" s="35" t="s">
        <v>415</v>
      </c>
      <c r="FI130" s="35" t="s">
        <v>414</v>
      </c>
      <c r="FJ130" s="35" t="s">
        <v>414</v>
      </c>
      <c r="FK130" s="35" t="s">
        <v>416</v>
      </c>
      <c r="FL130" s="35" t="s">
        <v>416</v>
      </c>
      <c r="FM130" s="35" t="s">
        <v>484</v>
      </c>
      <c r="FN130" s="35" t="s">
        <v>484</v>
      </c>
      <c r="FO130" s="35" t="s">
        <v>484</v>
      </c>
      <c r="FP130" s="35" t="s">
        <v>485</v>
      </c>
      <c r="FQ130" s="35" t="s">
        <v>486</v>
      </c>
      <c r="FR130" s="35" t="s">
        <v>712</v>
      </c>
      <c r="FT130" s="35" t="s">
        <v>1076</v>
      </c>
      <c r="FU130" s="35" t="s">
        <v>488</v>
      </c>
      <c r="FV130" s="35" t="s">
        <v>489</v>
      </c>
      <c r="FW130" s="35" t="s">
        <v>490</v>
      </c>
      <c r="FX130" s="35" t="s">
        <v>491</v>
      </c>
      <c r="FZ130" s="35" t="s">
        <v>493</v>
      </c>
      <c r="GC130" s="35" t="s">
        <v>408</v>
      </c>
      <c r="GK130" s="35" t="s">
        <v>857</v>
      </c>
      <c r="GL130" s="35" t="s">
        <v>857</v>
      </c>
      <c r="GM130" s="35" t="s">
        <v>790</v>
      </c>
      <c r="GR130" s="42" t="s">
        <v>3355</v>
      </c>
    </row>
    <row r="131">
      <c r="A131" s="40"/>
      <c r="B131" s="40">
        <v>45830.5357296875</v>
      </c>
      <c r="C131" s="35" t="s">
        <v>368</v>
      </c>
      <c r="D131" s="35" t="s">
        <v>370</v>
      </c>
      <c r="F131" s="35" t="s">
        <v>1875</v>
      </c>
      <c r="H131" s="35" t="s">
        <v>422</v>
      </c>
      <c r="I131" s="35" t="s">
        <v>496</v>
      </c>
      <c r="J131" s="35" t="s">
        <v>374</v>
      </c>
      <c r="K131" s="35" t="s">
        <v>718</v>
      </c>
      <c r="L131" s="35" t="s">
        <v>376</v>
      </c>
      <c r="M131" s="35" t="s">
        <v>591</v>
      </c>
      <c r="N131" s="35" t="s">
        <v>719</v>
      </c>
      <c r="O131" s="35" t="s">
        <v>591</v>
      </c>
      <c r="P131" s="35" t="s">
        <v>719</v>
      </c>
      <c r="Q131" s="35" t="s">
        <v>498</v>
      </c>
      <c r="R131" s="35" t="s">
        <v>499</v>
      </c>
      <c r="S131" s="35" t="s">
        <v>427</v>
      </c>
      <c r="T131" s="35" t="s">
        <v>384</v>
      </c>
      <c r="U131" s="35" t="s">
        <v>385</v>
      </c>
      <c r="X131" s="35" t="s">
        <v>386</v>
      </c>
      <c r="Y131" s="35" t="s">
        <v>387</v>
      </c>
      <c r="Z131" s="35" t="s">
        <v>388</v>
      </c>
      <c r="AA131" s="35" t="s">
        <v>543</v>
      </c>
      <c r="AB131" s="35" t="s">
        <v>408</v>
      </c>
      <c r="AC131" s="35" t="s">
        <v>10693</v>
      </c>
      <c r="AW131" s="35" t="s">
        <v>1310</v>
      </c>
      <c r="AX131" s="35" t="s">
        <v>675</v>
      </c>
      <c r="AY131" s="41">
        <v>4.0</v>
      </c>
      <c r="AZ131" s="35" t="s">
        <v>675</v>
      </c>
      <c r="BA131" s="35" t="s">
        <v>675</v>
      </c>
      <c r="BB131" s="35" t="s">
        <v>675</v>
      </c>
      <c r="BC131" s="35" t="s">
        <v>675</v>
      </c>
      <c r="BD131" s="35" t="s">
        <v>10694</v>
      </c>
      <c r="BE131" s="35" t="s">
        <v>10695</v>
      </c>
      <c r="BF131" s="35" t="s">
        <v>2379</v>
      </c>
      <c r="BG131" s="35" t="s">
        <v>1095</v>
      </c>
      <c r="BH131" s="35" t="s">
        <v>725</v>
      </c>
      <c r="BI131" s="35" t="s">
        <v>3359</v>
      </c>
      <c r="BJ131" s="35" t="s">
        <v>727</v>
      </c>
      <c r="BL131" s="35" t="s">
        <v>395</v>
      </c>
      <c r="BM131" s="35" t="s">
        <v>603</v>
      </c>
      <c r="BN131" s="35" t="s">
        <v>1247</v>
      </c>
      <c r="BO131" s="35" t="s">
        <v>398</v>
      </c>
      <c r="BP131" s="35" t="s">
        <v>10696</v>
      </c>
      <c r="BQ131" s="35" t="s">
        <v>10697</v>
      </c>
      <c r="BR131" s="35" t="s">
        <v>604</v>
      </c>
      <c r="BS131" s="35" t="s">
        <v>3362</v>
      </c>
      <c r="BT131" s="35" t="s">
        <v>1251</v>
      </c>
      <c r="BU131" s="35" t="s">
        <v>1672</v>
      </c>
      <c r="BV131" s="35" t="s">
        <v>405</v>
      </c>
      <c r="BX131" s="35" t="s">
        <v>457</v>
      </c>
      <c r="BZ131" s="35" t="s">
        <v>408</v>
      </c>
      <c r="CB131" s="35" t="s">
        <v>10698</v>
      </c>
      <c r="CC131" s="35" t="s">
        <v>10699</v>
      </c>
      <c r="CD131" s="35" t="s">
        <v>10700</v>
      </c>
      <c r="CE131" s="35" t="s">
        <v>409</v>
      </c>
      <c r="CF131" s="35" t="s">
        <v>10701</v>
      </c>
      <c r="CI131" s="35" t="s">
        <v>1698</v>
      </c>
      <c r="CJ131" s="35" t="s">
        <v>1964</v>
      </c>
      <c r="CK131" s="35" t="s">
        <v>10702</v>
      </c>
      <c r="CL131" s="35" t="s">
        <v>10703</v>
      </c>
      <c r="EU131" s="35" t="s">
        <v>578</v>
      </c>
      <c r="EV131" s="35" t="s">
        <v>887</v>
      </c>
      <c r="EW131" s="35" t="s">
        <v>663</v>
      </c>
      <c r="EY131" s="35" t="s">
        <v>10704</v>
      </c>
      <c r="EZ131" s="35" t="s">
        <v>10705</v>
      </c>
      <c r="FA131" s="35" t="s">
        <v>414</v>
      </c>
      <c r="FB131" s="35" t="s">
        <v>414</v>
      </c>
      <c r="FC131" s="35" t="s">
        <v>413</v>
      </c>
      <c r="FD131" s="35" t="s">
        <v>415</v>
      </c>
      <c r="FE131" s="35" t="s">
        <v>413</v>
      </c>
      <c r="FF131" s="35" t="s">
        <v>583</v>
      </c>
      <c r="FG131" s="35" t="s">
        <v>413</v>
      </c>
      <c r="FH131" s="35" t="s">
        <v>415</v>
      </c>
      <c r="FI131" s="35" t="s">
        <v>583</v>
      </c>
      <c r="FJ131" s="35" t="s">
        <v>415</v>
      </c>
      <c r="FK131" s="35" t="s">
        <v>415</v>
      </c>
      <c r="FL131" s="35" t="s">
        <v>413</v>
      </c>
      <c r="FM131" s="35" t="s">
        <v>583</v>
      </c>
      <c r="FN131" s="35" t="s">
        <v>583</v>
      </c>
      <c r="FO131" s="35" t="s">
        <v>413</v>
      </c>
      <c r="FP131" s="35" t="s">
        <v>417</v>
      </c>
      <c r="FQ131" s="35" t="s">
        <v>418</v>
      </c>
      <c r="FR131" s="35" t="s">
        <v>419</v>
      </c>
      <c r="FS131" s="35" t="s">
        <v>3371</v>
      </c>
      <c r="FT131" s="35" t="s">
        <v>1189</v>
      </c>
      <c r="FU131" s="35" t="s">
        <v>488</v>
      </c>
      <c r="FV131" s="35" t="s">
        <v>489</v>
      </c>
      <c r="FW131" s="35" t="s">
        <v>490</v>
      </c>
      <c r="FX131" s="35" t="s">
        <v>491</v>
      </c>
      <c r="FY131" s="35" t="s">
        <v>10706</v>
      </c>
      <c r="FZ131" s="35" t="s">
        <v>493</v>
      </c>
      <c r="GA131" s="35" t="s">
        <v>10707</v>
      </c>
      <c r="GB131" s="35" t="s">
        <v>10708</v>
      </c>
      <c r="GC131" s="35" t="s">
        <v>455</v>
      </c>
      <c r="GK131" s="35" t="s">
        <v>789</v>
      </c>
      <c r="GL131" s="35" t="s">
        <v>788</v>
      </c>
      <c r="GM131" s="35" t="s">
        <v>921</v>
      </c>
      <c r="GR131" s="35" t="s">
        <v>3273</v>
      </c>
    </row>
    <row r="132">
      <c r="A132" s="40"/>
      <c r="B132" s="40">
        <v>45830.61729040509</v>
      </c>
      <c r="C132" s="35" t="s">
        <v>368</v>
      </c>
      <c r="D132" s="35" t="s">
        <v>894</v>
      </c>
      <c r="E132" s="35" t="s">
        <v>894</v>
      </c>
      <c r="H132" s="35" t="s">
        <v>422</v>
      </c>
      <c r="I132" s="35" t="s">
        <v>539</v>
      </c>
      <c r="J132" s="35" t="s">
        <v>424</v>
      </c>
      <c r="K132" s="35" t="s">
        <v>718</v>
      </c>
      <c r="L132" s="35" t="s">
        <v>376</v>
      </c>
      <c r="M132" s="35" t="s">
        <v>379</v>
      </c>
      <c r="N132" s="35" t="s">
        <v>378</v>
      </c>
      <c r="O132" s="35" t="s">
        <v>379</v>
      </c>
      <c r="P132" s="35" t="s">
        <v>497</v>
      </c>
      <c r="Q132" s="35" t="s">
        <v>592</v>
      </c>
      <c r="R132" s="35" t="s">
        <v>499</v>
      </c>
      <c r="S132" s="35" t="s">
        <v>500</v>
      </c>
      <c r="T132" s="35" t="s">
        <v>384</v>
      </c>
      <c r="U132" s="35" t="s">
        <v>385</v>
      </c>
      <c r="V132" s="35" t="s">
        <v>896</v>
      </c>
      <c r="W132" s="35" t="s">
        <v>896</v>
      </c>
      <c r="X132" s="35" t="s">
        <v>3014</v>
      </c>
      <c r="AW132" s="35" t="s">
        <v>1242</v>
      </c>
      <c r="AX132" s="41">
        <v>4.0</v>
      </c>
      <c r="AY132" s="41">
        <v>4.0</v>
      </c>
      <c r="AZ132" s="41">
        <v>4.0</v>
      </c>
      <c r="BA132" s="41">
        <v>4.0</v>
      </c>
      <c r="BB132" s="35" t="s">
        <v>675</v>
      </c>
      <c r="BC132" s="41">
        <v>4.0</v>
      </c>
      <c r="BF132" s="35" t="s">
        <v>432</v>
      </c>
      <c r="BG132" s="35" t="s">
        <v>1095</v>
      </c>
      <c r="BH132" s="35" t="s">
        <v>394</v>
      </c>
      <c r="BJ132" s="35" t="s">
        <v>435</v>
      </c>
      <c r="BL132" s="35" t="s">
        <v>395</v>
      </c>
      <c r="BM132" s="35" t="s">
        <v>512</v>
      </c>
      <c r="BN132" s="35" t="s">
        <v>1314</v>
      </c>
      <c r="BO132" s="35" t="s">
        <v>398</v>
      </c>
      <c r="BR132" s="35" t="s">
        <v>442</v>
      </c>
      <c r="BS132" s="35" t="s">
        <v>3375</v>
      </c>
      <c r="BU132" s="35" t="s">
        <v>1672</v>
      </c>
      <c r="BV132" s="35" t="s">
        <v>1693</v>
      </c>
      <c r="BX132" s="35" t="s">
        <v>457</v>
      </c>
      <c r="BZ132" s="35" t="s">
        <v>408</v>
      </c>
      <c r="CE132" s="35" t="s">
        <v>451</v>
      </c>
      <c r="CG132" s="35" t="s">
        <v>1722</v>
      </c>
      <c r="CI132" s="35" t="s">
        <v>1698</v>
      </c>
      <c r="CJ132" s="35" t="s">
        <v>410</v>
      </c>
      <c r="EU132" s="35" t="s">
        <v>578</v>
      </c>
      <c r="EV132" s="35" t="s">
        <v>479</v>
      </c>
      <c r="EW132" s="35" t="s">
        <v>480</v>
      </c>
      <c r="FA132" s="35" t="s">
        <v>583</v>
      </c>
      <c r="FB132" s="35" t="s">
        <v>583</v>
      </c>
      <c r="FC132" s="35" t="s">
        <v>583</v>
      </c>
      <c r="FD132" s="35" t="s">
        <v>583</v>
      </c>
      <c r="FE132" s="35" t="s">
        <v>415</v>
      </c>
      <c r="FF132" s="35" t="s">
        <v>583</v>
      </c>
      <c r="FG132" s="35" t="s">
        <v>583</v>
      </c>
      <c r="FH132" s="35" t="s">
        <v>416</v>
      </c>
      <c r="FI132" s="35" t="s">
        <v>583</v>
      </c>
      <c r="FJ132" s="35" t="s">
        <v>583</v>
      </c>
      <c r="FK132" s="35" t="s">
        <v>583</v>
      </c>
      <c r="FL132" s="35" t="s">
        <v>484</v>
      </c>
      <c r="FM132" s="35" t="s">
        <v>583</v>
      </c>
      <c r="FN132" s="35" t="s">
        <v>416</v>
      </c>
      <c r="FO132" s="35" t="s">
        <v>583</v>
      </c>
      <c r="FP132" s="35" t="s">
        <v>1074</v>
      </c>
      <c r="FQ132" s="35" t="s">
        <v>418</v>
      </c>
      <c r="FR132" s="35" t="s">
        <v>419</v>
      </c>
      <c r="FT132" s="35" t="s">
        <v>995</v>
      </c>
      <c r="FU132" s="35" t="s">
        <v>488</v>
      </c>
      <c r="FV132" s="35" t="s">
        <v>533</v>
      </c>
      <c r="FW132" s="35" t="s">
        <v>1101</v>
      </c>
      <c r="FX132" s="35" t="s">
        <v>491</v>
      </c>
      <c r="FZ132" s="35" t="s">
        <v>1020</v>
      </c>
      <c r="GC132" s="35" t="s">
        <v>408</v>
      </c>
      <c r="GK132" s="35" t="s">
        <v>755</v>
      </c>
      <c r="GL132" s="35" t="s">
        <v>755</v>
      </c>
      <c r="GM132" s="35" t="s">
        <v>946</v>
      </c>
      <c r="GR132" s="35" t="s">
        <v>3273</v>
      </c>
    </row>
    <row r="133">
      <c r="A133" s="40"/>
      <c r="B133" s="40">
        <v>45830.622208518515</v>
      </c>
      <c r="C133" s="35" t="s">
        <v>368</v>
      </c>
      <c r="D133" s="35" t="s">
        <v>3376</v>
      </c>
      <c r="E133" s="35" t="s">
        <v>3376</v>
      </c>
      <c r="H133" s="35" t="s">
        <v>1093</v>
      </c>
      <c r="I133" s="35" t="s">
        <v>373</v>
      </c>
      <c r="J133" s="35" t="s">
        <v>374</v>
      </c>
      <c r="K133" s="35" t="s">
        <v>375</v>
      </c>
      <c r="L133" s="35" t="s">
        <v>376</v>
      </c>
      <c r="M133" s="35" t="s">
        <v>1526</v>
      </c>
      <c r="N133" s="35" t="s">
        <v>3377</v>
      </c>
      <c r="O133" s="35" t="s">
        <v>1526</v>
      </c>
      <c r="P133" s="35" t="s">
        <v>1799</v>
      </c>
      <c r="Q133" s="35" t="s">
        <v>1760</v>
      </c>
      <c r="R133" s="35" t="s">
        <v>759</v>
      </c>
      <c r="S133" s="35" t="s">
        <v>3378</v>
      </c>
      <c r="T133" s="35" t="s">
        <v>384</v>
      </c>
      <c r="U133" s="35" t="s">
        <v>385</v>
      </c>
      <c r="X133" s="35" t="s">
        <v>1023</v>
      </c>
      <c r="Y133" s="35" t="s">
        <v>2729</v>
      </c>
      <c r="AW133" s="35" t="s">
        <v>1310</v>
      </c>
      <c r="AX133" s="35" t="s">
        <v>391</v>
      </c>
      <c r="AY133" s="35" t="s">
        <v>391</v>
      </c>
      <c r="AZ133" s="41">
        <v>2.0</v>
      </c>
      <c r="BA133" s="41">
        <v>2.0</v>
      </c>
      <c r="BB133" s="35" t="s">
        <v>391</v>
      </c>
      <c r="BC133" s="35" t="s">
        <v>391</v>
      </c>
      <c r="BD133" s="35" t="s">
        <v>3379</v>
      </c>
      <c r="BE133" s="35" t="s">
        <v>3380</v>
      </c>
      <c r="BF133" s="35" t="s">
        <v>432</v>
      </c>
      <c r="BG133" s="35" t="s">
        <v>1047</v>
      </c>
      <c r="BH133" s="35" t="s">
        <v>434</v>
      </c>
      <c r="BI133" s="35" t="s">
        <v>3381</v>
      </c>
      <c r="BJ133" s="35" t="s">
        <v>435</v>
      </c>
      <c r="BK133" s="35" t="s">
        <v>3382</v>
      </c>
      <c r="BL133" s="35" t="s">
        <v>511</v>
      </c>
      <c r="BM133" s="35" t="s">
        <v>438</v>
      </c>
      <c r="BN133" s="35" t="s">
        <v>397</v>
      </c>
      <c r="BO133" s="35" t="s">
        <v>398</v>
      </c>
      <c r="BP133" s="35" t="s">
        <v>3383</v>
      </c>
      <c r="BQ133" s="35" t="s">
        <v>3384</v>
      </c>
      <c r="BR133" s="35" t="s">
        <v>401</v>
      </c>
      <c r="BS133" s="35" t="s">
        <v>3385</v>
      </c>
      <c r="BT133" s="35" t="s">
        <v>403</v>
      </c>
      <c r="BU133" s="35" t="s">
        <v>1994</v>
      </c>
      <c r="BV133" s="35" t="s">
        <v>405</v>
      </c>
      <c r="BX133" s="35" t="s">
        <v>406</v>
      </c>
      <c r="BY133" s="35" t="s">
        <v>1867</v>
      </c>
      <c r="BZ133" s="35" t="s">
        <v>455</v>
      </c>
      <c r="CA133" s="35" t="s">
        <v>3386</v>
      </c>
      <c r="CB133" s="35" t="s">
        <v>3387</v>
      </c>
      <c r="CC133" s="35" t="s">
        <v>3388</v>
      </c>
      <c r="CD133" s="35" t="s">
        <v>3389</v>
      </c>
      <c r="CE133" s="35" t="s">
        <v>409</v>
      </c>
      <c r="CF133" s="35" t="s">
        <v>3390</v>
      </c>
      <c r="CG133" s="35" t="s">
        <v>1258</v>
      </c>
      <c r="CI133" s="35" t="s">
        <v>1698</v>
      </c>
      <c r="CJ133" s="35" t="s">
        <v>1220</v>
      </c>
      <c r="CK133" s="35" t="s">
        <v>3391</v>
      </c>
      <c r="CL133" s="35" t="s">
        <v>3392</v>
      </c>
      <c r="EU133" s="35" t="s">
        <v>478</v>
      </c>
      <c r="EV133" s="35" t="s">
        <v>579</v>
      </c>
      <c r="EW133" s="35" t="s">
        <v>527</v>
      </c>
      <c r="EX133" s="35" t="s">
        <v>3393</v>
      </c>
      <c r="EY133" s="35" t="s">
        <v>3394</v>
      </c>
      <c r="EZ133" s="35" t="s">
        <v>3395</v>
      </c>
      <c r="FA133" s="35" t="s">
        <v>415</v>
      </c>
      <c r="FB133" s="35" t="s">
        <v>414</v>
      </c>
      <c r="FC133" s="35" t="s">
        <v>415</v>
      </c>
      <c r="FD133" s="35" t="s">
        <v>415</v>
      </c>
      <c r="FE133" s="35" t="s">
        <v>415</v>
      </c>
      <c r="FF133" s="35" t="s">
        <v>415</v>
      </c>
      <c r="FG133" s="35" t="s">
        <v>415</v>
      </c>
      <c r="FH133" s="35" t="s">
        <v>415</v>
      </c>
      <c r="FI133" s="35" t="s">
        <v>415</v>
      </c>
      <c r="FJ133" s="35" t="s">
        <v>415</v>
      </c>
      <c r="FK133" s="35" t="s">
        <v>415</v>
      </c>
      <c r="FL133" s="35" t="s">
        <v>415</v>
      </c>
      <c r="FM133" s="35" t="s">
        <v>415</v>
      </c>
      <c r="FN133" s="35" t="s">
        <v>415</v>
      </c>
      <c r="FO133" s="35" t="s">
        <v>415</v>
      </c>
      <c r="FP133" s="35" t="s">
        <v>3396</v>
      </c>
      <c r="FQ133" s="35" t="s">
        <v>486</v>
      </c>
      <c r="FR133" s="35" t="s">
        <v>712</v>
      </c>
      <c r="FS133" s="35" t="s">
        <v>3397</v>
      </c>
      <c r="FT133" s="35" t="s">
        <v>420</v>
      </c>
      <c r="FU133" s="35" t="s">
        <v>1462</v>
      </c>
      <c r="FV133" s="35" t="s">
        <v>918</v>
      </c>
      <c r="FW133" s="35" t="s">
        <v>490</v>
      </c>
      <c r="FX133" s="35" t="s">
        <v>491</v>
      </c>
      <c r="FY133" s="35" t="s">
        <v>3398</v>
      </c>
      <c r="FZ133" s="35" t="s">
        <v>493</v>
      </c>
      <c r="GA133" s="35" t="s">
        <v>3399</v>
      </c>
      <c r="GB133" s="35" t="s">
        <v>3400</v>
      </c>
      <c r="GC133" s="35" t="s">
        <v>455</v>
      </c>
      <c r="GE133" s="35" t="s">
        <v>3401</v>
      </c>
      <c r="GF133" s="35" t="s">
        <v>855</v>
      </c>
      <c r="GG133" s="35" t="s">
        <v>3402</v>
      </c>
      <c r="GK133" s="35" t="s">
        <v>857</v>
      </c>
      <c r="GL133" s="35" t="s">
        <v>857</v>
      </c>
      <c r="GM133" s="35" t="s">
        <v>817</v>
      </c>
      <c r="GO133" s="35" t="s">
        <v>3376</v>
      </c>
      <c r="GP133" s="35" t="s">
        <v>3376</v>
      </c>
      <c r="GR133" s="35" t="s">
        <v>3208</v>
      </c>
    </row>
    <row r="134">
      <c r="A134" s="40"/>
      <c r="B134" s="40">
        <v>45830.63773170139</v>
      </c>
      <c r="C134" s="35" t="s">
        <v>368</v>
      </c>
      <c r="D134" s="35" t="s">
        <v>894</v>
      </c>
      <c r="E134" s="35" t="s">
        <v>894</v>
      </c>
      <c r="H134" s="35" t="s">
        <v>422</v>
      </c>
      <c r="I134" s="35" t="s">
        <v>539</v>
      </c>
      <c r="J134" s="35" t="s">
        <v>2578</v>
      </c>
      <c r="K134" s="35" t="s">
        <v>590</v>
      </c>
      <c r="L134" s="35" t="s">
        <v>376</v>
      </c>
      <c r="M134" s="35" t="s">
        <v>379</v>
      </c>
      <c r="N134" s="35" t="s">
        <v>948</v>
      </c>
      <c r="O134" s="35" t="s">
        <v>426</v>
      </c>
      <c r="P134" s="35" t="s">
        <v>639</v>
      </c>
      <c r="Q134" s="35" t="s">
        <v>498</v>
      </c>
      <c r="R134" s="35" t="s">
        <v>382</v>
      </c>
      <c r="S134" s="35" t="s">
        <v>427</v>
      </c>
      <c r="T134" s="35" t="s">
        <v>384</v>
      </c>
      <c r="U134" s="35" t="s">
        <v>385</v>
      </c>
      <c r="V134" s="35" t="s">
        <v>1045</v>
      </c>
      <c r="W134" s="35" t="s">
        <v>1045</v>
      </c>
      <c r="X134" s="35" t="s">
        <v>3014</v>
      </c>
      <c r="AW134" s="35" t="s">
        <v>597</v>
      </c>
      <c r="AX134" s="35" t="s">
        <v>391</v>
      </c>
      <c r="AY134" s="35" t="s">
        <v>391</v>
      </c>
      <c r="AZ134" s="35" t="s">
        <v>391</v>
      </c>
      <c r="BA134" s="41">
        <v>4.0</v>
      </c>
      <c r="BB134" s="41">
        <v>4.0</v>
      </c>
      <c r="BC134" s="41">
        <v>4.0</v>
      </c>
      <c r="BD134" s="35" t="s">
        <v>3403</v>
      </c>
      <c r="BE134" s="35" t="s">
        <v>3404</v>
      </c>
      <c r="BF134" s="35" t="s">
        <v>432</v>
      </c>
      <c r="BG134" s="35" t="s">
        <v>393</v>
      </c>
      <c r="BH134" s="35" t="s">
        <v>725</v>
      </c>
      <c r="BI134" s="35" t="s">
        <v>3405</v>
      </c>
      <c r="BJ134" s="35" t="s">
        <v>435</v>
      </c>
      <c r="BK134" s="35" t="s">
        <v>10709</v>
      </c>
      <c r="BL134" s="35" t="s">
        <v>681</v>
      </c>
      <c r="BM134" s="35" t="s">
        <v>438</v>
      </c>
      <c r="BN134" s="35" t="s">
        <v>397</v>
      </c>
      <c r="BO134" s="35" t="s">
        <v>398</v>
      </c>
      <c r="BP134" s="35" t="s">
        <v>10710</v>
      </c>
      <c r="BQ134" s="35" t="s">
        <v>3408</v>
      </c>
      <c r="BR134" s="35" t="s">
        <v>604</v>
      </c>
      <c r="BS134" s="35" t="s">
        <v>3409</v>
      </c>
      <c r="BT134" s="35" t="s">
        <v>1251</v>
      </c>
      <c r="BV134" s="35" t="s">
        <v>1772</v>
      </c>
      <c r="BW134" s="35" t="s">
        <v>3410</v>
      </c>
      <c r="BX134" s="35" t="s">
        <v>457</v>
      </c>
      <c r="BZ134" s="35" t="s">
        <v>408</v>
      </c>
      <c r="CB134" s="35" t="s">
        <v>10711</v>
      </c>
      <c r="CC134" s="35" t="s">
        <v>3412</v>
      </c>
      <c r="CD134" s="35" t="s">
        <v>3413</v>
      </c>
      <c r="CE134" s="35" t="s">
        <v>409</v>
      </c>
      <c r="CF134" s="35" t="s">
        <v>3414</v>
      </c>
      <c r="CG134" s="35" t="s">
        <v>1258</v>
      </c>
      <c r="CI134" s="35" t="s">
        <v>1698</v>
      </c>
      <c r="CJ134" s="35" t="s">
        <v>833</v>
      </c>
      <c r="CK134" s="35" t="s">
        <v>3415</v>
      </c>
      <c r="CL134" s="35" t="s">
        <v>3416</v>
      </c>
      <c r="EU134" s="35" t="s">
        <v>526</v>
      </c>
      <c r="EV134" s="35" t="s">
        <v>1127</v>
      </c>
      <c r="EW134" s="35" t="s">
        <v>527</v>
      </c>
      <c r="EX134" s="35" t="s">
        <v>3417</v>
      </c>
      <c r="EY134" s="35" t="s">
        <v>10712</v>
      </c>
      <c r="EZ134" s="35" t="s">
        <v>10713</v>
      </c>
      <c r="FA134" s="35" t="s">
        <v>415</v>
      </c>
      <c r="FB134" s="35" t="s">
        <v>414</v>
      </c>
      <c r="FC134" s="35" t="s">
        <v>413</v>
      </c>
      <c r="FD134" s="35" t="s">
        <v>484</v>
      </c>
      <c r="FE134" s="35" t="s">
        <v>413</v>
      </c>
      <c r="FF134" s="35" t="s">
        <v>416</v>
      </c>
      <c r="FG134" s="35" t="s">
        <v>415</v>
      </c>
      <c r="FH134" s="35" t="s">
        <v>416</v>
      </c>
      <c r="FI134" s="35" t="s">
        <v>414</v>
      </c>
      <c r="FJ134" s="35" t="s">
        <v>484</v>
      </c>
      <c r="FK134" s="35" t="s">
        <v>583</v>
      </c>
      <c r="FL134" s="35" t="s">
        <v>484</v>
      </c>
      <c r="FM134" s="35" t="s">
        <v>414</v>
      </c>
      <c r="FN134" s="35" t="s">
        <v>413</v>
      </c>
      <c r="FO134" s="35" t="s">
        <v>414</v>
      </c>
      <c r="FP134" s="35" t="s">
        <v>1074</v>
      </c>
      <c r="FQ134" s="35" t="s">
        <v>486</v>
      </c>
      <c r="FR134" s="35" t="s">
        <v>630</v>
      </c>
      <c r="FS134" s="35" t="s">
        <v>10714</v>
      </c>
      <c r="FT134" s="35" t="s">
        <v>1189</v>
      </c>
      <c r="FU134" s="35" t="s">
        <v>1462</v>
      </c>
      <c r="FV134" s="35" t="s">
        <v>489</v>
      </c>
      <c r="FW134" s="35" t="s">
        <v>1101</v>
      </c>
      <c r="FX134" s="35" t="s">
        <v>491</v>
      </c>
      <c r="FY134" s="35" t="s">
        <v>3421</v>
      </c>
      <c r="FZ134" s="35" t="s">
        <v>1020</v>
      </c>
      <c r="GA134" s="35" t="s">
        <v>10715</v>
      </c>
      <c r="GB134" s="35" t="s">
        <v>3423</v>
      </c>
      <c r="GC134" s="35" t="s">
        <v>455</v>
      </c>
      <c r="GD134" s="35" t="s">
        <v>10716</v>
      </c>
      <c r="GE134" s="35" t="s">
        <v>10717</v>
      </c>
      <c r="GF134" s="35" t="s">
        <v>753</v>
      </c>
      <c r="GG134" s="35" t="s">
        <v>10718</v>
      </c>
      <c r="GK134" s="35" t="s">
        <v>920</v>
      </c>
      <c r="GL134" s="35" t="s">
        <v>788</v>
      </c>
      <c r="GM134" s="35" t="s">
        <v>946</v>
      </c>
      <c r="GR134" s="35" t="s">
        <v>3208</v>
      </c>
    </row>
    <row r="135">
      <c r="A135" s="40"/>
      <c r="B135" s="40">
        <v>45830.85278008102</v>
      </c>
      <c r="C135" s="35" t="s">
        <v>368</v>
      </c>
      <c r="D135" s="35" t="s">
        <v>894</v>
      </c>
      <c r="E135" s="35" t="s">
        <v>894</v>
      </c>
      <c r="H135" s="35" t="s">
        <v>422</v>
      </c>
      <c r="I135" s="35" t="s">
        <v>496</v>
      </c>
      <c r="J135" s="35" t="s">
        <v>374</v>
      </c>
      <c r="K135" s="35" t="s">
        <v>375</v>
      </c>
      <c r="L135" s="35" t="s">
        <v>376</v>
      </c>
      <c r="M135" s="35" t="s">
        <v>426</v>
      </c>
      <c r="N135" s="35" t="s">
        <v>2464</v>
      </c>
      <c r="O135" s="35" t="s">
        <v>426</v>
      </c>
      <c r="P135" s="35" t="s">
        <v>719</v>
      </c>
      <c r="Q135" s="35" t="s">
        <v>498</v>
      </c>
      <c r="R135" s="35" t="s">
        <v>862</v>
      </c>
      <c r="S135" s="35" t="s">
        <v>427</v>
      </c>
      <c r="T135" s="35" t="s">
        <v>384</v>
      </c>
      <c r="U135" s="35" t="s">
        <v>385</v>
      </c>
      <c r="V135" s="35" t="s">
        <v>1241</v>
      </c>
      <c r="W135" s="35" t="s">
        <v>1025</v>
      </c>
      <c r="X135" s="35" t="s">
        <v>3014</v>
      </c>
      <c r="AW135" s="35" t="s">
        <v>1310</v>
      </c>
      <c r="AX135" s="41">
        <v>4.0</v>
      </c>
      <c r="AY135" s="35" t="s">
        <v>391</v>
      </c>
      <c r="AZ135" s="35" t="s">
        <v>391</v>
      </c>
      <c r="BA135" s="35" t="s">
        <v>391</v>
      </c>
      <c r="BB135" s="41">
        <v>4.0</v>
      </c>
      <c r="BC135" s="41">
        <v>4.0</v>
      </c>
      <c r="BF135" s="35" t="s">
        <v>432</v>
      </c>
      <c r="BH135" s="35" t="s">
        <v>434</v>
      </c>
      <c r="BJ135" s="35" t="s">
        <v>976</v>
      </c>
      <c r="BL135" s="35" t="s">
        <v>681</v>
      </c>
      <c r="BM135" s="35" t="s">
        <v>438</v>
      </c>
      <c r="BN135" s="35" t="s">
        <v>1247</v>
      </c>
      <c r="BO135" s="35" t="s">
        <v>398</v>
      </c>
      <c r="BR135" s="35" t="s">
        <v>442</v>
      </c>
      <c r="BS135" s="35" t="s">
        <v>3323</v>
      </c>
      <c r="BT135" s="35" t="s">
        <v>403</v>
      </c>
      <c r="BU135" s="35" t="s">
        <v>1771</v>
      </c>
      <c r="BV135" s="35" t="s">
        <v>1772</v>
      </c>
      <c r="BX135" s="35" t="s">
        <v>988</v>
      </c>
      <c r="BY135" s="35" t="s">
        <v>1867</v>
      </c>
      <c r="BZ135" s="35" t="s">
        <v>408</v>
      </c>
      <c r="CE135" s="35" t="s">
        <v>409</v>
      </c>
      <c r="CG135" s="35" t="s">
        <v>1258</v>
      </c>
      <c r="CI135" s="35" t="s">
        <v>1751</v>
      </c>
      <c r="CJ135" s="35" t="s">
        <v>1220</v>
      </c>
      <c r="EU135" s="35" t="s">
        <v>526</v>
      </c>
      <c r="EV135" s="35" t="s">
        <v>1127</v>
      </c>
      <c r="EW135" s="35" t="s">
        <v>1262</v>
      </c>
      <c r="FA135" s="35" t="s">
        <v>415</v>
      </c>
      <c r="FB135" s="35" t="s">
        <v>415</v>
      </c>
      <c r="FC135" s="35" t="s">
        <v>416</v>
      </c>
      <c r="FD135" s="35" t="s">
        <v>414</v>
      </c>
      <c r="FE135" s="35" t="s">
        <v>413</v>
      </c>
      <c r="FF135" s="35" t="s">
        <v>415</v>
      </c>
      <c r="FG135" s="35" t="s">
        <v>415</v>
      </c>
      <c r="FH135" s="35" t="s">
        <v>416</v>
      </c>
      <c r="FI135" s="35" t="s">
        <v>416</v>
      </c>
      <c r="FJ135" s="35" t="s">
        <v>415</v>
      </c>
      <c r="FK135" s="35" t="s">
        <v>415</v>
      </c>
      <c r="FL135" s="35" t="s">
        <v>416</v>
      </c>
      <c r="FM135" s="35" t="s">
        <v>416</v>
      </c>
      <c r="FN135" s="35" t="s">
        <v>416</v>
      </c>
      <c r="FO135" s="35" t="s">
        <v>415</v>
      </c>
      <c r="FP135" s="35" t="s">
        <v>485</v>
      </c>
      <c r="FQ135" s="35" t="s">
        <v>418</v>
      </c>
      <c r="FR135" s="35" t="s">
        <v>712</v>
      </c>
      <c r="FT135" s="35" t="s">
        <v>1189</v>
      </c>
      <c r="FU135" s="35" t="s">
        <v>1462</v>
      </c>
      <c r="FV135" s="35" t="s">
        <v>585</v>
      </c>
      <c r="FW135" s="35" t="s">
        <v>490</v>
      </c>
      <c r="FX135" s="35" t="s">
        <v>491</v>
      </c>
      <c r="FZ135" s="35" t="s">
        <v>1337</v>
      </c>
      <c r="GC135" s="35" t="s">
        <v>408</v>
      </c>
      <c r="GK135" s="35" t="s">
        <v>920</v>
      </c>
      <c r="GL135" s="35" t="s">
        <v>920</v>
      </c>
      <c r="GM135" s="35" t="s">
        <v>858</v>
      </c>
      <c r="GR135" s="35" t="s">
        <v>3351</v>
      </c>
    </row>
    <row r="136">
      <c r="A136" s="40"/>
      <c r="B136" s="40">
        <v>45831.087313819444</v>
      </c>
      <c r="C136" s="35" t="s">
        <v>368</v>
      </c>
      <c r="D136" s="35" t="s">
        <v>3524</v>
      </c>
      <c r="E136" s="35" t="s">
        <v>370</v>
      </c>
      <c r="G136" s="35" t="s">
        <v>2114</v>
      </c>
      <c r="H136" s="35" t="s">
        <v>372</v>
      </c>
      <c r="I136" s="35" t="s">
        <v>539</v>
      </c>
      <c r="J136" s="35" t="s">
        <v>374</v>
      </c>
      <c r="K136" s="35" t="s">
        <v>375</v>
      </c>
      <c r="L136" s="35" t="s">
        <v>376</v>
      </c>
      <c r="M136" s="35" t="s">
        <v>591</v>
      </c>
      <c r="N136" s="35" t="s">
        <v>2464</v>
      </c>
      <c r="O136" s="35" t="s">
        <v>793</v>
      </c>
      <c r="P136" s="35" t="s">
        <v>719</v>
      </c>
      <c r="Q136" s="35" t="s">
        <v>498</v>
      </c>
      <c r="R136" s="35" t="s">
        <v>818</v>
      </c>
      <c r="S136" s="35" t="s">
        <v>427</v>
      </c>
      <c r="T136" s="35" t="s">
        <v>384</v>
      </c>
      <c r="U136" s="35" t="s">
        <v>385</v>
      </c>
      <c r="X136" s="35" t="s">
        <v>386</v>
      </c>
      <c r="Y136" s="35" t="s">
        <v>387</v>
      </c>
      <c r="Z136" s="35" t="s">
        <v>388</v>
      </c>
      <c r="AA136" s="35" t="s">
        <v>543</v>
      </c>
      <c r="AB136" s="35" t="s">
        <v>408</v>
      </c>
      <c r="AC136" s="35" t="s">
        <v>408</v>
      </c>
      <c r="AW136" s="35" t="s">
        <v>1242</v>
      </c>
      <c r="AX136" s="35" t="s">
        <v>675</v>
      </c>
      <c r="AY136" s="35" t="s">
        <v>675</v>
      </c>
      <c r="AZ136" s="35" t="s">
        <v>391</v>
      </c>
      <c r="BA136" s="35" t="s">
        <v>391</v>
      </c>
      <c r="BB136" s="41">
        <v>4.0</v>
      </c>
      <c r="BC136" s="41">
        <v>4.0</v>
      </c>
      <c r="BD136" s="35" t="s">
        <v>3525</v>
      </c>
      <c r="BE136" s="35" t="s">
        <v>3526</v>
      </c>
      <c r="BF136" s="35" t="s">
        <v>902</v>
      </c>
      <c r="BG136" s="35" t="s">
        <v>1095</v>
      </c>
      <c r="BH136" s="35" t="s">
        <v>434</v>
      </c>
      <c r="BI136" s="35" t="s">
        <v>10719</v>
      </c>
      <c r="BJ136" s="35" t="s">
        <v>976</v>
      </c>
      <c r="BK136" s="35" t="s">
        <v>3528</v>
      </c>
      <c r="BL136" s="35" t="s">
        <v>681</v>
      </c>
      <c r="BM136" s="35" t="s">
        <v>603</v>
      </c>
      <c r="BN136" s="35" t="s">
        <v>1247</v>
      </c>
      <c r="BO136" s="35" t="s">
        <v>398</v>
      </c>
      <c r="BP136" s="35" t="s">
        <v>3529</v>
      </c>
      <c r="BQ136" s="35" t="s">
        <v>3530</v>
      </c>
      <c r="BR136" s="35" t="s">
        <v>604</v>
      </c>
      <c r="BS136" s="35" t="s">
        <v>402</v>
      </c>
      <c r="BT136" s="35" t="s">
        <v>1741</v>
      </c>
      <c r="BU136" s="35" t="s">
        <v>1994</v>
      </c>
      <c r="BV136" s="35" t="s">
        <v>1772</v>
      </c>
      <c r="BW136" s="35" t="s">
        <v>3531</v>
      </c>
      <c r="BX136" s="35" t="s">
        <v>406</v>
      </c>
      <c r="BY136" s="35" t="s">
        <v>2503</v>
      </c>
      <c r="BZ136" s="35" t="s">
        <v>455</v>
      </c>
      <c r="CA136" s="35" t="s">
        <v>3532</v>
      </c>
      <c r="CB136" s="35" t="s">
        <v>3533</v>
      </c>
      <c r="CC136" s="35" t="s">
        <v>3534</v>
      </c>
      <c r="CD136" s="35" t="s">
        <v>3535</v>
      </c>
      <c r="CE136" s="35" t="s">
        <v>409</v>
      </c>
      <c r="CF136" s="35" t="s">
        <v>3536</v>
      </c>
      <c r="CG136" s="35" t="s">
        <v>1258</v>
      </c>
      <c r="CH136" s="35" t="s">
        <v>396</v>
      </c>
      <c r="CI136" s="35" t="s">
        <v>1698</v>
      </c>
      <c r="CJ136" s="35" t="s">
        <v>410</v>
      </c>
      <c r="CK136" s="35" t="s">
        <v>3537</v>
      </c>
      <c r="CL136" s="35" t="s">
        <v>3538</v>
      </c>
      <c r="EU136" s="35" t="s">
        <v>526</v>
      </c>
      <c r="EV136" s="35" t="s">
        <v>887</v>
      </c>
      <c r="EW136" s="35" t="s">
        <v>580</v>
      </c>
      <c r="EX136" s="35" t="s">
        <v>3539</v>
      </c>
      <c r="EY136" s="35" t="s">
        <v>3540</v>
      </c>
      <c r="EZ136" s="35" t="s">
        <v>3541</v>
      </c>
      <c r="FA136" s="35" t="s">
        <v>416</v>
      </c>
      <c r="FB136" s="35" t="s">
        <v>414</v>
      </c>
      <c r="FC136" s="35" t="s">
        <v>413</v>
      </c>
      <c r="FD136" s="35" t="s">
        <v>583</v>
      </c>
      <c r="FE136" s="35" t="s">
        <v>416</v>
      </c>
      <c r="FF136" s="35" t="s">
        <v>583</v>
      </c>
      <c r="FG136" s="35" t="s">
        <v>413</v>
      </c>
      <c r="FH136" s="35" t="s">
        <v>416</v>
      </c>
      <c r="FI136" s="35" t="s">
        <v>583</v>
      </c>
      <c r="FJ136" s="35" t="s">
        <v>583</v>
      </c>
      <c r="FK136" s="35" t="s">
        <v>414</v>
      </c>
      <c r="FL136" s="35" t="s">
        <v>414</v>
      </c>
      <c r="FM136" s="35" t="s">
        <v>414</v>
      </c>
      <c r="FN136" s="35" t="s">
        <v>415</v>
      </c>
      <c r="FO136" s="35" t="s">
        <v>583</v>
      </c>
      <c r="FP136" s="35" t="s">
        <v>485</v>
      </c>
      <c r="FQ136" s="35" t="s">
        <v>418</v>
      </c>
      <c r="FR136" s="35" t="s">
        <v>419</v>
      </c>
      <c r="FS136" s="35" t="s">
        <v>3542</v>
      </c>
      <c r="FT136" s="35" t="s">
        <v>420</v>
      </c>
      <c r="FU136" s="35" t="s">
        <v>1462</v>
      </c>
      <c r="FV136" s="35" t="s">
        <v>489</v>
      </c>
      <c r="FW136" s="35" t="s">
        <v>490</v>
      </c>
      <c r="FX136" s="35" t="s">
        <v>491</v>
      </c>
      <c r="FY136" s="35" t="s">
        <v>3543</v>
      </c>
      <c r="FZ136" s="35" t="s">
        <v>535</v>
      </c>
      <c r="GA136" s="35" t="s">
        <v>3544</v>
      </c>
      <c r="GB136" s="35" t="s">
        <v>3545</v>
      </c>
      <c r="GC136" s="35" t="s">
        <v>455</v>
      </c>
      <c r="GD136" s="35" t="s">
        <v>10720</v>
      </c>
      <c r="GE136" s="35" t="s">
        <v>10721</v>
      </c>
      <c r="GF136" s="35" t="s">
        <v>753</v>
      </c>
      <c r="GG136" s="35" t="s">
        <v>2619</v>
      </c>
      <c r="GK136" s="35" t="s">
        <v>755</v>
      </c>
      <c r="GL136" s="35" t="s">
        <v>755</v>
      </c>
      <c r="GM136" s="35" t="s">
        <v>817</v>
      </c>
      <c r="GO136" s="35" t="s">
        <v>3524</v>
      </c>
      <c r="GR136" s="35" t="s">
        <v>3208</v>
      </c>
    </row>
    <row r="137">
      <c r="A137" s="40"/>
      <c r="B137" s="40">
        <v>45831.14147674768</v>
      </c>
      <c r="C137" s="35" t="s">
        <v>368</v>
      </c>
      <c r="D137" s="35" t="s">
        <v>538</v>
      </c>
      <c r="E137" s="35" t="s">
        <v>1201</v>
      </c>
      <c r="H137" s="35" t="s">
        <v>422</v>
      </c>
      <c r="I137" s="35" t="s">
        <v>423</v>
      </c>
      <c r="J137" s="35" t="s">
        <v>424</v>
      </c>
      <c r="K137" s="35" t="s">
        <v>425</v>
      </c>
      <c r="L137" s="35" t="s">
        <v>376</v>
      </c>
      <c r="M137" s="35" t="s">
        <v>379</v>
      </c>
      <c r="N137" s="35" t="s">
        <v>541</v>
      </c>
      <c r="O137" s="35" t="s">
        <v>379</v>
      </c>
      <c r="P137" s="35" t="s">
        <v>3546</v>
      </c>
      <c r="Q137" s="35" t="s">
        <v>498</v>
      </c>
      <c r="R137" s="35" t="s">
        <v>382</v>
      </c>
      <c r="S137" s="35" t="s">
        <v>427</v>
      </c>
      <c r="T137" s="35" t="s">
        <v>384</v>
      </c>
      <c r="U137" s="35" t="s">
        <v>385</v>
      </c>
      <c r="X137" s="35" t="s">
        <v>3014</v>
      </c>
      <c r="AW137" s="35" t="s">
        <v>1310</v>
      </c>
      <c r="AX137" s="41">
        <v>4.0</v>
      </c>
      <c r="AY137" s="41">
        <v>4.0</v>
      </c>
      <c r="AZ137" s="35" t="s">
        <v>391</v>
      </c>
      <c r="BA137" s="35" t="s">
        <v>391</v>
      </c>
      <c r="BB137" s="41">
        <v>4.0</v>
      </c>
      <c r="BC137" s="41">
        <v>4.0</v>
      </c>
      <c r="BD137" s="35" t="s">
        <v>3547</v>
      </c>
      <c r="BE137" s="35" t="s">
        <v>3548</v>
      </c>
      <c r="BF137" s="35" t="s">
        <v>432</v>
      </c>
      <c r="BG137" s="35" t="s">
        <v>1095</v>
      </c>
      <c r="BH137" s="35" t="s">
        <v>725</v>
      </c>
      <c r="BI137" s="35" t="s">
        <v>3549</v>
      </c>
      <c r="BJ137" s="35" t="s">
        <v>435</v>
      </c>
      <c r="BK137" s="35" t="s">
        <v>3550</v>
      </c>
      <c r="BL137" s="35" t="s">
        <v>395</v>
      </c>
      <c r="BM137" s="35" t="s">
        <v>603</v>
      </c>
      <c r="BN137" s="35" t="s">
        <v>1247</v>
      </c>
      <c r="BO137" s="35" t="s">
        <v>398</v>
      </c>
      <c r="BP137" s="35" t="s">
        <v>3551</v>
      </c>
      <c r="BQ137" s="35" t="s">
        <v>3552</v>
      </c>
      <c r="BR137" s="35" t="s">
        <v>604</v>
      </c>
      <c r="BS137" s="35" t="s">
        <v>3553</v>
      </c>
      <c r="BT137" s="35" t="s">
        <v>403</v>
      </c>
      <c r="BU137" s="35" t="s">
        <v>1994</v>
      </c>
      <c r="BV137" s="35" t="s">
        <v>1772</v>
      </c>
      <c r="BW137" s="35" t="s">
        <v>3554</v>
      </c>
      <c r="BX137" s="35" t="s">
        <v>406</v>
      </c>
      <c r="BY137" s="35" t="s">
        <v>2503</v>
      </c>
      <c r="BZ137" s="35" t="s">
        <v>408</v>
      </c>
      <c r="CB137" s="35" t="s">
        <v>3555</v>
      </c>
      <c r="CC137" s="35" t="s">
        <v>3556</v>
      </c>
      <c r="CD137" s="35" t="s">
        <v>3557</v>
      </c>
      <c r="CE137" s="35" t="s">
        <v>409</v>
      </c>
      <c r="CF137" s="35" t="s">
        <v>3558</v>
      </c>
      <c r="CG137" s="35" t="s">
        <v>1258</v>
      </c>
      <c r="CI137" s="35" t="s">
        <v>1259</v>
      </c>
      <c r="CJ137" s="35" t="s">
        <v>833</v>
      </c>
      <c r="CK137" s="35" t="s">
        <v>3559</v>
      </c>
      <c r="CL137" s="35" t="s">
        <v>3560</v>
      </c>
      <c r="EU137" s="35" t="s">
        <v>578</v>
      </c>
      <c r="EV137" s="35" t="s">
        <v>479</v>
      </c>
      <c r="EW137" s="35" t="s">
        <v>527</v>
      </c>
      <c r="EX137" s="35" t="s">
        <v>3561</v>
      </c>
      <c r="EY137" s="35" t="s">
        <v>3562</v>
      </c>
      <c r="EZ137" s="35" t="s">
        <v>3563</v>
      </c>
      <c r="FA137" s="35" t="s">
        <v>414</v>
      </c>
      <c r="FB137" s="35" t="s">
        <v>583</v>
      </c>
      <c r="FC137" s="35" t="s">
        <v>415</v>
      </c>
      <c r="FD137" s="35" t="s">
        <v>414</v>
      </c>
      <c r="FE137" s="35" t="s">
        <v>416</v>
      </c>
      <c r="FF137" s="35" t="s">
        <v>583</v>
      </c>
      <c r="FG137" s="35" t="s">
        <v>414</v>
      </c>
      <c r="FH137" s="35" t="s">
        <v>416</v>
      </c>
      <c r="FI137" s="35" t="s">
        <v>414</v>
      </c>
      <c r="FJ137" s="35" t="s">
        <v>415</v>
      </c>
      <c r="FK137" s="35" t="s">
        <v>414</v>
      </c>
      <c r="FL137" s="35" t="s">
        <v>415</v>
      </c>
      <c r="FM137" s="35" t="s">
        <v>415</v>
      </c>
      <c r="FN137" s="35" t="s">
        <v>416</v>
      </c>
      <c r="FO137" s="35" t="s">
        <v>414</v>
      </c>
      <c r="FP137" s="35" t="s">
        <v>850</v>
      </c>
      <c r="FQ137" s="35" t="s">
        <v>418</v>
      </c>
      <c r="FR137" s="35" t="s">
        <v>749</v>
      </c>
      <c r="FS137" s="35" t="s">
        <v>3564</v>
      </c>
      <c r="FT137" s="35" t="s">
        <v>1189</v>
      </c>
      <c r="FU137" s="35" t="s">
        <v>1462</v>
      </c>
      <c r="FV137" s="35" t="s">
        <v>918</v>
      </c>
      <c r="FW137" s="35" t="s">
        <v>490</v>
      </c>
      <c r="FX137" s="35" t="s">
        <v>491</v>
      </c>
      <c r="FY137" s="35" t="s">
        <v>3565</v>
      </c>
      <c r="FZ137" s="35" t="s">
        <v>493</v>
      </c>
      <c r="GA137" s="35" t="s">
        <v>3566</v>
      </c>
      <c r="GB137" s="35" t="s">
        <v>3567</v>
      </c>
      <c r="GC137" s="35" t="s">
        <v>408</v>
      </c>
      <c r="GK137" s="35" t="s">
        <v>920</v>
      </c>
      <c r="GL137" s="35" t="s">
        <v>920</v>
      </c>
      <c r="GM137" s="35" t="s">
        <v>756</v>
      </c>
      <c r="GO137" s="35" t="s">
        <v>3012</v>
      </c>
      <c r="GP137" s="35" t="s">
        <v>3568</v>
      </c>
      <c r="GR137" s="35" t="s">
        <v>3569</v>
      </c>
    </row>
    <row r="138">
      <c r="A138" s="40"/>
      <c r="B138" s="40">
        <v>45831.20082736111</v>
      </c>
      <c r="C138" s="35" t="s">
        <v>368</v>
      </c>
      <c r="D138" s="35" t="s">
        <v>3570</v>
      </c>
      <c r="E138" s="35" t="s">
        <v>370</v>
      </c>
      <c r="G138" s="35" t="s">
        <v>2114</v>
      </c>
      <c r="H138" s="35" t="s">
        <v>372</v>
      </c>
      <c r="I138" s="35" t="s">
        <v>373</v>
      </c>
      <c r="J138" s="35" t="s">
        <v>374</v>
      </c>
      <c r="K138" s="35" t="s">
        <v>375</v>
      </c>
      <c r="L138" s="35" t="s">
        <v>376</v>
      </c>
      <c r="M138" s="35" t="s">
        <v>379</v>
      </c>
      <c r="N138" s="35" t="s">
        <v>541</v>
      </c>
      <c r="O138" s="35" t="s">
        <v>379</v>
      </c>
      <c r="P138" s="35" t="s">
        <v>380</v>
      </c>
      <c r="Q138" s="35" t="s">
        <v>381</v>
      </c>
      <c r="R138" s="35" t="s">
        <v>818</v>
      </c>
      <c r="S138" s="35" t="s">
        <v>427</v>
      </c>
      <c r="T138" s="35" t="s">
        <v>384</v>
      </c>
      <c r="U138" s="35" t="s">
        <v>385</v>
      </c>
      <c r="X138" s="35" t="s">
        <v>593</v>
      </c>
      <c r="Y138" s="35" t="s">
        <v>387</v>
      </c>
      <c r="AW138" s="35" t="s">
        <v>1310</v>
      </c>
      <c r="AX138" s="41">
        <v>4.0</v>
      </c>
      <c r="AY138" s="41">
        <v>4.0</v>
      </c>
      <c r="AZ138" s="41">
        <v>4.0</v>
      </c>
      <c r="BA138" s="35" t="s">
        <v>675</v>
      </c>
      <c r="BB138" s="35" t="s">
        <v>675</v>
      </c>
      <c r="BC138" s="41">
        <v>4.0</v>
      </c>
      <c r="BF138" s="35" t="s">
        <v>432</v>
      </c>
      <c r="BG138" s="35" t="s">
        <v>393</v>
      </c>
      <c r="BH138" s="35" t="s">
        <v>394</v>
      </c>
      <c r="BJ138" s="35" t="s">
        <v>976</v>
      </c>
      <c r="BL138" s="35" t="s">
        <v>681</v>
      </c>
      <c r="BM138" s="35" t="s">
        <v>904</v>
      </c>
      <c r="BN138" s="35" t="s">
        <v>1276</v>
      </c>
      <c r="BO138" s="35" t="s">
        <v>398</v>
      </c>
      <c r="BR138" s="35" t="s">
        <v>442</v>
      </c>
      <c r="BS138" s="35" t="s">
        <v>3571</v>
      </c>
      <c r="BU138" s="35" t="s">
        <v>404</v>
      </c>
      <c r="BV138" s="35" t="s">
        <v>405</v>
      </c>
      <c r="BX138" s="35" t="s">
        <v>406</v>
      </c>
      <c r="BY138" s="35" t="s">
        <v>2503</v>
      </c>
      <c r="BZ138" s="35" t="s">
        <v>408</v>
      </c>
      <c r="CE138" s="35" t="s">
        <v>1257</v>
      </c>
      <c r="CI138" s="35" t="s">
        <v>1698</v>
      </c>
      <c r="CJ138" s="35" t="s">
        <v>833</v>
      </c>
      <c r="CK138" s="35" t="s">
        <v>3572</v>
      </c>
      <c r="CL138" s="35" t="s">
        <v>10722</v>
      </c>
      <c r="EU138" s="35" t="s">
        <v>478</v>
      </c>
      <c r="EV138" s="35" t="s">
        <v>1127</v>
      </c>
      <c r="EW138" s="35" t="s">
        <v>778</v>
      </c>
      <c r="EX138" s="35" t="s">
        <v>3574</v>
      </c>
      <c r="EY138" s="35" t="s">
        <v>10723</v>
      </c>
      <c r="FP138" s="35" t="s">
        <v>3396</v>
      </c>
      <c r="FQ138" s="35" t="s">
        <v>418</v>
      </c>
      <c r="FR138" s="35" t="s">
        <v>712</v>
      </c>
      <c r="FT138" s="35" t="s">
        <v>420</v>
      </c>
      <c r="FU138" s="35" t="s">
        <v>488</v>
      </c>
      <c r="FV138" s="35" t="s">
        <v>918</v>
      </c>
      <c r="FW138" s="35" t="s">
        <v>490</v>
      </c>
      <c r="FX138" s="35" t="s">
        <v>491</v>
      </c>
      <c r="FZ138" s="35" t="s">
        <v>535</v>
      </c>
      <c r="GC138" s="35" t="s">
        <v>408</v>
      </c>
      <c r="GK138" s="35" t="s">
        <v>788</v>
      </c>
      <c r="GL138" s="35" t="s">
        <v>788</v>
      </c>
    </row>
    <row r="139">
      <c r="A139" s="40"/>
      <c r="B139" s="40">
        <v>45831.2807103125</v>
      </c>
      <c r="C139" s="35" t="s">
        <v>368</v>
      </c>
      <c r="D139" s="35" t="s">
        <v>3576</v>
      </c>
      <c r="E139" s="35" t="s">
        <v>3576</v>
      </c>
      <c r="H139" s="35" t="s">
        <v>422</v>
      </c>
      <c r="I139" s="35" t="s">
        <v>423</v>
      </c>
      <c r="J139" s="35" t="s">
        <v>668</v>
      </c>
      <c r="K139" s="35" t="s">
        <v>718</v>
      </c>
      <c r="L139" s="35" t="s">
        <v>376</v>
      </c>
      <c r="M139" s="35" t="s">
        <v>793</v>
      </c>
      <c r="N139" s="35" t="s">
        <v>639</v>
      </c>
      <c r="O139" s="35" t="s">
        <v>377</v>
      </c>
      <c r="P139" s="35" t="s">
        <v>2097</v>
      </c>
      <c r="Q139" s="35" t="s">
        <v>498</v>
      </c>
      <c r="R139" s="35" t="s">
        <v>382</v>
      </c>
      <c r="S139" s="35" t="s">
        <v>500</v>
      </c>
      <c r="T139" s="35" t="s">
        <v>384</v>
      </c>
      <c r="U139" s="35" t="s">
        <v>385</v>
      </c>
      <c r="X139" s="35" t="s">
        <v>3014</v>
      </c>
      <c r="AW139" s="35" t="s">
        <v>1242</v>
      </c>
      <c r="AX139" s="41">
        <v>4.0</v>
      </c>
      <c r="AY139" s="41">
        <v>4.0</v>
      </c>
      <c r="AZ139" s="41">
        <v>4.0</v>
      </c>
      <c r="BA139" s="41">
        <v>4.0</v>
      </c>
      <c r="BB139" s="41">
        <v>4.0</v>
      </c>
      <c r="BC139" s="41">
        <v>4.0</v>
      </c>
      <c r="BD139" s="35" t="s">
        <v>10724</v>
      </c>
      <c r="BE139" s="35" t="s">
        <v>10725</v>
      </c>
      <c r="BF139" s="35" t="s">
        <v>2379</v>
      </c>
      <c r="BG139" s="35" t="s">
        <v>1095</v>
      </c>
      <c r="BH139" s="35" t="s">
        <v>394</v>
      </c>
      <c r="BI139" s="35" t="s">
        <v>10726</v>
      </c>
      <c r="BJ139" s="35" t="s">
        <v>976</v>
      </c>
      <c r="BK139" s="35" t="s">
        <v>10727</v>
      </c>
      <c r="BL139" s="35" t="s">
        <v>511</v>
      </c>
      <c r="BM139" s="35" t="s">
        <v>904</v>
      </c>
      <c r="BN139" s="35" t="s">
        <v>1314</v>
      </c>
      <c r="BO139" s="35" t="s">
        <v>398</v>
      </c>
      <c r="BP139" s="35" t="s">
        <v>10728</v>
      </c>
      <c r="BQ139" s="35" t="s">
        <v>3580</v>
      </c>
      <c r="BR139" s="35" t="s">
        <v>401</v>
      </c>
      <c r="BS139" s="35" t="s">
        <v>1740</v>
      </c>
      <c r="BT139" s="35" t="s">
        <v>403</v>
      </c>
      <c r="BU139" s="35" t="s">
        <v>1994</v>
      </c>
      <c r="BV139" s="35" t="s">
        <v>1772</v>
      </c>
      <c r="BW139" s="35" t="s">
        <v>10729</v>
      </c>
      <c r="BX139" s="35" t="s">
        <v>3582</v>
      </c>
      <c r="BY139" s="35" t="s">
        <v>1867</v>
      </c>
      <c r="BZ139" s="35" t="s">
        <v>408</v>
      </c>
      <c r="CA139" s="35" t="s">
        <v>10727</v>
      </c>
      <c r="CB139" s="35" t="s">
        <v>10730</v>
      </c>
      <c r="CC139" s="35" t="s">
        <v>3584</v>
      </c>
      <c r="CD139" s="35" t="s">
        <v>10731</v>
      </c>
      <c r="CE139" s="35" t="s">
        <v>451</v>
      </c>
      <c r="CF139" s="35" t="s">
        <v>10732</v>
      </c>
      <c r="CG139" s="35" t="s">
        <v>2233</v>
      </c>
      <c r="CH139" s="35" t="s">
        <v>10733</v>
      </c>
      <c r="CI139" s="35" t="s">
        <v>2744</v>
      </c>
      <c r="CJ139" s="35" t="s">
        <v>410</v>
      </c>
      <c r="CK139" s="35" t="s">
        <v>10734</v>
      </c>
      <c r="CL139" s="35" t="s">
        <v>10735</v>
      </c>
      <c r="EU139" s="35" t="s">
        <v>526</v>
      </c>
      <c r="EV139" s="35" t="s">
        <v>579</v>
      </c>
      <c r="EW139" s="35" t="s">
        <v>580</v>
      </c>
      <c r="EY139" s="35" t="s">
        <v>10736</v>
      </c>
      <c r="EZ139" s="35" t="s">
        <v>10727</v>
      </c>
      <c r="FA139" s="35" t="s">
        <v>415</v>
      </c>
      <c r="FB139" s="35" t="s">
        <v>413</v>
      </c>
      <c r="FC139" s="35" t="s">
        <v>416</v>
      </c>
      <c r="FD139" s="35" t="s">
        <v>416</v>
      </c>
      <c r="FE139" s="35" t="s">
        <v>416</v>
      </c>
      <c r="FF139" s="35" t="s">
        <v>414</v>
      </c>
      <c r="FG139" s="35" t="s">
        <v>415</v>
      </c>
      <c r="FH139" s="35" t="s">
        <v>415</v>
      </c>
      <c r="FI139" s="35" t="s">
        <v>416</v>
      </c>
      <c r="FJ139" s="35" t="s">
        <v>415</v>
      </c>
      <c r="FK139" s="35" t="s">
        <v>415</v>
      </c>
      <c r="FL139" s="35" t="s">
        <v>415</v>
      </c>
      <c r="FM139" s="35" t="s">
        <v>415</v>
      </c>
      <c r="FN139" s="35" t="s">
        <v>415</v>
      </c>
      <c r="FO139" s="35" t="s">
        <v>415</v>
      </c>
      <c r="FP139" s="35" t="s">
        <v>850</v>
      </c>
      <c r="FQ139" s="35" t="s">
        <v>418</v>
      </c>
      <c r="FR139" s="35" t="s">
        <v>531</v>
      </c>
      <c r="FS139" s="35" t="s">
        <v>10737</v>
      </c>
      <c r="FT139" s="35" t="s">
        <v>1189</v>
      </c>
      <c r="FU139" s="35" t="s">
        <v>421</v>
      </c>
      <c r="FV139" s="35" t="s">
        <v>918</v>
      </c>
      <c r="FW139" s="35" t="s">
        <v>490</v>
      </c>
      <c r="FX139" s="35" t="s">
        <v>491</v>
      </c>
      <c r="FY139" s="35" t="s">
        <v>10738</v>
      </c>
      <c r="FZ139" s="35" t="s">
        <v>1854</v>
      </c>
      <c r="GC139" s="35" t="s">
        <v>455</v>
      </c>
      <c r="GD139" s="35" t="s">
        <v>10739</v>
      </c>
      <c r="GF139" s="35" t="s">
        <v>753</v>
      </c>
      <c r="GG139" s="35" t="s">
        <v>455</v>
      </c>
      <c r="GK139" s="35" t="s">
        <v>755</v>
      </c>
      <c r="GL139" s="35" t="s">
        <v>920</v>
      </c>
      <c r="GM139" s="35" t="s">
        <v>946</v>
      </c>
      <c r="GO139" s="35" t="s">
        <v>3593</v>
      </c>
      <c r="GP139" s="35" t="s">
        <v>3594</v>
      </c>
      <c r="GR139" s="35" t="s">
        <v>3208</v>
      </c>
    </row>
    <row r="140">
      <c r="A140" s="40"/>
      <c r="B140" s="40">
        <v>45831.437976030094</v>
      </c>
      <c r="C140" s="35" t="s">
        <v>368</v>
      </c>
      <c r="D140" s="35" t="s">
        <v>370</v>
      </c>
      <c r="F140" s="35" t="s">
        <v>859</v>
      </c>
      <c r="H140" s="35" t="s">
        <v>372</v>
      </c>
      <c r="I140" s="35" t="s">
        <v>373</v>
      </c>
      <c r="J140" s="35" t="s">
        <v>374</v>
      </c>
      <c r="K140" s="35" t="s">
        <v>669</v>
      </c>
      <c r="L140" s="35" t="s">
        <v>376</v>
      </c>
      <c r="M140" s="35" t="s">
        <v>793</v>
      </c>
      <c r="N140" s="35" t="s">
        <v>378</v>
      </c>
      <c r="O140" s="35" t="s">
        <v>793</v>
      </c>
      <c r="P140" s="35" t="s">
        <v>3673</v>
      </c>
      <c r="Q140" s="35" t="s">
        <v>592</v>
      </c>
      <c r="R140" s="35" t="s">
        <v>382</v>
      </c>
      <c r="S140" s="35" t="s">
        <v>795</v>
      </c>
      <c r="T140" s="35" t="s">
        <v>384</v>
      </c>
      <c r="U140" s="35" t="s">
        <v>385</v>
      </c>
      <c r="X140" s="35" t="s">
        <v>386</v>
      </c>
      <c r="AW140" s="35" t="s">
        <v>1242</v>
      </c>
      <c r="AX140" s="35" t="s">
        <v>675</v>
      </c>
      <c r="AY140" s="35" t="s">
        <v>675</v>
      </c>
      <c r="AZ140" s="35" t="s">
        <v>675</v>
      </c>
      <c r="BA140" s="35" t="s">
        <v>675</v>
      </c>
      <c r="BB140" s="35" t="s">
        <v>675</v>
      </c>
      <c r="BC140" s="35" t="s">
        <v>675</v>
      </c>
      <c r="BD140" s="35" t="s">
        <v>10740</v>
      </c>
      <c r="BE140" s="35" t="s">
        <v>10741</v>
      </c>
      <c r="BF140" s="35" t="s">
        <v>2379</v>
      </c>
      <c r="BG140" s="35" t="s">
        <v>1245</v>
      </c>
      <c r="BH140" s="35" t="s">
        <v>394</v>
      </c>
      <c r="BI140" s="35" t="s">
        <v>3676</v>
      </c>
      <c r="BJ140" s="35" t="s">
        <v>435</v>
      </c>
      <c r="BK140" s="35" t="s">
        <v>10742</v>
      </c>
      <c r="BL140" s="35" t="s">
        <v>681</v>
      </c>
      <c r="BM140" s="35" t="s">
        <v>603</v>
      </c>
      <c r="BN140" s="35" t="s">
        <v>1314</v>
      </c>
      <c r="BO140" s="35" t="s">
        <v>398</v>
      </c>
      <c r="BP140" s="35" t="s">
        <v>3678</v>
      </c>
      <c r="BQ140" s="35" t="s">
        <v>3679</v>
      </c>
      <c r="BR140" s="35" t="s">
        <v>604</v>
      </c>
      <c r="BS140" s="35" t="s">
        <v>1830</v>
      </c>
      <c r="BT140" s="35" t="s">
        <v>1741</v>
      </c>
      <c r="BU140" s="35" t="s">
        <v>1742</v>
      </c>
      <c r="BV140" s="35" t="s">
        <v>405</v>
      </c>
      <c r="BW140" s="35" t="s">
        <v>1211</v>
      </c>
      <c r="BX140" s="35" t="s">
        <v>988</v>
      </c>
      <c r="BZ140" s="35" t="s">
        <v>408</v>
      </c>
      <c r="CB140" s="35" t="s">
        <v>10743</v>
      </c>
      <c r="CC140" s="35" t="s">
        <v>10744</v>
      </c>
      <c r="CE140" s="35" t="s">
        <v>1257</v>
      </c>
      <c r="CF140" s="35" t="s">
        <v>3682</v>
      </c>
      <c r="CG140" s="35" t="s">
        <v>1722</v>
      </c>
      <c r="CH140" s="35" t="s">
        <v>10745</v>
      </c>
      <c r="CI140" s="35" t="s">
        <v>1259</v>
      </c>
      <c r="CJ140" s="35" t="s">
        <v>410</v>
      </c>
      <c r="CK140" s="35" t="s">
        <v>10746</v>
      </c>
      <c r="CL140" s="35" t="s">
        <v>3685</v>
      </c>
      <c r="EU140" s="35" t="s">
        <v>526</v>
      </c>
      <c r="EV140" s="35" t="s">
        <v>579</v>
      </c>
      <c r="EW140" s="35" t="s">
        <v>778</v>
      </c>
      <c r="EX140" s="35" t="s">
        <v>10747</v>
      </c>
      <c r="EY140" s="35" t="s">
        <v>3687</v>
      </c>
      <c r="EZ140" s="35" t="s">
        <v>3688</v>
      </c>
      <c r="FA140" s="35" t="s">
        <v>413</v>
      </c>
      <c r="FB140" s="35" t="s">
        <v>413</v>
      </c>
      <c r="FC140" s="35" t="s">
        <v>413</v>
      </c>
      <c r="FD140" s="35" t="s">
        <v>413</v>
      </c>
      <c r="FE140" s="35" t="s">
        <v>413</v>
      </c>
      <c r="FF140" s="35" t="s">
        <v>413</v>
      </c>
      <c r="FG140" s="35" t="s">
        <v>413</v>
      </c>
      <c r="FH140" s="35" t="s">
        <v>416</v>
      </c>
      <c r="FI140" s="35" t="s">
        <v>416</v>
      </c>
      <c r="FJ140" s="35" t="s">
        <v>413</v>
      </c>
      <c r="FK140" s="35" t="s">
        <v>413</v>
      </c>
      <c r="FL140" s="35" t="s">
        <v>413</v>
      </c>
      <c r="FM140" s="35" t="s">
        <v>413</v>
      </c>
      <c r="FN140" s="35" t="s">
        <v>415</v>
      </c>
      <c r="FO140" s="35" t="s">
        <v>413</v>
      </c>
      <c r="FP140" s="35" t="s">
        <v>417</v>
      </c>
      <c r="FQ140" s="35" t="s">
        <v>418</v>
      </c>
      <c r="FR140" s="35" t="s">
        <v>531</v>
      </c>
      <c r="FS140" s="35" t="s">
        <v>3689</v>
      </c>
      <c r="FT140" s="35" t="s">
        <v>420</v>
      </c>
      <c r="FU140" s="35" t="s">
        <v>488</v>
      </c>
      <c r="FV140" s="35" t="s">
        <v>1235</v>
      </c>
      <c r="FW140" s="35" t="s">
        <v>490</v>
      </c>
      <c r="FX140" s="35" t="s">
        <v>491</v>
      </c>
      <c r="FY140" s="35" t="s">
        <v>10748</v>
      </c>
      <c r="FZ140" s="35" t="s">
        <v>493</v>
      </c>
      <c r="GA140" s="35" t="s">
        <v>10749</v>
      </c>
      <c r="GB140" s="35" t="s">
        <v>10750</v>
      </c>
      <c r="GC140" s="35" t="s">
        <v>455</v>
      </c>
      <c r="GE140" s="35" t="s">
        <v>3693</v>
      </c>
      <c r="GF140" s="35" t="s">
        <v>753</v>
      </c>
      <c r="GG140" s="35" t="s">
        <v>1479</v>
      </c>
      <c r="GK140" s="35" t="s">
        <v>755</v>
      </c>
      <c r="GL140" s="35" t="s">
        <v>755</v>
      </c>
      <c r="GM140" s="35" t="s">
        <v>946</v>
      </c>
      <c r="GR140" s="35" t="s">
        <v>3208</v>
      </c>
    </row>
    <row r="141">
      <c r="A141" s="40"/>
      <c r="B141" s="40">
        <v>45831.54904612269</v>
      </c>
      <c r="C141" s="35" t="s">
        <v>368</v>
      </c>
      <c r="D141" s="35" t="s">
        <v>370</v>
      </c>
      <c r="F141" s="35" t="s">
        <v>1421</v>
      </c>
      <c r="H141" s="35" t="s">
        <v>422</v>
      </c>
      <c r="I141" s="35" t="s">
        <v>539</v>
      </c>
      <c r="J141" s="35" t="s">
        <v>374</v>
      </c>
      <c r="K141" s="35" t="s">
        <v>425</v>
      </c>
      <c r="L141" s="35" t="s">
        <v>376</v>
      </c>
      <c r="M141" s="35" t="s">
        <v>793</v>
      </c>
      <c r="N141" s="35" t="s">
        <v>639</v>
      </c>
      <c r="O141" s="35" t="s">
        <v>591</v>
      </c>
      <c r="P141" s="35" t="s">
        <v>719</v>
      </c>
      <c r="Q141" s="35" t="s">
        <v>498</v>
      </c>
      <c r="R141" s="35" t="s">
        <v>862</v>
      </c>
      <c r="S141" s="35" t="s">
        <v>949</v>
      </c>
      <c r="T141" s="35" t="s">
        <v>384</v>
      </c>
      <c r="U141" s="35" t="s">
        <v>385</v>
      </c>
      <c r="X141" s="35" t="s">
        <v>3014</v>
      </c>
      <c r="AW141" s="35" t="s">
        <v>597</v>
      </c>
      <c r="AX141" s="35" t="s">
        <v>675</v>
      </c>
      <c r="AY141" s="41">
        <v>4.0</v>
      </c>
      <c r="AZ141" s="35" t="s">
        <v>391</v>
      </c>
      <c r="BA141" s="41">
        <v>4.0</v>
      </c>
      <c r="BB141" s="35" t="s">
        <v>675</v>
      </c>
      <c r="BC141" s="35" t="s">
        <v>675</v>
      </c>
      <c r="BD141" s="35" t="s">
        <v>10751</v>
      </c>
      <c r="BE141" s="35" t="s">
        <v>10752</v>
      </c>
      <c r="BF141" s="35" t="s">
        <v>902</v>
      </c>
      <c r="BG141" s="35" t="s">
        <v>1095</v>
      </c>
      <c r="BH141" s="35" t="s">
        <v>394</v>
      </c>
      <c r="BI141" s="35" t="s">
        <v>3760</v>
      </c>
      <c r="BJ141" s="35" t="s">
        <v>976</v>
      </c>
      <c r="BL141" s="35" t="s">
        <v>437</v>
      </c>
      <c r="BM141" s="35" t="s">
        <v>603</v>
      </c>
      <c r="BN141" s="35" t="s">
        <v>1314</v>
      </c>
      <c r="BO141" s="35" t="s">
        <v>398</v>
      </c>
      <c r="BP141" s="35" t="s">
        <v>10753</v>
      </c>
      <c r="BQ141" s="35" t="s">
        <v>10754</v>
      </c>
      <c r="BR141" s="35" t="s">
        <v>442</v>
      </c>
      <c r="BS141" s="35" t="s">
        <v>3763</v>
      </c>
      <c r="BT141" s="35" t="s">
        <v>1741</v>
      </c>
      <c r="BU141" s="35" t="s">
        <v>1672</v>
      </c>
      <c r="BV141" s="35" t="s">
        <v>1693</v>
      </c>
      <c r="BW141" s="35" t="s">
        <v>10755</v>
      </c>
      <c r="BX141" s="35" t="s">
        <v>457</v>
      </c>
      <c r="BZ141" s="35" t="s">
        <v>408</v>
      </c>
      <c r="CB141" s="35" t="s">
        <v>10756</v>
      </c>
      <c r="CC141" s="35" t="s">
        <v>10757</v>
      </c>
      <c r="CD141" s="35" t="s">
        <v>10758</v>
      </c>
      <c r="CE141" s="35" t="s">
        <v>451</v>
      </c>
      <c r="CF141" s="35" t="s">
        <v>10759</v>
      </c>
      <c r="CG141" s="35" t="s">
        <v>1722</v>
      </c>
      <c r="CH141" s="35" t="s">
        <v>10760</v>
      </c>
      <c r="CI141" s="35" t="s">
        <v>1679</v>
      </c>
      <c r="CJ141" s="35" t="s">
        <v>410</v>
      </c>
      <c r="CK141" s="35" t="s">
        <v>3770</v>
      </c>
      <c r="CL141" s="35" t="s">
        <v>10761</v>
      </c>
      <c r="EU141" s="35" t="s">
        <v>578</v>
      </c>
      <c r="EV141" s="35" t="s">
        <v>479</v>
      </c>
      <c r="EW141" s="35" t="s">
        <v>480</v>
      </c>
      <c r="EX141" s="35" t="s">
        <v>3772</v>
      </c>
      <c r="EY141" s="35" t="s">
        <v>10762</v>
      </c>
      <c r="EZ141" s="35" t="s">
        <v>10763</v>
      </c>
      <c r="FA141" s="35" t="s">
        <v>583</v>
      </c>
      <c r="FB141" s="35" t="s">
        <v>583</v>
      </c>
      <c r="FC141" s="35" t="s">
        <v>583</v>
      </c>
      <c r="FD141" s="35" t="s">
        <v>583</v>
      </c>
      <c r="FE141" s="35" t="s">
        <v>416</v>
      </c>
      <c r="FF141" s="35" t="s">
        <v>583</v>
      </c>
      <c r="FG141" s="35" t="s">
        <v>583</v>
      </c>
      <c r="FH141" s="35" t="s">
        <v>413</v>
      </c>
      <c r="FI141" s="35" t="s">
        <v>583</v>
      </c>
      <c r="FJ141" s="35" t="s">
        <v>414</v>
      </c>
      <c r="FK141" s="35" t="s">
        <v>414</v>
      </c>
      <c r="FL141" s="35" t="s">
        <v>413</v>
      </c>
      <c r="FM141" s="35" t="s">
        <v>413</v>
      </c>
      <c r="FN141" s="35" t="s">
        <v>413</v>
      </c>
      <c r="FO141" s="35" t="s">
        <v>583</v>
      </c>
      <c r="FP141" s="35" t="s">
        <v>417</v>
      </c>
      <c r="FQ141" s="35" t="s">
        <v>418</v>
      </c>
      <c r="FR141" s="35" t="s">
        <v>419</v>
      </c>
      <c r="FS141" s="35" t="s">
        <v>10764</v>
      </c>
      <c r="FT141" s="35" t="s">
        <v>420</v>
      </c>
      <c r="FU141" s="35" t="s">
        <v>488</v>
      </c>
      <c r="FV141" s="35" t="s">
        <v>489</v>
      </c>
      <c r="FW141" s="35" t="s">
        <v>490</v>
      </c>
      <c r="FX141" s="35" t="s">
        <v>491</v>
      </c>
      <c r="FY141" s="35" t="s">
        <v>10765</v>
      </c>
      <c r="FZ141" s="35" t="s">
        <v>535</v>
      </c>
      <c r="GA141" s="35" t="s">
        <v>3777</v>
      </c>
      <c r="GC141" s="35" t="s">
        <v>408</v>
      </c>
      <c r="GK141" s="35" t="s">
        <v>755</v>
      </c>
      <c r="GL141" s="35" t="s">
        <v>755</v>
      </c>
      <c r="GM141" s="35" t="s">
        <v>817</v>
      </c>
      <c r="GR141" s="35" t="s">
        <v>3351</v>
      </c>
    </row>
    <row r="142">
      <c r="A142" s="40"/>
      <c r="B142" s="40">
        <v>45831.615562349536</v>
      </c>
      <c r="C142" s="35" t="s">
        <v>368</v>
      </c>
      <c r="D142" s="35" t="s">
        <v>370</v>
      </c>
      <c r="F142" s="35" t="s">
        <v>1001</v>
      </c>
      <c r="H142" s="35" t="s">
        <v>422</v>
      </c>
      <c r="I142" s="35" t="s">
        <v>496</v>
      </c>
      <c r="J142" s="35" t="s">
        <v>2578</v>
      </c>
      <c r="K142" s="35" t="s">
        <v>375</v>
      </c>
      <c r="L142" s="35" t="s">
        <v>376</v>
      </c>
      <c r="M142" s="35" t="s">
        <v>793</v>
      </c>
      <c r="N142" s="35" t="s">
        <v>719</v>
      </c>
      <c r="O142" s="35" t="s">
        <v>591</v>
      </c>
      <c r="P142" s="35" t="s">
        <v>719</v>
      </c>
      <c r="Q142" s="35" t="s">
        <v>592</v>
      </c>
      <c r="R142" s="35" t="s">
        <v>818</v>
      </c>
      <c r="S142" s="35" t="s">
        <v>427</v>
      </c>
      <c r="T142" s="35" t="s">
        <v>384</v>
      </c>
      <c r="U142" s="35" t="s">
        <v>385</v>
      </c>
      <c r="X142" s="35" t="s">
        <v>3014</v>
      </c>
      <c r="AW142" s="35" t="s">
        <v>1310</v>
      </c>
      <c r="AX142" s="35" t="s">
        <v>675</v>
      </c>
      <c r="AY142" s="35" t="s">
        <v>675</v>
      </c>
      <c r="AZ142" s="41">
        <v>4.0</v>
      </c>
      <c r="BA142" s="35" t="s">
        <v>391</v>
      </c>
      <c r="BB142" s="35" t="s">
        <v>675</v>
      </c>
      <c r="BC142" s="35" t="s">
        <v>675</v>
      </c>
      <c r="BD142" s="35" t="s">
        <v>3778</v>
      </c>
      <c r="BE142" s="35" t="s">
        <v>3779</v>
      </c>
      <c r="BF142" s="35" t="s">
        <v>392</v>
      </c>
      <c r="BG142" s="35" t="s">
        <v>1245</v>
      </c>
      <c r="BH142" s="35" t="s">
        <v>434</v>
      </c>
      <c r="BI142" s="35" t="s">
        <v>3780</v>
      </c>
      <c r="BJ142" s="35" t="s">
        <v>976</v>
      </c>
      <c r="BK142" s="35" t="s">
        <v>3781</v>
      </c>
      <c r="BL142" s="35" t="s">
        <v>511</v>
      </c>
      <c r="BM142" s="35" t="s">
        <v>904</v>
      </c>
      <c r="BN142" s="35" t="s">
        <v>1247</v>
      </c>
      <c r="BO142" s="35" t="s">
        <v>398</v>
      </c>
      <c r="BP142" s="35" t="s">
        <v>3782</v>
      </c>
      <c r="BQ142" s="35" t="s">
        <v>3783</v>
      </c>
      <c r="BR142" s="35" t="s">
        <v>442</v>
      </c>
      <c r="BS142" s="35" t="s">
        <v>3784</v>
      </c>
      <c r="BT142" s="35" t="s">
        <v>1671</v>
      </c>
      <c r="BU142" s="35" t="s">
        <v>1672</v>
      </c>
      <c r="BV142" s="35" t="s">
        <v>405</v>
      </c>
      <c r="BW142" s="35" t="s">
        <v>3785</v>
      </c>
      <c r="BX142" s="35" t="s">
        <v>457</v>
      </c>
      <c r="BY142" s="35" t="s">
        <v>1867</v>
      </c>
      <c r="BZ142" s="35" t="s">
        <v>408</v>
      </c>
      <c r="CC142" s="35" t="s">
        <v>10766</v>
      </c>
      <c r="CD142" s="35" t="s">
        <v>3787</v>
      </c>
      <c r="CE142" s="35" t="s">
        <v>451</v>
      </c>
      <c r="CF142" s="35" t="s">
        <v>3788</v>
      </c>
      <c r="CG142" s="35" t="s">
        <v>1258</v>
      </c>
      <c r="CI142" s="35" t="s">
        <v>1259</v>
      </c>
      <c r="CJ142" s="35" t="s">
        <v>410</v>
      </c>
      <c r="CK142" s="35" t="s">
        <v>10767</v>
      </c>
      <c r="CL142" s="35" t="s">
        <v>3790</v>
      </c>
      <c r="EU142" s="35" t="s">
        <v>578</v>
      </c>
      <c r="EV142" s="35" t="s">
        <v>1037</v>
      </c>
      <c r="EW142" s="35" t="s">
        <v>580</v>
      </c>
      <c r="EY142" s="35" t="s">
        <v>3791</v>
      </c>
      <c r="EZ142" s="35" t="s">
        <v>3792</v>
      </c>
      <c r="FA142" s="35" t="s">
        <v>416</v>
      </c>
      <c r="FB142" s="35" t="s">
        <v>416</v>
      </c>
      <c r="FC142" s="35" t="s">
        <v>413</v>
      </c>
      <c r="FD142" s="35" t="s">
        <v>413</v>
      </c>
      <c r="FE142" s="35" t="s">
        <v>413</v>
      </c>
      <c r="FF142" s="35" t="s">
        <v>413</v>
      </c>
      <c r="FG142" s="35" t="s">
        <v>413</v>
      </c>
      <c r="FH142" s="35" t="s">
        <v>413</v>
      </c>
      <c r="FI142" s="35" t="s">
        <v>583</v>
      </c>
      <c r="FJ142" s="35" t="s">
        <v>415</v>
      </c>
      <c r="FK142" s="35" t="s">
        <v>415</v>
      </c>
      <c r="FL142" s="35" t="s">
        <v>413</v>
      </c>
      <c r="FM142" s="35" t="s">
        <v>413</v>
      </c>
      <c r="FN142" s="35" t="s">
        <v>413</v>
      </c>
      <c r="FO142" s="35" t="s">
        <v>414</v>
      </c>
      <c r="FP142" s="35" t="s">
        <v>485</v>
      </c>
      <c r="FQ142" s="35" t="s">
        <v>418</v>
      </c>
      <c r="FR142" s="35" t="s">
        <v>749</v>
      </c>
      <c r="FS142" s="35" t="s">
        <v>2381</v>
      </c>
      <c r="FT142" s="35" t="s">
        <v>1189</v>
      </c>
      <c r="FU142" s="35" t="s">
        <v>488</v>
      </c>
      <c r="FV142" s="35" t="s">
        <v>918</v>
      </c>
      <c r="FW142" s="35" t="s">
        <v>490</v>
      </c>
      <c r="FX142" s="35" t="s">
        <v>491</v>
      </c>
      <c r="FY142" s="35" t="s">
        <v>3793</v>
      </c>
      <c r="FZ142" s="35" t="s">
        <v>535</v>
      </c>
      <c r="GA142" s="35" t="s">
        <v>3794</v>
      </c>
      <c r="GB142" s="35" t="s">
        <v>3795</v>
      </c>
      <c r="GC142" s="35" t="s">
        <v>455</v>
      </c>
      <c r="GD142" s="35" t="s">
        <v>10768</v>
      </c>
      <c r="GF142" s="35" t="s">
        <v>753</v>
      </c>
      <c r="GG142" s="35" t="s">
        <v>3796</v>
      </c>
      <c r="GK142" s="35" t="s">
        <v>920</v>
      </c>
      <c r="GL142" s="35" t="s">
        <v>920</v>
      </c>
      <c r="GM142" s="35" t="s">
        <v>756</v>
      </c>
      <c r="GR142" s="35" t="s">
        <v>3273</v>
      </c>
    </row>
    <row r="143">
      <c r="A143" s="40"/>
      <c r="B143" s="40">
        <v>45831.70685833333</v>
      </c>
      <c r="C143" s="35" t="s">
        <v>368</v>
      </c>
      <c r="D143" s="35" t="s">
        <v>370</v>
      </c>
      <c r="F143" s="35" t="s">
        <v>2114</v>
      </c>
      <c r="H143" s="35" t="s">
        <v>422</v>
      </c>
      <c r="I143" s="35" t="s">
        <v>496</v>
      </c>
      <c r="J143" s="35" t="s">
        <v>374</v>
      </c>
      <c r="K143" s="35" t="s">
        <v>540</v>
      </c>
      <c r="L143" s="35" t="s">
        <v>376</v>
      </c>
      <c r="M143" s="35" t="s">
        <v>591</v>
      </c>
      <c r="N143" s="35" t="s">
        <v>639</v>
      </c>
      <c r="O143" s="35" t="s">
        <v>426</v>
      </c>
      <c r="P143" s="35" t="s">
        <v>671</v>
      </c>
      <c r="Q143" s="35" t="s">
        <v>498</v>
      </c>
      <c r="R143" s="35" t="s">
        <v>1156</v>
      </c>
      <c r="S143" s="35" t="s">
        <v>427</v>
      </c>
      <c r="T143" s="35" t="s">
        <v>384</v>
      </c>
      <c r="U143" s="35" t="s">
        <v>385</v>
      </c>
      <c r="X143" s="35" t="s">
        <v>593</v>
      </c>
      <c r="Y143" s="35" t="s">
        <v>387</v>
      </c>
      <c r="Z143" s="35" t="s">
        <v>542</v>
      </c>
      <c r="AA143" s="35" t="s">
        <v>543</v>
      </c>
      <c r="AB143" s="35" t="s">
        <v>3826</v>
      </c>
      <c r="AC143" s="35" t="s">
        <v>3827</v>
      </c>
      <c r="AW143" s="35" t="s">
        <v>1242</v>
      </c>
      <c r="AX143" s="35" t="s">
        <v>391</v>
      </c>
      <c r="AY143" s="41">
        <v>4.0</v>
      </c>
      <c r="AZ143" s="35" t="s">
        <v>391</v>
      </c>
      <c r="BA143" s="41">
        <v>2.0</v>
      </c>
      <c r="BB143" s="41">
        <v>4.0</v>
      </c>
      <c r="BC143" s="41">
        <v>4.0</v>
      </c>
      <c r="BD143" s="35" t="s">
        <v>3828</v>
      </c>
      <c r="BE143" s="35" t="s">
        <v>3829</v>
      </c>
      <c r="BF143" s="35" t="s">
        <v>432</v>
      </c>
      <c r="BG143" s="35" t="s">
        <v>1095</v>
      </c>
      <c r="BH143" s="35" t="s">
        <v>725</v>
      </c>
      <c r="BI143" s="35" t="s">
        <v>3830</v>
      </c>
      <c r="BJ143" s="35" t="s">
        <v>976</v>
      </c>
      <c r="BL143" s="35" t="s">
        <v>681</v>
      </c>
      <c r="BM143" s="35" t="s">
        <v>438</v>
      </c>
      <c r="BN143" s="35" t="s">
        <v>1314</v>
      </c>
      <c r="BO143" s="35" t="s">
        <v>398</v>
      </c>
      <c r="BP143" s="35" t="s">
        <v>3831</v>
      </c>
      <c r="BQ143" s="35" t="s">
        <v>3832</v>
      </c>
      <c r="BR143" s="35" t="s">
        <v>604</v>
      </c>
      <c r="BS143" s="35" t="s">
        <v>3833</v>
      </c>
      <c r="BT143" s="35" t="s">
        <v>403</v>
      </c>
      <c r="BU143" s="35" t="s">
        <v>404</v>
      </c>
      <c r="BV143" s="35" t="s">
        <v>405</v>
      </c>
      <c r="BX143" s="35" t="s">
        <v>406</v>
      </c>
      <c r="BY143" s="35" t="s">
        <v>407</v>
      </c>
      <c r="BZ143" s="35" t="s">
        <v>408</v>
      </c>
      <c r="CA143" s="35" t="s">
        <v>3834</v>
      </c>
      <c r="CB143" s="35" t="s">
        <v>3835</v>
      </c>
      <c r="CC143" s="35" t="s">
        <v>3836</v>
      </c>
      <c r="CD143" s="35" t="s">
        <v>3837</v>
      </c>
      <c r="CE143" s="35" t="s">
        <v>409</v>
      </c>
      <c r="CF143" s="35" t="s">
        <v>3838</v>
      </c>
      <c r="CG143" s="35" t="s">
        <v>1258</v>
      </c>
      <c r="CI143" s="35" t="s">
        <v>1698</v>
      </c>
      <c r="CJ143" s="35" t="s">
        <v>833</v>
      </c>
      <c r="CK143" s="35" t="s">
        <v>3839</v>
      </c>
      <c r="CL143" s="35" t="s">
        <v>3840</v>
      </c>
      <c r="EU143" s="35" t="s">
        <v>526</v>
      </c>
      <c r="EV143" s="35" t="s">
        <v>1037</v>
      </c>
      <c r="EW143" s="35" t="s">
        <v>580</v>
      </c>
      <c r="EX143" s="35" t="s">
        <v>3841</v>
      </c>
      <c r="EY143" s="35" t="s">
        <v>3842</v>
      </c>
      <c r="EZ143" s="35" t="s">
        <v>3843</v>
      </c>
      <c r="FA143" s="35" t="s">
        <v>414</v>
      </c>
      <c r="FB143" s="35" t="s">
        <v>414</v>
      </c>
      <c r="FC143" s="35" t="s">
        <v>416</v>
      </c>
      <c r="FD143" s="35" t="s">
        <v>415</v>
      </c>
      <c r="FE143" s="35" t="s">
        <v>413</v>
      </c>
      <c r="FF143" s="35" t="s">
        <v>414</v>
      </c>
      <c r="FG143" s="35" t="s">
        <v>484</v>
      </c>
      <c r="FH143" s="35" t="s">
        <v>415</v>
      </c>
      <c r="FI143" s="35" t="s">
        <v>415</v>
      </c>
      <c r="FJ143" s="35" t="s">
        <v>414</v>
      </c>
      <c r="FK143" s="35" t="s">
        <v>415</v>
      </c>
      <c r="FL143" s="35" t="s">
        <v>484</v>
      </c>
      <c r="FM143" s="35" t="s">
        <v>484</v>
      </c>
      <c r="FN143" s="35" t="s">
        <v>484</v>
      </c>
      <c r="FO143" s="35" t="s">
        <v>484</v>
      </c>
      <c r="FP143" s="35" t="s">
        <v>485</v>
      </c>
      <c r="FQ143" s="35" t="s">
        <v>418</v>
      </c>
      <c r="FR143" s="35" t="s">
        <v>749</v>
      </c>
      <c r="FT143" s="35" t="s">
        <v>420</v>
      </c>
      <c r="FU143" s="35" t="s">
        <v>1476</v>
      </c>
      <c r="FV143" s="35" t="s">
        <v>489</v>
      </c>
      <c r="FW143" s="35" t="s">
        <v>490</v>
      </c>
      <c r="FX143" s="35" t="s">
        <v>491</v>
      </c>
      <c r="FY143" s="35" t="s">
        <v>3844</v>
      </c>
      <c r="FZ143" s="35" t="s">
        <v>1337</v>
      </c>
      <c r="GC143" s="35" t="s">
        <v>455</v>
      </c>
      <c r="GD143" s="35" t="s">
        <v>10769</v>
      </c>
      <c r="GF143" s="35" t="s">
        <v>855</v>
      </c>
      <c r="GK143" s="35" t="s">
        <v>857</v>
      </c>
      <c r="GL143" s="35" t="s">
        <v>857</v>
      </c>
      <c r="GM143" s="35" t="s">
        <v>817</v>
      </c>
      <c r="GR143" s="35" t="s">
        <v>3273</v>
      </c>
    </row>
    <row r="144">
      <c r="A144" s="40"/>
      <c r="B144" s="40">
        <v>45831.785180127314</v>
      </c>
      <c r="C144" s="35" t="s">
        <v>368</v>
      </c>
      <c r="D144" s="35" t="s">
        <v>370</v>
      </c>
      <c r="F144" s="35" t="s">
        <v>1441</v>
      </c>
      <c r="H144" s="35" t="s">
        <v>1093</v>
      </c>
      <c r="I144" s="35" t="s">
        <v>373</v>
      </c>
      <c r="J144" s="35" t="s">
        <v>374</v>
      </c>
      <c r="K144" s="35" t="s">
        <v>425</v>
      </c>
      <c r="L144" s="35" t="s">
        <v>376</v>
      </c>
      <c r="M144" s="35" t="s">
        <v>379</v>
      </c>
      <c r="N144" s="35" t="s">
        <v>3845</v>
      </c>
      <c r="O144" s="35" t="s">
        <v>426</v>
      </c>
      <c r="P144" s="35" t="s">
        <v>380</v>
      </c>
      <c r="Q144" s="35" t="s">
        <v>381</v>
      </c>
      <c r="R144" s="35" t="s">
        <v>499</v>
      </c>
      <c r="S144" s="35" t="s">
        <v>1197</v>
      </c>
      <c r="T144" s="35" t="s">
        <v>384</v>
      </c>
      <c r="U144" s="35" t="s">
        <v>385</v>
      </c>
      <c r="X144" s="35" t="s">
        <v>3014</v>
      </c>
      <c r="AW144" s="35" t="s">
        <v>1242</v>
      </c>
      <c r="AX144" s="35" t="s">
        <v>675</v>
      </c>
      <c r="AY144" s="35" t="s">
        <v>675</v>
      </c>
      <c r="AZ144" s="35" t="s">
        <v>675</v>
      </c>
      <c r="BA144" s="35" t="s">
        <v>675</v>
      </c>
      <c r="BB144" s="35" t="s">
        <v>675</v>
      </c>
      <c r="BC144" s="35" t="s">
        <v>675</v>
      </c>
      <c r="BD144" s="35" t="s">
        <v>10770</v>
      </c>
      <c r="BE144" s="35" t="s">
        <v>3847</v>
      </c>
      <c r="BF144" s="35" t="s">
        <v>2259</v>
      </c>
      <c r="BG144" s="35" t="s">
        <v>1245</v>
      </c>
      <c r="BH144" s="35" t="s">
        <v>394</v>
      </c>
      <c r="BI144" s="35" t="s">
        <v>3848</v>
      </c>
      <c r="BJ144" s="35" t="s">
        <v>976</v>
      </c>
      <c r="BL144" s="35" t="s">
        <v>602</v>
      </c>
      <c r="BM144" s="35" t="s">
        <v>904</v>
      </c>
      <c r="BN144" s="35" t="s">
        <v>1314</v>
      </c>
      <c r="BO144" s="35" t="s">
        <v>398</v>
      </c>
      <c r="BP144" s="35" t="s">
        <v>3849</v>
      </c>
      <c r="BQ144" s="35" t="s">
        <v>3850</v>
      </c>
      <c r="BR144" s="35" t="s">
        <v>401</v>
      </c>
      <c r="BS144" s="35" t="s">
        <v>1830</v>
      </c>
      <c r="BT144" s="35" t="s">
        <v>1741</v>
      </c>
      <c r="BU144" s="35" t="s">
        <v>404</v>
      </c>
      <c r="BV144" s="35" t="s">
        <v>1772</v>
      </c>
      <c r="BW144" s="35" t="s">
        <v>3851</v>
      </c>
      <c r="BX144" s="35" t="s">
        <v>406</v>
      </c>
      <c r="BY144" s="35" t="s">
        <v>2503</v>
      </c>
      <c r="BZ144" s="35" t="s">
        <v>408</v>
      </c>
      <c r="CC144" s="35" t="s">
        <v>3852</v>
      </c>
      <c r="CD144" s="35" t="s">
        <v>3853</v>
      </c>
      <c r="CE144" s="35" t="s">
        <v>1931</v>
      </c>
      <c r="CG144" s="35" t="s">
        <v>1258</v>
      </c>
      <c r="CI144" s="35" t="s">
        <v>1698</v>
      </c>
      <c r="CJ144" s="35" t="s">
        <v>410</v>
      </c>
      <c r="CK144" s="35" t="s">
        <v>10771</v>
      </c>
      <c r="CL144" s="35" t="s">
        <v>3855</v>
      </c>
      <c r="EU144" s="35" t="s">
        <v>578</v>
      </c>
      <c r="EV144" s="35" t="s">
        <v>1037</v>
      </c>
      <c r="EW144" s="35" t="s">
        <v>1262</v>
      </c>
      <c r="EY144" s="35" t="s">
        <v>3856</v>
      </c>
      <c r="EZ144" s="35" t="s">
        <v>3857</v>
      </c>
      <c r="FA144" s="35" t="s">
        <v>413</v>
      </c>
      <c r="FB144" s="35" t="s">
        <v>413</v>
      </c>
      <c r="FC144" s="35" t="s">
        <v>413</v>
      </c>
      <c r="FD144" s="35" t="s">
        <v>413</v>
      </c>
      <c r="FE144" s="35" t="s">
        <v>413</v>
      </c>
      <c r="FF144" s="35" t="s">
        <v>413</v>
      </c>
      <c r="FG144" s="35" t="s">
        <v>413</v>
      </c>
      <c r="FH144" s="35" t="s">
        <v>413</v>
      </c>
      <c r="FI144" s="35" t="s">
        <v>413</v>
      </c>
      <c r="FJ144" s="35" t="s">
        <v>413</v>
      </c>
      <c r="FK144" s="35" t="s">
        <v>413</v>
      </c>
      <c r="FL144" s="35" t="s">
        <v>413</v>
      </c>
      <c r="FM144" s="35" t="s">
        <v>413</v>
      </c>
      <c r="FN144" s="35" t="s">
        <v>413</v>
      </c>
      <c r="FO144" s="35" t="s">
        <v>583</v>
      </c>
      <c r="FP144" s="35" t="s">
        <v>417</v>
      </c>
      <c r="FQ144" s="35" t="s">
        <v>418</v>
      </c>
      <c r="FR144" s="35" t="s">
        <v>419</v>
      </c>
      <c r="FS144" s="35" t="s">
        <v>10772</v>
      </c>
      <c r="FT144" s="35" t="s">
        <v>420</v>
      </c>
      <c r="FU144" s="35" t="s">
        <v>488</v>
      </c>
      <c r="FV144" s="35" t="s">
        <v>918</v>
      </c>
      <c r="FW144" s="35" t="s">
        <v>490</v>
      </c>
      <c r="FX144" s="35" t="s">
        <v>491</v>
      </c>
      <c r="FY144" s="35" t="s">
        <v>10773</v>
      </c>
      <c r="FZ144" s="35" t="s">
        <v>535</v>
      </c>
      <c r="GA144" s="35" t="s">
        <v>10774</v>
      </c>
      <c r="GC144" s="35" t="s">
        <v>408</v>
      </c>
      <c r="GK144" s="35" t="s">
        <v>920</v>
      </c>
      <c r="GL144" s="35" t="s">
        <v>1000</v>
      </c>
      <c r="GM144" s="35" t="s">
        <v>921</v>
      </c>
      <c r="GR144" s="35" t="s">
        <v>3273</v>
      </c>
    </row>
    <row r="145">
      <c r="A145" s="40"/>
      <c r="B145" s="40">
        <v>45831.81648645834</v>
      </c>
      <c r="C145" s="35" t="s">
        <v>368</v>
      </c>
      <c r="D145" s="35" t="s">
        <v>894</v>
      </c>
      <c r="E145" s="35" t="s">
        <v>894</v>
      </c>
      <c r="H145" s="35" t="s">
        <v>422</v>
      </c>
      <c r="I145" s="35" t="s">
        <v>496</v>
      </c>
      <c r="J145" s="35" t="s">
        <v>374</v>
      </c>
      <c r="K145" s="35" t="s">
        <v>718</v>
      </c>
      <c r="L145" s="35" t="s">
        <v>376</v>
      </c>
      <c r="M145" s="35" t="s">
        <v>591</v>
      </c>
      <c r="N145" s="35" t="s">
        <v>378</v>
      </c>
      <c r="O145" s="35" t="s">
        <v>793</v>
      </c>
      <c r="P145" s="35" t="s">
        <v>1270</v>
      </c>
      <c r="Q145" s="35" t="s">
        <v>498</v>
      </c>
      <c r="R145" s="35" t="s">
        <v>862</v>
      </c>
      <c r="S145" s="35" t="s">
        <v>427</v>
      </c>
      <c r="T145" s="35" t="s">
        <v>384</v>
      </c>
      <c r="U145" s="35" t="s">
        <v>385</v>
      </c>
      <c r="V145" s="35" t="s">
        <v>3861</v>
      </c>
      <c r="W145" s="35" t="s">
        <v>896</v>
      </c>
      <c r="X145" s="35" t="s">
        <v>3231</v>
      </c>
      <c r="AW145" s="35" t="s">
        <v>390</v>
      </c>
      <c r="AX145" s="41">
        <v>2.0</v>
      </c>
      <c r="AY145" s="35" t="s">
        <v>391</v>
      </c>
      <c r="AZ145" s="41">
        <v>2.0</v>
      </c>
      <c r="BA145" s="41">
        <v>4.0</v>
      </c>
      <c r="BB145" s="41">
        <v>4.0</v>
      </c>
      <c r="BC145" s="41">
        <v>4.0</v>
      </c>
      <c r="BD145" s="35" t="s">
        <v>3862</v>
      </c>
      <c r="BE145" s="35" t="s">
        <v>3863</v>
      </c>
      <c r="BF145" s="35" t="s">
        <v>432</v>
      </c>
      <c r="BG145" s="35" t="s">
        <v>1047</v>
      </c>
      <c r="BH145" s="35" t="s">
        <v>394</v>
      </c>
      <c r="BI145" s="35" t="s">
        <v>3864</v>
      </c>
      <c r="BJ145" s="35" t="s">
        <v>435</v>
      </c>
      <c r="BK145" s="35" t="s">
        <v>3865</v>
      </c>
      <c r="BL145" s="35" t="s">
        <v>602</v>
      </c>
      <c r="BM145" s="35" t="s">
        <v>438</v>
      </c>
      <c r="BN145" s="35" t="s">
        <v>549</v>
      </c>
      <c r="BO145" s="35" t="s">
        <v>398</v>
      </c>
      <c r="BP145" s="35" t="s">
        <v>3866</v>
      </c>
      <c r="BQ145" s="35" t="s">
        <v>3867</v>
      </c>
      <c r="BR145" s="35" t="s">
        <v>442</v>
      </c>
      <c r="BS145" s="35" t="s">
        <v>3868</v>
      </c>
      <c r="BT145" s="35" t="s">
        <v>1671</v>
      </c>
      <c r="BU145" s="35" t="s">
        <v>1742</v>
      </c>
      <c r="BV145" s="35" t="s">
        <v>1831</v>
      </c>
      <c r="BW145" s="35" t="s">
        <v>3869</v>
      </c>
      <c r="BX145" s="35" t="s">
        <v>457</v>
      </c>
      <c r="BZ145" s="35" t="s">
        <v>455</v>
      </c>
      <c r="CA145" s="35" t="s">
        <v>3870</v>
      </c>
      <c r="CB145" s="35" t="s">
        <v>3871</v>
      </c>
      <c r="CC145" s="35" t="s">
        <v>3872</v>
      </c>
      <c r="CD145" s="35" t="s">
        <v>3873</v>
      </c>
      <c r="CE145" s="35" t="s">
        <v>451</v>
      </c>
      <c r="CF145" s="35" t="s">
        <v>3874</v>
      </c>
      <c r="CG145" s="35" t="s">
        <v>1258</v>
      </c>
      <c r="CI145" s="35" t="s">
        <v>1679</v>
      </c>
      <c r="CJ145" s="35" t="s">
        <v>410</v>
      </c>
      <c r="CK145" s="35" t="s">
        <v>3875</v>
      </c>
      <c r="CL145" s="35" t="s">
        <v>3876</v>
      </c>
      <c r="EU145" s="35" t="s">
        <v>578</v>
      </c>
      <c r="EV145" s="35" t="s">
        <v>887</v>
      </c>
      <c r="EW145" s="35" t="s">
        <v>480</v>
      </c>
      <c r="EY145" s="35" t="s">
        <v>3877</v>
      </c>
      <c r="EZ145" s="35" t="s">
        <v>3878</v>
      </c>
      <c r="FA145" s="35" t="s">
        <v>583</v>
      </c>
      <c r="FB145" s="35" t="s">
        <v>583</v>
      </c>
      <c r="FC145" s="35" t="s">
        <v>414</v>
      </c>
      <c r="FD145" s="35" t="s">
        <v>583</v>
      </c>
      <c r="FE145" s="35" t="s">
        <v>416</v>
      </c>
      <c r="FF145" s="35" t="s">
        <v>583</v>
      </c>
      <c r="FG145" s="35" t="s">
        <v>414</v>
      </c>
      <c r="FH145" s="35" t="s">
        <v>415</v>
      </c>
      <c r="FI145" s="35" t="s">
        <v>414</v>
      </c>
      <c r="FJ145" s="35" t="s">
        <v>414</v>
      </c>
      <c r="FK145" s="35" t="s">
        <v>414</v>
      </c>
      <c r="FL145" s="35" t="s">
        <v>414</v>
      </c>
      <c r="FM145" s="35" t="s">
        <v>414</v>
      </c>
      <c r="FN145" s="35" t="s">
        <v>415</v>
      </c>
      <c r="FO145" s="35" t="s">
        <v>414</v>
      </c>
      <c r="FP145" s="35" t="s">
        <v>1074</v>
      </c>
      <c r="FQ145" s="35" t="s">
        <v>418</v>
      </c>
      <c r="FR145" s="35" t="s">
        <v>419</v>
      </c>
      <c r="FS145" s="35" t="s">
        <v>3879</v>
      </c>
      <c r="FT145" s="35" t="s">
        <v>1871</v>
      </c>
      <c r="FU145" s="35" t="s">
        <v>421</v>
      </c>
      <c r="FV145" s="35" t="s">
        <v>489</v>
      </c>
      <c r="FW145" s="35" t="s">
        <v>1101</v>
      </c>
      <c r="FX145" s="35" t="s">
        <v>491</v>
      </c>
      <c r="FY145" s="35" t="s">
        <v>3880</v>
      </c>
      <c r="FZ145" s="35" t="s">
        <v>1020</v>
      </c>
      <c r="GA145" s="35" t="s">
        <v>3881</v>
      </c>
      <c r="GC145" s="35" t="s">
        <v>455</v>
      </c>
      <c r="GD145" s="35" t="s">
        <v>10775</v>
      </c>
      <c r="GF145" s="35" t="s">
        <v>753</v>
      </c>
      <c r="GG145" s="35" t="s">
        <v>3882</v>
      </c>
      <c r="GK145" s="35" t="s">
        <v>1000</v>
      </c>
      <c r="GL145" s="35" t="s">
        <v>1000</v>
      </c>
      <c r="GM145" s="35" t="s">
        <v>817</v>
      </c>
      <c r="GQ145" s="35" t="s">
        <v>387</v>
      </c>
      <c r="GR145" s="35" t="s">
        <v>3273</v>
      </c>
    </row>
    <row r="146">
      <c r="A146" s="40"/>
      <c r="B146" s="40">
        <v>45832.22020383102</v>
      </c>
      <c r="C146" s="35" t="s">
        <v>368</v>
      </c>
      <c r="D146" s="35" t="s">
        <v>370</v>
      </c>
      <c r="F146" s="35" t="s">
        <v>757</v>
      </c>
      <c r="H146" s="35" t="s">
        <v>422</v>
      </c>
      <c r="I146" s="35" t="s">
        <v>373</v>
      </c>
      <c r="J146" s="35" t="s">
        <v>638</v>
      </c>
      <c r="K146" s="35" t="s">
        <v>425</v>
      </c>
      <c r="L146" s="35" t="s">
        <v>376</v>
      </c>
      <c r="M146" s="35" t="s">
        <v>1526</v>
      </c>
      <c r="N146" s="35" t="s">
        <v>720</v>
      </c>
      <c r="O146" s="35" t="s">
        <v>1526</v>
      </c>
      <c r="P146" s="35" t="s">
        <v>380</v>
      </c>
      <c r="Q146" s="35" t="s">
        <v>498</v>
      </c>
      <c r="R146" s="35" t="s">
        <v>818</v>
      </c>
      <c r="S146" s="35" t="s">
        <v>427</v>
      </c>
      <c r="T146" s="35" t="s">
        <v>384</v>
      </c>
      <c r="U146" s="35" t="s">
        <v>385</v>
      </c>
      <c r="X146" s="35" t="s">
        <v>386</v>
      </c>
      <c r="Y146" s="35" t="s">
        <v>387</v>
      </c>
      <c r="Z146" s="35" t="s">
        <v>761</v>
      </c>
      <c r="AA146" s="35" t="s">
        <v>543</v>
      </c>
      <c r="AW146" s="35" t="s">
        <v>1310</v>
      </c>
      <c r="AX146" s="35" t="s">
        <v>675</v>
      </c>
      <c r="AY146" s="35" t="s">
        <v>675</v>
      </c>
      <c r="AZ146" s="35" t="s">
        <v>675</v>
      </c>
      <c r="BA146" s="35" t="s">
        <v>675</v>
      </c>
      <c r="BB146" s="35" t="s">
        <v>675</v>
      </c>
      <c r="BC146" s="35" t="s">
        <v>675</v>
      </c>
      <c r="BD146" s="35" t="s">
        <v>3938</v>
      </c>
      <c r="BE146" s="35" t="s">
        <v>3939</v>
      </c>
      <c r="BF146" s="35" t="s">
        <v>2379</v>
      </c>
      <c r="BG146" s="35" t="s">
        <v>1047</v>
      </c>
      <c r="BH146" s="35" t="s">
        <v>394</v>
      </c>
      <c r="BI146" s="35" t="s">
        <v>3940</v>
      </c>
      <c r="BJ146" s="35" t="s">
        <v>976</v>
      </c>
      <c r="BL146" s="35" t="s">
        <v>395</v>
      </c>
      <c r="BM146" s="35" t="s">
        <v>603</v>
      </c>
      <c r="BN146" s="35" t="s">
        <v>1314</v>
      </c>
      <c r="BO146" s="35" t="s">
        <v>398</v>
      </c>
      <c r="BP146" s="35" t="s">
        <v>10776</v>
      </c>
      <c r="BQ146" s="35" t="s">
        <v>10777</v>
      </c>
      <c r="BR146" s="35" t="s">
        <v>604</v>
      </c>
      <c r="BS146" s="35" t="s">
        <v>3943</v>
      </c>
      <c r="BT146" s="35" t="s">
        <v>1671</v>
      </c>
      <c r="BV146" s="35" t="s">
        <v>405</v>
      </c>
      <c r="BX146" s="35" t="s">
        <v>988</v>
      </c>
      <c r="BZ146" s="35" t="s">
        <v>408</v>
      </c>
      <c r="CB146" s="35" t="s">
        <v>3944</v>
      </c>
      <c r="CC146" s="35" t="s">
        <v>3945</v>
      </c>
      <c r="CD146" s="35" t="s">
        <v>10778</v>
      </c>
      <c r="CE146" s="35" t="s">
        <v>1257</v>
      </c>
      <c r="CG146" s="35" t="s">
        <v>1258</v>
      </c>
      <c r="CI146" s="35" t="s">
        <v>1259</v>
      </c>
      <c r="CJ146" s="35" t="s">
        <v>410</v>
      </c>
      <c r="CK146" s="35" t="s">
        <v>10779</v>
      </c>
      <c r="CL146" s="35" t="s">
        <v>10780</v>
      </c>
      <c r="EU146" s="35" t="s">
        <v>526</v>
      </c>
      <c r="EV146" s="35" t="s">
        <v>479</v>
      </c>
      <c r="EW146" s="35" t="s">
        <v>778</v>
      </c>
      <c r="EX146" s="35" t="s">
        <v>3949</v>
      </c>
      <c r="EY146" s="35" t="s">
        <v>3950</v>
      </c>
      <c r="EZ146" s="35" t="s">
        <v>3951</v>
      </c>
      <c r="FA146" s="35" t="s">
        <v>413</v>
      </c>
      <c r="FB146" s="35" t="s">
        <v>413</v>
      </c>
      <c r="FC146" s="35" t="s">
        <v>413</v>
      </c>
      <c r="FD146" s="35" t="s">
        <v>415</v>
      </c>
      <c r="FE146" s="35" t="s">
        <v>413</v>
      </c>
      <c r="FF146" s="35" t="s">
        <v>415</v>
      </c>
      <c r="FG146" s="35" t="s">
        <v>413</v>
      </c>
      <c r="FH146" s="35" t="s">
        <v>413</v>
      </c>
      <c r="FI146" s="35" t="s">
        <v>415</v>
      </c>
      <c r="FJ146" s="35" t="s">
        <v>583</v>
      </c>
      <c r="FK146" s="35" t="s">
        <v>414</v>
      </c>
      <c r="FL146" s="35" t="s">
        <v>413</v>
      </c>
      <c r="FM146" s="35" t="s">
        <v>415</v>
      </c>
      <c r="FN146" s="35" t="s">
        <v>415</v>
      </c>
      <c r="FO146" s="35" t="s">
        <v>415</v>
      </c>
      <c r="FP146" s="35" t="s">
        <v>417</v>
      </c>
      <c r="FQ146" s="35" t="s">
        <v>418</v>
      </c>
      <c r="FR146" s="35" t="s">
        <v>749</v>
      </c>
      <c r="FS146" s="35" t="s">
        <v>3952</v>
      </c>
      <c r="FT146" s="35" t="s">
        <v>420</v>
      </c>
      <c r="FU146" s="35" t="s">
        <v>488</v>
      </c>
      <c r="FV146" s="35" t="s">
        <v>489</v>
      </c>
      <c r="FW146" s="35" t="s">
        <v>490</v>
      </c>
      <c r="FX146" s="35" t="s">
        <v>491</v>
      </c>
      <c r="FY146" s="35" t="s">
        <v>10781</v>
      </c>
      <c r="FZ146" s="35" t="s">
        <v>535</v>
      </c>
      <c r="GA146" s="35" t="s">
        <v>10782</v>
      </c>
      <c r="GC146" s="35" t="s">
        <v>455</v>
      </c>
      <c r="GD146" s="35" t="s">
        <v>10783</v>
      </c>
      <c r="GF146" s="35" t="s">
        <v>855</v>
      </c>
      <c r="GK146" s="35" t="s">
        <v>788</v>
      </c>
      <c r="GL146" s="35" t="s">
        <v>788</v>
      </c>
      <c r="GM146" s="35" t="s">
        <v>946</v>
      </c>
      <c r="GR146" s="35" t="s">
        <v>3273</v>
      </c>
    </row>
    <row r="147">
      <c r="A147" s="40"/>
      <c r="B147" s="40">
        <v>45832.38233418981</v>
      </c>
      <c r="C147" s="35" t="s">
        <v>368</v>
      </c>
      <c r="D147" s="35" t="s">
        <v>370</v>
      </c>
      <c r="F147" s="35" t="s">
        <v>3955</v>
      </c>
      <c r="H147" s="35" t="s">
        <v>422</v>
      </c>
      <c r="I147" s="35" t="s">
        <v>496</v>
      </c>
      <c r="J147" s="35" t="s">
        <v>374</v>
      </c>
      <c r="K147" s="35" t="s">
        <v>718</v>
      </c>
      <c r="L147" s="35" t="s">
        <v>376</v>
      </c>
      <c r="M147" s="35" t="s">
        <v>793</v>
      </c>
      <c r="N147" s="35" t="s">
        <v>1270</v>
      </c>
      <c r="O147" s="35" t="s">
        <v>670</v>
      </c>
      <c r="P147" s="35" t="s">
        <v>3956</v>
      </c>
      <c r="Q147" s="35" t="s">
        <v>498</v>
      </c>
      <c r="R147" s="35" t="s">
        <v>862</v>
      </c>
      <c r="S147" s="35" t="s">
        <v>1901</v>
      </c>
      <c r="T147" s="35" t="s">
        <v>3957</v>
      </c>
      <c r="U147" s="35" t="s">
        <v>385</v>
      </c>
      <c r="X147" s="35" t="s">
        <v>3014</v>
      </c>
      <c r="AW147" s="35" t="s">
        <v>1242</v>
      </c>
      <c r="AX147" s="35" t="s">
        <v>675</v>
      </c>
      <c r="AY147" s="35" t="s">
        <v>675</v>
      </c>
      <c r="AZ147" s="41">
        <v>4.0</v>
      </c>
      <c r="BA147" s="41">
        <v>4.0</v>
      </c>
      <c r="BB147" s="35" t="s">
        <v>675</v>
      </c>
      <c r="BC147" s="35" t="s">
        <v>675</v>
      </c>
      <c r="BD147" s="35" t="s">
        <v>10784</v>
      </c>
      <c r="BE147" s="35" t="s">
        <v>10785</v>
      </c>
      <c r="BF147" s="35" t="s">
        <v>432</v>
      </c>
      <c r="BG147" s="35" t="s">
        <v>1047</v>
      </c>
      <c r="BH147" s="35" t="s">
        <v>765</v>
      </c>
      <c r="BJ147" s="35" t="s">
        <v>727</v>
      </c>
      <c r="BL147" s="35" t="s">
        <v>681</v>
      </c>
      <c r="BM147" s="35" t="s">
        <v>904</v>
      </c>
      <c r="BN147" s="35" t="s">
        <v>1247</v>
      </c>
      <c r="BO147" s="35" t="s">
        <v>398</v>
      </c>
      <c r="BP147" s="35" t="s">
        <v>10786</v>
      </c>
      <c r="BQ147" s="35" t="s">
        <v>10787</v>
      </c>
      <c r="BR147" s="35" t="s">
        <v>442</v>
      </c>
      <c r="BS147" s="35" t="s">
        <v>10788</v>
      </c>
      <c r="BT147" s="35" t="s">
        <v>1741</v>
      </c>
      <c r="BU147" s="35" t="s">
        <v>404</v>
      </c>
      <c r="BV147" s="35" t="s">
        <v>1772</v>
      </c>
      <c r="BW147" s="35" t="s">
        <v>10789</v>
      </c>
      <c r="BX147" s="35" t="s">
        <v>988</v>
      </c>
      <c r="BZ147" s="35" t="s">
        <v>408</v>
      </c>
      <c r="CA147" s="35" t="s">
        <v>10790</v>
      </c>
      <c r="CC147" s="35" t="s">
        <v>3965</v>
      </c>
      <c r="CD147" s="35" t="s">
        <v>3966</v>
      </c>
      <c r="CE147" s="35" t="s">
        <v>409</v>
      </c>
      <c r="CF147" s="35" t="s">
        <v>10791</v>
      </c>
      <c r="CG147" s="35" t="s">
        <v>1722</v>
      </c>
      <c r="CH147" s="35" t="s">
        <v>10792</v>
      </c>
      <c r="CI147" s="35" t="s">
        <v>1698</v>
      </c>
      <c r="CJ147" s="35" t="s">
        <v>410</v>
      </c>
      <c r="CK147" s="35" t="s">
        <v>2506</v>
      </c>
      <c r="CL147" s="35" t="s">
        <v>10793</v>
      </c>
      <c r="EU147" s="35" t="s">
        <v>578</v>
      </c>
      <c r="EV147" s="35" t="s">
        <v>479</v>
      </c>
      <c r="EW147" s="35" t="s">
        <v>1262</v>
      </c>
      <c r="EY147" s="35" t="s">
        <v>10794</v>
      </c>
      <c r="EZ147" s="35" t="s">
        <v>10795</v>
      </c>
      <c r="FP147" s="35" t="s">
        <v>417</v>
      </c>
      <c r="FQ147" s="35" t="s">
        <v>486</v>
      </c>
      <c r="FR147" s="35" t="s">
        <v>712</v>
      </c>
      <c r="FT147" s="35" t="s">
        <v>420</v>
      </c>
      <c r="FU147" s="35" t="s">
        <v>488</v>
      </c>
      <c r="FV147" s="35" t="s">
        <v>489</v>
      </c>
      <c r="FW147" s="35" t="s">
        <v>490</v>
      </c>
      <c r="FX147" s="35" t="s">
        <v>491</v>
      </c>
      <c r="FY147" s="35" t="s">
        <v>10796</v>
      </c>
      <c r="FZ147" s="35" t="s">
        <v>493</v>
      </c>
      <c r="GC147" s="35" t="s">
        <v>408</v>
      </c>
      <c r="GK147" s="35" t="s">
        <v>1000</v>
      </c>
      <c r="GL147" s="35" t="s">
        <v>1000</v>
      </c>
      <c r="GM147" s="35" t="s">
        <v>756</v>
      </c>
      <c r="GR147" s="35" t="s">
        <v>3208</v>
      </c>
    </row>
    <row r="148">
      <c r="A148" s="40"/>
      <c r="B148" s="40">
        <v>45832.38844354167</v>
      </c>
      <c r="C148" s="35" t="s">
        <v>368</v>
      </c>
      <c r="D148" s="35" t="s">
        <v>3973</v>
      </c>
      <c r="E148" s="35" t="s">
        <v>3081</v>
      </c>
      <c r="H148" s="35" t="s">
        <v>1093</v>
      </c>
      <c r="I148" s="35" t="s">
        <v>637</v>
      </c>
      <c r="J148" s="35" t="s">
        <v>638</v>
      </c>
      <c r="K148" s="35" t="s">
        <v>590</v>
      </c>
      <c r="L148" s="35" t="s">
        <v>376</v>
      </c>
      <c r="M148" s="35" t="s">
        <v>591</v>
      </c>
      <c r="N148" s="35" t="s">
        <v>3974</v>
      </c>
      <c r="O148" s="35" t="s">
        <v>396</v>
      </c>
      <c r="P148" s="35" t="s">
        <v>3975</v>
      </c>
      <c r="Q148" s="35" t="s">
        <v>498</v>
      </c>
      <c r="R148" s="35" t="s">
        <v>818</v>
      </c>
      <c r="S148" s="35" t="s">
        <v>3976</v>
      </c>
      <c r="T148" s="35" t="s">
        <v>384</v>
      </c>
      <c r="U148" s="35" t="s">
        <v>385</v>
      </c>
      <c r="X148" s="35" t="s">
        <v>3231</v>
      </c>
      <c r="AW148" s="35" t="s">
        <v>1310</v>
      </c>
      <c r="AX148" s="35" t="s">
        <v>675</v>
      </c>
      <c r="AY148" s="35" t="s">
        <v>675</v>
      </c>
      <c r="AZ148" s="35" t="s">
        <v>675</v>
      </c>
      <c r="BA148" s="35" t="s">
        <v>675</v>
      </c>
      <c r="BB148" s="35" t="s">
        <v>675</v>
      </c>
      <c r="BC148" s="41">
        <v>4.0</v>
      </c>
      <c r="BD148" s="35" t="s">
        <v>3977</v>
      </c>
      <c r="BE148" s="35" t="s">
        <v>10797</v>
      </c>
      <c r="BF148" s="35" t="s">
        <v>2259</v>
      </c>
      <c r="BG148" s="35" t="s">
        <v>1245</v>
      </c>
      <c r="BH148" s="35" t="s">
        <v>394</v>
      </c>
      <c r="BJ148" s="35" t="s">
        <v>824</v>
      </c>
      <c r="BK148" s="35" t="s">
        <v>1211</v>
      </c>
      <c r="BL148" s="35" t="s">
        <v>602</v>
      </c>
      <c r="BM148" s="35" t="s">
        <v>396</v>
      </c>
      <c r="BN148" s="35" t="s">
        <v>1247</v>
      </c>
      <c r="BO148" s="35" t="s">
        <v>398</v>
      </c>
      <c r="BP148" s="35" t="s">
        <v>3979</v>
      </c>
      <c r="BQ148" s="35" t="s">
        <v>3980</v>
      </c>
      <c r="BR148" s="35" t="s">
        <v>604</v>
      </c>
      <c r="BS148" s="35" t="s">
        <v>3981</v>
      </c>
      <c r="BT148" s="35" t="s">
        <v>1251</v>
      </c>
      <c r="BU148" s="35" t="s">
        <v>404</v>
      </c>
      <c r="BV148" s="35" t="s">
        <v>405</v>
      </c>
      <c r="BX148" s="35" t="s">
        <v>406</v>
      </c>
      <c r="BY148" s="35" t="s">
        <v>1867</v>
      </c>
      <c r="BZ148" s="35" t="s">
        <v>408</v>
      </c>
      <c r="CB148" s="35" t="s">
        <v>3982</v>
      </c>
      <c r="CC148" s="35" t="s">
        <v>3983</v>
      </c>
      <c r="CD148" s="35" t="s">
        <v>3984</v>
      </c>
      <c r="CE148" s="35" t="s">
        <v>409</v>
      </c>
      <c r="CF148" s="35" t="s">
        <v>3985</v>
      </c>
      <c r="CG148" s="35" t="s">
        <v>1258</v>
      </c>
      <c r="CI148" s="35" t="s">
        <v>1259</v>
      </c>
      <c r="CJ148" s="35" t="s">
        <v>1220</v>
      </c>
      <c r="CK148" s="35" t="s">
        <v>3986</v>
      </c>
      <c r="CL148" s="35" t="s">
        <v>3987</v>
      </c>
      <c r="EU148" s="35" t="s">
        <v>526</v>
      </c>
      <c r="EV148" s="35" t="s">
        <v>887</v>
      </c>
      <c r="EW148" s="35" t="s">
        <v>663</v>
      </c>
      <c r="EX148" s="35" t="s">
        <v>3988</v>
      </c>
      <c r="EY148" s="35" t="s">
        <v>3989</v>
      </c>
      <c r="EZ148" s="35" t="s">
        <v>3990</v>
      </c>
      <c r="FA148" s="35" t="s">
        <v>583</v>
      </c>
      <c r="FB148" s="35" t="s">
        <v>583</v>
      </c>
      <c r="FC148" s="35" t="s">
        <v>583</v>
      </c>
      <c r="FD148" s="35" t="s">
        <v>583</v>
      </c>
      <c r="FE148" s="35" t="s">
        <v>583</v>
      </c>
      <c r="FF148" s="35" t="s">
        <v>583</v>
      </c>
      <c r="FG148" s="35" t="s">
        <v>583</v>
      </c>
      <c r="FH148" s="35" t="s">
        <v>583</v>
      </c>
      <c r="FI148" s="35" t="s">
        <v>583</v>
      </c>
      <c r="FJ148" s="35" t="s">
        <v>583</v>
      </c>
      <c r="FK148" s="35" t="s">
        <v>583</v>
      </c>
      <c r="FL148" s="35" t="s">
        <v>583</v>
      </c>
      <c r="FM148" s="35" t="s">
        <v>583</v>
      </c>
      <c r="FN148" s="35" t="s">
        <v>583</v>
      </c>
      <c r="FO148" s="35" t="s">
        <v>583</v>
      </c>
      <c r="FP148" s="35" t="s">
        <v>485</v>
      </c>
      <c r="FQ148" s="35" t="s">
        <v>486</v>
      </c>
      <c r="FR148" s="35" t="s">
        <v>630</v>
      </c>
      <c r="FS148" s="35" t="s">
        <v>3991</v>
      </c>
      <c r="FT148" s="35" t="s">
        <v>1189</v>
      </c>
      <c r="FU148" s="35" t="s">
        <v>1462</v>
      </c>
      <c r="FV148" s="35" t="s">
        <v>533</v>
      </c>
      <c r="FW148" s="35" t="s">
        <v>1101</v>
      </c>
      <c r="FX148" s="35" t="s">
        <v>491</v>
      </c>
      <c r="FY148" s="35" t="s">
        <v>3992</v>
      </c>
      <c r="FZ148" s="35" t="s">
        <v>535</v>
      </c>
      <c r="GC148" s="35" t="s">
        <v>455</v>
      </c>
      <c r="GD148" s="35" t="s">
        <v>10798</v>
      </c>
      <c r="GF148" s="35" t="s">
        <v>753</v>
      </c>
      <c r="GG148" s="35" t="s">
        <v>1479</v>
      </c>
      <c r="GK148" s="35" t="s">
        <v>1000</v>
      </c>
      <c r="GL148" s="35" t="s">
        <v>1000</v>
      </c>
      <c r="GM148" s="35" t="s">
        <v>817</v>
      </c>
      <c r="GO148" s="35" t="s">
        <v>3993</v>
      </c>
      <c r="GP148" s="35" t="s">
        <v>3973</v>
      </c>
      <c r="GQ148" s="35" t="s">
        <v>3994</v>
      </c>
      <c r="GR148" s="35" t="s">
        <v>3208</v>
      </c>
    </row>
    <row r="149">
      <c r="A149" s="40"/>
      <c r="B149" s="40">
        <v>45832.400918541665</v>
      </c>
      <c r="C149" s="35" t="s">
        <v>368</v>
      </c>
      <c r="D149" s="35" t="s">
        <v>370</v>
      </c>
      <c r="F149" s="35" t="s">
        <v>1480</v>
      </c>
      <c r="H149" s="35" t="s">
        <v>422</v>
      </c>
      <c r="I149" s="35" t="s">
        <v>1921</v>
      </c>
      <c r="J149" s="35" t="s">
        <v>668</v>
      </c>
      <c r="K149" s="35" t="s">
        <v>758</v>
      </c>
      <c r="L149" s="35" t="s">
        <v>376</v>
      </c>
      <c r="M149" s="35" t="s">
        <v>379</v>
      </c>
      <c r="N149" s="35" t="s">
        <v>378</v>
      </c>
      <c r="O149" s="35" t="s">
        <v>426</v>
      </c>
      <c r="P149" s="35" t="s">
        <v>380</v>
      </c>
      <c r="Q149" s="35" t="s">
        <v>498</v>
      </c>
      <c r="R149" s="35" t="s">
        <v>499</v>
      </c>
      <c r="S149" s="35" t="s">
        <v>500</v>
      </c>
      <c r="T149" s="35" t="s">
        <v>384</v>
      </c>
      <c r="U149" s="35" t="s">
        <v>385</v>
      </c>
      <c r="X149" s="35" t="s">
        <v>3231</v>
      </c>
      <c r="AW149" s="35" t="s">
        <v>1242</v>
      </c>
      <c r="AX149" s="35" t="s">
        <v>675</v>
      </c>
      <c r="AY149" s="41">
        <v>4.0</v>
      </c>
      <c r="AZ149" s="41">
        <v>4.0</v>
      </c>
      <c r="BA149" s="35" t="s">
        <v>675</v>
      </c>
      <c r="BB149" s="41">
        <v>4.0</v>
      </c>
      <c r="BC149" s="41">
        <v>4.0</v>
      </c>
      <c r="BF149" s="35" t="s">
        <v>432</v>
      </c>
      <c r="BG149" s="35" t="s">
        <v>1245</v>
      </c>
      <c r="BH149" s="35" t="s">
        <v>725</v>
      </c>
      <c r="BJ149" s="35" t="s">
        <v>727</v>
      </c>
      <c r="BL149" s="35" t="s">
        <v>681</v>
      </c>
      <c r="BM149" s="35" t="s">
        <v>603</v>
      </c>
      <c r="BN149" s="35" t="s">
        <v>1314</v>
      </c>
      <c r="BO149" s="35" t="s">
        <v>398</v>
      </c>
      <c r="BR149" s="35" t="s">
        <v>604</v>
      </c>
      <c r="BV149" s="35" t="s">
        <v>1693</v>
      </c>
      <c r="BX149" s="35" t="s">
        <v>406</v>
      </c>
      <c r="BY149" s="35" t="s">
        <v>407</v>
      </c>
      <c r="BZ149" s="35" t="s">
        <v>408</v>
      </c>
      <c r="CE149" s="35" t="s">
        <v>409</v>
      </c>
      <c r="CG149" s="35" t="s">
        <v>1722</v>
      </c>
      <c r="CI149" s="35" t="s">
        <v>1751</v>
      </c>
      <c r="CJ149" s="35" t="s">
        <v>1220</v>
      </c>
      <c r="CK149" s="35" t="s">
        <v>3995</v>
      </c>
      <c r="EU149" s="35" t="s">
        <v>526</v>
      </c>
      <c r="EV149" s="35" t="s">
        <v>479</v>
      </c>
      <c r="EW149" s="35" t="s">
        <v>1262</v>
      </c>
      <c r="FA149" s="35" t="s">
        <v>414</v>
      </c>
      <c r="FB149" s="35" t="s">
        <v>414</v>
      </c>
      <c r="FC149" s="35" t="s">
        <v>413</v>
      </c>
      <c r="FD149" s="35" t="s">
        <v>414</v>
      </c>
      <c r="FE149" s="35" t="s">
        <v>413</v>
      </c>
      <c r="FF149" s="35" t="s">
        <v>414</v>
      </c>
      <c r="FG149" s="35" t="s">
        <v>413</v>
      </c>
      <c r="FH149" s="35" t="s">
        <v>414</v>
      </c>
      <c r="FI149" s="35" t="s">
        <v>413</v>
      </c>
      <c r="FJ149" s="35" t="s">
        <v>414</v>
      </c>
      <c r="FK149" s="35" t="s">
        <v>414</v>
      </c>
      <c r="FL149" s="35" t="s">
        <v>415</v>
      </c>
      <c r="FM149" s="35" t="s">
        <v>415</v>
      </c>
      <c r="FN149" s="35" t="s">
        <v>415</v>
      </c>
      <c r="FO149" s="35" t="s">
        <v>415</v>
      </c>
      <c r="FP149" s="35" t="s">
        <v>850</v>
      </c>
      <c r="FQ149" s="35" t="s">
        <v>418</v>
      </c>
      <c r="FR149" s="35" t="s">
        <v>749</v>
      </c>
      <c r="FT149" s="35" t="s">
        <v>420</v>
      </c>
      <c r="FU149" s="35" t="s">
        <v>488</v>
      </c>
      <c r="FV149" s="35" t="s">
        <v>918</v>
      </c>
      <c r="FW149" s="35" t="s">
        <v>490</v>
      </c>
      <c r="FX149" s="35" t="s">
        <v>491</v>
      </c>
      <c r="FZ149" s="35" t="s">
        <v>1337</v>
      </c>
      <c r="GC149" s="35" t="s">
        <v>408</v>
      </c>
      <c r="GK149" s="35" t="s">
        <v>755</v>
      </c>
      <c r="GL149" s="35" t="s">
        <v>755</v>
      </c>
      <c r="GM149" s="35" t="s">
        <v>946</v>
      </c>
      <c r="GR149" s="35" t="s">
        <v>3351</v>
      </c>
    </row>
    <row r="150">
      <c r="A150" s="40"/>
      <c r="B150" s="40">
        <v>45833.016503148145</v>
      </c>
      <c r="C150" s="35" t="s">
        <v>368</v>
      </c>
      <c r="D150" s="35" t="s">
        <v>894</v>
      </c>
      <c r="E150" s="35" t="s">
        <v>894</v>
      </c>
      <c r="H150" s="35" t="s">
        <v>422</v>
      </c>
      <c r="I150" s="35" t="s">
        <v>637</v>
      </c>
      <c r="J150" s="35" t="s">
        <v>638</v>
      </c>
      <c r="K150" s="35" t="s">
        <v>590</v>
      </c>
      <c r="L150" s="35" t="s">
        <v>376</v>
      </c>
      <c r="M150" s="35" t="s">
        <v>591</v>
      </c>
      <c r="N150" s="35" t="s">
        <v>378</v>
      </c>
      <c r="O150" s="35" t="s">
        <v>591</v>
      </c>
      <c r="P150" s="35" t="s">
        <v>719</v>
      </c>
      <c r="Q150" s="35" t="s">
        <v>498</v>
      </c>
      <c r="R150" s="35" t="s">
        <v>862</v>
      </c>
      <c r="S150" s="35" t="s">
        <v>949</v>
      </c>
      <c r="T150" s="35" t="s">
        <v>384</v>
      </c>
      <c r="U150" s="35" t="s">
        <v>385</v>
      </c>
      <c r="V150" s="35" t="s">
        <v>896</v>
      </c>
      <c r="W150" s="35" t="s">
        <v>896</v>
      </c>
      <c r="X150" s="35" t="s">
        <v>593</v>
      </c>
      <c r="Y150" s="35" t="s">
        <v>387</v>
      </c>
      <c r="Z150" s="35" t="s">
        <v>388</v>
      </c>
      <c r="AA150" s="35" t="s">
        <v>543</v>
      </c>
      <c r="AC150" s="35" t="s">
        <v>4029</v>
      </c>
      <c r="AW150" s="35" t="s">
        <v>1242</v>
      </c>
      <c r="AX150" s="35" t="s">
        <v>675</v>
      </c>
      <c r="AY150" s="35" t="s">
        <v>391</v>
      </c>
      <c r="AZ150" s="41">
        <v>2.0</v>
      </c>
      <c r="BA150" s="41">
        <v>4.0</v>
      </c>
      <c r="BB150" s="41">
        <v>4.0</v>
      </c>
      <c r="BC150" s="35" t="s">
        <v>675</v>
      </c>
      <c r="BD150" s="35" t="s">
        <v>4030</v>
      </c>
      <c r="BE150" s="35" t="s">
        <v>4031</v>
      </c>
      <c r="BF150" s="35" t="s">
        <v>432</v>
      </c>
      <c r="BG150" s="35" t="s">
        <v>1095</v>
      </c>
      <c r="BH150" s="35" t="s">
        <v>394</v>
      </c>
      <c r="BI150" s="35" t="s">
        <v>10799</v>
      </c>
      <c r="BJ150" s="35" t="s">
        <v>435</v>
      </c>
      <c r="BK150" s="35" t="s">
        <v>4033</v>
      </c>
      <c r="BL150" s="35" t="s">
        <v>681</v>
      </c>
      <c r="BM150" s="35" t="s">
        <v>603</v>
      </c>
      <c r="BN150" s="35" t="s">
        <v>1314</v>
      </c>
      <c r="BO150" s="35" t="s">
        <v>398</v>
      </c>
      <c r="BP150" s="35" t="s">
        <v>4034</v>
      </c>
      <c r="BQ150" s="35" t="s">
        <v>4035</v>
      </c>
      <c r="BR150" s="35" t="s">
        <v>604</v>
      </c>
      <c r="BS150" s="35" t="s">
        <v>4036</v>
      </c>
      <c r="BT150" s="35" t="s">
        <v>1671</v>
      </c>
      <c r="BU150" s="35" t="s">
        <v>404</v>
      </c>
      <c r="BV150" s="35" t="s">
        <v>1772</v>
      </c>
      <c r="BW150" s="35" t="s">
        <v>4037</v>
      </c>
      <c r="BX150" s="35" t="s">
        <v>988</v>
      </c>
      <c r="BZ150" s="35" t="s">
        <v>408</v>
      </c>
      <c r="CB150" s="35" t="s">
        <v>10800</v>
      </c>
      <c r="CC150" s="35" t="s">
        <v>4039</v>
      </c>
      <c r="CD150" s="35" t="s">
        <v>4040</v>
      </c>
      <c r="CE150" s="35" t="s">
        <v>1257</v>
      </c>
      <c r="CG150" s="35" t="s">
        <v>1258</v>
      </c>
      <c r="CI150" s="35" t="s">
        <v>1259</v>
      </c>
      <c r="CJ150" s="35" t="s">
        <v>410</v>
      </c>
      <c r="CK150" s="35" t="s">
        <v>4041</v>
      </c>
      <c r="CL150" s="35" t="s">
        <v>4042</v>
      </c>
      <c r="EU150" s="35" t="s">
        <v>526</v>
      </c>
      <c r="EV150" s="35" t="s">
        <v>1127</v>
      </c>
      <c r="EW150" s="35" t="s">
        <v>1262</v>
      </c>
      <c r="EY150" s="35" t="s">
        <v>4043</v>
      </c>
      <c r="EZ150" s="35" t="s">
        <v>4044</v>
      </c>
      <c r="FA150" s="35" t="s">
        <v>415</v>
      </c>
      <c r="FB150" s="35" t="s">
        <v>414</v>
      </c>
      <c r="FC150" s="35" t="s">
        <v>415</v>
      </c>
      <c r="FD150" s="35" t="s">
        <v>415</v>
      </c>
      <c r="FE150" s="35" t="s">
        <v>416</v>
      </c>
      <c r="FF150" s="35" t="s">
        <v>414</v>
      </c>
      <c r="FG150" s="35" t="s">
        <v>415</v>
      </c>
      <c r="FH150" s="35" t="s">
        <v>413</v>
      </c>
      <c r="FI150" s="35" t="s">
        <v>583</v>
      </c>
      <c r="FJ150" s="35" t="s">
        <v>415</v>
      </c>
      <c r="FK150" s="35" t="s">
        <v>415</v>
      </c>
      <c r="FL150" s="35" t="s">
        <v>484</v>
      </c>
      <c r="FM150" s="35" t="s">
        <v>415</v>
      </c>
      <c r="FN150" s="35" t="s">
        <v>416</v>
      </c>
      <c r="FO150" s="35" t="s">
        <v>414</v>
      </c>
      <c r="FP150" s="35" t="s">
        <v>850</v>
      </c>
      <c r="FQ150" s="35" t="s">
        <v>418</v>
      </c>
      <c r="FR150" s="35" t="s">
        <v>749</v>
      </c>
      <c r="FS150" s="35" t="s">
        <v>4045</v>
      </c>
      <c r="FT150" s="35" t="s">
        <v>420</v>
      </c>
      <c r="FU150" s="35" t="s">
        <v>1462</v>
      </c>
      <c r="FV150" s="35" t="s">
        <v>489</v>
      </c>
      <c r="FW150" s="35" t="s">
        <v>490</v>
      </c>
      <c r="FX150" s="35" t="s">
        <v>491</v>
      </c>
      <c r="FY150" s="35" t="s">
        <v>4046</v>
      </c>
      <c r="FZ150" s="35" t="s">
        <v>535</v>
      </c>
      <c r="GA150" s="35" t="s">
        <v>4047</v>
      </c>
      <c r="GB150" s="35" t="s">
        <v>4048</v>
      </c>
      <c r="GC150" s="35" t="s">
        <v>408</v>
      </c>
      <c r="GK150" s="35" t="s">
        <v>755</v>
      </c>
      <c r="GL150" s="35" t="s">
        <v>1000</v>
      </c>
      <c r="GM150" s="35" t="s">
        <v>817</v>
      </c>
      <c r="GR150" s="35" t="s">
        <v>3273</v>
      </c>
    </row>
    <row r="151">
      <c r="A151" s="40"/>
      <c r="B151" s="40">
        <v>45833.27167458333</v>
      </c>
      <c r="C151" s="35" t="s">
        <v>368</v>
      </c>
      <c r="D151" s="35" t="s">
        <v>1201</v>
      </c>
      <c r="E151" s="35" t="s">
        <v>1201</v>
      </c>
      <c r="H151" s="35" t="s">
        <v>422</v>
      </c>
      <c r="I151" s="35" t="s">
        <v>637</v>
      </c>
      <c r="J151" s="35" t="s">
        <v>638</v>
      </c>
      <c r="K151" s="35" t="s">
        <v>590</v>
      </c>
      <c r="L151" s="35" t="s">
        <v>376</v>
      </c>
      <c r="M151" s="35" t="s">
        <v>379</v>
      </c>
      <c r="N151" s="35" t="s">
        <v>639</v>
      </c>
      <c r="O151" s="35" t="s">
        <v>591</v>
      </c>
      <c r="P151" s="35" t="s">
        <v>2579</v>
      </c>
      <c r="Q151" s="35" t="s">
        <v>498</v>
      </c>
      <c r="R151" s="35" t="s">
        <v>862</v>
      </c>
      <c r="S151" s="35" t="s">
        <v>949</v>
      </c>
      <c r="T151" s="35" t="s">
        <v>384</v>
      </c>
      <c r="U151" s="35" t="s">
        <v>385</v>
      </c>
      <c r="X151" s="35" t="s">
        <v>3014</v>
      </c>
      <c r="AW151" s="35" t="s">
        <v>390</v>
      </c>
      <c r="AX151" s="41">
        <v>4.0</v>
      </c>
      <c r="AY151" s="35" t="s">
        <v>391</v>
      </c>
      <c r="AZ151" s="35" t="s">
        <v>391</v>
      </c>
      <c r="BA151" s="35" t="s">
        <v>391</v>
      </c>
      <c r="BB151" s="35" t="s">
        <v>391</v>
      </c>
      <c r="BC151" s="41">
        <v>2.0</v>
      </c>
      <c r="BD151" s="35" t="s">
        <v>4066</v>
      </c>
      <c r="BE151" s="35" t="s">
        <v>4067</v>
      </c>
      <c r="BF151" s="35" t="s">
        <v>392</v>
      </c>
      <c r="BG151" s="35" t="s">
        <v>433</v>
      </c>
      <c r="BH151" s="35" t="s">
        <v>394</v>
      </c>
      <c r="BJ151" s="35" t="s">
        <v>727</v>
      </c>
      <c r="BL151" s="35" t="s">
        <v>437</v>
      </c>
      <c r="BM151" s="35" t="s">
        <v>438</v>
      </c>
      <c r="BN151" s="35" t="s">
        <v>439</v>
      </c>
      <c r="BO151" s="35" t="s">
        <v>398</v>
      </c>
      <c r="BP151" s="35" t="s">
        <v>4068</v>
      </c>
      <c r="BQ151" s="35" t="s">
        <v>4069</v>
      </c>
      <c r="BR151" s="35" t="s">
        <v>604</v>
      </c>
      <c r="BS151" s="35" t="s">
        <v>4070</v>
      </c>
      <c r="BT151" s="35" t="s">
        <v>4071</v>
      </c>
      <c r="BU151" s="35" t="s">
        <v>4072</v>
      </c>
      <c r="BV151" s="35" t="s">
        <v>1831</v>
      </c>
      <c r="BW151" s="35" t="s">
        <v>4073</v>
      </c>
      <c r="BX151" s="35" t="s">
        <v>457</v>
      </c>
      <c r="BZ151" s="35" t="s">
        <v>408</v>
      </c>
      <c r="CC151" s="35" t="s">
        <v>4074</v>
      </c>
      <c r="CD151" s="35" t="s">
        <v>4075</v>
      </c>
      <c r="CE151" s="35" t="s">
        <v>451</v>
      </c>
      <c r="CF151" s="35" t="s">
        <v>4076</v>
      </c>
      <c r="CG151" s="35" t="s">
        <v>1258</v>
      </c>
      <c r="CI151" s="35" t="s">
        <v>2852</v>
      </c>
      <c r="CJ151" s="35" t="s">
        <v>410</v>
      </c>
      <c r="CK151" s="35" t="s">
        <v>4077</v>
      </c>
      <c r="CL151" s="35" t="s">
        <v>4078</v>
      </c>
      <c r="EU151" s="35" t="s">
        <v>578</v>
      </c>
      <c r="EV151" s="35" t="s">
        <v>579</v>
      </c>
      <c r="EW151" s="35" t="s">
        <v>1534</v>
      </c>
      <c r="EY151" s="35" t="s">
        <v>4079</v>
      </c>
      <c r="EZ151" s="35" t="s">
        <v>4080</v>
      </c>
      <c r="FA151" s="35" t="s">
        <v>415</v>
      </c>
      <c r="FB151" s="35" t="s">
        <v>414</v>
      </c>
      <c r="FC151" s="35" t="s">
        <v>416</v>
      </c>
      <c r="FD151" s="35" t="s">
        <v>414</v>
      </c>
      <c r="FE151" s="35" t="s">
        <v>416</v>
      </c>
      <c r="FF151" s="35" t="s">
        <v>414</v>
      </c>
      <c r="FG151" s="35" t="s">
        <v>415</v>
      </c>
      <c r="FH151" s="35" t="s">
        <v>415</v>
      </c>
      <c r="FI151" s="35" t="s">
        <v>415</v>
      </c>
      <c r="FJ151" s="35" t="s">
        <v>416</v>
      </c>
      <c r="FK151" s="35" t="s">
        <v>415</v>
      </c>
      <c r="FL151" s="35" t="s">
        <v>415</v>
      </c>
      <c r="FM151" s="35" t="s">
        <v>415</v>
      </c>
      <c r="FN151" s="35" t="s">
        <v>415</v>
      </c>
      <c r="FO151" s="35" t="s">
        <v>415</v>
      </c>
      <c r="FP151" s="35" t="s">
        <v>850</v>
      </c>
      <c r="FQ151" s="35" t="s">
        <v>486</v>
      </c>
      <c r="FR151" s="35" t="s">
        <v>749</v>
      </c>
      <c r="FS151" s="35" t="s">
        <v>4081</v>
      </c>
      <c r="FT151" s="35" t="s">
        <v>1076</v>
      </c>
      <c r="FU151" s="35" t="s">
        <v>1462</v>
      </c>
      <c r="FV151" s="35" t="s">
        <v>1235</v>
      </c>
      <c r="FW151" s="35" t="s">
        <v>1101</v>
      </c>
      <c r="FX151" s="35" t="s">
        <v>491</v>
      </c>
      <c r="FY151" s="35" t="s">
        <v>4082</v>
      </c>
      <c r="FZ151" s="35" t="s">
        <v>1854</v>
      </c>
      <c r="GA151" s="35" t="s">
        <v>4083</v>
      </c>
      <c r="GC151" s="35" t="s">
        <v>408</v>
      </c>
      <c r="GK151" s="35" t="s">
        <v>857</v>
      </c>
      <c r="GL151" s="35" t="s">
        <v>857</v>
      </c>
      <c r="GM151" s="35" t="s">
        <v>790</v>
      </c>
      <c r="GP151" s="35" t="s">
        <v>4084</v>
      </c>
      <c r="GR151" s="35" t="s">
        <v>3351</v>
      </c>
    </row>
    <row r="152">
      <c r="A152" s="40"/>
      <c r="B152" s="40">
        <v>45833.82247668982</v>
      </c>
      <c r="C152" s="35" t="s">
        <v>368</v>
      </c>
      <c r="D152" s="35" t="s">
        <v>370</v>
      </c>
      <c r="F152" s="35" t="s">
        <v>791</v>
      </c>
      <c r="H152" s="35" t="s">
        <v>422</v>
      </c>
      <c r="I152" s="35" t="s">
        <v>637</v>
      </c>
      <c r="J152" s="35" t="s">
        <v>638</v>
      </c>
      <c r="K152" s="35" t="s">
        <v>425</v>
      </c>
      <c r="L152" s="35" t="s">
        <v>376</v>
      </c>
      <c r="M152" s="35" t="s">
        <v>426</v>
      </c>
      <c r="N152" s="35" t="s">
        <v>4157</v>
      </c>
      <c r="O152" s="35" t="s">
        <v>591</v>
      </c>
      <c r="P152" s="35" t="s">
        <v>2464</v>
      </c>
      <c r="Q152" s="35" t="s">
        <v>498</v>
      </c>
      <c r="R152" s="35" t="s">
        <v>862</v>
      </c>
      <c r="S152" s="35" t="s">
        <v>949</v>
      </c>
      <c r="T152" s="35" t="s">
        <v>384</v>
      </c>
      <c r="U152" s="35" t="s">
        <v>385</v>
      </c>
      <c r="X152" s="35" t="s">
        <v>3231</v>
      </c>
      <c r="AW152" s="35" t="s">
        <v>1310</v>
      </c>
      <c r="AX152" s="35" t="s">
        <v>391</v>
      </c>
      <c r="AY152" s="35" t="s">
        <v>391</v>
      </c>
      <c r="AZ152" s="41">
        <v>4.0</v>
      </c>
      <c r="BA152" s="41">
        <v>4.0</v>
      </c>
      <c r="BB152" s="35" t="s">
        <v>675</v>
      </c>
      <c r="BC152" s="35" t="s">
        <v>675</v>
      </c>
      <c r="BD152" s="35" t="s">
        <v>4158</v>
      </c>
      <c r="BE152" s="35" t="s">
        <v>4159</v>
      </c>
      <c r="BF152" s="35" t="s">
        <v>432</v>
      </c>
      <c r="BG152" s="35" t="s">
        <v>393</v>
      </c>
      <c r="BH152" s="35" t="s">
        <v>394</v>
      </c>
      <c r="BI152" s="35" t="s">
        <v>4160</v>
      </c>
      <c r="BJ152" s="35" t="s">
        <v>824</v>
      </c>
      <c r="BL152" s="35" t="s">
        <v>681</v>
      </c>
      <c r="BM152" s="35" t="s">
        <v>396</v>
      </c>
      <c r="BN152" s="35" t="s">
        <v>1247</v>
      </c>
      <c r="BO152" s="35" t="s">
        <v>398</v>
      </c>
      <c r="BP152" s="35" t="s">
        <v>4161</v>
      </c>
      <c r="BQ152" s="35" t="s">
        <v>4162</v>
      </c>
      <c r="BR152" s="35" t="s">
        <v>604</v>
      </c>
      <c r="BS152" s="35" t="s">
        <v>2662</v>
      </c>
      <c r="BT152" s="35" t="s">
        <v>1671</v>
      </c>
      <c r="BU152" s="35" t="s">
        <v>1771</v>
      </c>
      <c r="BV152" s="35" t="s">
        <v>405</v>
      </c>
      <c r="BX152" s="35" t="s">
        <v>988</v>
      </c>
      <c r="BZ152" s="35" t="s">
        <v>408</v>
      </c>
      <c r="CC152" s="35" t="s">
        <v>4163</v>
      </c>
      <c r="CD152" s="35" t="s">
        <v>10801</v>
      </c>
      <c r="CE152" s="35" t="s">
        <v>409</v>
      </c>
      <c r="CF152" s="35" t="s">
        <v>10802</v>
      </c>
      <c r="CG152" s="35" t="s">
        <v>2233</v>
      </c>
      <c r="CI152" s="35" t="s">
        <v>1751</v>
      </c>
      <c r="CJ152" s="35" t="s">
        <v>410</v>
      </c>
      <c r="CK152" s="35" t="s">
        <v>10803</v>
      </c>
      <c r="CL152" s="35" t="s">
        <v>4167</v>
      </c>
      <c r="EU152" s="35" t="s">
        <v>478</v>
      </c>
      <c r="EV152" s="35" t="s">
        <v>887</v>
      </c>
      <c r="EW152" s="35" t="s">
        <v>480</v>
      </c>
      <c r="EY152" s="35" t="s">
        <v>10804</v>
      </c>
      <c r="EZ152" s="35" t="s">
        <v>10805</v>
      </c>
      <c r="FA152" s="35" t="s">
        <v>416</v>
      </c>
      <c r="FB152" s="35" t="s">
        <v>414</v>
      </c>
      <c r="FC152" s="35" t="s">
        <v>413</v>
      </c>
      <c r="FD152" s="35" t="s">
        <v>413</v>
      </c>
      <c r="FE152" s="35" t="s">
        <v>413</v>
      </c>
      <c r="FF152" s="35" t="s">
        <v>414</v>
      </c>
      <c r="FG152" s="35" t="s">
        <v>413</v>
      </c>
      <c r="FH152" s="35" t="s">
        <v>413</v>
      </c>
      <c r="FI152" s="35" t="s">
        <v>484</v>
      </c>
      <c r="FJ152" s="35" t="s">
        <v>414</v>
      </c>
      <c r="FK152" s="35" t="s">
        <v>414</v>
      </c>
      <c r="FL152" s="35" t="s">
        <v>416</v>
      </c>
      <c r="FM152" s="35" t="s">
        <v>416</v>
      </c>
      <c r="FN152" s="35" t="s">
        <v>413</v>
      </c>
      <c r="FO152" s="35" t="s">
        <v>583</v>
      </c>
      <c r="FP152" s="35" t="s">
        <v>485</v>
      </c>
      <c r="FQ152" s="35" t="s">
        <v>418</v>
      </c>
      <c r="FR152" s="35" t="s">
        <v>419</v>
      </c>
      <c r="FS152" s="35" t="s">
        <v>4169</v>
      </c>
      <c r="FT152" s="35" t="s">
        <v>1189</v>
      </c>
      <c r="FU152" s="35" t="s">
        <v>1462</v>
      </c>
      <c r="FV152" s="35" t="s">
        <v>489</v>
      </c>
      <c r="FW152" s="35" t="s">
        <v>490</v>
      </c>
      <c r="FX152" s="35" t="s">
        <v>491</v>
      </c>
      <c r="FZ152" s="35" t="s">
        <v>493</v>
      </c>
      <c r="GC152" s="35" t="s">
        <v>408</v>
      </c>
      <c r="GK152" s="35" t="s">
        <v>857</v>
      </c>
      <c r="GM152" s="35" t="s">
        <v>817</v>
      </c>
      <c r="GQ152" s="35" t="s">
        <v>387</v>
      </c>
      <c r="GR152" s="35" t="s">
        <v>3208</v>
      </c>
    </row>
    <row r="153">
      <c r="A153" s="40"/>
      <c r="B153" s="40">
        <v>45834.140873842596</v>
      </c>
      <c r="C153" s="35" t="s">
        <v>368</v>
      </c>
      <c r="D153" s="35" t="s">
        <v>370</v>
      </c>
      <c r="F153" s="35" t="s">
        <v>2359</v>
      </c>
      <c r="H153" s="35" t="s">
        <v>422</v>
      </c>
      <c r="I153" s="35" t="s">
        <v>496</v>
      </c>
      <c r="J153" s="35" t="s">
        <v>424</v>
      </c>
      <c r="K153" s="35" t="s">
        <v>375</v>
      </c>
      <c r="L153" s="35" t="s">
        <v>376</v>
      </c>
      <c r="M153" s="35" t="s">
        <v>426</v>
      </c>
      <c r="N153" s="35" t="s">
        <v>378</v>
      </c>
      <c r="O153" s="35" t="s">
        <v>591</v>
      </c>
      <c r="P153" s="35" t="s">
        <v>719</v>
      </c>
      <c r="Q153" s="35" t="s">
        <v>498</v>
      </c>
      <c r="R153" s="35" t="s">
        <v>382</v>
      </c>
      <c r="S153" s="35" t="s">
        <v>427</v>
      </c>
      <c r="T153" s="35" t="s">
        <v>384</v>
      </c>
      <c r="U153" s="35" t="s">
        <v>385</v>
      </c>
      <c r="X153" s="35" t="s">
        <v>3014</v>
      </c>
      <c r="AW153" s="35" t="s">
        <v>1242</v>
      </c>
      <c r="AX153" s="35" t="s">
        <v>675</v>
      </c>
      <c r="AY153" s="35" t="s">
        <v>675</v>
      </c>
      <c r="AZ153" s="35" t="s">
        <v>675</v>
      </c>
      <c r="BA153" s="41">
        <v>4.0</v>
      </c>
      <c r="BB153" s="35" t="s">
        <v>675</v>
      </c>
      <c r="BC153" s="35" t="s">
        <v>675</v>
      </c>
      <c r="BD153" s="35" t="s">
        <v>4243</v>
      </c>
      <c r="BE153" s="35" t="s">
        <v>2991</v>
      </c>
      <c r="BF153" s="35" t="s">
        <v>1094</v>
      </c>
      <c r="BG153" s="35" t="s">
        <v>1095</v>
      </c>
      <c r="BH153" s="35" t="s">
        <v>725</v>
      </c>
      <c r="BJ153" s="35" t="s">
        <v>976</v>
      </c>
      <c r="BL153" s="35" t="s">
        <v>437</v>
      </c>
      <c r="BM153" s="35" t="s">
        <v>904</v>
      </c>
      <c r="BN153" s="35" t="s">
        <v>1314</v>
      </c>
      <c r="BO153" s="35" t="s">
        <v>398</v>
      </c>
      <c r="BP153" s="35" t="s">
        <v>10806</v>
      </c>
      <c r="BQ153" s="35" t="s">
        <v>4245</v>
      </c>
      <c r="BR153" s="35" t="s">
        <v>442</v>
      </c>
      <c r="BS153" s="35" t="s">
        <v>4246</v>
      </c>
      <c r="BT153" s="35" t="s">
        <v>1671</v>
      </c>
      <c r="BU153" s="35" t="s">
        <v>404</v>
      </c>
      <c r="BV153" s="35" t="s">
        <v>405</v>
      </c>
      <c r="BX153" s="35" t="s">
        <v>988</v>
      </c>
      <c r="BZ153" s="35" t="s">
        <v>408</v>
      </c>
      <c r="CB153" s="35" t="s">
        <v>10807</v>
      </c>
      <c r="CC153" s="35" t="s">
        <v>10808</v>
      </c>
      <c r="CD153" s="35" t="s">
        <v>10809</v>
      </c>
      <c r="CE153" s="35" t="s">
        <v>409</v>
      </c>
      <c r="CF153" s="35" t="s">
        <v>10810</v>
      </c>
      <c r="CG153" s="35" t="s">
        <v>1258</v>
      </c>
      <c r="CI153" s="35" t="s">
        <v>1259</v>
      </c>
      <c r="CJ153" s="35" t="s">
        <v>410</v>
      </c>
      <c r="CK153" s="35" t="s">
        <v>10811</v>
      </c>
      <c r="CL153" s="35" t="s">
        <v>10812</v>
      </c>
      <c r="EU153" s="35" t="s">
        <v>526</v>
      </c>
      <c r="EV153" s="35" t="s">
        <v>479</v>
      </c>
      <c r="EW153" s="35" t="s">
        <v>1262</v>
      </c>
      <c r="EY153" s="35" t="s">
        <v>10813</v>
      </c>
      <c r="EZ153" s="35" t="s">
        <v>10814</v>
      </c>
      <c r="FA153" s="35" t="s">
        <v>414</v>
      </c>
      <c r="FB153" s="35" t="s">
        <v>583</v>
      </c>
      <c r="FC153" s="35" t="s">
        <v>583</v>
      </c>
      <c r="FD153" s="35" t="s">
        <v>583</v>
      </c>
      <c r="FE153" s="35" t="s">
        <v>415</v>
      </c>
      <c r="FF153" s="35" t="s">
        <v>583</v>
      </c>
      <c r="FG153" s="35" t="s">
        <v>583</v>
      </c>
      <c r="FH153" s="35" t="s">
        <v>583</v>
      </c>
      <c r="FI153" s="35" t="s">
        <v>583</v>
      </c>
      <c r="FJ153" s="35" t="s">
        <v>583</v>
      </c>
      <c r="FK153" s="35" t="s">
        <v>583</v>
      </c>
      <c r="FL153" s="35" t="s">
        <v>414</v>
      </c>
      <c r="FM153" s="35" t="s">
        <v>414</v>
      </c>
      <c r="FN153" s="35" t="s">
        <v>413</v>
      </c>
      <c r="FO153" s="35" t="s">
        <v>583</v>
      </c>
      <c r="FP153" s="35" t="s">
        <v>417</v>
      </c>
      <c r="FQ153" s="35" t="s">
        <v>418</v>
      </c>
      <c r="FR153" s="35" t="s">
        <v>749</v>
      </c>
      <c r="FS153" s="35" t="s">
        <v>1775</v>
      </c>
      <c r="FT153" s="35" t="s">
        <v>420</v>
      </c>
      <c r="FU153" s="35" t="s">
        <v>488</v>
      </c>
      <c r="FV153" s="35" t="s">
        <v>489</v>
      </c>
      <c r="FW153" s="35" t="s">
        <v>490</v>
      </c>
      <c r="FX153" s="35" t="s">
        <v>491</v>
      </c>
      <c r="FZ153" s="35" t="s">
        <v>535</v>
      </c>
      <c r="GA153" s="35" t="s">
        <v>10815</v>
      </c>
      <c r="GC153" s="35" t="s">
        <v>408</v>
      </c>
      <c r="GK153" s="35" t="s">
        <v>920</v>
      </c>
      <c r="GL153" s="35" t="s">
        <v>755</v>
      </c>
      <c r="GM153" s="35" t="s">
        <v>817</v>
      </c>
      <c r="GR153" s="35" t="s">
        <v>3273</v>
      </c>
    </row>
    <row r="154">
      <c r="A154" s="40"/>
      <c r="B154" s="40">
        <v>45834.524166041665</v>
      </c>
      <c r="C154" s="35" t="s">
        <v>368</v>
      </c>
      <c r="D154" s="35" t="s">
        <v>370</v>
      </c>
      <c r="F154" s="35" t="s">
        <v>1441</v>
      </c>
      <c r="H154" s="35" t="s">
        <v>422</v>
      </c>
      <c r="I154" s="35" t="s">
        <v>1921</v>
      </c>
      <c r="J154" s="35" t="s">
        <v>668</v>
      </c>
      <c r="K154" s="35" t="s">
        <v>1023</v>
      </c>
      <c r="L154" s="35" t="s">
        <v>376</v>
      </c>
      <c r="M154" s="35" t="s">
        <v>426</v>
      </c>
      <c r="N154" s="35" t="s">
        <v>378</v>
      </c>
      <c r="O154" s="35" t="s">
        <v>591</v>
      </c>
      <c r="P154" s="35" t="s">
        <v>719</v>
      </c>
      <c r="Q154" s="35" t="s">
        <v>498</v>
      </c>
      <c r="R154" s="35" t="s">
        <v>382</v>
      </c>
      <c r="S154" s="35" t="s">
        <v>427</v>
      </c>
      <c r="T154" s="35" t="s">
        <v>384</v>
      </c>
      <c r="U154" s="35" t="s">
        <v>385</v>
      </c>
      <c r="X154" s="35" t="s">
        <v>3231</v>
      </c>
      <c r="AW154" s="35" t="s">
        <v>1242</v>
      </c>
      <c r="AX154" s="35" t="s">
        <v>675</v>
      </c>
      <c r="AY154" s="35" t="s">
        <v>675</v>
      </c>
      <c r="AZ154" s="35" t="s">
        <v>675</v>
      </c>
      <c r="BA154" s="35" t="s">
        <v>675</v>
      </c>
      <c r="BB154" s="35" t="s">
        <v>675</v>
      </c>
      <c r="BC154" s="35" t="s">
        <v>675</v>
      </c>
      <c r="BD154" s="35" t="s">
        <v>4267</v>
      </c>
      <c r="BE154" s="35" t="s">
        <v>4268</v>
      </c>
      <c r="BF154" s="35" t="s">
        <v>2379</v>
      </c>
      <c r="BG154" s="35" t="s">
        <v>1245</v>
      </c>
      <c r="BH154" s="35" t="s">
        <v>394</v>
      </c>
      <c r="BI154" s="35" t="s">
        <v>4269</v>
      </c>
      <c r="BJ154" s="35" t="s">
        <v>976</v>
      </c>
      <c r="BK154" s="35" t="s">
        <v>4270</v>
      </c>
      <c r="BL154" s="35" t="s">
        <v>681</v>
      </c>
      <c r="BM154" s="35" t="s">
        <v>904</v>
      </c>
      <c r="BN154" s="35" t="s">
        <v>1314</v>
      </c>
      <c r="BO154" s="35" t="s">
        <v>398</v>
      </c>
      <c r="BQ154" s="35" t="s">
        <v>10816</v>
      </c>
      <c r="BR154" s="35" t="s">
        <v>604</v>
      </c>
      <c r="BS154" s="35" t="s">
        <v>4272</v>
      </c>
      <c r="BT154" s="35" t="s">
        <v>1251</v>
      </c>
      <c r="BU154" s="35" t="s">
        <v>404</v>
      </c>
      <c r="BV154" s="35" t="s">
        <v>1831</v>
      </c>
      <c r="BW154" s="35" t="s">
        <v>10817</v>
      </c>
      <c r="BX154" s="35" t="s">
        <v>406</v>
      </c>
      <c r="BY154" s="35" t="s">
        <v>407</v>
      </c>
      <c r="BZ154" s="35" t="s">
        <v>455</v>
      </c>
      <c r="CA154" s="35" t="s">
        <v>10818</v>
      </c>
      <c r="CB154" s="35" t="s">
        <v>4275</v>
      </c>
      <c r="CC154" s="35" t="s">
        <v>10819</v>
      </c>
      <c r="CD154" s="35" t="s">
        <v>4277</v>
      </c>
      <c r="CE154" s="35" t="s">
        <v>451</v>
      </c>
      <c r="CF154" s="35" t="s">
        <v>4278</v>
      </c>
      <c r="CG154" s="35" t="s">
        <v>1697</v>
      </c>
      <c r="CI154" s="35" t="s">
        <v>2744</v>
      </c>
      <c r="CJ154" s="35" t="s">
        <v>410</v>
      </c>
      <c r="CK154" s="35" t="s">
        <v>4279</v>
      </c>
      <c r="CL154" s="35" t="s">
        <v>10820</v>
      </c>
      <c r="EU154" s="35" t="s">
        <v>526</v>
      </c>
      <c r="EV154" s="35" t="s">
        <v>887</v>
      </c>
      <c r="EW154" s="35" t="s">
        <v>480</v>
      </c>
      <c r="EY154" s="35" t="s">
        <v>4281</v>
      </c>
      <c r="EZ154" s="35" t="s">
        <v>4282</v>
      </c>
      <c r="FA154" s="35" t="s">
        <v>583</v>
      </c>
      <c r="FB154" s="35" t="s">
        <v>583</v>
      </c>
      <c r="FC154" s="35" t="s">
        <v>583</v>
      </c>
      <c r="FD154" s="35" t="s">
        <v>583</v>
      </c>
      <c r="FE154" s="35" t="s">
        <v>583</v>
      </c>
      <c r="FF154" s="35" t="s">
        <v>583</v>
      </c>
      <c r="FG154" s="35" t="s">
        <v>583</v>
      </c>
      <c r="FH154" s="35" t="s">
        <v>583</v>
      </c>
      <c r="FI154" s="35" t="s">
        <v>583</v>
      </c>
      <c r="FJ154" s="35" t="s">
        <v>583</v>
      </c>
      <c r="FK154" s="35" t="s">
        <v>583</v>
      </c>
      <c r="FL154" s="35" t="s">
        <v>583</v>
      </c>
      <c r="FM154" s="35" t="s">
        <v>583</v>
      </c>
      <c r="FN154" s="35" t="s">
        <v>583</v>
      </c>
      <c r="FO154" s="35" t="s">
        <v>583</v>
      </c>
      <c r="FQ154" s="35" t="s">
        <v>2524</v>
      </c>
      <c r="FR154" s="35" t="s">
        <v>630</v>
      </c>
      <c r="FS154" s="35" t="s">
        <v>4283</v>
      </c>
      <c r="FT154" s="35" t="s">
        <v>420</v>
      </c>
      <c r="FU154" s="35" t="s">
        <v>488</v>
      </c>
      <c r="FV154" s="35" t="s">
        <v>533</v>
      </c>
      <c r="FW154" s="35" t="s">
        <v>490</v>
      </c>
      <c r="FX154" s="35" t="s">
        <v>491</v>
      </c>
      <c r="FZ154" s="35" t="s">
        <v>1020</v>
      </c>
      <c r="GB154" s="35" t="s">
        <v>10821</v>
      </c>
      <c r="GC154" s="35" t="s">
        <v>455</v>
      </c>
      <c r="GE154" s="35" t="s">
        <v>4285</v>
      </c>
      <c r="GF154" s="35" t="s">
        <v>753</v>
      </c>
      <c r="GG154" s="35" t="s">
        <v>3080</v>
      </c>
      <c r="GK154" s="35" t="s">
        <v>755</v>
      </c>
      <c r="GL154" s="35" t="s">
        <v>755</v>
      </c>
      <c r="GM154" s="35" t="s">
        <v>946</v>
      </c>
      <c r="GQ154" s="35" t="s">
        <v>387</v>
      </c>
      <c r="GR154" s="35" t="s">
        <v>3306</v>
      </c>
    </row>
    <row r="155">
      <c r="A155" s="40"/>
      <c r="B155" s="40">
        <v>45835.8895909375</v>
      </c>
      <c r="C155" s="35" t="s">
        <v>368</v>
      </c>
      <c r="D155" s="35" t="s">
        <v>370</v>
      </c>
      <c r="E155" s="35" t="s">
        <v>370</v>
      </c>
      <c r="F155" s="35" t="s">
        <v>1798</v>
      </c>
      <c r="G155" s="35" t="s">
        <v>4361</v>
      </c>
      <c r="H155" s="35" t="s">
        <v>1269</v>
      </c>
      <c r="I155" s="35" t="s">
        <v>373</v>
      </c>
      <c r="J155" s="35" t="s">
        <v>374</v>
      </c>
      <c r="K155" s="35" t="s">
        <v>425</v>
      </c>
      <c r="L155" s="35" t="s">
        <v>376</v>
      </c>
      <c r="M155" s="35" t="s">
        <v>379</v>
      </c>
      <c r="N155" s="35" t="s">
        <v>2464</v>
      </c>
      <c r="O155" s="35" t="s">
        <v>591</v>
      </c>
      <c r="P155" s="35" t="s">
        <v>640</v>
      </c>
      <c r="Q155" s="35" t="s">
        <v>498</v>
      </c>
      <c r="R155" s="35" t="s">
        <v>382</v>
      </c>
      <c r="S155" s="35" t="s">
        <v>500</v>
      </c>
      <c r="T155" s="35" t="s">
        <v>384</v>
      </c>
      <c r="U155" s="35" t="s">
        <v>385</v>
      </c>
      <c r="X155" s="35" t="s">
        <v>3231</v>
      </c>
      <c r="AW155" s="35" t="s">
        <v>1242</v>
      </c>
      <c r="AX155" s="35" t="s">
        <v>675</v>
      </c>
      <c r="AY155" s="35" t="s">
        <v>675</v>
      </c>
      <c r="AZ155" s="35" t="s">
        <v>675</v>
      </c>
      <c r="BA155" s="35" t="s">
        <v>675</v>
      </c>
      <c r="BB155" s="35" t="s">
        <v>675</v>
      </c>
      <c r="BC155" s="35" t="s">
        <v>675</v>
      </c>
      <c r="BD155" s="35" t="s">
        <v>4362</v>
      </c>
      <c r="BE155" s="35" t="s">
        <v>4363</v>
      </c>
      <c r="BF155" s="35" t="s">
        <v>2379</v>
      </c>
      <c r="BG155" s="35" t="s">
        <v>1095</v>
      </c>
      <c r="BH155" s="35" t="s">
        <v>725</v>
      </c>
      <c r="BI155" s="35" t="s">
        <v>4364</v>
      </c>
      <c r="BJ155" s="35" t="s">
        <v>976</v>
      </c>
      <c r="BL155" s="35" t="s">
        <v>395</v>
      </c>
      <c r="BM155" s="35" t="s">
        <v>904</v>
      </c>
      <c r="BN155" s="35" t="s">
        <v>1314</v>
      </c>
      <c r="BO155" s="35" t="s">
        <v>398</v>
      </c>
      <c r="BP155" s="35" t="s">
        <v>4365</v>
      </c>
      <c r="BQ155" s="35" t="s">
        <v>4366</v>
      </c>
      <c r="BR155" s="35" t="s">
        <v>401</v>
      </c>
      <c r="BS155" s="35" t="s">
        <v>4367</v>
      </c>
      <c r="BT155" s="35" t="s">
        <v>1671</v>
      </c>
      <c r="BU155" s="35" t="s">
        <v>4368</v>
      </c>
      <c r="BV155" s="35" t="s">
        <v>405</v>
      </c>
      <c r="BX155" s="35" t="s">
        <v>988</v>
      </c>
      <c r="BZ155" s="35" t="s">
        <v>408</v>
      </c>
      <c r="CB155" s="35" t="s">
        <v>4369</v>
      </c>
      <c r="CC155" s="35" t="s">
        <v>4370</v>
      </c>
      <c r="CD155" s="35" t="s">
        <v>4371</v>
      </c>
      <c r="CE155" s="35" t="s">
        <v>1257</v>
      </c>
      <c r="CG155" s="35" t="s">
        <v>1722</v>
      </c>
      <c r="CH155" s="35" t="s">
        <v>4372</v>
      </c>
      <c r="CI155" s="35" t="s">
        <v>1259</v>
      </c>
      <c r="CJ155" s="35" t="s">
        <v>410</v>
      </c>
      <c r="CK155" s="35" t="s">
        <v>10822</v>
      </c>
      <c r="CL155" s="35" t="s">
        <v>4374</v>
      </c>
      <c r="EU155" s="35" t="s">
        <v>526</v>
      </c>
      <c r="EV155" s="35" t="s">
        <v>479</v>
      </c>
      <c r="EW155" s="35" t="s">
        <v>480</v>
      </c>
      <c r="EX155" s="35" t="s">
        <v>4375</v>
      </c>
      <c r="EY155" s="35" t="s">
        <v>4376</v>
      </c>
      <c r="EZ155" s="35" t="s">
        <v>4377</v>
      </c>
      <c r="FA155" s="35" t="s">
        <v>583</v>
      </c>
      <c r="FB155" s="35" t="s">
        <v>583</v>
      </c>
      <c r="FC155" s="35" t="s">
        <v>413</v>
      </c>
      <c r="FD155" s="35" t="s">
        <v>583</v>
      </c>
      <c r="FE155" s="35" t="s">
        <v>415</v>
      </c>
      <c r="FF155" s="35" t="s">
        <v>583</v>
      </c>
      <c r="FG155" s="35" t="s">
        <v>583</v>
      </c>
      <c r="FH155" s="35" t="s">
        <v>413</v>
      </c>
      <c r="FI155" s="35" t="s">
        <v>583</v>
      </c>
      <c r="FJ155" s="35" t="s">
        <v>414</v>
      </c>
      <c r="FK155" s="35" t="s">
        <v>414</v>
      </c>
      <c r="FL155" s="35" t="s">
        <v>415</v>
      </c>
      <c r="FM155" s="35" t="s">
        <v>415</v>
      </c>
      <c r="FN155" s="35" t="s">
        <v>413</v>
      </c>
      <c r="FO155" s="35" t="s">
        <v>583</v>
      </c>
      <c r="FP155" s="35" t="s">
        <v>417</v>
      </c>
      <c r="FQ155" s="35" t="s">
        <v>418</v>
      </c>
      <c r="FR155" s="35" t="s">
        <v>749</v>
      </c>
      <c r="FS155" s="35" t="s">
        <v>4378</v>
      </c>
      <c r="FT155" s="35" t="s">
        <v>420</v>
      </c>
      <c r="FU155" s="35" t="s">
        <v>488</v>
      </c>
      <c r="FV155" s="35" t="s">
        <v>489</v>
      </c>
      <c r="FW155" s="35" t="s">
        <v>490</v>
      </c>
      <c r="FX155" s="35" t="s">
        <v>491</v>
      </c>
      <c r="FY155" s="35" t="s">
        <v>4379</v>
      </c>
      <c r="FZ155" s="35" t="s">
        <v>535</v>
      </c>
      <c r="GA155" s="35" t="s">
        <v>4380</v>
      </c>
      <c r="GB155" s="35" t="s">
        <v>10823</v>
      </c>
      <c r="GC155" s="35" t="s">
        <v>455</v>
      </c>
      <c r="GD155" s="35" t="s">
        <v>10824</v>
      </c>
      <c r="GE155" s="35" t="s">
        <v>10825</v>
      </c>
      <c r="GF155" s="35" t="s">
        <v>1339</v>
      </c>
      <c r="GG155" s="35" t="s">
        <v>4382</v>
      </c>
      <c r="GK155" s="35" t="s">
        <v>755</v>
      </c>
      <c r="GL155" s="35" t="s">
        <v>755</v>
      </c>
      <c r="GM155" s="35" t="s">
        <v>946</v>
      </c>
      <c r="GQ155" s="35" t="s">
        <v>387</v>
      </c>
      <c r="GR155" s="35" t="s">
        <v>3208</v>
      </c>
    </row>
    <row r="156">
      <c r="A156" s="40"/>
      <c r="B156" s="40">
        <v>45836.34391229167</v>
      </c>
      <c r="C156" s="35" t="s">
        <v>368</v>
      </c>
      <c r="D156" s="35" t="s">
        <v>894</v>
      </c>
      <c r="E156" s="35" t="s">
        <v>370</v>
      </c>
      <c r="G156" s="35" t="s">
        <v>371</v>
      </c>
      <c r="H156" s="35" t="s">
        <v>422</v>
      </c>
      <c r="I156" s="35" t="s">
        <v>373</v>
      </c>
      <c r="J156" s="35" t="s">
        <v>374</v>
      </c>
      <c r="K156" s="35" t="s">
        <v>718</v>
      </c>
      <c r="L156" s="35" t="s">
        <v>376</v>
      </c>
      <c r="M156" s="35" t="s">
        <v>591</v>
      </c>
      <c r="N156" s="35" t="s">
        <v>860</v>
      </c>
      <c r="O156" s="35" t="s">
        <v>379</v>
      </c>
      <c r="P156" s="35" t="s">
        <v>671</v>
      </c>
      <c r="Q156" s="35" t="s">
        <v>592</v>
      </c>
      <c r="R156" s="35" t="s">
        <v>382</v>
      </c>
      <c r="S156" s="35" t="s">
        <v>500</v>
      </c>
      <c r="T156" s="35" t="s">
        <v>384</v>
      </c>
      <c r="U156" s="35" t="s">
        <v>385</v>
      </c>
      <c r="V156" s="35" t="s">
        <v>1045</v>
      </c>
      <c r="X156" s="35" t="s">
        <v>386</v>
      </c>
      <c r="Y156" s="35" t="s">
        <v>387</v>
      </c>
      <c r="Z156" s="35" t="s">
        <v>388</v>
      </c>
      <c r="AA156" s="35" t="s">
        <v>543</v>
      </c>
      <c r="AB156" s="35" t="s">
        <v>4418</v>
      </c>
      <c r="AC156" s="35" t="s">
        <v>4419</v>
      </c>
      <c r="AW156" s="35" t="s">
        <v>1310</v>
      </c>
      <c r="AX156" s="35" t="s">
        <v>675</v>
      </c>
      <c r="AY156" s="35" t="s">
        <v>675</v>
      </c>
      <c r="AZ156" s="35" t="s">
        <v>675</v>
      </c>
      <c r="BA156" s="35" t="s">
        <v>675</v>
      </c>
      <c r="BB156" s="35" t="s">
        <v>675</v>
      </c>
      <c r="BC156" s="35" t="s">
        <v>675</v>
      </c>
      <c r="BE156" s="35" t="s">
        <v>4420</v>
      </c>
      <c r="BF156" s="35" t="s">
        <v>392</v>
      </c>
      <c r="BG156" s="35" t="s">
        <v>1095</v>
      </c>
      <c r="BH156" s="35" t="s">
        <v>394</v>
      </c>
      <c r="BI156" s="35" t="s">
        <v>4421</v>
      </c>
      <c r="BJ156" s="35" t="s">
        <v>976</v>
      </c>
      <c r="BK156" s="35" t="s">
        <v>4422</v>
      </c>
      <c r="BL156" s="35" t="s">
        <v>437</v>
      </c>
      <c r="BM156" s="35" t="s">
        <v>603</v>
      </c>
      <c r="BN156" s="35" t="s">
        <v>1247</v>
      </c>
      <c r="BO156" s="35" t="s">
        <v>398</v>
      </c>
      <c r="BP156" s="35" t="s">
        <v>4423</v>
      </c>
      <c r="BQ156" s="35" t="s">
        <v>4424</v>
      </c>
      <c r="BR156" s="35" t="s">
        <v>604</v>
      </c>
      <c r="BS156" s="35" t="s">
        <v>4425</v>
      </c>
      <c r="BT156" s="35" t="s">
        <v>1671</v>
      </c>
      <c r="BU156" s="35" t="s">
        <v>1994</v>
      </c>
      <c r="BV156" s="35" t="s">
        <v>405</v>
      </c>
      <c r="BW156" s="35" t="s">
        <v>4426</v>
      </c>
      <c r="BX156" s="35" t="s">
        <v>457</v>
      </c>
      <c r="BZ156" s="35" t="s">
        <v>408</v>
      </c>
      <c r="CB156" s="35" t="s">
        <v>4427</v>
      </c>
      <c r="CC156" s="35" t="s">
        <v>4428</v>
      </c>
      <c r="CD156" s="35" t="s">
        <v>4429</v>
      </c>
      <c r="CE156" s="35" t="s">
        <v>409</v>
      </c>
      <c r="CF156" s="35" t="s">
        <v>4430</v>
      </c>
      <c r="CG156" s="35" t="s">
        <v>1722</v>
      </c>
      <c r="CH156" s="35" t="s">
        <v>4431</v>
      </c>
      <c r="CI156" s="35" t="s">
        <v>1698</v>
      </c>
      <c r="CJ156" s="35" t="s">
        <v>410</v>
      </c>
      <c r="CK156" s="35" t="s">
        <v>10826</v>
      </c>
      <c r="EU156" s="35" t="s">
        <v>578</v>
      </c>
      <c r="EV156" s="35" t="s">
        <v>579</v>
      </c>
      <c r="EW156" s="35" t="s">
        <v>1262</v>
      </c>
      <c r="EY156" s="35" t="s">
        <v>4433</v>
      </c>
      <c r="EZ156" s="35" t="s">
        <v>4434</v>
      </c>
      <c r="FA156" s="35" t="s">
        <v>415</v>
      </c>
      <c r="FB156" s="35" t="s">
        <v>583</v>
      </c>
      <c r="FC156" s="35" t="s">
        <v>413</v>
      </c>
      <c r="FD156" s="35" t="s">
        <v>416</v>
      </c>
      <c r="FE156" s="35" t="s">
        <v>413</v>
      </c>
      <c r="FF156" s="35" t="s">
        <v>484</v>
      </c>
      <c r="FG156" s="35" t="s">
        <v>415</v>
      </c>
      <c r="FH156" s="35" t="s">
        <v>413</v>
      </c>
      <c r="FI156" s="35" t="s">
        <v>414</v>
      </c>
      <c r="FJ156" s="35" t="s">
        <v>416</v>
      </c>
      <c r="FK156" s="35" t="s">
        <v>416</v>
      </c>
      <c r="FL156" s="35" t="s">
        <v>415</v>
      </c>
      <c r="FM156" s="35" t="s">
        <v>415</v>
      </c>
      <c r="FN156" s="35" t="s">
        <v>415</v>
      </c>
      <c r="FO156" s="35" t="s">
        <v>415</v>
      </c>
      <c r="FP156" s="35" t="s">
        <v>485</v>
      </c>
      <c r="FQ156" s="35" t="s">
        <v>418</v>
      </c>
      <c r="FR156" s="35" t="s">
        <v>531</v>
      </c>
      <c r="FT156" s="35" t="s">
        <v>420</v>
      </c>
      <c r="FU156" s="35" t="s">
        <v>488</v>
      </c>
      <c r="FV156" s="35" t="s">
        <v>533</v>
      </c>
      <c r="FW156" s="35" t="s">
        <v>490</v>
      </c>
      <c r="FX156" s="35" t="s">
        <v>491</v>
      </c>
      <c r="FY156" s="35" t="s">
        <v>4435</v>
      </c>
      <c r="FZ156" s="35" t="s">
        <v>535</v>
      </c>
      <c r="GA156" s="35" t="s">
        <v>4436</v>
      </c>
      <c r="GC156" s="35" t="s">
        <v>408</v>
      </c>
      <c r="GK156" s="35" t="s">
        <v>755</v>
      </c>
      <c r="GL156" s="35" t="s">
        <v>755</v>
      </c>
      <c r="GM156" s="35" t="s">
        <v>817</v>
      </c>
      <c r="GR156" s="35" t="s">
        <v>3208</v>
      </c>
    </row>
    <row r="157">
      <c r="A157" s="40"/>
      <c r="B157" s="40">
        <v>45836.50647361111</v>
      </c>
      <c r="C157" s="35" t="s">
        <v>368</v>
      </c>
      <c r="D157" s="35" t="s">
        <v>538</v>
      </c>
      <c r="E157" s="35" t="s">
        <v>538</v>
      </c>
      <c r="H157" s="35" t="s">
        <v>422</v>
      </c>
      <c r="I157" s="35" t="s">
        <v>1921</v>
      </c>
      <c r="K157" s="35" t="s">
        <v>425</v>
      </c>
      <c r="L157" s="35" t="s">
        <v>376</v>
      </c>
      <c r="M157" s="35" t="s">
        <v>426</v>
      </c>
      <c r="N157" s="35" t="s">
        <v>378</v>
      </c>
      <c r="O157" s="35" t="s">
        <v>426</v>
      </c>
      <c r="P157" s="35" t="s">
        <v>497</v>
      </c>
      <c r="Q157" s="35" t="s">
        <v>498</v>
      </c>
      <c r="R157" s="35" t="s">
        <v>499</v>
      </c>
      <c r="S157" s="35" t="s">
        <v>427</v>
      </c>
      <c r="T157" s="35" t="s">
        <v>384</v>
      </c>
      <c r="U157" s="35" t="s">
        <v>385</v>
      </c>
      <c r="X157" s="35" t="s">
        <v>3014</v>
      </c>
      <c r="AW157" s="35" t="s">
        <v>390</v>
      </c>
      <c r="AX157" s="35" t="s">
        <v>391</v>
      </c>
      <c r="AY157" s="41">
        <v>2.0</v>
      </c>
      <c r="AZ157" s="41">
        <v>2.0</v>
      </c>
      <c r="BA157" s="41">
        <v>2.0</v>
      </c>
      <c r="BB157" s="35" t="s">
        <v>391</v>
      </c>
      <c r="BC157" s="41">
        <v>2.0</v>
      </c>
      <c r="BD157" s="35" t="s">
        <v>10827</v>
      </c>
      <c r="BE157" s="35" t="s">
        <v>4458</v>
      </c>
      <c r="BF157" s="35" t="s">
        <v>432</v>
      </c>
      <c r="BG157" s="35" t="s">
        <v>393</v>
      </c>
      <c r="BJ157" s="35" t="s">
        <v>435</v>
      </c>
      <c r="BK157" s="35" t="s">
        <v>4459</v>
      </c>
      <c r="BL157" s="35" t="s">
        <v>437</v>
      </c>
      <c r="BM157" s="35" t="s">
        <v>603</v>
      </c>
      <c r="BN157" s="35" t="s">
        <v>549</v>
      </c>
      <c r="BO157" s="35" t="s">
        <v>398</v>
      </c>
      <c r="BP157" s="35" t="s">
        <v>4460</v>
      </c>
      <c r="BQ157" s="35" t="s">
        <v>4461</v>
      </c>
      <c r="BR157" s="35" t="s">
        <v>401</v>
      </c>
      <c r="BS157" s="35" t="s">
        <v>4462</v>
      </c>
      <c r="BT157" s="35" t="s">
        <v>403</v>
      </c>
      <c r="BU157" s="35" t="s">
        <v>404</v>
      </c>
      <c r="BV157" s="35" t="s">
        <v>1772</v>
      </c>
      <c r="BW157" s="35" t="s">
        <v>4463</v>
      </c>
      <c r="BX157" s="35" t="s">
        <v>4464</v>
      </c>
      <c r="CA157" s="35" t="s">
        <v>10828</v>
      </c>
      <c r="CB157" s="35" t="s">
        <v>4466</v>
      </c>
      <c r="CC157" s="35" t="s">
        <v>4467</v>
      </c>
      <c r="CD157" s="35" t="s">
        <v>4468</v>
      </c>
      <c r="CE157" s="35" t="s">
        <v>409</v>
      </c>
      <c r="CG157" s="35" t="s">
        <v>1258</v>
      </c>
      <c r="CI157" s="35" t="s">
        <v>1751</v>
      </c>
      <c r="CJ157" s="35" t="s">
        <v>1220</v>
      </c>
      <c r="CK157" s="35" t="s">
        <v>4469</v>
      </c>
      <c r="CL157" s="35" t="s">
        <v>4470</v>
      </c>
      <c r="EU157" s="35" t="s">
        <v>478</v>
      </c>
      <c r="EW157" s="35" t="s">
        <v>1534</v>
      </c>
      <c r="EY157" s="35" t="s">
        <v>4471</v>
      </c>
      <c r="EZ157" s="35" t="s">
        <v>4472</v>
      </c>
      <c r="FA157" s="35" t="s">
        <v>416</v>
      </c>
      <c r="FB157" s="35" t="s">
        <v>416</v>
      </c>
      <c r="FC157" s="35" t="s">
        <v>413</v>
      </c>
      <c r="FD157" s="35" t="s">
        <v>415</v>
      </c>
      <c r="FE157" s="35" t="s">
        <v>413</v>
      </c>
      <c r="FF157" s="35" t="s">
        <v>415</v>
      </c>
      <c r="FG157" s="35" t="s">
        <v>415</v>
      </c>
      <c r="FH157" s="35" t="s">
        <v>415</v>
      </c>
      <c r="FI157" s="35" t="s">
        <v>414</v>
      </c>
      <c r="FJ157" s="35" t="s">
        <v>416</v>
      </c>
      <c r="FK157" s="35" t="s">
        <v>416</v>
      </c>
      <c r="FL157" s="35" t="s">
        <v>416</v>
      </c>
      <c r="FM157" s="35" t="s">
        <v>415</v>
      </c>
      <c r="FN157" s="35" t="s">
        <v>415</v>
      </c>
      <c r="FO157" s="35" t="s">
        <v>415</v>
      </c>
      <c r="FP157" s="35" t="s">
        <v>485</v>
      </c>
      <c r="FQ157" s="35" t="s">
        <v>418</v>
      </c>
      <c r="FS157" s="35" t="s">
        <v>4473</v>
      </c>
      <c r="FT157" s="35" t="s">
        <v>420</v>
      </c>
      <c r="FV157" s="35" t="s">
        <v>585</v>
      </c>
      <c r="FW157" s="35" t="s">
        <v>490</v>
      </c>
      <c r="FX157" s="35" t="s">
        <v>491</v>
      </c>
      <c r="FY157" s="35" t="s">
        <v>4474</v>
      </c>
      <c r="FZ157" s="35" t="s">
        <v>493</v>
      </c>
      <c r="GA157" s="35" t="s">
        <v>4475</v>
      </c>
      <c r="GB157" s="35" t="s">
        <v>4476</v>
      </c>
      <c r="GC157" s="35" t="s">
        <v>455</v>
      </c>
      <c r="GD157" s="35" t="s">
        <v>10829</v>
      </c>
      <c r="GF157" s="35" t="s">
        <v>1420</v>
      </c>
      <c r="GG157" s="35" t="s">
        <v>4477</v>
      </c>
      <c r="GK157" s="35" t="s">
        <v>920</v>
      </c>
      <c r="GL157" s="35" t="s">
        <v>920</v>
      </c>
      <c r="GM157" s="35" t="s">
        <v>858</v>
      </c>
      <c r="GO157" s="35" t="s">
        <v>4478</v>
      </c>
      <c r="GR157" s="35" t="s">
        <v>4479</v>
      </c>
    </row>
    <row r="158">
      <c r="A158" s="40"/>
      <c r="B158" s="40">
        <v>45836.92451064815</v>
      </c>
      <c r="C158" s="35" t="s">
        <v>368</v>
      </c>
      <c r="D158" s="35" t="s">
        <v>370</v>
      </c>
      <c r="E158" s="35" t="s">
        <v>370</v>
      </c>
      <c r="F158" s="35" t="s">
        <v>1875</v>
      </c>
      <c r="G158" s="35" t="s">
        <v>2400</v>
      </c>
      <c r="H158" s="35" t="s">
        <v>422</v>
      </c>
      <c r="I158" s="35" t="s">
        <v>496</v>
      </c>
      <c r="J158" s="35" t="s">
        <v>374</v>
      </c>
      <c r="K158" s="35" t="s">
        <v>375</v>
      </c>
      <c r="L158" s="35" t="s">
        <v>376</v>
      </c>
      <c r="M158" s="35" t="s">
        <v>793</v>
      </c>
      <c r="N158" s="35" t="s">
        <v>719</v>
      </c>
      <c r="O158" s="35" t="s">
        <v>591</v>
      </c>
      <c r="P158" s="35" t="s">
        <v>719</v>
      </c>
      <c r="Q158" s="35" t="s">
        <v>592</v>
      </c>
      <c r="R158" s="35" t="s">
        <v>382</v>
      </c>
      <c r="S158" s="35" t="s">
        <v>641</v>
      </c>
      <c r="T158" s="35" t="s">
        <v>3728</v>
      </c>
      <c r="U158" s="35" t="s">
        <v>385</v>
      </c>
      <c r="X158" s="35" t="s">
        <v>3014</v>
      </c>
      <c r="AW158" s="35" t="s">
        <v>1310</v>
      </c>
      <c r="AX158" s="41">
        <v>4.0</v>
      </c>
      <c r="AY158" s="41">
        <v>4.0</v>
      </c>
      <c r="AZ158" s="41">
        <v>4.0</v>
      </c>
      <c r="BA158" s="35" t="s">
        <v>675</v>
      </c>
      <c r="BB158" s="35" t="s">
        <v>675</v>
      </c>
      <c r="BC158" s="41">
        <v>4.0</v>
      </c>
      <c r="BF158" s="35" t="s">
        <v>902</v>
      </c>
      <c r="BH158" s="35" t="s">
        <v>434</v>
      </c>
      <c r="BI158" s="35" t="s">
        <v>4543</v>
      </c>
      <c r="BJ158" s="35" t="s">
        <v>509</v>
      </c>
      <c r="BL158" s="35" t="s">
        <v>681</v>
      </c>
      <c r="BM158" s="35" t="s">
        <v>438</v>
      </c>
      <c r="BN158" s="35" t="s">
        <v>1247</v>
      </c>
      <c r="BO158" s="35" t="s">
        <v>398</v>
      </c>
      <c r="BP158" s="35" t="s">
        <v>10830</v>
      </c>
      <c r="BQ158" s="35" t="s">
        <v>10831</v>
      </c>
      <c r="BR158" s="35" t="s">
        <v>604</v>
      </c>
      <c r="BS158" s="35" t="s">
        <v>1691</v>
      </c>
      <c r="BT158" s="35" t="s">
        <v>1671</v>
      </c>
      <c r="BU158" s="35" t="s">
        <v>1771</v>
      </c>
      <c r="BV158" s="35" t="s">
        <v>1772</v>
      </c>
      <c r="BW158" s="35" t="s">
        <v>10832</v>
      </c>
      <c r="BX158" s="35" t="s">
        <v>988</v>
      </c>
      <c r="BZ158" s="35" t="s">
        <v>408</v>
      </c>
      <c r="CC158" s="35" t="s">
        <v>10833</v>
      </c>
      <c r="CD158" s="35" t="s">
        <v>10834</v>
      </c>
      <c r="CE158" s="35" t="s">
        <v>409</v>
      </c>
      <c r="CG158" s="35" t="s">
        <v>1258</v>
      </c>
      <c r="CI158" s="35" t="s">
        <v>1698</v>
      </c>
      <c r="CK158" s="35" t="s">
        <v>10835</v>
      </c>
      <c r="CL158" s="35" t="s">
        <v>10836</v>
      </c>
      <c r="EU158" s="35" t="s">
        <v>526</v>
      </c>
      <c r="EV158" s="35" t="s">
        <v>887</v>
      </c>
      <c r="EW158" s="35" t="s">
        <v>527</v>
      </c>
      <c r="EY158" s="35" t="s">
        <v>4551</v>
      </c>
      <c r="FA158" s="35" t="s">
        <v>415</v>
      </c>
      <c r="FB158" s="35" t="s">
        <v>414</v>
      </c>
      <c r="FC158" s="35" t="s">
        <v>416</v>
      </c>
      <c r="FD158" s="35" t="s">
        <v>414</v>
      </c>
      <c r="FE158" s="35" t="s">
        <v>413</v>
      </c>
      <c r="FF158" s="35" t="s">
        <v>414</v>
      </c>
      <c r="FG158" s="35" t="s">
        <v>415</v>
      </c>
      <c r="FH158" s="35" t="s">
        <v>413</v>
      </c>
      <c r="FI158" s="35" t="s">
        <v>414</v>
      </c>
      <c r="FJ158" s="35" t="s">
        <v>415</v>
      </c>
      <c r="FK158" s="35" t="s">
        <v>414</v>
      </c>
      <c r="FL158" s="35" t="s">
        <v>416</v>
      </c>
      <c r="FM158" s="35" t="s">
        <v>413</v>
      </c>
      <c r="FN158" s="35" t="s">
        <v>416</v>
      </c>
      <c r="FO158" s="35" t="s">
        <v>415</v>
      </c>
      <c r="FP158" s="35" t="s">
        <v>485</v>
      </c>
      <c r="FQ158" s="35" t="s">
        <v>486</v>
      </c>
      <c r="FR158" s="35" t="s">
        <v>749</v>
      </c>
      <c r="FT158" s="35" t="s">
        <v>1189</v>
      </c>
      <c r="FU158" s="35" t="s">
        <v>1462</v>
      </c>
      <c r="FV158" s="35" t="s">
        <v>489</v>
      </c>
      <c r="FW158" s="35" t="s">
        <v>490</v>
      </c>
      <c r="FX158" s="35" t="s">
        <v>491</v>
      </c>
      <c r="FZ158" s="35" t="s">
        <v>493</v>
      </c>
      <c r="GA158" s="35" t="s">
        <v>4552</v>
      </c>
      <c r="GC158" s="35" t="s">
        <v>408</v>
      </c>
      <c r="GK158" s="35" t="s">
        <v>1000</v>
      </c>
      <c r="GL158" s="35" t="s">
        <v>1000</v>
      </c>
      <c r="GM158" s="35" t="s">
        <v>946</v>
      </c>
      <c r="GR158" s="35" t="s">
        <v>3273</v>
      </c>
    </row>
    <row r="159">
      <c r="A159" s="40"/>
      <c r="B159" s="40">
        <v>45841.941682199074</v>
      </c>
      <c r="C159" s="35" t="s">
        <v>368</v>
      </c>
      <c r="D159" s="35" t="s">
        <v>370</v>
      </c>
      <c r="E159" s="35" t="s">
        <v>370</v>
      </c>
      <c r="F159" s="35" t="s">
        <v>371</v>
      </c>
      <c r="G159" s="35" t="s">
        <v>371</v>
      </c>
      <c r="H159" s="35" t="s">
        <v>372</v>
      </c>
      <c r="I159" s="35" t="s">
        <v>373</v>
      </c>
      <c r="J159" s="35" t="s">
        <v>374</v>
      </c>
      <c r="K159" s="35" t="s">
        <v>540</v>
      </c>
      <c r="L159" s="35" t="s">
        <v>376</v>
      </c>
      <c r="M159" s="35" t="s">
        <v>379</v>
      </c>
      <c r="N159" s="35" t="s">
        <v>639</v>
      </c>
      <c r="O159" s="35" t="s">
        <v>379</v>
      </c>
      <c r="P159" s="35" t="s">
        <v>4735</v>
      </c>
      <c r="Q159" s="35" t="s">
        <v>498</v>
      </c>
      <c r="R159" s="35" t="s">
        <v>818</v>
      </c>
      <c r="S159" s="35" t="s">
        <v>500</v>
      </c>
      <c r="T159" s="35" t="s">
        <v>384</v>
      </c>
      <c r="U159" s="35" t="s">
        <v>385</v>
      </c>
      <c r="X159" s="35" t="s">
        <v>593</v>
      </c>
      <c r="Y159" s="35" t="s">
        <v>387</v>
      </c>
      <c r="Z159" s="35" t="s">
        <v>388</v>
      </c>
      <c r="AA159" s="35" t="s">
        <v>543</v>
      </c>
      <c r="AB159" s="35" t="s">
        <v>2675</v>
      </c>
      <c r="AC159" s="35" t="s">
        <v>2675</v>
      </c>
      <c r="AW159" s="35" t="s">
        <v>390</v>
      </c>
      <c r="AX159" s="35" t="s">
        <v>391</v>
      </c>
      <c r="AY159" s="35" t="s">
        <v>391</v>
      </c>
      <c r="AZ159" s="35" t="s">
        <v>391</v>
      </c>
      <c r="BA159" s="35" t="s">
        <v>675</v>
      </c>
      <c r="BB159" s="35" t="s">
        <v>675</v>
      </c>
      <c r="BC159" s="35" t="s">
        <v>675</v>
      </c>
      <c r="BD159" s="35" t="s">
        <v>4736</v>
      </c>
      <c r="BE159" s="35" t="s">
        <v>4737</v>
      </c>
      <c r="BF159" s="35" t="s">
        <v>432</v>
      </c>
      <c r="BG159" s="35" t="s">
        <v>1095</v>
      </c>
      <c r="BH159" s="35" t="s">
        <v>725</v>
      </c>
      <c r="BJ159" s="35" t="s">
        <v>976</v>
      </c>
      <c r="BL159" s="35" t="s">
        <v>437</v>
      </c>
      <c r="BM159" s="35" t="s">
        <v>603</v>
      </c>
      <c r="BN159" s="35" t="s">
        <v>549</v>
      </c>
      <c r="BO159" s="35" t="s">
        <v>398</v>
      </c>
      <c r="BP159" s="35" t="s">
        <v>4738</v>
      </c>
      <c r="BQ159" s="35" t="s">
        <v>4739</v>
      </c>
      <c r="BR159" s="35" t="s">
        <v>401</v>
      </c>
      <c r="BS159" s="35" t="s">
        <v>1830</v>
      </c>
      <c r="BT159" s="35" t="s">
        <v>403</v>
      </c>
      <c r="BU159" s="35" t="s">
        <v>1994</v>
      </c>
      <c r="BV159" s="35" t="s">
        <v>405</v>
      </c>
      <c r="BX159" s="35" t="s">
        <v>406</v>
      </c>
      <c r="BY159" s="35" t="s">
        <v>2503</v>
      </c>
      <c r="BZ159" s="35" t="s">
        <v>455</v>
      </c>
      <c r="CC159" s="35" t="s">
        <v>4740</v>
      </c>
      <c r="CE159" s="35" t="s">
        <v>451</v>
      </c>
      <c r="EU159" s="35" t="s">
        <v>526</v>
      </c>
      <c r="EV159" s="35" t="s">
        <v>579</v>
      </c>
      <c r="EW159" s="35" t="s">
        <v>1262</v>
      </c>
      <c r="FA159" s="35" t="s">
        <v>414</v>
      </c>
      <c r="FB159" s="35" t="s">
        <v>415</v>
      </c>
      <c r="FC159" s="35" t="s">
        <v>413</v>
      </c>
      <c r="FD159" s="35" t="s">
        <v>413</v>
      </c>
      <c r="FE159" s="35" t="s">
        <v>413</v>
      </c>
      <c r="FF159" s="35" t="s">
        <v>414</v>
      </c>
      <c r="FG159" s="35" t="s">
        <v>413</v>
      </c>
      <c r="FH159" s="35" t="s">
        <v>413</v>
      </c>
      <c r="FI159" s="35" t="s">
        <v>413</v>
      </c>
      <c r="FJ159" s="35" t="s">
        <v>413</v>
      </c>
      <c r="FK159" s="35" t="s">
        <v>414</v>
      </c>
      <c r="FL159" s="35" t="s">
        <v>415</v>
      </c>
      <c r="FM159" s="35" t="s">
        <v>415</v>
      </c>
      <c r="FN159" s="35" t="s">
        <v>413</v>
      </c>
      <c r="FO159" s="35" t="s">
        <v>414</v>
      </c>
      <c r="FP159" s="35" t="s">
        <v>485</v>
      </c>
      <c r="FQ159" s="35" t="s">
        <v>418</v>
      </c>
      <c r="FR159" s="35" t="s">
        <v>630</v>
      </c>
      <c r="FT159" s="35" t="s">
        <v>420</v>
      </c>
      <c r="FU159" s="35" t="s">
        <v>421</v>
      </c>
      <c r="FV159" s="35" t="s">
        <v>918</v>
      </c>
      <c r="FW159" s="35" t="s">
        <v>490</v>
      </c>
      <c r="FX159" s="35" t="s">
        <v>491</v>
      </c>
      <c r="FZ159" s="35" t="s">
        <v>1020</v>
      </c>
      <c r="GC159" s="35" t="s">
        <v>408</v>
      </c>
      <c r="GK159" s="35" t="s">
        <v>755</v>
      </c>
      <c r="GL159" s="35" t="s">
        <v>755</v>
      </c>
      <c r="GR159" s="35" t="s">
        <v>3351</v>
      </c>
      <c r="GS159" s="35" t="s">
        <v>4741</v>
      </c>
      <c r="GT159" s="35" t="s">
        <v>2675</v>
      </c>
    </row>
    <row r="160">
      <c r="A160" s="40"/>
      <c r="B160" s="40">
        <v>45842.59654684028</v>
      </c>
      <c r="C160" s="35" t="s">
        <v>368</v>
      </c>
      <c r="D160" s="35" t="s">
        <v>538</v>
      </c>
      <c r="E160" s="35" t="s">
        <v>894</v>
      </c>
      <c r="H160" s="35" t="s">
        <v>422</v>
      </c>
      <c r="I160" s="35" t="s">
        <v>423</v>
      </c>
      <c r="J160" s="35" t="s">
        <v>424</v>
      </c>
      <c r="K160" s="35" t="s">
        <v>590</v>
      </c>
      <c r="L160" s="35" t="s">
        <v>376</v>
      </c>
      <c r="M160" s="35" t="s">
        <v>377</v>
      </c>
      <c r="N160" s="35" t="s">
        <v>1442</v>
      </c>
      <c r="O160" s="35" t="s">
        <v>377</v>
      </c>
      <c r="P160" s="35" t="s">
        <v>497</v>
      </c>
      <c r="Q160" s="35" t="s">
        <v>1760</v>
      </c>
      <c r="R160" s="35" t="s">
        <v>499</v>
      </c>
      <c r="S160" s="35" t="s">
        <v>500</v>
      </c>
      <c r="T160" s="35" t="s">
        <v>384</v>
      </c>
      <c r="U160" s="35" t="s">
        <v>385</v>
      </c>
      <c r="W160" s="35" t="s">
        <v>896</v>
      </c>
      <c r="X160" s="35" t="s">
        <v>3231</v>
      </c>
      <c r="AW160" s="35" t="s">
        <v>1242</v>
      </c>
      <c r="AX160" s="35" t="s">
        <v>675</v>
      </c>
      <c r="AY160" s="35" t="s">
        <v>675</v>
      </c>
      <c r="AZ160" s="41">
        <v>4.0</v>
      </c>
      <c r="BA160" s="35" t="s">
        <v>675</v>
      </c>
      <c r="BB160" s="35" t="s">
        <v>675</v>
      </c>
      <c r="BC160" s="35" t="s">
        <v>675</v>
      </c>
      <c r="BD160" s="35" t="s">
        <v>4776</v>
      </c>
      <c r="BE160" s="35" t="s">
        <v>10837</v>
      </c>
      <c r="BF160" s="35" t="s">
        <v>432</v>
      </c>
      <c r="BG160" s="35" t="s">
        <v>1245</v>
      </c>
      <c r="BH160" s="35" t="s">
        <v>725</v>
      </c>
      <c r="BI160" s="35" t="s">
        <v>4778</v>
      </c>
      <c r="BJ160" s="35" t="s">
        <v>435</v>
      </c>
      <c r="BK160" s="35" t="s">
        <v>4779</v>
      </c>
      <c r="BL160" s="35" t="s">
        <v>602</v>
      </c>
      <c r="BM160" s="35" t="s">
        <v>603</v>
      </c>
      <c r="BN160" s="35" t="s">
        <v>1314</v>
      </c>
      <c r="BO160" s="35" t="s">
        <v>398</v>
      </c>
      <c r="BQ160" s="35" t="s">
        <v>4780</v>
      </c>
      <c r="BR160" s="35" t="s">
        <v>604</v>
      </c>
      <c r="BS160" s="35" t="s">
        <v>4781</v>
      </c>
      <c r="BT160" s="35" t="s">
        <v>403</v>
      </c>
      <c r="BU160" s="35" t="s">
        <v>1994</v>
      </c>
      <c r="BV160" s="35" t="s">
        <v>405</v>
      </c>
      <c r="BX160" s="35" t="s">
        <v>406</v>
      </c>
      <c r="BY160" s="35" t="s">
        <v>2503</v>
      </c>
      <c r="BZ160" s="35" t="s">
        <v>455</v>
      </c>
      <c r="CA160" s="35" t="s">
        <v>10838</v>
      </c>
      <c r="CB160" s="35" t="s">
        <v>10839</v>
      </c>
      <c r="CC160" s="35" t="s">
        <v>10840</v>
      </c>
      <c r="CD160" s="35" t="s">
        <v>10841</v>
      </c>
      <c r="CE160" s="35" t="s">
        <v>451</v>
      </c>
      <c r="CF160" s="35" t="s">
        <v>10842</v>
      </c>
      <c r="CG160" s="35" t="s">
        <v>1697</v>
      </c>
      <c r="CI160" s="35" t="s">
        <v>1259</v>
      </c>
      <c r="CJ160" s="35" t="s">
        <v>410</v>
      </c>
      <c r="CK160" s="35" t="s">
        <v>10843</v>
      </c>
      <c r="CL160" s="35" t="s">
        <v>4788</v>
      </c>
      <c r="EU160" s="35" t="s">
        <v>526</v>
      </c>
      <c r="EV160" s="35" t="s">
        <v>579</v>
      </c>
      <c r="EW160" s="35" t="s">
        <v>527</v>
      </c>
      <c r="EX160" s="35" t="s">
        <v>4789</v>
      </c>
      <c r="EY160" s="35" t="s">
        <v>4790</v>
      </c>
      <c r="EZ160" s="35" t="s">
        <v>4791</v>
      </c>
      <c r="FA160" s="35" t="s">
        <v>413</v>
      </c>
      <c r="FB160" s="35" t="s">
        <v>583</v>
      </c>
      <c r="FC160" s="35" t="s">
        <v>413</v>
      </c>
      <c r="FD160" s="35" t="s">
        <v>413</v>
      </c>
      <c r="FE160" s="35" t="s">
        <v>413</v>
      </c>
      <c r="FF160" s="35" t="s">
        <v>415</v>
      </c>
      <c r="FG160" s="35" t="s">
        <v>413</v>
      </c>
      <c r="FH160" s="35" t="s">
        <v>413</v>
      </c>
      <c r="FI160" s="35" t="s">
        <v>413</v>
      </c>
      <c r="FJ160" s="35" t="s">
        <v>413</v>
      </c>
      <c r="FK160" s="35" t="s">
        <v>413</v>
      </c>
      <c r="FL160" s="35" t="s">
        <v>413</v>
      </c>
      <c r="FM160" s="35" t="s">
        <v>413</v>
      </c>
      <c r="FN160" s="35" t="s">
        <v>413</v>
      </c>
      <c r="FO160" s="35" t="s">
        <v>413</v>
      </c>
      <c r="FP160" s="35" t="s">
        <v>417</v>
      </c>
      <c r="FQ160" s="35" t="s">
        <v>418</v>
      </c>
      <c r="FR160" s="35" t="s">
        <v>531</v>
      </c>
      <c r="FS160" s="35" t="s">
        <v>10844</v>
      </c>
      <c r="FT160" s="35" t="s">
        <v>420</v>
      </c>
      <c r="FU160" s="35" t="s">
        <v>488</v>
      </c>
      <c r="FV160" s="35" t="s">
        <v>1235</v>
      </c>
      <c r="FW160" s="35" t="s">
        <v>490</v>
      </c>
      <c r="FX160" s="35" t="s">
        <v>1853</v>
      </c>
      <c r="FY160" s="35" t="s">
        <v>10845</v>
      </c>
      <c r="FZ160" s="35" t="s">
        <v>535</v>
      </c>
      <c r="GA160" s="35" t="s">
        <v>4794</v>
      </c>
      <c r="GB160" s="35" t="s">
        <v>4795</v>
      </c>
      <c r="GC160" s="35" t="s">
        <v>408</v>
      </c>
      <c r="GK160" s="35" t="s">
        <v>755</v>
      </c>
      <c r="GL160" s="35" t="s">
        <v>755</v>
      </c>
      <c r="GM160" s="35" t="s">
        <v>946</v>
      </c>
      <c r="GO160" s="35" t="s">
        <v>538</v>
      </c>
      <c r="GQ160" s="35" t="s">
        <v>387</v>
      </c>
      <c r="GR160" s="35" t="s">
        <v>4796</v>
      </c>
      <c r="GS160" s="35" t="s">
        <v>4741</v>
      </c>
      <c r="GT160" s="35" t="s">
        <v>4797</v>
      </c>
    </row>
    <row r="161">
      <c r="A161" s="40"/>
      <c r="B161" s="40">
        <v>45842.748646921296</v>
      </c>
      <c r="C161" s="35" t="s">
        <v>368</v>
      </c>
      <c r="D161" s="35" t="s">
        <v>370</v>
      </c>
      <c r="E161" s="35" t="s">
        <v>370</v>
      </c>
      <c r="F161" s="35" t="s">
        <v>667</v>
      </c>
      <c r="G161" s="35" t="s">
        <v>1510</v>
      </c>
      <c r="H161" s="35" t="s">
        <v>422</v>
      </c>
      <c r="I161" s="35" t="s">
        <v>496</v>
      </c>
      <c r="J161" s="35" t="s">
        <v>2578</v>
      </c>
      <c r="K161" s="35" t="s">
        <v>425</v>
      </c>
      <c r="L161" s="35" t="s">
        <v>376</v>
      </c>
      <c r="M161" s="35" t="s">
        <v>591</v>
      </c>
      <c r="N161" s="35" t="s">
        <v>719</v>
      </c>
      <c r="O161" s="35" t="s">
        <v>379</v>
      </c>
      <c r="P161" s="35" t="s">
        <v>380</v>
      </c>
      <c r="Q161" s="35" t="s">
        <v>381</v>
      </c>
      <c r="R161" s="35" t="s">
        <v>862</v>
      </c>
      <c r="S161" s="35" t="s">
        <v>949</v>
      </c>
      <c r="T161" s="35" t="s">
        <v>384</v>
      </c>
      <c r="U161" s="35" t="s">
        <v>385</v>
      </c>
      <c r="X161" s="35" t="s">
        <v>386</v>
      </c>
      <c r="Y161" s="35" t="s">
        <v>387</v>
      </c>
      <c r="Z161" s="35" t="s">
        <v>1824</v>
      </c>
      <c r="AA161" s="35" t="s">
        <v>543</v>
      </c>
      <c r="AB161" s="35" t="s">
        <v>4798</v>
      </c>
      <c r="AC161" s="35" t="s">
        <v>10846</v>
      </c>
      <c r="AW161" s="35" t="s">
        <v>597</v>
      </c>
      <c r="AX161" s="41">
        <v>4.0</v>
      </c>
      <c r="AY161" s="41">
        <v>2.0</v>
      </c>
      <c r="AZ161" s="35" t="s">
        <v>675</v>
      </c>
      <c r="BA161" s="41">
        <v>4.0</v>
      </c>
      <c r="BB161" s="35" t="s">
        <v>675</v>
      </c>
      <c r="BC161" s="35" t="s">
        <v>675</v>
      </c>
      <c r="BD161" s="35" t="s">
        <v>4800</v>
      </c>
      <c r="BE161" s="35" t="s">
        <v>4801</v>
      </c>
      <c r="BF161" s="35" t="s">
        <v>432</v>
      </c>
      <c r="BG161" s="35" t="s">
        <v>1095</v>
      </c>
      <c r="BH161" s="35" t="s">
        <v>394</v>
      </c>
      <c r="BI161" s="35" t="s">
        <v>4802</v>
      </c>
      <c r="BJ161" s="35" t="s">
        <v>509</v>
      </c>
      <c r="BK161" s="35" t="s">
        <v>4803</v>
      </c>
      <c r="BL161" s="35" t="s">
        <v>511</v>
      </c>
      <c r="BM161" s="35" t="s">
        <v>512</v>
      </c>
      <c r="BN161" s="35" t="s">
        <v>397</v>
      </c>
      <c r="BO161" s="35" t="s">
        <v>398</v>
      </c>
      <c r="BP161" s="35" t="s">
        <v>4804</v>
      </c>
      <c r="BQ161" s="35" t="s">
        <v>10847</v>
      </c>
      <c r="BR161" s="35" t="s">
        <v>442</v>
      </c>
      <c r="BS161" s="35" t="s">
        <v>4806</v>
      </c>
      <c r="BT161" s="35" t="s">
        <v>1671</v>
      </c>
      <c r="BU161" s="35" t="s">
        <v>4368</v>
      </c>
      <c r="BV161" s="35" t="s">
        <v>1831</v>
      </c>
      <c r="BW161" s="35" t="s">
        <v>4807</v>
      </c>
      <c r="BX161" s="35" t="s">
        <v>406</v>
      </c>
      <c r="BY161" s="35" t="s">
        <v>407</v>
      </c>
      <c r="BZ161" s="35" t="s">
        <v>733</v>
      </c>
      <c r="CA161" s="35" t="s">
        <v>4808</v>
      </c>
      <c r="CB161" s="35" t="s">
        <v>10848</v>
      </c>
      <c r="CC161" s="35" t="s">
        <v>4810</v>
      </c>
      <c r="CD161" s="35" t="s">
        <v>4811</v>
      </c>
      <c r="CE161" s="35" t="s">
        <v>451</v>
      </c>
      <c r="CF161" s="35" t="s">
        <v>4812</v>
      </c>
      <c r="CG161" s="35" t="s">
        <v>1749</v>
      </c>
      <c r="CH161" s="35" t="s">
        <v>4813</v>
      </c>
      <c r="CI161" s="35" t="s">
        <v>2744</v>
      </c>
      <c r="CJ161" s="35" t="s">
        <v>410</v>
      </c>
      <c r="CK161" s="35" t="s">
        <v>4814</v>
      </c>
      <c r="CL161" s="35" t="s">
        <v>4815</v>
      </c>
      <c r="EU161" s="35" t="s">
        <v>578</v>
      </c>
      <c r="EV161" s="35" t="s">
        <v>479</v>
      </c>
      <c r="EW161" s="35" t="s">
        <v>527</v>
      </c>
      <c r="EX161" s="35" t="s">
        <v>4816</v>
      </c>
      <c r="EY161" s="35" t="s">
        <v>10849</v>
      </c>
      <c r="EZ161" s="35" t="s">
        <v>4818</v>
      </c>
      <c r="FA161" s="35" t="s">
        <v>583</v>
      </c>
      <c r="FB161" s="35" t="s">
        <v>583</v>
      </c>
      <c r="FC161" s="35" t="s">
        <v>414</v>
      </c>
      <c r="FD161" s="35" t="s">
        <v>583</v>
      </c>
      <c r="FE161" s="35" t="s">
        <v>415</v>
      </c>
      <c r="FF161" s="35" t="s">
        <v>583</v>
      </c>
      <c r="FG161" s="35" t="s">
        <v>583</v>
      </c>
      <c r="FH161" s="35" t="s">
        <v>583</v>
      </c>
      <c r="FI161" s="35" t="s">
        <v>414</v>
      </c>
      <c r="FJ161" s="35" t="s">
        <v>583</v>
      </c>
      <c r="FK161" s="35" t="s">
        <v>583</v>
      </c>
      <c r="FL161" s="35" t="s">
        <v>415</v>
      </c>
      <c r="FM161" s="35" t="s">
        <v>583</v>
      </c>
      <c r="FN161" s="35" t="s">
        <v>415</v>
      </c>
      <c r="FO161" s="35" t="s">
        <v>414</v>
      </c>
      <c r="FP161" s="35" t="s">
        <v>417</v>
      </c>
      <c r="FQ161" s="35" t="s">
        <v>418</v>
      </c>
      <c r="FR161" s="35" t="s">
        <v>630</v>
      </c>
      <c r="FS161" s="35" t="s">
        <v>10850</v>
      </c>
      <c r="FT161" s="35" t="s">
        <v>1189</v>
      </c>
      <c r="FU161" s="35" t="s">
        <v>1462</v>
      </c>
      <c r="FV161" s="35" t="s">
        <v>489</v>
      </c>
      <c r="FW161" s="35" t="s">
        <v>490</v>
      </c>
      <c r="FX161" s="35" t="s">
        <v>491</v>
      </c>
      <c r="FY161" s="35" t="s">
        <v>4820</v>
      </c>
      <c r="FZ161" s="35" t="s">
        <v>493</v>
      </c>
      <c r="GA161" s="35" t="s">
        <v>4821</v>
      </c>
      <c r="GB161" s="35" t="s">
        <v>4822</v>
      </c>
      <c r="GC161" s="35" t="s">
        <v>455</v>
      </c>
      <c r="GD161" s="35" t="s">
        <v>10851</v>
      </c>
      <c r="GE161" s="35" t="s">
        <v>10852</v>
      </c>
      <c r="GF161" s="35" t="s">
        <v>786</v>
      </c>
      <c r="GG161" s="35" t="s">
        <v>4823</v>
      </c>
      <c r="GK161" s="35" t="s">
        <v>857</v>
      </c>
      <c r="GL161" s="35" t="s">
        <v>857</v>
      </c>
      <c r="GM161" s="35" t="s">
        <v>946</v>
      </c>
      <c r="GR161" s="35" t="s">
        <v>3208</v>
      </c>
      <c r="GS161" s="35" t="s">
        <v>4774</v>
      </c>
      <c r="GT161" s="35" t="s">
        <v>10853</v>
      </c>
    </row>
    <row r="162">
      <c r="A162" s="40"/>
      <c r="B162" s="40">
        <v>45842.78131636574</v>
      </c>
      <c r="C162" s="35" t="s">
        <v>368</v>
      </c>
      <c r="D162" s="35" t="s">
        <v>370</v>
      </c>
      <c r="E162" s="35" t="s">
        <v>370</v>
      </c>
      <c r="F162" s="35" t="s">
        <v>1001</v>
      </c>
      <c r="G162" s="35" t="s">
        <v>1001</v>
      </c>
      <c r="H162" s="35" t="s">
        <v>422</v>
      </c>
      <c r="I162" s="35" t="s">
        <v>637</v>
      </c>
      <c r="J162" s="35" t="s">
        <v>638</v>
      </c>
      <c r="K162" s="35" t="s">
        <v>375</v>
      </c>
      <c r="L162" s="35" t="s">
        <v>376</v>
      </c>
      <c r="M162" s="35" t="s">
        <v>670</v>
      </c>
      <c r="N162" s="35" t="s">
        <v>639</v>
      </c>
      <c r="O162" s="35" t="s">
        <v>670</v>
      </c>
      <c r="P162" s="35" t="s">
        <v>497</v>
      </c>
      <c r="Q162" s="35" t="s">
        <v>498</v>
      </c>
      <c r="R162" s="35" t="s">
        <v>862</v>
      </c>
      <c r="S162" s="35" t="s">
        <v>949</v>
      </c>
      <c r="T162" s="35" t="s">
        <v>384</v>
      </c>
      <c r="U162" s="35" t="s">
        <v>385</v>
      </c>
      <c r="X162" s="35" t="s">
        <v>386</v>
      </c>
      <c r="Y162" s="35" t="s">
        <v>387</v>
      </c>
      <c r="AA162" s="35" t="s">
        <v>543</v>
      </c>
      <c r="AW162" s="35" t="s">
        <v>1310</v>
      </c>
      <c r="AX162" s="35" t="s">
        <v>675</v>
      </c>
      <c r="AY162" s="35" t="s">
        <v>675</v>
      </c>
      <c r="AZ162" s="35" t="s">
        <v>675</v>
      </c>
      <c r="BA162" s="41">
        <v>4.0</v>
      </c>
      <c r="BB162" s="35" t="s">
        <v>675</v>
      </c>
      <c r="BC162" s="35" t="s">
        <v>675</v>
      </c>
      <c r="BF162" s="35" t="s">
        <v>902</v>
      </c>
      <c r="BG162" s="35" t="s">
        <v>1095</v>
      </c>
      <c r="BH162" s="35" t="s">
        <v>394</v>
      </c>
      <c r="BJ162" s="35" t="s">
        <v>727</v>
      </c>
      <c r="BL162" s="35" t="s">
        <v>602</v>
      </c>
      <c r="BM162" s="35" t="s">
        <v>603</v>
      </c>
      <c r="BN162" s="35" t="s">
        <v>1314</v>
      </c>
      <c r="BO162" s="35" t="s">
        <v>398</v>
      </c>
      <c r="BR162" s="35" t="s">
        <v>442</v>
      </c>
      <c r="BS162" s="35" t="s">
        <v>4825</v>
      </c>
      <c r="BT162" s="35" t="s">
        <v>1741</v>
      </c>
      <c r="BU162" s="35" t="s">
        <v>1771</v>
      </c>
      <c r="BV162" s="35" t="s">
        <v>405</v>
      </c>
      <c r="BX162" s="35" t="s">
        <v>457</v>
      </c>
      <c r="BZ162" s="35" t="s">
        <v>408</v>
      </c>
      <c r="CE162" s="35" t="s">
        <v>1257</v>
      </c>
      <c r="CG162" s="35" t="s">
        <v>1258</v>
      </c>
      <c r="CI162" s="35" t="s">
        <v>1259</v>
      </c>
      <c r="EU162" s="35" t="s">
        <v>526</v>
      </c>
      <c r="EV162" s="35" t="s">
        <v>1127</v>
      </c>
      <c r="EW162" s="35" t="s">
        <v>527</v>
      </c>
      <c r="FA162" s="35" t="s">
        <v>413</v>
      </c>
      <c r="FB162" s="35" t="s">
        <v>415</v>
      </c>
      <c r="FC162" s="35" t="s">
        <v>413</v>
      </c>
      <c r="FD162" s="35" t="s">
        <v>413</v>
      </c>
      <c r="FE162" s="35" t="s">
        <v>413</v>
      </c>
      <c r="FF162" s="35" t="s">
        <v>413</v>
      </c>
      <c r="FG162" s="35" t="s">
        <v>413</v>
      </c>
      <c r="FH162" s="35" t="s">
        <v>583</v>
      </c>
      <c r="FI162" s="35" t="s">
        <v>413</v>
      </c>
      <c r="FJ162" s="35" t="s">
        <v>415</v>
      </c>
      <c r="FK162" s="35" t="s">
        <v>416</v>
      </c>
      <c r="FL162" s="35" t="s">
        <v>413</v>
      </c>
      <c r="FM162" s="35" t="s">
        <v>415</v>
      </c>
      <c r="FN162" s="35" t="s">
        <v>414</v>
      </c>
      <c r="FO162" s="35" t="s">
        <v>416</v>
      </c>
      <c r="FP162" s="35" t="s">
        <v>485</v>
      </c>
      <c r="FQ162" s="35" t="s">
        <v>418</v>
      </c>
      <c r="FR162" s="35" t="s">
        <v>1039</v>
      </c>
      <c r="FT162" s="35" t="s">
        <v>420</v>
      </c>
      <c r="FU162" s="35" t="s">
        <v>488</v>
      </c>
      <c r="FV162" s="35" t="s">
        <v>918</v>
      </c>
      <c r="FW162" s="35" t="s">
        <v>490</v>
      </c>
      <c r="FX162" s="35" t="s">
        <v>491</v>
      </c>
      <c r="FZ162" s="35" t="s">
        <v>535</v>
      </c>
      <c r="GC162" s="35" t="s">
        <v>408</v>
      </c>
      <c r="GK162" s="35" t="s">
        <v>755</v>
      </c>
      <c r="GL162" s="35" t="s">
        <v>755</v>
      </c>
      <c r="GM162" s="35" t="s">
        <v>817</v>
      </c>
      <c r="GR162" s="35" t="s">
        <v>3208</v>
      </c>
      <c r="GS162" s="35" t="s">
        <v>4774</v>
      </c>
    </row>
    <row r="163">
      <c r="A163" s="40"/>
      <c r="B163" s="40">
        <v>45843.44344015046</v>
      </c>
      <c r="C163" s="35" t="s">
        <v>368</v>
      </c>
      <c r="D163" s="35" t="s">
        <v>538</v>
      </c>
      <c r="H163" s="35" t="s">
        <v>422</v>
      </c>
      <c r="I163" s="35" t="s">
        <v>423</v>
      </c>
      <c r="J163" s="35" t="s">
        <v>668</v>
      </c>
      <c r="K163" s="35" t="s">
        <v>590</v>
      </c>
      <c r="L163" s="35" t="s">
        <v>376</v>
      </c>
      <c r="M163" s="35" t="s">
        <v>377</v>
      </c>
      <c r="N163" s="35" t="s">
        <v>380</v>
      </c>
      <c r="O163" s="35" t="s">
        <v>377</v>
      </c>
      <c r="P163" s="35" t="s">
        <v>497</v>
      </c>
      <c r="Q163" s="35" t="s">
        <v>381</v>
      </c>
      <c r="R163" s="35" t="s">
        <v>862</v>
      </c>
      <c r="S163" s="35" t="s">
        <v>427</v>
      </c>
      <c r="T163" s="35" t="s">
        <v>384</v>
      </c>
      <c r="U163" s="35" t="s">
        <v>385</v>
      </c>
      <c r="X163" s="35" t="s">
        <v>593</v>
      </c>
      <c r="Y163" s="35" t="s">
        <v>387</v>
      </c>
      <c r="AA163" s="35" t="s">
        <v>543</v>
      </c>
      <c r="AB163" s="35" t="s">
        <v>408</v>
      </c>
      <c r="AW163" s="35" t="s">
        <v>597</v>
      </c>
      <c r="AX163" s="41">
        <v>4.0</v>
      </c>
      <c r="AY163" s="35" t="s">
        <v>391</v>
      </c>
      <c r="AZ163" s="41">
        <v>4.0</v>
      </c>
      <c r="BA163" s="35" t="s">
        <v>391</v>
      </c>
      <c r="BB163" s="41">
        <v>2.0</v>
      </c>
      <c r="BC163" s="35" t="s">
        <v>391</v>
      </c>
      <c r="BD163" s="35" t="s">
        <v>4826</v>
      </c>
      <c r="BE163" s="35" t="s">
        <v>10854</v>
      </c>
      <c r="BF163" s="35" t="s">
        <v>392</v>
      </c>
      <c r="BH163" s="35" t="s">
        <v>725</v>
      </c>
      <c r="BJ163" s="35" t="s">
        <v>435</v>
      </c>
      <c r="BK163" s="35" t="s">
        <v>4828</v>
      </c>
      <c r="BL163" s="35" t="s">
        <v>395</v>
      </c>
      <c r="BM163" s="35" t="s">
        <v>512</v>
      </c>
      <c r="BN163" s="35" t="s">
        <v>397</v>
      </c>
      <c r="BO163" s="35" t="s">
        <v>398</v>
      </c>
      <c r="BQ163" s="35" t="s">
        <v>10855</v>
      </c>
      <c r="BR163" s="35" t="s">
        <v>401</v>
      </c>
      <c r="BS163" s="35" t="s">
        <v>4830</v>
      </c>
      <c r="BT163" s="35" t="s">
        <v>4071</v>
      </c>
      <c r="BU163" s="35" t="s">
        <v>4072</v>
      </c>
      <c r="BV163" s="35" t="s">
        <v>1772</v>
      </c>
      <c r="BW163" s="35" t="s">
        <v>4831</v>
      </c>
      <c r="BX163" s="35" t="s">
        <v>406</v>
      </c>
      <c r="BY163" s="35" t="s">
        <v>1867</v>
      </c>
      <c r="BZ163" s="35" t="s">
        <v>455</v>
      </c>
      <c r="CA163" s="35" t="s">
        <v>4832</v>
      </c>
      <c r="CB163" s="35" t="s">
        <v>10856</v>
      </c>
      <c r="CC163" s="35" t="s">
        <v>4834</v>
      </c>
      <c r="CD163" s="35" t="s">
        <v>10857</v>
      </c>
      <c r="CE163" s="35" t="s">
        <v>409</v>
      </c>
      <c r="CF163" s="35" t="s">
        <v>10858</v>
      </c>
      <c r="CG163" s="35" t="s">
        <v>1258</v>
      </c>
      <c r="CI163" s="35" t="s">
        <v>1698</v>
      </c>
      <c r="CK163" s="35" t="s">
        <v>4836</v>
      </c>
      <c r="EU163" s="35" t="s">
        <v>578</v>
      </c>
      <c r="EV163" s="35" t="s">
        <v>579</v>
      </c>
      <c r="EW163" s="35" t="s">
        <v>1534</v>
      </c>
      <c r="EY163" s="35" t="s">
        <v>10859</v>
      </c>
      <c r="EZ163" s="35" t="s">
        <v>1380</v>
      </c>
      <c r="FA163" s="35" t="s">
        <v>415</v>
      </c>
      <c r="FB163" s="35" t="s">
        <v>415</v>
      </c>
      <c r="FC163" s="35" t="s">
        <v>413</v>
      </c>
      <c r="FD163" s="35" t="s">
        <v>414</v>
      </c>
      <c r="FE163" s="35" t="s">
        <v>413</v>
      </c>
      <c r="FF163" s="35" t="s">
        <v>484</v>
      </c>
      <c r="FG163" s="35" t="s">
        <v>583</v>
      </c>
      <c r="FH163" s="35" t="s">
        <v>414</v>
      </c>
      <c r="FI163" s="35" t="s">
        <v>416</v>
      </c>
      <c r="FJ163" s="35" t="s">
        <v>416</v>
      </c>
      <c r="FK163" s="35" t="s">
        <v>583</v>
      </c>
      <c r="FL163" s="35" t="s">
        <v>415</v>
      </c>
      <c r="FM163" s="35" t="s">
        <v>415</v>
      </c>
      <c r="FN163" s="35" t="s">
        <v>415</v>
      </c>
      <c r="FO163" s="35" t="s">
        <v>583</v>
      </c>
      <c r="FP163" s="35" t="s">
        <v>1074</v>
      </c>
      <c r="FQ163" s="35" t="s">
        <v>486</v>
      </c>
      <c r="FR163" s="35" t="s">
        <v>419</v>
      </c>
      <c r="FS163" s="35" t="s">
        <v>4838</v>
      </c>
      <c r="FT163" s="35" t="s">
        <v>1076</v>
      </c>
      <c r="FU163" s="35" t="s">
        <v>488</v>
      </c>
      <c r="FV163" s="35" t="s">
        <v>918</v>
      </c>
      <c r="FW163" s="35" t="s">
        <v>490</v>
      </c>
      <c r="FX163" s="35" t="s">
        <v>491</v>
      </c>
      <c r="FY163" s="35" t="s">
        <v>10860</v>
      </c>
      <c r="FZ163" s="35" t="s">
        <v>535</v>
      </c>
      <c r="GC163" s="35" t="s">
        <v>455</v>
      </c>
      <c r="GD163" s="35" t="s">
        <v>10861</v>
      </c>
      <c r="GF163" s="35" t="s">
        <v>753</v>
      </c>
      <c r="GG163" s="35" t="s">
        <v>455</v>
      </c>
      <c r="GK163" s="35" t="s">
        <v>789</v>
      </c>
      <c r="GL163" s="35" t="s">
        <v>789</v>
      </c>
      <c r="GM163" s="35" t="s">
        <v>790</v>
      </c>
      <c r="GR163" s="35" t="s">
        <v>3208</v>
      </c>
      <c r="GS163" s="35" t="s">
        <v>4840</v>
      </c>
      <c r="GT163" s="35" t="s">
        <v>4841</v>
      </c>
    </row>
    <row r="164">
      <c r="A164" s="40"/>
      <c r="B164" s="40">
        <v>45844.052393356484</v>
      </c>
      <c r="C164" s="35" t="s">
        <v>368</v>
      </c>
      <c r="D164" s="35" t="s">
        <v>947</v>
      </c>
      <c r="E164" s="35" t="s">
        <v>947</v>
      </c>
      <c r="H164" s="35" t="s">
        <v>422</v>
      </c>
      <c r="I164" s="35" t="s">
        <v>637</v>
      </c>
      <c r="J164" s="35" t="s">
        <v>638</v>
      </c>
      <c r="K164" s="35" t="s">
        <v>375</v>
      </c>
      <c r="L164" s="35" t="s">
        <v>376</v>
      </c>
      <c r="M164" s="35" t="s">
        <v>379</v>
      </c>
      <c r="N164" s="35" t="s">
        <v>860</v>
      </c>
      <c r="O164" s="35" t="s">
        <v>377</v>
      </c>
      <c r="P164" s="35" t="s">
        <v>380</v>
      </c>
      <c r="Q164" s="35" t="s">
        <v>381</v>
      </c>
      <c r="R164" s="35" t="s">
        <v>382</v>
      </c>
      <c r="S164" s="35" t="s">
        <v>500</v>
      </c>
      <c r="T164" s="35" t="s">
        <v>384</v>
      </c>
      <c r="U164" s="35" t="s">
        <v>385</v>
      </c>
      <c r="X164" s="35" t="s">
        <v>3014</v>
      </c>
      <c r="AW164" s="35" t="s">
        <v>1242</v>
      </c>
      <c r="AX164" s="35" t="s">
        <v>675</v>
      </c>
      <c r="AY164" s="35" t="s">
        <v>675</v>
      </c>
      <c r="AZ164" s="35" t="s">
        <v>675</v>
      </c>
      <c r="BA164" s="35" t="s">
        <v>675</v>
      </c>
      <c r="BB164" s="35" t="s">
        <v>675</v>
      </c>
      <c r="BC164" s="35" t="s">
        <v>675</v>
      </c>
      <c r="BD164" s="35" t="s">
        <v>10862</v>
      </c>
      <c r="BF164" s="35" t="s">
        <v>432</v>
      </c>
      <c r="BG164" s="35" t="s">
        <v>1245</v>
      </c>
      <c r="BH164" s="35" t="s">
        <v>394</v>
      </c>
      <c r="BJ164" s="35" t="s">
        <v>435</v>
      </c>
      <c r="BK164" s="35" t="s">
        <v>4843</v>
      </c>
      <c r="BL164" s="35" t="s">
        <v>602</v>
      </c>
      <c r="BM164" s="35" t="s">
        <v>904</v>
      </c>
      <c r="BN164" s="35" t="s">
        <v>1247</v>
      </c>
      <c r="BO164" s="35" t="s">
        <v>398</v>
      </c>
      <c r="BP164" s="35" t="s">
        <v>4844</v>
      </c>
      <c r="BR164" s="35" t="s">
        <v>604</v>
      </c>
      <c r="BS164" s="35" t="s">
        <v>2583</v>
      </c>
      <c r="BT164" s="35" t="s">
        <v>4071</v>
      </c>
      <c r="BU164" s="35" t="s">
        <v>4845</v>
      </c>
      <c r="BV164" s="35" t="s">
        <v>405</v>
      </c>
      <c r="BX164" s="35" t="s">
        <v>406</v>
      </c>
      <c r="BY164" s="35" t="s">
        <v>2503</v>
      </c>
      <c r="BZ164" s="35" t="s">
        <v>408</v>
      </c>
      <c r="CC164" s="35" t="s">
        <v>4846</v>
      </c>
      <c r="CD164" s="35" t="s">
        <v>6790</v>
      </c>
      <c r="CE164" s="35" t="s">
        <v>451</v>
      </c>
      <c r="CF164" s="35" t="s">
        <v>4847</v>
      </c>
      <c r="CG164" s="35" t="s">
        <v>1697</v>
      </c>
      <c r="CH164" s="35" t="s">
        <v>4848</v>
      </c>
      <c r="CI164" s="35" t="s">
        <v>1259</v>
      </c>
      <c r="CJ164" s="35" t="s">
        <v>410</v>
      </c>
      <c r="CK164" s="35" t="s">
        <v>4849</v>
      </c>
      <c r="EU164" s="35" t="s">
        <v>578</v>
      </c>
      <c r="EV164" s="35" t="s">
        <v>579</v>
      </c>
      <c r="EW164" s="35" t="s">
        <v>1534</v>
      </c>
      <c r="FA164" s="35" t="s">
        <v>583</v>
      </c>
      <c r="FB164" s="35" t="s">
        <v>583</v>
      </c>
      <c r="FC164" s="35" t="s">
        <v>413</v>
      </c>
      <c r="FD164" s="35" t="s">
        <v>414</v>
      </c>
      <c r="FE164" s="35" t="s">
        <v>413</v>
      </c>
      <c r="FF164" s="35" t="s">
        <v>583</v>
      </c>
      <c r="FG164" s="35" t="s">
        <v>484</v>
      </c>
      <c r="FH164" s="35" t="s">
        <v>583</v>
      </c>
      <c r="FI164" s="35" t="s">
        <v>413</v>
      </c>
      <c r="FK164" s="35" t="s">
        <v>484</v>
      </c>
      <c r="FL164" s="35" t="s">
        <v>484</v>
      </c>
      <c r="FM164" s="35" t="s">
        <v>484</v>
      </c>
      <c r="FN164" s="35" t="s">
        <v>484</v>
      </c>
      <c r="FO164" s="35" t="s">
        <v>484</v>
      </c>
      <c r="FP164" s="35" t="s">
        <v>417</v>
      </c>
      <c r="FQ164" s="35" t="s">
        <v>486</v>
      </c>
      <c r="FR164" s="35" t="s">
        <v>749</v>
      </c>
      <c r="FT164" s="35" t="s">
        <v>420</v>
      </c>
      <c r="FU164" s="35" t="s">
        <v>488</v>
      </c>
      <c r="FV164" s="35" t="s">
        <v>585</v>
      </c>
      <c r="FW164" s="35" t="s">
        <v>490</v>
      </c>
      <c r="FX164" s="35" t="s">
        <v>491</v>
      </c>
      <c r="FZ164" s="35" t="s">
        <v>535</v>
      </c>
      <c r="GC164" s="35" t="s">
        <v>408</v>
      </c>
      <c r="GK164" s="35" t="s">
        <v>755</v>
      </c>
      <c r="GL164" s="35" t="s">
        <v>755</v>
      </c>
      <c r="GM164" s="35" t="s">
        <v>946</v>
      </c>
      <c r="GO164" s="35" t="s">
        <v>4850</v>
      </c>
      <c r="GP164" s="35" t="s">
        <v>10863</v>
      </c>
      <c r="GR164" s="35" t="s">
        <v>3351</v>
      </c>
      <c r="GS164" s="35" t="s">
        <v>4774</v>
      </c>
    </row>
    <row r="165">
      <c r="A165" s="40"/>
      <c r="B165" s="40">
        <v>45844.46542105324</v>
      </c>
      <c r="C165" s="35" t="s">
        <v>368</v>
      </c>
      <c r="D165" s="35" t="s">
        <v>370</v>
      </c>
      <c r="E165" s="35" t="s">
        <v>370</v>
      </c>
      <c r="F165" s="35" t="s">
        <v>791</v>
      </c>
      <c r="G165" s="35" t="s">
        <v>791</v>
      </c>
      <c r="H165" s="35" t="s">
        <v>422</v>
      </c>
      <c r="I165" s="35" t="s">
        <v>539</v>
      </c>
      <c r="J165" s="35" t="s">
        <v>2578</v>
      </c>
      <c r="K165" s="35" t="s">
        <v>590</v>
      </c>
      <c r="L165" s="35" t="s">
        <v>376</v>
      </c>
      <c r="M165" s="35" t="s">
        <v>426</v>
      </c>
      <c r="N165" s="35" t="s">
        <v>541</v>
      </c>
      <c r="O165" s="35" t="s">
        <v>426</v>
      </c>
      <c r="P165" s="35" t="s">
        <v>4861</v>
      </c>
      <c r="Q165" s="35" t="s">
        <v>498</v>
      </c>
      <c r="R165" s="35" t="s">
        <v>499</v>
      </c>
      <c r="S165" s="35" t="s">
        <v>500</v>
      </c>
      <c r="T165" s="35" t="s">
        <v>384</v>
      </c>
      <c r="U165" s="35" t="s">
        <v>385</v>
      </c>
      <c r="X165" s="35" t="s">
        <v>386</v>
      </c>
      <c r="Y165" s="35" t="s">
        <v>387</v>
      </c>
      <c r="Z165" s="35" t="s">
        <v>1444</v>
      </c>
      <c r="AA165" s="35" t="s">
        <v>543</v>
      </c>
      <c r="AW165" s="35" t="s">
        <v>1242</v>
      </c>
      <c r="AX165" s="35" t="s">
        <v>675</v>
      </c>
      <c r="AY165" s="35" t="s">
        <v>675</v>
      </c>
      <c r="AZ165" s="35" t="s">
        <v>391</v>
      </c>
      <c r="BA165" s="35" t="s">
        <v>391</v>
      </c>
      <c r="BB165" s="35" t="s">
        <v>675</v>
      </c>
      <c r="BC165" s="35" t="s">
        <v>675</v>
      </c>
      <c r="BD165" s="35" t="s">
        <v>4862</v>
      </c>
      <c r="BE165" s="35" t="s">
        <v>4863</v>
      </c>
      <c r="BF165" s="35" t="s">
        <v>902</v>
      </c>
      <c r="BG165" s="35" t="s">
        <v>1095</v>
      </c>
      <c r="BH165" s="35" t="s">
        <v>434</v>
      </c>
      <c r="BI165" s="35" t="s">
        <v>4864</v>
      </c>
      <c r="BJ165" s="35" t="s">
        <v>435</v>
      </c>
      <c r="BL165" s="35" t="s">
        <v>437</v>
      </c>
      <c r="BM165" s="35" t="s">
        <v>603</v>
      </c>
      <c r="BN165" s="35" t="s">
        <v>1314</v>
      </c>
      <c r="BO165" s="35" t="s">
        <v>398</v>
      </c>
      <c r="BP165" s="35" t="s">
        <v>4865</v>
      </c>
      <c r="BQ165" s="35" t="s">
        <v>408</v>
      </c>
      <c r="BR165" s="35" t="s">
        <v>442</v>
      </c>
      <c r="BS165" s="35" t="s">
        <v>2227</v>
      </c>
      <c r="BT165" s="35" t="s">
        <v>1741</v>
      </c>
      <c r="BU165" s="35" t="s">
        <v>404</v>
      </c>
      <c r="BV165" s="35" t="s">
        <v>405</v>
      </c>
      <c r="BX165" s="35" t="s">
        <v>988</v>
      </c>
      <c r="BZ165" s="35" t="s">
        <v>408</v>
      </c>
      <c r="CB165" s="35" t="s">
        <v>10864</v>
      </c>
      <c r="CC165" s="35" t="s">
        <v>4867</v>
      </c>
      <c r="CD165" s="35" t="s">
        <v>4868</v>
      </c>
      <c r="CE165" s="35" t="s">
        <v>1257</v>
      </c>
      <c r="CG165" s="35" t="s">
        <v>1722</v>
      </c>
      <c r="CH165" s="35" t="s">
        <v>10865</v>
      </c>
      <c r="CI165" s="35" t="s">
        <v>1259</v>
      </c>
      <c r="CJ165" s="35" t="s">
        <v>410</v>
      </c>
      <c r="CK165" s="35" t="s">
        <v>4870</v>
      </c>
      <c r="CL165" s="35" t="s">
        <v>10866</v>
      </c>
      <c r="EU165" s="35" t="s">
        <v>526</v>
      </c>
      <c r="EV165" s="35" t="s">
        <v>479</v>
      </c>
      <c r="EW165" s="35" t="s">
        <v>1262</v>
      </c>
      <c r="EY165" s="35" t="s">
        <v>4872</v>
      </c>
      <c r="FA165" s="35" t="s">
        <v>415</v>
      </c>
      <c r="FB165" s="35" t="s">
        <v>415</v>
      </c>
      <c r="FC165" s="35" t="s">
        <v>413</v>
      </c>
      <c r="FD165" s="35" t="s">
        <v>415</v>
      </c>
      <c r="FE165" s="35" t="s">
        <v>413</v>
      </c>
      <c r="FF165" s="35" t="s">
        <v>415</v>
      </c>
      <c r="FG165" s="35" t="s">
        <v>415</v>
      </c>
      <c r="FH165" s="35" t="s">
        <v>415</v>
      </c>
      <c r="FI165" s="35" t="s">
        <v>414</v>
      </c>
      <c r="FJ165" s="35" t="s">
        <v>414</v>
      </c>
      <c r="FK165" s="35" t="s">
        <v>414</v>
      </c>
      <c r="FL165" s="35" t="s">
        <v>415</v>
      </c>
      <c r="FM165" s="35" t="s">
        <v>415</v>
      </c>
      <c r="FN165" s="35" t="s">
        <v>415</v>
      </c>
      <c r="FO165" s="35" t="s">
        <v>415</v>
      </c>
      <c r="FP165" s="35" t="s">
        <v>850</v>
      </c>
      <c r="FQ165" s="35" t="s">
        <v>418</v>
      </c>
      <c r="FR165" s="35" t="s">
        <v>419</v>
      </c>
      <c r="FT165" s="35" t="s">
        <v>995</v>
      </c>
      <c r="FU165" s="35" t="s">
        <v>488</v>
      </c>
      <c r="FV165" s="35" t="s">
        <v>489</v>
      </c>
      <c r="FW165" s="35" t="s">
        <v>490</v>
      </c>
      <c r="FX165" s="35" t="s">
        <v>491</v>
      </c>
      <c r="FZ165" s="35" t="s">
        <v>1337</v>
      </c>
      <c r="GC165" s="35" t="s">
        <v>455</v>
      </c>
      <c r="GD165" s="35" t="s">
        <v>10867</v>
      </c>
      <c r="GF165" s="35" t="s">
        <v>855</v>
      </c>
      <c r="GK165" s="35" t="s">
        <v>857</v>
      </c>
      <c r="GL165" s="35" t="s">
        <v>857</v>
      </c>
      <c r="GM165" s="35" t="s">
        <v>946</v>
      </c>
      <c r="GR165" s="35" t="s">
        <v>3351</v>
      </c>
      <c r="GS165" s="35" t="s">
        <v>4741</v>
      </c>
    </row>
    <row r="166">
      <c r="A166" s="40"/>
      <c r="B166" s="40">
        <v>45844.61704993056</v>
      </c>
      <c r="C166" s="35" t="s">
        <v>368</v>
      </c>
      <c r="D166" s="35" t="s">
        <v>4873</v>
      </c>
      <c r="E166" s="35" t="s">
        <v>4874</v>
      </c>
      <c r="H166" s="35" t="s">
        <v>422</v>
      </c>
      <c r="I166" s="35" t="s">
        <v>637</v>
      </c>
      <c r="J166" s="35" t="s">
        <v>638</v>
      </c>
      <c r="K166" s="35" t="s">
        <v>375</v>
      </c>
      <c r="L166" s="35" t="s">
        <v>376</v>
      </c>
      <c r="M166" s="35" t="s">
        <v>793</v>
      </c>
      <c r="N166" s="35" t="s">
        <v>1270</v>
      </c>
      <c r="O166" s="35" t="s">
        <v>793</v>
      </c>
      <c r="P166" s="35" t="s">
        <v>720</v>
      </c>
      <c r="Q166" s="35" t="s">
        <v>498</v>
      </c>
      <c r="R166" s="35" t="s">
        <v>759</v>
      </c>
      <c r="S166" s="35" t="s">
        <v>427</v>
      </c>
      <c r="T166" s="35" t="s">
        <v>384</v>
      </c>
      <c r="U166" s="35" t="s">
        <v>385</v>
      </c>
      <c r="AW166" s="35" t="s">
        <v>597</v>
      </c>
      <c r="BF166" s="35" t="s">
        <v>392</v>
      </c>
      <c r="BO166" s="35" t="s">
        <v>398</v>
      </c>
      <c r="BV166" s="35" t="s">
        <v>1693</v>
      </c>
      <c r="CE166" s="35" t="s">
        <v>451</v>
      </c>
      <c r="CG166" s="35" t="s">
        <v>1697</v>
      </c>
      <c r="FP166" s="35" t="s">
        <v>1074</v>
      </c>
      <c r="FQ166" s="35" t="s">
        <v>1200</v>
      </c>
      <c r="FT166" s="35" t="s">
        <v>1871</v>
      </c>
      <c r="FU166" s="35" t="s">
        <v>2398</v>
      </c>
      <c r="FV166" s="35" t="s">
        <v>918</v>
      </c>
      <c r="FX166" s="35" t="s">
        <v>1853</v>
      </c>
      <c r="GC166" s="35" t="s">
        <v>408</v>
      </c>
      <c r="GL166" s="35" t="s">
        <v>755</v>
      </c>
      <c r="GM166" s="35" t="s">
        <v>946</v>
      </c>
      <c r="GR166" s="35" t="s">
        <v>3208</v>
      </c>
    </row>
    <row r="167">
      <c r="A167" s="40"/>
      <c r="B167" s="40">
        <v>45849.67123201389</v>
      </c>
      <c r="C167" s="35" t="s">
        <v>368</v>
      </c>
      <c r="D167" s="35" t="s">
        <v>370</v>
      </c>
      <c r="E167" s="35" t="s">
        <v>370</v>
      </c>
      <c r="F167" s="35" t="s">
        <v>1421</v>
      </c>
      <c r="G167" s="35" t="s">
        <v>1849</v>
      </c>
      <c r="H167" s="35" t="s">
        <v>422</v>
      </c>
      <c r="I167" s="35" t="s">
        <v>373</v>
      </c>
      <c r="J167" s="35" t="s">
        <v>374</v>
      </c>
      <c r="K167" s="35" t="s">
        <v>425</v>
      </c>
      <c r="L167" s="35" t="s">
        <v>376</v>
      </c>
      <c r="M167" s="35" t="s">
        <v>591</v>
      </c>
      <c r="N167" s="35" t="s">
        <v>378</v>
      </c>
      <c r="O167" s="35" t="s">
        <v>591</v>
      </c>
      <c r="P167" s="35" t="s">
        <v>497</v>
      </c>
      <c r="Q167" s="35" t="s">
        <v>381</v>
      </c>
      <c r="R167" s="35" t="s">
        <v>1156</v>
      </c>
      <c r="S167" s="35" t="s">
        <v>427</v>
      </c>
      <c r="T167" s="35" t="s">
        <v>384</v>
      </c>
      <c r="U167" s="35" t="s">
        <v>385</v>
      </c>
      <c r="X167" s="35" t="s">
        <v>593</v>
      </c>
      <c r="Y167" s="35" t="s">
        <v>387</v>
      </c>
      <c r="Z167" s="35" t="s">
        <v>897</v>
      </c>
      <c r="AA167" s="35" t="s">
        <v>543</v>
      </c>
      <c r="AB167" s="35" t="s">
        <v>4937</v>
      </c>
      <c r="AC167" s="35" t="s">
        <v>4938</v>
      </c>
      <c r="AW167" s="35" t="s">
        <v>597</v>
      </c>
      <c r="AX167" s="35" t="s">
        <v>675</v>
      </c>
      <c r="AY167" s="41">
        <v>4.0</v>
      </c>
      <c r="AZ167" s="35" t="s">
        <v>675</v>
      </c>
      <c r="BA167" s="35" t="s">
        <v>675</v>
      </c>
      <c r="BB167" s="35" t="s">
        <v>391</v>
      </c>
      <c r="BC167" s="35" t="s">
        <v>675</v>
      </c>
      <c r="BD167" s="35" t="s">
        <v>2220</v>
      </c>
      <c r="BE167" s="35" t="s">
        <v>4939</v>
      </c>
      <c r="BF167" s="35" t="s">
        <v>392</v>
      </c>
      <c r="BG167" s="35" t="s">
        <v>1095</v>
      </c>
      <c r="BH167" s="35" t="s">
        <v>394</v>
      </c>
      <c r="BI167" s="35" t="s">
        <v>4940</v>
      </c>
      <c r="BJ167" s="35" t="s">
        <v>976</v>
      </c>
      <c r="BL167" s="35" t="s">
        <v>437</v>
      </c>
      <c r="BM167" s="35" t="s">
        <v>603</v>
      </c>
      <c r="BN167" s="35" t="s">
        <v>1247</v>
      </c>
      <c r="BO167" s="35" t="s">
        <v>398</v>
      </c>
      <c r="BP167" s="35" t="s">
        <v>4941</v>
      </c>
      <c r="BQ167" s="35" t="s">
        <v>4942</v>
      </c>
      <c r="BR167" s="35" t="s">
        <v>442</v>
      </c>
      <c r="BS167" s="35" t="s">
        <v>4943</v>
      </c>
      <c r="BT167" s="35" t="s">
        <v>1671</v>
      </c>
      <c r="BU167" s="35" t="s">
        <v>1771</v>
      </c>
      <c r="BV167" s="35" t="s">
        <v>405</v>
      </c>
      <c r="BX167" s="35" t="s">
        <v>457</v>
      </c>
      <c r="BZ167" s="35" t="s">
        <v>455</v>
      </c>
      <c r="CA167" s="35" t="s">
        <v>4944</v>
      </c>
      <c r="CB167" s="35" t="s">
        <v>4945</v>
      </c>
      <c r="CC167" s="35" t="s">
        <v>4946</v>
      </c>
      <c r="CD167" s="35" t="s">
        <v>4947</v>
      </c>
      <c r="CE167" s="35" t="s">
        <v>409</v>
      </c>
      <c r="CF167" s="35" t="s">
        <v>4948</v>
      </c>
      <c r="CG167" s="35" t="s">
        <v>1258</v>
      </c>
      <c r="CI167" s="35" t="s">
        <v>1679</v>
      </c>
      <c r="CJ167" s="35" t="s">
        <v>410</v>
      </c>
      <c r="CK167" s="35" t="s">
        <v>10868</v>
      </c>
      <c r="CL167" s="35" t="s">
        <v>4950</v>
      </c>
      <c r="EU167" s="35" t="s">
        <v>526</v>
      </c>
      <c r="EV167" s="35" t="s">
        <v>887</v>
      </c>
      <c r="EW167" s="35" t="s">
        <v>1534</v>
      </c>
      <c r="EX167" s="35" t="s">
        <v>4951</v>
      </c>
      <c r="EY167" s="35" t="s">
        <v>4952</v>
      </c>
      <c r="EZ167" s="35" t="s">
        <v>4953</v>
      </c>
      <c r="FA167" s="35" t="s">
        <v>415</v>
      </c>
      <c r="FB167" s="35" t="s">
        <v>414</v>
      </c>
      <c r="FC167" s="35" t="s">
        <v>414</v>
      </c>
      <c r="FD167" s="35" t="s">
        <v>414</v>
      </c>
      <c r="FE167" s="35" t="s">
        <v>415</v>
      </c>
      <c r="FF167" s="35" t="s">
        <v>414</v>
      </c>
      <c r="FG167" s="35" t="s">
        <v>415</v>
      </c>
      <c r="FH167" s="35" t="s">
        <v>415</v>
      </c>
      <c r="FI167" s="35" t="s">
        <v>416</v>
      </c>
      <c r="FJ167" s="35" t="s">
        <v>415</v>
      </c>
      <c r="FK167" s="35" t="s">
        <v>415</v>
      </c>
      <c r="FL167" s="35" t="s">
        <v>484</v>
      </c>
      <c r="FM167" s="35" t="s">
        <v>484</v>
      </c>
      <c r="FN167" s="35" t="s">
        <v>484</v>
      </c>
      <c r="FO167" s="35" t="s">
        <v>484</v>
      </c>
      <c r="FP167" s="35" t="s">
        <v>485</v>
      </c>
      <c r="FQ167" s="35" t="s">
        <v>486</v>
      </c>
      <c r="FR167" s="35" t="s">
        <v>712</v>
      </c>
      <c r="FS167" s="35" t="s">
        <v>4954</v>
      </c>
      <c r="FT167" s="35" t="s">
        <v>1189</v>
      </c>
      <c r="FU167" s="35" t="s">
        <v>1476</v>
      </c>
      <c r="FV167" s="35" t="s">
        <v>533</v>
      </c>
      <c r="FW167" s="35" t="s">
        <v>490</v>
      </c>
      <c r="FX167" s="35" t="s">
        <v>491</v>
      </c>
      <c r="FY167" s="35" t="s">
        <v>4955</v>
      </c>
      <c r="FZ167" s="35" t="s">
        <v>535</v>
      </c>
      <c r="GB167" s="35" t="s">
        <v>10869</v>
      </c>
      <c r="GC167" s="35" t="s">
        <v>455</v>
      </c>
      <c r="GD167" s="35" t="s">
        <v>10870</v>
      </c>
      <c r="GE167" s="35" t="s">
        <v>10871</v>
      </c>
      <c r="GF167" s="35" t="s">
        <v>1339</v>
      </c>
      <c r="GG167" s="35" t="s">
        <v>4957</v>
      </c>
      <c r="GK167" s="35" t="s">
        <v>788</v>
      </c>
      <c r="GL167" s="35" t="s">
        <v>788</v>
      </c>
      <c r="GM167" s="35" t="s">
        <v>858</v>
      </c>
      <c r="GR167" s="35" t="s">
        <v>4653</v>
      </c>
      <c r="GS167" s="35" t="s">
        <v>4774</v>
      </c>
    </row>
    <row r="168">
      <c r="A168" s="40"/>
      <c r="B168" s="40">
        <v>45850.886114953704</v>
      </c>
      <c r="C168" s="35" t="s">
        <v>368</v>
      </c>
      <c r="D168" s="35" t="s">
        <v>1267</v>
      </c>
      <c r="E168" s="35" t="s">
        <v>1267</v>
      </c>
      <c r="H168" s="35" t="s">
        <v>422</v>
      </c>
      <c r="I168" s="35" t="s">
        <v>1203</v>
      </c>
      <c r="J168" s="35" t="s">
        <v>638</v>
      </c>
      <c r="K168" s="35" t="s">
        <v>590</v>
      </c>
      <c r="L168" s="35" t="s">
        <v>376</v>
      </c>
      <c r="M168" s="35" t="s">
        <v>670</v>
      </c>
      <c r="N168" s="35" t="s">
        <v>719</v>
      </c>
      <c r="O168" s="35" t="s">
        <v>793</v>
      </c>
      <c r="P168" s="35" t="s">
        <v>1024</v>
      </c>
      <c r="Q168" s="35" t="s">
        <v>498</v>
      </c>
      <c r="R168" s="35" t="s">
        <v>759</v>
      </c>
      <c r="S168" s="35" t="s">
        <v>427</v>
      </c>
      <c r="T168" s="35" t="s">
        <v>384</v>
      </c>
      <c r="U168" s="35" t="s">
        <v>385</v>
      </c>
      <c r="X168" s="35" t="s">
        <v>3014</v>
      </c>
      <c r="AW168" s="35" t="s">
        <v>390</v>
      </c>
      <c r="AX168" s="35" t="s">
        <v>675</v>
      </c>
      <c r="AY168" s="41">
        <v>2.0</v>
      </c>
      <c r="AZ168" s="41">
        <v>2.0</v>
      </c>
      <c r="BA168" s="35" t="s">
        <v>675</v>
      </c>
      <c r="BB168" s="35" t="s">
        <v>391</v>
      </c>
      <c r="BC168" s="35" t="s">
        <v>391</v>
      </c>
      <c r="BD168" s="35" t="s">
        <v>4994</v>
      </c>
      <c r="BF168" s="35" t="s">
        <v>392</v>
      </c>
      <c r="BG168" s="35" t="s">
        <v>433</v>
      </c>
      <c r="BH168" s="35" t="s">
        <v>434</v>
      </c>
      <c r="BJ168" s="35" t="s">
        <v>824</v>
      </c>
      <c r="BL168" s="35" t="s">
        <v>602</v>
      </c>
      <c r="BM168" s="35" t="s">
        <v>396</v>
      </c>
      <c r="BN168" s="35" t="s">
        <v>549</v>
      </c>
      <c r="BO168" s="35" t="s">
        <v>398</v>
      </c>
      <c r="BR168" s="35" t="s">
        <v>604</v>
      </c>
      <c r="BS168" s="35" t="s">
        <v>4462</v>
      </c>
      <c r="BT168" s="35" t="s">
        <v>4071</v>
      </c>
      <c r="BU168" s="35" t="s">
        <v>404</v>
      </c>
      <c r="BV168" s="35" t="s">
        <v>1831</v>
      </c>
      <c r="BX168" s="35" t="s">
        <v>406</v>
      </c>
      <c r="BY168" s="35" t="s">
        <v>407</v>
      </c>
      <c r="BZ168" s="35" t="s">
        <v>408</v>
      </c>
      <c r="CE168" s="35" t="s">
        <v>451</v>
      </c>
      <c r="CG168" s="35" t="s">
        <v>1258</v>
      </c>
      <c r="CI168" s="35" t="s">
        <v>2744</v>
      </c>
      <c r="EU168" s="35" t="s">
        <v>478</v>
      </c>
      <c r="EV168" s="35" t="s">
        <v>579</v>
      </c>
      <c r="EW168" s="35" t="s">
        <v>480</v>
      </c>
      <c r="FA168" s="35" t="s">
        <v>583</v>
      </c>
      <c r="FB168" s="35" t="s">
        <v>583</v>
      </c>
      <c r="FC168" s="35" t="s">
        <v>413</v>
      </c>
      <c r="FD168" s="35" t="s">
        <v>583</v>
      </c>
      <c r="FE168" s="35" t="s">
        <v>414</v>
      </c>
      <c r="FF168" s="35" t="s">
        <v>583</v>
      </c>
      <c r="FG168" s="35" t="s">
        <v>583</v>
      </c>
      <c r="FH168" s="35" t="s">
        <v>583</v>
      </c>
      <c r="FI168" s="35" t="s">
        <v>413</v>
      </c>
      <c r="FJ168" s="35" t="s">
        <v>416</v>
      </c>
      <c r="FK168" s="35" t="s">
        <v>484</v>
      </c>
      <c r="FL168" s="35" t="s">
        <v>583</v>
      </c>
      <c r="FM168" s="35" t="s">
        <v>583</v>
      </c>
      <c r="FN168" s="35" t="s">
        <v>414</v>
      </c>
      <c r="FO168" s="35" t="s">
        <v>413</v>
      </c>
      <c r="FP168" s="35" t="s">
        <v>1537</v>
      </c>
      <c r="FQ168" s="35" t="s">
        <v>2524</v>
      </c>
      <c r="FR168" s="35" t="s">
        <v>712</v>
      </c>
      <c r="FT168" s="35" t="s">
        <v>1871</v>
      </c>
      <c r="FU168" s="35" t="s">
        <v>1476</v>
      </c>
      <c r="FV168" s="35" t="s">
        <v>1235</v>
      </c>
      <c r="FW168" s="35" t="s">
        <v>490</v>
      </c>
      <c r="FX168" s="35" t="s">
        <v>491</v>
      </c>
      <c r="FZ168" s="35" t="s">
        <v>493</v>
      </c>
      <c r="GA168" s="35" t="s">
        <v>4995</v>
      </c>
      <c r="GK168" s="35" t="s">
        <v>755</v>
      </c>
      <c r="GL168" s="35" t="s">
        <v>755</v>
      </c>
      <c r="GM168" s="35" t="s">
        <v>817</v>
      </c>
      <c r="GR168" s="35" t="s">
        <v>3208</v>
      </c>
      <c r="GS168" s="35" t="s">
        <v>4774</v>
      </c>
    </row>
    <row r="169">
      <c r="A169" s="40"/>
      <c r="B169" s="40">
        <v>45852.678005532405</v>
      </c>
      <c r="C169" s="35" t="s">
        <v>368</v>
      </c>
      <c r="D169" s="35" t="s">
        <v>4996</v>
      </c>
      <c r="E169" s="35" t="s">
        <v>4996</v>
      </c>
      <c r="H169" s="35" t="s">
        <v>1269</v>
      </c>
      <c r="I169" s="35" t="s">
        <v>373</v>
      </c>
      <c r="J169" s="35" t="s">
        <v>374</v>
      </c>
      <c r="K169" s="35" t="s">
        <v>590</v>
      </c>
      <c r="L169" s="35" t="s">
        <v>376</v>
      </c>
      <c r="M169" s="35" t="s">
        <v>591</v>
      </c>
      <c r="N169" s="35" t="s">
        <v>1270</v>
      </c>
      <c r="O169" s="35" t="s">
        <v>426</v>
      </c>
      <c r="P169" s="35" t="s">
        <v>719</v>
      </c>
      <c r="Q169" s="35" t="s">
        <v>381</v>
      </c>
      <c r="R169" s="35" t="s">
        <v>382</v>
      </c>
      <c r="S169" s="35" t="s">
        <v>500</v>
      </c>
      <c r="T169" s="35" t="s">
        <v>384</v>
      </c>
      <c r="U169" s="35" t="s">
        <v>385</v>
      </c>
      <c r="X169" s="35" t="s">
        <v>3231</v>
      </c>
      <c r="AW169" s="35" t="s">
        <v>1310</v>
      </c>
      <c r="AX169" s="35" t="s">
        <v>675</v>
      </c>
      <c r="AY169" s="35" t="s">
        <v>675</v>
      </c>
      <c r="AZ169" s="35" t="s">
        <v>675</v>
      </c>
      <c r="BA169" s="35" t="s">
        <v>675</v>
      </c>
      <c r="BB169" s="35" t="s">
        <v>675</v>
      </c>
      <c r="BC169" s="35" t="s">
        <v>675</v>
      </c>
      <c r="BD169" s="35" t="s">
        <v>10872</v>
      </c>
      <c r="BE169" s="35" t="s">
        <v>10873</v>
      </c>
      <c r="BF169" s="35" t="s">
        <v>902</v>
      </c>
      <c r="BG169" s="35" t="s">
        <v>1245</v>
      </c>
      <c r="BH169" s="35" t="s">
        <v>725</v>
      </c>
      <c r="BI169" s="35" t="s">
        <v>10874</v>
      </c>
      <c r="BJ169" s="35" t="s">
        <v>824</v>
      </c>
      <c r="BL169" s="35" t="s">
        <v>602</v>
      </c>
      <c r="BM169" s="35" t="s">
        <v>603</v>
      </c>
      <c r="BN169" s="35" t="s">
        <v>1247</v>
      </c>
      <c r="BO169" s="35" t="s">
        <v>398</v>
      </c>
      <c r="BP169" s="35" t="s">
        <v>10875</v>
      </c>
      <c r="BQ169" s="35" t="s">
        <v>5001</v>
      </c>
      <c r="BR169" s="35" t="s">
        <v>401</v>
      </c>
      <c r="BS169" s="35" t="s">
        <v>5002</v>
      </c>
      <c r="BT169" s="35" t="s">
        <v>1692</v>
      </c>
      <c r="BU169" s="35" t="s">
        <v>4072</v>
      </c>
      <c r="BV169" s="35" t="s">
        <v>405</v>
      </c>
      <c r="BX169" s="35" t="s">
        <v>988</v>
      </c>
      <c r="BZ169" s="35" t="s">
        <v>408</v>
      </c>
      <c r="CB169" s="35" t="s">
        <v>10876</v>
      </c>
      <c r="CC169" s="35" t="s">
        <v>5004</v>
      </c>
      <c r="CD169" s="35" t="s">
        <v>10877</v>
      </c>
      <c r="CE169" s="35" t="s">
        <v>409</v>
      </c>
      <c r="CF169" s="35" t="s">
        <v>5006</v>
      </c>
      <c r="CG169" s="35" t="s">
        <v>1749</v>
      </c>
      <c r="CH169" s="35" t="s">
        <v>10878</v>
      </c>
      <c r="CI169" s="35" t="s">
        <v>1259</v>
      </c>
      <c r="CJ169" s="35" t="s">
        <v>410</v>
      </c>
      <c r="CK169" s="35" t="s">
        <v>10879</v>
      </c>
      <c r="CL169" s="35" t="s">
        <v>5009</v>
      </c>
      <c r="EU169" s="35" t="s">
        <v>526</v>
      </c>
      <c r="EV169" s="35" t="s">
        <v>1127</v>
      </c>
      <c r="EW169" s="35" t="s">
        <v>480</v>
      </c>
      <c r="EY169" s="35" t="s">
        <v>5010</v>
      </c>
      <c r="EZ169" s="35" t="s">
        <v>10880</v>
      </c>
      <c r="FA169" s="35" t="s">
        <v>583</v>
      </c>
      <c r="FB169" s="35" t="s">
        <v>583</v>
      </c>
      <c r="FC169" s="35" t="s">
        <v>414</v>
      </c>
      <c r="FD169" s="35" t="s">
        <v>414</v>
      </c>
      <c r="FE169" s="35" t="s">
        <v>415</v>
      </c>
      <c r="FF169" s="35" t="s">
        <v>583</v>
      </c>
      <c r="FG169" s="35" t="s">
        <v>583</v>
      </c>
      <c r="FH169" s="35" t="s">
        <v>415</v>
      </c>
      <c r="FI169" s="35" t="s">
        <v>415</v>
      </c>
      <c r="FJ169" s="35" t="s">
        <v>415</v>
      </c>
      <c r="FK169" s="35" t="s">
        <v>415</v>
      </c>
      <c r="FL169" s="35" t="s">
        <v>415</v>
      </c>
      <c r="FM169" s="35" t="s">
        <v>415</v>
      </c>
      <c r="FN169" s="35" t="s">
        <v>413</v>
      </c>
      <c r="FO169" s="35" t="s">
        <v>583</v>
      </c>
      <c r="FP169" s="35" t="s">
        <v>485</v>
      </c>
      <c r="FQ169" s="35" t="s">
        <v>418</v>
      </c>
      <c r="FR169" s="35" t="s">
        <v>749</v>
      </c>
      <c r="FS169" s="35" t="s">
        <v>5012</v>
      </c>
      <c r="FT169" s="35" t="s">
        <v>420</v>
      </c>
      <c r="FU169" s="35" t="s">
        <v>488</v>
      </c>
      <c r="FV169" s="35" t="s">
        <v>585</v>
      </c>
      <c r="FW169" s="35" t="s">
        <v>490</v>
      </c>
      <c r="FX169" s="35" t="s">
        <v>491</v>
      </c>
      <c r="FY169" s="35" t="s">
        <v>5013</v>
      </c>
      <c r="FZ169" s="35" t="s">
        <v>535</v>
      </c>
      <c r="GC169" s="35" t="s">
        <v>408</v>
      </c>
      <c r="GK169" s="35" t="s">
        <v>755</v>
      </c>
      <c r="GL169" s="35" t="s">
        <v>755</v>
      </c>
      <c r="GM169" s="35" t="s">
        <v>946</v>
      </c>
      <c r="GO169" s="35" t="s">
        <v>4996</v>
      </c>
      <c r="GP169" s="35" t="s">
        <v>4996</v>
      </c>
      <c r="GQ169" s="35" t="s">
        <v>5014</v>
      </c>
      <c r="GR169" s="35" t="s">
        <v>5015</v>
      </c>
      <c r="GS169" s="35" t="s">
        <v>4774</v>
      </c>
    </row>
    <row r="170">
      <c r="A170" s="40"/>
      <c r="B170" s="40">
        <v>45852.8915808912</v>
      </c>
      <c r="C170" s="35" t="s">
        <v>368</v>
      </c>
      <c r="D170" s="35" t="s">
        <v>5016</v>
      </c>
      <c r="E170" s="35" t="s">
        <v>370</v>
      </c>
      <c r="G170" s="35" t="s">
        <v>2359</v>
      </c>
      <c r="H170" s="35" t="s">
        <v>372</v>
      </c>
      <c r="I170" s="35" t="s">
        <v>496</v>
      </c>
      <c r="J170" s="35" t="s">
        <v>424</v>
      </c>
      <c r="K170" s="35" t="s">
        <v>425</v>
      </c>
      <c r="L170" s="35" t="s">
        <v>376</v>
      </c>
      <c r="M170" s="35" t="s">
        <v>426</v>
      </c>
      <c r="N170" s="35" t="s">
        <v>720</v>
      </c>
      <c r="O170" s="35" t="s">
        <v>379</v>
      </c>
      <c r="P170" s="35" t="s">
        <v>5017</v>
      </c>
      <c r="Q170" s="35" t="s">
        <v>381</v>
      </c>
      <c r="R170" s="35" t="s">
        <v>382</v>
      </c>
      <c r="S170" s="35" t="s">
        <v>949</v>
      </c>
      <c r="T170" s="35" t="s">
        <v>384</v>
      </c>
      <c r="U170" s="35" t="s">
        <v>385</v>
      </c>
      <c r="X170" s="35" t="s">
        <v>3231</v>
      </c>
      <c r="AW170" s="35" t="s">
        <v>1242</v>
      </c>
      <c r="AX170" s="35" t="s">
        <v>675</v>
      </c>
      <c r="AY170" s="41">
        <v>4.0</v>
      </c>
      <c r="AZ170" s="41">
        <v>4.0</v>
      </c>
      <c r="BA170" s="35" t="s">
        <v>675</v>
      </c>
      <c r="BB170" s="35" t="s">
        <v>675</v>
      </c>
      <c r="BC170" s="35" t="s">
        <v>675</v>
      </c>
      <c r="BD170" s="35" t="s">
        <v>5018</v>
      </c>
      <c r="BE170" s="35" t="s">
        <v>5019</v>
      </c>
      <c r="BF170" s="35" t="s">
        <v>432</v>
      </c>
      <c r="BG170" s="35" t="s">
        <v>1245</v>
      </c>
      <c r="BH170" s="35" t="s">
        <v>434</v>
      </c>
      <c r="BJ170" s="35" t="s">
        <v>435</v>
      </c>
      <c r="BK170" s="35" t="s">
        <v>5020</v>
      </c>
      <c r="BL170" s="35" t="s">
        <v>681</v>
      </c>
      <c r="BM170" s="35" t="s">
        <v>904</v>
      </c>
      <c r="BN170" s="35" t="s">
        <v>1247</v>
      </c>
      <c r="BO170" s="35" t="s">
        <v>398</v>
      </c>
      <c r="BP170" s="35" t="s">
        <v>5021</v>
      </c>
      <c r="BQ170" s="35" t="s">
        <v>5022</v>
      </c>
      <c r="BR170" s="35" t="s">
        <v>604</v>
      </c>
      <c r="BS170" s="35" t="s">
        <v>4781</v>
      </c>
      <c r="BT170" s="35" t="s">
        <v>1251</v>
      </c>
      <c r="BU170" s="35" t="s">
        <v>4072</v>
      </c>
      <c r="BV170" s="35" t="s">
        <v>405</v>
      </c>
      <c r="BW170" s="35" t="s">
        <v>5023</v>
      </c>
      <c r="BX170" s="35" t="s">
        <v>406</v>
      </c>
      <c r="BY170" s="35" t="s">
        <v>407</v>
      </c>
      <c r="BZ170" s="35" t="s">
        <v>455</v>
      </c>
      <c r="CA170" s="35" t="s">
        <v>5024</v>
      </c>
      <c r="CB170" s="35" t="s">
        <v>5025</v>
      </c>
      <c r="CC170" s="35" t="s">
        <v>5026</v>
      </c>
      <c r="CD170" s="35" t="s">
        <v>5027</v>
      </c>
      <c r="CE170" s="35" t="s">
        <v>409</v>
      </c>
      <c r="CF170" s="35" t="s">
        <v>5028</v>
      </c>
      <c r="CG170" s="35" t="s">
        <v>1722</v>
      </c>
      <c r="CH170" s="35" t="s">
        <v>5029</v>
      </c>
      <c r="CI170" s="35" t="s">
        <v>1698</v>
      </c>
      <c r="CJ170" s="35" t="s">
        <v>833</v>
      </c>
      <c r="CK170" s="35" t="s">
        <v>5030</v>
      </c>
      <c r="CL170" s="35" t="s">
        <v>5031</v>
      </c>
      <c r="EU170" s="35" t="s">
        <v>578</v>
      </c>
      <c r="EV170" s="35" t="s">
        <v>579</v>
      </c>
      <c r="EW170" s="35" t="s">
        <v>663</v>
      </c>
      <c r="EX170" s="35" t="s">
        <v>5032</v>
      </c>
      <c r="EY170" s="35" t="s">
        <v>5033</v>
      </c>
      <c r="EZ170" s="35" t="s">
        <v>10881</v>
      </c>
      <c r="FA170" s="35" t="s">
        <v>414</v>
      </c>
      <c r="FB170" s="35" t="s">
        <v>414</v>
      </c>
      <c r="FC170" s="35" t="s">
        <v>414</v>
      </c>
      <c r="FD170" s="35" t="s">
        <v>414</v>
      </c>
      <c r="FE170" s="35" t="s">
        <v>415</v>
      </c>
      <c r="FF170" s="35" t="s">
        <v>414</v>
      </c>
      <c r="FG170" s="35" t="s">
        <v>583</v>
      </c>
      <c r="FH170" s="35" t="s">
        <v>415</v>
      </c>
      <c r="FI170" s="35" t="s">
        <v>583</v>
      </c>
      <c r="FJ170" s="35" t="s">
        <v>416</v>
      </c>
      <c r="FK170" s="35" t="s">
        <v>415</v>
      </c>
      <c r="FL170" s="35" t="s">
        <v>416</v>
      </c>
      <c r="FM170" s="35" t="s">
        <v>414</v>
      </c>
      <c r="FN170" s="35" t="s">
        <v>416</v>
      </c>
      <c r="FO170" s="35" t="s">
        <v>583</v>
      </c>
      <c r="FP170" s="35" t="s">
        <v>485</v>
      </c>
      <c r="FQ170" s="35" t="s">
        <v>418</v>
      </c>
      <c r="FR170" s="35" t="s">
        <v>419</v>
      </c>
      <c r="FS170" s="35" t="s">
        <v>5035</v>
      </c>
      <c r="FT170" s="35" t="s">
        <v>420</v>
      </c>
      <c r="FU170" s="35" t="s">
        <v>1462</v>
      </c>
      <c r="FV170" s="35" t="s">
        <v>489</v>
      </c>
      <c r="FW170" s="35" t="s">
        <v>490</v>
      </c>
      <c r="FX170" s="35" t="s">
        <v>491</v>
      </c>
      <c r="FY170" s="35" t="s">
        <v>10882</v>
      </c>
      <c r="FZ170" s="35" t="s">
        <v>535</v>
      </c>
      <c r="GA170" s="35" t="s">
        <v>5037</v>
      </c>
      <c r="GC170" s="35" t="s">
        <v>455</v>
      </c>
      <c r="GE170" s="35" t="s">
        <v>10883</v>
      </c>
      <c r="GF170" s="35" t="s">
        <v>855</v>
      </c>
      <c r="GK170" s="35" t="s">
        <v>920</v>
      </c>
      <c r="GL170" s="35" t="s">
        <v>920</v>
      </c>
      <c r="GM170" s="35" t="s">
        <v>817</v>
      </c>
      <c r="GQ170" s="35" t="s">
        <v>387</v>
      </c>
      <c r="GR170" s="35" t="s">
        <v>5015</v>
      </c>
      <c r="GS170" s="35" t="s">
        <v>5039</v>
      </c>
      <c r="GT170" s="35" t="s">
        <v>5040</v>
      </c>
    </row>
    <row r="171">
      <c r="A171" s="40"/>
      <c r="B171" s="40">
        <v>45853.37019545139</v>
      </c>
      <c r="C171" s="35" t="s">
        <v>368</v>
      </c>
      <c r="D171" s="35" t="s">
        <v>370</v>
      </c>
      <c r="E171" s="35" t="s">
        <v>370</v>
      </c>
      <c r="F171" s="35" t="s">
        <v>922</v>
      </c>
      <c r="G171" s="35" t="s">
        <v>1441</v>
      </c>
      <c r="H171" s="35" t="s">
        <v>1093</v>
      </c>
      <c r="I171" s="35" t="s">
        <v>539</v>
      </c>
      <c r="J171" s="35" t="s">
        <v>2578</v>
      </c>
      <c r="K171" s="35" t="s">
        <v>540</v>
      </c>
      <c r="L171" s="35" t="s">
        <v>376</v>
      </c>
      <c r="N171" s="35" t="s">
        <v>378</v>
      </c>
      <c r="P171" s="35" t="s">
        <v>720</v>
      </c>
      <c r="Q171" s="35" t="s">
        <v>592</v>
      </c>
      <c r="R171" s="35" t="s">
        <v>862</v>
      </c>
      <c r="S171" s="35" t="s">
        <v>427</v>
      </c>
      <c r="T171" s="35" t="s">
        <v>384</v>
      </c>
      <c r="U171" s="35" t="s">
        <v>385</v>
      </c>
      <c r="X171" s="35" t="s">
        <v>3231</v>
      </c>
      <c r="AW171" s="35" t="s">
        <v>1310</v>
      </c>
      <c r="AX171" s="35" t="s">
        <v>675</v>
      </c>
      <c r="AY171" s="35" t="s">
        <v>675</v>
      </c>
      <c r="AZ171" s="35" t="s">
        <v>675</v>
      </c>
      <c r="BA171" s="35" t="s">
        <v>675</v>
      </c>
      <c r="BB171" s="35" t="s">
        <v>675</v>
      </c>
      <c r="BC171" s="35" t="s">
        <v>675</v>
      </c>
      <c r="BD171" s="35" t="s">
        <v>5041</v>
      </c>
      <c r="BE171" s="35" t="s">
        <v>5042</v>
      </c>
      <c r="BF171" s="35" t="s">
        <v>902</v>
      </c>
      <c r="BG171" s="35" t="s">
        <v>393</v>
      </c>
      <c r="BH171" s="35" t="s">
        <v>394</v>
      </c>
      <c r="BI171" s="35" t="s">
        <v>5043</v>
      </c>
      <c r="BJ171" s="35" t="s">
        <v>435</v>
      </c>
      <c r="BK171" s="35" t="s">
        <v>5044</v>
      </c>
      <c r="BL171" s="35" t="s">
        <v>681</v>
      </c>
      <c r="BM171" s="35" t="s">
        <v>603</v>
      </c>
      <c r="BN171" s="35" t="s">
        <v>1314</v>
      </c>
      <c r="BO171" s="35" t="s">
        <v>398</v>
      </c>
      <c r="BP171" s="35" t="s">
        <v>5045</v>
      </c>
      <c r="BQ171" s="35" t="s">
        <v>5046</v>
      </c>
      <c r="BR171" s="35" t="s">
        <v>442</v>
      </c>
      <c r="BS171" s="35" t="s">
        <v>5047</v>
      </c>
      <c r="BT171" s="35" t="s">
        <v>1692</v>
      </c>
      <c r="BU171" s="35" t="s">
        <v>4368</v>
      </c>
      <c r="BV171" s="35" t="s">
        <v>405</v>
      </c>
      <c r="BW171" s="35" t="s">
        <v>1211</v>
      </c>
      <c r="BX171" s="35" t="s">
        <v>406</v>
      </c>
      <c r="BY171" s="35" t="s">
        <v>2503</v>
      </c>
      <c r="BZ171" s="35" t="s">
        <v>455</v>
      </c>
      <c r="CA171" s="35" t="s">
        <v>5048</v>
      </c>
      <c r="CB171" s="35" t="s">
        <v>5049</v>
      </c>
      <c r="CC171" s="35" t="s">
        <v>5050</v>
      </c>
      <c r="CD171" s="35" t="s">
        <v>10884</v>
      </c>
      <c r="CE171" s="35" t="s">
        <v>451</v>
      </c>
      <c r="CF171" s="35" t="s">
        <v>5052</v>
      </c>
      <c r="CG171" s="35" t="s">
        <v>1697</v>
      </c>
      <c r="CH171" s="35" t="s">
        <v>5053</v>
      </c>
      <c r="CI171" s="35" t="s">
        <v>1259</v>
      </c>
      <c r="CJ171" s="35" t="s">
        <v>410</v>
      </c>
      <c r="CK171" s="35" t="s">
        <v>5054</v>
      </c>
      <c r="CL171" s="35" t="s">
        <v>5055</v>
      </c>
      <c r="EU171" s="35" t="s">
        <v>578</v>
      </c>
      <c r="EV171" s="35" t="s">
        <v>1037</v>
      </c>
      <c r="EW171" s="35" t="s">
        <v>527</v>
      </c>
      <c r="EX171" s="35" t="s">
        <v>10885</v>
      </c>
      <c r="EY171" s="35" t="s">
        <v>5057</v>
      </c>
      <c r="EZ171" s="35" t="s">
        <v>5058</v>
      </c>
      <c r="FA171" s="35" t="s">
        <v>583</v>
      </c>
      <c r="FB171" s="35" t="s">
        <v>583</v>
      </c>
      <c r="FC171" s="35" t="s">
        <v>414</v>
      </c>
      <c r="FD171" s="35" t="s">
        <v>583</v>
      </c>
      <c r="FE171" s="35" t="s">
        <v>415</v>
      </c>
      <c r="FF171" s="35" t="s">
        <v>583</v>
      </c>
      <c r="FG171" s="35" t="s">
        <v>583</v>
      </c>
      <c r="FH171" s="35" t="s">
        <v>416</v>
      </c>
      <c r="FI171" s="35" t="s">
        <v>583</v>
      </c>
      <c r="FJ171" s="35" t="s">
        <v>414</v>
      </c>
      <c r="FK171" s="35" t="s">
        <v>414</v>
      </c>
      <c r="FL171" s="35" t="s">
        <v>416</v>
      </c>
      <c r="FM171" s="35" t="s">
        <v>583</v>
      </c>
      <c r="FN171" s="35" t="s">
        <v>413</v>
      </c>
      <c r="FO171" s="35" t="s">
        <v>583</v>
      </c>
      <c r="FP171" s="35" t="s">
        <v>417</v>
      </c>
      <c r="FQ171" s="35" t="s">
        <v>418</v>
      </c>
      <c r="FR171" s="35" t="s">
        <v>712</v>
      </c>
      <c r="FS171" s="35" t="s">
        <v>5059</v>
      </c>
      <c r="FT171" s="35" t="s">
        <v>995</v>
      </c>
      <c r="FU171" s="35" t="s">
        <v>488</v>
      </c>
      <c r="FV171" s="35" t="s">
        <v>489</v>
      </c>
      <c r="FW171" s="35" t="s">
        <v>490</v>
      </c>
      <c r="FX171" s="35" t="s">
        <v>491</v>
      </c>
      <c r="FY171" s="35" t="s">
        <v>5060</v>
      </c>
      <c r="FZ171" s="35" t="s">
        <v>535</v>
      </c>
      <c r="GA171" s="35" t="s">
        <v>5061</v>
      </c>
      <c r="GC171" s="35" t="s">
        <v>455</v>
      </c>
      <c r="GD171" s="35" t="s">
        <v>10886</v>
      </c>
      <c r="GF171" s="35" t="s">
        <v>753</v>
      </c>
      <c r="GG171" s="35" t="s">
        <v>1211</v>
      </c>
      <c r="GK171" s="35" t="s">
        <v>755</v>
      </c>
      <c r="GL171" s="35" t="s">
        <v>755</v>
      </c>
      <c r="GM171" s="35" t="s">
        <v>946</v>
      </c>
      <c r="GQ171" s="35" t="s">
        <v>5062</v>
      </c>
      <c r="GR171" s="35" t="s">
        <v>3208</v>
      </c>
      <c r="GS171" s="35" t="s">
        <v>4774</v>
      </c>
      <c r="GT171" s="35" t="s">
        <v>5063</v>
      </c>
    </row>
    <row r="172">
      <c r="A172" s="40"/>
      <c r="B172" s="40">
        <v>45857.18312947916</v>
      </c>
      <c r="C172" s="35" t="s">
        <v>368</v>
      </c>
      <c r="D172" s="35" t="s">
        <v>538</v>
      </c>
      <c r="E172" s="35" t="s">
        <v>538</v>
      </c>
      <c r="H172" s="35" t="s">
        <v>422</v>
      </c>
      <c r="I172" s="35" t="s">
        <v>496</v>
      </c>
      <c r="J172" s="35" t="s">
        <v>374</v>
      </c>
      <c r="K172" s="35" t="s">
        <v>540</v>
      </c>
      <c r="L172" s="35" t="s">
        <v>376</v>
      </c>
      <c r="M172" s="35" t="s">
        <v>426</v>
      </c>
      <c r="N172" s="35" t="s">
        <v>860</v>
      </c>
      <c r="O172" s="35" t="s">
        <v>426</v>
      </c>
      <c r="P172" s="35" t="s">
        <v>1270</v>
      </c>
      <c r="Q172" s="35" t="s">
        <v>498</v>
      </c>
      <c r="R172" s="35" t="s">
        <v>862</v>
      </c>
      <c r="S172" s="35" t="s">
        <v>500</v>
      </c>
      <c r="T172" s="35" t="s">
        <v>384</v>
      </c>
      <c r="U172" s="35" t="s">
        <v>385</v>
      </c>
      <c r="X172" s="35" t="s">
        <v>386</v>
      </c>
      <c r="Y172" s="35" t="s">
        <v>387</v>
      </c>
      <c r="AA172" s="35" t="s">
        <v>389</v>
      </c>
      <c r="AB172" s="35" t="s">
        <v>408</v>
      </c>
      <c r="AC172" s="35" t="s">
        <v>408</v>
      </c>
      <c r="AW172" s="35" t="s">
        <v>1242</v>
      </c>
      <c r="AX172" s="35" t="s">
        <v>675</v>
      </c>
      <c r="AY172" s="35" t="s">
        <v>675</v>
      </c>
      <c r="AZ172" s="35" t="s">
        <v>675</v>
      </c>
      <c r="BA172" s="35" t="s">
        <v>675</v>
      </c>
      <c r="BB172" s="35" t="s">
        <v>675</v>
      </c>
      <c r="BC172" s="35" t="s">
        <v>675</v>
      </c>
      <c r="BD172" s="35" t="s">
        <v>2505</v>
      </c>
      <c r="BE172" s="35" t="s">
        <v>5172</v>
      </c>
      <c r="BF172" s="35" t="s">
        <v>432</v>
      </c>
      <c r="BG172" s="35" t="s">
        <v>1245</v>
      </c>
      <c r="BH172" s="35" t="s">
        <v>394</v>
      </c>
      <c r="BJ172" s="35" t="s">
        <v>976</v>
      </c>
      <c r="BL172" s="35" t="s">
        <v>681</v>
      </c>
      <c r="BM172" s="35" t="s">
        <v>603</v>
      </c>
      <c r="BN172" s="35" t="s">
        <v>1314</v>
      </c>
      <c r="BO172" s="35" t="s">
        <v>398</v>
      </c>
      <c r="BP172" s="35" t="s">
        <v>5173</v>
      </c>
      <c r="BQ172" s="35" t="s">
        <v>408</v>
      </c>
      <c r="BR172" s="35" t="s">
        <v>604</v>
      </c>
      <c r="BS172" s="35" t="s">
        <v>5174</v>
      </c>
      <c r="BT172" s="35" t="s">
        <v>403</v>
      </c>
      <c r="BU172" s="35" t="s">
        <v>5175</v>
      </c>
      <c r="BV172" s="35" t="s">
        <v>405</v>
      </c>
      <c r="BX172" s="35" t="s">
        <v>406</v>
      </c>
      <c r="BY172" s="35" t="s">
        <v>2503</v>
      </c>
      <c r="BZ172" s="35" t="s">
        <v>408</v>
      </c>
      <c r="CB172" s="35" t="s">
        <v>5176</v>
      </c>
      <c r="CC172" s="35" t="s">
        <v>5177</v>
      </c>
      <c r="CE172" s="35" t="s">
        <v>1257</v>
      </c>
      <c r="CF172" s="35" t="s">
        <v>408</v>
      </c>
      <c r="CG172" s="35" t="s">
        <v>2233</v>
      </c>
      <c r="CI172" s="35" t="s">
        <v>1259</v>
      </c>
      <c r="CJ172" s="35" t="s">
        <v>410</v>
      </c>
      <c r="CK172" s="35" t="s">
        <v>5178</v>
      </c>
      <c r="CL172" s="35" t="s">
        <v>5179</v>
      </c>
      <c r="EU172" s="35" t="s">
        <v>526</v>
      </c>
      <c r="EV172" s="35" t="s">
        <v>579</v>
      </c>
      <c r="EW172" s="35" t="s">
        <v>580</v>
      </c>
      <c r="EY172" s="35" t="s">
        <v>5180</v>
      </c>
      <c r="EZ172" s="35" t="s">
        <v>5180</v>
      </c>
      <c r="FA172" s="35" t="s">
        <v>413</v>
      </c>
      <c r="FB172" s="35" t="s">
        <v>415</v>
      </c>
      <c r="FC172" s="35" t="s">
        <v>413</v>
      </c>
      <c r="FD172" s="35" t="s">
        <v>413</v>
      </c>
      <c r="FE172" s="35" t="s">
        <v>413</v>
      </c>
      <c r="FF172" s="35" t="s">
        <v>415</v>
      </c>
      <c r="FG172" s="35" t="s">
        <v>413</v>
      </c>
      <c r="FH172" s="35" t="s">
        <v>413</v>
      </c>
      <c r="FI172" s="35" t="s">
        <v>413</v>
      </c>
      <c r="FJ172" s="35" t="s">
        <v>413</v>
      </c>
      <c r="FK172" s="35" t="s">
        <v>413</v>
      </c>
      <c r="FL172" s="35" t="s">
        <v>413</v>
      </c>
      <c r="FM172" s="35" t="s">
        <v>413</v>
      </c>
      <c r="FN172" s="35" t="s">
        <v>413</v>
      </c>
      <c r="FO172" s="35" t="s">
        <v>413</v>
      </c>
      <c r="FP172" s="35" t="s">
        <v>485</v>
      </c>
      <c r="FQ172" s="35" t="s">
        <v>418</v>
      </c>
      <c r="FR172" s="35" t="s">
        <v>531</v>
      </c>
      <c r="FT172" s="35" t="s">
        <v>420</v>
      </c>
      <c r="FU172" s="35" t="s">
        <v>488</v>
      </c>
      <c r="FV172" s="35" t="s">
        <v>1235</v>
      </c>
      <c r="FW172" s="35" t="s">
        <v>490</v>
      </c>
      <c r="FX172" s="35" t="s">
        <v>491</v>
      </c>
      <c r="FY172" s="35" t="s">
        <v>5181</v>
      </c>
      <c r="FZ172" s="35" t="s">
        <v>535</v>
      </c>
      <c r="GA172" s="35" t="s">
        <v>5182</v>
      </c>
      <c r="GC172" s="35" t="s">
        <v>408</v>
      </c>
      <c r="GK172" s="35" t="s">
        <v>755</v>
      </c>
      <c r="GL172" s="35" t="s">
        <v>755</v>
      </c>
      <c r="GM172" s="35" t="s">
        <v>817</v>
      </c>
      <c r="GO172" s="35" t="s">
        <v>538</v>
      </c>
      <c r="GP172" s="35" t="s">
        <v>538</v>
      </c>
      <c r="GR172" s="35" t="s">
        <v>5656</v>
      </c>
      <c r="GS172" s="35" t="s">
        <v>4774</v>
      </c>
      <c r="GT172" s="35" t="s">
        <v>408</v>
      </c>
    </row>
    <row r="173">
      <c r="A173" s="35" t="s">
        <v>10887</v>
      </c>
      <c r="B173" s="40">
        <v>45861.16600383102</v>
      </c>
      <c r="C173" s="35" t="s">
        <v>368</v>
      </c>
      <c r="D173" s="35" t="s">
        <v>5204</v>
      </c>
      <c r="E173" s="35" t="s">
        <v>5204</v>
      </c>
      <c r="H173" s="35" t="s">
        <v>422</v>
      </c>
      <c r="I173" s="35" t="s">
        <v>539</v>
      </c>
      <c r="J173" s="35" t="s">
        <v>424</v>
      </c>
      <c r="K173" s="35" t="s">
        <v>590</v>
      </c>
      <c r="L173" s="35" t="s">
        <v>1784</v>
      </c>
      <c r="M173" s="35" t="s">
        <v>1526</v>
      </c>
      <c r="N173" s="35" t="s">
        <v>378</v>
      </c>
      <c r="O173" s="35" t="s">
        <v>426</v>
      </c>
      <c r="P173" s="35" t="s">
        <v>1385</v>
      </c>
      <c r="Q173" s="35" t="s">
        <v>381</v>
      </c>
      <c r="R173" s="35" t="s">
        <v>759</v>
      </c>
      <c r="S173" s="35" t="s">
        <v>1704</v>
      </c>
      <c r="T173" s="35" t="s">
        <v>384</v>
      </c>
      <c r="U173" s="35" t="s">
        <v>385</v>
      </c>
      <c r="X173" s="35" t="s">
        <v>386</v>
      </c>
      <c r="Y173" s="35" t="s">
        <v>387</v>
      </c>
      <c r="Z173" s="35" t="s">
        <v>2115</v>
      </c>
      <c r="AA173" s="35" t="s">
        <v>389</v>
      </c>
      <c r="AW173" s="35" t="s">
        <v>1242</v>
      </c>
      <c r="AX173" s="35" t="s">
        <v>675</v>
      </c>
      <c r="AY173" s="35" t="s">
        <v>675</v>
      </c>
      <c r="AZ173" s="35" t="s">
        <v>675</v>
      </c>
      <c r="BA173" s="35" t="s">
        <v>675</v>
      </c>
      <c r="BB173" s="35" t="s">
        <v>675</v>
      </c>
      <c r="BC173" s="35" t="s">
        <v>675</v>
      </c>
      <c r="BD173" s="35" t="s">
        <v>2500</v>
      </c>
      <c r="BE173" s="35" t="s">
        <v>2500</v>
      </c>
      <c r="BF173" s="35" t="s">
        <v>2259</v>
      </c>
      <c r="BG173" s="35" t="s">
        <v>1047</v>
      </c>
      <c r="BH173" s="35" t="s">
        <v>394</v>
      </c>
      <c r="BI173" s="35" t="s">
        <v>2927</v>
      </c>
      <c r="BJ173" s="35" t="s">
        <v>976</v>
      </c>
      <c r="BK173" s="35" t="s">
        <v>5205</v>
      </c>
      <c r="BL173" s="35" t="s">
        <v>602</v>
      </c>
      <c r="BM173" s="35" t="s">
        <v>603</v>
      </c>
      <c r="BN173" s="35" t="s">
        <v>1314</v>
      </c>
      <c r="BO173" s="35" t="s">
        <v>398</v>
      </c>
      <c r="BP173" s="35" t="s">
        <v>5206</v>
      </c>
      <c r="BQ173" s="35" t="s">
        <v>552</v>
      </c>
      <c r="BR173" s="35" t="s">
        <v>401</v>
      </c>
      <c r="BS173" s="35" t="s">
        <v>5207</v>
      </c>
      <c r="BT173" s="35" t="s">
        <v>4071</v>
      </c>
      <c r="BU173" s="35" t="s">
        <v>4845</v>
      </c>
      <c r="BV173" s="35" t="s">
        <v>405</v>
      </c>
      <c r="BX173" s="35" t="s">
        <v>406</v>
      </c>
      <c r="BY173" s="35" t="s">
        <v>1867</v>
      </c>
      <c r="BZ173" s="35" t="s">
        <v>408</v>
      </c>
      <c r="CB173" s="35" t="s">
        <v>5208</v>
      </c>
      <c r="CC173" s="35" t="s">
        <v>5209</v>
      </c>
      <c r="CD173" s="35" t="s">
        <v>5210</v>
      </c>
      <c r="CE173" s="35" t="s">
        <v>1931</v>
      </c>
      <c r="CF173" s="35" t="s">
        <v>5211</v>
      </c>
      <c r="CG173" s="35" t="s">
        <v>1697</v>
      </c>
      <c r="CI173" s="35" t="s">
        <v>1698</v>
      </c>
      <c r="CJ173" s="35" t="s">
        <v>410</v>
      </c>
      <c r="CK173" s="35" t="s">
        <v>2506</v>
      </c>
      <c r="CL173" s="35" t="s">
        <v>5212</v>
      </c>
      <c r="EU173" s="35" t="s">
        <v>578</v>
      </c>
      <c r="EV173" s="35" t="s">
        <v>579</v>
      </c>
      <c r="EW173" s="35" t="s">
        <v>663</v>
      </c>
      <c r="EY173" s="35" t="s">
        <v>5213</v>
      </c>
      <c r="EZ173" s="35" t="s">
        <v>5214</v>
      </c>
      <c r="FA173" s="35" t="s">
        <v>413</v>
      </c>
      <c r="FB173" s="35" t="s">
        <v>413</v>
      </c>
      <c r="FC173" s="35" t="s">
        <v>413</v>
      </c>
      <c r="FD173" s="35" t="s">
        <v>413</v>
      </c>
      <c r="FE173" s="35" t="s">
        <v>413</v>
      </c>
      <c r="FF173" s="35" t="s">
        <v>415</v>
      </c>
      <c r="FG173" s="35" t="s">
        <v>413</v>
      </c>
      <c r="FH173" s="35" t="s">
        <v>413</v>
      </c>
      <c r="FI173" s="35" t="s">
        <v>413</v>
      </c>
      <c r="FJ173" s="35" t="s">
        <v>413</v>
      </c>
      <c r="FK173" s="35" t="s">
        <v>413</v>
      </c>
      <c r="FL173" s="35" t="s">
        <v>413</v>
      </c>
      <c r="FM173" s="35" t="s">
        <v>413</v>
      </c>
      <c r="FN173" s="35" t="s">
        <v>413</v>
      </c>
      <c r="FO173" s="35" t="s">
        <v>413</v>
      </c>
      <c r="FP173" s="35" t="s">
        <v>417</v>
      </c>
      <c r="FQ173" s="35" t="s">
        <v>418</v>
      </c>
      <c r="FR173" s="35" t="s">
        <v>1039</v>
      </c>
      <c r="FS173" s="35" t="s">
        <v>5215</v>
      </c>
      <c r="FT173" s="35" t="s">
        <v>420</v>
      </c>
      <c r="FU173" s="35" t="s">
        <v>1462</v>
      </c>
      <c r="FV173" s="35" t="s">
        <v>1235</v>
      </c>
      <c r="FW173" s="35" t="s">
        <v>490</v>
      </c>
      <c r="FX173" s="35" t="s">
        <v>491</v>
      </c>
      <c r="FY173" s="35" t="s">
        <v>5216</v>
      </c>
      <c r="FZ173" s="35" t="s">
        <v>535</v>
      </c>
      <c r="GA173" s="35" t="s">
        <v>5217</v>
      </c>
      <c r="GC173" s="35" t="s">
        <v>455</v>
      </c>
      <c r="GD173" s="35" t="s">
        <v>10888</v>
      </c>
      <c r="GE173" s="42" t="s">
        <v>10889</v>
      </c>
      <c r="GF173" s="35" t="s">
        <v>753</v>
      </c>
      <c r="GG173" s="35" t="s">
        <v>5218</v>
      </c>
      <c r="GK173" s="35" t="s">
        <v>755</v>
      </c>
      <c r="GL173" s="35" t="s">
        <v>755</v>
      </c>
      <c r="GM173" s="35" t="s">
        <v>817</v>
      </c>
      <c r="GO173" s="35" t="s">
        <v>5204</v>
      </c>
      <c r="GP173" s="35" t="s">
        <v>5204</v>
      </c>
      <c r="GR173" s="42" t="s">
        <v>5219</v>
      </c>
      <c r="GS173" s="35" t="s">
        <v>5170</v>
      </c>
      <c r="GT173" s="35" t="s">
        <v>5220</v>
      </c>
    </row>
    <row r="174">
      <c r="A174" s="35" t="s">
        <v>10890</v>
      </c>
      <c r="B174" s="40">
        <v>45864.54673815973</v>
      </c>
      <c r="C174" s="35" t="s">
        <v>368</v>
      </c>
      <c r="D174" s="35" t="s">
        <v>370</v>
      </c>
      <c r="E174" s="35" t="s">
        <v>370</v>
      </c>
      <c r="F174" s="35" t="s">
        <v>5221</v>
      </c>
      <c r="G174" s="35" t="s">
        <v>5221</v>
      </c>
      <c r="H174" s="35" t="s">
        <v>422</v>
      </c>
      <c r="I174" s="35" t="s">
        <v>637</v>
      </c>
      <c r="J174" s="35" t="s">
        <v>638</v>
      </c>
      <c r="K174" s="35" t="s">
        <v>425</v>
      </c>
      <c r="L174" s="35" t="s">
        <v>376</v>
      </c>
      <c r="M174" s="35" t="s">
        <v>793</v>
      </c>
      <c r="N174" s="35" t="s">
        <v>639</v>
      </c>
      <c r="O174" s="35" t="s">
        <v>591</v>
      </c>
      <c r="P174" s="35" t="s">
        <v>4228</v>
      </c>
      <c r="Q174" s="35" t="s">
        <v>498</v>
      </c>
      <c r="R174" s="35" t="s">
        <v>862</v>
      </c>
      <c r="S174" s="35" t="s">
        <v>1197</v>
      </c>
      <c r="T174" s="35" t="s">
        <v>384</v>
      </c>
      <c r="U174" s="35" t="s">
        <v>385</v>
      </c>
      <c r="X174" s="35" t="s">
        <v>3014</v>
      </c>
      <c r="AW174" s="35" t="s">
        <v>1310</v>
      </c>
      <c r="AX174" s="35" t="s">
        <v>675</v>
      </c>
      <c r="AY174" s="41">
        <v>4.0</v>
      </c>
      <c r="AZ174" s="35" t="s">
        <v>675</v>
      </c>
      <c r="BA174" s="35" t="s">
        <v>675</v>
      </c>
      <c r="BB174" s="35" t="s">
        <v>675</v>
      </c>
      <c r="BC174" s="35" t="s">
        <v>675</v>
      </c>
      <c r="BD174" s="35" t="s">
        <v>5222</v>
      </c>
      <c r="BF174" s="35" t="s">
        <v>392</v>
      </c>
      <c r="BG174" s="35" t="s">
        <v>1095</v>
      </c>
      <c r="BH174" s="35" t="s">
        <v>394</v>
      </c>
      <c r="BJ174" s="35" t="s">
        <v>824</v>
      </c>
      <c r="BL174" s="35" t="s">
        <v>511</v>
      </c>
      <c r="BM174" s="35" t="s">
        <v>603</v>
      </c>
      <c r="BN174" s="35" t="s">
        <v>1314</v>
      </c>
      <c r="BO174" s="35" t="s">
        <v>398</v>
      </c>
      <c r="BP174" s="35" t="s">
        <v>5223</v>
      </c>
      <c r="BQ174" s="35" t="s">
        <v>408</v>
      </c>
      <c r="BR174" s="35" t="s">
        <v>442</v>
      </c>
      <c r="BS174" s="35" t="s">
        <v>1761</v>
      </c>
      <c r="BT174" s="35" t="s">
        <v>1741</v>
      </c>
      <c r="BU174" s="35" t="s">
        <v>404</v>
      </c>
      <c r="BV174" s="35" t="s">
        <v>405</v>
      </c>
      <c r="BX174" s="35" t="s">
        <v>406</v>
      </c>
      <c r="BY174" s="35" t="s">
        <v>2503</v>
      </c>
      <c r="BZ174" s="35" t="s">
        <v>408</v>
      </c>
      <c r="CC174" s="35" t="s">
        <v>5224</v>
      </c>
      <c r="CD174" s="35" t="s">
        <v>5225</v>
      </c>
      <c r="CE174" s="35" t="s">
        <v>409</v>
      </c>
      <c r="CF174" s="35" t="s">
        <v>5226</v>
      </c>
      <c r="CG174" s="35" t="s">
        <v>1258</v>
      </c>
      <c r="CI174" s="35" t="s">
        <v>1259</v>
      </c>
      <c r="CJ174" s="35" t="s">
        <v>410</v>
      </c>
      <c r="CK174" s="35" t="s">
        <v>5227</v>
      </c>
      <c r="CL174" s="35" t="s">
        <v>5228</v>
      </c>
      <c r="EU174" s="35" t="s">
        <v>578</v>
      </c>
      <c r="EV174" s="35" t="s">
        <v>887</v>
      </c>
      <c r="EW174" s="35" t="s">
        <v>580</v>
      </c>
      <c r="EY174" s="35" t="s">
        <v>5229</v>
      </c>
      <c r="EZ174" s="35" t="s">
        <v>5229</v>
      </c>
      <c r="FA174" s="35" t="s">
        <v>416</v>
      </c>
      <c r="FB174" s="35" t="s">
        <v>583</v>
      </c>
      <c r="FC174" s="35" t="s">
        <v>414</v>
      </c>
      <c r="FD174" s="35" t="s">
        <v>414</v>
      </c>
      <c r="FE174" s="35" t="s">
        <v>413</v>
      </c>
      <c r="FF174" s="35" t="s">
        <v>414</v>
      </c>
      <c r="FG174" s="35" t="s">
        <v>413</v>
      </c>
      <c r="FH174" s="35" t="s">
        <v>413</v>
      </c>
      <c r="FI174" s="35" t="s">
        <v>583</v>
      </c>
      <c r="FJ174" s="35" t="s">
        <v>414</v>
      </c>
      <c r="FK174" s="35" t="s">
        <v>415</v>
      </c>
      <c r="FL174" s="35" t="s">
        <v>413</v>
      </c>
      <c r="FM174" s="35" t="s">
        <v>413</v>
      </c>
      <c r="FN174" s="35" t="s">
        <v>413</v>
      </c>
      <c r="FO174" s="35" t="s">
        <v>583</v>
      </c>
      <c r="FP174" s="35" t="s">
        <v>485</v>
      </c>
      <c r="FQ174" s="35" t="s">
        <v>418</v>
      </c>
      <c r="FR174" s="35" t="s">
        <v>749</v>
      </c>
      <c r="FT174" s="35" t="s">
        <v>420</v>
      </c>
      <c r="FU174" s="35" t="s">
        <v>488</v>
      </c>
      <c r="FV174" s="35" t="s">
        <v>489</v>
      </c>
      <c r="FW174" s="35" t="s">
        <v>490</v>
      </c>
      <c r="FX174" s="35" t="s">
        <v>491</v>
      </c>
      <c r="FY174" s="35" t="s">
        <v>5230</v>
      </c>
      <c r="FZ174" s="35" t="s">
        <v>535</v>
      </c>
      <c r="GC174" s="35" t="s">
        <v>408</v>
      </c>
      <c r="GL174" s="35" t="s">
        <v>920</v>
      </c>
      <c r="GM174" s="35" t="s">
        <v>817</v>
      </c>
      <c r="GR174" s="35" t="s">
        <v>3273</v>
      </c>
      <c r="GS174" s="35" t="s">
        <v>4774</v>
      </c>
      <c r="GW174" s="35" t="s">
        <v>5231</v>
      </c>
      <c r="GX174" s="35" t="s">
        <v>5232</v>
      </c>
      <c r="GY174" s="35" t="s">
        <v>484</v>
      </c>
      <c r="GZ174" s="35" t="s">
        <v>5233</v>
      </c>
      <c r="HA174" s="35" t="s">
        <v>5234</v>
      </c>
      <c r="HB174" s="35" t="s">
        <v>484</v>
      </c>
      <c r="HC174" s="35" t="s">
        <v>5235</v>
      </c>
      <c r="HP174" s="35" t="s">
        <v>5236</v>
      </c>
      <c r="HQ174" s="35" t="s">
        <v>5237</v>
      </c>
      <c r="HR174" s="35" t="s">
        <v>5238</v>
      </c>
      <c r="HS174" s="35" t="s">
        <v>5239</v>
      </c>
    </row>
    <row r="175">
      <c r="A175" s="35" t="s">
        <v>10891</v>
      </c>
      <c r="B175" s="40">
        <v>45864.76644127315</v>
      </c>
      <c r="C175" s="35" t="s">
        <v>368</v>
      </c>
      <c r="D175" s="35" t="s">
        <v>370</v>
      </c>
      <c r="E175" s="35" t="s">
        <v>370</v>
      </c>
      <c r="F175" s="35" t="s">
        <v>1421</v>
      </c>
      <c r="G175" s="35" t="s">
        <v>1421</v>
      </c>
      <c r="H175" s="35" t="s">
        <v>422</v>
      </c>
      <c r="I175" s="35" t="s">
        <v>496</v>
      </c>
      <c r="J175" s="35" t="s">
        <v>424</v>
      </c>
      <c r="K175" s="35" t="s">
        <v>375</v>
      </c>
      <c r="L175" s="35" t="s">
        <v>376</v>
      </c>
      <c r="M175" s="35" t="s">
        <v>377</v>
      </c>
      <c r="N175" s="35" t="s">
        <v>2539</v>
      </c>
      <c r="O175" s="35" t="s">
        <v>377</v>
      </c>
      <c r="P175" s="35" t="s">
        <v>380</v>
      </c>
      <c r="Q175" s="35" t="s">
        <v>381</v>
      </c>
      <c r="R175" s="35" t="s">
        <v>499</v>
      </c>
      <c r="S175" s="35" t="s">
        <v>949</v>
      </c>
      <c r="T175" s="35" t="s">
        <v>384</v>
      </c>
      <c r="U175" s="35" t="s">
        <v>385</v>
      </c>
      <c r="X175" s="35" t="s">
        <v>386</v>
      </c>
      <c r="Y175" s="35" t="s">
        <v>387</v>
      </c>
      <c r="Z175" s="35" t="s">
        <v>388</v>
      </c>
      <c r="AA175" s="35" t="s">
        <v>543</v>
      </c>
      <c r="AB175" s="35" t="s">
        <v>5240</v>
      </c>
      <c r="AC175" s="35" t="s">
        <v>5241</v>
      </c>
      <c r="AW175" s="35" t="s">
        <v>1242</v>
      </c>
      <c r="AX175" s="35" t="s">
        <v>675</v>
      </c>
      <c r="AY175" s="35" t="s">
        <v>675</v>
      </c>
      <c r="AZ175" s="35" t="s">
        <v>675</v>
      </c>
      <c r="BA175" s="35" t="s">
        <v>675</v>
      </c>
      <c r="BB175" s="35" t="s">
        <v>675</v>
      </c>
      <c r="BC175" s="35" t="s">
        <v>675</v>
      </c>
      <c r="BF175" s="35" t="s">
        <v>432</v>
      </c>
      <c r="BG175" s="35" t="s">
        <v>1047</v>
      </c>
      <c r="BH175" s="35" t="s">
        <v>434</v>
      </c>
      <c r="BI175" s="35" t="s">
        <v>5242</v>
      </c>
      <c r="BJ175" s="35" t="s">
        <v>976</v>
      </c>
      <c r="BL175" s="35" t="s">
        <v>681</v>
      </c>
      <c r="BM175" s="35" t="s">
        <v>904</v>
      </c>
      <c r="BN175" s="35" t="s">
        <v>1247</v>
      </c>
      <c r="BO175" s="35" t="s">
        <v>398</v>
      </c>
      <c r="BP175" s="35" t="s">
        <v>5243</v>
      </c>
      <c r="BQ175" s="35" t="s">
        <v>5244</v>
      </c>
      <c r="BR175" s="35" t="s">
        <v>604</v>
      </c>
      <c r="BS175" s="35" t="s">
        <v>5245</v>
      </c>
      <c r="BT175" s="35" t="s">
        <v>1671</v>
      </c>
      <c r="BU175" s="35" t="s">
        <v>1742</v>
      </c>
      <c r="BV175" s="35" t="s">
        <v>405</v>
      </c>
      <c r="BX175" s="35" t="s">
        <v>988</v>
      </c>
      <c r="BZ175" s="35" t="s">
        <v>455</v>
      </c>
      <c r="CA175" s="35" t="s">
        <v>5246</v>
      </c>
      <c r="CB175" s="35" t="s">
        <v>5247</v>
      </c>
      <c r="CC175" s="35" t="s">
        <v>5248</v>
      </c>
      <c r="CD175" s="35" t="s">
        <v>5249</v>
      </c>
      <c r="CE175" s="35" t="s">
        <v>1257</v>
      </c>
      <c r="CG175" s="35" t="s">
        <v>1722</v>
      </c>
      <c r="CJ175" s="35" t="s">
        <v>410</v>
      </c>
      <c r="CK175" s="35" t="s">
        <v>5250</v>
      </c>
      <c r="CL175" s="35" t="s">
        <v>5251</v>
      </c>
      <c r="EU175" s="35" t="s">
        <v>526</v>
      </c>
      <c r="EV175" s="35" t="s">
        <v>479</v>
      </c>
      <c r="EW175" s="35" t="s">
        <v>480</v>
      </c>
      <c r="EX175" s="35" t="s">
        <v>5252</v>
      </c>
      <c r="EY175" s="35" t="s">
        <v>5253</v>
      </c>
      <c r="EZ175" s="35" t="s">
        <v>5254</v>
      </c>
      <c r="FA175" s="35" t="s">
        <v>413</v>
      </c>
      <c r="FB175" s="35" t="s">
        <v>416</v>
      </c>
      <c r="FC175" s="35" t="s">
        <v>413</v>
      </c>
      <c r="FD175" s="35" t="s">
        <v>413</v>
      </c>
      <c r="FE175" s="35" t="s">
        <v>413</v>
      </c>
      <c r="FF175" s="35" t="s">
        <v>413</v>
      </c>
      <c r="FG175" s="35" t="s">
        <v>413</v>
      </c>
      <c r="FH175" s="35" t="s">
        <v>415</v>
      </c>
      <c r="FI175" s="35" t="s">
        <v>415</v>
      </c>
      <c r="FJ175" s="35" t="s">
        <v>583</v>
      </c>
      <c r="FK175" s="35" t="s">
        <v>416</v>
      </c>
      <c r="FL175" s="35" t="s">
        <v>415</v>
      </c>
      <c r="FM175" s="35" t="s">
        <v>583</v>
      </c>
      <c r="FN175" s="35" t="s">
        <v>415</v>
      </c>
      <c r="FO175" s="35" t="s">
        <v>583</v>
      </c>
      <c r="FP175" s="35" t="s">
        <v>417</v>
      </c>
      <c r="FQ175" s="35" t="s">
        <v>418</v>
      </c>
      <c r="FR175" s="35" t="s">
        <v>749</v>
      </c>
      <c r="FS175" s="35" t="s">
        <v>5255</v>
      </c>
      <c r="FT175" s="35" t="s">
        <v>420</v>
      </c>
      <c r="FU175" s="35" t="s">
        <v>1462</v>
      </c>
      <c r="FV175" s="35" t="s">
        <v>489</v>
      </c>
      <c r="FW175" s="35" t="s">
        <v>490</v>
      </c>
      <c r="FX175" s="35" t="s">
        <v>491</v>
      </c>
      <c r="FY175" s="35" t="s">
        <v>5256</v>
      </c>
      <c r="FZ175" s="35" t="s">
        <v>535</v>
      </c>
      <c r="GA175" s="35" t="s">
        <v>5257</v>
      </c>
      <c r="GB175" s="35" t="s">
        <v>5258</v>
      </c>
      <c r="GC175" s="35" t="s">
        <v>455</v>
      </c>
      <c r="GE175" s="35" t="s">
        <v>5259</v>
      </c>
      <c r="GF175" s="35" t="s">
        <v>1339</v>
      </c>
      <c r="GK175" s="35" t="s">
        <v>755</v>
      </c>
      <c r="GL175" s="35" t="s">
        <v>755</v>
      </c>
      <c r="GM175" s="35" t="s">
        <v>817</v>
      </c>
      <c r="GR175" s="35" t="s">
        <v>3208</v>
      </c>
      <c r="GS175" s="35" t="s">
        <v>4774</v>
      </c>
      <c r="GW175" s="35" t="s">
        <v>5260</v>
      </c>
      <c r="GX175" s="35" t="s">
        <v>5261</v>
      </c>
      <c r="GY175" s="35" t="s">
        <v>5262</v>
      </c>
      <c r="GZ175" s="35" t="s">
        <v>5233</v>
      </c>
      <c r="HA175" s="35" t="s">
        <v>484</v>
      </c>
      <c r="HB175" s="35" t="s">
        <v>484</v>
      </c>
      <c r="HC175" s="35" t="s">
        <v>5263</v>
      </c>
      <c r="HP175" s="35" t="s">
        <v>5236</v>
      </c>
      <c r="HQ175" s="35" t="s">
        <v>5264</v>
      </c>
      <c r="HR175" s="35" t="s">
        <v>5238</v>
      </c>
      <c r="HS175" s="35" t="s">
        <v>5265</v>
      </c>
    </row>
    <row r="176">
      <c r="A176" s="35" t="s">
        <v>10892</v>
      </c>
      <c r="B176" s="40">
        <v>45866.706210324075</v>
      </c>
      <c r="C176" s="35" t="s">
        <v>368</v>
      </c>
      <c r="D176" s="35" t="s">
        <v>370</v>
      </c>
      <c r="E176" s="35" t="s">
        <v>370</v>
      </c>
      <c r="F176" s="35" t="s">
        <v>2400</v>
      </c>
      <c r="G176" s="35" t="s">
        <v>1421</v>
      </c>
      <c r="H176" s="35" t="s">
        <v>422</v>
      </c>
      <c r="I176" s="35" t="s">
        <v>496</v>
      </c>
      <c r="J176" s="35" t="s">
        <v>374</v>
      </c>
      <c r="K176" s="35" t="s">
        <v>375</v>
      </c>
      <c r="L176" s="35" t="s">
        <v>376</v>
      </c>
      <c r="M176" s="35" t="s">
        <v>379</v>
      </c>
      <c r="N176" s="35" t="s">
        <v>5350</v>
      </c>
      <c r="O176" s="35" t="s">
        <v>426</v>
      </c>
      <c r="P176" s="35" t="s">
        <v>671</v>
      </c>
      <c r="Q176" s="35" t="s">
        <v>498</v>
      </c>
      <c r="R176" s="35" t="s">
        <v>862</v>
      </c>
      <c r="S176" s="35" t="s">
        <v>427</v>
      </c>
      <c r="T176" s="35" t="s">
        <v>384</v>
      </c>
      <c r="U176" s="35" t="s">
        <v>385</v>
      </c>
      <c r="X176" s="35" t="s">
        <v>3014</v>
      </c>
      <c r="AW176" s="35" t="s">
        <v>597</v>
      </c>
      <c r="AX176" s="41">
        <v>4.0</v>
      </c>
      <c r="AY176" s="35" t="s">
        <v>391</v>
      </c>
      <c r="AZ176" s="41">
        <v>4.0</v>
      </c>
      <c r="BA176" s="41">
        <v>4.0</v>
      </c>
      <c r="BB176" s="41">
        <v>4.0</v>
      </c>
      <c r="BC176" s="41">
        <v>4.0</v>
      </c>
      <c r="BF176" s="35" t="s">
        <v>432</v>
      </c>
      <c r="BG176" s="35" t="s">
        <v>1047</v>
      </c>
      <c r="BH176" s="35" t="s">
        <v>434</v>
      </c>
      <c r="BI176" s="35" t="s">
        <v>5351</v>
      </c>
      <c r="BJ176" s="35" t="s">
        <v>976</v>
      </c>
      <c r="BL176" s="35" t="s">
        <v>511</v>
      </c>
      <c r="BM176" s="35" t="s">
        <v>438</v>
      </c>
      <c r="BN176" s="35" t="s">
        <v>397</v>
      </c>
      <c r="BO176" s="35" t="s">
        <v>398</v>
      </c>
      <c r="BP176" s="35" t="s">
        <v>5352</v>
      </c>
      <c r="BQ176" s="35" t="s">
        <v>5353</v>
      </c>
      <c r="BR176" s="35" t="s">
        <v>604</v>
      </c>
      <c r="BS176" s="35" t="s">
        <v>2662</v>
      </c>
      <c r="BT176" s="35" t="s">
        <v>403</v>
      </c>
      <c r="BU176" s="35" t="s">
        <v>4368</v>
      </c>
      <c r="BV176" s="35" t="s">
        <v>1772</v>
      </c>
      <c r="BW176" s="35" t="s">
        <v>5354</v>
      </c>
      <c r="BX176" s="35" t="s">
        <v>406</v>
      </c>
      <c r="BY176" s="35" t="s">
        <v>2503</v>
      </c>
      <c r="BZ176" s="35" t="s">
        <v>408</v>
      </c>
      <c r="CB176" s="35" t="s">
        <v>5355</v>
      </c>
      <c r="CC176" s="35" t="s">
        <v>5356</v>
      </c>
      <c r="CD176" s="35" t="s">
        <v>5357</v>
      </c>
      <c r="CE176" s="35" t="s">
        <v>409</v>
      </c>
      <c r="CF176" s="35" t="s">
        <v>5358</v>
      </c>
      <c r="CG176" s="35" t="s">
        <v>1258</v>
      </c>
      <c r="CI176" s="35" t="s">
        <v>1698</v>
      </c>
      <c r="CK176" s="35" t="s">
        <v>5359</v>
      </c>
      <c r="CL176" s="35" t="s">
        <v>5360</v>
      </c>
      <c r="EU176" s="35" t="s">
        <v>578</v>
      </c>
      <c r="EV176" s="35" t="s">
        <v>887</v>
      </c>
      <c r="EW176" s="35" t="s">
        <v>527</v>
      </c>
      <c r="FA176" s="35" t="s">
        <v>415</v>
      </c>
      <c r="FB176" s="35" t="s">
        <v>414</v>
      </c>
      <c r="FC176" s="35" t="s">
        <v>413</v>
      </c>
      <c r="FD176" s="35" t="s">
        <v>413</v>
      </c>
      <c r="FE176" s="35" t="s">
        <v>416</v>
      </c>
      <c r="FF176" s="35" t="s">
        <v>415</v>
      </c>
      <c r="FG176" s="35" t="s">
        <v>415</v>
      </c>
      <c r="FH176" s="35" t="s">
        <v>413</v>
      </c>
      <c r="FI176" s="35" t="s">
        <v>415</v>
      </c>
      <c r="FJ176" s="35" t="s">
        <v>414</v>
      </c>
      <c r="FK176" s="35" t="s">
        <v>415</v>
      </c>
      <c r="FL176" s="35" t="s">
        <v>416</v>
      </c>
      <c r="FM176" s="35" t="s">
        <v>415</v>
      </c>
      <c r="FN176" s="35" t="s">
        <v>413</v>
      </c>
      <c r="FO176" s="35" t="s">
        <v>415</v>
      </c>
      <c r="FP176" s="35" t="s">
        <v>850</v>
      </c>
      <c r="FQ176" s="35" t="s">
        <v>418</v>
      </c>
      <c r="FR176" s="35" t="s">
        <v>749</v>
      </c>
      <c r="FT176" s="35" t="s">
        <v>420</v>
      </c>
      <c r="FU176" s="35" t="s">
        <v>1462</v>
      </c>
      <c r="FV176" s="35" t="s">
        <v>489</v>
      </c>
      <c r="FW176" s="35" t="s">
        <v>490</v>
      </c>
      <c r="FX176" s="35" t="s">
        <v>491</v>
      </c>
      <c r="FY176" s="35" t="s">
        <v>5361</v>
      </c>
      <c r="FZ176" s="35" t="s">
        <v>1020</v>
      </c>
      <c r="GC176" s="35" t="s">
        <v>455</v>
      </c>
      <c r="GD176" s="35" t="s">
        <v>10893</v>
      </c>
      <c r="GF176" s="35" t="s">
        <v>753</v>
      </c>
      <c r="GG176" s="35" t="s">
        <v>5362</v>
      </c>
      <c r="GK176" s="35" t="s">
        <v>755</v>
      </c>
      <c r="GL176" s="35" t="s">
        <v>755</v>
      </c>
      <c r="GM176" s="35" t="s">
        <v>817</v>
      </c>
      <c r="GR176" s="35" t="s">
        <v>3208</v>
      </c>
      <c r="GS176" s="35" t="s">
        <v>5039</v>
      </c>
      <c r="GT176" s="35" t="s">
        <v>5363</v>
      </c>
      <c r="GW176" s="35" t="s">
        <v>5231</v>
      </c>
      <c r="GX176" s="35" t="s">
        <v>484</v>
      </c>
      <c r="GY176" s="35" t="s">
        <v>484</v>
      </c>
      <c r="GZ176" s="35" t="s">
        <v>5233</v>
      </c>
      <c r="HA176" s="35" t="s">
        <v>5234</v>
      </c>
      <c r="HB176" s="35" t="s">
        <v>484</v>
      </c>
      <c r="HC176" s="35" t="s">
        <v>5364</v>
      </c>
      <c r="HP176" s="35" t="s">
        <v>5285</v>
      </c>
      <c r="HQ176" s="35" t="s">
        <v>5237</v>
      </c>
      <c r="HR176" s="35" t="s">
        <v>5238</v>
      </c>
      <c r="HS176" s="35" t="s">
        <v>5321</v>
      </c>
    </row>
    <row r="177">
      <c r="A177" s="35" t="s">
        <v>10894</v>
      </c>
      <c r="B177" s="40">
        <v>45867.46554252315</v>
      </c>
      <c r="C177" s="35" t="s">
        <v>368</v>
      </c>
      <c r="D177" s="35" t="s">
        <v>538</v>
      </c>
      <c r="E177" s="35" t="s">
        <v>538</v>
      </c>
      <c r="H177" s="35" t="s">
        <v>422</v>
      </c>
      <c r="I177" s="35" t="s">
        <v>637</v>
      </c>
      <c r="J177" s="35" t="s">
        <v>638</v>
      </c>
      <c r="K177" s="35" t="s">
        <v>718</v>
      </c>
      <c r="L177" s="35" t="s">
        <v>376</v>
      </c>
      <c r="M177" s="35" t="s">
        <v>379</v>
      </c>
      <c r="N177" s="35" t="s">
        <v>2464</v>
      </c>
      <c r="O177" s="35" t="s">
        <v>591</v>
      </c>
      <c r="P177" s="35" t="s">
        <v>2464</v>
      </c>
      <c r="Q177" s="35" t="s">
        <v>381</v>
      </c>
      <c r="R177" s="35" t="s">
        <v>818</v>
      </c>
      <c r="S177" s="35" t="s">
        <v>949</v>
      </c>
      <c r="T177" s="35" t="s">
        <v>384</v>
      </c>
      <c r="U177" s="35" t="s">
        <v>385</v>
      </c>
      <c r="X177" s="35" t="s">
        <v>3231</v>
      </c>
      <c r="AW177" s="35" t="s">
        <v>1242</v>
      </c>
      <c r="AX177" s="35" t="s">
        <v>675</v>
      </c>
      <c r="AY177" s="35" t="s">
        <v>391</v>
      </c>
      <c r="AZ177" s="35" t="s">
        <v>391</v>
      </c>
      <c r="BA177" s="41">
        <v>2.0</v>
      </c>
      <c r="BB177" s="35" t="s">
        <v>391</v>
      </c>
      <c r="BC177" s="41">
        <v>4.0</v>
      </c>
      <c r="BF177" s="35" t="s">
        <v>432</v>
      </c>
      <c r="BG177" s="35" t="s">
        <v>1095</v>
      </c>
      <c r="BH177" s="35" t="s">
        <v>394</v>
      </c>
      <c r="BJ177" s="35" t="s">
        <v>435</v>
      </c>
      <c r="BL177" s="35" t="s">
        <v>395</v>
      </c>
      <c r="BM177" s="35" t="s">
        <v>904</v>
      </c>
      <c r="BN177" s="35" t="s">
        <v>1314</v>
      </c>
      <c r="BO177" s="35" t="s">
        <v>398</v>
      </c>
      <c r="BQ177" s="35" t="s">
        <v>5365</v>
      </c>
      <c r="BR177" s="35" t="s">
        <v>682</v>
      </c>
      <c r="BS177" s="35" t="s">
        <v>4462</v>
      </c>
      <c r="BT177" s="35" t="s">
        <v>403</v>
      </c>
      <c r="BU177" s="35" t="s">
        <v>404</v>
      </c>
      <c r="BV177" s="35" t="s">
        <v>405</v>
      </c>
      <c r="BX177" s="35" t="s">
        <v>406</v>
      </c>
      <c r="BY177" s="35" t="s">
        <v>1867</v>
      </c>
      <c r="BZ177" s="35" t="s">
        <v>408</v>
      </c>
      <c r="CE177" s="35" t="s">
        <v>2248</v>
      </c>
      <c r="CG177" s="35" t="s">
        <v>1258</v>
      </c>
      <c r="CI177" s="35" t="s">
        <v>1259</v>
      </c>
      <c r="CJ177" s="35" t="s">
        <v>5366</v>
      </c>
      <c r="CL177" s="35" t="s">
        <v>5367</v>
      </c>
      <c r="EU177" s="35" t="s">
        <v>526</v>
      </c>
      <c r="EV177" s="35" t="s">
        <v>579</v>
      </c>
      <c r="EW177" s="35" t="s">
        <v>778</v>
      </c>
      <c r="FA177" s="35" t="s">
        <v>413</v>
      </c>
      <c r="FB177" s="35" t="s">
        <v>415</v>
      </c>
      <c r="FC177" s="35" t="s">
        <v>413</v>
      </c>
      <c r="FD177" s="35" t="s">
        <v>413</v>
      </c>
      <c r="FE177" s="35" t="s">
        <v>413</v>
      </c>
      <c r="FF177" s="35" t="s">
        <v>415</v>
      </c>
      <c r="FG177" s="35" t="s">
        <v>413</v>
      </c>
      <c r="FH177" s="35" t="s">
        <v>416</v>
      </c>
      <c r="FI177" s="35" t="s">
        <v>415</v>
      </c>
      <c r="FJ177" s="35" t="s">
        <v>413</v>
      </c>
      <c r="FK177" s="35" t="s">
        <v>413</v>
      </c>
      <c r="FL177" s="35" t="s">
        <v>413</v>
      </c>
      <c r="FM177" s="35" t="s">
        <v>413</v>
      </c>
      <c r="FN177" s="35" t="s">
        <v>413</v>
      </c>
      <c r="FO177" s="35" t="s">
        <v>413</v>
      </c>
      <c r="FP177" s="35" t="s">
        <v>485</v>
      </c>
      <c r="FQ177" s="35" t="s">
        <v>418</v>
      </c>
      <c r="FR177" s="35" t="s">
        <v>531</v>
      </c>
      <c r="FT177" s="35" t="s">
        <v>420</v>
      </c>
      <c r="FU177" s="35" t="s">
        <v>488</v>
      </c>
      <c r="FV177" s="35" t="s">
        <v>1235</v>
      </c>
      <c r="FW177" s="35" t="s">
        <v>490</v>
      </c>
      <c r="FX177" s="35" t="s">
        <v>491</v>
      </c>
      <c r="FZ177" s="35" t="s">
        <v>1337</v>
      </c>
      <c r="GC177" s="35" t="s">
        <v>408</v>
      </c>
      <c r="GK177" s="35" t="s">
        <v>789</v>
      </c>
      <c r="GL177" s="35" t="s">
        <v>857</v>
      </c>
      <c r="GM177" s="35" t="s">
        <v>790</v>
      </c>
      <c r="GO177" s="35" t="s">
        <v>5368</v>
      </c>
      <c r="GP177" s="35" t="s">
        <v>5368</v>
      </c>
      <c r="GQ177" s="35" t="s">
        <v>387</v>
      </c>
      <c r="GR177" s="35" t="s">
        <v>3208</v>
      </c>
      <c r="GS177" s="35" t="s">
        <v>4774</v>
      </c>
      <c r="GW177" s="35" t="s">
        <v>5231</v>
      </c>
      <c r="GX177" s="35" t="s">
        <v>484</v>
      </c>
      <c r="GY177" s="35" t="s">
        <v>484</v>
      </c>
      <c r="GZ177" s="35" t="s">
        <v>5233</v>
      </c>
      <c r="HA177" s="35" t="s">
        <v>484</v>
      </c>
      <c r="HB177" s="35" t="s">
        <v>5369</v>
      </c>
      <c r="HC177" s="35" t="s">
        <v>5370</v>
      </c>
      <c r="HQ177" s="35" t="s">
        <v>5371</v>
      </c>
      <c r="HR177" s="35" t="s">
        <v>5238</v>
      </c>
      <c r="HS177" s="35" t="s">
        <v>5287</v>
      </c>
    </row>
    <row r="178">
      <c r="A178" s="35" t="s">
        <v>10895</v>
      </c>
      <c r="B178" s="40">
        <v>45872.30185957176</v>
      </c>
      <c r="C178" s="35" t="s">
        <v>368</v>
      </c>
      <c r="D178" s="35" t="s">
        <v>1201</v>
      </c>
      <c r="E178" s="35" t="s">
        <v>1201</v>
      </c>
      <c r="H178" s="35" t="s">
        <v>422</v>
      </c>
      <c r="I178" s="35" t="s">
        <v>373</v>
      </c>
      <c r="J178" s="35" t="s">
        <v>374</v>
      </c>
      <c r="K178" s="35" t="s">
        <v>1240</v>
      </c>
      <c r="L178" s="35" t="s">
        <v>376</v>
      </c>
      <c r="M178" s="35" t="s">
        <v>426</v>
      </c>
      <c r="N178" s="35" t="s">
        <v>5427</v>
      </c>
      <c r="O178" s="35" t="s">
        <v>426</v>
      </c>
      <c r="P178" s="35" t="s">
        <v>5427</v>
      </c>
      <c r="Q178" s="35" t="s">
        <v>592</v>
      </c>
      <c r="R178" s="35" t="s">
        <v>499</v>
      </c>
      <c r="S178" s="35" t="s">
        <v>427</v>
      </c>
      <c r="T178" s="35" t="s">
        <v>384</v>
      </c>
      <c r="U178" s="35" t="s">
        <v>385</v>
      </c>
      <c r="X178" s="35" t="s">
        <v>3014</v>
      </c>
      <c r="AW178" s="35" t="s">
        <v>1310</v>
      </c>
      <c r="AX178" s="41">
        <v>4.0</v>
      </c>
      <c r="AY178" s="41">
        <v>4.0</v>
      </c>
      <c r="AZ178" s="35" t="s">
        <v>675</v>
      </c>
      <c r="BA178" s="35" t="s">
        <v>675</v>
      </c>
      <c r="BB178" s="41">
        <v>4.0</v>
      </c>
      <c r="BC178" s="35" t="s">
        <v>675</v>
      </c>
      <c r="BF178" s="35" t="s">
        <v>902</v>
      </c>
      <c r="BG178" s="35" t="s">
        <v>1095</v>
      </c>
      <c r="BH178" s="35" t="s">
        <v>394</v>
      </c>
      <c r="BJ178" s="35" t="s">
        <v>976</v>
      </c>
      <c r="BL178" s="35" t="s">
        <v>681</v>
      </c>
      <c r="BM178" s="35" t="s">
        <v>438</v>
      </c>
      <c r="BN178" s="35" t="s">
        <v>549</v>
      </c>
      <c r="BO178" s="35" t="s">
        <v>398</v>
      </c>
      <c r="BP178" s="35" t="s">
        <v>5428</v>
      </c>
      <c r="BQ178" s="35" t="s">
        <v>5429</v>
      </c>
      <c r="BR178" s="35" t="s">
        <v>604</v>
      </c>
      <c r="BS178" s="35" t="s">
        <v>5430</v>
      </c>
      <c r="BT178" s="35" t="s">
        <v>1671</v>
      </c>
      <c r="BU178" s="35" t="s">
        <v>4368</v>
      </c>
      <c r="BV178" s="35" t="s">
        <v>1693</v>
      </c>
      <c r="BW178" s="35" t="s">
        <v>5431</v>
      </c>
      <c r="BX178" s="35" t="s">
        <v>988</v>
      </c>
      <c r="BZ178" s="35" t="s">
        <v>408</v>
      </c>
      <c r="CC178" s="35" t="s">
        <v>5432</v>
      </c>
      <c r="CD178" s="35" t="s">
        <v>5433</v>
      </c>
      <c r="CE178" s="35" t="s">
        <v>451</v>
      </c>
      <c r="CF178" s="35" t="s">
        <v>5434</v>
      </c>
      <c r="CG178" s="35" t="s">
        <v>1258</v>
      </c>
      <c r="CI178" s="35" t="s">
        <v>1751</v>
      </c>
      <c r="CJ178" s="35" t="s">
        <v>410</v>
      </c>
      <c r="CK178" s="35" t="s">
        <v>5435</v>
      </c>
      <c r="DJ178" s="35" t="s">
        <v>459</v>
      </c>
      <c r="DK178" s="35" t="s">
        <v>562</v>
      </c>
      <c r="DL178" s="35" t="s">
        <v>525</v>
      </c>
      <c r="EV178" s="35" t="s">
        <v>1127</v>
      </c>
      <c r="EW178" s="35" t="s">
        <v>1262</v>
      </c>
      <c r="FA178" s="35" t="s">
        <v>415</v>
      </c>
      <c r="FB178" s="35" t="s">
        <v>583</v>
      </c>
      <c r="FC178" s="35" t="s">
        <v>415</v>
      </c>
      <c r="FD178" s="35" t="s">
        <v>414</v>
      </c>
      <c r="FE178" s="35" t="s">
        <v>415</v>
      </c>
      <c r="FF178" s="35" t="s">
        <v>414</v>
      </c>
      <c r="FG178" s="35" t="s">
        <v>414</v>
      </c>
      <c r="FH178" s="35" t="s">
        <v>416</v>
      </c>
      <c r="FI178" s="35" t="s">
        <v>415</v>
      </c>
      <c r="FJ178" s="35" t="s">
        <v>414</v>
      </c>
      <c r="FK178" s="35" t="s">
        <v>414</v>
      </c>
      <c r="FL178" s="35" t="s">
        <v>414</v>
      </c>
      <c r="FM178" s="35" t="s">
        <v>414</v>
      </c>
      <c r="FN178" s="35" t="s">
        <v>416</v>
      </c>
      <c r="FO178" s="35" t="s">
        <v>414</v>
      </c>
      <c r="FP178" s="35" t="s">
        <v>1537</v>
      </c>
      <c r="FQ178" s="35" t="s">
        <v>486</v>
      </c>
      <c r="FR178" s="35" t="s">
        <v>712</v>
      </c>
      <c r="FT178" s="35" t="s">
        <v>1076</v>
      </c>
      <c r="FU178" s="35" t="s">
        <v>1462</v>
      </c>
      <c r="FV178" s="35" t="s">
        <v>918</v>
      </c>
      <c r="FW178" s="35" t="s">
        <v>490</v>
      </c>
      <c r="FX178" s="35" t="s">
        <v>491</v>
      </c>
      <c r="FZ178" s="35" t="s">
        <v>1020</v>
      </c>
      <c r="GC178" s="35" t="s">
        <v>408</v>
      </c>
      <c r="GK178" s="35" t="s">
        <v>1000</v>
      </c>
      <c r="GL178" s="35" t="s">
        <v>755</v>
      </c>
      <c r="GM178" s="35" t="s">
        <v>946</v>
      </c>
      <c r="GO178" s="35" t="s">
        <v>5436</v>
      </c>
      <c r="GP178" s="35" t="s">
        <v>1201</v>
      </c>
      <c r="GR178" s="35" t="s">
        <v>3208</v>
      </c>
      <c r="GS178" s="35" t="s">
        <v>5039</v>
      </c>
      <c r="GW178" s="35" t="s">
        <v>5231</v>
      </c>
      <c r="GX178" s="35" t="s">
        <v>5232</v>
      </c>
      <c r="GY178" s="35" t="s">
        <v>484</v>
      </c>
      <c r="GZ178" s="35" t="s">
        <v>5233</v>
      </c>
      <c r="HA178" s="35" t="s">
        <v>5234</v>
      </c>
      <c r="HB178" s="35" t="s">
        <v>5437</v>
      </c>
      <c r="HC178" s="35" t="s">
        <v>5438</v>
      </c>
      <c r="HP178" s="35" t="s">
        <v>5383</v>
      </c>
      <c r="HQ178" s="35" t="s">
        <v>5237</v>
      </c>
      <c r="HR178" s="35" t="s">
        <v>5238</v>
      </c>
      <c r="HS178" s="35" t="s">
        <v>5347</v>
      </c>
    </row>
    <row r="179">
      <c r="A179" s="35" t="s">
        <v>10896</v>
      </c>
      <c r="B179" s="40">
        <v>45876.17624883102</v>
      </c>
      <c r="C179" s="35" t="s">
        <v>368</v>
      </c>
      <c r="D179" s="35" t="s">
        <v>538</v>
      </c>
      <c r="E179" s="35" t="s">
        <v>538</v>
      </c>
      <c r="H179" s="35" t="s">
        <v>422</v>
      </c>
      <c r="I179" s="35" t="s">
        <v>496</v>
      </c>
      <c r="J179" s="35" t="s">
        <v>374</v>
      </c>
      <c r="K179" s="35" t="s">
        <v>425</v>
      </c>
      <c r="L179" s="35" t="s">
        <v>376</v>
      </c>
      <c r="M179" s="35" t="s">
        <v>379</v>
      </c>
      <c r="N179" s="35" t="s">
        <v>541</v>
      </c>
      <c r="O179" s="35" t="s">
        <v>379</v>
      </c>
      <c r="P179" s="35" t="s">
        <v>671</v>
      </c>
      <c r="Q179" s="35" t="s">
        <v>498</v>
      </c>
      <c r="R179" s="35" t="s">
        <v>862</v>
      </c>
      <c r="S179" s="35" t="s">
        <v>427</v>
      </c>
      <c r="T179" s="35" t="s">
        <v>384</v>
      </c>
      <c r="U179" s="35" t="s">
        <v>385</v>
      </c>
      <c r="X179" s="35" t="s">
        <v>3231</v>
      </c>
      <c r="AW179" s="35" t="s">
        <v>1242</v>
      </c>
      <c r="AX179" s="41">
        <v>4.0</v>
      </c>
      <c r="AY179" s="41">
        <v>4.0</v>
      </c>
      <c r="AZ179" s="35" t="s">
        <v>391</v>
      </c>
      <c r="BA179" s="41">
        <v>4.0</v>
      </c>
      <c r="BB179" s="35" t="s">
        <v>675</v>
      </c>
      <c r="BC179" s="35" t="s">
        <v>675</v>
      </c>
      <c r="BD179" s="35" t="s">
        <v>5449</v>
      </c>
      <c r="BE179" s="35" t="s">
        <v>5450</v>
      </c>
      <c r="BF179" s="35" t="s">
        <v>902</v>
      </c>
      <c r="BG179" s="35" t="s">
        <v>1095</v>
      </c>
      <c r="BH179" s="35" t="s">
        <v>434</v>
      </c>
      <c r="BI179" s="35" t="s">
        <v>5451</v>
      </c>
      <c r="BJ179" s="35" t="s">
        <v>435</v>
      </c>
      <c r="BK179" s="35" t="s">
        <v>5452</v>
      </c>
      <c r="BL179" s="35" t="s">
        <v>511</v>
      </c>
      <c r="BM179" s="35" t="s">
        <v>904</v>
      </c>
      <c r="BN179" s="35" t="s">
        <v>1247</v>
      </c>
      <c r="BO179" s="35" t="s">
        <v>398</v>
      </c>
      <c r="BP179" s="35" t="s">
        <v>5453</v>
      </c>
      <c r="BQ179" s="35" t="s">
        <v>5454</v>
      </c>
      <c r="BR179" s="35" t="s">
        <v>401</v>
      </c>
      <c r="BS179" s="35" t="s">
        <v>5455</v>
      </c>
      <c r="BT179" s="35" t="s">
        <v>4071</v>
      </c>
      <c r="BU179" s="35" t="s">
        <v>404</v>
      </c>
      <c r="BV179" s="35" t="s">
        <v>405</v>
      </c>
      <c r="BW179" s="35" t="s">
        <v>5456</v>
      </c>
      <c r="BX179" s="35" t="s">
        <v>406</v>
      </c>
      <c r="BY179" s="35" t="s">
        <v>2503</v>
      </c>
      <c r="BZ179" s="35" t="s">
        <v>408</v>
      </c>
      <c r="CB179" s="35" t="s">
        <v>5457</v>
      </c>
      <c r="CC179" s="35" t="s">
        <v>5458</v>
      </c>
      <c r="CD179" s="35" t="s">
        <v>5459</v>
      </c>
      <c r="CE179" s="35" t="s">
        <v>1257</v>
      </c>
      <c r="CG179" s="35" t="s">
        <v>1258</v>
      </c>
      <c r="CI179" s="35" t="s">
        <v>1259</v>
      </c>
      <c r="CJ179" s="35" t="s">
        <v>410</v>
      </c>
      <c r="CK179" s="35" t="s">
        <v>5460</v>
      </c>
      <c r="CL179" s="35" t="s">
        <v>5461</v>
      </c>
      <c r="DJ179" s="35" t="s">
        <v>963</v>
      </c>
      <c r="DK179" s="35" t="s">
        <v>460</v>
      </c>
      <c r="DL179" s="35" t="s">
        <v>525</v>
      </c>
      <c r="EU179" s="35" t="s">
        <v>526</v>
      </c>
      <c r="EV179" s="35" t="s">
        <v>579</v>
      </c>
      <c r="EW179" s="35" t="s">
        <v>527</v>
      </c>
      <c r="EY179" s="35" t="s">
        <v>5462</v>
      </c>
      <c r="EZ179" s="35" t="s">
        <v>5463</v>
      </c>
      <c r="FA179" s="35" t="s">
        <v>415</v>
      </c>
      <c r="FB179" s="35" t="s">
        <v>414</v>
      </c>
      <c r="FC179" s="35" t="s">
        <v>413</v>
      </c>
      <c r="FD179" s="35" t="s">
        <v>583</v>
      </c>
      <c r="FE179" s="35" t="s">
        <v>413</v>
      </c>
      <c r="FF179" s="35" t="s">
        <v>414</v>
      </c>
      <c r="FG179" s="35" t="s">
        <v>414</v>
      </c>
      <c r="FH179" s="35" t="s">
        <v>416</v>
      </c>
      <c r="FI179" s="35" t="s">
        <v>416</v>
      </c>
      <c r="FJ179" s="35" t="s">
        <v>416</v>
      </c>
      <c r="FK179" s="35" t="s">
        <v>416</v>
      </c>
      <c r="FL179" s="35" t="s">
        <v>416</v>
      </c>
      <c r="FM179" s="35" t="s">
        <v>415</v>
      </c>
      <c r="FN179" s="35" t="s">
        <v>413</v>
      </c>
      <c r="FO179" s="35" t="s">
        <v>416</v>
      </c>
      <c r="FP179" s="35" t="s">
        <v>417</v>
      </c>
      <c r="FQ179" s="35" t="s">
        <v>418</v>
      </c>
      <c r="FR179" s="35" t="s">
        <v>1039</v>
      </c>
      <c r="FS179" s="35" t="s">
        <v>5464</v>
      </c>
      <c r="FT179" s="35" t="s">
        <v>420</v>
      </c>
      <c r="FU179" s="35" t="s">
        <v>488</v>
      </c>
      <c r="FV179" s="35" t="s">
        <v>1235</v>
      </c>
      <c r="FW179" s="35" t="s">
        <v>490</v>
      </c>
      <c r="FX179" s="35" t="s">
        <v>491</v>
      </c>
      <c r="FY179" s="35" t="s">
        <v>5465</v>
      </c>
      <c r="FZ179" s="35" t="s">
        <v>535</v>
      </c>
      <c r="GA179" s="35" t="s">
        <v>5466</v>
      </c>
      <c r="GC179" s="35" t="s">
        <v>455</v>
      </c>
      <c r="GD179" s="35" t="s">
        <v>10897</v>
      </c>
      <c r="GE179" s="35" t="s">
        <v>10898</v>
      </c>
      <c r="GF179" s="35" t="s">
        <v>753</v>
      </c>
      <c r="GG179" s="35" t="s">
        <v>5467</v>
      </c>
      <c r="GK179" s="35" t="s">
        <v>788</v>
      </c>
      <c r="GL179" s="35" t="s">
        <v>920</v>
      </c>
      <c r="GM179" s="35" t="s">
        <v>817</v>
      </c>
      <c r="GO179" s="35" t="s">
        <v>2293</v>
      </c>
      <c r="GP179" s="35" t="s">
        <v>2293</v>
      </c>
      <c r="GQ179" s="35" t="s">
        <v>387</v>
      </c>
      <c r="GR179" s="35" t="s">
        <v>3208</v>
      </c>
      <c r="GS179" s="35" t="s">
        <v>4774</v>
      </c>
      <c r="GW179" s="35" t="s">
        <v>5231</v>
      </c>
      <c r="GX179" s="35" t="s">
        <v>5232</v>
      </c>
      <c r="GY179" s="35" t="s">
        <v>5281</v>
      </c>
      <c r="GZ179" s="35" t="s">
        <v>5233</v>
      </c>
      <c r="HA179" s="35" t="s">
        <v>484</v>
      </c>
      <c r="HB179" s="35" t="s">
        <v>484</v>
      </c>
      <c r="HC179" s="35" t="s">
        <v>5468</v>
      </c>
      <c r="HP179" s="35" t="s">
        <v>5236</v>
      </c>
      <c r="HQ179" s="35" t="s">
        <v>5237</v>
      </c>
      <c r="HR179" s="35" t="s">
        <v>5238</v>
      </c>
      <c r="HS179" s="35" t="s">
        <v>5239</v>
      </c>
    </row>
    <row r="180">
      <c r="A180" s="35" t="s">
        <v>10899</v>
      </c>
      <c r="B180" s="40">
        <v>45876.638081446756</v>
      </c>
      <c r="C180" s="35" t="s">
        <v>368</v>
      </c>
      <c r="D180" s="35" t="s">
        <v>5153</v>
      </c>
      <c r="E180" s="35" t="s">
        <v>5153</v>
      </c>
      <c r="H180" s="35" t="s">
        <v>422</v>
      </c>
      <c r="I180" s="35" t="s">
        <v>373</v>
      </c>
      <c r="J180" s="35" t="s">
        <v>374</v>
      </c>
      <c r="K180" s="35" t="s">
        <v>540</v>
      </c>
      <c r="L180" s="35" t="s">
        <v>376</v>
      </c>
      <c r="M180" s="35" t="s">
        <v>793</v>
      </c>
      <c r="N180" s="35" t="s">
        <v>639</v>
      </c>
      <c r="O180" s="35" t="s">
        <v>379</v>
      </c>
      <c r="P180" s="35" t="s">
        <v>497</v>
      </c>
      <c r="Q180" s="35" t="s">
        <v>498</v>
      </c>
      <c r="R180" s="35" t="s">
        <v>862</v>
      </c>
      <c r="S180" s="35" t="s">
        <v>427</v>
      </c>
      <c r="T180" s="35" t="s">
        <v>384</v>
      </c>
      <c r="U180" s="35" t="s">
        <v>385</v>
      </c>
      <c r="X180" s="35" t="s">
        <v>3231</v>
      </c>
      <c r="AW180" s="35" t="s">
        <v>1310</v>
      </c>
      <c r="AX180" s="41">
        <v>4.0</v>
      </c>
      <c r="AY180" s="35" t="s">
        <v>391</v>
      </c>
      <c r="AZ180" s="35" t="s">
        <v>675</v>
      </c>
      <c r="BA180" s="35" t="s">
        <v>675</v>
      </c>
      <c r="BB180" s="35" t="s">
        <v>675</v>
      </c>
      <c r="BC180" s="35" t="s">
        <v>675</v>
      </c>
      <c r="BD180" s="35" t="s">
        <v>5469</v>
      </c>
      <c r="BE180" s="35" t="s">
        <v>5470</v>
      </c>
      <c r="BF180" s="35" t="s">
        <v>902</v>
      </c>
      <c r="BG180" s="35" t="s">
        <v>1095</v>
      </c>
      <c r="BH180" s="35" t="s">
        <v>394</v>
      </c>
      <c r="BJ180" s="35" t="s">
        <v>976</v>
      </c>
      <c r="BL180" s="35" t="s">
        <v>437</v>
      </c>
      <c r="BM180" s="35" t="s">
        <v>603</v>
      </c>
      <c r="BN180" s="35" t="s">
        <v>1247</v>
      </c>
      <c r="BO180" s="35" t="s">
        <v>398</v>
      </c>
      <c r="BP180" s="35" t="s">
        <v>5471</v>
      </c>
      <c r="BQ180" s="35" t="s">
        <v>5472</v>
      </c>
      <c r="BR180" s="35" t="s">
        <v>401</v>
      </c>
      <c r="BS180" s="35" t="s">
        <v>4462</v>
      </c>
      <c r="BT180" s="35" t="s">
        <v>4071</v>
      </c>
      <c r="BU180" s="35" t="s">
        <v>4072</v>
      </c>
      <c r="BV180" s="35" t="s">
        <v>405</v>
      </c>
      <c r="BX180" s="35" t="s">
        <v>406</v>
      </c>
      <c r="BY180" s="35" t="s">
        <v>1867</v>
      </c>
      <c r="BZ180" s="35" t="s">
        <v>408</v>
      </c>
      <c r="CC180" s="35" t="s">
        <v>5473</v>
      </c>
      <c r="CD180" s="35" t="s">
        <v>5474</v>
      </c>
      <c r="CE180" s="35" t="s">
        <v>409</v>
      </c>
      <c r="CF180" s="35" t="s">
        <v>5475</v>
      </c>
      <c r="CG180" s="35" t="s">
        <v>1697</v>
      </c>
      <c r="CI180" s="35" t="s">
        <v>1259</v>
      </c>
      <c r="CJ180" s="35" t="s">
        <v>1220</v>
      </c>
      <c r="CK180" s="35" t="s">
        <v>5476</v>
      </c>
      <c r="CL180" s="35" t="s">
        <v>5477</v>
      </c>
      <c r="DJ180" s="35" t="s">
        <v>963</v>
      </c>
      <c r="DK180" s="35" t="s">
        <v>460</v>
      </c>
      <c r="DL180" s="35" t="s">
        <v>525</v>
      </c>
      <c r="EU180" s="35" t="s">
        <v>526</v>
      </c>
      <c r="EV180" s="35" t="s">
        <v>579</v>
      </c>
      <c r="EW180" s="35" t="s">
        <v>1534</v>
      </c>
      <c r="FA180" s="35" t="s">
        <v>416</v>
      </c>
      <c r="FB180" s="35" t="s">
        <v>415</v>
      </c>
      <c r="FC180" s="35" t="s">
        <v>413</v>
      </c>
      <c r="FD180" s="35" t="s">
        <v>413</v>
      </c>
      <c r="FE180" s="35" t="s">
        <v>413</v>
      </c>
      <c r="FF180" s="35" t="s">
        <v>415</v>
      </c>
      <c r="FG180" s="35" t="s">
        <v>413</v>
      </c>
      <c r="FH180" s="35" t="s">
        <v>413</v>
      </c>
      <c r="FI180" s="35" t="s">
        <v>413</v>
      </c>
      <c r="FJ180" s="35" t="s">
        <v>413</v>
      </c>
      <c r="FK180" s="35" t="s">
        <v>413</v>
      </c>
      <c r="FL180" s="35" t="s">
        <v>413</v>
      </c>
      <c r="FM180" s="35" t="s">
        <v>413</v>
      </c>
      <c r="FN180" s="35" t="s">
        <v>413</v>
      </c>
      <c r="FO180" s="35" t="s">
        <v>413</v>
      </c>
      <c r="FP180" s="35" t="s">
        <v>417</v>
      </c>
      <c r="FQ180" s="35" t="s">
        <v>418</v>
      </c>
      <c r="FT180" s="35" t="s">
        <v>420</v>
      </c>
      <c r="FU180" s="35" t="s">
        <v>488</v>
      </c>
      <c r="FV180" s="35" t="s">
        <v>1235</v>
      </c>
      <c r="FW180" s="35" t="s">
        <v>490</v>
      </c>
      <c r="FX180" s="35" t="s">
        <v>491</v>
      </c>
      <c r="FY180" s="35" t="s">
        <v>5478</v>
      </c>
      <c r="FZ180" s="35" t="s">
        <v>535</v>
      </c>
      <c r="GC180" s="35" t="s">
        <v>455</v>
      </c>
      <c r="GD180" s="35" t="s">
        <v>10900</v>
      </c>
      <c r="GF180" s="35" t="s">
        <v>753</v>
      </c>
      <c r="GK180" s="35" t="s">
        <v>755</v>
      </c>
      <c r="GL180" s="35" t="s">
        <v>755</v>
      </c>
      <c r="GM180" s="35" t="s">
        <v>817</v>
      </c>
      <c r="GO180" s="35" t="s">
        <v>5153</v>
      </c>
      <c r="GP180" s="35" t="s">
        <v>5153</v>
      </c>
      <c r="GQ180" s="35" t="s">
        <v>387</v>
      </c>
      <c r="GR180" s="35" t="s">
        <v>3208</v>
      </c>
      <c r="GS180" s="35" t="s">
        <v>4774</v>
      </c>
      <c r="GW180" s="35" t="s">
        <v>5231</v>
      </c>
      <c r="GX180" s="35" t="s">
        <v>5261</v>
      </c>
      <c r="GY180" s="35" t="s">
        <v>5281</v>
      </c>
      <c r="GZ180" s="35" t="s">
        <v>5233</v>
      </c>
      <c r="HA180" s="35" t="s">
        <v>5234</v>
      </c>
      <c r="HB180" s="35" t="s">
        <v>5369</v>
      </c>
      <c r="HC180" s="35" t="s">
        <v>5370</v>
      </c>
      <c r="HP180" s="35" t="s">
        <v>5301</v>
      </c>
      <c r="HQ180" s="35" t="s">
        <v>5264</v>
      </c>
      <c r="HR180" s="35" t="s">
        <v>5238</v>
      </c>
      <c r="HS180" s="35" t="s">
        <v>5321</v>
      </c>
    </row>
    <row r="181">
      <c r="A181" s="35" t="s">
        <v>10901</v>
      </c>
      <c r="B181" s="40">
        <v>45898.5769005787</v>
      </c>
      <c r="C181" s="35" t="s">
        <v>368</v>
      </c>
      <c r="D181" s="35" t="s">
        <v>370</v>
      </c>
      <c r="E181" s="35" t="s">
        <v>370</v>
      </c>
      <c r="F181" s="35" t="s">
        <v>1421</v>
      </c>
      <c r="G181" s="35" t="s">
        <v>1421</v>
      </c>
      <c r="H181" s="35" t="s">
        <v>422</v>
      </c>
      <c r="I181" s="35" t="s">
        <v>539</v>
      </c>
      <c r="J181" s="35" t="s">
        <v>2578</v>
      </c>
      <c r="K181" s="35" t="s">
        <v>425</v>
      </c>
      <c r="L181" s="35" t="s">
        <v>376</v>
      </c>
      <c r="M181" s="35" t="s">
        <v>591</v>
      </c>
      <c r="N181" s="35" t="s">
        <v>5837</v>
      </c>
      <c r="O181" s="35" t="s">
        <v>793</v>
      </c>
      <c r="P181" s="35" t="s">
        <v>5838</v>
      </c>
      <c r="Q181" s="35" t="s">
        <v>381</v>
      </c>
      <c r="R181" s="35" t="s">
        <v>862</v>
      </c>
      <c r="S181" s="35" t="s">
        <v>500</v>
      </c>
      <c r="T181" s="35" t="s">
        <v>384</v>
      </c>
      <c r="U181" s="35" t="s">
        <v>385</v>
      </c>
      <c r="X181" s="35" t="s">
        <v>3014</v>
      </c>
      <c r="AW181" s="35" t="s">
        <v>1310</v>
      </c>
      <c r="AX181" s="35" t="s">
        <v>675</v>
      </c>
      <c r="AY181" s="35" t="s">
        <v>675</v>
      </c>
      <c r="AZ181" s="35" t="s">
        <v>675</v>
      </c>
      <c r="BA181" s="41">
        <v>4.0</v>
      </c>
      <c r="BB181" s="41">
        <v>4.0</v>
      </c>
      <c r="BC181" s="35" t="s">
        <v>675</v>
      </c>
      <c r="BD181" s="35" t="s">
        <v>5839</v>
      </c>
      <c r="BE181" s="35" t="s">
        <v>5840</v>
      </c>
      <c r="BF181" s="35" t="s">
        <v>3114</v>
      </c>
      <c r="BG181" s="35" t="s">
        <v>1095</v>
      </c>
      <c r="BI181" s="35" t="s">
        <v>5841</v>
      </c>
      <c r="BJ181" s="35" t="s">
        <v>509</v>
      </c>
      <c r="BK181" s="35" t="s">
        <v>5842</v>
      </c>
      <c r="BL181" s="35" t="s">
        <v>602</v>
      </c>
      <c r="BM181" s="35" t="s">
        <v>512</v>
      </c>
      <c r="BN181" s="35" t="s">
        <v>1247</v>
      </c>
      <c r="BO181" s="35" t="s">
        <v>398</v>
      </c>
      <c r="BP181" s="35" t="s">
        <v>5843</v>
      </c>
      <c r="BQ181" s="35" t="s">
        <v>5844</v>
      </c>
      <c r="BR181" s="35" t="s">
        <v>442</v>
      </c>
      <c r="BS181" s="35" t="s">
        <v>5845</v>
      </c>
      <c r="BT181" s="35" t="s">
        <v>1741</v>
      </c>
      <c r="BU181" s="35" t="s">
        <v>4368</v>
      </c>
      <c r="BV181" s="35" t="s">
        <v>405</v>
      </c>
      <c r="BW181" s="35" t="s">
        <v>1211</v>
      </c>
      <c r="BX181" s="35" t="s">
        <v>457</v>
      </c>
      <c r="BZ181" s="35" t="s">
        <v>408</v>
      </c>
      <c r="CB181" s="35" t="s">
        <v>5846</v>
      </c>
      <c r="CC181" s="35" t="s">
        <v>5847</v>
      </c>
      <c r="CD181" s="35" t="s">
        <v>5848</v>
      </c>
      <c r="CE181" s="35" t="s">
        <v>1257</v>
      </c>
      <c r="CF181" s="35" t="s">
        <v>5849</v>
      </c>
      <c r="CG181" s="35" t="s">
        <v>1722</v>
      </c>
      <c r="CH181" s="35" t="s">
        <v>5850</v>
      </c>
      <c r="CI181" s="35" t="s">
        <v>1259</v>
      </c>
      <c r="CJ181" s="35" t="s">
        <v>410</v>
      </c>
      <c r="CK181" s="35" t="s">
        <v>5851</v>
      </c>
      <c r="CL181" s="35" t="s">
        <v>5852</v>
      </c>
      <c r="DJ181" s="35" t="s">
        <v>459</v>
      </c>
      <c r="DK181" s="35" t="s">
        <v>562</v>
      </c>
      <c r="DL181" s="35" t="s">
        <v>525</v>
      </c>
      <c r="EU181" s="35" t="s">
        <v>578</v>
      </c>
      <c r="EV181" s="35" t="s">
        <v>479</v>
      </c>
      <c r="EW181" s="35" t="s">
        <v>480</v>
      </c>
      <c r="EX181" s="35" t="s">
        <v>5853</v>
      </c>
      <c r="EY181" s="35" t="s">
        <v>5854</v>
      </c>
      <c r="EZ181" s="35" t="s">
        <v>5855</v>
      </c>
      <c r="FA181" s="35" t="s">
        <v>414</v>
      </c>
      <c r="FB181" s="35" t="s">
        <v>414</v>
      </c>
      <c r="FC181" s="35" t="s">
        <v>416</v>
      </c>
      <c r="FD181" s="35" t="s">
        <v>414</v>
      </c>
      <c r="FE181" s="35" t="s">
        <v>413</v>
      </c>
      <c r="FF181" s="35" t="s">
        <v>414</v>
      </c>
      <c r="FG181" s="35" t="s">
        <v>415</v>
      </c>
      <c r="FH181" s="35" t="s">
        <v>416</v>
      </c>
      <c r="FI181" s="35" t="s">
        <v>414</v>
      </c>
      <c r="FJ181" s="35" t="s">
        <v>414</v>
      </c>
      <c r="FK181" s="35" t="s">
        <v>414</v>
      </c>
      <c r="FL181" s="35" t="s">
        <v>416</v>
      </c>
      <c r="FM181" s="35" t="s">
        <v>583</v>
      </c>
      <c r="FN181" s="35" t="s">
        <v>416</v>
      </c>
      <c r="FO181" s="35" t="s">
        <v>583</v>
      </c>
      <c r="FP181" s="35" t="s">
        <v>485</v>
      </c>
      <c r="FQ181" s="35" t="s">
        <v>418</v>
      </c>
      <c r="FR181" s="35" t="s">
        <v>419</v>
      </c>
      <c r="FS181" s="35" t="s">
        <v>5856</v>
      </c>
      <c r="FT181" s="35" t="s">
        <v>1076</v>
      </c>
      <c r="FU181" s="35" t="s">
        <v>488</v>
      </c>
      <c r="FV181" s="35" t="s">
        <v>533</v>
      </c>
      <c r="FW181" s="35" t="s">
        <v>490</v>
      </c>
      <c r="FX181" s="35" t="s">
        <v>491</v>
      </c>
      <c r="FY181" s="35" t="s">
        <v>5857</v>
      </c>
      <c r="FZ181" s="35" t="s">
        <v>535</v>
      </c>
      <c r="GA181" s="35" t="s">
        <v>5858</v>
      </c>
      <c r="GB181" s="35" t="s">
        <v>5859</v>
      </c>
      <c r="GC181" s="35" t="s">
        <v>455</v>
      </c>
      <c r="GD181" s="35" t="s">
        <v>5860</v>
      </c>
      <c r="GF181" s="35" t="s">
        <v>786</v>
      </c>
      <c r="GG181" s="35" t="s">
        <v>5861</v>
      </c>
      <c r="GK181" s="35" t="s">
        <v>755</v>
      </c>
      <c r="GL181" s="35" t="s">
        <v>755</v>
      </c>
      <c r="GM181" s="35" t="s">
        <v>946</v>
      </c>
      <c r="GR181" s="35" t="s">
        <v>3306</v>
      </c>
      <c r="GS181" s="35" t="s">
        <v>4936</v>
      </c>
      <c r="GT181" s="35" t="s">
        <v>5862</v>
      </c>
      <c r="GW181" s="35" t="s">
        <v>5231</v>
      </c>
      <c r="GX181" s="35" t="s">
        <v>5232</v>
      </c>
      <c r="GY181" s="35" t="s">
        <v>5281</v>
      </c>
      <c r="GZ181" s="35" t="s">
        <v>5863</v>
      </c>
      <c r="HA181" s="35" t="s">
        <v>5234</v>
      </c>
      <c r="HB181" s="35" t="s">
        <v>5864</v>
      </c>
      <c r="HC181" s="35" t="s">
        <v>5865</v>
      </c>
      <c r="HP181" s="35" t="s">
        <v>5346</v>
      </c>
      <c r="HQ181" s="35" t="s">
        <v>5264</v>
      </c>
      <c r="HR181" s="35" t="s">
        <v>5238</v>
      </c>
      <c r="HS181" s="35" t="s">
        <v>5321</v>
      </c>
    </row>
    <row r="182">
      <c r="A182" s="35" t="s">
        <v>10902</v>
      </c>
      <c r="B182" s="40">
        <v>45898.58556331019</v>
      </c>
      <c r="C182" s="35" t="s">
        <v>368</v>
      </c>
      <c r="D182" s="35" t="s">
        <v>370</v>
      </c>
      <c r="E182" s="35" t="s">
        <v>370</v>
      </c>
      <c r="F182" s="35" t="s">
        <v>1421</v>
      </c>
      <c r="G182" s="35" t="s">
        <v>1421</v>
      </c>
      <c r="H182" s="35" t="s">
        <v>422</v>
      </c>
      <c r="I182" s="35" t="s">
        <v>539</v>
      </c>
      <c r="J182" s="35" t="s">
        <v>2578</v>
      </c>
      <c r="K182" s="35" t="s">
        <v>425</v>
      </c>
      <c r="L182" s="35" t="s">
        <v>376</v>
      </c>
      <c r="M182" s="35" t="s">
        <v>591</v>
      </c>
      <c r="N182" s="35" t="s">
        <v>5837</v>
      </c>
      <c r="O182" s="35" t="s">
        <v>793</v>
      </c>
      <c r="P182" s="35" t="s">
        <v>5838</v>
      </c>
      <c r="Q182" s="35" t="s">
        <v>381</v>
      </c>
      <c r="R182" s="35" t="s">
        <v>862</v>
      </c>
      <c r="S182" s="35" t="s">
        <v>500</v>
      </c>
      <c r="T182" s="35" t="s">
        <v>384</v>
      </c>
      <c r="U182" s="35" t="s">
        <v>385</v>
      </c>
      <c r="X182" s="35" t="s">
        <v>3014</v>
      </c>
      <c r="AW182" s="35" t="s">
        <v>1310</v>
      </c>
      <c r="AX182" s="35" t="s">
        <v>675</v>
      </c>
      <c r="AY182" s="35" t="s">
        <v>675</v>
      </c>
      <c r="AZ182" s="35" t="s">
        <v>675</v>
      </c>
      <c r="BA182" s="41">
        <v>4.0</v>
      </c>
      <c r="BB182" s="41">
        <v>4.0</v>
      </c>
      <c r="BC182" s="35" t="s">
        <v>675</v>
      </c>
      <c r="BD182" s="35" t="s">
        <v>5839</v>
      </c>
      <c r="BE182" s="35" t="s">
        <v>5840</v>
      </c>
      <c r="BF182" s="35" t="s">
        <v>3114</v>
      </c>
      <c r="BG182" s="35" t="s">
        <v>1095</v>
      </c>
      <c r="BI182" s="35" t="s">
        <v>5841</v>
      </c>
      <c r="BJ182" s="35" t="s">
        <v>509</v>
      </c>
      <c r="BK182" s="35" t="s">
        <v>5842</v>
      </c>
      <c r="BL182" s="35" t="s">
        <v>602</v>
      </c>
      <c r="BM182" s="35" t="s">
        <v>512</v>
      </c>
      <c r="BN182" s="35" t="s">
        <v>1247</v>
      </c>
      <c r="BO182" s="35" t="s">
        <v>398</v>
      </c>
      <c r="BP182" s="35" t="s">
        <v>5843</v>
      </c>
      <c r="BQ182" s="35" t="s">
        <v>5844</v>
      </c>
      <c r="BR182" s="35" t="s">
        <v>442</v>
      </c>
      <c r="BS182" s="35" t="s">
        <v>5845</v>
      </c>
      <c r="BT182" s="35" t="s">
        <v>1741</v>
      </c>
      <c r="BU182" s="35" t="s">
        <v>4368</v>
      </c>
      <c r="BV182" s="35" t="s">
        <v>405</v>
      </c>
      <c r="BW182" s="35" t="s">
        <v>1211</v>
      </c>
      <c r="BX182" s="35" t="s">
        <v>457</v>
      </c>
      <c r="BZ182" s="35" t="s">
        <v>408</v>
      </c>
      <c r="CB182" s="35" t="s">
        <v>5846</v>
      </c>
      <c r="CC182" s="35" t="s">
        <v>5847</v>
      </c>
      <c r="CD182" s="35" t="s">
        <v>5848</v>
      </c>
      <c r="CE182" s="35" t="s">
        <v>1257</v>
      </c>
      <c r="CF182" s="35" t="s">
        <v>5849</v>
      </c>
      <c r="CG182" s="35" t="s">
        <v>1722</v>
      </c>
      <c r="CH182" s="35" t="s">
        <v>5850</v>
      </c>
      <c r="CI182" s="35" t="s">
        <v>1259</v>
      </c>
      <c r="CJ182" s="35" t="s">
        <v>410</v>
      </c>
      <c r="CK182" s="35" t="s">
        <v>5851</v>
      </c>
      <c r="CL182" s="35" t="s">
        <v>5852</v>
      </c>
      <c r="DJ182" s="35" t="s">
        <v>459</v>
      </c>
      <c r="DK182" s="35" t="s">
        <v>562</v>
      </c>
      <c r="DL182" s="35" t="s">
        <v>525</v>
      </c>
      <c r="EU182" s="35" t="s">
        <v>578</v>
      </c>
      <c r="EV182" s="35" t="s">
        <v>479</v>
      </c>
      <c r="EW182" s="35" t="s">
        <v>480</v>
      </c>
      <c r="EX182" s="35" t="s">
        <v>5853</v>
      </c>
      <c r="EY182" s="35" t="s">
        <v>5854</v>
      </c>
      <c r="EZ182" s="35" t="s">
        <v>5855</v>
      </c>
      <c r="FA182" s="35" t="s">
        <v>414</v>
      </c>
      <c r="FB182" s="35" t="s">
        <v>414</v>
      </c>
      <c r="FC182" s="35" t="s">
        <v>416</v>
      </c>
      <c r="FD182" s="35" t="s">
        <v>414</v>
      </c>
      <c r="FE182" s="35" t="s">
        <v>413</v>
      </c>
      <c r="FF182" s="35" t="s">
        <v>414</v>
      </c>
      <c r="FG182" s="35" t="s">
        <v>415</v>
      </c>
      <c r="FH182" s="35" t="s">
        <v>416</v>
      </c>
      <c r="FI182" s="35" t="s">
        <v>414</v>
      </c>
      <c r="FJ182" s="35" t="s">
        <v>414</v>
      </c>
      <c r="FK182" s="35" t="s">
        <v>414</v>
      </c>
      <c r="FL182" s="35" t="s">
        <v>416</v>
      </c>
      <c r="FM182" s="35" t="s">
        <v>583</v>
      </c>
      <c r="FN182" s="35" t="s">
        <v>416</v>
      </c>
      <c r="FO182" s="35" t="s">
        <v>583</v>
      </c>
      <c r="FP182" s="35" t="s">
        <v>485</v>
      </c>
      <c r="FQ182" s="35" t="s">
        <v>418</v>
      </c>
      <c r="FR182" s="35" t="s">
        <v>419</v>
      </c>
      <c r="FS182" s="35" t="s">
        <v>5856</v>
      </c>
      <c r="FT182" s="35" t="s">
        <v>1076</v>
      </c>
      <c r="FU182" s="35" t="s">
        <v>488</v>
      </c>
      <c r="FV182" s="35" t="s">
        <v>533</v>
      </c>
      <c r="FW182" s="35" t="s">
        <v>490</v>
      </c>
      <c r="FX182" s="35" t="s">
        <v>491</v>
      </c>
      <c r="FY182" s="35" t="s">
        <v>5857</v>
      </c>
      <c r="FZ182" s="35" t="s">
        <v>535</v>
      </c>
      <c r="GA182" s="35" t="s">
        <v>5858</v>
      </c>
      <c r="GB182" s="35" t="s">
        <v>5859</v>
      </c>
      <c r="GC182" s="35" t="s">
        <v>455</v>
      </c>
      <c r="GD182" s="35" t="s">
        <v>5860</v>
      </c>
      <c r="GF182" s="35" t="s">
        <v>786</v>
      </c>
      <c r="GG182" s="35" t="s">
        <v>5861</v>
      </c>
      <c r="GK182" s="35" t="s">
        <v>755</v>
      </c>
      <c r="GL182" s="35" t="s">
        <v>755</v>
      </c>
      <c r="GM182" s="35" t="s">
        <v>946</v>
      </c>
      <c r="GR182" s="35" t="s">
        <v>3306</v>
      </c>
      <c r="GS182" s="35" t="s">
        <v>4936</v>
      </c>
      <c r="GT182" s="35" t="s">
        <v>5862</v>
      </c>
      <c r="GW182" s="35" t="s">
        <v>5231</v>
      </c>
      <c r="GX182" s="35" t="s">
        <v>5232</v>
      </c>
      <c r="GY182" s="35" t="s">
        <v>5281</v>
      </c>
      <c r="GZ182" s="35" t="s">
        <v>5863</v>
      </c>
      <c r="HA182" s="35" t="s">
        <v>5234</v>
      </c>
      <c r="HB182" s="35" t="s">
        <v>5864</v>
      </c>
      <c r="HC182" s="35" t="s">
        <v>5865</v>
      </c>
      <c r="HP182" s="35" t="s">
        <v>5346</v>
      </c>
      <c r="HQ182" s="35" t="s">
        <v>5264</v>
      </c>
      <c r="HR182" s="35" t="s">
        <v>5238</v>
      </c>
      <c r="HS182" s="35" t="s">
        <v>5321</v>
      </c>
    </row>
    <row r="183">
      <c r="A183" s="35" t="s">
        <v>10903</v>
      </c>
      <c r="B183" s="40">
        <v>45902.88397509259</v>
      </c>
      <c r="C183" s="35" t="s">
        <v>368</v>
      </c>
      <c r="D183" s="35" t="s">
        <v>894</v>
      </c>
      <c r="E183" s="35" t="s">
        <v>894</v>
      </c>
      <c r="H183" s="35" t="s">
        <v>422</v>
      </c>
      <c r="I183" s="35" t="s">
        <v>496</v>
      </c>
      <c r="J183" s="35" t="s">
        <v>2578</v>
      </c>
      <c r="K183" s="35" t="s">
        <v>669</v>
      </c>
      <c r="L183" s="35" t="s">
        <v>376</v>
      </c>
      <c r="M183" s="35" t="s">
        <v>591</v>
      </c>
      <c r="N183" s="35" t="s">
        <v>378</v>
      </c>
      <c r="O183" s="35" t="s">
        <v>591</v>
      </c>
      <c r="P183" s="35" t="s">
        <v>719</v>
      </c>
      <c r="Q183" s="35" t="s">
        <v>1504</v>
      </c>
      <c r="R183" s="35" t="s">
        <v>382</v>
      </c>
      <c r="S183" s="35" t="s">
        <v>427</v>
      </c>
      <c r="T183" s="35" t="s">
        <v>384</v>
      </c>
      <c r="U183" s="35" t="s">
        <v>385</v>
      </c>
      <c r="V183" s="35" t="s">
        <v>1241</v>
      </c>
      <c r="W183" s="35" t="s">
        <v>896</v>
      </c>
      <c r="X183" s="35" t="s">
        <v>3014</v>
      </c>
      <c r="AW183" s="35" t="s">
        <v>1242</v>
      </c>
      <c r="AX183" s="35" t="s">
        <v>675</v>
      </c>
      <c r="AY183" s="41">
        <v>4.0</v>
      </c>
      <c r="AZ183" s="41">
        <v>4.0</v>
      </c>
      <c r="BA183" s="41">
        <v>4.0</v>
      </c>
      <c r="BB183" s="35" t="s">
        <v>675</v>
      </c>
      <c r="BC183" s="35" t="s">
        <v>675</v>
      </c>
      <c r="BD183" s="35" t="s">
        <v>5940</v>
      </c>
      <c r="BE183" s="35" t="s">
        <v>5941</v>
      </c>
      <c r="BF183" s="35" t="s">
        <v>432</v>
      </c>
      <c r="BG183" s="35" t="s">
        <v>1095</v>
      </c>
      <c r="BH183" s="35" t="s">
        <v>394</v>
      </c>
      <c r="BI183" s="35" t="s">
        <v>5942</v>
      </c>
      <c r="BJ183" s="35" t="s">
        <v>435</v>
      </c>
      <c r="BK183" s="35" t="s">
        <v>5943</v>
      </c>
      <c r="BL183" s="35" t="s">
        <v>395</v>
      </c>
      <c r="BM183" s="35" t="s">
        <v>603</v>
      </c>
      <c r="BN183" s="35" t="s">
        <v>1314</v>
      </c>
      <c r="BO183" s="35" t="s">
        <v>398</v>
      </c>
      <c r="BP183" s="35" t="s">
        <v>5944</v>
      </c>
      <c r="BQ183" s="35" t="s">
        <v>5945</v>
      </c>
      <c r="BR183" s="35" t="s">
        <v>442</v>
      </c>
      <c r="BS183" s="35" t="s">
        <v>1250</v>
      </c>
      <c r="BT183" s="35" t="s">
        <v>1251</v>
      </c>
      <c r="BU183" s="35" t="s">
        <v>1742</v>
      </c>
      <c r="BV183" s="35" t="s">
        <v>405</v>
      </c>
      <c r="BX183" s="35" t="s">
        <v>988</v>
      </c>
      <c r="BZ183" s="35" t="s">
        <v>455</v>
      </c>
      <c r="CA183" s="35" t="s">
        <v>5946</v>
      </c>
      <c r="CB183" s="35" t="s">
        <v>5947</v>
      </c>
      <c r="CC183" s="35" t="s">
        <v>5948</v>
      </c>
      <c r="CD183" s="35" t="s">
        <v>5949</v>
      </c>
      <c r="CE183" s="35" t="s">
        <v>409</v>
      </c>
      <c r="CF183" s="35" t="s">
        <v>5950</v>
      </c>
      <c r="CG183" s="35" t="s">
        <v>1258</v>
      </c>
      <c r="CI183" s="35" t="s">
        <v>1259</v>
      </c>
      <c r="CJ183" s="35" t="s">
        <v>410</v>
      </c>
      <c r="CK183" s="35" t="s">
        <v>5951</v>
      </c>
      <c r="CL183" s="35" t="s">
        <v>5952</v>
      </c>
      <c r="DJ183" s="35" t="s">
        <v>459</v>
      </c>
      <c r="DK183" s="35" t="s">
        <v>613</v>
      </c>
      <c r="EU183" s="35" t="s">
        <v>478</v>
      </c>
      <c r="EV183" s="35" t="s">
        <v>887</v>
      </c>
      <c r="EW183" s="35" t="s">
        <v>527</v>
      </c>
      <c r="EX183" s="35" t="s">
        <v>5953</v>
      </c>
      <c r="EY183" s="35" t="s">
        <v>5954</v>
      </c>
      <c r="EZ183" s="35" t="s">
        <v>5955</v>
      </c>
      <c r="FA183" s="35" t="s">
        <v>414</v>
      </c>
      <c r="FB183" s="35" t="s">
        <v>583</v>
      </c>
      <c r="FC183" s="35" t="s">
        <v>415</v>
      </c>
      <c r="FD183" s="35" t="s">
        <v>414</v>
      </c>
      <c r="FE183" s="35" t="s">
        <v>416</v>
      </c>
      <c r="FF183" s="35" t="s">
        <v>583</v>
      </c>
      <c r="FG183" s="35" t="s">
        <v>414</v>
      </c>
      <c r="FH183" s="35" t="s">
        <v>416</v>
      </c>
      <c r="FI183" s="35" t="s">
        <v>415</v>
      </c>
      <c r="FJ183" s="35" t="s">
        <v>414</v>
      </c>
      <c r="FK183" s="35" t="s">
        <v>414</v>
      </c>
      <c r="FL183" s="35" t="s">
        <v>416</v>
      </c>
      <c r="FM183" s="35" t="s">
        <v>416</v>
      </c>
      <c r="FN183" s="35" t="s">
        <v>413</v>
      </c>
      <c r="FO183" s="35" t="s">
        <v>583</v>
      </c>
      <c r="FP183" s="35" t="s">
        <v>417</v>
      </c>
      <c r="FQ183" s="35" t="s">
        <v>418</v>
      </c>
      <c r="FR183" s="35" t="s">
        <v>749</v>
      </c>
      <c r="FS183" s="35" t="s">
        <v>5956</v>
      </c>
      <c r="FT183" s="35" t="s">
        <v>420</v>
      </c>
      <c r="FU183" s="35" t="s">
        <v>488</v>
      </c>
      <c r="FV183" s="35" t="s">
        <v>918</v>
      </c>
      <c r="FW183" s="35" t="s">
        <v>490</v>
      </c>
      <c r="FX183" s="35" t="s">
        <v>491</v>
      </c>
      <c r="FY183" s="35" t="s">
        <v>5957</v>
      </c>
      <c r="FZ183" s="35" t="s">
        <v>1020</v>
      </c>
      <c r="GA183" s="35" t="s">
        <v>5958</v>
      </c>
      <c r="GB183" s="35" t="s">
        <v>5959</v>
      </c>
      <c r="GC183" s="35" t="s">
        <v>408</v>
      </c>
      <c r="GK183" s="35" t="s">
        <v>789</v>
      </c>
      <c r="GL183" s="35" t="s">
        <v>789</v>
      </c>
      <c r="GM183" s="35" t="s">
        <v>790</v>
      </c>
      <c r="GR183" s="35" t="s">
        <v>3208</v>
      </c>
      <c r="GS183" s="35" t="s">
        <v>4774</v>
      </c>
      <c r="GW183" s="35" t="s">
        <v>5231</v>
      </c>
      <c r="GX183" s="35" t="s">
        <v>5232</v>
      </c>
      <c r="GY183" s="35" t="s">
        <v>5262</v>
      </c>
      <c r="GZ183" s="35" t="s">
        <v>5233</v>
      </c>
      <c r="HA183" s="35" t="s">
        <v>484</v>
      </c>
      <c r="HB183" s="35" t="s">
        <v>5960</v>
      </c>
      <c r="HC183" s="35" t="s">
        <v>5961</v>
      </c>
      <c r="HP183" s="35" t="s">
        <v>5236</v>
      </c>
      <c r="HQ183" s="35" t="s">
        <v>5264</v>
      </c>
      <c r="HR183" s="35" t="s">
        <v>5286</v>
      </c>
      <c r="HS183" s="35" t="s">
        <v>5321</v>
      </c>
    </row>
    <row r="184">
      <c r="A184" s="35" t="s">
        <v>10904</v>
      </c>
      <c r="B184" s="40">
        <v>45902.93752576389</v>
      </c>
      <c r="C184" s="35" t="s">
        <v>368</v>
      </c>
      <c r="D184" s="35" t="s">
        <v>1984</v>
      </c>
      <c r="E184" s="35" t="s">
        <v>1984</v>
      </c>
      <c r="H184" s="35" t="s">
        <v>1093</v>
      </c>
      <c r="I184" s="35" t="s">
        <v>637</v>
      </c>
      <c r="J184" s="35" t="s">
        <v>638</v>
      </c>
      <c r="K184" s="35" t="s">
        <v>718</v>
      </c>
      <c r="L184" s="35" t="s">
        <v>376</v>
      </c>
      <c r="M184" s="35" t="s">
        <v>377</v>
      </c>
      <c r="N184" s="35" t="s">
        <v>378</v>
      </c>
      <c r="O184" s="35" t="s">
        <v>377</v>
      </c>
      <c r="P184" s="35" t="s">
        <v>719</v>
      </c>
      <c r="Q184" s="35" t="s">
        <v>381</v>
      </c>
      <c r="R184" s="35" t="s">
        <v>499</v>
      </c>
      <c r="S184" s="35" t="s">
        <v>949</v>
      </c>
      <c r="T184" s="35" t="s">
        <v>384</v>
      </c>
      <c r="U184" s="35" t="s">
        <v>385</v>
      </c>
      <c r="X184" s="35" t="s">
        <v>386</v>
      </c>
      <c r="Y184" s="35" t="s">
        <v>5993</v>
      </c>
      <c r="AW184" s="35" t="s">
        <v>597</v>
      </c>
      <c r="AX184" s="35" t="s">
        <v>391</v>
      </c>
      <c r="AY184" s="41">
        <v>4.0</v>
      </c>
      <c r="AZ184" s="35" t="s">
        <v>675</v>
      </c>
      <c r="BA184" s="35" t="s">
        <v>391</v>
      </c>
      <c r="BB184" s="35" t="s">
        <v>391</v>
      </c>
      <c r="BC184" s="41">
        <v>4.0</v>
      </c>
      <c r="BD184" s="35" t="s">
        <v>5994</v>
      </c>
      <c r="BE184" s="35" t="s">
        <v>5995</v>
      </c>
      <c r="BF184" s="35" t="s">
        <v>902</v>
      </c>
      <c r="BG184" s="35" t="s">
        <v>393</v>
      </c>
      <c r="BH184" s="35" t="s">
        <v>394</v>
      </c>
      <c r="BI184" s="35" t="s">
        <v>5996</v>
      </c>
      <c r="BJ184" s="35" t="s">
        <v>824</v>
      </c>
      <c r="BL184" s="35" t="s">
        <v>437</v>
      </c>
      <c r="BM184" s="35" t="s">
        <v>438</v>
      </c>
      <c r="BN184" s="35" t="s">
        <v>397</v>
      </c>
      <c r="BO184" s="35" t="s">
        <v>398</v>
      </c>
      <c r="BP184" s="35" t="s">
        <v>5997</v>
      </c>
      <c r="BQ184" s="35" t="s">
        <v>5998</v>
      </c>
      <c r="BR184" s="35" t="s">
        <v>682</v>
      </c>
      <c r="BS184" s="35" t="s">
        <v>5999</v>
      </c>
      <c r="BT184" s="35" t="s">
        <v>4071</v>
      </c>
      <c r="BU184" s="35" t="s">
        <v>4072</v>
      </c>
      <c r="BV184" s="35" t="s">
        <v>1693</v>
      </c>
      <c r="BW184" s="35" t="s">
        <v>6000</v>
      </c>
      <c r="BX184" s="35" t="s">
        <v>406</v>
      </c>
      <c r="BY184" s="35" t="s">
        <v>407</v>
      </c>
      <c r="BZ184" s="35" t="s">
        <v>408</v>
      </c>
      <c r="CB184" s="35" t="s">
        <v>6001</v>
      </c>
      <c r="CC184" s="35" t="s">
        <v>6002</v>
      </c>
      <c r="CD184" s="35" t="s">
        <v>6003</v>
      </c>
      <c r="CE184" s="35" t="s">
        <v>451</v>
      </c>
      <c r="CF184" s="35" t="s">
        <v>6004</v>
      </c>
      <c r="CG184" s="35" t="s">
        <v>1749</v>
      </c>
      <c r="CH184" s="35" t="s">
        <v>6005</v>
      </c>
      <c r="CI184" s="35" t="s">
        <v>1751</v>
      </c>
      <c r="CJ184" s="35" t="s">
        <v>5366</v>
      </c>
      <c r="CK184" s="35" t="s">
        <v>6001</v>
      </c>
      <c r="CL184" s="35" t="s">
        <v>6006</v>
      </c>
      <c r="DJ184" s="35" t="s">
        <v>777</v>
      </c>
      <c r="DK184" s="35" t="s">
        <v>613</v>
      </c>
      <c r="EU184" s="35" t="s">
        <v>478</v>
      </c>
      <c r="EV184" s="35" t="s">
        <v>579</v>
      </c>
      <c r="EW184" s="35" t="s">
        <v>1534</v>
      </c>
      <c r="EY184" s="35" t="s">
        <v>6007</v>
      </c>
      <c r="EZ184" s="35" t="s">
        <v>6008</v>
      </c>
      <c r="FA184" s="35" t="s">
        <v>415</v>
      </c>
      <c r="FB184" s="35" t="s">
        <v>583</v>
      </c>
      <c r="FC184" s="35" t="s">
        <v>415</v>
      </c>
      <c r="FD184" s="35" t="s">
        <v>583</v>
      </c>
      <c r="FE184" s="35" t="s">
        <v>416</v>
      </c>
      <c r="FF184" s="35" t="s">
        <v>583</v>
      </c>
      <c r="FG184" s="35" t="s">
        <v>583</v>
      </c>
      <c r="FH184" s="35" t="s">
        <v>583</v>
      </c>
      <c r="FI184" s="35" t="s">
        <v>413</v>
      </c>
      <c r="FJ184" s="35" t="s">
        <v>416</v>
      </c>
      <c r="FK184" s="35" t="s">
        <v>583</v>
      </c>
      <c r="FL184" s="35" t="s">
        <v>415</v>
      </c>
      <c r="FM184" s="35" t="s">
        <v>415</v>
      </c>
      <c r="FN184" s="35" t="s">
        <v>415</v>
      </c>
      <c r="FO184" s="35" t="s">
        <v>415</v>
      </c>
      <c r="FP184" s="35" t="s">
        <v>1537</v>
      </c>
      <c r="FR184" s="35" t="s">
        <v>712</v>
      </c>
      <c r="FS184" s="35" t="s">
        <v>6009</v>
      </c>
      <c r="FT184" s="35" t="s">
        <v>1871</v>
      </c>
      <c r="FU184" s="35" t="s">
        <v>2750</v>
      </c>
      <c r="FV184" s="35" t="s">
        <v>1235</v>
      </c>
      <c r="FW184" s="35" t="s">
        <v>2387</v>
      </c>
      <c r="FX184" s="35" t="s">
        <v>491</v>
      </c>
      <c r="FY184" s="35" t="s">
        <v>6010</v>
      </c>
      <c r="FZ184" s="35" t="s">
        <v>493</v>
      </c>
      <c r="GA184" s="35" t="s">
        <v>6011</v>
      </c>
      <c r="GB184" s="35" t="s">
        <v>408</v>
      </c>
      <c r="GC184" s="35" t="s">
        <v>455</v>
      </c>
      <c r="GD184" s="35" t="s">
        <v>10905</v>
      </c>
      <c r="GE184" s="35" t="s">
        <v>408</v>
      </c>
      <c r="GF184" s="35" t="s">
        <v>1420</v>
      </c>
      <c r="GG184" s="35" t="s">
        <v>408</v>
      </c>
      <c r="GK184" s="35" t="s">
        <v>1000</v>
      </c>
      <c r="GL184" s="35" t="s">
        <v>1000</v>
      </c>
      <c r="GM184" s="35" t="s">
        <v>946</v>
      </c>
      <c r="GO184" s="35" t="s">
        <v>6012</v>
      </c>
      <c r="GP184" s="35" t="s">
        <v>6012</v>
      </c>
      <c r="GR184" s="35" t="s">
        <v>3273</v>
      </c>
      <c r="GS184" s="35" t="s">
        <v>4774</v>
      </c>
      <c r="GT184" s="35" t="s">
        <v>408</v>
      </c>
      <c r="GW184" s="35" t="s">
        <v>5231</v>
      </c>
      <c r="GX184" s="35" t="s">
        <v>484</v>
      </c>
      <c r="GY184" s="35" t="s">
        <v>5281</v>
      </c>
      <c r="GZ184" s="35" t="s">
        <v>6013</v>
      </c>
      <c r="HA184" s="35" t="s">
        <v>484</v>
      </c>
      <c r="HB184" s="35" t="s">
        <v>484</v>
      </c>
      <c r="HC184" s="35" t="s">
        <v>913</v>
      </c>
      <c r="HP184" s="35" t="s">
        <v>5236</v>
      </c>
      <c r="HQ184" s="35" t="s">
        <v>5719</v>
      </c>
      <c r="HR184" s="35" t="s">
        <v>5238</v>
      </c>
      <c r="HS184" s="35" t="s">
        <v>5239</v>
      </c>
    </row>
    <row r="185">
      <c r="A185" s="35" t="s">
        <v>10906</v>
      </c>
      <c r="B185" s="40">
        <v>45903.44211505787</v>
      </c>
      <c r="C185" s="35" t="s">
        <v>368</v>
      </c>
      <c r="D185" s="35" t="s">
        <v>370</v>
      </c>
      <c r="E185" s="35" t="s">
        <v>370</v>
      </c>
      <c r="F185" s="35" t="s">
        <v>6014</v>
      </c>
      <c r="G185" s="35" t="s">
        <v>1421</v>
      </c>
      <c r="H185" s="35" t="s">
        <v>422</v>
      </c>
      <c r="I185" s="35" t="s">
        <v>496</v>
      </c>
      <c r="J185" s="35" t="s">
        <v>374</v>
      </c>
      <c r="K185" s="35" t="s">
        <v>425</v>
      </c>
      <c r="L185" s="35" t="s">
        <v>376</v>
      </c>
      <c r="M185" s="35" t="s">
        <v>379</v>
      </c>
      <c r="N185" s="35" t="s">
        <v>2464</v>
      </c>
      <c r="O185" s="35" t="s">
        <v>377</v>
      </c>
      <c r="P185" s="35" t="s">
        <v>5017</v>
      </c>
      <c r="Q185" s="35" t="s">
        <v>381</v>
      </c>
      <c r="R185" s="35" t="s">
        <v>818</v>
      </c>
      <c r="S185" s="35" t="s">
        <v>1704</v>
      </c>
      <c r="T185" s="35" t="s">
        <v>6015</v>
      </c>
      <c r="U185" s="35" t="s">
        <v>385</v>
      </c>
      <c r="X185" s="35" t="s">
        <v>3231</v>
      </c>
      <c r="AX185" s="41">
        <v>2.0</v>
      </c>
      <c r="AY185" s="41">
        <v>4.0</v>
      </c>
      <c r="AZ185" s="35" t="s">
        <v>391</v>
      </c>
      <c r="BA185" s="35" t="s">
        <v>675</v>
      </c>
      <c r="BB185" s="35" t="s">
        <v>391</v>
      </c>
      <c r="BC185" s="41">
        <v>4.0</v>
      </c>
      <c r="BD185" s="35" t="s">
        <v>6016</v>
      </c>
      <c r="BF185" s="35" t="s">
        <v>432</v>
      </c>
      <c r="BG185" s="35" t="s">
        <v>433</v>
      </c>
      <c r="BH185" s="35" t="s">
        <v>765</v>
      </c>
      <c r="BJ185" s="35" t="s">
        <v>976</v>
      </c>
      <c r="BL185" s="35" t="s">
        <v>602</v>
      </c>
      <c r="BM185" s="35" t="s">
        <v>603</v>
      </c>
      <c r="BO185" s="35" t="s">
        <v>398</v>
      </c>
      <c r="BP185" s="35" t="s">
        <v>6017</v>
      </c>
      <c r="BQ185" s="35" t="s">
        <v>6018</v>
      </c>
      <c r="BR185" s="35" t="s">
        <v>442</v>
      </c>
      <c r="BS185" s="35" t="s">
        <v>3323</v>
      </c>
      <c r="BT185" s="35" t="s">
        <v>1692</v>
      </c>
      <c r="BU185" s="35" t="s">
        <v>404</v>
      </c>
      <c r="BV185" s="35" t="s">
        <v>405</v>
      </c>
      <c r="BX185" s="35" t="s">
        <v>988</v>
      </c>
      <c r="BZ185" s="35" t="s">
        <v>408</v>
      </c>
      <c r="CC185" s="35" t="s">
        <v>6019</v>
      </c>
      <c r="CD185" s="35" t="s">
        <v>6020</v>
      </c>
      <c r="CE185" s="35" t="s">
        <v>409</v>
      </c>
      <c r="CF185" s="35" t="s">
        <v>6021</v>
      </c>
      <c r="CG185" s="35" t="s">
        <v>1749</v>
      </c>
      <c r="CH185" s="35" t="s">
        <v>6022</v>
      </c>
      <c r="CI185" s="35" t="s">
        <v>1751</v>
      </c>
      <c r="CJ185" s="35" t="s">
        <v>410</v>
      </c>
      <c r="CK185" s="35" t="s">
        <v>6023</v>
      </c>
      <c r="CL185" s="35" t="s">
        <v>6024</v>
      </c>
      <c r="DJ185" s="35" t="s">
        <v>459</v>
      </c>
      <c r="DK185" s="35" t="s">
        <v>613</v>
      </c>
      <c r="EU185" s="35" t="s">
        <v>478</v>
      </c>
      <c r="EV185" s="35" t="s">
        <v>887</v>
      </c>
      <c r="EW185" s="35" t="s">
        <v>527</v>
      </c>
      <c r="EX185" s="35" t="s">
        <v>6025</v>
      </c>
      <c r="EY185" s="35" t="s">
        <v>6026</v>
      </c>
      <c r="FA185" s="35" t="s">
        <v>415</v>
      </c>
      <c r="FB185" s="35" t="s">
        <v>414</v>
      </c>
      <c r="FC185" s="35" t="s">
        <v>415</v>
      </c>
      <c r="FD185" s="35" t="s">
        <v>415</v>
      </c>
      <c r="FE185" s="35" t="s">
        <v>416</v>
      </c>
      <c r="FF185" s="35" t="s">
        <v>414</v>
      </c>
      <c r="FG185" s="35" t="s">
        <v>415</v>
      </c>
      <c r="FH185" s="35" t="s">
        <v>484</v>
      </c>
      <c r="FI185" s="35" t="s">
        <v>484</v>
      </c>
      <c r="FJ185" s="35" t="s">
        <v>414</v>
      </c>
      <c r="FK185" s="35" t="s">
        <v>415</v>
      </c>
      <c r="FL185" s="35" t="s">
        <v>484</v>
      </c>
      <c r="FM185" s="35" t="s">
        <v>484</v>
      </c>
      <c r="FN185" s="35" t="s">
        <v>416</v>
      </c>
      <c r="FO185" s="35" t="s">
        <v>583</v>
      </c>
      <c r="FP185" s="35" t="s">
        <v>485</v>
      </c>
      <c r="FQ185" s="35" t="s">
        <v>418</v>
      </c>
      <c r="FR185" s="35" t="s">
        <v>749</v>
      </c>
      <c r="FT185" s="35" t="s">
        <v>995</v>
      </c>
      <c r="FU185" s="35" t="s">
        <v>488</v>
      </c>
      <c r="FV185" s="35" t="s">
        <v>489</v>
      </c>
      <c r="FW185" s="35" t="s">
        <v>490</v>
      </c>
      <c r="FX185" s="35" t="s">
        <v>491</v>
      </c>
      <c r="FY185" s="35" t="s">
        <v>6027</v>
      </c>
      <c r="FZ185" s="35" t="s">
        <v>535</v>
      </c>
      <c r="GA185" s="35" t="s">
        <v>6028</v>
      </c>
      <c r="GB185" s="35" t="s">
        <v>6029</v>
      </c>
      <c r="GC185" s="35" t="s">
        <v>408</v>
      </c>
      <c r="GK185" s="35" t="s">
        <v>755</v>
      </c>
      <c r="GL185" s="35" t="s">
        <v>755</v>
      </c>
      <c r="GM185" s="35" t="s">
        <v>756</v>
      </c>
      <c r="GQ185" s="35" t="s">
        <v>387</v>
      </c>
      <c r="GR185" s="35" t="s">
        <v>5656</v>
      </c>
      <c r="GS185" s="35" t="s">
        <v>5170</v>
      </c>
      <c r="GW185" s="35" t="s">
        <v>5231</v>
      </c>
      <c r="GX185" s="35" t="s">
        <v>5232</v>
      </c>
      <c r="GY185" s="35" t="s">
        <v>5262</v>
      </c>
      <c r="GZ185" s="35" t="s">
        <v>5233</v>
      </c>
      <c r="HA185" s="35" t="s">
        <v>6030</v>
      </c>
      <c r="HB185" s="35" t="s">
        <v>484</v>
      </c>
      <c r="HC185" s="35" t="s">
        <v>6031</v>
      </c>
      <c r="HP185" s="35" t="s">
        <v>5301</v>
      </c>
      <c r="HQ185" s="35" t="s">
        <v>5264</v>
      </c>
      <c r="HR185" s="35" t="s">
        <v>5238</v>
      </c>
      <c r="HS185" s="35" t="s">
        <v>6032</v>
      </c>
    </row>
    <row r="186">
      <c r="A186" s="35" t="s">
        <v>10907</v>
      </c>
      <c r="B186" s="40">
        <v>45903.51030376158</v>
      </c>
      <c r="C186" s="35" t="s">
        <v>368</v>
      </c>
      <c r="D186" s="35" t="s">
        <v>370</v>
      </c>
      <c r="E186" s="35" t="s">
        <v>370</v>
      </c>
      <c r="F186" s="35" t="s">
        <v>371</v>
      </c>
      <c r="G186" s="35" t="s">
        <v>1421</v>
      </c>
      <c r="H186" s="35" t="s">
        <v>422</v>
      </c>
      <c r="I186" s="35" t="s">
        <v>496</v>
      </c>
      <c r="J186" s="35" t="s">
        <v>374</v>
      </c>
      <c r="K186" s="35" t="s">
        <v>425</v>
      </c>
      <c r="L186" s="35" t="s">
        <v>376</v>
      </c>
      <c r="M186" s="35" t="s">
        <v>793</v>
      </c>
      <c r="N186" s="35" t="s">
        <v>639</v>
      </c>
      <c r="O186" s="35" t="s">
        <v>426</v>
      </c>
      <c r="P186" s="35" t="s">
        <v>380</v>
      </c>
      <c r="Q186" s="35" t="s">
        <v>1760</v>
      </c>
      <c r="R186" s="35" t="s">
        <v>382</v>
      </c>
      <c r="S186" s="35" t="s">
        <v>949</v>
      </c>
      <c r="T186" s="35" t="s">
        <v>4742</v>
      </c>
      <c r="U186" s="35" t="s">
        <v>385</v>
      </c>
      <c r="X186" s="35" t="s">
        <v>3231</v>
      </c>
      <c r="AW186" s="35" t="s">
        <v>390</v>
      </c>
      <c r="AX186" s="41">
        <v>2.0</v>
      </c>
      <c r="AY186" s="35" t="s">
        <v>675</v>
      </c>
      <c r="AZ186" s="41">
        <v>2.0</v>
      </c>
      <c r="BA186" s="41">
        <v>2.0</v>
      </c>
      <c r="BB186" s="41">
        <v>4.0</v>
      </c>
      <c r="BC186" s="35" t="s">
        <v>391</v>
      </c>
      <c r="BD186" s="35" t="s">
        <v>6054</v>
      </c>
      <c r="BE186" s="35" t="s">
        <v>6055</v>
      </c>
      <c r="BF186" s="35" t="s">
        <v>902</v>
      </c>
      <c r="BG186" s="35" t="s">
        <v>1047</v>
      </c>
      <c r="BH186" s="35" t="s">
        <v>678</v>
      </c>
      <c r="BI186" s="35" t="s">
        <v>6056</v>
      </c>
      <c r="BJ186" s="35" t="s">
        <v>435</v>
      </c>
      <c r="BK186" s="35" t="s">
        <v>6057</v>
      </c>
      <c r="BL186" s="35" t="s">
        <v>602</v>
      </c>
      <c r="BM186" s="35" t="s">
        <v>904</v>
      </c>
      <c r="BN186" s="35" t="s">
        <v>549</v>
      </c>
      <c r="BO186" s="35" t="s">
        <v>398</v>
      </c>
      <c r="BP186" s="35" t="s">
        <v>6058</v>
      </c>
      <c r="BQ186" s="35" t="s">
        <v>6059</v>
      </c>
      <c r="BR186" s="35" t="s">
        <v>442</v>
      </c>
      <c r="BS186" s="35" t="s">
        <v>6060</v>
      </c>
      <c r="BT186" s="35" t="s">
        <v>1692</v>
      </c>
      <c r="BU186" s="35" t="s">
        <v>404</v>
      </c>
      <c r="BV186" s="35" t="s">
        <v>1772</v>
      </c>
      <c r="BW186" s="35" t="s">
        <v>6061</v>
      </c>
      <c r="BX186" s="35" t="s">
        <v>406</v>
      </c>
      <c r="BY186" s="35" t="s">
        <v>407</v>
      </c>
      <c r="BZ186" s="35" t="s">
        <v>408</v>
      </c>
      <c r="CC186" s="35" t="s">
        <v>6062</v>
      </c>
      <c r="CD186" s="35" t="s">
        <v>6063</v>
      </c>
      <c r="CE186" s="35" t="s">
        <v>409</v>
      </c>
      <c r="CF186" s="35" t="s">
        <v>6064</v>
      </c>
      <c r="CG186" s="35" t="s">
        <v>1749</v>
      </c>
      <c r="CH186" s="35" t="s">
        <v>6065</v>
      </c>
      <c r="CI186" s="35" t="s">
        <v>1751</v>
      </c>
      <c r="CJ186" s="35" t="s">
        <v>1220</v>
      </c>
      <c r="CK186" s="35" t="s">
        <v>6066</v>
      </c>
      <c r="CL186" s="35" t="s">
        <v>6067</v>
      </c>
      <c r="DJ186" s="35" t="s">
        <v>459</v>
      </c>
      <c r="DK186" s="35" t="s">
        <v>613</v>
      </c>
      <c r="EU186" s="35" t="s">
        <v>478</v>
      </c>
      <c r="EV186" s="35" t="s">
        <v>1127</v>
      </c>
      <c r="EW186" s="35" t="s">
        <v>527</v>
      </c>
      <c r="EY186" s="35" t="s">
        <v>6068</v>
      </c>
      <c r="EZ186" s="35" t="s">
        <v>6069</v>
      </c>
      <c r="FA186" s="35" t="s">
        <v>413</v>
      </c>
      <c r="FB186" s="35" t="s">
        <v>413</v>
      </c>
      <c r="FC186" s="35" t="s">
        <v>413</v>
      </c>
      <c r="FD186" s="35" t="s">
        <v>413</v>
      </c>
      <c r="FE186" s="35" t="s">
        <v>413</v>
      </c>
      <c r="FF186" s="35" t="s">
        <v>413</v>
      </c>
      <c r="FG186" s="35" t="s">
        <v>413</v>
      </c>
      <c r="FH186" s="35" t="s">
        <v>413</v>
      </c>
      <c r="FI186" s="35" t="s">
        <v>583</v>
      </c>
      <c r="FJ186" s="35" t="s">
        <v>484</v>
      </c>
      <c r="FK186" s="35" t="s">
        <v>484</v>
      </c>
      <c r="FL186" s="35" t="s">
        <v>484</v>
      </c>
      <c r="FM186" s="35" t="s">
        <v>484</v>
      </c>
      <c r="FN186" s="35" t="s">
        <v>413</v>
      </c>
      <c r="FP186" s="35" t="s">
        <v>417</v>
      </c>
      <c r="FQ186" s="35" t="s">
        <v>418</v>
      </c>
      <c r="FR186" s="35" t="s">
        <v>712</v>
      </c>
      <c r="FS186" s="35" t="s">
        <v>6070</v>
      </c>
      <c r="FT186" s="35" t="s">
        <v>420</v>
      </c>
      <c r="FU186" s="35" t="s">
        <v>488</v>
      </c>
      <c r="FV186" s="35" t="s">
        <v>918</v>
      </c>
      <c r="FW186" s="35" t="s">
        <v>490</v>
      </c>
      <c r="FX186" s="35" t="s">
        <v>491</v>
      </c>
      <c r="FY186" s="35" t="s">
        <v>6071</v>
      </c>
      <c r="FZ186" s="35" t="s">
        <v>535</v>
      </c>
      <c r="GC186" s="35" t="s">
        <v>408</v>
      </c>
      <c r="GK186" s="35" t="s">
        <v>920</v>
      </c>
      <c r="GL186" s="35" t="s">
        <v>920</v>
      </c>
      <c r="GM186" s="35" t="s">
        <v>756</v>
      </c>
      <c r="GQ186" s="35" t="s">
        <v>387</v>
      </c>
      <c r="GR186" s="35" t="s">
        <v>6072</v>
      </c>
      <c r="GS186" s="35" t="s">
        <v>4774</v>
      </c>
      <c r="GW186" s="35" t="s">
        <v>5231</v>
      </c>
      <c r="GX186" s="35" t="s">
        <v>5232</v>
      </c>
      <c r="GY186" s="35" t="s">
        <v>5281</v>
      </c>
      <c r="GZ186" s="35" t="s">
        <v>5233</v>
      </c>
      <c r="HA186" s="35" t="s">
        <v>484</v>
      </c>
      <c r="HB186" s="35" t="s">
        <v>484</v>
      </c>
      <c r="HC186" s="35" t="s">
        <v>6073</v>
      </c>
      <c r="HP186" s="35" t="s">
        <v>5236</v>
      </c>
      <c r="HQ186" s="35" t="s">
        <v>5371</v>
      </c>
      <c r="HR186" s="35" t="s">
        <v>5238</v>
      </c>
      <c r="HS186" s="35" t="s">
        <v>5287</v>
      </c>
    </row>
    <row r="187">
      <c r="A187" s="35" t="s">
        <v>10908</v>
      </c>
      <c r="B187" s="40">
        <v>45903.55631206019</v>
      </c>
      <c r="C187" s="35" t="s">
        <v>368</v>
      </c>
      <c r="D187" s="35" t="s">
        <v>370</v>
      </c>
      <c r="E187" s="35" t="s">
        <v>370</v>
      </c>
      <c r="F187" s="35" t="s">
        <v>371</v>
      </c>
      <c r="G187" s="35" t="s">
        <v>371</v>
      </c>
      <c r="H187" s="35" t="s">
        <v>422</v>
      </c>
      <c r="I187" s="35" t="s">
        <v>496</v>
      </c>
      <c r="J187" s="35" t="s">
        <v>374</v>
      </c>
      <c r="K187" s="35" t="s">
        <v>375</v>
      </c>
      <c r="L187" s="35" t="s">
        <v>376</v>
      </c>
      <c r="M187" s="35" t="s">
        <v>379</v>
      </c>
      <c r="N187" s="35" t="s">
        <v>378</v>
      </c>
      <c r="O187" s="35" t="s">
        <v>591</v>
      </c>
      <c r="P187" s="35" t="s">
        <v>671</v>
      </c>
      <c r="Q187" s="35" t="s">
        <v>498</v>
      </c>
      <c r="R187" s="35" t="s">
        <v>862</v>
      </c>
      <c r="S187" s="35" t="s">
        <v>1704</v>
      </c>
      <c r="T187" s="35" t="s">
        <v>6088</v>
      </c>
      <c r="U187" s="35" t="s">
        <v>385</v>
      </c>
      <c r="X187" s="35" t="s">
        <v>386</v>
      </c>
      <c r="Y187" s="35" t="s">
        <v>6089</v>
      </c>
      <c r="AW187" s="35" t="s">
        <v>597</v>
      </c>
      <c r="AX187" s="41">
        <v>4.0</v>
      </c>
      <c r="AY187" s="41">
        <v>4.0</v>
      </c>
      <c r="AZ187" s="35" t="s">
        <v>391</v>
      </c>
      <c r="BA187" s="35" t="s">
        <v>391</v>
      </c>
      <c r="BB187" s="41">
        <v>4.0</v>
      </c>
      <c r="BC187" s="41">
        <v>4.0</v>
      </c>
      <c r="BD187" s="35" t="s">
        <v>6090</v>
      </c>
      <c r="BE187" s="35" t="s">
        <v>6091</v>
      </c>
      <c r="BF187" s="35" t="s">
        <v>1094</v>
      </c>
      <c r="BG187" s="35" t="s">
        <v>393</v>
      </c>
      <c r="BH187" s="35" t="s">
        <v>434</v>
      </c>
      <c r="BI187" s="35" t="s">
        <v>6092</v>
      </c>
      <c r="BJ187" s="35" t="s">
        <v>976</v>
      </c>
      <c r="BL187" s="35" t="s">
        <v>395</v>
      </c>
      <c r="BM187" s="35" t="s">
        <v>904</v>
      </c>
      <c r="BN187" s="35" t="s">
        <v>1276</v>
      </c>
      <c r="BO187" s="35" t="s">
        <v>398</v>
      </c>
      <c r="BP187" s="35" t="s">
        <v>6093</v>
      </c>
      <c r="BQ187" s="35" t="s">
        <v>6094</v>
      </c>
      <c r="BR187" s="35" t="s">
        <v>401</v>
      </c>
      <c r="BS187" s="35" t="s">
        <v>6095</v>
      </c>
      <c r="BT187" s="35" t="s">
        <v>403</v>
      </c>
      <c r="BU187" s="35" t="s">
        <v>404</v>
      </c>
      <c r="BV187" s="35" t="s">
        <v>405</v>
      </c>
      <c r="BX187" s="35" t="s">
        <v>988</v>
      </c>
      <c r="BZ187" s="35" t="s">
        <v>733</v>
      </c>
      <c r="CA187" s="35" t="s">
        <v>6096</v>
      </c>
      <c r="CC187" s="35" t="s">
        <v>6097</v>
      </c>
      <c r="CD187" s="35" t="s">
        <v>6098</v>
      </c>
      <c r="CE187" s="35" t="s">
        <v>1931</v>
      </c>
      <c r="CG187" s="35" t="s">
        <v>1749</v>
      </c>
      <c r="CH187" s="35" t="s">
        <v>6099</v>
      </c>
      <c r="CI187" s="35" t="s">
        <v>1698</v>
      </c>
      <c r="CJ187" s="35" t="s">
        <v>1220</v>
      </c>
      <c r="CK187" s="35" t="s">
        <v>6100</v>
      </c>
      <c r="CL187" s="35" t="s">
        <v>6101</v>
      </c>
      <c r="DJ187" s="35" t="s">
        <v>459</v>
      </c>
      <c r="DK187" s="35" t="s">
        <v>460</v>
      </c>
      <c r="DL187" s="35" t="s">
        <v>525</v>
      </c>
      <c r="EU187" s="35" t="s">
        <v>478</v>
      </c>
      <c r="EV187" s="35" t="s">
        <v>887</v>
      </c>
      <c r="EW187" s="35" t="s">
        <v>663</v>
      </c>
      <c r="EY187" s="35" t="s">
        <v>404</v>
      </c>
      <c r="EZ187" s="35" t="s">
        <v>404</v>
      </c>
      <c r="FA187" s="35" t="s">
        <v>414</v>
      </c>
      <c r="FB187" s="35" t="s">
        <v>414</v>
      </c>
      <c r="FC187" s="35" t="s">
        <v>415</v>
      </c>
      <c r="FD187" s="35" t="s">
        <v>415</v>
      </c>
      <c r="FE187" s="35" t="s">
        <v>416</v>
      </c>
      <c r="FF187" s="35" t="s">
        <v>414</v>
      </c>
      <c r="FG187" s="35" t="s">
        <v>415</v>
      </c>
      <c r="FH187" s="35" t="s">
        <v>415</v>
      </c>
      <c r="FI187" s="35" t="s">
        <v>415</v>
      </c>
      <c r="FJ187" s="35" t="s">
        <v>415</v>
      </c>
      <c r="FK187" s="35" t="s">
        <v>415</v>
      </c>
      <c r="FL187" s="35" t="s">
        <v>415</v>
      </c>
      <c r="FM187" s="35" t="s">
        <v>415</v>
      </c>
      <c r="FN187" s="35" t="s">
        <v>415</v>
      </c>
      <c r="FO187" s="35" t="s">
        <v>415</v>
      </c>
      <c r="FP187" s="35" t="s">
        <v>850</v>
      </c>
      <c r="FQ187" s="35" t="s">
        <v>1200</v>
      </c>
      <c r="FR187" s="35" t="s">
        <v>712</v>
      </c>
      <c r="FT187" s="35" t="s">
        <v>995</v>
      </c>
      <c r="FU187" s="35" t="s">
        <v>421</v>
      </c>
      <c r="FV187" s="35" t="s">
        <v>489</v>
      </c>
      <c r="FW187" s="35" t="s">
        <v>1101</v>
      </c>
      <c r="FX187" s="35" t="s">
        <v>491</v>
      </c>
      <c r="FZ187" s="35" t="s">
        <v>1020</v>
      </c>
      <c r="GA187" s="35" t="s">
        <v>6102</v>
      </c>
      <c r="GB187" s="35" t="s">
        <v>6103</v>
      </c>
      <c r="GC187" s="35" t="s">
        <v>408</v>
      </c>
      <c r="GK187" s="35" t="s">
        <v>789</v>
      </c>
      <c r="GL187" s="35" t="s">
        <v>789</v>
      </c>
      <c r="GM187" s="35" t="s">
        <v>790</v>
      </c>
      <c r="GR187" s="35" t="s">
        <v>6104</v>
      </c>
      <c r="GS187" s="35" t="s">
        <v>4774</v>
      </c>
      <c r="GW187" s="35" t="s">
        <v>5231</v>
      </c>
      <c r="GX187" s="35" t="s">
        <v>484</v>
      </c>
      <c r="GY187" s="35" t="s">
        <v>484</v>
      </c>
      <c r="GZ187" s="35" t="s">
        <v>5233</v>
      </c>
      <c r="HA187" s="35" t="s">
        <v>6030</v>
      </c>
      <c r="HB187" s="35" t="s">
        <v>484</v>
      </c>
      <c r="HC187" s="35" t="s">
        <v>6105</v>
      </c>
      <c r="HP187" s="35" t="s">
        <v>5301</v>
      </c>
      <c r="HQ187" s="35" t="s">
        <v>5264</v>
      </c>
      <c r="HR187" s="35" t="s">
        <v>5238</v>
      </c>
      <c r="HS187" s="35" t="s">
        <v>6106</v>
      </c>
    </row>
    <row r="188">
      <c r="A188" s="35" t="s">
        <v>10909</v>
      </c>
      <c r="B188" s="40">
        <v>45903.60210783565</v>
      </c>
      <c r="C188" s="35" t="s">
        <v>368</v>
      </c>
      <c r="D188" s="35" t="s">
        <v>370</v>
      </c>
      <c r="E188" s="35" t="s">
        <v>370</v>
      </c>
      <c r="F188" s="35" t="s">
        <v>1001</v>
      </c>
      <c r="G188" s="35" t="s">
        <v>1001</v>
      </c>
      <c r="H188" s="35" t="s">
        <v>422</v>
      </c>
      <c r="I188" s="35" t="s">
        <v>373</v>
      </c>
      <c r="J188" s="35" t="s">
        <v>374</v>
      </c>
      <c r="K188" s="35" t="s">
        <v>375</v>
      </c>
      <c r="L188" s="35" t="s">
        <v>376</v>
      </c>
      <c r="M188" s="35" t="s">
        <v>670</v>
      </c>
      <c r="N188" s="35" t="s">
        <v>720</v>
      </c>
      <c r="O188" s="35" t="s">
        <v>591</v>
      </c>
      <c r="P188" s="35" t="s">
        <v>719</v>
      </c>
      <c r="Q188" s="35" t="s">
        <v>498</v>
      </c>
      <c r="R188" s="35" t="s">
        <v>862</v>
      </c>
      <c r="S188" s="35" t="s">
        <v>2360</v>
      </c>
      <c r="T188" s="35" t="s">
        <v>1512</v>
      </c>
      <c r="U188" s="35" t="s">
        <v>385</v>
      </c>
      <c r="X188" s="35" t="s">
        <v>3231</v>
      </c>
      <c r="AW188" s="35" t="s">
        <v>1310</v>
      </c>
      <c r="AX188" s="35" t="s">
        <v>391</v>
      </c>
      <c r="AY188" s="35" t="s">
        <v>391</v>
      </c>
      <c r="AZ188" s="41">
        <v>2.0</v>
      </c>
      <c r="BA188" s="35" t="s">
        <v>675</v>
      </c>
      <c r="BB188" s="35" t="s">
        <v>675</v>
      </c>
      <c r="BC188" s="35" t="s">
        <v>391</v>
      </c>
      <c r="BD188" s="35" t="s">
        <v>6107</v>
      </c>
      <c r="BE188" s="35" t="s">
        <v>6108</v>
      </c>
      <c r="BF188" s="35" t="s">
        <v>392</v>
      </c>
      <c r="BG188" s="35" t="s">
        <v>433</v>
      </c>
      <c r="BH188" s="35" t="s">
        <v>434</v>
      </c>
      <c r="BI188" s="35" t="s">
        <v>6109</v>
      </c>
      <c r="BJ188" s="35" t="s">
        <v>509</v>
      </c>
      <c r="BK188" s="35" t="s">
        <v>6110</v>
      </c>
      <c r="BL188" s="35" t="s">
        <v>395</v>
      </c>
      <c r="BM188" s="35" t="s">
        <v>603</v>
      </c>
      <c r="BN188" s="35" t="s">
        <v>397</v>
      </c>
      <c r="BO188" s="35" t="s">
        <v>398</v>
      </c>
      <c r="BP188" s="35" t="s">
        <v>6111</v>
      </c>
      <c r="BQ188" s="35" t="s">
        <v>6112</v>
      </c>
      <c r="BR188" s="35" t="s">
        <v>604</v>
      </c>
      <c r="BS188" s="35" t="s">
        <v>6113</v>
      </c>
      <c r="BT188" s="35" t="s">
        <v>1741</v>
      </c>
      <c r="BU188" s="35" t="s">
        <v>404</v>
      </c>
      <c r="BV188" s="35" t="s">
        <v>405</v>
      </c>
      <c r="BX188" s="35" t="s">
        <v>406</v>
      </c>
      <c r="BY188" s="35" t="s">
        <v>2503</v>
      </c>
      <c r="BZ188" s="35" t="s">
        <v>455</v>
      </c>
      <c r="CA188" s="35" t="s">
        <v>6114</v>
      </c>
      <c r="CB188" s="35" t="s">
        <v>6115</v>
      </c>
      <c r="CC188" s="35" t="s">
        <v>6116</v>
      </c>
      <c r="CD188" s="35" t="s">
        <v>6117</v>
      </c>
      <c r="CE188" s="35" t="s">
        <v>409</v>
      </c>
      <c r="CF188" s="35" t="s">
        <v>6118</v>
      </c>
      <c r="CG188" s="35" t="s">
        <v>1722</v>
      </c>
      <c r="CH188" s="35" t="s">
        <v>6119</v>
      </c>
      <c r="CI188" s="35" t="s">
        <v>1259</v>
      </c>
      <c r="CK188" s="35" t="s">
        <v>6120</v>
      </c>
      <c r="CL188" s="35" t="s">
        <v>6121</v>
      </c>
      <c r="DJ188" s="35" t="s">
        <v>963</v>
      </c>
      <c r="DK188" s="35" t="s">
        <v>562</v>
      </c>
      <c r="DL188" s="35" t="s">
        <v>525</v>
      </c>
      <c r="EU188" s="35" t="s">
        <v>478</v>
      </c>
      <c r="EV188" s="35" t="s">
        <v>887</v>
      </c>
      <c r="EW188" s="35" t="s">
        <v>480</v>
      </c>
      <c r="FP188" s="35" t="s">
        <v>485</v>
      </c>
      <c r="FQ188" s="35" t="s">
        <v>486</v>
      </c>
      <c r="FR188" s="35" t="s">
        <v>419</v>
      </c>
      <c r="FT188" s="35" t="s">
        <v>995</v>
      </c>
      <c r="FU188" s="35" t="s">
        <v>421</v>
      </c>
      <c r="FV188" s="35" t="s">
        <v>489</v>
      </c>
      <c r="FW188" s="35" t="s">
        <v>490</v>
      </c>
      <c r="FX188" s="35" t="s">
        <v>491</v>
      </c>
      <c r="FZ188" s="35" t="s">
        <v>493</v>
      </c>
      <c r="GA188" s="35" t="s">
        <v>6122</v>
      </c>
      <c r="GB188" s="35" t="s">
        <v>6123</v>
      </c>
      <c r="GC188" s="35" t="s">
        <v>455</v>
      </c>
      <c r="GD188" s="35" t="s">
        <v>10910</v>
      </c>
      <c r="GE188" s="35" t="s">
        <v>10911</v>
      </c>
      <c r="GF188" s="35" t="s">
        <v>753</v>
      </c>
      <c r="GK188" s="35" t="s">
        <v>1000</v>
      </c>
      <c r="GL188" s="35" t="s">
        <v>1000</v>
      </c>
      <c r="GM188" s="35" t="s">
        <v>756</v>
      </c>
      <c r="GQ188" s="35" t="s">
        <v>6124</v>
      </c>
      <c r="GR188" s="35" t="s">
        <v>5656</v>
      </c>
      <c r="GS188" s="35" t="s">
        <v>4774</v>
      </c>
      <c r="GW188" s="35" t="s">
        <v>5260</v>
      </c>
      <c r="GX188" s="35" t="s">
        <v>5261</v>
      </c>
      <c r="GY188" s="35" t="s">
        <v>484</v>
      </c>
      <c r="GZ188" s="35" t="s">
        <v>6125</v>
      </c>
      <c r="HA188" s="35" t="s">
        <v>484</v>
      </c>
      <c r="HB188" s="35" t="s">
        <v>484</v>
      </c>
      <c r="HC188" s="35" t="s">
        <v>6126</v>
      </c>
      <c r="HQ188" s="35" t="s">
        <v>5237</v>
      </c>
      <c r="HR188" s="35" t="s">
        <v>5286</v>
      </c>
      <c r="HS188" s="35" t="s">
        <v>913</v>
      </c>
    </row>
    <row r="189">
      <c r="A189" s="35" t="s">
        <v>10912</v>
      </c>
      <c r="B189" s="40">
        <v>45908.43864734954</v>
      </c>
      <c r="C189" s="35" t="s">
        <v>368</v>
      </c>
      <c r="D189" s="35" t="s">
        <v>370</v>
      </c>
      <c r="E189" s="35" t="s">
        <v>370</v>
      </c>
      <c r="F189" s="35" t="s">
        <v>1510</v>
      </c>
      <c r="G189" s="35" t="s">
        <v>1510</v>
      </c>
      <c r="H189" s="35" t="s">
        <v>422</v>
      </c>
      <c r="I189" s="35" t="s">
        <v>496</v>
      </c>
      <c r="J189" s="35" t="s">
        <v>374</v>
      </c>
      <c r="K189" s="35" t="s">
        <v>718</v>
      </c>
      <c r="L189" s="35" t="s">
        <v>376</v>
      </c>
      <c r="M189" s="35" t="s">
        <v>670</v>
      </c>
      <c r="N189" s="35" t="s">
        <v>720</v>
      </c>
      <c r="O189" s="35" t="s">
        <v>793</v>
      </c>
      <c r="P189" s="35" t="s">
        <v>1270</v>
      </c>
      <c r="Q189" s="35" t="s">
        <v>1504</v>
      </c>
      <c r="R189" s="35" t="s">
        <v>499</v>
      </c>
      <c r="S189" s="35" t="s">
        <v>427</v>
      </c>
      <c r="T189" s="35" t="s">
        <v>384</v>
      </c>
      <c r="U189" s="35" t="s">
        <v>385</v>
      </c>
      <c r="X189" s="35" t="s">
        <v>593</v>
      </c>
      <c r="Y189" s="35" t="s">
        <v>387</v>
      </c>
      <c r="Z189" s="35" t="s">
        <v>1966</v>
      </c>
      <c r="AA189" s="35" t="s">
        <v>543</v>
      </c>
      <c r="AW189" s="35" t="s">
        <v>1310</v>
      </c>
      <c r="AX189" s="41">
        <v>4.0</v>
      </c>
      <c r="AY189" s="35" t="s">
        <v>391</v>
      </c>
      <c r="AZ189" s="35" t="s">
        <v>675</v>
      </c>
      <c r="BA189" s="41">
        <v>4.0</v>
      </c>
      <c r="BB189" s="41">
        <v>4.0</v>
      </c>
      <c r="BC189" s="41">
        <v>4.0</v>
      </c>
      <c r="BF189" s="35" t="s">
        <v>902</v>
      </c>
      <c r="BG189" s="35" t="s">
        <v>1245</v>
      </c>
      <c r="BH189" s="35" t="s">
        <v>434</v>
      </c>
      <c r="BJ189" s="35" t="s">
        <v>435</v>
      </c>
      <c r="BL189" s="35" t="s">
        <v>602</v>
      </c>
      <c r="BM189" s="35" t="s">
        <v>603</v>
      </c>
      <c r="BN189" s="35" t="s">
        <v>1247</v>
      </c>
      <c r="BO189" s="35" t="s">
        <v>398</v>
      </c>
      <c r="BR189" s="35" t="s">
        <v>604</v>
      </c>
      <c r="BS189" s="35" t="s">
        <v>6307</v>
      </c>
      <c r="BT189" s="35" t="s">
        <v>1671</v>
      </c>
      <c r="BU189" s="35" t="s">
        <v>404</v>
      </c>
      <c r="BV189" s="35" t="s">
        <v>1831</v>
      </c>
      <c r="BX189" s="35" t="s">
        <v>406</v>
      </c>
      <c r="BY189" s="35" t="s">
        <v>2503</v>
      </c>
      <c r="BZ189" s="35" t="s">
        <v>408</v>
      </c>
      <c r="CE189" s="35" t="s">
        <v>451</v>
      </c>
      <c r="CG189" s="35" t="s">
        <v>2233</v>
      </c>
      <c r="CI189" s="35" t="s">
        <v>1698</v>
      </c>
      <c r="CJ189" s="35" t="s">
        <v>410</v>
      </c>
      <c r="DJ189" s="35" t="s">
        <v>459</v>
      </c>
      <c r="DK189" s="35" t="s">
        <v>562</v>
      </c>
      <c r="DL189" s="35" t="s">
        <v>525</v>
      </c>
      <c r="EU189" s="35" t="s">
        <v>526</v>
      </c>
      <c r="EV189" s="35" t="s">
        <v>887</v>
      </c>
      <c r="EW189" s="35" t="s">
        <v>580</v>
      </c>
      <c r="FA189" s="35" t="s">
        <v>414</v>
      </c>
      <c r="FB189" s="35" t="s">
        <v>583</v>
      </c>
      <c r="FC189" s="35" t="s">
        <v>416</v>
      </c>
      <c r="FD189" s="35" t="s">
        <v>583</v>
      </c>
      <c r="FE189" s="35" t="s">
        <v>416</v>
      </c>
      <c r="FF189" s="35" t="s">
        <v>583</v>
      </c>
      <c r="FG189" s="35" t="s">
        <v>583</v>
      </c>
      <c r="FH189" s="35" t="s">
        <v>416</v>
      </c>
      <c r="FI189" s="35" t="s">
        <v>583</v>
      </c>
      <c r="FJ189" s="35" t="s">
        <v>583</v>
      </c>
      <c r="FK189" s="35" t="s">
        <v>583</v>
      </c>
      <c r="FL189" s="35" t="s">
        <v>414</v>
      </c>
      <c r="FM189" s="35" t="s">
        <v>583</v>
      </c>
      <c r="FN189" s="35" t="s">
        <v>416</v>
      </c>
      <c r="FO189" s="35" t="s">
        <v>583</v>
      </c>
      <c r="FP189" s="35" t="s">
        <v>850</v>
      </c>
      <c r="FQ189" s="35" t="s">
        <v>486</v>
      </c>
      <c r="FR189" s="35" t="s">
        <v>419</v>
      </c>
      <c r="FT189" s="35" t="s">
        <v>995</v>
      </c>
      <c r="FU189" s="35" t="s">
        <v>1476</v>
      </c>
      <c r="FV189" s="35" t="s">
        <v>533</v>
      </c>
      <c r="FW189" s="35" t="s">
        <v>490</v>
      </c>
      <c r="FX189" s="35" t="s">
        <v>491</v>
      </c>
      <c r="FZ189" s="35" t="s">
        <v>493</v>
      </c>
      <c r="GC189" s="35" t="s">
        <v>408</v>
      </c>
      <c r="GK189" s="35" t="s">
        <v>1000</v>
      </c>
      <c r="GL189" s="35" t="s">
        <v>1000</v>
      </c>
      <c r="GM189" s="35" t="s">
        <v>817</v>
      </c>
      <c r="GR189" s="35" t="s">
        <v>5656</v>
      </c>
      <c r="GS189" s="35" t="s">
        <v>4774</v>
      </c>
      <c r="GW189" s="35" t="s">
        <v>5231</v>
      </c>
      <c r="GX189" s="35" t="s">
        <v>5232</v>
      </c>
      <c r="GY189" s="35" t="s">
        <v>5262</v>
      </c>
      <c r="GZ189" s="35" t="s">
        <v>5233</v>
      </c>
      <c r="HA189" s="35" t="s">
        <v>484</v>
      </c>
      <c r="HB189" s="35" t="s">
        <v>484</v>
      </c>
      <c r="HC189" s="35" t="s">
        <v>5961</v>
      </c>
      <c r="HP189" s="35" t="s">
        <v>5236</v>
      </c>
      <c r="HQ189" s="35" t="s">
        <v>5237</v>
      </c>
      <c r="HR189" s="35" t="s">
        <v>5238</v>
      </c>
      <c r="HS189" s="35" t="s">
        <v>5321</v>
      </c>
    </row>
    <row r="190">
      <c r="A190" s="35" t="s">
        <v>10913</v>
      </c>
      <c r="B190" s="40">
        <v>45909.61754627315</v>
      </c>
      <c r="C190" s="35" t="s">
        <v>368</v>
      </c>
      <c r="D190" s="35" t="s">
        <v>370</v>
      </c>
      <c r="E190" s="35" t="s">
        <v>370</v>
      </c>
      <c r="F190" s="35" t="s">
        <v>2359</v>
      </c>
      <c r="G190" s="35" t="s">
        <v>1421</v>
      </c>
      <c r="H190" s="35" t="s">
        <v>422</v>
      </c>
      <c r="I190" s="35" t="s">
        <v>496</v>
      </c>
      <c r="J190" s="35" t="s">
        <v>374</v>
      </c>
      <c r="K190" s="35" t="s">
        <v>718</v>
      </c>
      <c r="L190" s="35" t="s">
        <v>376</v>
      </c>
      <c r="M190" s="35" t="s">
        <v>379</v>
      </c>
      <c r="N190" s="35" t="s">
        <v>378</v>
      </c>
      <c r="O190" s="35" t="s">
        <v>793</v>
      </c>
      <c r="P190" s="35" t="s">
        <v>719</v>
      </c>
      <c r="Q190" s="35" t="s">
        <v>592</v>
      </c>
      <c r="R190" s="35" t="s">
        <v>499</v>
      </c>
      <c r="S190" s="35" t="s">
        <v>500</v>
      </c>
      <c r="T190" s="35" t="s">
        <v>384</v>
      </c>
      <c r="U190" s="35" t="s">
        <v>385</v>
      </c>
      <c r="X190" s="35" t="s">
        <v>386</v>
      </c>
      <c r="Y190" s="35" t="s">
        <v>387</v>
      </c>
      <c r="Z190" s="35" t="s">
        <v>388</v>
      </c>
      <c r="AA190" s="35" t="s">
        <v>543</v>
      </c>
      <c r="AB190" s="35" t="s">
        <v>6308</v>
      </c>
      <c r="AW190" s="35" t="s">
        <v>1310</v>
      </c>
      <c r="AX190" s="35" t="s">
        <v>391</v>
      </c>
      <c r="AY190" s="35" t="s">
        <v>391</v>
      </c>
      <c r="AZ190" s="41">
        <v>2.0</v>
      </c>
      <c r="BA190" s="35" t="s">
        <v>391</v>
      </c>
      <c r="BB190" s="41">
        <v>4.0</v>
      </c>
      <c r="BC190" s="35" t="s">
        <v>391</v>
      </c>
      <c r="BF190" s="35" t="s">
        <v>432</v>
      </c>
      <c r="BG190" s="35" t="s">
        <v>393</v>
      </c>
      <c r="BH190" s="35" t="s">
        <v>725</v>
      </c>
      <c r="BI190" s="35" t="s">
        <v>6309</v>
      </c>
      <c r="BJ190" s="35" t="s">
        <v>435</v>
      </c>
      <c r="BK190" s="35" t="s">
        <v>6310</v>
      </c>
      <c r="BL190" s="35" t="s">
        <v>437</v>
      </c>
      <c r="BM190" s="35" t="s">
        <v>438</v>
      </c>
      <c r="BN190" s="35" t="s">
        <v>1247</v>
      </c>
      <c r="BO190" s="35" t="s">
        <v>398</v>
      </c>
      <c r="BP190" s="35" t="s">
        <v>6311</v>
      </c>
      <c r="BQ190" s="35" t="s">
        <v>6312</v>
      </c>
      <c r="BR190" s="35" t="s">
        <v>401</v>
      </c>
      <c r="BS190" s="35" t="s">
        <v>6313</v>
      </c>
      <c r="BT190" s="35" t="s">
        <v>403</v>
      </c>
      <c r="BU190" s="35" t="s">
        <v>404</v>
      </c>
      <c r="BV190" s="35" t="s">
        <v>405</v>
      </c>
      <c r="BX190" s="35" t="s">
        <v>406</v>
      </c>
      <c r="BY190" s="35" t="s">
        <v>2503</v>
      </c>
      <c r="BZ190" s="35" t="s">
        <v>408</v>
      </c>
      <c r="CC190" s="35" t="s">
        <v>6314</v>
      </c>
      <c r="CD190" s="35" t="s">
        <v>6315</v>
      </c>
      <c r="CE190" s="35" t="s">
        <v>451</v>
      </c>
      <c r="CF190" s="35" t="s">
        <v>6316</v>
      </c>
      <c r="CG190" s="35" t="s">
        <v>1749</v>
      </c>
      <c r="CI190" s="35" t="s">
        <v>1698</v>
      </c>
      <c r="CJ190" s="35" t="s">
        <v>833</v>
      </c>
      <c r="CK190" s="35" t="s">
        <v>6317</v>
      </c>
      <c r="CL190" s="35" t="s">
        <v>6318</v>
      </c>
      <c r="DJ190" s="35" t="s">
        <v>963</v>
      </c>
      <c r="DK190" s="35" t="s">
        <v>460</v>
      </c>
      <c r="DL190" s="35" t="s">
        <v>6319</v>
      </c>
      <c r="EU190" s="35" t="s">
        <v>478</v>
      </c>
      <c r="EV190" s="35" t="s">
        <v>887</v>
      </c>
      <c r="EW190" s="35" t="s">
        <v>580</v>
      </c>
      <c r="FA190" s="35" t="s">
        <v>416</v>
      </c>
      <c r="FB190" s="35" t="s">
        <v>415</v>
      </c>
      <c r="FC190" s="35" t="s">
        <v>415</v>
      </c>
      <c r="FD190" s="35" t="s">
        <v>414</v>
      </c>
      <c r="FE190" s="35" t="s">
        <v>413</v>
      </c>
      <c r="FF190" s="35" t="s">
        <v>415</v>
      </c>
      <c r="FG190" s="35" t="s">
        <v>414</v>
      </c>
      <c r="FH190" s="35" t="s">
        <v>416</v>
      </c>
      <c r="FI190" s="35" t="s">
        <v>583</v>
      </c>
      <c r="FJ190" s="35" t="s">
        <v>415</v>
      </c>
      <c r="FK190" s="35" t="s">
        <v>415</v>
      </c>
      <c r="FL190" s="35" t="s">
        <v>484</v>
      </c>
      <c r="FM190" s="35" t="s">
        <v>484</v>
      </c>
      <c r="FN190" s="35" t="s">
        <v>413</v>
      </c>
      <c r="FO190" s="35" t="s">
        <v>583</v>
      </c>
      <c r="FP190" s="35" t="s">
        <v>485</v>
      </c>
      <c r="FQ190" s="35" t="s">
        <v>418</v>
      </c>
      <c r="FR190" s="35" t="s">
        <v>712</v>
      </c>
      <c r="FT190" s="35" t="s">
        <v>1076</v>
      </c>
      <c r="FU190" s="35" t="s">
        <v>1462</v>
      </c>
      <c r="FV190" s="35" t="s">
        <v>489</v>
      </c>
      <c r="FW190" s="35" t="s">
        <v>490</v>
      </c>
      <c r="FX190" s="35" t="s">
        <v>491</v>
      </c>
      <c r="FZ190" s="35" t="s">
        <v>535</v>
      </c>
      <c r="GC190" s="35" t="s">
        <v>455</v>
      </c>
      <c r="GD190" s="35" t="s">
        <v>10914</v>
      </c>
      <c r="GF190" s="35" t="s">
        <v>1339</v>
      </c>
      <c r="GK190" s="35" t="s">
        <v>755</v>
      </c>
      <c r="GL190" s="35" t="s">
        <v>755</v>
      </c>
      <c r="GM190" s="35" t="s">
        <v>817</v>
      </c>
      <c r="GR190" s="35" t="s">
        <v>3937</v>
      </c>
      <c r="GS190" s="35" t="s">
        <v>4774</v>
      </c>
      <c r="GW190" s="35" t="s">
        <v>5231</v>
      </c>
      <c r="GX190" s="35" t="s">
        <v>5232</v>
      </c>
      <c r="GY190" s="35" t="s">
        <v>484</v>
      </c>
      <c r="GZ190" s="35" t="s">
        <v>5233</v>
      </c>
      <c r="HA190" s="35" t="s">
        <v>484</v>
      </c>
      <c r="HB190" s="35" t="s">
        <v>484</v>
      </c>
      <c r="HC190" s="35" t="s">
        <v>6320</v>
      </c>
      <c r="HP190" s="35" t="s">
        <v>5236</v>
      </c>
      <c r="HQ190" s="35" t="s">
        <v>5237</v>
      </c>
      <c r="HR190" s="35" t="s">
        <v>5286</v>
      </c>
      <c r="HS190" s="35" t="s">
        <v>5239</v>
      </c>
      <c r="MK190" s="35" t="s">
        <v>6321</v>
      </c>
    </row>
    <row r="191">
      <c r="A191" s="35" t="s">
        <v>10915</v>
      </c>
      <c r="B191" s="40">
        <v>45920.67861195602</v>
      </c>
      <c r="C191" s="35" t="s">
        <v>368</v>
      </c>
      <c r="D191" s="35" t="s">
        <v>894</v>
      </c>
      <c r="E191" s="35" t="s">
        <v>894</v>
      </c>
      <c r="H191" s="35" t="s">
        <v>422</v>
      </c>
      <c r="I191" s="35" t="s">
        <v>637</v>
      </c>
      <c r="J191" s="35" t="s">
        <v>638</v>
      </c>
      <c r="K191" s="35" t="s">
        <v>1204</v>
      </c>
      <c r="L191" s="35" t="s">
        <v>376</v>
      </c>
      <c r="M191" s="35" t="s">
        <v>793</v>
      </c>
      <c r="N191" s="35" t="s">
        <v>720</v>
      </c>
      <c r="O191" s="35" t="s">
        <v>379</v>
      </c>
      <c r="P191" s="35" t="s">
        <v>1385</v>
      </c>
      <c r="Q191" s="35" t="s">
        <v>381</v>
      </c>
      <c r="R191" s="35" t="s">
        <v>382</v>
      </c>
      <c r="S191" s="35" t="s">
        <v>949</v>
      </c>
      <c r="T191" s="35" t="s">
        <v>384</v>
      </c>
      <c r="U191" s="35" t="s">
        <v>385</v>
      </c>
      <c r="V191" s="35" t="s">
        <v>1045</v>
      </c>
      <c r="W191" s="35" t="s">
        <v>1045</v>
      </c>
      <c r="X191" s="35" t="s">
        <v>386</v>
      </c>
      <c r="Y191" s="35" t="s">
        <v>387</v>
      </c>
      <c r="Z191" s="35" t="s">
        <v>3353</v>
      </c>
      <c r="AA191" s="35" t="s">
        <v>389</v>
      </c>
      <c r="AB191" s="35" t="s">
        <v>6477</v>
      </c>
      <c r="AC191" s="35" t="s">
        <v>552</v>
      </c>
      <c r="AW191" s="35" t="s">
        <v>597</v>
      </c>
      <c r="AX191" s="41">
        <v>2.0</v>
      </c>
      <c r="AY191" s="35" t="s">
        <v>429</v>
      </c>
      <c r="AZ191" s="41">
        <v>4.0</v>
      </c>
      <c r="BA191" s="35" t="s">
        <v>391</v>
      </c>
      <c r="BB191" s="35" t="s">
        <v>429</v>
      </c>
      <c r="BC191" s="35" t="s">
        <v>391</v>
      </c>
      <c r="BD191" s="35" t="s">
        <v>6478</v>
      </c>
      <c r="BE191" s="35" t="s">
        <v>6479</v>
      </c>
      <c r="BF191" s="35" t="s">
        <v>432</v>
      </c>
      <c r="BG191" s="35" t="s">
        <v>433</v>
      </c>
      <c r="BH191" s="35" t="s">
        <v>394</v>
      </c>
      <c r="BI191" s="35" t="s">
        <v>6480</v>
      </c>
      <c r="BJ191" s="35" t="s">
        <v>824</v>
      </c>
      <c r="BL191" s="35" t="s">
        <v>3700</v>
      </c>
      <c r="BM191" s="35" t="s">
        <v>438</v>
      </c>
      <c r="BN191" s="35" t="s">
        <v>549</v>
      </c>
      <c r="BO191" s="35" t="s">
        <v>398</v>
      </c>
      <c r="BP191" s="35" t="s">
        <v>6481</v>
      </c>
      <c r="BQ191" s="35" t="s">
        <v>6482</v>
      </c>
      <c r="BR191" s="35" t="s">
        <v>604</v>
      </c>
      <c r="BS191" s="35" t="s">
        <v>6483</v>
      </c>
      <c r="BT191" s="35" t="s">
        <v>1671</v>
      </c>
      <c r="BU191" s="35" t="s">
        <v>1994</v>
      </c>
      <c r="BV191" s="35" t="s">
        <v>405</v>
      </c>
      <c r="BX191" s="35" t="s">
        <v>457</v>
      </c>
      <c r="BZ191" s="35" t="s">
        <v>733</v>
      </c>
      <c r="CA191" s="35" t="s">
        <v>6484</v>
      </c>
      <c r="CB191" s="35" t="s">
        <v>6485</v>
      </c>
      <c r="CC191" s="35" t="s">
        <v>6486</v>
      </c>
      <c r="CD191" s="35" t="s">
        <v>6487</v>
      </c>
      <c r="CE191" s="35" t="s">
        <v>409</v>
      </c>
      <c r="CF191" s="35" t="s">
        <v>6488</v>
      </c>
      <c r="CG191" s="35" t="s">
        <v>2233</v>
      </c>
      <c r="CI191" s="35" t="s">
        <v>1751</v>
      </c>
      <c r="CJ191" s="35" t="s">
        <v>833</v>
      </c>
      <c r="CK191" s="35" t="s">
        <v>6489</v>
      </c>
      <c r="CL191" s="35" t="s">
        <v>6490</v>
      </c>
      <c r="DJ191" s="35" t="s">
        <v>963</v>
      </c>
      <c r="DK191" s="35" t="s">
        <v>460</v>
      </c>
      <c r="DL191" s="35" t="s">
        <v>6319</v>
      </c>
      <c r="EU191" s="35" t="s">
        <v>526</v>
      </c>
      <c r="EV191" s="35" t="s">
        <v>579</v>
      </c>
      <c r="EY191" s="35" t="s">
        <v>6491</v>
      </c>
      <c r="EZ191" s="35" t="s">
        <v>6492</v>
      </c>
      <c r="FA191" s="35" t="s">
        <v>414</v>
      </c>
      <c r="FB191" s="35" t="s">
        <v>583</v>
      </c>
      <c r="FC191" s="35" t="s">
        <v>416</v>
      </c>
      <c r="FD191" s="35" t="s">
        <v>413</v>
      </c>
      <c r="FE191" s="35" t="s">
        <v>413</v>
      </c>
      <c r="FF191" s="35" t="s">
        <v>583</v>
      </c>
      <c r="FG191" s="35" t="s">
        <v>416</v>
      </c>
      <c r="FH191" s="35" t="s">
        <v>484</v>
      </c>
      <c r="FI191" s="35" t="s">
        <v>583</v>
      </c>
      <c r="FJ191" s="35" t="s">
        <v>413</v>
      </c>
      <c r="FK191" s="35" t="s">
        <v>413</v>
      </c>
      <c r="FL191" s="35" t="s">
        <v>484</v>
      </c>
      <c r="FM191" s="35" t="s">
        <v>484</v>
      </c>
      <c r="FN191" s="35" t="s">
        <v>416</v>
      </c>
      <c r="FO191" s="35" t="s">
        <v>414</v>
      </c>
      <c r="FP191" s="35" t="s">
        <v>417</v>
      </c>
      <c r="FQ191" s="35" t="s">
        <v>418</v>
      </c>
      <c r="FR191" s="35" t="s">
        <v>712</v>
      </c>
      <c r="FT191" s="35" t="s">
        <v>420</v>
      </c>
      <c r="FU191" s="35" t="s">
        <v>488</v>
      </c>
      <c r="FV191" s="35" t="s">
        <v>1235</v>
      </c>
      <c r="FW191" s="35" t="s">
        <v>490</v>
      </c>
      <c r="FX191" s="35" t="s">
        <v>491</v>
      </c>
      <c r="FY191" s="35" t="s">
        <v>6493</v>
      </c>
      <c r="FZ191" s="35" t="s">
        <v>493</v>
      </c>
      <c r="GA191" s="35" t="s">
        <v>6494</v>
      </c>
      <c r="GB191" s="35" t="s">
        <v>6495</v>
      </c>
      <c r="GC191" s="35" t="s">
        <v>455</v>
      </c>
      <c r="GD191" s="35" t="s">
        <v>10916</v>
      </c>
      <c r="GE191" s="35" t="s">
        <v>552</v>
      </c>
      <c r="GF191" s="35" t="s">
        <v>855</v>
      </c>
      <c r="GG191" s="35" t="s">
        <v>6496</v>
      </c>
      <c r="GK191" s="35" t="s">
        <v>857</v>
      </c>
      <c r="GL191" s="35" t="s">
        <v>857</v>
      </c>
      <c r="GM191" s="35" t="s">
        <v>858</v>
      </c>
      <c r="GR191" s="35" t="s">
        <v>3208</v>
      </c>
      <c r="GS191" s="35" t="s">
        <v>5318</v>
      </c>
      <c r="GW191" s="35" t="s">
        <v>5231</v>
      </c>
      <c r="GX191" s="35" t="s">
        <v>5232</v>
      </c>
      <c r="GY191" s="35" t="s">
        <v>5281</v>
      </c>
      <c r="GZ191" s="35" t="s">
        <v>6497</v>
      </c>
      <c r="HA191" s="35" t="s">
        <v>484</v>
      </c>
      <c r="HB191" s="35" t="s">
        <v>5960</v>
      </c>
      <c r="HC191" s="35" t="s">
        <v>6498</v>
      </c>
      <c r="HP191" s="35" t="s">
        <v>5346</v>
      </c>
      <c r="HQ191" s="35" t="s">
        <v>5264</v>
      </c>
      <c r="HR191" s="35" t="s">
        <v>5238</v>
      </c>
      <c r="HS191" s="35" t="s">
        <v>6499</v>
      </c>
      <c r="MK191" s="35" t="s">
        <v>6321</v>
      </c>
    </row>
    <row r="192">
      <c r="A192" s="35" t="s">
        <v>10917</v>
      </c>
      <c r="B192" s="40">
        <v>45921.55864135417</v>
      </c>
      <c r="C192" s="35" t="s">
        <v>368</v>
      </c>
      <c r="D192" s="35" t="s">
        <v>370</v>
      </c>
      <c r="E192" s="35" t="s">
        <v>370</v>
      </c>
      <c r="F192" s="35" t="s">
        <v>1798</v>
      </c>
      <c r="G192" s="35" t="s">
        <v>2388</v>
      </c>
      <c r="H192" s="35" t="s">
        <v>422</v>
      </c>
      <c r="I192" s="35" t="s">
        <v>373</v>
      </c>
      <c r="J192" s="35" t="s">
        <v>374</v>
      </c>
      <c r="K192" s="35" t="s">
        <v>540</v>
      </c>
      <c r="L192" s="35" t="s">
        <v>376</v>
      </c>
      <c r="M192" s="35" t="s">
        <v>426</v>
      </c>
      <c r="N192" s="35" t="s">
        <v>6538</v>
      </c>
      <c r="O192" s="35" t="s">
        <v>793</v>
      </c>
      <c r="P192" s="35" t="s">
        <v>6539</v>
      </c>
      <c r="Q192" s="35" t="s">
        <v>592</v>
      </c>
      <c r="R192" s="35" t="s">
        <v>382</v>
      </c>
      <c r="S192" s="35" t="s">
        <v>795</v>
      </c>
      <c r="T192" s="35" t="s">
        <v>384</v>
      </c>
      <c r="U192" s="35" t="s">
        <v>385</v>
      </c>
      <c r="X192" s="35" t="s">
        <v>3231</v>
      </c>
      <c r="AW192" s="35" t="s">
        <v>1310</v>
      </c>
      <c r="AX192" s="41">
        <v>4.0</v>
      </c>
      <c r="AY192" s="41">
        <v>4.0</v>
      </c>
      <c r="AZ192" s="41">
        <v>4.0</v>
      </c>
      <c r="BA192" s="41">
        <v>4.0</v>
      </c>
      <c r="BB192" s="41">
        <v>4.0</v>
      </c>
      <c r="BC192" s="41">
        <v>4.0</v>
      </c>
      <c r="BF192" s="35" t="s">
        <v>902</v>
      </c>
      <c r="BG192" s="35" t="s">
        <v>393</v>
      </c>
      <c r="BH192" s="35" t="s">
        <v>678</v>
      </c>
      <c r="BJ192" s="35" t="s">
        <v>435</v>
      </c>
      <c r="BL192" s="35" t="s">
        <v>681</v>
      </c>
      <c r="BM192" s="35" t="s">
        <v>438</v>
      </c>
      <c r="BN192" s="35" t="s">
        <v>1314</v>
      </c>
      <c r="BO192" s="35" t="s">
        <v>398</v>
      </c>
      <c r="BP192" s="35" t="s">
        <v>6540</v>
      </c>
      <c r="BQ192" s="35" t="s">
        <v>6541</v>
      </c>
      <c r="BR192" s="35" t="s">
        <v>401</v>
      </c>
      <c r="BS192" s="35" t="s">
        <v>913</v>
      </c>
      <c r="BT192" s="35" t="s">
        <v>1692</v>
      </c>
      <c r="BU192" s="35" t="s">
        <v>404</v>
      </c>
      <c r="BV192" s="35" t="s">
        <v>405</v>
      </c>
      <c r="BX192" s="35" t="s">
        <v>406</v>
      </c>
      <c r="BY192" s="35" t="s">
        <v>407</v>
      </c>
      <c r="BZ192" s="35" t="s">
        <v>408</v>
      </c>
      <c r="CC192" s="35" t="s">
        <v>6542</v>
      </c>
      <c r="CD192" s="35" t="s">
        <v>6543</v>
      </c>
      <c r="CE192" s="35" t="s">
        <v>1931</v>
      </c>
      <c r="CG192" s="35" t="s">
        <v>1697</v>
      </c>
      <c r="CI192" s="35" t="s">
        <v>1259</v>
      </c>
      <c r="CJ192" s="35" t="s">
        <v>1964</v>
      </c>
      <c r="CK192" s="35" t="s">
        <v>6544</v>
      </c>
      <c r="DJ192" s="35" t="s">
        <v>459</v>
      </c>
      <c r="DK192" s="35" t="s">
        <v>460</v>
      </c>
      <c r="DL192" s="35" t="s">
        <v>6319</v>
      </c>
      <c r="EU192" s="35" t="s">
        <v>478</v>
      </c>
      <c r="EV192" s="35" t="s">
        <v>1037</v>
      </c>
      <c r="EW192" s="35" t="s">
        <v>1262</v>
      </c>
      <c r="FA192" s="35" t="s">
        <v>416</v>
      </c>
      <c r="FB192" s="35" t="s">
        <v>416</v>
      </c>
      <c r="FC192" s="35" t="s">
        <v>413</v>
      </c>
      <c r="FD192" s="35" t="s">
        <v>413</v>
      </c>
      <c r="FE192" s="35" t="s">
        <v>413</v>
      </c>
      <c r="FF192" s="35" t="s">
        <v>416</v>
      </c>
      <c r="FG192" s="35" t="s">
        <v>413</v>
      </c>
      <c r="FH192" s="35" t="s">
        <v>413</v>
      </c>
      <c r="FI192" s="35" t="s">
        <v>413</v>
      </c>
      <c r="FJ192" s="35" t="s">
        <v>413</v>
      </c>
      <c r="FK192" s="35" t="s">
        <v>413</v>
      </c>
      <c r="FL192" s="35" t="s">
        <v>413</v>
      </c>
      <c r="FM192" s="35" t="s">
        <v>413</v>
      </c>
      <c r="FN192" s="35" t="s">
        <v>416</v>
      </c>
      <c r="FO192" s="35" t="s">
        <v>415</v>
      </c>
      <c r="FP192" s="35" t="s">
        <v>417</v>
      </c>
      <c r="FQ192" s="35" t="s">
        <v>418</v>
      </c>
      <c r="FR192" s="35" t="s">
        <v>712</v>
      </c>
      <c r="FT192" s="35" t="s">
        <v>420</v>
      </c>
      <c r="FU192" s="35" t="s">
        <v>488</v>
      </c>
      <c r="FV192" s="35" t="s">
        <v>918</v>
      </c>
      <c r="FW192" s="35" t="s">
        <v>1101</v>
      </c>
      <c r="FX192" s="35" t="s">
        <v>491</v>
      </c>
      <c r="FY192" s="35" t="s">
        <v>6545</v>
      </c>
      <c r="FZ192" s="35" t="s">
        <v>535</v>
      </c>
      <c r="GA192" s="35" t="s">
        <v>6546</v>
      </c>
      <c r="GC192" s="35" t="s">
        <v>455</v>
      </c>
      <c r="GD192" s="35" t="s">
        <v>10918</v>
      </c>
      <c r="GF192" s="35" t="s">
        <v>944</v>
      </c>
      <c r="GK192" s="35" t="s">
        <v>857</v>
      </c>
      <c r="GL192" s="35" t="s">
        <v>920</v>
      </c>
      <c r="GM192" s="35" t="s">
        <v>756</v>
      </c>
      <c r="GQ192" s="35" t="s">
        <v>387</v>
      </c>
      <c r="GR192" s="35" t="s">
        <v>3208</v>
      </c>
      <c r="GS192" s="35" t="s">
        <v>4774</v>
      </c>
      <c r="GW192" s="35" t="s">
        <v>5231</v>
      </c>
      <c r="GX192" s="35" t="s">
        <v>5232</v>
      </c>
      <c r="GY192" s="35" t="s">
        <v>5262</v>
      </c>
      <c r="GZ192" s="35" t="s">
        <v>5233</v>
      </c>
      <c r="HA192" s="35" t="s">
        <v>5234</v>
      </c>
      <c r="HB192" s="35" t="s">
        <v>484</v>
      </c>
      <c r="HC192" s="35" t="s">
        <v>6547</v>
      </c>
      <c r="HP192" s="35" t="s">
        <v>5383</v>
      </c>
      <c r="HQ192" s="35" t="s">
        <v>5264</v>
      </c>
      <c r="HR192" s="35" t="s">
        <v>5238</v>
      </c>
      <c r="HS192" s="35" t="s">
        <v>5347</v>
      </c>
      <c r="MK192" s="35" t="s">
        <v>6321</v>
      </c>
    </row>
    <row r="193">
      <c r="A193" s="35" t="s">
        <v>10919</v>
      </c>
      <c r="B193" s="40">
        <v>45922.60076869213</v>
      </c>
      <c r="C193" s="35" t="s">
        <v>368</v>
      </c>
      <c r="D193" s="35" t="s">
        <v>370</v>
      </c>
      <c r="E193" s="35" t="s">
        <v>370</v>
      </c>
      <c r="F193" s="35" t="s">
        <v>5221</v>
      </c>
      <c r="G193" s="35" t="s">
        <v>6634</v>
      </c>
      <c r="H193" s="35" t="s">
        <v>422</v>
      </c>
      <c r="I193" s="35" t="s">
        <v>1921</v>
      </c>
      <c r="J193" s="35" t="s">
        <v>1022</v>
      </c>
      <c r="K193" s="35" t="s">
        <v>718</v>
      </c>
      <c r="L193" s="35" t="s">
        <v>376</v>
      </c>
      <c r="M193" s="35" t="s">
        <v>793</v>
      </c>
      <c r="N193" s="35" t="s">
        <v>639</v>
      </c>
      <c r="O193" s="35" t="s">
        <v>591</v>
      </c>
      <c r="P193" s="35" t="s">
        <v>2464</v>
      </c>
      <c r="Q193" s="35" t="s">
        <v>498</v>
      </c>
      <c r="R193" s="35" t="s">
        <v>759</v>
      </c>
      <c r="S193" s="35" t="s">
        <v>949</v>
      </c>
      <c r="T193" s="35" t="s">
        <v>384</v>
      </c>
      <c r="U193" s="35" t="s">
        <v>1023</v>
      </c>
      <c r="X193" s="35" t="s">
        <v>1023</v>
      </c>
      <c r="AW193" s="35" t="s">
        <v>597</v>
      </c>
      <c r="AX193" s="35" t="s">
        <v>675</v>
      </c>
      <c r="AY193" s="41">
        <v>4.0</v>
      </c>
      <c r="AZ193" s="41">
        <v>4.0</v>
      </c>
      <c r="BA193" s="35" t="s">
        <v>675</v>
      </c>
      <c r="BB193" s="35" t="s">
        <v>675</v>
      </c>
      <c r="BC193" s="35" t="s">
        <v>675</v>
      </c>
      <c r="BD193" s="35" t="s">
        <v>6635</v>
      </c>
      <c r="BE193" s="35" t="s">
        <v>6636</v>
      </c>
      <c r="BF193" s="35" t="s">
        <v>392</v>
      </c>
      <c r="BG193" s="35" t="s">
        <v>393</v>
      </c>
      <c r="BH193" s="35" t="s">
        <v>394</v>
      </c>
      <c r="BJ193" s="35" t="s">
        <v>824</v>
      </c>
      <c r="BL193" s="35" t="s">
        <v>437</v>
      </c>
      <c r="BM193" s="35" t="s">
        <v>396</v>
      </c>
      <c r="BN193" s="35" t="s">
        <v>397</v>
      </c>
      <c r="BO193" s="35" t="s">
        <v>398</v>
      </c>
      <c r="BP193" s="35" t="s">
        <v>6637</v>
      </c>
      <c r="BQ193" s="35" t="s">
        <v>6638</v>
      </c>
      <c r="BR193" s="35" t="s">
        <v>604</v>
      </c>
      <c r="BS193" s="35" t="s">
        <v>1928</v>
      </c>
      <c r="BT193" s="35" t="s">
        <v>403</v>
      </c>
      <c r="BU193" s="35" t="s">
        <v>5175</v>
      </c>
      <c r="BV193" s="35" t="s">
        <v>405</v>
      </c>
      <c r="BX193" s="35" t="s">
        <v>406</v>
      </c>
      <c r="BZ193" s="35" t="s">
        <v>408</v>
      </c>
      <c r="CC193" s="35" t="s">
        <v>6639</v>
      </c>
      <c r="CD193" s="35" t="s">
        <v>6640</v>
      </c>
      <c r="CE193" s="35" t="s">
        <v>1257</v>
      </c>
      <c r="CG193" s="35" t="s">
        <v>1258</v>
      </c>
      <c r="CI193" s="35" t="s">
        <v>1698</v>
      </c>
      <c r="CJ193" s="35" t="s">
        <v>1220</v>
      </c>
      <c r="CK193" s="35" t="s">
        <v>6641</v>
      </c>
      <c r="CL193" s="35" t="s">
        <v>6642</v>
      </c>
      <c r="DJ193" s="35" t="s">
        <v>963</v>
      </c>
      <c r="DK193" s="35" t="s">
        <v>562</v>
      </c>
      <c r="DL193" s="35" t="s">
        <v>6335</v>
      </c>
      <c r="EU193" s="35" t="s">
        <v>526</v>
      </c>
      <c r="EV193" s="35" t="s">
        <v>887</v>
      </c>
      <c r="EW193" s="35" t="s">
        <v>1262</v>
      </c>
      <c r="EY193" s="35" t="s">
        <v>6643</v>
      </c>
      <c r="FA193" s="35" t="s">
        <v>414</v>
      </c>
      <c r="FB193" s="35" t="s">
        <v>583</v>
      </c>
      <c r="FC193" s="35" t="s">
        <v>414</v>
      </c>
      <c r="FD193" s="35" t="s">
        <v>414</v>
      </c>
      <c r="FE193" s="35" t="s">
        <v>415</v>
      </c>
      <c r="FF193" s="35" t="s">
        <v>415</v>
      </c>
      <c r="FG193" s="35" t="s">
        <v>414</v>
      </c>
      <c r="FH193" s="35" t="s">
        <v>416</v>
      </c>
      <c r="FI193" s="35" t="s">
        <v>416</v>
      </c>
      <c r="FJ193" s="35" t="s">
        <v>414</v>
      </c>
      <c r="FK193" s="35" t="s">
        <v>414</v>
      </c>
      <c r="FL193" s="35" t="s">
        <v>415</v>
      </c>
      <c r="FM193" s="35" t="s">
        <v>415</v>
      </c>
      <c r="FN193" s="35" t="s">
        <v>415</v>
      </c>
      <c r="FO193" s="35" t="s">
        <v>415</v>
      </c>
      <c r="FP193" s="35" t="s">
        <v>417</v>
      </c>
      <c r="FQ193" s="35" t="s">
        <v>486</v>
      </c>
      <c r="FR193" s="35" t="s">
        <v>712</v>
      </c>
      <c r="FT193" s="35" t="s">
        <v>995</v>
      </c>
      <c r="FU193" s="35" t="s">
        <v>421</v>
      </c>
      <c r="FV193" s="35" t="s">
        <v>533</v>
      </c>
      <c r="FW193" s="35" t="s">
        <v>490</v>
      </c>
      <c r="FX193" s="35" t="s">
        <v>491</v>
      </c>
      <c r="FY193" s="35" t="s">
        <v>6644</v>
      </c>
      <c r="FZ193" s="35" t="s">
        <v>535</v>
      </c>
      <c r="GC193" s="35" t="s">
        <v>455</v>
      </c>
      <c r="GD193" s="35" t="s">
        <v>10920</v>
      </c>
      <c r="GF193" s="35" t="s">
        <v>753</v>
      </c>
      <c r="GK193" s="35" t="s">
        <v>755</v>
      </c>
      <c r="GL193" s="35" t="s">
        <v>755</v>
      </c>
      <c r="GM193" s="35" t="s">
        <v>946</v>
      </c>
      <c r="GR193" s="35" t="s">
        <v>4653</v>
      </c>
      <c r="GS193" s="35" t="s">
        <v>4774</v>
      </c>
      <c r="GW193" s="35" t="s">
        <v>5231</v>
      </c>
      <c r="GX193" s="35" t="s">
        <v>5232</v>
      </c>
      <c r="GY193" s="35" t="s">
        <v>5281</v>
      </c>
      <c r="GZ193" s="35" t="s">
        <v>5233</v>
      </c>
      <c r="HA193" s="35" t="s">
        <v>484</v>
      </c>
      <c r="HB193" s="35" t="s">
        <v>5864</v>
      </c>
      <c r="HC193" s="35" t="s">
        <v>913</v>
      </c>
      <c r="HP193" s="35" t="s">
        <v>5236</v>
      </c>
      <c r="HQ193" s="35" t="s">
        <v>5302</v>
      </c>
      <c r="HR193" s="35" t="s">
        <v>5238</v>
      </c>
      <c r="HS193" s="35" t="s">
        <v>913</v>
      </c>
      <c r="MK193" s="35" t="s">
        <v>6321</v>
      </c>
    </row>
    <row r="194">
      <c r="A194" s="35" t="s">
        <v>10921</v>
      </c>
      <c r="B194" s="40">
        <v>45923.83860096065</v>
      </c>
      <c r="C194" s="35" t="s">
        <v>368</v>
      </c>
      <c r="D194" s="35" t="s">
        <v>894</v>
      </c>
      <c r="E194" s="35" t="s">
        <v>894</v>
      </c>
      <c r="H194" s="35" t="s">
        <v>422</v>
      </c>
      <c r="I194" s="35" t="s">
        <v>496</v>
      </c>
      <c r="J194" s="35" t="s">
        <v>2578</v>
      </c>
      <c r="K194" s="35" t="s">
        <v>1240</v>
      </c>
      <c r="L194" s="35" t="s">
        <v>376</v>
      </c>
      <c r="M194" s="35" t="s">
        <v>591</v>
      </c>
      <c r="N194" s="35" t="s">
        <v>860</v>
      </c>
      <c r="O194" s="35" t="s">
        <v>591</v>
      </c>
      <c r="P194" s="35" t="s">
        <v>719</v>
      </c>
      <c r="Q194" s="35" t="s">
        <v>592</v>
      </c>
      <c r="R194" s="35" t="s">
        <v>499</v>
      </c>
      <c r="S194" s="35" t="s">
        <v>949</v>
      </c>
      <c r="T194" s="35" t="s">
        <v>384</v>
      </c>
      <c r="U194" s="35" t="s">
        <v>385</v>
      </c>
      <c r="V194" s="35" t="s">
        <v>896</v>
      </c>
      <c r="W194" s="35" t="s">
        <v>896</v>
      </c>
      <c r="X194" s="35" t="s">
        <v>3231</v>
      </c>
      <c r="AW194" s="35" t="s">
        <v>1310</v>
      </c>
      <c r="AX194" s="35" t="s">
        <v>675</v>
      </c>
      <c r="AY194" s="41">
        <v>4.0</v>
      </c>
      <c r="AZ194" s="35" t="s">
        <v>675</v>
      </c>
      <c r="BA194" s="35" t="s">
        <v>675</v>
      </c>
      <c r="BB194" s="35" t="s">
        <v>675</v>
      </c>
      <c r="BC194" s="35" t="s">
        <v>675</v>
      </c>
      <c r="BF194" s="35" t="s">
        <v>432</v>
      </c>
      <c r="BG194" s="35" t="s">
        <v>1047</v>
      </c>
      <c r="BH194" s="35" t="s">
        <v>394</v>
      </c>
      <c r="BJ194" s="35" t="s">
        <v>976</v>
      </c>
      <c r="BL194" s="35" t="s">
        <v>681</v>
      </c>
      <c r="BM194" s="35" t="s">
        <v>603</v>
      </c>
      <c r="BN194" s="35" t="s">
        <v>1247</v>
      </c>
      <c r="BO194" s="35" t="s">
        <v>398</v>
      </c>
      <c r="BP194" s="35" t="s">
        <v>6671</v>
      </c>
      <c r="BQ194" s="35" t="s">
        <v>408</v>
      </c>
      <c r="BR194" s="35" t="s">
        <v>604</v>
      </c>
      <c r="BS194" s="35" t="s">
        <v>1740</v>
      </c>
      <c r="BT194" s="35" t="s">
        <v>403</v>
      </c>
      <c r="BU194" s="35" t="s">
        <v>1994</v>
      </c>
      <c r="BV194" s="35" t="s">
        <v>1772</v>
      </c>
      <c r="BW194" s="35" t="s">
        <v>6672</v>
      </c>
      <c r="BX194" s="35" t="s">
        <v>406</v>
      </c>
      <c r="BY194" s="35" t="s">
        <v>2503</v>
      </c>
      <c r="BZ194" s="35" t="s">
        <v>408</v>
      </c>
      <c r="CC194" s="35" t="s">
        <v>6673</v>
      </c>
      <c r="CD194" s="35" t="s">
        <v>6674</v>
      </c>
      <c r="CE194" s="35" t="s">
        <v>409</v>
      </c>
      <c r="CF194" s="35" t="s">
        <v>6675</v>
      </c>
      <c r="CG194" s="35" t="s">
        <v>1749</v>
      </c>
      <c r="CH194" s="35" t="s">
        <v>6676</v>
      </c>
      <c r="CI194" s="35" t="s">
        <v>1259</v>
      </c>
      <c r="CJ194" s="35" t="s">
        <v>833</v>
      </c>
      <c r="CK194" s="35" t="s">
        <v>6677</v>
      </c>
      <c r="CL194" s="35" t="s">
        <v>6678</v>
      </c>
      <c r="DJ194" s="35" t="s">
        <v>963</v>
      </c>
      <c r="DK194" s="35" t="s">
        <v>613</v>
      </c>
      <c r="EU194" s="35" t="s">
        <v>578</v>
      </c>
      <c r="EV194" s="35" t="s">
        <v>579</v>
      </c>
      <c r="EW194" s="35" t="s">
        <v>1262</v>
      </c>
      <c r="EY194" s="35" t="s">
        <v>6679</v>
      </c>
      <c r="EZ194" s="35" t="s">
        <v>6680</v>
      </c>
      <c r="FA194" s="35" t="s">
        <v>413</v>
      </c>
      <c r="FB194" s="35" t="s">
        <v>415</v>
      </c>
      <c r="FC194" s="35" t="s">
        <v>413</v>
      </c>
      <c r="FD194" s="35" t="s">
        <v>413</v>
      </c>
      <c r="FE194" s="35" t="s">
        <v>413</v>
      </c>
      <c r="FF194" s="35" t="s">
        <v>415</v>
      </c>
      <c r="FG194" s="35" t="s">
        <v>415</v>
      </c>
      <c r="FH194" s="35" t="s">
        <v>413</v>
      </c>
      <c r="FI194" s="35" t="s">
        <v>583</v>
      </c>
      <c r="FJ194" s="35" t="s">
        <v>415</v>
      </c>
      <c r="FK194" s="35" t="s">
        <v>415</v>
      </c>
      <c r="FL194" s="35" t="s">
        <v>415</v>
      </c>
      <c r="FM194" s="35" t="s">
        <v>415</v>
      </c>
      <c r="FN194" s="35" t="s">
        <v>415</v>
      </c>
      <c r="FO194" s="35" t="s">
        <v>415</v>
      </c>
      <c r="FP194" s="35" t="s">
        <v>417</v>
      </c>
      <c r="FQ194" s="35" t="s">
        <v>418</v>
      </c>
      <c r="FR194" s="35" t="s">
        <v>749</v>
      </c>
      <c r="FT194" s="35" t="s">
        <v>420</v>
      </c>
      <c r="FU194" s="35" t="s">
        <v>488</v>
      </c>
      <c r="FV194" s="35" t="s">
        <v>585</v>
      </c>
      <c r="FW194" s="35" t="s">
        <v>490</v>
      </c>
      <c r="FX194" s="35" t="s">
        <v>491</v>
      </c>
      <c r="FZ194" s="35" t="s">
        <v>535</v>
      </c>
      <c r="GA194" s="35" t="s">
        <v>6681</v>
      </c>
      <c r="GC194" s="35" t="s">
        <v>455</v>
      </c>
      <c r="GF194" s="35" t="s">
        <v>1420</v>
      </c>
      <c r="GK194" s="35" t="s">
        <v>1000</v>
      </c>
      <c r="GL194" s="35" t="s">
        <v>1000</v>
      </c>
      <c r="GM194" s="35" t="s">
        <v>817</v>
      </c>
      <c r="GQ194" s="35" t="s">
        <v>387</v>
      </c>
      <c r="GR194" s="35" t="s">
        <v>4653</v>
      </c>
      <c r="GS194" s="35" t="s">
        <v>4741</v>
      </c>
      <c r="GT194" s="35" t="s">
        <v>408</v>
      </c>
      <c r="GW194" s="35" t="s">
        <v>5231</v>
      </c>
      <c r="GX194" s="35" t="s">
        <v>5232</v>
      </c>
      <c r="GY194" s="35" t="s">
        <v>5281</v>
      </c>
      <c r="GZ194" s="35" t="s">
        <v>6013</v>
      </c>
      <c r="HA194" s="35" t="s">
        <v>5234</v>
      </c>
      <c r="HB194" s="35" t="s">
        <v>484</v>
      </c>
      <c r="HC194" s="35" t="s">
        <v>5370</v>
      </c>
      <c r="HP194" s="35" t="s">
        <v>5236</v>
      </c>
      <c r="HQ194" s="35" t="s">
        <v>5371</v>
      </c>
      <c r="HR194" s="35" t="s">
        <v>5238</v>
      </c>
      <c r="HS194" s="35" t="s">
        <v>5321</v>
      </c>
      <c r="MK194" s="35" t="s">
        <v>6321</v>
      </c>
    </row>
    <row r="195">
      <c r="A195" s="35" t="s">
        <v>10922</v>
      </c>
      <c r="B195" s="40">
        <v>45929.53502336805</v>
      </c>
      <c r="C195" s="35" t="s">
        <v>368</v>
      </c>
      <c r="D195" s="35" t="s">
        <v>635</v>
      </c>
      <c r="E195" s="35" t="s">
        <v>635</v>
      </c>
      <c r="H195" s="35" t="s">
        <v>422</v>
      </c>
      <c r="I195" s="35" t="s">
        <v>637</v>
      </c>
      <c r="J195" s="35" t="s">
        <v>638</v>
      </c>
      <c r="K195" s="35" t="s">
        <v>375</v>
      </c>
      <c r="L195" s="35" t="s">
        <v>376</v>
      </c>
      <c r="M195" s="35" t="s">
        <v>793</v>
      </c>
      <c r="N195" s="35" t="s">
        <v>720</v>
      </c>
      <c r="O195" s="35" t="s">
        <v>793</v>
      </c>
      <c r="P195" s="35" t="s">
        <v>380</v>
      </c>
      <c r="Q195" s="35" t="s">
        <v>592</v>
      </c>
      <c r="R195" s="35" t="s">
        <v>382</v>
      </c>
      <c r="S195" s="35" t="s">
        <v>500</v>
      </c>
      <c r="T195" s="35" t="s">
        <v>384</v>
      </c>
      <c r="U195" s="35" t="s">
        <v>385</v>
      </c>
      <c r="X195" s="35" t="s">
        <v>386</v>
      </c>
      <c r="Y195" s="35" t="s">
        <v>387</v>
      </c>
      <c r="Z195" s="35" t="s">
        <v>388</v>
      </c>
      <c r="AA195" s="35" t="s">
        <v>543</v>
      </c>
      <c r="AW195" s="35" t="s">
        <v>1242</v>
      </c>
      <c r="AX195" s="35" t="s">
        <v>675</v>
      </c>
      <c r="AY195" s="35" t="s">
        <v>675</v>
      </c>
      <c r="AZ195" s="35" t="s">
        <v>675</v>
      </c>
      <c r="BA195" s="35" t="s">
        <v>675</v>
      </c>
      <c r="BB195" s="35" t="s">
        <v>675</v>
      </c>
      <c r="BC195" s="35" t="s">
        <v>675</v>
      </c>
      <c r="BF195" s="35" t="s">
        <v>432</v>
      </c>
      <c r="BG195" s="35" t="s">
        <v>1245</v>
      </c>
      <c r="BH195" s="35" t="s">
        <v>394</v>
      </c>
      <c r="BJ195" s="35" t="s">
        <v>976</v>
      </c>
      <c r="BL195" s="35" t="s">
        <v>437</v>
      </c>
      <c r="BM195" s="35" t="s">
        <v>904</v>
      </c>
      <c r="BN195" s="35" t="s">
        <v>1314</v>
      </c>
      <c r="BO195" s="35" t="s">
        <v>398</v>
      </c>
      <c r="BR195" s="35" t="s">
        <v>401</v>
      </c>
      <c r="BS195" s="35" t="s">
        <v>1740</v>
      </c>
      <c r="BT195" s="35" t="s">
        <v>1741</v>
      </c>
      <c r="BU195" s="35" t="s">
        <v>4072</v>
      </c>
      <c r="BV195" s="35" t="s">
        <v>405</v>
      </c>
      <c r="BX195" s="35" t="s">
        <v>406</v>
      </c>
      <c r="BY195" s="35" t="s">
        <v>1867</v>
      </c>
      <c r="BZ195" s="35" t="s">
        <v>408</v>
      </c>
      <c r="CE195" s="35" t="s">
        <v>451</v>
      </c>
      <c r="CG195" s="35" t="s">
        <v>1697</v>
      </c>
      <c r="CI195" s="35" t="s">
        <v>1259</v>
      </c>
      <c r="CJ195" s="35" t="s">
        <v>833</v>
      </c>
      <c r="DJ195" s="35" t="s">
        <v>963</v>
      </c>
      <c r="DK195" s="35" t="s">
        <v>460</v>
      </c>
      <c r="DL195" s="35" t="s">
        <v>6319</v>
      </c>
      <c r="EU195" s="35" t="s">
        <v>526</v>
      </c>
      <c r="EV195" s="35" t="s">
        <v>579</v>
      </c>
      <c r="EW195" s="35" t="s">
        <v>480</v>
      </c>
      <c r="FA195" s="35" t="s">
        <v>413</v>
      </c>
      <c r="FB195" s="35" t="s">
        <v>415</v>
      </c>
      <c r="FC195" s="35" t="s">
        <v>413</v>
      </c>
      <c r="FD195" s="35" t="s">
        <v>413</v>
      </c>
      <c r="FE195" s="35" t="s">
        <v>413</v>
      </c>
      <c r="FF195" s="35" t="s">
        <v>413</v>
      </c>
      <c r="FG195" s="35" t="s">
        <v>413</v>
      </c>
      <c r="FH195" s="35" t="s">
        <v>413</v>
      </c>
      <c r="FI195" s="35" t="s">
        <v>415</v>
      </c>
      <c r="FJ195" s="35" t="s">
        <v>413</v>
      </c>
      <c r="FK195" s="35" t="s">
        <v>413</v>
      </c>
      <c r="FL195" s="35" t="s">
        <v>413</v>
      </c>
      <c r="FM195" s="35" t="s">
        <v>413</v>
      </c>
      <c r="FN195" s="35" t="s">
        <v>413</v>
      </c>
      <c r="FO195" s="35" t="s">
        <v>583</v>
      </c>
      <c r="FP195" s="35" t="s">
        <v>485</v>
      </c>
      <c r="FQ195" s="35" t="s">
        <v>418</v>
      </c>
      <c r="FR195" s="35" t="s">
        <v>1039</v>
      </c>
      <c r="FT195" s="35" t="s">
        <v>420</v>
      </c>
      <c r="FU195" s="35" t="s">
        <v>488</v>
      </c>
      <c r="FV195" s="35" t="s">
        <v>1235</v>
      </c>
      <c r="FW195" s="35" t="s">
        <v>490</v>
      </c>
      <c r="FX195" s="35" t="s">
        <v>491</v>
      </c>
      <c r="FZ195" s="35" t="s">
        <v>535</v>
      </c>
      <c r="GC195" s="35" t="s">
        <v>408</v>
      </c>
      <c r="GK195" s="35" t="s">
        <v>920</v>
      </c>
      <c r="GL195" s="35" t="s">
        <v>755</v>
      </c>
      <c r="GM195" s="35" t="s">
        <v>817</v>
      </c>
      <c r="GO195" s="35" t="s">
        <v>6802</v>
      </c>
      <c r="GP195" s="35" t="s">
        <v>6802</v>
      </c>
      <c r="GR195" s="35" t="s">
        <v>5656</v>
      </c>
      <c r="GS195" s="35" t="s">
        <v>4774</v>
      </c>
      <c r="GW195" s="35" t="s">
        <v>5231</v>
      </c>
      <c r="GX195" s="35" t="s">
        <v>484</v>
      </c>
      <c r="GY195" s="35" t="s">
        <v>5281</v>
      </c>
      <c r="GZ195" s="35" t="s">
        <v>6013</v>
      </c>
      <c r="HB195" s="35" t="s">
        <v>5960</v>
      </c>
      <c r="HC195" s="35" t="s">
        <v>5961</v>
      </c>
      <c r="HP195" s="35" t="s">
        <v>5236</v>
      </c>
      <c r="HQ195" s="35" t="s">
        <v>5719</v>
      </c>
      <c r="HR195" s="35" t="s">
        <v>5238</v>
      </c>
      <c r="HS195" s="35" t="s">
        <v>5347</v>
      </c>
      <c r="MK195" s="35" t="s">
        <v>6321</v>
      </c>
    </row>
    <row r="196">
      <c r="A196" s="35" t="s">
        <v>10923</v>
      </c>
      <c r="B196" s="40">
        <v>45940.273669965274</v>
      </c>
      <c r="C196" s="35" t="s">
        <v>368</v>
      </c>
      <c r="D196" s="35" t="s">
        <v>538</v>
      </c>
      <c r="E196" s="35" t="s">
        <v>538</v>
      </c>
      <c r="H196" s="35" t="s">
        <v>422</v>
      </c>
      <c r="I196" s="35" t="s">
        <v>539</v>
      </c>
      <c r="J196" s="35" t="s">
        <v>424</v>
      </c>
      <c r="L196" s="35" t="s">
        <v>376</v>
      </c>
      <c r="M196" s="35" t="s">
        <v>379</v>
      </c>
      <c r="N196" s="35" t="s">
        <v>720</v>
      </c>
      <c r="O196" s="35" t="s">
        <v>591</v>
      </c>
      <c r="P196" s="35" t="s">
        <v>671</v>
      </c>
      <c r="Q196" s="35" t="s">
        <v>592</v>
      </c>
      <c r="R196" s="35" t="s">
        <v>499</v>
      </c>
      <c r="S196" s="35" t="s">
        <v>427</v>
      </c>
      <c r="T196" s="35" t="s">
        <v>384</v>
      </c>
      <c r="U196" s="35" t="s">
        <v>385</v>
      </c>
      <c r="X196" s="35" t="s">
        <v>3231</v>
      </c>
      <c r="AW196" s="35" t="s">
        <v>1310</v>
      </c>
      <c r="AX196" s="41">
        <v>4.0</v>
      </c>
      <c r="AY196" s="41">
        <v>4.0</v>
      </c>
      <c r="AZ196" s="41">
        <v>4.0</v>
      </c>
      <c r="BA196" s="35" t="s">
        <v>675</v>
      </c>
      <c r="BB196" s="35" t="s">
        <v>675</v>
      </c>
      <c r="BC196" s="41">
        <v>4.0</v>
      </c>
      <c r="BD196" s="35" t="s">
        <v>6982</v>
      </c>
      <c r="BE196" s="35" t="s">
        <v>6983</v>
      </c>
      <c r="BF196" s="35" t="s">
        <v>2259</v>
      </c>
      <c r="BG196" s="35" t="s">
        <v>1095</v>
      </c>
      <c r="BH196" s="35" t="s">
        <v>394</v>
      </c>
      <c r="BI196" s="35" t="s">
        <v>6984</v>
      </c>
      <c r="BJ196" s="35" t="s">
        <v>435</v>
      </c>
      <c r="BK196" s="35" t="s">
        <v>6985</v>
      </c>
      <c r="BL196" s="35" t="s">
        <v>602</v>
      </c>
      <c r="BM196" s="35" t="s">
        <v>603</v>
      </c>
      <c r="BN196" s="35" t="s">
        <v>1247</v>
      </c>
      <c r="BO196" s="35" t="s">
        <v>398</v>
      </c>
      <c r="BP196" s="35" t="s">
        <v>6986</v>
      </c>
      <c r="BQ196" s="35" t="s">
        <v>6987</v>
      </c>
      <c r="BR196" s="35" t="s">
        <v>442</v>
      </c>
      <c r="BS196" s="35" t="s">
        <v>6988</v>
      </c>
      <c r="BT196" s="35" t="s">
        <v>1671</v>
      </c>
      <c r="BV196" s="35" t="s">
        <v>1693</v>
      </c>
      <c r="BW196" s="35" t="s">
        <v>6989</v>
      </c>
      <c r="BX196" s="35" t="s">
        <v>457</v>
      </c>
      <c r="BZ196" s="35" t="s">
        <v>455</v>
      </c>
      <c r="CA196" s="35" t="s">
        <v>6990</v>
      </c>
      <c r="CB196" s="35" t="s">
        <v>6991</v>
      </c>
      <c r="CC196" s="35" t="s">
        <v>6992</v>
      </c>
      <c r="CD196" s="35" t="s">
        <v>6993</v>
      </c>
      <c r="CE196" s="35" t="s">
        <v>409</v>
      </c>
      <c r="CF196" s="35" t="s">
        <v>6994</v>
      </c>
      <c r="CG196" s="35" t="s">
        <v>1749</v>
      </c>
      <c r="CH196" s="35" t="s">
        <v>6995</v>
      </c>
      <c r="CI196" s="35" t="s">
        <v>1679</v>
      </c>
      <c r="CJ196" s="35" t="s">
        <v>833</v>
      </c>
      <c r="CK196" s="35" t="s">
        <v>6996</v>
      </c>
      <c r="CL196" s="35" t="s">
        <v>6997</v>
      </c>
      <c r="DJ196" s="35" t="s">
        <v>459</v>
      </c>
      <c r="DK196" s="35" t="s">
        <v>613</v>
      </c>
      <c r="EU196" s="35" t="s">
        <v>578</v>
      </c>
      <c r="EV196" s="35" t="s">
        <v>579</v>
      </c>
      <c r="EW196" s="35" t="s">
        <v>527</v>
      </c>
      <c r="EX196" s="35" t="s">
        <v>6998</v>
      </c>
      <c r="EY196" s="35" t="s">
        <v>6999</v>
      </c>
      <c r="EZ196" s="35" t="s">
        <v>7000</v>
      </c>
      <c r="FA196" s="35" t="s">
        <v>415</v>
      </c>
      <c r="FB196" s="35" t="s">
        <v>415</v>
      </c>
      <c r="FC196" s="35" t="s">
        <v>413</v>
      </c>
      <c r="FD196" s="35" t="s">
        <v>415</v>
      </c>
      <c r="FE196" s="35" t="s">
        <v>416</v>
      </c>
      <c r="FF196" s="35" t="s">
        <v>415</v>
      </c>
      <c r="FG196" s="35" t="s">
        <v>416</v>
      </c>
      <c r="FH196" s="35" t="s">
        <v>415</v>
      </c>
      <c r="FI196" s="35" t="s">
        <v>415</v>
      </c>
      <c r="FJ196" s="35" t="s">
        <v>416</v>
      </c>
      <c r="FK196" s="35" t="s">
        <v>415</v>
      </c>
      <c r="FL196" s="35" t="s">
        <v>415</v>
      </c>
      <c r="FM196" s="35" t="s">
        <v>415</v>
      </c>
      <c r="FN196" s="35" t="s">
        <v>415</v>
      </c>
      <c r="FO196" s="35" t="s">
        <v>415</v>
      </c>
      <c r="FP196" s="35" t="s">
        <v>485</v>
      </c>
      <c r="FQ196" s="35" t="s">
        <v>418</v>
      </c>
      <c r="FR196" s="35" t="s">
        <v>749</v>
      </c>
      <c r="FS196" s="35" t="s">
        <v>7001</v>
      </c>
      <c r="FT196" s="35" t="s">
        <v>1189</v>
      </c>
      <c r="FU196" s="35" t="s">
        <v>1462</v>
      </c>
      <c r="FV196" s="35" t="s">
        <v>585</v>
      </c>
      <c r="FX196" s="35" t="s">
        <v>491</v>
      </c>
      <c r="FY196" s="35" t="s">
        <v>7002</v>
      </c>
      <c r="FZ196" s="35" t="s">
        <v>535</v>
      </c>
      <c r="GA196" s="35" t="s">
        <v>7003</v>
      </c>
      <c r="GB196" s="35" t="s">
        <v>7004</v>
      </c>
      <c r="GC196" s="35" t="s">
        <v>455</v>
      </c>
      <c r="GD196" s="35" t="s">
        <v>10924</v>
      </c>
      <c r="GF196" s="35" t="s">
        <v>753</v>
      </c>
      <c r="GG196" s="35" t="s">
        <v>7005</v>
      </c>
      <c r="GK196" s="35" t="s">
        <v>1000</v>
      </c>
      <c r="GL196" s="35" t="s">
        <v>1000</v>
      </c>
      <c r="GM196" s="35" t="s">
        <v>817</v>
      </c>
      <c r="GO196" s="35" t="s">
        <v>7006</v>
      </c>
      <c r="GQ196" s="35" t="s">
        <v>387</v>
      </c>
      <c r="GR196" s="35" t="s">
        <v>3208</v>
      </c>
      <c r="GS196" s="35" t="s">
        <v>4774</v>
      </c>
      <c r="GW196" s="35" t="s">
        <v>5231</v>
      </c>
      <c r="GX196" s="35" t="s">
        <v>5261</v>
      </c>
      <c r="GY196" s="35" t="s">
        <v>7007</v>
      </c>
      <c r="GZ196" s="35" t="s">
        <v>5233</v>
      </c>
      <c r="HA196" s="35" t="s">
        <v>5234</v>
      </c>
      <c r="HB196" s="35" t="s">
        <v>5369</v>
      </c>
      <c r="HC196" s="35" t="s">
        <v>7008</v>
      </c>
      <c r="HP196" s="35" t="s">
        <v>5285</v>
      </c>
      <c r="HQ196" s="35" t="s">
        <v>5264</v>
      </c>
      <c r="HR196" s="35" t="s">
        <v>5286</v>
      </c>
      <c r="HS196" s="35" t="s">
        <v>5239</v>
      </c>
      <c r="MK196" s="35" t="s">
        <v>6321</v>
      </c>
    </row>
    <row r="197">
      <c r="A197" s="35" t="s">
        <v>10925</v>
      </c>
      <c r="B197" s="40">
        <v>45940.32423372685</v>
      </c>
      <c r="C197" s="35" t="s">
        <v>368</v>
      </c>
      <c r="D197" s="35" t="s">
        <v>538</v>
      </c>
      <c r="E197" s="35" t="s">
        <v>538</v>
      </c>
      <c r="H197" s="35" t="s">
        <v>422</v>
      </c>
      <c r="I197" s="35" t="s">
        <v>637</v>
      </c>
      <c r="J197" s="35" t="s">
        <v>638</v>
      </c>
      <c r="K197" s="35" t="s">
        <v>590</v>
      </c>
      <c r="L197" s="35" t="s">
        <v>376</v>
      </c>
      <c r="M197" s="35" t="s">
        <v>793</v>
      </c>
      <c r="N197" s="35" t="s">
        <v>2539</v>
      </c>
      <c r="O197" s="35" t="s">
        <v>591</v>
      </c>
      <c r="P197" s="35" t="s">
        <v>6033</v>
      </c>
      <c r="Q197" s="35" t="s">
        <v>498</v>
      </c>
      <c r="R197" s="35" t="s">
        <v>862</v>
      </c>
      <c r="S197" s="35" t="s">
        <v>500</v>
      </c>
      <c r="T197" s="35" t="s">
        <v>1443</v>
      </c>
      <c r="U197" s="35" t="s">
        <v>385</v>
      </c>
      <c r="X197" s="35" t="s">
        <v>3014</v>
      </c>
      <c r="AW197" s="35" t="s">
        <v>597</v>
      </c>
      <c r="AX197" s="41">
        <v>4.0</v>
      </c>
      <c r="AY197" s="35" t="s">
        <v>391</v>
      </c>
      <c r="AZ197" s="35" t="s">
        <v>675</v>
      </c>
      <c r="BA197" s="41">
        <v>4.0</v>
      </c>
      <c r="BB197" s="35" t="s">
        <v>675</v>
      </c>
      <c r="BC197" s="41">
        <v>4.0</v>
      </c>
      <c r="BD197" s="35" t="s">
        <v>7009</v>
      </c>
      <c r="BE197" s="35" t="s">
        <v>7010</v>
      </c>
      <c r="BF197" s="35" t="s">
        <v>432</v>
      </c>
      <c r="BG197" s="35" t="s">
        <v>1095</v>
      </c>
      <c r="BH197" s="35" t="s">
        <v>765</v>
      </c>
      <c r="BI197" s="35" t="s">
        <v>7011</v>
      </c>
      <c r="BJ197" s="35" t="s">
        <v>727</v>
      </c>
      <c r="BL197" s="35" t="s">
        <v>395</v>
      </c>
      <c r="BN197" s="35" t="s">
        <v>1247</v>
      </c>
      <c r="BO197" s="35" t="s">
        <v>398</v>
      </c>
      <c r="BP197" s="35" t="s">
        <v>7012</v>
      </c>
      <c r="BQ197" s="35" t="s">
        <v>741</v>
      </c>
      <c r="BR197" s="35" t="s">
        <v>401</v>
      </c>
      <c r="BS197" s="35" t="s">
        <v>4070</v>
      </c>
      <c r="BT197" s="35" t="s">
        <v>4071</v>
      </c>
      <c r="BU197" s="35" t="s">
        <v>1994</v>
      </c>
      <c r="BV197" s="35" t="s">
        <v>405</v>
      </c>
      <c r="BX197" s="35" t="s">
        <v>406</v>
      </c>
      <c r="BY197" s="35" t="s">
        <v>2503</v>
      </c>
      <c r="BZ197" s="35" t="s">
        <v>455</v>
      </c>
      <c r="CA197" s="35" t="s">
        <v>7013</v>
      </c>
      <c r="CC197" s="35" t="s">
        <v>7014</v>
      </c>
      <c r="CD197" s="35" t="s">
        <v>7015</v>
      </c>
      <c r="CE197" s="35" t="s">
        <v>451</v>
      </c>
      <c r="CF197" s="35" t="s">
        <v>7016</v>
      </c>
      <c r="CI197" s="35" t="s">
        <v>1751</v>
      </c>
      <c r="CJ197" s="35" t="s">
        <v>410</v>
      </c>
      <c r="CK197" s="35" t="s">
        <v>7017</v>
      </c>
      <c r="CL197" s="35" t="s">
        <v>7018</v>
      </c>
      <c r="DJ197" s="35" t="s">
        <v>963</v>
      </c>
      <c r="DK197" s="35" t="s">
        <v>460</v>
      </c>
      <c r="DL197" s="35" t="s">
        <v>6319</v>
      </c>
      <c r="EU197" s="35" t="s">
        <v>526</v>
      </c>
      <c r="EV197" s="35" t="s">
        <v>579</v>
      </c>
      <c r="EW197" s="35" t="s">
        <v>1534</v>
      </c>
      <c r="FA197" s="35" t="s">
        <v>415</v>
      </c>
      <c r="FB197" s="35" t="s">
        <v>414</v>
      </c>
      <c r="FC197" s="35" t="s">
        <v>413</v>
      </c>
      <c r="FD197" s="35" t="s">
        <v>416</v>
      </c>
      <c r="FE197" s="35" t="s">
        <v>413</v>
      </c>
      <c r="FF197" s="35" t="s">
        <v>583</v>
      </c>
      <c r="FG197" s="35" t="s">
        <v>416</v>
      </c>
      <c r="FH197" s="35" t="s">
        <v>413</v>
      </c>
      <c r="FI197" s="35" t="s">
        <v>583</v>
      </c>
      <c r="FJ197" s="35" t="s">
        <v>413</v>
      </c>
      <c r="FK197" s="35" t="s">
        <v>413</v>
      </c>
      <c r="FL197" s="35" t="s">
        <v>484</v>
      </c>
      <c r="FM197" s="35" t="s">
        <v>414</v>
      </c>
      <c r="FN197" s="35" t="s">
        <v>413</v>
      </c>
      <c r="FO197" s="35" t="s">
        <v>583</v>
      </c>
      <c r="FP197" s="35" t="s">
        <v>417</v>
      </c>
      <c r="FQ197" s="35" t="s">
        <v>486</v>
      </c>
      <c r="FR197" s="35" t="s">
        <v>1039</v>
      </c>
      <c r="FT197" s="35" t="s">
        <v>420</v>
      </c>
      <c r="FU197" s="35" t="s">
        <v>488</v>
      </c>
      <c r="FV197" s="35" t="s">
        <v>1235</v>
      </c>
      <c r="FW197" s="35" t="s">
        <v>490</v>
      </c>
      <c r="FX197" s="35" t="s">
        <v>491</v>
      </c>
      <c r="FY197" s="35" t="s">
        <v>7019</v>
      </c>
      <c r="FZ197" s="35" t="s">
        <v>493</v>
      </c>
      <c r="GC197" s="35" t="s">
        <v>455</v>
      </c>
      <c r="GE197" s="35" t="s">
        <v>7020</v>
      </c>
      <c r="GF197" s="35" t="s">
        <v>855</v>
      </c>
      <c r="GG197" s="35" t="s">
        <v>7021</v>
      </c>
      <c r="GK197" s="35" t="s">
        <v>857</v>
      </c>
      <c r="GM197" s="35" t="s">
        <v>946</v>
      </c>
      <c r="GO197" s="35" t="s">
        <v>3012</v>
      </c>
      <c r="GP197" s="35" t="s">
        <v>3012</v>
      </c>
      <c r="GR197" s="35" t="s">
        <v>3208</v>
      </c>
      <c r="GS197" s="35" t="s">
        <v>5318</v>
      </c>
      <c r="GW197" s="35" t="s">
        <v>5231</v>
      </c>
      <c r="GX197" s="35" t="s">
        <v>5261</v>
      </c>
      <c r="GY197" s="35" t="s">
        <v>5281</v>
      </c>
      <c r="GZ197" s="35" t="s">
        <v>5233</v>
      </c>
      <c r="HA197" s="35" t="s">
        <v>5234</v>
      </c>
      <c r="HC197" s="35" t="s">
        <v>7022</v>
      </c>
      <c r="HP197" s="35" t="s">
        <v>5285</v>
      </c>
      <c r="HQ197" s="35" t="s">
        <v>5237</v>
      </c>
      <c r="HR197" s="35" t="s">
        <v>5286</v>
      </c>
      <c r="HS197" s="35" t="s">
        <v>913</v>
      </c>
      <c r="MK197" s="35" t="s">
        <v>6321</v>
      </c>
    </row>
    <row r="198">
      <c r="A198" s="35" t="s">
        <v>10926</v>
      </c>
      <c r="B198" s="40">
        <v>45945.52582347222</v>
      </c>
      <c r="C198" s="35" t="s">
        <v>368</v>
      </c>
      <c r="D198" s="35" t="s">
        <v>370</v>
      </c>
      <c r="E198" s="35" t="s">
        <v>370</v>
      </c>
      <c r="F198" s="35" t="s">
        <v>589</v>
      </c>
      <c r="G198" s="35" t="s">
        <v>589</v>
      </c>
      <c r="H198" s="35" t="s">
        <v>422</v>
      </c>
      <c r="I198" s="35" t="s">
        <v>423</v>
      </c>
      <c r="J198" s="35" t="s">
        <v>424</v>
      </c>
      <c r="K198" s="35" t="s">
        <v>425</v>
      </c>
      <c r="L198" s="35" t="s">
        <v>376</v>
      </c>
      <c r="M198" s="35" t="s">
        <v>379</v>
      </c>
      <c r="N198" s="35" t="s">
        <v>7129</v>
      </c>
      <c r="O198" s="35" t="s">
        <v>377</v>
      </c>
      <c r="P198" s="35" t="s">
        <v>7130</v>
      </c>
      <c r="Q198" s="35" t="s">
        <v>381</v>
      </c>
      <c r="R198" s="35" t="s">
        <v>499</v>
      </c>
      <c r="S198" s="35" t="s">
        <v>949</v>
      </c>
      <c r="T198" s="35" t="s">
        <v>384</v>
      </c>
      <c r="U198" s="35" t="s">
        <v>385</v>
      </c>
      <c r="X198" s="35" t="s">
        <v>386</v>
      </c>
      <c r="Y198" s="35" t="s">
        <v>387</v>
      </c>
      <c r="Z198" s="35" t="s">
        <v>897</v>
      </c>
      <c r="AA198" s="35" t="s">
        <v>502</v>
      </c>
      <c r="AB198" s="35" t="s">
        <v>7131</v>
      </c>
      <c r="AC198" s="35" t="s">
        <v>7132</v>
      </c>
      <c r="AW198" s="35" t="s">
        <v>1242</v>
      </c>
      <c r="AX198" s="41">
        <v>4.0</v>
      </c>
      <c r="AY198" s="41">
        <v>4.0</v>
      </c>
      <c r="AZ198" s="41">
        <v>4.0</v>
      </c>
      <c r="BA198" s="41">
        <v>4.0</v>
      </c>
      <c r="BB198" s="41">
        <v>4.0</v>
      </c>
      <c r="BC198" s="41">
        <v>4.0</v>
      </c>
      <c r="BD198" s="35" t="s">
        <v>7133</v>
      </c>
      <c r="BE198" s="35" t="s">
        <v>7134</v>
      </c>
      <c r="BF198" s="35" t="s">
        <v>902</v>
      </c>
      <c r="BG198" s="35" t="s">
        <v>1095</v>
      </c>
      <c r="BH198" s="35" t="s">
        <v>394</v>
      </c>
      <c r="BI198" s="35" t="s">
        <v>7135</v>
      </c>
      <c r="BJ198" s="35" t="s">
        <v>976</v>
      </c>
      <c r="BK198" s="35" t="s">
        <v>2675</v>
      </c>
      <c r="BL198" s="35" t="s">
        <v>602</v>
      </c>
      <c r="BM198" s="35" t="s">
        <v>603</v>
      </c>
      <c r="BN198" s="35" t="s">
        <v>1314</v>
      </c>
      <c r="BO198" s="35" t="s">
        <v>398</v>
      </c>
      <c r="BP198" s="35" t="s">
        <v>7136</v>
      </c>
      <c r="BQ198" s="35" t="s">
        <v>7137</v>
      </c>
      <c r="BR198" s="35" t="s">
        <v>604</v>
      </c>
      <c r="BS198" s="35" t="s">
        <v>7138</v>
      </c>
      <c r="BT198" s="35" t="s">
        <v>403</v>
      </c>
      <c r="BU198" s="35" t="s">
        <v>4368</v>
      </c>
      <c r="BV198" s="35" t="s">
        <v>1772</v>
      </c>
      <c r="BW198" s="35" t="s">
        <v>7139</v>
      </c>
      <c r="BX198" s="35" t="s">
        <v>988</v>
      </c>
      <c r="BY198" s="35" t="s">
        <v>407</v>
      </c>
      <c r="BZ198" s="35" t="s">
        <v>408</v>
      </c>
      <c r="CA198" s="35" t="s">
        <v>7140</v>
      </c>
      <c r="CB198" s="35" t="s">
        <v>7141</v>
      </c>
      <c r="CC198" s="35" t="s">
        <v>7142</v>
      </c>
      <c r="CD198" s="35" t="s">
        <v>7143</v>
      </c>
      <c r="CE198" s="35" t="s">
        <v>409</v>
      </c>
      <c r="CF198" s="35" t="s">
        <v>7144</v>
      </c>
      <c r="CG198" s="35" t="s">
        <v>1749</v>
      </c>
      <c r="CH198" s="35" t="s">
        <v>7145</v>
      </c>
      <c r="CI198" s="35" t="s">
        <v>1679</v>
      </c>
      <c r="CJ198" s="35" t="s">
        <v>410</v>
      </c>
      <c r="CK198" s="35" t="s">
        <v>7146</v>
      </c>
      <c r="CL198" s="35" t="s">
        <v>7147</v>
      </c>
      <c r="DJ198" s="35" t="s">
        <v>963</v>
      </c>
      <c r="DK198" s="35" t="s">
        <v>562</v>
      </c>
      <c r="DL198" s="35" t="s">
        <v>6335</v>
      </c>
      <c r="EU198" s="35" t="s">
        <v>526</v>
      </c>
      <c r="EV198" s="35" t="s">
        <v>479</v>
      </c>
      <c r="EW198" s="35" t="s">
        <v>527</v>
      </c>
      <c r="EY198" s="35" t="s">
        <v>7148</v>
      </c>
      <c r="EZ198" s="35" t="s">
        <v>7149</v>
      </c>
      <c r="FA198" s="35" t="s">
        <v>415</v>
      </c>
      <c r="FB198" s="35" t="s">
        <v>415</v>
      </c>
      <c r="FC198" s="35" t="s">
        <v>413</v>
      </c>
      <c r="FD198" s="35" t="s">
        <v>413</v>
      </c>
      <c r="FE198" s="35" t="s">
        <v>413</v>
      </c>
      <c r="FF198" s="35" t="s">
        <v>415</v>
      </c>
      <c r="FG198" s="35" t="s">
        <v>415</v>
      </c>
      <c r="FH198" s="35" t="s">
        <v>413</v>
      </c>
      <c r="FI198" s="35" t="s">
        <v>413</v>
      </c>
      <c r="FJ198" s="35" t="s">
        <v>414</v>
      </c>
      <c r="FK198" s="35" t="s">
        <v>414</v>
      </c>
      <c r="FL198" s="35" t="s">
        <v>413</v>
      </c>
      <c r="FM198" s="35" t="s">
        <v>413</v>
      </c>
      <c r="FN198" s="35" t="s">
        <v>413</v>
      </c>
      <c r="FO198" s="35" t="s">
        <v>414</v>
      </c>
      <c r="FP198" s="35" t="s">
        <v>485</v>
      </c>
      <c r="FQ198" s="35" t="s">
        <v>418</v>
      </c>
      <c r="FR198" s="35" t="s">
        <v>419</v>
      </c>
      <c r="FS198" s="35" t="s">
        <v>7150</v>
      </c>
      <c r="FT198" s="35" t="s">
        <v>420</v>
      </c>
      <c r="FU198" s="35" t="s">
        <v>488</v>
      </c>
      <c r="FV198" s="35" t="s">
        <v>533</v>
      </c>
      <c r="FW198" s="35" t="s">
        <v>490</v>
      </c>
      <c r="FX198" s="35" t="s">
        <v>491</v>
      </c>
      <c r="FY198" s="35" t="s">
        <v>7151</v>
      </c>
      <c r="FZ198" s="35" t="s">
        <v>535</v>
      </c>
      <c r="GC198" s="35" t="s">
        <v>455</v>
      </c>
      <c r="GD198" s="35" t="s">
        <v>10927</v>
      </c>
      <c r="GE198" s="35" t="s">
        <v>10928</v>
      </c>
      <c r="GF198" s="35" t="s">
        <v>753</v>
      </c>
      <c r="GG198" s="35" t="s">
        <v>7152</v>
      </c>
      <c r="GK198" s="35" t="s">
        <v>755</v>
      </c>
      <c r="GL198" s="35" t="s">
        <v>755</v>
      </c>
      <c r="GM198" s="35" t="s">
        <v>946</v>
      </c>
      <c r="GR198" s="35" t="s">
        <v>3208</v>
      </c>
      <c r="GS198" s="35" t="s">
        <v>4741</v>
      </c>
      <c r="GT198" s="35" t="s">
        <v>7153</v>
      </c>
      <c r="GW198" s="35" t="s">
        <v>5231</v>
      </c>
      <c r="GX198" s="35" t="s">
        <v>5232</v>
      </c>
      <c r="GY198" s="35" t="s">
        <v>5262</v>
      </c>
      <c r="GZ198" s="35" t="s">
        <v>5233</v>
      </c>
      <c r="HA198" s="35" t="s">
        <v>484</v>
      </c>
      <c r="HB198" s="35" t="s">
        <v>484</v>
      </c>
      <c r="HC198" s="35" t="s">
        <v>5370</v>
      </c>
      <c r="HP198" s="35" t="s">
        <v>5236</v>
      </c>
      <c r="HQ198" s="35" t="s">
        <v>5237</v>
      </c>
      <c r="HR198" s="35" t="s">
        <v>5238</v>
      </c>
      <c r="HS198" s="35" t="s">
        <v>5321</v>
      </c>
      <c r="MK198" s="35" t="s">
        <v>6321</v>
      </c>
    </row>
    <row r="199">
      <c r="A199" s="35" t="s">
        <v>10929</v>
      </c>
      <c r="B199" s="40">
        <v>45953.03296401621</v>
      </c>
      <c r="C199" s="35" t="s">
        <v>368</v>
      </c>
      <c r="D199" s="35" t="s">
        <v>370</v>
      </c>
      <c r="E199" s="35" t="s">
        <v>370</v>
      </c>
      <c r="F199" s="35" t="s">
        <v>1849</v>
      </c>
      <c r="G199" s="35" t="s">
        <v>1421</v>
      </c>
      <c r="H199" s="35" t="s">
        <v>1269</v>
      </c>
      <c r="I199" s="35" t="s">
        <v>496</v>
      </c>
      <c r="J199" s="35" t="s">
        <v>2578</v>
      </c>
      <c r="K199" s="35" t="s">
        <v>425</v>
      </c>
      <c r="L199" s="35" t="s">
        <v>376</v>
      </c>
      <c r="M199" s="35" t="s">
        <v>379</v>
      </c>
      <c r="N199" s="35" t="s">
        <v>378</v>
      </c>
      <c r="O199" s="35" t="s">
        <v>379</v>
      </c>
      <c r="P199" s="35" t="s">
        <v>497</v>
      </c>
      <c r="Q199" s="35" t="s">
        <v>592</v>
      </c>
      <c r="R199" s="35" t="s">
        <v>499</v>
      </c>
      <c r="S199" s="35" t="s">
        <v>500</v>
      </c>
      <c r="T199" s="35" t="s">
        <v>7206</v>
      </c>
      <c r="U199" s="35" t="s">
        <v>385</v>
      </c>
      <c r="X199" s="35" t="s">
        <v>386</v>
      </c>
      <c r="Y199" s="35" t="s">
        <v>387</v>
      </c>
      <c r="Z199" s="35" t="s">
        <v>2115</v>
      </c>
      <c r="AA199" s="35" t="s">
        <v>543</v>
      </c>
      <c r="AB199" s="35" t="s">
        <v>7207</v>
      </c>
      <c r="AC199" s="35" t="s">
        <v>7208</v>
      </c>
      <c r="AW199" s="35" t="s">
        <v>1242</v>
      </c>
      <c r="AX199" s="35" t="s">
        <v>391</v>
      </c>
      <c r="AY199" s="35" t="s">
        <v>391</v>
      </c>
      <c r="AZ199" s="35" t="s">
        <v>391</v>
      </c>
      <c r="BA199" s="35" t="s">
        <v>391</v>
      </c>
      <c r="BB199" s="35" t="s">
        <v>391</v>
      </c>
      <c r="BC199" s="35" t="s">
        <v>391</v>
      </c>
      <c r="BD199" s="35" t="s">
        <v>3584</v>
      </c>
      <c r="BE199" s="35" t="s">
        <v>7209</v>
      </c>
      <c r="BF199" s="35" t="s">
        <v>392</v>
      </c>
      <c r="BG199" s="35" t="s">
        <v>1047</v>
      </c>
      <c r="BH199" s="35" t="s">
        <v>434</v>
      </c>
      <c r="BJ199" s="35" t="s">
        <v>976</v>
      </c>
      <c r="BL199" s="35" t="s">
        <v>511</v>
      </c>
      <c r="BM199" s="35" t="s">
        <v>438</v>
      </c>
      <c r="BN199" s="35" t="s">
        <v>1247</v>
      </c>
      <c r="BO199" s="35" t="s">
        <v>398</v>
      </c>
      <c r="BP199" s="35" t="s">
        <v>7210</v>
      </c>
      <c r="BR199" s="35" t="s">
        <v>401</v>
      </c>
      <c r="BS199" s="35" t="s">
        <v>7211</v>
      </c>
      <c r="BT199" s="35" t="s">
        <v>403</v>
      </c>
      <c r="BU199" s="35" t="s">
        <v>404</v>
      </c>
      <c r="BV199" s="35" t="s">
        <v>405</v>
      </c>
      <c r="BX199" s="35" t="s">
        <v>406</v>
      </c>
      <c r="BY199" s="35" t="s">
        <v>1867</v>
      </c>
      <c r="BZ199" s="35" t="s">
        <v>408</v>
      </c>
      <c r="CB199" s="35" t="s">
        <v>7212</v>
      </c>
      <c r="CC199" s="35" t="s">
        <v>7213</v>
      </c>
      <c r="CD199" s="35" t="s">
        <v>7214</v>
      </c>
      <c r="CE199" s="35" t="s">
        <v>1931</v>
      </c>
      <c r="CF199" s="35" t="s">
        <v>7215</v>
      </c>
      <c r="CG199" s="35" t="s">
        <v>1749</v>
      </c>
      <c r="CH199" s="35" t="s">
        <v>7216</v>
      </c>
      <c r="CI199" s="35" t="s">
        <v>1259</v>
      </c>
      <c r="CJ199" s="35" t="s">
        <v>833</v>
      </c>
      <c r="CK199" s="35" t="s">
        <v>7217</v>
      </c>
      <c r="CL199" s="35" t="s">
        <v>7218</v>
      </c>
      <c r="DJ199" s="35" t="s">
        <v>963</v>
      </c>
      <c r="DK199" s="35" t="s">
        <v>460</v>
      </c>
      <c r="DL199" s="35" t="s">
        <v>6319</v>
      </c>
      <c r="EU199" s="35" t="s">
        <v>526</v>
      </c>
      <c r="EV199" s="35" t="s">
        <v>579</v>
      </c>
      <c r="EW199" s="35" t="s">
        <v>663</v>
      </c>
      <c r="EX199" s="35" t="s">
        <v>7219</v>
      </c>
      <c r="EY199" s="35" t="s">
        <v>7220</v>
      </c>
      <c r="EZ199" s="35" t="s">
        <v>7221</v>
      </c>
      <c r="FA199" s="35" t="s">
        <v>415</v>
      </c>
      <c r="FB199" s="35" t="s">
        <v>414</v>
      </c>
      <c r="FC199" s="35" t="s">
        <v>413</v>
      </c>
      <c r="FD199" s="35" t="s">
        <v>415</v>
      </c>
      <c r="FE199" s="35" t="s">
        <v>413</v>
      </c>
      <c r="FF199" s="35" t="s">
        <v>414</v>
      </c>
      <c r="FG199" s="35" t="s">
        <v>415</v>
      </c>
      <c r="FH199" s="35" t="s">
        <v>413</v>
      </c>
      <c r="FI199" s="35" t="s">
        <v>415</v>
      </c>
      <c r="FJ199" s="35" t="s">
        <v>415</v>
      </c>
      <c r="FK199" s="35" t="s">
        <v>415</v>
      </c>
      <c r="FL199" s="35" t="s">
        <v>416</v>
      </c>
      <c r="FM199" s="35" t="s">
        <v>416</v>
      </c>
      <c r="FN199" s="35" t="s">
        <v>413</v>
      </c>
      <c r="FO199" s="35" t="s">
        <v>583</v>
      </c>
      <c r="FP199" s="35" t="s">
        <v>850</v>
      </c>
      <c r="FQ199" s="35" t="s">
        <v>418</v>
      </c>
      <c r="FR199" s="35" t="s">
        <v>749</v>
      </c>
      <c r="FS199" s="35" t="s">
        <v>7222</v>
      </c>
      <c r="FT199" s="35" t="s">
        <v>1189</v>
      </c>
      <c r="FU199" s="35" t="s">
        <v>488</v>
      </c>
      <c r="FV199" s="35" t="s">
        <v>918</v>
      </c>
      <c r="FW199" s="35" t="s">
        <v>490</v>
      </c>
      <c r="FX199" s="35" t="s">
        <v>491</v>
      </c>
      <c r="FY199" s="35" t="s">
        <v>7223</v>
      </c>
      <c r="FZ199" s="35" t="s">
        <v>535</v>
      </c>
      <c r="GB199" s="35" t="s">
        <v>7224</v>
      </c>
      <c r="GC199" s="35" t="s">
        <v>408</v>
      </c>
      <c r="GK199" s="35" t="s">
        <v>755</v>
      </c>
      <c r="GL199" s="35" t="s">
        <v>755</v>
      </c>
      <c r="GM199" s="35" t="s">
        <v>756</v>
      </c>
      <c r="GR199" s="35" t="s">
        <v>3306</v>
      </c>
      <c r="GS199" s="35" t="s">
        <v>4741</v>
      </c>
      <c r="GT199" s="35" t="s">
        <v>408</v>
      </c>
      <c r="GW199" s="35" t="s">
        <v>5231</v>
      </c>
      <c r="GX199" s="35" t="s">
        <v>5232</v>
      </c>
      <c r="GY199" s="35" t="s">
        <v>484</v>
      </c>
      <c r="GZ199" s="35" t="s">
        <v>5233</v>
      </c>
      <c r="HA199" s="35" t="s">
        <v>5234</v>
      </c>
      <c r="HB199" s="35" t="s">
        <v>484</v>
      </c>
      <c r="HC199" s="35" t="s">
        <v>6031</v>
      </c>
      <c r="HP199" s="35" t="s">
        <v>5346</v>
      </c>
      <c r="HQ199" s="35" t="s">
        <v>5302</v>
      </c>
      <c r="HR199" s="35" t="s">
        <v>5238</v>
      </c>
      <c r="HS199" s="35" t="s">
        <v>5321</v>
      </c>
      <c r="MK199" s="35" t="s">
        <v>6321</v>
      </c>
    </row>
    <row r="200">
      <c r="A200" s="35" t="s">
        <v>10930</v>
      </c>
      <c r="B200" s="40">
        <v>45953.438401666666</v>
      </c>
      <c r="C200" s="35" t="s">
        <v>368</v>
      </c>
      <c r="D200" s="35" t="s">
        <v>370</v>
      </c>
      <c r="E200" s="35" t="s">
        <v>370</v>
      </c>
      <c r="F200" s="35" t="s">
        <v>4170</v>
      </c>
      <c r="G200" s="35" t="s">
        <v>1421</v>
      </c>
      <c r="H200" s="35" t="s">
        <v>422</v>
      </c>
      <c r="I200" s="35" t="s">
        <v>373</v>
      </c>
      <c r="J200" s="35" t="s">
        <v>374</v>
      </c>
      <c r="K200" s="35" t="s">
        <v>718</v>
      </c>
      <c r="L200" s="35" t="s">
        <v>376</v>
      </c>
      <c r="M200" s="35" t="s">
        <v>670</v>
      </c>
      <c r="N200" s="35" t="s">
        <v>1270</v>
      </c>
      <c r="O200" s="35" t="s">
        <v>793</v>
      </c>
      <c r="P200" s="35" t="s">
        <v>1270</v>
      </c>
      <c r="Q200" s="35" t="s">
        <v>381</v>
      </c>
      <c r="R200" s="35" t="s">
        <v>862</v>
      </c>
      <c r="S200" s="35" t="s">
        <v>427</v>
      </c>
      <c r="T200" s="35" t="s">
        <v>384</v>
      </c>
      <c r="U200" s="35" t="s">
        <v>385</v>
      </c>
      <c r="X200" s="35" t="s">
        <v>386</v>
      </c>
      <c r="Y200" s="35" t="s">
        <v>1706</v>
      </c>
      <c r="AD200" s="35" t="s">
        <v>2055</v>
      </c>
      <c r="AE200" s="35" t="s">
        <v>7225</v>
      </c>
      <c r="AF200" s="35" t="s">
        <v>408</v>
      </c>
      <c r="AH200" s="41">
        <v>5.0</v>
      </c>
      <c r="AI200" s="35" t="s">
        <v>7226</v>
      </c>
      <c r="AK200" s="35" t="s">
        <v>7227</v>
      </c>
      <c r="AL200" s="35" t="s">
        <v>7228</v>
      </c>
      <c r="AW200" s="35" t="s">
        <v>390</v>
      </c>
      <c r="AX200" s="35" t="s">
        <v>391</v>
      </c>
      <c r="AY200" s="35" t="s">
        <v>391</v>
      </c>
      <c r="AZ200" s="35" t="s">
        <v>675</v>
      </c>
      <c r="BA200" s="35" t="s">
        <v>675</v>
      </c>
      <c r="BB200" s="41">
        <v>4.0</v>
      </c>
      <c r="BC200" s="35" t="s">
        <v>391</v>
      </c>
      <c r="BD200" s="35" t="s">
        <v>7229</v>
      </c>
      <c r="BE200" s="35" t="s">
        <v>7230</v>
      </c>
      <c r="BF200" s="35" t="s">
        <v>392</v>
      </c>
      <c r="BG200" s="35" t="s">
        <v>1047</v>
      </c>
      <c r="BH200" s="35" t="s">
        <v>434</v>
      </c>
      <c r="BI200" s="35" t="s">
        <v>7231</v>
      </c>
      <c r="BJ200" s="35" t="s">
        <v>509</v>
      </c>
      <c r="BK200" s="35" t="s">
        <v>7232</v>
      </c>
      <c r="BL200" s="35" t="s">
        <v>511</v>
      </c>
      <c r="BM200" s="35" t="s">
        <v>512</v>
      </c>
      <c r="BN200" s="35" t="s">
        <v>549</v>
      </c>
      <c r="BO200" s="35" t="s">
        <v>398</v>
      </c>
      <c r="BP200" s="35" t="s">
        <v>7233</v>
      </c>
      <c r="BQ200" s="35" t="s">
        <v>7234</v>
      </c>
      <c r="BR200" s="35" t="s">
        <v>401</v>
      </c>
      <c r="BS200" s="35" t="s">
        <v>7235</v>
      </c>
      <c r="BT200" s="35" t="s">
        <v>1671</v>
      </c>
      <c r="BU200" s="35" t="s">
        <v>1771</v>
      </c>
      <c r="BV200" s="35" t="s">
        <v>1831</v>
      </c>
      <c r="BW200" s="35" t="s">
        <v>7236</v>
      </c>
      <c r="BX200" s="35" t="s">
        <v>406</v>
      </c>
      <c r="BY200" s="35" t="s">
        <v>407</v>
      </c>
      <c r="BZ200" s="35" t="s">
        <v>408</v>
      </c>
      <c r="CB200" s="35" t="s">
        <v>7237</v>
      </c>
      <c r="CC200" s="35" t="s">
        <v>7238</v>
      </c>
      <c r="CD200" s="35" t="s">
        <v>7239</v>
      </c>
      <c r="CE200" s="35" t="s">
        <v>451</v>
      </c>
      <c r="CF200" s="35" t="s">
        <v>7240</v>
      </c>
      <c r="CG200" s="35" t="s">
        <v>1258</v>
      </c>
      <c r="CI200" s="35" t="s">
        <v>1679</v>
      </c>
      <c r="CJ200" s="35" t="s">
        <v>410</v>
      </c>
      <c r="CK200" s="35" t="s">
        <v>7241</v>
      </c>
      <c r="CL200" s="35" t="s">
        <v>7242</v>
      </c>
      <c r="DJ200" s="35" t="s">
        <v>459</v>
      </c>
      <c r="DK200" s="35" t="s">
        <v>562</v>
      </c>
      <c r="DL200" s="35" t="s">
        <v>1434</v>
      </c>
      <c r="EU200" s="35" t="s">
        <v>526</v>
      </c>
      <c r="EV200" s="35" t="s">
        <v>479</v>
      </c>
      <c r="EW200" s="35" t="s">
        <v>1534</v>
      </c>
      <c r="EY200" s="35" t="s">
        <v>7243</v>
      </c>
      <c r="EZ200" s="35" t="s">
        <v>7244</v>
      </c>
      <c r="FA200" s="35" t="s">
        <v>413</v>
      </c>
      <c r="FB200" s="35" t="s">
        <v>583</v>
      </c>
      <c r="FC200" s="35" t="s">
        <v>583</v>
      </c>
      <c r="FD200" s="35" t="s">
        <v>583</v>
      </c>
      <c r="FE200" s="35" t="s">
        <v>583</v>
      </c>
      <c r="FF200" s="35" t="s">
        <v>583</v>
      </c>
      <c r="FG200" s="35" t="s">
        <v>583</v>
      </c>
      <c r="FH200" s="35" t="s">
        <v>413</v>
      </c>
      <c r="FI200" s="35" t="s">
        <v>583</v>
      </c>
      <c r="FJ200" s="35" t="s">
        <v>583</v>
      </c>
      <c r="FK200" s="35" t="s">
        <v>583</v>
      </c>
      <c r="FL200" s="35" t="s">
        <v>415</v>
      </c>
      <c r="FM200" s="35" t="s">
        <v>583</v>
      </c>
      <c r="FN200" s="35" t="s">
        <v>416</v>
      </c>
      <c r="FO200" s="35" t="s">
        <v>583</v>
      </c>
      <c r="FP200" s="35" t="s">
        <v>485</v>
      </c>
      <c r="FQ200" s="35" t="s">
        <v>2651</v>
      </c>
      <c r="FR200" s="35" t="s">
        <v>630</v>
      </c>
      <c r="FS200" s="35" t="s">
        <v>7245</v>
      </c>
      <c r="FT200" s="35" t="s">
        <v>1871</v>
      </c>
      <c r="FU200" s="35" t="s">
        <v>1462</v>
      </c>
      <c r="FV200" s="35" t="s">
        <v>533</v>
      </c>
      <c r="FW200" s="35" t="s">
        <v>490</v>
      </c>
      <c r="FX200" s="35" t="s">
        <v>491</v>
      </c>
      <c r="FY200" s="35" t="s">
        <v>7246</v>
      </c>
      <c r="FZ200" s="35" t="s">
        <v>493</v>
      </c>
      <c r="GA200" s="35" t="s">
        <v>7247</v>
      </c>
      <c r="GB200" s="35" t="s">
        <v>7248</v>
      </c>
      <c r="GC200" s="35" t="s">
        <v>408</v>
      </c>
      <c r="GK200" s="35" t="s">
        <v>789</v>
      </c>
      <c r="GL200" s="35" t="s">
        <v>789</v>
      </c>
      <c r="GM200" s="35" t="s">
        <v>858</v>
      </c>
      <c r="GR200" s="35" t="s">
        <v>3208</v>
      </c>
      <c r="GS200" s="35" t="s">
        <v>4840</v>
      </c>
      <c r="GT200" s="35" t="s">
        <v>7249</v>
      </c>
      <c r="GW200" s="35" t="s">
        <v>5260</v>
      </c>
      <c r="GX200" s="35" t="s">
        <v>5261</v>
      </c>
      <c r="GY200" s="35" t="s">
        <v>5262</v>
      </c>
      <c r="GZ200" s="35" t="s">
        <v>5233</v>
      </c>
      <c r="HA200" s="35" t="s">
        <v>5234</v>
      </c>
      <c r="HB200" s="35" t="s">
        <v>5369</v>
      </c>
      <c r="HC200" s="35" t="s">
        <v>7250</v>
      </c>
      <c r="HP200" s="35" t="s">
        <v>5236</v>
      </c>
      <c r="HQ200" s="35" t="s">
        <v>5237</v>
      </c>
      <c r="HR200" s="35" t="s">
        <v>5238</v>
      </c>
      <c r="HS200" s="35" t="s">
        <v>7251</v>
      </c>
      <c r="MK200" s="35" t="s">
        <v>6321</v>
      </c>
    </row>
    <row r="201">
      <c r="A201" s="35" t="s">
        <v>10931</v>
      </c>
      <c r="B201" s="40">
        <v>45957.408709270836</v>
      </c>
      <c r="C201" s="35" t="s">
        <v>368</v>
      </c>
      <c r="D201" s="35" t="s">
        <v>370</v>
      </c>
      <c r="E201" s="35" t="s">
        <v>370</v>
      </c>
      <c r="F201" s="35" t="s">
        <v>371</v>
      </c>
      <c r="G201" s="35" t="s">
        <v>7318</v>
      </c>
      <c r="H201" s="35" t="s">
        <v>422</v>
      </c>
      <c r="I201" s="35" t="s">
        <v>637</v>
      </c>
      <c r="J201" s="35" t="s">
        <v>638</v>
      </c>
      <c r="K201" s="35" t="s">
        <v>590</v>
      </c>
      <c r="L201" s="35" t="s">
        <v>376</v>
      </c>
      <c r="M201" s="35" t="s">
        <v>591</v>
      </c>
      <c r="N201" s="35" t="s">
        <v>860</v>
      </c>
      <c r="O201" s="35" t="s">
        <v>591</v>
      </c>
      <c r="P201" s="35" t="s">
        <v>671</v>
      </c>
      <c r="Q201" s="35" t="s">
        <v>592</v>
      </c>
      <c r="R201" s="35" t="s">
        <v>1004</v>
      </c>
      <c r="S201" s="35" t="s">
        <v>500</v>
      </c>
      <c r="T201" s="35" t="s">
        <v>384</v>
      </c>
      <c r="U201" s="35" t="s">
        <v>385</v>
      </c>
      <c r="X201" s="35" t="s">
        <v>3014</v>
      </c>
      <c r="AW201" s="35" t="s">
        <v>1242</v>
      </c>
      <c r="AX201" s="35" t="s">
        <v>675</v>
      </c>
      <c r="AY201" s="35" t="s">
        <v>675</v>
      </c>
      <c r="AZ201" s="35" t="s">
        <v>675</v>
      </c>
      <c r="BA201" s="35" t="s">
        <v>675</v>
      </c>
      <c r="BB201" s="35" t="s">
        <v>675</v>
      </c>
      <c r="BC201" s="35" t="s">
        <v>675</v>
      </c>
      <c r="BD201" s="35" t="s">
        <v>7319</v>
      </c>
      <c r="BE201" s="35" t="s">
        <v>7320</v>
      </c>
      <c r="BF201" s="35" t="s">
        <v>2379</v>
      </c>
      <c r="BG201" s="35" t="s">
        <v>1245</v>
      </c>
      <c r="BH201" s="35" t="s">
        <v>394</v>
      </c>
      <c r="BI201" s="35" t="s">
        <v>7321</v>
      </c>
      <c r="BJ201" s="35" t="s">
        <v>976</v>
      </c>
      <c r="BL201" s="35" t="s">
        <v>602</v>
      </c>
      <c r="BM201" s="35" t="s">
        <v>904</v>
      </c>
      <c r="BN201" s="35" t="s">
        <v>1314</v>
      </c>
      <c r="BO201" s="35" t="s">
        <v>398</v>
      </c>
      <c r="BP201" s="35" t="s">
        <v>7322</v>
      </c>
      <c r="BQ201" s="35" t="s">
        <v>7323</v>
      </c>
      <c r="BR201" s="35" t="s">
        <v>401</v>
      </c>
      <c r="BS201" s="35" t="s">
        <v>7324</v>
      </c>
      <c r="BT201" s="35" t="s">
        <v>1741</v>
      </c>
      <c r="BU201" s="35" t="s">
        <v>4368</v>
      </c>
      <c r="BV201" s="35" t="s">
        <v>405</v>
      </c>
      <c r="BX201" s="35" t="s">
        <v>457</v>
      </c>
      <c r="BZ201" s="35" t="s">
        <v>408</v>
      </c>
      <c r="CB201" s="35" t="s">
        <v>7325</v>
      </c>
      <c r="CC201" s="35" t="s">
        <v>7326</v>
      </c>
      <c r="CD201" s="35" t="s">
        <v>7327</v>
      </c>
      <c r="CE201" s="35" t="s">
        <v>451</v>
      </c>
      <c r="CF201" s="35" t="s">
        <v>7328</v>
      </c>
      <c r="CG201" s="35" t="s">
        <v>1722</v>
      </c>
      <c r="CH201" s="35" t="s">
        <v>7329</v>
      </c>
      <c r="CI201" s="35" t="s">
        <v>1259</v>
      </c>
      <c r="CJ201" s="35" t="s">
        <v>833</v>
      </c>
      <c r="CK201" s="35" t="s">
        <v>7330</v>
      </c>
      <c r="CL201" s="35" t="s">
        <v>7331</v>
      </c>
      <c r="DJ201" s="35" t="s">
        <v>459</v>
      </c>
      <c r="DK201" s="35" t="s">
        <v>460</v>
      </c>
      <c r="DL201" s="35" t="s">
        <v>6319</v>
      </c>
      <c r="EU201" s="35" t="s">
        <v>578</v>
      </c>
      <c r="EV201" s="35" t="s">
        <v>479</v>
      </c>
      <c r="EW201" s="35" t="s">
        <v>778</v>
      </c>
      <c r="EX201" s="35" t="s">
        <v>7332</v>
      </c>
      <c r="EY201" s="35" t="s">
        <v>7333</v>
      </c>
      <c r="EZ201" s="35" t="s">
        <v>7334</v>
      </c>
      <c r="FA201" s="35" t="s">
        <v>413</v>
      </c>
      <c r="FB201" s="35" t="s">
        <v>415</v>
      </c>
      <c r="FC201" s="35" t="s">
        <v>413</v>
      </c>
      <c r="FD201" s="35" t="s">
        <v>413</v>
      </c>
      <c r="FE201" s="35" t="s">
        <v>413</v>
      </c>
      <c r="FF201" s="35" t="s">
        <v>416</v>
      </c>
      <c r="FG201" s="35" t="s">
        <v>413</v>
      </c>
      <c r="FH201" s="35" t="s">
        <v>413</v>
      </c>
      <c r="FI201" s="35" t="s">
        <v>484</v>
      </c>
      <c r="FJ201" s="35" t="s">
        <v>583</v>
      </c>
      <c r="FK201" s="35" t="s">
        <v>416</v>
      </c>
      <c r="FL201" s="35" t="s">
        <v>413</v>
      </c>
      <c r="FM201" s="35" t="s">
        <v>415</v>
      </c>
      <c r="FN201" s="35" t="s">
        <v>415</v>
      </c>
      <c r="FO201" s="35" t="s">
        <v>415</v>
      </c>
      <c r="FP201" s="35" t="s">
        <v>417</v>
      </c>
      <c r="FQ201" s="35" t="s">
        <v>486</v>
      </c>
      <c r="FR201" s="35" t="s">
        <v>749</v>
      </c>
      <c r="FS201" s="35" t="s">
        <v>7335</v>
      </c>
      <c r="FT201" s="35" t="s">
        <v>420</v>
      </c>
      <c r="FU201" s="35" t="s">
        <v>488</v>
      </c>
      <c r="FV201" s="35" t="s">
        <v>489</v>
      </c>
      <c r="FW201" s="35" t="s">
        <v>490</v>
      </c>
      <c r="FX201" s="35" t="s">
        <v>491</v>
      </c>
      <c r="FY201" s="35" t="s">
        <v>7336</v>
      </c>
      <c r="FZ201" s="35" t="s">
        <v>535</v>
      </c>
      <c r="GA201" s="35" t="s">
        <v>7337</v>
      </c>
      <c r="GK201" s="35" t="s">
        <v>755</v>
      </c>
      <c r="GL201" s="35" t="s">
        <v>755</v>
      </c>
      <c r="GM201" s="35" t="s">
        <v>946</v>
      </c>
      <c r="GR201" s="35" t="s">
        <v>3208</v>
      </c>
      <c r="GS201" s="35" t="s">
        <v>4774</v>
      </c>
      <c r="GW201" s="35" t="s">
        <v>5231</v>
      </c>
      <c r="GX201" s="35" t="s">
        <v>5232</v>
      </c>
      <c r="GY201" s="35" t="s">
        <v>5262</v>
      </c>
      <c r="GZ201" s="35" t="s">
        <v>7338</v>
      </c>
      <c r="HA201" s="35" t="s">
        <v>5234</v>
      </c>
      <c r="HB201" s="35" t="s">
        <v>5864</v>
      </c>
      <c r="HC201" s="35" t="s">
        <v>7008</v>
      </c>
      <c r="HP201" s="35" t="s">
        <v>5236</v>
      </c>
      <c r="HQ201" s="35" t="s">
        <v>5237</v>
      </c>
      <c r="HR201" s="35" t="s">
        <v>5238</v>
      </c>
      <c r="HS201" s="35" t="s">
        <v>5321</v>
      </c>
      <c r="MK201" s="35" t="s">
        <v>6321</v>
      </c>
    </row>
    <row r="202">
      <c r="A202" s="35" t="s">
        <v>10932</v>
      </c>
      <c r="B202" s="40">
        <v>45970.48485820602</v>
      </c>
      <c r="C202" s="35" t="s">
        <v>368</v>
      </c>
      <c r="D202" s="35" t="s">
        <v>370</v>
      </c>
      <c r="E202" s="35" t="s">
        <v>370</v>
      </c>
      <c r="F202" s="35" t="s">
        <v>2400</v>
      </c>
      <c r="G202" s="35" t="s">
        <v>2400</v>
      </c>
      <c r="H202" s="35" t="s">
        <v>422</v>
      </c>
      <c r="I202" s="35" t="s">
        <v>373</v>
      </c>
      <c r="J202" s="35" t="s">
        <v>638</v>
      </c>
      <c r="K202" s="35" t="s">
        <v>375</v>
      </c>
      <c r="L202" s="35" t="s">
        <v>376</v>
      </c>
      <c r="M202" s="35" t="s">
        <v>591</v>
      </c>
      <c r="N202" s="35" t="s">
        <v>3109</v>
      </c>
      <c r="O202" s="35" t="s">
        <v>793</v>
      </c>
      <c r="P202" s="35" t="s">
        <v>3453</v>
      </c>
      <c r="Q202" s="35" t="s">
        <v>498</v>
      </c>
      <c r="R202" s="35" t="s">
        <v>499</v>
      </c>
      <c r="S202" s="35" t="s">
        <v>427</v>
      </c>
      <c r="T202" s="35" t="s">
        <v>384</v>
      </c>
      <c r="U202" s="35" t="s">
        <v>385</v>
      </c>
      <c r="X202" s="35" t="s">
        <v>593</v>
      </c>
      <c r="Y202" s="35" t="s">
        <v>387</v>
      </c>
      <c r="Z202" s="35" t="s">
        <v>594</v>
      </c>
      <c r="AA202" s="35" t="s">
        <v>543</v>
      </c>
      <c r="AB202" s="35" t="s">
        <v>7679</v>
      </c>
      <c r="AW202" s="35" t="s">
        <v>1242</v>
      </c>
      <c r="AX202" s="35" t="s">
        <v>675</v>
      </c>
      <c r="AY202" s="41">
        <v>4.0</v>
      </c>
      <c r="AZ202" s="35" t="s">
        <v>675</v>
      </c>
      <c r="BA202" s="35" t="s">
        <v>675</v>
      </c>
      <c r="BB202" s="35" t="s">
        <v>675</v>
      </c>
      <c r="BC202" s="35" t="s">
        <v>675</v>
      </c>
      <c r="BF202" s="35" t="s">
        <v>1094</v>
      </c>
      <c r="BG202" s="35" t="s">
        <v>1095</v>
      </c>
      <c r="BH202" s="35" t="s">
        <v>394</v>
      </c>
      <c r="BJ202" s="35" t="s">
        <v>824</v>
      </c>
      <c r="BL202" s="35" t="s">
        <v>602</v>
      </c>
      <c r="BM202" s="35" t="s">
        <v>396</v>
      </c>
      <c r="BN202" s="35" t="s">
        <v>1314</v>
      </c>
      <c r="BO202" s="35" t="s">
        <v>398</v>
      </c>
      <c r="BP202" s="35" t="s">
        <v>7680</v>
      </c>
      <c r="BQ202" s="35" t="s">
        <v>7681</v>
      </c>
      <c r="BR202" s="35" t="s">
        <v>604</v>
      </c>
      <c r="BS202" s="35" t="s">
        <v>6313</v>
      </c>
      <c r="BT202" s="35" t="s">
        <v>403</v>
      </c>
      <c r="BU202" s="35" t="s">
        <v>404</v>
      </c>
      <c r="BV202" s="35" t="s">
        <v>405</v>
      </c>
      <c r="BX202" s="35" t="s">
        <v>406</v>
      </c>
      <c r="BY202" s="35" t="s">
        <v>2503</v>
      </c>
      <c r="BZ202" s="35" t="s">
        <v>408</v>
      </c>
      <c r="CC202" s="35" t="s">
        <v>7682</v>
      </c>
      <c r="CD202" s="35" t="s">
        <v>7683</v>
      </c>
      <c r="CE202" s="35" t="s">
        <v>409</v>
      </c>
      <c r="CF202" s="35" t="s">
        <v>7684</v>
      </c>
      <c r="CG202" s="35" t="s">
        <v>1258</v>
      </c>
      <c r="CI202" s="35" t="s">
        <v>1751</v>
      </c>
      <c r="CJ202" s="35" t="s">
        <v>833</v>
      </c>
      <c r="CK202" s="35" t="s">
        <v>7685</v>
      </c>
      <c r="CL202" s="35" t="s">
        <v>7686</v>
      </c>
      <c r="DJ202" s="35" t="s">
        <v>963</v>
      </c>
      <c r="DK202" s="35" t="s">
        <v>460</v>
      </c>
      <c r="DL202" s="35" t="s">
        <v>6319</v>
      </c>
      <c r="EU202" s="35" t="s">
        <v>526</v>
      </c>
      <c r="EV202" s="35" t="s">
        <v>1037</v>
      </c>
      <c r="EW202" s="35" t="s">
        <v>527</v>
      </c>
      <c r="EX202" s="35" t="s">
        <v>7687</v>
      </c>
      <c r="FA202" s="35" t="s">
        <v>413</v>
      </c>
      <c r="FB202" s="35" t="s">
        <v>415</v>
      </c>
      <c r="FC202" s="35" t="s">
        <v>413</v>
      </c>
      <c r="FD202" s="35" t="s">
        <v>413</v>
      </c>
      <c r="FE202" s="35" t="s">
        <v>413</v>
      </c>
      <c r="FF202" s="35" t="s">
        <v>414</v>
      </c>
      <c r="FG202" s="35" t="s">
        <v>413</v>
      </c>
      <c r="FH202" s="35" t="s">
        <v>413</v>
      </c>
      <c r="FI202" s="35" t="s">
        <v>413</v>
      </c>
      <c r="FJ202" s="35" t="s">
        <v>415</v>
      </c>
      <c r="FK202" s="35" t="s">
        <v>415</v>
      </c>
      <c r="FL202" s="35" t="s">
        <v>413</v>
      </c>
      <c r="FM202" s="35" t="s">
        <v>413</v>
      </c>
      <c r="FN202" s="35" t="s">
        <v>415</v>
      </c>
      <c r="FO202" s="35" t="s">
        <v>415</v>
      </c>
      <c r="FP202" s="35" t="s">
        <v>485</v>
      </c>
      <c r="FQ202" s="35" t="s">
        <v>418</v>
      </c>
      <c r="FR202" s="35" t="s">
        <v>749</v>
      </c>
      <c r="FT202" s="35" t="s">
        <v>420</v>
      </c>
      <c r="FU202" s="35" t="s">
        <v>488</v>
      </c>
      <c r="FV202" s="35" t="s">
        <v>489</v>
      </c>
      <c r="FW202" s="35" t="s">
        <v>490</v>
      </c>
      <c r="FX202" s="35" t="s">
        <v>491</v>
      </c>
      <c r="FZ202" s="35" t="s">
        <v>493</v>
      </c>
      <c r="GC202" s="35" t="s">
        <v>408</v>
      </c>
      <c r="GK202" s="35" t="s">
        <v>857</v>
      </c>
      <c r="GL202" s="35" t="s">
        <v>857</v>
      </c>
      <c r="GM202" s="35" t="s">
        <v>790</v>
      </c>
      <c r="GR202" s="35" t="s">
        <v>5656</v>
      </c>
      <c r="GS202" s="35" t="s">
        <v>4774</v>
      </c>
      <c r="GW202" s="35" t="s">
        <v>5231</v>
      </c>
      <c r="GX202" s="35" t="s">
        <v>484</v>
      </c>
      <c r="GY202" s="35" t="s">
        <v>484</v>
      </c>
      <c r="GZ202" s="35" t="s">
        <v>5233</v>
      </c>
      <c r="HA202" s="35" t="s">
        <v>5234</v>
      </c>
      <c r="HB202" s="35" t="s">
        <v>484</v>
      </c>
      <c r="HC202" s="35" t="s">
        <v>6031</v>
      </c>
      <c r="HP202" s="35" t="s">
        <v>5285</v>
      </c>
      <c r="HQ202" s="35" t="s">
        <v>5302</v>
      </c>
      <c r="HR202" s="35" t="s">
        <v>5238</v>
      </c>
      <c r="HS202" s="35" t="s">
        <v>5321</v>
      </c>
      <c r="MK202" s="35" t="s">
        <v>6321</v>
      </c>
    </row>
    <row r="203">
      <c r="A203" s="35" t="s">
        <v>10933</v>
      </c>
      <c r="B203" s="40">
        <v>45971.66754105324</v>
      </c>
      <c r="C203" s="35" t="s">
        <v>368</v>
      </c>
      <c r="D203" s="35" t="s">
        <v>370</v>
      </c>
      <c r="E203" s="35" t="s">
        <v>370</v>
      </c>
      <c r="F203" s="35" t="s">
        <v>495</v>
      </c>
      <c r="G203" s="35" t="s">
        <v>495</v>
      </c>
      <c r="H203" s="35" t="s">
        <v>422</v>
      </c>
      <c r="I203" s="35" t="s">
        <v>496</v>
      </c>
      <c r="J203" s="35" t="s">
        <v>2578</v>
      </c>
      <c r="K203" s="35" t="s">
        <v>590</v>
      </c>
      <c r="L203" s="35" t="s">
        <v>376</v>
      </c>
      <c r="M203" s="35" t="s">
        <v>591</v>
      </c>
      <c r="N203" s="35" t="s">
        <v>541</v>
      </c>
      <c r="O203" s="35" t="s">
        <v>793</v>
      </c>
      <c r="P203" s="35" t="s">
        <v>719</v>
      </c>
      <c r="Q203" s="35" t="s">
        <v>592</v>
      </c>
      <c r="R203" s="35" t="s">
        <v>862</v>
      </c>
      <c r="S203" s="35" t="s">
        <v>427</v>
      </c>
      <c r="T203" s="35" t="s">
        <v>384</v>
      </c>
      <c r="U203" s="35" t="s">
        <v>385</v>
      </c>
      <c r="X203" s="35" t="s">
        <v>3014</v>
      </c>
      <c r="AW203" s="35" t="s">
        <v>1242</v>
      </c>
      <c r="AX203" s="35" t="s">
        <v>675</v>
      </c>
      <c r="AY203" s="35" t="s">
        <v>675</v>
      </c>
      <c r="AZ203" s="35" t="s">
        <v>675</v>
      </c>
      <c r="BA203" s="35" t="s">
        <v>675</v>
      </c>
      <c r="BB203" s="35" t="s">
        <v>675</v>
      </c>
      <c r="BC203" s="35" t="s">
        <v>675</v>
      </c>
      <c r="BD203" s="35" t="s">
        <v>7724</v>
      </c>
      <c r="BE203" s="35" t="s">
        <v>7725</v>
      </c>
      <c r="BF203" s="35" t="s">
        <v>902</v>
      </c>
      <c r="BG203" s="35" t="s">
        <v>1095</v>
      </c>
      <c r="BH203" s="35" t="s">
        <v>394</v>
      </c>
      <c r="BI203" s="35" t="s">
        <v>7726</v>
      </c>
      <c r="BJ203" s="35" t="s">
        <v>976</v>
      </c>
      <c r="BK203" s="35" t="s">
        <v>1211</v>
      </c>
      <c r="BL203" s="35" t="s">
        <v>602</v>
      </c>
      <c r="BM203" s="35" t="s">
        <v>904</v>
      </c>
      <c r="BN203" s="35" t="s">
        <v>1314</v>
      </c>
      <c r="BO203" s="35" t="s">
        <v>398</v>
      </c>
      <c r="BP203" s="35" t="s">
        <v>7727</v>
      </c>
      <c r="BQ203" s="35" t="s">
        <v>796</v>
      </c>
      <c r="BR203" s="35" t="s">
        <v>604</v>
      </c>
      <c r="BS203" s="35" t="s">
        <v>2662</v>
      </c>
      <c r="BT203" s="35" t="s">
        <v>1741</v>
      </c>
      <c r="BU203" s="35" t="s">
        <v>4368</v>
      </c>
      <c r="BV203" s="35" t="s">
        <v>405</v>
      </c>
      <c r="BW203" s="35" t="s">
        <v>1211</v>
      </c>
      <c r="BX203" s="35" t="s">
        <v>406</v>
      </c>
      <c r="BY203" s="35" t="s">
        <v>2503</v>
      </c>
      <c r="BZ203" s="35" t="s">
        <v>408</v>
      </c>
      <c r="CA203" s="35" t="s">
        <v>1211</v>
      </c>
      <c r="CB203" s="35" t="s">
        <v>7728</v>
      </c>
      <c r="CC203" s="35" t="s">
        <v>7729</v>
      </c>
      <c r="CD203" s="35" t="s">
        <v>7730</v>
      </c>
      <c r="CE203" s="35" t="s">
        <v>1257</v>
      </c>
      <c r="CF203" s="35" t="s">
        <v>1211</v>
      </c>
      <c r="CG203" s="35" t="s">
        <v>1258</v>
      </c>
      <c r="CH203" s="35" t="s">
        <v>1211</v>
      </c>
      <c r="CI203" s="35" t="s">
        <v>1259</v>
      </c>
      <c r="CJ203" s="35" t="s">
        <v>410</v>
      </c>
      <c r="CK203" s="35" t="s">
        <v>7731</v>
      </c>
      <c r="CL203" s="35" t="s">
        <v>7732</v>
      </c>
      <c r="DJ203" s="35" t="s">
        <v>459</v>
      </c>
      <c r="DK203" s="35" t="s">
        <v>460</v>
      </c>
      <c r="DL203" s="35" t="s">
        <v>6319</v>
      </c>
      <c r="EU203" s="35" t="s">
        <v>478</v>
      </c>
      <c r="EV203" s="35" t="s">
        <v>479</v>
      </c>
      <c r="EW203" s="35" t="s">
        <v>580</v>
      </c>
      <c r="EX203" s="35" t="s">
        <v>7733</v>
      </c>
      <c r="EY203" s="35" t="s">
        <v>7734</v>
      </c>
      <c r="EZ203" s="35" t="s">
        <v>7735</v>
      </c>
      <c r="FA203" s="35" t="s">
        <v>414</v>
      </c>
      <c r="FB203" s="35" t="s">
        <v>414</v>
      </c>
      <c r="FC203" s="35" t="s">
        <v>416</v>
      </c>
      <c r="FD203" s="35" t="s">
        <v>414</v>
      </c>
      <c r="FE203" s="35" t="s">
        <v>416</v>
      </c>
      <c r="FF203" s="35" t="s">
        <v>414</v>
      </c>
      <c r="FG203" s="35" t="s">
        <v>415</v>
      </c>
      <c r="FH203" s="35" t="s">
        <v>416</v>
      </c>
      <c r="FI203" s="35" t="s">
        <v>414</v>
      </c>
      <c r="FJ203" s="35" t="s">
        <v>414</v>
      </c>
      <c r="FK203" s="35" t="s">
        <v>414</v>
      </c>
      <c r="FL203" s="35" t="s">
        <v>416</v>
      </c>
      <c r="FM203" s="35" t="s">
        <v>416</v>
      </c>
      <c r="FN203" s="35" t="s">
        <v>416</v>
      </c>
      <c r="FO203" s="35" t="s">
        <v>414</v>
      </c>
      <c r="FP203" s="35" t="s">
        <v>417</v>
      </c>
      <c r="FQ203" s="35" t="s">
        <v>418</v>
      </c>
      <c r="FR203" s="35" t="s">
        <v>749</v>
      </c>
      <c r="FS203" s="35" t="s">
        <v>7736</v>
      </c>
      <c r="FT203" s="35" t="s">
        <v>420</v>
      </c>
      <c r="FU203" s="35" t="s">
        <v>2750</v>
      </c>
      <c r="FV203" s="35" t="s">
        <v>918</v>
      </c>
      <c r="FW203" s="35" t="s">
        <v>490</v>
      </c>
      <c r="FX203" s="35" t="s">
        <v>491</v>
      </c>
      <c r="FY203" s="35" t="s">
        <v>7737</v>
      </c>
      <c r="FZ203" s="35" t="s">
        <v>535</v>
      </c>
      <c r="GC203" s="35" t="s">
        <v>455</v>
      </c>
      <c r="GD203" s="35" t="s">
        <v>10934</v>
      </c>
      <c r="GF203" s="35" t="s">
        <v>753</v>
      </c>
      <c r="GG203" s="35" t="s">
        <v>7738</v>
      </c>
      <c r="GK203" s="35" t="s">
        <v>755</v>
      </c>
      <c r="GL203" s="35" t="s">
        <v>755</v>
      </c>
      <c r="GM203" s="35" t="s">
        <v>946</v>
      </c>
      <c r="GR203" s="35" t="s">
        <v>3208</v>
      </c>
      <c r="GS203" s="35" t="s">
        <v>4741</v>
      </c>
      <c r="GT203" s="35" t="s">
        <v>7739</v>
      </c>
      <c r="GW203" s="35" t="s">
        <v>5231</v>
      </c>
      <c r="GX203" s="35" t="s">
        <v>5232</v>
      </c>
      <c r="GY203" s="35" t="s">
        <v>5262</v>
      </c>
      <c r="GZ203" s="35" t="s">
        <v>5233</v>
      </c>
      <c r="HA203" s="35" t="s">
        <v>5234</v>
      </c>
      <c r="HB203" s="35" t="s">
        <v>484</v>
      </c>
      <c r="HC203" s="35" t="s">
        <v>7740</v>
      </c>
      <c r="HP203" s="35" t="s">
        <v>5236</v>
      </c>
      <c r="HQ203" s="35" t="s">
        <v>5302</v>
      </c>
      <c r="HR203" s="35" t="s">
        <v>5238</v>
      </c>
      <c r="HS203" s="35" t="s">
        <v>7741</v>
      </c>
      <c r="MK203" s="35" t="s">
        <v>6321</v>
      </c>
    </row>
    <row r="204">
      <c r="A204" s="35" t="s">
        <v>10935</v>
      </c>
      <c r="B204" s="40">
        <v>45972.193447893515</v>
      </c>
      <c r="D204" s="35" t="s">
        <v>370</v>
      </c>
      <c r="E204" s="35" t="s">
        <v>370</v>
      </c>
      <c r="F204" s="35" t="s">
        <v>6634</v>
      </c>
      <c r="G204" s="35" t="s">
        <v>371</v>
      </c>
      <c r="H204" s="35" t="s">
        <v>422</v>
      </c>
      <c r="I204" s="35" t="s">
        <v>373</v>
      </c>
      <c r="J204" s="35" t="s">
        <v>638</v>
      </c>
      <c r="K204" s="35" t="s">
        <v>375</v>
      </c>
      <c r="L204" s="35" t="s">
        <v>376</v>
      </c>
      <c r="M204" s="35" t="s">
        <v>426</v>
      </c>
      <c r="N204" s="35" t="s">
        <v>2464</v>
      </c>
      <c r="O204" s="35" t="s">
        <v>591</v>
      </c>
      <c r="P204" s="35" t="s">
        <v>719</v>
      </c>
      <c r="Q204" s="35" t="s">
        <v>498</v>
      </c>
      <c r="R204" s="35" t="s">
        <v>499</v>
      </c>
      <c r="S204" s="35" t="s">
        <v>949</v>
      </c>
      <c r="T204" s="35" t="s">
        <v>384</v>
      </c>
      <c r="U204" s="35" t="s">
        <v>385</v>
      </c>
      <c r="X204" s="35" t="s">
        <v>3014</v>
      </c>
      <c r="AW204" s="35" t="s">
        <v>1242</v>
      </c>
      <c r="AX204" s="35" t="s">
        <v>675</v>
      </c>
      <c r="AY204" s="35" t="s">
        <v>675</v>
      </c>
      <c r="AZ204" s="41">
        <v>2.0</v>
      </c>
      <c r="BA204" s="41">
        <v>4.0</v>
      </c>
      <c r="BB204" s="35" t="s">
        <v>675</v>
      </c>
      <c r="BC204" s="35" t="s">
        <v>675</v>
      </c>
      <c r="BE204" s="35" t="s">
        <v>7742</v>
      </c>
      <c r="BF204" s="35" t="s">
        <v>2379</v>
      </c>
      <c r="BG204" s="35" t="s">
        <v>1095</v>
      </c>
      <c r="BH204" s="35" t="s">
        <v>434</v>
      </c>
      <c r="BJ204" s="35" t="s">
        <v>976</v>
      </c>
      <c r="BL204" s="35" t="s">
        <v>681</v>
      </c>
      <c r="BM204" s="35" t="s">
        <v>904</v>
      </c>
      <c r="BN204" s="35" t="s">
        <v>1314</v>
      </c>
      <c r="BO204" s="35" t="s">
        <v>398</v>
      </c>
      <c r="BP204" s="35" t="s">
        <v>7743</v>
      </c>
      <c r="BQ204" s="35" t="s">
        <v>7744</v>
      </c>
      <c r="BR204" s="35" t="s">
        <v>401</v>
      </c>
      <c r="BS204" s="35" t="s">
        <v>3763</v>
      </c>
      <c r="BT204" s="35" t="s">
        <v>1741</v>
      </c>
      <c r="BU204" s="35" t="s">
        <v>1771</v>
      </c>
      <c r="BV204" s="35" t="s">
        <v>405</v>
      </c>
      <c r="BX204" s="35" t="s">
        <v>406</v>
      </c>
      <c r="BY204" s="35" t="s">
        <v>2503</v>
      </c>
      <c r="BZ204" s="35" t="s">
        <v>408</v>
      </c>
      <c r="CC204" s="35" t="s">
        <v>7745</v>
      </c>
      <c r="CD204" s="35" t="s">
        <v>2586</v>
      </c>
      <c r="CE204" s="35" t="s">
        <v>1257</v>
      </c>
      <c r="CG204" s="35" t="s">
        <v>1258</v>
      </c>
      <c r="CI204" s="35" t="s">
        <v>1751</v>
      </c>
      <c r="CJ204" s="35" t="s">
        <v>1964</v>
      </c>
      <c r="CK204" s="35" t="s">
        <v>7746</v>
      </c>
      <c r="CL204" s="35" t="s">
        <v>7747</v>
      </c>
      <c r="DJ204" s="35" t="s">
        <v>963</v>
      </c>
      <c r="DK204" s="35" t="s">
        <v>460</v>
      </c>
      <c r="DL204" s="35" t="s">
        <v>6319</v>
      </c>
      <c r="EU204" s="35" t="s">
        <v>478</v>
      </c>
      <c r="EV204" s="35" t="s">
        <v>1127</v>
      </c>
      <c r="EW204" s="35" t="s">
        <v>580</v>
      </c>
      <c r="EY204" s="35" t="s">
        <v>7748</v>
      </c>
      <c r="EZ204" s="35" t="s">
        <v>7749</v>
      </c>
      <c r="FA204" s="35" t="s">
        <v>415</v>
      </c>
      <c r="FB204" s="35" t="s">
        <v>415</v>
      </c>
      <c r="FC204" s="35" t="s">
        <v>413</v>
      </c>
      <c r="FD204" s="35" t="s">
        <v>413</v>
      </c>
      <c r="FE204" s="35" t="s">
        <v>413</v>
      </c>
      <c r="FF204" s="35" t="s">
        <v>415</v>
      </c>
      <c r="FG204" s="35" t="s">
        <v>415</v>
      </c>
      <c r="FH204" s="35" t="s">
        <v>413</v>
      </c>
      <c r="FI204" s="35" t="s">
        <v>413</v>
      </c>
      <c r="FJ204" s="35" t="s">
        <v>413</v>
      </c>
      <c r="FK204" s="35" t="s">
        <v>413</v>
      </c>
      <c r="FL204" s="35" t="s">
        <v>413</v>
      </c>
      <c r="FM204" s="35" t="s">
        <v>413</v>
      </c>
      <c r="FN204" s="35" t="s">
        <v>415</v>
      </c>
      <c r="FO204" s="35" t="s">
        <v>415</v>
      </c>
      <c r="FP204" s="35" t="s">
        <v>485</v>
      </c>
      <c r="FQ204" s="35" t="s">
        <v>418</v>
      </c>
      <c r="FR204" s="35" t="s">
        <v>749</v>
      </c>
      <c r="FS204" s="35" t="s">
        <v>7750</v>
      </c>
      <c r="FT204" s="35" t="s">
        <v>420</v>
      </c>
      <c r="FU204" s="35" t="s">
        <v>488</v>
      </c>
      <c r="FV204" s="35" t="s">
        <v>918</v>
      </c>
      <c r="FW204" s="35" t="s">
        <v>1101</v>
      </c>
      <c r="FX204" s="35" t="s">
        <v>491</v>
      </c>
      <c r="FY204" s="35" t="s">
        <v>7751</v>
      </c>
      <c r="FZ204" s="35" t="s">
        <v>535</v>
      </c>
      <c r="GA204" s="35" t="s">
        <v>7752</v>
      </c>
      <c r="GC204" s="35" t="s">
        <v>408</v>
      </c>
      <c r="GK204" s="35" t="s">
        <v>857</v>
      </c>
      <c r="GL204" s="35" t="s">
        <v>789</v>
      </c>
      <c r="GM204" s="35" t="s">
        <v>921</v>
      </c>
      <c r="GR204" s="35" t="s">
        <v>7753</v>
      </c>
      <c r="GS204" s="35" t="s">
        <v>4774</v>
      </c>
      <c r="GW204" s="35" t="s">
        <v>5231</v>
      </c>
      <c r="GX204" s="35" t="s">
        <v>484</v>
      </c>
      <c r="GY204" s="35" t="s">
        <v>484</v>
      </c>
      <c r="GZ204" s="35" t="s">
        <v>6013</v>
      </c>
      <c r="HA204" s="35" t="s">
        <v>5234</v>
      </c>
      <c r="HB204" s="35" t="s">
        <v>5369</v>
      </c>
      <c r="HC204" s="35" t="s">
        <v>7754</v>
      </c>
      <c r="HP204" s="35" t="s">
        <v>5285</v>
      </c>
      <c r="HQ204" s="35" t="s">
        <v>5719</v>
      </c>
      <c r="HR204" s="35" t="s">
        <v>5238</v>
      </c>
      <c r="HS204" s="35" t="s">
        <v>5347</v>
      </c>
      <c r="MK204" s="35" t="s">
        <v>6321</v>
      </c>
    </row>
    <row r="205">
      <c r="A205" s="35" t="s">
        <v>10936</v>
      </c>
      <c r="B205" s="40">
        <v>45978.17339207176</v>
      </c>
      <c r="C205" s="35" t="s">
        <v>368</v>
      </c>
      <c r="D205" s="35" t="s">
        <v>370</v>
      </c>
      <c r="E205" s="35" t="s">
        <v>370</v>
      </c>
      <c r="F205" s="35" t="s">
        <v>2388</v>
      </c>
      <c r="G205" s="35" t="s">
        <v>2388</v>
      </c>
      <c r="H205" s="35" t="s">
        <v>422</v>
      </c>
      <c r="I205" s="35" t="s">
        <v>496</v>
      </c>
      <c r="J205" s="35" t="s">
        <v>2578</v>
      </c>
      <c r="K205" s="35" t="s">
        <v>375</v>
      </c>
      <c r="L205" s="35" t="s">
        <v>376</v>
      </c>
      <c r="M205" s="35" t="s">
        <v>793</v>
      </c>
      <c r="N205" s="35" t="s">
        <v>639</v>
      </c>
      <c r="O205" s="35" t="s">
        <v>793</v>
      </c>
      <c r="P205" s="35" t="s">
        <v>639</v>
      </c>
      <c r="Q205" s="35" t="s">
        <v>498</v>
      </c>
      <c r="R205" s="35" t="s">
        <v>862</v>
      </c>
      <c r="S205" s="35" t="s">
        <v>1197</v>
      </c>
      <c r="T205" s="35" t="s">
        <v>384</v>
      </c>
      <c r="U205" s="35" t="s">
        <v>385</v>
      </c>
      <c r="X205" s="35" t="s">
        <v>3231</v>
      </c>
      <c r="AW205" s="35" t="s">
        <v>1242</v>
      </c>
      <c r="AX205" s="35" t="s">
        <v>675</v>
      </c>
      <c r="AY205" s="35" t="s">
        <v>675</v>
      </c>
      <c r="AZ205" s="35" t="s">
        <v>391</v>
      </c>
      <c r="BA205" s="35" t="s">
        <v>391</v>
      </c>
      <c r="BB205" s="35" t="s">
        <v>675</v>
      </c>
      <c r="BC205" s="35" t="s">
        <v>391</v>
      </c>
      <c r="BD205" s="35" t="s">
        <v>7792</v>
      </c>
      <c r="BE205" s="35" t="s">
        <v>7793</v>
      </c>
      <c r="BF205" s="35" t="s">
        <v>432</v>
      </c>
      <c r="BG205" s="35" t="s">
        <v>1047</v>
      </c>
      <c r="BH205" s="35" t="s">
        <v>765</v>
      </c>
      <c r="BI205" s="35" t="s">
        <v>7794</v>
      </c>
      <c r="BJ205" s="35" t="s">
        <v>435</v>
      </c>
      <c r="BK205" s="35" t="s">
        <v>7795</v>
      </c>
      <c r="BL205" s="35" t="s">
        <v>511</v>
      </c>
      <c r="BM205" s="35" t="s">
        <v>438</v>
      </c>
      <c r="BN205" s="35" t="s">
        <v>1314</v>
      </c>
      <c r="BO205" s="35" t="s">
        <v>398</v>
      </c>
      <c r="BP205" s="35" t="s">
        <v>7796</v>
      </c>
      <c r="BQ205" s="35" t="s">
        <v>7797</v>
      </c>
      <c r="BR205" s="35" t="s">
        <v>401</v>
      </c>
      <c r="BS205" s="35" t="s">
        <v>1691</v>
      </c>
      <c r="BT205" s="35" t="s">
        <v>403</v>
      </c>
      <c r="BU205" s="35" t="s">
        <v>4368</v>
      </c>
      <c r="BV205" s="35" t="s">
        <v>405</v>
      </c>
      <c r="BX205" s="35" t="s">
        <v>406</v>
      </c>
      <c r="BY205" s="35" t="s">
        <v>407</v>
      </c>
      <c r="BZ205" s="35" t="s">
        <v>408</v>
      </c>
      <c r="CB205" s="35" t="s">
        <v>7798</v>
      </c>
      <c r="CC205" s="35" t="s">
        <v>7799</v>
      </c>
      <c r="CD205" s="35" t="s">
        <v>7800</v>
      </c>
      <c r="CE205" s="35" t="s">
        <v>409</v>
      </c>
      <c r="CF205" s="35" t="s">
        <v>7801</v>
      </c>
      <c r="CG205" s="35" t="s">
        <v>1749</v>
      </c>
      <c r="CH205" s="35" t="s">
        <v>7802</v>
      </c>
      <c r="CI205" s="35" t="s">
        <v>1259</v>
      </c>
      <c r="CJ205" s="35" t="s">
        <v>833</v>
      </c>
      <c r="CK205" s="35" t="s">
        <v>7803</v>
      </c>
      <c r="CL205" s="35" t="s">
        <v>7804</v>
      </c>
      <c r="DJ205" s="35" t="s">
        <v>459</v>
      </c>
      <c r="DK205" s="35" t="s">
        <v>562</v>
      </c>
      <c r="DL205" s="35" t="s">
        <v>7805</v>
      </c>
      <c r="DM205" s="35" t="s">
        <v>7806</v>
      </c>
      <c r="EU205" s="35" t="s">
        <v>478</v>
      </c>
      <c r="EV205" s="35" t="s">
        <v>887</v>
      </c>
      <c r="EW205" s="35" t="s">
        <v>527</v>
      </c>
      <c r="EX205" s="35" t="s">
        <v>7807</v>
      </c>
      <c r="EY205" s="35" t="s">
        <v>7808</v>
      </c>
      <c r="EZ205" s="35" t="s">
        <v>7808</v>
      </c>
      <c r="FA205" s="35" t="s">
        <v>415</v>
      </c>
      <c r="FB205" s="35" t="s">
        <v>415</v>
      </c>
      <c r="FC205" s="35" t="s">
        <v>413</v>
      </c>
      <c r="FD205" s="35" t="s">
        <v>414</v>
      </c>
      <c r="FE205" s="35" t="s">
        <v>413</v>
      </c>
      <c r="FF205" s="35" t="s">
        <v>414</v>
      </c>
      <c r="FG205" s="35" t="s">
        <v>415</v>
      </c>
      <c r="FH205" s="35" t="s">
        <v>413</v>
      </c>
      <c r="FI205" s="35" t="s">
        <v>583</v>
      </c>
      <c r="FJ205" s="35" t="s">
        <v>415</v>
      </c>
      <c r="FK205" s="35" t="s">
        <v>415</v>
      </c>
      <c r="FL205" s="35" t="s">
        <v>416</v>
      </c>
      <c r="FM205" s="35" t="s">
        <v>415</v>
      </c>
      <c r="FN205" s="35" t="s">
        <v>413</v>
      </c>
      <c r="FO205" s="35" t="s">
        <v>583</v>
      </c>
      <c r="FP205" s="35" t="s">
        <v>485</v>
      </c>
      <c r="FQ205" s="35" t="s">
        <v>486</v>
      </c>
      <c r="FR205" s="35" t="s">
        <v>749</v>
      </c>
      <c r="FS205" s="35" t="s">
        <v>7809</v>
      </c>
      <c r="FT205" s="35" t="s">
        <v>420</v>
      </c>
      <c r="FU205" s="35" t="s">
        <v>1462</v>
      </c>
      <c r="FV205" s="35" t="s">
        <v>489</v>
      </c>
      <c r="FW205" s="35" t="s">
        <v>490</v>
      </c>
      <c r="FX205" s="35" t="s">
        <v>491</v>
      </c>
      <c r="FY205" s="35" t="s">
        <v>7810</v>
      </c>
      <c r="FZ205" s="35" t="s">
        <v>535</v>
      </c>
      <c r="GA205" s="35" t="s">
        <v>7811</v>
      </c>
      <c r="GC205" s="35" t="s">
        <v>455</v>
      </c>
      <c r="GD205" s="35" t="s">
        <v>10937</v>
      </c>
      <c r="GF205" s="35" t="s">
        <v>855</v>
      </c>
      <c r="GG205" s="35" t="s">
        <v>7812</v>
      </c>
      <c r="GK205" s="35" t="s">
        <v>755</v>
      </c>
      <c r="GL205" s="35" t="s">
        <v>755</v>
      </c>
      <c r="GM205" s="35" t="s">
        <v>946</v>
      </c>
      <c r="GQ205" s="35" t="s">
        <v>387</v>
      </c>
      <c r="GR205" s="35" t="s">
        <v>3208</v>
      </c>
      <c r="GS205" s="35" t="s">
        <v>4774</v>
      </c>
      <c r="GW205" s="35" t="s">
        <v>5231</v>
      </c>
      <c r="GX205" s="35" t="s">
        <v>5232</v>
      </c>
      <c r="GY205" s="35" t="s">
        <v>5262</v>
      </c>
      <c r="GZ205" s="35" t="s">
        <v>5233</v>
      </c>
      <c r="HA205" s="35" t="s">
        <v>484</v>
      </c>
      <c r="HB205" s="35" t="s">
        <v>484</v>
      </c>
      <c r="HC205" s="35" t="s">
        <v>7008</v>
      </c>
      <c r="HP205" s="35" t="s">
        <v>5346</v>
      </c>
      <c r="HQ205" s="35" t="s">
        <v>5302</v>
      </c>
      <c r="HR205" s="35" t="s">
        <v>5238</v>
      </c>
      <c r="HS205" s="35" t="s">
        <v>5287</v>
      </c>
      <c r="MK205" s="35" t="s">
        <v>6321</v>
      </c>
    </row>
    <row r="206">
      <c r="A206" s="35" t="s">
        <v>10938</v>
      </c>
      <c r="B206" s="40">
        <v>45983.925561076394</v>
      </c>
      <c r="C206" s="35" t="s">
        <v>368</v>
      </c>
      <c r="D206" s="35" t="s">
        <v>7920</v>
      </c>
      <c r="E206" s="35" t="s">
        <v>7920</v>
      </c>
      <c r="H206" s="35" t="s">
        <v>1093</v>
      </c>
      <c r="I206" s="35" t="s">
        <v>637</v>
      </c>
      <c r="J206" s="35" t="s">
        <v>638</v>
      </c>
      <c r="K206" s="35" t="s">
        <v>590</v>
      </c>
      <c r="L206" s="35" t="s">
        <v>376</v>
      </c>
      <c r="M206" s="35" t="s">
        <v>379</v>
      </c>
      <c r="N206" s="35" t="s">
        <v>1024</v>
      </c>
      <c r="O206" s="35" t="s">
        <v>793</v>
      </c>
      <c r="P206" s="35" t="s">
        <v>1024</v>
      </c>
      <c r="Q206" s="35" t="s">
        <v>759</v>
      </c>
      <c r="R206" s="35" t="s">
        <v>759</v>
      </c>
      <c r="S206" s="35" t="s">
        <v>949</v>
      </c>
      <c r="T206" s="35" t="s">
        <v>384</v>
      </c>
      <c r="U206" s="35" t="s">
        <v>385</v>
      </c>
      <c r="X206" s="35" t="s">
        <v>3231</v>
      </c>
      <c r="AW206" s="35" t="s">
        <v>1310</v>
      </c>
      <c r="AX206" s="41">
        <v>4.0</v>
      </c>
      <c r="AY206" s="35" t="s">
        <v>675</v>
      </c>
      <c r="AZ206" s="41">
        <v>4.0</v>
      </c>
      <c r="BA206" s="35" t="s">
        <v>675</v>
      </c>
      <c r="BB206" s="35" t="s">
        <v>675</v>
      </c>
      <c r="BC206" s="35" t="s">
        <v>675</v>
      </c>
      <c r="BD206" s="35" t="s">
        <v>7921</v>
      </c>
      <c r="BE206" s="35" t="s">
        <v>7922</v>
      </c>
      <c r="BF206" s="35" t="s">
        <v>432</v>
      </c>
      <c r="BG206" s="35" t="s">
        <v>1095</v>
      </c>
      <c r="BH206" s="35" t="s">
        <v>394</v>
      </c>
      <c r="BJ206" s="35" t="s">
        <v>824</v>
      </c>
      <c r="BL206" s="35" t="s">
        <v>602</v>
      </c>
      <c r="BM206" s="35" t="s">
        <v>396</v>
      </c>
      <c r="BN206" s="35" t="s">
        <v>1247</v>
      </c>
      <c r="BO206" s="35" t="s">
        <v>398</v>
      </c>
      <c r="BP206" s="35" t="s">
        <v>7923</v>
      </c>
      <c r="BQ206" s="35" t="s">
        <v>408</v>
      </c>
      <c r="BR206" s="35" t="s">
        <v>7924</v>
      </c>
      <c r="BS206" s="35" t="s">
        <v>7925</v>
      </c>
      <c r="BT206" s="35" t="s">
        <v>4071</v>
      </c>
      <c r="BU206" s="35" t="s">
        <v>1994</v>
      </c>
      <c r="BV206" s="35" t="s">
        <v>405</v>
      </c>
      <c r="BX206" s="35" t="s">
        <v>406</v>
      </c>
      <c r="BY206" s="35" t="s">
        <v>1867</v>
      </c>
      <c r="BZ206" s="35" t="s">
        <v>733</v>
      </c>
      <c r="CC206" s="35" t="s">
        <v>7926</v>
      </c>
      <c r="CD206" s="35" t="s">
        <v>7927</v>
      </c>
      <c r="CE206" s="35" t="s">
        <v>409</v>
      </c>
      <c r="CF206" s="35" t="s">
        <v>7928</v>
      </c>
      <c r="CG206" s="35" t="s">
        <v>1258</v>
      </c>
      <c r="CI206" s="35" t="s">
        <v>1751</v>
      </c>
      <c r="CJ206" s="35" t="s">
        <v>833</v>
      </c>
      <c r="CL206" s="35" t="s">
        <v>7929</v>
      </c>
      <c r="DJ206" s="35" t="s">
        <v>777</v>
      </c>
      <c r="DK206" s="35" t="s">
        <v>613</v>
      </c>
      <c r="EU206" s="35" t="s">
        <v>478</v>
      </c>
      <c r="EV206" s="35" t="s">
        <v>579</v>
      </c>
      <c r="EW206" s="35" t="s">
        <v>1262</v>
      </c>
      <c r="EX206" s="35" t="s">
        <v>7930</v>
      </c>
      <c r="EY206" s="35" t="s">
        <v>7931</v>
      </c>
      <c r="EZ206" s="35" t="s">
        <v>7932</v>
      </c>
      <c r="FA206" s="35" t="s">
        <v>416</v>
      </c>
      <c r="FB206" s="35" t="s">
        <v>415</v>
      </c>
      <c r="FC206" s="35" t="s">
        <v>413</v>
      </c>
      <c r="FD206" s="35" t="s">
        <v>413</v>
      </c>
      <c r="FE206" s="35" t="s">
        <v>413</v>
      </c>
      <c r="FF206" s="35" t="s">
        <v>416</v>
      </c>
      <c r="FG206" s="35" t="s">
        <v>415</v>
      </c>
      <c r="FH206" s="35" t="s">
        <v>484</v>
      </c>
      <c r="FI206" s="35" t="s">
        <v>484</v>
      </c>
      <c r="FJ206" s="35" t="s">
        <v>413</v>
      </c>
      <c r="FK206" s="35" t="s">
        <v>484</v>
      </c>
      <c r="FL206" s="35" t="s">
        <v>484</v>
      </c>
      <c r="FM206" s="35" t="s">
        <v>484</v>
      </c>
      <c r="FN206" s="35" t="s">
        <v>484</v>
      </c>
      <c r="FO206" s="35" t="s">
        <v>484</v>
      </c>
      <c r="FP206" s="35" t="s">
        <v>3396</v>
      </c>
      <c r="FQ206" s="35" t="s">
        <v>418</v>
      </c>
      <c r="FR206" s="35" t="s">
        <v>712</v>
      </c>
      <c r="FS206" s="35" t="s">
        <v>7933</v>
      </c>
      <c r="FT206" s="35" t="s">
        <v>420</v>
      </c>
      <c r="FU206" s="35" t="s">
        <v>1462</v>
      </c>
      <c r="FV206" s="35" t="s">
        <v>1235</v>
      </c>
      <c r="FW206" s="35" t="s">
        <v>490</v>
      </c>
      <c r="FX206" s="35" t="s">
        <v>491</v>
      </c>
      <c r="FY206" s="35" t="s">
        <v>7934</v>
      </c>
      <c r="FZ206" s="35" t="s">
        <v>535</v>
      </c>
      <c r="GA206" s="35" t="s">
        <v>7935</v>
      </c>
      <c r="GC206" s="35" t="s">
        <v>408</v>
      </c>
      <c r="GK206" s="35" t="s">
        <v>857</v>
      </c>
      <c r="GL206" s="35" t="s">
        <v>857</v>
      </c>
      <c r="GM206" s="35" t="s">
        <v>858</v>
      </c>
      <c r="GO206" s="35" t="s">
        <v>7920</v>
      </c>
      <c r="GP206" s="35" t="s">
        <v>7936</v>
      </c>
      <c r="GQ206" s="35" t="s">
        <v>2729</v>
      </c>
      <c r="GR206" s="35" t="s">
        <v>3208</v>
      </c>
      <c r="GS206" s="35" t="s">
        <v>4774</v>
      </c>
      <c r="GW206" s="35" t="s">
        <v>5231</v>
      </c>
      <c r="GX206" s="35" t="s">
        <v>484</v>
      </c>
      <c r="GY206" s="35" t="s">
        <v>5281</v>
      </c>
      <c r="GZ206" s="35" t="s">
        <v>6013</v>
      </c>
      <c r="HA206" s="35" t="s">
        <v>5234</v>
      </c>
      <c r="HB206" s="35" t="s">
        <v>5369</v>
      </c>
      <c r="HC206" s="35" t="s">
        <v>913</v>
      </c>
      <c r="HP206" s="35" t="s">
        <v>5236</v>
      </c>
      <c r="HQ206" s="35" t="s">
        <v>5264</v>
      </c>
      <c r="HR206" s="35" t="s">
        <v>5238</v>
      </c>
      <c r="HS206" s="35" t="s">
        <v>913</v>
      </c>
      <c r="MK206" s="35" t="s">
        <v>6321</v>
      </c>
    </row>
    <row r="207">
      <c r="A207" s="35" t="s">
        <v>10939</v>
      </c>
      <c r="B207" s="40">
        <v>45983.95113446759</v>
      </c>
      <c r="C207" s="35" t="s">
        <v>368</v>
      </c>
      <c r="D207" s="35" t="s">
        <v>7937</v>
      </c>
      <c r="E207" s="35" t="s">
        <v>7937</v>
      </c>
      <c r="H207" s="35" t="s">
        <v>1093</v>
      </c>
      <c r="I207" s="35" t="s">
        <v>373</v>
      </c>
      <c r="J207" s="35" t="s">
        <v>374</v>
      </c>
      <c r="K207" s="35" t="s">
        <v>375</v>
      </c>
      <c r="L207" s="35" t="s">
        <v>376</v>
      </c>
      <c r="M207" s="35" t="s">
        <v>379</v>
      </c>
      <c r="N207" s="35" t="s">
        <v>497</v>
      </c>
      <c r="O207" s="35" t="s">
        <v>591</v>
      </c>
      <c r="P207" s="35" t="s">
        <v>671</v>
      </c>
      <c r="Q207" s="35" t="s">
        <v>592</v>
      </c>
      <c r="R207" s="35" t="s">
        <v>818</v>
      </c>
      <c r="S207" s="35" t="s">
        <v>427</v>
      </c>
      <c r="T207" s="35" t="s">
        <v>384</v>
      </c>
      <c r="U207" s="35" t="s">
        <v>385</v>
      </c>
      <c r="X207" s="35" t="s">
        <v>3231</v>
      </c>
      <c r="AW207" s="35" t="s">
        <v>1310</v>
      </c>
      <c r="AX207" s="35" t="s">
        <v>675</v>
      </c>
      <c r="AY207" s="35" t="s">
        <v>675</v>
      </c>
      <c r="AZ207" s="35" t="s">
        <v>675</v>
      </c>
      <c r="BA207" s="35" t="s">
        <v>675</v>
      </c>
      <c r="BB207" s="35" t="s">
        <v>675</v>
      </c>
      <c r="BC207" s="35" t="s">
        <v>675</v>
      </c>
      <c r="BD207" s="35" t="s">
        <v>7938</v>
      </c>
      <c r="BF207" s="35" t="s">
        <v>902</v>
      </c>
      <c r="BG207" s="35" t="s">
        <v>1245</v>
      </c>
      <c r="BH207" s="35" t="s">
        <v>394</v>
      </c>
      <c r="BJ207" s="35" t="s">
        <v>976</v>
      </c>
      <c r="BL207" s="35" t="s">
        <v>602</v>
      </c>
      <c r="BM207" s="35" t="s">
        <v>603</v>
      </c>
      <c r="BO207" s="35" t="s">
        <v>398</v>
      </c>
      <c r="BP207" s="35" t="s">
        <v>7939</v>
      </c>
      <c r="BQ207" s="35" t="s">
        <v>7940</v>
      </c>
      <c r="BR207" s="35" t="s">
        <v>682</v>
      </c>
      <c r="BS207" s="35" t="s">
        <v>7925</v>
      </c>
      <c r="BT207" s="35" t="s">
        <v>4071</v>
      </c>
      <c r="BU207" s="35" t="s">
        <v>4072</v>
      </c>
      <c r="BV207" s="35" t="s">
        <v>405</v>
      </c>
      <c r="BX207" s="35" t="s">
        <v>406</v>
      </c>
      <c r="BY207" s="35" t="s">
        <v>2503</v>
      </c>
      <c r="BZ207" s="35" t="s">
        <v>455</v>
      </c>
      <c r="CA207" s="35" t="s">
        <v>7941</v>
      </c>
      <c r="CC207" s="35" t="s">
        <v>7942</v>
      </c>
      <c r="CD207" s="35" t="s">
        <v>7943</v>
      </c>
      <c r="CE207" s="35" t="s">
        <v>1931</v>
      </c>
      <c r="CF207" s="35" t="s">
        <v>7944</v>
      </c>
      <c r="CG207" s="35" t="s">
        <v>1258</v>
      </c>
      <c r="CI207" s="35" t="s">
        <v>1259</v>
      </c>
      <c r="CJ207" s="35" t="s">
        <v>1964</v>
      </c>
      <c r="CL207" s="35" t="s">
        <v>7945</v>
      </c>
      <c r="DJ207" s="35" t="s">
        <v>963</v>
      </c>
      <c r="DK207" s="35" t="s">
        <v>1148</v>
      </c>
      <c r="DL207" s="35" t="s">
        <v>6319</v>
      </c>
      <c r="EU207" s="35" t="s">
        <v>526</v>
      </c>
      <c r="EV207" s="35" t="s">
        <v>579</v>
      </c>
      <c r="EW207" s="35" t="s">
        <v>778</v>
      </c>
      <c r="EX207" s="35" t="s">
        <v>7946</v>
      </c>
      <c r="EY207" s="35" t="s">
        <v>7947</v>
      </c>
      <c r="EZ207" s="35" t="s">
        <v>7948</v>
      </c>
      <c r="FA207" s="35" t="s">
        <v>416</v>
      </c>
      <c r="FB207" s="35" t="s">
        <v>415</v>
      </c>
      <c r="FC207" s="35" t="s">
        <v>413</v>
      </c>
      <c r="FD207" s="35" t="s">
        <v>413</v>
      </c>
      <c r="FE207" s="35" t="s">
        <v>413</v>
      </c>
      <c r="FF207" s="35" t="s">
        <v>413</v>
      </c>
      <c r="FG207" s="35" t="s">
        <v>415</v>
      </c>
      <c r="FI207" s="35" t="s">
        <v>413</v>
      </c>
      <c r="FJ207" s="35" t="s">
        <v>413</v>
      </c>
      <c r="FK207" s="35" t="s">
        <v>414</v>
      </c>
      <c r="FL207" s="35" t="s">
        <v>415</v>
      </c>
      <c r="FM207" s="35" t="s">
        <v>415</v>
      </c>
      <c r="FN207" s="35" t="s">
        <v>415</v>
      </c>
      <c r="FO207" s="35" t="s">
        <v>413</v>
      </c>
      <c r="FP207" s="35" t="s">
        <v>485</v>
      </c>
      <c r="FQ207" s="35" t="s">
        <v>418</v>
      </c>
      <c r="FR207" s="35" t="s">
        <v>419</v>
      </c>
      <c r="FS207" s="35" t="s">
        <v>7949</v>
      </c>
      <c r="FT207" s="35" t="s">
        <v>420</v>
      </c>
      <c r="FU207" s="35" t="s">
        <v>488</v>
      </c>
      <c r="FV207" s="35" t="s">
        <v>1235</v>
      </c>
      <c r="FW207" s="35" t="s">
        <v>490</v>
      </c>
      <c r="FX207" s="35" t="s">
        <v>491</v>
      </c>
      <c r="FZ207" s="35" t="s">
        <v>535</v>
      </c>
      <c r="GB207" s="35" t="s">
        <v>7950</v>
      </c>
      <c r="GC207" s="35" t="s">
        <v>408</v>
      </c>
      <c r="GK207" s="35" t="s">
        <v>788</v>
      </c>
      <c r="GL207" s="35" t="s">
        <v>789</v>
      </c>
      <c r="GM207" s="35" t="s">
        <v>858</v>
      </c>
      <c r="GO207" s="35" t="s">
        <v>7951</v>
      </c>
      <c r="GP207" s="35" t="s">
        <v>7952</v>
      </c>
      <c r="GQ207" s="35" t="s">
        <v>7953</v>
      </c>
      <c r="GR207" s="35" t="s">
        <v>3208</v>
      </c>
      <c r="GS207" s="35" t="s">
        <v>4774</v>
      </c>
      <c r="GW207" s="35" t="s">
        <v>5231</v>
      </c>
      <c r="GX207" s="35" t="s">
        <v>484</v>
      </c>
      <c r="GY207" s="35" t="s">
        <v>5281</v>
      </c>
      <c r="GZ207" s="35" t="s">
        <v>6013</v>
      </c>
      <c r="HA207" s="35" t="s">
        <v>5234</v>
      </c>
      <c r="HB207" s="35" t="s">
        <v>5369</v>
      </c>
      <c r="HP207" s="35" t="s">
        <v>5301</v>
      </c>
      <c r="HQ207" s="35" t="s">
        <v>5371</v>
      </c>
      <c r="HR207" s="35" t="s">
        <v>5238</v>
      </c>
      <c r="HS207" s="35" t="s">
        <v>5287</v>
      </c>
      <c r="MK207" s="35" t="s">
        <v>6321</v>
      </c>
    </row>
    <row r="208">
      <c r="A208" s="35" t="s">
        <v>10940</v>
      </c>
      <c r="B208" s="40">
        <v>46025.18449309027</v>
      </c>
      <c r="C208" s="35" t="s">
        <v>368</v>
      </c>
      <c r="D208" s="35" t="s">
        <v>8141</v>
      </c>
      <c r="E208" s="35" t="s">
        <v>8141</v>
      </c>
      <c r="H208" s="35" t="s">
        <v>422</v>
      </c>
      <c r="I208" s="35" t="s">
        <v>373</v>
      </c>
      <c r="J208" s="35" t="s">
        <v>374</v>
      </c>
      <c r="K208" s="35" t="s">
        <v>590</v>
      </c>
      <c r="L208" s="35" t="s">
        <v>376</v>
      </c>
      <c r="M208" s="35" t="s">
        <v>426</v>
      </c>
      <c r="N208" s="35" t="s">
        <v>8142</v>
      </c>
      <c r="O208" s="35" t="s">
        <v>793</v>
      </c>
      <c r="P208" s="35" t="s">
        <v>2579</v>
      </c>
      <c r="Q208" s="35" t="s">
        <v>1760</v>
      </c>
      <c r="R208" s="35" t="s">
        <v>499</v>
      </c>
      <c r="S208" s="35" t="s">
        <v>500</v>
      </c>
      <c r="T208" s="35" t="s">
        <v>384</v>
      </c>
      <c r="U208" s="35" t="s">
        <v>385</v>
      </c>
      <c r="X208" s="35" t="s">
        <v>3231</v>
      </c>
      <c r="AW208" s="35" t="s">
        <v>1310</v>
      </c>
      <c r="AX208" s="35" t="s">
        <v>675</v>
      </c>
      <c r="AY208" s="35" t="s">
        <v>675</v>
      </c>
      <c r="AZ208" s="35" t="s">
        <v>675</v>
      </c>
      <c r="BA208" s="35" t="s">
        <v>675</v>
      </c>
      <c r="BB208" s="35" t="s">
        <v>675</v>
      </c>
      <c r="BC208" s="35" t="s">
        <v>675</v>
      </c>
      <c r="BD208" s="35" t="s">
        <v>8143</v>
      </c>
      <c r="BE208" s="35" t="s">
        <v>8144</v>
      </c>
      <c r="BF208" s="35" t="s">
        <v>432</v>
      </c>
      <c r="BG208" s="35" t="s">
        <v>1095</v>
      </c>
      <c r="BH208" s="35" t="s">
        <v>394</v>
      </c>
      <c r="BI208" s="35" t="s">
        <v>8145</v>
      </c>
      <c r="BJ208" s="35" t="s">
        <v>435</v>
      </c>
      <c r="BK208" s="35" t="s">
        <v>8146</v>
      </c>
      <c r="BL208" s="35" t="s">
        <v>681</v>
      </c>
      <c r="BM208" s="35" t="s">
        <v>603</v>
      </c>
      <c r="BN208" s="35" t="s">
        <v>1247</v>
      </c>
      <c r="BO208" s="35" t="s">
        <v>398</v>
      </c>
      <c r="BP208" s="35" t="s">
        <v>8147</v>
      </c>
      <c r="BQ208" s="35" t="s">
        <v>8148</v>
      </c>
      <c r="BR208" s="35" t="s">
        <v>401</v>
      </c>
      <c r="BS208" s="35" t="s">
        <v>5999</v>
      </c>
      <c r="BT208" s="35" t="s">
        <v>1671</v>
      </c>
      <c r="BU208" s="35" t="s">
        <v>1771</v>
      </c>
      <c r="BV208" s="35" t="s">
        <v>405</v>
      </c>
      <c r="BW208" s="35" t="s">
        <v>8149</v>
      </c>
      <c r="BX208" s="35" t="s">
        <v>988</v>
      </c>
      <c r="BY208" s="35" t="s">
        <v>2503</v>
      </c>
      <c r="BZ208" s="35" t="s">
        <v>408</v>
      </c>
      <c r="CA208" s="35" t="s">
        <v>8150</v>
      </c>
      <c r="CB208" s="35" t="s">
        <v>8151</v>
      </c>
      <c r="CC208" s="35" t="s">
        <v>8152</v>
      </c>
      <c r="CD208" s="35" t="s">
        <v>8153</v>
      </c>
      <c r="CE208" s="35" t="s">
        <v>451</v>
      </c>
      <c r="CF208" s="35" t="s">
        <v>8154</v>
      </c>
      <c r="CG208" s="35" t="s">
        <v>1722</v>
      </c>
      <c r="CH208" s="35" t="s">
        <v>8155</v>
      </c>
      <c r="CI208" s="35" t="s">
        <v>1751</v>
      </c>
      <c r="CJ208" s="35" t="s">
        <v>1220</v>
      </c>
      <c r="CK208" s="35" t="s">
        <v>8156</v>
      </c>
      <c r="CL208" s="35" t="s">
        <v>8157</v>
      </c>
      <c r="DJ208" s="35" t="s">
        <v>963</v>
      </c>
      <c r="DK208" s="35" t="s">
        <v>562</v>
      </c>
      <c r="DL208" s="35" t="s">
        <v>6319</v>
      </c>
      <c r="EU208" s="35" t="s">
        <v>526</v>
      </c>
      <c r="EV208" s="35" t="s">
        <v>579</v>
      </c>
      <c r="EW208" s="35" t="s">
        <v>480</v>
      </c>
      <c r="EX208" s="35" t="s">
        <v>8158</v>
      </c>
      <c r="EY208" s="35" t="s">
        <v>8159</v>
      </c>
      <c r="EZ208" s="35" t="s">
        <v>8160</v>
      </c>
      <c r="FA208" s="35" t="s">
        <v>415</v>
      </c>
      <c r="FB208" s="35" t="s">
        <v>414</v>
      </c>
      <c r="FC208" s="35" t="s">
        <v>413</v>
      </c>
      <c r="FD208" s="35" t="s">
        <v>414</v>
      </c>
      <c r="FE208" s="35" t="s">
        <v>416</v>
      </c>
      <c r="FF208" s="35" t="s">
        <v>583</v>
      </c>
      <c r="FG208" s="35" t="s">
        <v>583</v>
      </c>
      <c r="FH208" s="35" t="s">
        <v>415</v>
      </c>
      <c r="FI208" s="35" t="s">
        <v>414</v>
      </c>
      <c r="FJ208" s="35" t="s">
        <v>413</v>
      </c>
      <c r="FK208" s="35" t="s">
        <v>414</v>
      </c>
      <c r="FL208" s="35" t="s">
        <v>413</v>
      </c>
      <c r="FM208" s="35" t="s">
        <v>415</v>
      </c>
      <c r="FN208" s="35" t="s">
        <v>413</v>
      </c>
      <c r="FO208" s="35" t="s">
        <v>415</v>
      </c>
      <c r="FP208" s="35" t="s">
        <v>485</v>
      </c>
      <c r="FQ208" s="35" t="s">
        <v>486</v>
      </c>
      <c r="FR208" s="35" t="s">
        <v>1039</v>
      </c>
      <c r="FS208" s="35" t="s">
        <v>8161</v>
      </c>
      <c r="FT208" s="35" t="s">
        <v>1871</v>
      </c>
      <c r="FU208" s="35" t="s">
        <v>1462</v>
      </c>
      <c r="FV208" s="35" t="s">
        <v>1235</v>
      </c>
      <c r="FW208" s="35" t="s">
        <v>490</v>
      </c>
      <c r="FX208" s="35" t="s">
        <v>491</v>
      </c>
      <c r="FY208" s="35" t="s">
        <v>8162</v>
      </c>
      <c r="FZ208" s="35" t="s">
        <v>535</v>
      </c>
      <c r="GA208" s="35" t="s">
        <v>8163</v>
      </c>
      <c r="GB208" s="35" t="s">
        <v>8164</v>
      </c>
      <c r="GC208" s="35" t="s">
        <v>455</v>
      </c>
      <c r="GD208" s="35" t="s">
        <v>10941</v>
      </c>
      <c r="GE208" s="42" t="s">
        <v>10942</v>
      </c>
      <c r="GF208" s="35" t="s">
        <v>753</v>
      </c>
      <c r="GG208" s="35" t="s">
        <v>8165</v>
      </c>
      <c r="GK208" s="35" t="s">
        <v>755</v>
      </c>
      <c r="GL208" s="35" t="s">
        <v>755</v>
      </c>
      <c r="GM208" s="35" t="s">
        <v>946</v>
      </c>
      <c r="GO208" s="35" t="s">
        <v>8166</v>
      </c>
      <c r="GP208" s="35" t="s">
        <v>8166</v>
      </c>
      <c r="GQ208" s="35" t="s">
        <v>387</v>
      </c>
      <c r="GR208" s="35" t="s">
        <v>3208</v>
      </c>
      <c r="GS208" s="35" t="s">
        <v>4774</v>
      </c>
      <c r="GT208" s="35" t="s">
        <v>8167</v>
      </c>
      <c r="GW208" s="35" t="s">
        <v>5231</v>
      </c>
      <c r="GX208" s="35" t="s">
        <v>5261</v>
      </c>
      <c r="GY208" s="35" t="s">
        <v>5281</v>
      </c>
      <c r="GZ208" s="35" t="s">
        <v>6013</v>
      </c>
      <c r="HA208" s="35" t="s">
        <v>5234</v>
      </c>
      <c r="HB208" s="35" t="s">
        <v>5369</v>
      </c>
      <c r="HC208" s="35" t="s">
        <v>8168</v>
      </c>
      <c r="HP208" s="35" t="s">
        <v>5285</v>
      </c>
      <c r="HQ208" s="35" t="s">
        <v>5237</v>
      </c>
      <c r="HR208" s="35" t="s">
        <v>5238</v>
      </c>
      <c r="HS208" s="35" t="s">
        <v>5239</v>
      </c>
      <c r="MK208" s="35" t="s">
        <v>6321</v>
      </c>
    </row>
    <row r="209">
      <c r="A209" s="35" t="s">
        <v>10943</v>
      </c>
      <c r="B209" s="40">
        <v>46029.12269635417</v>
      </c>
      <c r="C209" s="35" t="s">
        <v>368</v>
      </c>
      <c r="D209" s="35" t="s">
        <v>2727</v>
      </c>
      <c r="E209" s="35" t="s">
        <v>2727</v>
      </c>
      <c r="H209" s="35" t="s">
        <v>2657</v>
      </c>
      <c r="I209" s="35" t="s">
        <v>373</v>
      </c>
      <c r="J209" s="35" t="s">
        <v>374</v>
      </c>
      <c r="K209" s="35" t="s">
        <v>375</v>
      </c>
      <c r="L209" s="35" t="s">
        <v>376</v>
      </c>
      <c r="M209" s="35" t="s">
        <v>591</v>
      </c>
      <c r="N209" s="35" t="s">
        <v>8214</v>
      </c>
      <c r="O209" s="35" t="s">
        <v>793</v>
      </c>
      <c r="P209" s="35" t="s">
        <v>719</v>
      </c>
      <c r="Q209" s="35" t="s">
        <v>592</v>
      </c>
      <c r="R209" s="35" t="s">
        <v>382</v>
      </c>
      <c r="S209" s="35" t="s">
        <v>500</v>
      </c>
      <c r="T209" s="35" t="s">
        <v>384</v>
      </c>
      <c r="U209" s="35" t="s">
        <v>385</v>
      </c>
      <c r="X209" s="35" t="s">
        <v>3014</v>
      </c>
      <c r="AW209" s="35" t="s">
        <v>597</v>
      </c>
      <c r="AX209" s="41">
        <v>4.0</v>
      </c>
      <c r="AY209" s="41">
        <v>4.0</v>
      </c>
      <c r="AZ209" s="41">
        <v>4.0</v>
      </c>
      <c r="BA209" s="35" t="s">
        <v>675</v>
      </c>
      <c r="BB209" s="35" t="s">
        <v>675</v>
      </c>
      <c r="BC209" s="35" t="s">
        <v>675</v>
      </c>
      <c r="BD209" s="35" t="s">
        <v>8215</v>
      </c>
      <c r="BE209" s="35" t="s">
        <v>8216</v>
      </c>
      <c r="BF209" s="35" t="s">
        <v>432</v>
      </c>
      <c r="BG209" s="35" t="s">
        <v>1095</v>
      </c>
      <c r="BH209" s="35" t="s">
        <v>725</v>
      </c>
      <c r="BI209" s="35" t="s">
        <v>8217</v>
      </c>
      <c r="BJ209" s="35" t="s">
        <v>435</v>
      </c>
      <c r="BK209" s="35" t="s">
        <v>8218</v>
      </c>
      <c r="BL209" s="35" t="s">
        <v>511</v>
      </c>
      <c r="BM209" s="35" t="s">
        <v>603</v>
      </c>
      <c r="BN209" s="35" t="s">
        <v>1314</v>
      </c>
      <c r="BO209" s="35" t="s">
        <v>398</v>
      </c>
      <c r="BP209" s="35" t="s">
        <v>8219</v>
      </c>
      <c r="BQ209" s="35" t="s">
        <v>8220</v>
      </c>
      <c r="BR209" s="35" t="s">
        <v>401</v>
      </c>
      <c r="BS209" s="35" t="s">
        <v>8221</v>
      </c>
      <c r="BT209" s="35" t="s">
        <v>4071</v>
      </c>
      <c r="BU209" s="35" t="s">
        <v>1994</v>
      </c>
      <c r="BV209" s="35" t="s">
        <v>405</v>
      </c>
      <c r="BW209" s="35" t="s">
        <v>8222</v>
      </c>
      <c r="BX209" s="35" t="s">
        <v>988</v>
      </c>
      <c r="BZ209" s="35" t="s">
        <v>733</v>
      </c>
      <c r="CA209" s="35" t="s">
        <v>8223</v>
      </c>
      <c r="CB209" s="35" t="s">
        <v>8224</v>
      </c>
      <c r="CC209" s="35" t="s">
        <v>8225</v>
      </c>
      <c r="CD209" s="35" t="s">
        <v>8226</v>
      </c>
      <c r="CE209" s="35" t="s">
        <v>1257</v>
      </c>
      <c r="CG209" s="35" t="s">
        <v>1722</v>
      </c>
      <c r="CH209" s="35" t="s">
        <v>8227</v>
      </c>
      <c r="CI209" s="35" t="s">
        <v>1259</v>
      </c>
      <c r="CJ209" s="35" t="s">
        <v>410</v>
      </c>
      <c r="CK209" s="35" t="s">
        <v>8228</v>
      </c>
      <c r="CL209" s="35" t="s">
        <v>8229</v>
      </c>
      <c r="DJ209" s="35" t="s">
        <v>777</v>
      </c>
      <c r="DK209" s="35" t="s">
        <v>460</v>
      </c>
      <c r="DL209" s="35" t="s">
        <v>6319</v>
      </c>
      <c r="EU209" s="35" t="s">
        <v>526</v>
      </c>
      <c r="EV209" s="35" t="s">
        <v>579</v>
      </c>
      <c r="EW209" s="35" t="s">
        <v>1534</v>
      </c>
      <c r="EY209" s="35" t="s">
        <v>8230</v>
      </c>
      <c r="EZ209" s="35" t="s">
        <v>8231</v>
      </c>
      <c r="FA209" s="35" t="s">
        <v>415</v>
      </c>
      <c r="FB209" s="35" t="s">
        <v>415</v>
      </c>
      <c r="FC209" s="35" t="s">
        <v>413</v>
      </c>
      <c r="FD209" s="35" t="s">
        <v>413</v>
      </c>
      <c r="FE209" s="35" t="s">
        <v>413</v>
      </c>
      <c r="FF209" s="35" t="s">
        <v>414</v>
      </c>
      <c r="FG209" s="35" t="s">
        <v>415</v>
      </c>
      <c r="FH209" s="35" t="s">
        <v>413</v>
      </c>
      <c r="FI209" s="35" t="s">
        <v>414</v>
      </c>
      <c r="FJ209" s="35" t="s">
        <v>416</v>
      </c>
      <c r="FK209" s="35" t="s">
        <v>415</v>
      </c>
      <c r="FL209" s="35" t="s">
        <v>415</v>
      </c>
      <c r="FM209" s="35" t="s">
        <v>415</v>
      </c>
      <c r="FN209" s="35" t="s">
        <v>415</v>
      </c>
      <c r="FO209" s="35" t="s">
        <v>583</v>
      </c>
      <c r="FP209" s="35" t="s">
        <v>485</v>
      </c>
      <c r="FQ209" s="35" t="s">
        <v>486</v>
      </c>
      <c r="FR209" s="35" t="s">
        <v>712</v>
      </c>
      <c r="FS209" s="35" t="s">
        <v>8232</v>
      </c>
      <c r="FT209" s="35" t="s">
        <v>420</v>
      </c>
      <c r="FU209" s="35" t="s">
        <v>1476</v>
      </c>
      <c r="FV209" s="35" t="s">
        <v>1235</v>
      </c>
      <c r="FW209" s="35" t="s">
        <v>490</v>
      </c>
      <c r="FX209" s="35" t="s">
        <v>491</v>
      </c>
      <c r="FY209" s="35" t="s">
        <v>8233</v>
      </c>
      <c r="FZ209" s="35" t="s">
        <v>535</v>
      </c>
      <c r="GB209" s="35" t="s">
        <v>8234</v>
      </c>
      <c r="GC209" s="35" t="s">
        <v>455</v>
      </c>
      <c r="GD209" s="35" t="s">
        <v>10944</v>
      </c>
      <c r="GF209" s="35" t="s">
        <v>855</v>
      </c>
      <c r="GG209" s="35" t="s">
        <v>8235</v>
      </c>
      <c r="GK209" s="35" t="s">
        <v>755</v>
      </c>
      <c r="GL209" s="35" t="s">
        <v>755</v>
      </c>
      <c r="GM209" s="35" t="s">
        <v>817</v>
      </c>
      <c r="GO209" s="35" t="s">
        <v>2727</v>
      </c>
      <c r="GP209" s="35" t="s">
        <v>8236</v>
      </c>
      <c r="GR209" s="35" t="s">
        <v>8237</v>
      </c>
      <c r="GS209" s="35" t="s">
        <v>4774</v>
      </c>
      <c r="GW209" s="35" t="s">
        <v>5231</v>
      </c>
      <c r="GX209" s="35" t="s">
        <v>5232</v>
      </c>
      <c r="GY209" s="35" t="s">
        <v>5281</v>
      </c>
      <c r="GZ209" s="35" t="s">
        <v>5233</v>
      </c>
      <c r="HA209" s="35" t="s">
        <v>5234</v>
      </c>
      <c r="HB209" s="35" t="s">
        <v>5369</v>
      </c>
      <c r="HC209" s="35" t="s">
        <v>5370</v>
      </c>
      <c r="HP209" s="35" t="s">
        <v>5383</v>
      </c>
      <c r="HQ209" s="35" t="s">
        <v>5264</v>
      </c>
      <c r="HR209" s="35" t="s">
        <v>5238</v>
      </c>
      <c r="HS209" s="35" t="s">
        <v>8238</v>
      </c>
      <c r="MK209" s="35" t="s">
        <v>6321</v>
      </c>
    </row>
    <row r="210">
      <c r="A210" s="35" t="s">
        <v>10945</v>
      </c>
      <c r="B210" s="40">
        <v>46037.5570009375</v>
      </c>
      <c r="C210" s="35" t="s">
        <v>368</v>
      </c>
      <c r="D210" s="35" t="s">
        <v>894</v>
      </c>
      <c r="E210" s="35" t="s">
        <v>894</v>
      </c>
      <c r="H210" s="35" t="s">
        <v>3187</v>
      </c>
      <c r="I210" s="35" t="s">
        <v>539</v>
      </c>
      <c r="J210" s="35" t="s">
        <v>2578</v>
      </c>
      <c r="K210" s="35" t="s">
        <v>425</v>
      </c>
      <c r="L210" s="35" t="s">
        <v>376</v>
      </c>
      <c r="M210" s="35" t="s">
        <v>379</v>
      </c>
      <c r="N210" s="35" t="s">
        <v>541</v>
      </c>
      <c r="O210" s="35" t="s">
        <v>377</v>
      </c>
      <c r="P210" s="35" t="s">
        <v>497</v>
      </c>
      <c r="Q210" s="35" t="s">
        <v>1760</v>
      </c>
      <c r="R210" s="35" t="s">
        <v>382</v>
      </c>
      <c r="S210" s="35" t="s">
        <v>949</v>
      </c>
      <c r="T210" s="35" t="s">
        <v>384</v>
      </c>
      <c r="U210" s="35" t="s">
        <v>385</v>
      </c>
      <c r="V210" s="35" t="s">
        <v>896</v>
      </c>
      <c r="W210" s="35" t="s">
        <v>896</v>
      </c>
      <c r="X210" s="35" t="s">
        <v>386</v>
      </c>
      <c r="Y210" s="35" t="s">
        <v>387</v>
      </c>
      <c r="Z210" s="35" t="s">
        <v>388</v>
      </c>
      <c r="AA210" s="35" t="s">
        <v>502</v>
      </c>
      <c r="AB210" s="35" t="s">
        <v>8274</v>
      </c>
      <c r="AC210" s="35" t="s">
        <v>8275</v>
      </c>
      <c r="AW210" s="35" t="s">
        <v>1310</v>
      </c>
      <c r="AX210" s="41">
        <v>4.0</v>
      </c>
      <c r="AY210" s="41">
        <v>4.0</v>
      </c>
      <c r="AZ210" s="41">
        <v>4.0</v>
      </c>
      <c r="BA210" s="41">
        <v>4.0</v>
      </c>
      <c r="BB210" s="35" t="s">
        <v>675</v>
      </c>
      <c r="BC210" s="35" t="s">
        <v>391</v>
      </c>
      <c r="BD210" s="35" t="s">
        <v>8276</v>
      </c>
      <c r="BE210" s="35" t="s">
        <v>8277</v>
      </c>
      <c r="BF210" s="35" t="s">
        <v>902</v>
      </c>
      <c r="BG210" s="35" t="s">
        <v>1095</v>
      </c>
      <c r="BH210" s="35" t="s">
        <v>434</v>
      </c>
      <c r="BI210" s="35" t="s">
        <v>8278</v>
      </c>
      <c r="BJ210" s="35" t="s">
        <v>976</v>
      </c>
      <c r="BK210" s="35" t="s">
        <v>8279</v>
      </c>
      <c r="BL210" s="35" t="s">
        <v>395</v>
      </c>
      <c r="BM210" s="35" t="s">
        <v>603</v>
      </c>
      <c r="BN210" s="35" t="s">
        <v>1247</v>
      </c>
      <c r="BO210" s="35" t="s">
        <v>398</v>
      </c>
      <c r="BP210" s="35" t="s">
        <v>8280</v>
      </c>
      <c r="BQ210" s="35" t="s">
        <v>8281</v>
      </c>
      <c r="BR210" s="35" t="s">
        <v>604</v>
      </c>
      <c r="BS210" s="35" t="s">
        <v>2203</v>
      </c>
      <c r="BT210" s="35" t="s">
        <v>403</v>
      </c>
      <c r="BU210" s="35" t="s">
        <v>4368</v>
      </c>
      <c r="BV210" s="35" t="s">
        <v>405</v>
      </c>
      <c r="BW210" s="35" t="s">
        <v>8282</v>
      </c>
      <c r="BX210" s="35" t="s">
        <v>988</v>
      </c>
      <c r="BZ210" s="35" t="s">
        <v>455</v>
      </c>
      <c r="CA210" s="35" t="s">
        <v>8283</v>
      </c>
      <c r="CB210" s="35" t="s">
        <v>8284</v>
      </c>
      <c r="CC210" s="35" t="s">
        <v>8285</v>
      </c>
      <c r="CD210" s="35" t="s">
        <v>8286</v>
      </c>
      <c r="CE210" s="35" t="s">
        <v>409</v>
      </c>
      <c r="CF210" s="35" t="s">
        <v>8287</v>
      </c>
      <c r="CG210" s="35" t="s">
        <v>2233</v>
      </c>
      <c r="CI210" s="35" t="s">
        <v>1698</v>
      </c>
      <c r="CJ210" s="35" t="s">
        <v>410</v>
      </c>
      <c r="CK210" s="35" t="s">
        <v>8288</v>
      </c>
      <c r="CL210" s="35" t="s">
        <v>8289</v>
      </c>
      <c r="DJ210" s="35" t="s">
        <v>459</v>
      </c>
      <c r="DK210" s="35" t="s">
        <v>613</v>
      </c>
      <c r="EU210" s="35" t="s">
        <v>578</v>
      </c>
      <c r="EV210" s="35" t="s">
        <v>479</v>
      </c>
      <c r="EW210" s="35" t="s">
        <v>663</v>
      </c>
      <c r="EX210" s="35" t="s">
        <v>8290</v>
      </c>
      <c r="EY210" s="35" t="s">
        <v>8291</v>
      </c>
      <c r="EZ210" s="35" t="s">
        <v>8292</v>
      </c>
      <c r="FA210" s="35" t="s">
        <v>415</v>
      </c>
      <c r="FB210" s="35" t="s">
        <v>415</v>
      </c>
      <c r="FC210" s="35" t="s">
        <v>413</v>
      </c>
      <c r="FD210" s="35" t="s">
        <v>415</v>
      </c>
      <c r="FE210" s="35" t="s">
        <v>413</v>
      </c>
      <c r="FF210" s="35" t="s">
        <v>414</v>
      </c>
      <c r="FG210" s="35" t="s">
        <v>414</v>
      </c>
      <c r="FH210" s="35" t="s">
        <v>415</v>
      </c>
      <c r="FI210" s="35" t="s">
        <v>414</v>
      </c>
      <c r="FJ210" s="35" t="s">
        <v>414</v>
      </c>
      <c r="FK210" s="35" t="s">
        <v>416</v>
      </c>
      <c r="FL210" s="35" t="s">
        <v>415</v>
      </c>
      <c r="FM210" s="35" t="s">
        <v>415</v>
      </c>
      <c r="FN210" s="35" t="s">
        <v>415</v>
      </c>
      <c r="FO210" s="35" t="s">
        <v>414</v>
      </c>
      <c r="FP210" s="35" t="s">
        <v>3396</v>
      </c>
      <c r="FQ210" s="35" t="s">
        <v>2524</v>
      </c>
      <c r="FR210" s="35" t="s">
        <v>531</v>
      </c>
      <c r="FS210" s="35" t="s">
        <v>8293</v>
      </c>
      <c r="FT210" s="35" t="s">
        <v>420</v>
      </c>
      <c r="FU210" s="35" t="s">
        <v>488</v>
      </c>
      <c r="FV210" s="35" t="s">
        <v>489</v>
      </c>
      <c r="FW210" s="35" t="s">
        <v>490</v>
      </c>
      <c r="FX210" s="35" t="s">
        <v>491</v>
      </c>
      <c r="FY210" s="35" t="s">
        <v>8294</v>
      </c>
      <c r="FZ210" s="35" t="s">
        <v>493</v>
      </c>
      <c r="GA210" s="35" t="s">
        <v>8295</v>
      </c>
      <c r="GB210" s="35" t="s">
        <v>8296</v>
      </c>
      <c r="GC210" s="35" t="s">
        <v>455</v>
      </c>
      <c r="GD210" s="35" t="s">
        <v>10946</v>
      </c>
      <c r="GF210" s="35" t="s">
        <v>753</v>
      </c>
      <c r="GG210" s="35" t="s">
        <v>8297</v>
      </c>
      <c r="GK210" s="35" t="s">
        <v>920</v>
      </c>
      <c r="GL210" s="35" t="s">
        <v>920</v>
      </c>
      <c r="GM210" s="35" t="s">
        <v>817</v>
      </c>
      <c r="GR210" s="35" t="s">
        <v>3208</v>
      </c>
      <c r="GS210" s="35" t="s">
        <v>4840</v>
      </c>
      <c r="GT210" s="35" t="s">
        <v>8298</v>
      </c>
      <c r="GW210" s="35" t="s">
        <v>5231</v>
      </c>
      <c r="GX210" s="35" t="s">
        <v>484</v>
      </c>
      <c r="GY210" s="35" t="s">
        <v>5262</v>
      </c>
      <c r="GZ210" s="35" t="s">
        <v>8299</v>
      </c>
      <c r="HA210" s="35" t="s">
        <v>8300</v>
      </c>
      <c r="HB210" s="35" t="s">
        <v>484</v>
      </c>
      <c r="HC210" s="35" t="s">
        <v>5370</v>
      </c>
      <c r="HP210" s="35" t="s">
        <v>5236</v>
      </c>
      <c r="HQ210" s="35" t="s">
        <v>5237</v>
      </c>
      <c r="HR210" s="35" t="s">
        <v>5238</v>
      </c>
      <c r="HS210" s="35" t="s">
        <v>5321</v>
      </c>
      <c r="MK210" s="35" t="s">
        <v>6321</v>
      </c>
    </row>
    <row r="211">
      <c r="A211" s="35" t="s">
        <v>10947</v>
      </c>
      <c r="B211" s="40">
        <v>46061.530180625</v>
      </c>
      <c r="C211" s="35" t="s">
        <v>368</v>
      </c>
      <c r="D211" s="35" t="s">
        <v>370</v>
      </c>
      <c r="E211" s="35" t="s">
        <v>370</v>
      </c>
      <c r="F211" s="35" t="s">
        <v>791</v>
      </c>
      <c r="G211" s="35" t="s">
        <v>371</v>
      </c>
      <c r="H211" s="35" t="s">
        <v>422</v>
      </c>
      <c r="I211" s="35" t="s">
        <v>373</v>
      </c>
      <c r="J211" s="35" t="s">
        <v>374</v>
      </c>
      <c r="K211" s="35" t="s">
        <v>375</v>
      </c>
      <c r="L211" s="35" t="s">
        <v>376</v>
      </c>
      <c r="M211" s="35" t="s">
        <v>426</v>
      </c>
      <c r="N211" s="35" t="s">
        <v>541</v>
      </c>
      <c r="O211" s="35" t="s">
        <v>670</v>
      </c>
      <c r="P211" s="35" t="s">
        <v>1270</v>
      </c>
      <c r="Q211" s="35" t="s">
        <v>381</v>
      </c>
      <c r="R211" s="35" t="s">
        <v>862</v>
      </c>
      <c r="S211" s="35" t="s">
        <v>427</v>
      </c>
      <c r="T211" s="35" t="s">
        <v>384</v>
      </c>
      <c r="U211" s="35" t="s">
        <v>385</v>
      </c>
      <c r="X211" s="35" t="s">
        <v>3014</v>
      </c>
      <c r="AW211" s="35" t="s">
        <v>1242</v>
      </c>
      <c r="AX211" s="35" t="s">
        <v>675</v>
      </c>
      <c r="AY211" s="35" t="s">
        <v>675</v>
      </c>
      <c r="AZ211" s="41">
        <v>4.0</v>
      </c>
      <c r="BA211" s="35" t="s">
        <v>675</v>
      </c>
      <c r="BB211" s="35" t="s">
        <v>675</v>
      </c>
      <c r="BC211" s="35" t="s">
        <v>675</v>
      </c>
      <c r="BD211" s="35" t="s">
        <v>8411</v>
      </c>
      <c r="BE211" s="35" t="s">
        <v>8412</v>
      </c>
      <c r="BF211" s="35" t="s">
        <v>902</v>
      </c>
      <c r="BG211" s="35" t="s">
        <v>1245</v>
      </c>
      <c r="BH211" s="35" t="s">
        <v>725</v>
      </c>
      <c r="BI211" s="35" t="s">
        <v>8413</v>
      </c>
      <c r="BJ211" s="35" t="s">
        <v>976</v>
      </c>
      <c r="BL211" s="35" t="s">
        <v>437</v>
      </c>
      <c r="BM211" s="35" t="s">
        <v>603</v>
      </c>
      <c r="BN211" s="35" t="s">
        <v>1314</v>
      </c>
      <c r="BO211" s="35" t="s">
        <v>398</v>
      </c>
      <c r="BP211" s="35" t="s">
        <v>8414</v>
      </c>
      <c r="BQ211" s="35" t="s">
        <v>8415</v>
      </c>
      <c r="BR211" s="35" t="s">
        <v>442</v>
      </c>
      <c r="BS211" s="35" t="s">
        <v>8416</v>
      </c>
      <c r="BT211" s="35" t="s">
        <v>1741</v>
      </c>
      <c r="BU211" s="35" t="s">
        <v>4072</v>
      </c>
      <c r="BV211" s="35" t="s">
        <v>1831</v>
      </c>
      <c r="BW211" s="35" t="s">
        <v>8417</v>
      </c>
      <c r="BX211" s="35" t="s">
        <v>457</v>
      </c>
      <c r="BZ211" s="35" t="s">
        <v>408</v>
      </c>
      <c r="CB211" s="35" t="s">
        <v>8418</v>
      </c>
      <c r="CC211" s="35" t="s">
        <v>8419</v>
      </c>
      <c r="CD211" s="35" t="s">
        <v>8420</v>
      </c>
      <c r="CE211" s="35" t="s">
        <v>409</v>
      </c>
      <c r="CF211" s="35" t="s">
        <v>8421</v>
      </c>
      <c r="CG211" s="35" t="s">
        <v>1258</v>
      </c>
      <c r="CI211" s="35" t="s">
        <v>2744</v>
      </c>
      <c r="CJ211" s="35" t="s">
        <v>410</v>
      </c>
      <c r="CK211" s="35" t="s">
        <v>8422</v>
      </c>
      <c r="CL211" s="35" t="s">
        <v>8423</v>
      </c>
      <c r="DJ211" s="35" t="s">
        <v>963</v>
      </c>
      <c r="DK211" s="35" t="s">
        <v>613</v>
      </c>
      <c r="EU211" s="35" t="s">
        <v>526</v>
      </c>
      <c r="EV211" s="35" t="s">
        <v>479</v>
      </c>
      <c r="EW211" s="35" t="s">
        <v>1262</v>
      </c>
      <c r="EX211" s="35" t="s">
        <v>8424</v>
      </c>
      <c r="EY211" s="35" t="s">
        <v>8425</v>
      </c>
      <c r="EZ211" s="35" t="s">
        <v>8426</v>
      </c>
      <c r="FA211" s="35" t="s">
        <v>415</v>
      </c>
      <c r="FB211" s="35" t="s">
        <v>415</v>
      </c>
      <c r="FC211" s="35" t="s">
        <v>413</v>
      </c>
      <c r="FD211" s="35" t="s">
        <v>416</v>
      </c>
      <c r="FE211" s="35" t="s">
        <v>413</v>
      </c>
      <c r="FF211" s="35" t="s">
        <v>414</v>
      </c>
      <c r="FG211" s="35" t="s">
        <v>414</v>
      </c>
      <c r="FH211" s="35" t="s">
        <v>413</v>
      </c>
      <c r="FI211" s="35" t="s">
        <v>484</v>
      </c>
      <c r="FJ211" s="35" t="s">
        <v>484</v>
      </c>
      <c r="FK211" s="35" t="s">
        <v>583</v>
      </c>
      <c r="FM211" s="35" t="s">
        <v>415</v>
      </c>
      <c r="FN211" s="35" t="s">
        <v>416</v>
      </c>
      <c r="FO211" s="35" t="s">
        <v>414</v>
      </c>
      <c r="FP211" s="35" t="s">
        <v>485</v>
      </c>
      <c r="FQ211" s="35" t="s">
        <v>418</v>
      </c>
      <c r="FR211" s="35" t="s">
        <v>419</v>
      </c>
      <c r="FS211" s="35" t="s">
        <v>8427</v>
      </c>
      <c r="FT211" s="35" t="s">
        <v>420</v>
      </c>
      <c r="FU211" s="35" t="s">
        <v>488</v>
      </c>
      <c r="FV211" s="35" t="s">
        <v>533</v>
      </c>
      <c r="FW211" s="35" t="s">
        <v>490</v>
      </c>
      <c r="FX211" s="35" t="s">
        <v>491</v>
      </c>
      <c r="FY211" s="35" t="s">
        <v>8428</v>
      </c>
      <c r="FZ211" s="35" t="s">
        <v>535</v>
      </c>
      <c r="GC211" s="35" t="s">
        <v>455</v>
      </c>
      <c r="GD211" s="35" t="s">
        <v>10948</v>
      </c>
      <c r="GE211" s="35" t="s">
        <v>10949</v>
      </c>
      <c r="GF211" s="35" t="s">
        <v>753</v>
      </c>
      <c r="GG211" s="35" t="s">
        <v>3337</v>
      </c>
      <c r="GK211" s="35" t="s">
        <v>755</v>
      </c>
      <c r="GL211" s="35" t="s">
        <v>755</v>
      </c>
      <c r="GM211" s="35" t="s">
        <v>946</v>
      </c>
      <c r="GR211" s="35" t="s">
        <v>3208</v>
      </c>
      <c r="GS211" s="35" t="s">
        <v>4741</v>
      </c>
      <c r="GT211" s="35" t="s">
        <v>8429</v>
      </c>
      <c r="GW211" s="35" t="s">
        <v>5231</v>
      </c>
      <c r="GX211" s="35" t="s">
        <v>484</v>
      </c>
      <c r="GY211" s="35" t="s">
        <v>5281</v>
      </c>
      <c r="GZ211" s="35" t="s">
        <v>6013</v>
      </c>
      <c r="HA211" s="35" t="s">
        <v>484</v>
      </c>
      <c r="HB211" s="35" t="s">
        <v>5864</v>
      </c>
      <c r="HC211" s="35" t="s">
        <v>5370</v>
      </c>
      <c r="HP211" s="35" t="s">
        <v>5236</v>
      </c>
      <c r="HQ211" s="35" t="s">
        <v>5237</v>
      </c>
      <c r="HR211" s="35" t="s">
        <v>5238</v>
      </c>
      <c r="HS211" s="35" t="s">
        <v>5347</v>
      </c>
      <c r="MK211" s="35" t="s">
        <v>6321</v>
      </c>
    </row>
    <row r="212">
      <c r="A212" s="35" t="s">
        <v>10950</v>
      </c>
      <c r="B212" s="40">
        <v>46064.90010012731</v>
      </c>
      <c r="C212" s="35" t="s">
        <v>368</v>
      </c>
      <c r="D212" s="35" t="s">
        <v>1201</v>
      </c>
      <c r="E212" s="35" t="s">
        <v>1201</v>
      </c>
      <c r="H212" s="35" t="s">
        <v>422</v>
      </c>
      <c r="I212" s="35" t="s">
        <v>373</v>
      </c>
      <c r="J212" s="35" t="s">
        <v>374</v>
      </c>
      <c r="K212" s="35" t="s">
        <v>718</v>
      </c>
      <c r="L212" s="35" t="s">
        <v>376</v>
      </c>
      <c r="M212" s="35" t="s">
        <v>396</v>
      </c>
      <c r="O212" s="35" t="s">
        <v>377</v>
      </c>
      <c r="Q212" s="35" t="s">
        <v>759</v>
      </c>
      <c r="R212" s="35" t="s">
        <v>818</v>
      </c>
      <c r="S212" s="35" t="s">
        <v>427</v>
      </c>
      <c r="T212" s="35" t="s">
        <v>384</v>
      </c>
      <c r="U212" s="35" t="s">
        <v>385</v>
      </c>
      <c r="X212" s="35" t="s">
        <v>3014</v>
      </c>
      <c r="AW212" s="35" t="s">
        <v>1242</v>
      </c>
      <c r="AX212" s="35" t="s">
        <v>675</v>
      </c>
      <c r="AY212" s="35" t="s">
        <v>675</v>
      </c>
      <c r="AZ212" s="35" t="s">
        <v>675</v>
      </c>
      <c r="BA212" s="35" t="s">
        <v>675</v>
      </c>
      <c r="BB212" s="35" t="s">
        <v>675</v>
      </c>
      <c r="BC212" s="35" t="s">
        <v>675</v>
      </c>
      <c r="BF212" s="35" t="s">
        <v>1094</v>
      </c>
      <c r="BG212" s="35" t="s">
        <v>1245</v>
      </c>
      <c r="BH212" s="35" t="s">
        <v>394</v>
      </c>
      <c r="BJ212" s="35" t="s">
        <v>976</v>
      </c>
      <c r="BM212" s="35" t="s">
        <v>603</v>
      </c>
      <c r="BN212" s="35" t="s">
        <v>1314</v>
      </c>
      <c r="BO212" s="35" t="s">
        <v>398</v>
      </c>
      <c r="BR212" s="35" t="s">
        <v>401</v>
      </c>
      <c r="BV212" s="35" t="s">
        <v>405</v>
      </c>
      <c r="BX212" s="35" t="s">
        <v>988</v>
      </c>
      <c r="BZ212" s="35" t="s">
        <v>408</v>
      </c>
      <c r="CE212" s="35" t="s">
        <v>1257</v>
      </c>
      <c r="CI212" s="35" t="s">
        <v>1259</v>
      </c>
      <c r="DJ212" s="35" t="s">
        <v>459</v>
      </c>
      <c r="DK212" s="35" t="s">
        <v>460</v>
      </c>
      <c r="DL212" s="35" t="s">
        <v>6319</v>
      </c>
      <c r="EU212" s="35" t="s">
        <v>526</v>
      </c>
      <c r="EV212" s="35" t="s">
        <v>579</v>
      </c>
      <c r="EW212" s="35" t="s">
        <v>778</v>
      </c>
      <c r="EX212" s="35" t="s">
        <v>8469</v>
      </c>
      <c r="FP212" s="35" t="s">
        <v>417</v>
      </c>
      <c r="FQ212" s="35" t="s">
        <v>418</v>
      </c>
      <c r="FR212" s="35" t="s">
        <v>531</v>
      </c>
      <c r="FT212" s="35" t="s">
        <v>420</v>
      </c>
      <c r="FZ212" s="35" t="s">
        <v>535</v>
      </c>
      <c r="GC212" s="35" t="s">
        <v>408</v>
      </c>
      <c r="GK212" s="35" t="s">
        <v>755</v>
      </c>
      <c r="GL212" s="35" t="s">
        <v>755</v>
      </c>
      <c r="GP212" s="35" t="s">
        <v>8470</v>
      </c>
      <c r="GR212" s="35" t="s">
        <v>8471</v>
      </c>
      <c r="GW212" s="35" t="s">
        <v>5231</v>
      </c>
      <c r="GX212" s="35" t="s">
        <v>484</v>
      </c>
      <c r="HB212" s="35" t="s">
        <v>5369</v>
      </c>
      <c r="HS212" s="35" t="s">
        <v>5347</v>
      </c>
      <c r="MK212" s="35" t="s">
        <v>6321</v>
      </c>
    </row>
    <row r="213">
      <c r="A213" s="35" t="s">
        <v>10951</v>
      </c>
      <c r="B213" s="40">
        <v>46065.61208627315</v>
      </c>
      <c r="C213" s="35" t="s">
        <v>368</v>
      </c>
      <c r="D213" s="35" t="s">
        <v>894</v>
      </c>
      <c r="E213" s="35" t="s">
        <v>894</v>
      </c>
      <c r="H213" s="35" t="s">
        <v>422</v>
      </c>
      <c r="I213" s="35" t="s">
        <v>539</v>
      </c>
      <c r="J213" s="35" t="s">
        <v>374</v>
      </c>
      <c r="K213" s="35" t="s">
        <v>425</v>
      </c>
      <c r="L213" s="35" t="s">
        <v>376</v>
      </c>
      <c r="M213" s="35" t="s">
        <v>426</v>
      </c>
      <c r="N213" s="35" t="s">
        <v>8588</v>
      </c>
      <c r="O213" s="35" t="s">
        <v>426</v>
      </c>
      <c r="P213" s="35" t="s">
        <v>8589</v>
      </c>
      <c r="Q213" s="35" t="s">
        <v>592</v>
      </c>
      <c r="R213" s="35" t="s">
        <v>759</v>
      </c>
      <c r="S213" s="35" t="s">
        <v>8590</v>
      </c>
      <c r="T213" s="35" t="s">
        <v>384</v>
      </c>
      <c r="U213" s="35" t="s">
        <v>385</v>
      </c>
      <c r="V213" s="35" t="s">
        <v>896</v>
      </c>
      <c r="W213" s="35" t="s">
        <v>896</v>
      </c>
      <c r="X213" s="35" t="s">
        <v>593</v>
      </c>
      <c r="Y213" s="35" t="s">
        <v>387</v>
      </c>
      <c r="Z213" s="35" t="s">
        <v>2115</v>
      </c>
      <c r="AA213" s="35" t="s">
        <v>543</v>
      </c>
      <c r="AB213" s="35" t="s">
        <v>2675</v>
      </c>
      <c r="AC213" s="35" t="s">
        <v>8591</v>
      </c>
      <c r="AW213" s="35" t="s">
        <v>1242</v>
      </c>
      <c r="AX213" s="35" t="s">
        <v>391</v>
      </c>
      <c r="AY213" s="35" t="s">
        <v>391</v>
      </c>
      <c r="AZ213" s="35" t="s">
        <v>391</v>
      </c>
      <c r="BA213" s="41">
        <v>4.0</v>
      </c>
      <c r="BB213" s="35" t="s">
        <v>391</v>
      </c>
      <c r="BC213" s="35" t="s">
        <v>391</v>
      </c>
      <c r="BD213" s="35" t="s">
        <v>8592</v>
      </c>
      <c r="BE213" s="35" t="s">
        <v>8593</v>
      </c>
      <c r="BF213" s="35" t="s">
        <v>1094</v>
      </c>
      <c r="BG213" s="35" t="s">
        <v>1095</v>
      </c>
      <c r="BH213" s="35" t="s">
        <v>725</v>
      </c>
      <c r="BJ213" s="35" t="s">
        <v>976</v>
      </c>
      <c r="BL213" s="35" t="s">
        <v>602</v>
      </c>
      <c r="BM213" s="35" t="s">
        <v>512</v>
      </c>
      <c r="BN213" s="35" t="s">
        <v>1247</v>
      </c>
      <c r="BO213" s="35" t="s">
        <v>398</v>
      </c>
      <c r="BP213" s="35" t="s">
        <v>8594</v>
      </c>
      <c r="BQ213" s="35" t="s">
        <v>408</v>
      </c>
      <c r="BR213" s="35" t="s">
        <v>442</v>
      </c>
      <c r="BS213" s="35" t="s">
        <v>5002</v>
      </c>
      <c r="BT213" s="35" t="s">
        <v>1741</v>
      </c>
      <c r="BU213" s="35" t="s">
        <v>404</v>
      </c>
      <c r="BV213" s="35" t="s">
        <v>405</v>
      </c>
      <c r="BX213" s="35" t="s">
        <v>406</v>
      </c>
      <c r="BY213" s="35" t="s">
        <v>1867</v>
      </c>
      <c r="BZ213" s="35" t="s">
        <v>408</v>
      </c>
      <c r="CB213" s="35" t="s">
        <v>2675</v>
      </c>
      <c r="CC213" s="35" t="s">
        <v>8595</v>
      </c>
      <c r="CD213" s="35" t="s">
        <v>8596</v>
      </c>
      <c r="CE213" s="35" t="s">
        <v>1257</v>
      </c>
      <c r="CG213" s="35" t="s">
        <v>1697</v>
      </c>
      <c r="CI213" s="35" t="s">
        <v>1751</v>
      </c>
      <c r="CJ213" s="35" t="s">
        <v>1220</v>
      </c>
      <c r="CK213" s="35" t="s">
        <v>4841</v>
      </c>
      <c r="CL213" s="35" t="s">
        <v>8597</v>
      </c>
      <c r="DJ213" s="35" t="s">
        <v>963</v>
      </c>
      <c r="DK213" s="35" t="s">
        <v>613</v>
      </c>
      <c r="EU213" s="35" t="s">
        <v>578</v>
      </c>
      <c r="EV213" s="35" t="s">
        <v>579</v>
      </c>
      <c r="EW213" s="35" t="s">
        <v>580</v>
      </c>
      <c r="EY213" s="35" t="s">
        <v>8598</v>
      </c>
      <c r="EZ213" s="35" t="s">
        <v>8599</v>
      </c>
      <c r="FA213" s="35" t="s">
        <v>413</v>
      </c>
      <c r="FB213" s="35" t="s">
        <v>413</v>
      </c>
      <c r="FC213" s="35" t="s">
        <v>413</v>
      </c>
      <c r="FD213" s="35" t="s">
        <v>413</v>
      </c>
      <c r="FE213" s="35" t="s">
        <v>413</v>
      </c>
      <c r="FF213" s="35" t="s">
        <v>413</v>
      </c>
      <c r="FG213" s="35" t="s">
        <v>413</v>
      </c>
      <c r="FH213" s="35" t="s">
        <v>413</v>
      </c>
      <c r="FI213" s="35" t="s">
        <v>413</v>
      </c>
      <c r="FJ213" s="35" t="s">
        <v>484</v>
      </c>
      <c r="FK213" s="35" t="s">
        <v>415</v>
      </c>
      <c r="FL213" s="35" t="s">
        <v>484</v>
      </c>
      <c r="FM213" s="35" t="s">
        <v>484</v>
      </c>
      <c r="FN213" s="35" t="s">
        <v>484</v>
      </c>
      <c r="FO213" s="35" t="s">
        <v>484</v>
      </c>
      <c r="FP213" s="35" t="s">
        <v>417</v>
      </c>
      <c r="FQ213" s="35" t="s">
        <v>2524</v>
      </c>
      <c r="FR213" s="35" t="s">
        <v>712</v>
      </c>
      <c r="FS213" s="35" t="s">
        <v>8599</v>
      </c>
      <c r="FT213" s="35" t="s">
        <v>1076</v>
      </c>
      <c r="FU213" s="35" t="s">
        <v>488</v>
      </c>
      <c r="FV213" s="35" t="s">
        <v>585</v>
      </c>
      <c r="FW213" s="35" t="s">
        <v>490</v>
      </c>
      <c r="FX213" s="35" t="s">
        <v>491</v>
      </c>
      <c r="FY213" s="35" t="s">
        <v>8600</v>
      </c>
      <c r="FZ213" s="35" t="s">
        <v>493</v>
      </c>
      <c r="GA213" s="35" t="s">
        <v>8601</v>
      </c>
      <c r="GB213" s="35" t="s">
        <v>408</v>
      </c>
      <c r="GC213" s="35" t="s">
        <v>455</v>
      </c>
      <c r="GD213" s="35" t="s">
        <v>10952</v>
      </c>
      <c r="GF213" s="35" t="s">
        <v>1339</v>
      </c>
      <c r="GK213" s="35" t="s">
        <v>920</v>
      </c>
      <c r="GL213" s="35" t="s">
        <v>789</v>
      </c>
      <c r="GM213" s="35" t="s">
        <v>817</v>
      </c>
      <c r="GR213" s="35" t="s">
        <v>4653</v>
      </c>
      <c r="GS213" s="35" t="s">
        <v>4774</v>
      </c>
      <c r="GW213" s="35" t="s">
        <v>5231</v>
      </c>
      <c r="GX213" s="35" t="s">
        <v>5232</v>
      </c>
      <c r="GY213" s="35" t="s">
        <v>484</v>
      </c>
      <c r="GZ213" s="35" t="s">
        <v>5233</v>
      </c>
      <c r="HA213" s="35" t="s">
        <v>484</v>
      </c>
      <c r="HB213" s="35" t="s">
        <v>5369</v>
      </c>
      <c r="HC213" s="35" t="s">
        <v>5468</v>
      </c>
      <c r="HP213" s="35" t="s">
        <v>5301</v>
      </c>
      <c r="HQ213" s="35" t="s">
        <v>5302</v>
      </c>
      <c r="HR213" s="35" t="s">
        <v>5238</v>
      </c>
      <c r="HS213" s="35" t="s">
        <v>913</v>
      </c>
      <c r="MK213" s="35" t="s">
        <v>6321</v>
      </c>
    </row>
    <row r="214">
      <c r="A214" s="35" t="s">
        <v>10953</v>
      </c>
      <c r="B214" s="40">
        <v>46067.17601916667</v>
      </c>
      <c r="C214" s="35" t="s">
        <v>368</v>
      </c>
      <c r="D214" s="35" t="s">
        <v>894</v>
      </c>
      <c r="E214" s="35" t="s">
        <v>894</v>
      </c>
      <c r="H214" s="35" t="s">
        <v>422</v>
      </c>
      <c r="I214" s="35" t="s">
        <v>539</v>
      </c>
      <c r="J214" s="35" t="s">
        <v>424</v>
      </c>
      <c r="K214" s="35" t="s">
        <v>758</v>
      </c>
      <c r="L214" s="35" t="s">
        <v>376</v>
      </c>
      <c r="M214" s="35" t="s">
        <v>377</v>
      </c>
      <c r="O214" s="35" t="s">
        <v>377</v>
      </c>
      <c r="Q214" s="35" t="s">
        <v>381</v>
      </c>
      <c r="S214" s="35" t="s">
        <v>427</v>
      </c>
      <c r="T214" s="35" t="s">
        <v>384</v>
      </c>
      <c r="U214" s="35" t="s">
        <v>385</v>
      </c>
      <c r="V214" s="35" t="s">
        <v>8639</v>
      </c>
      <c r="W214" s="35" t="s">
        <v>8639</v>
      </c>
      <c r="X214" s="35" t="s">
        <v>386</v>
      </c>
      <c r="Y214" s="35" t="s">
        <v>387</v>
      </c>
      <c r="Z214" s="35" t="s">
        <v>388</v>
      </c>
      <c r="AA214" s="35" t="s">
        <v>543</v>
      </c>
      <c r="AW214" s="35" t="s">
        <v>1242</v>
      </c>
      <c r="AX214" s="35" t="s">
        <v>391</v>
      </c>
      <c r="AY214" s="35" t="s">
        <v>391</v>
      </c>
      <c r="AZ214" s="41">
        <v>2.0</v>
      </c>
      <c r="BA214" s="35" t="s">
        <v>391</v>
      </c>
      <c r="BB214" s="35" t="s">
        <v>391</v>
      </c>
      <c r="BC214" s="35" t="s">
        <v>391</v>
      </c>
      <c r="BF214" s="35" t="s">
        <v>432</v>
      </c>
      <c r="BG214" s="35" t="s">
        <v>1095</v>
      </c>
      <c r="BH214" s="35" t="s">
        <v>394</v>
      </c>
      <c r="BJ214" s="35" t="s">
        <v>976</v>
      </c>
      <c r="BL214" s="35" t="s">
        <v>511</v>
      </c>
      <c r="BM214" s="35" t="s">
        <v>904</v>
      </c>
      <c r="BN214" s="35" t="s">
        <v>1314</v>
      </c>
      <c r="BO214" s="35" t="s">
        <v>398</v>
      </c>
      <c r="BR214" s="35" t="s">
        <v>442</v>
      </c>
      <c r="BS214" s="35" t="s">
        <v>3323</v>
      </c>
      <c r="BT214" s="35" t="s">
        <v>403</v>
      </c>
      <c r="BU214" s="35" t="s">
        <v>1771</v>
      </c>
      <c r="BV214" s="35" t="s">
        <v>1772</v>
      </c>
      <c r="BX214" s="35" t="s">
        <v>406</v>
      </c>
      <c r="BZ214" s="35" t="s">
        <v>408</v>
      </c>
      <c r="CE214" s="35" t="s">
        <v>409</v>
      </c>
      <c r="CG214" s="35" t="s">
        <v>1258</v>
      </c>
      <c r="CI214" s="35" t="s">
        <v>1259</v>
      </c>
      <c r="CJ214" s="35" t="s">
        <v>410</v>
      </c>
      <c r="CK214" s="35" t="s">
        <v>8640</v>
      </c>
      <c r="DJ214" s="35" t="s">
        <v>459</v>
      </c>
      <c r="DK214" s="35" t="s">
        <v>562</v>
      </c>
      <c r="DL214" s="35" t="s">
        <v>6319</v>
      </c>
      <c r="EU214" s="35" t="s">
        <v>526</v>
      </c>
      <c r="EV214" s="35" t="s">
        <v>887</v>
      </c>
      <c r="EW214" s="35" t="s">
        <v>527</v>
      </c>
      <c r="FA214" s="35" t="s">
        <v>413</v>
      </c>
      <c r="FB214" s="35" t="s">
        <v>413</v>
      </c>
      <c r="FC214" s="35" t="s">
        <v>413</v>
      </c>
      <c r="FD214" s="35" t="s">
        <v>413</v>
      </c>
      <c r="FE214" s="35" t="s">
        <v>413</v>
      </c>
      <c r="FF214" s="35" t="s">
        <v>413</v>
      </c>
      <c r="FG214" s="35" t="s">
        <v>413</v>
      </c>
      <c r="FH214" s="35" t="s">
        <v>413</v>
      </c>
      <c r="FI214" s="35" t="s">
        <v>413</v>
      </c>
      <c r="FJ214" s="35" t="s">
        <v>413</v>
      </c>
      <c r="FK214" s="35" t="s">
        <v>413</v>
      </c>
      <c r="FL214" s="35" t="s">
        <v>413</v>
      </c>
      <c r="FM214" s="35" t="s">
        <v>413</v>
      </c>
      <c r="FN214" s="35" t="s">
        <v>413</v>
      </c>
      <c r="FO214" s="35" t="s">
        <v>413</v>
      </c>
      <c r="FP214" s="35" t="s">
        <v>485</v>
      </c>
      <c r="FQ214" s="35" t="s">
        <v>418</v>
      </c>
      <c r="FR214" s="35" t="s">
        <v>1039</v>
      </c>
      <c r="FT214" s="35" t="s">
        <v>420</v>
      </c>
      <c r="FU214" s="35" t="s">
        <v>488</v>
      </c>
      <c r="FV214" s="35" t="s">
        <v>585</v>
      </c>
      <c r="FW214" s="35" t="s">
        <v>490</v>
      </c>
      <c r="FX214" s="35" t="s">
        <v>491</v>
      </c>
      <c r="FZ214" s="35" t="s">
        <v>1854</v>
      </c>
      <c r="GC214" s="35" t="s">
        <v>455</v>
      </c>
      <c r="GD214" s="35" t="s">
        <v>10954</v>
      </c>
      <c r="GF214" s="35" t="s">
        <v>786</v>
      </c>
      <c r="GK214" s="35" t="s">
        <v>755</v>
      </c>
      <c r="GL214" s="35" t="s">
        <v>755</v>
      </c>
      <c r="GM214" s="35" t="s">
        <v>946</v>
      </c>
      <c r="GR214" s="35" t="s">
        <v>4653</v>
      </c>
      <c r="GS214" s="35" t="s">
        <v>5170</v>
      </c>
      <c r="GW214" s="35" t="s">
        <v>5231</v>
      </c>
      <c r="GX214" s="35" t="s">
        <v>5232</v>
      </c>
      <c r="GY214" s="35" t="s">
        <v>7007</v>
      </c>
      <c r="GZ214" s="35" t="s">
        <v>5233</v>
      </c>
      <c r="HA214" s="35" t="s">
        <v>484</v>
      </c>
      <c r="HB214" s="35" t="s">
        <v>484</v>
      </c>
      <c r="HC214" s="35" t="s">
        <v>913</v>
      </c>
      <c r="HP214" s="35" t="s">
        <v>5285</v>
      </c>
      <c r="HQ214" s="35" t="s">
        <v>5264</v>
      </c>
      <c r="HR214" s="35" t="s">
        <v>5238</v>
      </c>
      <c r="HS214" s="35" t="s">
        <v>5347</v>
      </c>
      <c r="MK214" s="35" t="s">
        <v>6321</v>
      </c>
    </row>
    <row r="215">
      <c r="A215" s="35" t="s">
        <v>10955</v>
      </c>
      <c r="B215" s="40">
        <v>46070.524625185186</v>
      </c>
      <c r="C215" s="35" t="s">
        <v>368</v>
      </c>
      <c r="D215" s="35" t="s">
        <v>370</v>
      </c>
      <c r="E215" s="35" t="s">
        <v>8694</v>
      </c>
      <c r="F215" s="35" t="s">
        <v>1875</v>
      </c>
      <c r="H215" s="35" t="s">
        <v>422</v>
      </c>
      <c r="I215" s="35" t="s">
        <v>539</v>
      </c>
      <c r="J215" s="35" t="s">
        <v>424</v>
      </c>
      <c r="K215" s="35" t="s">
        <v>669</v>
      </c>
      <c r="L215" s="35" t="s">
        <v>376</v>
      </c>
      <c r="M215" s="35" t="s">
        <v>793</v>
      </c>
      <c r="N215" s="35" t="s">
        <v>1690</v>
      </c>
      <c r="O215" s="35" t="s">
        <v>670</v>
      </c>
      <c r="P215" s="35" t="s">
        <v>719</v>
      </c>
      <c r="Q215" s="35" t="s">
        <v>592</v>
      </c>
      <c r="R215" s="35" t="s">
        <v>499</v>
      </c>
      <c r="S215" s="35" t="s">
        <v>427</v>
      </c>
      <c r="T215" s="35" t="s">
        <v>384</v>
      </c>
      <c r="U215" s="35" t="s">
        <v>385</v>
      </c>
      <c r="X215" s="35" t="s">
        <v>386</v>
      </c>
      <c r="Y215" s="35" t="s">
        <v>387</v>
      </c>
      <c r="Z215" s="35" t="s">
        <v>542</v>
      </c>
      <c r="AA215" s="35" t="s">
        <v>543</v>
      </c>
      <c r="AB215" s="35" t="s">
        <v>8695</v>
      </c>
      <c r="AC215" s="35" t="s">
        <v>8696</v>
      </c>
      <c r="AW215" s="35" t="s">
        <v>1242</v>
      </c>
      <c r="AX215" s="35" t="s">
        <v>675</v>
      </c>
      <c r="AY215" s="35" t="s">
        <v>675</v>
      </c>
      <c r="AZ215" s="35" t="s">
        <v>675</v>
      </c>
      <c r="BA215" s="35" t="s">
        <v>675</v>
      </c>
      <c r="BB215" s="35" t="s">
        <v>675</v>
      </c>
      <c r="BC215" s="35" t="s">
        <v>675</v>
      </c>
      <c r="BD215" s="35" t="s">
        <v>8697</v>
      </c>
      <c r="BE215" s="35" t="s">
        <v>8698</v>
      </c>
      <c r="BF215" s="35" t="s">
        <v>432</v>
      </c>
      <c r="BG215" s="35" t="s">
        <v>1095</v>
      </c>
      <c r="BH215" s="35" t="s">
        <v>394</v>
      </c>
      <c r="BJ215" s="35" t="s">
        <v>976</v>
      </c>
      <c r="BK215" s="35" t="s">
        <v>408</v>
      </c>
      <c r="BL215" s="35" t="s">
        <v>681</v>
      </c>
      <c r="BM215" s="35" t="s">
        <v>603</v>
      </c>
      <c r="BN215" s="35" t="s">
        <v>1314</v>
      </c>
      <c r="BO215" s="35" t="s">
        <v>398</v>
      </c>
      <c r="BP215" s="35" t="s">
        <v>8699</v>
      </c>
      <c r="BQ215" s="35" t="s">
        <v>552</v>
      </c>
      <c r="BR215" s="35" t="s">
        <v>604</v>
      </c>
      <c r="BS215" s="35" t="s">
        <v>1830</v>
      </c>
      <c r="BT215" s="35" t="s">
        <v>1741</v>
      </c>
      <c r="BU215" s="35" t="s">
        <v>4368</v>
      </c>
      <c r="BV215" s="35" t="s">
        <v>405</v>
      </c>
      <c r="BX215" s="35" t="s">
        <v>457</v>
      </c>
      <c r="BZ215" s="35" t="s">
        <v>408</v>
      </c>
      <c r="CC215" s="35" t="s">
        <v>8700</v>
      </c>
      <c r="CD215" s="35" t="s">
        <v>8701</v>
      </c>
      <c r="CE215" s="35" t="s">
        <v>409</v>
      </c>
      <c r="CF215" s="35" t="s">
        <v>8702</v>
      </c>
      <c r="CI215" s="35" t="s">
        <v>1259</v>
      </c>
      <c r="CJ215" s="35" t="s">
        <v>410</v>
      </c>
      <c r="CK215" s="35" t="s">
        <v>8703</v>
      </c>
      <c r="CL215" s="35" t="s">
        <v>8704</v>
      </c>
      <c r="DJ215" s="35" t="s">
        <v>963</v>
      </c>
      <c r="DK215" s="35" t="s">
        <v>613</v>
      </c>
      <c r="EU215" s="35" t="s">
        <v>526</v>
      </c>
      <c r="EV215" s="35" t="s">
        <v>887</v>
      </c>
      <c r="EW215" s="35" t="s">
        <v>480</v>
      </c>
      <c r="EY215" s="35" t="s">
        <v>8705</v>
      </c>
      <c r="FA215" s="35" t="s">
        <v>413</v>
      </c>
      <c r="FB215" s="35" t="s">
        <v>413</v>
      </c>
      <c r="FC215" s="35" t="s">
        <v>413</v>
      </c>
      <c r="FD215" s="35" t="s">
        <v>413</v>
      </c>
      <c r="FE215" s="35" t="s">
        <v>413</v>
      </c>
      <c r="FF215" s="35" t="s">
        <v>413</v>
      </c>
      <c r="FG215" s="35" t="s">
        <v>413</v>
      </c>
      <c r="FH215" s="35" t="s">
        <v>413</v>
      </c>
      <c r="FI215" s="35" t="s">
        <v>413</v>
      </c>
      <c r="FJ215" s="35" t="s">
        <v>415</v>
      </c>
      <c r="FK215" s="35" t="s">
        <v>416</v>
      </c>
      <c r="FL215" s="35" t="s">
        <v>413</v>
      </c>
      <c r="FM215" s="35" t="s">
        <v>415</v>
      </c>
      <c r="FN215" s="35" t="s">
        <v>416</v>
      </c>
      <c r="FO215" s="35" t="s">
        <v>415</v>
      </c>
      <c r="FP215" s="35" t="s">
        <v>485</v>
      </c>
      <c r="FQ215" s="35" t="s">
        <v>486</v>
      </c>
      <c r="FT215" s="35" t="s">
        <v>420</v>
      </c>
      <c r="FU215" s="35" t="s">
        <v>488</v>
      </c>
      <c r="FV215" s="35" t="s">
        <v>918</v>
      </c>
      <c r="FW215" s="35" t="s">
        <v>490</v>
      </c>
      <c r="FX215" s="35" t="s">
        <v>491</v>
      </c>
      <c r="FY215" s="35" t="s">
        <v>8706</v>
      </c>
      <c r="FZ215" s="35" t="s">
        <v>493</v>
      </c>
      <c r="GC215" s="35" t="s">
        <v>455</v>
      </c>
      <c r="GD215" s="35" t="s">
        <v>10956</v>
      </c>
      <c r="GF215" s="35" t="s">
        <v>786</v>
      </c>
      <c r="GK215" s="35" t="s">
        <v>920</v>
      </c>
      <c r="GL215" s="35" t="s">
        <v>920</v>
      </c>
      <c r="GM215" s="35" t="s">
        <v>817</v>
      </c>
      <c r="GP215" s="35" t="s">
        <v>8707</v>
      </c>
      <c r="GR215" s="35" t="s">
        <v>3306</v>
      </c>
      <c r="GS215" s="35" t="s">
        <v>5039</v>
      </c>
      <c r="GT215" s="35" t="s">
        <v>408</v>
      </c>
      <c r="GW215" s="35" t="s">
        <v>5231</v>
      </c>
      <c r="GX215" s="35" t="s">
        <v>5232</v>
      </c>
      <c r="GY215" s="35" t="s">
        <v>7007</v>
      </c>
      <c r="GZ215" s="35" t="s">
        <v>6013</v>
      </c>
      <c r="HA215" s="35" t="s">
        <v>5234</v>
      </c>
      <c r="HB215" s="35" t="s">
        <v>5369</v>
      </c>
      <c r="HC215" s="35" t="s">
        <v>5370</v>
      </c>
      <c r="HP215" s="35" t="s">
        <v>5383</v>
      </c>
      <c r="HQ215" s="35" t="s">
        <v>5237</v>
      </c>
      <c r="HR215" s="35" t="s">
        <v>5238</v>
      </c>
      <c r="HS215" s="35" t="s">
        <v>5321</v>
      </c>
      <c r="MK215" s="35" t="s">
        <v>6321</v>
      </c>
    </row>
    <row r="216">
      <c r="A216" s="35" t="s">
        <v>10957</v>
      </c>
      <c r="B216" s="40">
        <v>46104.68932258102</v>
      </c>
      <c r="C216" s="35" t="s">
        <v>368</v>
      </c>
      <c r="D216" s="35" t="s">
        <v>2796</v>
      </c>
      <c r="E216" s="35" t="s">
        <v>2796</v>
      </c>
      <c r="H216" s="35" t="s">
        <v>422</v>
      </c>
      <c r="I216" s="35" t="s">
        <v>637</v>
      </c>
      <c r="J216" s="35" t="s">
        <v>638</v>
      </c>
      <c r="K216" s="35" t="s">
        <v>590</v>
      </c>
      <c r="L216" s="35" t="s">
        <v>376</v>
      </c>
      <c r="M216" s="35" t="s">
        <v>793</v>
      </c>
      <c r="N216" s="35" t="s">
        <v>720</v>
      </c>
      <c r="O216" s="35" t="s">
        <v>793</v>
      </c>
      <c r="P216" s="35" t="s">
        <v>720</v>
      </c>
      <c r="Q216" s="35" t="s">
        <v>498</v>
      </c>
      <c r="R216" s="35" t="s">
        <v>382</v>
      </c>
      <c r="S216" s="35" t="s">
        <v>949</v>
      </c>
      <c r="T216" s="35" t="s">
        <v>384</v>
      </c>
      <c r="U216" s="35" t="s">
        <v>385</v>
      </c>
      <c r="X216" s="35" t="s">
        <v>386</v>
      </c>
      <c r="Y216" s="35" t="s">
        <v>387</v>
      </c>
      <c r="Z216" s="35" t="s">
        <v>388</v>
      </c>
      <c r="AA216" s="35" t="s">
        <v>543</v>
      </c>
      <c r="AB216" s="35" t="s">
        <v>8907</v>
      </c>
      <c r="AW216" s="35" t="s">
        <v>390</v>
      </c>
      <c r="AX216" s="41">
        <v>2.0</v>
      </c>
      <c r="AY216" s="35" t="s">
        <v>429</v>
      </c>
      <c r="AZ216" s="35" t="s">
        <v>675</v>
      </c>
      <c r="BA216" s="41">
        <v>4.0</v>
      </c>
      <c r="BB216" s="35" t="s">
        <v>391</v>
      </c>
      <c r="BC216" s="41">
        <v>4.0</v>
      </c>
      <c r="BD216" s="35" t="s">
        <v>8908</v>
      </c>
      <c r="BE216" s="35" t="s">
        <v>8909</v>
      </c>
      <c r="BF216" s="35" t="s">
        <v>392</v>
      </c>
      <c r="BG216" s="35" t="s">
        <v>393</v>
      </c>
      <c r="BH216" s="35" t="s">
        <v>394</v>
      </c>
      <c r="BJ216" s="35" t="s">
        <v>509</v>
      </c>
      <c r="BK216" s="35" t="s">
        <v>8910</v>
      </c>
      <c r="BL216" s="35" t="s">
        <v>437</v>
      </c>
      <c r="BM216" s="35" t="s">
        <v>512</v>
      </c>
      <c r="BN216" s="35" t="s">
        <v>549</v>
      </c>
      <c r="BO216" s="35" t="s">
        <v>398</v>
      </c>
      <c r="BP216" s="35" t="s">
        <v>8911</v>
      </c>
      <c r="BQ216" s="35" t="s">
        <v>8912</v>
      </c>
      <c r="BR216" s="35" t="s">
        <v>604</v>
      </c>
      <c r="BS216" s="35" t="s">
        <v>8913</v>
      </c>
      <c r="BT216" s="35" t="s">
        <v>4071</v>
      </c>
      <c r="BU216" s="35" t="s">
        <v>1994</v>
      </c>
      <c r="BV216" s="35" t="s">
        <v>1693</v>
      </c>
      <c r="BX216" s="35" t="s">
        <v>406</v>
      </c>
      <c r="BY216" s="35" t="s">
        <v>407</v>
      </c>
      <c r="BZ216" s="35" t="s">
        <v>408</v>
      </c>
      <c r="CC216" s="35" t="s">
        <v>8914</v>
      </c>
      <c r="CD216" s="35" t="s">
        <v>8915</v>
      </c>
      <c r="CE216" s="35" t="s">
        <v>451</v>
      </c>
      <c r="CF216" s="35" t="s">
        <v>8916</v>
      </c>
      <c r="CG216" s="35" t="s">
        <v>1258</v>
      </c>
      <c r="CI216" s="35" t="s">
        <v>1259</v>
      </c>
      <c r="CJ216" s="35" t="s">
        <v>1220</v>
      </c>
      <c r="DJ216" s="35" t="s">
        <v>963</v>
      </c>
      <c r="DK216" s="35" t="s">
        <v>613</v>
      </c>
      <c r="EU216" s="35" t="s">
        <v>526</v>
      </c>
      <c r="EV216" s="35" t="s">
        <v>1037</v>
      </c>
      <c r="EW216" s="35" t="s">
        <v>1262</v>
      </c>
      <c r="FA216" s="35" t="s">
        <v>583</v>
      </c>
      <c r="FB216" s="35" t="s">
        <v>583</v>
      </c>
      <c r="FC216" s="35" t="s">
        <v>413</v>
      </c>
      <c r="FD216" s="35" t="s">
        <v>583</v>
      </c>
      <c r="FE216" s="35" t="s">
        <v>413</v>
      </c>
      <c r="FF216" s="35" t="s">
        <v>583</v>
      </c>
      <c r="FG216" s="35" t="s">
        <v>583</v>
      </c>
      <c r="FH216" s="35" t="s">
        <v>583</v>
      </c>
      <c r="FI216" s="35" t="s">
        <v>413</v>
      </c>
      <c r="FJ216" s="35" t="s">
        <v>415</v>
      </c>
      <c r="FK216" s="35" t="s">
        <v>414</v>
      </c>
      <c r="FL216" s="35" t="s">
        <v>415</v>
      </c>
      <c r="FM216" s="35" t="s">
        <v>415</v>
      </c>
      <c r="FN216" s="35" t="s">
        <v>415</v>
      </c>
      <c r="FO216" s="35" t="s">
        <v>415</v>
      </c>
      <c r="FP216" s="35" t="s">
        <v>1074</v>
      </c>
      <c r="FQ216" s="35" t="s">
        <v>3218</v>
      </c>
      <c r="FR216" s="35" t="s">
        <v>749</v>
      </c>
      <c r="FT216" s="35" t="s">
        <v>1871</v>
      </c>
      <c r="FU216" s="35" t="s">
        <v>421</v>
      </c>
      <c r="FV216" s="35" t="s">
        <v>918</v>
      </c>
      <c r="FW216" s="35" t="s">
        <v>2136</v>
      </c>
      <c r="FX216" s="35" t="s">
        <v>491</v>
      </c>
      <c r="FZ216" s="35" t="s">
        <v>1854</v>
      </c>
      <c r="GC216" s="35" t="s">
        <v>408</v>
      </c>
      <c r="GK216" s="35" t="s">
        <v>857</v>
      </c>
      <c r="GL216" s="35" t="s">
        <v>788</v>
      </c>
      <c r="GM216" s="35" t="s">
        <v>790</v>
      </c>
      <c r="GO216" s="35" t="s">
        <v>8917</v>
      </c>
      <c r="GP216" s="35" t="s">
        <v>8917</v>
      </c>
      <c r="GR216" s="35" t="s">
        <v>3208</v>
      </c>
      <c r="GS216" s="35" t="s">
        <v>4840</v>
      </c>
      <c r="GW216" s="35" t="s">
        <v>5231</v>
      </c>
      <c r="GX216" s="35" t="s">
        <v>484</v>
      </c>
      <c r="GY216" s="35" t="s">
        <v>5281</v>
      </c>
      <c r="GZ216" s="35" t="s">
        <v>8918</v>
      </c>
      <c r="HA216" s="35" t="s">
        <v>484</v>
      </c>
      <c r="HB216" s="35" t="s">
        <v>484</v>
      </c>
      <c r="HC216" s="35" t="s">
        <v>6031</v>
      </c>
      <c r="HP216" s="35" t="s">
        <v>5236</v>
      </c>
      <c r="HQ216" s="35" t="s">
        <v>5371</v>
      </c>
      <c r="HR216" s="35" t="s">
        <v>5721</v>
      </c>
      <c r="HS216" s="35" t="s">
        <v>5239</v>
      </c>
      <c r="MK216" s="35" t="s">
        <v>6321</v>
      </c>
    </row>
    <row r="217">
      <c r="A217" s="35" t="s">
        <v>10958</v>
      </c>
      <c r="B217" s="40">
        <v>46116.71896637732</v>
      </c>
      <c r="C217" s="35" t="s">
        <v>368</v>
      </c>
      <c r="D217" s="35" t="s">
        <v>8942</v>
      </c>
      <c r="E217" s="35" t="s">
        <v>538</v>
      </c>
      <c r="H217" s="35" t="s">
        <v>422</v>
      </c>
      <c r="I217" s="35" t="s">
        <v>423</v>
      </c>
      <c r="J217" s="35" t="s">
        <v>668</v>
      </c>
      <c r="K217" s="35" t="s">
        <v>540</v>
      </c>
      <c r="L217" s="35" t="s">
        <v>376</v>
      </c>
      <c r="M217" s="35" t="s">
        <v>379</v>
      </c>
      <c r="N217" s="35" t="s">
        <v>378</v>
      </c>
      <c r="O217" s="35" t="s">
        <v>426</v>
      </c>
      <c r="P217" s="35" t="s">
        <v>719</v>
      </c>
      <c r="Q217" s="35" t="s">
        <v>592</v>
      </c>
      <c r="R217" s="35" t="s">
        <v>499</v>
      </c>
      <c r="S217" s="35" t="s">
        <v>949</v>
      </c>
      <c r="T217" s="35" t="s">
        <v>384</v>
      </c>
      <c r="U217" s="35" t="s">
        <v>385</v>
      </c>
      <c r="X217" s="35" t="s">
        <v>386</v>
      </c>
      <c r="Y217" s="35" t="s">
        <v>387</v>
      </c>
      <c r="Z217" s="35" t="s">
        <v>388</v>
      </c>
      <c r="AA217" s="35" t="s">
        <v>543</v>
      </c>
      <c r="AB217" s="35" t="s">
        <v>8943</v>
      </c>
      <c r="AW217" s="35" t="s">
        <v>1242</v>
      </c>
      <c r="AX217" s="35" t="s">
        <v>675</v>
      </c>
      <c r="AY217" s="41">
        <v>4.0</v>
      </c>
      <c r="AZ217" s="41">
        <v>4.0</v>
      </c>
      <c r="BA217" s="41">
        <v>4.0</v>
      </c>
      <c r="BB217" s="35" t="s">
        <v>675</v>
      </c>
      <c r="BC217" s="41">
        <v>4.0</v>
      </c>
      <c r="BD217" s="35" t="s">
        <v>8944</v>
      </c>
      <c r="BE217" s="35" t="s">
        <v>8945</v>
      </c>
      <c r="BF217" s="35" t="s">
        <v>2379</v>
      </c>
      <c r="BG217" s="35" t="s">
        <v>1245</v>
      </c>
      <c r="BH217" s="35" t="s">
        <v>725</v>
      </c>
      <c r="BI217" s="35" t="s">
        <v>8946</v>
      </c>
      <c r="BJ217" s="35" t="s">
        <v>976</v>
      </c>
      <c r="BL217" s="35" t="s">
        <v>437</v>
      </c>
      <c r="BM217" s="35" t="s">
        <v>438</v>
      </c>
      <c r="BN217" s="35" t="s">
        <v>1247</v>
      </c>
      <c r="BO217" s="35" t="s">
        <v>398</v>
      </c>
      <c r="BP217" s="35" t="s">
        <v>8947</v>
      </c>
      <c r="BQ217" s="35" t="s">
        <v>2675</v>
      </c>
      <c r="BR217" s="35" t="s">
        <v>604</v>
      </c>
      <c r="BS217" s="35" t="s">
        <v>4781</v>
      </c>
      <c r="BT217" s="35" t="s">
        <v>4071</v>
      </c>
      <c r="BU217" s="35" t="s">
        <v>1994</v>
      </c>
      <c r="BV217" s="35" t="s">
        <v>405</v>
      </c>
      <c r="BX217" s="35" t="s">
        <v>406</v>
      </c>
      <c r="BY217" s="35" t="s">
        <v>1867</v>
      </c>
      <c r="BZ217" s="35" t="s">
        <v>408</v>
      </c>
      <c r="CC217" s="35" t="s">
        <v>8948</v>
      </c>
      <c r="CD217" s="35" t="s">
        <v>8949</v>
      </c>
      <c r="CE217" s="35" t="s">
        <v>409</v>
      </c>
      <c r="CF217" s="35" t="s">
        <v>8950</v>
      </c>
      <c r="CG217" s="35" t="s">
        <v>1749</v>
      </c>
      <c r="CH217" s="35" t="s">
        <v>8951</v>
      </c>
      <c r="CI217" s="35" t="s">
        <v>1259</v>
      </c>
      <c r="CJ217" s="35" t="s">
        <v>833</v>
      </c>
      <c r="CK217" s="35" t="s">
        <v>8952</v>
      </c>
      <c r="CL217" s="35" t="s">
        <v>8953</v>
      </c>
      <c r="DJ217" s="35" t="s">
        <v>963</v>
      </c>
      <c r="DK217" s="35" t="s">
        <v>460</v>
      </c>
      <c r="DL217" s="35" t="s">
        <v>6319</v>
      </c>
      <c r="EU217" s="35" t="s">
        <v>526</v>
      </c>
      <c r="EV217" s="35" t="s">
        <v>579</v>
      </c>
      <c r="EW217" s="35" t="s">
        <v>1534</v>
      </c>
      <c r="EX217" s="35" t="s">
        <v>8954</v>
      </c>
      <c r="EY217" s="35" t="s">
        <v>8955</v>
      </c>
      <c r="FA217" s="35" t="s">
        <v>415</v>
      </c>
      <c r="FB217" s="35" t="s">
        <v>414</v>
      </c>
      <c r="FC217" s="35" t="s">
        <v>413</v>
      </c>
      <c r="FD217" s="35" t="s">
        <v>416</v>
      </c>
      <c r="FE217" s="35" t="s">
        <v>413</v>
      </c>
      <c r="FF217" s="35" t="s">
        <v>414</v>
      </c>
      <c r="FG217" s="35" t="s">
        <v>415</v>
      </c>
      <c r="FH217" s="35" t="s">
        <v>416</v>
      </c>
      <c r="FI217" s="35" t="s">
        <v>414</v>
      </c>
      <c r="FJ217" s="35" t="s">
        <v>413</v>
      </c>
      <c r="FK217" s="35" t="s">
        <v>413</v>
      </c>
      <c r="FL217" s="35" t="s">
        <v>415</v>
      </c>
      <c r="FM217" s="35" t="s">
        <v>415</v>
      </c>
      <c r="FN217" s="35" t="s">
        <v>416</v>
      </c>
      <c r="FO217" s="35" t="s">
        <v>414</v>
      </c>
      <c r="FP217" s="35" t="s">
        <v>850</v>
      </c>
      <c r="FQ217" s="35" t="s">
        <v>418</v>
      </c>
      <c r="FR217" s="35" t="s">
        <v>531</v>
      </c>
      <c r="FS217" s="35" t="s">
        <v>8956</v>
      </c>
      <c r="FT217" s="35" t="s">
        <v>420</v>
      </c>
      <c r="FU217" s="35" t="s">
        <v>488</v>
      </c>
      <c r="FV217" s="35" t="s">
        <v>1235</v>
      </c>
      <c r="FW217" s="35" t="s">
        <v>490</v>
      </c>
      <c r="FX217" s="35" t="s">
        <v>491</v>
      </c>
      <c r="FY217" s="35" t="s">
        <v>8957</v>
      </c>
      <c r="FZ217" s="35" t="s">
        <v>535</v>
      </c>
      <c r="GC217" s="35" t="s">
        <v>408</v>
      </c>
      <c r="GK217" s="35" t="s">
        <v>755</v>
      </c>
      <c r="GL217" s="35" t="s">
        <v>755</v>
      </c>
      <c r="GM217" s="35" t="s">
        <v>946</v>
      </c>
      <c r="GO217" s="35" t="s">
        <v>8942</v>
      </c>
      <c r="GP217" s="35" t="s">
        <v>8958</v>
      </c>
      <c r="GR217" s="35" t="s">
        <v>3208</v>
      </c>
      <c r="GS217" s="35" t="s">
        <v>4741</v>
      </c>
      <c r="GT217" s="35" t="s">
        <v>8959</v>
      </c>
      <c r="GW217" s="35" t="s">
        <v>5231</v>
      </c>
      <c r="GX217" s="35" t="s">
        <v>5232</v>
      </c>
      <c r="GY217" s="35" t="s">
        <v>5281</v>
      </c>
      <c r="GZ217" s="35" t="s">
        <v>5233</v>
      </c>
      <c r="HA217" s="35" t="s">
        <v>484</v>
      </c>
      <c r="HB217" s="35" t="s">
        <v>5960</v>
      </c>
      <c r="HC217" s="35" t="s">
        <v>5370</v>
      </c>
      <c r="HP217" s="35" t="s">
        <v>5383</v>
      </c>
      <c r="HQ217" s="35" t="s">
        <v>5719</v>
      </c>
      <c r="HR217" s="35" t="s">
        <v>5238</v>
      </c>
      <c r="HS217" s="35" t="s">
        <v>8960</v>
      </c>
      <c r="MK217" s="35" t="s">
        <v>6321</v>
      </c>
    </row>
    <row r="218">
      <c r="A218" s="35" t="s">
        <v>10959</v>
      </c>
      <c r="B218" s="40">
        <v>46117.02418079861</v>
      </c>
      <c r="C218" s="35" t="s">
        <v>368</v>
      </c>
      <c r="D218" s="35" t="s">
        <v>538</v>
      </c>
      <c r="E218" s="35" t="s">
        <v>538</v>
      </c>
      <c r="H218" s="35" t="s">
        <v>422</v>
      </c>
      <c r="I218" s="35" t="s">
        <v>539</v>
      </c>
      <c r="J218" s="35" t="s">
        <v>424</v>
      </c>
      <c r="K218" s="35" t="s">
        <v>375</v>
      </c>
      <c r="L218" s="35" t="s">
        <v>376</v>
      </c>
      <c r="M218" s="35" t="s">
        <v>379</v>
      </c>
      <c r="N218" s="35" t="s">
        <v>378</v>
      </c>
      <c r="O218" s="35" t="s">
        <v>426</v>
      </c>
      <c r="P218" s="35" t="s">
        <v>719</v>
      </c>
      <c r="Q218" s="35" t="s">
        <v>592</v>
      </c>
      <c r="R218" s="35" t="s">
        <v>499</v>
      </c>
      <c r="S218" s="35" t="s">
        <v>427</v>
      </c>
      <c r="T218" s="35" t="s">
        <v>384</v>
      </c>
      <c r="U218" s="35" t="s">
        <v>385</v>
      </c>
      <c r="X218" s="35" t="s">
        <v>386</v>
      </c>
      <c r="Y218" s="35" t="s">
        <v>387</v>
      </c>
      <c r="Z218" s="35" t="s">
        <v>388</v>
      </c>
      <c r="AA218" s="35" t="s">
        <v>389</v>
      </c>
      <c r="AB218" s="35" t="s">
        <v>8991</v>
      </c>
      <c r="AW218" s="35" t="s">
        <v>1310</v>
      </c>
      <c r="AX218" s="35" t="s">
        <v>675</v>
      </c>
      <c r="AY218" s="35" t="s">
        <v>675</v>
      </c>
      <c r="AZ218" s="35" t="s">
        <v>675</v>
      </c>
      <c r="BA218" s="35" t="s">
        <v>675</v>
      </c>
      <c r="BB218" s="35" t="s">
        <v>675</v>
      </c>
      <c r="BC218" s="35" t="s">
        <v>675</v>
      </c>
      <c r="BD218" s="35" t="s">
        <v>8992</v>
      </c>
      <c r="BE218" s="35" t="s">
        <v>8993</v>
      </c>
      <c r="BF218" s="35" t="s">
        <v>902</v>
      </c>
      <c r="BG218" s="35" t="s">
        <v>1095</v>
      </c>
      <c r="BH218" s="35" t="s">
        <v>394</v>
      </c>
      <c r="BJ218" s="35" t="s">
        <v>976</v>
      </c>
      <c r="BL218" s="35" t="s">
        <v>602</v>
      </c>
      <c r="BM218" s="35" t="s">
        <v>904</v>
      </c>
      <c r="BN218" s="35" t="s">
        <v>1247</v>
      </c>
      <c r="BO218" s="35" t="s">
        <v>398</v>
      </c>
      <c r="BP218" s="35" t="s">
        <v>8994</v>
      </c>
      <c r="BQ218" s="35" t="s">
        <v>8995</v>
      </c>
      <c r="BR218" s="35" t="s">
        <v>442</v>
      </c>
      <c r="BS218" s="35" t="s">
        <v>4462</v>
      </c>
      <c r="BT218" s="35" t="s">
        <v>4071</v>
      </c>
      <c r="BU218" s="35" t="s">
        <v>1994</v>
      </c>
      <c r="BV218" s="35" t="s">
        <v>405</v>
      </c>
      <c r="BX218" s="35" t="s">
        <v>406</v>
      </c>
      <c r="BY218" s="35" t="s">
        <v>1867</v>
      </c>
      <c r="BZ218" s="35" t="s">
        <v>408</v>
      </c>
      <c r="CC218" s="35" t="s">
        <v>8996</v>
      </c>
      <c r="CD218" s="35" t="s">
        <v>8997</v>
      </c>
      <c r="CE218" s="35" t="s">
        <v>1931</v>
      </c>
      <c r="CG218" s="35" t="s">
        <v>1258</v>
      </c>
      <c r="CI218" s="35" t="s">
        <v>1259</v>
      </c>
      <c r="CJ218" s="35" t="s">
        <v>1964</v>
      </c>
      <c r="CK218" s="35" t="s">
        <v>8998</v>
      </c>
      <c r="CL218" s="35" t="s">
        <v>8999</v>
      </c>
      <c r="DJ218" s="35" t="s">
        <v>459</v>
      </c>
      <c r="DK218" s="35" t="s">
        <v>562</v>
      </c>
      <c r="DL218" s="35" t="s">
        <v>7805</v>
      </c>
      <c r="DM218" s="35" t="s">
        <v>9000</v>
      </c>
      <c r="EU218" s="35" t="s">
        <v>526</v>
      </c>
      <c r="EV218" s="35" t="s">
        <v>579</v>
      </c>
      <c r="EW218" s="35" t="s">
        <v>580</v>
      </c>
      <c r="FA218" s="35" t="s">
        <v>413</v>
      </c>
      <c r="FB218" s="35" t="s">
        <v>415</v>
      </c>
      <c r="FC218" s="35" t="s">
        <v>413</v>
      </c>
      <c r="FD218" s="35" t="s">
        <v>413</v>
      </c>
      <c r="FE218" s="35" t="s">
        <v>413</v>
      </c>
      <c r="FF218" s="35" t="s">
        <v>413</v>
      </c>
      <c r="FG218" s="35" t="s">
        <v>413</v>
      </c>
      <c r="FH218" s="35" t="s">
        <v>413</v>
      </c>
      <c r="FI218" s="35" t="s">
        <v>414</v>
      </c>
      <c r="FJ218" s="35" t="s">
        <v>413</v>
      </c>
      <c r="FK218" s="35" t="s">
        <v>413</v>
      </c>
      <c r="FL218" s="35" t="s">
        <v>413</v>
      </c>
      <c r="FM218" s="35" t="s">
        <v>413</v>
      </c>
      <c r="FN218" s="35" t="s">
        <v>413</v>
      </c>
      <c r="FO218" s="35" t="s">
        <v>416</v>
      </c>
      <c r="FP218" s="35" t="s">
        <v>417</v>
      </c>
      <c r="FQ218" s="35" t="s">
        <v>418</v>
      </c>
      <c r="FR218" s="35" t="s">
        <v>1039</v>
      </c>
      <c r="FT218" s="35" t="s">
        <v>420</v>
      </c>
      <c r="FU218" s="35" t="s">
        <v>488</v>
      </c>
      <c r="FV218" s="35" t="s">
        <v>1235</v>
      </c>
      <c r="FW218" s="35" t="s">
        <v>490</v>
      </c>
      <c r="FX218" s="35" t="s">
        <v>491</v>
      </c>
      <c r="FY218" s="35" t="s">
        <v>9001</v>
      </c>
      <c r="FZ218" s="35" t="s">
        <v>493</v>
      </c>
      <c r="GC218" s="35" t="s">
        <v>408</v>
      </c>
      <c r="GK218" s="35" t="s">
        <v>920</v>
      </c>
      <c r="GL218" s="35" t="s">
        <v>920</v>
      </c>
      <c r="GM218" s="35" t="s">
        <v>858</v>
      </c>
      <c r="GO218" s="35" t="s">
        <v>5767</v>
      </c>
      <c r="GP218" s="35" t="s">
        <v>5767</v>
      </c>
      <c r="GR218" s="35" t="s">
        <v>3208</v>
      </c>
      <c r="GS218" s="35" t="s">
        <v>4741</v>
      </c>
      <c r="GW218" s="35" t="s">
        <v>5260</v>
      </c>
      <c r="GX218" s="35" t="s">
        <v>5261</v>
      </c>
      <c r="GY218" s="35" t="s">
        <v>5281</v>
      </c>
      <c r="GZ218" s="35" t="s">
        <v>6013</v>
      </c>
      <c r="HA218" s="35" t="s">
        <v>5234</v>
      </c>
      <c r="HB218" s="35" t="s">
        <v>484</v>
      </c>
      <c r="HC218" s="35" t="s">
        <v>5370</v>
      </c>
      <c r="HP218" s="35" t="s">
        <v>5383</v>
      </c>
      <c r="HQ218" s="35" t="s">
        <v>5371</v>
      </c>
      <c r="HR218" s="35" t="s">
        <v>5238</v>
      </c>
      <c r="HS218" s="35" t="s">
        <v>5321</v>
      </c>
      <c r="MK218" s="35" t="s">
        <v>6321</v>
      </c>
    </row>
    <row r="219">
      <c r="A219" s="35" t="s">
        <v>10960</v>
      </c>
      <c r="B219" s="40">
        <v>46117.10372409722</v>
      </c>
      <c r="C219" s="35" t="s">
        <v>368</v>
      </c>
      <c r="D219" s="35" t="s">
        <v>2025</v>
      </c>
      <c r="E219" s="35" t="s">
        <v>538</v>
      </c>
      <c r="H219" s="35" t="s">
        <v>422</v>
      </c>
      <c r="I219" s="35" t="s">
        <v>496</v>
      </c>
      <c r="J219" s="35" t="s">
        <v>374</v>
      </c>
      <c r="K219" s="35" t="s">
        <v>669</v>
      </c>
      <c r="L219" s="35" t="s">
        <v>376</v>
      </c>
      <c r="M219" s="35" t="s">
        <v>379</v>
      </c>
      <c r="N219" s="35" t="s">
        <v>639</v>
      </c>
      <c r="O219" s="35" t="s">
        <v>426</v>
      </c>
      <c r="P219" s="35" t="s">
        <v>639</v>
      </c>
      <c r="Q219" s="35" t="s">
        <v>381</v>
      </c>
      <c r="R219" s="35" t="s">
        <v>499</v>
      </c>
      <c r="S219" s="35" t="s">
        <v>500</v>
      </c>
      <c r="T219" s="35" t="s">
        <v>384</v>
      </c>
      <c r="U219" s="35" t="s">
        <v>385</v>
      </c>
      <c r="X219" s="35" t="s">
        <v>593</v>
      </c>
      <c r="Y219" s="35" t="s">
        <v>387</v>
      </c>
      <c r="Z219" s="35" t="s">
        <v>897</v>
      </c>
      <c r="AA219" s="35" t="s">
        <v>543</v>
      </c>
      <c r="AB219" s="35" t="s">
        <v>9002</v>
      </c>
      <c r="AC219" s="35" t="s">
        <v>9003</v>
      </c>
      <c r="AW219" s="35" t="s">
        <v>1310</v>
      </c>
      <c r="AX219" s="41">
        <v>4.0</v>
      </c>
      <c r="AY219" s="35" t="s">
        <v>675</v>
      </c>
      <c r="AZ219" s="41">
        <v>4.0</v>
      </c>
      <c r="BA219" s="41">
        <v>4.0</v>
      </c>
      <c r="BB219" s="35" t="s">
        <v>675</v>
      </c>
      <c r="BC219" s="35" t="s">
        <v>675</v>
      </c>
      <c r="BD219" s="35" t="s">
        <v>9004</v>
      </c>
      <c r="BE219" s="35" t="s">
        <v>9005</v>
      </c>
      <c r="BF219" s="35" t="s">
        <v>902</v>
      </c>
      <c r="BG219" s="35" t="s">
        <v>1095</v>
      </c>
      <c r="BH219" s="35" t="s">
        <v>394</v>
      </c>
      <c r="BI219" s="35" t="s">
        <v>9006</v>
      </c>
      <c r="BJ219" s="35" t="s">
        <v>727</v>
      </c>
      <c r="BL219" s="35" t="s">
        <v>511</v>
      </c>
      <c r="BM219" s="35" t="s">
        <v>603</v>
      </c>
      <c r="BN219" s="35" t="s">
        <v>1247</v>
      </c>
      <c r="BO219" s="35" t="s">
        <v>398</v>
      </c>
      <c r="BP219" s="35" t="s">
        <v>9007</v>
      </c>
      <c r="BQ219" s="35" t="s">
        <v>9008</v>
      </c>
      <c r="BR219" s="35" t="s">
        <v>604</v>
      </c>
      <c r="BS219" s="35" t="s">
        <v>9009</v>
      </c>
      <c r="BT219" s="35" t="s">
        <v>403</v>
      </c>
      <c r="BU219" s="35" t="s">
        <v>404</v>
      </c>
      <c r="BV219" s="35" t="s">
        <v>1693</v>
      </c>
      <c r="BW219" s="35" t="s">
        <v>9010</v>
      </c>
      <c r="BX219" s="35" t="s">
        <v>406</v>
      </c>
      <c r="BY219" s="35" t="s">
        <v>2503</v>
      </c>
      <c r="BZ219" s="35" t="s">
        <v>408</v>
      </c>
      <c r="CB219" s="35" t="s">
        <v>9011</v>
      </c>
      <c r="CC219" s="35" t="s">
        <v>9012</v>
      </c>
      <c r="CD219" s="35" t="s">
        <v>9013</v>
      </c>
      <c r="CE219" s="35" t="s">
        <v>451</v>
      </c>
      <c r="CF219" s="35" t="s">
        <v>9014</v>
      </c>
      <c r="CG219" s="35" t="s">
        <v>1722</v>
      </c>
      <c r="CH219" s="35" t="s">
        <v>9015</v>
      </c>
      <c r="CI219" s="35" t="s">
        <v>1679</v>
      </c>
      <c r="CJ219" s="35" t="s">
        <v>1220</v>
      </c>
      <c r="CK219" s="35" t="s">
        <v>9016</v>
      </c>
      <c r="CL219" s="35" t="s">
        <v>9017</v>
      </c>
      <c r="DJ219" s="35" t="s">
        <v>459</v>
      </c>
      <c r="DK219" s="35" t="s">
        <v>613</v>
      </c>
      <c r="EU219" s="35" t="s">
        <v>478</v>
      </c>
      <c r="EV219" s="35" t="s">
        <v>1037</v>
      </c>
      <c r="EW219" s="35" t="s">
        <v>1262</v>
      </c>
      <c r="EY219" s="35" t="s">
        <v>9018</v>
      </c>
      <c r="EZ219" s="35" t="s">
        <v>9019</v>
      </c>
      <c r="FA219" s="35" t="s">
        <v>415</v>
      </c>
      <c r="FB219" s="35" t="s">
        <v>414</v>
      </c>
      <c r="FC219" s="35" t="s">
        <v>413</v>
      </c>
      <c r="FD219" s="35" t="s">
        <v>413</v>
      </c>
      <c r="FE219" s="35" t="s">
        <v>413</v>
      </c>
      <c r="FF219" s="35" t="s">
        <v>414</v>
      </c>
      <c r="FG219" s="35" t="s">
        <v>416</v>
      </c>
      <c r="FH219" s="35" t="s">
        <v>416</v>
      </c>
      <c r="FI219" s="35" t="s">
        <v>583</v>
      </c>
      <c r="FJ219" s="35" t="s">
        <v>415</v>
      </c>
      <c r="FK219" s="35" t="s">
        <v>415</v>
      </c>
      <c r="FL219" s="35" t="s">
        <v>416</v>
      </c>
      <c r="FM219" s="35" t="s">
        <v>415</v>
      </c>
      <c r="FN219" s="35" t="s">
        <v>416</v>
      </c>
      <c r="FO219" s="35" t="s">
        <v>414</v>
      </c>
      <c r="FP219" s="35" t="s">
        <v>417</v>
      </c>
      <c r="FQ219" s="35" t="s">
        <v>418</v>
      </c>
      <c r="FR219" s="35" t="s">
        <v>749</v>
      </c>
      <c r="FS219" s="35" t="s">
        <v>9020</v>
      </c>
      <c r="FT219" s="35" t="s">
        <v>1189</v>
      </c>
      <c r="FU219" s="35" t="s">
        <v>488</v>
      </c>
      <c r="FV219" s="35" t="s">
        <v>918</v>
      </c>
      <c r="FW219" s="35" t="s">
        <v>490</v>
      </c>
      <c r="FX219" s="35" t="s">
        <v>491</v>
      </c>
      <c r="FY219" s="35" t="s">
        <v>9021</v>
      </c>
      <c r="FZ219" s="35" t="s">
        <v>493</v>
      </c>
      <c r="GC219" s="35" t="s">
        <v>455</v>
      </c>
      <c r="GD219" s="35" t="s">
        <v>10961</v>
      </c>
      <c r="GF219" s="35" t="s">
        <v>855</v>
      </c>
      <c r="GK219" s="35" t="s">
        <v>1000</v>
      </c>
      <c r="GL219" s="35" t="s">
        <v>755</v>
      </c>
      <c r="GM219" s="35" t="s">
        <v>756</v>
      </c>
      <c r="GO219" s="35" t="s">
        <v>2025</v>
      </c>
      <c r="GP219" s="35" t="s">
        <v>538</v>
      </c>
      <c r="GR219" s="35" t="s">
        <v>3208</v>
      </c>
      <c r="GS219" s="35" t="s">
        <v>4774</v>
      </c>
      <c r="GW219" s="35" t="s">
        <v>5231</v>
      </c>
      <c r="GX219" s="35" t="s">
        <v>5232</v>
      </c>
      <c r="GY219" s="35" t="s">
        <v>5262</v>
      </c>
      <c r="GZ219" s="35" t="s">
        <v>5233</v>
      </c>
      <c r="HA219" s="35" t="s">
        <v>484</v>
      </c>
      <c r="HB219" s="35" t="s">
        <v>484</v>
      </c>
      <c r="HC219" s="35" t="s">
        <v>9022</v>
      </c>
      <c r="HP219" s="35" t="s">
        <v>5236</v>
      </c>
      <c r="HQ219" s="35" t="s">
        <v>5264</v>
      </c>
      <c r="HR219" s="35" t="s">
        <v>5238</v>
      </c>
      <c r="HS219" s="35" t="s">
        <v>9023</v>
      </c>
      <c r="MK219" s="35" t="s">
        <v>6321</v>
      </c>
    </row>
    <row r="220">
      <c r="A220" s="35" t="s">
        <v>10962</v>
      </c>
      <c r="B220" s="40">
        <v>46118.697400879624</v>
      </c>
      <c r="C220" s="35" t="s">
        <v>368</v>
      </c>
      <c r="D220" s="35" t="s">
        <v>370</v>
      </c>
      <c r="E220" s="35" t="s">
        <v>370</v>
      </c>
      <c r="F220" s="35" t="s">
        <v>667</v>
      </c>
      <c r="G220" s="35" t="s">
        <v>2708</v>
      </c>
      <c r="H220" s="35" t="s">
        <v>422</v>
      </c>
      <c r="I220" s="35" t="s">
        <v>496</v>
      </c>
      <c r="J220" s="35" t="s">
        <v>374</v>
      </c>
      <c r="K220" s="35" t="s">
        <v>669</v>
      </c>
      <c r="L220" s="35" t="s">
        <v>376</v>
      </c>
      <c r="M220" s="35" t="s">
        <v>379</v>
      </c>
      <c r="N220" s="35" t="s">
        <v>2464</v>
      </c>
      <c r="O220" s="35" t="s">
        <v>379</v>
      </c>
      <c r="P220" s="35" t="s">
        <v>380</v>
      </c>
      <c r="Q220" s="35" t="s">
        <v>381</v>
      </c>
      <c r="R220" s="35" t="s">
        <v>818</v>
      </c>
      <c r="S220" s="35" t="s">
        <v>949</v>
      </c>
      <c r="T220" s="35" t="s">
        <v>384</v>
      </c>
      <c r="U220" s="35" t="s">
        <v>385</v>
      </c>
      <c r="X220" s="35" t="s">
        <v>3014</v>
      </c>
      <c r="AW220" s="35" t="s">
        <v>1310</v>
      </c>
      <c r="AX220" s="41">
        <v>4.0</v>
      </c>
      <c r="AY220" s="41">
        <v>4.0</v>
      </c>
      <c r="AZ220" s="41">
        <v>4.0</v>
      </c>
      <c r="BA220" s="35" t="s">
        <v>675</v>
      </c>
      <c r="BB220" s="41">
        <v>4.0</v>
      </c>
      <c r="BC220" s="35" t="s">
        <v>391</v>
      </c>
      <c r="BF220" s="35" t="s">
        <v>432</v>
      </c>
      <c r="BG220" s="35" t="s">
        <v>393</v>
      </c>
      <c r="BH220" s="35" t="s">
        <v>394</v>
      </c>
      <c r="BJ220" s="35" t="s">
        <v>435</v>
      </c>
      <c r="BL220" s="35" t="s">
        <v>681</v>
      </c>
      <c r="BM220" s="35" t="s">
        <v>438</v>
      </c>
      <c r="BN220" s="35" t="s">
        <v>397</v>
      </c>
      <c r="BO220" s="35" t="s">
        <v>398</v>
      </c>
      <c r="BP220" s="35" t="s">
        <v>9266</v>
      </c>
      <c r="BQ220" s="35" t="s">
        <v>9267</v>
      </c>
      <c r="BR220" s="35" t="s">
        <v>604</v>
      </c>
      <c r="BS220" s="35" t="s">
        <v>1740</v>
      </c>
      <c r="BT220" s="35" t="s">
        <v>403</v>
      </c>
      <c r="BU220" s="35" t="s">
        <v>4368</v>
      </c>
      <c r="BV220" s="35" t="s">
        <v>1772</v>
      </c>
      <c r="BW220" s="35" t="s">
        <v>9268</v>
      </c>
      <c r="BX220" s="35" t="s">
        <v>988</v>
      </c>
      <c r="BZ220" s="35" t="s">
        <v>455</v>
      </c>
      <c r="CA220" s="35" t="s">
        <v>9269</v>
      </c>
      <c r="CB220" s="35" t="s">
        <v>9270</v>
      </c>
      <c r="CE220" s="35" t="s">
        <v>451</v>
      </c>
      <c r="CF220" s="35" t="s">
        <v>9271</v>
      </c>
      <c r="CG220" s="35" t="s">
        <v>1258</v>
      </c>
      <c r="CI220" s="35" t="s">
        <v>1698</v>
      </c>
      <c r="CJ220" s="35" t="s">
        <v>410</v>
      </c>
      <c r="CK220" s="35" t="s">
        <v>9272</v>
      </c>
      <c r="DJ220" s="35" t="s">
        <v>963</v>
      </c>
      <c r="DK220" s="35" t="s">
        <v>613</v>
      </c>
      <c r="EU220" s="35" t="s">
        <v>578</v>
      </c>
      <c r="EV220" s="35" t="s">
        <v>479</v>
      </c>
      <c r="EW220" s="35" t="s">
        <v>580</v>
      </c>
      <c r="EY220" s="35" t="s">
        <v>9273</v>
      </c>
      <c r="EZ220" s="35" t="s">
        <v>9274</v>
      </c>
      <c r="FA220" s="35" t="s">
        <v>415</v>
      </c>
      <c r="FB220" s="35" t="s">
        <v>415</v>
      </c>
      <c r="FC220" s="35" t="s">
        <v>416</v>
      </c>
      <c r="FD220" s="35" t="s">
        <v>414</v>
      </c>
      <c r="FE220" s="35" t="s">
        <v>416</v>
      </c>
      <c r="FF220" s="35" t="s">
        <v>414</v>
      </c>
      <c r="FG220" s="35" t="s">
        <v>414</v>
      </c>
      <c r="FH220" s="35" t="s">
        <v>415</v>
      </c>
      <c r="FI220" s="35" t="s">
        <v>414</v>
      </c>
      <c r="FJ220" s="35" t="s">
        <v>583</v>
      </c>
      <c r="FK220" s="35" t="s">
        <v>414</v>
      </c>
      <c r="FL220" s="35" t="s">
        <v>415</v>
      </c>
      <c r="FM220" s="35" t="s">
        <v>415</v>
      </c>
      <c r="FN220" s="35" t="s">
        <v>415</v>
      </c>
      <c r="FO220" s="35" t="s">
        <v>414</v>
      </c>
      <c r="FP220" s="35" t="s">
        <v>850</v>
      </c>
      <c r="FQ220" s="35" t="s">
        <v>486</v>
      </c>
      <c r="FR220" s="35" t="s">
        <v>630</v>
      </c>
      <c r="FT220" s="35" t="s">
        <v>1189</v>
      </c>
      <c r="FU220" s="35" t="s">
        <v>1462</v>
      </c>
      <c r="FV220" s="35" t="s">
        <v>533</v>
      </c>
      <c r="FW220" s="35" t="s">
        <v>490</v>
      </c>
      <c r="FX220" s="35" t="s">
        <v>491</v>
      </c>
      <c r="FZ220" s="35" t="s">
        <v>493</v>
      </c>
      <c r="GC220" s="35" t="s">
        <v>408</v>
      </c>
      <c r="GK220" s="35" t="s">
        <v>1000</v>
      </c>
      <c r="GL220" s="35" t="s">
        <v>755</v>
      </c>
      <c r="GM220" s="35" t="s">
        <v>756</v>
      </c>
      <c r="GR220" s="35" t="s">
        <v>3208</v>
      </c>
      <c r="GS220" s="35" t="s">
        <v>5170</v>
      </c>
      <c r="GT220" s="35" t="s">
        <v>9275</v>
      </c>
      <c r="GW220" s="35" t="s">
        <v>5231</v>
      </c>
      <c r="GX220" s="35" t="s">
        <v>484</v>
      </c>
      <c r="GY220" s="35" t="s">
        <v>5262</v>
      </c>
      <c r="GZ220" s="35" t="s">
        <v>6013</v>
      </c>
      <c r="HA220" s="35" t="s">
        <v>5234</v>
      </c>
      <c r="HB220" s="35" t="s">
        <v>5864</v>
      </c>
      <c r="HC220" s="35" t="s">
        <v>5370</v>
      </c>
      <c r="HP220" s="35" t="s">
        <v>5236</v>
      </c>
      <c r="HQ220" s="35" t="s">
        <v>5264</v>
      </c>
      <c r="HR220" s="35" t="s">
        <v>5238</v>
      </c>
      <c r="MK220" s="35" t="s">
        <v>6321</v>
      </c>
    </row>
    <row r="221">
      <c r="A221" s="35" t="s">
        <v>10963</v>
      </c>
      <c r="B221" s="40">
        <v>46118.77396358796</v>
      </c>
      <c r="C221" s="35" t="s">
        <v>368</v>
      </c>
      <c r="D221" s="35" t="s">
        <v>894</v>
      </c>
      <c r="E221" s="35" t="s">
        <v>894</v>
      </c>
      <c r="H221" s="35" t="s">
        <v>422</v>
      </c>
      <c r="I221" s="35" t="s">
        <v>423</v>
      </c>
      <c r="J221" s="35" t="s">
        <v>424</v>
      </c>
      <c r="K221" s="35" t="s">
        <v>375</v>
      </c>
      <c r="L221" s="35" t="s">
        <v>376</v>
      </c>
      <c r="M221" s="35" t="s">
        <v>591</v>
      </c>
      <c r="N221" s="35" t="s">
        <v>378</v>
      </c>
      <c r="O221" s="35" t="s">
        <v>426</v>
      </c>
      <c r="P221" s="35" t="s">
        <v>719</v>
      </c>
      <c r="Q221" s="35" t="s">
        <v>498</v>
      </c>
      <c r="R221" s="35" t="s">
        <v>862</v>
      </c>
      <c r="S221" s="35" t="s">
        <v>500</v>
      </c>
      <c r="T221" s="35" t="s">
        <v>384</v>
      </c>
      <c r="U221" s="35" t="s">
        <v>385</v>
      </c>
      <c r="V221" s="35" t="s">
        <v>1823</v>
      </c>
      <c r="W221" s="35" t="s">
        <v>1823</v>
      </c>
      <c r="X221" s="35" t="s">
        <v>593</v>
      </c>
      <c r="Y221" s="35" t="s">
        <v>387</v>
      </c>
      <c r="Z221" s="35" t="s">
        <v>388</v>
      </c>
      <c r="AA221" s="35" t="s">
        <v>543</v>
      </c>
      <c r="AB221" s="35" t="s">
        <v>2675</v>
      </c>
      <c r="AC221" s="35" t="s">
        <v>2675</v>
      </c>
      <c r="AW221" s="35" t="s">
        <v>1310</v>
      </c>
      <c r="AX221" s="35" t="s">
        <v>675</v>
      </c>
      <c r="AY221" s="41">
        <v>4.0</v>
      </c>
      <c r="AZ221" s="35" t="s">
        <v>675</v>
      </c>
      <c r="BA221" s="35" t="s">
        <v>391</v>
      </c>
      <c r="BB221" s="41">
        <v>4.0</v>
      </c>
      <c r="BC221" s="41">
        <v>4.0</v>
      </c>
      <c r="BD221" s="35" t="s">
        <v>9310</v>
      </c>
      <c r="BE221" s="35" t="s">
        <v>9311</v>
      </c>
      <c r="BF221" s="35" t="s">
        <v>902</v>
      </c>
      <c r="BG221" s="35" t="s">
        <v>1245</v>
      </c>
      <c r="BH221" s="35" t="s">
        <v>394</v>
      </c>
      <c r="BI221" s="35" t="s">
        <v>9312</v>
      </c>
      <c r="BJ221" s="35" t="s">
        <v>976</v>
      </c>
      <c r="BL221" s="35" t="s">
        <v>395</v>
      </c>
      <c r="BM221" s="35" t="s">
        <v>603</v>
      </c>
      <c r="BN221" s="35" t="s">
        <v>1247</v>
      </c>
      <c r="BO221" s="35" t="s">
        <v>398</v>
      </c>
      <c r="BP221" s="35" t="s">
        <v>9313</v>
      </c>
      <c r="BQ221" s="35" t="s">
        <v>9314</v>
      </c>
      <c r="BR221" s="35" t="s">
        <v>604</v>
      </c>
      <c r="BS221" s="35" t="s">
        <v>6307</v>
      </c>
      <c r="BT221" s="35" t="s">
        <v>1671</v>
      </c>
      <c r="BV221" s="35" t="s">
        <v>1693</v>
      </c>
      <c r="BW221" s="35" t="s">
        <v>9315</v>
      </c>
      <c r="BX221" s="35" t="s">
        <v>406</v>
      </c>
      <c r="BY221" s="35" t="s">
        <v>2503</v>
      </c>
      <c r="BZ221" s="35" t="s">
        <v>408</v>
      </c>
      <c r="CB221" s="35" t="s">
        <v>408</v>
      </c>
      <c r="CC221" s="35" t="s">
        <v>9316</v>
      </c>
      <c r="CD221" s="35" t="s">
        <v>9317</v>
      </c>
      <c r="CE221" s="35" t="s">
        <v>1931</v>
      </c>
      <c r="CF221" s="35" t="s">
        <v>408</v>
      </c>
      <c r="CG221" s="35" t="s">
        <v>1697</v>
      </c>
      <c r="CI221" s="35" t="s">
        <v>1698</v>
      </c>
      <c r="CJ221" s="35" t="s">
        <v>410</v>
      </c>
      <c r="CK221" s="35" t="s">
        <v>467</v>
      </c>
      <c r="CL221" s="35" t="s">
        <v>9318</v>
      </c>
      <c r="DJ221" s="35" t="s">
        <v>459</v>
      </c>
      <c r="DK221" s="35" t="s">
        <v>460</v>
      </c>
      <c r="DL221" s="35" t="s">
        <v>6319</v>
      </c>
      <c r="EU221" s="35" t="s">
        <v>578</v>
      </c>
      <c r="EV221" s="35" t="s">
        <v>1127</v>
      </c>
      <c r="EW221" s="35" t="s">
        <v>580</v>
      </c>
      <c r="EZ221" s="35" t="s">
        <v>9319</v>
      </c>
      <c r="FA221" s="35" t="s">
        <v>415</v>
      </c>
      <c r="FB221" s="35" t="s">
        <v>415</v>
      </c>
      <c r="FC221" s="35" t="s">
        <v>413</v>
      </c>
      <c r="FD221" s="35" t="s">
        <v>413</v>
      </c>
      <c r="FE221" s="35" t="s">
        <v>413</v>
      </c>
      <c r="FF221" s="35" t="s">
        <v>413</v>
      </c>
      <c r="FG221" s="35" t="s">
        <v>413</v>
      </c>
      <c r="FH221" s="35" t="s">
        <v>413</v>
      </c>
      <c r="FI221" s="35" t="s">
        <v>415</v>
      </c>
      <c r="FJ221" s="35" t="s">
        <v>413</v>
      </c>
      <c r="FK221" s="35" t="s">
        <v>413</v>
      </c>
      <c r="FL221" s="35" t="s">
        <v>413</v>
      </c>
      <c r="FM221" s="35" t="s">
        <v>413</v>
      </c>
      <c r="FN221" s="35" t="s">
        <v>415</v>
      </c>
      <c r="FO221" s="35" t="s">
        <v>415</v>
      </c>
      <c r="FP221" s="35" t="s">
        <v>485</v>
      </c>
      <c r="FQ221" s="35" t="s">
        <v>418</v>
      </c>
      <c r="FR221" s="35" t="s">
        <v>1039</v>
      </c>
      <c r="FT221" s="35" t="s">
        <v>420</v>
      </c>
      <c r="FU221" s="35" t="s">
        <v>488</v>
      </c>
      <c r="FV221" s="35" t="s">
        <v>918</v>
      </c>
      <c r="FW221" s="35" t="s">
        <v>490</v>
      </c>
      <c r="FX221" s="35" t="s">
        <v>491</v>
      </c>
      <c r="FZ221" s="35" t="s">
        <v>1020</v>
      </c>
      <c r="GC221" s="35" t="s">
        <v>408</v>
      </c>
      <c r="GK221" s="35" t="s">
        <v>920</v>
      </c>
      <c r="GL221" s="35" t="s">
        <v>920</v>
      </c>
      <c r="GM221" s="35" t="s">
        <v>817</v>
      </c>
      <c r="GR221" s="35" t="s">
        <v>4653</v>
      </c>
      <c r="GS221" s="35" t="s">
        <v>4774</v>
      </c>
      <c r="GW221" s="35" t="s">
        <v>5231</v>
      </c>
      <c r="GX221" s="35" t="s">
        <v>5232</v>
      </c>
      <c r="GY221" s="35" t="s">
        <v>7007</v>
      </c>
      <c r="GZ221" s="35" t="s">
        <v>5233</v>
      </c>
      <c r="HA221" s="35" t="s">
        <v>5234</v>
      </c>
      <c r="HB221" s="35" t="s">
        <v>5369</v>
      </c>
      <c r="HC221" s="35" t="s">
        <v>5370</v>
      </c>
      <c r="HP221" s="35" t="s">
        <v>5285</v>
      </c>
      <c r="HQ221" s="35" t="s">
        <v>5302</v>
      </c>
      <c r="HR221" s="35" t="s">
        <v>5238</v>
      </c>
      <c r="HS221" s="35" t="s">
        <v>5347</v>
      </c>
      <c r="MK221" s="35" t="s">
        <v>6321</v>
      </c>
    </row>
    <row r="222">
      <c r="A222" s="35" t="s">
        <v>10964</v>
      </c>
      <c r="B222" s="40">
        <v>46119.99882837963</v>
      </c>
      <c r="C222" s="35" t="s">
        <v>368</v>
      </c>
      <c r="D222" s="35" t="s">
        <v>1201</v>
      </c>
      <c r="E222" s="35" t="s">
        <v>1201</v>
      </c>
      <c r="H222" s="35" t="s">
        <v>422</v>
      </c>
      <c r="I222" s="35" t="s">
        <v>423</v>
      </c>
      <c r="J222" s="35" t="s">
        <v>424</v>
      </c>
      <c r="K222" s="35" t="s">
        <v>375</v>
      </c>
      <c r="L222" s="35" t="s">
        <v>376</v>
      </c>
      <c r="M222" s="35" t="s">
        <v>591</v>
      </c>
      <c r="N222" s="35" t="s">
        <v>639</v>
      </c>
      <c r="O222" s="35" t="s">
        <v>426</v>
      </c>
      <c r="P222" s="35" t="s">
        <v>719</v>
      </c>
      <c r="Q222" s="35" t="s">
        <v>498</v>
      </c>
      <c r="R222" s="35" t="s">
        <v>382</v>
      </c>
      <c r="S222" s="35" t="s">
        <v>427</v>
      </c>
      <c r="T222" s="35" t="s">
        <v>384</v>
      </c>
      <c r="U222" s="35" t="s">
        <v>385</v>
      </c>
      <c r="X222" s="35" t="s">
        <v>3231</v>
      </c>
      <c r="AW222" s="35" t="s">
        <v>1242</v>
      </c>
      <c r="AX222" s="35" t="s">
        <v>675</v>
      </c>
      <c r="AY222" s="35" t="s">
        <v>675</v>
      </c>
      <c r="AZ222" s="35" t="s">
        <v>675</v>
      </c>
      <c r="BA222" s="35" t="s">
        <v>675</v>
      </c>
      <c r="BB222" s="35" t="s">
        <v>675</v>
      </c>
      <c r="BC222" s="35" t="s">
        <v>675</v>
      </c>
      <c r="BF222" s="35" t="s">
        <v>902</v>
      </c>
      <c r="BG222" s="35" t="s">
        <v>1095</v>
      </c>
      <c r="BH222" s="35" t="s">
        <v>725</v>
      </c>
      <c r="BJ222" s="35" t="s">
        <v>976</v>
      </c>
      <c r="BL222" s="35" t="s">
        <v>602</v>
      </c>
      <c r="BM222" s="35" t="s">
        <v>438</v>
      </c>
      <c r="BN222" s="35" t="s">
        <v>1247</v>
      </c>
      <c r="BO222" s="35" t="s">
        <v>398</v>
      </c>
      <c r="BP222" s="35" t="s">
        <v>9456</v>
      </c>
      <c r="BQ222" s="35" t="s">
        <v>9457</v>
      </c>
      <c r="BR222" s="35" t="s">
        <v>442</v>
      </c>
      <c r="BS222" s="35" t="s">
        <v>9458</v>
      </c>
      <c r="BT222" s="35" t="s">
        <v>1671</v>
      </c>
      <c r="BU222" s="35" t="s">
        <v>1771</v>
      </c>
      <c r="BV222" s="35" t="s">
        <v>405</v>
      </c>
      <c r="BX222" s="35" t="s">
        <v>988</v>
      </c>
      <c r="BZ222" s="35" t="s">
        <v>408</v>
      </c>
      <c r="CB222" s="35" t="s">
        <v>9459</v>
      </c>
      <c r="CC222" s="35" t="s">
        <v>9460</v>
      </c>
      <c r="CD222" s="35" t="s">
        <v>9461</v>
      </c>
      <c r="CE222" s="35" t="s">
        <v>409</v>
      </c>
      <c r="CF222" s="35" t="s">
        <v>9462</v>
      </c>
      <c r="CG222" s="35" t="s">
        <v>1258</v>
      </c>
      <c r="CI222" s="35" t="s">
        <v>1259</v>
      </c>
      <c r="CJ222" s="35" t="s">
        <v>410</v>
      </c>
      <c r="CK222" s="35" t="s">
        <v>9463</v>
      </c>
      <c r="CL222" s="35" t="s">
        <v>9464</v>
      </c>
      <c r="DJ222" s="35" t="s">
        <v>963</v>
      </c>
      <c r="DK222" s="35" t="s">
        <v>613</v>
      </c>
      <c r="EU222" s="35" t="s">
        <v>526</v>
      </c>
      <c r="EV222" s="35" t="s">
        <v>887</v>
      </c>
      <c r="EW222" s="35" t="s">
        <v>480</v>
      </c>
      <c r="EY222" s="35" t="s">
        <v>9465</v>
      </c>
      <c r="EZ222" s="35" t="s">
        <v>9466</v>
      </c>
      <c r="FA222" s="35" t="s">
        <v>415</v>
      </c>
      <c r="FB222" s="35" t="s">
        <v>415</v>
      </c>
      <c r="FC222" s="35" t="s">
        <v>413</v>
      </c>
      <c r="FD222" s="35" t="s">
        <v>413</v>
      </c>
      <c r="FE222" s="35" t="s">
        <v>413</v>
      </c>
      <c r="FF222" s="35" t="s">
        <v>415</v>
      </c>
      <c r="FG222" s="35" t="s">
        <v>413</v>
      </c>
      <c r="FH222" s="35" t="s">
        <v>413</v>
      </c>
      <c r="FI222" s="35" t="s">
        <v>415</v>
      </c>
      <c r="FJ222" s="35" t="s">
        <v>413</v>
      </c>
      <c r="FK222" s="35" t="s">
        <v>415</v>
      </c>
      <c r="FL222" s="35" t="s">
        <v>415</v>
      </c>
      <c r="FM222" s="35" t="s">
        <v>415</v>
      </c>
      <c r="FN222" s="35" t="s">
        <v>413</v>
      </c>
      <c r="FO222" s="35" t="s">
        <v>414</v>
      </c>
      <c r="FP222" s="35" t="s">
        <v>850</v>
      </c>
      <c r="FQ222" s="35" t="s">
        <v>418</v>
      </c>
      <c r="FR222" s="35" t="s">
        <v>749</v>
      </c>
      <c r="FS222" s="35" t="s">
        <v>9467</v>
      </c>
      <c r="FT222" s="35" t="s">
        <v>420</v>
      </c>
      <c r="FU222" s="35" t="s">
        <v>488</v>
      </c>
      <c r="FV222" s="35" t="s">
        <v>918</v>
      </c>
      <c r="FW222" s="35" t="s">
        <v>490</v>
      </c>
      <c r="FX222" s="35" t="s">
        <v>491</v>
      </c>
      <c r="FY222" s="35" t="s">
        <v>9468</v>
      </c>
      <c r="FZ222" s="35" t="s">
        <v>535</v>
      </c>
      <c r="GC222" s="35" t="s">
        <v>408</v>
      </c>
      <c r="GK222" s="35" t="s">
        <v>755</v>
      </c>
      <c r="GL222" s="35" t="s">
        <v>755</v>
      </c>
      <c r="GM222" s="35" t="s">
        <v>946</v>
      </c>
      <c r="GQ222" s="35" t="s">
        <v>387</v>
      </c>
      <c r="GR222" s="35" t="s">
        <v>3208</v>
      </c>
      <c r="GS222" s="35" t="s">
        <v>5039</v>
      </c>
      <c r="GT222" s="35" t="s">
        <v>9469</v>
      </c>
      <c r="GW222" s="35" t="s">
        <v>5231</v>
      </c>
      <c r="GX222" s="35" t="s">
        <v>5232</v>
      </c>
      <c r="GY222" s="35" t="s">
        <v>7007</v>
      </c>
      <c r="GZ222" s="35" t="s">
        <v>9470</v>
      </c>
      <c r="HA222" s="35" t="s">
        <v>484</v>
      </c>
      <c r="HB222" s="35" t="s">
        <v>5437</v>
      </c>
      <c r="HC222" s="35" t="s">
        <v>5370</v>
      </c>
      <c r="HP222" s="35" t="s">
        <v>5236</v>
      </c>
      <c r="HQ222" s="35" t="s">
        <v>5237</v>
      </c>
      <c r="HR222" s="35" t="s">
        <v>5238</v>
      </c>
      <c r="HS222" s="35" t="s">
        <v>5239</v>
      </c>
      <c r="MK222" s="35" t="s">
        <v>6321</v>
      </c>
    </row>
    <row r="223">
      <c r="A223" s="35" t="s">
        <v>10965</v>
      </c>
      <c r="B223" s="40">
        <v>46123.03185771991</v>
      </c>
      <c r="C223" s="35" t="s">
        <v>368</v>
      </c>
      <c r="D223" s="35" t="s">
        <v>370</v>
      </c>
      <c r="E223" s="35" t="s">
        <v>370</v>
      </c>
      <c r="F223" s="35" t="s">
        <v>667</v>
      </c>
      <c r="G223" s="35" t="s">
        <v>2359</v>
      </c>
      <c r="H223" s="35" t="s">
        <v>636</v>
      </c>
      <c r="I223" s="35" t="s">
        <v>373</v>
      </c>
      <c r="J223" s="35" t="s">
        <v>638</v>
      </c>
      <c r="K223" s="35" t="s">
        <v>425</v>
      </c>
      <c r="L223" s="35" t="s">
        <v>376</v>
      </c>
      <c r="M223" s="35" t="s">
        <v>379</v>
      </c>
      <c r="N223" s="35" t="s">
        <v>378</v>
      </c>
      <c r="O223" s="35" t="s">
        <v>379</v>
      </c>
      <c r="P223" s="35" t="s">
        <v>719</v>
      </c>
      <c r="Q223" s="35" t="s">
        <v>381</v>
      </c>
      <c r="R223" s="35" t="s">
        <v>499</v>
      </c>
      <c r="S223" s="35" t="s">
        <v>500</v>
      </c>
      <c r="T223" s="35" t="s">
        <v>384</v>
      </c>
      <c r="U223" s="35" t="s">
        <v>385</v>
      </c>
      <c r="X223" s="35" t="s">
        <v>386</v>
      </c>
      <c r="Y223" s="35" t="s">
        <v>642</v>
      </c>
      <c r="AM223" s="35" t="s">
        <v>1141</v>
      </c>
      <c r="AN223" s="35" t="s">
        <v>2253</v>
      </c>
      <c r="AO223" s="35" t="s">
        <v>408</v>
      </c>
      <c r="AQ223" s="35" t="s">
        <v>1144</v>
      </c>
      <c r="AR223" s="41">
        <v>5.0</v>
      </c>
      <c r="AS223" s="35" t="s">
        <v>1639</v>
      </c>
      <c r="AT223" s="35" t="s">
        <v>9579</v>
      </c>
      <c r="AU223" s="35" t="s">
        <v>9580</v>
      </c>
      <c r="AV223" s="35" t="s">
        <v>9581</v>
      </c>
      <c r="AW223" s="35" t="s">
        <v>1905</v>
      </c>
      <c r="AX223" s="35" t="s">
        <v>675</v>
      </c>
      <c r="AY223" s="35" t="s">
        <v>675</v>
      </c>
      <c r="AZ223" s="35" t="s">
        <v>675</v>
      </c>
      <c r="BA223" s="35" t="s">
        <v>675</v>
      </c>
      <c r="BB223" s="35" t="s">
        <v>675</v>
      </c>
      <c r="BC223" s="35" t="s">
        <v>675</v>
      </c>
      <c r="BD223" s="35" t="s">
        <v>9582</v>
      </c>
      <c r="BE223" s="35" t="s">
        <v>9583</v>
      </c>
      <c r="BF223" s="35" t="s">
        <v>1094</v>
      </c>
      <c r="BG223" s="35" t="s">
        <v>1245</v>
      </c>
      <c r="BH223" s="35" t="s">
        <v>394</v>
      </c>
      <c r="BI223" s="35" t="s">
        <v>9584</v>
      </c>
      <c r="BJ223" s="35" t="s">
        <v>976</v>
      </c>
      <c r="BK223" s="35" t="s">
        <v>9585</v>
      </c>
      <c r="BL223" s="35" t="s">
        <v>602</v>
      </c>
      <c r="BM223" s="35" t="s">
        <v>603</v>
      </c>
      <c r="BN223" s="35" t="s">
        <v>1276</v>
      </c>
      <c r="BO223" s="35" t="s">
        <v>398</v>
      </c>
      <c r="BP223" s="35" t="s">
        <v>9586</v>
      </c>
      <c r="BQ223" s="35" t="s">
        <v>9587</v>
      </c>
      <c r="BR223" s="35" t="s">
        <v>401</v>
      </c>
      <c r="BS223" s="35" t="s">
        <v>9588</v>
      </c>
      <c r="BT223" s="35" t="s">
        <v>403</v>
      </c>
      <c r="BU223" s="35" t="s">
        <v>404</v>
      </c>
      <c r="BV223" s="35" t="s">
        <v>405</v>
      </c>
      <c r="BW223" s="35" t="s">
        <v>9589</v>
      </c>
      <c r="BX223" s="35" t="s">
        <v>988</v>
      </c>
      <c r="BZ223" s="35" t="s">
        <v>408</v>
      </c>
      <c r="CC223" s="35" t="s">
        <v>9590</v>
      </c>
      <c r="CD223" s="35" t="s">
        <v>9591</v>
      </c>
      <c r="CE223" s="35" t="s">
        <v>1257</v>
      </c>
      <c r="CG223" s="35" t="s">
        <v>1697</v>
      </c>
      <c r="CH223" s="35" t="s">
        <v>9592</v>
      </c>
      <c r="CI223" s="35" t="s">
        <v>1259</v>
      </c>
      <c r="CJ223" s="35" t="s">
        <v>410</v>
      </c>
      <c r="CK223" s="35" t="s">
        <v>9593</v>
      </c>
      <c r="CL223" s="35" t="s">
        <v>9594</v>
      </c>
      <c r="DJ223" s="35" t="s">
        <v>459</v>
      </c>
      <c r="DK223" s="35" t="s">
        <v>562</v>
      </c>
      <c r="DL223" s="35" t="s">
        <v>6335</v>
      </c>
      <c r="EU223" s="35" t="s">
        <v>526</v>
      </c>
      <c r="EV223" s="35" t="s">
        <v>479</v>
      </c>
      <c r="EW223" s="35" t="s">
        <v>1534</v>
      </c>
      <c r="EX223" s="35" t="s">
        <v>9595</v>
      </c>
      <c r="EY223" s="35" t="s">
        <v>9596</v>
      </c>
      <c r="EZ223" s="35" t="s">
        <v>9597</v>
      </c>
      <c r="FA223" s="35" t="s">
        <v>583</v>
      </c>
      <c r="FB223" s="35" t="s">
        <v>583</v>
      </c>
      <c r="FC223" s="35" t="s">
        <v>583</v>
      </c>
      <c r="FD223" s="35" t="s">
        <v>583</v>
      </c>
      <c r="FE223" s="35" t="s">
        <v>415</v>
      </c>
      <c r="FF223" s="35" t="s">
        <v>583</v>
      </c>
      <c r="FG223" s="35" t="s">
        <v>484</v>
      </c>
      <c r="FH223" s="35" t="s">
        <v>484</v>
      </c>
      <c r="FI223" s="35" t="s">
        <v>484</v>
      </c>
      <c r="FJ223" s="35" t="s">
        <v>583</v>
      </c>
      <c r="FK223" s="35" t="s">
        <v>583</v>
      </c>
      <c r="FL223" s="35" t="s">
        <v>484</v>
      </c>
      <c r="FM223" s="35" t="s">
        <v>484</v>
      </c>
      <c r="FN223" s="35" t="s">
        <v>484</v>
      </c>
      <c r="FO223" s="35" t="s">
        <v>484</v>
      </c>
      <c r="FP223" s="35" t="s">
        <v>485</v>
      </c>
      <c r="FQ223" s="35" t="s">
        <v>418</v>
      </c>
      <c r="FR223" s="35" t="s">
        <v>749</v>
      </c>
      <c r="FS223" s="35" t="s">
        <v>9598</v>
      </c>
      <c r="FT223" s="35" t="s">
        <v>420</v>
      </c>
      <c r="FU223" s="35" t="s">
        <v>488</v>
      </c>
      <c r="FV223" s="35" t="s">
        <v>533</v>
      </c>
      <c r="FW223" s="35" t="s">
        <v>490</v>
      </c>
      <c r="FX223" s="35" t="s">
        <v>491</v>
      </c>
      <c r="FY223" s="35" t="s">
        <v>9599</v>
      </c>
      <c r="FZ223" s="35" t="s">
        <v>535</v>
      </c>
      <c r="GB223" s="35" t="s">
        <v>9600</v>
      </c>
      <c r="GC223" s="35" t="s">
        <v>408</v>
      </c>
      <c r="GK223" s="35" t="s">
        <v>755</v>
      </c>
      <c r="GL223" s="35" t="s">
        <v>755</v>
      </c>
      <c r="GM223" s="35" t="s">
        <v>946</v>
      </c>
      <c r="GR223" s="35" t="s">
        <v>3208</v>
      </c>
      <c r="GS223" s="35" t="s">
        <v>4774</v>
      </c>
      <c r="GW223" s="35" t="s">
        <v>5231</v>
      </c>
      <c r="GX223" s="35" t="s">
        <v>484</v>
      </c>
      <c r="GY223" s="35" t="s">
        <v>5262</v>
      </c>
      <c r="GZ223" s="35" t="s">
        <v>5233</v>
      </c>
      <c r="HA223" s="35" t="s">
        <v>9601</v>
      </c>
      <c r="HB223" s="35" t="s">
        <v>5369</v>
      </c>
      <c r="HC223" s="35" t="s">
        <v>913</v>
      </c>
      <c r="HP223" s="35" t="s">
        <v>5236</v>
      </c>
      <c r="HQ223" s="35" t="s">
        <v>5264</v>
      </c>
      <c r="HR223" s="35" t="s">
        <v>5801</v>
      </c>
      <c r="HS223" s="35" t="s">
        <v>9602</v>
      </c>
      <c r="MK223" s="35" t="s">
        <v>6321</v>
      </c>
    </row>
    <row r="224">
      <c r="A224" s="35" t="s">
        <v>10966</v>
      </c>
      <c r="B224" s="40">
        <v>46126.372135682876</v>
      </c>
      <c r="C224" s="35" t="s">
        <v>368</v>
      </c>
      <c r="D224" s="35" t="s">
        <v>3570</v>
      </c>
      <c r="E224" s="35" t="s">
        <v>370</v>
      </c>
      <c r="G224" s="35" t="s">
        <v>2376</v>
      </c>
      <c r="H224" s="35" t="s">
        <v>372</v>
      </c>
      <c r="I224" s="35" t="s">
        <v>373</v>
      </c>
      <c r="J224" s="35" t="s">
        <v>374</v>
      </c>
      <c r="K224" s="35" t="s">
        <v>375</v>
      </c>
      <c r="L224" s="35" t="s">
        <v>1383</v>
      </c>
      <c r="M224" s="35" t="s">
        <v>591</v>
      </c>
      <c r="N224" s="35" t="s">
        <v>541</v>
      </c>
      <c r="O224" s="35" t="s">
        <v>426</v>
      </c>
      <c r="P224" s="35" t="s">
        <v>380</v>
      </c>
      <c r="Q224" s="35" t="s">
        <v>498</v>
      </c>
      <c r="R224" s="35" t="s">
        <v>499</v>
      </c>
      <c r="S224" s="35" t="s">
        <v>1197</v>
      </c>
      <c r="T224" s="35" t="s">
        <v>384</v>
      </c>
      <c r="U224" s="35" t="s">
        <v>385</v>
      </c>
      <c r="X224" s="35" t="s">
        <v>3014</v>
      </c>
      <c r="AW224" s="35" t="s">
        <v>1310</v>
      </c>
      <c r="AX224" s="41">
        <v>4.0</v>
      </c>
      <c r="AY224" s="35" t="s">
        <v>391</v>
      </c>
      <c r="AZ224" s="41">
        <v>2.0</v>
      </c>
      <c r="BA224" s="35" t="s">
        <v>391</v>
      </c>
      <c r="BB224" s="41">
        <v>4.0</v>
      </c>
      <c r="BC224" s="35" t="s">
        <v>675</v>
      </c>
      <c r="BD224" s="35" t="s">
        <v>9668</v>
      </c>
      <c r="BE224" s="35" t="s">
        <v>9669</v>
      </c>
      <c r="BF224" s="35" t="s">
        <v>392</v>
      </c>
      <c r="BG224" s="35" t="s">
        <v>393</v>
      </c>
      <c r="BH224" s="35" t="s">
        <v>725</v>
      </c>
      <c r="BI224" s="35" t="s">
        <v>9670</v>
      </c>
      <c r="BJ224" s="35" t="s">
        <v>435</v>
      </c>
      <c r="BK224" s="35" t="s">
        <v>9671</v>
      </c>
      <c r="BL224" s="35" t="s">
        <v>437</v>
      </c>
      <c r="BM224" s="35" t="s">
        <v>603</v>
      </c>
      <c r="BN224" s="35" t="s">
        <v>1247</v>
      </c>
      <c r="BO224" s="35" t="s">
        <v>398</v>
      </c>
      <c r="BP224" s="35" t="s">
        <v>9672</v>
      </c>
      <c r="BQ224" s="35" t="s">
        <v>9673</v>
      </c>
      <c r="BR224" s="35" t="s">
        <v>401</v>
      </c>
      <c r="BS224" s="35" t="s">
        <v>7925</v>
      </c>
      <c r="BT224" s="35" t="s">
        <v>403</v>
      </c>
      <c r="BU224" s="35" t="s">
        <v>4072</v>
      </c>
      <c r="BV224" s="35" t="s">
        <v>1772</v>
      </c>
      <c r="BW224" s="35" t="s">
        <v>9674</v>
      </c>
      <c r="BX224" s="35" t="s">
        <v>3582</v>
      </c>
      <c r="BZ224" s="35" t="s">
        <v>455</v>
      </c>
      <c r="CA224" s="35" t="s">
        <v>9675</v>
      </c>
      <c r="CB224" s="35" t="s">
        <v>9676</v>
      </c>
      <c r="CC224" s="35" t="s">
        <v>9677</v>
      </c>
      <c r="CD224" s="35" t="s">
        <v>9678</v>
      </c>
      <c r="CE224" s="35" t="s">
        <v>409</v>
      </c>
      <c r="CF224" s="35" t="s">
        <v>9679</v>
      </c>
      <c r="CG224" s="35" t="s">
        <v>1749</v>
      </c>
      <c r="CH224" s="35" t="s">
        <v>9680</v>
      </c>
      <c r="CI224" s="35" t="s">
        <v>1679</v>
      </c>
      <c r="CJ224" s="35" t="s">
        <v>833</v>
      </c>
      <c r="CK224" s="35" t="s">
        <v>9681</v>
      </c>
      <c r="CL224" s="35" t="s">
        <v>9682</v>
      </c>
      <c r="DJ224" s="35" t="s">
        <v>459</v>
      </c>
      <c r="DK224" s="35" t="s">
        <v>460</v>
      </c>
      <c r="DL224" s="35" t="s">
        <v>6319</v>
      </c>
      <c r="EU224" s="35" t="s">
        <v>578</v>
      </c>
      <c r="EV224" s="35" t="s">
        <v>479</v>
      </c>
      <c r="EW224" s="35" t="s">
        <v>480</v>
      </c>
      <c r="EX224" s="35" t="s">
        <v>9683</v>
      </c>
      <c r="EY224" s="35" t="s">
        <v>9684</v>
      </c>
      <c r="EZ224" s="35" t="s">
        <v>9685</v>
      </c>
      <c r="FA224" s="35" t="s">
        <v>583</v>
      </c>
      <c r="FB224" s="35" t="s">
        <v>583</v>
      </c>
      <c r="FC224" s="35" t="s">
        <v>583</v>
      </c>
      <c r="FD224" s="35" t="s">
        <v>583</v>
      </c>
      <c r="FE224" s="35" t="s">
        <v>583</v>
      </c>
      <c r="FF224" s="35" t="s">
        <v>583</v>
      </c>
      <c r="FG224" s="35" t="s">
        <v>583</v>
      </c>
      <c r="FH224" s="35" t="s">
        <v>583</v>
      </c>
      <c r="FI224" s="35" t="s">
        <v>583</v>
      </c>
      <c r="FJ224" s="35" t="s">
        <v>583</v>
      </c>
      <c r="FK224" s="35" t="s">
        <v>583</v>
      </c>
      <c r="FL224" s="35" t="s">
        <v>583</v>
      </c>
      <c r="FM224" s="35" t="s">
        <v>583</v>
      </c>
      <c r="FN224" s="35" t="s">
        <v>413</v>
      </c>
      <c r="FO224" s="35" t="s">
        <v>414</v>
      </c>
      <c r="FP224" s="35" t="s">
        <v>850</v>
      </c>
      <c r="FQ224" s="35" t="s">
        <v>418</v>
      </c>
      <c r="FR224" s="35" t="s">
        <v>419</v>
      </c>
      <c r="FS224" s="35" t="s">
        <v>9686</v>
      </c>
      <c r="FT224" s="35" t="s">
        <v>995</v>
      </c>
      <c r="FU224" s="35" t="s">
        <v>1462</v>
      </c>
      <c r="FV224" s="35" t="s">
        <v>533</v>
      </c>
      <c r="FW224" s="35" t="s">
        <v>490</v>
      </c>
      <c r="FX224" s="35" t="s">
        <v>491</v>
      </c>
      <c r="FY224" s="35" t="s">
        <v>9687</v>
      </c>
      <c r="FZ224" s="35" t="s">
        <v>493</v>
      </c>
      <c r="GC224" s="35" t="s">
        <v>455</v>
      </c>
      <c r="GD224" s="35" t="s">
        <v>10967</v>
      </c>
      <c r="GF224" s="35" t="s">
        <v>753</v>
      </c>
      <c r="GK224" s="35" t="s">
        <v>755</v>
      </c>
      <c r="GL224" s="35" t="s">
        <v>755</v>
      </c>
      <c r="GM224" s="35" t="s">
        <v>946</v>
      </c>
      <c r="GO224" s="35" t="s">
        <v>9688</v>
      </c>
      <c r="GR224" s="35" t="s">
        <v>3208</v>
      </c>
      <c r="GS224" s="35" t="s">
        <v>4774</v>
      </c>
      <c r="GW224" s="35" t="s">
        <v>5231</v>
      </c>
      <c r="GX224" s="35" t="s">
        <v>5232</v>
      </c>
      <c r="GZ224" s="35" t="s">
        <v>5233</v>
      </c>
      <c r="HA224" s="35" t="s">
        <v>484</v>
      </c>
      <c r="HB224" s="35" t="s">
        <v>484</v>
      </c>
      <c r="HC224" s="35" t="s">
        <v>6073</v>
      </c>
      <c r="HP224" s="35" t="s">
        <v>5236</v>
      </c>
      <c r="HQ224" s="35" t="s">
        <v>5264</v>
      </c>
      <c r="HR224" s="35" t="s">
        <v>5238</v>
      </c>
      <c r="HS224" s="35" t="s">
        <v>5321</v>
      </c>
      <c r="MK224" s="35" t="s">
        <v>6321</v>
      </c>
    </row>
    <row r="225">
      <c r="A225" s="35" t="s">
        <v>10968</v>
      </c>
      <c r="B225" s="40">
        <v>46126.609716817125</v>
      </c>
      <c r="C225" s="35" t="s">
        <v>368</v>
      </c>
      <c r="D225" s="35" t="s">
        <v>370</v>
      </c>
      <c r="E225" s="35" t="s">
        <v>370</v>
      </c>
      <c r="F225" s="35" t="s">
        <v>371</v>
      </c>
      <c r="G225" s="35" t="s">
        <v>371</v>
      </c>
      <c r="H225" s="35" t="s">
        <v>422</v>
      </c>
      <c r="I225" s="35" t="s">
        <v>1921</v>
      </c>
      <c r="J225" s="35" t="s">
        <v>668</v>
      </c>
      <c r="K225" s="35" t="s">
        <v>718</v>
      </c>
      <c r="L225" s="35" t="s">
        <v>376</v>
      </c>
      <c r="M225" s="35" t="s">
        <v>379</v>
      </c>
      <c r="N225" s="35" t="s">
        <v>2966</v>
      </c>
      <c r="O225" s="35" t="s">
        <v>379</v>
      </c>
      <c r="P225" s="35" t="s">
        <v>497</v>
      </c>
      <c r="Q225" s="35" t="s">
        <v>381</v>
      </c>
      <c r="R225" s="35" t="s">
        <v>499</v>
      </c>
      <c r="S225" s="35" t="s">
        <v>500</v>
      </c>
      <c r="T225" s="35" t="s">
        <v>384</v>
      </c>
      <c r="U225" s="35" t="s">
        <v>385</v>
      </c>
      <c r="X225" s="35" t="s">
        <v>593</v>
      </c>
      <c r="Y225" s="35" t="s">
        <v>387</v>
      </c>
      <c r="Z225" s="35" t="s">
        <v>3353</v>
      </c>
      <c r="AA225" s="35" t="s">
        <v>389</v>
      </c>
      <c r="AB225" s="35" t="s">
        <v>9689</v>
      </c>
      <c r="AW225" s="35" t="s">
        <v>390</v>
      </c>
      <c r="AX225" s="35" t="s">
        <v>675</v>
      </c>
      <c r="AY225" s="35" t="s">
        <v>675</v>
      </c>
      <c r="AZ225" s="35" t="s">
        <v>675</v>
      </c>
      <c r="BA225" s="35" t="s">
        <v>675</v>
      </c>
      <c r="BB225" s="35" t="s">
        <v>675</v>
      </c>
      <c r="BC225" s="35" t="s">
        <v>675</v>
      </c>
      <c r="BD225" s="35" t="s">
        <v>9690</v>
      </c>
      <c r="BE225" s="35" t="s">
        <v>9691</v>
      </c>
      <c r="BF225" s="35" t="s">
        <v>3114</v>
      </c>
      <c r="BG225" s="35" t="s">
        <v>1095</v>
      </c>
      <c r="BH225" s="35" t="s">
        <v>434</v>
      </c>
      <c r="BJ225" s="35" t="s">
        <v>509</v>
      </c>
      <c r="BK225" s="35" t="s">
        <v>9692</v>
      </c>
      <c r="BL225" s="35" t="s">
        <v>602</v>
      </c>
      <c r="BM225" s="35" t="s">
        <v>904</v>
      </c>
      <c r="BN225" s="35" t="s">
        <v>549</v>
      </c>
      <c r="BO225" s="35" t="s">
        <v>398</v>
      </c>
      <c r="BP225" s="35" t="s">
        <v>9693</v>
      </c>
      <c r="BQ225" s="35" t="s">
        <v>9694</v>
      </c>
      <c r="BR225" s="35" t="s">
        <v>401</v>
      </c>
      <c r="BS225" s="35" t="s">
        <v>9695</v>
      </c>
      <c r="BT225" s="35" t="s">
        <v>1671</v>
      </c>
      <c r="BU225" s="35" t="s">
        <v>4368</v>
      </c>
      <c r="BV225" s="35" t="s">
        <v>1831</v>
      </c>
      <c r="BW225" s="35" t="s">
        <v>9696</v>
      </c>
      <c r="BX225" s="35" t="s">
        <v>406</v>
      </c>
      <c r="BY225" s="35" t="s">
        <v>407</v>
      </c>
      <c r="BZ225" s="35" t="s">
        <v>408</v>
      </c>
      <c r="CA225" s="35" t="s">
        <v>9697</v>
      </c>
      <c r="CB225" s="35" t="s">
        <v>9698</v>
      </c>
      <c r="CC225" s="35" t="s">
        <v>9699</v>
      </c>
      <c r="CD225" s="35" t="s">
        <v>9700</v>
      </c>
      <c r="CE225" s="35" t="s">
        <v>451</v>
      </c>
      <c r="CF225" s="35" t="s">
        <v>9701</v>
      </c>
      <c r="CG225" s="35" t="s">
        <v>1697</v>
      </c>
      <c r="CH225" s="35" t="s">
        <v>9697</v>
      </c>
      <c r="CI225" s="35" t="s">
        <v>1259</v>
      </c>
      <c r="CJ225" s="35" t="s">
        <v>1964</v>
      </c>
      <c r="CK225" s="35" t="s">
        <v>9702</v>
      </c>
      <c r="CL225" s="35" t="s">
        <v>9703</v>
      </c>
      <c r="DJ225" s="35" t="s">
        <v>963</v>
      </c>
      <c r="DK225" s="35" t="s">
        <v>613</v>
      </c>
      <c r="EU225" s="35" t="s">
        <v>526</v>
      </c>
      <c r="EV225" s="35" t="s">
        <v>479</v>
      </c>
      <c r="EW225" s="35" t="s">
        <v>480</v>
      </c>
      <c r="EX225" s="35" t="s">
        <v>9704</v>
      </c>
      <c r="EY225" s="35" t="s">
        <v>9705</v>
      </c>
      <c r="EZ225" s="35" t="s">
        <v>9706</v>
      </c>
      <c r="FA225" s="35" t="s">
        <v>583</v>
      </c>
      <c r="FB225" s="35" t="s">
        <v>583</v>
      </c>
      <c r="FC225" s="35" t="s">
        <v>583</v>
      </c>
      <c r="FD225" s="35" t="s">
        <v>583</v>
      </c>
      <c r="FE225" s="35" t="s">
        <v>583</v>
      </c>
      <c r="FF225" s="35" t="s">
        <v>583</v>
      </c>
      <c r="FG225" s="35" t="s">
        <v>583</v>
      </c>
      <c r="FH225" s="35" t="s">
        <v>413</v>
      </c>
      <c r="FI225" s="35" t="s">
        <v>583</v>
      </c>
      <c r="FJ225" s="35" t="s">
        <v>583</v>
      </c>
      <c r="FK225" s="35" t="s">
        <v>583</v>
      </c>
      <c r="FL225" s="35" t="s">
        <v>583</v>
      </c>
      <c r="FM225" s="35" t="s">
        <v>583</v>
      </c>
      <c r="FN225" s="35" t="s">
        <v>583</v>
      </c>
      <c r="FO225" s="35" t="s">
        <v>583</v>
      </c>
      <c r="FP225" s="35" t="s">
        <v>850</v>
      </c>
      <c r="FQ225" s="35" t="s">
        <v>486</v>
      </c>
      <c r="FR225" s="35" t="s">
        <v>630</v>
      </c>
      <c r="FS225" s="35" t="s">
        <v>9707</v>
      </c>
      <c r="FT225" s="35" t="s">
        <v>995</v>
      </c>
      <c r="FU225" s="35" t="s">
        <v>488</v>
      </c>
      <c r="FV225" s="35" t="s">
        <v>533</v>
      </c>
      <c r="FW225" s="35" t="s">
        <v>2387</v>
      </c>
      <c r="FX225" s="35" t="s">
        <v>491</v>
      </c>
      <c r="FY225" s="35" t="s">
        <v>9708</v>
      </c>
      <c r="FZ225" s="35" t="s">
        <v>493</v>
      </c>
      <c r="GA225" s="35" t="s">
        <v>9709</v>
      </c>
      <c r="GC225" s="35" t="s">
        <v>408</v>
      </c>
      <c r="GK225" s="35" t="s">
        <v>755</v>
      </c>
      <c r="GL225" s="35" t="s">
        <v>755</v>
      </c>
      <c r="GM225" s="35" t="s">
        <v>817</v>
      </c>
      <c r="GR225" s="35" t="s">
        <v>3208</v>
      </c>
      <c r="GS225" s="35" t="s">
        <v>4774</v>
      </c>
      <c r="GT225" s="35" t="s">
        <v>9697</v>
      </c>
      <c r="GW225" s="35" t="s">
        <v>5231</v>
      </c>
      <c r="GX225" s="35" t="s">
        <v>5232</v>
      </c>
      <c r="GY225" s="35" t="s">
        <v>7007</v>
      </c>
      <c r="GZ225" s="35" t="s">
        <v>9710</v>
      </c>
      <c r="HA225" s="35" t="s">
        <v>6030</v>
      </c>
      <c r="HB225" s="35" t="s">
        <v>5369</v>
      </c>
      <c r="HC225" s="35" t="s">
        <v>5370</v>
      </c>
      <c r="HP225" s="35" t="s">
        <v>5236</v>
      </c>
      <c r="HQ225" s="35" t="s">
        <v>5237</v>
      </c>
      <c r="HS225" s="35" t="s">
        <v>9711</v>
      </c>
      <c r="MK225" s="35" t="s">
        <v>6321</v>
      </c>
    </row>
    <row r="226">
      <c r="A226" s="35" t="s">
        <v>10969</v>
      </c>
      <c r="B226" s="40">
        <v>46132.226501157405</v>
      </c>
      <c r="C226" s="35" t="s">
        <v>368</v>
      </c>
      <c r="D226" s="35" t="s">
        <v>370</v>
      </c>
      <c r="E226" s="35" t="s">
        <v>370</v>
      </c>
      <c r="F226" s="35" t="s">
        <v>371</v>
      </c>
      <c r="G226" s="35" t="s">
        <v>371</v>
      </c>
      <c r="H226" s="35" t="s">
        <v>422</v>
      </c>
      <c r="I226" s="35" t="s">
        <v>496</v>
      </c>
      <c r="J226" s="35" t="s">
        <v>374</v>
      </c>
      <c r="K226" s="35" t="s">
        <v>1240</v>
      </c>
      <c r="L226" s="35" t="s">
        <v>376</v>
      </c>
      <c r="M226" s="35" t="s">
        <v>379</v>
      </c>
      <c r="N226" s="35" t="s">
        <v>378</v>
      </c>
      <c r="O226" s="35" t="s">
        <v>426</v>
      </c>
      <c r="P226" s="35" t="s">
        <v>497</v>
      </c>
      <c r="Q226" s="35" t="s">
        <v>498</v>
      </c>
      <c r="R226" s="35" t="s">
        <v>1156</v>
      </c>
      <c r="S226" s="35" t="s">
        <v>949</v>
      </c>
      <c r="T226" s="35" t="s">
        <v>384</v>
      </c>
      <c r="U226" s="35" t="s">
        <v>385</v>
      </c>
      <c r="X226" s="35" t="s">
        <v>386</v>
      </c>
      <c r="Y226" s="35" t="s">
        <v>387</v>
      </c>
      <c r="Z226" s="35" t="s">
        <v>1444</v>
      </c>
      <c r="AA226" s="35" t="s">
        <v>543</v>
      </c>
      <c r="AB226" s="35" t="s">
        <v>741</v>
      </c>
      <c r="AC226" s="35" t="s">
        <v>9713</v>
      </c>
      <c r="AW226" s="35" t="s">
        <v>1242</v>
      </c>
      <c r="AX226" s="35" t="s">
        <v>675</v>
      </c>
      <c r="AY226" s="35" t="s">
        <v>675</v>
      </c>
      <c r="AZ226" s="35" t="s">
        <v>675</v>
      </c>
      <c r="BA226" s="35" t="s">
        <v>675</v>
      </c>
      <c r="BB226" s="35" t="s">
        <v>675</v>
      </c>
      <c r="BC226" s="35" t="s">
        <v>675</v>
      </c>
      <c r="BF226" s="35" t="s">
        <v>432</v>
      </c>
      <c r="BG226" s="35" t="s">
        <v>1245</v>
      </c>
      <c r="BH226" s="35" t="s">
        <v>394</v>
      </c>
      <c r="BJ226" s="35" t="s">
        <v>727</v>
      </c>
      <c r="BL226" s="35" t="s">
        <v>602</v>
      </c>
      <c r="BM226" s="35" t="s">
        <v>603</v>
      </c>
      <c r="BN226" s="35" t="s">
        <v>1247</v>
      </c>
      <c r="BO226" s="35" t="s">
        <v>398</v>
      </c>
      <c r="BP226" s="35" t="s">
        <v>9714</v>
      </c>
      <c r="BQ226" s="35" t="s">
        <v>9715</v>
      </c>
      <c r="BR226" s="35" t="s">
        <v>604</v>
      </c>
      <c r="BS226" s="35" t="s">
        <v>1740</v>
      </c>
      <c r="BT226" s="35" t="s">
        <v>1741</v>
      </c>
      <c r="BU226" s="35" t="s">
        <v>404</v>
      </c>
      <c r="BV226" s="35" t="s">
        <v>405</v>
      </c>
      <c r="BX226" s="35" t="s">
        <v>406</v>
      </c>
      <c r="BY226" s="35" t="s">
        <v>2503</v>
      </c>
      <c r="BZ226" s="35" t="s">
        <v>408</v>
      </c>
      <c r="CE226" s="35" t="s">
        <v>1257</v>
      </c>
      <c r="CI226" s="35" t="s">
        <v>1259</v>
      </c>
      <c r="CJ226" s="35" t="s">
        <v>833</v>
      </c>
      <c r="CK226" s="35" t="s">
        <v>9716</v>
      </c>
      <c r="CL226" s="35" t="s">
        <v>9717</v>
      </c>
      <c r="DJ226" s="35" t="s">
        <v>963</v>
      </c>
      <c r="DK226" s="35" t="s">
        <v>460</v>
      </c>
      <c r="DL226" s="35" t="s">
        <v>6319</v>
      </c>
      <c r="EU226" s="35" t="s">
        <v>526</v>
      </c>
      <c r="EV226" s="35" t="s">
        <v>579</v>
      </c>
      <c r="EW226" s="35" t="s">
        <v>527</v>
      </c>
      <c r="EX226" s="35" t="s">
        <v>9718</v>
      </c>
      <c r="EY226" s="35" t="s">
        <v>9719</v>
      </c>
      <c r="EZ226" s="35" t="s">
        <v>9720</v>
      </c>
      <c r="FA226" s="35" t="s">
        <v>415</v>
      </c>
      <c r="FB226" s="35" t="s">
        <v>415</v>
      </c>
      <c r="FC226" s="35" t="s">
        <v>413</v>
      </c>
      <c r="FD226" s="35" t="s">
        <v>484</v>
      </c>
      <c r="FE226" s="35" t="s">
        <v>413</v>
      </c>
      <c r="FF226" s="35" t="s">
        <v>414</v>
      </c>
      <c r="FG226" s="35" t="s">
        <v>415</v>
      </c>
      <c r="FH226" s="35" t="s">
        <v>413</v>
      </c>
      <c r="FI226" s="35" t="s">
        <v>484</v>
      </c>
      <c r="FJ226" s="35" t="s">
        <v>415</v>
      </c>
      <c r="FK226" s="35" t="s">
        <v>415</v>
      </c>
      <c r="FL226" s="35" t="s">
        <v>415</v>
      </c>
      <c r="FM226" s="35" t="s">
        <v>415</v>
      </c>
      <c r="FN226" s="35" t="s">
        <v>415</v>
      </c>
      <c r="FO226" s="35" t="s">
        <v>415</v>
      </c>
      <c r="FP226" s="35" t="s">
        <v>485</v>
      </c>
      <c r="FQ226" s="35" t="s">
        <v>418</v>
      </c>
      <c r="FR226" s="35" t="s">
        <v>419</v>
      </c>
      <c r="FT226" s="35" t="s">
        <v>1189</v>
      </c>
      <c r="FU226" s="35" t="s">
        <v>488</v>
      </c>
      <c r="FV226" s="35" t="s">
        <v>585</v>
      </c>
      <c r="FW226" s="35" t="s">
        <v>490</v>
      </c>
      <c r="FX226" s="35" t="s">
        <v>491</v>
      </c>
      <c r="FZ226" s="35" t="s">
        <v>493</v>
      </c>
      <c r="GC226" s="35" t="s">
        <v>455</v>
      </c>
      <c r="GD226" s="35" t="s">
        <v>10970</v>
      </c>
      <c r="GE226" s="35" t="s">
        <v>10971</v>
      </c>
      <c r="GF226" s="35" t="s">
        <v>1339</v>
      </c>
      <c r="GG226" s="35" t="s">
        <v>9721</v>
      </c>
      <c r="GK226" s="35" t="s">
        <v>920</v>
      </c>
      <c r="GL226" s="35" t="s">
        <v>920</v>
      </c>
      <c r="GM226" s="35" t="s">
        <v>921</v>
      </c>
      <c r="GR226" s="35" t="s">
        <v>3208</v>
      </c>
      <c r="GS226" s="35" t="s">
        <v>4774</v>
      </c>
      <c r="GW226" s="35" t="s">
        <v>5231</v>
      </c>
      <c r="GX226" s="35" t="s">
        <v>5232</v>
      </c>
      <c r="GY226" s="35" t="s">
        <v>5262</v>
      </c>
      <c r="GZ226" s="35" t="s">
        <v>6013</v>
      </c>
      <c r="HA226" s="35" t="s">
        <v>5234</v>
      </c>
      <c r="HB226" s="35" t="s">
        <v>5369</v>
      </c>
      <c r="HC226" s="35" t="s">
        <v>5961</v>
      </c>
      <c r="HP226" s="35" t="s">
        <v>5236</v>
      </c>
      <c r="HQ226" s="35" t="s">
        <v>5719</v>
      </c>
      <c r="HR226" s="35" t="s">
        <v>5238</v>
      </c>
      <c r="HS226" s="35" t="s">
        <v>5321</v>
      </c>
      <c r="MK226" s="35" t="s">
        <v>6321</v>
      </c>
    </row>
    <row r="227">
      <c r="A227" s="35" t="s">
        <v>10972</v>
      </c>
      <c r="B227" s="40">
        <v>46133.03297357639</v>
      </c>
      <c r="C227" s="35" t="s">
        <v>368</v>
      </c>
      <c r="D227" s="35" t="s">
        <v>538</v>
      </c>
      <c r="E227" s="35" t="s">
        <v>538</v>
      </c>
      <c r="H227" s="35" t="s">
        <v>422</v>
      </c>
      <c r="I227" s="35" t="s">
        <v>637</v>
      </c>
      <c r="J227" s="35" t="s">
        <v>638</v>
      </c>
      <c r="K227" s="35" t="s">
        <v>1023</v>
      </c>
      <c r="L227" s="35" t="s">
        <v>7755</v>
      </c>
      <c r="M227" s="35" t="s">
        <v>1526</v>
      </c>
      <c r="O227" s="35" t="s">
        <v>1526</v>
      </c>
      <c r="Q227" s="35" t="s">
        <v>759</v>
      </c>
      <c r="R227" s="35" t="s">
        <v>382</v>
      </c>
      <c r="S227" s="35" t="s">
        <v>500</v>
      </c>
      <c r="T227" s="35" t="s">
        <v>384</v>
      </c>
      <c r="U227" s="35" t="s">
        <v>385</v>
      </c>
      <c r="X227" s="35" t="s">
        <v>386</v>
      </c>
      <c r="Y227" s="35" t="s">
        <v>387</v>
      </c>
      <c r="Z227" s="35" t="s">
        <v>594</v>
      </c>
      <c r="AA227" s="35" t="s">
        <v>543</v>
      </c>
      <c r="AB227" s="35" t="s">
        <v>9722</v>
      </c>
      <c r="AW227" s="35" t="s">
        <v>597</v>
      </c>
      <c r="AX227" s="35" t="s">
        <v>391</v>
      </c>
      <c r="AY227" s="35" t="s">
        <v>391</v>
      </c>
      <c r="AZ227" s="41">
        <v>4.0</v>
      </c>
      <c r="BA227" s="35" t="s">
        <v>391</v>
      </c>
      <c r="BB227" s="41">
        <v>4.0</v>
      </c>
      <c r="BC227" s="41">
        <v>4.0</v>
      </c>
      <c r="BD227" s="35" t="s">
        <v>9723</v>
      </c>
      <c r="BE227" s="35" t="s">
        <v>9724</v>
      </c>
      <c r="BF227" s="35" t="s">
        <v>432</v>
      </c>
      <c r="BG227" s="35" t="s">
        <v>393</v>
      </c>
      <c r="BH227" s="35" t="s">
        <v>394</v>
      </c>
      <c r="BI227" s="35" t="s">
        <v>9725</v>
      </c>
      <c r="BJ227" s="35" t="s">
        <v>824</v>
      </c>
      <c r="BL227" s="35" t="s">
        <v>681</v>
      </c>
      <c r="BM227" s="35" t="s">
        <v>396</v>
      </c>
      <c r="BN227" s="35" t="s">
        <v>397</v>
      </c>
      <c r="BO227" s="35" t="s">
        <v>398</v>
      </c>
      <c r="BP227" s="35" t="s">
        <v>9726</v>
      </c>
      <c r="BQ227" s="35" t="s">
        <v>9727</v>
      </c>
      <c r="BR227" s="35" t="s">
        <v>682</v>
      </c>
      <c r="BS227" s="35" t="s">
        <v>5174</v>
      </c>
      <c r="BT227" s="35" t="s">
        <v>4071</v>
      </c>
      <c r="BU227" s="35" t="s">
        <v>4072</v>
      </c>
      <c r="BV227" s="35" t="s">
        <v>1693</v>
      </c>
      <c r="BW227" s="35" t="s">
        <v>9728</v>
      </c>
      <c r="BX227" s="35" t="s">
        <v>406</v>
      </c>
      <c r="BY227" s="35" t="s">
        <v>1867</v>
      </c>
      <c r="BZ227" s="35" t="s">
        <v>455</v>
      </c>
      <c r="CA227" s="35" t="s">
        <v>9729</v>
      </c>
      <c r="CC227" s="35" t="s">
        <v>9730</v>
      </c>
      <c r="CD227" s="35" t="s">
        <v>9731</v>
      </c>
      <c r="CE227" s="35" t="s">
        <v>451</v>
      </c>
      <c r="CF227" s="35" t="s">
        <v>9732</v>
      </c>
      <c r="CG227" s="35" t="s">
        <v>1258</v>
      </c>
      <c r="CI227" s="35" t="s">
        <v>1679</v>
      </c>
      <c r="CJ227" s="35" t="s">
        <v>833</v>
      </c>
      <c r="CK227" s="35" t="s">
        <v>9733</v>
      </c>
      <c r="CL227" s="35" t="s">
        <v>9734</v>
      </c>
      <c r="DJ227" s="35" t="s">
        <v>777</v>
      </c>
      <c r="DK227" s="35" t="s">
        <v>613</v>
      </c>
      <c r="EU227" s="35" t="s">
        <v>578</v>
      </c>
      <c r="EV227" s="35" t="s">
        <v>579</v>
      </c>
      <c r="EW227" s="35" t="s">
        <v>1262</v>
      </c>
      <c r="EY227" s="35" t="s">
        <v>9735</v>
      </c>
      <c r="EZ227" s="35" t="s">
        <v>9736</v>
      </c>
      <c r="FA227" s="35" t="s">
        <v>414</v>
      </c>
      <c r="FB227" s="35" t="s">
        <v>414</v>
      </c>
      <c r="FC227" s="35" t="s">
        <v>413</v>
      </c>
      <c r="FD227" s="35" t="s">
        <v>414</v>
      </c>
      <c r="FE227" s="35" t="s">
        <v>416</v>
      </c>
      <c r="FF227" s="35" t="s">
        <v>414</v>
      </c>
      <c r="FG227" s="35" t="s">
        <v>414</v>
      </c>
      <c r="FH227" s="35" t="s">
        <v>416</v>
      </c>
      <c r="FI227" s="35" t="s">
        <v>414</v>
      </c>
      <c r="FJ227" s="35" t="s">
        <v>416</v>
      </c>
      <c r="FK227" s="35" t="s">
        <v>414</v>
      </c>
      <c r="FL227" s="35" t="s">
        <v>414</v>
      </c>
      <c r="FM227" s="35" t="s">
        <v>414</v>
      </c>
      <c r="FN227" s="35" t="s">
        <v>416</v>
      </c>
      <c r="FO227" s="35" t="s">
        <v>414</v>
      </c>
      <c r="FP227" s="35" t="s">
        <v>1074</v>
      </c>
      <c r="FQ227" s="35" t="s">
        <v>486</v>
      </c>
      <c r="FR227" s="35" t="s">
        <v>749</v>
      </c>
      <c r="FT227" s="35" t="s">
        <v>1076</v>
      </c>
      <c r="FU227" s="35" t="s">
        <v>1462</v>
      </c>
      <c r="FV227" s="35" t="s">
        <v>1235</v>
      </c>
      <c r="FW227" s="35" t="s">
        <v>490</v>
      </c>
      <c r="FX227" s="35" t="s">
        <v>491</v>
      </c>
      <c r="FZ227" s="35" t="s">
        <v>493</v>
      </c>
      <c r="GC227" s="35" t="s">
        <v>455</v>
      </c>
      <c r="GE227" s="35" t="s">
        <v>9737</v>
      </c>
      <c r="GF227" s="35" t="s">
        <v>753</v>
      </c>
      <c r="GG227" s="35" t="s">
        <v>9738</v>
      </c>
      <c r="GK227" s="35" t="s">
        <v>857</v>
      </c>
      <c r="GL227" s="35" t="s">
        <v>857</v>
      </c>
      <c r="GM227" s="35" t="s">
        <v>790</v>
      </c>
      <c r="GR227" s="35" t="s">
        <v>3208</v>
      </c>
      <c r="GS227" s="35" t="s">
        <v>4741</v>
      </c>
      <c r="GW227" s="35" t="s">
        <v>5231</v>
      </c>
      <c r="GX227" s="35" t="s">
        <v>484</v>
      </c>
      <c r="GY227" s="35" t="s">
        <v>5281</v>
      </c>
      <c r="GZ227" s="35" t="s">
        <v>8918</v>
      </c>
      <c r="HA227" s="35" t="s">
        <v>484</v>
      </c>
      <c r="HB227" s="35" t="s">
        <v>5369</v>
      </c>
      <c r="HC227" s="35" t="s">
        <v>9739</v>
      </c>
      <c r="HP227" s="35" t="s">
        <v>5236</v>
      </c>
      <c r="HQ227" s="35" t="s">
        <v>5264</v>
      </c>
      <c r="HR227" s="35" t="s">
        <v>5238</v>
      </c>
      <c r="HS227" s="35" t="s">
        <v>5239</v>
      </c>
      <c r="MK227" s="35" t="s">
        <v>6321</v>
      </c>
    </row>
    <row r="228">
      <c r="A228" s="35" t="s">
        <v>10973</v>
      </c>
      <c r="B228" s="40">
        <v>46172.316871793984</v>
      </c>
      <c r="C228" s="35" t="s">
        <v>368</v>
      </c>
      <c r="D228" s="35" t="s">
        <v>4085</v>
      </c>
      <c r="E228" s="35" t="s">
        <v>4085</v>
      </c>
      <c r="H228" s="35" t="s">
        <v>422</v>
      </c>
      <c r="I228" s="35" t="s">
        <v>1921</v>
      </c>
      <c r="J228" s="35" t="s">
        <v>668</v>
      </c>
      <c r="K228" s="35" t="s">
        <v>718</v>
      </c>
      <c r="L228" s="35" t="s">
        <v>376</v>
      </c>
      <c r="M228" s="35" t="s">
        <v>377</v>
      </c>
      <c r="N228" s="35" t="s">
        <v>378</v>
      </c>
      <c r="P228" s="35" t="s">
        <v>671</v>
      </c>
      <c r="Q228" s="35" t="s">
        <v>498</v>
      </c>
      <c r="R228" s="35" t="s">
        <v>382</v>
      </c>
      <c r="S228" s="35" t="s">
        <v>949</v>
      </c>
      <c r="T228" s="35" t="s">
        <v>384</v>
      </c>
      <c r="U228" s="35" t="s">
        <v>385</v>
      </c>
      <c r="X228" s="35" t="s">
        <v>593</v>
      </c>
      <c r="Y228" s="35" t="s">
        <v>387</v>
      </c>
      <c r="Z228" s="35" t="s">
        <v>6822</v>
      </c>
      <c r="AA228" s="35" t="s">
        <v>543</v>
      </c>
      <c r="AB228" s="35" t="s">
        <v>408</v>
      </c>
      <c r="AC228" s="35" t="s">
        <v>9848</v>
      </c>
      <c r="AW228" s="35" t="s">
        <v>1310</v>
      </c>
      <c r="AX228" s="35" t="s">
        <v>675</v>
      </c>
      <c r="AY228" s="35" t="s">
        <v>675</v>
      </c>
      <c r="AZ228" s="35" t="s">
        <v>675</v>
      </c>
      <c r="BA228" s="35" t="s">
        <v>675</v>
      </c>
      <c r="BB228" s="35" t="s">
        <v>675</v>
      </c>
      <c r="BC228" s="35" t="s">
        <v>675</v>
      </c>
      <c r="BD228" s="35" t="s">
        <v>9849</v>
      </c>
      <c r="BE228" s="35" t="s">
        <v>9850</v>
      </c>
      <c r="BF228" s="35" t="s">
        <v>2379</v>
      </c>
      <c r="BG228" s="35" t="s">
        <v>1095</v>
      </c>
      <c r="BH228" s="35" t="s">
        <v>394</v>
      </c>
      <c r="BI228" s="35" t="s">
        <v>9851</v>
      </c>
      <c r="BJ228" s="35" t="s">
        <v>727</v>
      </c>
      <c r="BL228" s="35" t="s">
        <v>602</v>
      </c>
      <c r="BM228" s="35" t="s">
        <v>603</v>
      </c>
      <c r="BN228" s="35" t="s">
        <v>1247</v>
      </c>
      <c r="BO228" s="35" t="s">
        <v>398</v>
      </c>
      <c r="BP228" s="35" t="s">
        <v>9852</v>
      </c>
      <c r="BQ228" s="35" t="s">
        <v>9853</v>
      </c>
      <c r="BR228" s="35" t="s">
        <v>604</v>
      </c>
      <c r="BS228" s="35" t="s">
        <v>9854</v>
      </c>
      <c r="BT228" s="35" t="s">
        <v>1741</v>
      </c>
      <c r="BU228" s="35" t="s">
        <v>4368</v>
      </c>
      <c r="BV228" s="35" t="s">
        <v>1772</v>
      </c>
      <c r="BW228" s="35" t="s">
        <v>9855</v>
      </c>
      <c r="BX228" s="35" t="s">
        <v>406</v>
      </c>
      <c r="BY228" s="35" t="s">
        <v>1867</v>
      </c>
      <c r="BZ228" s="35" t="s">
        <v>408</v>
      </c>
      <c r="CB228" s="35" t="s">
        <v>9856</v>
      </c>
      <c r="CC228" s="35" t="s">
        <v>9857</v>
      </c>
      <c r="CD228" s="35" t="s">
        <v>9858</v>
      </c>
      <c r="CE228" s="35" t="s">
        <v>2248</v>
      </c>
      <c r="CG228" s="35" t="s">
        <v>1749</v>
      </c>
      <c r="CH228" s="35" t="s">
        <v>9859</v>
      </c>
      <c r="CI228" s="35" t="s">
        <v>1259</v>
      </c>
      <c r="CJ228" s="35" t="s">
        <v>833</v>
      </c>
      <c r="CK228" s="35" t="s">
        <v>9860</v>
      </c>
      <c r="CL228" s="35" t="s">
        <v>9861</v>
      </c>
      <c r="DJ228" s="35" t="s">
        <v>963</v>
      </c>
      <c r="DK228" s="35" t="s">
        <v>695</v>
      </c>
      <c r="DL228" s="35" t="s">
        <v>7805</v>
      </c>
      <c r="DM228" s="35" t="s">
        <v>9862</v>
      </c>
      <c r="EU228" s="35" t="s">
        <v>526</v>
      </c>
      <c r="EV228" s="35" t="s">
        <v>887</v>
      </c>
      <c r="EW228" s="35" t="s">
        <v>1262</v>
      </c>
      <c r="EX228" s="35" t="s">
        <v>9863</v>
      </c>
      <c r="EY228" s="35" t="s">
        <v>9864</v>
      </c>
      <c r="EZ228" s="35" t="s">
        <v>9864</v>
      </c>
      <c r="FA228" s="35" t="s">
        <v>415</v>
      </c>
      <c r="FB228" s="35" t="s">
        <v>415</v>
      </c>
      <c r="FC228" s="35" t="s">
        <v>413</v>
      </c>
      <c r="FD228" s="35" t="s">
        <v>415</v>
      </c>
      <c r="FE228" s="35" t="s">
        <v>413</v>
      </c>
      <c r="FF228" s="35" t="s">
        <v>415</v>
      </c>
      <c r="FG228" s="35" t="s">
        <v>415</v>
      </c>
      <c r="FH228" s="35" t="s">
        <v>413</v>
      </c>
      <c r="FI228" s="35" t="s">
        <v>414</v>
      </c>
      <c r="FJ228" s="35" t="s">
        <v>413</v>
      </c>
      <c r="FK228" s="35" t="s">
        <v>415</v>
      </c>
      <c r="FL228" s="35" t="s">
        <v>415</v>
      </c>
      <c r="FM228" s="35" t="s">
        <v>415</v>
      </c>
      <c r="FN228" s="35" t="s">
        <v>415</v>
      </c>
      <c r="FO228" s="35" t="s">
        <v>415</v>
      </c>
      <c r="FP228" s="35" t="s">
        <v>485</v>
      </c>
      <c r="FQ228" s="35" t="s">
        <v>418</v>
      </c>
      <c r="FR228" s="35" t="s">
        <v>712</v>
      </c>
      <c r="FT228" s="35" t="s">
        <v>1189</v>
      </c>
      <c r="FU228" s="35" t="s">
        <v>488</v>
      </c>
      <c r="FV228" s="35" t="s">
        <v>1235</v>
      </c>
      <c r="FW228" s="35" t="s">
        <v>490</v>
      </c>
      <c r="FX228" s="35" t="s">
        <v>491</v>
      </c>
      <c r="FY228" s="35" t="s">
        <v>9865</v>
      </c>
      <c r="FZ228" s="35" t="s">
        <v>493</v>
      </c>
      <c r="GC228" s="35" t="s">
        <v>455</v>
      </c>
      <c r="GD228" s="35" t="s">
        <v>10974</v>
      </c>
      <c r="GF228" s="35" t="s">
        <v>855</v>
      </c>
      <c r="GG228" s="35" t="s">
        <v>9864</v>
      </c>
      <c r="GK228" s="35" t="s">
        <v>755</v>
      </c>
      <c r="GL228" s="35" t="s">
        <v>755</v>
      </c>
      <c r="GM228" s="35" t="s">
        <v>817</v>
      </c>
      <c r="GO228" s="35" t="s">
        <v>9866</v>
      </c>
      <c r="GP228" s="35" t="s">
        <v>9866</v>
      </c>
      <c r="GR228" s="35" t="s">
        <v>3208</v>
      </c>
      <c r="GS228" s="35" t="s">
        <v>4774</v>
      </c>
      <c r="GW228" s="35" t="s">
        <v>5231</v>
      </c>
      <c r="GX228" s="35" t="s">
        <v>5232</v>
      </c>
      <c r="GY228" s="35" t="s">
        <v>7007</v>
      </c>
      <c r="GZ228" s="35" t="s">
        <v>5233</v>
      </c>
      <c r="HA228" s="35" t="s">
        <v>484</v>
      </c>
      <c r="HB228" s="35" t="s">
        <v>484</v>
      </c>
      <c r="HC228" s="35" t="s">
        <v>5468</v>
      </c>
      <c r="HP228" s="35" t="s">
        <v>5383</v>
      </c>
      <c r="HQ228" s="35" t="s">
        <v>5719</v>
      </c>
      <c r="HR228" s="35" t="s">
        <v>5238</v>
      </c>
      <c r="HS228" s="35" t="s">
        <v>5321</v>
      </c>
      <c r="MK228" s="35" t="s">
        <v>6321</v>
      </c>
    </row>
    <row r="229">
      <c r="A229" s="35" t="s">
        <v>10975</v>
      </c>
      <c r="B229" s="40">
        <v>46179.82143106482</v>
      </c>
      <c r="C229" s="35" t="s">
        <v>368</v>
      </c>
      <c r="D229" s="35" t="s">
        <v>894</v>
      </c>
      <c r="E229" s="35" t="s">
        <v>894</v>
      </c>
      <c r="H229" s="35" t="s">
        <v>3187</v>
      </c>
      <c r="I229" s="35" t="s">
        <v>539</v>
      </c>
      <c r="J229" s="35" t="s">
        <v>2578</v>
      </c>
      <c r="K229" s="35" t="s">
        <v>425</v>
      </c>
      <c r="L229" s="35" t="s">
        <v>376</v>
      </c>
      <c r="M229" s="35" t="s">
        <v>379</v>
      </c>
      <c r="N229" s="35" t="s">
        <v>2464</v>
      </c>
      <c r="O229" s="35" t="s">
        <v>377</v>
      </c>
      <c r="P229" s="35" t="s">
        <v>380</v>
      </c>
      <c r="Q229" s="35" t="s">
        <v>381</v>
      </c>
      <c r="R229" s="35" t="s">
        <v>382</v>
      </c>
      <c r="S229" s="35" t="s">
        <v>1197</v>
      </c>
      <c r="T229" s="35" t="s">
        <v>384</v>
      </c>
      <c r="U229" s="35" t="s">
        <v>385</v>
      </c>
      <c r="V229" s="35" t="s">
        <v>896</v>
      </c>
      <c r="W229" s="35" t="s">
        <v>896</v>
      </c>
      <c r="X229" s="35" t="s">
        <v>386</v>
      </c>
      <c r="Y229" s="35" t="s">
        <v>387</v>
      </c>
      <c r="Z229" s="35" t="s">
        <v>388</v>
      </c>
      <c r="AA229" s="35" t="s">
        <v>502</v>
      </c>
      <c r="AB229" s="35" t="s">
        <v>9882</v>
      </c>
      <c r="AC229" s="35" t="s">
        <v>2675</v>
      </c>
      <c r="AW229" s="35" t="s">
        <v>1310</v>
      </c>
      <c r="AX229" s="41">
        <v>4.0</v>
      </c>
      <c r="AY229" s="35" t="s">
        <v>391</v>
      </c>
      <c r="AZ229" s="41">
        <v>4.0</v>
      </c>
      <c r="BA229" s="41">
        <v>4.0</v>
      </c>
      <c r="BB229" s="41">
        <v>4.0</v>
      </c>
      <c r="BC229" s="41">
        <v>4.0</v>
      </c>
      <c r="BD229" s="35" t="s">
        <v>9883</v>
      </c>
      <c r="BE229" s="35" t="s">
        <v>9884</v>
      </c>
      <c r="BF229" s="35" t="s">
        <v>902</v>
      </c>
      <c r="BG229" s="35" t="s">
        <v>1095</v>
      </c>
      <c r="BH229" s="35" t="s">
        <v>434</v>
      </c>
      <c r="BI229" s="35" t="s">
        <v>9885</v>
      </c>
      <c r="BJ229" s="35" t="s">
        <v>976</v>
      </c>
      <c r="BL229" s="35" t="s">
        <v>437</v>
      </c>
      <c r="BM229" s="35" t="s">
        <v>603</v>
      </c>
      <c r="BN229" s="35" t="s">
        <v>1247</v>
      </c>
      <c r="BO229" s="35" t="s">
        <v>398</v>
      </c>
      <c r="BP229" s="35" t="s">
        <v>9886</v>
      </c>
      <c r="BQ229" s="35" t="s">
        <v>9887</v>
      </c>
      <c r="BR229" s="35" t="s">
        <v>604</v>
      </c>
      <c r="BS229" s="35" t="s">
        <v>1928</v>
      </c>
      <c r="BT229" s="35" t="s">
        <v>403</v>
      </c>
      <c r="BU229" s="35" t="s">
        <v>4368</v>
      </c>
      <c r="BV229" s="35" t="s">
        <v>1772</v>
      </c>
      <c r="BW229" s="35" t="s">
        <v>9888</v>
      </c>
      <c r="BX229" s="35" t="s">
        <v>988</v>
      </c>
      <c r="BZ229" s="35" t="s">
        <v>455</v>
      </c>
      <c r="CA229" s="35" t="s">
        <v>9889</v>
      </c>
      <c r="CB229" s="35" t="s">
        <v>9890</v>
      </c>
      <c r="CC229" s="35" t="s">
        <v>9891</v>
      </c>
      <c r="CD229" s="35" t="s">
        <v>9892</v>
      </c>
      <c r="CE229" s="35" t="s">
        <v>409</v>
      </c>
      <c r="CF229" s="35" t="s">
        <v>9893</v>
      </c>
      <c r="CG229" s="35" t="s">
        <v>1258</v>
      </c>
      <c r="CI229" s="35" t="s">
        <v>1698</v>
      </c>
      <c r="CJ229" s="35" t="s">
        <v>833</v>
      </c>
      <c r="CK229" s="35" t="s">
        <v>9894</v>
      </c>
      <c r="CL229" s="35" t="s">
        <v>9895</v>
      </c>
      <c r="DJ229" s="35" t="s">
        <v>459</v>
      </c>
      <c r="DK229" s="35" t="s">
        <v>613</v>
      </c>
      <c r="EU229" s="35" t="s">
        <v>526</v>
      </c>
      <c r="EV229" s="35" t="s">
        <v>479</v>
      </c>
      <c r="EW229" s="35" t="s">
        <v>527</v>
      </c>
      <c r="EX229" s="35" t="s">
        <v>9896</v>
      </c>
      <c r="EY229" s="35" t="s">
        <v>9897</v>
      </c>
      <c r="EZ229" s="35" t="s">
        <v>9898</v>
      </c>
      <c r="FA229" s="35" t="s">
        <v>414</v>
      </c>
      <c r="FB229" s="35" t="s">
        <v>414</v>
      </c>
      <c r="FC229" s="35" t="s">
        <v>414</v>
      </c>
      <c r="FD229" s="35" t="s">
        <v>414</v>
      </c>
      <c r="FE229" s="35" t="s">
        <v>416</v>
      </c>
      <c r="FF229" s="35" t="s">
        <v>414</v>
      </c>
      <c r="FG229" s="35" t="s">
        <v>414</v>
      </c>
      <c r="FH229" s="35" t="s">
        <v>415</v>
      </c>
      <c r="FI229" s="35" t="s">
        <v>414</v>
      </c>
      <c r="FJ229" s="35" t="s">
        <v>414</v>
      </c>
      <c r="FK229" s="35" t="s">
        <v>414</v>
      </c>
      <c r="FL229" s="35" t="s">
        <v>414</v>
      </c>
      <c r="FM229" s="35" t="s">
        <v>414</v>
      </c>
      <c r="FN229" s="35" t="s">
        <v>416</v>
      </c>
      <c r="FO229" s="35" t="s">
        <v>414</v>
      </c>
      <c r="FP229" s="35" t="s">
        <v>850</v>
      </c>
      <c r="FQ229" s="35" t="s">
        <v>418</v>
      </c>
      <c r="FR229" s="35" t="s">
        <v>419</v>
      </c>
      <c r="FS229" s="35" t="s">
        <v>9899</v>
      </c>
      <c r="FT229" s="35" t="s">
        <v>420</v>
      </c>
      <c r="FU229" s="35" t="s">
        <v>488</v>
      </c>
      <c r="FV229" s="35" t="s">
        <v>489</v>
      </c>
      <c r="FW229" s="35" t="s">
        <v>490</v>
      </c>
      <c r="FX229" s="35" t="s">
        <v>491</v>
      </c>
      <c r="FY229" s="35" t="s">
        <v>9900</v>
      </c>
      <c r="FZ229" s="35" t="s">
        <v>493</v>
      </c>
      <c r="GA229" s="35" t="s">
        <v>9901</v>
      </c>
      <c r="GC229" s="35" t="s">
        <v>455</v>
      </c>
      <c r="GD229" s="35" t="s">
        <v>10946</v>
      </c>
      <c r="GF229" s="35" t="s">
        <v>753</v>
      </c>
      <c r="GG229" s="35" t="s">
        <v>9902</v>
      </c>
      <c r="GK229" s="35" t="s">
        <v>920</v>
      </c>
      <c r="GL229" s="35" t="s">
        <v>920</v>
      </c>
      <c r="GM229" s="35" t="s">
        <v>756</v>
      </c>
      <c r="GR229" s="35" t="s">
        <v>3208</v>
      </c>
      <c r="GS229" s="35" t="s">
        <v>4840</v>
      </c>
      <c r="GT229" s="35" t="s">
        <v>9903</v>
      </c>
      <c r="GW229" s="35" t="s">
        <v>5231</v>
      </c>
      <c r="GX229" s="35" t="s">
        <v>5232</v>
      </c>
      <c r="GY229" s="35" t="s">
        <v>5262</v>
      </c>
      <c r="GZ229" s="35" t="s">
        <v>9904</v>
      </c>
      <c r="HA229" s="35" t="s">
        <v>484</v>
      </c>
      <c r="HB229" s="35" t="s">
        <v>484</v>
      </c>
      <c r="HC229" s="35" t="s">
        <v>5370</v>
      </c>
      <c r="HP229" s="35" t="s">
        <v>5236</v>
      </c>
      <c r="HQ229" s="35" t="s">
        <v>5237</v>
      </c>
      <c r="HR229" s="35" t="s">
        <v>5238</v>
      </c>
      <c r="HS229" s="35" t="s">
        <v>5321</v>
      </c>
      <c r="MK229" s="35" t="s">
        <v>6321</v>
      </c>
    </row>
    <row r="230">
      <c r="A230" s="35" t="s">
        <v>10976</v>
      </c>
      <c r="B230" s="40">
        <v>46181.34934444445</v>
      </c>
      <c r="C230" s="35" t="s">
        <v>368</v>
      </c>
      <c r="D230" s="35" t="s">
        <v>2796</v>
      </c>
      <c r="E230" s="35" t="s">
        <v>2796</v>
      </c>
      <c r="H230" s="35" t="s">
        <v>422</v>
      </c>
      <c r="I230" s="35" t="s">
        <v>496</v>
      </c>
      <c r="J230" s="35" t="s">
        <v>374</v>
      </c>
      <c r="K230" s="35" t="s">
        <v>669</v>
      </c>
      <c r="L230" s="35" t="s">
        <v>376</v>
      </c>
      <c r="M230" s="35" t="s">
        <v>793</v>
      </c>
      <c r="N230" s="35" t="s">
        <v>719</v>
      </c>
      <c r="O230" s="35" t="s">
        <v>793</v>
      </c>
      <c r="P230" s="35" t="s">
        <v>671</v>
      </c>
      <c r="Q230" s="35" t="s">
        <v>592</v>
      </c>
      <c r="R230" s="35" t="s">
        <v>862</v>
      </c>
      <c r="S230" s="35" t="s">
        <v>500</v>
      </c>
      <c r="T230" s="35" t="s">
        <v>384</v>
      </c>
      <c r="U230" s="35" t="s">
        <v>385</v>
      </c>
      <c r="X230" s="35" t="s">
        <v>3014</v>
      </c>
      <c r="AW230" s="35" t="s">
        <v>597</v>
      </c>
      <c r="AX230" s="41">
        <v>4.0</v>
      </c>
      <c r="AY230" s="35" t="s">
        <v>391</v>
      </c>
      <c r="AZ230" s="35" t="s">
        <v>391</v>
      </c>
      <c r="BA230" s="41">
        <v>4.0</v>
      </c>
      <c r="BB230" s="41">
        <v>4.0</v>
      </c>
      <c r="BC230" s="41">
        <v>4.0</v>
      </c>
      <c r="BD230" s="35" t="s">
        <v>9905</v>
      </c>
      <c r="BF230" s="35" t="s">
        <v>432</v>
      </c>
      <c r="BG230" s="35" t="s">
        <v>393</v>
      </c>
      <c r="BH230" s="35" t="s">
        <v>394</v>
      </c>
      <c r="BJ230" s="35" t="s">
        <v>976</v>
      </c>
      <c r="BL230" s="35" t="s">
        <v>437</v>
      </c>
      <c r="BM230" s="35" t="s">
        <v>438</v>
      </c>
      <c r="BN230" s="35" t="s">
        <v>397</v>
      </c>
      <c r="BO230" s="35" t="s">
        <v>398</v>
      </c>
      <c r="BP230" s="35" t="s">
        <v>9906</v>
      </c>
      <c r="BQ230" s="35" t="s">
        <v>2675</v>
      </c>
      <c r="BR230" s="35" t="s">
        <v>401</v>
      </c>
      <c r="BS230" s="35" t="s">
        <v>4462</v>
      </c>
      <c r="BT230" s="35" t="s">
        <v>4071</v>
      </c>
      <c r="BU230" s="35" t="s">
        <v>4072</v>
      </c>
      <c r="BV230" s="35" t="s">
        <v>405</v>
      </c>
      <c r="BX230" s="35" t="s">
        <v>406</v>
      </c>
      <c r="BZ230" s="35" t="s">
        <v>455</v>
      </c>
      <c r="CA230" s="35" t="s">
        <v>9907</v>
      </c>
      <c r="CD230" s="35" t="s">
        <v>9908</v>
      </c>
      <c r="CE230" s="35" t="s">
        <v>409</v>
      </c>
      <c r="CF230" s="35" t="s">
        <v>9909</v>
      </c>
      <c r="CG230" s="35" t="s">
        <v>1258</v>
      </c>
      <c r="CI230" s="35" t="s">
        <v>1259</v>
      </c>
      <c r="CJ230" s="35" t="s">
        <v>1964</v>
      </c>
      <c r="CK230" s="35" t="s">
        <v>9910</v>
      </c>
      <c r="DJ230" s="35" t="s">
        <v>963</v>
      </c>
      <c r="DK230" s="35" t="s">
        <v>613</v>
      </c>
      <c r="EU230" s="35" t="s">
        <v>526</v>
      </c>
      <c r="EV230" s="35" t="s">
        <v>579</v>
      </c>
      <c r="EW230" s="35" t="s">
        <v>480</v>
      </c>
      <c r="EZ230" s="35" t="s">
        <v>9911</v>
      </c>
      <c r="FA230" s="35" t="s">
        <v>414</v>
      </c>
      <c r="FB230" s="35" t="s">
        <v>414</v>
      </c>
      <c r="FC230" s="35" t="s">
        <v>413</v>
      </c>
      <c r="FD230" s="35" t="s">
        <v>415</v>
      </c>
      <c r="FE230" s="35" t="s">
        <v>413</v>
      </c>
      <c r="FF230" s="35" t="s">
        <v>583</v>
      </c>
      <c r="FG230" s="35" t="s">
        <v>415</v>
      </c>
      <c r="FH230" s="35" t="s">
        <v>414</v>
      </c>
      <c r="FI230" s="35" t="s">
        <v>416</v>
      </c>
      <c r="FJ230" s="35" t="s">
        <v>413</v>
      </c>
      <c r="FK230" s="35" t="s">
        <v>415</v>
      </c>
      <c r="FL230" s="35" t="s">
        <v>415</v>
      </c>
      <c r="FM230" s="35" t="s">
        <v>415</v>
      </c>
      <c r="FN230" s="35" t="s">
        <v>415</v>
      </c>
      <c r="FO230" s="35" t="s">
        <v>415</v>
      </c>
      <c r="FP230" s="35" t="s">
        <v>1074</v>
      </c>
      <c r="FQ230" s="35" t="s">
        <v>418</v>
      </c>
      <c r="FR230" s="35" t="s">
        <v>749</v>
      </c>
      <c r="FT230" s="35" t="s">
        <v>420</v>
      </c>
      <c r="FU230" s="35" t="s">
        <v>1462</v>
      </c>
      <c r="FV230" s="35" t="s">
        <v>1235</v>
      </c>
      <c r="FW230" s="35" t="s">
        <v>490</v>
      </c>
      <c r="FX230" s="35" t="s">
        <v>491</v>
      </c>
      <c r="FY230" s="35" t="s">
        <v>9912</v>
      </c>
      <c r="FZ230" s="35" t="s">
        <v>535</v>
      </c>
      <c r="GC230" s="35" t="s">
        <v>455</v>
      </c>
      <c r="GD230" s="35" t="s">
        <v>10977</v>
      </c>
      <c r="GF230" s="35" t="s">
        <v>753</v>
      </c>
      <c r="GK230" s="35" t="s">
        <v>789</v>
      </c>
      <c r="GL230" s="35" t="s">
        <v>789</v>
      </c>
      <c r="GM230" s="35" t="s">
        <v>817</v>
      </c>
      <c r="GR230" s="35" t="s">
        <v>3208</v>
      </c>
      <c r="GS230" s="35" t="s">
        <v>4774</v>
      </c>
      <c r="GW230" s="35" t="s">
        <v>5231</v>
      </c>
      <c r="GX230" s="35" t="s">
        <v>484</v>
      </c>
      <c r="GY230" s="35" t="s">
        <v>5281</v>
      </c>
      <c r="GZ230" s="35" t="s">
        <v>6013</v>
      </c>
      <c r="HA230" s="35" t="s">
        <v>5234</v>
      </c>
      <c r="HB230" s="35" t="s">
        <v>5369</v>
      </c>
      <c r="HC230" s="35" t="s">
        <v>5961</v>
      </c>
      <c r="HP230" s="35" t="s">
        <v>5301</v>
      </c>
      <c r="HQ230" s="35" t="s">
        <v>5264</v>
      </c>
      <c r="HR230" s="35" t="s">
        <v>5286</v>
      </c>
      <c r="HS230" s="35" t="s">
        <v>5239</v>
      </c>
      <c r="MK230" s="35" t="s">
        <v>6321</v>
      </c>
    </row>
    <row r="231">
      <c r="A231" s="35" t="s">
        <v>10978</v>
      </c>
      <c r="B231" s="40">
        <v>46182.8067103588</v>
      </c>
      <c r="C231" s="35" t="s">
        <v>368</v>
      </c>
      <c r="D231" s="35" t="s">
        <v>9934</v>
      </c>
      <c r="E231" s="35" t="s">
        <v>9934</v>
      </c>
      <c r="H231" s="35" t="s">
        <v>1269</v>
      </c>
      <c r="I231" s="35" t="s">
        <v>637</v>
      </c>
      <c r="J231" s="35" t="s">
        <v>638</v>
      </c>
      <c r="K231" s="35" t="s">
        <v>590</v>
      </c>
      <c r="L231" s="35" t="s">
        <v>376</v>
      </c>
      <c r="M231" s="35" t="s">
        <v>1526</v>
      </c>
      <c r="N231" s="35" t="s">
        <v>6033</v>
      </c>
      <c r="O231" s="35" t="s">
        <v>1526</v>
      </c>
      <c r="P231" s="35" t="s">
        <v>671</v>
      </c>
      <c r="Q231" s="35" t="s">
        <v>498</v>
      </c>
      <c r="R231" s="35" t="s">
        <v>499</v>
      </c>
      <c r="S231" s="35" t="s">
        <v>500</v>
      </c>
      <c r="T231" s="35" t="s">
        <v>2837</v>
      </c>
      <c r="U231" s="35" t="s">
        <v>385</v>
      </c>
      <c r="X231" s="35" t="s">
        <v>3014</v>
      </c>
      <c r="AW231" s="35" t="s">
        <v>390</v>
      </c>
      <c r="AX231" s="41">
        <v>2.0</v>
      </c>
      <c r="AY231" s="41">
        <v>2.0</v>
      </c>
      <c r="AZ231" s="41">
        <v>4.0</v>
      </c>
      <c r="BA231" s="41">
        <v>4.0</v>
      </c>
      <c r="BB231" s="35" t="s">
        <v>391</v>
      </c>
      <c r="BC231" s="35" t="s">
        <v>391</v>
      </c>
      <c r="BD231" s="35" t="s">
        <v>9935</v>
      </c>
      <c r="BE231" s="35" t="s">
        <v>9936</v>
      </c>
      <c r="BF231" s="35" t="s">
        <v>432</v>
      </c>
      <c r="BG231" s="35" t="s">
        <v>433</v>
      </c>
      <c r="BH231" s="35" t="s">
        <v>507</v>
      </c>
      <c r="BI231" s="35" t="s">
        <v>9937</v>
      </c>
      <c r="BJ231" s="35" t="s">
        <v>976</v>
      </c>
      <c r="BK231" s="35" t="s">
        <v>9938</v>
      </c>
      <c r="BL231" s="35" t="s">
        <v>681</v>
      </c>
      <c r="BM231" s="35" t="s">
        <v>603</v>
      </c>
      <c r="BN231" s="35" t="s">
        <v>439</v>
      </c>
      <c r="BO231" s="35" t="s">
        <v>398</v>
      </c>
      <c r="BP231" s="35" t="s">
        <v>9939</v>
      </c>
      <c r="BQ231" s="35" t="s">
        <v>9940</v>
      </c>
      <c r="BR231" s="35" t="s">
        <v>401</v>
      </c>
      <c r="BS231" s="35" t="s">
        <v>9941</v>
      </c>
      <c r="BT231" s="35" t="s">
        <v>4071</v>
      </c>
      <c r="BU231" s="35" t="s">
        <v>1994</v>
      </c>
      <c r="BV231" s="35" t="s">
        <v>405</v>
      </c>
      <c r="BW231" s="35" t="s">
        <v>9942</v>
      </c>
      <c r="BX231" s="35" t="s">
        <v>988</v>
      </c>
      <c r="BZ231" s="35" t="s">
        <v>455</v>
      </c>
      <c r="CA231" s="35" t="s">
        <v>9943</v>
      </c>
      <c r="CB231" s="35" t="s">
        <v>9944</v>
      </c>
      <c r="CC231" s="35" t="s">
        <v>9945</v>
      </c>
      <c r="CD231" s="35" t="s">
        <v>9946</v>
      </c>
      <c r="CE231" s="35" t="s">
        <v>451</v>
      </c>
      <c r="CF231" s="35" t="s">
        <v>9947</v>
      </c>
      <c r="CG231" s="35" t="s">
        <v>1722</v>
      </c>
      <c r="CH231" s="35" t="s">
        <v>9948</v>
      </c>
      <c r="CI231" s="35" t="s">
        <v>1751</v>
      </c>
      <c r="CJ231" s="35" t="s">
        <v>410</v>
      </c>
      <c r="CK231" s="35" t="s">
        <v>9949</v>
      </c>
      <c r="CL231" s="35" t="s">
        <v>9950</v>
      </c>
      <c r="DJ231" s="35" t="s">
        <v>459</v>
      </c>
      <c r="DK231" s="35" t="s">
        <v>562</v>
      </c>
      <c r="DL231" s="35" t="s">
        <v>6335</v>
      </c>
      <c r="EU231" s="35" t="s">
        <v>526</v>
      </c>
      <c r="EV231" s="35" t="s">
        <v>479</v>
      </c>
      <c r="EW231" s="35" t="s">
        <v>527</v>
      </c>
      <c r="EX231" s="35" t="s">
        <v>9951</v>
      </c>
      <c r="EY231" s="35" t="s">
        <v>9952</v>
      </c>
      <c r="EZ231" s="35" t="s">
        <v>9953</v>
      </c>
      <c r="FA231" s="35" t="s">
        <v>583</v>
      </c>
      <c r="FB231" s="35" t="s">
        <v>583</v>
      </c>
      <c r="FC231" s="35" t="s">
        <v>416</v>
      </c>
      <c r="FD231" s="35" t="s">
        <v>414</v>
      </c>
      <c r="FE231" s="35" t="s">
        <v>413</v>
      </c>
      <c r="FF231" s="35" t="s">
        <v>414</v>
      </c>
      <c r="FG231" s="35" t="s">
        <v>415</v>
      </c>
      <c r="FH231" s="35" t="s">
        <v>415</v>
      </c>
      <c r="FI231" s="35" t="s">
        <v>413</v>
      </c>
      <c r="FJ231" s="35" t="s">
        <v>413</v>
      </c>
      <c r="FK231" s="35" t="s">
        <v>415</v>
      </c>
      <c r="FL231" s="35" t="s">
        <v>414</v>
      </c>
      <c r="FM231" s="35" t="s">
        <v>414</v>
      </c>
      <c r="FN231" s="35" t="s">
        <v>416</v>
      </c>
      <c r="FO231" s="35" t="s">
        <v>414</v>
      </c>
      <c r="FP231" s="35" t="s">
        <v>485</v>
      </c>
      <c r="FQ231" s="35" t="s">
        <v>418</v>
      </c>
      <c r="FR231" s="35" t="s">
        <v>1039</v>
      </c>
      <c r="FS231" s="35" t="s">
        <v>9954</v>
      </c>
      <c r="FT231" s="35" t="s">
        <v>1189</v>
      </c>
      <c r="FU231" s="35" t="s">
        <v>488</v>
      </c>
      <c r="FV231" s="35" t="s">
        <v>918</v>
      </c>
      <c r="FW231" s="35" t="s">
        <v>1101</v>
      </c>
      <c r="FX231" s="35" t="s">
        <v>491</v>
      </c>
      <c r="FZ231" s="35" t="s">
        <v>535</v>
      </c>
      <c r="GA231" s="35" t="s">
        <v>9955</v>
      </c>
      <c r="GB231" s="35" t="s">
        <v>9956</v>
      </c>
      <c r="GC231" s="35" t="s">
        <v>455</v>
      </c>
      <c r="GD231" s="35" t="s">
        <v>10979</v>
      </c>
      <c r="GE231" s="35" t="s">
        <v>10980</v>
      </c>
      <c r="GF231" s="35" t="s">
        <v>753</v>
      </c>
      <c r="GG231" s="35" t="s">
        <v>9957</v>
      </c>
      <c r="GK231" s="35" t="s">
        <v>755</v>
      </c>
      <c r="GL231" s="35" t="s">
        <v>755</v>
      </c>
      <c r="GM231" s="35" t="s">
        <v>817</v>
      </c>
      <c r="GO231" s="35" t="s">
        <v>9934</v>
      </c>
      <c r="GP231" s="35" t="s">
        <v>9934</v>
      </c>
      <c r="GR231" s="35" t="s">
        <v>3273</v>
      </c>
      <c r="GS231" s="35" t="s">
        <v>4774</v>
      </c>
      <c r="GW231" s="35" t="s">
        <v>5231</v>
      </c>
      <c r="GX231" s="35" t="s">
        <v>484</v>
      </c>
      <c r="GY231" s="35" t="s">
        <v>5262</v>
      </c>
      <c r="GZ231" s="35" t="s">
        <v>5233</v>
      </c>
      <c r="HA231" s="35" t="s">
        <v>9958</v>
      </c>
      <c r="HB231" s="35" t="s">
        <v>484</v>
      </c>
      <c r="HC231" s="35" t="s">
        <v>913</v>
      </c>
      <c r="HP231" s="35" t="s">
        <v>5346</v>
      </c>
      <c r="HQ231" s="35" t="s">
        <v>5264</v>
      </c>
      <c r="HR231" s="35" t="s">
        <v>5238</v>
      </c>
      <c r="HS231" s="35" t="s">
        <v>5239</v>
      </c>
      <c r="MK231" s="35" t="s">
        <v>6321</v>
      </c>
    </row>
  </sheetData>
  <hyperlinks>
    <hyperlink r:id="rId1" ref="GR47"/>
    <hyperlink r:id="rId2" ref="GR130"/>
    <hyperlink r:id="rId3" ref="GE173"/>
    <hyperlink r:id="rId4" ref="GR173"/>
    <hyperlink r:id="rId5" ref="GE208"/>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CBEC"/>
    <outlinePr summaryBelow="0" summaryRight="0"/>
  </sheetPr>
  <sheetViews>
    <sheetView workbookViewId="0"/>
  </sheetViews>
  <sheetFormatPr customHeight="1" defaultColWidth="12.63" defaultRowHeight="15.75"/>
  <cols>
    <col hidden="1" min="68" max="90" width="12.63"/>
    <col hidden="1" min="118" max="150" width="12.63"/>
    <col customWidth="1" min="188" max="188" width="23.25"/>
    <col hidden="1" min="193" max="196" width="12.63"/>
    <col hidden="1" min="201" max="202" width="12.63"/>
    <col hidden="1" min="205" max="205" width="12.63"/>
  </cols>
  <sheetData>
    <row r="1" ht="138.75" customHeight="1">
      <c r="A1" s="43" t="s">
        <v>10408</v>
      </c>
      <c r="B1" s="44" t="s">
        <v>0</v>
      </c>
      <c r="C1" s="44" t="s">
        <v>1</v>
      </c>
      <c r="D1" s="44" t="s">
        <v>2</v>
      </c>
      <c r="E1" s="44" t="s">
        <v>3</v>
      </c>
      <c r="F1" s="44" t="s">
        <v>4</v>
      </c>
      <c r="G1" s="44" t="s">
        <v>5</v>
      </c>
      <c r="H1" s="44" t="s">
        <v>6</v>
      </c>
      <c r="I1" s="44" t="s">
        <v>7</v>
      </c>
      <c r="J1" s="44" t="s">
        <v>8</v>
      </c>
      <c r="K1" s="44" t="s">
        <v>9</v>
      </c>
      <c r="L1" s="44" t="s">
        <v>10</v>
      </c>
      <c r="M1" s="44" t="s">
        <v>11</v>
      </c>
      <c r="N1" s="44" t="s">
        <v>12</v>
      </c>
      <c r="O1" s="44" t="s">
        <v>13</v>
      </c>
      <c r="P1" s="44" t="s">
        <v>14</v>
      </c>
      <c r="Q1" s="44" t="s">
        <v>15</v>
      </c>
      <c r="R1" s="44" t="s">
        <v>16</v>
      </c>
      <c r="S1" s="44" t="s">
        <v>17</v>
      </c>
      <c r="T1" s="44" t="s">
        <v>18</v>
      </c>
      <c r="U1" s="44" t="s">
        <v>19</v>
      </c>
      <c r="V1" s="44" t="s">
        <v>20</v>
      </c>
      <c r="W1" s="44" t="s">
        <v>21</v>
      </c>
      <c r="X1" s="44" t="s">
        <v>22</v>
      </c>
      <c r="Y1" s="44" t="s">
        <v>23</v>
      </c>
      <c r="Z1" s="44" t="s">
        <v>10001</v>
      </c>
      <c r="AA1" s="44" t="s">
        <v>10003</v>
      </c>
      <c r="AB1" s="44" t="s">
        <v>10409</v>
      </c>
      <c r="AC1" s="44" t="s">
        <v>10007</v>
      </c>
      <c r="AD1" s="44" t="s">
        <v>10009</v>
      </c>
      <c r="AE1" s="44" t="s">
        <v>10011</v>
      </c>
      <c r="AF1" s="44" t="s">
        <v>10410</v>
      </c>
      <c r="AG1" s="44" t="s">
        <v>10411</v>
      </c>
      <c r="AH1" s="44" t="s">
        <v>10017</v>
      </c>
      <c r="AI1" s="44" t="s">
        <v>10019</v>
      </c>
      <c r="AJ1" s="44" t="s">
        <v>10021</v>
      </c>
      <c r="AK1" s="44" t="s">
        <v>10023</v>
      </c>
      <c r="AL1" s="44" t="s">
        <v>10025</v>
      </c>
      <c r="AM1" s="44" t="s">
        <v>10027</v>
      </c>
      <c r="AN1" s="44" t="s">
        <v>10029</v>
      </c>
      <c r="AO1" s="44" t="s">
        <v>10412</v>
      </c>
      <c r="AP1" s="44" t="s">
        <v>10413</v>
      </c>
      <c r="AQ1" s="44" t="s">
        <v>10035</v>
      </c>
      <c r="AR1" s="44" t="s">
        <v>10037</v>
      </c>
      <c r="AS1" s="44" t="s">
        <v>10039</v>
      </c>
      <c r="AT1" s="44" t="s">
        <v>10041</v>
      </c>
      <c r="AU1" s="44" t="s">
        <v>10043</v>
      </c>
      <c r="AV1" s="44" t="s">
        <v>10414</v>
      </c>
      <c r="AW1" s="44" t="s">
        <v>47</v>
      </c>
      <c r="AX1" s="44" t="s">
        <v>48</v>
      </c>
      <c r="AY1" s="44" t="s">
        <v>49</v>
      </c>
      <c r="AZ1" s="44" t="s">
        <v>50</v>
      </c>
      <c r="BA1" s="44" t="s">
        <v>51</v>
      </c>
      <c r="BB1" s="44" t="s">
        <v>52</v>
      </c>
      <c r="BC1" s="44" t="s">
        <v>53</v>
      </c>
      <c r="BD1" s="44" t="s">
        <v>54</v>
      </c>
      <c r="BE1" s="44" t="s">
        <v>55</v>
      </c>
      <c r="BF1" s="44" t="s">
        <v>56</v>
      </c>
      <c r="BG1" s="44" t="s">
        <v>57</v>
      </c>
      <c r="BH1" s="44" t="s">
        <v>58</v>
      </c>
      <c r="BI1" s="44" t="s">
        <v>59</v>
      </c>
      <c r="BJ1" s="44" t="s">
        <v>60</v>
      </c>
      <c r="BK1" s="44" t="s">
        <v>61</v>
      </c>
      <c r="BL1" s="44" t="s">
        <v>62</v>
      </c>
      <c r="BM1" s="44" t="s">
        <v>63</v>
      </c>
      <c r="BN1" s="44" t="s">
        <v>64</v>
      </c>
      <c r="BO1" s="44" t="s">
        <v>10065</v>
      </c>
      <c r="BP1" s="44" t="s">
        <v>66</v>
      </c>
      <c r="BQ1" s="44" t="s">
        <v>67</v>
      </c>
      <c r="BR1" s="44" t="s">
        <v>68</v>
      </c>
      <c r="BS1" s="44" t="s">
        <v>69</v>
      </c>
      <c r="BT1" s="44" t="s">
        <v>70</v>
      </c>
      <c r="BU1" s="44" t="s">
        <v>71</v>
      </c>
      <c r="BV1" s="44" t="s">
        <v>72</v>
      </c>
      <c r="BW1" s="44" t="s">
        <v>73</v>
      </c>
      <c r="BX1" s="44" t="s">
        <v>74</v>
      </c>
      <c r="BY1" s="44" t="s">
        <v>75</v>
      </c>
      <c r="BZ1" s="44" t="s">
        <v>76</v>
      </c>
      <c r="CA1" s="44" t="s">
        <v>77</v>
      </c>
      <c r="CB1" s="44" t="s">
        <v>78</v>
      </c>
      <c r="CC1" s="44" t="s">
        <v>79</v>
      </c>
      <c r="CD1" s="44" t="s">
        <v>80</v>
      </c>
      <c r="CE1" s="44" t="s">
        <v>81</v>
      </c>
      <c r="CF1" s="44" t="s">
        <v>82</v>
      </c>
      <c r="CG1" s="44" t="s">
        <v>83</v>
      </c>
      <c r="CH1" s="44" t="s">
        <v>84</v>
      </c>
      <c r="CI1" s="44" t="s">
        <v>85</v>
      </c>
      <c r="CJ1" s="44" t="s">
        <v>86</v>
      </c>
      <c r="CK1" s="44" t="s">
        <v>87</v>
      </c>
      <c r="CL1" s="44" t="s">
        <v>10093</v>
      </c>
      <c r="CM1" s="44" t="s">
        <v>89</v>
      </c>
      <c r="CN1" s="44" t="s">
        <v>90</v>
      </c>
      <c r="CO1" s="44" t="s">
        <v>91</v>
      </c>
      <c r="CP1" s="44" t="s">
        <v>92</v>
      </c>
      <c r="CQ1" s="44" t="s">
        <v>93</v>
      </c>
      <c r="CR1" s="44" t="s">
        <v>94</v>
      </c>
      <c r="CS1" s="44" t="s">
        <v>95</v>
      </c>
      <c r="CT1" s="44" t="s">
        <v>96</v>
      </c>
      <c r="CU1" s="44" t="s">
        <v>97</v>
      </c>
      <c r="CV1" s="44" t="s">
        <v>98</v>
      </c>
      <c r="CW1" s="44" t="s">
        <v>99</v>
      </c>
      <c r="CX1" s="44" t="s">
        <v>100</v>
      </c>
      <c r="CY1" s="44" t="s">
        <v>101</v>
      </c>
      <c r="CZ1" s="44" t="s">
        <v>102</v>
      </c>
      <c r="DA1" s="44" t="s">
        <v>10415</v>
      </c>
      <c r="DB1" s="44" t="s">
        <v>104</v>
      </c>
      <c r="DC1" s="44" t="s">
        <v>105</v>
      </c>
      <c r="DD1" s="44" t="s">
        <v>106</v>
      </c>
      <c r="DE1" s="44" t="s">
        <v>107</v>
      </c>
      <c r="DF1" s="44" t="s">
        <v>108</v>
      </c>
      <c r="DG1" s="44" t="s">
        <v>109</v>
      </c>
      <c r="DH1" s="44" t="s">
        <v>110</v>
      </c>
      <c r="DI1" s="44" t="s">
        <v>111</v>
      </c>
      <c r="DJ1" s="44" t="s">
        <v>10122</v>
      </c>
      <c r="DK1" s="44" t="s">
        <v>113</v>
      </c>
      <c r="DL1" s="44" t="s">
        <v>10125</v>
      </c>
      <c r="DM1" s="44" t="s">
        <v>10416</v>
      </c>
      <c r="DN1" s="44" t="s">
        <v>116</v>
      </c>
      <c r="DO1" s="44" t="s">
        <v>117</v>
      </c>
      <c r="DP1" s="44" t="s">
        <v>118</v>
      </c>
      <c r="DQ1" s="44" t="s">
        <v>119</v>
      </c>
      <c r="DR1" s="44" t="s">
        <v>120</v>
      </c>
      <c r="DS1" s="44" t="s">
        <v>121</v>
      </c>
      <c r="DT1" s="44" t="s">
        <v>122</v>
      </c>
      <c r="DU1" s="44" t="s">
        <v>123</v>
      </c>
      <c r="DV1" s="44" t="s">
        <v>10417</v>
      </c>
      <c r="DW1" s="44" t="s">
        <v>125</v>
      </c>
      <c r="DX1" s="44" t="s">
        <v>126</v>
      </c>
      <c r="DY1" s="44" t="s">
        <v>127</v>
      </c>
      <c r="DZ1" s="44" t="s">
        <v>128</v>
      </c>
      <c r="EA1" s="44" t="s">
        <v>129</v>
      </c>
      <c r="EB1" s="44" t="s">
        <v>130</v>
      </c>
      <c r="EC1" s="44" t="s">
        <v>10145</v>
      </c>
      <c r="ED1" s="44" t="s">
        <v>132</v>
      </c>
      <c r="EE1" s="44" t="s">
        <v>133</v>
      </c>
      <c r="EF1" s="44" t="s">
        <v>254</v>
      </c>
      <c r="EG1" s="44" t="s">
        <v>10418</v>
      </c>
      <c r="EH1" s="44" t="s">
        <v>10419</v>
      </c>
      <c r="EI1" s="44" t="s">
        <v>10420</v>
      </c>
      <c r="EJ1" s="44" t="s">
        <v>10421</v>
      </c>
      <c r="EK1" s="44" t="s">
        <v>10422</v>
      </c>
      <c r="EL1" s="44" t="s">
        <v>256</v>
      </c>
      <c r="EM1" s="44" t="s">
        <v>257</v>
      </c>
      <c r="EN1" s="44" t="s">
        <v>258</v>
      </c>
      <c r="EO1" s="44" t="s">
        <v>259</v>
      </c>
      <c r="EP1" s="44" t="s">
        <v>260</v>
      </c>
      <c r="EQ1" s="44" t="s">
        <v>261</v>
      </c>
      <c r="ER1" s="44" t="s">
        <v>146</v>
      </c>
      <c r="ES1" s="44" t="s">
        <v>147</v>
      </c>
      <c r="ET1" s="44" t="s">
        <v>148</v>
      </c>
      <c r="EU1" s="44" t="s">
        <v>149</v>
      </c>
      <c r="EV1" s="44" t="s">
        <v>150</v>
      </c>
      <c r="EW1" s="44" t="s">
        <v>151</v>
      </c>
      <c r="EX1" s="44" t="s">
        <v>152</v>
      </c>
      <c r="EY1" s="44" t="s">
        <v>153</v>
      </c>
      <c r="EZ1" s="44" t="s">
        <v>154</v>
      </c>
      <c r="FA1" s="44" t="s">
        <v>155</v>
      </c>
      <c r="FB1" s="44" t="s">
        <v>156</v>
      </c>
      <c r="FC1" s="44" t="s">
        <v>157</v>
      </c>
      <c r="FD1" s="44" t="s">
        <v>158</v>
      </c>
      <c r="FE1" s="44" t="s">
        <v>159</v>
      </c>
      <c r="FF1" s="44" t="s">
        <v>160</v>
      </c>
      <c r="FG1" s="44" t="s">
        <v>161</v>
      </c>
      <c r="FH1" s="44" t="s">
        <v>162</v>
      </c>
      <c r="FI1" s="44" t="s">
        <v>163</v>
      </c>
      <c r="FJ1" s="44" t="s">
        <v>164</v>
      </c>
      <c r="FK1" s="44" t="s">
        <v>165</v>
      </c>
      <c r="FL1" s="44" t="s">
        <v>166</v>
      </c>
      <c r="FM1" s="44" t="s">
        <v>167</v>
      </c>
      <c r="FN1" s="44" t="s">
        <v>168</v>
      </c>
      <c r="FO1" s="44" t="s">
        <v>169</v>
      </c>
      <c r="FP1" s="44" t="s">
        <v>170</v>
      </c>
      <c r="FQ1" s="44" t="s">
        <v>171</v>
      </c>
      <c r="FR1" s="44" t="s">
        <v>10188</v>
      </c>
      <c r="FS1" s="44" t="s">
        <v>173</v>
      </c>
      <c r="FT1" s="44" t="s">
        <v>174</v>
      </c>
      <c r="FU1" s="44" t="s">
        <v>175</v>
      </c>
      <c r="FV1" s="44" t="s">
        <v>176</v>
      </c>
      <c r="FW1" s="44" t="s">
        <v>177</v>
      </c>
      <c r="FX1" s="44" t="s">
        <v>178</v>
      </c>
      <c r="FY1" s="44" t="s">
        <v>179</v>
      </c>
      <c r="FZ1" s="44" t="s">
        <v>180</v>
      </c>
      <c r="GA1" s="44" t="s">
        <v>181</v>
      </c>
      <c r="GB1" s="44" t="s">
        <v>182</v>
      </c>
      <c r="GC1" s="44" t="s">
        <v>10423</v>
      </c>
      <c r="GD1" s="44" t="s">
        <v>184</v>
      </c>
      <c r="GE1" s="44" t="s">
        <v>185</v>
      </c>
      <c r="GF1" s="43" t="s">
        <v>186</v>
      </c>
      <c r="GG1" s="43" t="s">
        <v>187</v>
      </c>
      <c r="GH1" s="43" t="s">
        <v>10205</v>
      </c>
      <c r="GI1" s="43" t="s">
        <v>10207</v>
      </c>
      <c r="GJ1" s="43" t="s">
        <v>10209</v>
      </c>
      <c r="GK1" s="43" t="s">
        <v>191</v>
      </c>
      <c r="GL1" s="43" t="s">
        <v>10212</v>
      </c>
      <c r="GM1" s="43" t="s">
        <v>10214</v>
      </c>
      <c r="GN1" s="43" t="s">
        <v>10424</v>
      </c>
      <c r="GO1" s="43" t="s">
        <v>195</v>
      </c>
      <c r="GP1" s="43" t="s">
        <v>196</v>
      </c>
      <c r="GQ1" s="43" t="s">
        <v>197</v>
      </c>
      <c r="GR1" s="43" t="s">
        <v>198</v>
      </c>
      <c r="GS1" s="43" t="s">
        <v>199</v>
      </c>
      <c r="GT1" s="43" t="s">
        <v>200</v>
      </c>
      <c r="GU1" s="43" t="s">
        <v>201</v>
      </c>
      <c r="GV1" s="43" t="s">
        <v>202</v>
      </c>
    </row>
    <row r="2">
      <c r="A2" s="40"/>
      <c r="B2" s="40">
        <v>45825.05825144676</v>
      </c>
      <c r="C2" s="35" t="s">
        <v>368</v>
      </c>
      <c r="D2" s="35" t="s">
        <v>370</v>
      </c>
      <c r="F2" s="35" t="s">
        <v>495</v>
      </c>
      <c r="H2" s="35" t="s">
        <v>422</v>
      </c>
      <c r="I2" s="35" t="s">
        <v>496</v>
      </c>
      <c r="J2" s="35" t="s">
        <v>374</v>
      </c>
      <c r="K2" s="35" t="s">
        <v>425</v>
      </c>
      <c r="L2" s="35" t="s">
        <v>376</v>
      </c>
      <c r="M2" s="35" t="s">
        <v>379</v>
      </c>
      <c r="N2" s="35" t="s">
        <v>378</v>
      </c>
      <c r="O2" s="35" t="s">
        <v>379</v>
      </c>
      <c r="P2" s="35" t="s">
        <v>497</v>
      </c>
      <c r="Q2" s="35" t="s">
        <v>498</v>
      </c>
      <c r="R2" s="35" t="s">
        <v>499</v>
      </c>
      <c r="S2" s="35" t="s">
        <v>500</v>
      </c>
      <c r="T2" s="35" t="s">
        <v>501</v>
      </c>
      <c r="U2" s="35" t="s">
        <v>385</v>
      </c>
      <c r="X2" s="35" t="s">
        <v>386</v>
      </c>
      <c r="Y2" s="35" t="s">
        <v>387</v>
      </c>
      <c r="Z2" s="35" t="s">
        <v>388</v>
      </c>
      <c r="AA2" s="35" t="s">
        <v>502</v>
      </c>
      <c r="AB2" s="35" t="s">
        <v>408</v>
      </c>
      <c r="AC2" s="35" t="s">
        <v>10981</v>
      </c>
      <c r="AW2" s="35" t="s">
        <v>504</v>
      </c>
      <c r="AX2" s="35" t="s">
        <v>429</v>
      </c>
      <c r="AY2" s="35" t="s">
        <v>429</v>
      </c>
      <c r="AZ2" s="35" t="s">
        <v>429</v>
      </c>
      <c r="BA2" s="35" t="s">
        <v>429</v>
      </c>
      <c r="BB2" s="35" t="s">
        <v>429</v>
      </c>
      <c r="BC2" s="35" t="s">
        <v>429</v>
      </c>
      <c r="BD2" s="35" t="s">
        <v>10982</v>
      </c>
      <c r="BE2" s="35" t="s">
        <v>10983</v>
      </c>
      <c r="BF2" s="35" t="s">
        <v>392</v>
      </c>
      <c r="BG2" s="35" t="s">
        <v>433</v>
      </c>
      <c r="BH2" s="35" t="s">
        <v>507</v>
      </c>
      <c r="BI2" s="35" t="s">
        <v>10984</v>
      </c>
      <c r="BJ2" s="35" t="s">
        <v>509</v>
      </c>
      <c r="BK2" s="35" t="s">
        <v>10985</v>
      </c>
      <c r="BL2" s="35" t="s">
        <v>511</v>
      </c>
      <c r="BM2" s="35" t="s">
        <v>512</v>
      </c>
      <c r="BN2" s="35" t="s">
        <v>439</v>
      </c>
      <c r="BO2" s="35" t="s">
        <v>513</v>
      </c>
      <c r="CM2" s="35" t="s">
        <v>441</v>
      </c>
      <c r="CN2" s="35" t="s">
        <v>442</v>
      </c>
      <c r="CO2" s="35" t="s">
        <v>10986</v>
      </c>
      <c r="CP2" s="35" t="s">
        <v>10987</v>
      </c>
      <c r="CQ2" s="35" t="s">
        <v>445</v>
      </c>
      <c r="CR2" s="35" t="s">
        <v>516</v>
      </c>
      <c r="CS2" s="35" t="s">
        <v>447</v>
      </c>
      <c r="CT2" s="35" t="s">
        <v>517</v>
      </c>
      <c r="CU2" s="35" t="s">
        <v>10988</v>
      </c>
      <c r="CV2" s="35" t="s">
        <v>519</v>
      </c>
      <c r="CW2" s="35" t="s">
        <v>451</v>
      </c>
      <c r="CX2" s="35" t="s">
        <v>10989</v>
      </c>
      <c r="CY2" s="35" t="s">
        <v>408</v>
      </c>
      <c r="DA2" s="35" t="s">
        <v>453</v>
      </c>
      <c r="DB2" s="35" t="s">
        <v>521</v>
      </c>
      <c r="DC2" s="35" t="s">
        <v>455</v>
      </c>
      <c r="DD2" s="35" t="s">
        <v>522</v>
      </c>
      <c r="DE2" s="35" t="s">
        <v>457</v>
      </c>
      <c r="DG2" s="35" t="s">
        <v>523</v>
      </c>
      <c r="DH2" s="35" t="s">
        <v>524</v>
      </c>
      <c r="DI2" s="35" t="s">
        <v>410</v>
      </c>
      <c r="DJ2" s="35" t="s">
        <v>459</v>
      </c>
      <c r="DK2" s="35" t="s">
        <v>460</v>
      </c>
      <c r="DL2" s="35" t="s">
        <v>525</v>
      </c>
      <c r="EU2" s="35" t="s">
        <v>526</v>
      </c>
      <c r="EV2" s="35" t="s">
        <v>479</v>
      </c>
      <c r="EW2" s="35" t="s">
        <v>527</v>
      </c>
      <c r="EX2" s="35" t="s">
        <v>10990</v>
      </c>
      <c r="EY2" s="35" t="s">
        <v>10991</v>
      </c>
      <c r="EZ2" s="35" t="s">
        <v>10992</v>
      </c>
      <c r="FA2" s="35" t="s">
        <v>413</v>
      </c>
      <c r="FB2" s="35" t="s">
        <v>413</v>
      </c>
      <c r="FC2" s="35" t="s">
        <v>413</v>
      </c>
      <c r="FD2" s="35" t="s">
        <v>413</v>
      </c>
      <c r="FE2" s="35" t="s">
        <v>413</v>
      </c>
      <c r="FF2" s="35" t="s">
        <v>413</v>
      </c>
      <c r="FG2" s="35" t="s">
        <v>413</v>
      </c>
      <c r="FH2" s="35" t="s">
        <v>413</v>
      </c>
      <c r="FI2" s="35" t="s">
        <v>413</v>
      </c>
      <c r="FJ2" s="35" t="s">
        <v>413</v>
      </c>
      <c r="FK2" s="35" t="s">
        <v>413</v>
      </c>
      <c r="FL2" s="35" t="s">
        <v>413</v>
      </c>
      <c r="FM2" s="35" t="s">
        <v>413</v>
      </c>
      <c r="FN2" s="35" t="s">
        <v>413</v>
      </c>
      <c r="FO2" s="35" t="s">
        <v>413</v>
      </c>
      <c r="FP2" s="35" t="s">
        <v>417</v>
      </c>
      <c r="FQ2" s="35" t="s">
        <v>418</v>
      </c>
      <c r="FR2" s="35" t="s">
        <v>531</v>
      </c>
      <c r="FS2" s="35" t="s">
        <v>10993</v>
      </c>
      <c r="FT2" s="35" t="s">
        <v>420</v>
      </c>
      <c r="FU2" s="35" t="s">
        <v>488</v>
      </c>
      <c r="FV2" s="35" t="s">
        <v>533</v>
      </c>
      <c r="FW2" s="35" t="s">
        <v>490</v>
      </c>
      <c r="FX2" s="35" t="s">
        <v>491</v>
      </c>
      <c r="FY2" s="35" t="s">
        <v>534</v>
      </c>
      <c r="FZ2" s="35" t="s">
        <v>535</v>
      </c>
      <c r="GA2" s="35" t="s">
        <v>536</v>
      </c>
      <c r="GB2" s="35" t="s">
        <v>10994</v>
      </c>
      <c r="GC2" s="35" t="s">
        <v>455</v>
      </c>
      <c r="GD2" s="35" t="s">
        <v>10995</v>
      </c>
    </row>
    <row r="3">
      <c r="A3" s="40"/>
      <c r="B3" s="40">
        <v>45825.25907047454</v>
      </c>
      <c r="C3" s="35" t="s">
        <v>368</v>
      </c>
      <c r="D3" s="35" t="s">
        <v>634</v>
      </c>
      <c r="E3" s="35" t="s">
        <v>635</v>
      </c>
      <c r="H3" s="35" t="s">
        <v>636</v>
      </c>
      <c r="I3" s="35" t="s">
        <v>637</v>
      </c>
      <c r="J3" s="35" t="s">
        <v>638</v>
      </c>
      <c r="K3" s="35" t="s">
        <v>590</v>
      </c>
      <c r="L3" s="35" t="s">
        <v>376</v>
      </c>
      <c r="M3" s="35" t="s">
        <v>591</v>
      </c>
      <c r="N3" s="35" t="s">
        <v>639</v>
      </c>
      <c r="O3" s="35" t="s">
        <v>591</v>
      </c>
      <c r="P3" s="35" t="s">
        <v>640</v>
      </c>
      <c r="Q3" s="35" t="s">
        <v>498</v>
      </c>
      <c r="R3" s="35" t="s">
        <v>382</v>
      </c>
      <c r="S3" s="35" t="s">
        <v>641</v>
      </c>
      <c r="T3" s="35" t="s">
        <v>384</v>
      </c>
      <c r="U3" s="35" t="s">
        <v>385</v>
      </c>
      <c r="X3" s="35" t="s">
        <v>593</v>
      </c>
      <c r="Y3" s="35" t="s">
        <v>642</v>
      </c>
      <c r="AM3" s="35" t="s">
        <v>643</v>
      </c>
      <c r="AN3" s="35" t="s">
        <v>644</v>
      </c>
      <c r="AO3" s="35" t="s">
        <v>455</v>
      </c>
      <c r="AP3" s="35" t="s">
        <v>645</v>
      </c>
      <c r="AQ3" s="35" t="s">
        <v>646</v>
      </c>
      <c r="AR3" s="41">
        <v>5.0</v>
      </c>
      <c r="AS3" s="35" t="s">
        <v>647</v>
      </c>
      <c r="AV3" s="35" t="s">
        <v>10996</v>
      </c>
      <c r="AW3" s="35" t="s">
        <v>504</v>
      </c>
      <c r="AX3" s="41">
        <v>2.0</v>
      </c>
      <c r="AY3" s="41">
        <v>2.0</v>
      </c>
      <c r="AZ3" s="35" t="s">
        <v>429</v>
      </c>
      <c r="BA3" s="35" t="s">
        <v>429</v>
      </c>
      <c r="BB3" s="41">
        <v>2.0</v>
      </c>
      <c r="BC3" s="41">
        <v>2.0</v>
      </c>
      <c r="BD3" s="35" t="s">
        <v>649</v>
      </c>
      <c r="BE3" s="35" t="s">
        <v>650</v>
      </c>
      <c r="BF3" s="35" t="s">
        <v>432</v>
      </c>
      <c r="BG3" s="35" t="s">
        <v>433</v>
      </c>
      <c r="BH3" s="35" t="s">
        <v>434</v>
      </c>
      <c r="BI3" s="35" t="s">
        <v>651</v>
      </c>
      <c r="BJ3" s="35" t="s">
        <v>509</v>
      </c>
      <c r="BK3" s="35" t="s">
        <v>652</v>
      </c>
      <c r="BL3" s="35" t="s">
        <v>395</v>
      </c>
      <c r="BM3" s="35" t="s">
        <v>438</v>
      </c>
      <c r="BN3" s="35" t="s">
        <v>439</v>
      </c>
      <c r="BO3" s="35" t="s">
        <v>513</v>
      </c>
      <c r="CM3" s="35" t="s">
        <v>550</v>
      </c>
      <c r="CN3" s="35" t="s">
        <v>442</v>
      </c>
      <c r="CO3" s="35" t="s">
        <v>10997</v>
      </c>
      <c r="CP3" s="35" t="s">
        <v>654</v>
      </c>
      <c r="CQ3" s="35" t="s">
        <v>445</v>
      </c>
      <c r="CR3" s="35" t="s">
        <v>655</v>
      </c>
      <c r="CS3" s="35" t="s">
        <v>447</v>
      </c>
      <c r="CT3" s="35" t="s">
        <v>656</v>
      </c>
      <c r="CU3" s="35" t="s">
        <v>657</v>
      </c>
      <c r="CV3" s="35" t="s">
        <v>450</v>
      </c>
      <c r="CW3" s="35" t="s">
        <v>451</v>
      </c>
      <c r="CX3" s="35" t="s">
        <v>658</v>
      </c>
      <c r="CY3" s="35" t="s">
        <v>408</v>
      </c>
      <c r="CZ3" s="35" t="s">
        <v>659</v>
      </c>
      <c r="DA3" s="35" t="s">
        <v>453</v>
      </c>
      <c r="DB3" s="35" t="s">
        <v>660</v>
      </c>
      <c r="DC3" s="35" t="s">
        <v>455</v>
      </c>
      <c r="DD3" s="35" t="s">
        <v>661</v>
      </c>
      <c r="DE3" s="35" t="s">
        <v>662</v>
      </c>
      <c r="DF3" s="35" t="s">
        <v>407</v>
      </c>
      <c r="DH3" s="35" t="s">
        <v>524</v>
      </c>
      <c r="DI3" s="35" t="s">
        <v>410</v>
      </c>
      <c r="DJ3" s="35" t="s">
        <v>459</v>
      </c>
      <c r="DK3" s="35" t="s">
        <v>613</v>
      </c>
      <c r="EU3" s="35" t="s">
        <v>526</v>
      </c>
      <c r="EV3" s="35" t="s">
        <v>479</v>
      </c>
      <c r="EW3" s="35" t="s">
        <v>663</v>
      </c>
      <c r="EY3" s="35" t="s">
        <v>664</v>
      </c>
      <c r="EZ3" s="35" t="s">
        <v>665</v>
      </c>
      <c r="FA3" s="35" t="s">
        <v>414</v>
      </c>
      <c r="FB3" s="35" t="s">
        <v>583</v>
      </c>
      <c r="FC3" s="35" t="s">
        <v>413</v>
      </c>
      <c r="FD3" s="35" t="s">
        <v>414</v>
      </c>
      <c r="FE3" s="35" t="s">
        <v>413</v>
      </c>
      <c r="FF3" s="35" t="s">
        <v>414</v>
      </c>
      <c r="FG3" s="35" t="s">
        <v>414</v>
      </c>
      <c r="FH3" s="35" t="s">
        <v>413</v>
      </c>
      <c r="FI3" s="35" t="s">
        <v>583</v>
      </c>
      <c r="FJ3" s="35" t="s">
        <v>583</v>
      </c>
      <c r="FK3" s="35" t="s">
        <v>414</v>
      </c>
      <c r="FL3" s="35" t="s">
        <v>413</v>
      </c>
      <c r="FM3" s="35" t="s">
        <v>413</v>
      </c>
      <c r="FN3" s="35" t="s">
        <v>413</v>
      </c>
      <c r="FO3" s="35" t="s">
        <v>583</v>
      </c>
      <c r="FP3" s="35" t="s">
        <v>417</v>
      </c>
      <c r="FQ3" s="35" t="s">
        <v>418</v>
      </c>
      <c r="FR3" s="35" t="s">
        <v>419</v>
      </c>
      <c r="FT3" s="35" t="s">
        <v>420</v>
      </c>
      <c r="FU3" s="35" t="s">
        <v>488</v>
      </c>
      <c r="FV3" s="35" t="s">
        <v>533</v>
      </c>
      <c r="FW3" s="35" t="s">
        <v>490</v>
      </c>
      <c r="FX3" s="35" t="s">
        <v>491</v>
      </c>
      <c r="FY3" s="35" t="s">
        <v>666</v>
      </c>
      <c r="FZ3" s="35" t="s">
        <v>493</v>
      </c>
      <c r="GC3" s="35" t="s">
        <v>455</v>
      </c>
      <c r="GD3" s="35" t="s">
        <v>10998</v>
      </c>
    </row>
    <row r="4">
      <c r="A4" s="40"/>
      <c r="B4" s="40">
        <v>45826.85345576389</v>
      </c>
      <c r="C4" s="35" t="s">
        <v>368</v>
      </c>
      <c r="D4" s="35" t="s">
        <v>370</v>
      </c>
      <c r="F4" s="35" t="s">
        <v>757</v>
      </c>
      <c r="H4" s="35" t="s">
        <v>422</v>
      </c>
      <c r="I4" s="35" t="s">
        <v>637</v>
      </c>
      <c r="J4" s="35" t="s">
        <v>638</v>
      </c>
      <c r="K4" s="35" t="s">
        <v>758</v>
      </c>
      <c r="L4" s="35" t="s">
        <v>376</v>
      </c>
      <c r="M4" s="35" t="s">
        <v>591</v>
      </c>
      <c r="N4" s="35" t="s">
        <v>720</v>
      </c>
      <c r="O4" s="35" t="s">
        <v>379</v>
      </c>
      <c r="P4" s="35" t="s">
        <v>497</v>
      </c>
      <c r="Q4" s="35" t="s">
        <v>498</v>
      </c>
      <c r="R4" s="35" t="s">
        <v>759</v>
      </c>
      <c r="S4" s="35" t="s">
        <v>427</v>
      </c>
      <c r="T4" s="35" t="s">
        <v>384</v>
      </c>
      <c r="U4" s="35" t="s">
        <v>385</v>
      </c>
      <c r="X4" s="35" t="s">
        <v>760</v>
      </c>
      <c r="Y4" s="35" t="s">
        <v>387</v>
      </c>
      <c r="Z4" s="35" t="s">
        <v>761</v>
      </c>
      <c r="AA4" s="35" t="s">
        <v>502</v>
      </c>
      <c r="AC4" s="35" t="s">
        <v>10999</v>
      </c>
      <c r="AW4" s="35" t="s">
        <v>504</v>
      </c>
      <c r="AX4" s="35" t="s">
        <v>429</v>
      </c>
      <c r="AY4" s="35" t="s">
        <v>429</v>
      </c>
      <c r="AZ4" s="35" t="s">
        <v>429</v>
      </c>
      <c r="BA4" s="35" t="s">
        <v>429</v>
      </c>
      <c r="BB4" s="35" t="s">
        <v>429</v>
      </c>
      <c r="BC4" s="35" t="s">
        <v>429</v>
      </c>
      <c r="BD4" s="35" t="s">
        <v>11000</v>
      </c>
      <c r="BE4" s="35" t="s">
        <v>11001</v>
      </c>
      <c r="BF4" s="35" t="s">
        <v>392</v>
      </c>
      <c r="BG4" s="35" t="s">
        <v>433</v>
      </c>
      <c r="BH4" s="35" t="s">
        <v>765</v>
      </c>
      <c r="BJ4" s="35" t="s">
        <v>509</v>
      </c>
      <c r="BK4" s="35" t="s">
        <v>11002</v>
      </c>
      <c r="BL4" s="35" t="s">
        <v>395</v>
      </c>
      <c r="BM4" s="35" t="s">
        <v>512</v>
      </c>
      <c r="BN4" s="35" t="s">
        <v>439</v>
      </c>
      <c r="BO4" s="35" t="s">
        <v>513</v>
      </c>
      <c r="CM4" s="35" t="s">
        <v>441</v>
      </c>
      <c r="CN4" s="35" t="s">
        <v>442</v>
      </c>
      <c r="CO4" s="35" t="s">
        <v>11003</v>
      </c>
      <c r="CP4" s="35" t="s">
        <v>11004</v>
      </c>
      <c r="CQ4" s="35" t="s">
        <v>403</v>
      </c>
      <c r="CR4" s="35" t="s">
        <v>769</v>
      </c>
      <c r="CS4" s="35" t="s">
        <v>447</v>
      </c>
      <c r="CT4" s="35" t="s">
        <v>770</v>
      </c>
      <c r="CU4" s="35" t="s">
        <v>11005</v>
      </c>
      <c r="CV4" s="35" t="s">
        <v>519</v>
      </c>
      <c r="CW4" s="35" t="s">
        <v>451</v>
      </c>
      <c r="CX4" s="35" t="s">
        <v>772</v>
      </c>
      <c r="CY4" s="35" t="s">
        <v>408</v>
      </c>
      <c r="DA4" s="35" t="s">
        <v>453</v>
      </c>
      <c r="DB4" s="35" t="s">
        <v>11006</v>
      </c>
      <c r="DC4" s="35" t="s">
        <v>455</v>
      </c>
      <c r="DD4" s="35" t="s">
        <v>11007</v>
      </c>
      <c r="DE4" s="35" t="s">
        <v>457</v>
      </c>
      <c r="DG4" s="35" t="s">
        <v>775</v>
      </c>
      <c r="DH4" s="35" t="s">
        <v>776</v>
      </c>
      <c r="DI4" s="35" t="s">
        <v>410</v>
      </c>
      <c r="DJ4" s="35" t="s">
        <v>777</v>
      </c>
      <c r="DK4" s="35" t="s">
        <v>460</v>
      </c>
      <c r="DL4" s="35" t="s">
        <v>461</v>
      </c>
      <c r="EU4" s="35" t="s">
        <v>526</v>
      </c>
      <c r="EV4" s="35" t="s">
        <v>479</v>
      </c>
      <c r="EW4" s="35" t="s">
        <v>778</v>
      </c>
      <c r="EX4" s="35" t="s">
        <v>11008</v>
      </c>
      <c r="EY4" s="35" t="s">
        <v>11009</v>
      </c>
      <c r="EZ4" s="35" t="s">
        <v>781</v>
      </c>
      <c r="FA4" s="35" t="s">
        <v>413</v>
      </c>
      <c r="FB4" s="35" t="s">
        <v>413</v>
      </c>
      <c r="FC4" s="35" t="s">
        <v>413</v>
      </c>
      <c r="FD4" s="35" t="s">
        <v>413</v>
      </c>
      <c r="FE4" s="35" t="s">
        <v>413</v>
      </c>
      <c r="FF4" s="35" t="s">
        <v>413</v>
      </c>
      <c r="FG4" s="35" t="s">
        <v>413</v>
      </c>
      <c r="FH4" s="35" t="s">
        <v>413</v>
      </c>
      <c r="FI4" s="35" t="s">
        <v>413</v>
      </c>
      <c r="FJ4" s="35" t="s">
        <v>413</v>
      </c>
      <c r="FK4" s="35" t="s">
        <v>413</v>
      </c>
      <c r="FL4" s="35" t="s">
        <v>413</v>
      </c>
      <c r="FM4" s="35" t="s">
        <v>413</v>
      </c>
      <c r="FN4" s="35" t="s">
        <v>484</v>
      </c>
      <c r="FO4" s="35" t="s">
        <v>484</v>
      </c>
      <c r="FP4" s="35" t="s">
        <v>417</v>
      </c>
      <c r="FQ4" s="35" t="s">
        <v>418</v>
      </c>
      <c r="FR4" s="35" t="s">
        <v>749</v>
      </c>
      <c r="FS4" s="35" t="s">
        <v>782</v>
      </c>
      <c r="FT4" s="35" t="s">
        <v>420</v>
      </c>
      <c r="FU4" s="35" t="s">
        <v>488</v>
      </c>
      <c r="FV4" s="35" t="s">
        <v>533</v>
      </c>
      <c r="FW4" s="35" t="s">
        <v>490</v>
      </c>
      <c r="FX4" s="35" t="s">
        <v>491</v>
      </c>
      <c r="FY4" s="35" t="s">
        <v>11010</v>
      </c>
      <c r="FZ4" s="35" t="s">
        <v>535</v>
      </c>
      <c r="GA4" s="35" t="s">
        <v>11011</v>
      </c>
      <c r="GB4" s="35" t="s">
        <v>11012</v>
      </c>
      <c r="GC4" s="35" t="s">
        <v>455</v>
      </c>
      <c r="GD4" s="35" t="s">
        <v>11013</v>
      </c>
      <c r="GE4" s="41">
        <v>9.413341872E9</v>
      </c>
      <c r="GF4" s="35" t="s">
        <v>786</v>
      </c>
      <c r="GG4" s="35" t="s">
        <v>11014</v>
      </c>
      <c r="GH4" s="35" t="s">
        <v>788</v>
      </c>
      <c r="GI4" s="35" t="s">
        <v>789</v>
      </c>
      <c r="GJ4" s="35" t="s">
        <v>790</v>
      </c>
    </row>
    <row r="5">
      <c r="A5" s="40"/>
      <c r="B5" s="40">
        <v>45826.85406060185</v>
      </c>
      <c r="C5" s="35" t="s">
        <v>368</v>
      </c>
      <c r="D5" s="35" t="s">
        <v>370</v>
      </c>
      <c r="F5" s="35" t="s">
        <v>791</v>
      </c>
      <c r="H5" s="35" t="s">
        <v>792</v>
      </c>
      <c r="I5" s="35" t="s">
        <v>637</v>
      </c>
      <c r="J5" s="35" t="s">
        <v>638</v>
      </c>
      <c r="K5" s="35" t="s">
        <v>375</v>
      </c>
      <c r="L5" s="35" t="s">
        <v>376</v>
      </c>
      <c r="M5" s="35" t="s">
        <v>793</v>
      </c>
      <c r="N5" s="35" t="s">
        <v>639</v>
      </c>
      <c r="O5" s="35" t="s">
        <v>591</v>
      </c>
      <c r="P5" s="35" t="s">
        <v>794</v>
      </c>
      <c r="Q5" s="35" t="s">
        <v>381</v>
      </c>
      <c r="R5" s="35" t="s">
        <v>382</v>
      </c>
      <c r="S5" s="35" t="s">
        <v>795</v>
      </c>
      <c r="T5" s="35" t="s">
        <v>384</v>
      </c>
      <c r="U5" s="35" t="s">
        <v>385</v>
      </c>
      <c r="X5" s="35" t="s">
        <v>593</v>
      </c>
      <c r="Y5" s="35" t="s">
        <v>387</v>
      </c>
      <c r="Z5" s="35" t="s">
        <v>388</v>
      </c>
      <c r="AA5" s="35" t="s">
        <v>543</v>
      </c>
      <c r="AB5" s="35" t="s">
        <v>796</v>
      </c>
      <c r="AC5" s="35" t="s">
        <v>796</v>
      </c>
      <c r="AW5" s="35" t="s">
        <v>390</v>
      </c>
      <c r="AX5" s="41">
        <v>2.0</v>
      </c>
      <c r="AY5" s="35" t="s">
        <v>429</v>
      </c>
      <c r="AZ5" s="41">
        <v>2.0</v>
      </c>
      <c r="BA5" s="35" t="s">
        <v>429</v>
      </c>
      <c r="BB5" s="35" t="s">
        <v>429</v>
      </c>
      <c r="BC5" s="41">
        <v>2.0</v>
      </c>
      <c r="BD5" s="35" t="s">
        <v>797</v>
      </c>
      <c r="BE5" s="35" t="s">
        <v>798</v>
      </c>
      <c r="BF5" s="35" t="s">
        <v>392</v>
      </c>
      <c r="BG5" s="35" t="s">
        <v>433</v>
      </c>
      <c r="BH5" s="35" t="s">
        <v>678</v>
      </c>
      <c r="BI5" s="35" t="s">
        <v>799</v>
      </c>
      <c r="BJ5" s="35" t="s">
        <v>509</v>
      </c>
      <c r="BK5" s="35" t="s">
        <v>800</v>
      </c>
      <c r="BL5" s="35" t="s">
        <v>437</v>
      </c>
      <c r="BM5" s="35" t="s">
        <v>603</v>
      </c>
      <c r="BN5" s="35" t="s">
        <v>549</v>
      </c>
      <c r="BO5" s="35" t="s">
        <v>513</v>
      </c>
      <c r="CN5" s="35" t="s">
        <v>442</v>
      </c>
      <c r="CO5" s="35" t="s">
        <v>801</v>
      </c>
      <c r="CP5" s="35" t="s">
        <v>802</v>
      </c>
      <c r="CQ5" s="35" t="s">
        <v>685</v>
      </c>
      <c r="CR5" s="35" t="s">
        <v>803</v>
      </c>
      <c r="CS5" s="35" t="s">
        <v>804</v>
      </c>
      <c r="CT5" s="35" t="s">
        <v>805</v>
      </c>
      <c r="CU5" s="35" t="s">
        <v>806</v>
      </c>
      <c r="CV5" s="35" t="s">
        <v>450</v>
      </c>
      <c r="CW5" s="35" t="s">
        <v>451</v>
      </c>
      <c r="CX5" s="35" t="s">
        <v>807</v>
      </c>
      <c r="CY5" s="35" t="s">
        <v>408</v>
      </c>
      <c r="DA5" s="35" t="s">
        <v>453</v>
      </c>
      <c r="DB5" s="35" t="s">
        <v>808</v>
      </c>
      <c r="DC5" s="35" t="s">
        <v>455</v>
      </c>
      <c r="DD5" s="35" t="s">
        <v>809</v>
      </c>
      <c r="DE5" s="35" t="s">
        <v>457</v>
      </c>
      <c r="DG5" s="35" t="s">
        <v>810</v>
      </c>
      <c r="DH5" s="35" t="s">
        <v>524</v>
      </c>
      <c r="DI5" s="35" t="s">
        <v>410</v>
      </c>
      <c r="DJ5" s="35" t="s">
        <v>459</v>
      </c>
      <c r="DK5" s="35" t="s">
        <v>613</v>
      </c>
      <c r="EU5" s="35" t="s">
        <v>478</v>
      </c>
      <c r="EV5" s="35" t="s">
        <v>479</v>
      </c>
      <c r="EW5" s="35" t="s">
        <v>480</v>
      </c>
      <c r="EX5" s="35" t="s">
        <v>811</v>
      </c>
      <c r="EY5" s="35" t="s">
        <v>812</v>
      </c>
      <c r="EZ5" s="35" t="s">
        <v>813</v>
      </c>
      <c r="FA5" s="35" t="s">
        <v>583</v>
      </c>
      <c r="FB5" s="35" t="s">
        <v>583</v>
      </c>
      <c r="FC5" s="35" t="s">
        <v>484</v>
      </c>
      <c r="FD5" s="35" t="s">
        <v>583</v>
      </c>
      <c r="FE5" s="35" t="s">
        <v>413</v>
      </c>
      <c r="FF5" s="35" t="s">
        <v>583</v>
      </c>
      <c r="FG5" s="35" t="s">
        <v>484</v>
      </c>
      <c r="FH5" s="35" t="s">
        <v>413</v>
      </c>
      <c r="FI5" s="35" t="s">
        <v>583</v>
      </c>
      <c r="FJ5" s="35" t="s">
        <v>583</v>
      </c>
      <c r="FK5" s="35" t="s">
        <v>583</v>
      </c>
      <c r="FL5" s="35" t="s">
        <v>413</v>
      </c>
      <c r="FM5" s="35" t="s">
        <v>583</v>
      </c>
      <c r="FN5" s="35" t="s">
        <v>413</v>
      </c>
      <c r="FO5" s="35" t="s">
        <v>583</v>
      </c>
      <c r="FP5" s="35" t="s">
        <v>417</v>
      </c>
      <c r="FQ5" s="35" t="s">
        <v>486</v>
      </c>
      <c r="FR5" s="35" t="s">
        <v>531</v>
      </c>
      <c r="FT5" s="35" t="s">
        <v>420</v>
      </c>
      <c r="FU5" s="35" t="s">
        <v>488</v>
      </c>
      <c r="FV5" s="35" t="s">
        <v>533</v>
      </c>
      <c r="FW5" s="35" t="s">
        <v>490</v>
      </c>
      <c r="FX5" s="35" t="s">
        <v>491</v>
      </c>
      <c r="FY5" s="35" t="s">
        <v>814</v>
      </c>
      <c r="FZ5" s="35" t="s">
        <v>535</v>
      </c>
      <c r="GB5" s="35" t="s">
        <v>11015</v>
      </c>
      <c r="GC5" s="35" t="s">
        <v>455</v>
      </c>
      <c r="GD5" s="35" t="s">
        <v>11016</v>
      </c>
      <c r="GF5" s="35" t="s">
        <v>753</v>
      </c>
      <c r="GG5" s="35" t="s">
        <v>816</v>
      </c>
      <c r="GH5" s="35" t="s">
        <v>755</v>
      </c>
      <c r="GI5" s="35" t="s">
        <v>755</v>
      </c>
      <c r="GJ5" s="35" t="s">
        <v>817</v>
      </c>
    </row>
    <row r="6">
      <c r="A6" s="40"/>
      <c r="B6" s="40">
        <v>45826.90960921296</v>
      </c>
      <c r="C6" s="35" t="s">
        <v>368</v>
      </c>
      <c r="D6" s="35" t="s">
        <v>894</v>
      </c>
      <c r="E6" s="35" t="s">
        <v>894</v>
      </c>
      <c r="H6" s="35" t="s">
        <v>422</v>
      </c>
      <c r="I6" s="35" t="s">
        <v>373</v>
      </c>
      <c r="J6" s="35" t="s">
        <v>374</v>
      </c>
      <c r="K6" s="35" t="s">
        <v>375</v>
      </c>
      <c r="L6" s="35" t="s">
        <v>376</v>
      </c>
      <c r="M6" s="35" t="s">
        <v>379</v>
      </c>
      <c r="N6" s="35" t="s">
        <v>378</v>
      </c>
      <c r="O6" s="35" t="s">
        <v>591</v>
      </c>
      <c r="P6" s="35" t="s">
        <v>895</v>
      </c>
      <c r="Q6" s="35" t="s">
        <v>498</v>
      </c>
      <c r="R6" s="35" t="s">
        <v>862</v>
      </c>
      <c r="S6" s="35" t="s">
        <v>427</v>
      </c>
      <c r="T6" s="35" t="s">
        <v>384</v>
      </c>
      <c r="U6" s="35" t="s">
        <v>385</v>
      </c>
      <c r="V6" s="35" t="s">
        <v>896</v>
      </c>
      <c r="W6" s="35" t="s">
        <v>896</v>
      </c>
      <c r="X6" s="35" t="s">
        <v>386</v>
      </c>
      <c r="Y6" s="35" t="s">
        <v>387</v>
      </c>
      <c r="Z6" s="35" t="s">
        <v>897</v>
      </c>
      <c r="AA6" s="35" t="s">
        <v>389</v>
      </c>
      <c r="AB6" s="35" t="s">
        <v>898</v>
      </c>
      <c r="AC6" s="35" t="s">
        <v>899</v>
      </c>
      <c r="AW6" s="35" t="s">
        <v>390</v>
      </c>
      <c r="AX6" s="35" t="s">
        <v>391</v>
      </c>
      <c r="AY6" s="35" t="s">
        <v>391</v>
      </c>
      <c r="AZ6" s="35" t="s">
        <v>675</v>
      </c>
      <c r="BA6" s="35" t="s">
        <v>675</v>
      </c>
      <c r="BB6" s="35" t="s">
        <v>675</v>
      </c>
      <c r="BC6" s="35" t="s">
        <v>675</v>
      </c>
      <c r="BD6" s="35" t="s">
        <v>900</v>
      </c>
      <c r="BE6" s="35" t="s">
        <v>901</v>
      </c>
      <c r="BF6" s="35" t="s">
        <v>902</v>
      </c>
      <c r="BG6" s="35" t="s">
        <v>433</v>
      </c>
      <c r="BH6" s="35" t="s">
        <v>725</v>
      </c>
      <c r="BI6" s="35" t="s">
        <v>903</v>
      </c>
      <c r="BJ6" s="35" t="s">
        <v>435</v>
      </c>
      <c r="BL6" s="35" t="s">
        <v>602</v>
      </c>
      <c r="BM6" s="35" t="s">
        <v>904</v>
      </c>
      <c r="BN6" s="35" t="s">
        <v>549</v>
      </c>
      <c r="BO6" s="35" t="s">
        <v>513</v>
      </c>
      <c r="CM6" s="35" t="s">
        <v>441</v>
      </c>
      <c r="CN6" s="35" t="s">
        <v>905</v>
      </c>
      <c r="CO6" s="35" t="s">
        <v>906</v>
      </c>
      <c r="CP6" s="35" t="s">
        <v>907</v>
      </c>
      <c r="CQ6" s="35" t="s">
        <v>685</v>
      </c>
      <c r="CR6" s="35" t="s">
        <v>908</v>
      </c>
      <c r="CS6" s="35" t="s">
        <v>555</v>
      </c>
      <c r="CT6" s="35" t="s">
        <v>909</v>
      </c>
      <c r="CU6" s="35" t="s">
        <v>910</v>
      </c>
      <c r="CV6" s="35" t="s">
        <v>450</v>
      </c>
      <c r="CW6" s="35" t="s">
        <v>451</v>
      </c>
      <c r="CX6" s="35" t="s">
        <v>911</v>
      </c>
      <c r="CY6" s="35" t="s">
        <v>733</v>
      </c>
      <c r="DA6" s="35" t="s">
        <v>453</v>
      </c>
      <c r="DB6" s="35" t="s">
        <v>912</v>
      </c>
      <c r="DC6" s="35" t="s">
        <v>913</v>
      </c>
      <c r="DE6" s="35" t="s">
        <v>457</v>
      </c>
      <c r="DG6" s="35" t="s">
        <v>914</v>
      </c>
      <c r="DH6" s="35" t="s">
        <v>524</v>
      </c>
      <c r="DI6" s="35" t="s">
        <v>410</v>
      </c>
      <c r="DJ6" s="35" t="s">
        <v>459</v>
      </c>
      <c r="DK6" s="35" t="s">
        <v>460</v>
      </c>
      <c r="DL6" s="35" t="s">
        <v>461</v>
      </c>
      <c r="EU6" s="35" t="s">
        <v>526</v>
      </c>
      <c r="EV6" s="35" t="s">
        <v>579</v>
      </c>
      <c r="EW6" s="35" t="s">
        <v>527</v>
      </c>
      <c r="EX6" s="35" t="s">
        <v>915</v>
      </c>
      <c r="EY6" s="35" t="s">
        <v>916</v>
      </c>
      <c r="EZ6" s="35" t="s">
        <v>917</v>
      </c>
      <c r="FA6" s="35" t="s">
        <v>415</v>
      </c>
      <c r="FB6" s="35" t="s">
        <v>415</v>
      </c>
      <c r="FC6" s="35" t="s">
        <v>413</v>
      </c>
      <c r="FD6" s="35" t="s">
        <v>416</v>
      </c>
      <c r="FE6" s="35" t="s">
        <v>413</v>
      </c>
      <c r="FF6" s="35" t="s">
        <v>414</v>
      </c>
      <c r="FG6" s="35" t="s">
        <v>413</v>
      </c>
      <c r="FH6" s="35" t="s">
        <v>413</v>
      </c>
      <c r="FI6" s="35" t="s">
        <v>414</v>
      </c>
      <c r="FJ6" s="35" t="s">
        <v>413</v>
      </c>
      <c r="FK6" s="35" t="s">
        <v>415</v>
      </c>
      <c r="FL6" s="35" t="s">
        <v>415</v>
      </c>
      <c r="FM6" s="35" t="s">
        <v>413</v>
      </c>
      <c r="FN6" s="35" t="s">
        <v>413</v>
      </c>
      <c r="FO6" s="35" t="s">
        <v>583</v>
      </c>
      <c r="FP6" s="35" t="s">
        <v>417</v>
      </c>
      <c r="FQ6" s="35" t="s">
        <v>418</v>
      </c>
      <c r="FR6" s="35" t="s">
        <v>712</v>
      </c>
      <c r="FT6" s="35" t="s">
        <v>420</v>
      </c>
      <c r="FU6" s="35" t="s">
        <v>488</v>
      </c>
      <c r="FV6" s="35" t="s">
        <v>918</v>
      </c>
      <c r="FW6" s="35" t="s">
        <v>490</v>
      </c>
      <c r="FX6" s="35" t="s">
        <v>491</v>
      </c>
      <c r="FY6" s="35" t="s">
        <v>919</v>
      </c>
      <c r="FZ6" s="35" t="s">
        <v>535</v>
      </c>
      <c r="GC6" s="35" t="s">
        <v>455</v>
      </c>
      <c r="GD6" s="35" t="s">
        <v>11017</v>
      </c>
      <c r="GF6" s="35" t="s">
        <v>855</v>
      </c>
      <c r="GH6" s="35" t="s">
        <v>920</v>
      </c>
      <c r="GI6" s="35" t="s">
        <v>920</v>
      </c>
      <c r="GJ6" s="35" t="s">
        <v>921</v>
      </c>
    </row>
    <row r="7">
      <c r="A7" s="40"/>
      <c r="B7" s="40">
        <v>45826.92376010417</v>
      </c>
      <c r="C7" s="35" t="s">
        <v>368</v>
      </c>
      <c r="D7" s="35" t="s">
        <v>370</v>
      </c>
      <c r="F7" s="35" t="s">
        <v>922</v>
      </c>
      <c r="H7" s="35" t="s">
        <v>422</v>
      </c>
      <c r="I7" s="35" t="s">
        <v>496</v>
      </c>
      <c r="J7" s="35" t="s">
        <v>374</v>
      </c>
      <c r="K7" s="35" t="s">
        <v>375</v>
      </c>
      <c r="L7" s="35" t="s">
        <v>376</v>
      </c>
      <c r="M7" s="35" t="s">
        <v>379</v>
      </c>
      <c r="N7" s="35" t="s">
        <v>378</v>
      </c>
      <c r="O7" s="35" t="s">
        <v>379</v>
      </c>
      <c r="P7" s="35" t="s">
        <v>497</v>
      </c>
      <c r="Q7" s="35" t="s">
        <v>498</v>
      </c>
      <c r="R7" s="35" t="s">
        <v>499</v>
      </c>
      <c r="S7" s="35" t="s">
        <v>427</v>
      </c>
      <c r="T7" s="35" t="s">
        <v>384</v>
      </c>
      <c r="U7" s="35" t="s">
        <v>385</v>
      </c>
      <c r="X7" s="35" t="s">
        <v>760</v>
      </c>
      <c r="Y7" s="35" t="s">
        <v>387</v>
      </c>
      <c r="Z7" s="35" t="s">
        <v>594</v>
      </c>
      <c r="AA7" s="35" t="s">
        <v>502</v>
      </c>
      <c r="AB7" s="35" t="s">
        <v>11018</v>
      </c>
      <c r="AC7" s="35" t="s">
        <v>11019</v>
      </c>
      <c r="AW7" s="35" t="s">
        <v>504</v>
      </c>
      <c r="AX7" s="35" t="s">
        <v>429</v>
      </c>
      <c r="AY7" s="35" t="s">
        <v>429</v>
      </c>
      <c r="AZ7" s="35" t="s">
        <v>429</v>
      </c>
      <c r="BA7" s="35" t="s">
        <v>429</v>
      </c>
      <c r="BB7" s="35" t="s">
        <v>429</v>
      </c>
      <c r="BC7" s="35" t="s">
        <v>429</v>
      </c>
      <c r="BD7" s="35" t="s">
        <v>11020</v>
      </c>
      <c r="BE7" s="35" t="s">
        <v>11021</v>
      </c>
      <c r="BF7" s="35" t="s">
        <v>392</v>
      </c>
      <c r="BG7" s="35" t="s">
        <v>433</v>
      </c>
      <c r="BH7" s="35" t="s">
        <v>434</v>
      </c>
      <c r="BI7" s="35" t="s">
        <v>927</v>
      </c>
      <c r="BJ7" s="35" t="s">
        <v>509</v>
      </c>
      <c r="BK7" s="35" t="s">
        <v>11022</v>
      </c>
      <c r="BL7" s="35" t="s">
        <v>437</v>
      </c>
      <c r="BM7" s="35" t="s">
        <v>904</v>
      </c>
      <c r="BN7" s="35" t="s">
        <v>439</v>
      </c>
      <c r="BO7" s="35" t="s">
        <v>513</v>
      </c>
      <c r="CM7" s="35" t="s">
        <v>441</v>
      </c>
      <c r="CN7" s="35" t="s">
        <v>401</v>
      </c>
      <c r="CO7" s="35" t="s">
        <v>11023</v>
      </c>
      <c r="CP7" s="35" t="s">
        <v>11024</v>
      </c>
      <c r="CQ7" s="35" t="s">
        <v>445</v>
      </c>
      <c r="CR7" s="35" t="s">
        <v>931</v>
      </c>
      <c r="CS7" s="35" t="s">
        <v>447</v>
      </c>
      <c r="CT7" s="35" t="s">
        <v>448</v>
      </c>
      <c r="CU7" s="35" t="s">
        <v>11025</v>
      </c>
      <c r="CV7" s="35" t="s">
        <v>450</v>
      </c>
      <c r="CW7" s="35" t="s">
        <v>451</v>
      </c>
      <c r="CX7" s="35" t="s">
        <v>11026</v>
      </c>
      <c r="CY7" s="35" t="s">
        <v>408</v>
      </c>
      <c r="DA7" s="35" t="s">
        <v>453</v>
      </c>
      <c r="DB7" s="35" t="s">
        <v>11027</v>
      </c>
      <c r="DC7" s="35" t="s">
        <v>455</v>
      </c>
      <c r="DD7" s="35" t="s">
        <v>11028</v>
      </c>
      <c r="DE7" s="35" t="s">
        <v>406</v>
      </c>
      <c r="DF7" s="35" t="s">
        <v>407</v>
      </c>
      <c r="DG7" s="35" t="s">
        <v>11029</v>
      </c>
      <c r="DH7" s="35" t="s">
        <v>524</v>
      </c>
      <c r="DI7" s="35" t="s">
        <v>410</v>
      </c>
      <c r="DJ7" s="35" t="s">
        <v>459</v>
      </c>
      <c r="DK7" s="35" t="s">
        <v>613</v>
      </c>
      <c r="EU7" s="35" t="s">
        <v>478</v>
      </c>
      <c r="EV7" s="35" t="s">
        <v>479</v>
      </c>
      <c r="EW7" s="35" t="s">
        <v>527</v>
      </c>
      <c r="EX7" s="35" t="s">
        <v>937</v>
      </c>
      <c r="EY7" s="35" t="s">
        <v>11030</v>
      </c>
      <c r="EZ7" s="35" t="s">
        <v>11031</v>
      </c>
      <c r="FA7" s="35" t="s">
        <v>413</v>
      </c>
      <c r="FB7" s="35" t="s">
        <v>413</v>
      </c>
      <c r="FC7" s="35" t="s">
        <v>413</v>
      </c>
      <c r="FD7" s="35" t="s">
        <v>413</v>
      </c>
      <c r="FE7" s="35" t="s">
        <v>413</v>
      </c>
      <c r="FF7" s="35" t="s">
        <v>413</v>
      </c>
      <c r="FG7" s="35" t="s">
        <v>413</v>
      </c>
      <c r="FH7" s="35" t="s">
        <v>413</v>
      </c>
      <c r="FI7" s="35" t="s">
        <v>413</v>
      </c>
      <c r="FJ7" s="35" t="s">
        <v>484</v>
      </c>
      <c r="FK7" s="35" t="s">
        <v>413</v>
      </c>
      <c r="FL7" s="35" t="s">
        <v>413</v>
      </c>
      <c r="FM7" s="35" t="s">
        <v>413</v>
      </c>
      <c r="FN7" s="35" t="s">
        <v>413</v>
      </c>
      <c r="FO7" s="35" t="s">
        <v>484</v>
      </c>
      <c r="FP7" s="35" t="s">
        <v>485</v>
      </c>
      <c r="FQ7" s="35" t="s">
        <v>418</v>
      </c>
      <c r="FR7" s="35" t="s">
        <v>419</v>
      </c>
      <c r="FS7" s="35" t="s">
        <v>940</v>
      </c>
      <c r="FT7" s="35" t="s">
        <v>420</v>
      </c>
      <c r="FU7" s="35" t="s">
        <v>488</v>
      </c>
      <c r="FV7" s="35" t="s">
        <v>489</v>
      </c>
      <c r="FW7" s="35" t="s">
        <v>490</v>
      </c>
      <c r="FX7" s="35" t="s">
        <v>491</v>
      </c>
      <c r="FY7" s="35" t="s">
        <v>11032</v>
      </c>
      <c r="FZ7" s="35" t="s">
        <v>535</v>
      </c>
      <c r="GA7" s="35" t="s">
        <v>11033</v>
      </c>
      <c r="GB7" s="35" t="s">
        <v>11034</v>
      </c>
      <c r="GC7" s="35" t="s">
        <v>455</v>
      </c>
      <c r="GD7" s="35" t="s">
        <v>11035</v>
      </c>
      <c r="GE7" s="35" t="s">
        <v>11036</v>
      </c>
      <c r="GF7" s="35" t="s">
        <v>944</v>
      </c>
      <c r="GG7" s="35" t="s">
        <v>11037</v>
      </c>
      <c r="GH7" s="35" t="s">
        <v>857</v>
      </c>
      <c r="GI7" s="35" t="s">
        <v>857</v>
      </c>
      <c r="GJ7" s="35" t="s">
        <v>946</v>
      </c>
    </row>
    <row r="8">
      <c r="A8" s="40"/>
      <c r="B8" s="40">
        <v>45826.92420601852</v>
      </c>
      <c r="C8" s="35" t="s">
        <v>368</v>
      </c>
      <c r="D8" s="35" t="s">
        <v>947</v>
      </c>
      <c r="E8" s="35" t="s">
        <v>947</v>
      </c>
      <c r="H8" s="35" t="s">
        <v>422</v>
      </c>
      <c r="I8" s="35" t="s">
        <v>373</v>
      </c>
      <c r="J8" s="35" t="s">
        <v>374</v>
      </c>
      <c r="K8" s="35" t="s">
        <v>718</v>
      </c>
      <c r="L8" s="35" t="s">
        <v>376</v>
      </c>
      <c r="M8" s="35" t="s">
        <v>426</v>
      </c>
      <c r="N8" s="35" t="s">
        <v>948</v>
      </c>
      <c r="O8" s="35" t="s">
        <v>379</v>
      </c>
      <c r="P8" s="35" t="s">
        <v>719</v>
      </c>
      <c r="Q8" s="35" t="s">
        <v>498</v>
      </c>
      <c r="R8" s="35" t="s">
        <v>499</v>
      </c>
      <c r="S8" s="35" t="s">
        <v>949</v>
      </c>
      <c r="T8" s="35" t="s">
        <v>384</v>
      </c>
      <c r="U8" s="35" t="s">
        <v>385</v>
      </c>
      <c r="X8" s="35" t="s">
        <v>428</v>
      </c>
      <c r="AW8" s="35" t="s">
        <v>504</v>
      </c>
      <c r="AX8" s="41">
        <v>2.0</v>
      </c>
      <c r="AY8" s="41">
        <v>2.0</v>
      </c>
      <c r="AZ8" s="41">
        <v>2.0</v>
      </c>
      <c r="BA8" s="41">
        <v>2.0</v>
      </c>
      <c r="BB8" s="41">
        <v>2.0</v>
      </c>
      <c r="BC8" s="41">
        <v>2.0</v>
      </c>
      <c r="BD8" s="35" t="s">
        <v>950</v>
      </c>
      <c r="BE8" s="35" t="s">
        <v>951</v>
      </c>
      <c r="BF8" s="35" t="s">
        <v>432</v>
      </c>
      <c r="BG8" s="35" t="s">
        <v>433</v>
      </c>
      <c r="BH8" s="35" t="s">
        <v>678</v>
      </c>
      <c r="BI8" s="35" t="s">
        <v>952</v>
      </c>
      <c r="BJ8" s="35" t="s">
        <v>435</v>
      </c>
      <c r="BM8" s="35" t="s">
        <v>512</v>
      </c>
      <c r="BN8" s="35" t="s">
        <v>439</v>
      </c>
      <c r="BO8" s="35" t="s">
        <v>513</v>
      </c>
      <c r="CM8" s="35" t="s">
        <v>953</v>
      </c>
      <c r="CN8" s="35" t="s">
        <v>401</v>
      </c>
      <c r="CO8" s="35" t="s">
        <v>954</v>
      </c>
      <c r="CP8" s="35" t="s">
        <v>955</v>
      </c>
      <c r="CQ8" s="35" t="s">
        <v>685</v>
      </c>
      <c r="CR8" s="35" t="s">
        <v>956</v>
      </c>
      <c r="CS8" s="35" t="s">
        <v>447</v>
      </c>
      <c r="CT8" s="35" t="s">
        <v>957</v>
      </c>
      <c r="CU8" s="35" t="s">
        <v>958</v>
      </c>
      <c r="CV8" s="35" t="s">
        <v>450</v>
      </c>
      <c r="CW8" s="35" t="s">
        <v>959</v>
      </c>
      <c r="CY8" s="35" t="s">
        <v>408</v>
      </c>
      <c r="DA8" s="35" t="s">
        <v>453</v>
      </c>
      <c r="DB8" s="35" t="s">
        <v>960</v>
      </c>
      <c r="DC8" s="35" t="s">
        <v>455</v>
      </c>
      <c r="DD8" s="35" t="s">
        <v>961</v>
      </c>
      <c r="DE8" s="35" t="s">
        <v>457</v>
      </c>
      <c r="DG8" s="35" t="s">
        <v>962</v>
      </c>
      <c r="DH8" s="35" t="s">
        <v>776</v>
      </c>
      <c r="DI8" s="35" t="s">
        <v>410</v>
      </c>
      <c r="DJ8" s="35" t="s">
        <v>963</v>
      </c>
      <c r="DK8" s="35" t="s">
        <v>460</v>
      </c>
      <c r="DL8" s="35" t="s">
        <v>563</v>
      </c>
      <c r="DM8" s="35" t="s">
        <v>964</v>
      </c>
      <c r="EU8" s="35" t="s">
        <v>526</v>
      </c>
      <c r="EV8" s="35" t="s">
        <v>579</v>
      </c>
      <c r="EW8" s="35" t="s">
        <v>580</v>
      </c>
      <c r="EY8" s="35" t="s">
        <v>965</v>
      </c>
      <c r="EZ8" s="35" t="s">
        <v>966</v>
      </c>
      <c r="FA8" s="35" t="s">
        <v>414</v>
      </c>
      <c r="FB8" s="35" t="s">
        <v>414</v>
      </c>
      <c r="FC8" s="35" t="s">
        <v>413</v>
      </c>
      <c r="FD8" s="35" t="s">
        <v>413</v>
      </c>
      <c r="FE8" s="35" t="s">
        <v>413</v>
      </c>
      <c r="FF8" s="35" t="s">
        <v>413</v>
      </c>
      <c r="FG8" s="35" t="s">
        <v>413</v>
      </c>
      <c r="FH8" s="35" t="s">
        <v>413</v>
      </c>
      <c r="FI8" s="35" t="s">
        <v>413</v>
      </c>
      <c r="FJ8" s="35" t="s">
        <v>413</v>
      </c>
      <c r="FK8" s="35" t="s">
        <v>413</v>
      </c>
      <c r="FL8" s="35" t="s">
        <v>413</v>
      </c>
      <c r="FM8" s="35" t="s">
        <v>413</v>
      </c>
      <c r="FN8" s="35" t="s">
        <v>413</v>
      </c>
      <c r="FO8" s="35" t="s">
        <v>413</v>
      </c>
      <c r="FP8" s="35" t="s">
        <v>485</v>
      </c>
      <c r="FQ8" s="35" t="s">
        <v>486</v>
      </c>
      <c r="FR8" s="35" t="s">
        <v>531</v>
      </c>
      <c r="FS8" s="35" t="s">
        <v>967</v>
      </c>
      <c r="FT8" s="35" t="s">
        <v>420</v>
      </c>
      <c r="FU8" s="35" t="s">
        <v>488</v>
      </c>
      <c r="FV8" s="35" t="s">
        <v>585</v>
      </c>
      <c r="FW8" s="35" t="s">
        <v>490</v>
      </c>
      <c r="FX8" s="35" t="s">
        <v>491</v>
      </c>
      <c r="FY8" s="35" t="s">
        <v>968</v>
      </c>
      <c r="FZ8" s="35" t="s">
        <v>535</v>
      </c>
      <c r="GA8" s="35" t="s">
        <v>969</v>
      </c>
      <c r="GB8" s="35" t="s">
        <v>11038</v>
      </c>
      <c r="GC8" s="35" t="s">
        <v>408</v>
      </c>
      <c r="GH8" s="35" t="s">
        <v>920</v>
      </c>
      <c r="GI8" s="35" t="s">
        <v>755</v>
      </c>
      <c r="GJ8" s="35" t="s">
        <v>756</v>
      </c>
    </row>
    <row r="9">
      <c r="A9" s="40"/>
      <c r="B9" s="40">
        <v>45826.946519756944</v>
      </c>
      <c r="C9" s="35" t="s">
        <v>368</v>
      </c>
      <c r="D9" s="35" t="s">
        <v>370</v>
      </c>
      <c r="F9" s="35" t="s">
        <v>667</v>
      </c>
      <c r="H9" s="35" t="s">
        <v>422</v>
      </c>
      <c r="I9" s="35" t="s">
        <v>496</v>
      </c>
      <c r="J9" s="35" t="s">
        <v>374</v>
      </c>
      <c r="K9" s="35" t="s">
        <v>718</v>
      </c>
      <c r="L9" s="35" t="s">
        <v>376</v>
      </c>
      <c r="M9" s="35" t="s">
        <v>379</v>
      </c>
      <c r="N9" s="35" t="s">
        <v>378</v>
      </c>
      <c r="O9" s="35" t="s">
        <v>379</v>
      </c>
      <c r="P9" s="35" t="s">
        <v>497</v>
      </c>
      <c r="Q9" s="35" t="s">
        <v>381</v>
      </c>
      <c r="R9" s="35" t="s">
        <v>382</v>
      </c>
      <c r="S9" s="35" t="s">
        <v>427</v>
      </c>
      <c r="T9" s="35" t="s">
        <v>384</v>
      </c>
      <c r="U9" s="35" t="s">
        <v>385</v>
      </c>
      <c r="X9" s="35" t="s">
        <v>593</v>
      </c>
      <c r="Y9" s="35" t="s">
        <v>387</v>
      </c>
      <c r="Z9" s="35" t="s">
        <v>388</v>
      </c>
      <c r="AA9" s="35" t="s">
        <v>543</v>
      </c>
      <c r="AB9" s="35" t="s">
        <v>971</v>
      </c>
      <c r="AC9" s="35" t="s">
        <v>972</v>
      </c>
      <c r="AW9" s="35" t="s">
        <v>597</v>
      </c>
      <c r="AX9" s="41">
        <v>4.0</v>
      </c>
      <c r="AY9" s="35" t="s">
        <v>391</v>
      </c>
      <c r="AZ9" s="35" t="s">
        <v>675</v>
      </c>
      <c r="BA9" s="41">
        <v>4.0</v>
      </c>
      <c r="BB9" s="41">
        <v>2.0</v>
      </c>
      <c r="BC9" s="41">
        <v>2.0</v>
      </c>
      <c r="BD9" s="35" t="s">
        <v>973</v>
      </c>
      <c r="BE9" s="35" t="s">
        <v>974</v>
      </c>
      <c r="BF9" s="35" t="s">
        <v>432</v>
      </c>
      <c r="BG9" s="35" t="s">
        <v>393</v>
      </c>
      <c r="BH9" s="35" t="s">
        <v>434</v>
      </c>
      <c r="BI9" s="35" t="s">
        <v>975</v>
      </c>
      <c r="BJ9" s="35" t="s">
        <v>976</v>
      </c>
      <c r="BL9" s="35" t="s">
        <v>681</v>
      </c>
      <c r="BM9" s="35" t="s">
        <v>904</v>
      </c>
      <c r="BN9" s="35" t="s">
        <v>397</v>
      </c>
      <c r="BO9" s="35" t="s">
        <v>513</v>
      </c>
      <c r="CM9" s="35" t="s">
        <v>441</v>
      </c>
      <c r="CN9" s="35" t="s">
        <v>604</v>
      </c>
      <c r="CO9" s="35" t="s">
        <v>977</v>
      </c>
      <c r="CP9" s="35" t="s">
        <v>978</v>
      </c>
      <c r="CQ9" s="35" t="s">
        <v>979</v>
      </c>
      <c r="CR9" s="35" t="s">
        <v>516</v>
      </c>
      <c r="CS9" s="35" t="s">
        <v>447</v>
      </c>
      <c r="CT9" s="35" t="s">
        <v>980</v>
      </c>
      <c r="CU9" s="35" t="s">
        <v>981</v>
      </c>
      <c r="CV9" s="35" t="s">
        <v>982</v>
      </c>
      <c r="CW9" s="35" t="s">
        <v>451</v>
      </c>
      <c r="CX9" s="35" t="s">
        <v>983</v>
      </c>
      <c r="CY9" s="35" t="s">
        <v>455</v>
      </c>
      <c r="CZ9" s="35" t="s">
        <v>984</v>
      </c>
      <c r="DA9" s="35" t="s">
        <v>985</v>
      </c>
      <c r="DB9" s="35" t="s">
        <v>986</v>
      </c>
      <c r="DC9" s="35" t="s">
        <v>455</v>
      </c>
      <c r="DD9" s="35" t="s">
        <v>987</v>
      </c>
      <c r="DE9" s="35" t="s">
        <v>988</v>
      </c>
      <c r="DG9" s="35" t="s">
        <v>989</v>
      </c>
      <c r="DH9" s="35" t="s">
        <v>990</v>
      </c>
      <c r="DI9" s="35" t="s">
        <v>410</v>
      </c>
      <c r="DJ9" s="35" t="s">
        <v>459</v>
      </c>
      <c r="DK9" s="35" t="s">
        <v>460</v>
      </c>
      <c r="DL9" s="35" t="s">
        <v>461</v>
      </c>
      <c r="EU9" s="35" t="s">
        <v>478</v>
      </c>
      <c r="EV9" s="35" t="s">
        <v>887</v>
      </c>
      <c r="EW9" s="35" t="s">
        <v>527</v>
      </c>
      <c r="EX9" s="35" t="s">
        <v>991</v>
      </c>
      <c r="EY9" s="35" t="s">
        <v>992</v>
      </c>
      <c r="EZ9" s="35" t="s">
        <v>993</v>
      </c>
      <c r="FA9" s="35" t="s">
        <v>415</v>
      </c>
      <c r="FB9" s="35" t="s">
        <v>414</v>
      </c>
      <c r="FC9" s="35" t="s">
        <v>415</v>
      </c>
      <c r="FD9" s="35" t="s">
        <v>484</v>
      </c>
      <c r="FE9" s="35" t="s">
        <v>415</v>
      </c>
      <c r="FF9" s="35" t="s">
        <v>583</v>
      </c>
      <c r="FG9" s="35" t="s">
        <v>484</v>
      </c>
      <c r="FH9" s="35" t="s">
        <v>413</v>
      </c>
      <c r="FI9" s="35" t="s">
        <v>583</v>
      </c>
      <c r="FJ9" s="35" t="s">
        <v>415</v>
      </c>
      <c r="FK9" s="35" t="s">
        <v>414</v>
      </c>
      <c r="FL9" s="35" t="s">
        <v>416</v>
      </c>
      <c r="FM9" s="35" t="s">
        <v>415</v>
      </c>
      <c r="FN9" s="35" t="s">
        <v>413</v>
      </c>
      <c r="FO9" s="35" t="s">
        <v>583</v>
      </c>
      <c r="FP9" s="35" t="s">
        <v>485</v>
      </c>
      <c r="FQ9" s="35" t="s">
        <v>486</v>
      </c>
      <c r="FR9" s="35" t="s">
        <v>419</v>
      </c>
      <c r="FS9" s="35" t="s">
        <v>994</v>
      </c>
      <c r="FT9" s="35" t="s">
        <v>995</v>
      </c>
      <c r="FU9" s="35" t="s">
        <v>488</v>
      </c>
      <c r="FV9" s="35" t="s">
        <v>489</v>
      </c>
      <c r="FW9" s="35" t="s">
        <v>490</v>
      </c>
      <c r="FX9" s="35" t="s">
        <v>491</v>
      </c>
      <c r="FY9" s="35" t="s">
        <v>11039</v>
      </c>
      <c r="FZ9" s="35" t="s">
        <v>535</v>
      </c>
      <c r="GA9" s="35" t="s">
        <v>997</v>
      </c>
      <c r="GB9" s="35" t="s">
        <v>998</v>
      </c>
      <c r="GC9" s="35" t="s">
        <v>455</v>
      </c>
      <c r="GD9" s="35" t="s">
        <v>11040</v>
      </c>
      <c r="GE9" s="35" t="s">
        <v>11041</v>
      </c>
      <c r="GF9" s="35" t="s">
        <v>753</v>
      </c>
      <c r="GG9" s="35" t="s">
        <v>999</v>
      </c>
      <c r="GH9" s="35" t="s">
        <v>1000</v>
      </c>
      <c r="GI9" s="35" t="s">
        <v>755</v>
      </c>
      <c r="GJ9" s="35" t="s">
        <v>817</v>
      </c>
    </row>
    <row r="10">
      <c r="A10" s="40"/>
      <c r="B10" s="40">
        <v>45826.96069337963</v>
      </c>
      <c r="C10" s="35" t="s">
        <v>368</v>
      </c>
      <c r="D10" s="35" t="s">
        <v>370</v>
      </c>
      <c r="F10" s="35" t="s">
        <v>1001</v>
      </c>
      <c r="H10" s="35" t="s">
        <v>1002</v>
      </c>
      <c r="I10" s="35" t="s">
        <v>637</v>
      </c>
      <c r="J10" s="35" t="s">
        <v>638</v>
      </c>
      <c r="K10" s="35" t="s">
        <v>425</v>
      </c>
      <c r="L10" s="35" t="s">
        <v>376</v>
      </c>
      <c r="M10" s="35" t="s">
        <v>591</v>
      </c>
      <c r="N10" s="35" t="s">
        <v>720</v>
      </c>
      <c r="O10" s="35" t="s">
        <v>591</v>
      </c>
      <c r="P10" s="35" t="s">
        <v>1003</v>
      </c>
      <c r="Q10" s="35" t="s">
        <v>498</v>
      </c>
      <c r="R10" s="35" t="s">
        <v>1004</v>
      </c>
      <c r="S10" s="35" t="s">
        <v>427</v>
      </c>
      <c r="T10" s="35" t="s">
        <v>384</v>
      </c>
      <c r="U10" s="35" t="s">
        <v>385</v>
      </c>
      <c r="X10" s="35" t="s">
        <v>428</v>
      </c>
      <c r="AW10" s="35" t="s">
        <v>390</v>
      </c>
      <c r="AX10" s="35" t="s">
        <v>391</v>
      </c>
      <c r="AY10" s="35" t="s">
        <v>391</v>
      </c>
      <c r="AZ10" s="35" t="s">
        <v>391</v>
      </c>
      <c r="BA10" s="35" t="s">
        <v>429</v>
      </c>
      <c r="BB10" s="35" t="s">
        <v>429</v>
      </c>
      <c r="BC10" s="35" t="s">
        <v>429</v>
      </c>
      <c r="BD10" s="35" t="s">
        <v>1005</v>
      </c>
      <c r="BE10" s="35" t="s">
        <v>1006</v>
      </c>
      <c r="BF10" s="35" t="s">
        <v>392</v>
      </c>
      <c r="BG10" s="35" t="s">
        <v>433</v>
      </c>
      <c r="BH10" s="35" t="s">
        <v>507</v>
      </c>
      <c r="BJ10" s="35" t="s">
        <v>824</v>
      </c>
      <c r="BL10" s="35" t="s">
        <v>602</v>
      </c>
      <c r="BM10" s="35" t="s">
        <v>396</v>
      </c>
      <c r="BN10" s="35" t="s">
        <v>549</v>
      </c>
      <c r="BO10" s="35" t="s">
        <v>513</v>
      </c>
      <c r="CM10" s="35" t="s">
        <v>441</v>
      </c>
      <c r="CN10" s="35" t="s">
        <v>442</v>
      </c>
      <c r="CO10" s="35" t="s">
        <v>552</v>
      </c>
      <c r="CP10" s="35" t="s">
        <v>11042</v>
      </c>
      <c r="CQ10" s="35" t="s">
        <v>1008</v>
      </c>
      <c r="CR10" s="35" t="s">
        <v>1009</v>
      </c>
      <c r="CS10" s="35" t="s">
        <v>447</v>
      </c>
      <c r="CT10" s="35" t="s">
        <v>1010</v>
      </c>
      <c r="CU10" s="35" t="s">
        <v>1011</v>
      </c>
      <c r="CV10" s="35" t="s">
        <v>450</v>
      </c>
      <c r="CW10" s="35" t="s">
        <v>451</v>
      </c>
      <c r="CX10" s="35" t="s">
        <v>1012</v>
      </c>
      <c r="CY10" s="35" t="s">
        <v>408</v>
      </c>
      <c r="DA10" s="35" t="s">
        <v>453</v>
      </c>
      <c r="DB10" s="35" t="s">
        <v>1013</v>
      </c>
      <c r="DC10" s="35" t="s">
        <v>408</v>
      </c>
      <c r="DE10" s="35" t="s">
        <v>988</v>
      </c>
      <c r="DG10" s="35" t="s">
        <v>1014</v>
      </c>
      <c r="DH10" s="35" t="s">
        <v>524</v>
      </c>
      <c r="DI10" s="35" t="s">
        <v>410</v>
      </c>
      <c r="DJ10" s="35" t="s">
        <v>459</v>
      </c>
      <c r="DK10" s="35" t="s">
        <v>460</v>
      </c>
      <c r="DL10" s="35" t="s">
        <v>461</v>
      </c>
      <c r="EU10" s="35" t="s">
        <v>478</v>
      </c>
      <c r="EV10" s="35" t="s">
        <v>479</v>
      </c>
      <c r="EW10" s="35" t="s">
        <v>480</v>
      </c>
      <c r="EX10" s="35" t="s">
        <v>1015</v>
      </c>
      <c r="EY10" s="35" t="s">
        <v>1016</v>
      </c>
      <c r="EZ10" s="35" t="s">
        <v>1017</v>
      </c>
      <c r="FA10" s="35" t="s">
        <v>413</v>
      </c>
      <c r="FB10" s="35" t="s">
        <v>413</v>
      </c>
      <c r="FC10" s="35" t="s">
        <v>413</v>
      </c>
      <c r="FD10" s="35" t="s">
        <v>413</v>
      </c>
      <c r="FE10" s="35" t="s">
        <v>415</v>
      </c>
      <c r="FF10" s="35" t="s">
        <v>413</v>
      </c>
      <c r="FG10" s="35" t="s">
        <v>413</v>
      </c>
      <c r="FH10" s="35" t="s">
        <v>413</v>
      </c>
      <c r="FI10" s="35" t="s">
        <v>413</v>
      </c>
      <c r="FJ10" s="35" t="s">
        <v>413</v>
      </c>
      <c r="FK10" s="35" t="s">
        <v>413</v>
      </c>
      <c r="FL10" s="35" t="s">
        <v>413</v>
      </c>
      <c r="FM10" s="35" t="s">
        <v>413</v>
      </c>
      <c r="FN10" s="35" t="s">
        <v>413</v>
      </c>
      <c r="FO10" s="35" t="s">
        <v>413</v>
      </c>
      <c r="FP10" s="35" t="s">
        <v>417</v>
      </c>
      <c r="FQ10" s="35" t="s">
        <v>486</v>
      </c>
      <c r="FR10" s="35" t="s">
        <v>712</v>
      </c>
      <c r="FS10" s="35" t="s">
        <v>1018</v>
      </c>
      <c r="FT10" s="35" t="s">
        <v>420</v>
      </c>
      <c r="FU10" s="35" t="s">
        <v>488</v>
      </c>
      <c r="FV10" s="35" t="s">
        <v>489</v>
      </c>
      <c r="FW10" s="35" t="s">
        <v>490</v>
      </c>
      <c r="FX10" s="35" t="s">
        <v>491</v>
      </c>
      <c r="FY10" s="35" t="s">
        <v>1019</v>
      </c>
      <c r="FZ10" s="35" t="s">
        <v>1020</v>
      </c>
      <c r="GA10" s="35" t="s">
        <v>1021</v>
      </c>
      <c r="GC10" s="35" t="s">
        <v>408</v>
      </c>
      <c r="GH10" s="35" t="s">
        <v>789</v>
      </c>
      <c r="GI10" s="35" t="s">
        <v>1000</v>
      </c>
      <c r="GJ10" s="35" t="s">
        <v>817</v>
      </c>
    </row>
    <row r="11">
      <c r="A11" s="40"/>
      <c r="B11" s="40">
        <v>45826.9650065625</v>
      </c>
      <c r="C11" s="35" t="s">
        <v>368</v>
      </c>
      <c r="D11" s="35" t="s">
        <v>894</v>
      </c>
      <c r="E11" s="35" t="s">
        <v>894</v>
      </c>
      <c r="H11" s="35" t="s">
        <v>422</v>
      </c>
      <c r="I11" s="35" t="s">
        <v>373</v>
      </c>
      <c r="J11" s="35" t="s">
        <v>1022</v>
      </c>
      <c r="K11" s="35" t="s">
        <v>1023</v>
      </c>
      <c r="L11" s="35" t="s">
        <v>376</v>
      </c>
      <c r="M11" s="35" t="s">
        <v>379</v>
      </c>
      <c r="N11" s="35" t="s">
        <v>860</v>
      </c>
      <c r="O11" s="35" t="s">
        <v>426</v>
      </c>
      <c r="P11" s="35" t="s">
        <v>1024</v>
      </c>
      <c r="Q11" s="35" t="s">
        <v>498</v>
      </c>
      <c r="R11" s="35" t="s">
        <v>759</v>
      </c>
      <c r="S11" s="35" t="s">
        <v>427</v>
      </c>
      <c r="T11" s="35" t="s">
        <v>384</v>
      </c>
      <c r="U11" s="35" t="s">
        <v>385</v>
      </c>
      <c r="V11" s="35" t="s">
        <v>1025</v>
      </c>
      <c r="W11" s="35" t="s">
        <v>1025</v>
      </c>
      <c r="X11" s="35" t="s">
        <v>428</v>
      </c>
      <c r="AW11" s="35" t="s">
        <v>504</v>
      </c>
      <c r="AX11" s="35" t="s">
        <v>391</v>
      </c>
      <c r="AY11" s="35" t="s">
        <v>391</v>
      </c>
      <c r="AZ11" s="35" t="s">
        <v>391</v>
      </c>
      <c r="BA11" s="41">
        <v>2.0</v>
      </c>
      <c r="BB11" s="35" t="s">
        <v>429</v>
      </c>
      <c r="BC11" s="41">
        <v>2.0</v>
      </c>
      <c r="BD11" s="35" t="s">
        <v>11043</v>
      </c>
      <c r="BE11" s="35" t="s">
        <v>1027</v>
      </c>
      <c r="BF11" s="35" t="s">
        <v>432</v>
      </c>
      <c r="BG11" s="35" t="s">
        <v>433</v>
      </c>
      <c r="BH11" s="35" t="s">
        <v>678</v>
      </c>
      <c r="BI11" s="35" t="s">
        <v>1028</v>
      </c>
      <c r="BJ11" s="35" t="s">
        <v>509</v>
      </c>
      <c r="BK11" s="35" t="s">
        <v>11044</v>
      </c>
      <c r="BL11" s="35" t="s">
        <v>602</v>
      </c>
      <c r="BM11" s="35" t="s">
        <v>512</v>
      </c>
      <c r="BN11" s="35" t="s">
        <v>439</v>
      </c>
      <c r="BO11" s="35" t="s">
        <v>513</v>
      </c>
      <c r="CM11" s="35" t="s">
        <v>441</v>
      </c>
      <c r="CN11" s="35" t="s">
        <v>604</v>
      </c>
      <c r="CO11" s="35" t="s">
        <v>11045</v>
      </c>
      <c r="CP11" s="35" t="s">
        <v>1031</v>
      </c>
      <c r="CQ11" s="35" t="s">
        <v>979</v>
      </c>
      <c r="CR11" s="35" t="s">
        <v>516</v>
      </c>
      <c r="CS11" s="35" t="s">
        <v>404</v>
      </c>
      <c r="CT11" s="35" t="s">
        <v>1032</v>
      </c>
      <c r="CU11" s="35" t="s">
        <v>1033</v>
      </c>
      <c r="CV11" s="35" t="s">
        <v>450</v>
      </c>
      <c r="CW11" s="35" t="s">
        <v>451</v>
      </c>
      <c r="CX11" s="35" t="s">
        <v>1034</v>
      </c>
      <c r="CY11" s="35" t="s">
        <v>408</v>
      </c>
      <c r="DA11" s="35" t="s">
        <v>453</v>
      </c>
      <c r="DB11" s="35" t="s">
        <v>1035</v>
      </c>
      <c r="DC11" s="35" t="s">
        <v>913</v>
      </c>
      <c r="DE11" s="35" t="s">
        <v>457</v>
      </c>
      <c r="DG11" s="35" t="s">
        <v>11046</v>
      </c>
      <c r="DH11" s="35" t="s">
        <v>524</v>
      </c>
      <c r="DI11" s="35" t="s">
        <v>410</v>
      </c>
      <c r="DJ11" s="35" t="s">
        <v>459</v>
      </c>
      <c r="DK11" s="35" t="s">
        <v>613</v>
      </c>
      <c r="EU11" s="35" t="s">
        <v>578</v>
      </c>
      <c r="EV11" s="35" t="s">
        <v>1037</v>
      </c>
      <c r="EW11" s="35" t="s">
        <v>580</v>
      </c>
      <c r="EY11" s="35" t="s">
        <v>11047</v>
      </c>
      <c r="FA11" s="35" t="s">
        <v>415</v>
      </c>
      <c r="FB11" s="35" t="s">
        <v>415</v>
      </c>
      <c r="FC11" s="35" t="s">
        <v>413</v>
      </c>
      <c r="FD11" s="35" t="s">
        <v>413</v>
      </c>
      <c r="FE11" s="35" t="s">
        <v>413</v>
      </c>
      <c r="FF11" s="35" t="s">
        <v>415</v>
      </c>
      <c r="FG11" s="35" t="s">
        <v>413</v>
      </c>
      <c r="FH11" s="35" t="s">
        <v>415</v>
      </c>
      <c r="FI11" s="35" t="s">
        <v>413</v>
      </c>
      <c r="FJ11" s="35" t="s">
        <v>416</v>
      </c>
      <c r="FK11" s="35" t="s">
        <v>416</v>
      </c>
      <c r="FL11" s="35" t="s">
        <v>416</v>
      </c>
      <c r="FM11" s="35" t="s">
        <v>416</v>
      </c>
      <c r="FN11" s="35" t="s">
        <v>413</v>
      </c>
      <c r="FO11" s="35" t="s">
        <v>415</v>
      </c>
      <c r="FP11" s="35" t="s">
        <v>417</v>
      </c>
      <c r="FQ11" s="35" t="s">
        <v>418</v>
      </c>
      <c r="FR11" s="35" t="s">
        <v>1039</v>
      </c>
      <c r="FS11" s="35" t="s">
        <v>11048</v>
      </c>
      <c r="FT11" s="35" t="s">
        <v>420</v>
      </c>
      <c r="FU11" s="35" t="s">
        <v>488</v>
      </c>
      <c r="FV11" s="35" t="s">
        <v>585</v>
      </c>
      <c r="FW11" s="35" t="s">
        <v>490</v>
      </c>
      <c r="FX11" s="35" t="s">
        <v>491</v>
      </c>
      <c r="FY11" s="35" t="s">
        <v>11049</v>
      </c>
      <c r="FZ11" s="35" t="s">
        <v>1020</v>
      </c>
      <c r="GA11" s="35" t="s">
        <v>11050</v>
      </c>
      <c r="GB11" s="35" t="s">
        <v>11051</v>
      </c>
      <c r="GC11" s="35" t="s">
        <v>455</v>
      </c>
      <c r="GD11" s="35" t="s">
        <v>11052</v>
      </c>
      <c r="GF11" s="35" t="s">
        <v>855</v>
      </c>
      <c r="GG11" s="35" t="s">
        <v>1044</v>
      </c>
      <c r="GH11" s="35" t="s">
        <v>755</v>
      </c>
      <c r="GI11" s="35" t="s">
        <v>755</v>
      </c>
      <c r="GJ11" s="35" t="s">
        <v>817</v>
      </c>
    </row>
    <row r="12">
      <c r="A12" s="40"/>
      <c r="B12" s="40">
        <v>45826.999987523144</v>
      </c>
      <c r="C12" s="35" t="s">
        <v>368</v>
      </c>
      <c r="D12" s="35" t="s">
        <v>538</v>
      </c>
      <c r="E12" s="35" t="s">
        <v>538</v>
      </c>
      <c r="F12" s="35" t="s">
        <v>1023</v>
      </c>
      <c r="H12" s="35" t="s">
        <v>422</v>
      </c>
      <c r="I12" s="35" t="s">
        <v>539</v>
      </c>
      <c r="J12" s="35" t="s">
        <v>374</v>
      </c>
      <c r="K12" s="35" t="s">
        <v>375</v>
      </c>
      <c r="L12" s="35" t="s">
        <v>376</v>
      </c>
      <c r="M12" s="35" t="s">
        <v>379</v>
      </c>
      <c r="N12" s="35" t="s">
        <v>378</v>
      </c>
      <c r="O12" s="35" t="s">
        <v>379</v>
      </c>
      <c r="P12" s="35" t="s">
        <v>380</v>
      </c>
      <c r="Q12" s="35" t="s">
        <v>498</v>
      </c>
      <c r="R12" s="35" t="s">
        <v>499</v>
      </c>
      <c r="S12" s="35" t="s">
        <v>500</v>
      </c>
      <c r="T12" s="35" t="s">
        <v>384</v>
      </c>
      <c r="U12" s="35" t="s">
        <v>385</v>
      </c>
      <c r="X12" s="35" t="s">
        <v>386</v>
      </c>
      <c r="Y12" s="35" t="s">
        <v>387</v>
      </c>
      <c r="Z12" s="35" t="s">
        <v>594</v>
      </c>
      <c r="AW12" s="35" t="s">
        <v>504</v>
      </c>
      <c r="AX12" s="35" t="s">
        <v>429</v>
      </c>
      <c r="AY12" s="35" t="s">
        <v>429</v>
      </c>
      <c r="AZ12" s="35" t="s">
        <v>429</v>
      </c>
      <c r="BA12" s="41">
        <v>2.0</v>
      </c>
      <c r="BB12" s="41">
        <v>2.0</v>
      </c>
      <c r="BC12" s="41">
        <v>2.0</v>
      </c>
      <c r="BD12" s="35" t="s">
        <v>1080</v>
      </c>
      <c r="BE12" s="35" t="s">
        <v>1081</v>
      </c>
      <c r="BF12" s="35" t="s">
        <v>392</v>
      </c>
      <c r="BG12" s="35" t="s">
        <v>433</v>
      </c>
      <c r="BH12" s="35" t="s">
        <v>765</v>
      </c>
      <c r="BJ12" s="35" t="s">
        <v>509</v>
      </c>
      <c r="BK12" s="35" t="s">
        <v>1082</v>
      </c>
      <c r="BL12" s="35" t="s">
        <v>681</v>
      </c>
      <c r="BN12" s="35" t="s">
        <v>439</v>
      </c>
      <c r="BO12" s="35" t="s">
        <v>513</v>
      </c>
      <c r="CM12" s="35" t="s">
        <v>682</v>
      </c>
      <c r="CN12" s="35" t="s">
        <v>401</v>
      </c>
      <c r="CO12" s="35" t="s">
        <v>11053</v>
      </c>
      <c r="CP12" s="35" t="s">
        <v>1084</v>
      </c>
      <c r="CQ12" s="35" t="s">
        <v>685</v>
      </c>
      <c r="CR12" s="35" t="s">
        <v>1085</v>
      </c>
      <c r="CS12" s="35" t="s">
        <v>404</v>
      </c>
      <c r="CU12" s="35" t="s">
        <v>1086</v>
      </c>
      <c r="CV12" s="35" t="s">
        <v>450</v>
      </c>
      <c r="CW12" s="35" t="s">
        <v>959</v>
      </c>
      <c r="CY12" s="35" t="s">
        <v>408</v>
      </c>
      <c r="DA12" s="35" t="s">
        <v>453</v>
      </c>
      <c r="DB12" s="35" t="s">
        <v>1087</v>
      </c>
      <c r="DC12" s="35" t="s">
        <v>408</v>
      </c>
      <c r="DE12" s="35" t="s">
        <v>406</v>
      </c>
      <c r="DF12" s="35" t="s">
        <v>1058</v>
      </c>
      <c r="DG12" s="35" t="s">
        <v>1088</v>
      </c>
      <c r="DH12" s="35" t="s">
        <v>776</v>
      </c>
      <c r="DI12" s="35" t="s">
        <v>410</v>
      </c>
      <c r="DJ12" s="35" t="s">
        <v>963</v>
      </c>
      <c r="DK12" s="35" t="s">
        <v>460</v>
      </c>
      <c r="DL12" s="35" t="s">
        <v>461</v>
      </c>
      <c r="EU12" s="35" t="s">
        <v>526</v>
      </c>
      <c r="EV12" s="35" t="s">
        <v>1037</v>
      </c>
      <c r="EW12" s="35" t="s">
        <v>580</v>
      </c>
      <c r="FP12" s="35" t="s">
        <v>417</v>
      </c>
      <c r="FQ12" s="35" t="s">
        <v>418</v>
      </c>
      <c r="FR12" s="35" t="s">
        <v>712</v>
      </c>
      <c r="FS12" s="35" t="s">
        <v>1089</v>
      </c>
      <c r="FT12" s="35" t="s">
        <v>420</v>
      </c>
      <c r="FU12" s="35" t="s">
        <v>488</v>
      </c>
      <c r="FV12" s="35" t="s">
        <v>585</v>
      </c>
      <c r="FW12" s="35" t="s">
        <v>490</v>
      </c>
      <c r="FX12" s="35" t="s">
        <v>491</v>
      </c>
      <c r="FY12" s="35" t="s">
        <v>11054</v>
      </c>
      <c r="FZ12" s="35" t="s">
        <v>535</v>
      </c>
      <c r="GC12" s="35" t="s">
        <v>455</v>
      </c>
      <c r="GD12" s="35" t="s">
        <v>11055</v>
      </c>
      <c r="GF12" s="35" t="s">
        <v>753</v>
      </c>
      <c r="GG12" s="35" t="s">
        <v>1091</v>
      </c>
      <c r="GH12" s="35" t="s">
        <v>755</v>
      </c>
      <c r="GI12" s="35" t="s">
        <v>755</v>
      </c>
      <c r="GJ12" s="35" t="s">
        <v>946</v>
      </c>
    </row>
    <row r="13">
      <c r="A13" s="40"/>
      <c r="B13" s="40">
        <v>45827.10090055555</v>
      </c>
      <c r="C13" s="35" t="s">
        <v>368</v>
      </c>
      <c r="D13" s="35" t="s">
        <v>370</v>
      </c>
      <c r="F13" s="35" t="s">
        <v>589</v>
      </c>
      <c r="H13" s="35" t="s">
        <v>422</v>
      </c>
      <c r="I13" s="35" t="s">
        <v>373</v>
      </c>
      <c r="J13" s="35" t="s">
        <v>374</v>
      </c>
      <c r="K13" s="35" t="s">
        <v>425</v>
      </c>
      <c r="L13" s="35" t="s">
        <v>376</v>
      </c>
      <c r="M13" s="35" t="s">
        <v>379</v>
      </c>
      <c r="N13" s="35" t="s">
        <v>378</v>
      </c>
      <c r="O13" s="35" t="s">
        <v>379</v>
      </c>
      <c r="P13" s="35" t="s">
        <v>497</v>
      </c>
      <c r="Q13" s="35" t="s">
        <v>498</v>
      </c>
      <c r="R13" s="35" t="s">
        <v>759</v>
      </c>
      <c r="S13" s="35" t="s">
        <v>1135</v>
      </c>
      <c r="T13" s="35" t="s">
        <v>384</v>
      </c>
      <c r="U13" s="35" t="s">
        <v>385</v>
      </c>
      <c r="X13" s="35" t="s">
        <v>760</v>
      </c>
      <c r="Y13" s="35" t="s">
        <v>387</v>
      </c>
      <c r="Z13" s="35" t="s">
        <v>897</v>
      </c>
      <c r="AA13" s="35" t="s">
        <v>502</v>
      </c>
      <c r="AW13" s="35" t="s">
        <v>390</v>
      </c>
      <c r="AX13" s="35" t="s">
        <v>391</v>
      </c>
      <c r="AY13" s="41">
        <v>2.0</v>
      </c>
      <c r="AZ13" s="35" t="s">
        <v>429</v>
      </c>
      <c r="BA13" s="35" t="s">
        <v>391</v>
      </c>
      <c r="BB13" s="41">
        <v>4.0</v>
      </c>
      <c r="BC13" s="41">
        <v>2.0</v>
      </c>
      <c r="BF13" s="35" t="s">
        <v>432</v>
      </c>
      <c r="BG13" s="35" t="s">
        <v>433</v>
      </c>
      <c r="BH13" s="35" t="s">
        <v>434</v>
      </c>
      <c r="BJ13" s="35" t="s">
        <v>727</v>
      </c>
      <c r="BL13" s="35" t="s">
        <v>511</v>
      </c>
      <c r="BM13" s="35" t="s">
        <v>438</v>
      </c>
      <c r="BN13" s="35" t="s">
        <v>549</v>
      </c>
      <c r="BO13" s="35" t="s">
        <v>513</v>
      </c>
      <c r="CM13" s="35" t="s">
        <v>441</v>
      </c>
      <c r="CN13" s="35" t="s">
        <v>401</v>
      </c>
      <c r="CQ13" s="35" t="s">
        <v>403</v>
      </c>
      <c r="CR13" s="35" t="s">
        <v>1136</v>
      </c>
      <c r="CS13" s="35" t="s">
        <v>404</v>
      </c>
      <c r="CT13" s="35" t="s">
        <v>1137</v>
      </c>
      <c r="CV13" s="35" t="s">
        <v>450</v>
      </c>
      <c r="CW13" s="35" t="s">
        <v>451</v>
      </c>
      <c r="CY13" s="35" t="s">
        <v>733</v>
      </c>
      <c r="DA13" s="35" t="s">
        <v>453</v>
      </c>
      <c r="DC13" s="35" t="s">
        <v>455</v>
      </c>
      <c r="DD13" s="35" t="s">
        <v>1138</v>
      </c>
      <c r="DE13" s="35" t="s">
        <v>406</v>
      </c>
      <c r="DF13" s="35" t="s">
        <v>407</v>
      </c>
      <c r="DH13" s="35" t="s">
        <v>524</v>
      </c>
      <c r="DI13" s="35" t="s">
        <v>833</v>
      </c>
      <c r="DJ13" s="35" t="s">
        <v>459</v>
      </c>
      <c r="DK13" s="35" t="s">
        <v>613</v>
      </c>
      <c r="EU13" s="35" t="s">
        <v>526</v>
      </c>
      <c r="EV13" s="35" t="s">
        <v>1037</v>
      </c>
      <c r="EW13" s="35" t="s">
        <v>580</v>
      </c>
      <c r="FA13" s="35" t="s">
        <v>415</v>
      </c>
      <c r="FB13" s="35" t="s">
        <v>415</v>
      </c>
      <c r="FC13" s="35" t="s">
        <v>413</v>
      </c>
      <c r="FD13" s="35" t="s">
        <v>415</v>
      </c>
      <c r="FE13" s="35" t="s">
        <v>413</v>
      </c>
      <c r="FF13" s="35" t="s">
        <v>415</v>
      </c>
      <c r="FG13" s="35" t="s">
        <v>415</v>
      </c>
      <c r="FH13" s="35" t="s">
        <v>415</v>
      </c>
      <c r="FI13" s="35" t="s">
        <v>415</v>
      </c>
      <c r="FJ13" s="35" t="s">
        <v>415</v>
      </c>
      <c r="FK13" s="35" t="s">
        <v>415</v>
      </c>
      <c r="FL13" s="35" t="s">
        <v>415</v>
      </c>
      <c r="FM13" s="35" t="s">
        <v>415</v>
      </c>
      <c r="FN13" s="35" t="s">
        <v>415</v>
      </c>
      <c r="FO13" s="35" t="s">
        <v>415</v>
      </c>
      <c r="FP13" s="35" t="s">
        <v>417</v>
      </c>
      <c r="FQ13" s="35" t="s">
        <v>418</v>
      </c>
      <c r="FR13" s="35" t="s">
        <v>712</v>
      </c>
      <c r="FT13" s="35" t="s">
        <v>420</v>
      </c>
      <c r="FU13" s="35" t="s">
        <v>488</v>
      </c>
      <c r="FV13" s="35" t="s">
        <v>489</v>
      </c>
      <c r="FW13" s="35" t="s">
        <v>490</v>
      </c>
      <c r="FX13" s="35" t="s">
        <v>491</v>
      </c>
      <c r="FZ13" s="35" t="s">
        <v>493</v>
      </c>
      <c r="GC13" s="35" t="s">
        <v>408</v>
      </c>
      <c r="GH13" s="35" t="s">
        <v>1000</v>
      </c>
      <c r="GI13" s="35" t="s">
        <v>1000</v>
      </c>
      <c r="GJ13" s="35" t="s">
        <v>756</v>
      </c>
    </row>
    <row r="14">
      <c r="A14" s="40"/>
      <c r="B14" s="40">
        <v>45827.143764328706</v>
      </c>
      <c r="C14" s="35" t="s">
        <v>368</v>
      </c>
      <c r="D14" s="35" t="s">
        <v>1194</v>
      </c>
      <c r="E14" s="35" t="s">
        <v>1194</v>
      </c>
      <c r="H14" s="35" t="s">
        <v>1195</v>
      </c>
      <c r="I14" s="35" t="s">
        <v>637</v>
      </c>
      <c r="J14" s="35" t="s">
        <v>638</v>
      </c>
      <c r="K14" s="35" t="s">
        <v>718</v>
      </c>
      <c r="L14" s="35" t="s">
        <v>376</v>
      </c>
      <c r="M14" s="35" t="s">
        <v>793</v>
      </c>
      <c r="N14" s="35" t="s">
        <v>720</v>
      </c>
      <c r="O14" s="35" t="s">
        <v>591</v>
      </c>
      <c r="P14" s="35" t="s">
        <v>1196</v>
      </c>
      <c r="Q14" s="35" t="s">
        <v>498</v>
      </c>
      <c r="R14" s="35" t="s">
        <v>382</v>
      </c>
      <c r="S14" s="35" t="s">
        <v>1197</v>
      </c>
      <c r="T14" s="35" t="s">
        <v>384</v>
      </c>
      <c r="U14" s="35" t="s">
        <v>385</v>
      </c>
      <c r="X14" s="35" t="s">
        <v>428</v>
      </c>
      <c r="AW14" s="35" t="s">
        <v>504</v>
      </c>
      <c r="AX14" s="35" t="s">
        <v>391</v>
      </c>
      <c r="AY14" s="35" t="s">
        <v>391</v>
      </c>
      <c r="AZ14" s="41">
        <v>2.0</v>
      </c>
      <c r="BA14" s="41">
        <v>2.0</v>
      </c>
      <c r="BB14" s="41">
        <v>2.0</v>
      </c>
      <c r="BC14" s="41">
        <v>2.0</v>
      </c>
      <c r="BF14" s="35" t="s">
        <v>392</v>
      </c>
      <c r="BG14" s="35" t="s">
        <v>393</v>
      </c>
      <c r="BH14" s="35" t="s">
        <v>725</v>
      </c>
      <c r="BJ14" s="35" t="s">
        <v>824</v>
      </c>
      <c r="BL14" s="35" t="s">
        <v>681</v>
      </c>
      <c r="BM14" s="35" t="s">
        <v>904</v>
      </c>
      <c r="BN14" s="35" t="s">
        <v>549</v>
      </c>
      <c r="BO14" s="35" t="s">
        <v>513</v>
      </c>
      <c r="CM14" s="35" t="s">
        <v>550</v>
      </c>
      <c r="CN14" s="35" t="s">
        <v>401</v>
      </c>
      <c r="CQ14" s="35" t="s">
        <v>1008</v>
      </c>
      <c r="CR14" s="35" t="s">
        <v>1198</v>
      </c>
      <c r="CS14" s="35" t="s">
        <v>404</v>
      </c>
      <c r="CT14" s="35" t="s">
        <v>1032</v>
      </c>
      <c r="CU14" s="35" t="s">
        <v>1199</v>
      </c>
      <c r="CV14" s="35" t="s">
        <v>450</v>
      </c>
      <c r="CW14" s="35" t="s">
        <v>959</v>
      </c>
      <c r="CY14" s="35" t="s">
        <v>408</v>
      </c>
      <c r="DA14" s="35" t="s">
        <v>453</v>
      </c>
      <c r="DC14" s="35" t="s">
        <v>408</v>
      </c>
      <c r="DE14" s="35" t="s">
        <v>406</v>
      </c>
      <c r="DF14" s="35" t="s">
        <v>407</v>
      </c>
      <c r="DH14" s="35" t="s">
        <v>561</v>
      </c>
      <c r="DI14" s="35" t="s">
        <v>410</v>
      </c>
      <c r="DJ14" s="35" t="s">
        <v>459</v>
      </c>
      <c r="DK14" s="35" t="s">
        <v>613</v>
      </c>
      <c r="EU14" s="35" t="s">
        <v>526</v>
      </c>
      <c r="EV14" s="35" t="s">
        <v>479</v>
      </c>
      <c r="EW14" s="35" t="s">
        <v>663</v>
      </c>
      <c r="FA14" s="35" t="s">
        <v>414</v>
      </c>
      <c r="FB14" s="35" t="s">
        <v>583</v>
      </c>
      <c r="FC14" s="35" t="s">
        <v>415</v>
      </c>
      <c r="FD14" s="35" t="s">
        <v>583</v>
      </c>
      <c r="FE14" s="35" t="s">
        <v>415</v>
      </c>
      <c r="FF14" s="35" t="s">
        <v>415</v>
      </c>
      <c r="FG14" s="35" t="s">
        <v>583</v>
      </c>
      <c r="FH14" s="35" t="s">
        <v>413</v>
      </c>
      <c r="FI14" s="35" t="s">
        <v>583</v>
      </c>
      <c r="FJ14" s="35" t="s">
        <v>583</v>
      </c>
      <c r="FK14" s="35" t="s">
        <v>414</v>
      </c>
      <c r="FL14" s="35" t="s">
        <v>415</v>
      </c>
      <c r="FM14" s="35" t="s">
        <v>415</v>
      </c>
      <c r="FN14" s="35" t="s">
        <v>416</v>
      </c>
      <c r="FO14" s="35" t="s">
        <v>414</v>
      </c>
      <c r="FP14" s="35" t="s">
        <v>417</v>
      </c>
      <c r="FQ14" s="35" t="s">
        <v>1200</v>
      </c>
      <c r="FR14" s="35" t="s">
        <v>630</v>
      </c>
      <c r="FT14" s="35" t="s">
        <v>995</v>
      </c>
      <c r="FU14" s="35" t="s">
        <v>488</v>
      </c>
      <c r="FV14" s="35" t="s">
        <v>533</v>
      </c>
      <c r="FW14" s="35" t="s">
        <v>490</v>
      </c>
      <c r="FX14" s="35" t="s">
        <v>491</v>
      </c>
      <c r="FZ14" s="35" t="s">
        <v>535</v>
      </c>
      <c r="GC14" s="35" t="s">
        <v>408</v>
      </c>
      <c r="GH14" s="35" t="s">
        <v>788</v>
      </c>
      <c r="GI14" s="35" t="s">
        <v>789</v>
      </c>
      <c r="GJ14" s="35" t="s">
        <v>946</v>
      </c>
    </row>
    <row r="15">
      <c r="A15" s="40"/>
      <c r="B15" s="40">
        <v>45827.37673142361</v>
      </c>
      <c r="C15" s="35" t="s">
        <v>368</v>
      </c>
      <c r="D15" s="35" t="s">
        <v>370</v>
      </c>
      <c r="F15" s="35" t="s">
        <v>1421</v>
      </c>
      <c r="H15" s="35" t="s">
        <v>422</v>
      </c>
      <c r="I15" s="35" t="s">
        <v>1203</v>
      </c>
      <c r="J15" s="35" t="s">
        <v>638</v>
      </c>
      <c r="K15" s="35" t="s">
        <v>1204</v>
      </c>
      <c r="L15" s="35" t="s">
        <v>376</v>
      </c>
      <c r="M15" s="35" t="s">
        <v>793</v>
      </c>
      <c r="N15" s="35" t="s">
        <v>720</v>
      </c>
      <c r="O15" s="35" t="s">
        <v>793</v>
      </c>
      <c r="P15" s="35" t="s">
        <v>720</v>
      </c>
      <c r="Q15" s="35" t="s">
        <v>592</v>
      </c>
      <c r="R15" s="35" t="s">
        <v>1156</v>
      </c>
      <c r="S15" s="35" t="s">
        <v>427</v>
      </c>
      <c r="T15" s="35" t="s">
        <v>384</v>
      </c>
      <c r="U15" s="35" t="s">
        <v>385</v>
      </c>
      <c r="X15" s="35" t="s">
        <v>428</v>
      </c>
      <c r="AW15" s="35" t="s">
        <v>597</v>
      </c>
      <c r="AX15" s="41">
        <v>2.0</v>
      </c>
      <c r="AY15" s="41">
        <v>2.0</v>
      </c>
      <c r="AZ15" s="41">
        <v>2.0</v>
      </c>
      <c r="BA15" s="35" t="s">
        <v>429</v>
      </c>
      <c r="BB15" s="35" t="s">
        <v>429</v>
      </c>
      <c r="BC15" s="35" t="s">
        <v>429</v>
      </c>
      <c r="BD15" s="35" t="s">
        <v>1422</v>
      </c>
      <c r="BE15" s="35" t="s">
        <v>1423</v>
      </c>
      <c r="BF15" s="35" t="s">
        <v>392</v>
      </c>
      <c r="BG15" s="35" t="s">
        <v>433</v>
      </c>
      <c r="BH15" s="35" t="s">
        <v>678</v>
      </c>
      <c r="BI15" s="35" t="s">
        <v>11056</v>
      </c>
      <c r="BJ15" s="35" t="s">
        <v>824</v>
      </c>
      <c r="BL15" s="35" t="s">
        <v>511</v>
      </c>
      <c r="BM15" s="35" t="s">
        <v>396</v>
      </c>
      <c r="BN15" s="35" t="s">
        <v>549</v>
      </c>
      <c r="BO15" s="35" t="s">
        <v>513</v>
      </c>
      <c r="CM15" s="35" t="s">
        <v>441</v>
      </c>
      <c r="CN15" s="35" t="s">
        <v>604</v>
      </c>
      <c r="CO15" s="35" t="s">
        <v>1425</v>
      </c>
      <c r="CP15" s="35" t="s">
        <v>11057</v>
      </c>
      <c r="CQ15" s="35" t="s">
        <v>979</v>
      </c>
      <c r="CR15" s="35" t="s">
        <v>1427</v>
      </c>
      <c r="CS15" s="35" t="s">
        <v>404</v>
      </c>
      <c r="CT15" s="35" t="s">
        <v>1428</v>
      </c>
      <c r="CU15" s="35" t="s">
        <v>11058</v>
      </c>
      <c r="CV15" s="35" t="s">
        <v>450</v>
      </c>
      <c r="CW15" s="35" t="s">
        <v>451</v>
      </c>
      <c r="CX15" s="35" t="s">
        <v>1430</v>
      </c>
      <c r="CY15" s="35" t="s">
        <v>408</v>
      </c>
      <c r="DA15" s="35" t="s">
        <v>453</v>
      </c>
      <c r="DB15" s="35" t="s">
        <v>1431</v>
      </c>
      <c r="DC15" s="35" t="s">
        <v>455</v>
      </c>
      <c r="DD15" s="35" t="s">
        <v>1432</v>
      </c>
      <c r="DE15" s="35" t="s">
        <v>406</v>
      </c>
      <c r="DF15" s="35" t="s">
        <v>1058</v>
      </c>
      <c r="DG15" s="35" t="s">
        <v>1433</v>
      </c>
      <c r="DH15" s="35" t="s">
        <v>524</v>
      </c>
      <c r="DI15" s="35" t="s">
        <v>410</v>
      </c>
      <c r="DJ15" s="35" t="s">
        <v>459</v>
      </c>
      <c r="DK15" s="35" t="s">
        <v>460</v>
      </c>
      <c r="DL15" s="35" t="s">
        <v>1434</v>
      </c>
      <c r="EU15" s="35" t="s">
        <v>526</v>
      </c>
      <c r="EV15" s="35" t="s">
        <v>579</v>
      </c>
      <c r="EW15" s="35" t="s">
        <v>778</v>
      </c>
      <c r="EX15" s="35" t="s">
        <v>1435</v>
      </c>
      <c r="EY15" s="35" t="s">
        <v>11059</v>
      </c>
      <c r="EZ15" s="35" t="s">
        <v>1437</v>
      </c>
      <c r="FA15" s="35" t="s">
        <v>415</v>
      </c>
      <c r="FB15" s="35" t="s">
        <v>415</v>
      </c>
      <c r="FC15" s="35" t="s">
        <v>413</v>
      </c>
      <c r="FD15" s="35" t="s">
        <v>413</v>
      </c>
      <c r="FE15" s="35" t="s">
        <v>413</v>
      </c>
      <c r="FF15" s="35" t="s">
        <v>413</v>
      </c>
      <c r="FG15" s="35" t="s">
        <v>413</v>
      </c>
      <c r="FH15" s="35" t="s">
        <v>413</v>
      </c>
      <c r="FI15" s="35" t="s">
        <v>415</v>
      </c>
      <c r="FJ15" s="35" t="s">
        <v>413</v>
      </c>
      <c r="FK15" s="35" t="s">
        <v>413</v>
      </c>
      <c r="FL15" s="35" t="s">
        <v>413</v>
      </c>
      <c r="FM15" s="35" t="s">
        <v>413</v>
      </c>
      <c r="FN15" s="35" t="s">
        <v>413</v>
      </c>
      <c r="FO15" s="35" t="s">
        <v>413</v>
      </c>
      <c r="FP15" s="35" t="s">
        <v>485</v>
      </c>
      <c r="FQ15" s="35" t="s">
        <v>418</v>
      </c>
      <c r="FR15" s="35" t="s">
        <v>531</v>
      </c>
      <c r="FS15" s="35" t="s">
        <v>1438</v>
      </c>
      <c r="FT15" s="35" t="s">
        <v>420</v>
      </c>
      <c r="FU15" s="35" t="s">
        <v>488</v>
      </c>
      <c r="FV15" s="35" t="s">
        <v>1235</v>
      </c>
      <c r="FW15" s="35" t="s">
        <v>490</v>
      </c>
      <c r="FX15" s="35" t="s">
        <v>491</v>
      </c>
      <c r="FY15" s="35" t="s">
        <v>1439</v>
      </c>
      <c r="FZ15" s="35" t="s">
        <v>535</v>
      </c>
      <c r="GA15" s="35" t="s">
        <v>1440</v>
      </c>
      <c r="GC15" s="35" t="s">
        <v>408</v>
      </c>
      <c r="GH15" s="35" t="s">
        <v>920</v>
      </c>
      <c r="GI15" s="35" t="s">
        <v>1000</v>
      </c>
      <c r="GJ15" s="35" t="s">
        <v>946</v>
      </c>
    </row>
    <row r="16">
      <c r="A16" s="40"/>
      <c r="B16" s="40">
        <v>45827.39404474537</v>
      </c>
      <c r="C16" s="35" t="s">
        <v>368</v>
      </c>
      <c r="D16" s="35" t="s">
        <v>370</v>
      </c>
      <c r="F16" s="35" t="s">
        <v>1441</v>
      </c>
      <c r="H16" s="35" t="s">
        <v>422</v>
      </c>
      <c r="I16" s="35" t="s">
        <v>637</v>
      </c>
      <c r="J16" s="35" t="s">
        <v>638</v>
      </c>
      <c r="K16" s="35" t="s">
        <v>425</v>
      </c>
      <c r="L16" s="35" t="s">
        <v>376</v>
      </c>
      <c r="M16" s="35" t="s">
        <v>591</v>
      </c>
      <c r="N16" s="35" t="s">
        <v>541</v>
      </c>
      <c r="O16" s="35" t="s">
        <v>591</v>
      </c>
      <c r="P16" s="35" t="s">
        <v>1442</v>
      </c>
      <c r="Q16" s="35" t="s">
        <v>498</v>
      </c>
      <c r="R16" s="35" t="s">
        <v>1156</v>
      </c>
      <c r="S16" s="35" t="s">
        <v>795</v>
      </c>
      <c r="T16" s="35" t="s">
        <v>1443</v>
      </c>
      <c r="U16" s="35" t="s">
        <v>385</v>
      </c>
      <c r="X16" s="35" t="s">
        <v>593</v>
      </c>
      <c r="Y16" s="35" t="s">
        <v>387</v>
      </c>
      <c r="Z16" s="35" t="s">
        <v>1444</v>
      </c>
      <c r="AA16" s="35" t="s">
        <v>672</v>
      </c>
      <c r="AB16" s="35" t="s">
        <v>11060</v>
      </c>
      <c r="AC16" s="35" t="s">
        <v>1446</v>
      </c>
      <c r="AW16" s="35" t="s">
        <v>390</v>
      </c>
      <c r="AX16" s="35" t="s">
        <v>429</v>
      </c>
      <c r="AY16" s="35" t="s">
        <v>429</v>
      </c>
      <c r="AZ16" s="35" t="s">
        <v>429</v>
      </c>
      <c r="BA16" s="35" t="s">
        <v>429</v>
      </c>
      <c r="BB16" s="35" t="s">
        <v>429</v>
      </c>
      <c r="BC16" s="35" t="s">
        <v>429</v>
      </c>
      <c r="BD16" s="35" t="s">
        <v>1447</v>
      </c>
      <c r="BE16" s="35" t="s">
        <v>1448</v>
      </c>
      <c r="BF16" s="35" t="s">
        <v>392</v>
      </c>
      <c r="BG16" s="35" t="s">
        <v>433</v>
      </c>
      <c r="BH16" s="35" t="s">
        <v>678</v>
      </c>
      <c r="BI16" s="35" t="s">
        <v>1449</v>
      </c>
      <c r="BJ16" s="35" t="s">
        <v>509</v>
      </c>
      <c r="BK16" s="35" t="s">
        <v>1450</v>
      </c>
      <c r="BL16" s="35" t="s">
        <v>681</v>
      </c>
      <c r="BM16" s="35" t="s">
        <v>603</v>
      </c>
      <c r="BN16" s="35" t="s">
        <v>549</v>
      </c>
      <c r="BO16" s="35" t="s">
        <v>513</v>
      </c>
      <c r="CM16" s="35" t="s">
        <v>441</v>
      </c>
      <c r="CN16" s="35" t="s">
        <v>604</v>
      </c>
      <c r="CO16" s="35" t="s">
        <v>11061</v>
      </c>
      <c r="CP16" s="35" t="s">
        <v>11062</v>
      </c>
      <c r="CQ16" s="35" t="s">
        <v>445</v>
      </c>
      <c r="CR16" s="35" t="s">
        <v>1453</v>
      </c>
      <c r="CS16" s="35" t="s">
        <v>447</v>
      </c>
      <c r="CT16" s="35" t="s">
        <v>1454</v>
      </c>
      <c r="CU16" s="35" t="s">
        <v>11063</v>
      </c>
      <c r="CV16" s="35" t="s">
        <v>519</v>
      </c>
      <c r="CW16" s="35" t="s">
        <v>451</v>
      </c>
      <c r="CX16" s="35" t="s">
        <v>11064</v>
      </c>
      <c r="CY16" s="35" t="s">
        <v>733</v>
      </c>
      <c r="CZ16" s="35" t="s">
        <v>11065</v>
      </c>
      <c r="DA16" s="35" t="s">
        <v>453</v>
      </c>
      <c r="DB16" s="35" t="s">
        <v>11066</v>
      </c>
      <c r="DC16" s="35" t="s">
        <v>455</v>
      </c>
      <c r="DD16" s="35" t="s">
        <v>11067</v>
      </c>
      <c r="DE16" s="35" t="s">
        <v>457</v>
      </c>
      <c r="DF16" s="35" t="s">
        <v>691</v>
      </c>
      <c r="DG16" s="35" t="s">
        <v>1460</v>
      </c>
      <c r="DH16" s="35" t="s">
        <v>561</v>
      </c>
      <c r="DI16" s="35" t="s">
        <v>833</v>
      </c>
      <c r="DJ16" s="35" t="s">
        <v>459</v>
      </c>
      <c r="DK16" s="35" t="s">
        <v>613</v>
      </c>
      <c r="EU16" s="35" t="s">
        <v>526</v>
      </c>
      <c r="EV16" s="35" t="s">
        <v>479</v>
      </c>
      <c r="EW16" s="35" t="s">
        <v>480</v>
      </c>
      <c r="EY16" s="35" t="s">
        <v>11068</v>
      </c>
      <c r="FA16" s="35" t="s">
        <v>413</v>
      </c>
      <c r="FB16" s="35" t="s">
        <v>415</v>
      </c>
      <c r="FC16" s="35" t="s">
        <v>413</v>
      </c>
      <c r="FD16" s="35" t="s">
        <v>413</v>
      </c>
      <c r="FE16" s="35" t="s">
        <v>413</v>
      </c>
      <c r="FF16" s="35" t="s">
        <v>413</v>
      </c>
      <c r="FG16" s="35" t="s">
        <v>415</v>
      </c>
      <c r="FH16" s="35" t="s">
        <v>415</v>
      </c>
      <c r="FI16" s="35" t="s">
        <v>415</v>
      </c>
      <c r="FJ16" s="35" t="s">
        <v>414</v>
      </c>
      <c r="FK16" s="35" t="s">
        <v>414</v>
      </c>
      <c r="FL16" s="35" t="s">
        <v>415</v>
      </c>
      <c r="FM16" s="35" t="s">
        <v>415</v>
      </c>
      <c r="FN16" s="35" t="s">
        <v>415</v>
      </c>
      <c r="FO16" s="35" t="s">
        <v>414</v>
      </c>
      <c r="FP16" s="35" t="s">
        <v>485</v>
      </c>
      <c r="FQ16" s="35" t="s">
        <v>486</v>
      </c>
      <c r="FR16" s="35" t="s">
        <v>712</v>
      </c>
      <c r="FT16" s="35" t="s">
        <v>1189</v>
      </c>
      <c r="FU16" s="35" t="s">
        <v>1462</v>
      </c>
      <c r="FV16" s="35" t="s">
        <v>533</v>
      </c>
      <c r="FW16" s="35" t="s">
        <v>490</v>
      </c>
      <c r="FX16" s="35" t="s">
        <v>491</v>
      </c>
      <c r="FY16" s="35" t="s">
        <v>1463</v>
      </c>
      <c r="FZ16" s="35" t="s">
        <v>1020</v>
      </c>
      <c r="GC16" s="35" t="s">
        <v>455</v>
      </c>
      <c r="GD16" s="35" t="s">
        <v>11069</v>
      </c>
      <c r="GF16" s="35" t="s">
        <v>786</v>
      </c>
      <c r="GH16" s="35" t="s">
        <v>857</v>
      </c>
      <c r="GI16" s="35" t="s">
        <v>857</v>
      </c>
      <c r="GJ16" s="35" t="s">
        <v>790</v>
      </c>
    </row>
    <row r="17">
      <c r="A17" s="40"/>
      <c r="B17" s="40">
        <v>45827.396721377314</v>
      </c>
      <c r="C17" s="35" t="s">
        <v>368</v>
      </c>
      <c r="D17" s="35" t="s">
        <v>370</v>
      </c>
      <c r="F17" s="35" t="s">
        <v>1464</v>
      </c>
      <c r="H17" s="35" t="s">
        <v>422</v>
      </c>
      <c r="I17" s="35" t="s">
        <v>539</v>
      </c>
      <c r="J17" s="35" t="s">
        <v>424</v>
      </c>
      <c r="K17" s="35" t="s">
        <v>718</v>
      </c>
      <c r="L17" s="35" t="s">
        <v>376</v>
      </c>
      <c r="M17" s="35" t="s">
        <v>426</v>
      </c>
      <c r="N17" s="35" t="s">
        <v>378</v>
      </c>
      <c r="O17" s="35" t="s">
        <v>591</v>
      </c>
      <c r="P17" s="35" t="s">
        <v>11070</v>
      </c>
      <c r="Q17" s="35" t="s">
        <v>498</v>
      </c>
      <c r="R17" s="35" t="s">
        <v>1342</v>
      </c>
      <c r="S17" s="35" t="s">
        <v>427</v>
      </c>
      <c r="T17" s="35" t="s">
        <v>384</v>
      </c>
      <c r="U17" s="35" t="s">
        <v>385</v>
      </c>
      <c r="X17" s="35" t="s">
        <v>428</v>
      </c>
      <c r="AW17" s="35" t="s">
        <v>1310</v>
      </c>
      <c r="AX17" s="41">
        <v>4.0</v>
      </c>
      <c r="AY17" s="35" t="s">
        <v>391</v>
      </c>
      <c r="AZ17" s="41">
        <v>4.0</v>
      </c>
      <c r="BA17" s="35" t="s">
        <v>429</v>
      </c>
      <c r="BB17" s="41">
        <v>2.0</v>
      </c>
      <c r="BC17" s="35" t="s">
        <v>391</v>
      </c>
      <c r="BF17" s="35" t="s">
        <v>432</v>
      </c>
      <c r="BG17" s="35" t="s">
        <v>393</v>
      </c>
      <c r="BH17" s="35" t="s">
        <v>678</v>
      </c>
      <c r="BJ17" s="35" t="s">
        <v>727</v>
      </c>
      <c r="BL17" s="35" t="s">
        <v>681</v>
      </c>
      <c r="BM17" s="35" t="s">
        <v>904</v>
      </c>
      <c r="BN17" s="35" t="s">
        <v>1247</v>
      </c>
      <c r="BO17" s="35" t="s">
        <v>513</v>
      </c>
      <c r="CM17" s="35" t="s">
        <v>441</v>
      </c>
      <c r="CN17" s="35" t="s">
        <v>401</v>
      </c>
      <c r="CO17" s="35" t="s">
        <v>552</v>
      </c>
      <c r="CP17" s="35" t="s">
        <v>11071</v>
      </c>
      <c r="CQ17" s="35" t="s">
        <v>685</v>
      </c>
      <c r="CR17" s="35" t="s">
        <v>1467</v>
      </c>
      <c r="CS17" s="35" t="s">
        <v>555</v>
      </c>
      <c r="CT17" s="35" t="s">
        <v>1346</v>
      </c>
      <c r="CU17" s="35" t="s">
        <v>1468</v>
      </c>
      <c r="CV17" s="35" t="s">
        <v>982</v>
      </c>
      <c r="CW17" s="35" t="s">
        <v>451</v>
      </c>
      <c r="CX17" s="35" t="s">
        <v>11072</v>
      </c>
      <c r="CY17" s="35" t="s">
        <v>408</v>
      </c>
      <c r="DA17" s="35" t="s">
        <v>985</v>
      </c>
      <c r="DB17" s="35" t="s">
        <v>11073</v>
      </c>
      <c r="DC17" s="35" t="s">
        <v>408</v>
      </c>
      <c r="DE17" s="35" t="s">
        <v>988</v>
      </c>
      <c r="DG17" s="35" t="s">
        <v>1471</v>
      </c>
      <c r="DH17" s="35" t="s">
        <v>561</v>
      </c>
      <c r="DI17" s="35" t="s">
        <v>1220</v>
      </c>
      <c r="DJ17" s="35" t="s">
        <v>963</v>
      </c>
      <c r="DK17" s="35" t="s">
        <v>460</v>
      </c>
      <c r="DL17" s="35" t="s">
        <v>525</v>
      </c>
      <c r="EU17" s="35" t="s">
        <v>526</v>
      </c>
      <c r="EV17" s="35" t="s">
        <v>479</v>
      </c>
      <c r="EW17" s="35" t="s">
        <v>480</v>
      </c>
      <c r="EX17" s="35" t="s">
        <v>11074</v>
      </c>
      <c r="EY17" s="35" t="s">
        <v>1473</v>
      </c>
      <c r="EZ17" s="35" t="s">
        <v>7785</v>
      </c>
      <c r="FA17" s="35" t="s">
        <v>415</v>
      </c>
      <c r="FB17" s="35" t="s">
        <v>415</v>
      </c>
      <c r="FC17" s="35" t="s">
        <v>413</v>
      </c>
      <c r="FD17" s="35" t="s">
        <v>413</v>
      </c>
      <c r="FE17" s="35" t="s">
        <v>413</v>
      </c>
      <c r="FF17" s="35" t="s">
        <v>415</v>
      </c>
      <c r="FG17" s="35" t="s">
        <v>413</v>
      </c>
      <c r="FH17" s="35" t="s">
        <v>415</v>
      </c>
      <c r="FI17" s="35" t="s">
        <v>415</v>
      </c>
      <c r="FJ17" s="35" t="s">
        <v>415</v>
      </c>
      <c r="FK17" s="35" t="s">
        <v>415</v>
      </c>
      <c r="FL17" s="35" t="s">
        <v>415</v>
      </c>
      <c r="FM17" s="35" t="s">
        <v>415</v>
      </c>
      <c r="FN17" s="35" t="s">
        <v>415</v>
      </c>
      <c r="FO17" s="35" t="s">
        <v>415</v>
      </c>
      <c r="FP17" s="35" t="s">
        <v>850</v>
      </c>
      <c r="FQ17" s="35" t="s">
        <v>418</v>
      </c>
      <c r="FR17" s="35" t="s">
        <v>712</v>
      </c>
      <c r="FS17" s="35" t="s">
        <v>1475</v>
      </c>
      <c r="FT17" s="35" t="s">
        <v>420</v>
      </c>
      <c r="FU17" s="35" t="s">
        <v>1476</v>
      </c>
      <c r="FV17" s="35" t="s">
        <v>918</v>
      </c>
      <c r="FW17" s="35" t="s">
        <v>490</v>
      </c>
      <c r="FX17" s="35" t="s">
        <v>491</v>
      </c>
      <c r="FY17" s="35" t="s">
        <v>1477</v>
      </c>
      <c r="FZ17" s="35" t="s">
        <v>535</v>
      </c>
      <c r="GB17" s="35" t="s">
        <v>11075</v>
      </c>
      <c r="GC17" s="35" t="s">
        <v>455</v>
      </c>
      <c r="GD17" s="35" t="s">
        <v>11076</v>
      </c>
      <c r="GF17" s="35" t="s">
        <v>753</v>
      </c>
      <c r="GG17" s="35" t="s">
        <v>1479</v>
      </c>
      <c r="GH17" s="35" t="s">
        <v>788</v>
      </c>
      <c r="GI17" s="35" t="s">
        <v>788</v>
      </c>
      <c r="GJ17" s="35" t="s">
        <v>756</v>
      </c>
    </row>
    <row r="18">
      <c r="A18" s="40"/>
      <c r="B18" s="40">
        <v>45827.41032530092</v>
      </c>
      <c r="C18" s="35" t="s">
        <v>368</v>
      </c>
      <c r="D18" s="35" t="s">
        <v>634</v>
      </c>
      <c r="E18" s="35" t="s">
        <v>634</v>
      </c>
      <c r="H18" s="35" t="s">
        <v>1503</v>
      </c>
      <c r="I18" s="35" t="s">
        <v>1203</v>
      </c>
      <c r="J18" s="35" t="s">
        <v>638</v>
      </c>
      <c r="K18" s="35" t="s">
        <v>1204</v>
      </c>
      <c r="L18" s="35" t="s">
        <v>376</v>
      </c>
      <c r="M18" s="35" t="s">
        <v>379</v>
      </c>
      <c r="N18" s="35" t="s">
        <v>378</v>
      </c>
      <c r="O18" s="35" t="s">
        <v>379</v>
      </c>
      <c r="P18" s="35" t="s">
        <v>380</v>
      </c>
      <c r="Q18" s="35" t="s">
        <v>1504</v>
      </c>
      <c r="R18" s="35" t="s">
        <v>1156</v>
      </c>
      <c r="S18" s="35" t="s">
        <v>427</v>
      </c>
      <c r="T18" s="35" t="s">
        <v>384</v>
      </c>
      <c r="U18" s="35" t="s">
        <v>385</v>
      </c>
      <c r="X18" s="35" t="s">
        <v>593</v>
      </c>
      <c r="Y18" s="35" t="s">
        <v>642</v>
      </c>
      <c r="AM18" s="35" t="s">
        <v>1505</v>
      </c>
      <c r="AN18" s="35" t="s">
        <v>644</v>
      </c>
      <c r="AO18" s="35" t="s">
        <v>408</v>
      </c>
      <c r="AQ18" s="35" t="s">
        <v>1506</v>
      </c>
      <c r="AR18" s="41">
        <v>5.0</v>
      </c>
      <c r="AS18" s="35" t="s">
        <v>1507</v>
      </c>
      <c r="AW18" s="35" t="s">
        <v>1310</v>
      </c>
      <c r="AX18" s="41">
        <v>4.0</v>
      </c>
      <c r="AY18" s="41">
        <v>4.0</v>
      </c>
      <c r="AZ18" s="41">
        <v>4.0</v>
      </c>
      <c r="BA18" s="41">
        <v>4.0</v>
      </c>
      <c r="BB18" s="41">
        <v>4.0</v>
      </c>
      <c r="BC18" s="41">
        <v>4.0</v>
      </c>
      <c r="BF18" s="35" t="s">
        <v>902</v>
      </c>
      <c r="BG18" s="35" t="s">
        <v>1095</v>
      </c>
      <c r="BH18" s="35" t="s">
        <v>678</v>
      </c>
      <c r="BJ18" s="35" t="s">
        <v>727</v>
      </c>
      <c r="BL18" s="35" t="s">
        <v>437</v>
      </c>
      <c r="BM18" s="35" t="s">
        <v>904</v>
      </c>
      <c r="BN18" s="35" t="s">
        <v>1247</v>
      </c>
      <c r="BO18" s="35" t="s">
        <v>513</v>
      </c>
      <c r="CM18" s="35" t="s">
        <v>550</v>
      </c>
      <c r="CN18" s="35" t="s">
        <v>401</v>
      </c>
      <c r="CQ18" s="35" t="s">
        <v>979</v>
      </c>
      <c r="CR18" s="35" t="s">
        <v>1508</v>
      </c>
      <c r="CS18" s="35" t="s">
        <v>804</v>
      </c>
      <c r="CT18" s="35" t="s">
        <v>1509</v>
      </c>
      <c r="CV18" s="35" t="s">
        <v>450</v>
      </c>
      <c r="CW18" s="35" t="s">
        <v>451</v>
      </c>
      <c r="CY18" s="35" t="s">
        <v>408</v>
      </c>
      <c r="DA18" s="35" t="s">
        <v>453</v>
      </c>
      <c r="DE18" s="35" t="s">
        <v>988</v>
      </c>
      <c r="DH18" s="35" t="s">
        <v>524</v>
      </c>
      <c r="DI18" s="35" t="s">
        <v>410</v>
      </c>
      <c r="DJ18" s="35" t="s">
        <v>459</v>
      </c>
      <c r="DK18" s="35" t="s">
        <v>460</v>
      </c>
      <c r="DL18" s="35" t="s">
        <v>461</v>
      </c>
      <c r="EU18" s="35" t="s">
        <v>526</v>
      </c>
      <c r="EV18" s="35" t="s">
        <v>479</v>
      </c>
      <c r="EW18" s="35" t="s">
        <v>527</v>
      </c>
      <c r="FA18" s="35" t="s">
        <v>413</v>
      </c>
      <c r="FB18" s="35" t="s">
        <v>414</v>
      </c>
      <c r="FC18" s="35" t="s">
        <v>413</v>
      </c>
      <c r="FD18" s="35" t="s">
        <v>413</v>
      </c>
      <c r="FE18" s="35" t="s">
        <v>413</v>
      </c>
      <c r="FF18" s="35" t="s">
        <v>414</v>
      </c>
      <c r="FG18" s="35" t="s">
        <v>415</v>
      </c>
      <c r="FH18" s="35" t="s">
        <v>413</v>
      </c>
      <c r="FI18" s="35" t="s">
        <v>583</v>
      </c>
      <c r="FJ18" s="35" t="s">
        <v>413</v>
      </c>
      <c r="FK18" s="35" t="s">
        <v>415</v>
      </c>
      <c r="FL18" s="35" t="s">
        <v>413</v>
      </c>
      <c r="FM18" s="35" t="s">
        <v>413</v>
      </c>
      <c r="FN18" s="35" t="s">
        <v>413</v>
      </c>
      <c r="FO18" s="35" t="s">
        <v>583</v>
      </c>
      <c r="FP18" s="35" t="s">
        <v>485</v>
      </c>
      <c r="FQ18" s="35" t="s">
        <v>486</v>
      </c>
      <c r="FR18" s="35" t="s">
        <v>419</v>
      </c>
      <c r="FT18" s="35" t="s">
        <v>420</v>
      </c>
      <c r="FU18" s="35" t="s">
        <v>1462</v>
      </c>
      <c r="FV18" s="35" t="s">
        <v>533</v>
      </c>
      <c r="FW18" s="35" t="s">
        <v>490</v>
      </c>
      <c r="FX18" s="35" t="s">
        <v>491</v>
      </c>
      <c r="FZ18" s="35" t="s">
        <v>535</v>
      </c>
      <c r="GC18" s="35" t="s">
        <v>408</v>
      </c>
      <c r="GH18" s="35" t="s">
        <v>1000</v>
      </c>
      <c r="GI18" s="35" t="s">
        <v>755</v>
      </c>
      <c r="GJ18" s="35" t="s">
        <v>858</v>
      </c>
    </row>
    <row r="19">
      <c r="A19" s="40"/>
      <c r="B19" s="40">
        <v>45827.43042048611</v>
      </c>
      <c r="C19" s="35" t="s">
        <v>368</v>
      </c>
      <c r="D19" s="35" t="s">
        <v>370</v>
      </c>
      <c r="F19" s="35" t="s">
        <v>1510</v>
      </c>
      <c r="H19" s="35" t="s">
        <v>422</v>
      </c>
      <c r="I19" s="35" t="s">
        <v>637</v>
      </c>
      <c r="J19" s="35" t="s">
        <v>638</v>
      </c>
      <c r="K19" s="35" t="s">
        <v>590</v>
      </c>
      <c r="L19" s="35" t="s">
        <v>376</v>
      </c>
      <c r="M19" s="35" t="s">
        <v>591</v>
      </c>
      <c r="N19" s="35" t="s">
        <v>1024</v>
      </c>
      <c r="O19" s="35" t="s">
        <v>379</v>
      </c>
      <c r="P19" s="35" t="s">
        <v>1511</v>
      </c>
      <c r="Q19" s="35" t="s">
        <v>381</v>
      </c>
      <c r="R19" s="35" t="s">
        <v>759</v>
      </c>
      <c r="S19" s="35" t="s">
        <v>949</v>
      </c>
      <c r="T19" s="35" t="s">
        <v>1512</v>
      </c>
      <c r="U19" s="35" t="s">
        <v>385</v>
      </c>
      <c r="X19" s="35" t="s">
        <v>386</v>
      </c>
      <c r="Y19" s="35" t="s">
        <v>387</v>
      </c>
      <c r="Z19" s="35" t="s">
        <v>388</v>
      </c>
      <c r="AA19" s="35" t="s">
        <v>502</v>
      </c>
      <c r="AB19" s="35" t="s">
        <v>1513</v>
      </c>
      <c r="AW19" s="35" t="s">
        <v>504</v>
      </c>
      <c r="AX19" s="35" t="s">
        <v>429</v>
      </c>
      <c r="AY19" s="35" t="s">
        <v>429</v>
      </c>
      <c r="AZ19" s="35" t="s">
        <v>429</v>
      </c>
      <c r="BA19" s="35" t="s">
        <v>429</v>
      </c>
      <c r="BB19" s="35" t="s">
        <v>429</v>
      </c>
      <c r="BC19" s="41">
        <v>2.0</v>
      </c>
      <c r="BD19" s="35" t="s">
        <v>1514</v>
      </c>
      <c r="BE19" s="35" t="s">
        <v>1515</v>
      </c>
      <c r="BF19" s="35" t="s">
        <v>392</v>
      </c>
      <c r="BG19" s="35" t="s">
        <v>433</v>
      </c>
      <c r="BH19" s="35" t="s">
        <v>678</v>
      </c>
      <c r="BJ19" s="35" t="s">
        <v>824</v>
      </c>
      <c r="BL19" s="35" t="s">
        <v>511</v>
      </c>
      <c r="BM19" s="35" t="s">
        <v>512</v>
      </c>
      <c r="BN19" s="35" t="s">
        <v>439</v>
      </c>
      <c r="BO19" s="35" t="s">
        <v>513</v>
      </c>
      <c r="CM19" s="35" t="s">
        <v>441</v>
      </c>
      <c r="CN19" s="35" t="s">
        <v>604</v>
      </c>
      <c r="CP19" s="35" t="s">
        <v>11077</v>
      </c>
      <c r="CQ19" s="35" t="s">
        <v>403</v>
      </c>
      <c r="CR19" s="35" t="s">
        <v>1517</v>
      </c>
      <c r="CS19" s="35" t="s">
        <v>404</v>
      </c>
      <c r="CT19" s="35" t="s">
        <v>1518</v>
      </c>
      <c r="CV19" s="35" t="s">
        <v>519</v>
      </c>
      <c r="CW19" s="35" t="s">
        <v>451</v>
      </c>
      <c r="CX19" s="35" t="s">
        <v>1519</v>
      </c>
      <c r="CY19" s="35" t="s">
        <v>455</v>
      </c>
      <c r="DA19" s="35" t="s">
        <v>453</v>
      </c>
      <c r="DB19" s="35" t="s">
        <v>1520</v>
      </c>
      <c r="DC19" s="35" t="s">
        <v>455</v>
      </c>
      <c r="DD19" s="35" t="s">
        <v>11078</v>
      </c>
      <c r="DE19" s="35" t="s">
        <v>457</v>
      </c>
      <c r="DH19" s="35" t="s">
        <v>776</v>
      </c>
      <c r="DI19" s="35" t="s">
        <v>410</v>
      </c>
      <c r="DJ19" s="35" t="s">
        <v>777</v>
      </c>
      <c r="DK19" s="35" t="s">
        <v>562</v>
      </c>
      <c r="DL19" s="35" t="s">
        <v>1434</v>
      </c>
      <c r="EU19" s="35" t="s">
        <v>478</v>
      </c>
      <c r="EV19" s="35" t="s">
        <v>479</v>
      </c>
      <c r="EW19" s="35" t="s">
        <v>1262</v>
      </c>
      <c r="EY19" s="35" t="s">
        <v>11079</v>
      </c>
      <c r="EZ19" s="35" t="s">
        <v>11080</v>
      </c>
      <c r="FA19" s="35" t="s">
        <v>414</v>
      </c>
      <c r="FB19" s="35" t="s">
        <v>414</v>
      </c>
      <c r="FC19" s="35" t="s">
        <v>415</v>
      </c>
      <c r="FD19" s="35" t="s">
        <v>414</v>
      </c>
      <c r="FE19" s="35" t="s">
        <v>416</v>
      </c>
      <c r="FF19" s="35" t="s">
        <v>414</v>
      </c>
      <c r="FG19" s="35" t="s">
        <v>415</v>
      </c>
      <c r="FH19" s="35" t="s">
        <v>416</v>
      </c>
      <c r="FI19" s="35" t="s">
        <v>583</v>
      </c>
      <c r="FJ19" s="35" t="s">
        <v>583</v>
      </c>
      <c r="FK19" s="35" t="s">
        <v>414</v>
      </c>
      <c r="FL19" s="35" t="s">
        <v>415</v>
      </c>
      <c r="FM19" s="35" t="s">
        <v>415</v>
      </c>
      <c r="FN19" s="35" t="s">
        <v>414</v>
      </c>
      <c r="FO19" s="35" t="s">
        <v>583</v>
      </c>
      <c r="FP19" s="35" t="s">
        <v>417</v>
      </c>
      <c r="FQ19" s="35" t="s">
        <v>486</v>
      </c>
      <c r="FR19" s="35" t="s">
        <v>630</v>
      </c>
      <c r="FS19" s="35" t="s">
        <v>1524</v>
      </c>
      <c r="FT19" s="35" t="s">
        <v>420</v>
      </c>
      <c r="FU19" s="35" t="s">
        <v>1462</v>
      </c>
      <c r="FV19" s="35" t="s">
        <v>1235</v>
      </c>
      <c r="FW19" s="35" t="s">
        <v>490</v>
      </c>
      <c r="FX19" s="35" t="s">
        <v>491</v>
      </c>
      <c r="FY19" s="35" t="s">
        <v>1525</v>
      </c>
      <c r="FZ19" s="35" t="s">
        <v>493</v>
      </c>
      <c r="GC19" s="35" t="s">
        <v>455</v>
      </c>
      <c r="GD19" s="35" t="s">
        <v>11081</v>
      </c>
      <c r="GF19" s="35" t="s">
        <v>855</v>
      </c>
      <c r="GH19" s="35" t="s">
        <v>755</v>
      </c>
      <c r="GI19" s="35" t="s">
        <v>755</v>
      </c>
      <c r="GJ19" s="35" t="s">
        <v>946</v>
      </c>
    </row>
    <row r="20">
      <c r="A20" s="40"/>
      <c r="B20" s="40">
        <v>45827.43160585648</v>
      </c>
      <c r="C20" s="35" t="s">
        <v>368</v>
      </c>
      <c r="D20" s="35" t="s">
        <v>538</v>
      </c>
      <c r="E20" s="35" t="s">
        <v>538</v>
      </c>
      <c r="H20" s="35" t="s">
        <v>422</v>
      </c>
      <c r="I20" s="35" t="s">
        <v>539</v>
      </c>
      <c r="J20" s="35" t="s">
        <v>424</v>
      </c>
      <c r="K20" s="35" t="s">
        <v>375</v>
      </c>
      <c r="L20" s="35" t="s">
        <v>376</v>
      </c>
      <c r="M20" s="35" t="s">
        <v>1526</v>
      </c>
      <c r="N20" s="35" t="s">
        <v>378</v>
      </c>
      <c r="O20" s="35" t="s">
        <v>1526</v>
      </c>
      <c r="P20" s="35" t="s">
        <v>497</v>
      </c>
      <c r="Q20" s="35" t="s">
        <v>381</v>
      </c>
      <c r="R20" s="35" t="s">
        <v>759</v>
      </c>
      <c r="S20" s="35" t="s">
        <v>500</v>
      </c>
      <c r="T20" s="35" t="s">
        <v>384</v>
      </c>
      <c r="U20" s="35" t="s">
        <v>385</v>
      </c>
      <c r="X20" s="35" t="s">
        <v>760</v>
      </c>
      <c r="Y20" s="35" t="s">
        <v>387</v>
      </c>
      <c r="AA20" s="35" t="s">
        <v>389</v>
      </c>
      <c r="AW20" s="35" t="s">
        <v>504</v>
      </c>
      <c r="AX20" s="41">
        <v>2.0</v>
      </c>
      <c r="AY20" s="41">
        <v>2.0</v>
      </c>
      <c r="AZ20" s="41">
        <v>2.0</v>
      </c>
      <c r="BA20" s="35" t="s">
        <v>429</v>
      </c>
      <c r="BB20" s="41">
        <v>2.0</v>
      </c>
      <c r="BC20" s="35" t="s">
        <v>391</v>
      </c>
      <c r="BF20" s="35" t="s">
        <v>902</v>
      </c>
      <c r="BG20" s="35" t="s">
        <v>433</v>
      </c>
      <c r="BH20" s="35" t="s">
        <v>765</v>
      </c>
      <c r="BI20" s="35" t="s">
        <v>11082</v>
      </c>
      <c r="BJ20" s="35" t="s">
        <v>509</v>
      </c>
      <c r="BL20" s="35" t="s">
        <v>681</v>
      </c>
      <c r="BM20" s="35" t="s">
        <v>512</v>
      </c>
      <c r="BN20" s="35" t="s">
        <v>439</v>
      </c>
      <c r="BO20" s="35" t="s">
        <v>513</v>
      </c>
      <c r="CM20" s="35" t="s">
        <v>550</v>
      </c>
      <c r="CN20" s="35" t="s">
        <v>401</v>
      </c>
      <c r="CO20" s="35" t="s">
        <v>552</v>
      </c>
      <c r="CQ20" s="35" t="s">
        <v>403</v>
      </c>
      <c r="CR20" s="35" t="s">
        <v>931</v>
      </c>
      <c r="CS20" s="35" t="s">
        <v>804</v>
      </c>
      <c r="CT20" s="35" t="s">
        <v>1528</v>
      </c>
      <c r="CU20" s="35" t="s">
        <v>11083</v>
      </c>
      <c r="CV20" s="35" t="s">
        <v>450</v>
      </c>
      <c r="CW20" s="35" t="s">
        <v>451</v>
      </c>
      <c r="CX20" s="35" t="s">
        <v>11084</v>
      </c>
      <c r="CY20" s="35" t="s">
        <v>408</v>
      </c>
      <c r="DA20" s="35" t="s">
        <v>453</v>
      </c>
      <c r="DB20" s="35" t="s">
        <v>11085</v>
      </c>
      <c r="DC20" s="35" t="s">
        <v>455</v>
      </c>
      <c r="DD20" s="35" t="s">
        <v>11086</v>
      </c>
      <c r="DE20" s="35" t="s">
        <v>406</v>
      </c>
      <c r="DF20" s="35" t="s">
        <v>691</v>
      </c>
      <c r="DH20" s="35" t="s">
        <v>561</v>
      </c>
      <c r="DI20" s="35" t="s">
        <v>410</v>
      </c>
      <c r="DJ20" s="35" t="s">
        <v>963</v>
      </c>
      <c r="DK20" s="35" t="s">
        <v>562</v>
      </c>
      <c r="DL20" s="35" t="s">
        <v>563</v>
      </c>
      <c r="DM20" s="35" t="s">
        <v>11087</v>
      </c>
      <c r="EU20" s="35" t="s">
        <v>526</v>
      </c>
      <c r="EV20" s="35" t="s">
        <v>579</v>
      </c>
      <c r="EW20" s="35" t="s">
        <v>1534</v>
      </c>
      <c r="EY20" s="35" t="s">
        <v>11088</v>
      </c>
      <c r="EZ20" s="35" t="s">
        <v>11089</v>
      </c>
      <c r="FA20" s="35" t="s">
        <v>414</v>
      </c>
      <c r="FB20" s="35" t="s">
        <v>583</v>
      </c>
      <c r="FC20" s="35" t="s">
        <v>413</v>
      </c>
      <c r="FD20" s="35" t="s">
        <v>415</v>
      </c>
      <c r="FE20" s="35" t="s">
        <v>416</v>
      </c>
      <c r="FF20" s="35" t="s">
        <v>583</v>
      </c>
      <c r="FG20" s="35" t="s">
        <v>415</v>
      </c>
      <c r="FH20" s="35" t="s">
        <v>415</v>
      </c>
      <c r="FI20" s="35" t="s">
        <v>415</v>
      </c>
      <c r="FJ20" s="35" t="s">
        <v>416</v>
      </c>
      <c r="FK20" s="35" t="s">
        <v>416</v>
      </c>
      <c r="FL20" s="35" t="s">
        <v>415</v>
      </c>
      <c r="FM20" s="35" t="s">
        <v>414</v>
      </c>
      <c r="FN20" s="35" t="s">
        <v>415</v>
      </c>
      <c r="FO20" s="35" t="s">
        <v>415</v>
      </c>
      <c r="FP20" s="35" t="s">
        <v>1537</v>
      </c>
      <c r="FQ20" s="35" t="s">
        <v>486</v>
      </c>
      <c r="FR20" s="35" t="s">
        <v>1039</v>
      </c>
      <c r="FT20" s="35" t="s">
        <v>420</v>
      </c>
      <c r="FU20" s="35" t="s">
        <v>1462</v>
      </c>
      <c r="FV20" s="35" t="s">
        <v>1235</v>
      </c>
      <c r="FW20" s="35" t="s">
        <v>490</v>
      </c>
      <c r="FX20" s="35" t="s">
        <v>491</v>
      </c>
      <c r="FY20" s="35" t="s">
        <v>11090</v>
      </c>
      <c r="FZ20" s="35" t="s">
        <v>535</v>
      </c>
      <c r="GC20" s="35" t="s">
        <v>408</v>
      </c>
      <c r="GH20" s="35" t="s">
        <v>920</v>
      </c>
      <c r="GI20" s="35" t="s">
        <v>1000</v>
      </c>
      <c r="GJ20" s="35" t="s">
        <v>858</v>
      </c>
    </row>
    <row r="21">
      <c r="A21" s="40"/>
      <c r="B21" s="40">
        <v>45827.56687807871</v>
      </c>
      <c r="C21" s="35" t="s">
        <v>368</v>
      </c>
      <c r="D21" s="35" t="s">
        <v>1341</v>
      </c>
      <c r="E21" s="35" t="s">
        <v>1341</v>
      </c>
      <c r="F21" s="35" t="s">
        <v>1023</v>
      </c>
      <c r="H21" s="35" t="s">
        <v>1140</v>
      </c>
      <c r="I21" s="35" t="s">
        <v>637</v>
      </c>
      <c r="J21" s="35" t="s">
        <v>638</v>
      </c>
      <c r="K21" s="35" t="s">
        <v>590</v>
      </c>
      <c r="L21" s="35" t="s">
        <v>376</v>
      </c>
      <c r="M21" s="35" t="s">
        <v>377</v>
      </c>
      <c r="N21" s="35" t="s">
        <v>378</v>
      </c>
      <c r="O21" s="35" t="s">
        <v>379</v>
      </c>
      <c r="P21" s="35" t="s">
        <v>497</v>
      </c>
      <c r="Q21" s="35" t="s">
        <v>381</v>
      </c>
      <c r="R21" s="35" t="s">
        <v>818</v>
      </c>
      <c r="S21" s="35" t="s">
        <v>427</v>
      </c>
      <c r="T21" s="35" t="s">
        <v>384</v>
      </c>
      <c r="U21" s="35" t="s">
        <v>385</v>
      </c>
      <c r="X21" s="35" t="s">
        <v>386</v>
      </c>
      <c r="Y21" s="35" t="s">
        <v>642</v>
      </c>
      <c r="AM21" s="35" t="s">
        <v>1141</v>
      </c>
      <c r="AN21" s="35" t="s">
        <v>644</v>
      </c>
      <c r="AO21" s="35" t="s">
        <v>455</v>
      </c>
      <c r="AP21" s="35" t="s">
        <v>1638</v>
      </c>
      <c r="AQ21" s="35" t="s">
        <v>1144</v>
      </c>
      <c r="AR21" s="41">
        <v>4.0</v>
      </c>
      <c r="AS21" s="35" t="s">
        <v>1639</v>
      </c>
      <c r="AT21" s="35" t="s">
        <v>11091</v>
      </c>
      <c r="AU21" s="35" t="s">
        <v>1641</v>
      </c>
      <c r="AV21" s="35" t="s">
        <v>11092</v>
      </c>
      <c r="AW21" s="35" t="s">
        <v>390</v>
      </c>
      <c r="AX21" s="35" t="s">
        <v>429</v>
      </c>
      <c r="AY21" s="35" t="s">
        <v>429</v>
      </c>
      <c r="AZ21" s="41">
        <v>2.0</v>
      </c>
      <c r="BA21" s="41">
        <v>2.0</v>
      </c>
      <c r="BB21" s="35" t="s">
        <v>429</v>
      </c>
      <c r="BC21" s="35" t="s">
        <v>429</v>
      </c>
      <c r="BD21" s="35" t="s">
        <v>1643</v>
      </c>
      <c r="BE21" s="35" t="s">
        <v>1644</v>
      </c>
      <c r="BF21" s="35" t="s">
        <v>392</v>
      </c>
      <c r="BG21" s="35" t="s">
        <v>433</v>
      </c>
      <c r="BH21" s="35" t="s">
        <v>725</v>
      </c>
      <c r="BI21" s="35" t="s">
        <v>1645</v>
      </c>
      <c r="BJ21" s="35" t="s">
        <v>509</v>
      </c>
      <c r="BK21" s="35" t="s">
        <v>1646</v>
      </c>
      <c r="BL21" s="35" t="s">
        <v>681</v>
      </c>
      <c r="BM21" s="35" t="s">
        <v>438</v>
      </c>
      <c r="BN21" s="35" t="s">
        <v>439</v>
      </c>
      <c r="BO21" s="35" t="s">
        <v>513</v>
      </c>
      <c r="CM21" s="35" t="s">
        <v>550</v>
      </c>
      <c r="CN21" s="35" t="s">
        <v>401</v>
      </c>
      <c r="CO21" s="35" t="s">
        <v>1647</v>
      </c>
      <c r="CP21" s="35" t="s">
        <v>1648</v>
      </c>
      <c r="CQ21" s="35" t="s">
        <v>445</v>
      </c>
      <c r="CR21" s="35" t="s">
        <v>1649</v>
      </c>
      <c r="CS21" s="35" t="s">
        <v>447</v>
      </c>
      <c r="CT21" s="35" t="s">
        <v>1650</v>
      </c>
      <c r="CU21" s="35" t="s">
        <v>11093</v>
      </c>
      <c r="CV21" s="35" t="s">
        <v>519</v>
      </c>
      <c r="CW21" s="35" t="s">
        <v>451</v>
      </c>
      <c r="CX21" s="35" t="s">
        <v>11094</v>
      </c>
      <c r="CY21" s="35" t="s">
        <v>408</v>
      </c>
      <c r="DA21" s="35" t="s">
        <v>985</v>
      </c>
      <c r="DB21" s="35" t="s">
        <v>1653</v>
      </c>
      <c r="DC21" s="35" t="s">
        <v>408</v>
      </c>
      <c r="DE21" s="35" t="s">
        <v>406</v>
      </c>
      <c r="DF21" s="35" t="s">
        <v>407</v>
      </c>
      <c r="DG21" s="35" t="s">
        <v>11095</v>
      </c>
      <c r="DH21" s="35" t="s">
        <v>524</v>
      </c>
      <c r="DI21" s="35" t="s">
        <v>410</v>
      </c>
      <c r="DJ21" s="35" t="s">
        <v>459</v>
      </c>
      <c r="DK21" s="35" t="s">
        <v>613</v>
      </c>
      <c r="EU21" s="35" t="s">
        <v>578</v>
      </c>
      <c r="EV21" s="35" t="s">
        <v>887</v>
      </c>
      <c r="EW21" s="35" t="s">
        <v>1534</v>
      </c>
      <c r="EX21" s="35" t="s">
        <v>1655</v>
      </c>
      <c r="EY21" s="35" t="s">
        <v>1656</v>
      </c>
      <c r="EZ21" s="35" t="s">
        <v>11096</v>
      </c>
      <c r="FA21" s="35" t="s">
        <v>414</v>
      </c>
      <c r="FB21" s="35" t="s">
        <v>414</v>
      </c>
      <c r="FC21" s="35" t="s">
        <v>413</v>
      </c>
      <c r="FD21" s="35" t="s">
        <v>415</v>
      </c>
      <c r="FE21" s="35" t="s">
        <v>413</v>
      </c>
      <c r="FF21" s="35" t="s">
        <v>583</v>
      </c>
      <c r="FG21" s="35" t="s">
        <v>415</v>
      </c>
      <c r="FH21" s="35" t="s">
        <v>416</v>
      </c>
      <c r="FI21" s="35" t="s">
        <v>414</v>
      </c>
      <c r="FJ21" s="35" t="s">
        <v>583</v>
      </c>
      <c r="FK21" s="35" t="s">
        <v>415</v>
      </c>
      <c r="FL21" s="35" t="s">
        <v>416</v>
      </c>
      <c r="FM21" s="35" t="s">
        <v>416</v>
      </c>
      <c r="FN21" s="35" t="s">
        <v>413</v>
      </c>
      <c r="FO21" s="35" t="s">
        <v>583</v>
      </c>
      <c r="FP21" s="35" t="s">
        <v>850</v>
      </c>
      <c r="FQ21" s="35" t="s">
        <v>418</v>
      </c>
      <c r="FR21" s="35" t="s">
        <v>749</v>
      </c>
      <c r="FS21" s="35" t="s">
        <v>11097</v>
      </c>
      <c r="FT21" s="35" t="s">
        <v>420</v>
      </c>
      <c r="FU21" s="35" t="s">
        <v>488</v>
      </c>
      <c r="FV21" s="35" t="s">
        <v>918</v>
      </c>
      <c r="FW21" s="35" t="s">
        <v>490</v>
      </c>
      <c r="FX21" s="35" t="s">
        <v>491</v>
      </c>
      <c r="FY21" s="35" t="s">
        <v>1659</v>
      </c>
      <c r="FZ21" s="35" t="s">
        <v>493</v>
      </c>
      <c r="GA21" s="35" t="s">
        <v>1660</v>
      </c>
      <c r="GB21" s="35" t="s">
        <v>1661</v>
      </c>
      <c r="GC21" s="35" t="s">
        <v>455</v>
      </c>
      <c r="GD21" s="35" t="s">
        <v>11098</v>
      </c>
      <c r="GE21" s="35" t="s">
        <v>11099</v>
      </c>
      <c r="GF21" s="35" t="s">
        <v>753</v>
      </c>
      <c r="GG21" s="35" t="s">
        <v>1662</v>
      </c>
      <c r="GH21" s="35" t="s">
        <v>788</v>
      </c>
      <c r="GJ21" s="35" t="s">
        <v>921</v>
      </c>
    </row>
    <row r="22">
      <c r="A22" s="40"/>
      <c r="B22" s="40">
        <v>45827.75616498843</v>
      </c>
      <c r="C22" s="35" t="s">
        <v>368</v>
      </c>
      <c r="D22" s="35" t="s">
        <v>370</v>
      </c>
      <c r="F22" s="35" t="s">
        <v>1849</v>
      </c>
      <c r="H22" s="35" t="s">
        <v>422</v>
      </c>
      <c r="I22" s="35" t="s">
        <v>637</v>
      </c>
      <c r="J22" s="35" t="s">
        <v>638</v>
      </c>
      <c r="K22" s="35" t="s">
        <v>375</v>
      </c>
      <c r="L22" s="35" t="s">
        <v>376</v>
      </c>
      <c r="M22" s="35" t="s">
        <v>379</v>
      </c>
      <c r="N22" s="35" t="s">
        <v>378</v>
      </c>
      <c r="O22" s="35" t="s">
        <v>377</v>
      </c>
      <c r="P22" s="35" t="s">
        <v>497</v>
      </c>
      <c r="Q22" s="35" t="s">
        <v>1760</v>
      </c>
      <c r="R22" s="35" t="s">
        <v>499</v>
      </c>
      <c r="S22" s="35" t="s">
        <v>500</v>
      </c>
      <c r="T22" s="35" t="s">
        <v>384</v>
      </c>
      <c r="U22" s="35" t="s">
        <v>385</v>
      </c>
      <c r="X22" s="35" t="s">
        <v>428</v>
      </c>
      <c r="AW22" s="35" t="s">
        <v>1310</v>
      </c>
      <c r="AX22" s="41">
        <v>4.0</v>
      </c>
      <c r="AY22" s="35" t="s">
        <v>391</v>
      </c>
      <c r="AZ22" s="41">
        <v>4.0</v>
      </c>
      <c r="BA22" s="41">
        <v>2.0</v>
      </c>
      <c r="BB22" s="41">
        <v>4.0</v>
      </c>
      <c r="BC22" s="41">
        <v>4.0</v>
      </c>
      <c r="BF22" s="35" t="s">
        <v>902</v>
      </c>
      <c r="BG22" s="35" t="s">
        <v>1095</v>
      </c>
      <c r="BH22" s="35" t="s">
        <v>765</v>
      </c>
      <c r="BJ22" s="35" t="s">
        <v>824</v>
      </c>
      <c r="BL22" s="35" t="s">
        <v>681</v>
      </c>
      <c r="BM22" s="35" t="s">
        <v>396</v>
      </c>
      <c r="BN22" s="35" t="s">
        <v>397</v>
      </c>
      <c r="BO22" s="35" t="s">
        <v>513</v>
      </c>
      <c r="CM22" s="35" t="s">
        <v>441</v>
      </c>
      <c r="CN22" s="35" t="s">
        <v>604</v>
      </c>
      <c r="CQ22" s="35" t="s">
        <v>1008</v>
      </c>
      <c r="CR22" s="35" t="s">
        <v>1850</v>
      </c>
      <c r="CS22" s="35" t="s">
        <v>447</v>
      </c>
      <c r="CT22" s="35" t="s">
        <v>1851</v>
      </c>
      <c r="CV22" s="35" t="s">
        <v>1852</v>
      </c>
      <c r="CW22" s="35" t="s">
        <v>451</v>
      </c>
      <c r="CY22" s="35" t="s">
        <v>408</v>
      </c>
      <c r="DA22" s="35" t="s">
        <v>1398</v>
      </c>
      <c r="DC22" s="35" t="s">
        <v>408</v>
      </c>
      <c r="DE22" s="35" t="s">
        <v>988</v>
      </c>
      <c r="DF22" s="35" t="s">
        <v>1058</v>
      </c>
      <c r="DH22" s="35" t="s">
        <v>561</v>
      </c>
      <c r="DI22" s="35" t="s">
        <v>410</v>
      </c>
      <c r="DJ22" s="35" t="s">
        <v>963</v>
      </c>
      <c r="DK22" s="35" t="s">
        <v>562</v>
      </c>
      <c r="DL22" s="35" t="s">
        <v>461</v>
      </c>
      <c r="EU22" s="35" t="s">
        <v>578</v>
      </c>
      <c r="EV22" s="35" t="s">
        <v>479</v>
      </c>
      <c r="EW22" s="35" t="s">
        <v>663</v>
      </c>
      <c r="FA22" s="35" t="s">
        <v>414</v>
      </c>
      <c r="FB22" s="35" t="s">
        <v>414</v>
      </c>
      <c r="FC22" s="35" t="s">
        <v>415</v>
      </c>
      <c r="FD22" s="35" t="s">
        <v>414</v>
      </c>
      <c r="FE22" s="35" t="s">
        <v>416</v>
      </c>
      <c r="FF22" s="35" t="s">
        <v>583</v>
      </c>
      <c r="FG22" s="35" t="s">
        <v>484</v>
      </c>
      <c r="FH22" s="35" t="s">
        <v>413</v>
      </c>
      <c r="FI22" s="35" t="s">
        <v>583</v>
      </c>
      <c r="FJ22" s="35" t="s">
        <v>583</v>
      </c>
      <c r="FK22" s="35" t="s">
        <v>415</v>
      </c>
      <c r="FL22" s="35" t="s">
        <v>414</v>
      </c>
      <c r="FM22" s="35" t="s">
        <v>414</v>
      </c>
      <c r="FN22" s="35" t="s">
        <v>415</v>
      </c>
      <c r="FO22" s="35" t="s">
        <v>414</v>
      </c>
      <c r="FP22" s="35" t="s">
        <v>850</v>
      </c>
      <c r="FQ22" s="35" t="s">
        <v>486</v>
      </c>
      <c r="FR22" s="35" t="s">
        <v>419</v>
      </c>
      <c r="FT22" s="35" t="s">
        <v>420</v>
      </c>
      <c r="FU22" s="35" t="s">
        <v>421</v>
      </c>
      <c r="FV22" s="35" t="s">
        <v>489</v>
      </c>
      <c r="FW22" s="35" t="s">
        <v>490</v>
      </c>
      <c r="FX22" s="35" t="s">
        <v>1853</v>
      </c>
      <c r="FZ22" s="35" t="s">
        <v>1854</v>
      </c>
      <c r="GC22" s="35" t="s">
        <v>408</v>
      </c>
      <c r="GH22" s="35" t="s">
        <v>788</v>
      </c>
      <c r="GI22" s="35" t="s">
        <v>789</v>
      </c>
      <c r="GJ22" s="35" t="s">
        <v>790</v>
      </c>
    </row>
    <row r="23">
      <c r="A23" s="40"/>
      <c r="B23" s="40">
        <v>45827.761791192126</v>
      </c>
      <c r="C23" s="35" t="s">
        <v>368</v>
      </c>
      <c r="D23" s="35" t="s">
        <v>369</v>
      </c>
      <c r="E23" s="35" t="s">
        <v>369</v>
      </c>
      <c r="H23" s="35" t="s">
        <v>372</v>
      </c>
      <c r="I23" s="35" t="s">
        <v>539</v>
      </c>
      <c r="J23" s="35" t="s">
        <v>424</v>
      </c>
      <c r="K23" s="35" t="s">
        <v>540</v>
      </c>
      <c r="L23" s="35" t="s">
        <v>376</v>
      </c>
      <c r="M23" s="35" t="s">
        <v>591</v>
      </c>
      <c r="N23" s="35" t="s">
        <v>378</v>
      </c>
      <c r="O23" s="35" t="s">
        <v>591</v>
      </c>
      <c r="P23" s="35" t="s">
        <v>719</v>
      </c>
      <c r="Q23" s="35" t="s">
        <v>498</v>
      </c>
      <c r="R23" s="35" t="s">
        <v>818</v>
      </c>
      <c r="S23" s="35" t="s">
        <v>427</v>
      </c>
      <c r="T23" s="35" t="s">
        <v>384</v>
      </c>
      <c r="U23" s="35" t="s">
        <v>385</v>
      </c>
      <c r="X23" s="35" t="s">
        <v>428</v>
      </c>
      <c r="AW23" s="35" t="s">
        <v>597</v>
      </c>
      <c r="AX23" s="35" t="s">
        <v>675</v>
      </c>
      <c r="AY23" s="35" t="s">
        <v>675</v>
      </c>
      <c r="AZ23" s="35" t="s">
        <v>675</v>
      </c>
      <c r="BA23" s="35" t="s">
        <v>675</v>
      </c>
      <c r="BB23" s="35" t="s">
        <v>675</v>
      </c>
      <c r="BC23" s="35" t="s">
        <v>675</v>
      </c>
      <c r="BD23" s="35" t="s">
        <v>1855</v>
      </c>
      <c r="BE23" s="35" t="s">
        <v>1856</v>
      </c>
      <c r="BF23" s="35" t="s">
        <v>392</v>
      </c>
      <c r="BG23" s="35" t="s">
        <v>1095</v>
      </c>
      <c r="BH23" s="35" t="s">
        <v>678</v>
      </c>
      <c r="BI23" s="35" t="s">
        <v>11100</v>
      </c>
      <c r="BJ23" s="35" t="s">
        <v>976</v>
      </c>
      <c r="BL23" s="35" t="s">
        <v>511</v>
      </c>
      <c r="BM23" s="35" t="s">
        <v>904</v>
      </c>
      <c r="BN23" s="35" t="s">
        <v>549</v>
      </c>
      <c r="BO23" s="35" t="s">
        <v>513</v>
      </c>
      <c r="CM23" s="35" t="s">
        <v>682</v>
      </c>
      <c r="CN23" s="35" t="s">
        <v>682</v>
      </c>
      <c r="CO23" s="35" t="s">
        <v>1858</v>
      </c>
      <c r="CP23" s="35" t="s">
        <v>11101</v>
      </c>
      <c r="CQ23" s="35" t="s">
        <v>685</v>
      </c>
      <c r="CR23" s="35" t="s">
        <v>1860</v>
      </c>
      <c r="CS23" s="35" t="s">
        <v>804</v>
      </c>
      <c r="CT23" s="35" t="s">
        <v>1861</v>
      </c>
      <c r="CU23" s="35" t="s">
        <v>1862</v>
      </c>
      <c r="CV23" s="35" t="s">
        <v>1863</v>
      </c>
      <c r="CW23" s="35" t="s">
        <v>959</v>
      </c>
      <c r="CX23" s="35" t="s">
        <v>1864</v>
      </c>
      <c r="CY23" s="35" t="s">
        <v>408</v>
      </c>
      <c r="DA23" s="35" t="s">
        <v>453</v>
      </c>
      <c r="DB23" s="35" t="s">
        <v>11102</v>
      </c>
      <c r="DC23" s="35" t="s">
        <v>455</v>
      </c>
      <c r="DD23" s="35" t="s">
        <v>1866</v>
      </c>
      <c r="DE23" s="35" t="s">
        <v>406</v>
      </c>
      <c r="DF23" s="35" t="s">
        <v>1867</v>
      </c>
      <c r="DG23" s="35" t="s">
        <v>1868</v>
      </c>
      <c r="DH23" s="35" t="s">
        <v>524</v>
      </c>
      <c r="DI23" s="35" t="s">
        <v>410</v>
      </c>
      <c r="DJ23" s="35" t="s">
        <v>963</v>
      </c>
      <c r="DK23" s="35" t="s">
        <v>613</v>
      </c>
      <c r="EU23" s="35" t="s">
        <v>526</v>
      </c>
      <c r="EV23" s="35" t="s">
        <v>579</v>
      </c>
      <c r="EW23" s="35" t="s">
        <v>480</v>
      </c>
      <c r="EY23" s="35" t="s">
        <v>11103</v>
      </c>
      <c r="EZ23" s="35" t="s">
        <v>1870</v>
      </c>
      <c r="FA23" s="35" t="s">
        <v>415</v>
      </c>
      <c r="FB23" s="35" t="s">
        <v>415</v>
      </c>
      <c r="FC23" s="35" t="s">
        <v>413</v>
      </c>
      <c r="FD23" s="35" t="s">
        <v>414</v>
      </c>
      <c r="FE23" s="35" t="s">
        <v>413</v>
      </c>
      <c r="FF23" s="35" t="s">
        <v>415</v>
      </c>
      <c r="FG23" s="35" t="s">
        <v>414</v>
      </c>
      <c r="FH23" s="35" t="s">
        <v>414</v>
      </c>
      <c r="FI23" s="35" t="s">
        <v>413</v>
      </c>
      <c r="FJ23" s="35" t="s">
        <v>415</v>
      </c>
      <c r="FK23" s="35" t="s">
        <v>415</v>
      </c>
      <c r="FL23" s="35" t="s">
        <v>413</v>
      </c>
      <c r="FM23" s="35" t="s">
        <v>415</v>
      </c>
      <c r="FN23" s="35" t="s">
        <v>415</v>
      </c>
      <c r="FO23" s="35" t="s">
        <v>413</v>
      </c>
      <c r="FP23" s="35" t="s">
        <v>850</v>
      </c>
      <c r="FQ23" s="35" t="s">
        <v>418</v>
      </c>
      <c r="FR23" s="35" t="s">
        <v>749</v>
      </c>
      <c r="FT23" s="35" t="s">
        <v>1871</v>
      </c>
      <c r="FU23" s="35" t="s">
        <v>488</v>
      </c>
      <c r="FV23" s="35" t="s">
        <v>918</v>
      </c>
      <c r="FW23" s="35" t="s">
        <v>490</v>
      </c>
      <c r="FX23" s="35" t="s">
        <v>491</v>
      </c>
      <c r="FY23" s="35" t="s">
        <v>11104</v>
      </c>
      <c r="FZ23" s="35" t="s">
        <v>535</v>
      </c>
      <c r="GA23" s="35" t="s">
        <v>11105</v>
      </c>
      <c r="GB23" s="35" t="s">
        <v>1874</v>
      </c>
      <c r="GC23" s="35" t="s">
        <v>455</v>
      </c>
      <c r="GF23" s="35" t="s">
        <v>855</v>
      </c>
      <c r="GH23" s="35" t="s">
        <v>920</v>
      </c>
      <c r="GI23" s="35" t="s">
        <v>920</v>
      </c>
      <c r="GJ23" s="35" t="s">
        <v>858</v>
      </c>
    </row>
    <row r="24">
      <c r="A24" s="40"/>
      <c r="B24" s="40">
        <v>45827.77905215278</v>
      </c>
      <c r="C24" s="35" t="s">
        <v>368</v>
      </c>
      <c r="D24" s="35" t="s">
        <v>370</v>
      </c>
      <c r="F24" s="35" t="s">
        <v>1899</v>
      </c>
      <c r="H24" s="35" t="s">
        <v>1900</v>
      </c>
      <c r="I24" s="35" t="s">
        <v>373</v>
      </c>
      <c r="J24" s="35" t="s">
        <v>638</v>
      </c>
      <c r="K24" s="35" t="s">
        <v>590</v>
      </c>
      <c r="L24" s="35" t="s">
        <v>376</v>
      </c>
      <c r="M24" s="35" t="s">
        <v>591</v>
      </c>
      <c r="N24" s="35" t="s">
        <v>378</v>
      </c>
      <c r="O24" s="35" t="s">
        <v>591</v>
      </c>
      <c r="P24" s="35" t="s">
        <v>541</v>
      </c>
      <c r="Q24" s="35" t="s">
        <v>498</v>
      </c>
      <c r="R24" s="35" t="s">
        <v>862</v>
      </c>
      <c r="S24" s="35" t="s">
        <v>1901</v>
      </c>
      <c r="T24" s="35" t="s">
        <v>1902</v>
      </c>
      <c r="U24" s="35" t="s">
        <v>385</v>
      </c>
      <c r="X24" s="35" t="s">
        <v>760</v>
      </c>
      <c r="Y24" s="35" t="s">
        <v>387</v>
      </c>
      <c r="Z24" s="35" t="s">
        <v>1444</v>
      </c>
      <c r="AA24" s="35" t="s">
        <v>543</v>
      </c>
      <c r="AB24" s="35" t="s">
        <v>1903</v>
      </c>
      <c r="AC24" s="35" t="s">
        <v>1904</v>
      </c>
      <c r="AW24" s="35" t="s">
        <v>1905</v>
      </c>
      <c r="AY24" s="41">
        <v>4.0</v>
      </c>
      <c r="AZ24" s="35" t="s">
        <v>429</v>
      </c>
      <c r="BB24" s="35" t="s">
        <v>429</v>
      </c>
      <c r="BF24" s="35" t="s">
        <v>902</v>
      </c>
      <c r="BG24" s="35" t="s">
        <v>433</v>
      </c>
      <c r="BH24" s="35" t="s">
        <v>678</v>
      </c>
      <c r="BJ24" s="35" t="s">
        <v>727</v>
      </c>
      <c r="BL24" s="35" t="s">
        <v>511</v>
      </c>
      <c r="BM24" s="35" t="s">
        <v>904</v>
      </c>
      <c r="BN24" s="35" t="s">
        <v>439</v>
      </c>
      <c r="BO24" s="35" t="s">
        <v>513</v>
      </c>
      <c r="CM24" s="35" t="s">
        <v>441</v>
      </c>
      <c r="CN24" s="35" t="s">
        <v>401</v>
      </c>
      <c r="CO24" s="35" t="s">
        <v>1906</v>
      </c>
      <c r="CP24" s="35" t="s">
        <v>1907</v>
      </c>
      <c r="CQ24" s="35" t="s">
        <v>445</v>
      </c>
      <c r="CR24" s="35" t="s">
        <v>1908</v>
      </c>
      <c r="CS24" s="35" t="s">
        <v>804</v>
      </c>
      <c r="CT24" s="35" t="s">
        <v>1909</v>
      </c>
      <c r="CU24" s="35" t="s">
        <v>1910</v>
      </c>
      <c r="CV24" s="35" t="s">
        <v>450</v>
      </c>
      <c r="CW24" s="35" t="s">
        <v>451</v>
      </c>
      <c r="CX24" s="35" t="s">
        <v>1911</v>
      </c>
      <c r="CY24" s="35" t="s">
        <v>408</v>
      </c>
      <c r="DA24" s="35" t="s">
        <v>453</v>
      </c>
      <c r="DB24" s="35" t="s">
        <v>1912</v>
      </c>
      <c r="DC24" s="35" t="s">
        <v>455</v>
      </c>
      <c r="DD24" s="35" t="s">
        <v>1913</v>
      </c>
      <c r="DE24" s="35" t="s">
        <v>457</v>
      </c>
      <c r="DH24" s="35" t="s">
        <v>776</v>
      </c>
      <c r="DI24" s="35" t="s">
        <v>410</v>
      </c>
      <c r="DJ24" s="35" t="s">
        <v>459</v>
      </c>
      <c r="DK24" s="35" t="s">
        <v>613</v>
      </c>
      <c r="EU24" s="35" t="s">
        <v>478</v>
      </c>
      <c r="EV24" s="35" t="s">
        <v>479</v>
      </c>
      <c r="EW24" s="35" t="s">
        <v>778</v>
      </c>
      <c r="EX24" s="35" t="s">
        <v>1914</v>
      </c>
      <c r="EY24" s="35" t="s">
        <v>1915</v>
      </c>
      <c r="EZ24" s="35" t="s">
        <v>1916</v>
      </c>
      <c r="FP24" s="35" t="s">
        <v>485</v>
      </c>
      <c r="FQ24" s="35" t="s">
        <v>418</v>
      </c>
      <c r="FR24" s="35" t="s">
        <v>712</v>
      </c>
      <c r="FT24" s="35" t="s">
        <v>420</v>
      </c>
      <c r="FU24" s="35" t="s">
        <v>488</v>
      </c>
      <c r="FV24" s="35" t="s">
        <v>918</v>
      </c>
      <c r="FW24" s="35" t="s">
        <v>490</v>
      </c>
      <c r="FX24" s="35" t="s">
        <v>491</v>
      </c>
      <c r="FY24" s="35" t="s">
        <v>1917</v>
      </c>
      <c r="FZ24" s="35" t="s">
        <v>535</v>
      </c>
      <c r="GA24" s="35" t="s">
        <v>1918</v>
      </c>
      <c r="GB24" s="35" t="s">
        <v>1919</v>
      </c>
      <c r="GC24" s="35" t="s">
        <v>455</v>
      </c>
      <c r="GD24" s="35" t="s">
        <v>11106</v>
      </c>
      <c r="GE24" s="35" t="s">
        <v>11107</v>
      </c>
      <c r="GF24" s="35" t="s">
        <v>753</v>
      </c>
      <c r="GG24" s="35" t="s">
        <v>1920</v>
      </c>
      <c r="GH24" s="35" t="s">
        <v>755</v>
      </c>
      <c r="GI24" s="35" t="s">
        <v>755</v>
      </c>
      <c r="GJ24" s="35" t="s">
        <v>946</v>
      </c>
    </row>
    <row r="25">
      <c r="A25" s="40"/>
      <c r="B25" s="40">
        <v>45827.82377087963</v>
      </c>
      <c r="C25" s="35" t="s">
        <v>368</v>
      </c>
      <c r="D25" s="35" t="s">
        <v>894</v>
      </c>
      <c r="H25" s="35" t="s">
        <v>422</v>
      </c>
      <c r="I25" s="35" t="s">
        <v>373</v>
      </c>
      <c r="J25" s="35" t="s">
        <v>374</v>
      </c>
      <c r="K25" s="35" t="s">
        <v>718</v>
      </c>
      <c r="L25" s="35" t="s">
        <v>376</v>
      </c>
      <c r="M25" s="35" t="s">
        <v>591</v>
      </c>
      <c r="N25" s="35" t="s">
        <v>719</v>
      </c>
      <c r="O25" s="35" t="s">
        <v>591</v>
      </c>
      <c r="P25" s="35" t="s">
        <v>719</v>
      </c>
      <c r="Q25" s="35" t="s">
        <v>498</v>
      </c>
      <c r="R25" s="35" t="s">
        <v>382</v>
      </c>
      <c r="S25" s="35" t="s">
        <v>500</v>
      </c>
      <c r="T25" s="35" t="s">
        <v>384</v>
      </c>
      <c r="U25" s="35" t="s">
        <v>385</v>
      </c>
      <c r="V25" s="35" t="s">
        <v>1045</v>
      </c>
      <c r="W25" s="35" t="s">
        <v>1045</v>
      </c>
      <c r="X25" s="35" t="s">
        <v>386</v>
      </c>
      <c r="Y25" s="35" t="s">
        <v>1706</v>
      </c>
      <c r="AD25" s="35" t="s">
        <v>1707</v>
      </c>
      <c r="AE25" s="35" t="s">
        <v>1938</v>
      </c>
      <c r="AF25" s="35" t="s">
        <v>455</v>
      </c>
      <c r="AG25" s="35" t="s">
        <v>11108</v>
      </c>
      <c r="AH25" s="41">
        <v>3.0</v>
      </c>
      <c r="AI25" s="35" t="s">
        <v>647</v>
      </c>
      <c r="AJ25" s="35" t="s">
        <v>11109</v>
      </c>
      <c r="AK25" s="35" t="s">
        <v>1941</v>
      </c>
      <c r="AL25" s="35" t="s">
        <v>1942</v>
      </c>
      <c r="AW25" s="35" t="s">
        <v>390</v>
      </c>
      <c r="AX25" s="35" t="s">
        <v>429</v>
      </c>
      <c r="AY25" s="41">
        <v>2.0</v>
      </c>
      <c r="AZ25" s="35" t="s">
        <v>429</v>
      </c>
      <c r="BA25" s="35" t="s">
        <v>429</v>
      </c>
      <c r="BB25" s="41">
        <v>2.0</v>
      </c>
      <c r="BC25" s="35" t="s">
        <v>429</v>
      </c>
      <c r="BD25" s="35" t="s">
        <v>1943</v>
      </c>
      <c r="BE25" s="35" t="s">
        <v>11110</v>
      </c>
      <c r="BF25" s="35" t="s">
        <v>432</v>
      </c>
      <c r="BG25" s="35" t="s">
        <v>433</v>
      </c>
      <c r="BH25" s="35" t="s">
        <v>765</v>
      </c>
      <c r="BJ25" s="35" t="s">
        <v>435</v>
      </c>
      <c r="BK25" s="35" t="s">
        <v>11111</v>
      </c>
      <c r="BL25" s="35" t="s">
        <v>437</v>
      </c>
      <c r="BM25" s="35" t="s">
        <v>603</v>
      </c>
      <c r="BN25" s="35" t="s">
        <v>397</v>
      </c>
      <c r="BO25" s="35" t="s">
        <v>513</v>
      </c>
      <c r="CM25" s="35" t="s">
        <v>441</v>
      </c>
      <c r="CN25" s="35" t="s">
        <v>442</v>
      </c>
      <c r="CO25" s="35" t="s">
        <v>11112</v>
      </c>
      <c r="CP25" s="35" t="s">
        <v>11113</v>
      </c>
      <c r="CQ25" s="35" t="s">
        <v>1948</v>
      </c>
      <c r="CR25" s="35" t="s">
        <v>1949</v>
      </c>
      <c r="CS25" s="35" t="s">
        <v>404</v>
      </c>
      <c r="CT25" s="35" t="s">
        <v>1950</v>
      </c>
      <c r="CU25" s="35" t="s">
        <v>11114</v>
      </c>
      <c r="CV25" s="35" t="s">
        <v>450</v>
      </c>
      <c r="CW25" s="35" t="s">
        <v>451</v>
      </c>
      <c r="CX25" s="35" t="s">
        <v>11115</v>
      </c>
      <c r="CY25" s="35" t="s">
        <v>408</v>
      </c>
      <c r="DA25" s="35" t="s">
        <v>453</v>
      </c>
      <c r="DB25" s="35" t="s">
        <v>11116</v>
      </c>
      <c r="DC25" s="35" t="s">
        <v>408</v>
      </c>
      <c r="DE25" s="35" t="s">
        <v>457</v>
      </c>
      <c r="DG25" s="35" t="s">
        <v>11117</v>
      </c>
      <c r="DH25" s="35" t="s">
        <v>524</v>
      </c>
      <c r="DI25" s="35" t="s">
        <v>410</v>
      </c>
      <c r="DJ25" s="35" t="s">
        <v>459</v>
      </c>
      <c r="DK25" s="35" t="s">
        <v>460</v>
      </c>
      <c r="DL25" s="35" t="s">
        <v>461</v>
      </c>
      <c r="EU25" s="35" t="s">
        <v>578</v>
      </c>
      <c r="EV25" s="35" t="s">
        <v>479</v>
      </c>
      <c r="EW25" s="35" t="s">
        <v>527</v>
      </c>
      <c r="EX25" s="35" t="s">
        <v>11118</v>
      </c>
      <c r="EY25" s="35" t="s">
        <v>11119</v>
      </c>
      <c r="EZ25" s="35" t="s">
        <v>6933</v>
      </c>
      <c r="FA25" s="35" t="s">
        <v>414</v>
      </c>
      <c r="FB25" s="35" t="s">
        <v>414</v>
      </c>
      <c r="FC25" s="35" t="s">
        <v>413</v>
      </c>
      <c r="FD25" s="35" t="s">
        <v>414</v>
      </c>
      <c r="FE25" s="35" t="s">
        <v>413</v>
      </c>
      <c r="FF25" s="35" t="s">
        <v>414</v>
      </c>
      <c r="FG25" s="35" t="s">
        <v>415</v>
      </c>
      <c r="FH25" s="35" t="s">
        <v>415</v>
      </c>
      <c r="FI25" s="35" t="s">
        <v>416</v>
      </c>
      <c r="FJ25" s="35" t="s">
        <v>415</v>
      </c>
      <c r="FK25" s="35" t="s">
        <v>415</v>
      </c>
      <c r="FL25" s="35" t="s">
        <v>415</v>
      </c>
      <c r="FM25" s="35" t="s">
        <v>484</v>
      </c>
      <c r="FN25" s="35" t="s">
        <v>413</v>
      </c>
      <c r="FO25" s="35" t="s">
        <v>484</v>
      </c>
      <c r="FP25" s="35" t="s">
        <v>850</v>
      </c>
      <c r="FQ25" s="35" t="s">
        <v>418</v>
      </c>
      <c r="FR25" s="35" t="s">
        <v>1039</v>
      </c>
      <c r="FS25" s="35" t="s">
        <v>1957</v>
      </c>
      <c r="FT25" s="35" t="s">
        <v>1189</v>
      </c>
      <c r="FU25" s="35" t="s">
        <v>488</v>
      </c>
      <c r="FV25" s="35" t="s">
        <v>585</v>
      </c>
      <c r="FW25" s="35" t="s">
        <v>490</v>
      </c>
      <c r="FX25" s="35" t="s">
        <v>491</v>
      </c>
      <c r="FY25" s="35" t="s">
        <v>11120</v>
      </c>
      <c r="FZ25" s="35" t="s">
        <v>1020</v>
      </c>
      <c r="GC25" s="35" t="s">
        <v>408</v>
      </c>
      <c r="GH25" s="35" t="s">
        <v>920</v>
      </c>
      <c r="GI25" s="35" t="s">
        <v>920</v>
      </c>
      <c r="GJ25" s="35" t="s">
        <v>817</v>
      </c>
    </row>
    <row r="26">
      <c r="A26" s="40"/>
      <c r="B26" s="40">
        <v>45827.82513037037</v>
      </c>
      <c r="C26" s="35" t="s">
        <v>368</v>
      </c>
      <c r="E26" s="35" t="s">
        <v>1201</v>
      </c>
      <c r="X26" s="35" t="s">
        <v>760</v>
      </c>
      <c r="Y26" s="35" t="s">
        <v>387</v>
      </c>
      <c r="AA26" s="35" t="s">
        <v>543</v>
      </c>
      <c r="AW26" s="35" t="s">
        <v>1310</v>
      </c>
      <c r="BF26" s="35" t="s">
        <v>432</v>
      </c>
      <c r="BG26" s="35" t="s">
        <v>1095</v>
      </c>
      <c r="BH26" s="35" t="s">
        <v>434</v>
      </c>
      <c r="BJ26" s="35" t="s">
        <v>824</v>
      </c>
      <c r="BL26" s="35" t="s">
        <v>437</v>
      </c>
      <c r="BN26" s="35" t="s">
        <v>1247</v>
      </c>
      <c r="BO26" s="35" t="s">
        <v>513</v>
      </c>
      <c r="CM26" s="35" t="s">
        <v>953</v>
      </c>
      <c r="CN26" s="35" t="s">
        <v>551</v>
      </c>
      <c r="CQ26" s="35" t="s">
        <v>445</v>
      </c>
      <c r="CR26" s="35" t="s">
        <v>1959</v>
      </c>
      <c r="CS26" s="35" t="s">
        <v>828</v>
      </c>
      <c r="CT26" s="35" t="s">
        <v>1960</v>
      </c>
      <c r="CV26" s="35" t="s">
        <v>1961</v>
      </c>
      <c r="CW26" s="35" t="s">
        <v>959</v>
      </c>
      <c r="CY26" s="35" t="s">
        <v>408</v>
      </c>
      <c r="DA26" s="35" t="s">
        <v>1962</v>
      </c>
      <c r="DC26" s="35" t="s">
        <v>408</v>
      </c>
      <c r="DE26" s="35" t="s">
        <v>406</v>
      </c>
      <c r="DF26" s="35" t="s">
        <v>1058</v>
      </c>
      <c r="DG26" s="35" t="s">
        <v>1963</v>
      </c>
      <c r="DH26" s="35" t="s">
        <v>990</v>
      </c>
      <c r="DI26" s="35" t="s">
        <v>1964</v>
      </c>
      <c r="DJ26" s="35" t="s">
        <v>963</v>
      </c>
      <c r="DK26" s="35" t="s">
        <v>613</v>
      </c>
      <c r="EU26" s="35" t="s">
        <v>478</v>
      </c>
      <c r="EV26" s="35" t="s">
        <v>579</v>
      </c>
      <c r="EW26" s="35" t="s">
        <v>580</v>
      </c>
      <c r="FA26" s="35" t="s">
        <v>414</v>
      </c>
      <c r="FB26" s="35" t="s">
        <v>414</v>
      </c>
      <c r="FC26" s="35" t="s">
        <v>415</v>
      </c>
      <c r="FD26" s="35" t="s">
        <v>415</v>
      </c>
      <c r="FE26" s="35" t="s">
        <v>415</v>
      </c>
      <c r="FF26" s="35" t="s">
        <v>414</v>
      </c>
      <c r="FG26" s="35" t="s">
        <v>415</v>
      </c>
      <c r="FH26" s="35" t="s">
        <v>415</v>
      </c>
      <c r="FI26" s="35" t="s">
        <v>415</v>
      </c>
      <c r="FJ26" s="35" t="s">
        <v>416</v>
      </c>
      <c r="FK26" s="35" t="s">
        <v>415</v>
      </c>
      <c r="FL26" s="35" t="s">
        <v>414</v>
      </c>
      <c r="FM26" s="35" t="s">
        <v>414</v>
      </c>
      <c r="FN26" s="35" t="s">
        <v>484</v>
      </c>
      <c r="FO26" s="35" t="s">
        <v>484</v>
      </c>
      <c r="FP26" s="35" t="s">
        <v>1074</v>
      </c>
      <c r="FQ26" s="35" t="s">
        <v>1200</v>
      </c>
      <c r="FR26" s="35" t="s">
        <v>712</v>
      </c>
      <c r="FT26" s="35" t="s">
        <v>1076</v>
      </c>
      <c r="FU26" s="35" t="s">
        <v>1476</v>
      </c>
      <c r="FV26" s="35" t="s">
        <v>585</v>
      </c>
      <c r="FW26" s="35" t="s">
        <v>1101</v>
      </c>
      <c r="FX26" s="35" t="s">
        <v>1853</v>
      </c>
      <c r="FY26" s="35" t="s">
        <v>1965</v>
      </c>
      <c r="FZ26" s="35" t="s">
        <v>1854</v>
      </c>
      <c r="GC26" s="35" t="s">
        <v>408</v>
      </c>
      <c r="GH26" s="35" t="s">
        <v>788</v>
      </c>
      <c r="GI26" s="35" t="s">
        <v>788</v>
      </c>
      <c r="GJ26" s="35" t="s">
        <v>858</v>
      </c>
    </row>
    <row r="27">
      <c r="A27" s="40"/>
      <c r="B27" s="40">
        <v>45827.86569578704</v>
      </c>
      <c r="C27" s="35" t="s">
        <v>368</v>
      </c>
      <c r="D27" s="35" t="s">
        <v>370</v>
      </c>
      <c r="F27" s="35" t="s">
        <v>2012</v>
      </c>
      <c r="H27" s="35" t="s">
        <v>422</v>
      </c>
      <c r="I27" s="35" t="s">
        <v>539</v>
      </c>
      <c r="J27" s="35" t="s">
        <v>424</v>
      </c>
      <c r="K27" s="35" t="s">
        <v>425</v>
      </c>
      <c r="L27" s="35" t="s">
        <v>376</v>
      </c>
      <c r="M27" s="35" t="s">
        <v>379</v>
      </c>
      <c r="N27" s="35" t="s">
        <v>378</v>
      </c>
      <c r="O27" s="35" t="s">
        <v>379</v>
      </c>
      <c r="P27" s="35" t="s">
        <v>380</v>
      </c>
      <c r="Q27" s="35" t="s">
        <v>498</v>
      </c>
      <c r="R27" s="35" t="s">
        <v>499</v>
      </c>
      <c r="S27" s="35" t="s">
        <v>1197</v>
      </c>
      <c r="T27" s="35" t="s">
        <v>384</v>
      </c>
      <c r="U27" s="35" t="s">
        <v>385</v>
      </c>
      <c r="X27" s="35" t="s">
        <v>386</v>
      </c>
      <c r="Y27" s="35" t="s">
        <v>387</v>
      </c>
      <c r="Z27" s="35" t="s">
        <v>1444</v>
      </c>
      <c r="AA27" s="35" t="s">
        <v>543</v>
      </c>
      <c r="AB27" s="35" t="s">
        <v>408</v>
      </c>
      <c r="AW27" s="35" t="s">
        <v>597</v>
      </c>
      <c r="AX27" s="41">
        <v>2.0</v>
      </c>
      <c r="AY27" s="41">
        <v>2.0</v>
      </c>
      <c r="AZ27" s="41">
        <v>2.0</v>
      </c>
      <c r="BA27" s="41">
        <v>2.0</v>
      </c>
      <c r="BB27" s="41">
        <v>2.0</v>
      </c>
      <c r="BC27" s="41">
        <v>2.0</v>
      </c>
      <c r="BD27" s="35" t="s">
        <v>2013</v>
      </c>
      <c r="BE27" s="35" t="s">
        <v>11121</v>
      </c>
      <c r="BF27" s="35" t="s">
        <v>902</v>
      </c>
      <c r="BG27" s="35" t="s">
        <v>393</v>
      </c>
      <c r="BH27" s="35" t="s">
        <v>434</v>
      </c>
      <c r="BI27" s="35" t="s">
        <v>2015</v>
      </c>
      <c r="BJ27" s="35" t="s">
        <v>976</v>
      </c>
      <c r="BL27" s="35" t="s">
        <v>681</v>
      </c>
      <c r="BM27" s="35" t="s">
        <v>603</v>
      </c>
      <c r="BN27" s="35" t="s">
        <v>549</v>
      </c>
      <c r="BO27" s="35" t="s">
        <v>513</v>
      </c>
      <c r="CM27" s="35" t="s">
        <v>441</v>
      </c>
      <c r="CN27" s="35" t="s">
        <v>604</v>
      </c>
      <c r="CO27" s="35" t="s">
        <v>9161</v>
      </c>
      <c r="CP27" s="35" t="s">
        <v>552</v>
      </c>
      <c r="CQ27" s="35" t="s">
        <v>685</v>
      </c>
      <c r="CR27" s="35" t="s">
        <v>956</v>
      </c>
      <c r="CS27" s="35" t="s">
        <v>555</v>
      </c>
      <c r="CT27" s="35" t="s">
        <v>1346</v>
      </c>
      <c r="CU27" s="35" t="s">
        <v>2017</v>
      </c>
      <c r="CV27" s="35" t="s">
        <v>1852</v>
      </c>
      <c r="CW27" s="35" t="s">
        <v>451</v>
      </c>
      <c r="CX27" s="35" t="s">
        <v>11122</v>
      </c>
      <c r="CY27" s="35" t="s">
        <v>408</v>
      </c>
      <c r="DA27" s="35" t="s">
        <v>985</v>
      </c>
      <c r="DB27" s="35" t="s">
        <v>2019</v>
      </c>
      <c r="DC27" s="35" t="s">
        <v>408</v>
      </c>
      <c r="DE27" s="35" t="s">
        <v>406</v>
      </c>
      <c r="DF27" s="35" t="s">
        <v>1058</v>
      </c>
      <c r="DG27" s="35" t="s">
        <v>2020</v>
      </c>
      <c r="DH27" s="35" t="s">
        <v>776</v>
      </c>
      <c r="DI27" s="35" t="s">
        <v>833</v>
      </c>
      <c r="DJ27" s="35" t="s">
        <v>459</v>
      </c>
      <c r="DK27" s="35" t="s">
        <v>613</v>
      </c>
      <c r="EU27" s="35" t="s">
        <v>578</v>
      </c>
      <c r="EV27" s="35" t="s">
        <v>887</v>
      </c>
      <c r="EW27" s="35" t="s">
        <v>480</v>
      </c>
      <c r="EY27" s="35" t="s">
        <v>11123</v>
      </c>
      <c r="EZ27" s="35" t="s">
        <v>1380</v>
      </c>
      <c r="FA27" s="35" t="s">
        <v>413</v>
      </c>
      <c r="FB27" s="35" t="s">
        <v>416</v>
      </c>
      <c r="FC27" s="35" t="s">
        <v>413</v>
      </c>
      <c r="FD27" s="35" t="s">
        <v>416</v>
      </c>
      <c r="FE27" s="35" t="s">
        <v>413</v>
      </c>
      <c r="FF27" s="35" t="s">
        <v>416</v>
      </c>
      <c r="FG27" s="35" t="s">
        <v>416</v>
      </c>
      <c r="FH27" s="35" t="s">
        <v>416</v>
      </c>
      <c r="FI27" s="35" t="s">
        <v>413</v>
      </c>
      <c r="FJ27" s="35" t="s">
        <v>416</v>
      </c>
      <c r="FK27" s="35" t="s">
        <v>416</v>
      </c>
      <c r="FL27" s="35" t="s">
        <v>416</v>
      </c>
      <c r="FM27" s="35" t="s">
        <v>416</v>
      </c>
      <c r="FN27" s="35" t="s">
        <v>416</v>
      </c>
      <c r="FO27" s="35" t="s">
        <v>416</v>
      </c>
      <c r="FP27" s="35" t="s">
        <v>850</v>
      </c>
      <c r="FQ27" s="35" t="s">
        <v>418</v>
      </c>
      <c r="FR27" s="35" t="s">
        <v>630</v>
      </c>
      <c r="FS27" s="35" t="s">
        <v>2022</v>
      </c>
      <c r="FT27" s="35" t="s">
        <v>1189</v>
      </c>
      <c r="FU27" s="35" t="s">
        <v>488</v>
      </c>
      <c r="FV27" s="35" t="s">
        <v>489</v>
      </c>
      <c r="FW27" s="35" t="s">
        <v>490</v>
      </c>
      <c r="FX27" s="35" t="s">
        <v>491</v>
      </c>
      <c r="FY27" s="35" t="s">
        <v>2023</v>
      </c>
      <c r="FZ27" s="35" t="s">
        <v>535</v>
      </c>
      <c r="GC27" s="35" t="s">
        <v>455</v>
      </c>
      <c r="GD27" s="35" t="s">
        <v>11124</v>
      </c>
      <c r="GE27" s="35" t="s">
        <v>11125</v>
      </c>
      <c r="GF27" s="35" t="s">
        <v>786</v>
      </c>
      <c r="GG27" s="35" t="s">
        <v>2024</v>
      </c>
      <c r="GH27" s="35" t="s">
        <v>1000</v>
      </c>
      <c r="GI27" s="35" t="s">
        <v>1000</v>
      </c>
      <c r="GJ27" s="35" t="s">
        <v>946</v>
      </c>
    </row>
    <row r="28">
      <c r="A28" s="40"/>
      <c r="B28" s="40">
        <v>45827.871949594904</v>
      </c>
      <c r="C28" s="35" t="s">
        <v>368</v>
      </c>
      <c r="D28" s="35" t="s">
        <v>370</v>
      </c>
      <c r="F28" s="35" t="s">
        <v>1510</v>
      </c>
      <c r="H28" s="35" t="s">
        <v>1269</v>
      </c>
      <c r="I28" s="35" t="s">
        <v>539</v>
      </c>
      <c r="J28" s="35" t="s">
        <v>424</v>
      </c>
      <c r="K28" s="35" t="s">
        <v>375</v>
      </c>
      <c r="L28" s="35" t="s">
        <v>376</v>
      </c>
      <c r="M28" s="35" t="s">
        <v>379</v>
      </c>
      <c r="N28" s="35" t="s">
        <v>378</v>
      </c>
      <c r="O28" s="35" t="s">
        <v>426</v>
      </c>
      <c r="P28" s="35" t="s">
        <v>11126</v>
      </c>
      <c r="Q28" s="35" t="s">
        <v>498</v>
      </c>
      <c r="R28" s="35" t="s">
        <v>382</v>
      </c>
      <c r="S28" s="35" t="s">
        <v>949</v>
      </c>
      <c r="T28" s="35" t="s">
        <v>384</v>
      </c>
      <c r="U28" s="35" t="s">
        <v>385</v>
      </c>
      <c r="X28" s="35" t="s">
        <v>428</v>
      </c>
      <c r="AW28" s="35" t="s">
        <v>1310</v>
      </c>
      <c r="AX28" s="35" t="s">
        <v>675</v>
      </c>
      <c r="AY28" s="41">
        <v>4.0</v>
      </c>
      <c r="AZ28" s="35" t="s">
        <v>675</v>
      </c>
      <c r="BA28" s="41">
        <v>4.0</v>
      </c>
      <c r="BB28" s="41">
        <v>4.0</v>
      </c>
      <c r="BC28" s="41">
        <v>4.0</v>
      </c>
      <c r="BD28" s="35" t="s">
        <v>11127</v>
      </c>
      <c r="BE28" s="35" t="s">
        <v>11128</v>
      </c>
      <c r="BF28" s="35" t="s">
        <v>902</v>
      </c>
      <c r="BG28" s="35" t="s">
        <v>1245</v>
      </c>
      <c r="BI28" s="35" t="s">
        <v>11129</v>
      </c>
      <c r="BJ28" s="35" t="s">
        <v>435</v>
      </c>
      <c r="BL28" s="35" t="s">
        <v>395</v>
      </c>
      <c r="BM28" s="35" t="s">
        <v>438</v>
      </c>
      <c r="BN28" s="35" t="s">
        <v>1247</v>
      </c>
      <c r="BO28" s="35" t="s">
        <v>513</v>
      </c>
      <c r="CM28" s="35" t="s">
        <v>682</v>
      </c>
      <c r="CN28" s="35" t="s">
        <v>442</v>
      </c>
      <c r="CO28" s="35" t="s">
        <v>11130</v>
      </c>
      <c r="CP28" s="35" t="s">
        <v>11131</v>
      </c>
      <c r="CQ28" s="35" t="s">
        <v>685</v>
      </c>
      <c r="CR28" s="35" t="s">
        <v>2103</v>
      </c>
      <c r="CS28" s="35" t="s">
        <v>404</v>
      </c>
      <c r="CT28" s="35" t="s">
        <v>2104</v>
      </c>
      <c r="CU28" s="35" t="s">
        <v>11132</v>
      </c>
      <c r="CV28" s="35" t="s">
        <v>450</v>
      </c>
      <c r="CW28" s="35" t="s">
        <v>959</v>
      </c>
      <c r="CX28" s="35" t="s">
        <v>11133</v>
      </c>
      <c r="CY28" s="35" t="s">
        <v>408</v>
      </c>
      <c r="DA28" s="35" t="s">
        <v>985</v>
      </c>
      <c r="DB28" s="35" t="s">
        <v>11134</v>
      </c>
      <c r="DC28" s="35" t="s">
        <v>408</v>
      </c>
      <c r="DE28" s="35" t="s">
        <v>1400</v>
      </c>
      <c r="DF28" s="35" t="s">
        <v>407</v>
      </c>
      <c r="DH28" s="35" t="s">
        <v>776</v>
      </c>
      <c r="DI28" s="35" t="s">
        <v>1220</v>
      </c>
      <c r="DJ28" s="35" t="s">
        <v>963</v>
      </c>
      <c r="DK28" s="35" t="s">
        <v>613</v>
      </c>
      <c r="EU28" s="35" t="s">
        <v>578</v>
      </c>
      <c r="EV28" s="35" t="s">
        <v>479</v>
      </c>
      <c r="EW28" s="35" t="s">
        <v>527</v>
      </c>
      <c r="EX28" s="35" t="s">
        <v>11135</v>
      </c>
      <c r="EY28" s="35" t="s">
        <v>11136</v>
      </c>
      <c r="EZ28" s="35" t="s">
        <v>11137</v>
      </c>
      <c r="FA28" s="35" t="s">
        <v>583</v>
      </c>
      <c r="FB28" s="35" t="s">
        <v>583</v>
      </c>
      <c r="FC28" s="35" t="s">
        <v>583</v>
      </c>
      <c r="FD28" s="35" t="s">
        <v>583</v>
      </c>
      <c r="FE28" s="35" t="s">
        <v>415</v>
      </c>
      <c r="FF28" s="35" t="s">
        <v>583</v>
      </c>
      <c r="FG28" s="35" t="s">
        <v>583</v>
      </c>
      <c r="FH28" s="35" t="s">
        <v>583</v>
      </c>
      <c r="FI28" s="35" t="s">
        <v>484</v>
      </c>
      <c r="FJ28" s="35" t="s">
        <v>583</v>
      </c>
      <c r="FK28" s="35" t="s">
        <v>583</v>
      </c>
      <c r="FL28" s="35" t="s">
        <v>583</v>
      </c>
      <c r="FM28" s="35" t="s">
        <v>583</v>
      </c>
      <c r="FN28" s="35" t="s">
        <v>484</v>
      </c>
      <c r="FO28" s="35" t="s">
        <v>583</v>
      </c>
      <c r="FP28" s="35" t="s">
        <v>417</v>
      </c>
      <c r="FQ28" s="35" t="s">
        <v>486</v>
      </c>
      <c r="FR28" s="35" t="s">
        <v>419</v>
      </c>
      <c r="FS28" s="35" t="s">
        <v>11138</v>
      </c>
      <c r="FT28" s="35" t="s">
        <v>995</v>
      </c>
      <c r="FU28" s="35" t="s">
        <v>1462</v>
      </c>
      <c r="FV28" s="35" t="s">
        <v>533</v>
      </c>
      <c r="FW28" s="35" t="s">
        <v>490</v>
      </c>
      <c r="FX28" s="35" t="s">
        <v>491</v>
      </c>
      <c r="FY28" s="35" t="s">
        <v>11139</v>
      </c>
      <c r="FZ28" s="35" t="s">
        <v>493</v>
      </c>
      <c r="GA28" s="35" t="s">
        <v>11140</v>
      </c>
      <c r="GC28" s="35" t="s">
        <v>455</v>
      </c>
      <c r="GD28" s="35" t="s">
        <v>11141</v>
      </c>
      <c r="GF28" s="35" t="s">
        <v>855</v>
      </c>
      <c r="GH28" s="35" t="s">
        <v>1000</v>
      </c>
      <c r="GI28" s="35" t="s">
        <v>1000</v>
      </c>
      <c r="GJ28" s="35" t="s">
        <v>946</v>
      </c>
    </row>
    <row r="29">
      <c r="A29" s="40"/>
      <c r="B29" s="40">
        <v>45827.910598622686</v>
      </c>
      <c r="C29" s="35" t="s">
        <v>368</v>
      </c>
      <c r="D29" s="35" t="s">
        <v>894</v>
      </c>
      <c r="E29" s="35" t="s">
        <v>894</v>
      </c>
      <c r="H29" s="35" t="s">
        <v>422</v>
      </c>
      <c r="I29" s="35" t="s">
        <v>637</v>
      </c>
      <c r="J29" s="35" t="s">
        <v>638</v>
      </c>
      <c r="K29" s="35" t="s">
        <v>1240</v>
      </c>
      <c r="L29" s="35" t="s">
        <v>376</v>
      </c>
      <c r="M29" s="35" t="s">
        <v>591</v>
      </c>
      <c r="N29" s="35" t="s">
        <v>720</v>
      </c>
      <c r="O29" s="35" t="s">
        <v>1526</v>
      </c>
      <c r="P29" s="35" t="s">
        <v>671</v>
      </c>
      <c r="Q29" s="35" t="s">
        <v>498</v>
      </c>
      <c r="R29" s="35" t="s">
        <v>382</v>
      </c>
      <c r="S29" s="35" t="s">
        <v>11142</v>
      </c>
      <c r="T29" s="35" t="s">
        <v>384</v>
      </c>
      <c r="U29" s="35" t="s">
        <v>385</v>
      </c>
      <c r="V29" s="35" t="s">
        <v>1025</v>
      </c>
      <c r="W29" s="35" t="s">
        <v>1025</v>
      </c>
      <c r="X29" s="35" t="s">
        <v>428</v>
      </c>
      <c r="AW29" s="35" t="s">
        <v>390</v>
      </c>
      <c r="AX29" s="35" t="s">
        <v>429</v>
      </c>
      <c r="AY29" s="35" t="s">
        <v>429</v>
      </c>
      <c r="AZ29" s="41">
        <v>4.0</v>
      </c>
      <c r="BA29" s="35" t="s">
        <v>429</v>
      </c>
      <c r="BB29" s="41">
        <v>2.0</v>
      </c>
      <c r="BC29" s="41">
        <v>2.0</v>
      </c>
      <c r="BD29" s="35" t="s">
        <v>11143</v>
      </c>
      <c r="BE29" s="35" t="s">
        <v>2142</v>
      </c>
      <c r="BF29" s="35" t="s">
        <v>392</v>
      </c>
      <c r="BG29" s="35" t="s">
        <v>433</v>
      </c>
      <c r="BH29" s="35" t="s">
        <v>678</v>
      </c>
      <c r="BI29" s="35" t="s">
        <v>11144</v>
      </c>
      <c r="BJ29" s="35" t="s">
        <v>509</v>
      </c>
      <c r="BK29" s="35" t="s">
        <v>11145</v>
      </c>
      <c r="BL29" s="35" t="s">
        <v>602</v>
      </c>
      <c r="BM29" s="35" t="s">
        <v>512</v>
      </c>
      <c r="BN29" s="35" t="s">
        <v>549</v>
      </c>
      <c r="BO29" s="35" t="s">
        <v>513</v>
      </c>
      <c r="CM29" s="35" t="s">
        <v>441</v>
      </c>
      <c r="CN29" s="35" t="s">
        <v>604</v>
      </c>
      <c r="CO29" s="35" t="s">
        <v>11146</v>
      </c>
      <c r="CP29" s="35" t="s">
        <v>11147</v>
      </c>
      <c r="CQ29" s="35" t="s">
        <v>445</v>
      </c>
      <c r="CR29" s="35" t="s">
        <v>11148</v>
      </c>
      <c r="CS29" s="35" t="s">
        <v>404</v>
      </c>
      <c r="CT29" s="35" t="s">
        <v>2148</v>
      </c>
      <c r="CU29" s="35" t="s">
        <v>2149</v>
      </c>
      <c r="CV29" s="35" t="s">
        <v>519</v>
      </c>
      <c r="CW29" s="35" t="s">
        <v>451</v>
      </c>
      <c r="CX29" s="35" t="s">
        <v>11149</v>
      </c>
      <c r="CY29" s="35" t="s">
        <v>733</v>
      </c>
      <c r="CZ29" s="35" t="s">
        <v>11150</v>
      </c>
      <c r="DA29" s="35" t="s">
        <v>453</v>
      </c>
      <c r="DB29" s="35" t="s">
        <v>11151</v>
      </c>
      <c r="DC29" s="35" t="s">
        <v>455</v>
      </c>
      <c r="DD29" s="35" t="s">
        <v>11152</v>
      </c>
      <c r="DE29" s="35" t="s">
        <v>988</v>
      </c>
      <c r="DG29" s="35" t="s">
        <v>11153</v>
      </c>
      <c r="DH29" s="35" t="s">
        <v>524</v>
      </c>
      <c r="DI29" s="35" t="s">
        <v>410</v>
      </c>
      <c r="DJ29" s="35" t="s">
        <v>459</v>
      </c>
      <c r="DK29" s="35" t="s">
        <v>562</v>
      </c>
      <c r="DL29" s="35" t="s">
        <v>461</v>
      </c>
      <c r="EU29" s="35" t="s">
        <v>478</v>
      </c>
      <c r="EV29" s="35" t="s">
        <v>1037</v>
      </c>
      <c r="EW29" s="35" t="s">
        <v>580</v>
      </c>
      <c r="EX29" s="35" t="s">
        <v>11154</v>
      </c>
      <c r="EY29" s="35" t="s">
        <v>2156</v>
      </c>
      <c r="EZ29" s="35" t="s">
        <v>5744</v>
      </c>
      <c r="FA29" s="35" t="s">
        <v>415</v>
      </c>
      <c r="FB29" s="35" t="s">
        <v>414</v>
      </c>
      <c r="FC29" s="35" t="s">
        <v>413</v>
      </c>
      <c r="FD29" s="35" t="s">
        <v>414</v>
      </c>
      <c r="FE29" s="35" t="s">
        <v>413</v>
      </c>
      <c r="FF29" s="35" t="s">
        <v>415</v>
      </c>
      <c r="FG29" s="35" t="s">
        <v>415</v>
      </c>
      <c r="FH29" s="35" t="s">
        <v>413</v>
      </c>
      <c r="FI29" s="35" t="s">
        <v>414</v>
      </c>
      <c r="FJ29" s="35" t="s">
        <v>416</v>
      </c>
      <c r="FK29" s="35" t="s">
        <v>416</v>
      </c>
      <c r="FL29" s="35" t="s">
        <v>484</v>
      </c>
      <c r="FM29" s="35" t="s">
        <v>484</v>
      </c>
      <c r="FN29" s="35" t="s">
        <v>413</v>
      </c>
      <c r="FO29" s="35" t="s">
        <v>583</v>
      </c>
      <c r="FP29" s="35" t="s">
        <v>1537</v>
      </c>
      <c r="FQ29" s="35" t="s">
        <v>418</v>
      </c>
      <c r="FR29" s="35" t="s">
        <v>749</v>
      </c>
      <c r="FS29" s="35" t="s">
        <v>2157</v>
      </c>
      <c r="FT29" s="35" t="s">
        <v>995</v>
      </c>
      <c r="FU29" s="35" t="s">
        <v>488</v>
      </c>
      <c r="FV29" s="35" t="s">
        <v>585</v>
      </c>
      <c r="FW29" s="35" t="s">
        <v>490</v>
      </c>
      <c r="FX29" s="35" t="s">
        <v>491</v>
      </c>
      <c r="FY29" s="35" t="s">
        <v>2158</v>
      </c>
      <c r="FZ29" s="35" t="s">
        <v>535</v>
      </c>
      <c r="GA29" s="35" t="s">
        <v>11155</v>
      </c>
      <c r="GC29" s="35" t="s">
        <v>455</v>
      </c>
      <c r="GD29" s="35" t="s">
        <v>11156</v>
      </c>
      <c r="GF29" s="35" t="s">
        <v>786</v>
      </c>
      <c r="GG29" s="35" t="s">
        <v>11157</v>
      </c>
      <c r="GH29" s="35" t="s">
        <v>920</v>
      </c>
      <c r="GI29" s="35" t="s">
        <v>920</v>
      </c>
      <c r="GJ29" s="35" t="s">
        <v>858</v>
      </c>
    </row>
    <row r="30">
      <c r="A30" s="40"/>
      <c r="B30" s="40">
        <v>45827.95437741898</v>
      </c>
      <c r="C30" s="35" t="s">
        <v>368</v>
      </c>
      <c r="D30" s="35" t="s">
        <v>370</v>
      </c>
      <c r="F30" s="35" t="s">
        <v>1899</v>
      </c>
      <c r="H30" s="35" t="s">
        <v>636</v>
      </c>
      <c r="I30" s="35" t="s">
        <v>637</v>
      </c>
      <c r="J30" s="35" t="s">
        <v>638</v>
      </c>
      <c r="K30" s="35" t="s">
        <v>425</v>
      </c>
      <c r="L30" s="35" t="s">
        <v>376</v>
      </c>
      <c r="M30" s="35" t="s">
        <v>379</v>
      </c>
      <c r="N30" s="35" t="s">
        <v>2251</v>
      </c>
      <c r="O30" s="35" t="s">
        <v>670</v>
      </c>
      <c r="P30" s="35" t="s">
        <v>719</v>
      </c>
      <c r="Q30" s="35" t="s">
        <v>381</v>
      </c>
      <c r="R30" s="35" t="s">
        <v>818</v>
      </c>
      <c r="S30" s="35" t="s">
        <v>427</v>
      </c>
      <c r="T30" s="35" t="s">
        <v>384</v>
      </c>
      <c r="U30" s="35" t="s">
        <v>385</v>
      </c>
      <c r="X30" s="35" t="s">
        <v>760</v>
      </c>
      <c r="Y30" s="35" t="s">
        <v>642</v>
      </c>
      <c r="AM30" s="35" t="s">
        <v>2252</v>
      </c>
      <c r="AN30" s="35" t="s">
        <v>2253</v>
      </c>
      <c r="AO30" s="35" t="s">
        <v>408</v>
      </c>
      <c r="AQ30" s="35" t="s">
        <v>913</v>
      </c>
      <c r="AR30" s="41">
        <v>5.0</v>
      </c>
      <c r="AS30" s="35" t="s">
        <v>1507</v>
      </c>
      <c r="AT30" s="35" t="s">
        <v>2254</v>
      </c>
      <c r="AU30" s="35" t="s">
        <v>2255</v>
      </c>
      <c r="AV30" s="35" t="s">
        <v>2256</v>
      </c>
      <c r="AW30" s="35" t="s">
        <v>504</v>
      </c>
      <c r="AX30" s="35" t="s">
        <v>391</v>
      </c>
      <c r="AY30" s="35" t="s">
        <v>429</v>
      </c>
      <c r="AZ30" s="35" t="s">
        <v>391</v>
      </c>
      <c r="BA30" s="35" t="s">
        <v>429</v>
      </c>
      <c r="BB30" s="41">
        <v>2.0</v>
      </c>
      <c r="BC30" s="35" t="s">
        <v>429</v>
      </c>
      <c r="BD30" s="35" t="s">
        <v>2257</v>
      </c>
      <c r="BE30" s="35" t="s">
        <v>2258</v>
      </c>
      <c r="BF30" s="35" t="s">
        <v>2259</v>
      </c>
      <c r="BH30" s="35" t="s">
        <v>765</v>
      </c>
      <c r="BI30" s="35" t="s">
        <v>2260</v>
      </c>
      <c r="BJ30" s="35" t="s">
        <v>824</v>
      </c>
      <c r="BL30" s="35" t="s">
        <v>511</v>
      </c>
      <c r="BM30" s="35" t="s">
        <v>396</v>
      </c>
      <c r="BN30" s="35" t="s">
        <v>549</v>
      </c>
      <c r="BO30" s="35" t="s">
        <v>513</v>
      </c>
      <c r="CM30" s="35" t="s">
        <v>441</v>
      </c>
      <c r="CN30" s="35" t="s">
        <v>604</v>
      </c>
      <c r="CO30" s="35" t="s">
        <v>2261</v>
      </c>
      <c r="CP30" s="35" t="s">
        <v>2262</v>
      </c>
      <c r="CQ30" s="35" t="s">
        <v>979</v>
      </c>
      <c r="CR30" s="35" t="s">
        <v>2263</v>
      </c>
      <c r="CS30" s="35" t="s">
        <v>404</v>
      </c>
      <c r="CT30" s="35" t="s">
        <v>2264</v>
      </c>
      <c r="CU30" s="35" t="s">
        <v>11158</v>
      </c>
      <c r="CV30" s="35" t="s">
        <v>450</v>
      </c>
      <c r="CW30" s="35" t="s">
        <v>451</v>
      </c>
      <c r="CX30" s="35" t="s">
        <v>2266</v>
      </c>
      <c r="CY30" s="35" t="s">
        <v>408</v>
      </c>
      <c r="DA30" s="35" t="s">
        <v>453</v>
      </c>
      <c r="DB30" s="35" t="s">
        <v>2267</v>
      </c>
      <c r="DC30" s="35" t="s">
        <v>408</v>
      </c>
      <c r="DE30" s="35" t="s">
        <v>662</v>
      </c>
      <c r="DG30" s="35" t="s">
        <v>2268</v>
      </c>
      <c r="DH30" s="35" t="s">
        <v>561</v>
      </c>
      <c r="DI30" s="35" t="s">
        <v>410</v>
      </c>
      <c r="DJ30" s="35" t="s">
        <v>459</v>
      </c>
      <c r="DK30" s="35" t="s">
        <v>562</v>
      </c>
      <c r="DL30" s="35" t="s">
        <v>461</v>
      </c>
      <c r="EU30" s="35" t="s">
        <v>526</v>
      </c>
      <c r="EV30" s="35" t="s">
        <v>1037</v>
      </c>
      <c r="EW30" s="35" t="s">
        <v>580</v>
      </c>
      <c r="EX30" s="35" t="s">
        <v>2269</v>
      </c>
      <c r="EY30" s="35" t="s">
        <v>2270</v>
      </c>
      <c r="EZ30" s="35" t="s">
        <v>2271</v>
      </c>
      <c r="FP30" s="35" t="s">
        <v>485</v>
      </c>
      <c r="FQ30" s="35" t="s">
        <v>418</v>
      </c>
      <c r="FR30" s="35" t="s">
        <v>712</v>
      </c>
      <c r="FS30" s="35" t="s">
        <v>2272</v>
      </c>
      <c r="FT30" s="35" t="s">
        <v>1189</v>
      </c>
      <c r="FU30" s="35" t="s">
        <v>488</v>
      </c>
      <c r="FV30" s="35" t="s">
        <v>489</v>
      </c>
      <c r="FW30" s="35" t="s">
        <v>490</v>
      </c>
      <c r="FX30" s="35" t="s">
        <v>491</v>
      </c>
      <c r="FY30" s="35" t="s">
        <v>2273</v>
      </c>
      <c r="FZ30" s="35" t="s">
        <v>535</v>
      </c>
      <c r="GA30" s="35" t="s">
        <v>2274</v>
      </c>
      <c r="GB30" s="35" t="s">
        <v>2275</v>
      </c>
      <c r="GC30" s="35" t="s">
        <v>455</v>
      </c>
      <c r="GD30" s="35" t="s">
        <v>11159</v>
      </c>
      <c r="GF30" s="35" t="s">
        <v>1339</v>
      </c>
      <c r="GG30" s="35" t="s">
        <v>2276</v>
      </c>
      <c r="GH30" s="35" t="s">
        <v>857</v>
      </c>
      <c r="GI30" s="35" t="s">
        <v>857</v>
      </c>
      <c r="GJ30" s="35" t="s">
        <v>790</v>
      </c>
    </row>
    <row r="31">
      <c r="A31" s="40"/>
      <c r="B31" s="40">
        <v>45828.025735347226</v>
      </c>
      <c r="C31" s="35" t="s">
        <v>368</v>
      </c>
      <c r="D31" s="35" t="s">
        <v>1201</v>
      </c>
      <c r="E31" s="35" t="s">
        <v>1201</v>
      </c>
      <c r="F31" s="35" t="s">
        <v>1023</v>
      </c>
      <c r="X31" s="35" t="s">
        <v>760</v>
      </c>
      <c r="Y31" s="35" t="s">
        <v>387</v>
      </c>
      <c r="Z31" s="35" t="s">
        <v>1595</v>
      </c>
      <c r="AA31" s="35" t="s">
        <v>543</v>
      </c>
      <c r="AB31" s="35" t="s">
        <v>2313</v>
      </c>
      <c r="AC31" s="35" t="s">
        <v>2314</v>
      </c>
      <c r="BO31" s="35" t="s">
        <v>513</v>
      </c>
      <c r="CM31" s="35" t="s">
        <v>550</v>
      </c>
      <c r="CN31" s="35" t="s">
        <v>604</v>
      </c>
      <c r="CO31" s="35" t="s">
        <v>2315</v>
      </c>
      <c r="CP31" s="35" t="s">
        <v>2316</v>
      </c>
      <c r="CQ31" s="35" t="s">
        <v>685</v>
      </c>
      <c r="CR31" s="35" t="s">
        <v>2317</v>
      </c>
      <c r="CS31" s="35" t="s">
        <v>804</v>
      </c>
      <c r="CT31" s="35" t="s">
        <v>2318</v>
      </c>
      <c r="CU31" s="35" t="s">
        <v>2319</v>
      </c>
      <c r="CV31" s="35" t="s">
        <v>450</v>
      </c>
      <c r="CW31" s="35" t="s">
        <v>451</v>
      </c>
      <c r="CX31" s="35" t="s">
        <v>2320</v>
      </c>
      <c r="CY31" s="35" t="s">
        <v>455</v>
      </c>
      <c r="CZ31" s="35" t="s">
        <v>2321</v>
      </c>
      <c r="DA31" s="35" t="s">
        <v>453</v>
      </c>
      <c r="DB31" s="35" t="s">
        <v>2322</v>
      </c>
      <c r="DC31" s="35" t="s">
        <v>455</v>
      </c>
      <c r="DD31" s="35" t="s">
        <v>2323</v>
      </c>
      <c r="DE31" s="35" t="s">
        <v>662</v>
      </c>
      <c r="DF31" s="35" t="s">
        <v>407</v>
      </c>
      <c r="DG31" s="35" t="s">
        <v>2324</v>
      </c>
      <c r="DH31" s="35" t="s">
        <v>561</v>
      </c>
      <c r="DI31" s="35" t="s">
        <v>410</v>
      </c>
      <c r="DJ31" s="35" t="s">
        <v>459</v>
      </c>
      <c r="DK31" s="35" t="s">
        <v>562</v>
      </c>
      <c r="DL31" s="35" t="s">
        <v>563</v>
      </c>
      <c r="DM31" s="35" t="s">
        <v>2325</v>
      </c>
      <c r="EU31" s="35" t="s">
        <v>478</v>
      </c>
      <c r="EV31" s="35" t="s">
        <v>579</v>
      </c>
      <c r="EW31" s="35" t="s">
        <v>527</v>
      </c>
      <c r="EX31" s="35" t="s">
        <v>2326</v>
      </c>
      <c r="EY31" s="35" t="s">
        <v>11160</v>
      </c>
      <c r="EZ31" s="35" t="s">
        <v>11161</v>
      </c>
      <c r="FA31" s="35" t="s">
        <v>415</v>
      </c>
      <c r="FB31" s="35" t="s">
        <v>414</v>
      </c>
      <c r="FC31" s="35" t="s">
        <v>414</v>
      </c>
      <c r="FD31" s="35" t="s">
        <v>414</v>
      </c>
      <c r="FE31" s="35" t="s">
        <v>413</v>
      </c>
      <c r="FF31" s="35" t="s">
        <v>414</v>
      </c>
      <c r="FG31" s="35" t="s">
        <v>414</v>
      </c>
      <c r="FH31" s="35" t="s">
        <v>413</v>
      </c>
      <c r="FI31" s="35" t="s">
        <v>583</v>
      </c>
      <c r="FJ31" s="35" t="s">
        <v>416</v>
      </c>
      <c r="FK31" s="35" t="s">
        <v>415</v>
      </c>
      <c r="FL31" s="35" t="s">
        <v>413</v>
      </c>
      <c r="FM31" s="35" t="s">
        <v>415</v>
      </c>
      <c r="FN31" s="35" t="s">
        <v>413</v>
      </c>
      <c r="FO31" s="35" t="s">
        <v>583</v>
      </c>
      <c r="FP31" s="35" t="s">
        <v>485</v>
      </c>
      <c r="FQ31" s="35" t="s">
        <v>418</v>
      </c>
      <c r="FR31" s="35" t="s">
        <v>749</v>
      </c>
      <c r="FS31" s="35" t="s">
        <v>2329</v>
      </c>
      <c r="FT31" s="35" t="s">
        <v>1076</v>
      </c>
      <c r="FU31" s="35" t="s">
        <v>488</v>
      </c>
      <c r="FV31" s="35" t="s">
        <v>585</v>
      </c>
      <c r="FW31" s="35" t="s">
        <v>490</v>
      </c>
      <c r="FX31" s="35" t="s">
        <v>491</v>
      </c>
      <c r="FY31" s="35" t="s">
        <v>2330</v>
      </c>
      <c r="FZ31" s="35" t="s">
        <v>493</v>
      </c>
      <c r="GA31" s="35" t="s">
        <v>2331</v>
      </c>
      <c r="GB31" s="35" t="s">
        <v>2332</v>
      </c>
      <c r="GC31" s="35" t="s">
        <v>455</v>
      </c>
      <c r="GE31" s="35" t="s">
        <v>2333</v>
      </c>
      <c r="GF31" s="35" t="s">
        <v>753</v>
      </c>
      <c r="GG31" s="35" t="s">
        <v>2334</v>
      </c>
      <c r="GH31" s="35" t="s">
        <v>1000</v>
      </c>
      <c r="GI31" s="35" t="s">
        <v>920</v>
      </c>
      <c r="GJ31" s="35" t="s">
        <v>858</v>
      </c>
    </row>
    <row r="32">
      <c r="A32" s="40"/>
      <c r="B32" s="40">
        <v>45828.06036765046</v>
      </c>
      <c r="C32" s="35" t="s">
        <v>368</v>
      </c>
      <c r="D32" s="35" t="s">
        <v>370</v>
      </c>
      <c r="F32" s="35" t="s">
        <v>2359</v>
      </c>
      <c r="H32" s="35" t="s">
        <v>422</v>
      </c>
      <c r="I32" s="35" t="s">
        <v>373</v>
      </c>
      <c r="J32" s="35" t="s">
        <v>638</v>
      </c>
      <c r="K32" s="35" t="s">
        <v>375</v>
      </c>
      <c r="L32" s="35" t="s">
        <v>376</v>
      </c>
      <c r="M32" s="35" t="s">
        <v>591</v>
      </c>
      <c r="N32" s="35" t="s">
        <v>378</v>
      </c>
      <c r="O32" s="35" t="s">
        <v>793</v>
      </c>
      <c r="P32" s="35" t="s">
        <v>719</v>
      </c>
      <c r="Q32" s="35" t="s">
        <v>498</v>
      </c>
      <c r="R32" s="35" t="s">
        <v>382</v>
      </c>
      <c r="S32" s="35" t="s">
        <v>2360</v>
      </c>
      <c r="T32" s="35" t="s">
        <v>2361</v>
      </c>
      <c r="U32" s="35" t="s">
        <v>385</v>
      </c>
      <c r="X32" s="35" t="s">
        <v>428</v>
      </c>
      <c r="AW32" s="35" t="s">
        <v>504</v>
      </c>
      <c r="AX32" s="35" t="s">
        <v>429</v>
      </c>
      <c r="AY32" s="35" t="s">
        <v>429</v>
      </c>
      <c r="AZ32" s="35" t="s">
        <v>429</v>
      </c>
      <c r="BA32" s="41">
        <v>2.0</v>
      </c>
      <c r="BB32" s="35" t="s">
        <v>429</v>
      </c>
      <c r="BC32" s="41">
        <v>2.0</v>
      </c>
      <c r="BD32" s="35" t="s">
        <v>2362</v>
      </c>
      <c r="BE32" s="35" t="s">
        <v>2363</v>
      </c>
      <c r="BF32" s="35" t="s">
        <v>432</v>
      </c>
      <c r="BG32" s="35" t="s">
        <v>433</v>
      </c>
      <c r="BH32" s="35" t="s">
        <v>434</v>
      </c>
      <c r="BI32" s="35" t="s">
        <v>2364</v>
      </c>
      <c r="BJ32" s="35" t="s">
        <v>509</v>
      </c>
      <c r="BK32" s="35" t="s">
        <v>2365</v>
      </c>
      <c r="BL32" s="35" t="s">
        <v>602</v>
      </c>
      <c r="BM32" s="35" t="s">
        <v>438</v>
      </c>
      <c r="BN32" s="35" t="s">
        <v>439</v>
      </c>
      <c r="BO32" s="35" t="s">
        <v>513</v>
      </c>
      <c r="CM32" s="35" t="s">
        <v>441</v>
      </c>
      <c r="CN32" s="35" t="s">
        <v>604</v>
      </c>
      <c r="CO32" s="35" t="s">
        <v>2366</v>
      </c>
      <c r="CP32" s="35" t="s">
        <v>2367</v>
      </c>
      <c r="CQ32" s="35" t="s">
        <v>403</v>
      </c>
      <c r="CR32" s="35" t="s">
        <v>956</v>
      </c>
      <c r="CS32" s="35" t="s">
        <v>804</v>
      </c>
      <c r="CT32" s="35" t="s">
        <v>2368</v>
      </c>
      <c r="CU32" s="35" t="s">
        <v>2369</v>
      </c>
      <c r="CV32" s="35" t="s">
        <v>450</v>
      </c>
      <c r="CW32" s="35" t="s">
        <v>451</v>
      </c>
      <c r="CX32" s="35" t="s">
        <v>11162</v>
      </c>
      <c r="CY32" s="35" t="s">
        <v>408</v>
      </c>
      <c r="DA32" s="35" t="s">
        <v>453</v>
      </c>
      <c r="DB32" s="35" t="s">
        <v>2371</v>
      </c>
      <c r="DC32" s="35" t="s">
        <v>455</v>
      </c>
      <c r="DD32" s="35" t="s">
        <v>2372</v>
      </c>
      <c r="DE32" s="35" t="s">
        <v>988</v>
      </c>
      <c r="DG32" s="35" t="s">
        <v>2373</v>
      </c>
      <c r="DH32" s="35" t="s">
        <v>524</v>
      </c>
      <c r="DI32" s="35" t="s">
        <v>1220</v>
      </c>
      <c r="DJ32" s="35" t="s">
        <v>459</v>
      </c>
      <c r="DK32" s="35" t="s">
        <v>460</v>
      </c>
      <c r="DL32" s="35" t="s">
        <v>461</v>
      </c>
      <c r="EU32" s="35" t="s">
        <v>478</v>
      </c>
      <c r="EV32" s="35" t="s">
        <v>479</v>
      </c>
      <c r="EW32" s="35" t="s">
        <v>480</v>
      </c>
      <c r="FA32" s="35" t="s">
        <v>414</v>
      </c>
      <c r="FB32" s="35" t="s">
        <v>414</v>
      </c>
      <c r="FC32" s="35" t="s">
        <v>414</v>
      </c>
      <c r="FD32" s="35" t="s">
        <v>414</v>
      </c>
      <c r="FE32" s="35" t="s">
        <v>484</v>
      </c>
      <c r="FF32" s="35" t="s">
        <v>414</v>
      </c>
      <c r="FG32" s="35" t="s">
        <v>484</v>
      </c>
      <c r="FH32" s="35" t="s">
        <v>484</v>
      </c>
      <c r="FI32" s="35" t="s">
        <v>414</v>
      </c>
      <c r="FJ32" s="35" t="s">
        <v>414</v>
      </c>
      <c r="FK32" s="35" t="s">
        <v>484</v>
      </c>
      <c r="FL32" s="35" t="s">
        <v>484</v>
      </c>
      <c r="FM32" s="35" t="s">
        <v>484</v>
      </c>
      <c r="FN32" s="35" t="s">
        <v>416</v>
      </c>
      <c r="FO32" s="35" t="s">
        <v>583</v>
      </c>
      <c r="FP32" s="35" t="s">
        <v>417</v>
      </c>
      <c r="FQ32" s="35" t="s">
        <v>418</v>
      </c>
      <c r="FR32" s="35" t="s">
        <v>712</v>
      </c>
      <c r="FT32" s="35" t="s">
        <v>420</v>
      </c>
      <c r="FU32" s="35" t="s">
        <v>488</v>
      </c>
      <c r="FV32" s="35" t="s">
        <v>489</v>
      </c>
      <c r="FW32" s="35" t="s">
        <v>490</v>
      </c>
      <c r="FX32" s="35" t="s">
        <v>491</v>
      </c>
      <c r="FZ32" s="35" t="s">
        <v>535</v>
      </c>
      <c r="GC32" s="35" t="s">
        <v>455</v>
      </c>
      <c r="GE32" s="35" t="s">
        <v>2374</v>
      </c>
      <c r="GF32" s="35" t="s">
        <v>1339</v>
      </c>
      <c r="GG32" s="35" t="s">
        <v>2375</v>
      </c>
      <c r="GH32" s="35" t="s">
        <v>857</v>
      </c>
      <c r="GI32" s="35" t="s">
        <v>857</v>
      </c>
      <c r="GJ32" s="35" t="s">
        <v>946</v>
      </c>
    </row>
    <row r="33">
      <c r="A33" s="40"/>
      <c r="B33" s="40">
        <v>45828.06330849537</v>
      </c>
      <c r="C33" s="35" t="s">
        <v>368</v>
      </c>
      <c r="D33" s="35" t="s">
        <v>370</v>
      </c>
      <c r="F33" s="35" t="s">
        <v>2376</v>
      </c>
      <c r="H33" s="35" t="s">
        <v>422</v>
      </c>
      <c r="I33" s="35" t="s">
        <v>423</v>
      </c>
      <c r="J33" s="35" t="s">
        <v>424</v>
      </c>
      <c r="K33" s="35" t="s">
        <v>425</v>
      </c>
      <c r="L33" s="35" t="s">
        <v>376</v>
      </c>
      <c r="M33" s="35" t="s">
        <v>591</v>
      </c>
      <c r="N33" s="35" t="s">
        <v>719</v>
      </c>
      <c r="O33" s="35" t="s">
        <v>426</v>
      </c>
      <c r="P33" s="35" t="s">
        <v>497</v>
      </c>
      <c r="Q33" s="35" t="s">
        <v>381</v>
      </c>
      <c r="R33" s="35" t="s">
        <v>862</v>
      </c>
      <c r="S33" s="35" t="s">
        <v>949</v>
      </c>
      <c r="T33" s="35" t="s">
        <v>384</v>
      </c>
      <c r="U33" s="35" t="s">
        <v>385</v>
      </c>
      <c r="X33" s="35" t="s">
        <v>428</v>
      </c>
      <c r="AW33" s="35" t="s">
        <v>597</v>
      </c>
      <c r="AX33" s="35" t="s">
        <v>675</v>
      </c>
      <c r="AY33" s="41">
        <v>4.0</v>
      </c>
      <c r="AZ33" s="41">
        <v>4.0</v>
      </c>
      <c r="BA33" s="35" t="s">
        <v>391</v>
      </c>
      <c r="BB33" s="41">
        <v>4.0</v>
      </c>
      <c r="BC33" s="35" t="s">
        <v>391</v>
      </c>
      <c r="BD33" s="35" t="s">
        <v>2377</v>
      </c>
      <c r="BE33" s="35" t="s">
        <v>2378</v>
      </c>
      <c r="BF33" s="35" t="s">
        <v>2379</v>
      </c>
      <c r="BG33" s="35" t="s">
        <v>1095</v>
      </c>
      <c r="BH33" s="35" t="s">
        <v>725</v>
      </c>
      <c r="BI33" s="35" t="s">
        <v>2380</v>
      </c>
      <c r="BJ33" s="35" t="s">
        <v>976</v>
      </c>
      <c r="BK33" s="35" t="s">
        <v>1211</v>
      </c>
      <c r="BL33" s="35" t="s">
        <v>437</v>
      </c>
      <c r="BM33" s="35" t="s">
        <v>904</v>
      </c>
      <c r="BN33" s="35" t="s">
        <v>397</v>
      </c>
      <c r="BO33" s="35" t="s">
        <v>513</v>
      </c>
      <c r="CM33" s="35" t="s">
        <v>441</v>
      </c>
      <c r="CN33" s="35" t="s">
        <v>604</v>
      </c>
      <c r="CO33" s="35" t="s">
        <v>2381</v>
      </c>
      <c r="CP33" s="35" t="s">
        <v>2382</v>
      </c>
      <c r="CQ33" s="35" t="s">
        <v>1008</v>
      </c>
      <c r="CR33" s="35" t="s">
        <v>2383</v>
      </c>
      <c r="CS33" s="35" t="s">
        <v>404</v>
      </c>
      <c r="CT33" s="35" t="s">
        <v>1137</v>
      </c>
      <c r="CU33" s="35" t="s">
        <v>2384</v>
      </c>
      <c r="CV33" s="35" t="s">
        <v>982</v>
      </c>
      <c r="CW33" s="35" t="s">
        <v>409</v>
      </c>
      <c r="CX33" s="35" t="s">
        <v>11163</v>
      </c>
      <c r="CY33" s="35" t="s">
        <v>408</v>
      </c>
      <c r="CZ33" s="35" t="s">
        <v>1211</v>
      </c>
      <c r="DA33" s="35" t="s">
        <v>1962</v>
      </c>
      <c r="DB33" s="35" t="s">
        <v>1211</v>
      </c>
      <c r="DC33" s="35" t="s">
        <v>408</v>
      </c>
      <c r="DD33" s="35" t="s">
        <v>1211</v>
      </c>
      <c r="DE33" s="35" t="s">
        <v>988</v>
      </c>
      <c r="DF33" s="35" t="s">
        <v>1058</v>
      </c>
      <c r="DG33" s="35" t="s">
        <v>1211</v>
      </c>
      <c r="DH33" s="35" t="s">
        <v>524</v>
      </c>
      <c r="DI33" s="35" t="s">
        <v>833</v>
      </c>
      <c r="DJ33" s="35" t="s">
        <v>459</v>
      </c>
      <c r="DK33" s="35" t="s">
        <v>460</v>
      </c>
      <c r="DL33" s="35" t="s">
        <v>461</v>
      </c>
      <c r="EU33" s="35" t="s">
        <v>578</v>
      </c>
      <c r="EV33" s="35" t="s">
        <v>479</v>
      </c>
      <c r="EW33" s="35" t="s">
        <v>480</v>
      </c>
      <c r="FA33" s="35" t="s">
        <v>414</v>
      </c>
      <c r="FB33" s="35" t="s">
        <v>414</v>
      </c>
      <c r="FC33" s="35" t="s">
        <v>413</v>
      </c>
      <c r="FD33" s="35" t="s">
        <v>413</v>
      </c>
      <c r="FE33" s="35" t="s">
        <v>413</v>
      </c>
      <c r="FF33" s="35" t="s">
        <v>583</v>
      </c>
      <c r="FG33" s="35" t="s">
        <v>413</v>
      </c>
      <c r="FH33" s="35" t="s">
        <v>413</v>
      </c>
      <c r="FI33" s="35" t="s">
        <v>413</v>
      </c>
      <c r="FJ33" s="35" t="s">
        <v>414</v>
      </c>
      <c r="FK33" s="35" t="s">
        <v>414</v>
      </c>
      <c r="FL33" s="35" t="s">
        <v>415</v>
      </c>
      <c r="FM33" s="35" t="s">
        <v>415</v>
      </c>
      <c r="FN33" s="35" t="s">
        <v>415</v>
      </c>
      <c r="FO33" s="35" t="s">
        <v>415</v>
      </c>
      <c r="FP33" s="35" t="s">
        <v>1074</v>
      </c>
      <c r="FQ33" s="35" t="s">
        <v>486</v>
      </c>
      <c r="FR33" s="35" t="s">
        <v>419</v>
      </c>
      <c r="FS33" s="35" t="s">
        <v>2386</v>
      </c>
      <c r="FT33" s="35" t="s">
        <v>420</v>
      </c>
      <c r="FU33" s="35" t="s">
        <v>1462</v>
      </c>
      <c r="FV33" s="35" t="s">
        <v>533</v>
      </c>
      <c r="FW33" s="35" t="s">
        <v>2387</v>
      </c>
      <c r="FX33" s="35" t="s">
        <v>1853</v>
      </c>
      <c r="FZ33" s="35" t="s">
        <v>1020</v>
      </c>
      <c r="GC33" s="35" t="s">
        <v>408</v>
      </c>
      <c r="GH33" s="35" t="s">
        <v>755</v>
      </c>
      <c r="GI33" s="35" t="s">
        <v>755</v>
      </c>
      <c r="GJ33" s="35" t="s">
        <v>817</v>
      </c>
    </row>
    <row r="34">
      <c r="A34" s="40"/>
      <c r="B34" s="40">
        <v>45828.12018145833</v>
      </c>
      <c r="C34" s="35" t="s">
        <v>368</v>
      </c>
      <c r="D34" s="35" t="s">
        <v>370</v>
      </c>
      <c r="F34" s="35" t="s">
        <v>2388</v>
      </c>
      <c r="H34" s="35" t="s">
        <v>422</v>
      </c>
      <c r="I34" s="35" t="s">
        <v>637</v>
      </c>
      <c r="J34" s="35" t="s">
        <v>374</v>
      </c>
      <c r="K34" s="35" t="s">
        <v>718</v>
      </c>
      <c r="L34" s="35" t="s">
        <v>376</v>
      </c>
      <c r="M34" s="35" t="s">
        <v>591</v>
      </c>
      <c r="N34" s="35" t="s">
        <v>719</v>
      </c>
      <c r="O34" s="35" t="s">
        <v>793</v>
      </c>
      <c r="P34" s="35" t="s">
        <v>719</v>
      </c>
      <c r="Q34" s="35" t="s">
        <v>592</v>
      </c>
      <c r="R34" s="35" t="s">
        <v>1156</v>
      </c>
      <c r="S34" s="35" t="s">
        <v>427</v>
      </c>
      <c r="T34" s="35" t="s">
        <v>384</v>
      </c>
      <c r="U34" s="35" t="s">
        <v>385</v>
      </c>
      <c r="X34" s="35" t="s">
        <v>593</v>
      </c>
      <c r="Y34" s="35" t="s">
        <v>387</v>
      </c>
      <c r="Z34" s="35" t="s">
        <v>897</v>
      </c>
      <c r="AA34" s="35" t="s">
        <v>672</v>
      </c>
      <c r="AC34" s="35" t="s">
        <v>11164</v>
      </c>
      <c r="AW34" s="35" t="s">
        <v>1310</v>
      </c>
      <c r="AX34" s="41">
        <v>4.0</v>
      </c>
      <c r="AY34" s="41">
        <v>4.0</v>
      </c>
      <c r="AZ34" s="35" t="s">
        <v>675</v>
      </c>
      <c r="BA34" s="41">
        <v>4.0</v>
      </c>
      <c r="BB34" s="35" t="s">
        <v>429</v>
      </c>
      <c r="BC34" s="35" t="s">
        <v>391</v>
      </c>
      <c r="BF34" s="35" t="s">
        <v>2379</v>
      </c>
      <c r="BG34" s="35" t="s">
        <v>393</v>
      </c>
      <c r="BH34" s="35" t="s">
        <v>434</v>
      </c>
      <c r="BL34" s="35" t="s">
        <v>681</v>
      </c>
      <c r="BN34" s="35" t="s">
        <v>1247</v>
      </c>
      <c r="BO34" s="35" t="s">
        <v>513</v>
      </c>
      <c r="CM34" s="35" t="s">
        <v>550</v>
      </c>
      <c r="CN34" s="35" t="s">
        <v>401</v>
      </c>
      <c r="CO34" s="35" t="s">
        <v>2390</v>
      </c>
      <c r="CP34" s="35" t="s">
        <v>408</v>
      </c>
      <c r="CQ34" s="35" t="s">
        <v>685</v>
      </c>
      <c r="CR34" s="35" t="s">
        <v>2391</v>
      </c>
      <c r="CS34" s="35" t="s">
        <v>804</v>
      </c>
      <c r="CT34" s="35" t="s">
        <v>2392</v>
      </c>
      <c r="CV34" s="35" t="s">
        <v>1961</v>
      </c>
      <c r="CW34" s="35" t="s">
        <v>2393</v>
      </c>
      <c r="CY34" s="35" t="s">
        <v>455</v>
      </c>
      <c r="CZ34" s="35" t="s">
        <v>2394</v>
      </c>
      <c r="DA34" s="35" t="s">
        <v>1962</v>
      </c>
      <c r="DC34" s="35" t="s">
        <v>455</v>
      </c>
      <c r="DD34" s="35" t="s">
        <v>11165</v>
      </c>
      <c r="DE34" s="35" t="s">
        <v>662</v>
      </c>
      <c r="DH34" s="35" t="s">
        <v>990</v>
      </c>
      <c r="DI34" s="35" t="s">
        <v>833</v>
      </c>
      <c r="DJ34" s="35" t="s">
        <v>459</v>
      </c>
      <c r="DK34" s="35" t="s">
        <v>613</v>
      </c>
      <c r="EU34" s="35" t="s">
        <v>578</v>
      </c>
      <c r="EV34" s="35" t="s">
        <v>479</v>
      </c>
      <c r="EW34" s="35" t="s">
        <v>480</v>
      </c>
      <c r="EY34" s="35" t="s">
        <v>2396</v>
      </c>
      <c r="EZ34" s="35" t="s">
        <v>2397</v>
      </c>
      <c r="FA34" s="35" t="s">
        <v>583</v>
      </c>
      <c r="FB34" s="35" t="s">
        <v>583</v>
      </c>
      <c r="FC34" s="35" t="s">
        <v>583</v>
      </c>
      <c r="FD34" s="35" t="s">
        <v>583</v>
      </c>
      <c r="FE34" s="35" t="s">
        <v>414</v>
      </c>
      <c r="FF34" s="35" t="s">
        <v>583</v>
      </c>
      <c r="FG34" s="35" t="s">
        <v>583</v>
      </c>
      <c r="FH34" s="35" t="s">
        <v>415</v>
      </c>
      <c r="FI34" s="35" t="s">
        <v>583</v>
      </c>
      <c r="FJ34" s="35" t="s">
        <v>583</v>
      </c>
      <c r="FK34" s="35" t="s">
        <v>583</v>
      </c>
      <c r="FL34" s="35" t="s">
        <v>583</v>
      </c>
      <c r="FM34" s="35" t="s">
        <v>583</v>
      </c>
      <c r="FN34" s="35" t="s">
        <v>413</v>
      </c>
      <c r="FO34" s="35" t="s">
        <v>583</v>
      </c>
      <c r="FP34" s="35" t="s">
        <v>1537</v>
      </c>
      <c r="FQ34" s="35" t="s">
        <v>1200</v>
      </c>
      <c r="FR34" s="35" t="s">
        <v>630</v>
      </c>
      <c r="FT34" s="35" t="s">
        <v>1871</v>
      </c>
      <c r="FU34" s="35" t="s">
        <v>2398</v>
      </c>
      <c r="FV34" s="35" t="s">
        <v>533</v>
      </c>
      <c r="FW34" s="35" t="s">
        <v>2399</v>
      </c>
      <c r="FX34" s="35" t="s">
        <v>1853</v>
      </c>
      <c r="FZ34" s="35" t="s">
        <v>1020</v>
      </c>
      <c r="GC34" s="35" t="s">
        <v>408</v>
      </c>
      <c r="GH34" s="35" t="s">
        <v>755</v>
      </c>
      <c r="GI34" s="35" t="s">
        <v>755</v>
      </c>
      <c r="GJ34" s="35" t="s">
        <v>756</v>
      </c>
    </row>
    <row r="35">
      <c r="A35" s="40"/>
      <c r="B35" s="40">
        <v>45828.22725708333</v>
      </c>
      <c r="C35" s="35" t="s">
        <v>368</v>
      </c>
      <c r="D35" s="35" t="s">
        <v>538</v>
      </c>
      <c r="E35" s="35" t="s">
        <v>538</v>
      </c>
      <c r="H35" s="35" t="s">
        <v>422</v>
      </c>
      <c r="I35" s="35" t="s">
        <v>539</v>
      </c>
      <c r="J35" s="35" t="s">
        <v>424</v>
      </c>
      <c r="K35" s="35" t="s">
        <v>540</v>
      </c>
      <c r="L35" s="35" t="s">
        <v>376</v>
      </c>
      <c r="M35" s="35" t="s">
        <v>426</v>
      </c>
      <c r="N35" s="35" t="s">
        <v>2464</v>
      </c>
      <c r="O35" s="35" t="s">
        <v>426</v>
      </c>
      <c r="P35" s="35" t="s">
        <v>2465</v>
      </c>
      <c r="Q35" s="35" t="s">
        <v>592</v>
      </c>
      <c r="R35" s="35" t="s">
        <v>1156</v>
      </c>
      <c r="S35" s="35" t="s">
        <v>427</v>
      </c>
      <c r="T35" s="35" t="s">
        <v>384</v>
      </c>
      <c r="U35" s="35" t="s">
        <v>385</v>
      </c>
      <c r="X35" s="35" t="s">
        <v>428</v>
      </c>
      <c r="AW35" s="35" t="s">
        <v>1310</v>
      </c>
      <c r="AX35" s="35" t="s">
        <v>391</v>
      </c>
      <c r="AY35" s="35" t="s">
        <v>391</v>
      </c>
      <c r="AZ35" s="35" t="s">
        <v>429</v>
      </c>
      <c r="BA35" s="41">
        <v>2.0</v>
      </c>
      <c r="BB35" s="41">
        <v>4.0</v>
      </c>
      <c r="BC35" s="41">
        <v>4.0</v>
      </c>
      <c r="BD35" s="35" t="s">
        <v>11166</v>
      </c>
      <c r="BE35" s="35" t="s">
        <v>2467</v>
      </c>
      <c r="BF35" s="35" t="s">
        <v>432</v>
      </c>
      <c r="BG35" s="35" t="s">
        <v>393</v>
      </c>
      <c r="BH35" s="35" t="s">
        <v>725</v>
      </c>
      <c r="BJ35" s="35" t="s">
        <v>435</v>
      </c>
      <c r="BL35" s="35" t="s">
        <v>602</v>
      </c>
      <c r="BM35" s="35" t="s">
        <v>904</v>
      </c>
      <c r="BN35" s="35" t="s">
        <v>1247</v>
      </c>
      <c r="BO35" s="35" t="s">
        <v>513</v>
      </c>
      <c r="CM35" s="35" t="s">
        <v>550</v>
      </c>
      <c r="CN35" s="35" t="s">
        <v>604</v>
      </c>
      <c r="CO35" s="35" t="s">
        <v>2468</v>
      </c>
      <c r="CP35" s="35" t="s">
        <v>2469</v>
      </c>
      <c r="CQ35" s="35" t="s">
        <v>685</v>
      </c>
      <c r="CR35" s="35" t="s">
        <v>2470</v>
      </c>
      <c r="CS35" s="35" t="s">
        <v>804</v>
      </c>
      <c r="CT35" s="35" t="s">
        <v>2471</v>
      </c>
      <c r="CU35" s="35" t="s">
        <v>11167</v>
      </c>
      <c r="CV35" s="35" t="s">
        <v>450</v>
      </c>
      <c r="CW35" s="35" t="s">
        <v>409</v>
      </c>
      <c r="CX35" s="35" t="s">
        <v>10858</v>
      </c>
      <c r="CY35" s="35" t="s">
        <v>455</v>
      </c>
      <c r="CZ35" s="35" t="s">
        <v>2474</v>
      </c>
      <c r="DA35" s="35" t="s">
        <v>1398</v>
      </c>
      <c r="DB35" s="35" t="s">
        <v>2475</v>
      </c>
      <c r="DC35" s="35" t="s">
        <v>455</v>
      </c>
      <c r="DD35" s="35" t="s">
        <v>2476</v>
      </c>
      <c r="DE35" s="35" t="s">
        <v>457</v>
      </c>
      <c r="DG35" s="35" t="s">
        <v>11168</v>
      </c>
      <c r="DH35" s="35" t="s">
        <v>776</v>
      </c>
      <c r="DI35" s="35" t="s">
        <v>410</v>
      </c>
      <c r="DJ35" s="35" t="s">
        <v>459</v>
      </c>
      <c r="DK35" s="35" t="s">
        <v>460</v>
      </c>
      <c r="DL35" s="35" t="s">
        <v>563</v>
      </c>
      <c r="DM35" s="35" t="s">
        <v>2478</v>
      </c>
      <c r="EU35" s="35" t="s">
        <v>478</v>
      </c>
      <c r="EV35" s="35" t="s">
        <v>579</v>
      </c>
      <c r="EW35" s="35" t="s">
        <v>480</v>
      </c>
      <c r="EZ35" s="35" t="s">
        <v>2479</v>
      </c>
      <c r="FA35" s="35" t="s">
        <v>583</v>
      </c>
      <c r="FB35" s="35" t="s">
        <v>583</v>
      </c>
      <c r="FC35" s="35" t="s">
        <v>413</v>
      </c>
      <c r="FD35" s="35" t="s">
        <v>583</v>
      </c>
      <c r="FE35" s="35" t="s">
        <v>416</v>
      </c>
      <c r="FF35" s="35" t="s">
        <v>583</v>
      </c>
      <c r="FG35" s="35" t="s">
        <v>583</v>
      </c>
      <c r="FH35" s="35" t="s">
        <v>414</v>
      </c>
      <c r="FI35" s="35" t="s">
        <v>484</v>
      </c>
      <c r="FJ35" s="35" t="s">
        <v>413</v>
      </c>
      <c r="FK35" s="35" t="s">
        <v>583</v>
      </c>
      <c r="FL35" s="35" t="s">
        <v>416</v>
      </c>
      <c r="FM35" s="35" t="s">
        <v>416</v>
      </c>
      <c r="FN35" s="35" t="s">
        <v>413</v>
      </c>
      <c r="FO35" s="35" t="s">
        <v>583</v>
      </c>
      <c r="FP35" s="35" t="s">
        <v>1537</v>
      </c>
      <c r="FQ35" s="35" t="s">
        <v>418</v>
      </c>
      <c r="FR35" s="35" t="s">
        <v>630</v>
      </c>
      <c r="FS35" s="35" t="s">
        <v>2022</v>
      </c>
      <c r="FT35" s="35" t="s">
        <v>1871</v>
      </c>
      <c r="FU35" s="35" t="s">
        <v>1462</v>
      </c>
      <c r="FV35" s="35" t="s">
        <v>585</v>
      </c>
      <c r="FW35" s="35" t="s">
        <v>2136</v>
      </c>
      <c r="FX35" s="35" t="s">
        <v>1853</v>
      </c>
      <c r="FY35" s="35" t="s">
        <v>2480</v>
      </c>
      <c r="FZ35" s="35" t="s">
        <v>1854</v>
      </c>
      <c r="GA35" s="35" t="s">
        <v>2481</v>
      </c>
      <c r="GC35" s="35" t="s">
        <v>455</v>
      </c>
      <c r="GD35" s="35" t="s">
        <v>11169</v>
      </c>
      <c r="GF35" s="35" t="s">
        <v>753</v>
      </c>
      <c r="GG35" s="35" t="s">
        <v>455</v>
      </c>
      <c r="GH35" s="35" t="s">
        <v>755</v>
      </c>
      <c r="GI35" s="35" t="s">
        <v>755</v>
      </c>
      <c r="GJ35" s="35" t="s">
        <v>946</v>
      </c>
      <c r="GO35" s="35" t="s">
        <v>2293</v>
      </c>
      <c r="GP35" s="35" t="s">
        <v>2293</v>
      </c>
    </row>
    <row r="36">
      <c r="A36" s="40"/>
      <c r="B36" s="40">
        <v>45828.31245334491</v>
      </c>
      <c r="C36" s="35" t="s">
        <v>368</v>
      </c>
      <c r="D36" s="35" t="s">
        <v>370</v>
      </c>
      <c r="F36" s="35" t="s">
        <v>2376</v>
      </c>
      <c r="H36" s="35" t="s">
        <v>422</v>
      </c>
      <c r="I36" s="35" t="s">
        <v>637</v>
      </c>
      <c r="J36" s="35" t="s">
        <v>374</v>
      </c>
      <c r="K36" s="35" t="s">
        <v>718</v>
      </c>
      <c r="L36" s="35" t="s">
        <v>376</v>
      </c>
      <c r="M36" s="35" t="s">
        <v>793</v>
      </c>
      <c r="O36" s="35" t="s">
        <v>379</v>
      </c>
      <c r="Q36" s="35" t="s">
        <v>381</v>
      </c>
      <c r="R36" s="35" t="s">
        <v>1156</v>
      </c>
      <c r="S36" s="35" t="s">
        <v>1704</v>
      </c>
      <c r="T36" s="35" t="s">
        <v>1512</v>
      </c>
      <c r="U36" s="35" t="s">
        <v>385</v>
      </c>
      <c r="X36" s="35" t="s">
        <v>386</v>
      </c>
      <c r="Y36" s="35" t="s">
        <v>387</v>
      </c>
      <c r="AA36" s="35" t="s">
        <v>672</v>
      </c>
      <c r="AW36" s="35" t="s">
        <v>504</v>
      </c>
      <c r="AX36" s="35" t="s">
        <v>429</v>
      </c>
      <c r="AY36" s="35" t="s">
        <v>429</v>
      </c>
      <c r="AZ36" s="35" t="s">
        <v>429</v>
      </c>
      <c r="BA36" s="35" t="s">
        <v>429</v>
      </c>
      <c r="BB36" s="35" t="s">
        <v>429</v>
      </c>
      <c r="BC36" s="35" t="s">
        <v>429</v>
      </c>
      <c r="BF36" s="35" t="s">
        <v>392</v>
      </c>
      <c r="BG36" s="35" t="s">
        <v>433</v>
      </c>
      <c r="BJ36" s="35" t="s">
        <v>509</v>
      </c>
      <c r="BL36" s="35" t="s">
        <v>681</v>
      </c>
      <c r="BM36" s="35" t="s">
        <v>438</v>
      </c>
      <c r="BN36" s="35" t="s">
        <v>439</v>
      </c>
      <c r="BO36" s="35" t="s">
        <v>513</v>
      </c>
      <c r="CM36" s="35" t="s">
        <v>441</v>
      </c>
      <c r="CN36" s="35" t="s">
        <v>442</v>
      </c>
      <c r="CO36" s="35" t="s">
        <v>552</v>
      </c>
      <c r="CP36" s="35" t="s">
        <v>2514</v>
      </c>
      <c r="CQ36" s="35" t="s">
        <v>1008</v>
      </c>
      <c r="CR36" s="35" t="s">
        <v>2515</v>
      </c>
      <c r="CV36" s="35" t="s">
        <v>450</v>
      </c>
      <c r="CW36" s="35" t="s">
        <v>451</v>
      </c>
      <c r="CY36" s="35" t="s">
        <v>408</v>
      </c>
      <c r="DA36" s="35" t="s">
        <v>453</v>
      </c>
      <c r="DC36" s="35" t="s">
        <v>455</v>
      </c>
      <c r="DE36" s="35" t="s">
        <v>662</v>
      </c>
      <c r="DH36" s="35" t="s">
        <v>524</v>
      </c>
      <c r="DI36" s="35" t="s">
        <v>410</v>
      </c>
      <c r="DJ36" s="35" t="s">
        <v>459</v>
      </c>
      <c r="DK36" s="35" t="s">
        <v>613</v>
      </c>
      <c r="EU36" s="35" t="s">
        <v>526</v>
      </c>
      <c r="EV36" s="35" t="s">
        <v>479</v>
      </c>
      <c r="FP36" s="35" t="s">
        <v>485</v>
      </c>
      <c r="FQ36" s="35" t="s">
        <v>418</v>
      </c>
      <c r="FT36" s="35" t="s">
        <v>420</v>
      </c>
      <c r="FU36" s="35" t="s">
        <v>488</v>
      </c>
      <c r="FW36" s="35" t="s">
        <v>490</v>
      </c>
      <c r="FX36" s="35" t="s">
        <v>491</v>
      </c>
      <c r="FZ36" s="35" t="s">
        <v>535</v>
      </c>
      <c r="GC36" s="35" t="s">
        <v>408</v>
      </c>
      <c r="GH36" s="35" t="s">
        <v>755</v>
      </c>
      <c r="GI36" s="35" t="s">
        <v>755</v>
      </c>
      <c r="GJ36" s="35" t="s">
        <v>946</v>
      </c>
    </row>
    <row r="37">
      <c r="A37" s="40"/>
      <c r="B37" s="40">
        <v>45828.31539207176</v>
      </c>
      <c r="C37" s="35" t="s">
        <v>368</v>
      </c>
      <c r="D37" s="35" t="s">
        <v>370</v>
      </c>
      <c r="F37" s="35" t="s">
        <v>371</v>
      </c>
      <c r="H37" s="35" t="s">
        <v>422</v>
      </c>
      <c r="I37" s="35" t="s">
        <v>1921</v>
      </c>
      <c r="J37" s="35" t="s">
        <v>668</v>
      </c>
      <c r="K37" s="35" t="s">
        <v>718</v>
      </c>
      <c r="L37" s="35" t="s">
        <v>376</v>
      </c>
      <c r="M37" s="35" t="s">
        <v>379</v>
      </c>
      <c r="N37" s="35" t="s">
        <v>2464</v>
      </c>
      <c r="O37" s="35" t="s">
        <v>426</v>
      </c>
      <c r="P37" s="35" t="s">
        <v>380</v>
      </c>
      <c r="Q37" s="35" t="s">
        <v>381</v>
      </c>
      <c r="R37" s="35" t="s">
        <v>499</v>
      </c>
      <c r="S37" s="35" t="s">
        <v>1594</v>
      </c>
      <c r="T37" s="35" t="s">
        <v>384</v>
      </c>
      <c r="U37" s="35" t="s">
        <v>385</v>
      </c>
      <c r="X37" s="35" t="s">
        <v>428</v>
      </c>
      <c r="AW37" s="35" t="s">
        <v>390</v>
      </c>
      <c r="AX37" s="41">
        <v>2.0</v>
      </c>
      <c r="AY37" s="41">
        <v>2.0</v>
      </c>
      <c r="AZ37" s="41">
        <v>2.0</v>
      </c>
      <c r="BA37" s="35" t="s">
        <v>429</v>
      </c>
      <c r="BB37" s="35" t="s">
        <v>429</v>
      </c>
      <c r="BC37" s="41">
        <v>2.0</v>
      </c>
      <c r="BD37" s="35" t="s">
        <v>9042</v>
      </c>
      <c r="BE37" s="35" t="s">
        <v>11170</v>
      </c>
      <c r="BF37" s="35" t="s">
        <v>392</v>
      </c>
      <c r="BG37" s="35" t="s">
        <v>433</v>
      </c>
      <c r="BH37" s="35" t="s">
        <v>678</v>
      </c>
      <c r="BJ37" s="35" t="s">
        <v>509</v>
      </c>
      <c r="BL37" s="35" t="s">
        <v>511</v>
      </c>
      <c r="BM37" s="35" t="s">
        <v>512</v>
      </c>
      <c r="BN37" s="35" t="s">
        <v>549</v>
      </c>
      <c r="BO37" s="35" t="s">
        <v>513</v>
      </c>
      <c r="CM37" s="35" t="s">
        <v>441</v>
      </c>
      <c r="CN37" s="35" t="s">
        <v>401</v>
      </c>
      <c r="CO37" s="35" t="s">
        <v>6791</v>
      </c>
      <c r="CP37" s="35" t="s">
        <v>11171</v>
      </c>
      <c r="CQ37" s="35" t="s">
        <v>1008</v>
      </c>
      <c r="CR37" s="35" t="s">
        <v>2519</v>
      </c>
      <c r="CS37" s="35" t="s">
        <v>404</v>
      </c>
      <c r="CT37" s="35" t="s">
        <v>2520</v>
      </c>
      <c r="CV37" s="35" t="s">
        <v>982</v>
      </c>
      <c r="CW37" s="35" t="s">
        <v>451</v>
      </c>
      <c r="CX37" s="35" t="s">
        <v>11172</v>
      </c>
      <c r="CY37" s="35" t="s">
        <v>408</v>
      </c>
      <c r="DA37" s="35" t="s">
        <v>453</v>
      </c>
      <c r="DC37" s="35" t="s">
        <v>455</v>
      </c>
      <c r="DE37" s="35" t="s">
        <v>1400</v>
      </c>
      <c r="DF37" s="35" t="s">
        <v>1867</v>
      </c>
      <c r="DH37" s="35" t="s">
        <v>524</v>
      </c>
      <c r="DI37" s="35" t="s">
        <v>1220</v>
      </c>
      <c r="DJ37" s="35" t="s">
        <v>963</v>
      </c>
      <c r="DK37" s="35" t="s">
        <v>1403</v>
      </c>
      <c r="DL37" s="35" t="s">
        <v>525</v>
      </c>
      <c r="EU37" s="35" t="s">
        <v>526</v>
      </c>
      <c r="EV37" s="35" t="s">
        <v>479</v>
      </c>
      <c r="EW37" s="35" t="s">
        <v>1262</v>
      </c>
      <c r="EY37" s="35" t="s">
        <v>2522</v>
      </c>
      <c r="EZ37" s="35" t="s">
        <v>2523</v>
      </c>
      <c r="FA37" s="35" t="s">
        <v>583</v>
      </c>
      <c r="FB37" s="35" t="s">
        <v>583</v>
      </c>
      <c r="FC37" s="35" t="s">
        <v>414</v>
      </c>
      <c r="FD37" s="35" t="s">
        <v>414</v>
      </c>
      <c r="FE37" s="35" t="s">
        <v>414</v>
      </c>
      <c r="FF37" s="35" t="s">
        <v>583</v>
      </c>
      <c r="FG37" s="35" t="s">
        <v>583</v>
      </c>
      <c r="FH37" s="35" t="s">
        <v>414</v>
      </c>
      <c r="FI37" s="35" t="s">
        <v>414</v>
      </c>
      <c r="FJ37" s="35" t="s">
        <v>414</v>
      </c>
      <c r="FK37" s="35" t="s">
        <v>583</v>
      </c>
      <c r="FP37" s="35" t="s">
        <v>850</v>
      </c>
      <c r="FQ37" s="35" t="s">
        <v>2524</v>
      </c>
      <c r="FR37" s="35" t="s">
        <v>712</v>
      </c>
      <c r="FT37" s="35" t="s">
        <v>420</v>
      </c>
      <c r="FU37" s="35" t="s">
        <v>421</v>
      </c>
      <c r="FV37" s="35" t="s">
        <v>533</v>
      </c>
      <c r="FW37" s="35" t="s">
        <v>490</v>
      </c>
      <c r="FX37" s="35" t="s">
        <v>491</v>
      </c>
      <c r="FZ37" s="35" t="s">
        <v>1337</v>
      </c>
      <c r="GC37" s="35" t="s">
        <v>455</v>
      </c>
      <c r="GD37" s="35" t="s">
        <v>11173</v>
      </c>
      <c r="GF37" s="35" t="s">
        <v>753</v>
      </c>
      <c r="GH37" s="35" t="s">
        <v>755</v>
      </c>
      <c r="GI37" s="35" t="s">
        <v>755</v>
      </c>
      <c r="GJ37" s="35" t="s">
        <v>946</v>
      </c>
    </row>
    <row r="38">
      <c r="A38" s="40"/>
      <c r="B38" s="40">
        <v>45828.36039090277</v>
      </c>
      <c r="C38" s="35" t="s">
        <v>368</v>
      </c>
      <c r="D38" s="35" t="s">
        <v>370</v>
      </c>
      <c r="F38" s="35" t="s">
        <v>2620</v>
      </c>
      <c r="H38" s="35" t="s">
        <v>1093</v>
      </c>
      <c r="I38" s="35" t="s">
        <v>539</v>
      </c>
      <c r="J38" s="35" t="s">
        <v>424</v>
      </c>
      <c r="K38" s="35" t="s">
        <v>669</v>
      </c>
      <c r="L38" s="35" t="s">
        <v>376</v>
      </c>
      <c r="M38" s="35" t="s">
        <v>591</v>
      </c>
      <c r="N38" s="35" t="s">
        <v>378</v>
      </c>
      <c r="O38" s="35" t="s">
        <v>670</v>
      </c>
      <c r="P38" s="35" t="s">
        <v>671</v>
      </c>
      <c r="Q38" s="35" t="s">
        <v>592</v>
      </c>
      <c r="R38" s="35" t="s">
        <v>382</v>
      </c>
      <c r="S38" s="35" t="s">
        <v>500</v>
      </c>
      <c r="T38" s="35" t="s">
        <v>384</v>
      </c>
      <c r="U38" s="35" t="s">
        <v>385</v>
      </c>
      <c r="X38" s="35" t="s">
        <v>428</v>
      </c>
      <c r="AW38" s="35" t="s">
        <v>1310</v>
      </c>
      <c r="AX38" s="35" t="s">
        <v>391</v>
      </c>
      <c r="AY38" s="35" t="s">
        <v>391</v>
      </c>
      <c r="AZ38" s="35" t="s">
        <v>429</v>
      </c>
      <c r="BA38" s="35" t="s">
        <v>429</v>
      </c>
      <c r="BC38" s="41">
        <v>2.0</v>
      </c>
      <c r="BF38" s="35" t="s">
        <v>392</v>
      </c>
      <c r="BG38" s="35" t="s">
        <v>393</v>
      </c>
      <c r="BH38" s="35" t="s">
        <v>678</v>
      </c>
      <c r="BJ38" s="35" t="s">
        <v>976</v>
      </c>
      <c r="BL38" s="35" t="s">
        <v>511</v>
      </c>
      <c r="BM38" s="35" t="s">
        <v>603</v>
      </c>
      <c r="BN38" s="35" t="s">
        <v>1247</v>
      </c>
      <c r="BO38" s="35" t="s">
        <v>513</v>
      </c>
      <c r="CM38" s="35" t="s">
        <v>441</v>
      </c>
      <c r="CN38" s="35" t="s">
        <v>401</v>
      </c>
      <c r="CQ38" s="35" t="s">
        <v>403</v>
      </c>
      <c r="CR38" s="35" t="s">
        <v>1427</v>
      </c>
      <c r="CS38" s="35" t="s">
        <v>404</v>
      </c>
      <c r="CT38" s="35" t="s">
        <v>1137</v>
      </c>
      <c r="CV38" s="35" t="s">
        <v>1852</v>
      </c>
      <c r="CW38" s="35" t="s">
        <v>1931</v>
      </c>
      <c r="CY38" s="35" t="s">
        <v>408</v>
      </c>
      <c r="DA38" s="35" t="s">
        <v>1962</v>
      </c>
      <c r="DC38" s="35" t="s">
        <v>408</v>
      </c>
      <c r="DE38" s="35" t="s">
        <v>406</v>
      </c>
      <c r="DF38" s="35" t="s">
        <v>407</v>
      </c>
      <c r="DH38" s="35" t="s">
        <v>990</v>
      </c>
      <c r="DI38" s="35" t="s">
        <v>694</v>
      </c>
      <c r="DJ38" s="35" t="s">
        <v>459</v>
      </c>
      <c r="DK38" s="35" t="s">
        <v>613</v>
      </c>
      <c r="EU38" s="35" t="s">
        <v>478</v>
      </c>
      <c r="EV38" s="35" t="s">
        <v>479</v>
      </c>
      <c r="EW38" s="35" t="s">
        <v>480</v>
      </c>
      <c r="FA38" s="35" t="s">
        <v>414</v>
      </c>
      <c r="FB38" s="35" t="s">
        <v>583</v>
      </c>
      <c r="FC38" s="35" t="s">
        <v>413</v>
      </c>
      <c r="FD38" s="35" t="s">
        <v>414</v>
      </c>
      <c r="FE38" s="35" t="s">
        <v>413</v>
      </c>
      <c r="FF38" s="35" t="s">
        <v>583</v>
      </c>
      <c r="FG38" s="35" t="s">
        <v>414</v>
      </c>
      <c r="FH38" s="35" t="s">
        <v>415</v>
      </c>
      <c r="FI38" s="35" t="s">
        <v>415</v>
      </c>
      <c r="FJ38" s="35" t="s">
        <v>583</v>
      </c>
      <c r="FK38" s="35" t="s">
        <v>415</v>
      </c>
      <c r="FL38" s="35" t="s">
        <v>415</v>
      </c>
      <c r="FM38" s="35" t="s">
        <v>415</v>
      </c>
      <c r="FN38" s="35" t="s">
        <v>415</v>
      </c>
      <c r="FO38" s="35" t="s">
        <v>415</v>
      </c>
      <c r="FP38" s="35" t="s">
        <v>485</v>
      </c>
      <c r="FQ38" s="35" t="s">
        <v>418</v>
      </c>
      <c r="FR38" s="35" t="s">
        <v>712</v>
      </c>
      <c r="FT38" s="35" t="s">
        <v>1076</v>
      </c>
      <c r="FU38" s="35" t="s">
        <v>1476</v>
      </c>
      <c r="FV38" s="35" t="s">
        <v>489</v>
      </c>
      <c r="FW38" s="35" t="s">
        <v>1101</v>
      </c>
      <c r="FX38" s="35" t="s">
        <v>1853</v>
      </c>
      <c r="FZ38" s="35" t="s">
        <v>1854</v>
      </c>
      <c r="GC38" s="35" t="s">
        <v>408</v>
      </c>
      <c r="GH38" s="35" t="s">
        <v>789</v>
      </c>
      <c r="GI38" s="35" t="s">
        <v>789</v>
      </c>
      <c r="GJ38" s="35" t="s">
        <v>756</v>
      </c>
    </row>
    <row r="39">
      <c r="A39" s="40"/>
      <c r="B39" s="40">
        <v>45828.39941795139</v>
      </c>
      <c r="C39" s="35" t="s">
        <v>368</v>
      </c>
      <c r="D39" s="35" t="s">
        <v>370</v>
      </c>
      <c r="F39" s="35" t="s">
        <v>1562</v>
      </c>
      <c r="H39" s="35" t="s">
        <v>422</v>
      </c>
      <c r="I39" s="35" t="s">
        <v>637</v>
      </c>
      <c r="J39" s="35" t="s">
        <v>638</v>
      </c>
      <c r="K39" s="35" t="s">
        <v>590</v>
      </c>
      <c r="L39" s="35" t="s">
        <v>376</v>
      </c>
      <c r="M39" s="35" t="s">
        <v>591</v>
      </c>
      <c r="N39" s="35" t="s">
        <v>719</v>
      </c>
      <c r="O39" s="35" t="s">
        <v>591</v>
      </c>
      <c r="P39" s="35" t="s">
        <v>2633</v>
      </c>
      <c r="Q39" s="35" t="s">
        <v>498</v>
      </c>
      <c r="R39" s="35" t="s">
        <v>1156</v>
      </c>
      <c r="S39" s="35" t="s">
        <v>427</v>
      </c>
      <c r="T39" s="35" t="s">
        <v>384</v>
      </c>
      <c r="U39" s="35" t="s">
        <v>385</v>
      </c>
      <c r="X39" s="35" t="s">
        <v>760</v>
      </c>
      <c r="Y39" s="35" t="s">
        <v>387</v>
      </c>
      <c r="Z39" s="35" t="s">
        <v>2115</v>
      </c>
      <c r="AB39" s="35" t="s">
        <v>11174</v>
      </c>
      <c r="AC39" s="35" t="s">
        <v>11175</v>
      </c>
      <c r="AW39" s="35" t="s">
        <v>1310</v>
      </c>
      <c r="AX39" s="35" t="s">
        <v>391</v>
      </c>
      <c r="AY39" s="35" t="s">
        <v>391</v>
      </c>
      <c r="AZ39" s="35" t="s">
        <v>391</v>
      </c>
      <c r="BA39" s="41">
        <v>2.0</v>
      </c>
      <c r="BB39" s="35" t="s">
        <v>429</v>
      </c>
      <c r="BC39" s="41">
        <v>2.0</v>
      </c>
      <c r="BD39" s="35" t="s">
        <v>2636</v>
      </c>
      <c r="BE39" s="35" t="s">
        <v>11176</v>
      </c>
      <c r="BF39" s="35" t="s">
        <v>432</v>
      </c>
      <c r="BG39" s="35" t="s">
        <v>393</v>
      </c>
      <c r="BH39" s="35" t="s">
        <v>434</v>
      </c>
      <c r="BI39" s="35" t="s">
        <v>2638</v>
      </c>
      <c r="BJ39" s="35" t="s">
        <v>727</v>
      </c>
      <c r="BK39" s="35" t="s">
        <v>2639</v>
      </c>
      <c r="BL39" s="35" t="s">
        <v>511</v>
      </c>
      <c r="BM39" s="35" t="s">
        <v>438</v>
      </c>
      <c r="BN39" s="35" t="s">
        <v>549</v>
      </c>
      <c r="BO39" s="35" t="s">
        <v>513</v>
      </c>
      <c r="CM39" s="35" t="s">
        <v>441</v>
      </c>
      <c r="CN39" s="35" t="s">
        <v>401</v>
      </c>
      <c r="CO39" s="35" t="s">
        <v>2640</v>
      </c>
      <c r="CP39" s="35" t="s">
        <v>11177</v>
      </c>
      <c r="CQ39" s="35" t="s">
        <v>403</v>
      </c>
      <c r="CR39" s="35" t="s">
        <v>1427</v>
      </c>
      <c r="CS39" s="35" t="s">
        <v>404</v>
      </c>
      <c r="CT39" s="35" t="s">
        <v>2642</v>
      </c>
      <c r="CU39" s="35" t="s">
        <v>11178</v>
      </c>
      <c r="CV39" s="35" t="s">
        <v>450</v>
      </c>
      <c r="CW39" s="35" t="s">
        <v>451</v>
      </c>
      <c r="CX39" s="35" t="s">
        <v>2644</v>
      </c>
      <c r="CY39" s="35" t="s">
        <v>733</v>
      </c>
      <c r="DA39" s="35" t="s">
        <v>453</v>
      </c>
      <c r="DB39" s="35" t="s">
        <v>11179</v>
      </c>
      <c r="DC39" s="35" t="s">
        <v>455</v>
      </c>
      <c r="DD39" s="35" t="s">
        <v>11180</v>
      </c>
      <c r="DE39" s="35" t="s">
        <v>406</v>
      </c>
      <c r="DF39" s="35" t="s">
        <v>407</v>
      </c>
      <c r="DG39" s="35" t="s">
        <v>11181</v>
      </c>
      <c r="DH39" s="35" t="s">
        <v>524</v>
      </c>
      <c r="DI39" s="35" t="s">
        <v>410</v>
      </c>
      <c r="DJ39" s="35" t="s">
        <v>963</v>
      </c>
      <c r="DK39" s="35" t="s">
        <v>613</v>
      </c>
      <c r="EU39" s="35" t="s">
        <v>526</v>
      </c>
      <c r="EV39" s="35" t="s">
        <v>479</v>
      </c>
      <c r="EW39" s="35" t="s">
        <v>527</v>
      </c>
      <c r="EX39" s="35" t="s">
        <v>2648</v>
      </c>
      <c r="EY39" s="35" t="s">
        <v>11182</v>
      </c>
      <c r="EZ39" s="35" t="s">
        <v>11183</v>
      </c>
      <c r="FA39" s="35" t="s">
        <v>414</v>
      </c>
      <c r="FB39" s="35" t="s">
        <v>414</v>
      </c>
      <c r="FC39" s="35" t="s">
        <v>414</v>
      </c>
      <c r="FD39" s="35" t="s">
        <v>414</v>
      </c>
      <c r="FE39" s="35" t="s">
        <v>413</v>
      </c>
      <c r="FF39" s="35" t="s">
        <v>583</v>
      </c>
      <c r="FG39" s="35" t="s">
        <v>413</v>
      </c>
      <c r="FH39" s="35" t="s">
        <v>413</v>
      </c>
      <c r="FI39" s="35" t="s">
        <v>414</v>
      </c>
      <c r="FJ39" s="35" t="s">
        <v>583</v>
      </c>
      <c r="FK39" s="35" t="s">
        <v>414</v>
      </c>
      <c r="FL39" s="35" t="s">
        <v>484</v>
      </c>
      <c r="FM39" s="35" t="s">
        <v>484</v>
      </c>
      <c r="FN39" s="35" t="s">
        <v>484</v>
      </c>
      <c r="FO39" s="35" t="s">
        <v>583</v>
      </c>
      <c r="FP39" s="35" t="s">
        <v>417</v>
      </c>
      <c r="FQ39" s="35" t="s">
        <v>2651</v>
      </c>
      <c r="FR39" s="35" t="s">
        <v>630</v>
      </c>
      <c r="FS39" s="35" t="s">
        <v>11184</v>
      </c>
      <c r="FT39" s="35" t="s">
        <v>420</v>
      </c>
      <c r="FU39" s="35" t="s">
        <v>488</v>
      </c>
      <c r="FV39" s="35" t="s">
        <v>533</v>
      </c>
      <c r="FW39" s="35" t="s">
        <v>490</v>
      </c>
      <c r="FX39" s="35" t="s">
        <v>491</v>
      </c>
      <c r="FY39" s="35" t="s">
        <v>11185</v>
      </c>
      <c r="FZ39" s="35" t="s">
        <v>535</v>
      </c>
      <c r="GA39" s="35" t="s">
        <v>11186</v>
      </c>
      <c r="GB39" s="35" t="s">
        <v>2655</v>
      </c>
      <c r="GC39" s="35" t="s">
        <v>455</v>
      </c>
      <c r="GD39" s="35" t="s">
        <v>11187</v>
      </c>
      <c r="GF39" s="35" t="s">
        <v>753</v>
      </c>
      <c r="GG39" s="35" t="s">
        <v>2656</v>
      </c>
      <c r="GH39" s="35" t="s">
        <v>857</v>
      </c>
      <c r="GI39" s="35" t="s">
        <v>857</v>
      </c>
      <c r="GJ39" s="35" t="s">
        <v>817</v>
      </c>
    </row>
    <row r="40">
      <c r="A40" s="40"/>
      <c r="B40" s="40">
        <v>45828.49643018519</v>
      </c>
      <c r="C40" s="35" t="s">
        <v>368</v>
      </c>
      <c r="D40" s="35" t="s">
        <v>370</v>
      </c>
      <c r="F40" s="35" t="s">
        <v>2708</v>
      </c>
      <c r="H40" s="35" t="s">
        <v>422</v>
      </c>
      <c r="I40" s="35" t="s">
        <v>1307</v>
      </c>
      <c r="J40" s="35" t="s">
        <v>668</v>
      </c>
      <c r="K40" s="35" t="s">
        <v>540</v>
      </c>
      <c r="L40" s="35" t="s">
        <v>376</v>
      </c>
      <c r="M40" s="35" t="s">
        <v>379</v>
      </c>
      <c r="N40" s="35" t="s">
        <v>378</v>
      </c>
      <c r="O40" s="35" t="s">
        <v>377</v>
      </c>
      <c r="P40" s="35" t="s">
        <v>497</v>
      </c>
      <c r="Q40" s="35" t="s">
        <v>381</v>
      </c>
      <c r="R40" s="35" t="s">
        <v>382</v>
      </c>
      <c r="S40" s="35" t="s">
        <v>949</v>
      </c>
      <c r="T40" s="35" t="s">
        <v>384</v>
      </c>
      <c r="U40" s="35" t="s">
        <v>385</v>
      </c>
      <c r="X40" s="35" t="s">
        <v>386</v>
      </c>
      <c r="Y40" s="35" t="s">
        <v>387</v>
      </c>
      <c r="Z40" s="35" t="s">
        <v>388</v>
      </c>
      <c r="AA40" s="35" t="s">
        <v>543</v>
      </c>
      <c r="AB40" s="35" t="s">
        <v>408</v>
      </c>
      <c r="AC40" s="35" t="s">
        <v>408</v>
      </c>
      <c r="AW40" s="35" t="s">
        <v>597</v>
      </c>
      <c r="AX40" s="35" t="s">
        <v>675</v>
      </c>
      <c r="AY40" s="41">
        <v>4.0</v>
      </c>
      <c r="AZ40" s="35" t="s">
        <v>675</v>
      </c>
      <c r="BA40" s="41">
        <v>4.0</v>
      </c>
      <c r="BB40" s="41">
        <v>4.0</v>
      </c>
      <c r="BC40" s="41">
        <v>4.0</v>
      </c>
      <c r="BD40" s="35" t="s">
        <v>2709</v>
      </c>
      <c r="BE40" s="35" t="s">
        <v>2710</v>
      </c>
      <c r="BF40" s="35" t="s">
        <v>902</v>
      </c>
      <c r="BG40" s="35" t="s">
        <v>433</v>
      </c>
      <c r="BH40" s="35" t="s">
        <v>434</v>
      </c>
      <c r="BI40" s="35" t="s">
        <v>2711</v>
      </c>
      <c r="BJ40" s="35" t="s">
        <v>435</v>
      </c>
      <c r="BK40" s="35" t="s">
        <v>11188</v>
      </c>
      <c r="BL40" s="35" t="s">
        <v>437</v>
      </c>
      <c r="BM40" s="35" t="s">
        <v>603</v>
      </c>
      <c r="BN40" s="35" t="s">
        <v>397</v>
      </c>
      <c r="BO40" s="35" t="s">
        <v>513</v>
      </c>
      <c r="CM40" s="35" t="s">
        <v>441</v>
      </c>
      <c r="CN40" s="35" t="s">
        <v>682</v>
      </c>
      <c r="CO40" s="35" t="s">
        <v>11189</v>
      </c>
      <c r="CP40" s="35" t="s">
        <v>11190</v>
      </c>
      <c r="CQ40" s="35" t="s">
        <v>685</v>
      </c>
      <c r="CR40" s="35" t="s">
        <v>2715</v>
      </c>
      <c r="CS40" s="35" t="s">
        <v>447</v>
      </c>
      <c r="CT40" s="35" t="s">
        <v>1528</v>
      </c>
      <c r="CU40" s="35" t="s">
        <v>11191</v>
      </c>
      <c r="CV40" s="35" t="s">
        <v>1852</v>
      </c>
      <c r="CW40" s="35" t="s">
        <v>451</v>
      </c>
      <c r="CX40" s="35" t="s">
        <v>11192</v>
      </c>
      <c r="CY40" s="35" t="s">
        <v>408</v>
      </c>
      <c r="DA40" s="35" t="s">
        <v>985</v>
      </c>
      <c r="DB40" s="35" t="s">
        <v>11193</v>
      </c>
      <c r="DC40" s="35" t="s">
        <v>408</v>
      </c>
      <c r="DE40" s="35" t="s">
        <v>406</v>
      </c>
      <c r="DF40" s="35" t="s">
        <v>407</v>
      </c>
      <c r="DG40" s="35" t="s">
        <v>11194</v>
      </c>
      <c r="DH40" s="35" t="s">
        <v>776</v>
      </c>
      <c r="DI40" s="35" t="s">
        <v>410</v>
      </c>
      <c r="DJ40" s="35" t="s">
        <v>963</v>
      </c>
      <c r="DK40" s="35" t="s">
        <v>695</v>
      </c>
      <c r="DL40" s="35" t="s">
        <v>563</v>
      </c>
      <c r="DM40" s="35" t="s">
        <v>11195</v>
      </c>
      <c r="EU40" s="35" t="s">
        <v>526</v>
      </c>
      <c r="EV40" s="35" t="s">
        <v>479</v>
      </c>
      <c r="EW40" s="35" t="s">
        <v>480</v>
      </c>
      <c r="EX40" s="35" t="s">
        <v>2721</v>
      </c>
      <c r="EY40" s="35" t="s">
        <v>11196</v>
      </c>
      <c r="EZ40" s="35" t="s">
        <v>11197</v>
      </c>
      <c r="FA40" s="35" t="s">
        <v>414</v>
      </c>
      <c r="FB40" s="35" t="s">
        <v>414</v>
      </c>
      <c r="FC40" s="35" t="s">
        <v>416</v>
      </c>
      <c r="FD40" s="35" t="s">
        <v>413</v>
      </c>
      <c r="FE40" s="35" t="s">
        <v>416</v>
      </c>
      <c r="FF40" s="35" t="s">
        <v>415</v>
      </c>
      <c r="FG40" s="35" t="s">
        <v>415</v>
      </c>
      <c r="FH40" s="35" t="s">
        <v>416</v>
      </c>
      <c r="FI40" s="35" t="s">
        <v>414</v>
      </c>
      <c r="FJ40" s="35" t="s">
        <v>414</v>
      </c>
      <c r="FK40" s="35" t="s">
        <v>416</v>
      </c>
      <c r="FL40" s="35" t="s">
        <v>415</v>
      </c>
      <c r="FM40" s="35" t="s">
        <v>414</v>
      </c>
      <c r="FN40" s="35" t="s">
        <v>413</v>
      </c>
      <c r="FO40" s="35" t="s">
        <v>583</v>
      </c>
      <c r="FP40" s="35" t="s">
        <v>850</v>
      </c>
      <c r="FQ40" s="35" t="s">
        <v>418</v>
      </c>
      <c r="FR40" s="35" t="s">
        <v>531</v>
      </c>
      <c r="FS40" s="35" t="s">
        <v>11198</v>
      </c>
      <c r="FT40" s="35" t="s">
        <v>1871</v>
      </c>
      <c r="FU40" s="35" t="s">
        <v>1462</v>
      </c>
      <c r="FV40" s="35" t="s">
        <v>585</v>
      </c>
      <c r="FW40" s="35" t="s">
        <v>490</v>
      </c>
      <c r="FX40" s="35" t="s">
        <v>491</v>
      </c>
      <c r="FY40" s="35" t="s">
        <v>2725</v>
      </c>
      <c r="FZ40" s="35" t="s">
        <v>535</v>
      </c>
      <c r="GA40" s="35" t="s">
        <v>11199</v>
      </c>
      <c r="GC40" s="35" t="s">
        <v>455</v>
      </c>
      <c r="GD40" s="35" t="s">
        <v>11200</v>
      </c>
      <c r="GE40" s="35" t="s">
        <v>11201</v>
      </c>
      <c r="GF40" s="35" t="s">
        <v>786</v>
      </c>
      <c r="GH40" s="35" t="s">
        <v>755</v>
      </c>
      <c r="GI40" s="35" t="s">
        <v>755</v>
      </c>
      <c r="GJ40" s="35" t="s">
        <v>946</v>
      </c>
    </row>
    <row r="41">
      <c r="A41" s="40"/>
      <c r="B41" s="40">
        <v>45828.541225312496</v>
      </c>
      <c r="C41" s="35" t="s">
        <v>368</v>
      </c>
      <c r="D41" s="35" t="s">
        <v>370</v>
      </c>
      <c r="F41" s="35" t="s">
        <v>371</v>
      </c>
      <c r="H41" s="35" t="s">
        <v>2754</v>
      </c>
      <c r="I41" s="35" t="s">
        <v>539</v>
      </c>
      <c r="J41" s="35" t="s">
        <v>424</v>
      </c>
      <c r="K41" s="35" t="s">
        <v>425</v>
      </c>
      <c r="L41" s="35" t="s">
        <v>376</v>
      </c>
      <c r="M41" s="35" t="s">
        <v>377</v>
      </c>
      <c r="N41" s="35" t="s">
        <v>380</v>
      </c>
      <c r="O41" s="35" t="s">
        <v>377</v>
      </c>
      <c r="P41" s="35" t="s">
        <v>380</v>
      </c>
      <c r="Q41" s="35" t="s">
        <v>498</v>
      </c>
      <c r="R41" s="35" t="s">
        <v>382</v>
      </c>
      <c r="S41" s="35" t="s">
        <v>500</v>
      </c>
      <c r="T41" s="35" t="s">
        <v>384</v>
      </c>
      <c r="U41" s="35" t="s">
        <v>385</v>
      </c>
      <c r="X41" s="35" t="s">
        <v>386</v>
      </c>
      <c r="Y41" s="35" t="s">
        <v>387</v>
      </c>
      <c r="Z41" s="35" t="s">
        <v>388</v>
      </c>
      <c r="AA41" s="35" t="s">
        <v>502</v>
      </c>
      <c r="AB41" s="35" t="s">
        <v>11202</v>
      </c>
      <c r="AC41" s="35" t="s">
        <v>11203</v>
      </c>
      <c r="AW41" s="35" t="s">
        <v>597</v>
      </c>
      <c r="AX41" s="35" t="s">
        <v>391</v>
      </c>
      <c r="AY41" s="35" t="s">
        <v>391</v>
      </c>
      <c r="AZ41" s="35" t="s">
        <v>391</v>
      </c>
      <c r="BA41" s="41">
        <v>2.0</v>
      </c>
      <c r="BB41" s="35" t="s">
        <v>429</v>
      </c>
      <c r="BC41" s="35" t="s">
        <v>429</v>
      </c>
      <c r="BD41" s="35" t="s">
        <v>11204</v>
      </c>
      <c r="BE41" s="35" t="s">
        <v>11205</v>
      </c>
      <c r="BF41" s="35" t="s">
        <v>432</v>
      </c>
      <c r="BG41" s="35" t="s">
        <v>393</v>
      </c>
      <c r="BH41" s="35" t="s">
        <v>678</v>
      </c>
      <c r="BI41" s="35" t="s">
        <v>11206</v>
      </c>
      <c r="BJ41" s="35" t="s">
        <v>509</v>
      </c>
      <c r="BK41" s="35" t="s">
        <v>11207</v>
      </c>
      <c r="BL41" s="35" t="s">
        <v>681</v>
      </c>
      <c r="BM41" s="35" t="s">
        <v>603</v>
      </c>
      <c r="BN41" s="35" t="s">
        <v>397</v>
      </c>
      <c r="BO41" s="35" t="s">
        <v>513</v>
      </c>
      <c r="CM41" s="35" t="s">
        <v>441</v>
      </c>
      <c r="CN41" s="35" t="s">
        <v>401</v>
      </c>
      <c r="CO41" s="35" t="s">
        <v>11208</v>
      </c>
      <c r="CP41" s="35" t="s">
        <v>11209</v>
      </c>
      <c r="CQ41" s="35" t="s">
        <v>445</v>
      </c>
      <c r="CR41" s="35" t="s">
        <v>2763</v>
      </c>
      <c r="CS41" s="35" t="s">
        <v>447</v>
      </c>
      <c r="CT41" s="35" t="s">
        <v>2764</v>
      </c>
      <c r="CU41" s="35" t="s">
        <v>11210</v>
      </c>
      <c r="CV41" s="35" t="s">
        <v>1852</v>
      </c>
      <c r="CW41" s="35" t="s">
        <v>451</v>
      </c>
      <c r="CX41" s="35" t="s">
        <v>11211</v>
      </c>
      <c r="CY41" s="35" t="s">
        <v>408</v>
      </c>
      <c r="DA41" s="35" t="s">
        <v>453</v>
      </c>
      <c r="DB41" s="35" t="s">
        <v>11212</v>
      </c>
      <c r="DC41" s="35" t="s">
        <v>455</v>
      </c>
      <c r="DD41" s="35" t="s">
        <v>11213</v>
      </c>
      <c r="DE41" s="35" t="s">
        <v>988</v>
      </c>
      <c r="DF41" s="35" t="s">
        <v>407</v>
      </c>
      <c r="DG41" s="35" t="s">
        <v>11214</v>
      </c>
      <c r="DH41" s="35" t="s">
        <v>524</v>
      </c>
      <c r="DI41" s="35" t="s">
        <v>694</v>
      </c>
      <c r="DJ41" s="35" t="s">
        <v>459</v>
      </c>
      <c r="DK41" s="35" t="s">
        <v>460</v>
      </c>
      <c r="DL41" s="35" t="s">
        <v>461</v>
      </c>
      <c r="EU41" s="35" t="s">
        <v>526</v>
      </c>
      <c r="EV41" s="35" t="s">
        <v>479</v>
      </c>
      <c r="EW41" s="35" t="s">
        <v>527</v>
      </c>
      <c r="EX41" s="35" t="s">
        <v>11215</v>
      </c>
      <c r="EY41" s="35" t="s">
        <v>11216</v>
      </c>
      <c r="EZ41" s="35" t="s">
        <v>11217</v>
      </c>
      <c r="FA41" s="35" t="s">
        <v>415</v>
      </c>
      <c r="FB41" s="35" t="s">
        <v>415</v>
      </c>
      <c r="FC41" s="35" t="s">
        <v>413</v>
      </c>
      <c r="FD41" s="35" t="s">
        <v>413</v>
      </c>
      <c r="FE41" s="35" t="s">
        <v>413</v>
      </c>
      <c r="FF41" s="35" t="s">
        <v>415</v>
      </c>
      <c r="FG41" s="35" t="s">
        <v>415</v>
      </c>
      <c r="FH41" s="35" t="s">
        <v>416</v>
      </c>
      <c r="FI41" s="35" t="s">
        <v>414</v>
      </c>
      <c r="FJ41" s="35" t="s">
        <v>583</v>
      </c>
      <c r="FK41" s="35" t="s">
        <v>414</v>
      </c>
      <c r="FL41" s="35" t="s">
        <v>414</v>
      </c>
      <c r="FM41" s="35" t="s">
        <v>414</v>
      </c>
      <c r="FN41" s="35" t="s">
        <v>416</v>
      </c>
      <c r="FO41" s="35" t="s">
        <v>583</v>
      </c>
      <c r="FP41" s="35" t="s">
        <v>850</v>
      </c>
      <c r="FQ41" s="35" t="s">
        <v>418</v>
      </c>
      <c r="FR41" s="35" t="s">
        <v>712</v>
      </c>
      <c r="FS41" s="35" t="s">
        <v>11218</v>
      </c>
      <c r="FT41" s="35" t="s">
        <v>1189</v>
      </c>
      <c r="FU41" s="35" t="s">
        <v>488</v>
      </c>
      <c r="FV41" s="35" t="s">
        <v>489</v>
      </c>
      <c r="FW41" s="35" t="s">
        <v>490</v>
      </c>
      <c r="FX41" s="35" t="s">
        <v>491</v>
      </c>
      <c r="FY41" s="35" t="s">
        <v>11219</v>
      </c>
      <c r="FZ41" s="35" t="s">
        <v>535</v>
      </c>
      <c r="GA41" s="35" t="s">
        <v>11220</v>
      </c>
      <c r="GB41" s="35" t="s">
        <v>11221</v>
      </c>
      <c r="GC41" s="35" t="s">
        <v>455</v>
      </c>
      <c r="GD41" s="35" t="s">
        <v>11222</v>
      </c>
      <c r="GE41" s="35" t="s">
        <v>11222</v>
      </c>
      <c r="GF41" s="35" t="s">
        <v>753</v>
      </c>
      <c r="GG41" s="35" t="s">
        <v>11223</v>
      </c>
      <c r="GH41" s="35" t="s">
        <v>755</v>
      </c>
      <c r="GI41" s="35" t="s">
        <v>755</v>
      </c>
      <c r="GJ41" s="35" t="s">
        <v>946</v>
      </c>
    </row>
    <row r="42">
      <c r="A42" s="40"/>
      <c r="B42" s="40">
        <v>45828.57699451389</v>
      </c>
      <c r="C42" s="35" t="s">
        <v>368</v>
      </c>
      <c r="D42" s="35" t="s">
        <v>2795</v>
      </c>
      <c r="E42" s="35" t="s">
        <v>2796</v>
      </c>
      <c r="H42" s="35" t="s">
        <v>422</v>
      </c>
      <c r="I42" s="35" t="s">
        <v>637</v>
      </c>
      <c r="J42" s="35" t="s">
        <v>638</v>
      </c>
      <c r="K42" s="35" t="s">
        <v>1204</v>
      </c>
      <c r="L42" s="35" t="s">
        <v>376</v>
      </c>
      <c r="M42" s="35" t="s">
        <v>591</v>
      </c>
      <c r="N42" s="35" t="s">
        <v>541</v>
      </c>
      <c r="O42" s="35" t="s">
        <v>426</v>
      </c>
      <c r="P42" s="35" t="s">
        <v>2797</v>
      </c>
      <c r="Q42" s="35" t="s">
        <v>498</v>
      </c>
      <c r="R42" s="35" t="s">
        <v>862</v>
      </c>
      <c r="S42" s="35" t="s">
        <v>1594</v>
      </c>
      <c r="T42" s="35" t="s">
        <v>384</v>
      </c>
      <c r="U42" s="35" t="s">
        <v>385</v>
      </c>
      <c r="X42" s="35" t="s">
        <v>428</v>
      </c>
      <c r="AW42" s="35" t="s">
        <v>390</v>
      </c>
      <c r="AX42" s="41">
        <v>2.0</v>
      </c>
      <c r="AY42" s="41">
        <v>2.0</v>
      </c>
      <c r="AZ42" s="35" t="s">
        <v>391</v>
      </c>
      <c r="BA42" s="41">
        <v>2.0</v>
      </c>
      <c r="BB42" s="35" t="s">
        <v>429</v>
      </c>
      <c r="BC42" s="35" t="s">
        <v>429</v>
      </c>
      <c r="BD42" s="35" t="s">
        <v>2798</v>
      </c>
      <c r="BE42" s="35" t="s">
        <v>2799</v>
      </c>
      <c r="BF42" s="35" t="s">
        <v>432</v>
      </c>
      <c r="BG42" s="35" t="s">
        <v>433</v>
      </c>
      <c r="BH42" s="35" t="s">
        <v>678</v>
      </c>
      <c r="BJ42" s="35" t="s">
        <v>824</v>
      </c>
      <c r="BL42" s="35" t="s">
        <v>511</v>
      </c>
      <c r="BM42" s="35" t="s">
        <v>396</v>
      </c>
      <c r="BN42" s="35" t="s">
        <v>439</v>
      </c>
      <c r="BO42" s="35" t="s">
        <v>513</v>
      </c>
      <c r="CM42" s="35" t="s">
        <v>550</v>
      </c>
      <c r="CN42" s="35" t="s">
        <v>401</v>
      </c>
      <c r="CO42" s="35" t="s">
        <v>1313</v>
      </c>
      <c r="CP42" s="35" t="s">
        <v>2800</v>
      </c>
      <c r="CQ42" s="35" t="s">
        <v>685</v>
      </c>
      <c r="CR42" s="35" t="s">
        <v>956</v>
      </c>
      <c r="CS42" s="35" t="s">
        <v>555</v>
      </c>
      <c r="CT42" s="35" t="s">
        <v>2801</v>
      </c>
      <c r="CU42" s="35" t="s">
        <v>11224</v>
      </c>
      <c r="CV42" s="35" t="s">
        <v>450</v>
      </c>
      <c r="CW42" s="35" t="s">
        <v>451</v>
      </c>
      <c r="CX42" s="35" t="s">
        <v>2803</v>
      </c>
      <c r="CY42" s="35" t="s">
        <v>455</v>
      </c>
      <c r="CZ42" s="35" t="s">
        <v>2804</v>
      </c>
      <c r="DA42" s="35" t="s">
        <v>453</v>
      </c>
      <c r="DB42" s="35" t="s">
        <v>2805</v>
      </c>
      <c r="DC42" s="35" t="s">
        <v>455</v>
      </c>
      <c r="DD42" s="35" t="s">
        <v>2806</v>
      </c>
      <c r="DE42" s="35" t="s">
        <v>988</v>
      </c>
      <c r="DG42" s="35" t="s">
        <v>2807</v>
      </c>
      <c r="DH42" s="35" t="s">
        <v>561</v>
      </c>
      <c r="DI42" s="35" t="s">
        <v>1220</v>
      </c>
      <c r="DJ42" s="35" t="s">
        <v>963</v>
      </c>
      <c r="DK42" s="35" t="s">
        <v>613</v>
      </c>
      <c r="EU42" s="35" t="s">
        <v>526</v>
      </c>
      <c r="EV42" s="35" t="s">
        <v>579</v>
      </c>
      <c r="EW42" s="35" t="s">
        <v>1534</v>
      </c>
      <c r="FA42" s="35" t="s">
        <v>414</v>
      </c>
      <c r="FB42" s="35" t="s">
        <v>414</v>
      </c>
      <c r="FC42" s="35" t="s">
        <v>416</v>
      </c>
      <c r="FD42" s="35" t="s">
        <v>414</v>
      </c>
      <c r="FE42" s="35" t="s">
        <v>414</v>
      </c>
      <c r="FF42" s="35" t="s">
        <v>583</v>
      </c>
      <c r="FG42" s="35" t="s">
        <v>415</v>
      </c>
      <c r="FH42" s="35" t="s">
        <v>415</v>
      </c>
      <c r="FI42" s="35" t="s">
        <v>414</v>
      </c>
      <c r="FJ42" s="35" t="s">
        <v>413</v>
      </c>
      <c r="FK42" s="35" t="s">
        <v>413</v>
      </c>
      <c r="FL42" s="35" t="s">
        <v>415</v>
      </c>
      <c r="FM42" s="35" t="s">
        <v>415</v>
      </c>
      <c r="FN42" s="35" t="s">
        <v>413</v>
      </c>
      <c r="FO42" s="35" t="s">
        <v>583</v>
      </c>
      <c r="FP42" s="35" t="s">
        <v>417</v>
      </c>
      <c r="FQ42" s="35" t="s">
        <v>418</v>
      </c>
      <c r="FR42" s="35" t="s">
        <v>1039</v>
      </c>
      <c r="FT42" s="35" t="s">
        <v>420</v>
      </c>
      <c r="FU42" s="35" t="s">
        <v>488</v>
      </c>
      <c r="FV42" s="35" t="s">
        <v>1235</v>
      </c>
      <c r="FW42" s="35" t="s">
        <v>490</v>
      </c>
      <c r="FX42" s="35" t="s">
        <v>491</v>
      </c>
      <c r="FY42" s="35" t="s">
        <v>11225</v>
      </c>
      <c r="FZ42" s="35" t="s">
        <v>535</v>
      </c>
      <c r="GC42" s="35" t="s">
        <v>408</v>
      </c>
      <c r="GH42" s="35" t="s">
        <v>857</v>
      </c>
      <c r="GI42" s="35" t="s">
        <v>857</v>
      </c>
      <c r="GJ42" s="35" t="s">
        <v>790</v>
      </c>
    </row>
    <row r="43">
      <c r="A43" s="40"/>
      <c r="B43" s="40">
        <v>45828.60358170139</v>
      </c>
      <c r="C43" s="35" t="s">
        <v>368</v>
      </c>
      <c r="D43" s="35" t="s">
        <v>2827</v>
      </c>
      <c r="E43" s="35" t="s">
        <v>2827</v>
      </c>
      <c r="H43" s="35" t="s">
        <v>1140</v>
      </c>
      <c r="I43" s="35" t="s">
        <v>496</v>
      </c>
      <c r="J43" s="35" t="s">
        <v>374</v>
      </c>
      <c r="K43" s="35" t="s">
        <v>718</v>
      </c>
      <c r="L43" s="35" t="s">
        <v>376</v>
      </c>
      <c r="M43" s="35" t="s">
        <v>379</v>
      </c>
      <c r="N43" s="35" t="s">
        <v>378</v>
      </c>
      <c r="O43" s="35" t="s">
        <v>591</v>
      </c>
      <c r="P43" s="35" t="s">
        <v>380</v>
      </c>
      <c r="Q43" s="35" t="s">
        <v>498</v>
      </c>
      <c r="R43" s="35" t="s">
        <v>1156</v>
      </c>
      <c r="S43" s="35" t="s">
        <v>500</v>
      </c>
      <c r="T43" s="35" t="s">
        <v>384</v>
      </c>
      <c r="U43" s="35" t="s">
        <v>385</v>
      </c>
      <c r="X43" s="35" t="s">
        <v>593</v>
      </c>
      <c r="Y43" s="35" t="s">
        <v>642</v>
      </c>
      <c r="AM43" s="35" t="s">
        <v>1141</v>
      </c>
      <c r="AN43" s="35" t="s">
        <v>644</v>
      </c>
      <c r="AO43" s="35" t="s">
        <v>455</v>
      </c>
      <c r="AQ43" s="35" t="s">
        <v>1144</v>
      </c>
      <c r="AR43" s="41">
        <v>1.0</v>
      </c>
      <c r="AS43" s="35" t="s">
        <v>647</v>
      </c>
      <c r="AW43" s="35" t="s">
        <v>597</v>
      </c>
      <c r="AX43" s="35" t="s">
        <v>391</v>
      </c>
      <c r="AY43" s="41">
        <v>2.0</v>
      </c>
      <c r="AZ43" s="35" t="s">
        <v>391</v>
      </c>
      <c r="BA43" s="41">
        <v>4.0</v>
      </c>
      <c r="BB43" s="41">
        <v>2.0</v>
      </c>
      <c r="BC43" s="41">
        <v>2.0</v>
      </c>
      <c r="BD43" s="35" t="s">
        <v>10566</v>
      </c>
      <c r="BE43" s="35" t="s">
        <v>11226</v>
      </c>
      <c r="BF43" s="35" t="s">
        <v>392</v>
      </c>
      <c r="BG43" s="35" t="s">
        <v>393</v>
      </c>
      <c r="BH43" s="35" t="s">
        <v>765</v>
      </c>
      <c r="BJ43" s="35" t="s">
        <v>435</v>
      </c>
      <c r="BL43" s="35" t="s">
        <v>602</v>
      </c>
      <c r="BM43" s="35" t="s">
        <v>438</v>
      </c>
      <c r="BN43" s="35" t="s">
        <v>397</v>
      </c>
      <c r="BO43" s="35" t="s">
        <v>513</v>
      </c>
      <c r="CM43" s="35" t="s">
        <v>441</v>
      </c>
      <c r="CN43" s="35" t="s">
        <v>401</v>
      </c>
      <c r="CO43" s="35" t="s">
        <v>6001</v>
      </c>
      <c r="CP43" s="35" t="s">
        <v>8609</v>
      </c>
      <c r="CQ43" s="35" t="s">
        <v>979</v>
      </c>
      <c r="CR43" s="35" t="s">
        <v>2831</v>
      </c>
      <c r="CS43" s="35" t="s">
        <v>447</v>
      </c>
      <c r="CT43" s="35" t="s">
        <v>2832</v>
      </c>
      <c r="CU43" s="35" t="s">
        <v>2833</v>
      </c>
      <c r="CV43" s="35" t="s">
        <v>519</v>
      </c>
      <c r="CW43" s="35" t="s">
        <v>451</v>
      </c>
      <c r="CX43" s="35" t="s">
        <v>2834</v>
      </c>
      <c r="CY43" s="35" t="s">
        <v>408</v>
      </c>
      <c r="DA43" s="35" t="s">
        <v>453</v>
      </c>
      <c r="DC43" s="35" t="s">
        <v>455</v>
      </c>
      <c r="DD43" s="35" t="s">
        <v>11227</v>
      </c>
      <c r="DE43" s="35" t="s">
        <v>988</v>
      </c>
      <c r="DH43" s="35" t="s">
        <v>561</v>
      </c>
      <c r="DI43" s="35" t="s">
        <v>410</v>
      </c>
      <c r="DJ43" s="35" t="s">
        <v>459</v>
      </c>
      <c r="DK43" s="35" t="s">
        <v>460</v>
      </c>
      <c r="DL43" s="35" t="s">
        <v>461</v>
      </c>
      <c r="EU43" s="35" t="s">
        <v>526</v>
      </c>
      <c r="EV43" s="35" t="s">
        <v>479</v>
      </c>
      <c r="EW43" s="35" t="s">
        <v>1534</v>
      </c>
      <c r="FA43" s="35" t="s">
        <v>413</v>
      </c>
      <c r="FB43" s="35" t="s">
        <v>415</v>
      </c>
      <c r="FC43" s="35" t="s">
        <v>413</v>
      </c>
      <c r="FD43" s="35" t="s">
        <v>416</v>
      </c>
      <c r="FE43" s="35" t="s">
        <v>413</v>
      </c>
      <c r="FF43" s="35" t="s">
        <v>416</v>
      </c>
      <c r="FG43" s="35" t="s">
        <v>413</v>
      </c>
      <c r="FH43" s="35" t="s">
        <v>413</v>
      </c>
      <c r="FI43" s="35" t="s">
        <v>583</v>
      </c>
      <c r="FJ43" s="35" t="s">
        <v>583</v>
      </c>
      <c r="FK43" s="35" t="s">
        <v>413</v>
      </c>
      <c r="FL43" s="35" t="s">
        <v>416</v>
      </c>
      <c r="FM43" s="35" t="s">
        <v>413</v>
      </c>
      <c r="FN43" s="35" t="s">
        <v>413</v>
      </c>
      <c r="FO43" s="35" t="s">
        <v>583</v>
      </c>
      <c r="FP43" s="35" t="s">
        <v>485</v>
      </c>
      <c r="FQ43" s="35" t="s">
        <v>486</v>
      </c>
      <c r="FR43" s="35" t="s">
        <v>531</v>
      </c>
      <c r="FT43" s="35" t="s">
        <v>420</v>
      </c>
      <c r="FU43" s="35" t="s">
        <v>488</v>
      </c>
      <c r="FV43" s="35" t="s">
        <v>533</v>
      </c>
      <c r="FW43" s="35" t="s">
        <v>490</v>
      </c>
      <c r="FX43" s="35" t="s">
        <v>491</v>
      </c>
      <c r="FY43" s="35" t="s">
        <v>11228</v>
      </c>
      <c r="FZ43" s="35" t="s">
        <v>493</v>
      </c>
      <c r="GC43" s="35" t="s">
        <v>455</v>
      </c>
      <c r="GD43" s="35" t="s">
        <v>11229</v>
      </c>
      <c r="GE43" s="35">
        <v>9.62788712267E11</v>
      </c>
      <c r="GF43" s="35" t="s">
        <v>1339</v>
      </c>
      <c r="GH43" s="35" t="s">
        <v>755</v>
      </c>
      <c r="GI43" s="35" t="s">
        <v>755</v>
      </c>
      <c r="GJ43" s="35" t="s">
        <v>946</v>
      </c>
      <c r="GO43" s="35" t="s">
        <v>11230</v>
      </c>
      <c r="GP43" s="35" t="s">
        <v>11230</v>
      </c>
    </row>
    <row r="44">
      <c r="A44" s="40"/>
      <c r="B44" s="40">
        <v>45828.791163622685</v>
      </c>
      <c r="C44" s="35" t="s">
        <v>368</v>
      </c>
      <c r="D44" s="35" t="s">
        <v>370</v>
      </c>
      <c r="F44" s="35" t="s">
        <v>1480</v>
      </c>
      <c r="H44" s="35" t="s">
        <v>422</v>
      </c>
      <c r="I44" s="35" t="s">
        <v>373</v>
      </c>
      <c r="J44" s="35" t="s">
        <v>374</v>
      </c>
      <c r="K44" s="35" t="s">
        <v>590</v>
      </c>
      <c r="L44" s="35" t="s">
        <v>376</v>
      </c>
      <c r="M44" s="35" t="s">
        <v>379</v>
      </c>
      <c r="N44" s="35" t="s">
        <v>378</v>
      </c>
      <c r="O44" s="35" t="s">
        <v>379</v>
      </c>
      <c r="P44" s="35" t="s">
        <v>380</v>
      </c>
      <c r="Q44" s="35" t="s">
        <v>381</v>
      </c>
      <c r="R44" s="35" t="s">
        <v>1156</v>
      </c>
      <c r="S44" s="35" t="s">
        <v>427</v>
      </c>
      <c r="T44" s="35" t="s">
        <v>384</v>
      </c>
      <c r="U44" s="35" t="s">
        <v>385</v>
      </c>
      <c r="X44" s="35" t="s">
        <v>593</v>
      </c>
      <c r="Y44" s="35" t="s">
        <v>387</v>
      </c>
      <c r="Z44" s="35" t="s">
        <v>388</v>
      </c>
      <c r="AA44" s="35" t="s">
        <v>502</v>
      </c>
      <c r="AB44" s="35" t="s">
        <v>1962</v>
      </c>
      <c r="AC44" s="35" t="s">
        <v>2908</v>
      </c>
      <c r="AW44" s="35" t="s">
        <v>390</v>
      </c>
      <c r="AX44" s="35" t="s">
        <v>391</v>
      </c>
      <c r="AY44" s="35" t="s">
        <v>391</v>
      </c>
      <c r="AZ44" s="41">
        <v>2.0</v>
      </c>
      <c r="BA44" s="41">
        <v>2.0</v>
      </c>
      <c r="BB44" s="41">
        <v>2.0</v>
      </c>
      <c r="BC44" s="41">
        <v>2.0</v>
      </c>
      <c r="BD44" s="35" t="s">
        <v>2909</v>
      </c>
      <c r="BE44" s="35" t="s">
        <v>2910</v>
      </c>
      <c r="BF44" s="35" t="s">
        <v>392</v>
      </c>
      <c r="BG44" s="35" t="s">
        <v>393</v>
      </c>
      <c r="BH44" s="35" t="s">
        <v>434</v>
      </c>
      <c r="BI44" s="35" t="s">
        <v>2911</v>
      </c>
      <c r="BJ44" s="35" t="s">
        <v>976</v>
      </c>
      <c r="BL44" s="35" t="s">
        <v>395</v>
      </c>
      <c r="BM44" s="35" t="s">
        <v>603</v>
      </c>
      <c r="BN44" s="35" t="s">
        <v>549</v>
      </c>
      <c r="BO44" s="35" t="s">
        <v>513</v>
      </c>
      <c r="CM44" s="35" t="s">
        <v>441</v>
      </c>
      <c r="CN44" s="35" t="s">
        <v>401</v>
      </c>
      <c r="CO44" s="35" t="s">
        <v>2912</v>
      </c>
      <c r="CP44" s="35" t="s">
        <v>2913</v>
      </c>
      <c r="CQ44" s="35" t="s">
        <v>685</v>
      </c>
      <c r="CR44" s="35" t="s">
        <v>2914</v>
      </c>
      <c r="CS44" s="35" t="s">
        <v>447</v>
      </c>
      <c r="CT44" s="35" t="s">
        <v>2915</v>
      </c>
      <c r="CU44" s="35" t="s">
        <v>2916</v>
      </c>
      <c r="CV44" s="35" t="s">
        <v>450</v>
      </c>
      <c r="CW44" s="35" t="s">
        <v>451</v>
      </c>
      <c r="CX44" s="35" t="s">
        <v>2917</v>
      </c>
      <c r="CY44" s="35" t="s">
        <v>408</v>
      </c>
      <c r="DA44" s="35" t="s">
        <v>453</v>
      </c>
      <c r="DB44" s="35" t="s">
        <v>2918</v>
      </c>
      <c r="DC44" s="35" t="s">
        <v>408</v>
      </c>
      <c r="DE44" s="35" t="s">
        <v>662</v>
      </c>
      <c r="DF44" s="35" t="s">
        <v>407</v>
      </c>
      <c r="DG44" s="35" t="s">
        <v>2919</v>
      </c>
      <c r="DH44" s="35" t="s">
        <v>561</v>
      </c>
      <c r="DI44" s="35" t="s">
        <v>410</v>
      </c>
      <c r="DJ44" s="35" t="s">
        <v>459</v>
      </c>
      <c r="DK44" s="35" t="s">
        <v>460</v>
      </c>
      <c r="DL44" s="35" t="s">
        <v>461</v>
      </c>
      <c r="EU44" s="35" t="s">
        <v>526</v>
      </c>
      <c r="EV44" s="35" t="s">
        <v>479</v>
      </c>
      <c r="EW44" s="35" t="s">
        <v>480</v>
      </c>
      <c r="EY44" s="35" t="s">
        <v>2920</v>
      </c>
      <c r="EZ44" s="35" t="s">
        <v>2921</v>
      </c>
      <c r="FA44" s="35" t="s">
        <v>583</v>
      </c>
      <c r="FB44" s="35" t="s">
        <v>583</v>
      </c>
      <c r="FC44" s="35" t="s">
        <v>583</v>
      </c>
      <c r="FD44" s="35" t="s">
        <v>583</v>
      </c>
      <c r="FE44" s="35" t="s">
        <v>415</v>
      </c>
      <c r="FF44" s="35" t="s">
        <v>583</v>
      </c>
      <c r="FG44" s="35" t="s">
        <v>484</v>
      </c>
      <c r="FH44" s="35" t="s">
        <v>416</v>
      </c>
      <c r="FI44" s="35" t="s">
        <v>583</v>
      </c>
      <c r="FJ44" s="35" t="s">
        <v>414</v>
      </c>
      <c r="FK44" s="35" t="s">
        <v>415</v>
      </c>
      <c r="FL44" s="35" t="s">
        <v>415</v>
      </c>
      <c r="FM44" s="35" t="s">
        <v>415</v>
      </c>
      <c r="FN44" s="35" t="s">
        <v>416</v>
      </c>
      <c r="FO44" s="35" t="s">
        <v>583</v>
      </c>
      <c r="FP44" s="35" t="s">
        <v>417</v>
      </c>
      <c r="FQ44" s="35" t="s">
        <v>418</v>
      </c>
      <c r="FR44" s="35" t="s">
        <v>749</v>
      </c>
      <c r="FS44" s="35" t="s">
        <v>2922</v>
      </c>
      <c r="FT44" s="35" t="s">
        <v>420</v>
      </c>
      <c r="FU44" s="35" t="s">
        <v>488</v>
      </c>
      <c r="FV44" s="35" t="s">
        <v>489</v>
      </c>
      <c r="FW44" s="35" t="s">
        <v>490</v>
      </c>
      <c r="FX44" s="35" t="s">
        <v>491</v>
      </c>
      <c r="FY44" s="35" t="s">
        <v>2923</v>
      </c>
      <c r="FZ44" s="35" t="s">
        <v>535</v>
      </c>
      <c r="GA44" s="35" t="s">
        <v>2924</v>
      </c>
      <c r="GB44" s="35" t="s">
        <v>2925</v>
      </c>
      <c r="GC44" s="35" t="s">
        <v>455</v>
      </c>
      <c r="GD44" s="35" t="s">
        <v>11231</v>
      </c>
      <c r="GF44" s="35" t="s">
        <v>1339</v>
      </c>
      <c r="GG44" s="35" t="s">
        <v>2926</v>
      </c>
      <c r="GH44" s="35" t="s">
        <v>755</v>
      </c>
      <c r="GI44" s="35" t="s">
        <v>755</v>
      </c>
      <c r="GJ44" s="35" t="s">
        <v>946</v>
      </c>
    </row>
    <row r="45">
      <c r="A45" s="40"/>
      <c r="B45" s="40">
        <v>45828.88566534722</v>
      </c>
      <c r="C45" s="35" t="s">
        <v>368</v>
      </c>
      <c r="D45" s="35" t="s">
        <v>370</v>
      </c>
      <c r="F45" s="35" t="s">
        <v>667</v>
      </c>
      <c r="H45" s="35" t="s">
        <v>422</v>
      </c>
      <c r="I45" s="35" t="s">
        <v>1921</v>
      </c>
      <c r="J45" s="35" t="s">
        <v>668</v>
      </c>
      <c r="K45" s="35" t="s">
        <v>375</v>
      </c>
      <c r="L45" s="35" t="s">
        <v>376</v>
      </c>
      <c r="M45" s="35" t="s">
        <v>379</v>
      </c>
      <c r="N45" s="35" t="s">
        <v>378</v>
      </c>
      <c r="O45" s="35" t="s">
        <v>426</v>
      </c>
      <c r="P45" s="35" t="s">
        <v>380</v>
      </c>
      <c r="Q45" s="35" t="s">
        <v>498</v>
      </c>
      <c r="R45" s="35" t="s">
        <v>862</v>
      </c>
      <c r="S45" s="35" t="s">
        <v>500</v>
      </c>
      <c r="T45" s="35" t="s">
        <v>384</v>
      </c>
      <c r="U45" s="35" t="s">
        <v>385</v>
      </c>
      <c r="X45" s="35" t="s">
        <v>386</v>
      </c>
      <c r="Y45" s="35" t="s">
        <v>387</v>
      </c>
      <c r="Z45" s="35" t="s">
        <v>388</v>
      </c>
      <c r="AA45" s="35" t="s">
        <v>543</v>
      </c>
      <c r="AB45" s="35" t="s">
        <v>2927</v>
      </c>
      <c r="AW45" s="35" t="s">
        <v>1310</v>
      </c>
      <c r="AX45" s="35" t="s">
        <v>675</v>
      </c>
      <c r="AY45" s="35" t="s">
        <v>675</v>
      </c>
      <c r="AZ45" s="41">
        <v>2.0</v>
      </c>
      <c r="BA45" s="41">
        <v>4.0</v>
      </c>
      <c r="BB45" s="41">
        <v>4.0</v>
      </c>
      <c r="BC45" s="41">
        <v>4.0</v>
      </c>
      <c r="BD45" s="35" t="s">
        <v>2928</v>
      </c>
      <c r="BE45" s="35" t="s">
        <v>2929</v>
      </c>
      <c r="BF45" s="35" t="s">
        <v>902</v>
      </c>
      <c r="BG45" s="35" t="s">
        <v>1245</v>
      </c>
      <c r="BH45" s="35" t="s">
        <v>765</v>
      </c>
      <c r="BI45" s="35" t="s">
        <v>552</v>
      </c>
      <c r="BJ45" s="35" t="s">
        <v>976</v>
      </c>
      <c r="BL45" s="35" t="s">
        <v>437</v>
      </c>
      <c r="BM45" s="35" t="s">
        <v>904</v>
      </c>
      <c r="BN45" s="35" t="s">
        <v>1247</v>
      </c>
      <c r="BO45" s="35" t="s">
        <v>513</v>
      </c>
      <c r="CM45" s="35" t="s">
        <v>441</v>
      </c>
      <c r="CN45" s="35" t="s">
        <v>401</v>
      </c>
      <c r="CO45" s="35" t="s">
        <v>2930</v>
      </c>
      <c r="CP45" s="35" t="s">
        <v>552</v>
      </c>
      <c r="CQ45" s="35" t="s">
        <v>403</v>
      </c>
      <c r="CR45" s="35" t="s">
        <v>931</v>
      </c>
      <c r="CS45" s="35" t="s">
        <v>447</v>
      </c>
      <c r="CT45" s="35" t="s">
        <v>1137</v>
      </c>
      <c r="CU45" s="35" t="s">
        <v>2931</v>
      </c>
      <c r="CV45" s="35" t="s">
        <v>1852</v>
      </c>
      <c r="CW45" s="35" t="s">
        <v>409</v>
      </c>
      <c r="CX45" s="35" t="s">
        <v>2932</v>
      </c>
      <c r="CY45" s="35" t="s">
        <v>408</v>
      </c>
      <c r="DA45" s="35" t="s">
        <v>1962</v>
      </c>
      <c r="DC45" s="35" t="s">
        <v>408</v>
      </c>
      <c r="DE45" s="35" t="s">
        <v>406</v>
      </c>
      <c r="DF45" s="35" t="s">
        <v>1058</v>
      </c>
      <c r="DG45" s="35" t="s">
        <v>2933</v>
      </c>
      <c r="DH45" s="35" t="s">
        <v>990</v>
      </c>
      <c r="DI45" s="35" t="s">
        <v>694</v>
      </c>
      <c r="DJ45" s="35" t="s">
        <v>459</v>
      </c>
      <c r="DK45" s="35" t="s">
        <v>562</v>
      </c>
      <c r="DL45" s="35" t="s">
        <v>461</v>
      </c>
      <c r="EU45" s="35" t="s">
        <v>478</v>
      </c>
      <c r="EV45" s="35" t="s">
        <v>1037</v>
      </c>
      <c r="EW45" s="35" t="s">
        <v>527</v>
      </c>
      <c r="EY45" s="35" t="s">
        <v>2934</v>
      </c>
      <c r="EZ45" s="35" t="s">
        <v>2935</v>
      </c>
      <c r="FA45" s="35" t="s">
        <v>414</v>
      </c>
      <c r="FB45" s="35" t="s">
        <v>583</v>
      </c>
      <c r="FC45" s="35" t="s">
        <v>416</v>
      </c>
      <c r="FD45" s="35" t="s">
        <v>583</v>
      </c>
      <c r="FE45" s="35" t="s">
        <v>413</v>
      </c>
      <c r="FF45" s="35" t="s">
        <v>583</v>
      </c>
      <c r="FG45" s="35" t="s">
        <v>484</v>
      </c>
      <c r="FH45" s="35" t="s">
        <v>413</v>
      </c>
      <c r="FI45" s="35" t="s">
        <v>583</v>
      </c>
      <c r="FJ45" s="35" t="s">
        <v>583</v>
      </c>
      <c r="FK45" s="35" t="s">
        <v>583</v>
      </c>
      <c r="FL45" s="35" t="s">
        <v>583</v>
      </c>
      <c r="FM45" s="35" t="s">
        <v>583</v>
      </c>
      <c r="FN45" s="35" t="s">
        <v>413</v>
      </c>
      <c r="FO45" s="35" t="s">
        <v>583</v>
      </c>
      <c r="FP45" s="35" t="s">
        <v>485</v>
      </c>
      <c r="FQ45" s="35" t="s">
        <v>418</v>
      </c>
      <c r="FR45" s="35" t="s">
        <v>630</v>
      </c>
      <c r="FS45" s="35" t="s">
        <v>2936</v>
      </c>
      <c r="FT45" s="35" t="s">
        <v>1871</v>
      </c>
      <c r="FU45" s="35" t="s">
        <v>1476</v>
      </c>
      <c r="FV45" s="35" t="s">
        <v>533</v>
      </c>
      <c r="FW45" s="35" t="s">
        <v>1101</v>
      </c>
      <c r="FX45" s="35" t="s">
        <v>1853</v>
      </c>
      <c r="FZ45" s="35" t="s">
        <v>1854</v>
      </c>
      <c r="GC45" s="35" t="s">
        <v>408</v>
      </c>
      <c r="GH45" s="35" t="s">
        <v>857</v>
      </c>
      <c r="GI45" s="35" t="s">
        <v>857</v>
      </c>
      <c r="GJ45" s="35" t="s">
        <v>756</v>
      </c>
    </row>
    <row r="46">
      <c r="A46" s="40"/>
      <c r="B46" s="40">
        <v>45828.891574270834</v>
      </c>
      <c r="C46" s="35" t="s">
        <v>368</v>
      </c>
      <c r="D46" s="35" t="s">
        <v>370</v>
      </c>
      <c r="F46" s="35" t="s">
        <v>1510</v>
      </c>
      <c r="H46" s="35" t="s">
        <v>422</v>
      </c>
      <c r="I46" s="35" t="s">
        <v>423</v>
      </c>
      <c r="J46" s="35" t="s">
        <v>668</v>
      </c>
      <c r="K46" s="35" t="s">
        <v>718</v>
      </c>
      <c r="L46" s="35" t="s">
        <v>376</v>
      </c>
      <c r="M46" s="35" t="s">
        <v>591</v>
      </c>
      <c r="N46" s="35" t="s">
        <v>2539</v>
      </c>
      <c r="O46" s="35" t="s">
        <v>591</v>
      </c>
      <c r="P46" s="35" t="s">
        <v>719</v>
      </c>
      <c r="Q46" s="35" t="s">
        <v>498</v>
      </c>
      <c r="R46" s="35" t="s">
        <v>499</v>
      </c>
      <c r="S46" s="35" t="s">
        <v>1197</v>
      </c>
      <c r="T46" s="35" t="s">
        <v>384</v>
      </c>
      <c r="U46" s="35" t="s">
        <v>385</v>
      </c>
      <c r="X46" s="35" t="s">
        <v>386</v>
      </c>
      <c r="Y46" s="35" t="s">
        <v>387</v>
      </c>
      <c r="Z46" s="35" t="s">
        <v>1824</v>
      </c>
      <c r="AA46" s="35" t="s">
        <v>543</v>
      </c>
      <c r="AB46" s="35" t="s">
        <v>2937</v>
      </c>
      <c r="AW46" s="35" t="s">
        <v>597</v>
      </c>
      <c r="AX46" s="41">
        <v>2.0</v>
      </c>
      <c r="AY46" s="41">
        <v>2.0</v>
      </c>
      <c r="AZ46" s="35" t="s">
        <v>391</v>
      </c>
      <c r="BA46" s="35" t="s">
        <v>391</v>
      </c>
      <c r="BB46" s="35" t="s">
        <v>391</v>
      </c>
      <c r="BC46" s="35" t="s">
        <v>391</v>
      </c>
      <c r="BD46" s="35" t="s">
        <v>2938</v>
      </c>
      <c r="BE46" s="35" t="s">
        <v>2939</v>
      </c>
      <c r="BF46" s="35" t="s">
        <v>902</v>
      </c>
      <c r="BG46" s="35" t="s">
        <v>1095</v>
      </c>
      <c r="BH46" s="35" t="s">
        <v>434</v>
      </c>
      <c r="BJ46" s="35" t="s">
        <v>435</v>
      </c>
      <c r="BK46" s="35" t="s">
        <v>2940</v>
      </c>
      <c r="BL46" s="35" t="s">
        <v>602</v>
      </c>
      <c r="BM46" s="35" t="s">
        <v>438</v>
      </c>
      <c r="BN46" s="35" t="s">
        <v>1247</v>
      </c>
      <c r="BO46" s="35" t="s">
        <v>513</v>
      </c>
      <c r="CM46" s="35" t="s">
        <v>441</v>
      </c>
      <c r="CN46" s="35" t="s">
        <v>604</v>
      </c>
      <c r="CO46" s="35" t="s">
        <v>552</v>
      </c>
      <c r="CP46" s="35" t="s">
        <v>2941</v>
      </c>
      <c r="CQ46" s="35" t="s">
        <v>685</v>
      </c>
      <c r="CR46" s="35" t="s">
        <v>931</v>
      </c>
      <c r="CS46" s="35" t="s">
        <v>447</v>
      </c>
      <c r="CT46" s="35" t="s">
        <v>2942</v>
      </c>
      <c r="CU46" s="35" t="s">
        <v>2943</v>
      </c>
      <c r="CV46" s="35" t="s">
        <v>450</v>
      </c>
      <c r="CW46" s="35" t="s">
        <v>451</v>
      </c>
      <c r="CX46" s="35" t="s">
        <v>2944</v>
      </c>
      <c r="CY46" s="35" t="s">
        <v>408</v>
      </c>
      <c r="DA46" s="35" t="s">
        <v>1398</v>
      </c>
      <c r="DB46" s="35" t="s">
        <v>2945</v>
      </c>
      <c r="DC46" s="35" t="s">
        <v>455</v>
      </c>
      <c r="DD46" s="35" t="s">
        <v>2946</v>
      </c>
      <c r="DE46" s="35" t="s">
        <v>406</v>
      </c>
      <c r="DF46" s="35" t="s">
        <v>1368</v>
      </c>
      <c r="DG46" s="35" t="s">
        <v>2947</v>
      </c>
      <c r="DH46" s="35" t="s">
        <v>693</v>
      </c>
      <c r="DI46" s="35" t="s">
        <v>833</v>
      </c>
      <c r="DJ46" s="35" t="s">
        <v>459</v>
      </c>
      <c r="DK46" s="35" t="s">
        <v>1403</v>
      </c>
      <c r="DL46" s="35" t="s">
        <v>461</v>
      </c>
      <c r="EU46" s="35" t="s">
        <v>578</v>
      </c>
      <c r="EV46" s="35" t="s">
        <v>479</v>
      </c>
      <c r="EW46" s="35" t="s">
        <v>480</v>
      </c>
      <c r="EY46" s="35" t="s">
        <v>2948</v>
      </c>
      <c r="EZ46" s="35" t="s">
        <v>2949</v>
      </c>
      <c r="FA46" s="35" t="s">
        <v>414</v>
      </c>
      <c r="FB46" s="35" t="s">
        <v>414</v>
      </c>
      <c r="FC46" s="35" t="s">
        <v>416</v>
      </c>
      <c r="FD46" s="35" t="s">
        <v>416</v>
      </c>
      <c r="FE46" s="35" t="s">
        <v>416</v>
      </c>
      <c r="FF46" s="35" t="s">
        <v>414</v>
      </c>
      <c r="FG46" s="35" t="s">
        <v>415</v>
      </c>
      <c r="FH46" s="35" t="s">
        <v>415</v>
      </c>
      <c r="FI46" s="35" t="s">
        <v>415</v>
      </c>
      <c r="FJ46" s="35" t="s">
        <v>415</v>
      </c>
      <c r="FK46" s="35" t="s">
        <v>416</v>
      </c>
      <c r="FL46" s="35" t="s">
        <v>414</v>
      </c>
      <c r="FM46" s="35" t="s">
        <v>414</v>
      </c>
      <c r="FN46" s="35" t="s">
        <v>415</v>
      </c>
      <c r="FO46" s="35" t="s">
        <v>583</v>
      </c>
      <c r="FP46" s="35" t="s">
        <v>850</v>
      </c>
      <c r="FQ46" s="35" t="s">
        <v>418</v>
      </c>
      <c r="FR46" s="35" t="s">
        <v>531</v>
      </c>
      <c r="FT46" s="35" t="s">
        <v>995</v>
      </c>
      <c r="FU46" s="35" t="s">
        <v>488</v>
      </c>
      <c r="FV46" s="35" t="s">
        <v>489</v>
      </c>
      <c r="FW46" s="35" t="s">
        <v>490</v>
      </c>
      <c r="FX46" s="35" t="s">
        <v>491</v>
      </c>
      <c r="FY46" s="35" t="s">
        <v>2950</v>
      </c>
      <c r="FZ46" s="35" t="s">
        <v>493</v>
      </c>
      <c r="GB46" s="35" t="s">
        <v>408</v>
      </c>
      <c r="GC46" s="35" t="s">
        <v>408</v>
      </c>
      <c r="GH46" s="35" t="s">
        <v>755</v>
      </c>
      <c r="GI46" s="35" t="s">
        <v>755</v>
      </c>
      <c r="GJ46" s="35" t="s">
        <v>817</v>
      </c>
    </row>
    <row r="47">
      <c r="A47" s="40"/>
      <c r="B47" s="40">
        <v>45829.0024090625</v>
      </c>
      <c r="C47" s="35" t="s">
        <v>368</v>
      </c>
      <c r="D47" s="35" t="s">
        <v>370</v>
      </c>
      <c r="F47" s="35" t="s">
        <v>1480</v>
      </c>
      <c r="H47" s="35" t="s">
        <v>422</v>
      </c>
      <c r="I47" s="35" t="s">
        <v>373</v>
      </c>
      <c r="J47" s="35" t="s">
        <v>638</v>
      </c>
      <c r="K47" s="35" t="s">
        <v>375</v>
      </c>
      <c r="L47" s="35" t="s">
        <v>376</v>
      </c>
      <c r="M47" s="35" t="s">
        <v>426</v>
      </c>
      <c r="N47" s="35" t="s">
        <v>2966</v>
      </c>
      <c r="O47" s="35" t="s">
        <v>426</v>
      </c>
      <c r="P47" s="35" t="s">
        <v>497</v>
      </c>
      <c r="Q47" s="35" t="s">
        <v>1760</v>
      </c>
      <c r="R47" s="35" t="s">
        <v>499</v>
      </c>
      <c r="S47" s="35" t="s">
        <v>500</v>
      </c>
      <c r="T47" s="35" t="s">
        <v>384</v>
      </c>
      <c r="U47" s="35" t="s">
        <v>385</v>
      </c>
      <c r="X47" s="35" t="s">
        <v>386</v>
      </c>
      <c r="Y47" s="35" t="s">
        <v>1706</v>
      </c>
      <c r="AD47" s="35" t="s">
        <v>2967</v>
      </c>
      <c r="AE47" s="35" t="s">
        <v>2968</v>
      </c>
      <c r="AF47" s="35" t="s">
        <v>1143</v>
      </c>
      <c r="AG47" s="35" t="s">
        <v>2969</v>
      </c>
      <c r="AH47" s="41">
        <v>5.0</v>
      </c>
      <c r="AI47" s="35" t="s">
        <v>1639</v>
      </c>
      <c r="AJ47" s="35" t="s">
        <v>2970</v>
      </c>
      <c r="AK47" s="35" t="s">
        <v>2971</v>
      </c>
      <c r="AL47" s="35" t="s">
        <v>396</v>
      </c>
      <c r="AW47" s="35" t="s">
        <v>390</v>
      </c>
      <c r="AX47" s="35" t="s">
        <v>391</v>
      </c>
      <c r="AY47" s="35" t="s">
        <v>391</v>
      </c>
      <c r="AZ47" s="35" t="s">
        <v>429</v>
      </c>
      <c r="BA47" s="35" t="s">
        <v>429</v>
      </c>
      <c r="BB47" s="41">
        <v>2.0</v>
      </c>
      <c r="BC47" s="35" t="s">
        <v>429</v>
      </c>
      <c r="BD47" s="35" t="s">
        <v>2972</v>
      </c>
      <c r="BE47" s="35" t="s">
        <v>11232</v>
      </c>
      <c r="BF47" s="35" t="s">
        <v>392</v>
      </c>
      <c r="BG47" s="35" t="s">
        <v>433</v>
      </c>
      <c r="BH47" s="35" t="s">
        <v>678</v>
      </c>
      <c r="BI47" s="35" t="s">
        <v>2974</v>
      </c>
      <c r="BJ47" s="35" t="s">
        <v>509</v>
      </c>
      <c r="BK47" s="35" t="s">
        <v>2975</v>
      </c>
      <c r="BL47" s="35" t="s">
        <v>511</v>
      </c>
      <c r="BM47" s="35" t="s">
        <v>512</v>
      </c>
      <c r="BN47" s="35" t="s">
        <v>439</v>
      </c>
      <c r="BO47" s="35" t="s">
        <v>513</v>
      </c>
      <c r="CM47" s="35" t="s">
        <v>441</v>
      </c>
      <c r="CN47" s="35" t="s">
        <v>604</v>
      </c>
      <c r="CO47" s="35" t="s">
        <v>2976</v>
      </c>
      <c r="CP47" s="35" t="s">
        <v>2977</v>
      </c>
      <c r="CQ47" s="35" t="s">
        <v>1008</v>
      </c>
      <c r="CR47" s="35" t="s">
        <v>2978</v>
      </c>
      <c r="CS47" s="35" t="s">
        <v>804</v>
      </c>
      <c r="CT47" s="35" t="s">
        <v>2979</v>
      </c>
      <c r="CU47" s="35" t="s">
        <v>2980</v>
      </c>
      <c r="CV47" s="35" t="s">
        <v>519</v>
      </c>
      <c r="CW47" s="35" t="s">
        <v>451</v>
      </c>
      <c r="CX47" s="35" t="s">
        <v>2830</v>
      </c>
      <c r="CY47" s="35" t="s">
        <v>408</v>
      </c>
      <c r="DA47" s="35" t="s">
        <v>453</v>
      </c>
      <c r="DB47" s="35" t="s">
        <v>2981</v>
      </c>
      <c r="DC47" s="35" t="s">
        <v>455</v>
      </c>
      <c r="DD47" s="35" t="s">
        <v>2982</v>
      </c>
      <c r="DE47" s="35" t="s">
        <v>662</v>
      </c>
      <c r="DG47" s="35" t="s">
        <v>2983</v>
      </c>
      <c r="DH47" s="35" t="s">
        <v>561</v>
      </c>
      <c r="DI47" s="35" t="s">
        <v>410</v>
      </c>
      <c r="DJ47" s="35" t="s">
        <v>459</v>
      </c>
      <c r="DK47" s="35" t="s">
        <v>613</v>
      </c>
      <c r="EU47" s="35" t="s">
        <v>526</v>
      </c>
      <c r="EV47" s="35" t="s">
        <v>479</v>
      </c>
      <c r="EW47" s="35" t="s">
        <v>480</v>
      </c>
      <c r="EX47" s="35" t="s">
        <v>2984</v>
      </c>
      <c r="EY47" s="35" t="s">
        <v>2985</v>
      </c>
      <c r="EZ47" s="35" t="s">
        <v>2986</v>
      </c>
      <c r="FA47" s="35" t="s">
        <v>583</v>
      </c>
      <c r="FB47" s="35" t="s">
        <v>583</v>
      </c>
      <c r="FC47" s="35" t="s">
        <v>583</v>
      </c>
      <c r="FD47" s="35" t="s">
        <v>583</v>
      </c>
      <c r="FE47" s="35" t="s">
        <v>414</v>
      </c>
      <c r="FF47" s="35" t="s">
        <v>583</v>
      </c>
      <c r="FG47" s="35" t="s">
        <v>583</v>
      </c>
      <c r="FH47" s="35" t="s">
        <v>414</v>
      </c>
      <c r="FI47" s="35" t="s">
        <v>583</v>
      </c>
      <c r="FJ47" s="35" t="s">
        <v>583</v>
      </c>
      <c r="FK47" s="35" t="s">
        <v>583</v>
      </c>
      <c r="FL47" s="35" t="s">
        <v>414</v>
      </c>
      <c r="FM47" s="35" t="s">
        <v>484</v>
      </c>
      <c r="FN47" s="35" t="s">
        <v>484</v>
      </c>
      <c r="FO47" s="35" t="s">
        <v>583</v>
      </c>
      <c r="FP47" s="35" t="s">
        <v>417</v>
      </c>
      <c r="FQ47" s="35" t="s">
        <v>486</v>
      </c>
      <c r="FR47" s="35" t="s">
        <v>712</v>
      </c>
      <c r="FS47" s="35" t="s">
        <v>2987</v>
      </c>
      <c r="FT47" s="35" t="s">
        <v>420</v>
      </c>
      <c r="FU47" s="35" t="s">
        <v>488</v>
      </c>
      <c r="FV47" s="35" t="s">
        <v>533</v>
      </c>
      <c r="FW47" s="35" t="s">
        <v>490</v>
      </c>
      <c r="FX47" s="35" t="s">
        <v>491</v>
      </c>
      <c r="FY47" s="35" t="s">
        <v>2988</v>
      </c>
      <c r="FZ47" s="35" t="s">
        <v>535</v>
      </c>
      <c r="GA47" s="35" t="s">
        <v>2989</v>
      </c>
      <c r="GC47" s="35" t="s">
        <v>455</v>
      </c>
      <c r="GD47" s="35" t="s">
        <v>11233</v>
      </c>
      <c r="GE47" s="35" t="s">
        <v>11234</v>
      </c>
      <c r="GF47" s="35" t="s">
        <v>944</v>
      </c>
      <c r="GG47" s="35" t="s">
        <v>733</v>
      </c>
      <c r="GH47" s="35" t="s">
        <v>1000</v>
      </c>
      <c r="GI47" s="35" t="s">
        <v>1000</v>
      </c>
      <c r="GJ47" s="35" t="s">
        <v>817</v>
      </c>
    </row>
    <row r="48">
      <c r="A48" s="40"/>
      <c r="B48" s="40">
        <v>45829.01592366898</v>
      </c>
      <c r="C48" s="35" t="s">
        <v>368</v>
      </c>
      <c r="D48" s="35" t="s">
        <v>370</v>
      </c>
      <c r="F48" s="35" t="s">
        <v>791</v>
      </c>
      <c r="H48" s="35" t="s">
        <v>1093</v>
      </c>
      <c r="I48" s="35" t="s">
        <v>1203</v>
      </c>
      <c r="J48" s="35" t="s">
        <v>638</v>
      </c>
      <c r="K48" s="35" t="s">
        <v>1023</v>
      </c>
      <c r="L48" s="35" t="s">
        <v>376</v>
      </c>
      <c r="M48" s="35" t="s">
        <v>1526</v>
      </c>
      <c r="N48" s="35" t="s">
        <v>1024</v>
      </c>
      <c r="O48" s="35" t="s">
        <v>396</v>
      </c>
      <c r="P48" s="35" t="s">
        <v>1024</v>
      </c>
      <c r="Q48" s="35" t="s">
        <v>498</v>
      </c>
      <c r="R48" s="35" t="s">
        <v>759</v>
      </c>
      <c r="S48" s="35" t="s">
        <v>427</v>
      </c>
      <c r="T48" s="35" t="s">
        <v>384</v>
      </c>
      <c r="U48" s="35" t="s">
        <v>385</v>
      </c>
      <c r="X48" s="35" t="s">
        <v>1023</v>
      </c>
      <c r="AW48" s="35" t="s">
        <v>597</v>
      </c>
      <c r="AX48" s="35" t="s">
        <v>391</v>
      </c>
      <c r="AY48" s="35" t="s">
        <v>391</v>
      </c>
      <c r="AZ48" s="35" t="s">
        <v>391</v>
      </c>
      <c r="BB48" s="41">
        <v>2.0</v>
      </c>
      <c r="BC48" s="41">
        <v>2.0</v>
      </c>
      <c r="BD48" s="35" t="s">
        <v>2990</v>
      </c>
      <c r="BE48" s="35" t="s">
        <v>2991</v>
      </c>
      <c r="BF48" s="35" t="s">
        <v>1094</v>
      </c>
      <c r="BH48" s="35" t="s">
        <v>678</v>
      </c>
      <c r="BJ48" s="35" t="s">
        <v>824</v>
      </c>
      <c r="BL48" s="35" t="s">
        <v>511</v>
      </c>
      <c r="BM48" s="35" t="s">
        <v>396</v>
      </c>
      <c r="BN48" s="35" t="s">
        <v>549</v>
      </c>
      <c r="BO48" s="35" t="s">
        <v>513</v>
      </c>
      <c r="CM48" s="35" t="s">
        <v>441</v>
      </c>
      <c r="CN48" s="35" t="s">
        <v>604</v>
      </c>
      <c r="CO48" s="35" t="s">
        <v>2992</v>
      </c>
      <c r="CP48" s="35" t="s">
        <v>2993</v>
      </c>
      <c r="CQ48" s="35" t="s">
        <v>979</v>
      </c>
      <c r="CR48" s="35" t="s">
        <v>2994</v>
      </c>
      <c r="CS48" s="35" t="s">
        <v>404</v>
      </c>
      <c r="CT48" s="35" t="s">
        <v>1032</v>
      </c>
      <c r="CU48" s="35" t="s">
        <v>2995</v>
      </c>
      <c r="CV48" s="35" t="s">
        <v>450</v>
      </c>
      <c r="CW48" s="35" t="s">
        <v>451</v>
      </c>
      <c r="CY48" s="35" t="s">
        <v>733</v>
      </c>
      <c r="DA48" s="35" t="s">
        <v>453</v>
      </c>
      <c r="DB48" s="35" t="s">
        <v>2996</v>
      </c>
      <c r="DC48" s="35" t="s">
        <v>913</v>
      </c>
      <c r="DE48" s="35" t="s">
        <v>406</v>
      </c>
      <c r="DF48" s="35" t="s">
        <v>407</v>
      </c>
      <c r="DH48" s="35" t="s">
        <v>524</v>
      </c>
      <c r="DI48" s="35" t="s">
        <v>410</v>
      </c>
      <c r="DJ48" s="35" t="s">
        <v>459</v>
      </c>
      <c r="DK48" s="35" t="s">
        <v>613</v>
      </c>
      <c r="EU48" s="35" t="s">
        <v>526</v>
      </c>
      <c r="EV48" s="35" t="s">
        <v>1037</v>
      </c>
      <c r="EW48" s="35" t="s">
        <v>580</v>
      </c>
      <c r="FA48" s="35" t="s">
        <v>415</v>
      </c>
      <c r="FB48" s="35" t="s">
        <v>415</v>
      </c>
      <c r="FC48" s="35" t="s">
        <v>416</v>
      </c>
      <c r="FD48" s="35" t="s">
        <v>583</v>
      </c>
      <c r="FE48" s="35" t="s">
        <v>413</v>
      </c>
      <c r="FF48" s="35" t="s">
        <v>414</v>
      </c>
      <c r="FG48" s="35" t="s">
        <v>416</v>
      </c>
      <c r="FH48" s="35" t="s">
        <v>414</v>
      </c>
      <c r="FI48" s="35" t="s">
        <v>583</v>
      </c>
      <c r="FJ48" s="35" t="s">
        <v>583</v>
      </c>
      <c r="FK48" s="35" t="s">
        <v>415</v>
      </c>
      <c r="FL48" s="35" t="s">
        <v>413</v>
      </c>
      <c r="FM48" s="35" t="s">
        <v>415</v>
      </c>
      <c r="FN48" s="35" t="s">
        <v>416</v>
      </c>
      <c r="FO48" s="35" t="s">
        <v>415</v>
      </c>
      <c r="FP48" s="35" t="s">
        <v>417</v>
      </c>
      <c r="FQ48" s="35" t="s">
        <v>418</v>
      </c>
      <c r="FR48" s="35" t="s">
        <v>419</v>
      </c>
      <c r="FT48" s="35" t="s">
        <v>1871</v>
      </c>
      <c r="FU48" s="35" t="s">
        <v>488</v>
      </c>
      <c r="FV48" s="35" t="s">
        <v>533</v>
      </c>
      <c r="FW48" s="35" t="s">
        <v>490</v>
      </c>
      <c r="GC48" s="35" t="s">
        <v>408</v>
      </c>
      <c r="GH48" s="35" t="s">
        <v>1000</v>
      </c>
      <c r="GI48" s="35" t="s">
        <v>1000</v>
      </c>
      <c r="GJ48" s="35" t="s">
        <v>790</v>
      </c>
    </row>
    <row r="49">
      <c r="A49" s="40"/>
      <c r="B49" s="40">
        <v>45829.15104336805</v>
      </c>
      <c r="C49" s="35" t="s">
        <v>368</v>
      </c>
      <c r="D49" s="35" t="s">
        <v>538</v>
      </c>
      <c r="E49" s="35" t="s">
        <v>538</v>
      </c>
      <c r="H49" s="35" t="s">
        <v>2295</v>
      </c>
      <c r="I49" s="35" t="s">
        <v>373</v>
      </c>
      <c r="J49" s="35" t="s">
        <v>374</v>
      </c>
      <c r="K49" s="35" t="s">
        <v>718</v>
      </c>
      <c r="L49" s="35" t="s">
        <v>376</v>
      </c>
      <c r="M49" s="35" t="s">
        <v>379</v>
      </c>
      <c r="N49" s="35" t="s">
        <v>2997</v>
      </c>
      <c r="O49" s="35" t="s">
        <v>426</v>
      </c>
      <c r="P49" s="35" t="s">
        <v>2998</v>
      </c>
      <c r="Q49" s="35" t="s">
        <v>1760</v>
      </c>
      <c r="R49" s="35" t="s">
        <v>862</v>
      </c>
      <c r="S49" s="35" t="s">
        <v>500</v>
      </c>
      <c r="T49" s="35" t="s">
        <v>384</v>
      </c>
      <c r="U49" s="35" t="s">
        <v>385</v>
      </c>
      <c r="X49" s="35" t="s">
        <v>386</v>
      </c>
      <c r="Y49" s="35" t="s">
        <v>387</v>
      </c>
      <c r="Z49" s="35" t="s">
        <v>542</v>
      </c>
      <c r="AA49" s="35" t="s">
        <v>389</v>
      </c>
      <c r="AB49" s="35" t="s">
        <v>11235</v>
      </c>
      <c r="AW49" s="35" t="s">
        <v>390</v>
      </c>
      <c r="AX49" s="41">
        <v>2.0</v>
      </c>
      <c r="AY49" s="41">
        <v>2.0</v>
      </c>
      <c r="AZ49" s="35" t="s">
        <v>675</v>
      </c>
      <c r="BA49" s="35" t="s">
        <v>429</v>
      </c>
      <c r="BB49" s="41">
        <v>2.0</v>
      </c>
      <c r="BC49" s="35" t="s">
        <v>391</v>
      </c>
      <c r="BD49" s="35" t="s">
        <v>6790</v>
      </c>
      <c r="BE49" s="35" t="s">
        <v>2999</v>
      </c>
      <c r="BF49" s="35" t="s">
        <v>432</v>
      </c>
      <c r="BG49" s="35" t="s">
        <v>433</v>
      </c>
      <c r="BH49" s="35" t="s">
        <v>678</v>
      </c>
      <c r="BI49" s="35" t="s">
        <v>11236</v>
      </c>
      <c r="BJ49" s="35" t="s">
        <v>509</v>
      </c>
      <c r="BK49" s="35" t="s">
        <v>3001</v>
      </c>
      <c r="BL49" s="35" t="s">
        <v>602</v>
      </c>
      <c r="BM49" s="35" t="s">
        <v>512</v>
      </c>
      <c r="BN49" s="35" t="s">
        <v>549</v>
      </c>
      <c r="BO49" s="35" t="s">
        <v>513</v>
      </c>
      <c r="CM49" s="35" t="s">
        <v>441</v>
      </c>
      <c r="CN49" s="35" t="s">
        <v>401</v>
      </c>
      <c r="CO49" s="35" t="s">
        <v>6791</v>
      </c>
      <c r="CP49" s="35" t="s">
        <v>11237</v>
      </c>
      <c r="CQ49" s="35" t="s">
        <v>979</v>
      </c>
      <c r="CR49" s="35" t="s">
        <v>1568</v>
      </c>
      <c r="CS49" s="35" t="s">
        <v>555</v>
      </c>
      <c r="CT49" s="35" t="s">
        <v>1032</v>
      </c>
      <c r="CU49" s="35" t="s">
        <v>11238</v>
      </c>
      <c r="CV49" s="35" t="s">
        <v>450</v>
      </c>
      <c r="CW49" s="35" t="s">
        <v>451</v>
      </c>
      <c r="CX49" s="35" t="s">
        <v>3004</v>
      </c>
      <c r="CY49" s="35" t="s">
        <v>408</v>
      </c>
      <c r="CZ49" s="35" t="s">
        <v>3005</v>
      </c>
      <c r="DA49" s="35" t="s">
        <v>453</v>
      </c>
      <c r="DB49" s="35" t="s">
        <v>11239</v>
      </c>
      <c r="DC49" s="35" t="s">
        <v>408</v>
      </c>
      <c r="DE49" s="35" t="s">
        <v>457</v>
      </c>
      <c r="DG49" s="35" t="s">
        <v>3007</v>
      </c>
      <c r="DH49" s="35" t="s">
        <v>776</v>
      </c>
      <c r="DI49" s="35" t="s">
        <v>410</v>
      </c>
      <c r="DJ49" s="35" t="s">
        <v>459</v>
      </c>
      <c r="DK49" s="35" t="s">
        <v>460</v>
      </c>
      <c r="DL49" s="35" t="s">
        <v>461</v>
      </c>
      <c r="EU49" s="35" t="s">
        <v>2747</v>
      </c>
      <c r="EV49" s="35" t="s">
        <v>479</v>
      </c>
      <c r="EW49" s="35" t="s">
        <v>663</v>
      </c>
      <c r="EY49" s="35" t="s">
        <v>3008</v>
      </c>
      <c r="EZ49" s="35" t="s">
        <v>3009</v>
      </c>
      <c r="FA49" s="35" t="s">
        <v>583</v>
      </c>
      <c r="FB49" s="35" t="s">
        <v>583</v>
      </c>
      <c r="FC49" s="35" t="s">
        <v>413</v>
      </c>
      <c r="FD49" s="35" t="s">
        <v>583</v>
      </c>
      <c r="FE49" s="35" t="s">
        <v>415</v>
      </c>
      <c r="FF49" s="35" t="s">
        <v>583</v>
      </c>
      <c r="FG49" s="35" t="s">
        <v>415</v>
      </c>
      <c r="FH49" s="35" t="s">
        <v>415</v>
      </c>
      <c r="FI49" s="35" t="s">
        <v>583</v>
      </c>
      <c r="FJ49" s="35" t="s">
        <v>583</v>
      </c>
      <c r="FK49" s="35" t="s">
        <v>583</v>
      </c>
      <c r="FL49" s="35" t="s">
        <v>415</v>
      </c>
      <c r="FM49" s="35" t="s">
        <v>415</v>
      </c>
      <c r="FN49" s="35" t="s">
        <v>415</v>
      </c>
      <c r="FO49" s="35" t="s">
        <v>415</v>
      </c>
      <c r="FP49" s="35" t="s">
        <v>417</v>
      </c>
      <c r="FQ49" s="35" t="s">
        <v>418</v>
      </c>
      <c r="FR49" s="35" t="s">
        <v>1039</v>
      </c>
      <c r="FT49" s="35" t="s">
        <v>420</v>
      </c>
      <c r="FU49" s="35" t="s">
        <v>1462</v>
      </c>
      <c r="FV49" s="35" t="s">
        <v>1235</v>
      </c>
      <c r="FW49" s="35" t="s">
        <v>490</v>
      </c>
      <c r="FX49" s="35" t="s">
        <v>491</v>
      </c>
      <c r="FY49" s="35" t="s">
        <v>11240</v>
      </c>
      <c r="FZ49" s="35" t="s">
        <v>535</v>
      </c>
      <c r="GA49" s="35" t="s">
        <v>11241</v>
      </c>
      <c r="GC49" s="35" t="s">
        <v>408</v>
      </c>
      <c r="GH49" s="35" t="s">
        <v>788</v>
      </c>
      <c r="GI49" s="35" t="s">
        <v>755</v>
      </c>
      <c r="GJ49" s="35" t="s">
        <v>817</v>
      </c>
      <c r="GO49" s="35" t="s">
        <v>5767</v>
      </c>
      <c r="GP49" s="35" t="s">
        <v>5767</v>
      </c>
    </row>
    <row r="50">
      <c r="A50" s="40"/>
      <c r="B50" s="40">
        <v>45829.99185576389</v>
      </c>
      <c r="C50" s="35" t="s">
        <v>368</v>
      </c>
      <c r="D50" s="35" t="s">
        <v>370</v>
      </c>
      <c r="F50" s="35" t="s">
        <v>667</v>
      </c>
      <c r="H50" s="35" t="s">
        <v>3187</v>
      </c>
      <c r="I50" s="35" t="s">
        <v>539</v>
      </c>
      <c r="J50" s="35" t="s">
        <v>424</v>
      </c>
      <c r="K50" s="35" t="s">
        <v>375</v>
      </c>
      <c r="L50" s="35" t="s">
        <v>376</v>
      </c>
      <c r="M50" s="35" t="s">
        <v>426</v>
      </c>
      <c r="N50" s="35" t="s">
        <v>2464</v>
      </c>
      <c r="O50" s="35" t="s">
        <v>426</v>
      </c>
      <c r="P50" s="35" t="s">
        <v>719</v>
      </c>
      <c r="Q50" s="35" t="s">
        <v>592</v>
      </c>
      <c r="R50" s="35" t="s">
        <v>862</v>
      </c>
      <c r="S50" s="35" t="s">
        <v>500</v>
      </c>
      <c r="T50" s="35" t="s">
        <v>384</v>
      </c>
      <c r="U50" s="35" t="s">
        <v>385</v>
      </c>
      <c r="X50" s="35" t="s">
        <v>3014</v>
      </c>
      <c r="AW50" s="35" t="s">
        <v>504</v>
      </c>
      <c r="AX50" s="35" t="s">
        <v>429</v>
      </c>
      <c r="AY50" s="35" t="s">
        <v>429</v>
      </c>
      <c r="AZ50" s="35" t="s">
        <v>429</v>
      </c>
      <c r="BA50" s="35" t="s">
        <v>429</v>
      </c>
      <c r="BB50" s="35" t="s">
        <v>429</v>
      </c>
      <c r="BC50" s="35" t="s">
        <v>429</v>
      </c>
      <c r="BD50" s="35" t="s">
        <v>3188</v>
      </c>
      <c r="BE50" s="35" t="s">
        <v>3189</v>
      </c>
      <c r="BF50" s="35" t="s">
        <v>392</v>
      </c>
      <c r="BG50" s="35" t="s">
        <v>433</v>
      </c>
      <c r="BH50" s="35" t="s">
        <v>678</v>
      </c>
      <c r="BI50" s="35" t="s">
        <v>3190</v>
      </c>
      <c r="BJ50" s="35" t="s">
        <v>509</v>
      </c>
      <c r="BK50" s="35" t="s">
        <v>3191</v>
      </c>
      <c r="BL50" s="35" t="s">
        <v>511</v>
      </c>
      <c r="BM50" s="35" t="s">
        <v>512</v>
      </c>
      <c r="BN50" s="35" t="s">
        <v>439</v>
      </c>
      <c r="BO50" s="35" t="s">
        <v>513</v>
      </c>
      <c r="CM50" s="35" t="s">
        <v>441</v>
      </c>
      <c r="CN50" s="35" t="s">
        <v>442</v>
      </c>
      <c r="CO50" s="35" t="s">
        <v>1277</v>
      </c>
      <c r="CP50" s="35" t="s">
        <v>3192</v>
      </c>
      <c r="CQ50" s="35" t="s">
        <v>685</v>
      </c>
      <c r="CR50" s="35" t="s">
        <v>3193</v>
      </c>
      <c r="CS50" s="35" t="s">
        <v>447</v>
      </c>
      <c r="CT50" s="35" t="s">
        <v>3194</v>
      </c>
      <c r="CU50" s="35" t="s">
        <v>3195</v>
      </c>
      <c r="CV50" s="35" t="s">
        <v>450</v>
      </c>
      <c r="CW50" s="35" t="s">
        <v>451</v>
      </c>
      <c r="CX50" s="35" t="s">
        <v>3196</v>
      </c>
      <c r="CY50" s="35" t="s">
        <v>408</v>
      </c>
      <c r="DA50" s="35" t="s">
        <v>453</v>
      </c>
      <c r="DB50" s="35" t="s">
        <v>3197</v>
      </c>
      <c r="DC50" s="35" t="s">
        <v>455</v>
      </c>
      <c r="DD50" s="35" t="s">
        <v>3198</v>
      </c>
      <c r="DE50" s="35" t="s">
        <v>457</v>
      </c>
      <c r="DF50" s="35" t="s">
        <v>1368</v>
      </c>
      <c r="DG50" s="35" t="s">
        <v>3199</v>
      </c>
      <c r="DH50" s="35" t="s">
        <v>561</v>
      </c>
      <c r="DI50" s="35" t="s">
        <v>410</v>
      </c>
      <c r="DJ50" s="35" t="s">
        <v>459</v>
      </c>
      <c r="DK50" s="35" t="s">
        <v>613</v>
      </c>
      <c r="EU50" s="35" t="s">
        <v>526</v>
      </c>
      <c r="EV50" s="35" t="s">
        <v>887</v>
      </c>
      <c r="EW50" s="35" t="s">
        <v>480</v>
      </c>
      <c r="EX50" s="35" t="s">
        <v>3200</v>
      </c>
      <c r="EY50" s="35" t="s">
        <v>3201</v>
      </c>
      <c r="EZ50" s="35" t="s">
        <v>3202</v>
      </c>
      <c r="FA50" s="35" t="s">
        <v>413</v>
      </c>
      <c r="FB50" s="35" t="s">
        <v>413</v>
      </c>
      <c r="FC50" s="35" t="s">
        <v>413</v>
      </c>
      <c r="FD50" s="35" t="s">
        <v>413</v>
      </c>
      <c r="FE50" s="35" t="s">
        <v>413</v>
      </c>
      <c r="FF50" s="35" t="s">
        <v>413</v>
      </c>
      <c r="FG50" s="35" t="s">
        <v>413</v>
      </c>
      <c r="FH50" s="35" t="s">
        <v>413</v>
      </c>
      <c r="FI50" s="35" t="s">
        <v>413</v>
      </c>
      <c r="FK50" s="35" t="s">
        <v>413</v>
      </c>
      <c r="FP50" s="35" t="s">
        <v>485</v>
      </c>
      <c r="FQ50" s="35" t="s">
        <v>418</v>
      </c>
      <c r="FR50" s="35" t="s">
        <v>531</v>
      </c>
      <c r="FS50" s="35" t="s">
        <v>3203</v>
      </c>
      <c r="FT50" s="35" t="s">
        <v>420</v>
      </c>
      <c r="FU50" s="35" t="s">
        <v>488</v>
      </c>
      <c r="FV50" s="35" t="s">
        <v>585</v>
      </c>
      <c r="FW50" s="35" t="s">
        <v>490</v>
      </c>
      <c r="FX50" s="35" t="s">
        <v>491</v>
      </c>
      <c r="FY50" s="35" t="s">
        <v>3204</v>
      </c>
      <c r="FZ50" s="35" t="s">
        <v>535</v>
      </c>
      <c r="GA50" s="35" t="s">
        <v>3205</v>
      </c>
      <c r="GB50" s="35" t="s">
        <v>3206</v>
      </c>
      <c r="GC50" s="35" t="s">
        <v>455</v>
      </c>
      <c r="GD50" s="35" t="s">
        <v>11242</v>
      </c>
      <c r="GF50" s="35" t="s">
        <v>753</v>
      </c>
      <c r="GG50" s="35" t="s">
        <v>3207</v>
      </c>
      <c r="GH50" s="35" t="s">
        <v>755</v>
      </c>
      <c r="GI50" s="35" t="s">
        <v>755</v>
      </c>
      <c r="GJ50" s="35" t="s">
        <v>946</v>
      </c>
      <c r="GR50" s="35" t="s">
        <v>3208</v>
      </c>
    </row>
    <row r="51">
      <c r="A51" s="40"/>
      <c r="B51" s="40">
        <v>45829.99663518518</v>
      </c>
      <c r="C51" s="35" t="s">
        <v>368</v>
      </c>
      <c r="D51" s="35" t="s">
        <v>1341</v>
      </c>
      <c r="E51" s="35" t="s">
        <v>1341</v>
      </c>
      <c r="H51" s="35" t="s">
        <v>422</v>
      </c>
      <c r="I51" s="35" t="s">
        <v>1921</v>
      </c>
      <c r="J51" s="35" t="s">
        <v>668</v>
      </c>
      <c r="K51" s="35" t="s">
        <v>375</v>
      </c>
      <c r="L51" s="35" t="s">
        <v>376</v>
      </c>
      <c r="M51" s="35" t="s">
        <v>377</v>
      </c>
      <c r="N51" s="35" t="s">
        <v>497</v>
      </c>
      <c r="O51" s="35" t="s">
        <v>377</v>
      </c>
      <c r="P51" s="35" t="s">
        <v>497</v>
      </c>
      <c r="Q51" s="35" t="s">
        <v>498</v>
      </c>
      <c r="R51" s="35" t="s">
        <v>382</v>
      </c>
      <c r="S51" s="35" t="s">
        <v>427</v>
      </c>
      <c r="T51" s="35" t="s">
        <v>384</v>
      </c>
      <c r="U51" s="35" t="s">
        <v>385</v>
      </c>
      <c r="X51" s="35" t="s">
        <v>593</v>
      </c>
      <c r="Y51" s="35" t="s">
        <v>387</v>
      </c>
      <c r="Z51" s="35" t="s">
        <v>388</v>
      </c>
      <c r="AA51" s="35" t="s">
        <v>389</v>
      </c>
      <c r="AW51" s="35" t="s">
        <v>1242</v>
      </c>
      <c r="AX51" s="41">
        <v>4.0</v>
      </c>
      <c r="AY51" s="35" t="s">
        <v>675</v>
      </c>
      <c r="AZ51" s="41">
        <v>4.0</v>
      </c>
      <c r="BA51" s="41">
        <v>4.0</v>
      </c>
      <c r="BB51" s="35" t="s">
        <v>391</v>
      </c>
      <c r="BC51" s="35" t="s">
        <v>675</v>
      </c>
      <c r="BD51" s="35" t="s">
        <v>3209</v>
      </c>
      <c r="BE51" s="35" t="s">
        <v>3210</v>
      </c>
      <c r="BF51" s="35" t="s">
        <v>2379</v>
      </c>
      <c r="BG51" s="35" t="s">
        <v>1047</v>
      </c>
      <c r="BH51" s="35" t="s">
        <v>434</v>
      </c>
      <c r="BI51" s="35" t="s">
        <v>3211</v>
      </c>
      <c r="BJ51" s="35" t="s">
        <v>976</v>
      </c>
      <c r="BL51" s="35" t="s">
        <v>395</v>
      </c>
      <c r="BM51" s="35" t="s">
        <v>603</v>
      </c>
      <c r="BN51" s="35" t="s">
        <v>1314</v>
      </c>
      <c r="BO51" s="35" t="s">
        <v>513</v>
      </c>
      <c r="CM51" s="35" t="s">
        <v>682</v>
      </c>
      <c r="CN51" s="35" t="s">
        <v>604</v>
      </c>
      <c r="CO51" s="35" t="s">
        <v>3212</v>
      </c>
      <c r="CP51" s="35" t="s">
        <v>11243</v>
      </c>
      <c r="CQ51" s="35" t="s">
        <v>445</v>
      </c>
      <c r="CR51" s="35" t="s">
        <v>3214</v>
      </c>
      <c r="CS51" s="35" t="s">
        <v>404</v>
      </c>
      <c r="CU51" s="35" t="s">
        <v>3215</v>
      </c>
      <c r="CV51" s="35" t="s">
        <v>982</v>
      </c>
      <c r="CW51" s="35" t="s">
        <v>959</v>
      </c>
      <c r="CX51" s="35" t="s">
        <v>2675</v>
      </c>
      <c r="CY51" s="35" t="s">
        <v>408</v>
      </c>
      <c r="DA51" s="35" t="s">
        <v>1962</v>
      </c>
      <c r="DC51" s="35" t="s">
        <v>408</v>
      </c>
      <c r="DE51" s="35" t="s">
        <v>406</v>
      </c>
      <c r="DF51" s="35" t="s">
        <v>1058</v>
      </c>
      <c r="DH51" s="35" t="s">
        <v>990</v>
      </c>
      <c r="DI51" s="35" t="s">
        <v>410</v>
      </c>
      <c r="DJ51" s="35" t="s">
        <v>459</v>
      </c>
      <c r="DK51" s="35" t="s">
        <v>613</v>
      </c>
      <c r="EU51" s="35" t="s">
        <v>578</v>
      </c>
      <c r="EV51" s="35" t="s">
        <v>579</v>
      </c>
      <c r="EW51" s="35" t="s">
        <v>480</v>
      </c>
      <c r="EY51" s="35" t="s">
        <v>11244</v>
      </c>
      <c r="EZ51" s="35" t="s">
        <v>11245</v>
      </c>
      <c r="FA51" s="35" t="s">
        <v>583</v>
      </c>
      <c r="FB51" s="35" t="s">
        <v>415</v>
      </c>
      <c r="FC51" s="35" t="s">
        <v>414</v>
      </c>
      <c r="FD51" s="35" t="s">
        <v>583</v>
      </c>
      <c r="FE51" s="35" t="s">
        <v>583</v>
      </c>
      <c r="FF51" s="35" t="s">
        <v>583</v>
      </c>
      <c r="FG51" s="35" t="s">
        <v>583</v>
      </c>
      <c r="FH51" s="35" t="s">
        <v>415</v>
      </c>
      <c r="FI51" s="35" t="s">
        <v>415</v>
      </c>
      <c r="FJ51" s="35" t="s">
        <v>413</v>
      </c>
      <c r="FK51" s="35" t="s">
        <v>415</v>
      </c>
      <c r="FL51" s="35" t="s">
        <v>414</v>
      </c>
      <c r="FM51" s="35" t="s">
        <v>414</v>
      </c>
      <c r="FN51" s="35" t="s">
        <v>414</v>
      </c>
      <c r="FO51" s="35" t="s">
        <v>415</v>
      </c>
      <c r="FP51" s="35" t="s">
        <v>1537</v>
      </c>
      <c r="FQ51" s="35" t="s">
        <v>3218</v>
      </c>
      <c r="FR51" s="35" t="s">
        <v>749</v>
      </c>
      <c r="FT51" s="35" t="s">
        <v>1871</v>
      </c>
      <c r="FU51" s="35" t="s">
        <v>2398</v>
      </c>
      <c r="FV51" s="35" t="s">
        <v>585</v>
      </c>
      <c r="FW51" s="35" t="s">
        <v>2399</v>
      </c>
      <c r="FX51" s="35" t="s">
        <v>1853</v>
      </c>
      <c r="FZ51" s="35" t="s">
        <v>1854</v>
      </c>
      <c r="GC51" s="35" t="s">
        <v>455</v>
      </c>
      <c r="GD51" s="35" t="s">
        <v>11246</v>
      </c>
      <c r="GF51" s="35" t="s">
        <v>855</v>
      </c>
      <c r="GG51" s="35" t="s">
        <v>3219</v>
      </c>
      <c r="GH51" s="35" t="s">
        <v>755</v>
      </c>
      <c r="GI51" s="35" t="s">
        <v>1000</v>
      </c>
      <c r="GJ51" s="35" t="s">
        <v>946</v>
      </c>
      <c r="GO51" s="35" t="s">
        <v>3220</v>
      </c>
      <c r="GP51" s="35" t="s">
        <v>3220</v>
      </c>
      <c r="GR51" s="35" t="s">
        <v>3208</v>
      </c>
    </row>
    <row r="52">
      <c r="A52" s="40"/>
      <c r="B52" s="40">
        <v>45830.26074947917</v>
      </c>
      <c r="C52" s="35" t="s">
        <v>368</v>
      </c>
      <c r="D52" s="35" t="s">
        <v>370</v>
      </c>
      <c r="F52" s="35" t="s">
        <v>791</v>
      </c>
      <c r="H52" s="35" t="s">
        <v>422</v>
      </c>
      <c r="I52" s="35" t="s">
        <v>637</v>
      </c>
      <c r="J52" s="35" t="s">
        <v>638</v>
      </c>
      <c r="K52" s="35" t="s">
        <v>590</v>
      </c>
      <c r="L52" s="35" t="s">
        <v>376</v>
      </c>
      <c r="M52" s="35" t="s">
        <v>591</v>
      </c>
      <c r="N52" s="35" t="s">
        <v>2464</v>
      </c>
      <c r="O52" s="35" t="s">
        <v>379</v>
      </c>
      <c r="P52" s="35" t="s">
        <v>2464</v>
      </c>
      <c r="Q52" s="35" t="s">
        <v>592</v>
      </c>
      <c r="R52" s="35" t="s">
        <v>382</v>
      </c>
      <c r="S52" s="35" t="s">
        <v>427</v>
      </c>
      <c r="T52" s="35" t="s">
        <v>384</v>
      </c>
      <c r="U52" s="35" t="s">
        <v>385</v>
      </c>
      <c r="AW52" s="35" t="s">
        <v>1310</v>
      </c>
      <c r="AX52" s="35" t="s">
        <v>391</v>
      </c>
      <c r="AY52" s="35" t="s">
        <v>391</v>
      </c>
      <c r="AZ52" s="35" t="s">
        <v>391</v>
      </c>
      <c r="BA52" s="35" t="s">
        <v>391</v>
      </c>
      <c r="BB52" s="35" t="s">
        <v>391</v>
      </c>
      <c r="BC52" s="35" t="s">
        <v>391</v>
      </c>
      <c r="BD52" s="35" t="s">
        <v>3221</v>
      </c>
      <c r="BE52" s="35" t="s">
        <v>3222</v>
      </c>
      <c r="BF52" s="35" t="s">
        <v>432</v>
      </c>
      <c r="BG52" s="35" t="s">
        <v>1095</v>
      </c>
      <c r="BH52" s="35" t="s">
        <v>434</v>
      </c>
      <c r="BJ52" s="35" t="s">
        <v>824</v>
      </c>
      <c r="BL52" s="35" t="s">
        <v>511</v>
      </c>
      <c r="BM52" s="35" t="s">
        <v>396</v>
      </c>
      <c r="BN52" s="35" t="s">
        <v>1314</v>
      </c>
      <c r="BO52" s="35" t="s">
        <v>513</v>
      </c>
      <c r="CM52" s="35" t="s">
        <v>441</v>
      </c>
      <c r="CN52" s="35" t="s">
        <v>401</v>
      </c>
      <c r="CO52" s="35" t="s">
        <v>3223</v>
      </c>
      <c r="CP52" s="35" t="s">
        <v>3224</v>
      </c>
      <c r="CQ52" s="35" t="s">
        <v>403</v>
      </c>
      <c r="CR52" s="35" t="s">
        <v>3225</v>
      </c>
      <c r="CS52" s="35" t="s">
        <v>447</v>
      </c>
      <c r="CT52" s="35" t="s">
        <v>1626</v>
      </c>
      <c r="CU52" s="35" t="s">
        <v>3226</v>
      </c>
      <c r="CV52" s="35" t="s">
        <v>982</v>
      </c>
      <c r="CW52" s="35" t="s">
        <v>409</v>
      </c>
      <c r="CX52" s="35" t="s">
        <v>3227</v>
      </c>
      <c r="CY52" s="35" t="s">
        <v>408</v>
      </c>
      <c r="DA52" s="35" t="s">
        <v>1962</v>
      </c>
      <c r="DC52" s="35" t="s">
        <v>455</v>
      </c>
      <c r="DD52" s="35" t="s">
        <v>3228</v>
      </c>
      <c r="DE52" s="35" t="s">
        <v>406</v>
      </c>
      <c r="DF52" s="35" t="s">
        <v>407</v>
      </c>
      <c r="DH52" s="35" t="s">
        <v>776</v>
      </c>
      <c r="DI52" s="35" t="s">
        <v>1220</v>
      </c>
      <c r="DJ52" s="35" t="s">
        <v>459</v>
      </c>
      <c r="DK52" s="35" t="s">
        <v>613</v>
      </c>
      <c r="EU52" s="35" t="s">
        <v>578</v>
      </c>
      <c r="EV52" s="35" t="s">
        <v>479</v>
      </c>
      <c r="EW52" s="35" t="s">
        <v>1262</v>
      </c>
      <c r="FA52" s="35" t="s">
        <v>414</v>
      </c>
      <c r="FB52" s="35" t="s">
        <v>414</v>
      </c>
      <c r="FC52" s="35" t="s">
        <v>413</v>
      </c>
      <c r="FD52" s="35" t="s">
        <v>414</v>
      </c>
      <c r="FE52" s="35" t="s">
        <v>413</v>
      </c>
      <c r="FF52" s="35" t="s">
        <v>484</v>
      </c>
      <c r="FG52" s="35" t="s">
        <v>415</v>
      </c>
      <c r="FH52" s="35" t="s">
        <v>415</v>
      </c>
      <c r="FI52" s="35" t="s">
        <v>415</v>
      </c>
      <c r="FJ52" s="35" t="s">
        <v>415</v>
      </c>
      <c r="FK52" s="35" t="s">
        <v>415</v>
      </c>
      <c r="FL52" s="35" t="s">
        <v>415</v>
      </c>
      <c r="FM52" s="35" t="s">
        <v>415</v>
      </c>
      <c r="FN52" s="35" t="s">
        <v>415</v>
      </c>
      <c r="FO52" s="35" t="s">
        <v>415</v>
      </c>
      <c r="FP52" s="35" t="s">
        <v>1074</v>
      </c>
      <c r="FQ52" s="35" t="s">
        <v>418</v>
      </c>
      <c r="FS52" s="35" t="s">
        <v>3229</v>
      </c>
      <c r="FT52" s="35" t="s">
        <v>1076</v>
      </c>
      <c r="FU52" s="35" t="s">
        <v>1462</v>
      </c>
      <c r="FV52" s="35" t="s">
        <v>533</v>
      </c>
      <c r="FW52" s="35" t="s">
        <v>2387</v>
      </c>
      <c r="FX52" s="35" t="s">
        <v>491</v>
      </c>
      <c r="FY52" s="35" t="s">
        <v>3230</v>
      </c>
      <c r="FZ52" s="35" t="s">
        <v>493</v>
      </c>
      <c r="GC52" s="35" t="s">
        <v>455</v>
      </c>
      <c r="GD52" s="35" t="s">
        <v>11247</v>
      </c>
      <c r="GF52" s="35" t="s">
        <v>753</v>
      </c>
      <c r="GH52" s="35" t="s">
        <v>789</v>
      </c>
      <c r="GI52" s="35" t="s">
        <v>789</v>
      </c>
      <c r="GJ52" s="35" t="s">
        <v>921</v>
      </c>
      <c r="GR52" s="35" t="s">
        <v>3208</v>
      </c>
    </row>
    <row r="53">
      <c r="A53" s="40"/>
      <c r="B53" s="40">
        <v>45830.46624547454</v>
      </c>
      <c r="C53" s="35" t="s">
        <v>368</v>
      </c>
      <c r="D53" s="35" t="s">
        <v>370</v>
      </c>
      <c r="F53" s="35" t="s">
        <v>3338</v>
      </c>
      <c r="H53" s="35" t="s">
        <v>422</v>
      </c>
      <c r="I53" s="35" t="s">
        <v>423</v>
      </c>
      <c r="J53" s="35" t="s">
        <v>424</v>
      </c>
      <c r="K53" s="35" t="s">
        <v>375</v>
      </c>
      <c r="L53" s="35" t="s">
        <v>376</v>
      </c>
      <c r="M53" s="35" t="s">
        <v>377</v>
      </c>
      <c r="N53" s="35" t="s">
        <v>378</v>
      </c>
      <c r="O53" s="35" t="s">
        <v>591</v>
      </c>
      <c r="P53" s="35" t="s">
        <v>640</v>
      </c>
      <c r="Q53" s="35" t="s">
        <v>498</v>
      </c>
      <c r="R53" s="35" t="s">
        <v>1004</v>
      </c>
      <c r="S53" s="35" t="s">
        <v>949</v>
      </c>
      <c r="T53" s="35" t="s">
        <v>384</v>
      </c>
      <c r="U53" s="35" t="s">
        <v>385</v>
      </c>
      <c r="X53" s="35" t="s">
        <v>386</v>
      </c>
      <c r="Y53" s="35" t="s">
        <v>387</v>
      </c>
      <c r="Z53" s="35" t="s">
        <v>388</v>
      </c>
      <c r="AA53" s="35" t="s">
        <v>543</v>
      </c>
      <c r="AB53" s="35" t="s">
        <v>11248</v>
      </c>
      <c r="AW53" s="35" t="s">
        <v>1310</v>
      </c>
      <c r="AX53" s="35" t="s">
        <v>675</v>
      </c>
      <c r="AY53" s="41">
        <v>4.0</v>
      </c>
      <c r="AZ53" s="41">
        <v>2.0</v>
      </c>
      <c r="BA53" s="41">
        <v>4.0</v>
      </c>
      <c r="BB53" s="35" t="s">
        <v>429</v>
      </c>
      <c r="BC53" s="41">
        <v>4.0</v>
      </c>
      <c r="BD53" s="35" t="s">
        <v>3340</v>
      </c>
      <c r="BE53" s="35" t="s">
        <v>3341</v>
      </c>
      <c r="BF53" s="35" t="s">
        <v>432</v>
      </c>
      <c r="BG53" s="35" t="s">
        <v>1095</v>
      </c>
      <c r="BH53" s="35" t="s">
        <v>725</v>
      </c>
      <c r="BJ53" s="35" t="s">
        <v>976</v>
      </c>
      <c r="BL53" s="35" t="s">
        <v>602</v>
      </c>
      <c r="BM53" s="35" t="s">
        <v>904</v>
      </c>
      <c r="BN53" s="35" t="s">
        <v>1247</v>
      </c>
      <c r="BO53" s="35" t="s">
        <v>513</v>
      </c>
      <c r="CM53" s="35" t="s">
        <v>441</v>
      </c>
      <c r="CN53" s="35" t="s">
        <v>604</v>
      </c>
      <c r="CO53" s="35" t="s">
        <v>11249</v>
      </c>
      <c r="CP53" s="35" t="s">
        <v>3343</v>
      </c>
      <c r="CQ53" s="35" t="s">
        <v>445</v>
      </c>
      <c r="CR53" s="35" t="s">
        <v>1467</v>
      </c>
      <c r="CS53" s="35" t="s">
        <v>447</v>
      </c>
      <c r="CT53" s="35" t="s">
        <v>957</v>
      </c>
      <c r="CU53" s="35" t="s">
        <v>3344</v>
      </c>
      <c r="CV53" s="35" t="s">
        <v>1863</v>
      </c>
      <c r="CW53" s="35" t="s">
        <v>409</v>
      </c>
      <c r="CX53" s="35" t="s">
        <v>11250</v>
      </c>
      <c r="CY53" s="35" t="s">
        <v>408</v>
      </c>
      <c r="DA53" s="35" t="s">
        <v>1962</v>
      </c>
      <c r="DC53" s="35" t="s">
        <v>408</v>
      </c>
      <c r="DE53" s="35" t="s">
        <v>406</v>
      </c>
      <c r="DF53" s="35" t="s">
        <v>1058</v>
      </c>
      <c r="DG53" s="35" t="s">
        <v>3346</v>
      </c>
      <c r="DH53" s="35" t="s">
        <v>693</v>
      </c>
      <c r="DI53" s="35" t="s">
        <v>1964</v>
      </c>
      <c r="DJ53" s="35" t="s">
        <v>459</v>
      </c>
      <c r="DK53" s="35" t="s">
        <v>1403</v>
      </c>
      <c r="DL53" s="35" t="s">
        <v>461</v>
      </c>
      <c r="EU53" s="35" t="s">
        <v>578</v>
      </c>
      <c r="EV53" s="35" t="s">
        <v>479</v>
      </c>
      <c r="EW53" s="35" t="s">
        <v>580</v>
      </c>
      <c r="EY53" s="35" t="s">
        <v>11251</v>
      </c>
      <c r="EZ53" s="35" t="s">
        <v>3348</v>
      </c>
      <c r="FB53" s="35" t="s">
        <v>413</v>
      </c>
      <c r="FC53" s="35" t="s">
        <v>413</v>
      </c>
      <c r="FF53" s="35" t="s">
        <v>413</v>
      </c>
      <c r="FP53" s="35" t="s">
        <v>417</v>
      </c>
      <c r="FQ53" s="35" t="s">
        <v>418</v>
      </c>
      <c r="FR53" s="35" t="s">
        <v>630</v>
      </c>
      <c r="FS53" s="35" t="s">
        <v>11252</v>
      </c>
      <c r="FT53" s="35" t="s">
        <v>1871</v>
      </c>
      <c r="FU53" s="35" t="s">
        <v>1462</v>
      </c>
      <c r="FV53" s="35" t="s">
        <v>918</v>
      </c>
      <c r="FW53" s="35" t="s">
        <v>490</v>
      </c>
      <c r="FX53" s="35" t="s">
        <v>491</v>
      </c>
      <c r="FY53" s="35" t="s">
        <v>3349</v>
      </c>
      <c r="FZ53" s="35" t="s">
        <v>493</v>
      </c>
      <c r="GA53" s="35" t="s">
        <v>3350</v>
      </c>
      <c r="GC53" s="35" t="s">
        <v>455</v>
      </c>
      <c r="GD53" s="35" t="s">
        <v>11253</v>
      </c>
      <c r="GF53" s="35" t="s">
        <v>786</v>
      </c>
      <c r="GH53" s="35" t="s">
        <v>755</v>
      </c>
      <c r="GI53" s="35" t="s">
        <v>755</v>
      </c>
      <c r="GJ53" s="35" t="s">
        <v>817</v>
      </c>
      <c r="GR53" s="35" t="s">
        <v>3351</v>
      </c>
    </row>
    <row r="54">
      <c r="A54" s="40"/>
      <c r="B54" s="40">
        <v>45830.74782991898</v>
      </c>
      <c r="C54" s="35" t="s">
        <v>368</v>
      </c>
      <c r="D54" s="35" t="s">
        <v>370</v>
      </c>
      <c r="F54" s="35" t="s">
        <v>371</v>
      </c>
      <c r="H54" s="35" t="s">
        <v>422</v>
      </c>
      <c r="I54" s="35" t="s">
        <v>373</v>
      </c>
      <c r="J54" s="35" t="s">
        <v>374</v>
      </c>
      <c r="K54" s="35" t="s">
        <v>375</v>
      </c>
      <c r="L54" s="35" t="s">
        <v>376</v>
      </c>
      <c r="M54" s="35" t="s">
        <v>793</v>
      </c>
      <c r="N54" s="35" t="s">
        <v>1690</v>
      </c>
      <c r="O54" s="35" t="s">
        <v>793</v>
      </c>
      <c r="P54" s="35" t="s">
        <v>3453</v>
      </c>
      <c r="Q54" s="35" t="s">
        <v>592</v>
      </c>
      <c r="R54" s="35" t="s">
        <v>499</v>
      </c>
      <c r="S54" s="35" t="s">
        <v>949</v>
      </c>
      <c r="T54" s="35" t="s">
        <v>384</v>
      </c>
      <c r="U54" s="35" t="s">
        <v>385</v>
      </c>
      <c r="X54" s="35" t="s">
        <v>3014</v>
      </c>
      <c r="AW54" s="35" t="s">
        <v>597</v>
      </c>
      <c r="AX54" s="41">
        <v>4.0</v>
      </c>
      <c r="AY54" s="41">
        <v>4.0</v>
      </c>
      <c r="AZ54" s="41">
        <v>4.0</v>
      </c>
      <c r="BA54" s="35" t="s">
        <v>391</v>
      </c>
      <c r="BB54" s="41">
        <v>2.0</v>
      </c>
      <c r="BC54" s="35" t="s">
        <v>391</v>
      </c>
      <c r="BF54" s="35" t="s">
        <v>902</v>
      </c>
      <c r="BG54" s="35" t="s">
        <v>393</v>
      </c>
      <c r="BH54" s="35" t="s">
        <v>725</v>
      </c>
      <c r="BJ54" s="35" t="s">
        <v>976</v>
      </c>
      <c r="BL54" s="35" t="s">
        <v>602</v>
      </c>
      <c r="BM54" s="35" t="s">
        <v>603</v>
      </c>
      <c r="BN54" s="35" t="s">
        <v>1247</v>
      </c>
      <c r="BO54" s="35" t="s">
        <v>513</v>
      </c>
      <c r="CM54" s="35" t="s">
        <v>441</v>
      </c>
      <c r="CN54" s="35" t="s">
        <v>401</v>
      </c>
      <c r="CQ54" s="35" t="s">
        <v>403</v>
      </c>
      <c r="CR54" s="35" t="s">
        <v>931</v>
      </c>
      <c r="CS54" s="35" t="s">
        <v>404</v>
      </c>
      <c r="CY54" s="35" t="s">
        <v>408</v>
      </c>
      <c r="DA54" s="35" t="s">
        <v>1398</v>
      </c>
      <c r="DC54" s="35" t="s">
        <v>408</v>
      </c>
      <c r="DE54" s="35" t="s">
        <v>406</v>
      </c>
      <c r="DF54" s="35" t="s">
        <v>1058</v>
      </c>
      <c r="DH54" s="35" t="s">
        <v>776</v>
      </c>
      <c r="DI54" s="35" t="s">
        <v>1220</v>
      </c>
      <c r="DJ54" s="35" t="s">
        <v>777</v>
      </c>
      <c r="DK54" s="35" t="s">
        <v>460</v>
      </c>
      <c r="DL54" s="35" t="s">
        <v>1434</v>
      </c>
      <c r="EU54" s="35" t="s">
        <v>526</v>
      </c>
      <c r="EV54" s="35" t="s">
        <v>887</v>
      </c>
      <c r="EW54" s="35" t="s">
        <v>580</v>
      </c>
      <c r="FA54" s="35" t="s">
        <v>416</v>
      </c>
      <c r="FB54" s="35" t="s">
        <v>415</v>
      </c>
      <c r="FC54" s="35" t="s">
        <v>413</v>
      </c>
      <c r="FD54" s="35" t="s">
        <v>413</v>
      </c>
      <c r="FE54" s="35" t="s">
        <v>413</v>
      </c>
      <c r="FF54" s="35" t="s">
        <v>415</v>
      </c>
      <c r="FG54" s="35" t="s">
        <v>413</v>
      </c>
      <c r="FH54" s="35" t="s">
        <v>415</v>
      </c>
      <c r="FI54" s="35" t="s">
        <v>415</v>
      </c>
      <c r="FJ54" s="35" t="s">
        <v>414</v>
      </c>
      <c r="FK54" s="35" t="s">
        <v>415</v>
      </c>
      <c r="FL54" s="35" t="s">
        <v>415</v>
      </c>
      <c r="FM54" s="35" t="s">
        <v>415</v>
      </c>
      <c r="FN54" s="35" t="s">
        <v>416</v>
      </c>
      <c r="FO54" s="35" t="s">
        <v>583</v>
      </c>
      <c r="FP54" s="35" t="s">
        <v>850</v>
      </c>
      <c r="FQ54" s="35" t="s">
        <v>418</v>
      </c>
      <c r="FR54" s="35" t="s">
        <v>749</v>
      </c>
      <c r="FT54" s="35" t="s">
        <v>420</v>
      </c>
      <c r="FU54" s="35" t="s">
        <v>488</v>
      </c>
      <c r="FV54" s="35" t="s">
        <v>489</v>
      </c>
      <c r="FW54" s="35" t="s">
        <v>490</v>
      </c>
      <c r="FX54" s="35" t="s">
        <v>1853</v>
      </c>
      <c r="FZ54" s="35" t="s">
        <v>1020</v>
      </c>
      <c r="GH54" s="35" t="s">
        <v>755</v>
      </c>
      <c r="GI54" s="35" t="s">
        <v>755</v>
      </c>
      <c r="GJ54" s="35" t="s">
        <v>946</v>
      </c>
      <c r="GR54" s="35" t="s">
        <v>3208</v>
      </c>
    </row>
    <row r="55">
      <c r="A55" s="40"/>
      <c r="B55" s="40">
        <v>45830.76834444444</v>
      </c>
      <c r="C55" s="35" t="s">
        <v>368</v>
      </c>
      <c r="D55" s="35" t="s">
        <v>370</v>
      </c>
      <c r="F55" s="35" t="s">
        <v>495</v>
      </c>
      <c r="H55" s="35" t="s">
        <v>422</v>
      </c>
      <c r="I55" s="35" t="s">
        <v>637</v>
      </c>
      <c r="J55" s="35" t="s">
        <v>638</v>
      </c>
      <c r="K55" s="35" t="s">
        <v>375</v>
      </c>
      <c r="L55" s="35" t="s">
        <v>376</v>
      </c>
      <c r="M55" s="35" t="s">
        <v>379</v>
      </c>
      <c r="N55" s="35" t="s">
        <v>2464</v>
      </c>
      <c r="O55" s="35" t="s">
        <v>591</v>
      </c>
      <c r="P55" s="35" t="s">
        <v>380</v>
      </c>
      <c r="Q55" s="35" t="s">
        <v>381</v>
      </c>
      <c r="R55" s="35" t="s">
        <v>1156</v>
      </c>
      <c r="S55" s="35" t="s">
        <v>427</v>
      </c>
      <c r="T55" s="35" t="s">
        <v>384</v>
      </c>
      <c r="U55" s="35" t="s">
        <v>385</v>
      </c>
      <c r="X55" s="35" t="s">
        <v>593</v>
      </c>
      <c r="Y55" s="35" t="s">
        <v>387</v>
      </c>
      <c r="Z55" s="35" t="s">
        <v>1444</v>
      </c>
      <c r="AA55" s="35" t="s">
        <v>672</v>
      </c>
      <c r="AB55" s="35" t="s">
        <v>408</v>
      </c>
      <c r="AW55" s="35" t="s">
        <v>504</v>
      </c>
      <c r="AX55" s="41">
        <v>2.0</v>
      </c>
      <c r="AY55" s="35" t="s">
        <v>429</v>
      </c>
      <c r="AZ55" s="35" t="s">
        <v>391</v>
      </c>
      <c r="BA55" s="41">
        <v>2.0</v>
      </c>
      <c r="BB55" s="41">
        <v>2.0</v>
      </c>
      <c r="BC55" s="35" t="s">
        <v>429</v>
      </c>
      <c r="BD55" s="35" t="s">
        <v>3454</v>
      </c>
      <c r="BE55" s="35" t="s">
        <v>3455</v>
      </c>
      <c r="BF55" s="35" t="s">
        <v>432</v>
      </c>
      <c r="BG55" s="35" t="s">
        <v>433</v>
      </c>
      <c r="BH55" s="35" t="s">
        <v>678</v>
      </c>
      <c r="BJ55" s="35" t="s">
        <v>435</v>
      </c>
      <c r="BL55" s="35" t="s">
        <v>511</v>
      </c>
      <c r="BM55" s="35" t="s">
        <v>603</v>
      </c>
      <c r="BN55" s="35" t="s">
        <v>439</v>
      </c>
      <c r="BO55" s="35" t="s">
        <v>513</v>
      </c>
      <c r="CM55" s="35" t="s">
        <v>441</v>
      </c>
      <c r="CN55" s="35" t="s">
        <v>401</v>
      </c>
      <c r="CO55" s="35" t="s">
        <v>3456</v>
      </c>
      <c r="CP55" s="35" t="s">
        <v>3457</v>
      </c>
      <c r="CQ55" s="35" t="s">
        <v>979</v>
      </c>
      <c r="CR55" s="35" t="s">
        <v>3458</v>
      </c>
      <c r="CS55" s="35" t="s">
        <v>447</v>
      </c>
      <c r="CT55" s="35" t="s">
        <v>957</v>
      </c>
      <c r="CU55" s="35" t="s">
        <v>3459</v>
      </c>
      <c r="CV55" s="35" t="s">
        <v>450</v>
      </c>
      <c r="CW55" s="35" t="s">
        <v>451</v>
      </c>
      <c r="CX55" s="35" t="s">
        <v>3460</v>
      </c>
      <c r="CY55" s="35" t="s">
        <v>733</v>
      </c>
      <c r="DA55" s="35" t="s">
        <v>453</v>
      </c>
      <c r="DB55" s="35" t="s">
        <v>3461</v>
      </c>
      <c r="DC55" s="35" t="s">
        <v>455</v>
      </c>
      <c r="DD55" s="35" t="s">
        <v>3462</v>
      </c>
      <c r="DE55" s="35" t="s">
        <v>662</v>
      </c>
      <c r="DG55" s="35" t="s">
        <v>3463</v>
      </c>
      <c r="DH55" s="35" t="s">
        <v>524</v>
      </c>
      <c r="DI55" s="35" t="s">
        <v>410</v>
      </c>
      <c r="DJ55" s="35" t="s">
        <v>459</v>
      </c>
      <c r="DK55" s="35" t="s">
        <v>613</v>
      </c>
      <c r="EU55" s="35" t="s">
        <v>526</v>
      </c>
      <c r="EV55" s="35" t="s">
        <v>479</v>
      </c>
      <c r="EW55" s="35" t="s">
        <v>480</v>
      </c>
      <c r="EY55" s="35" t="s">
        <v>3464</v>
      </c>
      <c r="EZ55" s="35" t="s">
        <v>3465</v>
      </c>
      <c r="FA55" s="35" t="s">
        <v>415</v>
      </c>
      <c r="FB55" s="35" t="s">
        <v>415</v>
      </c>
      <c r="FC55" s="35" t="s">
        <v>413</v>
      </c>
      <c r="FD55" s="35" t="s">
        <v>416</v>
      </c>
      <c r="FE55" s="35" t="s">
        <v>413</v>
      </c>
      <c r="FF55" s="35" t="s">
        <v>415</v>
      </c>
      <c r="FG55" s="35" t="s">
        <v>413</v>
      </c>
      <c r="FH55" s="35" t="s">
        <v>415</v>
      </c>
      <c r="FI55" s="35" t="s">
        <v>415</v>
      </c>
      <c r="FJ55" s="35" t="s">
        <v>484</v>
      </c>
      <c r="FK55" s="35" t="s">
        <v>414</v>
      </c>
      <c r="FL55" s="35" t="s">
        <v>415</v>
      </c>
      <c r="FM55" s="35" t="s">
        <v>415</v>
      </c>
      <c r="FN55" s="35" t="s">
        <v>415</v>
      </c>
      <c r="FO55" s="35" t="s">
        <v>415</v>
      </c>
      <c r="FP55" s="35" t="s">
        <v>485</v>
      </c>
      <c r="FQ55" s="35" t="s">
        <v>418</v>
      </c>
      <c r="FR55" s="35" t="s">
        <v>630</v>
      </c>
      <c r="FS55" s="35" t="s">
        <v>3466</v>
      </c>
      <c r="FT55" s="35" t="s">
        <v>420</v>
      </c>
      <c r="FU55" s="35" t="s">
        <v>488</v>
      </c>
      <c r="FV55" s="35" t="s">
        <v>533</v>
      </c>
      <c r="FW55" s="35" t="s">
        <v>490</v>
      </c>
      <c r="FX55" s="35" t="s">
        <v>491</v>
      </c>
      <c r="FY55" s="35" t="s">
        <v>3467</v>
      </c>
      <c r="FZ55" s="35" t="s">
        <v>535</v>
      </c>
      <c r="GA55" s="35" t="s">
        <v>3468</v>
      </c>
      <c r="GC55" s="35" t="s">
        <v>408</v>
      </c>
      <c r="GH55" s="35" t="s">
        <v>920</v>
      </c>
      <c r="GI55" s="35" t="s">
        <v>1000</v>
      </c>
      <c r="GJ55" s="35" t="s">
        <v>756</v>
      </c>
      <c r="GR55" s="35" t="s">
        <v>3208</v>
      </c>
    </row>
    <row r="56">
      <c r="A56" s="40"/>
      <c r="B56" s="40">
        <v>45830.87385914352</v>
      </c>
      <c r="C56" s="35" t="s">
        <v>368</v>
      </c>
      <c r="D56" s="35" t="s">
        <v>370</v>
      </c>
      <c r="F56" s="35" t="s">
        <v>1464</v>
      </c>
      <c r="H56" s="35" t="s">
        <v>422</v>
      </c>
      <c r="I56" s="35" t="s">
        <v>373</v>
      </c>
      <c r="J56" s="35" t="s">
        <v>374</v>
      </c>
      <c r="K56" s="35" t="s">
        <v>718</v>
      </c>
      <c r="L56" s="35" t="s">
        <v>376</v>
      </c>
      <c r="M56" s="35" t="s">
        <v>591</v>
      </c>
      <c r="N56" s="35" t="s">
        <v>11254</v>
      </c>
      <c r="O56" s="35" t="s">
        <v>591</v>
      </c>
      <c r="P56" s="35" t="s">
        <v>3477</v>
      </c>
      <c r="Q56" s="35" t="s">
        <v>592</v>
      </c>
      <c r="R56" s="35" t="s">
        <v>1156</v>
      </c>
      <c r="S56" s="35" t="s">
        <v>949</v>
      </c>
      <c r="T56" s="35" t="s">
        <v>384</v>
      </c>
      <c r="U56" s="35" t="s">
        <v>385</v>
      </c>
      <c r="X56" s="35" t="s">
        <v>3231</v>
      </c>
      <c r="AW56" s="35" t="s">
        <v>1310</v>
      </c>
      <c r="AX56" s="41">
        <v>2.0</v>
      </c>
      <c r="AY56" s="35" t="s">
        <v>391</v>
      </c>
      <c r="AZ56" s="35" t="s">
        <v>429</v>
      </c>
      <c r="BA56" s="35" t="s">
        <v>391</v>
      </c>
      <c r="BB56" s="35" t="s">
        <v>429</v>
      </c>
      <c r="BC56" s="35" t="s">
        <v>429</v>
      </c>
      <c r="BF56" s="35" t="s">
        <v>392</v>
      </c>
      <c r="BG56" s="35" t="s">
        <v>393</v>
      </c>
      <c r="BH56" s="35" t="s">
        <v>725</v>
      </c>
      <c r="BJ56" s="35" t="s">
        <v>509</v>
      </c>
      <c r="BL56" s="35" t="s">
        <v>395</v>
      </c>
      <c r="BM56" s="35" t="s">
        <v>512</v>
      </c>
      <c r="BN56" s="35" t="s">
        <v>549</v>
      </c>
      <c r="BO56" s="35" t="s">
        <v>513</v>
      </c>
      <c r="CM56" s="35" t="s">
        <v>441</v>
      </c>
      <c r="CN56" s="35" t="s">
        <v>401</v>
      </c>
      <c r="CQ56" s="35" t="s">
        <v>445</v>
      </c>
      <c r="CR56" s="35" t="s">
        <v>3478</v>
      </c>
      <c r="CS56" s="35" t="s">
        <v>447</v>
      </c>
      <c r="CT56" s="35" t="s">
        <v>3479</v>
      </c>
      <c r="CV56" s="35" t="s">
        <v>519</v>
      </c>
      <c r="CW56" s="35" t="s">
        <v>451</v>
      </c>
      <c r="CY56" s="35" t="s">
        <v>455</v>
      </c>
      <c r="CZ56" s="35" t="s">
        <v>11255</v>
      </c>
      <c r="DA56" s="35" t="s">
        <v>453</v>
      </c>
      <c r="DC56" s="35" t="s">
        <v>408</v>
      </c>
      <c r="DE56" s="35" t="s">
        <v>457</v>
      </c>
      <c r="DH56" s="35" t="s">
        <v>561</v>
      </c>
      <c r="DI56" s="35" t="s">
        <v>410</v>
      </c>
      <c r="DJ56" s="35" t="s">
        <v>459</v>
      </c>
      <c r="DK56" s="35" t="s">
        <v>460</v>
      </c>
      <c r="DL56" s="35" t="s">
        <v>461</v>
      </c>
      <c r="EU56" s="35" t="s">
        <v>526</v>
      </c>
      <c r="EV56" s="35" t="s">
        <v>479</v>
      </c>
      <c r="EW56" s="35" t="s">
        <v>1262</v>
      </c>
      <c r="FA56" s="35" t="s">
        <v>583</v>
      </c>
      <c r="FB56" s="35" t="s">
        <v>583</v>
      </c>
      <c r="FC56" s="35" t="s">
        <v>583</v>
      </c>
      <c r="FD56" s="35" t="s">
        <v>583</v>
      </c>
      <c r="FE56" s="35" t="s">
        <v>416</v>
      </c>
      <c r="FF56" s="35" t="s">
        <v>583</v>
      </c>
      <c r="FG56" s="35" t="s">
        <v>583</v>
      </c>
      <c r="FH56" s="35" t="s">
        <v>416</v>
      </c>
      <c r="FI56" s="35" t="s">
        <v>583</v>
      </c>
      <c r="FJ56" s="35" t="s">
        <v>583</v>
      </c>
      <c r="FK56" s="35" t="s">
        <v>583</v>
      </c>
      <c r="FL56" s="35" t="s">
        <v>413</v>
      </c>
      <c r="FM56" s="35" t="s">
        <v>583</v>
      </c>
      <c r="FN56" s="35" t="s">
        <v>413</v>
      </c>
      <c r="FO56" s="35" t="s">
        <v>583</v>
      </c>
      <c r="FP56" s="35" t="s">
        <v>485</v>
      </c>
      <c r="FQ56" s="35" t="s">
        <v>418</v>
      </c>
      <c r="FR56" s="35" t="s">
        <v>630</v>
      </c>
      <c r="FT56" s="35" t="s">
        <v>420</v>
      </c>
      <c r="FU56" s="35" t="s">
        <v>488</v>
      </c>
      <c r="FV56" s="35" t="s">
        <v>533</v>
      </c>
      <c r="FW56" s="35" t="s">
        <v>490</v>
      </c>
      <c r="FX56" s="35" t="s">
        <v>1853</v>
      </c>
      <c r="FZ56" s="35" t="s">
        <v>535</v>
      </c>
      <c r="GC56" s="35" t="s">
        <v>408</v>
      </c>
      <c r="GH56" s="35" t="s">
        <v>755</v>
      </c>
      <c r="GI56" s="35" t="s">
        <v>755</v>
      </c>
      <c r="GJ56" s="35" t="s">
        <v>946</v>
      </c>
      <c r="GQ56" s="35" t="s">
        <v>387</v>
      </c>
      <c r="GR56" s="35" t="s">
        <v>3208</v>
      </c>
    </row>
    <row r="57">
      <c r="A57" s="40"/>
      <c r="B57" s="40">
        <v>45831.06838657407</v>
      </c>
      <c r="C57" s="35" t="s">
        <v>368</v>
      </c>
      <c r="D57" s="35" t="s">
        <v>370</v>
      </c>
      <c r="F57" s="35" t="s">
        <v>791</v>
      </c>
      <c r="H57" s="35" t="s">
        <v>422</v>
      </c>
      <c r="I57" s="35" t="s">
        <v>637</v>
      </c>
      <c r="J57" s="35" t="s">
        <v>638</v>
      </c>
      <c r="K57" s="35" t="s">
        <v>375</v>
      </c>
      <c r="L57" s="35" t="s">
        <v>376</v>
      </c>
      <c r="M57" s="35" t="s">
        <v>591</v>
      </c>
      <c r="N57" s="35" t="s">
        <v>378</v>
      </c>
      <c r="O57" s="35" t="s">
        <v>591</v>
      </c>
      <c r="P57" s="35" t="s">
        <v>719</v>
      </c>
      <c r="Q57" s="35" t="s">
        <v>381</v>
      </c>
      <c r="R57" s="35" t="s">
        <v>862</v>
      </c>
      <c r="S57" s="35" t="s">
        <v>427</v>
      </c>
      <c r="T57" s="35" t="s">
        <v>384</v>
      </c>
      <c r="U57" s="35" t="s">
        <v>385</v>
      </c>
      <c r="X57" s="35" t="s">
        <v>3014</v>
      </c>
      <c r="AW57" s="35" t="s">
        <v>597</v>
      </c>
      <c r="AX57" s="41">
        <v>2.0</v>
      </c>
      <c r="AY57" s="35" t="s">
        <v>429</v>
      </c>
      <c r="AZ57" s="41">
        <v>4.0</v>
      </c>
      <c r="BA57" s="41">
        <v>2.0</v>
      </c>
      <c r="BB57" s="35" t="s">
        <v>429</v>
      </c>
      <c r="BC57" s="35" t="s">
        <v>429</v>
      </c>
      <c r="BD57" s="35" t="s">
        <v>3510</v>
      </c>
      <c r="BE57" s="35" t="s">
        <v>3511</v>
      </c>
      <c r="BF57" s="35" t="s">
        <v>392</v>
      </c>
      <c r="BG57" s="35" t="s">
        <v>433</v>
      </c>
      <c r="BH57" s="35" t="s">
        <v>678</v>
      </c>
      <c r="BI57" s="35" t="s">
        <v>3512</v>
      </c>
      <c r="BJ57" s="35" t="s">
        <v>824</v>
      </c>
      <c r="BL57" s="35" t="s">
        <v>681</v>
      </c>
      <c r="BM57" s="35" t="s">
        <v>396</v>
      </c>
      <c r="BN57" s="35" t="s">
        <v>397</v>
      </c>
      <c r="BO57" s="35" t="s">
        <v>513</v>
      </c>
      <c r="CM57" s="35" t="s">
        <v>441</v>
      </c>
      <c r="CN57" s="35" t="s">
        <v>401</v>
      </c>
      <c r="CO57" s="35" t="s">
        <v>3513</v>
      </c>
      <c r="CP57" s="35" t="s">
        <v>3514</v>
      </c>
      <c r="CQ57" s="35" t="s">
        <v>403</v>
      </c>
      <c r="CR57" s="35" t="s">
        <v>1427</v>
      </c>
      <c r="CS57" s="35" t="s">
        <v>447</v>
      </c>
      <c r="CT57" s="35" t="s">
        <v>2684</v>
      </c>
      <c r="CU57" s="35" t="s">
        <v>3515</v>
      </c>
      <c r="CV57" s="35" t="s">
        <v>519</v>
      </c>
      <c r="CW57" s="35" t="s">
        <v>451</v>
      </c>
      <c r="CX57" s="35" t="s">
        <v>3516</v>
      </c>
      <c r="CY57" s="35" t="s">
        <v>733</v>
      </c>
      <c r="DA57" s="35" t="s">
        <v>985</v>
      </c>
      <c r="DB57" s="35" t="s">
        <v>3517</v>
      </c>
      <c r="DC57" s="35" t="s">
        <v>408</v>
      </c>
      <c r="DE57" s="35" t="s">
        <v>406</v>
      </c>
      <c r="DF57" s="35" t="s">
        <v>407</v>
      </c>
      <c r="DG57" s="35" t="s">
        <v>3518</v>
      </c>
      <c r="DH57" s="35" t="s">
        <v>561</v>
      </c>
      <c r="DI57" s="35" t="s">
        <v>833</v>
      </c>
      <c r="DJ57" s="35" t="s">
        <v>777</v>
      </c>
      <c r="DK57" s="35" t="s">
        <v>613</v>
      </c>
      <c r="EU57" s="35" t="s">
        <v>526</v>
      </c>
      <c r="EV57" s="35" t="s">
        <v>479</v>
      </c>
      <c r="EW57" s="35" t="s">
        <v>580</v>
      </c>
      <c r="EX57" s="35" t="s">
        <v>3519</v>
      </c>
      <c r="EY57" s="35" t="s">
        <v>3520</v>
      </c>
      <c r="EZ57" s="35" t="s">
        <v>3521</v>
      </c>
      <c r="FA57" s="35" t="s">
        <v>583</v>
      </c>
      <c r="FB57" s="35" t="s">
        <v>583</v>
      </c>
      <c r="FC57" s="35" t="s">
        <v>583</v>
      </c>
      <c r="FD57" s="35" t="s">
        <v>583</v>
      </c>
      <c r="FE57" s="35" t="s">
        <v>413</v>
      </c>
      <c r="FF57" s="35" t="s">
        <v>414</v>
      </c>
      <c r="FG57" s="35" t="s">
        <v>414</v>
      </c>
      <c r="FH57" s="35" t="s">
        <v>414</v>
      </c>
      <c r="FI57" s="35" t="s">
        <v>416</v>
      </c>
      <c r="FJ57" s="35" t="s">
        <v>414</v>
      </c>
      <c r="FK57" s="35" t="s">
        <v>583</v>
      </c>
      <c r="FL57" s="35" t="s">
        <v>414</v>
      </c>
      <c r="FM57" s="35" t="s">
        <v>414</v>
      </c>
      <c r="FN57" s="35" t="s">
        <v>414</v>
      </c>
      <c r="FO57" s="35" t="s">
        <v>414</v>
      </c>
      <c r="FP57" s="35" t="s">
        <v>485</v>
      </c>
      <c r="FQ57" s="35" t="s">
        <v>418</v>
      </c>
      <c r="FR57" s="35" t="s">
        <v>419</v>
      </c>
      <c r="FS57" s="35" t="s">
        <v>3522</v>
      </c>
      <c r="FT57" s="35" t="s">
        <v>420</v>
      </c>
      <c r="FU57" s="35" t="s">
        <v>488</v>
      </c>
      <c r="FV57" s="35" t="s">
        <v>533</v>
      </c>
      <c r="FW57" s="35" t="s">
        <v>490</v>
      </c>
      <c r="FX57" s="35" t="s">
        <v>491</v>
      </c>
      <c r="FY57" s="35" t="s">
        <v>3523</v>
      </c>
      <c r="FZ57" s="35" t="s">
        <v>535</v>
      </c>
      <c r="GC57" s="35" t="s">
        <v>408</v>
      </c>
      <c r="GH57" s="35" t="s">
        <v>857</v>
      </c>
      <c r="GI57" s="35" t="s">
        <v>857</v>
      </c>
      <c r="GJ57" s="35" t="s">
        <v>790</v>
      </c>
      <c r="GR57" s="35" t="s">
        <v>3273</v>
      </c>
    </row>
    <row r="58">
      <c r="A58" s="40"/>
      <c r="B58" s="40">
        <v>45831.37880005787</v>
      </c>
      <c r="C58" s="35" t="s">
        <v>368</v>
      </c>
      <c r="D58" s="35" t="s">
        <v>894</v>
      </c>
      <c r="E58" s="35" t="s">
        <v>894</v>
      </c>
      <c r="H58" s="35" t="s">
        <v>422</v>
      </c>
      <c r="I58" s="35" t="s">
        <v>637</v>
      </c>
      <c r="J58" s="35" t="s">
        <v>638</v>
      </c>
      <c r="K58" s="35" t="s">
        <v>375</v>
      </c>
      <c r="L58" s="35" t="s">
        <v>376</v>
      </c>
      <c r="M58" s="35" t="s">
        <v>379</v>
      </c>
      <c r="N58" s="35" t="s">
        <v>380</v>
      </c>
      <c r="O58" s="35" t="s">
        <v>379</v>
      </c>
      <c r="P58" s="35" t="s">
        <v>380</v>
      </c>
      <c r="Q58" s="35" t="s">
        <v>498</v>
      </c>
      <c r="R58" s="35" t="s">
        <v>382</v>
      </c>
      <c r="S58" s="35" t="s">
        <v>1594</v>
      </c>
      <c r="T58" s="35" t="s">
        <v>384</v>
      </c>
      <c r="U58" s="35" t="s">
        <v>385</v>
      </c>
      <c r="V58" s="35" t="s">
        <v>1045</v>
      </c>
      <c r="W58" s="35" t="s">
        <v>1045</v>
      </c>
      <c r="X58" s="35" t="s">
        <v>3231</v>
      </c>
      <c r="AW58" s="35" t="s">
        <v>1310</v>
      </c>
      <c r="AX58" s="35" t="s">
        <v>391</v>
      </c>
      <c r="AY58" s="41">
        <v>4.0</v>
      </c>
      <c r="AZ58" s="35" t="s">
        <v>391</v>
      </c>
      <c r="BA58" s="41">
        <v>2.0</v>
      </c>
      <c r="BB58" s="35" t="s">
        <v>391</v>
      </c>
      <c r="BC58" s="35" t="s">
        <v>391</v>
      </c>
      <c r="BF58" s="35" t="s">
        <v>432</v>
      </c>
      <c r="BG58" s="35" t="s">
        <v>1095</v>
      </c>
      <c r="BH58" s="35" t="s">
        <v>725</v>
      </c>
      <c r="BJ58" s="35" t="s">
        <v>435</v>
      </c>
      <c r="BL58" s="35" t="s">
        <v>681</v>
      </c>
      <c r="BM58" s="35" t="s">
        <v>603</v>
      </c>
      <c r="BN58" s="35" t="s">
        <v>1247</v>
      </c>
      <c r="BO58" s="35" t="s">
        <v>513</v>
      </c>
      <c r="CM58" s="35" t="s">
        <v>682</v>
      </c>
      <c r="CN58" s="35" t="s">
        <v>442</v>
      </c>
      <c r="CQ58" s="35" t="s">
        <v>445</v>
      </c>
      <c r="CR58" s="35" t="s">
        <v>3672</v>
      </c>
      <c r="CS58" s="35" t="s">
        <v>555</v>
      </c>
      <c r="CV58" s="35" t="s">
        <v>982</v>
      </c>
      <c r="CW58" s="35" t="s">
        <v>959</v>
      </c>
      <c r="CY58" s="35" t="s">
        <v>408</v>
      </c>
      <c r="DA58" s="35" t="s">
        <v>985</v>
      </c>
      <c r="DC58" s="35" t="s">
        <v>408</v>
      </c>
      <c r="DE58" s="35" t="s">
        <v>406</v>
      </c>
      <c r="DH58" s="35" t="s">
        <v>990</v>
      </c>
      <c r="DI58" s="35" t="s">
        <v>694</v>
      </c>
      <c r="DJ58" s="35" t="s">
        <v>459</v>
      </c>
      <c r="DK58" s="35" t="s">
        <v>613</v>
      </c>
      <c r="EU58" s="35" t="s">
        <v>478</v>
      </c>
      <c r="EV58" s="35" t="s">
        <v>579</v>
      </c>
      <c r="EW58" s="35" t="s">
        <v>480</v>
      </c>
      <c r="FA58" s="35" t="s">
        <v>583</v>
      </c>
      <c r="FB58" s="35" t="s">
        <v>583</v>
      </c>
      <c r="FC58" s="35" t="s">
        <v>413</v>
      </c>
      <c r="FD58" s="35" t="s">
        <v>416</v>
      </c>
      <c r="FE58" s="35" t="s">
        <v>415</v>
      </c>
      <c r="FF58" s="35" t="s">
        <v>583</v>
      </c>
      <c r="FG58" s="35" t="s">
        <v>583</v>
      </c>
      <c r="FH58" s="35" t="s">
        <v>583</v>
      </c>
      <c r="FI58" s="35" t="s">
        <v>416</v>
      </c>
      <c r="FJ58" s="35" t="s">
        <v>413</v>
      </c>
      <c r="FK58" s="35" t="s">
        <v>583</v>
      </c>
      <c r="FL58" s="35" t="s">
        <v>415</v>
      </c>
      <c r="FM58" s="35" t="s">
        <v>415</v>
      </c>
      <c r="FN58" s="35" t="s">
        <v>583</v>
      </c>
      <c r="FO58" s="35" t="s">
        <v>413</v>
      </c>
      <c r="FP58" s="35" t="s">
        <v>1074</v>
      </c>
      <c r="FQ58" s="35" t="s">
        <v>3218</v>
      </c>
      <c r="FR58" s="35" t="s">
        <v>419</v>
      </c>
      <c r="FT58" s="35" t="s">
        <v>1871</v>
      </c>
      <c r="FU58" s="35" t="s">
        <v>2750</v>
      </c>
      <c r="FV58" s="35" t="s">
        <v>1235</v>
      </c>
      <c r="FW58" s="35" t="s">
        <v>2136</v>
      </c>
      <c r="FZ58" s="35" t="s">
        <v>1337</v>
      </c>
      <c r="GC58" s="35" t="s">
        <v>408</v>
      </c>
      <c r="GH58" s="35" t="s">
        <v>755</v>
      </c>
      <c r="GI58" s="35" t="s">
        <v>755</v>
      </c>
      <c r="GJ58" s="35" t="s">
        <v>817</v>
      </c>
      <c r="GQ58" s="35" t="s">
        <v>387</v>
      </c>
      <c r="GR58" s="35" t="s">
        <v>3208</v>
      </c>
    </row>
    <row r="59">
      <c r="A59" s="40"/>
      <c r="B59" s="40">
        <v>45832.168814212964</v>
      </c>
      <c r="C59" s="35" t="s">
        <v>368</v>
      </c>
      <c r="D59" s="35" t="s">
        <v>370</v>
      </c>
      <c r="F59" s="35" t="s">
        <v>667</v>
      </c>
      <c r="H59" s="35" t="s">
        <v>792</v>
      </c>
      <c r="I59" s="35" t="s">
        <v>373</v>
      </c>
      <c r="J59" s="35" t="s">
        <v>374</v>
      </c>
      <c r="K59" s="35" t="s">
        <v>375</v>
      </c>
      <c r="L59" s="35" t="s">
        <v>376</v>
      </c>
      <c r="M59" s="35" t="s">
        <v>379</v>
      </c>
      <c r="N59" s="35" t="s">
        <v>3919</v>
      </c>
      <c r="O59" s="35" t="s">
        <v>670</v>
      </c>
      <c r="P59" s="35" t="s">
        <v>720</v>
      </c>
      <c r="Q59" s="35" t="s">
        <v>381</v>
      </c>
      <c r="R59" s="35" t="s">
        <v>1156</v>
      </c>
      <c r="S59" s="35" t="s">
        <v>427</v>
      </c>
      <c r="T59" s="35" t="s">
        <v>384</v>
      </c>
      <c r="U59" s="35" t="s">
        <v>385</v>
      </c>
      <c r="X59" s="35" t="s">
        <v>3014</v>
      </c>
      <c r="AW59" s="35" t="s">
        <v>504</v>
      </c>
      <c r="AX59" s="35" t="s">
        <v>429</v>
      </c>
      <c r="AY59" s="35" t="s">
        <v>429</v>
      </c>
      <c r="AZ59" s="35" t="s">
        <v>429</v>
      </c>
      <c r="BA59" s="35" t="s">
        <v>429</v>
      </c>
      <c r="BB59" s="35" t="s">
        <v>429</v>
      </c>
      <c r="BC59" s="35" t="s">
        <v>429</v>
      </c>
      <c r="BD59" s="35" t="s">
        <v>3920</v>
      </c>
      <c r="BE59" s="35" t="s">
        <v>3921</v>
      </c>
      <c r="BF59" s="35" t="s">
        <v>392</v>
      </c>
      <c r="BG59" s="35" t="s">
        <v>433</v>
      </c>
      <c r="BH59" s="35" t="s">
        <v>678</v>
      </c>
      <c r="BJ59" s="35" t="s">
        <v>976</v>
      </c>
      <c r="BL59" s="35" t="s">
        <v>681</v>
      </c>
      <c r="BM59" s="35" t="s">
        <v>904</v>
      </c>
      <c r="BN59" s="35" t="s">
        <v>439</v>
      </c>
      <c r="BO59" s="35" t="s">
        <v>513</v>
      </c>
      <c r="CM59" s="35" t="s">
        <v>953</v>
      </c>
      <c r="CN59" s="35" t="s">
        <v>401</v>
      </c>
      <c r="CO59" s="35" t="s">
        <v>2829</v>
      </c>
      <c r="CP59" s="35" t="s">
        <v>3922</v>
      </c>
      <c r="CQ59" s="35" t="s">
        <v>979</v>
      </c>
      <c r="CR59" s="35" t="s">
        <v>3923</v>
      </c>
      <c r="CS59" s="35" t="s">
        <v>804</v>
      </c>
      <c r="CT59" s="35" t="s">
        <v>3924</v>
      </c>
      <c r="CU59" s="35" t="s">
        <v>3925</v>
      </c>
      <c r="CV59" s="35" t="s">
        <v>450</v>
      </c>
      <c r="CW59" s="35" t="s">
        <v>451</v>
      </c>
      <c r="CX59" s="35" t="s">
        <v>3926</v>
      </c>
      <c r="CY59" s="35" t="s">
        <v>733</v>
      </c>
      <c r="DA59" s="35" t="s">
        <v>453</v>
      </c>
      <c r="DB59" s="35" t="s">
        <v>11256</v>
      </c>
      <c r="DC59" s="35" t="s">
        <v>455</v>
      </c>
      <c r="DD59" s="35" t="s">
        <v>3928</v>
      </c>
      <c r="DE59" s="35" t="s">
        <v>457</v>
      </c>
      <c r="DG59" s="35" t="s">
        <v>11257</v>
      </c>
      <c r="DH59" s="35" t="s">
        <v>776</v>
      </c>
      <c r="DI59" s="35" t="s">
        <v>410</v>
      </c>
      <c r="DJ59" s="35" t="s">
        <v>459</v>
      </c>
      <c r="DK59" s="35" t="s">
        <v>460</v>
      </c>
      <c r="DL59" s="35" t="s">
        <v>563</v>
      </c>
      <c r="DM59" s="35" t="s">
        <v>11258</v>
      </c>
      <c r="EU59" s="35" t="s">
        <v>526</v>
      </c>
      <c r="EW59" s="35" t="s">
        <v>480</v>
      </c>
      <c r="EY59" s="35" t="s">
        <v>11259</v>
      </c>
      <c r="EZ59" s="35" t="s">
        <v>3932</v>
      </c>
      <c r="FA59" s="35" t="s">
        <v>583</v>
      </c>
      <c r="FB59" s="35" t="s">
        <v>583</v>
      </c>
      <c r="FC59" s="35" t="s">
        <v>583</v>
      </c>
      <c r="FD59" s="35" t="s">
        <v>583</v>
      </c>
      <c r="FE59" s="35" t="s">
        <v>583</v>
      </c>
      <c r="FF59" s="35" t="s">
        <v>583</v>
      </c>
      <c r="FG59" s="35" t="s">
        <v>583</v>
      </c>
      <c r="FH59" s="35" t="s">
        <v>415</v>
      </c>
      <c r="FI59" s="35" t="s">
        <v>415</v>
      </c>
      <c r="FJ59" s="35" t="s">
        <v>583</v>
      </c>
      <c r="FK59" s="35" t="s">
        <v>583</v>
      </c>
      <c r="FL59" s="35" t="s">
        <v>583</v>
      </c>
      <c r="FM59" s="35" t="s">
        <v>583</v>
      </c>
      <c r="FN59" s="35" t="s">
        <v>415</v>
      </c>
      <c r="FO59" s="35" t="s">
        <v>415</v>
      </c>
      <c r="FP59" s="35" t="s">
        <v>417</v>
      </c>
      <c r="FQ59" s="35" t="s">
        <v>2524</v>
      </c>
      <c r="FR59" s="35" t="s">
        <v>630</v>
      </c>
      <c r="FS59" s="35" t="s">
        <v>3933</v>
      </c>
      <c r="FT59" s="35" t="s">
        <v>420</v>
      </c>
      <c r="FU59" s="35" t="s">
        <v>488</v>
      </c>
      <c r="FV59" s="35" t="s">
        <v>533</v>
      </c>
      <c r="FW59" s="35" t="s">
        <v>490</v>
      </c>
      <c r="FX59" s="35" t="s">
        <v>491</v>
      </c>
      <c r="FY59" s="35" t="s">
        <v>3934</v>
      </c>
      <c r="FZ59" s="35" t="s">
        <v>535</v>
      </c>
      <c r="GA59" s="35" t="s">
        <v>3935</v>
      </c>
      <c r="GB59" s="35" t="s">
        <v>3936</v>
      </c>
      <c r="GC59" s="35" t="s">
        <v>455</v>
      </c>
      <c r="GD59" s="35" t="s">
        <v>11260</v>
      </c>
      <c r="GF59" s="35" t="s">
        <v>1339</v>
      </c>
      <c r="GH59" s="35" t="s">
        <v>755</v>
      </c>
      <c r="GI59" s="35" t="s">
        <v>755</v>
      </c>
      <c r="GJ59" s="35" t="s">
        <v>946</v>
      </c>
      <c r="GR59" s="35" t="s">
        <v>3937</v>
      </c>
    </row>
    <row r="60">
      <c r="A60" s="40"/>
      <c r="B60" s="40">
        <v>45832.613582488426</v>
      </c>
      <c r="C60" s="35" t="s">
        <v>368</v>
      </c>
      <c r="D60" s="35" t="s">
        <v>370</v>
      </c>
      <c r="F60" s="35" t="s">
        <v>2335</v>
      </c>
      <c r="H60" s="35" t="s">
        <v>3187</v>
      </c>
      <c r="I60" s="35" t="s">
        <v>496</v>
      </c>
      <c r="J60" s="35" t="s">
        <v>2578</v>
      </c>
      <c r="K60" s="35" t="s">
        <v>375</v>
      </c>
      <c r="L60" s="35" t="s">
        <v>376</v>
      </c>
      <c r="M60" s="35" t="s">
        <v>793</v>
      </c>
      <c r="N60" s="35" t="s">
        <v>639</v>
      </c>
      <c r="O60" s="35" t="s">
        <v>670</v>
      </c>
      <c r="P60" s="35" t="s">
        <v>720</v>
      </c>
      <c r="Q60" s="35" t="s">
        <v>498</v>
      </c>
      <c r="R60" s="35" t="s">
        <v>382</v>
      </c>
      <c r="S60" s="35" t="s">
        <v>427</v>
      </c>
      <c r="T60" s="35" t="s">
        <v>384</v>
      </c>
      <c r="U60" s="35" t="s">
        <v>385</v>
      </c>
      <c r="X60" s="35" t="s">
        <v>3014</v>
      </c>
      <c r="AW60" s="35" t="s">
        <v>1310</v>
      </c>
      <c r="AX60" s="35" t="s">
        <v>391</v>
      </c>
      <c r="AY60" s="41">
        <v>2.0</v>
      </c>
      <c r="AZ60" s="41">
        <v>4.0</v>
      </c>
      <c r="BA60" s="35" t="s">
        <v>391</v>
      </c>
      <c r="BB60" s="35" t="s">
        <v>429</v>
      </c>
      <c r="BC60" s="35" t="s">
        <v>391</v>
      </c>
      <c r="BD60" s="35" t="s">
        <v>4021</v>
      </c>
      <c r="BE60" s="35" t="s">
        <v>4022</v>
      </c>
      <c r="BF60" s="35" t="s">
        <v>432</v>
      </c>
      <c r="BG60" s="35" t="s">
        <v>433</v>
      </c>
      <c r="BH60" s="35" t="s">
        <v>765</v>
      </c>
      <c r="BJ60" s="35" t="s">
        <v>509</v>
      </c>
      <c r="BL60" s="35" t="s">
        <v>681</v>
      </c>
      <c r="BM60" s="35" t="s">
        <v>512</v>
      </c>
      <c r="BN60" s="35" t="s">
        <v>1247</v>
      </c>
      <c r="BO60" s="35" t="s">
        <v>513</v>
      </c>
      <c r="CM60" s="35" t="s">
        <v>441</v>
      </c>
      <c r="CN60" s="35" t="s">
        <v>442</v>
      </c>
      <c r="CO60" s="35" t="s">
        <v>552</v>
      </c>
      <c r="CQ60" s="35" t="s">
        <v>685</v>
      </c>
      <c r="CR60" s="35" t="s">
        <v>4023</v>
      </c>
      <c r="CS60" s="35" t="s">
        <v>447</v>
      </c>
      <c r="CT60" s="35" t="s">
        <v>4024</v>
      </c>
      <c r="CU60" s="35" t="s">
        <v>4025</v>
      </c>
      <c r="CV60" s="35" t="s">
        <v>519</v>
      </c>
      <c r="CW60" s="35" t="s">
        <v>451</v>
      </c>
      <c r="CY60" s="35" t="s">
        <v>408</v>
      </c>
      <c r="DA60" s="35" t="s">
        <v>453</v>
      </c>
      <c r="DC60" s="35" t="s">
        <v>455</v>
      </c>
      <c r="DD60" s="35" t="s">
        <v>1866</v>
      </c>
      <c r="DE60" s="35" t="s">
        <v>988</v>
      </c>
      <c r="DG60" s="35" t="s">
        <v>4026</v>
      </c>
      <c r="DH60" s="35" t="s">
        <v>524</v>
      </c>
      <c r="DI60" s="35" t="s">
        <v>410</v>
      </c>
      <c r="DJ60" s="35" t="s">
        <v>963</v>
      </c>
      <c r="DK60" s="35" t="s">
        <v>562</v>
      </c>
      <c r="DL60" s="35" t="s">
        <v>563</v>
      </c>
      <c r="DM60" s="35" t="s">
        <v>4027</v>
      </c>
      <c r="EU60" s="35" t="s">
        <v>578</v>
      </c>
      <c r="EV60" s="35" t="s">
        <v>887</v>
      </c>
      <c r="EW60" s="35" t="s">
        <v>580</v>
      </c>
      <c r="FA60" s="35" t="s">
        <v>416</v>
      </c>
      <c r="FB60" s="35" t="s">
        <v>415</v>
      </c>
      <c r="FC60" s="35" t="s">
        <v>413</v>
      </c>
      <c r="FD60" s="35" t="s">
        <v>413</v>
      </c>
      <c r="FE60" s="35" t="s">
        <v>413</v>
      </c>
      <c r="FF60" s="35" t="s">
        <v>416</v>
      </c>
      <c r="FG60" s="35" t="s">
        <v>413</v>
      </c>
      <c r="FH60" s="35" t="s">
        <v>413</v>
      </c>
      <c r="FI60" s="35" t="s">
        <v>415</v>
      </c>
      <c r="FJ60" s="35" t="s">
        <v>415</v>
      </c>
      <c r="FK60" s="35" t="s">
        <v>415</v>
      </c>
      <c r="FL60" s="35" t="s">
        <v>413</v>
      </c>
      <c r="FM60" s="35" t="s">
        <v>415</v>
      </c>
      <c r="FN60" s="35" t="s">
        <v>413</v>
      </c>
      <c r="FO60" s="35" t="s">
        <v>583</v>
      </c>
      <c r="FP60" s="35" t="s">
        <v>485</v>
      </c>
      <c r="FQ60" s="35" t="s">
        <v>418</v>
      </c>
      <c r="FR60" s="35" t="s">
        <v>712</v>
      </c>
      <c r="FT60" s="35" t="s">
        <v>420</v>
      </c>
      <c r="FU60" s="35" t="s">
        <v>488</v>
      </c>
      <c r="FV60" s="35" t="s">
        <v>918</v>
      </c>
      <c r="FW60" s="35" t="s">
        <v>490</v>
      </c>
      <c r="FX60" s="35" t="s">
        <v>491</v>
      </c>
      <c r="FY60" s="35" t="s">
        <v>4028</v>
      </c>
      <c r="FZ60" s="35" t="s">
        <v>535</v>
      </c>
      <c r="GC60" s="35" t="s">
        <v>455</v>
      </c>
      <c r="GD60" s="35" t="s">
        <v>11261</v>
      </c>
      <c r="GF60" s="35" t="s">
        <v>855</v>
      </c>
      <c r="GH60" s="35" t="s">
        <v>1000</v>
      </c>
      <c r="GI60" s="35" t="s">
        <v>1000</v>
      </c>
      <c r="GJ60" s="35" t="s">
        <v>756</v>
      </c>
      <c r="GR60" s="35" t="s">
        <v>3273</v>
      </c>
    </row>
    <row r="61">
      <c r="A61" s="40"/>
      <c r="B61" s="40">
        <v>45833.09466783565</v>
      </c>
      <c r="C61" s="35" t="s">
        <v>368</v>
      </c>
      <c r="D61" s="35" t="s">
        <v>1201</v>
      </c>
      <c r="E61" s="35" t="s">
        <v>1201</v>
      </c>
      <c r="H61" s="35" t="s">
        <v>422</v>
      </c>
      <c r="I61" s="35" t="s">
        <v>637</v>
      </c>
      <c r="J61" s="35" t="s">
        <v>638</v>
      </c>
      <c r="K61" s="35" t="s">
        <v>590</v>
      </c>
      <c r="L61" s="35" t="s">
        <v>376</v>
      </c>
      <c r="M61" s="35" t="s">
        <v>379</v>
      </c>
      <c r="N61" s="35" t="s">
        <v>720</v>
      </c>
      <c r="O61" s="35" t="s">
        <v>591</v>
      </c>
      <c r="P61" s="35" t="s">
        <v>639</v>
      </c>
      <c r="Q61" s="35" t="s">
        <v>381</v>
      </c>
      <c r="R61" s="35" t="s">
        <v>862</v>
      </c>
      <c r="S61" s="35" t="s">
        <v>1901</v>
      </c>
      <c r="T61" s="35" t="s">
        <v>384</v>
      </c>
      <c r="U61" s="35" t="s">
        <v>385</v>
      </c>
      <c r="X61" s="35" t="s">
        <v>3014</v>
      </c>
      <c r="AW61" s="35" t="s">
        <v>1310</v>
      </c>
      <c r="AX61" s="35" t="s">
        <v>391</v>
      </c>
      <c r="AY61" s="35" t="s">
        <v>391</v>
      </c>
      <c r="AZ61" s="41">
        <v>4.0</v>
      </c>
      <c r="BA61" s="35" t="s">
        <v>391</v>
      </c>
      <c r="BB61" s="35" t="s">
        <v>391</v>
      </c>
      <c r="BC61" s="35" t="s">
        <v>391</v>
      </c>
      <c r="BD61" s="35" t="s">
        <v>4049</v>
      </c>
      <c r="BE61" s="35" t="s">
        <v>4050</v>
      </c>
      <c r="BF61" s="35" t="s">
        <v>392</v>
      </c>
      <c r="BG61" s="35" t="s">
        <v>393</v>
      </c>
      <c r="BH61" s="35" t="s">
        <v>725</v>
      </c>
      <c r="BI61" s="35" t="s">
        <v>4051</v>
      </c>
      <c r="BJ61" s="35" t="s">
        <v>727</v>
      </c>
      <c r="BL61" s="35" t="s">
        <v>681</v>
      </c>
      <c r="BM61" s="35" t="s">
        <v>603</v>
      </c>
      <c r="BN61" s="35" t="s">
        <v>1247</v>
      </c>
      <c r="BO61" s="35" t="s">
        <v>513</v>
      </c>
      <c r="CM61" s="35" t="s">
        <v>953</v>
      </c>
      <c r="CN61" s="35" t="s">
        <v>401</v>
      </c>
      <c r="CO61" s="35" t="s">
        <v>4052</v>
      </c>
      <c r="CP61" s="35" t="s">
        <v>4053</v>
      </c>
      <c r="CR61" s="35" t="s">
        <v>4054</v>
      </c>
      <c r="CS61" s="35" t="s">
        <v>804</v>
      </c>
      <c r="CU61" s="35" t="s">
        <v>4055</v>
      </c>
      <c r="CV61" s="35" t="s">
        <v>1961</v>
      </c>
      <c r="CW61" s="35" t="s">
        <v>959</v>
      </c>
      <c r="CY61" s="35" t="s">
        <v>408</v>
      </c>
      <c r="DC61" s="35" t="s">
        <v>408</v>
      </c>
      <c r="DE61" s="35" t="s">
        <v>1400</v>
      </c>
      <c r="DG61" s="35" t="s">
        <v>4056</v>
      </c>
      <c r="DH61" s="35" t="s">
        <v>693</v>
      </c>
      <c r="DI61" s="35" t="s">
        <v>410</v>
      </c>
      <c r="DJ61" s="35" t="s">
        <v>963</v>
      </c>
      <c r="DK61" s="35" t="s">
        <v>460</v>
      </c>
      <c r="DL61" s="35" t="s">
        <v>563</v>
      </c>
      <c r="DM61" s="35" t="s">
        <v>4057</v>
      </c>
      <c r="EU61" s="35" t="s">
        <v>578</v>
      </c>
      <c r="EV61" s="35" t="s">
        <v>579</v>
      </c>
      <c r="EW61" s="35" t="s">
        <v>1534</v>
      </c>
      <c r="EX61" s="35" t="s">
        <v>4058</v>
      </c>
      <c r="EY61" s="35" t="s">
        <v>4059</v>
      </c>
      <c r="EZ61" s="35" t="s">
        <v>4060</v>
      </c>
      <c r="FA61" s="35" t="s">
        <v>415</v>
      </c>
      <c r="FB61" s="35" t="s">
        <v>414</v>
      </c>
      <c r="FC61" s="35" t="s">
        <v>416</v>
      </c>
      <c r="FD61" s="35" t="s">
        <v>414</v>
      </c>
      <c r="FE61" s="35" t="s">
        <v>415</v>
      </c>
      <c r="FF61" s="35" t="s">
        <v>414</v>
      </c>
      <c r="FG61" s="35" t="s">
        <v>415</v>
      </c>
      <c r="FH61" s="35" t="s">
        <v>415</v>
      </c>
      <c r="FI61" s="35" t="s">
        <v>414</v>
      </c>
      <c r="FJ61" s="35" t="s">
        <v>415</v>
      </c>
      <c r="FK61" s="35" t="s">
        <v>415</v>
      </c>
      <c r="FL61" s="35" t="s">
        <v>415</v>
      </c>
      <c r="FM61" s="35" t="s">
        <v>415</v>
      </c>
      <c r="FN61" s="35" t="s">
        <v>415</v>
      </c>
      <c r="FO61" s="35" t="s">
        <v>414</v>
      </c>
      <c r="FP61" s="35" t="s">
        <v>1074</v>
      </c>
      <c r="FQ61" s="35" t="s">
        <v>486</v>
      </c>
      <c r="FR61" s="35" t="s">
        <v>749</v>
      </c>
      <c r="FS61" s="35" t="s">
        <v>4061</v>
      </c>
      <c r="FT61" s="35" t="s">
        <v>1871</v>
      </c>
      <c r="FU61" s="35" t="s">
        <v>1462</v>
      </c>
      <c r="FV61" s="35" t="s">
        <v>1235</v>
      </c>
      <c r="FW61" s="35" t="s">
        <v>2136</v>
      </c>
      <c r="FX61" s="35" t="s">
        <v>491</v>
      </c>
      <c r="FY61" s="35" t="s">
        <v>4062</v>
      </c>
      <c r="FZ61" s="35" t="s">
        <v>1020</v>
      </c>
      <c r="GA61" s="35" t="s">
        <v>4063</v>
      </c>
      <c r="GB61" s="35" t="s">
        <v>11262</v>
      </c>
      <c r="GC61" s="35" t="s">
        <v>455</v>
      </c>
      <c r="GD61" s="35" t="s">
        <v>11263</v>
      </c>
      <c r="GE61" s="35" t="s">
        <v>11264</v>
      </c>
      <c r="GF61" s="35" t="s">
        <v>1339</v>
      </c>
      <c r="GG61" s="35" t="s">
        <v>4065</v>
      </c>
      <c r="GH61" s="35" t="s">
        <v>857</v>
      </c>
      <c r="GI61" s="35" t="s">
        <v>857</v>
      </c>
      <c r="GJ61" s="35" t="s">
        <v>790</v>
      </c>
      <c r="GR61" s="35" t="s">
        <v>3351</v>
      </c>
    </row>
    <row r="62">
      <c r="A62" s="40"/>
      <c r="B62" s="40">
        <v>45833.43214159722</v>
      </c>
      <c r="C62" s="35" t="s">
        <v>368</v>
      </c>
      <c r="D62" s="35" t="s">
        <v>370</v>
      </c>
      <c r="F62" s="35" t="s">
        <v>4114</v>
      </c>
      <c r="H62" s="35" t="s">
        <v>4115</v>
      </c>
      <c r="I62" s="35" t="s">
        <v>1203</v>
      </c>
      <c r="J62" s="35" t="s">
        <v>638</v>
      </c>
      <c r="K62" s="35" t="s">
        <v>1204</v>
      </c>
      <c r="L62" s="35" t="s">
        <v>376</v>
      </c>
      <c r="M62" s="35" t="s">
        <v>379</v>
      </c>
      <c r="N62" s="35" t="s">
        <v>378</v>
      </c>
      <c r="O62" s="35" t="s">
        <v>1526</v>
      </c>
      <c r="P62" s="35" t="s">
        <v>4116</v>
      </c>
      <c r="Q62" s="35" t="s">
        <v>381</v>
      </c>
      <c r="R62" s="35" t="s">
        <v>1156</v>
      </c>
      <c r="S62" s="35" t="s">
        <v>4117</v>
      </c>
      <c r="T62" s="35" t="s">
        <v>4118</v>
      </c>
      <c r="U62" s="35" t="s">
        <v>385</v>
      </c>
      <c r="X62" s="35" t="s">
        <v>593</v>
      </c>
      <c r="Y62" s="35" t="s">
        <v>387</v>
      </c>
      <c r="Z62" s="35" t="s">
        <v>897</v>
      </c>
      <c r="AA62" s="35" t="s">
        <v>502</v>
      </c>
      <c r="AB62" s="35" t="s">
        <v>4119</v>
      </c>
      <c r="AC62" s="35" t="s">
        <v>4120</v>
      </c>
      <c r="AW62" s="35" t="s">
        <v>504</v>
      </c>
      <c r="AX62" s="41">
        <v>2.0</v>
      </c>
      <c r="AY62" s="35" t="s">
        <v>429</v>
      </c>
      <c r="AZ62" s="35" t="s">
        <v>429</v>
      </c>
      <c r="BA62" s="41">
        <v>2.0</v>
      </c>
      <c r="BB62" s="41">
        <v>2.0</v>
      </c>
      <c r="BC62" s="35" t="s">
        <v>429</v>
      </c>
      <c r="BD62" s="35" t="s">
        <v>4121</v>
      </c>
      <c r="BE62" s="35" t="s">
        <v>11265</v>
      </c>
      <c r="BF62" s="35" t="s">
        <v>432</v>
      </c>
      <c r="BG62" s="35" t="s">
        <v>433</v>
      </c>
      <c r="BH62" s="35" t="s">
        <v>394</v>
      </c>
      <c r="BI62" s="35" t="s">
        <v>4123</v>
      </c>
      <c r="BJ62" s="35" t="s">
        <v>509</v>
      </c>
      <c r="BL62" s="35" t="s">
        <v>681</v>
      </c>
      <c r="BM62" s="35" t="s">
        <v>512</v>
      </c>
      <c r="BN62" s="35" t="s">
        <v>439</v>
      </c>
      <c r="BO62" s="35" t="s">
        <v>513</v>
      </c>
      <c r="CM62" s="35" t="s">
        <v>441</v>
      </c>
      <c r="CN62" s="35" t="s">
        <v>442</v>
      </c>
      <c r="CO62" s="35" t="s">
        <v>4124</v>
      </c>
      <c r="CP62" s="35" t="s">
        <v>11266</v>
      </c>
      <c r="CQ62" s="35" t="s">
        <v>445</v>
      </c>
      <c r="CR62" s="35" t="s">
        <v>4126</v>
      </c>
      <c r="CS62" s="35" t="s">
        <v>447</v>
      </c>
      <c r="CT62" s="35" t="s">
        <v>4127</v>
      </c>
      <c r="CU62" s="35" t="s">
        <v>4128</v>
      </c>
      <c r="CV62" s="35" t="s">
        <v>519</v>
      </c>
      <c r="CW62" s="35" t="s">
        <v>451</v>
      </c>
      <c r="CX62" s="35" t="s">
        <v>4129</v>
      </c>
      <c r="CY62" s="35" t="s">
        <v>733</v>
      </c>
      <c r="DA62" s="35" t="s">
        <v>453</v>
      </c>
      <c r="DB62" s="35" t="s">
        <v>4130</v>
      </c>
      <c r="DC62" s="35" t="s">
        <v>455</v>
      </c>
      <c r="DD62" s="35" t="s">
        <v>11267</v>
      </c>
      <c r="DE62" s="35" t="s">
        <v>988</v>
      </c>
      <c r="DF62" s="35" t="s">
        <v>407</v>
      </c>
      <c r="DH62" s="35" t="s">
        <v>524</v>
      </c>
      <c r="DI62" s="35" t="s">
        <v>410</v>
      </c>
      <c r="DJ62" s="35" t="s">
        <v>459</v>
      </c>
      <c r="DK62" s="35" t="s">
        <v>562</v>
      </c>
      <c r="DL62" s="35" t="s">
        <v>461</v>
      </c>
      <c r="EU62" s="35" t="s">
        <v>478</v>
      </c>
      <c r="EV62" s="35" t="s">
        <v>479</v>
      </c>
      <c r="EW62" s="35" t="s">
        <v>527</v>
      </c>
      <c r="EX62" s="35" t="s">
        <v>4132</v>
      </c>
      <c r="EY62" s="35" t="s">
        <v>4133</v>
      </c>
      <c r="EZ62" s="35" t="s">
        <v>4134</v>
      </c>
      <c r="FA62" s="35" t="s">
        <v>414</v>
      </c>
      <c r="FB62" s="35" t="s">
        <v>414</v>
      </c>
      <c r="FC62" s="35" t="s">
        <v>583</v>
      </c>
      <c r="FD62" s="35" t="s">
        <v>583</v>
      </c>
      <c r="FE62" s="35" t="s">
        <v>414</v>
      </c>
      <c r="FF62" s="35" t="s">
        <v>583</v>
      </c>
      <c r="FG62" s="35" t="s">
        <v>583</v>
      </c>
      <c r="FH62" s="35" t="s">
        <v>416</v>
      </c>
      <c r="FI62" s="35" t="s">
        <v>414</v>
      </c>
      <c r="FJ62" s="35" t="s">
        <v>583</v>
      </c>
      <c r="FK62" s="35" t="s">
        <v>414</v>
      </c>
      <c r="FL62" s="35" t="s">
        <v>414</v>
      </c>
      <c r="FM62" s="35" t="s">
        <v>416</v>
      </c>
      <c r="FN62" s="35" t="s">
        <v>413</v>
      </c>
      <c r="FO62" s="35" t="s">
        <v>583</v>
      </c>
      <c r="FP62" s="35" t="s">
        <v>417</v>
      </c>
      <c r="FQ62" s="35" t="s">
        <v>418</v>
      </c>
      <c r="FR62" s="35" t="s">
        <v>749</v>
      </c>
      <c r="FS62" s="35" t="s">
        <v>4135</v>
      </c>
      <c r="FT62" s="35" t="s">
        <v>420</v>
      </c>
      <c r="FU62" s="35" t="s">
        <v>488</v>
      </c>
      <c r="FV62" s="35" t="s">
        <v>533</v>
      </c>
      <c r="FW62" s="35" t="s">
        <v>490</v>
      </c>
      <c r="FX62" s="35" t="s">
        <v>491</v>
      </c>
      <c r="FY62" s="35" t="s">
        <v>733</v>
      </c>
      <c r="FZ62" s="35" t="s">
        <v>535</v>
      </c>
      <c r="GA62" s="35" t="s">
        <v>11268</v>
      </c>
      <c r="GB62" s="35" t="s">
        <v>4137</v>
      </c>
      <c r="GC62" s="35" t="s">
        <v>408</v>
      </c>
      <c r="GH62" s="35" t="s">
        <v>755</v>
      </c>
      <c r="GI62" s="35" t="s">
        <v>755</v>
      </c>
      <c r="GJ62" s="35" t="s">
        <v>946</v>
      </c>
      <c r="GR62" s="35" t="s">
        <v>3208</v>
      </c>
    </row>
    <row r="63">
      <c r="A63" s="40"/>
      <c r="B63" s="40">
        <v>45833.572022002314</v>
      </c>
      <c r="C63" s="35" t="s">
        <v>368</v>
      </c>
      <c r="D63" s="35" t="s">
        <v>894</v>
      </c>
      <c r="E63" s="35" t="s">
        <v>894</v>
      </c>
      <c r="H63" s="35" t="s">
        <v>422</v>
      </c>
      <c r="I63" s="35" t="s">
        <v>373</v>
      </c>
      <c r="J63" s="35" t="s">
        <v>374</v>
      </c>
      <c r="K63" s="35" t="s">
        <v>540</v>
      </c>
      <c r="L63" s="35" t="s">
        <v>376</v>
      </c>
      <c r="M63" s="35" t="s">
        <v>426</v>
      </c>
      <c r="N63" s="35" t="s">
        <v>720</v>
      </c>
      <c r="O63" s="35" t="s">
        <v>591</v>
      </c>
      <c r="P63" s="35" t="s">
        <v>719</v>
      </c>
      <c r="Q63" s="35" t="s">
        <v>592</v>
      </c>
      <c r="R63" s="35" t="s">
        <v>382</v>
      </c>
      <c r="S63" s="35" t="s">
        <v>427</v>
      </c>
      <c r="T63" s="35" t="s">
        <v>384</v>
      </c>
      <c r="U63" s="35" t="s">
        <v>385</v>
      </c>
      <c r="V63" s="35" t="s">
        <v>896</v>
      </c>
      <c r="W63" s="35" t="s">
        <v>896</v>
      </c>
      <c r="X63" s="35" t="s">
        <v>3231</v>
      </c>
      <c r="AW63" s="35" t="s">
        <v>1310</v>
      </c>
      <c r="AX63" s="35" t="s">
        <v>675</v>
      </c>
      <c r="AY63" s="41">
        <v>4.0</v>
      </c>
      <c r="AZ63" s="41">
        <v>4.0</v>
      </c>
      <c r="BA63" s="41">
        <v>4.0</v>
      </c>
      <c r="BB63" s="35" t="s">
        <v>429</v>
      </c>
      <c r="BC63" s="41">
        <v>4.0</v>
      </c>
      <c r="BD63" s="35" t="s">
        <v>4138</v>
      </c>
      <c r="BE63" s="35" t="s">
        <v>4139</v>
      </c>
      <c r="BF63" s="35" t="s">
        <v>432</v>
      </c>
      <c r="BG63" s="35" t="s">
        <v>1095</v>
      </c>
      <c r="BH63" s="35" t="s">
        <v>765</v>
      </c>
      <c r="BI63" s="35" t="s">
        <v>4140</v>
      </c>
      <c r="BJ63" s="35" t="s">
        <v>435</v>
      </c>
      <c r="BK63" s="35" t="s">
        <v>4141</v>
      </c>
      <c r="BL63" s="35" t="s">
        <v>437</v>
      </c>
      <c r="BM63" s="35" t="s">
        <v>603</v>
      </c>
      <c r="BN63" s="35" t="s">
        <v>1247</v>
      </c>
      <c r="BO63" s="35" t="s">
        <v>513</v>
      </c>
      <c r="CM63" s="35" t="s">
        <v>441</v>
      </c>
      <c r="CN63" s="35" t="s">
        <v>604</v>
      </c>
      <c r="CO63" s="35" t="s">
        <v>4142</v>
      </c>
      <c r="CP63" s="35" t="s">
        <v>4143</v>
      </c>
      <c r="CQ63" s="35" t="s">
        <v>445</v>
      </c>
      <c r="CR63" s="35" t="s">
        <v>4144</v>
      </c>
      <c r="CS63" s="35" t="s">
        <v>404</v>
      </c>
      <c r="CT63" s="35" t="s">
        <v>4145</v>
      </c>
      <c r="CU63" s="35" t="s">
        <v>4146</v>
      </c>
      <c r="CV63" s="35" t="s">
        <v>519</v>
      </c>
      <c r="CW63" s="35" t="s">
        <v>409</v>
      </c>
      <c r="CX63" s="35" t="s">
        <v>4147</v>
      </c>
      <c r="CY63" s="35" t="s">
        <v>408</v>
      </c>
      <c r="CZ63" s="35" t="s">
        <v>4148</v>
      </c>
      <c r="DA63" s="35" t="s">
        <v>985</v>
      </c>
      <c r="DB63" s="35" t="s">
        <v>4149</v>
      </c>
      <c r="DC63" s="35" t="s">
        <v>408</v>
      </c>
      <c r="DD63" s="35" t="s">
        <v>4148</v>
      </c>
      <c r="DE63" s="35" t="s">
        <v>406</v>
      </c>
      <c r="DF63" s="35" t="s">
        <v>407</v>
      </c>
      <c r="DG63" s="35" t="s">
        <v>4150</v>
      </c>
      <c r="DH63" s="35" t="s">
        <v>776</v>
      </c>
      <c r="DI63" s="35" t="s">
        <v>410</v>
      </c>
      <c r="DJ63" s="35" t="s">
        <v>459</v>
      </c>
      <c r="DK63" s="35" t="s">
        <v>460</v>
      </c>
      <c r="DL63" s="35" t="s">
        <v>461</v>
      </c>
      <c r="EU63" s="35" t="s">
        <v>578</v>
      </c>
      <c r="EV63" s="35" t="s">
        <v>1127</v>
      </c>
      <c r="EW63" s="35" t="s">
        <v>527</v>
      </c>
      <c r="EX63" s="35" t="s">
        <v>11269</v>
      </c>
      <c r="EY63" s="35" t="s">
        <v>4152</v>
      </c>
      <c r="EZ63" s="35" t="s">
        <v>4153</v>
      </c>
      <c r="FA63" s="35" t="s">
        <v>414</v>
      </c>
      <c r="FB63" s="35" t="s">
        <v>583</v>
      </c>
      <c r="FC63" s="35" t="s">
        <v>416</v>
      </c>
      <c r="FD63" s="35" t="s">
        <v>414</v>
      </c>
      <c r="FE63" s="35" t="s">
        <v>416</v>
      </c>
      <c r="FF63" s="35" t="s">
        <v>583</v>
      </c>
      <c r="FG63" s="35" t="s">
        <v>414</v>
      </c>
      <c r="FH63" s="35" t="s">
        <v>415</v>
      </c>
      <c r="FI63" s="35" t="s">
        <v>414</v>
      </c>
      <c r="FJ63" s="35" t="s">
        <v>415</v>
      </c>
      <c r="FK63" s="35" t="s">
        <v>414</v>
      </c>
      <c r="FL63" s="35" t="s">
        <v>414</v>
      </c>
      <c r="FM63" s="35" t="s">
        <v>414</v>
      </c>
      <c r="FN63" s="35" t="s">
        <v>416</v>
      </c>
      <c r="FO63" s="35" t="s">
        <v>414</v>
      </c>
      <c r="FP63" s="35" t="s">
        <v>1074</v>
      </c>
      <c r="FQ63" s="35" t="s">
        <v>486</v>
      </c>
      <c r="FR63" s="35" t="s">
        <v>419</v>
      </c>
      <c r="FS63" s="35" t="s">
        <v>4154</v>
      </c>
      <c r="FT63" s="35" t="s">
        <v>1076</v>
      </c>
      <c r="FU63" s="35" t="s">
        <v>1462</v>
      </c>
      <c r="FV63" s="35" t="s">
        <v>918</v>
      </c>
      <c r="FW63" s="35" t="s">
        <v>490</v>
      </c>
      <c r="FX63" s="35" t="s">
        <v>491</v>
      </c>
      <c r="FY63" s="35" t="s">
        <v>4155</v>
      </c>
      <c r="FZ63" s="35" t="s">
        <v>493</v>
      </c>
      <c r="GA63" s="35" t="s">
        <v>4156</v>
      </c>
      <c r="GB63" s="35" t="s">
        <v>4148</v>
      </c>
      <c r="GC63" s="35" t="s">
        <v>455</v>
      </c>
      <c r="GD63" s="35" t="s">
        <v>11270</v>
      </c>
      <c r="GF63" s="35" t="s">
        <v>753</v>
      </c>
      <c r="GG63" s="35" t="s">
        <v>4148</v>
      </c>
      <c r="GH63" s="35" t="s">
        <v>755</v>
      </c>
      <c r="GI63" s="35" t="s">
        <v>755</v>
      </c>
      <c r="GJ63" s="35" t="s">
        <v>946</v>
      </c>
      <c r="GQ63" s="35" t="s">
        <v>387</v>
      </c>
      <c r="GR63" s="35" t="s">
        <v>3273</v>
      </c>
    </row>
    <row r="64">
      <c r="A64" s="40"/>
      <c r="B64" s="40">
        <v>45833.822846944444</v>
      </c>
      <c r="C64" s="35" t="s">
        <v>368</v>
      </c>
      <c r="D64" s="35" t="s">
        <v>370</v>
      </c>
      <c r="F64" s="35" t="s">
        <v>4170</v>
      </c>
      <c r="H64" s="35" t="s">
        <v>422</v>
      </c>
      <c r="I64" s="35" t="s">
        <v>373</v>
      </c>
      <c r="J64" s="35" t="s">
        <v>1022</v>
      </c>
      <c r="K64" s="35" t="s">
        <v>590</v>
      </c>
      <c r="L64" s="35" t="s">
        <v>376</v>
      </c>
      <c r="M64" s="35" t="s">
        <v>379</v>
      </c>
      <c r="N64" s="35" t="s">
        <v>378</v>
      </c>
      <c r="O64" s="35" t="s">
        <v>1526</v>
      </c>
      <c r="P64" s="35" t="s">
        <v>640</v>
      </c>
      <c r="Q64" s="35" t="s">
        <v>1760</v>
      </c>
      <c r="R64" s="35" t="s">
        <v>1156</v>
      </c>
      <c r="S64" s="35" t="s">
        <v>500</v>
      </c>
      <c r="T64" s="35" t="s">
        <v>384</v>
      </c>
      <c r="U64" s="35" t="s">
        <v>385</v>
      </c>
      <c r="X64" s="35" t="s">
        <v>593</v>
      </c>
      <c r="Y64" s="35" t="s">
        <v>387</v>
      </c>
      <c r="Z64" s="35" t="s">
        <v>4171</v>
      </c>
      <c r="AA64" s="35" t="s">
        <v>672</v>
      </c>
      <c r="AB64" s="35" t="s">
        <v>4172</v>
      </c>
      <c r="AC64" s="35" t="s">
        <v>4173</v>
      </c>
      <c r="AW64" s="35" t="s">
        <v>1242</v>
      </c>
      <c r="AX64" s="35" t="s">
        <v>675</v>
      </c>
      <c r="AY64" s="41">
        <v>4.0</v>
      </c>
      <c r="AZ64" s="35" t="s">
        <v>391</v>
      </c>
      <c r="BA64" s="35" t="s">
        <v>391</v>
      </c>
      <c r="BB64" s="41">
        <v>2.0</v>
      </c>
      <c r="BC64" s="35" t="s">
        <v>391</v>
      </c>
      <c r="BD64" s="35" t="s">
        <v>4174</v>
      </c>
      <c r="BE64" s="35" t="s">
        <v>4175</v>
      </c>
      <c r="BF64" s="35" t="s">
        <v>432</v>
      </c>
      <c r="BG64" s="35" t="s">
        <v>393</v>
      </c>
      <c r="BH64" s="35" t="s">
        <v>678</v>
      </c>
      <c r="BI64" s="35" t="s">
        <v>4176</v>
      </c>
      <c r="BJ64" s="35" t="s">
        <v>435</v>
      </c>
      <c r="BK64" s="35" t="s">
        <v>4177</v>
      </c>
      <c r="BL64" s="35" t="s">
        <v>437</v>
      </c>
      <c r="BM64" s="35" t="s">
        <v>438</v>
      </c>
      <c r="BN64" s="35" t="s">
        <v>1314</v>
      </c>
      <c r="BO64" s="35" t="s">
        <v>513</v>
      </c>
      <c r="CM64" s="35" t="s">
        <v>441</v>
      </c>
      <c r="CN64" s="35" t="s">
        <v>604</v>
      </c>
      <c r="CO64" s="35" t="s">
        <v>4178</v>
      </c>
      <c r="CP64" s="35" t="s">
        <v>4179</v>
      </c>
      <c r="CQ64" s="35" t="s">
        <v>685</v>
      </c>
      <c r="CR64" s="35" t="s">
        <v>4180</v>
      </c>
      <c r="CS64" s="35" t="s">
        <v>447</v>
      </c>
      <c r="CT64" s="35" t="s">
        <v>4181</v>
      </c>
      <c r="CU64" s="35" t="s">
        <v>4182</v>
      </c>
      <c r="CV64" s="35" t="s">
        <v>450</v>
      </c>
      <c r="CW64" s="35" t="s">
        <v>451</v>
      </c>
      <c r="CX64" s="35" t="s">
        <v>4183</v>
      </c>
      <c r="CY64" s="35" t="s">
        <v>408</v>
      </c>
      <c r="DA64" s="35" t="s">
        <v>453</v>
      </c>
      <c r="DB64" s="35" t="s">
        <v>4184</v>
      </c>
      <c r="DC64" s="35" t="s">
        <v>455</v>
      </c>
      <c r="DD64" s="35" t="s">
        <v>4185</v>
      </c>
      <c r="DE64" s="35" t="s">
        <v>457</v>
      </c>
      <c r="DH64" s="35" t="s">
        <v>776</v>
      </c>
      <c r="DI64" s="35" t="s">
        <v>410</v>
      </c>
      <c r="DJ64" s="35" t="s">
        <v>459</v>
      </c>
      <c r="DK64" s="35" t="s">
        <v>613</v>
      </c>
      <c r="EU64" s="35" t="s">
        <v>578</v>
      </c>
      <c r="EV64" s="35" t="s">
        <v>479</v>
      </c>
      <c r="EW64" s="35" t="s">
        <v>778</v>
      </c>
      <c r="EX64" s="35" t="s">
        <v>4186</v>
      </c>
      <c r="EY64" s="35" t="s">
        <v>4187</v>
      </c>
      <c r="EZ64" s="35" t="s">
        <v>4188</v>
      </c>
      <c r="FA64" s="35" t="s">
        <v>414</v>
      </c>
      <c r="FB64" s="35" t="s">
        <v>414</v>
      </c>
      <c r="FC64" s="35" t="s">
        <v>583</v>
      </c>
      <c r="FD64" s="35" t="s">
        <v>583</v>
      </c>
      <c r="FE64" s="35" t="s">
        <v>413</v>
      </c>
      <c r="FF64" s="35" t="s">
        <v>414</v>
      </c>
      <c r="FG64" s="35" t="s">
        <v>484</v>
      </c>
      <c r="FH64" s="35" t="s">
        <v>583</v>
      </c>
      <c r="FI64" s="35" t="s">
        <v>413</v>
      </c>
      <c r="FJ64" s="35" t="s">
        <v>583</v>
      </c>
      <c r="FK64" s="35" t="s">
        <v>583</v>
      </c>
      <c r="FL64" s="35" t="s">
        <v>583</v>
      </c>
      <c r="FM64" s="35" t="s">
        <v>583</v>
      </c>
      <c r="FN64" s="35" t="s">
        <v>415</v>
      </c>
      <c r="FO64" s="35" t="s">
        <v>415</v>
      </c>
      <c r="FP64" s="35" t="s">
        <v>417</v>
      </c>
      <c r="FQ64" s="35" t="s">
        <v>418</v>
      </c>
      <c r="FR64" s="35" t="s">
        <v>712</v>
      </c>
      <c r="FS64" s="35" t="s">
        <v>4189</v>
      </c>
      <c r="FT64" s="35" t="s">
        <v>995</v>
      </c>
      <c r="FU64" s="35" t="s">
        <v>1462</v>
      </c>
      <c r="FV64" s="35" t="s">
        <v>533</v>
      </c>
      <c r="FW64" s="35" t="s">
        <v>490</v>
      </c>
      <c r="FX64" s="35" t="s">
        <v>491</v>
      </c>
      <c r="FY64" s="35" t="s">
        <v>4190</v>
      </c>
      <c r="FZ64" s="35" t="s">
        <v>535</v>
      </c>
      <c r="GA64" s="35" t="s">
        <v>4191</v>
      </c>
      <c r="GB64" s="35" t="s">
        <v>4192</v>
      </c>
      <c r="GC64" s="35" t="s">
        <v>455</v>
      </c>
      <c r="GD64" s="35" t="s">
        <v>11271</v>
      </c>
      <c r="GE64" s="35" t="s">
        <v>11272</v>
      </c>
      <c r="GF64" s="35" t="s">
        <v>1339</v>
      </c>
      <c r="GG64" s="35" t="s">
        <v>4193</v>
      </c>
      <c r="GH64" s="35" t="s">
        <v>788</v>
      </c>
      <c r="GI64" s="35" t="s">
        <v>788</v>
      </c>
      <c r="GJ64" s="35" t="s">
        <v>858</v>
      </c>
      <c r="GR64" s="35" t="s">
        <v>4194</v>
      </c>
    </row>
    <row r="65">
      <c r="A65" s="40"/>
      <c r="B65" s="40">
        <v>45833.88627903935</v>
      </c>
      <c r="C65" s="35" t="s">
        <v>368</v>
      </c>
      <c r="D65" s="35" t="s">
        <v>370</v>
      </c>
      <c r="F65" s="35" t="s">
        <v>371</v>
      </c>
      <c r="H65" s="35" t="s">
        <v>422</v>
      </c>
      <c r="I65" s="35" t="s">
        <v>496</v>
      </c>
      <c r="J65" s="35" t="s">
        <v>374</v>
      </c>
      <c r="K65" s="35" t="s">
        <v>718</v>
      </c>
      <c r="L65" s="35" t="s">
        <v>376</v>
      </c>
      <c r="M65" s="35" t="s">
        <v>793</v>
      </c>
      <c r="N65" s="35" t="s">
        <v>4195</v>
      </c>
      <c r="O65" s="35" t="s">
        <v>793</v>
      </c>
      <c r="P65" s="35" t="s">
        <v>1511</v>
      </c>
      <c r="Q65" s="35" t="s">
        <v>592</v>
      </c>
      <c r="R65" s="35" t="s">
        <v>862</v>
      </c>
      <c r="S65" s="35" t="s">
        <v>500</v>
      </c>
      <c r="T65" s="35" t="s">
        <v>384</v>
      </c>
      <c r="U65" s="35" t="s">
        <v>385</v>
      </c>
      <c r="X65" s="35" t="s">
        <v>593</v>
      </c>
      <c r="Y65" s="35" t="s">
        <v>387</v>
      </c>
      <c r="Z65" s="35" t="s">
        <v>388</v>
      </c>
      <c r="AA65" s="35" t="s">
        <v>543</v>
      </c>
      <c r="AB65" s="35" t="s">
        <v>4196</v>
      </c>
      <c r="AC65" s="35" t="s">
        <v>4197</v>
      </c>
      <c r="AW65" s="35" t="s">
        <v>1310</v>
      </c>
      <c r="AX65" s="41">
        <v>4.0</v>
      </c>
      <c r="AY65" s="35" t="s">
        <v>391</v>
      </c>
      <c r="AZ65" s="35" t="s">
        <v>391</v>
      </c>
      <c r="BA65" s="41">
        <v>2.0</v>
      </c>
      <c r="BB65" s="41">
        <v>2.0</v>
      </c>
      <c r="BC65" s="35" t="s">
        <v>391</v>
      </c>
      <c r="BD65" s="35" t="s">
        <v>4198</v>
      </c>
      <c r="BE65" s="35" t="s">
        <v>4199</v>
      </c>
      <c r="BF65" s="35" t="s">
        <v>432</v>
      </c>
      <c r="BG65" s="35" t="s">
        <v>1095</v>
      </c>
      <c r="BH65" s="35" t="s">
        <v>678</v>
      </c>
      <c r="BI65" s="35" t="s">
        <v>4200</v>
      </c>
      <c r="BJ65" s="35" t="s">
        <v>976</v>
      </c>
      <c r="BK65" s="35" t="s">
        <v>4201</v>
      </c>
      <c r="BL65" s="35" t="s">
        <v>511</v>
      </c>
      <c r="BM65" s="35" t="s">
        <v>904</v>
      </c>
      <c r="BN65" s="35" t="s">
        <v>1247</v>
      </c>
      <c r="BO65" s="35" t="s">
        <v>513</v>
      </c>
      <c r="CM65" s="35" t="s">
        <v>441</v>
      </c>
      <c r="CN65" s="35" t="s">
        <v>682</v>
      </c>
      <c r="CO65" s="35" t="s">
        <v>4202</v>
      </c>
      <c r="CP65" s="35" t="s">
        <v>11273</v>
      </c>
      <c r="CQ65" s="35" t="s">
        <v>685</v>
      </c>
      <c r="CR65" s="35" t="s">
        <v>4204</v>
      </c>
      <c r="CS65" s="35" t="s">
        <v>447</v>
      </c>
      <c r="CT65" s="35" t="s">
        <v>4205</v>
      </c>
      <c r="CU65" s="35" t="s">
        <v>4206</v>
      </c>
      <c r="CV65" s="35" t="s">
        <v>519</v>
      </c>
      <c r="CW65" s="35" t="s">
        <v>451</v>
      </c>
      <c r="CX65" s="35" t="s">
        <v>4207</v>
      </c>
      <c r="CY65" s="35" t="s">
        <v>408</v>
      </c>
      <c r="DA65" s="35" t="s">
        <v>985</v>
      </c>
      <c r="DB65" s="35" t="s">
        <v>4208</v>
      </c>
      <c r="DC65" s="35" t="s">
        <v>408</v>
      </c>
      <c r="DE65" s="35" t="s">
        <v>988</v>
      </c>
      <c r="DG65" s="35" t="s">
        <v>4209</v>
      </c>
      <c r="DH65" s="35" t="s">
        <v>524</v>
      </c>
      <c r="DI65" s="35" t="s">
        <v>410</v>
      </c>
      <c r="DJ65" s="35" t="s">
        <v>459</v>
      </c>
      <c r="DK65" s="35" t="s">
        <v>460</v>
      </c>
      <c r="DL65" s="35" t="s">
        <v>461</v>
      </c>
      <c r="EU65" s="35" t="s">
        <v>478</v>
      </c>
      <c r="EV65" s="35" t="s">
        <v>887</v>
      </c>
      <c r="EW65" s="35" t="s">
        <v>480</v>
      </c>
      <c r="EY65" s="35" t="s">
        <v>4210</v>
      </c>
      <c r="FA65" s="35" t="s">
        <v>414</v>
      </c>
      <c r="FB65" s="35" t="s">
        <v>414</v>
      </c>
      <c r="FC65" s="35" t="s">
        <v>416</v>
      </c>
      <c r="FD65" s="35" t="s">
        <v>414</v>
      </c>
      <c r="FE65" s="35" t="s">
        <v>416</v>
      </c>
      <c r="FF65" s="35" t="s">
        <v>414</v>
      </c>
      <c r="FG65" s="35" t="s">
        <v>415</v>
      </c>
      <c r="FH65" s="35" t="s">
        <v>416</v>
      </c>
      <c r="FI65" s="35" t="s">
        <v>414</v>
      </c>
      <c r="FJ65" s="35" t="s">
        <v>414</v>
      </c>
      <c r="FK65" s="35" t="s">
        <v>414</v>
      </c>
      <c r="FL65" s="35" t="s">
        <v>415</v>
      </c>
      <c r="FM65" s="35" t="s">
        <v>414</v>
      </c>
      <c r="FN65" s="35" t="s">
        <v>413</v>
      </c>
      <c r="FO65" s="35" t="s">
        <v>414</v>
      </c>
      <c r="FP65" s="35" t="s">
        <v>485</v>
      </c>
      <c r="FQ65" s="35" t="s">
        <v>486</v>
      </c>
      <c r="FR65" s="35" t="s">
        <v>749</v>
      </c>
      <c r="FT65" s="35" t="s">
        <v>420</v>
      </c>
      <c r="FV65" s="35" t="s">
        <v>489</v>
      </c>
      <c r="FW65" s="35" t="s">
        <v>490</v>
      </c>
      <c r="FX65" s="35" t="s">
        <v>491</v>
      </c>
      <c r="FY65" s="35" t="s">
        <v>4211</v>
      </c>
      <c r="FZ65" s="35" t="s">
        <v>493</v>
      </c>
      <c r="GC65" s="35" t="s">
        <v>455</v>
      </c>
      <c r="GD65" s="35" t="s">
        <v>11274</v>
      </c>
      <c r="GF65" s="35" t="s">
        <v>1339</v>
      </c>
      <c r="GG65" s="35" t="s">
        <v>4212</v>
      </c>
      <c r="GH65" s="35" t="s">
        <v>920</v>
      </c>
      <c r="GJ65" s="35" t="s">
        <v>756</v>
      </c>
      <c r="GR65" s="35" t="s">
        <v>3208</v>
      </c>
    </row>
    <row r="66">
      <c r="A66" s="40"/>
      <c r="B66" s="40">
        <v>45834.08521821759</v>
      </c>
      <c r="C66" s="35" t="s">
        <v>368</v>
      </c>
      <c r="D66" s="35" t="s">
        <v>947</v>
      </c>
      <c r="E66" s="35" t="s">
        <v>947</v>
      </c>
      <c r="H66" s="35" t="s">
        <v>422</v>
      </c>
      <c r="I66" s="35" t="s">
        <v>423</v>
      </c>
      <c r="J66" s="35" t="s">
        <v>424</v>
      </c>
      <c r="K66" s="35" t="s">
        <v>718</v>
      </c>
      <c r="L66" s="35" t="s">
        <v>376</v>
      </c>
      <c r="M66" s="35" t="s">
        <v>379</v>
      </c>
      <c r="N66" s="35" t="s">
        <v>4213</v>
      </c>
      <c r="O66" s="35" t="s">
        <v>793</v>
      </c>
      <c r="P66" s="35" t="s">
        <v>380</v>
      </c>
      <c r="Q66" s="35" t="s">
        <v>498</v>
      </c>
      <c r="R66" s="35" t="s">
        <v>499</v>
      </c>
      <c r="S66" s="35" t="s">
        <v>949</v>
      </c>
      <c r="T66" s="35" t="s">
        <v>384</v>
      </c>
      <c r="U66" s="35" t="s">
        <v>385</v>
      </c>
      <c r="X66" s="35" t="s">
        <v>386</v>
      </c>
      <c r="Y66" s="35" t="s">
        <v>387</v>
      </c>
      <c r="Z66" s="35" t="s">
        <v>388</v>
      </c>
      <c r="AA66" s="35" t="s">
        <v>543</v>
      </c>
      <c r="AB66" s="35" t="s">
        <v>408</v>
      </c>
      <c r="AW66" s="35" t="s">
        <v>1310</v>
      </c>
      <c r="AX66" s="35" t="s">
        <v>391</v>
      </c>
      <c r="AY66" s="41">
        <v>2.0</v>
      </c>
      <c r="AZ66" s="41">
        <v>2.0</v>
      </c>
      <c r="BA66" s="35" t="s">
        <v>429</v>
      </c>
      <c r="BB66" s="35" t="s">
        <v>429</v>
      </c>
      <c r="BC66" s="41">
        <v>4.0</v>
      </c>
      <c r="BD66" s="35" t="s">
        <v>4214</v>
      </c>
      <c r="BE66" s="35" t="s">
        <v>4215</v>
      </c>
      <c r="BF66" s="35" t="s">
        <v>392</v>
      </c>
      <c r="BG66" s="35" t="s">
        <v>1047</v>
      </c>
      <c r="BH66" s="35" t="s">
        <v>434</v>
      </c>
      <c r="BJ66" s="35" t="s">
        <v>435</v>
      </c>
      <c r="BK66" s="35" t="s">
        <v>4216</v>
      </c>
      <c r="BL66" s="35" t="s">
        <v>437</v>
      </c>
      <c r="BM66" s="35" t="s">
        <v>438</v>
      </c>
      <c r="BN66" s="35" t="s">
        <v>1276</v>
      </c>
      <c r="BO66" s="35" t="s">
        <v>513</v>
      </c>
      <c r="CM66" s="35" t="s">
        <v>953</v>
      </c>
      <c r="CN66" s="35" t="s">
        <v>401</v>
      </c>
      <c r="CO66" s="35" t="s">
        <v>11275</v>
      </c>
      <c r="CP66" s="35" t="s">
        <v>552</v>
      </c>
      <c r="CQ66" s="35" t="s">
        <v>685</v>
      </c>
      <c r="CR66" s="35" t="s">
        <v>4218</v>
      </c>
      <c r="CS66" s="35" t="s">
        <v>804</v>
      </c>
      <c r="CT66" s="35" t="s">
        <v>4219</v>
      </c>
      <c r="CU66" s="35" t="s">
        <v>11276</v>
      </c>
      <c r="CV66" s="35" t="s">
        <v>1852</v>
      </c>
      <c r="CW66" s="35" t="s">
        <v>959</v>
      </c>
      <c r="CY66" s="35" t="s">
        <v>408</v>
      </c>
      <c r="DA66" s="35" t="s">
        <v>1398</v>
      </c>
      <c r="DB66" s="35" t="s">
        <v>11277</v>
      </c>
      <c r="DC66" s="35" t="s">
        <v>408</v>
      </c>
      <c r="DE66" s="35" t="s">
        <v>988</v>
      </c>
      <c r="DI66" s="35" t="s">
        <v>833</v>
      </c>
      <c r="DJ66" s="35" t="s">
        <v>459</v>
      </c>
      <c r="DK66" s="35" t="s">
        <v>613</v>
      </c>
      <c r="EU66" s="35" t="s">
        <v>478</v>
      </c>
      <c r="EV66" s="35" t="s">
        <v>579</v>
      </c>
      <c r="EW66" s="35" t="s">
        <v>480</v>
      </c>
      <c r="EY66" s="35" t="s">
        <v>11278</v>
      </c>
      <c r="EZ66" s="35" t="s">
        <v>4223</v>
      </c>
      <c r="FA66" s="35" t="s">
        <v>583</v>
      </c>
      <c r="FB66" s="35" t="s">
        <v>583</v>
      </c>
      <c r="FC66" s="35" t="s">
        <v>413</v>
      </c>
      <c r="FD66" s="35" t="s">
        <v>414</v>
      </c>
      <c r="FE66" s="35" t="s">
        <v>413</v>
      </c>
      <c r="FF66" s="35" t="s">
        <v>583</v>
      </c>
      <c r="FG66" s="35" t="s">
        <v>414</v>
      </c>
      <c r="FH66" s="35" t="s">
        <v>414</v>
      </c>
      <c r="FI66" s="35" t="s">
        <v>416</v>
      </c>
      <c r="FJ66" s="35" t="s">
        <v>413</v>
      </c>
      <c r="FK66" s="35" t="s">
        <v>583</v>
      </c>
      <c r="FL66" s="35" t="s">
        <v>415</v>
      </c>
      <c r="FM66" s="35" t="s">
        <v>415</v>
      </c>
      <c r="FN66" s="35" t="s">
        <v>415</v>
      </c>
      <c r="FO66" s="35" t="s">
        <v>415</v>
      </c>
      <c r="FP66" s="35" t="s">
        <v>1537</v>
      </c>
      <c r="FQ66" s="35" t="s">
        <v>418</v>
      </c>
      <c r="FR66" s="35" t="s">
        <v>419</v>
      </c>
      <c r="FS66" s="35" t="s">
        <v>4224</v>
      </c>
      <c r="FT66" s="35" t="s">
        <v>1076</v>
      </c>
      <c r="FU66" s="35" t="s">
        <v>488</v>
      </c>
      <c r="FV66" s="35" t="s">
        <v>1235</v>
      </c>
      <c r="FW66" s="35" t="s">
        <v>1101</v>
      </c>
      <c r="FX66" s="35" t="s">
        <v>1853</v>
      </c>
      <c r="FY66" s="35" t="s">
        <v>11279</v>
      </c>
      <c r="FZ66" s="35" t="s">
        <v>1854</v>
      </c>
      <c r="GA66" s="35" t="s">
        <v>4226</v>
      </c>
      <c r="GC66" s="35" t="s">
        <v>455</v>
      </c>
      <c r="GD66" s="35" t="s">
        <v>11280</v>
      </c>
      <c r="GF66" s="35" t="s">
        <v>753</v>
      </c>
      <c r="GG66" s="35" t="s">
        <v>4227</v>
      </c>
      <c r="GH66" s="35" t="s">
        <v>755</v>
      </c>
      <c r="GI66" s="35" t="s">
        <v>755</v>
      </c>
      <c r="GJ66" s="35" t="s">
        <v>817</v>
      </c>
      <c r="GR66" s="35" t="s">
        <v>3208</v>
      </c>
    </row>
    <row r="67">
      <c r="A67" s="40"/>
      <c r="B67" s="40">
        <v>45834.09703479167</v>
      </c>
      <c r="C67" s="35" t="s">
        <v>368</v>
      </c>
      <c r="D67" s="35" t="s">
        <v>538</v>
      </c>
      <c r="E67" s="35" t="s">
        <v>538</v>
      </c>
      <c r="H67" s="35" t="s">
        <v>422</v>
      </c>
      <c r="I67" s="35" t="s">
        <v>1921</v>
      </c>
      <c r="J67" s="35" t="s">
        <v>668</v>
      </c>
      <c r="K67" s="35" t="s">
        <v>718</v>
      </c>
      <c r="L67" s="35" t="s">
        <v>376</v>
      </c>
      <c r="M67" s="35" t="s">
        <v>379</v>
      </c>
      <c r="N67" s="35" t="s">
        <v>378</v>
      </c>
      <c r="O67" s="35" t="s">
        <v>379</v>
      </c>
      <c r="P67" s="35" t="s">
        <v>4228</v>
      </c>
      <c r="Q67" s="35" t="s">
        <v>498</v>
      </c>
      <c r="R67" s="35" t="s">
        <v>499</v>
      </c>
      <c r="S67" s="35" t="s">
        <v>427</v>
      </c>
      <c r="T67" s="35" t="s">
        <v>384</v>
      </c>
      <c r="U67" s="35" t="s">
        <v>385</v>
      </c>
      <c r="X67" s="35" t="s">
        <v>3014</v>
      </c>
      <c r="AW67" s="35" t="s">
        <v>390</v>
      </c>
      <c r="AX67" s="41">
        <v>2.0</v>
      </c>
      <c r="AY67" s="41">
        <v>2.0</v>
      </c>
      <c r="AZ67" s="41">
        <v>4.0</v>
      </c>
      <c r="BA67" s="35" t="s">
        <v>391</v>
      </c>
      <c r="BB67" s="41">
        <v>2.0</v>
      </c>
      <c r="BC67" s="35" t="s">
        <v>391</v>
      </c>
      <c r="BD67" s="35" t="s">
        <v>4229</v>
      </c>
      <c r="BE67" s="35" t="s">
        <v>4230</v>
      </c>
      <c r="BF67" s="35" t="s">
        <v>392</v>
      </c>
      <c r="BG67" s="35" t="s">
        <v>433</v>
      </c>
      <c r="BH67" s="35" t="s">
        <v>725</v>
      </c>
      <c r="BJ67" s="35" t="s">
        <v>976</v>
      </c>
      <c r="BL67" s="35" t="s">
        <v>511</v>
      </c>
      <c r="BM67" s="35" t="s">
        <v>603</v>
      </c>
      <c r="BN67" s="35" t="s">
        <v>549</v>
      </c>
      <c r="BO67" s="35" t="s">
        <v>513</v>
      </c>
      <c r="CM67" s="35" t="s">
        <v>441</v>
      </c>
      <c r="CN67" s="35" t="s">
        <v>401</v>
      </c>
      <c r="CO67" s="35" t="s">
        <v>4231</v>
      </c>
      <c r="CP67" s="35" t="s">
        <v>4232</v>
      </c>
      <c r="CQ67" s="35" t="s">
        <v>979</v>
      </c>
      <c r="CR67" s="35" t="s">
        <v>3090</v>
      </c>
      <c r="CS67" s="35" t="s">
        <v>404</v>
      </c>
      <c r="CT67" s="35" t="s">
        <v>1032</v>
      </c>
      <c r="CU67" s="35" t="s">
        <v>4233</v>
      </c>
      <c r="CV67" s="35" t="s">
        <v>450</v>
      </c>
      <c r="CW67" s="35" t="s">
        <v>451</v>
      </c>
      <c r="CX67" s="35" t="s">
        <v>4234</v>
      </c>
      <c r="CY67" s="35" t="s">
        <v>408</v>
      </c>
      <c r="DA67" s="35" t="s">
        <v>453</v>
      </c>
      <c r="DB67" s="35" t="s">
        <v>4235</v>
      </c>
      <c r="DC67" s="35" t="s">
        <v>455</v>
      </c>
      <c r="DD67" s="35" t="s">
        <v>4236</v>
      </c>
      <c r="DE67" s="35" t="s">
        <v>406</v>
      </c>
      <c r="DF67" s="35" t="s">
        <v>407</v>
      </c>
      <c r="DG67" s="35" t="s">
        <v>4237</v>
      </c>
      <c r="DH67" s="35" t="s">
        <v>561</v>
      </c>
      <c r="DI67" s="35" t="s">
        <v>410</v>
      </c>
      <c r="DJ67" s="35" t="s">
        <v>459</v>
      </c>
      <c r="DK67" s="35" t="s">
        <v>460</v>
      </c>
      <c r="DL67" s="35" t="s">
        <v>461</v>
      </c>
      <c r="EU67" s="35" t="s">
        <v>578</v>
      </c>
      <c r="EV67" s="35" t="s">
        <v>579</v>
      </c>
      <c r="EW67" s="35" t="s">
        <v>1262</v>
      </c>
      <c r="EY67" s="35" t="s">
        <v>4238</v>
      </c>
      <c r="EZ67" s="35" t="s">
        <v>4239</v>
      </c>
      <c r="FA67" s="35" t="s">
        <v>414</v>
      </c>
      <c r="FB67" s="35" t="s">
        <v>414</v>
      </c>
      <c r="FC67" s="35" t="s">
        <v>413</v>
      </c>
      <c r="FD67" s="35" t="s">
        <v>416</v>
      </c>
      <c r="FE67" s="35" t="s">
        <v>413</v>
      </c>
      <c r="FF67" s="35" t="s">
        <v>414</v>
      </c>
      <c r="FG67" s="35" t="s">
        <v>416</v>
      </c>
      <c r="FH67" s="35" t="s">
        <v>413</v>
      </c>
      <c r="FI67" s="35" t="s">
        <v>414</v>
      </c>
      <c r="FJ67" s="35" t="s">
        <v>416</v>
      </c>
      <c r="FK67" s="35" t="s">
        <v>415</v>
      </c>
      <c r="FL67" s="35" t="s">
        <v>413</v>
      </c>
      <c r="FN67" s="35" t="s">
        <v>413</v>
      </c>
      <c r="FO67" s="35" t="s">
        <v>414</v>
      </c>
      <c r="FP67" s="35" t="s">
        <v>1074</v>
      </c>
      <c r="FQ67" s="35" t="s">
        <v>418</v>
      </c>
      <c r="FR67" s="35" t="s">
        <v>1039</v>
      </c>
      <c r="FS67" s="35" t="s">
        <v>4240</v>
      </c>
      <c r="FT67" s="35" t="s">
        <v>1189</v>
      </c>
      <c r="FU67" s="35" t="s">
        <v>488</v>
      </c>
      <c r="FV67" s="35" t="s">
        <v>1235</v>
      </c>
      <c r="FW67" s="35" t="s">
        <v>490</v>
      </c>
      <c r="FX67" s="35" t="s">
        <v>491</v>
      </c>
      <c r="FY67" s="35" t="s">
        <v>4241</v>
      </c>
      <c r="FZ67" s="35" t="s">
        <v>493</v>
      </c>
      <c r="GC67" s="35" t="s">
        <v>408</v>
      </c>
      <c r="GH67" s="35" t="s">
        <v>755</v>
      </c>
      <c r="GI67" s="35" t="s">
        <v>755</v>
      </c>
      <c r="GJ67" s="35" t="s">
        <v>946</v>
      </c>
      <c r="GO67" s="35" t="s">
        <v>3012</v>
      </c>
      <c r="GP67" s="35" t="s">
        <v>3012</v>
      </c>
      <c r="GR67" s="35" t="s">
        <v>4242</v>
      </c>
    </row>
    <row r="68">
      <c r="A68" s="40"/>
      <c r="B68" s="40">
        <v>45834.45642371528</v>
      </c>
      <c r="C68" s="35" t="s">
        <v>368</v>
      </c>
      <c r="D68" s="35" t="s">
        <v>370</v>
      </c>
      <c r="F68" s="35" t="s">
        <v>667</v>
      </c>
      <c r="H68" s="35" t="s">
        <v>422</v>
      </c>
      <c r="I68" s="35" t="s">
        <v>1203</v>
      </c>
      <c r="J68" s="35" t="s">
        <v>638</v>
      </c>
      <c r="K68" s="35" t="s">
        <v>1204</v>
      </c>
      <c r="L68" s="35" t="s">
        <v>376</v>
      </c>
      <c r="M68" s="35" t="s">
        <v>379</v>
      </c>
      <c r="N68" s="35" t="s">
        <v>720</v>
      </c>
      <c r="O68" s="35" t="s">
        <v>377</v>
      </c>
      <c r="P68" s="35" t="s">
        <v>497</v>
      </c>
      <c r="Q68" s="35" t="s">
        <v>381</v>
      </c>
      <c r="R68" s="35" t="s">
        <v>1156</v>
      </c>
      <c r="S68" s="35" t="s">
        <v>1135</v>
      </c>
      <c r="T68" s="35" t="s">
        <v>384</v>
      </c>
      <c r="U68" s="35" t="s">
        <v>385</v>
      </c>
      <c r="X68" s="35" t="s">
        <v>3014</v>
      </c>
      <c r="AW68" s="35" t="s">
        <v>504</v>
      </c>
      <c r="AX68" s="35" t="s">
        <v>429</v>
      </c>
      <c r="AY68" s="35" t="s">
        <v>429</v>
      </c>
      <c r="AZ68" s="35" t="s">
        <v>429</v>
      </c>
      <c r="BA68" s="35" t="s">
        <v>429</v>
      </c>
      <c r="BB68" s="35" t="s">
        <v>429</v>
      </c>
      <c r="BC68" s="35" t="s">
        <v>429</v>
      </c>
      <c r="BD68" s="35" t="s">
        <v>4256</v>
      </c>
      <c r="BE68" s="35" t="s">
        <v>4257</v>
      </c>
      <c r="BF68" s="35" t="s">
        <v>392</v>
      </c>
      <c r="BG68" s="35" t="s">
        <v>433</v>
      </c>
      <c r="BH68" s="35" t="s">
        <v>765</v>
      </c>
      <c r="BJ68" s="35" t="s">
        <v>824</v>
      </c>
      <c r="BL68" s="35" t="s">
        <v>511</v>
      </c>
      <c r="BM68" s="35" t="s">
        <v>396</v>
      </c>
      <c r="BN68" s="35" t="s">
        <v>439</v>
      </c>
      <c r="BO68" s="35" t="s">
        <v>513</v>
      </c>
      <c r="CM68" s="35" t="s">
        <v>550</v>
      </c>
      <c r="CN68" s="35" t="s">
        <v>604</v>
      </c>
      <c r="CO68" s="35" t="s">
        <v>4258</v>
      </c>
      <c r="CP68" s="35" t="s">
        <v>4259</v>
      </c>
      <c r="CQ68" s="35" t="s">
        <v>1948</v>
      </c>
      <c r="CR68" s="35" t="s">
        <v>2383</v>
      </c>
      <c r="CS68" s="35" t="s">
        <v>404</v>
      </c>
      <c r="CT68" s="35" t="s">
        <v>4260</v>
      </c>
      <c r="CU68" s="35" t="s">
        <v>4261</v>
      </c>
      <c r="CV68" s="35" t="s">
        <v>519</v>
      </c>
      <c r="CW68" s="35" t="s">
        <v>451</v>
      </c>
      <c r="CX68" s="35" t="s">
        <v>4262</v>
      </c>
      <c r="CY68" s="35" t="s">
        <v>408</v>
      </c>
      <c r="DA68" s="35" t="s">
        <v>453</v>
      </c>
      <c r="DB68" s="35" t="s">
        <v>4263</v>
      </c>
      <c r="DC68" s="35" t="s">
        <v>408</v>
      </c>
      <c r="DE68" s="35" t="s">
        <v>988</v>
      </c>
      <c r="DG68" s="35" t="s">
        <v>4264</v>
      </c>
      <c r="DH68" s="35" t="s">
        <v>561</v>
      </c>
      <c r="DI68" s="35" t="s">
        <v>410</v>
      </c>
      <c r="DJ68" s="35" t="s">
        <v>459</v>
      </c>
      <c r="DK68" s="35" t="s">
        <v>562</v>
      </c>
      <c r="DL68" s="35" t="s">
        <v>461</v>
      </c>
      <c r="EU68" s="35" t="s">
        <v>526</v>
      </c>
      <c r="EV68" s="35" t="s">
        <v>887</v>
      </c>
      <c r="EW68" s="35" t="s">
        <v>580</v>
      </c>
      <c r="EY68" s="35" t="s">
        <v>1337</v>
      </c>
      <c r="EZ68" s="35" t="s">
        <v>4265</v>
      </c>
      <c r="FA68" s="35" t="s">
        <v>416</v>
      </c>
      <c r="FB68" s="35" t="s">
        <v>415</v>
      </c>
      <c r="FC68" s="35" t="s">
        <v>413</v>
      </c>
      <c r="FD68" s="35" t="s">
        <v>413</v>
      </c>
      <c r="FE68" s="35" t="s">
        <v>413</v>
      </c>
      <c r="FF68" s="35" t="s">
        <v>414</v>
      </c>
      <c r="FG68" s="35" t="s">
        <v>413</v>
      </c>
      <c r="FH68" s="35" t="s">
        <v>484</v>
      </c>
      <c r="FI68" s="35" t="s">
        <v>484</v>
      </c>
      <c r="FJ68" s="35" t="s">
        <v>484</v>
      </c>
      <c r="FK68" s="35" t="s">
        <v>416</v>
      </c>
      <c r="FL68" s="35" t="s">
        <v>484</v>
      </c>
      <c r="FM68" s="35" t="s">
        <v>484</v>
      </c>
      <c r="FN68" s="35" t="s">
        <v>484</v>
      </c>
      <c r="FO68" s="35" t="s">
        <v>484</v>
      </c>
      <c r="FP68" s="35" t="s">
        <v>485</v>
      </c>
      <c r="FQ68" s="35" t="s">
        <v>418</v>
      </c>
      <c r="FR68" s="35" t="s">
        <v>712</v>
      </c>
      <c r="FT68" s="35" t="s">
        <v>420</v>
      </c>
      <c r="FU68" s="35" t="s">
        <v>488</v>
      </c>
      <c r="FV68" s="35" t="s">
        <v>585</v>
      </c>
      <c r="FW68" s="35" t="s">
        <v>1101</v>
      </c>
      <c r="FX68" s="35" t="s">
        <v>491</v>
      </c>
      <c r="FY68" s="35" t="s">
        <v>4266</v>
      </c>
      <c r="FZ68" s="35" t="s">
        <v>535</v>
      </c>
      <c r="GC68" s="35" t="s">
        <v>408</v>
      </c>
      <c r="GH68" s="35" t="s">
        <v>788</v>
      </c>
      <c r="GI68" s="35" t="s">
        <v>788</v>
      </c>
      <c r="GJ68" s="35" t="s">
        <v>756</v>
      </c>
      <c r="GR68" s="35" t="s">
        <v>3208</v>
      </c>
    </row>
    <row r="69">
      <c r="A69" s="40"/>
      <c r="B69" s="40">
        <v>45834.83290418981</v>
      </c>
      <c r="C69" s="35" t="s">
        <v>368</v>
      </c>
      <c r="D69" s="35" t="s">
        <v>370</v>
      </c>
      <c r="E69" s="35" t="s">
        <v>370</v>
      </c>
      <c r="F69" s="35" t="s">
        <v>2294</v>
      </c>
      <c r="G69" s="35" t="s">
        <v>2294</v>
      </c>
      <c r="H69" s="35" t="s">
        <v>422</v>
      </c>
      <c r="I69" s="35" t="s">
        <v>373</v>
      </c>
      <c r="J69" s="35" t="s">
        <v>374</v>
      </c>
      <c r="K69" s="35" t="s">
        <v>375</v>
      </c>
      <c r="L69" s="35" t="s">
        <v>376</v>
      </c>
      <c r="M69" s="35" t="s">
        <v>426</v>
      </c>
      <c r="N69" s="35" t="s">
        <v>378</v>
      </c>
      <c r="O69" s="35" t="s">
        <v>591</v>
      </c>
      <c r="P69" s="35" t="s">
        <v>671</v>
      </c>
      <c r="Q69" s="35" t="s">
        <v>498</v>
      </c>
      <c r="R69" s="35" t="s">
        <v>382</v>
      </c>
      <c r="S69" s="35" t="s">
        <v>427</v>
      </c>
      <c r="T69" s="35" t="s">
        <v>384</v>
      </c>
      <c r="U69" s="35" t="s">
        <v>385</v>
      </c>
      <c r="X69" s="35" t="s">
        <v>386</v>
      </c>
      <c r="Y69" s="35" t="s">
        <v>387</v>
      </c>
      <c r="Z69" s="35" t="s">
        <v>594</v>
      </c>
      <c r="AA69" s="35" t="s">
        <v>672</v>
      </c>
      <c r="AB69" s="35" t="s">
        <v>4286</v>
      </c>
      <c r="AC69" s="35" t="s">
        <v>11281</v>
      </c>
      <c r="AW69" s="35" t="s">
        <v>504</v>
      </c>
      <c r="AX69" s="35" t="s">
        <v>429</v>
      </c>
      <c r="AY69" s="41">
        <v>2.0</v>
      </c>
      <c r="AZ69" s="41">
        <v>4.0</v>
      </c>
      <c r="BA69" s="41">
        <v>2.0</v>
      </c>
      <c r="BB69" s="35" t="s">
        <v>429</v>
      </c>
      <c r="BC69" s="35" t="s">
        <v>429</v>
      </c>
      <c r="BD69" s="35" t="s">
        <v>11282</v>
      </c>
      <c r="BE69" s="35" t="s">
        <v>11283</v>
      </c>
      <c r="BF69" s="35" t="s">
        <v>432</v>
      </c>
      <c r="BG69" s="35" t="s">
        <v>433</v>
      </c>
      <c r="BH69" s="35" t="s">
        <v>678</v>
      </c>
      <c r="BI69" s="35" t="s">
        <v>4290</v>
      </c>
      <c r="BJ69" s="35" t="s">
        <v>509</v>
      </c>
      <c r="BK69" s="35" t="s">
        <v>11284</v>
      </c>
      <c r="BL69" s="35" t="s">
        <v>511</v>
      </c>
      <c r="BM69" s="35" t="s">
        <v>438</v>
      </c>
      <c r="BN69" s="35" t="s">
        <v>439</v>
      </c>
      <c r="BO69" s="35" t="s">
        <v>513</v>
      </c>
      <c r="CM69" s="35" t="s">
        <v>441</v>
      </c>
      <c r="CN69" s="35" t="s">
        <v>604</v>
      </c>
      <c r="CO69" s="35" t="s">
        <v>11285</v>
      </c>
      <c r="CP69" s="35" t="s">
        <v>11286</v>
      </c>
      <c r="CQ69" s="35" t="s">
        <v>979</v>
      </c>
      <c r="CR69" s="35" t="s">
        <v>4294</v>
      </c>
      <c r="CS69" s="35" t="s">
        <v>804</v>
      </c>
      <c r="CT69" s="35" t="s">
        <v>4295</v>
      </c>
      <c r="CU69" s="35" t="s">
        <v>4296</v>
      </c>
      <c r="CV69" s="35" t="s">
        <v>450</v>
      </c>
      <c r="CW69" s="35" t="s">
        <v>451</v>
      </c>
      <c r="CX69" s="35" t="s">
        <v>4297</v>
      </c>
      <c r="CY69" s="35" t="s">
        <v>408</v>
      </c>
      <c r="DA69" s="35" t="s">
        <v>453</v>
      </c>
      <c r="DB69" s="35" t="s">
        <v>11287</v>
      </c>
      <c r="DC69" s="35" t="s">
        <v>455</v>
      </c>
      <c r="DD69" s="35" t="s">
        <v>11288</v>
      </c>
      <c r="DE69" s="35" t="s">
        <v>457</v>
      </c>
      <c r="DG69" s="35" t="s">
        <v>11289</v>
      </c>
      <c r="DH69" s="35" t="s">
        <v>524</v>
      </c>
      <c r="DI69" s="35" t="s">
        <v>410</v>
      </c>
      <c r="DJ69" s="35" t="s">
        <v>459</v>
      </c>
      <c r="DK69" s="35" t="s">
        <v>613</v>
      </c>
      <c r="EU69" s="35" t="s">
        <v>526</v>
      </c>
      <c r="EV69" s="35" t="s">
        <v>479</v>
      </c>
      <c r="EW69" s="35" t="s">
        <v>480</v>
      </c>
      <c r="EX69" s="35" t="s">
        <v>11290</v>
      </c>
      <c r="EY69" s="35" t="s">
        <v>11291</v>
      </c>
      <c r="EZ69" s="35" t="s">
        <v>4303</v>
      </c>
      <c r="FA69" s="35" t="s">
        <v>413</v>
      </c>
      <c r="FB69" s="35" t="s">
        <v>413</v>
      </c>
      <c r="FC69" s="35" t="s">
        <v>413</v>
      </c>
      <c r="FD69" s="35" t="s">
        <v>413</v>
      </c>
      <c r="FE69" s="35" t="s">
        <v>413</v>
      </c>
      <c r="FF69" s="35" t="s">
        <v>413</v>
      </c>
      <c r="FG69" s="35" t="s">
        <v>413</v>
      </c>
      <c r="FH69" s="35" t="s">
        <v>413</v>
      </c>
      <c r="FI69" s="35" t="s">
        <v>583</v>
      </c>
      <c r="FJ69" s="35" t="s">
        <v>583</v>
      </c>
      <c r="FK69" s="35" t="s">
        <v>415</v>
      </c>
      <c r="FL69" s="35" t="s">
        <v>484</v>
      </c>
      <c r="FM69" s="35" t="s">
        <v>484</v>
      </c>
      <c r="FN69" s="35" t="s">
        <v>413</v>
      </c>
      <c r="FO69" s="35" t="s">
        <v>583</v>
      </c>
      <c r="FP69" s="35" t="s">
        <v>417</v>
      </c>
      <c r="FQ69" s="35" t="s">
        <v>418</v>
      </c>
      <c r="FR69" s="35" t="s">
        <v>1039</v>
      </c>
      <c r="FS69" s="35" t="s">
        <v>4304</v>
      </c>
      <c r="FT69" s="35" t="s">
        <v>420</v>
      </c>
      <c r="FU69" s="35" t="s">
        <v>488</v>
      </c>
      <c r="FV69" s="35" t="s">
        <v>489</v>
      </c>
      <c r="FW69" s="35" t="s">
        <v>490</v>
      </c>
      <c r="FX69" s="35" t="s">
        <v>491</v>
      </c>
      <c r="FY69" s="35" t="s">
        <v>4305</v>
      </c>
      <c r="FZ69" s="35" t="s">
        <v>1020</v>
      </c>
      <c r="GA69" s="35" t="s">
        <v>11292</v>
      </c>
      <c r="GB69" s="35" t="s">
        <v>11293</v>
      </c>
      <c r="GC69" s="35" t="s">
        <v>455</v>
      </c>
      <c r="GE69" s="35" t="s">
        <v>4308</v>
      </c>
      <c r="GF69" s="35" t="s">
        <v>753</v>
      </c>
      <c r="GG69" s="35" t="s">
        <v>4309</v>
      </c>
      <c r="GH69" s="35" t="s">
        <v>1000</v>
      </c>
      <c r="GI69" s="35" t="s">
        <v>788</v>
      </c>
      <c r="GJ69" s="35" t="s">
        <v>756</v>
      </c>
      <c r="GR69" s="35" t="s">
        <v>4310</v>
      </c>
    </row>
    <row r="70">
      <c r="A70" s="40"/>
      <c r="B70" s="40">
        <v>45835.70610258102</v>
      </c>
      <c r="C70" s="35" t="s">
        <v>368</v>
      </c>
      <c r="D70" s="35" t="s">
        <v>370</v>
      </c>
      <c r="E70" s="35" t="s">
        <v>370</v>
      </c>
      <c r="F70" s="35" t="s">
        <v>589</v>
      </c>
      <c r="G70" s="35" t="s">
        <v>1510</v>
      </c>
      <c r="H70" s="35" t="s">
        <v>422</v>
      </c>
      <c r="I70" s="35" t="s">
        <v>373</v>
      </c>
      <c r="J70" s="35" t="s">
        <v>638</v>
      </c>
      <c r="K70" s="35" t="s">
        <v>375</v>
      </c>
      <c r="L70" s="35" t="s">
        <v>376</v>
      </c>
      <c r="M70" s="35" t="s">
        <v>793</v>
      </c>
      <c r="N70" s="35" t="s">
        <v>719</v>
      </c>
      <c r="O70" s="35" t="s">
        <v>793</v>
      </c>
      <c r="P70" s="35" t="s">
        <v>719</v>
      </c>
      <c r="Q70" s="35" t="s">
        <v>592</v>
      </c>
      <c r="R70" s="35" t="s">
        <v>759</v>
      </c>
      <c r="S70" s="35" t="s">
        <v>427</v>
      </c>
      <c r="T70" s="35" t="s">
        <v>384</v>
      </c>
      <c r="U70" s="35" t="s">
        <v>385</v>
      </c>
      <c r="X70" s="35" t="s">
        <v>3231</v>
      </c>
      <c r="AW70" s="35" t="s">
        <v>597</v>
      </c>
      <c r="AX70" s="35" t="s">
        <v>391</v>
      </c>
      <c r="AY70" s="41">
        <v>2.0</v>
      </c>
      <c r="AZ70" s="35" t="s">
        <v>391</v>
      </c>
      <c r="BA70" s="35" t="s">
        <v>391</v>
      </c>
      <c r="BB70" s="41">
        <v>2.0</v>
      </c>
      <c r="BC70" s="41">
        <v>2.0</v>
      </c>
      <c r="BD70" s="35" t="s">
        <v>4342</v>
      </c>
      <c r="BE70" s="35" t="s">
        <v>4343</v>
      </c>
      <c r="BF70" s="35" t="s">
        <v>392</v>
      </c>
      <c r="BG70" s="35" t="s">
        <v>433</v>
      </c>
      <c r="BH70" s="35" t="s">
        <v>434</v>
      </c>
      <c r="BI70" s="35" t="s">
        <v>4344</v>
      </c>
      <c r="BJ70" s="35" t="s">
        <v>509</v>
      </c>
      <c r="BK70" s="35" t="s">
        <v>4345</v>
      </c>
      <c r="BL70" s="35" t="s">
        <v>437</v>
      </c>
      <c r="BM70" s="35" t="s">
        <v>512</v>
      </c>
      <c r="BN70" s="35" t="s">
        <v>439</v>
      </c>
      <c r="BO70" s="35" t="s">
        <v>513</v>
      </c>
      <c r="CM70" s="35" t="s">
        <v>441</v>
      </c>
      <c r="CN70" s="35" t="s">
        <v>682</v>
      </c>
      <c r="CO70" s="35" t="s">
        <v>4346</v>
      </c>
      <c r="CP70" s="35" t="s">
        <v>4347</v>
      </c>
      <c r="CQ70" s="35" t="s">
        <v>979</v>
      </c>
      <c r="CR70" s="35" t="s">
        <v>4348</v>
      </c>
      <c r="CS70" s="35" t="s">
        <v>447</v>
      </c>
      <c r="CT70" s="35" t="s">
        <v>4349</v>
      </c>
      <c r="CU70" s="35" t="s">
        <v>11294</v>
      </c>
      <c r="CV70" s="35" t="s">
        <v>450</v>
      </c>
      <c r="CW70" s="35" t="s">
        <v>451</v>
      </c>
      <c r="CX70" s="35" t="s">
        <v>4351</v>
      </c>
      <c r="CY70" s="35" t="s">
        <v>408</v>
      </c>
      <c r="DA70" s="35" t="s">
        <v>985</v>
      </c>
      <c r="DB70" s="35" t="s">
        <v>4352</v>
      </c>
      <c r="DC70" s="35" t="s">
        <v>455</v>
      </c>
      <c r="DD70" s="35" t="s">
        <v>4353</v>
      </c>
      <c r="DE70" s="35" t="s">
        <v>457</v>
      </c>
      <c r="DG70" s="35" t="s">
        <v>4354</v>
      </c>
      <c r="DH70" s="35" t="s">
        <v>561</v>
      </c>
      <c r="DI70" s="35" t="s">
        <v>1964</v>
      </c>
      <c r="DJ70" s="35" t="s">
        <v>459</v>
      </c>
      <c r="DK70" s="35" t="s">
        <v>562</v>
      </c>
      <c r="DL70" s="35" t="s">
        <v>461</v>
      </c>
      <c r="EU70" s="35" t="s">
        <v>526</v>
      </c>
      <c r="EV70" s="35" t="s">
        <v>887</v>
      </c>
      <c r="EW70" s="35" t="s">
        <v>480</v>
      </c>
      <c r="EY70" s="35" t="s">
        <v>4355</v>
      </c>
      <c r="EZ70" s="35" t="s">
        <v>4356</v>
      </c>
      <c r="FA70" s="35" t="s">
        <v>414</v>
      </c>
      <c r="FB70" s="35" t="s">
        <v>583</v>
      </c>
      <c r="FC70" s="35" t="s">
        <v>413</v>
      </c>
      <c r="FD70" s="35" t="s">
        <v>583</v>
      </c>
      <c r="FE70" s="35" t="s">
        <v>413</v>
      </c>
      <c r="FF70" s="35" t="s">
        <v>415</v>
      </c>
      <c r="FG70" s="35" t="s">
        <v>415</v>
      </c>
      <c r="FH70" s="35" t="s">
        <v>416</v>
      </c>
      <c r="FI70" s="35" t="s">
        <v>583</v>
      </c>
      <c r="FJ70" s="35" t="s">
        <v>415</v>
      </c>
      <c r="FK70" s="35" t="s">
        <v>414</v>
      </c>
      <c r="FL70" s="35" t="s">
        <v>416</v>
      </c>
      <c r="FM70" s="35" t="s">
        <v>415</v>
      </c>
      <c r="FN70" s="35" t="s">
        <v>413</v>
      </c>
      <c r="FO70" s="35" t="s">
        <v>583</v>
      </c>
      <c r="FP70" s="35" t="s">
        <v>485</v>
      </c>
      <c r="FQ70" s="35" t="s">
        <v>418</v>
      </c>
      <c r="FR70" s="35" t="s">
        <v>419</v>
      </c>
      <c r="FS70" s="35" t="s">
        <v>4357</v>
      </c>
      <c r="FT70" s="35" t="s">
        <v>420</v>
      </c>
      <c r="FU70" s="35" t="s">
        <v>488</v>
      </c>
      <c r="FV70" s="35" t="s">
        <v>918</v>
      </c>
      <c r="FW70" s="35" t="s">
        <v>490</v>
      </c>
      <c r="FX70" s="35" t="s">
        <v>491</v>
      </c>
      <c r="FY70" s="35" t="s">
        <v>4358</v>
      </c>
      <c r="FZ70" s="35" t="s">
        <v>535</v>
      </c>
      <c r="GA70" s="35" t="s">
        <v>4359</v>
      </c>
      <c r="GC70" s="35" t="s">
        <v>455</v>
      </c>
      <c r="GD70" s="35" t="s">
        <v>11295</v>
      </c>
      <c r="GE70" s="35" t="s">
        <v>11296</v>
      </c>
      <c r="GF70" s="35" t="s">
        <v>753</v>
      </c>
      <c r="GG70" s="35" t="s">
        <v>4360</v>
      </c>
      <c r="GH70" s="35" t="s">
        <v>1000</v>
      </c>
      <c r="GI70" s="35" t="s">
        <v>755</v>
      </c>
      <c r="GJ70" s="35" t="s">
        <v>817</v>
      </c>
      <c r="GQ70" s="35" t="s">
        <v>387</v>
      </c>
      <c r="GR70" s="35" t="s">
        <v>3208</v>
      </c>
    </row>
    <row r="71">
      <c r="A71" s="40"/>
      <c r="B71" s="40">
        <v>45836.20510865741</v>
      </c>
      <c r="C71" s="35" t="s">
        <v>368</v>
      </c>
      <c r="D71" s="35" t="s">
        <v>894</v>
      </c>
      <c r="E71" s="35" t="s">
        <v>894</v>
      </c>
      <c r="H71" s="35" t="s">
        <v>422</v>
      </c>
      <c r="I71" s="35" t="s">
        <v>539</v>
      </c>
      <c r="J71" s="35" t="s">
        <v>2578</v>
      </c>
      <c r="K71" s="35" t="s">
        <v>540</v>
      </c>
      <c r="L71" s="35" t="s">
        <v>376</v>
      </c>
      <c r="M71" s="35" t="s">
        <v>379</v>
      </c>
      <c r="N71" s="35" t="s">
        <v>378</v>
      </c>
      <c r="O71" s="35" t="s">
        <v>793</v>
      </c>
      <c r="P71" s="35" t="s">
        <v>719</v>
      </c>
      <c r="Q71" s="35" t="s">
        <v>381</v>
      </c>
      <c r="R71" s="35" t="s">
        <v>862</v>
      </c>
      <c r="S71" s="35" t="s">
        <v>500</v>
      </c>
      <c r="T71" s="35" t="s">
        <v>384</v>
      </c>
      <c r="U71" s="35" t="s">
        <v>385</v>
      </c>
      <c r="V71" s="35" t="s">
        <v>896</v>
      </c>
      <c r="W71" s="35" t="s">
        <v>4407</v>
      </c>
      <c r="X71" s="35" t="s">
        <v>593</v>
      </c>
      <c r="Y71" s="35" t="s">
        <v>387</v>
      </c>
      <c r="Z71" s="35" t="s">
        <v>1824</v>
      </c>
      <c r="AA71" s="35" t="s">
        <v>543</v>
      </c>
      <c r="AW71" s="35" t="s">
        <v>597</v>
      </c>
      <c r="AX71" s="35" t="s">
        <v>429</v>
      </c>
      <c r="AY71" s="35" t="s">
        <v>429</v>
      </c>
      <c r="AZ71" s="35" t="s">
        <v>429</v>
      </c>
      <c r="BA71" s="35" t="s">
        <v>429</v>
      </c>
      <c r="BB71" s="35" t="s">
        <v>429</v>
      </c>
      <c r="BC71" s="35" t="s">
        <v>429</v>
      </c>
      <c r="BD71" s="35" t="s">
        <v>1514</v>
      </c>
      <c r="BE71" s="35" t="s">
        <v>4408</v>
      </c>
      <c r="BF71" s="35" t="s">
        <v>392</v>
      </c>
      <c r="BG71" s="35" t="s">
        <v>433</v>
      </c>
      <c r="BH71" s="35" t="s">
        <v>725</v>
      </c>
      <c r="BJ71" s="35" t="s">
        <v>435</v>
      </c>
      <c r="BL71" s="35" t="s">
        <v>602</v>
      </c>
      <c r="BM71" s="35" t="s">
        <v>438</v>
      </c>
      <c r="BN71" s="35" t="s">
        <v>549</v>
      </c>
      <c r="BO71" s="35" t="s">
        <v>513</v>
      </c>
      <c r="CO71" s="35" t="s">
        <v>6934</v>
      </c>
      <c r="CP71" s="35" t="s">
        <v>4409</v>
      </c>
      <c r="CQ71" s="35" t="s">
        <v>979</v>
      </c>
      <c r="CR71" s="35" t="s">
        <v>4410</v>
      </c>
      <c r="CS71" s="35" t="s">
        <v>804</v>
      </c>
      <c r="CT71" s="35" t="s">
        <v>4411</v>
      </c>
      <c r="CU71" s="35" t="s">
        <v>4412</v>
      </c>
      <c r="CV71" s="35" t="s">
        <v>519</v>
      </c>
      <c r="CW71" s="35" t="s">
        <v>451</v>
      </c>
      <c r="CX71" s="35" t="s">
        <v>2521</v>
      </c>
      <c r="CY71" s="35" t="s">
        <v>408</v>
      </c>
      <c r="DA71" s="35" t="s">
        <v>985</v>
      </c>
      <c r="DB71" s="35" t="s">
        <v>4413</v>
      </c>
      <c r="DC71" s="35" t="s">
        <v>408</v>
      </c>
      <c r="DE71" s="35" t="s">
        <v>988</v>
      </c>
      <c r="DH71" s="35" t="s">
        <v>561</v>
      </c>
      <c r="DI71" s="35" t="s">
        <v>1220</v>
      </c>
      <c r="DJ71" s="35" t="s">
        <v>459</v>
      </c>
      <c r="DK71" s="35" t="s">
        <v>460</v>
      </c>
      <c r="DL71" s="35" t="s">
        <v>461</v>
      </c>
      <c r="EU71" s="35" t="s">
        <v>526</v>
      </c>
      <c r="EV71" s="35" t="s">
        <v>887</v>
      </c>
      <c r="EW71" s="35" t="s">
        <v>480</v>
      </c>
      <c r="EY71" s="35" t="s">
        <v>4414</v>
      </c>
      <c r="EZ71" s="35" t="s">
        <v>4415</v>
      </c>
      <c r="FA71" s="35" t="s">
        <v>583</v>
      </c>
      <c r="FB71" s="35" t="s">
        <v>583</v>
      </c>
      <c r="FC71" s="35" t="s">
        <v>414</v>
      </c>
      <c r="FD71" s="35" t="s">
        <v>583</v>
      </c>
      <c r="FE71" s="35" t="s">
        <v>413</v>
      </c>
      <c r="FF71" s="35" t="s">
        <v>583</v>
      </c>
      <c r="FG71" s="35" t="s">
        <v>583</v>
      </c>
      <c r="FH71" s="35" t="s">
        <v>583</v>
      </c>
      <c r="FI71" s="35" t="s">
        <v>413</v>
      </c>
      <c r="FJ71" s="35" t="s">
        <v>583</v>
      </c>
      <c r="FK71" s="35" t="s">
        <v>583</v>
      </c>
      <c r="FL71" s="35" t="s">
        <v>583</v>
      </c>
      <c r="FM71" s="35" t="s">
        <v>583</v>
      </c>
      <c r="FN71" s="35" t="s">
        <v>415</v>
      </c>
      <c r="FO71" s="35" t="s">
        <v>415</v>
      </c>
      <c r="FR71" s="35" t="s">
        <v>419</v>
      </c>
      <c r="FS71" s="35" t="s">
        <v>4416</v>
      </c>
      <c r="FT71" s="35" t="s">
        <v>1076</v>
      </c>
      <c r="FU71" s="35" t="s">
        <v>488</v>
      </c>
      <c r="FV71" s="35" t="s">
        <v>489</v>
      </c>
      <c r="FW71" s="35" t="s">
        <v>490</v>
      </c>
      <c r="FX71" s="35" t="s">
        <v>491</v>
      </c>
      <c r="FY71" s="35" t="s">
        <v>4417</v>
      </c>
      <c r="FZ71" s="35" t="s">
        <v>1337</v>
      </c>
      <c r="GC71" s="35" t="s">
        <v>408</v>
      </c>
      <c r="GH71" s="35" t="s">
        <v>755</v>
      </c>
      <c r="GI71" s="35" t="s">
        <v>755</v>
      </c>
      <c r="GJ71" s="35" t="s">
        <v>921</v>
      </c>
      <c r="GR71" s="35" t="s">
        <v>3208</v>
      </c>
    </row>
    <row r="72">
      <c r="A72" s="40"/>
      <c r="B72" s="40">
        <v>45836.70248601852</v>
      </c>
      <c r="C72" s="35" t="s">
        <v>368</v>
      </c>
      <c r="D72" s="35" t="s">
        <v>894</v>
      </c>
      <c r="E72" s="35" t="s">
        <v>894</v>
      </c>
      <c r="H72" s="35" t="s">
        <v>422</v>
      </c>
      <c r="I72" s="35" t="s">
        <v>496</v>
      </c>
      <c r="J72" s="35" t="s">
        <v>374</v>
      </c>
      <c r="K72" s="35" t="s">
        <v>425</v>
      </c>
      <c r="L72" s="35" t="s">
        <v>376</v>
      </c>
      <c r="M72" s="35" t="s">
        <v>591</v>
      </c>
      <c r="N72" s="35" t="s">
        <v>541</v>
      </c>
      <c r="O72" s="35" t="s">
        <v>591</v>
      </c>
      <c r="P72" s="35" t="s">
        <v>719</v>
      </c>
      <c r="Q72" s="35" t="s">
        <v>498</v>
      </c>
      <c r="S72" s="35" t="s">
        <v>949</v>
      </c>
      <c r="T72" s="35" t="s">
        <v>384</v>
      </c>
      <c r="U72" s="35" t="s">
        <v>385</v>
      </c>
      <c r="V72" s="35" t="s">
        <v>896</v>
      </c>
      <c r="W72" s="35" t="s">
        <v>896</v>
      </c>
      <c r="X72" s="35" t="s">
        <v>3231</v>
      </c>
      <c r="AW72" s="35" t="s">
        <v>1905</v>
      </c>
      <c r="AX72" s="41">
        <v>4.0</v>
      </c>
      <c r="AY72" s="35" t="s">
        <v>391</v>
      </c>
      <c r="AZ72" s="35" t="s">
        <v>391</v>
      </c>
      <c r="BA72" s="35" t="s">
        <v>391</v>
      </c>
      <c r="BB72" s="35" t="s">
        <v>429</v>
      </c>
      <c r="BC72" s="35" t="s">
        <v>391</v>
      </c>
      <c r="BD72" s="35" t="s">
        <v>4480</v>
      </c>
      <c r="BE72" s="35" t="s">
        <v>4481</v>
      </c>
      <c r="BF72" s="35" t="s">
        <v>392</v>
      </c>
      <c r="BG72" s="35" t="s">
        <v>1095</v>
      </c>
      <c r="BH72" s="35" t="s">
        <v>678</v>
      </c>
      <c r="BI72" s="35" t="s">
        <v>4482</v>
      </c>
      <c r="BJ72" s="35" t="s">
        <v>976</v>
      </c>
      <c r="BK72" s="35" t="s">
        <v>4483</v>
      </c>
      <c r="BL72" s="35" t="s">
        <v>511</v>
      </c>
      <c r="BM72" s="35" t="s">
        <v>603</v>
      </c>
      <c r="BN72" s="35" t="s">
        <v>1276</v>
      </c>
      <c r="BO72" s="35" t="s">
        <v>513</v>
      </c>
      <c r="CM72" s="35" t="s">
        <v>441</v>
      </c>
      <c r="CN72" s="35" t="s">
        <v>401</v>
      </c>
      <c r="CO72" s="35" t="s">
        <v>4484</v>
      </c>
      <c r="CP72" s="35" t="s">
        <v>4485</v>
      </c>
      <c r="CQ72" s="35" t="s">
        <v>445</v>
      </c>
      <c r="CR72" s="35" t="s">
        <v>4486</v>
      </c>
      <c r="CS72" s="35" t="s">
        <v>828</v>
      </c>
      <c r="CT72" s="35" t="s">
        <v>4487</v>
      </c>
      <c r="CU72" s="35" t="s">
        <v>4488</v>
      </c>
      <c r="CV72" s="35" t="s">
        <v>1852</v>
      </c>
      <c r="CW72" s="35" t="s">
        <v>409</v>
      </c>
      <c r="CX72" s="35" t="s">
        <v>4489</v>
      </c>
      <c r="CY72" s="35" t="s">
        <v>408</v>
      </c>
      <c r="DA72" s="35" t="s">
        <v>1962</v>
      </c>
      <c r="DB72" s="35" t="s">
        <v>4490</v>
      </c>
      <c r="DC72" s="35" t="s">
        <v>913</v>
      </c>
      <c r="DD72" s="35" t="s">
        <v>4491</v>
      </c>
      <c r="DE72" s="35" t="s">
        <v>988</v>
      </c>
      <c r="DH72" s="35" t="s">
        <v>990</v>
      </c>
      <c r="DI72" s="35" t="s">
        <v>1964</v>
      </c>
      <c r="DJ72" s="35" t="s">
        <v>459</v>
      </c>
      <c r="DK72" s="35" t="s">
        <v>613</v>
      </c>
      <c r="EU72" s="35" t="s">
        <v>478</v>
      </c>
      <c r="EV72" s="35" t="s">
        <v>887</v>
      </c>
      <c r="EW72" s="35" t="s">
        <v>480</v>
      </c>
      <c r="EY72" s="35" t="s">
        <v>4492</v>
      </c>
      <c r="EZ72" s="35" t="s">
        <v>4493</v>
      </c>
      <c r="FA72" s="35" t="s">
        <v>583</v>
      </c>
      <c r="FB72" s="35" t="s">
        <v>583</v>
      </c>
      <c r="FC72" s="35" t="s">
        <v>583</v>
      </c>
      <c r="FD72" s="35" t="s">
        <v>583</v>
      </c>
      <c r="FE72" s="35" t="s">
        <v>414</v>
      </c>
      <c r="FF72" s="35" t="s">
        <v>414</v>
      </c>
      <c r="FG72" s="35" t="s">
        <v>583</v>
      </c>
      <c r="FH72" s="35" t="s">
        <v>414</v>
      </c>
      <c r="FI72" s="35" t="s">
        <v>484</v>
      </c>
      <c r="FJ72" s="35" t="s">
        <v>414</v>
      </c>
      <c r="FK72" s="35" t="s">
        <v>414</v>
      </c>
      <c r="FL72" s="35" t="s">
        <v>414</v>
      </c>
      <c r="FM72" s="35" t="s">
        <v>414</v>
      </c>
      <c r="FN72" s="35" t="s">
        <v>414</v>
      </c>
      <c r="FO72" s="35" t="s">
        <v>484</v>
      </c>
      <c r="FP72" s="35" t="s">
        <v>1074</v>
      </c>
      <c r="FQ72" s="35" t="s">
        <v>3218</v>
      </c>
      <c r="FR72" s="35" t="s">
        <v>419</v>
      </c>
      <c r="FS72" s="35" t="s">
        <v>4494</v>
      </c>
      <c r="FT72" s="35" t="s">
        <v>1871</v>
      </c>
      <c r="FU72" s="35" t="s">
        <v>2398</v>
      </c>
      <c r="FV72" s="35" t="s">
        <v>489</v>
      </c>
      <c r="FW72" s="35" t="s">
        <v>2399</v>
      </c>
      <c r="FX72" s="35" t="s">
        <v>1853</v>
      </c>
      <c r="FY72" s="35" t="s">
        <v>4495</v>
      </c>
      <c r="FZ72" s="35" t="s">
        <v>1854</v>
      </c>
      <c r="GA72" s="35" t="s">
        <v>4496</v>
      </c>
      <c r="GC72" s="35" t="s">
        <v>408</v>
      </c>
      <c r="GH72" s="35" t="s">
        <v>789</v>
      </c>
      <c r="GI72" s="35" t="s">
        <v>920</v>
      </c>
      <c r="GJ72" s="35" t="s">
        <v>921</v>
      </c>
      <c r="GQ72" s="35" t="s">
        <v>387</v>
      </c>
      <c r="GR72" s="35" t="s">
        <v>3351</v>
      </c>
    </row>
    <row r="73">
      <c r="A73" s="40"/>
      <c r="B73" s="40">
        <v>45836.7177146412</v>
      </c>
      <c r="C73" s="35" t="s">
        <v>368</v>
      </c>
      <c r="D73" s="35" t="s">
        <v>370</v>
      </c>
      <c r="E73" s="35" t="s">
        <v>370</v>
      </c>
      <c r="F73" s="35" t="s">
        <v>2400</v>
      </c>
      <c r="G73" s="35" t="s">
        <v>4170</v>
      </c>
      <c r="H73" s="35" t="s">
        <v>422</v>
      </c>
      <c r="I73" s="35" t="s">
        <v>373</v>
      </c>
      <c r="J73" s="35" t="s">
        <v>638</v>
      </c>
      <c r="K73" s="35" t="s">
        <v>375</v>
      </c>
      <c r="L73" s="35" t="s">
        <v>376</v>
      </c>
      <c r="M73" s="35" t="s">
        <v>591</v>
      </c>
      <c r="N73" s="35" t="s">
        <v>378</v>
      </c>
      <c r="O73" s="35" t="s">
        <v>591</v>
      </c>
      <c r="P73" s="35" t="s">
        <v>719</v>
      </c>
      <c r="Q73" s="35" t="s">
        <v>498</v>
      </c>
      <c r="R73" s="35" t="s">
        <v>1342</v>
      </c>
      <c r="S73" s="35" t="s">
        <v>427</v>
      </c>
      <c r="T73" s="35" t="s">
        <v>384</v>
      </c>
      <c r="U73" s="35" t="s">
        <v>385</v>
      </c>
      <c r="X73" s="35" t="s">
        <v>386</v>
      </c>
      <c r="Y73" s="35" t="s">
        <v>387</v>
      </c>
      <c r="Z73" s="35" t="s">
        <v>4171</v>
      </c>
      <c r="AA73" s="35" t="s">
        <v>543</v>
      </c>
      <c r="AB73" s="35" t="s">
        <v>4497</v>
      </c>
      <c r="AC73" s="35" t="s">
        <v>11297</v>
      </c>
      <c r="AW73" s="35" t="s">
        <v>504</v>
      </c>
      <c r="AX73" s="41">
        <v>2.0</v>
      </c>
      <c r="AY73" s="35" t="s">
        <v>429</v>
      </c>
      <c r="AZ73" s="35" t="s">
        <v>429</v>
      </c>
      <c r="BA73" s="35" t="s">
        <v>429</v>
      </c>
      <c r="BB73" s="35" t="s">
        <v>429</v>
      </c>
      <c r="BC73" s="35" t="s">
        <v>429</v>
      </c>
      <c r="BD73" s="35" t="s">
        <v>4499</v>
      </c>
      <c r="BE73" s="35" t="s">
        <v>4500</v>
      </c>
      <c r="BF73" s="35" t="s">
        <v>392</v>
      </c>
      <c r="BG73" s="35" t="s">
        <v>433</v>
      </c>
      <c r="BH73" s="35" t="s">
        <v>678</v>
      </c>
      <c r="BI73" s="35" t="s">
        <v>4501</v>
      </c>
      <c r="BJ73" s="35" t="s">
        <v>509</v>
      </c>
      <c r="BK73" s="35" t="s">
        <v>4502</v>
      </c>
      <c r="BL73" s="35" t="s">
        <v>437</v>
      </c>
      <c r="BM73" s="35" t="s">
        <v>512</v>
      </c>
      <c r="BN73" s="35" t="s">
        <v>439</v>
      </c>
      <c r="BO73" s="35" t="s">
        <v>513</v>
      </c>
      <c r="CM73" s="35" t="s">
        <v>441</v>
      </c>
      <c r="CN73" s="35" t="s">
        <v>401</v>
      </c>
      <c r="CO73" s="35" t="s">
        <v>11298</v>
      </c>
      <c r="CP73" s="35" t="s">
        <v>4504</v>
      </c>
      <c r="CQ73" s="35" t="s">
        <v>445</v>
      </c>
      <c r="CR73" s="35" t="s">
        <v>11299</v>
      </c>
      <c r="CS73" s="35" t="s">
        <v>447</v>
      </c>
      <c r="CT73" s="35" t="s">
        <v>4506</v>
      </c>
      <c r="CU73" s="35" t="s">
        <v>4507</v>
      </c>
      <c r="CV73" s="35" t="s">
        <v>450</v>
      </c>
      <c r="CW73" s="35" t="s">
        <v>451</v>
      </c>
      <c r="CX73" s="35" t="s">
        <v>4508</v>
      </c>
      <c r="CY73" s="35" t="s">
        <v>408</v>
      </c>
      <c r="DA73" s="35" t="s">
        <v>453</v>
      </c>
      <c r="DB73" s="35" t="s">
        <v>4509</v>
      </c>
      <c r="DC73" s="35" t="s">
        <v>455</v>
      </c>
      <c r="DD73" s="35" t="s">
        <v>4510</v>
      </c>
      <c r="DE73" s="35" t="s">
        <v>662</v>
      </c>
      <c r="DG73" s="35" t="s">
        <v>4511</v>
      </c>
      <c r="DH73" s="35" t="s">
        <v>561</v>
      </c>
      <c r="DI73" s="35" t="s">
        <v>410</v>
      </c>
      <c r="DJ73" s="35" t="s">
        <v>459</v>
      </c>
      <c r="DK73" s="35" t="s">
        <v>562</v>
      </c>
      <c r="DL73" s="35" t="s">
        <v>461</v>
      </c>
      <c r="EU73" s="35" t="s">
        <v>2747</v>
      </c>
      <c r="EV73" s="35" t="s">
        <v>479</v>
      </c>
      <c r="EW73" s="35" t="s">
        <v>480</v>
      </c>
      <c r="EX73" s="35" t="s">
        <v>4512</v>
      </c>
      <c r="EY73" s="35" t="s">
        <v>4513</v>
      </c>
      <c r="EZ73" s="35" t="s">
        <v>4514</v>
      </c>
      <c r="FA73" s="35" t="s">
        <v>583</v>
      </c>
      <c r="FB73" s="35" t="s">
        <v>583</v>
      </c>
      <c r="FC73" s="35" t="s">
        <v>583</v>
      </c>
      <c r="FD73" s="35" t="s">
        <v>583</v>
      </c>
      <c r="FE73" s="35" t="s">
        <v>415</v>
      </c>
      <c r="FF73" s="35" t="s">
        <v>583</v>
      </c>
      <c r="FG73" s="35" t="s">
        <v>583</v>
      </c>
      <c r="FH73" s="35" t="s">
        <v>413</v>
      </c>
      <c r="FI73" s="35" t="s">
        <v>583</v>
      </c>
      <c r="FJ73" s="35" t="s">
        <v>583</v>
      </c>
      <c r="FK73" s="35" t="s">
        <v>583</v>
      </c>
      <c r="FL73" s="35" t="s">
        <v>583</v>
      </c>
      <c r="FM73" s="35" t="s">
        <v>583</v>
      </c>
      <c r="FN73" s="35" t="s">
        <v>413</v>
      </c>
      <c r="FO73" s="35" t="s">
        <v>583</v>
      </c>
      <c r="FP73" s="35" t="s">
        <v>485</v>
      </c>
      <c r="FQ73" s="35" t="s">
        <v>418</v>
      </c>
      <c r="FR73" s="35" t="s">
        <v>630</v>
      </c>
      <c r="FS73" s="35" t="s">
        <v>4515</v>
      </c>
      <c r="FT73" s="35" t="s">
        <v>420</v>
      </c>
      <c r="FU73" s="35" t="s">
        <v>488</v>
      </c>
      <c r="FV73" s="35" t="s">
        <v>533</v>
      </c>
      <c r="FW73" s="35" t="s">
        <v>490</v>
      </c>
      <c r="FX73" s="35" t="s">
        <v>491</v>
      </c>
      <c r="FY73" s="35" t="s">
        <v>11300</v>
      </c>
      <c r="FZ73" s="35" t="s">
        <v>535</v>
      </c>
      <c r="GA73" s="35" t="s">
        <v>4517</v>
      </c>
      <c r="GB73" s="35" t="s">
        <v>4518</v>
      </c>
      <c r="GC73" s="35" t="s">
        <v>455</v>
      </c>
      <c r="GD73" s="35" t="s">
        <v>11301</v>
      </c>
      <c r="GF73" s="35" t="s">
        <v>753</v>
      </c>
      <c r="GG73" s="35" t="s">
        <v>4519</v>
      </c>
      <c r="GH73" s="35" t="s">
        <v>755</v>
      </c>
      <c r="GI73" s="35" t="s">
        <v>755</v>
      </c>
      <c r="GJ73" s="35" t="s">
        <v>946</v>
      </c>
      <c r="GR73" s="35" t="s">
        <v>3208</v>
      </c>
    </row>
    <row r="74">
      <c r="A74" s="40"/>
      <c r="B74" s="40">
        <v>45836.82635135417</v>
      </c>
      <c r="C74" s="35" t="s">
        <v>368</v>
      </c>
      <c r="D74" s="35" t="s">
        <v>894</v>
      </c>
      <c r="E74" s="35" t="s">
        <v>894</v>
      </c>
      <c r="H74" s="35" t="s">
        <v>422</v>
      </c>
      <c r="I74" s="35" t="s">
        <v>539</v>
      </c>
      <c r="J74" s="35" t="s">
        <v>424</v>
      </c>
      <c r="K74" s="35" t="s">
        <v>425</v>
      </c>
      <c r="L74" s="35" t="s">
        <v>376</v>
      </c>
      <c r="M74" s="35" t="s">
        <v>591</v>
      </c>
      <c r="N74" s="35" t="s">
        <v>639</v>
      </c>
      <c r="O74" s="35" t="s">
        <v>426</v>
      </c>
      <c r="P74" s="35" t="s">
        <v>497</v>
      </c>
      <c r="Q74" s="35" t="s">
        <v>498</v>
      </c>
      <c r="R74" s="35" t="s">
        <v>862</v>
      </c>
      <c r="S74" s="35" t="s">
        <v>427</v>
      </c>
      <c r="T74" s="35" t="s">
        <v>384</v>
      </c>
      <c r="U74" s="35" t="s">
        <v>385</v>
      </c>
      <c r="V74" s="35" t="s">
        <v>896</v>
      </c>
      <c r="W74" s="35" t="s">
        <v>896</v>
      </c>
      <c r="X74" s="35" t="s">
        <v>386</v>
      </c>
      <c r="Y74" s="35" t="s">
        <v>387</v>
      </c>
      <c r="Z74" s="35" t="s">
        <v>388</v>
      </c>
      <c r="AA74" s="35" t="s">
        <v>672</v>
      </c>
      <c r="AB74" s="35" t="s">
        <v>4520</v>
      </c>
      <c r="AC74" s="35" t="s">
        <v>4521</v>
      </c>
      <c r="AW74" s="35" t="s">
        <v>504</v>
      </c>
      <c r="AX74" s="35" t="s">
        <v>429</v>
      </c>
      <c r="AY74" s="35" t="s">
        <v>429</v>
      </c>
      <c r="AZ74" s="35" t="s">
        <v>429</v>
      </c>
      <c r="BA74" s="35" t="s">
        <v>429</v>
      </c>
      <c r="BB74" s="35" t="s">
        <v>429</v>
      </c>
      <c r="BC74" s="35" t="s">
        <v>429</v>
      </c>
      <c r="BD74" s="35" t="s">
        <v>4522</v>
      </c>
      <c r="BE74" s="35" t="s">
        <v>4523</v>
      </c>
      <c r="BF74" s="35" t="s">
        <v>392</v>
      </c>
      <c r="BG74" s="35" t="s">
        <v>433</v>
      </c>
      <c r="BH74" s="35" t="s">
        <v>678</v>
      </c>
      <c r="BI74" s="35" t="s">
        <v>4524</v>
      </c>
      <c r="BJ74" s="35" t="s">
        <v>509</v>
      </c>
      <c r="BK74" s="35" t="s">
        <v>4525</v>
      </c>
      <c r="BL74" s="35" t="s">
        <v>681</v>
      </c>
      <c r="BM74" s="35" t="s">
        <v>904</v>
      </c>
      <c r="BN74" s="35" t="s">
        <v>439</v>
      </c>
      <c r="BO74" s="35" t="s">
        <v>513</v>
      </c>
      <c r="CM74" s="35" t="s">
        <v>441</v>
      </c>
      <c r="CN74" s="35" t="s">
        <v>442</v>
      </c>
      <c r="CO74" s="35" t="s">
        <v>4526</v>
      </c>
      <c r="CP74" s="35" t="s">
        <v>11302</v>
      </c>
      <c r="CQ74" s="35" t="s">
        <v>685</v>
      </c>
      <c r="CR74" s="35" t="s">
        <v>4528</v>
      </c>
      <c r="CS74" s="35" t="s">
        <v>447</v>
      </c>
      <c r="CT74" s="35" t="s">
        <v>4260</v>
      </c>
      <c r="CU74" s="35" t="s">
        <v>4529</v>
      </c>
      <c r="CV74" s="35" t="s">
        <v>450</v>
      </c>
      <c r="CW74" s="35" t="s">
        <v>451</v>
      </c>
      <c r="CX74" s="35" t="s">
        <v>4530</v>
      </c>
      <c r="CY74" s="35" t="s">
        <v>455</v>
      </c>
      <c r="CZ74" s="35" t="s">
        <v>4531</v>
      </c>
      <c r="DA74" s="35" t="s">
        <v>453</v>
      </c>
      <c r="DB74" s="35" t="s">
        <v>4532</v>
      </c>
      <c r="DC74" s="35" t="s">
        <v>455</v>
      </c>
      <c r="DD74" s="35" t="s">
        <v>4533</v>
      </c>
      <c r="DE74" s="35" t="s">
        <v>662</v>
      </c>
      <c r="DG74" s="35" t="s">
        <v>4534</v>
      </c>
      <c r="DH74" s="35" t="s">
        <v>524</v>
      </c>
      <c r="DI74" s="35" t="s">
        <v>410</v>
      </c>
      <c r="DJ74" s="35" t="s">
        <v>459</v>
      </c>
      <c r="DK74" s="35" t="s">
        <v>613</v>
      </c>
      <c r="EU74" s="35" t="s">
        <v>2747</v>
      </c>
      <c r="EV74" s="35" t="s">
        <v>479</v>
      </c>
      <c r="EW74" s="35" t="s">
        <v>480</v>
      </c>
      <c r="EY74" s="35" t="s">
        <v>4535</v>
      </c>
      <c r="EZ74" s="35" t="s">
        <v>4536</v>
      </c>
      <c r="FA74" s="35" t="s">
        <v>583</v>
      </c>
      <c r="FB74" s="35" t="s">
        <v>583</v>
      </c>
      <c r="FC74" s="35" t="s">
        <v>413</v>
      </c>
      <c r="FD74" s="35" t="s">
        <v>583</v>
      </c>
      <c r="FE74" s="35" t="s">
        <v>583</v>
      </c>
      <c r="FF74" s="35" t="s">
        <v>583</v>
      </c>
      <c r="FG74" s="35" t="s">
        <v>583</v>
      </c>
      <c r="FH74" s="35" t="s">
        <v>583</v>
      </c>
      <c r="FI74" s="35" t="s">
        <v>413</v>
      </c>
      <c r="FJ74" s="35" t="s">
        <v>583</v>
      </c>
      <c r="FK74" s="35" t="s">
        <v>583</v>
      </c>
      <c r="FL74" s="35" t="s">
        <v>413</v>
      </c>
      <c r="FM74" s="35" t="s">
        <v>583</v>
      </c>
      <c r="FN74" s="35" t="s">
        <v>583</v>
      </c>
      <c r="FO74" s="35" t="s">
        <v>583</v>
      </c>
      <c r="FP74" s="35" t="s">
        <v>417</v>
      </c>
      <c r="FQ74" s="35" t="s">
        <v>418</v>
      </c>
      <c r="FR74" s="35" t="s">
        <v>630</v>
      </c>
      <c r="FS74" s="35" t="s">
        <v>4537</v>
      </c>
      <c r="FT74" s="35" t="s">
        <v>420</v>
      </c>
      <c r="FU74" s="35" t="s">
        <v>488</v>
      </c>
      <c r="FV74" s="35" t="s">
        <v>533</v>
      </c>
      <c r="FW74" s="35" t="s">
        <v>490</v>
      </c>
      <c r="FX74" s="35" t="s">
        <v>491</v>
      </c>
      <c r="FY74" s="35" t="s">
        <v>4538</v>
      </c>
      <c r="FZ74" s="35" t="s">
        <v>535</v>
      </c>
      <c r="GA74" s="35" t="s">
        <v>4539</v>
      </c>
      <c r="GB74" s="35" t="s">
        <v>4540</v>
      </c>
      <c r="GC74" s="35" t="s">
        <v>455</v>
      </c>
      <c r="GE74" s="35" t="s">
        <v>4541</v>
      </c>
      <c r="GF74" s="35" t="s">
        <v>753</v>
      </c>
      <c r="GG74" s="35" t="s">
        <v>4542</v>
      </c>
      <c r="GH74" s="35" t="s">
        <v>755</v>
      </c>
      <c r="GI74" s="35" t="s">
        <v>755</v>
      </c>
      <c r="GJ74" s="35" t="s">
        <v>946</v>
      </c>
      <c r="GR74" s="35" t="s">
        <v>3208</v>
      </c>
    </row>
    <row r="75">
      <c r="A75" s="40"/>
      <c r="B75" s="40">
        <v>45837.03236370371</v>
      </c>
      <c r="C75" s="35" t="s">
        <v>368</v>
      </c>
      <c r="D75" s="35" t="s">
        <v>370</v>
      </c>
      <c r="E75" s="35" t="s">
        <v>370</v>
      </c>
      <c r="F75" s="35" t="s">
        <v>1798</v>
      </c>
      <c r="G75" s="35" t="s">
        <v>1421</v>
      </c>
      <c r="H75" s="35" t="s">
        <v>422</v>
      </c>
      <c r="I75" s="35" t="s">
        <v>496</v>
      </c>
      <c r="J75" s="35" t="s">
        <v>374</v>
      </c>
      <c r="K75" s="35" t="s">
        <v>425</v>
      </c>
      <c r="L75" s="35" t="s">
        <v>376</v>
      </c>
      <c r="M75" s="35" t="s">
        <v>426</v>
      </c>
      <c r="N75" s="35" t="s">
        <v>4553</v>
      </c>
      <c r="O75" s="35" t="s">
        <v>426</v>
      </c>
      <c r="P75" s="35" t="s">
        <v>380</v>
      </c>
      <c r="Q75" s="35" t="s">
        <v>498</v>
      </c>
      <c r="R75" s="35" t="s">
        <v>818</v>
      </c>
      <c r="S75" s="35" t="s">
        <v>427</v>
      </c>
      <c r="T75" s="35" t="s">
        <v>384</v>
      </c>
      <c r="U75" s="35" t="s">
        <v>385</v>
      </c>
      <c r="X75" s="35" t="s">
        <v>386</v>
      </c>
      <c r="Y75" s="35" t="s">
        <v>387</v>
      </c>
      <c r="AA75" s="35" t="s">
        <v>543</v>
      </c>
      <c r="AB75" s="35" t="s">
        <v>408</v>
      </c>
      <c r="AC75" s="35" t="s">
        <v>408</v>
      </c>
      <c r="AW75" s="35" t="s">
        <v>390</v>
      </c>
      <c r="AX75" s="35" t="s">
        <v>391</v>
      </c>
      <c r="AY75" s="41">
        <v>2.0</v>
      </c>
      <c r="AZ75" s="41">
        <v>2.0</v>
      </c>
      <c r="BA75" s="35" t="s">
        <v>429</v>
      </c>
      <c r="BB75" s="41">
        <v>2.0</v>
      </c>
      <c r="BC75" s="41">
        <v>2.0</v>
      </c>
      <c r="BD75" s="35" t="s">
        <v>4554</v>
      </c>
      <c r="BE75" s="35" t="s">
        <v>4555</v>
      </c>
      <c r="BF75" s="35" t="s">
        <v>392</v>
      </c>
      <c r="BG75" s="35" t="s">
        <v>433</v>
      </c>
      <c r="BH75" s="35" t="s">
        <v>434</v>
      </c>
      <c r="BI75" s="35" t="s">
        <v>4556</v>
      </c>
      <c r="BJ75" s="35" t="s">
        <v>509</v>
      </c>
      <c r="BK75" s="35" t="s">
        <v>4557</v>
      </c>
      <c r="BL75" s="35" t="s">
        <v>511</v>
      </c>
      <c r="BM75" s="35" t="s">
        <v>904</v>
      </c>
      <c r="BN75" s="35" t="s">
        <v>439</v>
      </c>
      <c r="BO75" s="35" t="s">
        <v>513</v>
      </c>
      <c r="CM75" s="35" t="s">
        <v>441</v>
      </c>
      <c r="CN75" s="35" t="s">
        <v>442</v>
      </c>
      <c r="CO75" s="35" t="s">
        <v>4558</v>
      </c>
      <c r="CP75" s="35" t="s">
        <v>4559</v>
      </c>
      <c r="CQ75" s="35" t="s">
        <v>445</v>
      </c>
      <c r="CR75" s="35" t="s">
        <v>4560</v>
      </c>
      <c r="CS75" s="35" t="s">
        <v>447</v>
      </c>
      <c r="CT75" s="35" t="s">
        <v>4561</v>
      </c>
      <c r="CU75" s="35" t="s">
        <v>4562</v>
      </c>
      <c r="CV75" s="35" t="s">
        <v>450</v>
      </c>
      <c r="CW75" s="35" t="s">
        <v>451</v>
      </c>
      <c r="CX75" s="35" t="s">
        <v>4563</v>
      </c>
      <c r="CY75" s="35" t="s">
        <v>408</v>
      </c>
      <c r="DA75" s="35" t="s">
        <v>453</v>
      </c>
      <c r="DB75" s="35" t="s">
        <v>4564</v>
      </c>
      <c r="DC75" s="35" t="s">
        <v>455</v>
      </c>
      <c r="DD75" s="35" t="s">
        <v>4565</v>
      </c>
      <c r="DE75" s="35" t="s">
        <v>988</v>
      </c>
      <c r="DF75" s="35" t="s">
        <v>407</v>
      </c>
      <c r="DG75" s="35" t="s">
        <v>4566</v>
      </c>
      <c r="DH75" s="35" t="s">
        <v>561</v>
      </c>
      <c r="DI75" s="35" t="s">
        <v>410</v>
      </c>
      <c r="DJ75" s="35" t="s">
        <v>459</v>
      </c>
      <c r="DK75" s="35" t="s">
        <v>562</v>
      </c>
      <c r="DL75" s="35" t="s">
        <v>525</v>
      </c>
      <c r="EU75" s="35" t="s">
        <v>578</v>
      </c>
      <c r="EV75" s="35" t="s">
        <v>479</v>
      </c>
      <c r="EW75" s="35" t="s">
        <v>480</v>
      </c>
      <c r="EY75" s="35" t="s">
        <v>11303</v>
      </c>
      <c r="EZ75" s="35" t="s">
        <v>4568</v>
      </c>
      <c r="FA75" s="35" t="s">
        <v>414</v>
      </c>
      <c r="FB75" s="35" t="s">
        <v>583</v>
      </c>
      <c r="FC75" s="35" t="s">
        <v>416</v>
      </c>
      <c r="FD75" s="35" t="s">
        <v>414</v>
      </c>
      <c r="FE75" s="35" t="s">
        <v>415</v>
      </c>
      <c r="FF75" s="35" t="s">
        <v>583</v>
      </c>
      <c r="FG75" s="35" t="s">
        <v>583</v>
      </c>
      <c r="FH75" s="35" t="s">
        <v>413</v>
      </c>
      <c r="FI75" s="35" t="s">
        <v>583</v>
      </c>
      <c r="FJ75" s="35" t="s">
        <v>414</v>
      </c>
      <c r="FK75" s="35" t="s">
        <v>414</v>
      </c>
      <c r="FL75" s="35" t="s">
        <v>413</v>
      </c>
      <c r="FM75" s="35" t="s">
        <v>415</v>
      </c>
      <c r="FN75" s="35" t="s">
        <v>413</v>
      </c>
      <c r="FO75" s="35" t="s">
        <v>414</v>
      </c>
      <c r="FP75" s="35" t="s">
        <v>485</v>
      </c>
      <c r="FQ75" s="35" t="s">
        <v>418</v>
      </c>
      <c r="FR75" s="35" t="s">
        <v>712</v>
      </c>
      <c r="FS75" s="35" t="s">
        <v>4569</v>
      </c>
      <c r="FT75" s="35" t="s">
        <v>420</v>
      </c>
      <c r="FU75" s="35" t="s">
        <v>488</v>
      </c>
      <c r="FV75" s="35" t="s">
        <v>489</v>
      </c>
      <c r="FW75" s="35" t="s">
        <v>490</v>
      </c>
      <c r="FX75" s="35" t="s">
        <v>491</v>
      </c>
      <c r="FY75" s="35" t="s">
        <v>11304</v>
      </c>
      <c r="FZ75" s="35" t="s">
        <v>535</v>
      </c>
      <c r="GA75" s="35" t="s">
        <v>4571</v>
      </c>
      <c r="GC75" s="35" t="s">
        <v>455</v>
      </c>
      <c r="GH75" s="35" t="s">
        <v>857</v>
      </c>
      <c r="GI75" s="35" t="s">
        <v>857</v>
      </c>
      <c r="GJ75" s="35" t="s">
        <v>946</v>
      </c>
      <c r="GR75" s="35" t="s">
        <v>3208</v>
      </c>
    </row>
    <row r="76">
      <c r="A76" s="40"/>
      <c r="B76" s="40">
        <v>45837.456585266205</v>
      </c>
      <c r="C76" s="35" t="s">
        <v>368</v>
      </c>
      <c r="D76" s="35" t="s">
        <v>894</v>
      </c>
      <c r="E76" s="35" t="s">
        <v>894</v>
      </c>
      <c r="H76" s="35" t="s">
        <v>422</v>
      </c>
      <c r="I76" s="35" t="s">
        <v>1203</v>
      </c>
      <c r="J76" s="35" t="s">
        <v>638</v>
      </c>
      <c r="K76" s="35" t="s">
        <v>425</v>
      </c>
      <c r="L76" s="35" t="s">
        <v>376</v>
      </c>
      <c r="M76" s="35" t="s">
        <v>670</v>
      </c>
      <c r="N76" s="35" t="s">
        <v>4572</v>
      </c>
      <c r="O76" s="35" t="s">
        <v>591</v>
      </c>
      <c r="P76" s="35" t="s">
        <v>4573</v>
      </c>
      <c r="Q76" s="35" t="s">
        <v>592</v>
      </c>
      <c r="R76" s="35" t="s">
        <v>862</v>
      </c>
      <c r="S76" s="35" t="s">
        <v>500</v>
      </c>
      <c r="T76" s="35" t="s">
        <v>384</v>
      </c>
      <c r="U76" s="35" t="s">
        <v>385</v>
      </c>
      <c r="V76" s="35" t="s">
        <v>896</v>
      </c>
      <c r="W76" s="35" t="s">
        <v>896</v>
      </c>
      <c r="X76" s="35" t="s">
        <v>3014</v>
      </c>
      <c r="AW76" s="35" t="s">
        <v>504</v>
      </c>
      <c r="AX76" s="35" t="s">
        <v>429</v>
      </c>
      <c r="AY76" s="35" t="s">
        <v>429</v>
      </c>
      <c r="AZ76" s="35" t="s">
        <v>429</v>
      </c>
      <c r="BA76" s="35" t="s">
        <v>429</v>
      </c>
      <c r="BB76" s="35" t="s">
        <v>429</v>
      </c>
      <c r="BC76" s="35" t="s">
        <v>429</v>
      </c>
      <c r="BD76" s="35" t="s">
        <v>11305</v>
      </c>
      <c r="BE76" s="35" t="s">
        <v>4575</v>
      </c>
      <c r="BF76" s="35" t="s">
        <v>392</v>
      </c>
      <c r="BG76" s="35" t="s">
        <v>433</v>
      </c>
      <c r="BH76" s="35" t="s">
        <v>678</v>
      </c>
      <c r="BI76" s="35" t="s">
        <v>11306</v>
      </c>
      <c r="BJ76" s="35" t="s">
        <v>976</v>
      </c>
      <c r="BL76" s="35" t="s">
        <v>511</v>
      </c>
      <c r="BM76" s="35" t="s">
        <v>904</v>
      </c>
      <c r="BN76" s="35" t="s">
        <v>439</v>
      </c>
      <c r="BO76" s="35" t="s">
        <v>513</v>
      </c>
      <c r="CM76" s="35" t="s">
        <v>441</v>
      </c>
      <c r="CN76" s="35" t="s">
        <v>604</v>
      </c>
      <c r="CO76" s="35" t="s">
        <v>6791</v>
      </c>
      <c r="CP76" s="35" t="s">
        <v>11307</v>
      </c>
      <c r="CQ76" s="35" t="s">
        <v>685</v>
      </c>
      <c r="CR76" s="35" t="s">
        <v>4578</v>
      </c>
      <c r="CS76" s="35" t="s">
        <v>804</v>
      </c>
      <c r="CT76" s="35" t="s">
        <v>4579</v>
      </c>
      <c r="CU76" s="35" t="s">
        <v>11308</v>
      </c>
      <c r="CV76" s="35" t="s">
        <v>450</v>
      </c>
      <c r="CW76" s="35" t="s">
        <v>451</v>
      </c>
      <c r="CX76" s="35" t="s">
        <v>11309</v>
      </c>
      <c r="CY76" s="35" t="s">
        <v>408</v>
      </c>
      <c r="DA76" s="35" t="s">
        <v>453</v>
      </c>
      <c r="DB76" s="35" t="s">
        <v>4582</v>
      </c>
      <c r="DC76" s="35" t="s">
        <v>455</v>
      </c>
      <c r="DD76" s="35" t="s">
        <v>11310</v>
      </c>
      <c r="DE76" s="35" t="s">
        <v>662</v>
      </c>
      <c r="DG76" s="35" t="s">
        <v>11311</v>
      </c>
      <c r="DH76" s="35" t="s">
        <v>524</v>
      </c>
      <c r="DI76" s="35" t="s">
        <v>410</v>
      </c>
      <c r="DJ76" s="35" t="s">
        <v>459</v>
      </c>
      <c r="DK76" s="35" t="s">
        <v>613</v>
      </c>
      <c r="EU76" s="35" t="s">
        <v>526</v>
      </c>
      <c r="EV76" s="35" t="s">
        <v>1127</v>
      </c>
      <c r="EW76" s="35" t="s">
        <v>580</v>
      </c>
      <c r="EY76" s="35" t="s">
        <v>4585</v>
      </c>
      <c r="EZ76" s="35" t="s">
        <v>11312</v>
      </c>
      <c r="FA76" s="35" t="s">
        <v>415</v>
      </c>
      <c r="FB76" s="35" t="s">
        <v>413</v>
      </c>
      <c r="FC76" s="35" t="s">
        <v>415</v>
      </c>
      <c r="FD76" s="35" t="s">
        <v>415</v>
      </c>
      <c r="FE76" s="35" t="s">
        <v>415</v>
      </c>
      <c r="FF76" s="35" t="s">
        <v>415</v>
      </c>
      <c r="FG76" s="35" t="s">
        <v>415</v>
      </c>
      <c r="FH76" s="35" t="s">
        <v>415</v>
      </c>
      <c r="FI76" s="35" t="s">
        <v>415</v>
      </c>
      <c r="FJ76" s="35" t="s">
        <v>415</v>
      </c>
      <c r="FK76" s="35" t="s">
        <v>415</v>
      </c>
      <c r="FL76" s="35" t="s">
        <v>415</v>
      </c>
      <c r="FM76" s="35" t="s">
        <v>415</v>
      </c>
      <c r="FN76" s="35" t="s">
        <v>415</v>
      </c>
      <c r="FO76" s="35" t="s">
        <v>415</v>
      </c>
      <c r="FP76" s="35" t="s">
        <v>417</v>
      </c>
      <c r="FQ76" s="35" t="s">
        <v>418</v>
      </c>
      <c r="FR76" s="35" t="s">
        <v>419</v>
      </c>
      <c r="FS76" s="35" t="s">
        <v>11313</v>
      </c>
      <c r="FT76" s="35" t="s">
        <v>420</v>
      </c>
      <c r="FU76" s="35" t="s">
        <v>488</v>
      </c>
      <c r="FV76" s="35" t="s">
        <v>918</v>
      </c>
      <c r="FW76" s="35" t="s">
        <v>490</v>
      </c>
      <c r="FX76" s="35" t="s">
        <v>491</v>
      </c>
      <c r="FY76" s="35" t="s">
        <v>4588</v>
      </c>
      <c r="FZ76" s="35" t="s">
        <v>535</v>
      </c>
      <c r="GC76" s="35" t="s">
        <v>455</v>
      </c>
      <c r="GD76" s="35" t="s">
        <v>11314</v>
      </c>
      <c r="GF76" s="35" t="s">
        <v>753</v>
      </c>
      <c r="GG76" s="35" t="s">
        <v>4589</v>
      </c>
      <c r="GH76" s="35" t="s">
        <v>755</v>
      </c>
      <c r="GI76" s="35" t="s">
        <v>789</v>
      </c>
      <c r="GJ76" s="35" t="s">
        <v>817</v>
      </c>
      <c r="GR76" s="35" t="s">
        <v>3208</v>
      </c>
    </row>
    <row r="77">
      <c r="A77" s="40"/>
      <c r="B77" s="40">
        <v>45837.54343665509</v>
      </c>
      <c r="C77" s="35" t="s">
        <v>368</v>
      </c>
      <c r="D77" s="35" t="s">
        <v>370</v>
      </c>
      <c r="E77" s="35" t="s">
        <v>370</v>
      </c>
      <c r="F77" s="35" t="s">
        <v>2114</v>
      </c>
      <c r="G77" s="35" t="s">
        <v>2114</v>
      </c>
      <c r="H77" s="35" t="s">
        <v>422</v>
      </c>
      <c r="I77" s="35" t="s">
        <v>423</v>
      </c>
      <c r="J77" s="35" t="s">
        <v>424</v>
      </c>
      <c r="K77" s="35" t="s">
        <v>1240</v>
      </c>
      <c r="L77" s="35" t="s">
        <v>376</v>
      </c>
      <c r="M77" s="35" t="s">
        <v>426</v>
      </c>
      <c r="N77" s="35" t="s">
        <v>378</v>
      </c>
      <c r="O77" s="35" t="s">
        <v>379</v>
      </c>
      <c r="P77" s="35" t="s">
        <v>4590</v>
      </c>
      <c r="Q77" s="35" t="s">
        <v>498</v>
      </c>
      <c r="R77" s="35" t="s">
        <v>1156</v>
      </c>
      <c r="S77" s="35" t="s">
        <v>427</v>
      </c>
      <c r="T77" s="35" t="s">
        <v>384</v>
      </c>
      <c r="U77" s="35" t="s">
        <v>385</v>
      </c>
      <c r="X77" s="35" t="s">
        <v>593</v>
      </c>
      <c r="Y77" s="35" t="s">
        <v>387</v>
      </c>
      <c r="Z77" s="35" t="s">
        <v>388</v>
      </c>
      <c r="AA77" s="35" t="s">
        <v>543</v>
      </c>
      <c r="AB77" s="35" t="s">
        <v>11315</v>
      </c>
      <c r="AC77" s="35" t="s">
        <v>11316</v>
      </c>
      <c r="AW77" s="35" t="s">
        <v>504</v>
      </c>
      <c r="AX77" s="35" t="s">
        <v>429</v>
      </c>
      <c r="AY77" s="35" t="s">
        <v>429</v>
      </c>
      <c r="AZ77" s="41">
        <v>4.0</v>
      </c>
      <c r="BA77" s="35" t="s">
        <v>429</v>
      </c>
      <c r="BB77" s="35" t="s">
        <v>429</v>
      </c>
      <c r="BC77" s="35" t="s">
        <v>429</v>
      </c>
      <c r="BD77" s="35" t="s">
        <v>11317</v>
      </c>
      <c r="BE77" s="35" t="s">
        <v>4594</v>
      </c>
      <c r="BF77" s="35" t="s">
        <v>432</v>
      </c>
      <c r="BG77" s="35" t="s">
        <v>433</v>
      </c>
      <c r="BH77" s="35" t="s">
        <v>678</v>
      </c>
      <c r="BI77" s="35" t="s">
        <v>4595</v>
      </c>
      <c r="BJ77" s="35" t="s">
        <v>509</v>
      </c>
      <c r="BK77" s="35" t="s">
        <v>4596</v>
      </c>
      <c r="BL77" s="35" t="s">
        <v>681</v>
      </c>
      <c r="BM77" s="35" t="s">
        <v>512</v>
      </c>
      <c r="BN77" s="35" t="s">
        <v>439</v>
      </c>
      <c r="BO77" s="35" t="s">
        <v>513</v>
      </c>
      <c r="CM77" s="35" t="s">
        <v>441</v>
      </c>
      <c r="CN77" s="35" t="s">
        <v>682</v>
      </c>
      <c r="CO77" s="35" t="s">
        <v>11318</v>
      </c>
      <c r="CP77" s="35" t="s">
        <v>11319</v>
      </c>
      <c r="CQ77" s="35" t="s">
        <v>685</v>
      </c>
      <c r="CR77" s="35" t="s">
        <v>11320</v>
      </c>
      <c r="CS77" s="35" t="s">
        <v>447</v>
      </c>
      <c r="CT77" s="35" t="s">
        <v>805</v>
      </c>
      <c r="CU77" s="35" t="s">
        <v>11321</v>
      </c>
      <c r="CV77" s="35" t="s">
        <v>450</v>
      </c>
      <c r="CW77" s="35" t="s">
        <v>451</v>
      </c>
      <c r="CX77" s="35" t="s">
        <v>4601</v>
      </c>
      <c r="CY77" s="35" t="s">
        <v>455</v>
      </c>
      <c r="CZ77" s="35" t="s">
        <v>11322</v>
      </c>
      <c r="DA77" s="35" t="s">
        <v>453</v>
      </c>
      <c r="DB77" s="35" t="s">
        <v>11323</v>
      </c>
      <c r="DC77" s="35" t="s">
        <v>455</v>
      </c>
      <c r="DD77" s="35" t="s">
        <v>11324</v>
      </c>
      <c r="DE77" s="35" t="s">
        <v>988</v>
      </c>
      <c r="DG77" s="35" t="s">
        <v>4605</v>
      </c>
      <c r="DH77" s="35" t="s">
        <v>693</v>
      </c>
      <c r="DI77" s="35" t="s">
        <v>410</v>
      </c>
      <c r="DJ77" s="35" t="s">
        <v>459</v>
      </c>
      <c r="DK77" s="35" t="s">
        <v>460</v>
      </c>
      <c r="DL77" s="35" t="s">
        <v>461</v>
      </c>
      <c r="EU77" s="35" t="s">
        <v>526</v>
      </c>
      <c r="EV77" s="35" t="s">
        <v>479</v>
      </c>
      <c r="EW77" s="35" t="s">
        <v>480</v>
      </c>
      <c r="EX77" s="35" t="s">
        <v>11325</v>
      </c>
      <c r="EY77" s="35" t="s">
        <v>4607</v>
      </c>
      <c r="EZ77" s="35" t="s">
        <v>11326</v>
      </c>
      <c r="FA77" s="35" t="s">
        <v>583</v>
      </c>
      <c r="FB77" s="35" t="s">
        <v>583</v>
      </c>
      <c r="FC77" s="35" t="s">
        <v>583</v>
      </c>
      <c r="FD77" s="35" t="s">
        <v>583</v>
      </c>
      <c r="FE77" s="35" t="s">
        <v>484</v>
      </c>
      <c r="FF77" s="35" t="s">
        <v>583</v>
      </c>
      <c r="FG77" s="35" t="s">
        <v>484</v>
      </c>
      <c r="FH77" s="35" t="s">
        <v>583</v>
      </c>
      <c r="FI77" s="35" t="s">
        <v>583</v>
      </c>
      <c r="FJ77" s="35" t="s">
        <v>583</v>
      </c>
      <c r="FK77" s="35" t="s">
        <v>583</v>
      </c>
      <c r="FL77" s="35" t="s">
        <v>583</v>
      </c>
      <c r="FM77" s="35" t="s">
        <v>583</v>
      </c>
      <c r="FN77" s="35" t="s">
        <v>583</v>
      </c>
      <c r="FO77" s="35" t="s">
        <v>583</v>
      </c>
      <c r="FP77" s="35" t="s">
        <v>1537</v>
      </c>
      <c r="FQ77" s="35" t="s">
        <v>2524</v>
      </c>
      <c r="FR77" s="35" t="s">
        <v>630</v>
      </c>
      <c r="FS77" s="35" t="s">
        <v>11327</v>
      </c>
      <c r="FT77" s="35" t="s">
        <v>420</v>
      </c>
      <c r="FU77" s="35" t="s">
        <v>488</v>
      </c>
      <c r="FV77" s="35" t="s">
        <v>533</v>
      </c>
      <c r="FW77" s="35" t="s">
        <v>490</v>
      </c>
      <c r="FX77" s="35" t="s">
        <v>1853</v>
      </c>
      <c r="FY77" s="35" t="s">
        <v>11328</v>
      </c>
      <c r="FZ77" s="35" t="s">
        <v>535</v>
      </c>
      <c r="GA77" s="35" t="s">
        <v>4611</v>
      </c>
      <c r="GB77" s="35" t="s">
        <v>11329</v>
      </c>
      <c r="GC77" s="35" t="s">
        <v>455</v>
      </c>
      <c r="GD77" s="35" t="s">
        <v>11330</v>
      </c>
      <c r="GE77" s="35" t="s">
        <v>11331</v>
      </c>
      <c r="GF77" s="35" t="s">
        <v>1339</v>
      </c>
      <c r="GG77" s="35" t="s">
        <v>11332</v>
      </c>
      <c r="GH77" s="35" t="s">
        <v>755</v>
      </c>
      <c r="GI77" s="35" t="s">
        <v>788</v>
      </c>
      <c r="GJ77" s="35" t="s">
        <v>756</v>
      </c>
      <c r="GR77" s="35" t="s">
        <v>11333</v>
      </c>
    </row>
    <row r="78">
      <c r="A78" s="40"/>
      <c r="B78" s="40">
        <v>45838.117896192125</v>
      </c>
      <c r="C78" s="35" t="s">
        <v>368</v>
      </c>
      <c r="D78" s="35" t="s">
        <v>2025</v>
      </c>
      <c r="E78" s="35" t="s">
        <v>2025</v>
      </c>
      <c r="H78" s="35" t="s">
        <v>422</v>
      </c>
      <c r="I78" s="35" t="s">
        <v>423</v>
      </c>
      <c r="J78" s="35" t="s">
        <v>424</v>
      </c>
      <c r="K78" s="35" t="s">
        <v>375</v>
      </c>
      <c r="L78" s="35" t="s">
        <v>376</v>
      </c>
      <c r="M78" s="35" t="s">
        <v>377</v>
      </c>
      <c r="N78" s="35" t="s">
        <v>541</v>
      </c>
      <c r="O78" s="35" t="s">
        <v>379</v>
      </c>
      <c r="P78" s="35" t="s">
        <v>541</v>
      </c>
      <c r="Q78" s="35" t="s">
        <v>498</v>
      </c>
      <c r="R78" s="35" t="s">
        <v>499</v>
      </c>
      <c r="S78" s="35" t="s">
        <v>500</v>
      </c>
      <c r="T78" s="35" t="s">
        <v>384</v>
      </c>
      <c r="U78" s="35" t="s">
        <v>385</v>
      </c>
      <c r="X78" s="35" t="s">
        <v>386</v>
      </c>
      <c r="Y78" s="35" t="s">
        <v>387</v>
      </c>
      <c r="Z78" s="35" t="s">
        <v>2026</v>
      </c>
      <c r="AA78" s="35" t="s">
        <v>543</v>
      </c>
      <c r="AB78" s="35" t="s">
        <v>4638</v>
      </c>
      <c r="AW78" s="35" t="s">
        <v>504</v>
      </c>
      <c r="AX78" s="41">
        <v>2.0</v>
      </c>
      <c r="AY78" s="35" t="s">
        <v>429</v>
      </c>
      <c r="AZ78" s="35" t="s">
        <v>391</v>
      </c>
      <c r="BA78" s="35" t="s">
        <v>429</v>
      </c>
      <c r="BB78" s="35" t="s">
        <v>429</v>
      </c>
      <c r="BC78" s="35" t="s">
        <v>429</v>
      </c>
      <c r="BD78" s="35" t="s">
        <v>4639</v>
      </c>
      <c r="BE78" s="35" t="s">
        <v>4640</v>
      </c>
      <c r="BF78" s="35" t="s">
        <v>392</v>
      </c>
      <c r="BG78" s="35" t="s">
        <v>433</v>
      </c>
      <c r="BH78" s="35" t="s">
        <v>678</v>
      </c>
      <c r="BJ78" s="35" t="s">
        <v>509</v>
      </c>
      <c r="BK78" s="35" t="s">
        <v>4641</v>
      </c>
      <c r="BL78" s="35" t="s">
        <v>511</v>
      </c>
      <c r="BM78" s="35" t="s">
        <v>512</v>
      </c>
      <c r="BN78" s="35" t="s">
        <v>439</v>
      </c>
      <c r="BO78" s="35" t="s">
        <v>513</v>
      </c>
      <c r="CM78" s="35" t="s">
        <v>441</v>
      </c>
      <c r="CN78" s="35" t="s">
        <v>401</v>
      </c>
      <c r="CO78" s="35" t="s">
        <v>4642</v>
      </c>
      <c r="CP78" s="35" t="s">
        <v>4643</v>
      </c>
      <c r="CQ78" s="35" t="s">
        <v>685</v>
      </c>
      <c r="CR78" s="35" t="s">
        <v>4644</v>
      </c>
      <c r="CS78" s="35" t="s">
        <v>447</v>
      </c>
      <c r="CT78" s="35" t="s">
        <v>4645</v>
      </c>
      <c r="CU78" s="35" t="s">
        <v>4646</v>
      </c>
      <c r="CV78" s="35" t="s">
        <v>450</v>
      </c>
      <c r="CX78" s="35" t="s">
        <v>11334</v>
      </c>
      <c r="CY78" s="35" t="s">
        <v>408</v>
      </c>
      <c r="DA78" s="35" t="s">
        <v>453</v>
      </c>
      <c r="DB78" s="35" t="s">
        <v>4648</v>
      </c>
      <c r="DC78" s="35" t="s">
        <v>455</v>
      </c>
      <c r="DD78" s="35" t="s">
        <v>4649</v>
      </c>
      <c r="DE78" s="35" t="s">
        <v>457</v>
      </c>
      <c r="DG78" s="35" t="s">
        <v>4650</v>
      </c>
      <c r="DH78" s="35" t="s">
        <v>776</v>
      </c>
      <c r="DI78" s="35" t="s">
        <v>410</v>
      </c>
      <c r="DJ78" s="35" t="s">
        <v>459</v>
      </c>
      <c r="DK78" s="35" t="s">
        <v>613</v>
      </c>
      <c r="EU78" s="35" t="s">
        <v>526</v>
      </c>
      <c r="EV78" s="35" t="s">
        <v>579</v>
      </c>
      <c r="EW78" s="35" t="s">
        <v>480</v>
      </c>
      <c r="FA78" s="35" t="s">
        <v>583</v>
      </c>
      <c r="FB78" s="35" t="s">
        <v>414</v>
      </c>
      <c r="FC78" s="35" t="s">
        <v>484</v>
      </c>
      <c r="FD78" s="35" t="s">
        <v>484</v>
      </c>
      <c r="FE78" s="35" t="s">
        <v>484</v>
      </c>
      <c r="FF78" s="35" t="s">
        <v>414</v>
      </c>
      <c r="FG78" s="35" t="s">
        <v>484</v>
      </c>
      <c r="FH78" s="35" t="s">
        <v>484</v>
      </c>
      <c r="FI78" s="35" t="s">
        <v>484</v>
      </c>
      <c r="FJ78" s="35" t="s">
        <v>484</v>
      </c>
      <c r="FK78" s="35" t="s">
        <v>484</v>
      </c>
      <c r="FL78" s="35" t="s">
        <v>484</v>
      </c>
      <c r="FM78" s="35" t="s">
        <v>484</v>
      </c>
      <c r="FN78" s="35" t="s">
        <v>484</v>
      </c>
      <c r="FO78" s="35" t="s">
        <v>484</v>
      </c>
      <c r="FP78" s="35" t="s">
        <v>485</v>
      </c>
      <c r="FQ78" s="35" t="s">
        <v>418</v>
      </c>
      <c r="FR78" s="35" t="s">
        <v>712</v>
      </c>
      <c r="FT78" s="35" t="s">
        <v>420</v>
      </c>
      <c r="FU78" s="35" t="s">
        <v>488</v>
      </c>
      <c r="FV78" s="35" t="s">
        <v>918</v>
      </c>
      <c r="FW78" s="35" t="s">
        <v>490</v>
      </c>
      <c r="FX78" s="35" t="s">
        <v>491</v>
      </c>
      <c r="FY78" s="35" t="s">
        <v>4651</v>
      </c>
      <c r="FZ78" s="35" t="s">
        <v>535</v>
      </c>
      <c r="GC78" s="35" t="s">
        <v>455</v>
      </c>
      <c r="GD78" s="35" t="s">
        <v>11335</v>
      </c>
      <c r="GE78" s="29">
        <v>27826883488</v>
      </c>
      <c r="GF78" s="35" t="s">
        <v>786</v>
      </c>
      <c r="GG78" s="35" t="s">
        <v>11336</v>
      </c>
      <c r="GH78" s="35" t="s">
        <v>755</v>
      </c>
      <c r="GI78" s="35" t="s">
        <v>755</v>
      </c>
      <c r="GJ78" s="35" t="s">
        <v>817</v>
      </c>
      <c r="GO78" s="35" t="s">
        <v>2025</v>
      </c>
      <c r="GP78" s="35" t="s">
        <v>2025</v>
      </c>
      <c r="GR78" s="35" t="s">
        <v>4653</v>
      </c>
    </row>
    <row r="79">
      <c r="A79" s="40"/>
      <c r="B79" s="40">
        <v>45839.585315289354</v>
      </c>
      <c r="C79" s="35" t="s">
        <v>368</v>
      </c>
      <c r="D79" s="35" t="s">
        <v>370</v>
      </c>
      <c r="E79" s="35" t="s">
        <v>370</v>
      </c>
      <c r="F79" s="35" t="s">
        <v>2335</v>
      </c>
      <c r="G79" s="35" t="s">
        <v>1421</v>
      </c>
      <c r="H79" s="35" t="s">
        <v>422</v>
      </c>
      <c r="I79" s="35" t="s">
        <v>539</v>
      </c>
      <c r="J79" s="35" t="s">
        <v>424</v>
      </c>
      <c r="K79" s="35" t="s">
        <v>758</v>
      </c>
      <c r="L79" s="35" t="s">
        <v>376</v>
      </c>
      <c r="M79" s="35" t="s">
        <v>426</v>
      </c>
      <c r="N79" s="35" t="s">
        <v>720</v>
      </c>
      <c r="O79" s="35" t="s">
        <v>793</v>
      </c>
      <c r="P79" s="35" t="s">
        <v>2097</v>
      </c>
      <c r="Q79" s="35" t="s">
        <v>498</v>
      </c>
      <c r="R79" s="35" t="s">
        <v>499</v>
      </c>
      <c r="S79" s="35" t="s">
        <v>500</v>
      </c>
      <c r="T79" s="35" t="s">
        <v>384</v>
      </c>
      <c r="U79" s="35" t="s">
        <v>385</v>
      </c>
      <c r="X79" s="35" t="s">
        <v>593</v>
      </c>
      <c r="Y79" s="35" t="s">
        <v>387</v>
      </c>
      <c r="Z79" s="35" t="s">
        <v>388</v>
      </c>
      <c r="AA79" s="35" t="s">
        <v>543</v>
      </c>
      <c r="AB79" s="35" t="s">
        <v>4668</v>
      </c>
      <c r="AC79" s="35" t="s">
        <v>4669</v>
      </c>
      <c r="AW79" s="35" t="s">
        <v>1310</v>
      </c>
      <c r="AX79" s="41">
        <v>2.0</v>
      </c>
      <c r="AY79" s="41">
        <v>2.0</v>
      </c>
      <c r="AZ79" s="41">
        <v>2.0</v>
      </c>
      <c r="BA79" s="35" t="s">
        <v>391</v>
      </c>
      <c r="BB79" s="35" t="s">
        <v>391</v>
      </c>
      <c r="BC79" s="35" t="s">
        <v>391</v>
      </c>
      <c r="BD79" s="35" t="s">
        <v>4670</v>
      </c>
      <c r="BE79" s="35" t="s">
        <v>4671</v>
      </c>
      <c r="BF79" s="35" t="s">
        <v>3114</v>
      </c>
      <c r="BG79" s="35" t="s">
        <v>1095</v>
      </c>
      <c r="BH79" s="35" t="s">
        <v>678</v>
      </c>
      <c r="BI79" s="35" t="s">
        <v>4672</v>
      </c>
      <c r="BJ79" s="35" t="s">
        <v>435</v>
      </c>
      <c r="BK79" s="35" t="s">
        <v>11337</v>
      </c>
      <c r="BL79" s="35" t="s">
        <v>437</v>
      </c>
      <c r="BM79" s="35" t="s">
        <v>438</v>
      </c>
      <c r="BN79" s="35" t="s">
        <v>1247</v>
      </c>
      <c r="BO79" s="35" t="s">
        <v>513</v>
      </c>
      <c r="CM79" s="35" t="s">
        <v>913</v>
      </c>
      <c r="CN79" s="35" t="s">
        <v>442</v>
      </c>
      <c r="CO79" s="35" t="s">
        <v>552</v>
      </c>
      <c r="CP79" s="35" t="s">
        <v>4674</v>
      </c>
      <c r="CQ79" s="35" t="s">
        <v>403</v>
      </c>
      <c r="CR79" s="35" t="s">
        <v>1427</v>
      </c>
      <c r="CS79" s="35" t="s">
        <v>404</v>
      </c>
      <c r="CT79" s="35" t="s">
        <v>1137</v>
      </c>
      <c r="CU79" s="35" t="s">
        <v>4675</v>
      </c>
      <c r="CV79" s="35" t="s">
        <v>982</v>
      </c>
      <c r="CW79" s="35" t="s">
        <v>451</v>
      </c>
      <c r="CX79" s="35" t="s">
        <v>4676</v>
      </c>
      <c r="CY79" s="35" t="s">
        <v>408</v>
      </c>
      <c r="DA79" s="35" t="s">
        <v>453</v>
      </c>
      <c r="DB79" s="35" t="s">
        <v>4677</v>
      </c>
      <c r="DC79" s="35" t="s">
        <v>408</v>
      </c>
      <c r="DE79" s="35" t="s">
        <v>406</v>
      </c>
      <c r="DF79" s="35" t="s">
        <v>407</v>
      </c>
      <c r="DG79" s="35" t="s">
        <v>11338</v>
      </c>
      <c r="DH79" s="35" t="s">
        <v>524</v>
      </c>
      <c r="DI79" s="35" t="s">
        <v>833</v>
      </c>
      <c r="DJ79" s="35" t="s">
        <v>459</v>
      </c>
      <c r="DK79" s="35" t="s">
        <v>613</v>
      </c>
      <c r="EU79" s="35" t="s">
        <v>478</v>
      </c>
      <c r="EV79" s="35" t="s">
        <v>1127</v>
      </c>
      <c r="EW79" s="35" t="s">
        <v>527</v>
      </c>
      <c r="EX79" s="35" t="s">
        <v>4679</v>
      </c>
      <c r="EY79" s="35" t="s">
        <v>4680</v>
      </c>
      <c r="EZ79" s="35" t="s">
        <v>4681</v>
      </c>
      <c r="FA79" s="35" t="s">
        <v>414</v>
      </c>
      <c r="FB79" s="35" t="s">
        <v>414</v>
      </c>
      <c r="FC79" s="35" t="s">
        <v>413</v>
      </c>
      <c r="FD79" s="35" t="s">
        <v>414</v>
      </c>
      <c r="FE79" s="35" t="s">
        <v>413</v>
      </c>
      <c r="FF79" s="35" t="s">
        <v>414</v>
      </c>
      <c r="FG79" s="35" t="s">
        <v>415</v>
      </c>
      <c r="FH79" s="35" t="s">
        <v>413</v>
      </c>
      <c r="FI79" s="35" t="s">
        <v>414</v>
      </c>
      <c r="FJ79" s="35" t="s">
        <v>583</v>
      </c>
      <c r="FK79" s="35" t="s">
        <v>413</v>
      </c>
      <c r="FL79" s="35" t="s">
        <v>414</v>
      </c>
      <c r="FM79" s="35" t="s">
        <v>414</v>
      </c>
      <c r="FN79" s="35" t="s">
        <v>416</v>
      </c>
      <c r="FO79" s="35" t="s">
        <v>414</v>
      </c>
      <c r="FP79" s="35" t="s">
        <v>417</v>
      </c>
      <c r="FQ79" s="35" t="s">
        <v>418</v>
      </c>
      <c r="FR79" s="35" t="s">
        <v>630</v>
      </c>
      <c r="FS79" s="35" t="s">
        <v>4682</v>
      </c>
      <c r="FT79" s="35" t="s">
        <v>420</v>
      </c>
      <c r="FU79" s="35" t="s">
        <v>488</v>
      </c>
      <c r="FV79" s="35" t="s">
        <v>489</v>
      </c>
      <c r="FW79" s="35" t="s">
        <v>490</v>
      </c>
      <c r="FX79" s="35" t="s">
        <v>491</v>
      </c>
      <c r="FY79" s="35" t="s">
        <v>11338</v>
      </c>
      <c r="FZ79" s="35" t="s">
        <v>535</v>
      </c>
      <c r="GA79" s="35" t="s">
        <v>4683</v>
      </c>
      <c r="GB79" s="35" t="s">
        <v>4684</v>
      </c>
      <c r="GC79" s="35" t="s">
        <v>455</v>
      </c>
      <c r="GD79" s="35" t="s">
        <v>11339</v>
      </c>
      <c r="GE79" s="35" t="s">
        <v>11340</v>
      </c>
      <c r="GF79" s="35" t="s">
        <v>786</v>
      </c>
      <c r="GG79" s="35" t="s">
        <v>11341</v>
      </c>
      <c r="GH79" s="35" t="s">
        <v>755</v>
      </c>
      <c r="GI79" s="35" t="s">
        <v>755</v>
      </c>
      <c r="GJ79" s="35" t="s">
        <v>946</v>
      </c>
      <c r="GR79" s="35" t="s">
        <v>3306</v>
      </c>
    </row>
    <row r="80">
      <c r="A80" s="40"/>
      <c r="B80" s="40">
        <v>45839.90020665509</v>
      </c>
      <c r="C80" s="35" t="s">
        <v>368</v>
      </c>
      <c r="D80" s="35" t="s">
        <v>370</v>
      </c>
      <c r="E80" s="35" t="s">
        <v>370</v>
      </c>
      <c r="F80" s="35" t="s">
        <v>495</v>
      </c>
      <c r="G80" s="35" t="s">
        <v>1421</v>
      </c>
      <c r="H80" s="35" t="s">
        <v>422</v>
      </c>
      <c r="I80" s="35" t="s">
        <v>423</v>
      </c>
      <c r="J80" s="35" t="s">
        <v>668</v>
      </c>
      <c r="K80" s="35" t="s">
        <v>590</v>
      </c>
      <c r="L80" s="35" t="s">
        <v>376</v>
      </c>
      <c r="M80" s="35" t="s">
        <v>793</v>
      </c>
      <c r="N80" s="35" t="s">
        <v>639</v>
      </c>
      <c r="O80" s="35" t="s">
        <v>793</v>
      </c>
      <c r="P80" s="35" t="s">
        <v>2594</v>
      </c>
      <c r="Q80" s="35" t="s">
        <v>498</v>
      </c>
      <c r="R80" s="35" t="s">
        <v>818</v>
      </c>
      <c r="S80" s="35" t="s">
        <v>500</v>
      </c>
      <c r="T80" s="35" t="s">
        <v>384</v>
      </c>
      <c r="U80" s="35" t="s">
        <v>385</v>
      </c>
      <c r="X80" s="35" t="s">
        <v>3014</v>
      </c>
      <c r="AW80" s="35" t="s">
        <v>597</v>
      </c>
      <c r="AX80" s="41">
        <v>4.0</v>
      </c>
      <c r="AY80" s="35" t="s">
        <v>391</v>
      </c>
      <c r="AZ80" s="41">
        <v>4.0</v>
      </c>
      <c r="BA80" s="41">
        <v>2.0</v>
      </c>
      <c r="BB80" s="35" t="s">
        <v>391</v>
      </c>
      <c r="BC80" s="41">
        <v>2.0</v>
      </c>
      <c r="BD80" s="35" t="s">
        <v>4686</v>
      </c>
      <c r="BE80" s="35" t="s">
        <v>11342</v>
      </c>
      <c r="BF80" s="35" t="s">
        <v>432</v>
      </c>
      <c r="BG80" s="35" t="s">
        <v>393</v>
      </c>
      <c r="BH80" s="35" t="s">
        <v>725</v>
      </c>
      <c r="BI80" s="35" t="s">
        <v>11343</v>
      </c>
      <c r="BJ80" s="35" t="s">
        <v>435</v>
      </c>
      <c r="BK80" s="35" t="s">
        <v>11344</v>
      </c>
      <c r="BL80" s="35" t="s">
        <v>511</v>
      </c>
      <c r="BM80" s="35" t="s">
        <v>603</v>
      </c>
      <c r="BN80" s="35" t="s">
        <v>397</v>
      </c>
      <c r="BO80" s="35" t="s">
        <v>513</v>
      </c>
      <c r="CM80" s="35" t="s">
        <v>441</v>
      </c>
      <c r="CN80" s="35" t="s">
        <v>604</v>
      </c>
      <c r="CO80" s="35" t="s">
        <v>4690</v>
      </c>
      <c r="CP80" s="35" t="s">
        <v>11345</v>
      </c>
      <c r="CQ80" s="35" t="s">
        <v>445</v>
      </c>
      <c r="CR80" s="35" t="s">
        <v>4692</v>
      </c>
      <c r="CS80" s="35" t="s">
        <v>447</v>
      </c>
      <c r="CT80" s="35" t="s">
        <v>4693</v>
      </c>
      <c r="CU80" s="35" t="s">
        <v>11346</v>
      </c>
      <c r="CV80" s="35" t="s">
        <v>1863</v>
      </c>
      <c r="CW80" s="35" t="s">
        <v>409</v>
      </c>
      <c r="CX80" s="35" t="s">
        <v>11347</v>
      </c>
      <c r="CY80" s="35" t="s">
        <v>455</v>
      </c>
      <c r="CZ80" s="35" t="s">
        <v>11348</v>
      </c>
      <c r="DA80" s="35" t="s">
        <v>1398</v>
      </c>
      <c r="DB80" s="35" t="s">
        <v>11349</v>
      </c>
      <c r="DC80" s="35" t="s">
        <v>408</v>
      </c>
      <c r="DE80" s="35" t="s">
        <v>406</v>
      </c>
      <c r="DF80" s="35" t="s">
        <v>1867</v>
      </c>
      <c r="DG80" s="35" t="s">
        <v>4698</v>
      </c>
      <c r="DH80" s="35" t="s">
        <v>776</v>
      </c>
      <c r="DI80" s="35" t="s">
        <v>1220</v>
      </c>
      <c r="DJ80" s="35" t="s">
        <v>459</v>
      </c>
      <c r="DK80" s="35" t="s">
        <v>613</v>
      </c>
      <c r="EU80" s="35" t="s">
        <v>478</v>
      </c>
      <c r="EV80" s="35" t="s">
        <v>479</v>
      </c>
      <c r="EW80" s="35" t="s">
        <v>1262</v>
      </c>
      <c r="EX80" s="35" t="s">
        <v>11350</v>
      </c>
      <c r="EY80" s="35" t="s">
        <v>11351</v>
      </c>
      <c r="EZ80" s="35" t="s">
        <v>11352</v>
      </c>
      <c r="FA80" s="35" t="s">
        <v>415</v>
      </c>
      <c r="FB80" s="35" t="s">
        <v>414</v>
      </c>
      <c r="FC80" s="35" t="s">
        <v>413</v>
      </c>
      <c r="FD80" s="35" t="s">
        <v>416</v>
      </c>
      <c r="FE80" s="35" t="s">
        <v>416</v>
      </c>
      <c r="FF80" s="35" t="s">
        <v>583</v>
      </c>
      <c r="FG80" s="35" t="s">
        <v>416</v>
      </c>
      <c r="FH80" s="35" t="s">
        <v>416</v>
      </c>
      <c r="FI80" s="35" t="s">
        <v>413</v>
      </c>
      <c r="FJ80" s="35" t="s">
        <v>414</v>
      </c>
      <c r="FK80" s="35" t="s">
        <v>416</v>
      </c>
      <c r="FL80" s="35" t="s">
        <v>415</v>
      </c>
      <c r="FM80" s="35" t="s">
        <v>415</v>
      </c>
      <c r="FN80" s="35" t="s">
        <v>415</v>
      </c>
      <c r="FO80" s="35" t="s">
        <v>583</v>
      </c>
      <c r="FP80" s="35" t="s">
        <v>3396</v>
      </c>
      <c r="FQ80" s="35" t="s">
        <v>486</v>
      </c>
      <c r="FR80" s="35" t="s">
        <v>1039</v>
      </c>
      <c r="FS80" s="35" t="s">
        <v>4702</v>
      </c>
      <c r="FT80" s="35" t="s">
        <v>420</v>
      </c>
      <c r="FU80" s="35" t="s">
        <v>1462</v>
      </c>
      <c r="FV80" s="35" t="s">
        <v>489</v>
      </c>
      <c r="FW80" s="35" t="s">
        <v>490</v>
      </c>
      <c r="FX80" s="35" t="s">
        <v>491</v>
      </c>
      <c r="FY80" s="35" t="s">
        <v>4703</v>
      </c>
      <c r="FZ80" s="35" t="s">
        <v>1020</v>
      </c>
      <c r="GA80" s="35" t="s">
        <v>4704</v>
      </c>
      <c r="GC80" s="35" t="s">
        <v>455</v>
      </c>
      <c r="GD80" s="35" t="s">
        <v>11353</v>
      </c>
      <c r="GF80" s="35" t="s">
        <v>753</v>
      </c>
      <c r="GG80" s="35" t="s">
        <v>4705</v>
      </c>
      <c r="GH80" s="35" t="s">
        <v>1000</v>
      </c>
      <c r="GI80" s="35" t="s">
        <v>1000</v>
      </c>
      <c r="GJ80" s="35" t="s">
        <v>817</v>
      </c>
      <c r="GR80" s="35" t="s">
        <v>4706</v>
      </c>
    </row>
    <row r="81">
      <c r="A81" s="40"/>
      <c r="B81" s="40">
        <v>45844.41842277777</v>
      </c>
      <c r="C81" s="35" t="s">
        <v>368</v>
      </c>
      <c r="D81" s="35" t="s">
        <v>370</v>
      </c>
      <c r="E81" s="35" t="s">
        <v>1267</v>
      </c>
      <c r="F81" s="35" t="s">
        <v>791</v>
      </c>
      <c r="H81" s="35" t="s">
        <v>422</v>
      </c>
      <c r="I81" s="35" t="s">
        <v>1921</v>
      </c>
      <c r="J81" s="35" t="s">
        <v>668</v>
      </c>
      <c r="K81" s="35" t="s">
        <v>375</v>
      </c>
      <c r="L81" s="35" t="s">
        <v>376</v>
      </c>
      <c r="M81" s="35" t="s">
        <v>379</v>
      </c>
      <c r="N81" s="35" t="s">
        <v>378</v>
      </c>
      <c r="O81" s="35" t="s">
        <v>379</v>
      </c>
      <c r="P81" s="35" t="s">
        <v>497</v>
      </c>
      <c r="Q81" s="35" t="s">
        <v>498</v>
      </c>
      <c r="R81" s="35" t="s">
        <v>499</v>
      </c>
      <c r="S81" s="35" t="s">
        <v>500</v>
      </c>
      <c r="T81" s="35" t="s">
        <v>384</v>
      </c>
      <c r="U81" s="35" t="s">
        <v>385</v>
      </c>
      <c r="X81" s="35" t="s">
        <v>386</v>
      </c>
      <c r="Y81" s="35" t="s">
        <v>387</v>
      </c>
      <c r="Z81" s="35" t="s">
        <v>388</v>
      </c>
      <c r="AA81" s="35" t="s">
        <v>543</v>
      </c>
      <c r="AB81" s="35" t="s">
        <v>2675</v>
      </c>
      <c r="AW81" s="35" t="s">
        <v>1310</v>
      </c>
      <c r="AX81" s="35" t="s">
        <v>675</v>
      </c>
      <c r="AY81" s="35" t="s">
        <v>675</v>
      </c>
      <c r="AZ81" s="35" t="s">
        <v>675</v>
      </c>
      <c r="BA81" s="41">
        <v>4.0</v>
      </c>
      <c r="BB81" s="35" t="s">
        <v>391</v>
      </c>
      <c r="BC81" s="35" t="s">
        <v>391</v>
      </c>
      <c r="BD81" s="35" t="s">
        <v>4851</v>
      </c>
      <c r="BE81" s="35" t="s">
        <v>4852</v>
      </c>
      <c r="BF81" s="35" t="s">
        <v>432</v>
      </c>
      <c r="BG81" s="35" t="s">
        <v>1095</v>
      </c>
      <c r="BH81" s="35" t="s">
        <v>434</v>
      </c>
      <c r="BJ81" s="35" t="s">
        <v>976</v>
      </c>
      <c r="BK81" s="35" t="s">
        <v>4148</v>
      </c>
      <c r="BL81" s="35" t="s">
        <v>602</v>
      </c>
      <c r="BM81" s="35" t="s">
        <v>603</v>
      </c>
      <c r="BN81" s="35" t="s">
        <v>1247</v>
      </c>
      <c r="BO81" s="35" t="s">
        <v>513</v>
      </c>
      <c r="CM81" s="35" t="s">
        <v>441</v>
      </c>
      <c r="CN81" s="35" t="s">
        <v>604</v>
      </c>
      <c r="CO81" s="35" t="s">
        <v>4853</v>
      </c>
      <c r="CP81" s="35" t="s">
        <v>2675</v>
      </c>
      <c r="CQ81" s="35" t="s">
        <v>1008</v>
      </c>
      <c r="CR81" s="35" t="s">
        <v>4854</v>
      </c>
      <c r="CS81" s="35" t="s">
        <v>447</v>
      </c>
      <c r="CT81" s="35" t="s">
        <v>1626</v>
      </c>
      <c r="CU81" s="35" t="s">
        <v>4855</v>
      </c>
      <c r="CV81" s="35" t="s">
        <v>1852</v>
      </c>
      <c r="CW81" s="35" t="s">
        <v>451</v>
      </c>
      <c r="CX81" s="35" t="s">
        <v>4856</v>
      </c>
      <c r="CY81" s="35" t="s">
        <v>408</v>
      </c>
      <c r="DA81" s="35" t="s">
        <v>1962</v>
      </c>
      <c r="DC81" s="35" t="s">
        <v>408</v>
      </c>
      <c r="DE81" s="35" t="s">
        <v>988</v>
      </c>
      <c r="DG81" s="35" t="s">
        <v>4857</v>
      </c>
      <c r="DH81" s="35" t="s">
        <v>990</v>
      </c>
      <c r="DI81" s="35" t="s">
        <v>1964</v>
      </c>
      <c r="DJ81" s="35" t="s">
        <v>459</v>
      </c>
      <c r="DK81" s="35" t="s">
        <v>460</v>
      </c>
      <c r="DL81" s="35" t="s">
        <v>461</v>
      </c>
      <c r="EU81" s="35" t="s">
        <v>526</v>
      </c>
      <c r="EV81" s="35" t="s">
        <v>887</v>
      </c>
      <c r="EW81" s="35" t="s">
        <v>527</v>
      </c>
      <c r="EY81" s="35" t="s">
        <v>4858</v>
      </c>
      <c r="EZ81" s="35" t="s">
        <v>4859</v>
      </c>
      <c r="FA81" s="35" t="s">
        <v>415</v>
      </c>
      <c r="FB81" s="35" t="s">
        <v>583</v>
      </c>
      <c r="FC81" s="35" t="s">
        <v>583</v>
      </c>
      <c r="FD81" s="35" t="s">
        <v>583</v>
      </c>
      <c r="FE81" s="35" t="s">
        <v>583</v>
      </c>
      <c r="FF81" s="35" t="s">
        <v>413</v>
      </c>
      <c r="FG81" s="35" t="s">
        <v>415</v>
      </c>
      <c r="FH81" s="35" t="s">
        <v>583</v>
      </c>
      <c r="FI81" s="35" t="s">
        <v>415</v>
      </c>
      <c r="FJ81" s="35" t="s">
        <v>416</v>
      </c>
      <c r="FK81" s="35" t="s">
        <v>415</v>
      </c>
      <c r="FL81" s="35" t="s">
        <v>413</v>
      </c>
      <c r="FM81" s="35" t="s">
        <v>413</v>
      </c>
      <c r="FN81" s="35" t="s">
        <v>583</v>
      </c>
      <c r="FO81" s="35" t="s">
        <v>416</v>
      </c>
      <c r="FP81" s="35" t="s">
        <v>1074</v>
      </c>
      <c r="FQ81" s="35" t="s">
        <v>2651</v>
      </c>
      <c r="FR81" s="35" t="s">
        <v>531</v>
      </c>
      <c r="FS81" s="35" t="s">
        <v>4860</v>
      </c>
      <c r="FT81" s="35" t="s">
        <v>420</v>
      </c>
      <c r="FU81" s="35" t="s">
        <v>421</v>
      </c>
      <c r="FV81" s="35" t="s">
        <v>489</v>
      </c>
      <c r="FW81" s="35" t="s">
        <v>490</v>
      </c>
      <c r="FX81" s="35" t="s">
        <v>1853</v>
      </c>
      <c r="FZ81" s="35" t="s">
        <v>1854</v>
      </c>
      <c r="GC81" s="35" t="s">
        <v>408</v>
      </c>
      <c r="GH81" s="35" t="s">
        <v>755</v>
      </c>
      <c r="GI81" s="35" t="s">
        <v>755</v>
      </c>
      <c r="GJ81" s="35" t="s">
        <v>756</v>
      </c>
      <c r="GP81" s="35" t="s">
        <v>1267</v>
      </c>
      <c r="GR81" s="35" t="s">
        <v>3351</v>
      </c>
      <c r="GU81" s="35" t="s">
        <v>4774</v>
      </c>
      <c r="GV81" s="35" t="s">
        <v>4148</v>
      </c>
    </row>
    <row r="82">
      <c r="A82" s="40"/>
      <c r="B82" s="40">
        <v>45845.51969324074</v>
      </c>
      <c r="C82" s="35" t="s">
        <v>368</v>
      </c>
      <c r="D82" s="35" t="s">
        <v>370</v>
      </c>
      <c r="E82" s="35" t="s">
        <v>370</v>
      </c>
      <c r="F82" s="35" t="s">
        <v>2708</v>
      </c>
      <c r="G82" s="35" t="s">
        <v>2708</v>
      </c>
      <c r="H82" s="35" t="s">
        <v>422</v>
      </c>
      <c r="I82" s="35" t="s">
        <v>1921</v>
      </c>
      <c r="J82" s="35" t="s">
        <v>668</v>
      </c>
      <c r="K82" s="35" t="s">
        <v>718</v>
      </c>
      <c r="L82" s="35" t="s">
        <v>376</v>
      </c>
      <c r="M82" s="35" t="s">
        <v>379</v>
      </c>
      <c r="N82" s="35" t="s">
        <v>719</v>
      </c>
      <c r="O82" s="35" t="s">
        <v>379</v>
      </c>
      <c r="P82" s="35" t="s">
        <v>380</v>
      </c>
      <c r="Q82" s="35" t="s">
        <v>498</v>
      </c>
      <c r="R82" s="35" t="s">
        <v>862</v>
      </c>
      <c r="S82" s="35" t="s">
        <v>427</v>
      </c>
      <c r="T82" s="35" t="s">
        <v>384</v>
      </c>
      <c r="U82" s="35" t="s">
        <v>385</v>
      </c>
      <c r="X82" s="35" t="s">
        <v>593</v>
      </c>
      <c r="Y82" s="35" t="s">
        <v>387</v>
      </c>
      <c r="Z82" s="35" t="s">
        <v>1595</v>
      </c>
      <c r="AA82" s="35" t="s">
        <v>543</v>
      </c>
      <c r="AB82" s="35" t="s">
        <v>408</v>
      </c>
      <c r="AW82" s="35" t="s">
        <v>1242</v>
      </c>
      <c r="AX82" s="41">
        <v>4.0</v>
      </c>
      <c r="AY82" s="41">
        <v>4.0</v>
      </c>
      <c r="AZ82" s="41">
        <v>4.0</v>
      </c>
      <c r="BA82" s="35" t="s">
        <v>675</v>
      </c>
      <c r="BB82" s="41">
        <v>4.0</v>
      </c>
      <c r="BC82" s="41">
        <v>4.0</v>
      </c>
      <c r="BD82" s="35" t="s">
        <v>11354</v>
      </c>
      <c r="BE82" s="35" t="s">
        <v>11355</v>
      </c>
      <c r="BF82" s="35" t="s">
        <v>902</v>
      </c>
      <c r="BG82" s="35" t="s">
        <v>1245</v>
      </c>
      <c r="BH82" s="35" t="s">
        <v>394</v>
      </c>
      <c r="BI82" s="35" t="s">
        <v>11356</v>
      </c>
      <c r="BJ82" s="35" t="s">
        <v>976</v>
      </c>
      <c r="BL82" s="35" t="s">
        <v>395</v>
      </c>
      <c r="BM82" s="35" t="s">
        <v>904</v>
      </c>
      <c r="BN82" s="35" t="s">
        <v>1314</v>
      </c>
      <c r="BO82" s="35" t="s">
        <v>513</v>
      </c>
      <c r="CN82" s="35" t="s">
        <v>442</v>
      </c>
      <c r="CO82" s="35" t="s">
        <v>11357</v>
      </c>
      <c r="CP82" s="35" t="s">
        <v>11358</v>
      </c>
      <c r="CQ82" s="35" t="s">
        <v>685</v>
      </c>
      <c r="CR82" s="35" t="s">
        <v>1467</v>
      </c>
      <c r="CS82" s="35" t="s">
        <v>447</v>
      </c>
      <c r="CT82" s="35" t="s">
        <v>4880</v>
      </c>
      <c r="CU82" s="35" t="s">
        <v>11359</v>
      </c>
      <c r="CV82" s="35" t="s">
        <v>1863</v>
      </c>
      <c r="CW82" s="35" t="s">
        <v>1931</v>
      </c>
      <c r="CY82" s="35" t="s">
        <v>408</v>
      </c>
      <c r="DA82" s="35" t="s">
        <v>1962</v>
      </c>
      <c r="DC82" s="35" t="s">
        <v>408</v>
      </c>
      <c r="DE82" s="35" t="s">
        <v>988</v>
      </c>
      <c r="DH82" s="35" t="s">
        <v>693</v>
      </c>
      <c r="DI82" s="35" t="s">
        <v>1220</v>
      </c>
      <c r="DJ82" s="35" t="s">
        <v>963</v>
      </c>
      <c r="DK82" s="35" t="s">
        <v>613</v>
      </c>
      <c r="EU82" s="35" t="s">
        <v>578</v>
      </c>
      <c r="EV82" s="35" t="s">
        <v>479</v>
      </c>
      <c r="EW82" s="35" t="s">
        <v>580</v>
      </c>
      <c r="EY82" s="35" t="s">
        <v>2238</v>
      </c>
      <c r="EZ82" s="35" t="s">
        <v>2238</v>
      </c>
      <c r="FA82" s="35" t="s">
        <v>484</v>
      </c>
      <c r="FB82" s="35" t="s">
        <v>414</v>
      </c>
      <c r="FC82" s="35" t="s">
        <v>583</v>
      </c>
      <c r="FD82" s="35" t="s">
        <v>583</v>
      </c>
      <c r="FE82" s="35" t="s">
        <v>484</v>
      </c>
      <c r="FF82" s="35" t="s">
        <v>414</v>
      </c>
      <c r="FG82" s="35" t="s">
        <v>484</v>
      </c>
      <c r="FH82" s="35" t="s">
        <v>484</v>
      </c>
      <c r="FI82" s="35" t="s">
        <v>484</v>
      </c>
      <c r="FJ82" s="35" t="s">
        <v>484</v>
      </c>
      <c r="FK82" s="35" t="s">
        <v>415</v>
      </c>
      <c r="FL82" s="35" t="s">
        <v>484</v>
      </c>
      <c r="FM82" s="35" t="s">
        <v>484</v>
      </c>
      <c r="FN82" s="35" t="s">
        <v>484</v>
      </c>
      <c r="FO82" s="35" t="s">
        <v>484</v>
      </c>
      <c r="FP82" s="35" t="s">
        <v>850</v>
      </c>
      <c r="FQ82" s="35" t="s">
        <v>1200</v>
      </c>
      <c r="FR82" s="35" t="s">
        <v>419</v>
      </c>
      <c r="FS82" s="35" t="s">
        <v>11360</v>
      </c>
      <c r="FT82" s="35" t="s">
        <v>1871</v>
      </c>
      <c r="FU82" s="35" t="s">
        <v>421</v>
      </c>
      <c r="FV82" s="35" t="s">
        <v>489</v>
      </c>
      <c r="FW82" s="35" t="s">
        <v>490</v>
      </c>
      <c r="FX82" s="35" t="s">
        <v>1853</v>
      </c>
      <c r="FY82" s="35" t="s">
        <v>4883</v>
      </c>
      <c r="FZ82" s="35" t="s">
        <v>1854</v>
      </c>
      <c r="GA82" s="35" t="s">
        <v>11361</v>
      </c>
      <c r="GB82" s="35" t="s">
        <v>11362</v>
      </c>
      <c r="GC82" s="35" t="s">
        <v>455</v>
      </c>
      <c r="GD82" s="35" t="s">
        <v>11363</v>
      </c>
      <c r="GF82" s="35" t="s">
        <v>855</v>
      </c>
      <c r="GH82" s="35" t="s">
        <v>788</v>
      </c>
      <c r="GI82" s="35" t="s">
        <v>788</v>
      </c>
      <c r="GJ82" s="35" t="s">
        <v>921</v>
      </c>
      <c r="GR82" s="35" t="s">
        <v>4886</v>
      </c>
      <c r="GU82" s="35" t="s">
        <v>4774</v>
      </c>
    </row>
    <row r="83">
      <c r="A83" s="40"/>
      <c r="B83" s="40">
        <v>45846.13157090278</v>
      </c>
      <c r="C83" s="35" t="s">
        <v>368</v>
      </c>
      <c r="D83" s="35" t="s">
        <v>538</v>
      </c>
      <c r="E83" s="35" t="s">
        <v>538</v>
      </c>
      <c r="H83" s="35" t="s">
        <v>422</v>
      </c>
      <c r="I83" s="35" t="s">
        <v>496</v>
      </c>
      <c r="J83" s="35" t="s">
        <v>374</v>
      </c>
      <c r="K83" s="35" t="s">
        <v>425</v>
      </c>
      <c r="L83" s="35" t="s">
        <v>376</v>
      </c>
      <c r="M83" s="35" t="s">
        <v>379</v>
      </c>
      <c r="N83" s="35" t="s">
        <v>541</v>
      </c>
      <c r="O83" s="35" t="s">
        <v>426</v>
      </c>
      <c r="P83" s="35" t="s">
        <v>497</v>
      </c>
      <c r="Q83" s="35" t="s">
        <v>498</v>
      </c>
      <c r="R83" s="35" t="s">
        <v>499</v>
      </c>
      <c r="S83" s="35" t="s">
        <v>427</v>
      </c>
      <c r="T83" s="35" t="s">
        <v>384</v>
      </c>
      <c r="U83" s="35" t="s">
        <v>385</v>
      </c>
      <c r="X83" s="35" t="s">
        <v>386</v>
      </c>
      <c r="Y83" s="35" t="s">
        <v>387</v>
      </c>
      <c r="Z83" s="35" t="s">
        <v>388</v>
      </c>
      <c r="AB83" s="35" t="s">
        <v>408</v>
      </c>
      <c r="AW83" s="35" t="s">
        <v>390</v>
      </c>
      <c r="AX83" s="41">
        <v>2.0</v>
      </c>
      <c r="AY83" s="41">
        <v>2.0</v>
      </c>
      <c r="AZ83" s="35" t="s">
        <v>429</v>
      </c>
      <c r="BA83" s="41">
        <v>2.0</v>
      </c>
      <c r="BB83" s="35" t="s">
        <v>429</v>
      </c>
      <c r="BC83" s="41">
        <v>2.0</v>
      </c>
      <c r="BD83" s="35" t="s">
        <v>4887</v>
      </c>
      <c r="BE83" s="35" t="s">
        <v>4888</v>
      </c>
      <c r="BF83" s="35" t="s">
        <v>392</v>
      </c>
      <c r="BG83" s="35" t="s">
        <v>433</v>
      </c>
      <c r="BH83" s="35" t="s">
        <v>678</v>
      </c>
      <c r="BI83" s="35" t="s">
        <v>4889</v>
      </c>
      <c r="BJ83" s="35" t="s">
        <v>509</v>
      </c>
      <c r="BK83" s="35" t="s">
        <v>4890</v>
      </c>
      <c r="BL83" s="35" t="s">
        <v>511</v>
      </c>
      <c r="BM83" s="35" t="s">
        <v>512</v>
      </c>
      <c r="BN83" s="35" t="s">
        <v>439</v>
      </c>
      <c r="BO83" s="35" t="s">
        <v>513</v>
      </c>
      <c r="CM83" s="35" t="s">
        <v>550</v>
      </c>
      <c r="CN83" s="35" t="s">
        <v>401</v>
      </c>
      <c r="CO83" s="35" t="s">
        <v>4891</v>
      </c>
      <c r="CP83" s="35" t="s">
        <v>4892</v>
      </c>
      <c r="CQ83" s="35" t="s">
        <v>1008</v>
      </c>
      <c r="CR83" s="35" t="s">
        <v>4893</v>
      </c>
      <c r="CS83" s="35" t="s">
        <v>404</v>
      </c>
      <c r="CT83" s="35" t="s">
        <v>4894</v>
      </c>
      <c r="CU83" s="35" t="s">
        <v>11364</v>
      </c>
      <c r="CV83" s="35" t="s">
        <v>519</v>
      </c>
      <c r="CW83" s="35" t="s">
        <v>451</v>
      </c>
      <c r="CX83" s="35" t="s">
        <v>4896</v>
      </c>
      <c r="CY83" s="35" t="s">
        <v>408</v>
      </c>
      <c r="DA83" s="35" t="s">
        <v>453</v>
      </c>
      <c r="DB83" s="35" t="s">
        <v>4897</v>
      </c>
      <c r="DC83" s="35" t="s">
        <v>408</v>
      </c>
      <c r="DE83" s="35" t="s">
        <v>662</v>
      </c>
      <c r="DG83" s="35" t="s">
        <v>11365</v>
      </c>
      <c r="DH83" s="35" t="s">
        <v>4899</v>
      </c>
      <c r="DI83" s="35" t="s">
        <v>410</v>
      </c>
      <c r="DJ83" s="35" t="s">
        <v>963</v>
      </c>
      <c r="DK83" s="35" t="s">
        <v>613</v>
      </c>
      <c r="EU83" s="35" t="s">
        <v>526</v>
      </c>
      <c r="EV83" s="35" t="s">
        <v>1037</v>
      </c>
      <c r="EW83" s="35" t="s">
        <v>580</v>
      </c>
      <c r="EY83" s="35" t="s">
        <v>4900</v>
      </c>
      <c r="EZ83" s="35" t="s">
        <v>4901</v>
      </c>
      <c r="FA83" s="35" t="s">
        <v>583</v>
      </c>
      <c r="FB83" s="35" t="s">
        <v>583</v>
      </c>
      <c r="FC83" s="35" t="s">
        <v>413</v>
      </c>
      <c r="FD83" s="35" t="s">
        <v>583</v>
      </c>
      <c r="FE83" s="35" t="s">
        <v>413</v>
      </c>
      <c r="FF83" s="35" t="s">
        <v>583</v>
      </c>
      <c r="FG83" s="35" t="s">
        <v>484</v>
      </c>
      <c r="FH83" s="35" t="s">
        <v>484</v>
      </c>
      <c r="FI83" s="35" t="s">
        <v>484</v>
      </c>
      <c r="FJ83" s="35" t="s">
        <v>413</v>
      </c>
      <c r="FK83" s="35" t="s">
        <v>484</v>
      </c>
      <c r="FL83" s="35" t="s">
        <v>484</v>
      </c>
      <c r="FM83" s="35" t="s">
        <v>484</v>
      </c>
      <c r="FN83" s="35" t="s">
        <v>484</v>
      </c>
      <c r="FO83" s="35" t="s">
        <v>484</v>
      </c>
      <c r="FP83" s="35" t="s">
        <v>417</v>
      </c>
      <c r="FQ83" s="35" t="s">
        <v>418</v>
      </c>
      <c r="FR83" s="35" t="s">
        <v>712</v>
      </c>
      <c r="FT83" s="35" t="s">
        <v>420</v>
      </c>
      <c r="FU83" s="35" t="s">
        <v>1462</v>
      </c>
      <c r="FV83" s="35" t="s">
        <v>1235</v>
      </c>
      <c r="FW83" s="35" t="s">
        <v>490</v>
      </c>
      <c r="FX83" s="35" t="s">
        <v>491</v>
      </c>
      <c r="FY83" s="35" t="s">
        <v>4902</v>
      </c>
      <c r="FZ83" s="35" t="s">
        <v>535</v>
      </c>
      <c r="GA83" s="35" t="s">
        <v>4903</v>
      </c>
      <c r="GC83" s="35" t="s">
        <v>455</v>
      </c>
      <c r="GD83" s="35" t="s">
        <v>11366</v>
      </c>
      <c r="GF83" s="35" t="s">
        <v>753</v>
      </c>
      <c r="GG83" s="35" t="s">
        <v>4904</v>
      </c>
      <c r="GH83" s="35" t="s">
        <v>755</v>
      </c>
      <c r="GI83" s="35" t="s">
        <v>755</v>
      </c>
      <c r="GJ83" s="35" t="s">
        <v>946</v>
      </c>
      <c r="GO83" s="35" t="s">
        <v>3012</v>
      </c>
      <c r="GP83" s="35" t="s">
        <v>3012</v>
      </c>
      <c r="GR83" s="35" t="s">
        <v>3208</v>
      </c>
      <c r="GU83" s="35" t="s">
        <v>4774</v>
      </c>
    </row>
    <row r="84">
      <c r="A84" s="40"/>
      <c r="B84" s="40">
        <v>45846.51041663194</v>
      </c>
      <c r="C84" s="35" t="s">
        <v>368</v>
      </c>
      <c r="D84" s="35" t="s">
        <v>370</v>
      </c>
      <c r="E84" s="35" t="s">
        <v>370</v>
      </c>
      <c r="F84" s="35" t="s">
        <v>4905</v>
      </c>
      <c r="G84" s="35" t="s">
        <v>4905</v>
      </c>
      <c r="H84" s="35" t="s">
        <v>2295</v>
      </c>
      <c r="I84" s="35" t="s">
        <v>539</v>
      </c>
      <c r="J84" s="35" t="s">
        <v>424</v>
      </c>
      <c r="K84" s="35" t="s">
        <v>758</v>
      </c>
      <c r="L84" s="35" t="s">
        <v>376</v>
      </c>
      <c r="M84" s="35" t="s">
        <v>426</v>
      </c>
      <c r="N84" s="35" t="s">
        <v>2464</v>
      </c>
      <c r="P84" s="35" t="s">
        <v>1024</v>
      </c>
      <c r="Q84" s="35" t="s">
        <v>498</v>
      </c>
      <c r="R84" s="35" t="s">
        <v>1004</v>
      </c>
      <c r="S84" s="35" t="s">
        <v>500</v>
      </c>
      <c r="T84" s="35" t="s">
        <v>384</v>
      </c>
      <c r="U84" s="35" t="s">
        <v>385</v>
      </c>
      <c r="X84" s="35" t="s">
        <v>3014</v>
      </c>
      <c r="BN84" s="35" t="s">
        <v>549</v>
      </c>
      <c r="BO84" s="35" t="s">
        <v>513</v>
      </c>
      <c r="CO84" s="35" t="s">
        <v>11367</v>
      </c>
      <c r="CP84" s="35" t="s">
        <v>4907</v>
      </c>
      <c r="CQ84" s="35" t="s">
        <v>1008</v>
      </c>
      <c r="CR84" s="35" t="s">
        <v>4908</v>
      </c>
      <c r="CS84" s="35" t="s">
        <v>804</v>
      </c>
      <c r="CT84" s="35" t="s">
        <v>4909</v>
      </c>
      <c r="CU84" s="35" t="s">
        <v>4910</v>
      </c>
      <c r="CV84" s="35" t="s">
        <v>519</v>
      </c>
      <c r="CW84" s="35" t="s">
        <v>451</v>
      </c>
      <c r="CX84" s="35" t="s">
        <v>11368</v>
      </c>
      <c r="CY84" s="35" t="s">
        <v>408</v>
      </c>
      <c r="DA84" s="35" t="s">
        <v>453</v>
      </c>
      <c r="DB84" s="35" t="s">
        <v>4912</v>
      </c>
      <c r="DC84" s="35" t="s">
        <v>455</v>
      </c>
      <c r="DD84" s="35" t="s">
        <v>11369</v>
      </c>
      <c r="DE84" s="35" t="s">
        <v>406</v>
      </c>
      <c r="DF84" s="35" t="s">
        <v>1867</v>
      </c>
      <c r="DG84" s="35" t="s">
        <v>4914</v>
      </c>
      <c r="DH84" s="35" t="s">
        <v>990</v>
      </c>
      <c r="DI84" s="35" t="s">
        <v>410</v>
      </c>
      <c r="DJ84" s="35" t="s">
        <v>459</v>
      </c>
      <c r="DK84" s="35" t="s">
        <v>562</v>
      </c>
      <c r="DL84" s="35" t="s">
        <v>525</v>
      </c>
      <c r="EU84" s="35" t="s">
        <v>526</v>
      </c>
      <c r="EV84" s="35" t="s">
        <v>479</v>
      </c>
      <c r="EW84" s="35" t="s">
        <v>480</v>
      </c>
      <c r="EY84" s="35" t="s">
        <v>4915</v>
      </c>
      <c r="EZ84" s="35" t="s">
        <v>4916</v>
      </c>
      <c r="FA84" s="35" t="s">
        <v>583</v>
      </c>
      <c r="FB84" s="35" t="s">
        <v>583</v>
      </c>
      <c r="FC84" s="35" t="s">
        <v>413</v>
      </c>
      <c r="FD84" s="35" t="s">
        <v>583</v>
      </c>
      <c r="FE84" s="35" t="s">
        <v>413</v>
      </c>
      <c r="FF84" s="35" t="s">
        <v>583</v>
      </c>
      <c r="FG84" s="35" t="s">
        <v>583</v>
      </c>
      <c r="FH84" s="35" t="s">
        <v>583</v>
      </c>
      <c r="FI84" s="35" t="s">
        <v>583</v>
      </c>
      <c r="FJ84" s="35" t="s">
        <v>583</v>
      </c>
      <c r="FK84" s="35" t="s">
        <v>583</v>
      </c>
      <c r="FL84" s="35" t="s">
        <v>583</v>
      </c>
      <c r="FM84" s="35" t="s">
        <v>583</v>
      </c>
      <c r="FO84" s="35" t="s">
        <v>583</v>
      </c>
      <c r="FP84" s="35" t="s">
        <v>485</v>
      </c>
      <c r="FQ84" s="35" t="s">
        <v>486</v>
      </c>
      <c r="FR84" s="35" t="s">
        <v>712</v>
      </c>
      <c r="FS84" s="35" t="s">
        <v>11370</v>
      </c>
      <c r="FT84" s="35" t="s">
        <v>995</v>
      </c>
      <c r="FU84" s="35" t="s">
        <v>1476</v>
      </c>
      <c r="FV84" s="35" t="s">
        <v>533</v>
      </c>
      <c r="FW84" s="35" t="s">
        <v>490</v>
      </c>
      <c r="FX84" s="35" t="s">
        <v>491</v>
      </c>
      <c r="FY84" s="35" t="s">
        <v>11371</v>
      </c>
      <c r="FZ84" s="35" t="s">
        <v>493</v>
      </c>
      <c r="GA84" s="35" t="s">
        <v>4919</v>
      </c>
      <c r="GC84" s="35" t="s">
        <v>408</v>
      </c>
      <c r="GH84" s="35" t="s">
        <v>789</v>
      </c>
      <c r="GI84" s="35" t="s">
        <v>789</v>
      </c>
      <c r="GJ84" s="35" t="s">
        <v>817</v>
      </c>
      <c r="GR84" s="35" t="s">
        <v>3351</v>
      </c>
      <c r="GU84" s="35" t="s">
        <v>4774</v>
      </c>
    </row>
    <row r="85">
      <c r="A85" s="40"/>
      <c r="B85" s="40">
        <v>45849.608638680555</v>
      </c>
      <c r="C85" s="35" t="s">
        <v>368</v>
      </c>
      <c r="D85" s="35" t="s">
        <v>370</v>
      </c>
      <c r="E85" s="35" t="s">
        <v>370</v>
      </c>
      <c r="F85" s="35" t="s">
        <v>1421</v>
      </c>
      <c r="G85" s="35" t="s">
        <v>1421</v>
      </c>
      <c r="H85" s="35" t="s">
        <v>422</v>
      </c>
      <c r="I85" s="35" t="s">
        <v>496</v>
      </c>
      <c r="J85" s="35" t="s">
        <v>374</v>
      </c>
      <c r="K85" s="35" t="s">
        <v>718</v>
      </c>
      <c r="L85" s="35" t="s">
        <v>376</v>
      </c>
      <c r="M85" s="35" t="s">
        <v>793</v>
      </c>
      <c r="N85" s="35" t="s">
        <v>4920</v>
      </c>
      <c r="O85" s="35" t="s">
        <v>793</v>
      </c>
      <c r="P85" s="35" t="s">
        <v>671</v>
      </c>
      <c r="Q85" s="35" t="s">
        <v>592</v>
      </c>
      <c r="R85" s="35" t="s">
        <v>1004</v>
      </c>
      <c r="S85" s="35" t="s">
        <v>1704</v>
      </c>
      <c r="T85" s="35" t="s">
        <v>384</v>
      </c>
      <c r="U85" s="35" t="s">
        <v>385</v>
      </c>
      <c r="X85" s="35" t="s">
        <v>3014</v>
      </c>
      <c r="AW85" s="35" t="s">
        <v>1310</v>
      </c>
      <c r="BC85" s="35" t="s">
        <v>675</v>
      </c>
      <c r="BD85" s="35" t="s">
        <v>4921</v>
      </c>
      <c r="BE85" s="35" t="s">
        <v>4922</v>
      </c>
      <c r="BF85" s="35" t="s">
        <v>392</v>
      </c>
      <c r="BG85" s="35" t="s">
        <v>393</v>
      </c>
      <c r="BH85" s="35" t="s">
        <v>678</v>
      </c>
      <c r="BI85" s="35" t="s">
        <v>4923</v>
      </c>
      <c r="BJ85" s="35" t="s">
        <v>976</v>
      </c>
      <c r="BK85" s="35" t="s">
        <v>4924</v>
      </c>
      <c r="BL85" s="35" t="s">
        <v>511</v>
      </c>
      <c r="BM85" s="35" t="s">
        <v>438</v>
      </c>
      <c r="BN85" s="35" t="s">
        <v>397</v>
      </c>
      <c r="BO85" s="35" t="s">
        <v>513</v>
      </c>
      <c r="CM85" s="35" t="s">
        <v>441</v>
      </c>
      <c r="CN85" s="35" t="s">
        <v>442</v>
      </c>
      <c r="CO85" s="35" t="s">
        <v>4925</v>
      </c>
      <c r="CP85" s="35" t="s">
        <v>4926</v>
      </c>
      <c r="CQ85" s="35" t="s">
        <v>685</v>
      </c>
      <c r="CR85" s="35" t="s">
        <v>1427</v>
      </c>
      <c r="CS85" s="35" t="s">
        <v>447</v>
      </c>
      <c r="CT85" s="35" t="s">
        <v>4927</v>
      </c>
      <c r="CU85" s="35" t="s">
        <v>4928</v>
      </c>
      <c r="CV85" s="35" t="s">
        <v>1863</v>
      </c>
      <c r="CW85" s="35" t="s">
        <v>409</v>
      </c>
      <c r="CX85" s="35" t="s">
        <v>4929</v>
      </c>
      <c r="CY85" s="35" t="s">
        <v>408</v>
      </c>
      <c r="DA85" s="35" t="s">
        <v>985</v>
      </c>
      <c r="DB85" s="35" t="s">
        <v>4930</v>
      </c>
      <c r="DC85" s="35" t="s">
        <v>913</v>
      </c>
      <c r="DE85" s="35" t="s">
        <v>406</v>
      </c>
      <c r="DF85" s="35" t="s">
        <v>1867</v>
      </c>
      <c r="DG85" s="35" t="s">
        <v>4931</v>
      </c>
      <c r="DH85" s="35" t="s">
        <v>561</v>
      </c>
      <c r="DI85" s="35" t="s">
        <v>1220</v>
      </c>
      <c r="DJ85" s="35" t="s">
        <v>459</v>
      </c>
      <c r="DK85" s="35" t="s">
        <v>562</v>
      </c>
      <c r="DL85" s="35" t="s">
        <v>1434</v>
      </c>
      <c r="EU85" s="35" t="s">
        <v>526</v>
      </c>
      <c r="EV85" s="35" t="s">
        <v>1037</v>
      </c>
      <c r="EW85" s="35" t="s">
        <v>580</v>
      </c>
      <c r="FA85" s="35" t="s">
        <v>414</v>
      </c>
      <c r="FB85" s="35" t="s">
        <v>415</v>
      </c>
      <c r="FC85" s="35" t="s">
        <v>415</v>
      </c>
      <c r="FD85" s="35" t="s">
        <v>415</v>
      </c>
      <c r="FE85" s="35" t="s">
        <v>416</v>
      </c>
      <c r="FF85" s="35" t="s">
        <v>415</v>
      </c>
      <c r="FG85" s="35" t="s">
        <v>484</v>
      </c>
      <c r="FH85" s="35" t="s">
        <v>413</v>
      </c>
      <c r="FI85" s="35" t="s">
        <v>583</v>
      </c>
      <c r="FJ85" s="35" t="s">
        <v>414</v>
      </c>
      <c r="FK85" s="35" t="s">
        <v>484</v>
      </c>
      <c r="FL85" s="35" t="s">
        <v>414</v>
      </c>
      <c r="FM85" s="35" t="s">
        <v>414</v>
      </c>
      <c r="FN85" s="35" t="s">
        <v>416</v>
      </c>
      <c r="FO85" s="35" t="s">
        <v>583</v>
      </c>
      <c r="FP85" s="35" t="s">
        <v>1537</v>
      </c>
      <c r="FQ85" s="35" t="s">
        <v>486</v>
      </c>
      <c r="FR85" s="35" t="s">
        <v>712</v>
      </c>
      <c r="FS85" s="35" t="s">
        <v>4932</v>
      </c>
      <c r="FT85" s="35" t="s">
        <v>995</v>
      </c>
      <c r="FU85" s="35" t="s">
        <v>1462</v>
      </c>
      <c r="FV85" s="35" t="s">
        <v>489</v>
      </c>
      <c r="FX85" s="35" t="s">
        <v>491</v>
      </c>
      <c r="GA85" s="35" t="s">
        <v>4933</v>
      </c>
      <c r="GB85" s="35" t="s">
        <v>4934</v>
      </c>
      <c r="GC85" s="35" t="s">
        <v>455</v>
      </c>
      <c r="GD85" s="35" t="s">
        <v>11372</v>
      </c>
      <c r="GE85" s="35" t="s">
        <v>11373</v>
      </c>
      <c r="GF85" s="35" t="s">
        <v>1339</v>
      </c>
      <c r="GG85" s="35" t="s">
        <v>4935</v>
      </c>
      <c r="GH85" s="35" t="s">
        <v>788</v>
      </c>
      <c r="GI85" s="35" t="s">
        <v>788</v>
      </c>
      <c r="GR85" s="35" t="s">
        <v>3306</v>
      </c>
      <c r="GU85" s="35" t="s">
        <v>4936</v>
      </c>
    </row>
    <row r="86">
      <c r="A86" s="40"/>
      <c r="B86" s="40">
        <v>45825.05825144676</v>
      </c>
      <c r="C86" s="35" t="s">
        <v>368</v>
      </c>
      <c r="D86" s="35" t="s">
        <v>370</v>
      </c>
      <c r="F86" s="35" t="s">
        <v>495</v>
      </c>
      <c r="H86" s="35" t="s">
        <v>422</v>
      </c>
      <c r="I86" s="35" t="s">
        <v>496</v>
      </c>
      <c r="J86" s="35" t="s">
        <v>374</v>
      </c>
      <c r="K86" s="35" t="s">
        <v>425</v>
      </c>
      <c r="L86" s="35" t="s">
        <v>376</v>
      </c>
      <c r="M86" s="35" t="s">
        <v>379</v>
      </c>
      <c r="N86" s="35" t="s">
        <v>378</v>
      </c>
      <c r="O86" s="35" t="s">
        <v>379</v>
      </c>
      <c r="P86" s="35" t="s">
        <v>497</v>
      </c>
      <c r="Q86" s="35" t="s">
        <v>498</v>
      </c>
      <c r="R86" s="35" t="s">
        <v>499</v>
      </c>
      <c r="S86" s="35" t="s">
        <v>500</v>
      </c>
      <c r="T86" s="35" t="s">
        <v>501</v>
      </c>
      <c r="U86" s="35" t="s">
        <v>385</v>
      </c>
      <c r="X86" s="35" t="s">
        <v>386</v>
      </c>
      <c r="Y86" s="35" t="s">
        <v>387</v>
      </c>
      <c r="Z86" s="35" t="s">
        <v>388</v>
      </c>
      <c r="AA86" s="35" t="s">
        <v>502</v>
      </c>
      <c r="AB86" s="35" t="s">
        <v>408</v>
      </c>
      <c r="AC86" s="35" t="s">
        <v>10981</v>
      </c>
      <c r="AW86" s="35" t="s">
        <v>504</v>
      </c>
      <c r="AX86" s="35" t="s">
        <v>429</v>
      </c>
      <c r="AY86" s="35" t="s">
        <v>429</v>
      </c>
      <c r="AZ86" s="35" t="s">
        <v>429</v>
      </c>
      <c r="BA86" s="35" t="s">
        <v>429</v>
      </c>
      <c r="BB86" s="35" t="s">
        <v>429</v>
      </c>
      <c r="BC86" s="35" t="s">
        <v>429</v>
      </c>
      <c r="BD86" s="35" t="s">
        <v>10982</v>
      </c>
      <c r="BE86" s="35" t="s">
        <v>10983</v>
      </c>
      <c r="BF86" s="35" t="s">
        <v>392</v>
      </c>
      <c r="BG86" s="35" t="s">
        <v>433</v>
      </c>
      <c r="BH86" s="35" t="s">
        <v>507</v>
      </c>
      <c r="BI86" s="35" t="s">
        <v>10984</v>
      </c>
      <c r="BJ86" s="35" t="s">
        <v>509</v>
      </c>
      <c r="BK86" s="35" t="s">
        <v>10985</v>
      </c>
      <c r="BL86" s="35" t="s">
        <v>511</v>
      </c>
      <c r="BM86" s="35" t="s">
        <v>512</v>
      </c>
      <c r="BN86" s="35" t="s">
        <v>439</v>
      </c>
      <c r="BO86" s="35" t="s">
        <v>513</v>
      </c>
      <c r="CM86" s="35" t="s">
        <v>441</v>
      </c>
      <c r="CN86" s="35" t="s">
        <v>442</v>
      </c>
      <c r="CO86" s="35" t="s">
        <v>10986</v>
      </c>
      <c r="CP86" s="35" t="s">
        <v>10987</v>
      </c>
      <c r="CQ86" s="35" t="s">
        <v>445</v>
      </c>
      <c r="CR86" s="35" t="s">
        <v>516</v>
      </c>
      <c r="CS86" s="35" t="s">
        <v>447</v>
      </c>
      <c r="CT86" s="35" t="s">
        <v>517</v>
      </c>
      <c r="CU86" s="35" t="s">
        <v>10988</v>
      </c>
      <c r="CV86" s="35" t="s">
        <v>519</v>
      </c>
      <c r="CW86" s="35" t="s">
        <v>451</v>
      </c>
      <c r="CX86" s="35" t="s">
        <v>10989</v>
      </c>
      <c r="CY86" s="35" t="s">
        <v>408</v>
      </c>
      <c r="DA86" s="35" t="s">
        <v>453</v>
      </c>
      <c r="DB86" s="35" t="s">
        <v>521</v>
      </c>
      <c r="DC86" s="35" t="s">
        <v>455</v>
      </c>
      <c r="DD86" s="35" t="s">
        <v>522</v>
      </c>
      <c r="DE86" s="35" t="s">
        <v>457</v>
      </c>
      <c r="DG86" s="35" t="s">
        <v>523</v>
      </c>
      <c r="DH86" s="35" t="s">
        <v>524</v>
      </c>
      <c r="DI86" s="35" t="s">
        <v>410</v>
      </c>
      <c r="DJ86" s="35" t="s">
        <v>459</v>
      </c>
      <c r="DK86" s="35" t="s">
        <v>460</v>
      </c>
      <c r="DL86" s="35" t="s">
        <v>525</v>
      </c>
      <c r="EU86" s="35" t="s">
        <v>526</v>
      </c>
      <c r="EV86" s="35" t="s">
        <v>479</v>
      </c>
      <c r="EW86" s="35" t="s">
        <v>527</v>
      </c>
      <c r="EX86" s="35" t="s">
        <v>10990</v>
      </c>
      <c r="EY86" s="35" t="s">
        <v>10991</v>
      </c>
      <c r="EZ86" s="35" t="s">
        <v>10992</v>
      </c>
      <c r="FA86" s="35" t="s">
        <v>413</v>
      </c>
      <c r="FB86" s="35" t="s">
        <v>413</v>
      </c>
      <c r="FC86" s="35" t="s">
        <v>413</v>
      </c>
      <c r="FD86" s="35" t="s">
        <v>413</v>
      </c>
      <c r="FE86" s="35" t="s">
        <v>413</v>
      </c>
      <c r="FF86" s="35" t="s">
        <v>413</v>
      </c>
      <c r="FG86" s="35" t="s">
        <v>413</v>
      </c>
      <c r="FH86" s="35" t="s">
        <v>413</v>
      </c>
      <c r="FI86" s="35" t="s">
        <v>413</v>
      </c>
      <c r="FJ86" s="35" t="s">
        <v>413</v>
      </c>
      <c r="FK86" s="35" t="s">
        <v>413</v>
      </c>
      <c r="FL86" s="35" t="s">
        <v>413</v>
      </c>
      <c r="FM86" s="35" t="s">
        <v>413</v>
      </c>
      <c r="FN86" s="35" t="s">
        <v>413</v>
      </c>
      <c r="FO86" s="35" t="s">
        <v>413</v>
      </c>
      <c r="FP86" s="35" t="s">
        <v>417</v>
      </c>
      <c r="FQ86" s="35" t="s">
        <v>418</v>
      </c>
      <c r="FR86" s="35" t="s">
        <v>531</v>
      </c>
      <c r="FS86" s="35" t="s">
        <v>10993</v>
      </c>
      <c r="FT86" s="35" t="s">
        <v>420</v>
      </c>
      <c r="FU86" s="35" t="s">
        <v>488</v>
      </c>
      <c r="FV86" s="35" t="s">
        <v>533</v>
      </c>
      <c r="FW86" s="35" t="s">
        <v>490</v>
      </c>
      <c r="FX86" s="35" t="s">
        <v>491</v>
      </c>
      <c r="FY86" s="35" t="s">
        <v>534</v>
      </c>
      <c r="FZ86" s="35" t="s">
        <v>535</v>
      </c>
      <c r="GA86" s="35" t="s">
        <v>536</v>
      </c>
      <c r="GB86" s="35" t="s">
        <v>10994</v>
      </c>
      <c r="GC86" s="35" t="s">
        <v>455</v>
      </c>
      <c r="GD86" s="35" t="s">
        <v>10995</v>
      </c>
    </row>
    <row r="87">
      <c r="A87" s="40"/>
      <c r="B87" s="40">
        <v>45825.25907047454</v>
      </c>
      <c r="C87" s="35" t="s">
        <v>368</v>
      </c>
      <c r="D87" s="35" t="s">
        <v>634</v>
      </c>
      <c r="E87" s="35" t="s">
        <v>635</v>
      </c>
      <c r="H87" s="35" t="s">
        <v>636</v>
      </c>
      <c r="I87" s="35" t="s">
        <v>637</v>
      </c>
      <c r="J87" s="35" t="s">
        <v>638</v>
      </c>
      <c r="K87" s="35" t="s">
        <v>590</v>
      </c>
      <c r="L87" s="35" t="s">
        <v>376</v>
      </c>
      <c r="M87" s="35" t="s">
        <v>591</v>
      </c>
      <c r="N87" s="35" t="s">
        <v>639</v>
      </c>
      <c r="O87" s="35" t="s">
        <v>591</v>
      </c>
      <c r="P87" s="35" t="s">
        <v>640</v>
      </c>
      <c r="Q87" s="35" t="s">
        <v>498</v>
      </c>
      <c r="R87" s="35" t="s">
        <v>382</v>
      </c>
      <c r="S87" s="35" t="s">
        <v>641</v>
      </c>
      <c r="T87" s="35" t="s">
        <v>384</v>
      </c>
      <c r="U87" s="35" t="s">
        <v>385</v>
      </c>
      <c r="X87" s="35" t="s">
        <v>593</v>
      </c>
      <c r="Y87" s="35" t="s">
        <v>642</v>
      </c>
      <c r="AM87" s="35" t="s">
        <v>643</v>
      </c>
      <c r="AN87" s="35" t="s">
        <v>644</v>
      </c>
      <c r="AO87" s="35" t="s">
        <v>455</v>
      </c>
      <c r="AP87" s="35" t="s">
        <v>645</v>
      </c>
      <c r="AQ87" s="35" t="s">
        <v>646</v>
      </c>
      <c r="AR87" s="41">
        <v>5.0</v>
      </c>
      <c r="AS87" s="35" t="s">
        <v>647</v>
      </c>
      <c r="AV87" s="35" t="s">
        <v>10996</v>
      </c>
      <c r="AW87" s="35" t="s">
        <v>504</v>
      </c>
      <c r="AX87" s="41">
        <v>2.0</v>
      </c>
      <c r="AY87" s="41">
        <v>2.0</v>
      </c>
      <c r="AZ87" s="35" t="s">
        <v>429</v>
      </c>
      <c r="BA87" s="35" t="s">
        <v>429</v>
      </c>
      <c r="BB87" s="41">
        <v>2.0</v>
      </c>
      <c r="BC87" s="41">
        <v>2.0</v>
      </c>
      <c r="BD87" s="35" t="s">
        <v>649</v>
      </c>
      <c r="BE87" s="35" t="s">
        <v>650</v>
      </c>
      <c r="BF87" s="35" t="s">
        <v>432</v>
      </c>
      <c r="BG87" s="35" t="s">
        <v>433</v>
      </c>
      <c r="BH87" s="35" t="s">
        <v>434</v>
      </c>
      <c r="BI87" s="35" t="s">
        <v>651</v>
      </c>
      <c r="BJ87" s="35" t="s">
        <v>509</v>
      </c>
      <c r="BK87" s="35" t="s">
        <v>652</v>
      </c>
      <c r="BL87" s="35" t="s">
        <v>395</v>
      </c>
      <c r="BM87" s="35" t="s">
        <v>438</v>
      </c>
      <c r="BN87" s="35" t="s">
        <v>439</v>
      </c>
      <c r="BO87" s="35" t="s">
        <v>513</v>
      </c>
      <c r="CM87" s="35" t="s">
        <v>550</v>
      </c>
      <c r="CN87" s="35" t="s">
        <v>442</v>
      </c>
      <c r="CO87" s="35" t="s">
        <v>10997</v>
      </c>
      <c r="CP87" s="35" t="s">
        <v>654</v>
      </c>
      <c r="CQ87" s="35" t="s">
        <v>445</v>
      </c>
      <c r="CR87" s="35" t="s">
        <v>655</v>
      </c>
      <c r="CS87" s="35" t="s">
        <v>447</v>
      </c>
      <c r="CT87" s="35" t="s">
        <v>656</v>
      </c>
      <c r="CU87" s="35" t="s">
        <v>657</v>
      </c>
      <c r="CV87" s="35" t="s">
        <v>450</v>
      </c>
      <c r="CW87" s="35" t="s">
        <v>451</v>
      </c>
      <c r="CX87" s="35" t="s">
        <v>658</v>
      </c>
      <c r="CY87" s="35" t="s">
        <v>408</v>
      </c>
      <c r="CZ87" s="35" t="s">
        <v>659</v>
      </c>
      <c r="DA87" s="35" t="s">
        <v>453</v>
      </c>
      <c r="DB87" s="35" t="s">
        <v>660</v>
      </c>
      <c r="DC87" s="35" t="s">
        <v>455</v>
      </c>
      <c r="DD87" s="35" t="s">
        <v>661</v>
      </c>
      <c r="DE87" s="35" t="s">
        <v>662</v>
      </c>
      <c r="DF87" s="35" t="s">
        <v>407</v>
      </c>
      <c r="DH87" s="35" t="s">
        <v>524</v>
      </c>
      <c r="DI87" s="35" t="s">
        <v>410</v>
      </c>
      <c r="DJ87" s="35" t="s">
        <v>459</v>
      </c>
      <c r="DK87" s="35" t="s">
        <v>613</v>
      </c>
      <c r="EU87" s="35" t="s">
        <v>526</v>
      </c>
      <c r="EV87" s="35" t="s">
        <v>479</v>
      </c>
      <c r="EW87" s="35" t="s">
        <v>663</v>
      </c>
      <c r="EY87" s="35" t="s">
        <v>664</v>
      </c>
      <c r="EZ87" s="35" t="s">
        <v>665</v>
      </c>
      <c r="FA87" s="35" t="s">
        <v>414</v>
      </c>
      <c r="FB87" s="35" t="s">
        <v>583</v>
      </c>
      <c r="FC87" s="35" t="s">
        <v>413</v>
      </c>
      <c r="FD87" s="35" t="s">
        <v>414</v>
      </c>
      <c r="FE87" s="35" t="s">
        <v>413</v>
      </c>
      <c r="FF87" s="35" t="s">
        <v>414</v>
      </c>
      <c r="FG87" s="35" t="s">
        <v>414</v>
      </c>
      <c r="FH87" s="35" t="s">
        <v>413</v>
      </c>
      <c r="FI87" s="35" t="s">
        <v>583</v>
      </c>
      <c r="FJ87" s="35" t="s">
        <v>583</v>
      </c>
      <c r="FK87" s="35" t="s">
        <v>414</v>
      </c>
      <c r="FL87" s="35" t="s">
        <v>413</v>
      </c>
      <c r="FM87" s="35" t="s">
        <v>413</v>
      </c>
      <c r="FN87" s="35" t="s">
        <v>413</v>
      </c>
      <c r="FO87" s="35" t="s">
        <v>583</v>
      </c>
      <c r="FP87" s="35" t="s">
        <v>417</v>
      </c>
      <c r="FQ87" s="35" t="s">
        <v>418</v>
      </c>
      <c r="FR87" s="35" t="s">
        <v>419</v>
      </c>
      <c r="FT87" s="35" t="s">
        <v>420</v>
      </c>
      <c r="FU87" s="35" t="s">
        <v>488</v>
      </c>
      <c r="FV87" s="35" t="s">
        <v>533</v>
      </c>
      <c r="FW87" s="35" t="s">
        <v>490</v>
      </c>
      <c r="FX87" s="35" t="s">
        <v>491</v>
      </c>
      <c r="FY87" s="35" t="s">
        <v>666</v>
      </c>
      <c r="FZ87" s="35" t="s">
        <v>493</v>
      </c>
      <c r="GC87" s="35" t="s">
        <v>455</v>
      </c>
      <c r="GD87" s="35" t="s">
        <v>10998</v>
      </c>
    </row>
    <row r="88">
      <c r="A88" s="40"/>
      <c r="B88" s="40">
        <v>45826.85345576389</v>
      </c>
      <c r="C88" s="35" t="s">
        <v>368</v>
      </c>
      <c r="D88" s="35" t="s">
        <v>370</v>
      </c>
      <c r="F88" s="35" t="s">
        <v>757</v>
      </c>
      <c r="H88" s="35" t="s">
        <v>422</v>
      </c>
      <c r="I88" s="35" t="s">
        <v>637</v>
      </c>
      <c r="J88" s="35" t="s">
        <v>638</v>
      </c>
      <c r="K88" s="35" t="s">
        <v>758</v>
      </c>
      <c r="L88" s="35" t="s">
        <v>376</v>
      </c>
      <c r="M88" s="35" t="s">
        <v>591</v>
      </c>
      <c r="N88" s="35" t="s">
        <v>720</v>
      </c>
      <c r="O88" s="35" t="s">
        <v>379</v>
      </c>
      <c r="P88" s="35" t="s">
        <v>497</v>
      </c>
      <c r="Q88" s="35" t="s">
        <v>498</v>
      </c>
      <c r="R88" s="35" t="s">
        <v>759</v>
      </c>
      <c r="S88" s="35" t="s">
        <v>427</v>
      </c>
      <c r="T88" s="35" t="s">
        <v>384</v>
      </c>
      <c r="U88" s="35" t="s">
        <v>385</v>
      </c>
      <c r="X88" s="35" t="s">
        <v>760</v>
      </c>
      <c r="Y88" s="35" t="s">
        <v>387</v>
      </c>
      <c r="Z88" s="35" t="s">
        <v>761</v>
      </c>
      <c r="AA88" s="35" t="s">
        <v>502</v>
      </c>
      <c r="AC88" s="35" t="s">
        <v>10999</v>
      </c>
      <c r="AW88" s="35" t="s">
        <v>504</v>
      </c>
      <c r="AX88" s="35" t="s">
        <v>429</v>
      </c>
      <c r="AY88" s="35" t="s">
        <v>429</v>
      </c>
      <c r="AZ88" s="35" t="s">
        <v>429</v>
      </c>
      <c r="BA88" s="35" t="s">
        <v>429</v>
      </c>
      <c r="BB88" s="35" t="s">
        <v>429</v>
      </c>
      <c r="BC88" s="35" t="s">
        <v>429</v>
      </c>
      <c r="BD88" s="35" t="s">
        <v>11000</v>
      </c>
      <c r="BE88" s="35" t="s">
        <v>11001</v>
      </c>
      <c r="BF88" s="35" t="s">
        <v>392</v>
      </c>
      <c r="BG88" s="35" t="s">
        <v>433</v>
      </c>
      <c r="BH88" s="35" t="s">
        <v>765</v>
      </c>
      <c r="BJ88" s="35" t="s">
        <v>509</v>
      </c>
      <c r="BK88" s="35" t="s">
        <v>11002</v>
      </c>
      <c r="BL88" s="35" t="s">
        <v>395</v>
      </c>
      <c r="BM88" s="35" t="s">
        <v>512</v>
      </c>
      <c r="BN88" s="35" t="s">
        <v>439</v>
      </c>
      <c r="BO88" s="35" t="s">
        <v>513</v>
      </c>
      <c r="CM88" s="35" t="s">
        <v>441</v>
      </c>
      <c r="CN88" s="35" t="s">
        <v>442</v>
      </c>
      <c r="CO88" s="35" t="s">
        <v>11003</v>
      </c>
      <c r="CP88" s="35" t="s">
        <v>11004</v>
      </c>
      <c r="CQ88" s="35" t="s">
        <v>403</v>
      </c>
      <c r="CR88" s="35" t="s">
        <v>769</v>
      </c>
      <c r="CS88" s="35" t="s">
        <v>447</v>
      </c>
      <c r="CT88" s="35" t="s">
        <v>770</v>
      </c>
      <c r="CU88" s="35" t="s">
        <v>11005</v>
      </c>
      <c r="CV88" s="35" t="s">
        <v>519</v>
      </c>
      <c r="CW88" s="35" t="s">
        <v>451</v>
      </c>
      <c r="CX88" s="35" t="s">
        <v>772</v>
      </c>
      <c r="CY88" s="35" t="s">
        <v>408</v>
      </c>
      <c r="DA88" s="35" t="s">
        <v>453</v>
      </c>
      <c r="DB88" s="35" t="s">
        <v>11006</v>
      </c>
      <c r="DC88" s="35" t="s">
        <v>455</v>
      </c>
      <c r="DD88" s="35" t="s">
        <v>11007</v>
      </c>
      <c r="DE88" s="35" t="s">
        <v>457</v>
      </c>
      <c r="DG88" s="35" t="s">
        <v>775</v>
      </c>
      <c r="DH88" s="35" t="s">
        <v>776</v>
      </c>
      <c r="DI88" s="35" t="s">
        <v>410</v>
      </c>
      <c r="DJ88" s="35" t="s">
        <v>777</v>
      </c>
      <c r="DK88" s="35" t="s">
        <v>460</v>
      </c>
      <c r="DL88" s="35" t="s">
        <v>461</v>
      </c>
      <c r="EU88" s="35" t="s">
        <v>526</v>
      </c>
      <c r="EV88" s="35" t="s">
        <v>479</v>
      </c>
      <c r="EW88" s="35" t="s">
        <v>778</v>
      </c>
      <c r="EX88" s="35" t="s">
        <v>11008</v>
      </c>
      <c r="EY88" s="35" t="s">
        <v>11009</v>
      </c>
      <c r="EZ88" s="35" t="s">
        <v>781</v>
      </c>
      <c r="FA88" s="35" t="s">
        <v>413</v>
      </c>
      <c r="FB88" s="35" t="s">
        <v>413</v>
      </c>
      <c r="FC88" s="35" t="s">
        <v>413</v>
      </c>
      <c r="FD88" s="35" t="s">
        <v>413</v>
      </c>
      <c r="FE88" s="35" t="s">
        <v>413</v>
      </c>
      <c r="FF88" s="35" t="s">
        <v>413</v>
      </c>
      <c r="FG88" s="35" t="s">
        <v>413</v>
      </c>
      <c r="FH88" s="35" t="s">
        <v>413</v>
      </c>
      <c r="FI88" s="35" t="s">
        <v>413</v>
      </c>
      <c r="FJ88" s="35" t="s">
        <v>413</v>
      </c>
      <c r="FK88" s="35" t="s">
        <v>413</v>
      </c>
      <c r="FL88" s="35" t="s">
        <v>413</v>
      </c>
      <c r="FM88" s="35" t="s">
        <v>413</v>
      </c>
      <c r="FN88" s="35" t="s">
        <v>484</v>
      </c>
      <c r="FO88" s="35" t="s">
        <v>484</v>
      </c>
      <c r="FP88" s="35" t="s">
        <v>417</v>
      </c>
      <c r="FQ88" s="35" t="s">
        <v>418</v>
      </c>
      <c r="FR88" s="35" t="s">
        <v>749</v>
      </c>
      <c r="FS88" s="35" t="s">
        <v>782</v>
      </c>
      <c r="FT88" s="35" t="s">
        <v>420</v>
      </c>
      <c r="FU88" s="35" t="s">
        <v>488</v>
      </c>
      <c r="FV88" s="35" t="s">
        <v>533</v>
      </c>
      <c r="FW88" s="35" t="s">
        <v>490</v>
      </c>
      <c r="FX88" s="35" t="s">
        <v>491</v>
      </c>
      <c r="FY88" s="35" t="s">
        <v>11010</v>
      </c>
      <c r="FZ88" s="35" t="s">
        <v>535</v>
      </c>
      <c r="GA88" s="35" t="s">
        <v>11011</v>
      </c>
      <c r="GB88" s="35" t="s">
        <v>11012</v>
      </c>
      <c r="GC88" s="35" t="s">
        <v>455</v>
      </c>
      <c r="GD88" s="35" t="s">
        <v>11013</v>
      </c>
      <c r="GE88" s="41">
        <v>9.413341872E9</v>
      </c>
      <c r="GF88" s="35" t="s">
        <v>786</v>
      </c>
      <c r="GG88" s="35" t="s">
        <v>11014</v>
      </c>
      <c r="GH88" s="35" t="s">
        <v>788</v>
      </c>
      <c r="GI88" s="35" t="s">
        <v>789</v>
      </c>
      <c r="GJ88" s="35" t="s">
        <v>790</v>
      </c>
    </row>
    <row r="89">
      <c r="A89" s="40"/>
      <c r="B89" s="40">
        <v>45826.85406060185</v>
      </c>
      <c r="C89" s="35" t="s">
        <v>368</v>
      </c>
      <c r="D89" s="35" t="s">
        <v>370</v>
      </c>
      <c r="F89" s="35" t="s">
        <v>791</v>
      </c>
      <c r="H89" s="35" t="s">
        <v>792</v>
      </c>
      <c r="I89" s="35" t="s">
        <v>637</v>
      </c>
      <c r="J89" s="35" t="s">
        <v>638</v>
      </c>
      <c r="K89" s="35" t="s">
        <v>375</v>
      </c>
      <c r="L89" s="35" t="s">
        <v>376</v>
      </c>
      <c r="M89" s="35" t="s">
        <v>793</v>
      </c>
      <c r="N89" s="35" t="s">
        <v>639</v>
      </c>
      <c r="O89" s="35" t="s">
        <v>591</v>
      </c>
      <c r="P89" s="35" t="s">
        <v>794</v>
      </c>
      <c r="Q89" s="35" t="s">
        <v>381</v>
      </c>
      <c r="R89" s="35" t="s">
        <v>382</v>
      </c>
      <c r="S89" s="35" t="s">
        <v>795</v>
      </c>
      <c r="T89" s="35" t="s">
        <v>384</v>
      </c>
      <c r="U89" s="35" t="s">
        <v>385</v>
      </c>
      <c r="X89" s="35" t="s">
        <v>593</v>
      </c>
      <c r="Y89" s="35" t="s">
        <v>387</v>
      </c>
      <c r="Z89" s="35" t="s">
        <v>388</v>
      </c>
      <c r="AA89" s="35" t="s">
        <v>543</v>
      </c>
      <c r="AB89" s="35" t="s">
        <v>796</v>
      </c>
      <c r="AC89" s="35" t="s">
        <v>796</v>
      </c>
      <c r="AW89" s="35" t="s">
        <v>390</v>
      </c>
      <c r="AX89" s="41">
        <v>2.0</v>
      </c>
      <c r="AY89" s="35" t="s">
        <v>429</v>
      </c>
      <c r="AZ89" s="41">
        <v>2.0</v>
      </c>
      <c r="BA89" s="35" t="s">
        <v>429</v>
      </c>
      <c r="BB89" s="35" t="s">
        <v>429</v>
      </c>
      <c r="BC89" s="41">
        <v>2.0</v>
      </c>
      <c r="BD89" s="35" t="s">
        <v>797</v>
      </c>
      <c r="BE89" s="35" t="s">
        <v>798</v>
      </c>
      <c r="BF89" s="35" t="s">
        <v>392</v>
      </c>
      <c r="BG89" s="35" t="s">
        <v>433</v>
      </c>
      <c r="BH89" s="35" t="s">
        <v>678</v>
      </c>
      <c r="BI89" s="35" t="s">
        <v>799</v>
      </c>
      <c r="BJ89" s="35" t="s">
        <v>509</v>
      </c>
      <c r="BK89" s="35" t="s">
        <v>800</v>
      </c>
      <c r="BL89" s="35" t="s">
        <v>437</v>
      </c>
      <c r="BM89" s="35" t="s">
        <v>603</v>
      </c>
      <c r="BN89" s="35" t="s">
        <v>549</v>
      </c>
      <c r="BO89" s="35" t="s">
        <v>513</v>
      </c>
      <c r="CN89" s="35" t="s">
        <v>442</v>
      </c>
      <c r="CO89" s="35" t="s">
        <v>801</v>
      </c>
      <c r="CP89" s="35" t="s">
        <v>802</v>
      </c>
      <c r="CQ89" s="35" t="s">
        <v>685</v>
      </c>
      <c r="CR89" s="35" t="s">
        <v>803</v>
      </c>
      <c r="CS89" s="35" t="s">
        <v>804</v>
      </c>
      <c r="CT89" s="35" t="s">
        <v>805</v>
      </c>
      <c r="CU89" s="35" t="s">
        <v>806</v>
      </c>
      <c r="CV89" s="35" t="s">
        <v>450</v>
      </c>
      <c r="CW89" s="35" t="s">
        <v>451</v>
      </c>
      <c r="CX89" s="35" t="s">
        <v>807</v>
      </c>
      <c r="CY89" s="35" t="s">
        <v>408</v>
      </c>
      <c r="DA89" s="35" t="s">
        <v>453</v>
      </c>
      <c r="DB89" s="35" t="s">
        <v>808</v>
      </c>
      <c r="DC89" s="35" t="s">
        <v>455</v>
      </c>
      <c r="DD89" s="35" t="s">
        <v>809</v>
      </c>
      <c r="DE89" s="35" t="s">
        <v>457</v>
      </c>
      <c r="DG89" s="35" t="s">
        <v>810</v>
      </c>
      <c r="DH89" s="35" t="s">
        <v>524</v>
      </c>
      <c r="DI89" s="35" t="s">
        <v>410</v>
      </c>
      <c r="DJ89" s="35" t="s">
        <v>459</v>
      </c>
      <c r="DK89" s="35" t="s">
        <v>613</v>
      </c>
      <c r="EU89" s="35" t="s">
        <v>478</v>
      </c>
      <c r="EV89" s="35" t="s">
        <v>479</v>
      </c>
      <c r="EW89" s="35" t="s">
        <v>480</v>
      </c>
      <c r="EX89" s="35" t="s">
        <v>811</v>
      </c>
      <c r="EY89" s="35" t="s">
        <v>812</v>
      </c>
      <c r="EZ89" s="35" t="s">
        <v>813</v>
      </c>
      <c r="FA89" s="35" t="s">
        <v>583</v>
      </c>
      <c r="FB89" s="35" t="s">
        <v>583</v>
      </c>
      <c r="FC89" s="35" t="s">
        <v>484</v>
      </c>
      <c r="FD89" s="35" t="s">
        <v>583</v>
      </c>
      <c r="FE89" s="35" t="s">
        <v>413</v>
      </c>
      <c r="FF89" s="35" t="s">
        <v>583</v>
      </c>
      <c r="FG89" s="35" t="s">
        <v>484</v>
      </c>
      <c r="FH89" s="35" t="s">
        <v>413</v>
      </c>
      <c r="FI89" s="35" t="s">
        <v>583</v>
      </c>
      <c r="FJ89" s="35" t="s">
        <v>583</v>
      </c>
      <c r="FK89" s="35" t="s">
        <v>583</v>
      </c>
      <c r="FL89" s="35" t="s">
        <v>413</v>
      </c>
      <c r="FM89" s="35" t="s">
        <v>583</v>
      </c>
      <c r="FN89" s="35" t="s">
        <v>413</v>
      </c>
      <c r="FO89" s="35" t="s">
        <v>583</v>
      </c>
      <c r="FP89" s="35" t="s">
        <v>417</v>
      </c>
      <c r="FQ89" s="35" t="s">
        <v>486</v>
      </c>
      <c r="FR89" s="35" t="s">
        <v>531</v>
      </c>
      <c r="FT89" s="35" t="s">
        <v>420</v>
      </c>
      <c r="FU89" s="35" t="s">
        <v>488</v>
      </c>
      <c r="FV89" s="35" t="s">
        <v>533</v>
      </c>
      <c r="FW89" s="35" t="s">
        <v>490</v>
      </c>
      <c r="FX89" s="35" t="s">
        <v>491</v>
      </c>
      <c r="FY89" s="35" t="s">
        <v>814</v>
      </c>
      <c r="FZ89" s="35" t="s">
        <v>535</v>
      </c>
      <c r="GB89" s="35" t="s">
        <v>11015</v>
      </c>
      <c r="GC89" s="35" t="s">
        <v>455</v>
      </c>
      <c r="GD89" s="35" t="s">
        <v>11016</v>
      </c>
      <c r="GF89" s="35" t="s">
        <v>753</v>
      </c>
      <c r="GG89" s="35" t="s">
        <v>816</v>
      </c>
      <c r="GH89" s="35" t="s">
        <v>755</v>
      </c>
      <c r="GI89" s="35" t="s">
        <v>755</v>
      </c>
      <c r="GJ89" s="35" t="s">
        <v>817</v>
      </c>
    </row>
    <row r="90">
      <c r="A90" s="40"/>
      <c r="B90" s="40">
        <v>45826.90960921296</v>
      </c>
      <c r="C90" s="35" t="s">
        <v>368</v>
      </c>
      <c r="D90" s="35" t="s">
        <v>894</v>
      </c>
      <c r="E90" s="35" t="s">
        <v>894</v>
      </c>
      <c r="H90" s="35" t="s">
        <v>422</v>
      </c>
      <c r="I90" s="35" t="s">
        <v>373</v>
      </c>
      <c r="J90" s="35" t="s">
        <v>374</v>
      </c>
      <c r="K90" s="35" t="s">
        <v>375</v>
      </c>
      <c r="L90" s="35" t="s">
        <v>376</v>
      </c>
      <c r="M90" s="35" t="s">
        <v>379</v>
      </c>
      <c r="N90" s="35" t="s">
        <v>378</v>
      </c>
      <c r="O90" s="35" t="s">
        <v>591</v>
      </c>
      <c r="P90" s="35" t="s">
        <v>895</v>
      </c>
      <c r="Q90" s="35" t="s">
        <v>498</v>
      </c>
      <c r="R90" s="35" t="s">
        <v>862</v>
      </c>
      <c r="S90" s="35" t="s">
        <v>427</v>
      </c>
      <c r="T90" s="35" t="s">
        <v>384</v>
      </c>
      <c r="U90" s="35" t="s">
        <v>385</v>
      </c>
      <c r="V90" s="35" t="s">
        <v>896</v>
      </c>
      <c r="W90" s="35" t="s">
        <v>896</v>
      </c>
      <c r="X90" s="35" t="s">
        <v>386</v>
      </c>
      <c r="Y90" s="35" t="s">
        <v>387</v>
      </c>
      <c r="Z90" s="35" t="s">
        <v>897</v>
      </c>
      <c r="AA90" s="35" t="s">
        <v>389</v>
      </c>
      <c r="AB90" s="35" t="s">
        <v>898</v>
      </c>
      <c r="AC90" s="35" t="s">
        <v>899</v>
      </c>
      <c r="AW90" s="35" t="s">
        <v>390</v>
      </c>
      <c r="AX90" s="35" t="s">
        <v>391</v>
      </c>
      <c r="AY90" s="35" t="s">
        <v>391</v>
      </c>
      <c r="AZ90" s="35" t="s">
        <v>675</v>
      </c>
      <c r="BA90" s="35" t="s">
        <v>675</v>
      </c>
      <c r="BB90" s="35" t="s">
        <v>675</v>
      </c>
      <c r="BC90" s="35" t="s">
        <v>675</v>
      </c>
      <c r="BD90" s="35" t="s">
        <v>900</v>
      </c>
      <c r="BE90" s="35" t="s">
        <v>901</v>
      </c>
      <c r="BF90" s="35" t="s">
        <v>902</v>
      </c>
      <c r="BG90" s="35" t="s">
        <v>433</v>
      </c>
      <c r="BH90" s="35" t="s">
        <v>725</v>
      </c>
      <c r="BI90" s="35" t="s">
        <v>903</v>
      </c>
      <c r="BJ90" s="35" t="s">
        <v>435</v>
      </c>
      <c r="BL90" s="35" t="s">
        <v>602</v>
      </c>
      <c r="BM90" s="35" t="s">
        <v>904</v>
      </c>
      <c r="BN90" s="35" t="s">
        <v>549</v>
      </c>
      <c r="BO90" s="35" t="s">
        <v>513</v>
      </c>
      <c r="CM90" s="35" t="s">
        <v>441</v>
      </c>
      <c r="CN90" s="35" t="s">
        <v>905</v>
      </c>
      <c r="CO90" s="35" t="s">
        <v>906</v>
      </c>
      <c r="CP90" s="35" t="s">
        <v>907</v>
      </c>
      <c r="CQ90" s="35" t="s">
        <v>685</v>
      </c>
      <c r="CR90" s="35" t="s">
        <v>908</v>
      </c>
      <c r="CS90" s="35" t="s">
        <v>555</v>
      </c>
      <c r="CT90" s="35" t="s">
        <v>909</v>
      </c>
      <c r="CU90" s="35" t="s">
        <v>910</v>
      </c>
      <c r="CV90" s="35" t="s">
        <v>450</v>
      </c>
      <c r="CW90" s="35" t="s">
        <v>451</v>
      </c>
      <c r="CX90" s="35" t="s">
        <v>911</v>
      </c>
      <c r="CY90" s="35" t="s">
        <v>733</v>
      </c>
      <c r="DA90" s="35" t="s">
        <v>453</v>
      </c>
      <c r="DB90" s="35" t="s">
        <v>912</v>
      </c>
      <c r="DC90" s="35" t="s">
        <v>913</v>
      </c>
      <c r="DE90" s="35" t="s">
        <v>457</v>
      </c>
      <c r="DG90" s="35" t="s">
        <v>914</v>
      </c>
      <c r="DH90" s="35" t="s">
        <v>524</v>
      </c>
      <c r="DI90" s="35" t="s">
        <v>410</v>
      </c>
      <c r="DJ90" s="35" t="s">
        <v>459</v>
      </c>
      <c r="DK90" s="35" t="s">
        <v>460</v>
      </c>
      <c r="DL90" s="35" t="s">
        <v>461</v>
      </c>
      <c r="EU90" s="35" t="s">
        <v>526</v>
      </c>
      <c r="EV90" s="35" t="s">
        <v>579</v>
      </c>
      <c r="EW90" s="35" t="s">
        <v>527</v>
      </c>
      <c r="EX90" s="35" t="s">
        <v>915</v>
      </c>
      <c r="EY90" s="35" t="s">
        <v>916</v>
      </c>
      <c r="EZ90" s="35" t="s">
        <v>917</v>
      </c>
      <c r="FA90" s="35" t="s">
        <v>415</v>
      </c>
      <c r="FB90" s="35" t="s">
        <v>415</v>
      </c>
      <c r="FC90" s="35" t="s">
        <v>413</v>
      </c>
      <c r="FD90" s="35" t="s">
        <v>416</v>
      </c>
      <c r="FE90" s="35" t="s">
        <v>413</v>
      </c>
      <c r="FF90" s="35" t="s">
        <v>414</v>
      </c>
      <c r="FG90" s="35" t="s">
        <v>413</v>
      </c>
      <c r="FH90" s="35" t="s">
        <v>413</v>
      </c>
      <c r="FI90" s="35" t="s">
        <v>414</v>
      </c>
      <c r="FJ90" s="35" t="s">
        <v>413</v>
      </c>
      <c r="FK90" s="35" t="s">
        <v>415</v>
      </c>
      <c r="FL90" s="35" t="s">
        <v>415</v>
      </c>
      <c r="FM90" s="35" t="s">
        <v>413</v>
      </c>
      <c r="FN90" s="35" t="s">
        <v>413</v>
      </c>
      <c r="FO90" s="35" t="s">
        <v>583</v>
      </c>
      <c r="FP90" s="35" t="s">
        <v>417</v>
      </c>
      <c r="FQ90" s="35" t="s">
        <v>418</v>
      </c>
      <c r="FR90" s="35" t="s">
        <v>712</v>
      </c>
      <c r="FT90" s="35" t="s">
        <v>420</v>
      </c>
      <c r="FU90" s="35" t="s">
        <v>488</v>
      </c>
      <c r="FV90" s="35" t="s">
        <v>918</v>
      </c>
      <c r="FW90" s="35" t="s">
        <v>490</v>
      </c>
      <c r="FX90" s="35" t="s">
        <v>491</v>
      </c>
      <c r="FY90" s="35" t="s">
        <v>919</v>
      </c>
      <c r="FZ90" s="35" t="s">
        <v>535</v>
      </c>
      <c r="GC90" s="35" t="s">
        <v>455</v>
      </c>
      <c r="GD90" s="35" t="s">
        <v>11017</v>
      </c>
      <c r="GF90" s="35" t="s">
        <v>855</v>
      </c>
      <c r="GH90" s="35" t="s">
        <v>920</v>
      </c>
      <c r="GI90" s="35" t="s">
        <v>920</v>
      </c>
      <c r="GJ90" s="35" t="s">
        <v>921</v>
      </c>
    </row>
    <row r="91">
      <c r="A91" s="40"/>
      <c r="B91" s="40">
        <v>45826.92376010417</v>
      </c>
      <c r="C91" s="35" t="s">
        <v>368</v>
      </c>
      <c r="D91" s="35" t="s">
        <v>370</v>
      </c>
      <c r="F91" s="35" t="s">
        <v>922</v>
      </c>
      <c r="H91" s="35" t="s">
        <v>422</v>
      </c>
      <c r="I91" s="35" t="s">
        <v>496</v>
      </c>
      <c r="J91" s="35" t="s">
        <v>374</v>
      </c>
      <c r="K91" s="35" t="s">
        <v>375</v>
      </c>
      <c r="L91" s="35" t="s">
        <v>376</v>
      </c>
      <c r="M91" s="35" t="s">
        <v>379</v>
      </c>
      <c r="N91" s="35" t="s">
        <v>378</v>
      </c>
      <c r="O91" s="35" t="s">
        <v>379</v>
      </c>
      <c r="P91" s="35" t="s">
        <v>497</v>
      </c>
      <c r="Q91" s="35" t="s">
        <v>498</v>
      </c>
      <c r="R91" s="35" t="s">
        <v>499</v>
      </c>
      <c r="S91" s="35" t="s">
        <v>427</v>
      </c>
      <c r="T91" s="35" t="s">
        <v>384</v>
      </c>
      <c r="U91" s="35" t="s">
        <v>385</v>
      </c>
      <c r="X91" s="35" t="s">
        <v>760</v>
      </c>
      <c r="Y91" s="35" t="s">
        <v>387</v>
      </c>
      <c r="Z91" s="35" t="s">
        <v>594</v>
      </c>
      <c r="AA91" s="35" t="s">
        <v>502</v>
      </c>
      <c r="AB91" s="35" t="s">
        <v>11018</v>
      </c>
      <c r="AC91" s="35" t="s">
        <v>11019</v>
      </c>
      <c r="AW91" s="35" t="s">
        <v>504</v>
      </c>
      <c r="AX91" s="35" t="s">
        <v>429</v>
      </c>
      <c r="AY91" s="35" t="s">
        <v>429</v>
      </c>
      <c r="AZ91" s="35" t="s">
        <v>429</v>
      </c>
      <c r="BA91" s="35" t="s">
        <v>429</v>
      </c>
      <c r="BB91" s="35" t="s">
        <v>429</v>
      </c>
      <c r="BC91" s="35" t="s">
        <v>429</v>
      </c>
      <c r="BD91" s="35" t="s">
        <v>11020</v>
      </c>
      <c r="BE91" s="35" t="s">
        <v>11021</v>
      </c>
      <c r="BF91" s="35" t="s">
        <v>392</v>
      </c>
      <c r="BG91" s="35" t="s">
        <v>433</v>
      </c>
      <c r="BH91" s="35" t="s">
        <v>434</v>
      </c>
      <c r="BI91" s="35" t="s">
        <v>927</v>
      </c>
      <c r="BJ91" s="35" t="s">
        <v>509</v>
      </c>
      <c r="BK91" s="35" t="s">
        <v>11022</v>
      </c>
      <c r="BL91" s="35" t="s">
        <v>437</v>
      </c>
      <c r="BM91" s="35" t="s">
        <v>904</v>
      </c>
      <c r="BN91" s="35" t="s">
        <v>439</v>
      </c>
      <c r="BO91" s="35" t="s">
        <v>513</v>
      </c>
      <c r="CM91" s="35" t="s">
        <v>441</v>
      </c>
      <c r="CN91" s="35" t="s">
        <v>401</v>
      </c>
      <c r="CO91" s="35" t="s">
        <v>11023</v>
      </c>
      <c r="CP91" s="35" t="s">
        <v>11024</v>
      </c>
      <c r="CQ91" s="35" t="s">
        <v>445</v>
      </c>
      <c r="CR91" s="35" t="s">
        <v>931</v>
      </c>
      <c r="CS91" s="35" t="s">
        <v>447</v>
      </c>
      <c r="CT91" s="35" t="s">
        <v>448</v>
      </c>
      <c r="CU91" s="35" t="s">
        <v>11025</v>
      </c>
      <c r="CV91" s="35" t="s">
        <v>450</v>
      </c>
      <c r="CW91" s="35" t="s">
        <v>451</v>
      </c>
      <c r="CX91" s="35" t="s">
        <v>11026</v>
      </c>
      <c r="CY91" s="35" t="s">
        <v>408</v>
      </c>
      <c r="DA91" s="35" t="s">
        <v>453</v>
      </c>
      <c r="DB91" s="35" t="s">
        <v>11027</v>
      </c>
      <c r="DC91" s="35" t="s">
        <v>455</v>
      </c>
      <c r="DD91" s="35" t="s">
        <v>11028</v>
      </c>
      <c r="DE91" s="35" t="s">
        <v>406</v>
      </c>
      <c r="DF91" s="35" t="s">
        <v>407</v>
      </c>
      <c r="DG91" s="35" t="s">
        <v>11029</v>
      </c>
      <c r="DH91" s="35" t="s">
        <v>524</v>
      </c>
      <c r="DI91" s="35" t="s">
        <v>410</v>
      </c>
      <c r="DJ91" s="35" t="s">
        <v>459</v>
      </c>
      <c r="DK91" s="35" t="s">
        <v>613</v>
      </c>
      <c r="EU91" s="35" t="s">
        <v>478</v>
      </c>
      <c r="EV91" s="35" t="s">
        <v>479</v>
      </c>
      <c r="EW91" s="35" t="s">
        <v>527</v>
      </c>
      <c r="EX91" s="35" t="s">
        <v>937</v>
      </c>
      <c r="EY91" s="35" t="s">
        <v>11030</v>
      </c>
      <c r="EZ91" s="35" t="s">
        <v>11031</v>
      </c>
      <c r="FA91" s="35" t="s">
        <v>413</v>
      </c>
      <c r="FB91" s="35" t="s">
        <v>413</v>
      </c>
      <c r="FC91" s="35" t="s">
        <v>413</v>
      </c>
      <c r="FD91" s="35" t="s">
        <v>413</v>
      </c>
      <c r="FE91" s="35" t="s">
        <v>413</v>
      </c>
      <c r="FF91" s="35" t="s">
        <v>413</v>
      </c>
      <c r="FG91" s="35" t="s">
        <v>413</v>
      </c>
      <c r="FH91" s="35" t="s">
        <v>413</v>
      </c>
      <c r="FI91" s="35" t="s">
        <v>413</v>
      </c>
      <c r="FJ91" s="35" t="s">
        <v>484</v>
      </c>
      <c r="FK91" s="35" t="s">
        <v>413</v>
      </c>
      <c r="FL91" s="35" t="s">
        <v>413</v>
      </c>
      <c r="FM91" s="35" t="s">
        <v>413</v>
      </c>
      <c r="FN91" s="35" t="s">
        <v>413</v>
      </c>
      <c r="FO91" s="35" t="s">
        <v>484</v>
      </c>
      <c r="FP91" s="35" t="s">
        <v>485</v>
      </c>
      <c r="FQ91" s="35" t="s">
        <v>418</v>
      </c>
      <c r="FR91" s="35" t="s">
        <v>419</v>
      </c>
      <c r="FS91" s="35" t="s">
        <v>940</v>
      </c>
      <c r="FT91" s="35" t="s">
        <v>420</v>
      </c>
      <c r="FU91" s="35" t="s">
        <v>488</v>
      </c>
      <c r="FV91" s="35" t="s">
        <v>489</v>
      </c>
      <c r="FW91" s="35" t="s">
        <v>490</v>
      </c>
      <c r="FX91" s="35" t="s">
        <v>491</v>
      </c>
      <c r="FY91" s="35" t="s">
        <v>11032</v>
      </c>
      <c r="FZ91" s="35" t="s">
        <v>535</v>
      </c>
      <c r="GA91" s="35" t="s">
        <v>11033</v>
      </c>
      <c r="GB91" s="35" t="s">
        <v>11034</v>
      </c>
      <c r="GC91" s="35" t="s">
        <v>455</v>
      </c>
      <c r="GD91" s="35" t="s">
        <v>11035</v>
      </c>
      <c r="GE91" s="35" t="s">
        <v>11036</v>
      </c>
      <c r="GF91" s="35" t="s">
        <v>944</v>
      </c>
      <c r="GG91" s="35" t="s">
        <v>11037</v>
      </c>
      <c r="GH91" s="35" t="s">
        <v>857</v>
      </c>
      <c r="GI91" s="35" t="s">
        <v>857</v>
      </c>
      <c r="GJ91" s="35" t="s">
        <v>946</v>
      </c>
    </row>
    <row r="92">
      <c r="A92" s="40"/>
      <c r="B92" s="40">
        <v>45826.92420601852</v>
      </c>
      <c r="C92" s="35" t="s">
        <v>368</v>
      </c>
      <c r="D92" s="35" t="s">
        <v>947</v>
      </c>
      <c r="E92" s="35" t="s">
        <v>947</v>
      </c>
      <c r="H92" s="35" t="s">
        <v>422</v>
      </c>
      <c r="I92" s="35" t="s">
        <v>373</v>
      </c>
      <c r="J92" s="35" t="s">
        <v>374</v>
      </c>
      <c r="K92" s="35" t="s">
        <v>718</v>
      </c>
      <c r="L92" s="35" t="s">
        <v>376</v>
      </c>
      <c r="M92" s="35" t="s">
        <v>426</v>
      </c>
      <c r="N92" s="35" t="s">
        <v>948</v>
      </c>
      <c r="O92" s="35" t="s">
        <v>379</v>
      </c>
      <c r="P92" s="35" t="s">
        <v>719</v>
      </c>
      <c r="Q92" s="35" t="s">
        <v>498</v>
      </c>
      <c r="R92" s="35" t="s">
        <v>499</v>
      </c>
      <c r="S92" s="35" t="s">
        <v>949</v>
      </c>
      <c r="T92" s="35" t="s">
        <v>384</v>
      </c>
      <c r="U92" s="35" t="s">
        <v>385</v>
      </c>
      <c r="X92" s="35" t="s">
        <v>428</v>
      </c>
      <c r="AW92" s="35" t="s">
        <v>504</v>
      </c>
      <c r="AX92" s="41">
        <v>2.0</v>
      </c>
      <c r="AY92" s="41">
        <v>2.0</v>
      </c>
      <c r="AZ92" s="41">
        <v>2.0</v>
      </c>
      <c r="BA92" s="41">
        <v>2.0</v>
      </c>
      <c r="BB92" s="41">
        <v>2.0</v>
      </c>
      <c r="BC92" s="41">
        <v>2.0</v>
      </c>
      <c r="BD92" s="35" t="s">
        <v>950</v>
      </c>
      <c r="BE92" s="35" t="s">
        <v>951</v>
      </c>
      <c r="BF92" s="35" t="s">
        <v>432</v>
      </c>
      <c r="BG92" s="35" t="s">
        <v>433</v>
      </c>
      <c r="BH92" s="35" t="s">
        <v>678</v>
      </c>
      <c r="BI92" s="35" t="s">
        <v>952</v>
      </c>
      <c r="BJ92" s="35" t="s">
        <v>435</v>
      </c>
      <c r="BM92" s="35" t="s">
        <v>512</v>
      </c>
      <c r="BN92" s="35" t="s">
        <v>439</v>
      </c>
      <c r="BO92" s="35" t="s">
        <v>513</v>
      </c>
      <c r="CM92" s="35" t="s">
        <v>953</v>
      </c>
      <c r="CN92" s="35" t="s">
        <v>401</v>
      </c>
      <c r="CO92" s="35" t="s">
        <v>954</v>
      </c>
      <c r="CP92" s="35" t="s">
        <v>955</v>
      </c>
      <c r="CQ92" s="35" t="s">
        <v>685</v>
      </c>
      <c r="CR92" s="35" t="s">
        <v>956</v>
      </c>
      <c r="CS92" s="35" t="s">
        <v>447</v>
      </c>
      <c r="CT92" s="35" t="s">
        <v>957</v>
      </c>
      <c r="CU92" s="35" t="s">
        <v>958</v>
      </c>
      <c r="CV92" s="35" t="s">
        <v>450</v>
      </c>
      <c r="CW92" s="35" t="s">
        <v>959</v>
      </c>
      <c r="CY92" s="35" t="s">
        <v>408</v>
      </c>
      <c r="DA92" s="35" t="s">
        <v>453</v>
      </c>
      <c r="DB92" s="35" t="s">
        <v>960</v>
      </c>
      <c r="DC92" s="35" t="s">
        <v>455</v>
      </c>
      <c r="DD92" s="35" t="s">
        <v>961</v>
      </c>
      <c r="DE92" s="35" t="s">
        <v>457</v>
      </c>
      <c r="DG92" s="35" t="s">
        <v>962</v>
      </c>
      <c r="DH92" s="35" t="s">
        <v>776</v>
      </c>
      <c r="DI92" s="35" t="s">
        <v>410</v>
      </c>
      <c r="DJ92" s="35" t="s">
        <v>963</v>
      </c>
      <c r="DK92" s="35" t="s">
        <v>460</v>
      </c>
      <c r="DL92" s="35" t="s">
        <v>563</v>
      </c>
      <c r="DM92" s="35" t="s">
        <v>964</v>
      </c>
      <c r="EU92" s="35" t="s">
        <v>526</v>
      </c>
      <c r="EV92" s="35" t="s">
        <v>579</v>
      </c>
      <c r="EW92" s="35" t="s">
        <v>580</v>
      </c>
      <c r="EY92" s="35" t="s">
        <v>965</v>
      </c>
      <c r="EZ92" s="35" t="s">
        <v>966</v>
      </c>
      <c r="FA92" s="35" t="s">
        <v>414</v>
      </c>
      <c r="FB92" s="35" t="s">
        <v>414</v>
      </c>
      <c r="FC92" s="35" t="s">
        <v>413</v>
      </c>
      <c r="FD92" s="35" t="s">
        <v>413</v>
      </c>
      <c r="FE92" s="35" t="s">
        <v>413</v>
      </c>
      <c r="FF92" s="35" t="s">
        <v>413</v>
      </c>
      <c r="FG92" s="35" t="s">
        <v>413</v>
      </c>
      <c r="FH92" s="35" t="s">
        <v>413</v>
      </c>
      <c r="FI92" s="35" t="s">
        <v>413</v>
      </c>
      <c r="FJ92" s="35" t="s">
        <v>413</v>
      </c>
      <c r="FK92" s="35" t="s">
        <v>413</v>
      </c>
      <c r="FL92" s="35" t="s">
        <v>413</v>
      </c>
      <c r="FM92" s="35" t="s">
        <v>413</v>
      </c>
      <c r="FN92" s="35" t="s">
        <v>413</v>
      </c>
      <c r="FO92" s="35" t="s">
        <v>413</v>
      </c>
      <c r="FP92" s="35" t="s">
        <v>485</v>
      </c>
      <c r="FQ92" s="35" t="s">
        <v>486</v>
      </c>
      <c r="FR92" s="35" t="s">
        <v>531</v>
      </c>
      <c r="FS92" s="35" t="s">
        <v>967</v>
      </c>
      <c r="FT92" s="35" t="s">
        <v>420</v>
      </c>
      <c r="FU92" s="35" t="s">
        <v>488</v>
      </c>
      <c r="FV92" s="35" t="s">
        <v>585</v>
      </c>
      <c r="FW92" s="35" t="s">
        <v>490</v>
      </c>
      <c r="FX92" s="35" t="s">
        <v>491</v>
      </c>
      <c r="FY92" s="35" t="s">
        <v>968</v>
      </c>
      <c r="FZ92" s="35" t="s">
        <v>535</v>
      </c>
      <c r="GA92" s="35" t="s">
        <v>969</v>
      </c>
      <c r="GB92" s="35" t="s">
        <v>11038</v>
      </c>
      <c r="GC92" s="35" t="s">
        <v>408</v>
      </c>
      <c r="GH92" s="35" t="s">
        <v>920</v>
      </c>
      <c r="GI92" s="35" t="s">
        <v>755</v>
      </c>
      <c r="GJ92" s="35" t="s">
        <v>756</v>
      </c>
    </row>
    <row r="93">
      <c r="A93" s="40"/>
      <c r="B93" s="40">
        <v>45826.946519756944</v>
      </c>
      <c r="C93" s="35" t="s">
        <v>368</v>
      </c>
      <c r="D93" s="35" t="s">
        <v>370</v>
      </c>
      <c r="F93" s="35" t="s">
        <v>667</v>
      </c>
      <c r="H93" s="35" t="s">
        <v>422</v>
      </c>
      <c r="I93" s="35" t="s">
        <v>496</v>
      </c>
      <c r="J93" s="35" t="s">
        <v>374</v>
      </c>
      <c r="K93" s="35" t="s">
        <v>718</v>
      </c>
      <c r="L93" s="35" t="s">
        <v>376</v>
      </c>
      <c r="M93" s="35" t="s">
        <v>379</v>
      </c>
      <c r="N93" s="35" t="s">
        <v>378</v>
      </c>
      <c r="O93" s="35" t="s">
        <v>379</v>
      </c>
      <c r="P93" s="35" t="s">
        <v>497</v>
      </c>
      <c r="Q93" s="35" t="s">
        <v>381</v>
      </c>
      <c r="R93" s="35" t="s">
        <v>382</v>
      </c>
      <c r="S93" s="35" t="s">
        <v>427</v>
      </c>
      <c r="T93" s="35" t="s">
        <v>384</v>
      </c>
      <c r="U93" s="35" t="s">
        <v>385</v>
      </c>
      <c r="X93" s="35" t="s">
        <v>593</v>
      </c>
      <c r="Y93" s="35" t="s">
        <v>387</v>
      </c>
      <c r="Z93" s="35" t="s">
        <v>388</v>
      </c>
      <c r="AA93" s="35" t="s">
        <v>543</v>
      </c>
      <c r="AB93" s="35" t="s">
        <v>971</v>
      </c>
      <c r="AC93" s="35" t="s">
        <v>972</v>
      </c>
      <c r="AW93" s="35" t="s">
        <v>597</v>
      </c>
      <c r="AX93" s="41">
        <v>4.0</v>
      </c>
      <c r="AY93" s="35" t="s">
        <v>391</v>
      </c>
      <c r="AZ93" s="35" t="s">
        <v>675</v>
      </c>
      <c r="BA93" s="41">
        <v>4.0</v>
      </c>
      <c r="BB93" s="41">
        <v>2.0</v>
      </c>
      <c r="BC93" s="41">
        <v>2.0</v>
      </c>
      <c r="BD93" s="35" t="s">
        <v>973</v>
      </c>
      <c r="BE93" s="35" t="s">
        <v>974</v>
      </c>
      <c r="BF93" s="35" t="s">
        <v>432</v>
      </c>
      <c r="BG93" s="35" t="s">
        <v>393</v>
      </c>
      <c r="BH93" s="35" t="s">
        <v>434</v>
      </c>
      <c r="BI93" s="35" t="s">
        <v>975</v>
      </c>
      <c r="BJ93" s="35" t="s">
        <v>976</v>
      </c>
      <c r="BL93" s="35" t="s">
        <v>681</v>
      </c>
      <c r="BM93" s="35" t="s">
        <v>904</v>
      </c>
      <c r="BN93" s="35" t="s">
        <v>397</v>
      </c>
      <c r="BO93" s="35" t="s">
        <v>513</v>
      </c>
      <c r="CM93" s="35" t="s">
        <v>441</v>
      </c>
      <c r="CN93" s="35" t="s">
        <v>604</v>
      </c>
      <c r="CO93" s="35" t="s">
        <v>977</v>
      </c>
      <c r="CP93" s="35" t="s">
        <v>978</v>
      </c>
      <c r="CQ93" s="35" t="s">
        <v>979</v>
      </c>
      <c r="CR93" s="35" t="s">
        <v>516</v>
      </c>
      <c r="CS93" s="35" t="s">
        <v>447</v>
      </c>
      <c r="CT93" s="35" t="s">
        <v>980</v>
      </c>
      <c r="CU93" s="35" t="s">
        <v>981</v>
      </c>
      <c r="CV93" s="35" t="s">
        <v>982</v>
      </c>
      <c r="CW93" s="35" t="s">
        <v>451</v>
      </c>
      <c r="CX93" s="35" t="s">
        <v>983</v>
      </c>
      <c r="CY93" s="35" t="s">
        <v>455</v>
      </c>
      <c r="CZ93" s="35" t="s">
        <v>984</v>
      </c>
      <c r="DA93" s="35" t="s">
        <v>985</v>
      </c>
      <c r="DB93" s="35" t="s">
        <v>986</v>
      </c>
      <c r="DC93" s="35" t="s">
        <v>455</v>
      </c>
      <c r="DD93" s="35" t="s">
        <v>987</v>
      </c>
      <c r="DE93" s="35" t="s">
        <v>988</v>
      </c>
      <c r="DG93" s="35" t="s">
        <v>989</v>
      </c>
      <c r="DH93" s="35" t="s">
        <v>990</v>
      </c>
      <c r="DI93" s="35" t="s">
        <v>410</v>
      </c>
      <c r="DJ93" s="35" t="s">
        <v>459</v>
      </c>
      <c r="DK93" s="35" t="s">
        <v>460</v>
      </c>
      <c r="DL93" s="35" t="s">
        <v>461</v>
      </c>
      <c r="EU93" s="35" t="s">
        <v>478</v>
      </c>
      <c r="EV93" s="35" t="s">
        <v>887</v>
      </c>
      <c r="EW93" s="35" t="s">
        <v>527</v>
      </c>
      <c r="EX93" s="35" t="s">
        <v>991</v>
      </c>
      <c r="EY93" s="35" t="s">
        <v>992</v>
      </c>
      <c r="EZ93" s="35" t="s">
        <v>993</v>
      </c>
      <c r="FA93" s="35" t="s">
        <v>415</v>
      </c>
      <c r="FB93" s="35" t="s">
        <v>414</v>
      </c>
      <c r="FC93" s="35" t="s">
        <v>415</v>
      </c>
      <c r="FD93" s="35" t="s">
        <v>484</v>
      </c>
      <c r="FE93" s="35" t="s">
        <v>415</v>
      </c>
      <c r="FF93" s="35" t="s">
        <v>583</v>
      </c>
      <c r="FG93" s="35" t="s">
        <v>484</v>
      </c>
      <c r="FH93" s="35" t="s">
        <v>413</v>
      </c>
      <c r="FI93" s="35" t="s">
        <v>583</v>
      </c>
      <c r="FJ93" s="35" t="s">
        <v>415</v>
      </c>
      <c r="FK93" s="35" t="s">
        <v>414</v>
      </c>
      <c r="FL93" s="35" t="s">
        <v>416</v>
      </c>
      <c r="FM93" s="35" t="s">
        <v>415</v>
      </c>
      <c r="FN93" s="35" t="s">
        <v>413</v>
      </c>
      <c r="FO93" s="35" t="s">
        <v>583</v>
      </c>
      <c r="FP93" s="35" t="s">
        <v>485</v>
      </c>
      <c r="FQ93" s="35" t="s">
        <v>486</v>
      </c>
      <c r="FR93" s="35" t="s">
        <v>419</v>
      </c>
      <c r="FS93" s="35" t="s">
        <v>994</v>
      </c>
      <c r="FT93" s="35" t="s">
        <v>995</v>
      </c>
      <c r="FU93" s="35" t="s">
        <v>488</v>
      </c>
      <c r="FV93" s="35" t="s">
        <v>489</v>
      </c>
      <c r="FW93" s="35" t="s">
        <v>490</v>
      </c>
      <c r="FX93" s="35" t="s">
        <v>491</v>
      </c>
      <c r="FY93" s="35" t="s">
        <v>11039</v>
      </c>
      <c r="FZ93" s="35" t="s">
        <v>535</v>
      </c>
      <c r="GA93" s="35" t="s">
        <v>997</v>
      </c>
      <c r="GB93" s="35" t="s">
        <v>998</v>
      </c>
      <c r="GC93" s="35" t="s">
        <v>455</v>
      </c>
      <c r="GD93" s="35" t="s">
        <v>11040</v>
      </c>
      <c r="GE93" s="35" t="s">
        <v>11041</v>
      </c>
      <c r="GF93" s="35" t="s">
        <v>753</v>
      </c>
      <c r="GG93" s="35" t="s">
        <v>999</v>
      </c>
      <c r="GH93" s="35" t="s">
        <v>1000</v>
      </c>
      <c r="GI93" s="35" t="s">
        <v>755</v>
      </c>
      <c r="GJ93" s="35" t="s">
        <v>817</v>
      </c>
    </row>
    <row r="94">
      <c r="A94" s="40"/>
      <c r="B94" s="40">
        <v>45826.96069337963</v>
      </c>
      <c r="C94" s="35" t="s">
        <v>368</v>
      </c>
      <c r="D94" s="35" t="s">
        <v>370</v>
      </c>
      <c r="F94" s="35" t="s">
        <v>1001</v>
      </c>
      <c r="H94" s="35" t="s">
        <v>1002</v>
      </c>
      <c r="I94" s="35" t="s">
        <v>637</v>
      </c>
      <c r="J94" s="35" t="s">
        <v>638</v>
      </c>
      <c r="K94" s="35" t="s">
        <v>425</v>
      </c>
      <c r="L94" s="35" t="s">
        <v>376</v>
      </c>
      <c r="M94" s="35" t="s">
        <v>591</v>
      </c>
      <c r="N94" s="35" t="s">
        <v>720</v>
      </c>
      <c r="O94" s="35" t="s">
        <v>591</v>
      </c>
      <c r="P94" s="35" t="s">
        <v>1003</v>
      </c>
      <c r="Q94" s="35" t="s">
        <v>498</v>
      </c>
      <c r="R94" s="35" t="s">
        <v>1004</v>
      </c>
      <c r="S94" s="35" t="s">
        <v>427</v>
      </c>
      <c r="T94" s="35" t="s">
        <v>384</v>
      </c>
      <c r="U94" s="35" t="s">
        <v>385</v>
      </c>
      <c r="X94" s="35" t="s">
        <v>428</v>
      </c>
      <c r="AW94" s="35" t="s">
        <v>390</v>
      </c>
      <c r="AX94" s="35" t="s">
        <v>391</v>
      </c>
      <c r="AY94" s="35" t="s">
        <v>391</v>
      </c>
      <c r="AZ94" s="35" t="s">
        <v>391</v>
      </c>
      <c r="BA94" s="35" t="s">
        <v>429</v>
      </c>
      <c r="BB94" s="35" t="s">
        <v>429</v>
      </c>
      <c r="BC94" s="35" t="s">
        <v>429</v>
      </c>
      <c r="BD94" s="35" t="s">
        <v>1005</v>
      </c>
      <c r="BE94" s="35" t="s">
        <v>1006</v>
      </c>
      <c r="BF94" s="35" t="s">
        <v>392</v>
      </c>
      <c r="BG94" s="35" t="s">
        <v>433</v>
      </c>
      <c r="BH94" s="35" t="s">
        <v>507</v>
      </c>
      <c r="BJ94" s="35" t="s">
        <v>824</v>
      </c>
      <c r="BL94" s="35" t="s">
        <v>602</v>
      </c>
      <c r="BM94" s="35" t="s">
        <v>396</v>
      </c>
      <c r="BN94" s="35" t="s">
        <v>549</v>
      </c>
      <c r="BO94" s="35" t="s">
        <v>513</v>
      </c>
      <c r="CM94" s="35" t="s">
        <v>441</v>
      </c>
      <c r="CN94" s="35" t="s">
        <v>442</v>
      </c>
      <c r="CO94" s="35" t="s">
        <v>552</v>
      </c>
      <c r="CP94" s="35" t="s">
        <v>11042</v>
      </c>
      <c r="CQ94" s="35" t="s">
        <v>1008</v>
      </c>
      <c r="CR94" s="35" t="s">
        <v>1009</v>
      </c>
      <c r="CS94" s="35" t="s">
        <v>447</v>
      </c>
      <c r="CT94" s="35" t="s">
        <v>1010</v>
      </c>
      <c r="CU94" s="35" t="s">
        <v>1011</v>
      </c>
      <c r="CV94" s="35" t="s">
        <v>450</v>
      </c>
      <c r="CW94" s="35" t="s">
        <v>451</v>
      </c>
      <c r="CX94" s="35" t="s">
        <v>1012</v>
      </c>
      <c r="CY94" s="35" t="s">
        <v>408</v>
      </c>
      <c r="DA94" s="35" t="s">
        <v>453</v>
      </c>
      <c r="DB94" s="35" t="s">
        <v>1013</v>
      </c>
      <c r="DC94" s="35" t="s">
        <v>408</v>
      </c>
      <c r="DE94" s="35" t="s">
        <v>988</v>
      </c>
      <c r="DG94" s="35" t="s">
        <v>1014</v>
      </c>
      <c r="DH94" s="35" t="s">
        <v>524</v>
      </c>
      <c r="DI94" s="35" t="s">
        <v>410</v>
      </c>
      <c r="DJ94" s="35" t="s">
        <v>459</v>
      </c>
      <c r="DK94" s="35" t="s">
        <v>460</v>
      </c>
      <c r="DL94" s="35" t="s">
        <v>461</v>
      </c>
      <c r="EU94" s="35" t="s">
        <v>478</v>
      </c>
      <c r="EV94" s="35" t="s">
        <v>479</v>
      </c>
      <c r="EW94" s="35" t="s">
        <v>480</v>
      </c>
      <c r="EX94" s="35" t="s">
        <v>1015</v>
      </c>
      <c r="EY94" s="35" t="s">
        <v>1016</v>
      </c>
      <c r="EZ94" s="35" t="s">
        <v>1017</v>
      </c>
      <c r="FA94" s="35" t="s">
        <v>413</v>
      </c>
      <c r="FB94" s="35" t="s">
        <v>413</v>
      </c>
      <c r="FC94" s="35" t="s">
        <v>413</v>
      </c>
      <c r="FD94" s="35" t="s">
        <v>413</v>
      </c>
      <c r="FE94" s="35" t="s">
        <v>415</v>
      </c>
      <c r="FF94" s="35" t="s">
        <v>413</v>
      </c>
      <c r="FG94" s="35" t="s">
        <v>413</v>
      </c>
      <c r="FH94" s="35" t="s">
        <v>413</v>
      </c>
      <c r="FI94" s="35" t="s">
        <v>413</v>
      </c>
      <c r="FJ94" s="35" t="s">
        <v>413</v>
      </c>
      <c r="FK94" s="35" t="s">
        <v>413</v>
      </c>
      <c r="FL94" s="35" t="s">
        <v>413</v>
      </c>
      <c r="FM94" s="35" t="s">
        <v>413</v>
      </c>
      <c r="FN94" s="35" t="s">
        <v>413</v>
      </c>
      <c r="FO94" s="35" t="s">
        <v>413</v>
      </c>
      <c r="FP94" s="35" t="s">
        <v>417</v>
      </c>
      <c r="FQ94" s="35" t="s">
        <v>486</v>
      </c>
      <c r="FR94" s="35" t="s">
        <v>712</v>
      </c>
      <c r="FS94" s="35" t="s">
        <v>1018</v>
      </c>
      <c r="FT94" s="35" t="s">
        <v>420</v>
      </c>
      <c r="FU94" s="35" t="s">
        <v>488</v>
      </c>
      <c r="FV94" s="35" t="s">
        <v>489</v>
      </c>
      <c r="FW94" s="35" t="s">
        <v>490</v>
      </c>
      <c r="FX94" s="35" t="s">
        <v>491</v>
      </c>
      <c r="FY94" s="35" t="s">
        <v>1019</v>
      </c>
      <c r="FZ94" s="35" t="s">
        <v>1020</v>
      </c>
      <c r="GA94" s="35" t="s">
        <v>1021</v>
      </c>
      <c r="GC94" s="35" t="s">
        <v>408</v>
      </c>
      <c r="GH94" s="35" t="s">
        <v>789</v>
      </c>
      <c r="GI94" s="35" t="s">
        <v>1000</v>
      </c>
      <c r="GJ94" s="35" t="s">
        <v>817</v>
      </c>
    </row>
    <row r="95">
      <c r="A95" s="40"/>
      <c r="B95" s="40">
        <v>45826.9650065625</v>
      </c>
      <c r="C95" s="35" t="s">
        <v>368</v>
      </c>
      <c r="D95" s="35" t="s">
        <v>894</v>
      </c>
      <c r="E95" s="35" t="s">
        <v>894</v>
      </c>
      <c r="H95" s="35" t="s">
        <v>422</v>
      </c>
      <c r="I95" s="35" t="s">
        <v>373</v>
      </c>
      <c r="J95" s="35" t="s">
        <v>1022</v>
      </c>
      <c r="K95" s="35" t="s">
        <v>1023</v>
      </c>
      <c r="L95" s="35" t="s">
        <v>376</v>
      </c>
      <c r="M95" s="35" t="s">
        <v>379</v>
      </c>
      <c r="N95" s="35" t="s">
        <v>860</v>
      </c>
      <c r="O95" s="35" t="s">
        <v>426</v>
      </c>
      <c r="P95" s="35" t="s">
        <v>1024</v>
      </c>
      <c r="Q95" s="35" t="s">
        <v>498</v>
      </c>
      <c r="R95" s="35" t="s">
        <v>759</v>
      </c>
      <c r="S95" s="35" t="s">
        <v>427</v>
      </c>
      <c r="T95" s="35" t="s">
        <v>384</v>
      </c>
      <c r="U95" s="35" t="s">
        <v>385</v>
      </c>
      <c r="V95" s="35" t="s">
        <v>1025</v>
      </c>
      <c r="W95" s="35" t="s">
        <v>1025</v>
      </c>
      <c r="X95" s="35" t="s">
        <v>428</v>
      </c>
      <c r="AW95" s="35" t="s">
        <v>504</v>
      </c>
      <c r="AX95" s="35" t="s">
        <v>391</v>
      </c>
      <c r="AY95" s="35" t="s">
        <v>391</v>
      </c>
      <c r="AZ95" s="35" t="s">
        <v>391</v>
      </c>
      <c r="BA95" s="41">
        <v>2.0</v>
      </c>
      <c r="BB95" s="35" t="s">
        <v>429</v>
      </c>
      <c r="BC95" s="41">
        <v>2.0</v>
      </c>
      <c r="BD95" s="35" t="s">
        <v>11043</v>
      </c>
      <c r="BE95" s="35" t="s">
        <v>1027</v>
      </c>
      <c r="BF95" s="35" t="s">
        <v>432</v>
      </c>
      <c r="BG95" s="35" t="s">
        <v>433</v>
      </c>
      <c r="BH95" s="35" t="s">
        <v>678</v>
      </c>
      <c r="BI95" s="35" t="s">
        <v>1028</v>
      </c>
      <c r="BJ95" s="35" t="s">
        <v>509</v>
      </c>
      <c r="BK95" s="35" t="s">
        <v>11044</v>
      </c>
      <c r="BL95" s="35" t="s">
        <v>602</v>
      </c>
      <c r="BM95" s="35" t="s">
        <v>512</v>
      </c>
      <c r="BN95" s="35" t="s">
        <v>439</v>
      </c>
      <c r="BO95" s="35" t="s">
        <v>513</v>
      </c>
      <c r="CM95" s="35" t="s">
        <v>441</v>
      </c>
      <c r="CN95" s="35" t="s">
        <v>604</v>
      </c>
      <c r="CO95" s="35" t="s">
        <v>11045</v>
      </c>
      <c r="CP95" s="35" t="s">
        <v>1031</v>
      </c>
      <c r="CQ95" s="35" t="s">
        <v>979</v>
      </c>
      <c r="CR95" s="35" t="s">
        <v>516</v>
      </c>
      <c r="CS95" s="35" t="s">
        <v>404</v>
      </c>
      <c r="CT95" s="35" t="s">
        <v>1032</v>
      </c>
      <c r="CU95" s="35" t="s">
        <v>1033</v>
      </c>
      <c r="CV95" s="35" t="s">
        <v>450</v>
      </c>
      <c r="CW95" s="35" t="s">
        <v>451</v>
      </c>
      <c r="CX95" s="35" t="s">
        <v>1034</v>
      </c>
      <c r="CY95" s="35" t="s">
        <v>408</v>
      </c>
      <c r="DA95" s="35" t="s">
        <v>453</v>
      </c>
      <c r="DB95" s="35" t="s">
        <v>1035</v>
      </c>
      <c r="DC95" s="35" t="s">
        <v>913</v>
      </c>
      <c r="DE95" s="35" t="s">
        <v>457</v>
      </c>
      <c r="DG95" s="35" t="s">
        <v>11046</v>
      </c>
      <c r="DH95" s="35" t="s">
        <v>524</v>
      </c>
      <c r="DI95" s="35" t="s">
        <v>410</v>
      </c>
      <c r="DJ95" s="35" t="s">
        <v>459</v>
      </c>
      <c r="DK95" s="35" t="s">
        <v>613</v>
      </c>
      <c r="EU95" s="35" t="s">
        <v>578</v>
      </c>
      <c r="EV95" s="35" t="s">
        <v>1037</v>
      </c>
      <c r="EW95" s="35" t="s">
        <v>580</v>
      </c>
      <c r="EY95" s="35" t="s">
        <v>11047</v>
      </c>
      <c r="FA95" s="35" t="s">
        <v>415</v>
      </c>
      <c r="FB95" s="35" t="s">
        <v>415</v>
      </c>
      <c r="FC95" s="35" t="s">
        <v>413</v>
      </c>
      <c r="FD95" s="35" t="s">
        <v>413</v>
      </c>
      <c r="FE95" s="35" t="s">
        <v>413</v>
      </c>
      <c r="FF95" s="35" t="s">
        <v>415</v>
      </c>
      <c r="FG95" s="35" t="s">
        <v>413</v>
      </c>
      <c r="FH95" s="35" t="s">
        <v>415</v>
      </c>
      <c r="FI95" s="35" t="s">
        <v>413</v>
      </c>
      <c r="FJ95" s="35" t="s">
        <v>416</v>
      </c>
      <c r="FK95" s="35" t="s">
        <v>416</v>
      </c>
      <c r="FL95" s="35" t="s">
        <v>416</v>
      </c>
      <c r="FM95" s="35" t="s">
        <v>416</v>
      </c>
      <c r="FN95" s="35" t="s">
        <v>413</v>
      </c>
      <c r="FO95" s="35" t="s">
        <v>415</v>
      </c>
      <c r="FP95" s="35" t="s">
        <v>417</v>
      </c>
      <c r="FQ95" s="35" t="s">
        <v>418</v>
      </c>
      <c r="FR95" s="35" t="s">
        <v>1039</v>
      </c>
      <c r="FS95" s="35" t="s">
        <v>11048</v>
      </c>
      <c r="FT95" s="35" t="s">
        <v>420</v>
      </c>
      <c r="FU95" s="35" t="s">
        <v>488</v>
      </c>
      <c r="FV95" s="35" t="s">
        <v>585</v>
      </c>
      <c r="FW95" s="35" t="s">
        <v>490</v>
      </c>
      <c r="FX95" s="35" t="s">
        <v>491</v>
      </c>
      <c r="FY95" s="35" t="s">
        <v>11049</v>
      </c>
      <c r="FZ95" s="35" t="s">
        <v>1020</v>
      </c>
      <c r="GA95" s="35" t="s">
        <v>11050</v>
      </c>
      <c r="GB95" s="35" t="s">
        <v>11051</v>
      </c>
      <c r="GC95" s="35" t="s">
        <v>455</v>
      </c>
      <c r="GD95" s="35" t="s">
        <v>11052</v>
      </c>
      <c r="GF95" s="35" t="s">
        <v>855</v>
      </c>
      <c r="GG95" s="35" t="s">
        <v>1044</v>
      </c>
      <c r="GH95" s="35" t="s">
        <v>755</v>
      </c>
      <c r="GI95" s="35" t="s">
        <v>755</v>
      </c>
      <c r="GJ95" s="35" t="s">
        <v>817</v>
      </c>
    </row>
    <row r="96">
      <c r="A96" s="40"/>
      <c r="B96" s="40">
        <v>45826.999987523144</v>
      </c>
      <c r="C96" s="35" t="s">
        <v>368</v>
      </c>
      <c r="D96" s="35" t="s">
        <v>538</v>
      </c>
      <c r="E96" s="35" t="s">
        <v>538</v>
      </c>
      <c r="F96" s="35" t="s">
        <v>1023</v>
      </c>
      <c r="H96" s="35" t="s">
        <v>422</v>
      </c>
      <c r="I96" s="35" t="s">
        <v>539</v>
      </c>
      <c r="J96" s="35" t="s">
        <v>374</v>
      </c>
      <c r="K96" s="35" t="s">
        <v>375</v>
      </c>
      <c r="L96" s="35" t="s">
        <v>376</v>
      </c>
      <c r="M96" s="35" t="s">
        <v>379</v>
      </c>
      <c r="N96" s="35" t="s">
        <v>378</v>
      </c>
      <c r="O96" s="35" t="s">
        <v>379</v>
      </c>
      <c r="P96" s="35" t="s">
        <v>380</v>
      </c>
      <c r="Q96" s="35" t="s">
        <v>498</v>
      </c>
      <c r="R96" s="35" t="s">
        <v>499</v>
      </c>
      <c r="S96" s="35" t="s">
        <v>500</v>
      </c>
      <c r="T96" s="35" t="s">
        <v>384</v>
      </c>
      <c r="U96" s="35" t="s">
        <v>385</v>
      </c>
      <c r="X96" s="35" t="s">
        <v>386</v>
      </c>
      <c r="Y96" s="35" t="s">
        <v>387</v>
      </c>
      <c r="Z96" s="35" t="s">
        <v>594</v>
      </c>
      <c r="AW96" s="35" t="s">
        <v>504</v>
      </c>
      <c r="AX96" s="35" t="s">
        <v>429</v>
      </c>
      <c r="AY96" s="35" t="s">
        <v>429</v>
      </c>
      <c r="AZ96" s="35" t="s">
        <v>429</v>
      </c>
      <c r="BA96" s="41">
        <v>2.0</v>
      </c>
      <c r="BB96" s="41">
        <v>2.0</v>
      </c>
      <c r="BC96" s="41">
        <v>2.0</v>
      </c>
      <c r="BD96" s="35" t="s">
        <v>1080</v>
      </c>
      <c r="BE96" s="35" t="s">
        <v>1081</v>
      </c>
      <c r="BF96" s="35" t="s">
        <v>392</v>
      </c>
      <c r="BG96" s="35" t="s">
        <v>433</v>
      </c>
      <c r="BH96" s="35" t="s">
        <v>765</v>
      </c>
      <c r="BJ96" s="35" t="s">
        <v>509</v>
      </c>
      <c r="BK96" s="35" t="s">
        <v>1082</v>
      </c>
      <c r="BL96" s="35" t="s">
        <v>681</v>
      </c>
      <c r="BN96" s="35" t="s">
        <v>439</v>
      </c>
      <c r="BO96" s="35" t="s">
        <v>513</v>
      </c>
      <c r="CM96" s="35" t="s">
        <v>682</v>
      </c>
      <c r="CN96" s="35" t="s">
        <v>401</v>
      </c>
      <c r="CO96" s="35" t="s">
        <v>11053</v>
      </c>
      <c r="CP96" s="35" t="s">
        <v>1084</v>
      </c>
      <c r="CQ96" s="35" t="s">
        <v>685</v>
      </c>
      <c r="CR96" s="35" t="s">
        <v>1085</v>
      </c>
      <c r="CS96" s="35" t="s">
        <v>404</v>
      </c>
      <c r="CU96" s="35" t="s">
        <v>1086</v>
      </c>
      <c r="CV96" s="35" t="s">
        <v>450</v>
      </c>
      <c r="CW96" s="35" t="s">
        <v>959</v>
      </c>
      <c r="CY96" s="35" t="s">
        <v>408</v>
      </c>
      <c r="DA96" s="35" t="s">
        <v>453</v>
      </c>
      <c r="DB96" s="35" t="s">
        <v>1087</v>
      </c>
      <c r="DC96" s="35" t="s">
        <v>408</v>
      </c>
      <c r="DE96" s="35" t="s">
        <v>406</v>
      </c>
      <c r="DF96" s="35" t="s">
        <v>1058</v>
      </c>
      <c r="DG96" s="35" t="s">
        <v>1088</v>
      </c>
      <c r="DH96" s="35" t="s">
        <v>776</v>
      </c>
      <c r="DI96" s="35" t="s">
        <v>410</v>
      </c>
      <c r="DJ96" s="35" t="s">
        <v>963</v>
      </c>
      <c r="DK96" s="35" t="s">
        <v>460</v>
      </c>
      <c r="DL96" s="35" t="s">
        <v>461</v>
      </c>
      <c r="EU96" s="35" t="s">
        <v>526</v>
      </c>
      <c r="EV96" s="35" t="s">
        <v>1037</v>
      </c>
      <c r="EW96" s="35" t="s">
        <v>580</v>
      </c>
      <c r="FP96" s="35" t="s">
        <v>417</v>
      </c>
      <c r="FQ96" s="35" t="s">
        <v>418</v>
      </c>
      <c r="FR96" s="35" t="s">
        <v>712</v>
      </c>
      <c r="FS96" s="35" t="s">
        <v>1089</v>
      </c>
      <c r="FT96" s="35" t="s">
        <v>420</v>
      </c>
      <c r="FU96" s="35" t="s">
        <v>488</v>
      </c>
      <c r="FV96" s="35" t="s">
        <v>585</v>
      </c>
      <c r="FW96" s="35" t="s">
        <v>490</v>
      </c>
      <c r="FX96" s="35" t="s">
        <v>491</v>
      </c>
      <c r="FY96" s="35" t="s">
        <v>11054</v>
      </c>
      <c r="FZ96" s="35" t="s">
        <v>535</v>
      </c>
      <c r="GC96" s="35" t="s">
        <v>455</v>
      </c>
      <c r="GD96" s="35" t="s">
        <v>11055</v>
      </c>
      <c r="GF96" s="35" t="s">
        <v>753</v>
      </c>
      <c r="GG96" s="35" t="s">
        <v>1091</v>
      </c>
      <c r="GH96" s="35" t="s">
        <v>755</v>
      </c>
      <c r="GI96" s="35" t="s">
        <v>755</v>
      </c>
      <c r="GJ96" s="35" t="s">
        <v>946</v>
      </c>
    </row>
    <row r="97">
      <c r="A97" s="40"/>
      <c r="B97" s="40">
        <v>45827.10090055555</v>
      </c>
      <c r="C97" s="35" t="s">
        <v>368</v>
      </c>
      <c r="D97" s="35" t="s">
        <v>370</v>
      </c>
      <c r="F97" s="35" t="s">
        <v>589</v>
      </c>
      <c r="H97" s="35" t="s">
        <v>422</v>
      </c>
      <c r="I97" s="35" t="s">
        <v>373</v>
      </c>
      <c r="J97" s="35" t="s">
        <v>374</v>
      </c>
      <c r="K97" s="35" t="s">
        <v>425</v>
      </c>
      <c r="L97" s="35" t="s">
        <v>376</v>
      </c>
      <c r="M97" s="35" t="s">
        <v>379</v>
      </c>
      <c r="N97" s="35" t="s">
        <v>378</v>
      </c>
      <c r="O97" s="35" t="s">
        <v>379</v>
      </c>
      <c r="P97" s="35" t="s">
        <v>497</v>
      </c>
      <c r="Q97" s="35" t="s">
        <v>498</v>
      </c>
      <c r="R97" s="35" t="s">
        <v>759</v>
      </c>
      <c r="S97" s="35" t="s">
        <v>1135</v>
      </c>
      <c r="T97" s="35" t="s">
        <v>384</v>
      </c>
      <c r="U97" s="35" t="s">
        <v>385</v>
      </c>
      <c r="X97" s="35" t="s">
        <v>760</v>
      </c>
      <c r="Y97" s="35" t="s">
        <v>387</v>
      </c>
      <c r="Z97" s="35" t="s">
        <v>897</v>
      </c>
      <c r="AA97" s="35" t="s">
        <v>502</v>
      </c>
      <c r="AW97" s="35" t="s">
        <v>390</v>
      </c>
      <c r="AX97" s="35" t="s">
        <v>391</v>
      </c>
      <c r="AY97" s="41">
        <v>2.0</v>
      </c>
      <c r="AZ97" s="35" t="s">
        <v>429</v>
      </c>
      <c r="BA97" s="35" t="s">
        <v>391</v>
      </c>
      <c r="BB97" s="41">
        <v>4.0</v>
      </c>
      <c r="BC97" s="41">
        <v>2.0</v>
      </c>
      <c r="BF97" s="35" t="s">
        <v>432</v>
      </c>
      <c r="BG97" s="35" t="s">
        <v>433</v>
      </c>
      <c r="BH97" s="35" t="s">
        <v>434</v>
      </c>
      <c r="BJ97" s="35" t="s">
        <v>727</v>
      </c>
      <c r="BL97" s="35" t="s">
        <v>511</v>
      </c>
      <c r="BM97" s="35" t="s">
        <v>438</v>
      </c>
      <c r="BN97" s="35" t="s">
        <v>549</v>
      </c>
      <c r="BO97" s="35" t="s">
        <v>513</v>
      </c>
      <c r="CM97" s="35" t="s">
        <v>441</v>
      </c>
      <c r="CN97" s="35" t="s">
        <v>401</v>
      </c>
      <c r="CQ97" s="35" t="s">
        <v>403</v>
      </c>
      <c r="CR97" s="35" t="s">
        <v>1136</v>
      </c>
      <c r="CS97" s="35" t="s">
        <v>404</v>
      </c>
      <c r="CT97" s="35" t="s">
        <v>1137</v>
      </c>
      <c r="CV97" s="35" t="s">
        <v>450</v>
      </c>
      <c r="CW97" s="35" t="s">
        <v>451</v>
      </c>
      <c r="CY97" s="35" t="s">
        <v>733</v>
      </c>
      <c r="DA97" s="35" t="s">
        <v>453</v>
      </c>
      <c r="DC97" s="35" t="s">
        <v>455</v>
      </c>
      <c r="DD97" s="35" t="s">
        <v>1138</v>
      </c>
      <c r="DE97" s="35" t="s">
        <v>406</v>
      </c>
      <c r="DF97" s="35" t="s">
        <v>407</v>
      </c>
      <c r="DH97" s="35" t="s">
        <v>524</v>
      </c>
      <c r="DI97" s="35" t="s">
        <v>833</v>
      </c>
      <c r="DJ97" s="35" t="s">
        <v>459</v>
      </c>
      <c r="DK97" s="35" t="s">
        <v>613</v>
      </c>
      <c r="EU97" s="35" t="s">
        <v>526</v>
      </c>
      <c r="EV97" s="35" t="s">
        <v>1037</v>
      </c>
      <c r="EW97" s="35" t="s">
        <v>580</v>
      </c>
      <c r="FA97" s="35" t="s">
        <v>415</v>
      </c>
      <c r="FB97" s="35" t="s">
        <v>415</v>
      </c>
      <c r="FC97" s="35" t="s">
        <v>413</v>
      </c>
      <c r="FD97" s="35" t="s">
        <v>415</v>
      </c>
      <c r="FE97" s="35" t="s">
        <v>413</v>
      </c>
      <c r="FF97" s="35" t="s">
        <v>415</v>
      </c>
      <c r="FG97" s="35" t="s">
        <v>415</v>
      </c>
      <c r="FH97" s="35" t="s">
        <v>415</v>
      </c>
      <c r="FI97" s="35" t="s">
        <v>415</v>
      </c>
      <c r="FJ97" s="35" t="s">
        <v>415</v>
      </c>
      <c r="FK97" s="35" t="s">
        <v>415</v>
      </c>
      <c r="FL97" s="35" t="s">
        <v>415</v>
      </c>
      <c r="FM97" s="35" t="s">
        <v>415</v>
      </c>
      <c r="FN97" s="35" t="s">
        <v>415</v>
      </c>
      <c r="FO97" s="35" t="s">
        <v>415</v>
      </c>
      <c r="FP97" s="35" t="s">
        <v>417</v>
      </c>
      <c r="FQ97" s="35" t="s">
        <v>418</v>
      </c>
      <c r="FR97" s="35" t="s">
        <v>712</v>
      </c>
      <c r="FT97" s="35" t="s">
        <v>420</v>
      </c>
      <c r="FU97" s="35" t="s">
        <v>488</v>
      </c>
      <c r="FV97" s="35" t="s">
        <v>489</v>
      </c>
      <c r="FW97" s="35" t="s">
        <v>490</v>
      </c>
      <c r="FX97" s="35" t="s">
        <v>491</v>
      </c>
      <c r="FZ97" s="35" t="s">
        <v>493</v>
      </c>
      <c r="GC97" s="35" t="s">
        <v>408</v>
      </c>
      <c r="GH97" s="35" t="s">
        <v>1000</v>
      </c>
      <c r="GI97" s="35" t="s">
        <v>1000</v>
      </c>
      <c r="GJ97" s="35" t="s">
        <v>756</v>
      </c>
    </row>
    <row r="98">
      <c r="A98" s="40"/>
      <c r="B98" s="40">
        <v>45827.143764328706</v>
      </c>
      <c r="C98" s="35" t="s">
        <v>368</v>
      </c>
      <c r="D98" s="35" t="s">
        <v>1194</v>
      </c>
      <c r="E98" s="35" t="s">
        <v>1194</v>
      </c>
      <c r="H98" s="35" t="s">
        <v>1195</v>
      </c>
      <c r="I98" s="35" t="s">
        <v>637</v>
      </c>
      <c r="J98" s="35" t="s">
        <v>638</v>
      </c>
      <c r="K98" s="35" t="s">
        <v>718</v>
      </c>
      <c r="L98" s="35" t="s">
        <v>376</v>
      </c>
      <c r="M98" s="35" t="s">
        <v>793</v>
      </c>
      <c r="N98" s="35" t="s">
        <v>720</v>
      </c>
      <c r="O98" s="35" t="s">
        <v>591</v>
      </c>
      <c r="P98" s="35" t="s">
        <v>1196</v>
      </c>
      <c r="Q98" s="35" t="s">
        <v>498</v>
      </c>
      <c r="R98" s="35" t="s">
        <v>382</v>
      </c>
      <c r="S98" s="35" t="s">
        <v>1197</v>
      </c>
      <c r="T98" s="35" t="s">
        <v>384</v>
      </c>
      <c r="U98" s="35" t="s">
        <v>385</v>
      </c>
      <c r="X98" s="35" t="s">
        <v>428</v>
      </c>
      <c r="AW98" s="35" t="s">
        <v>504</v>
      </c>
      <c r="AX98" s="35" t="s">
        <v>391</v>
      </c>
      <c r="AY98" s="35" t="s">
        <v>391</v>
      </c>
      <c r="AZ98" s="41">
        <v>2.0</v>
      </c>
      <c r="BA98" s="41">
        <v>2.0</v>
      </c>
      <c r="BB98" s="41">
        <v>2.0</v>
      </c>
      <c r="BC98" s="41">
        <v>2.0</v>
      </c>
      <c r="BF98" s="35" t="s">
        <v>392</v>
      </c>
      <c r="BG98" s="35" t="s">
        <v>393</v>
      </c>
      <c r="BH98" s="35" t="s">
        <v>725</v>
      </c>
      <c r="BJ98" s="35" t="s">
        <v>824</v>
      </c>
      <c r="BL98" s="35" t="s">
        <v>681</v>
      </c>
      <c r="BM98" s="35" t="s">
        <v>904</v>
      </c>
      <c r="BN98" s="35" t="s">
        <v>549</v>
      </c>
      <c r="BO98" s="35" t="s">
        <v>513</v>
      </c>
      <c r="CM98" s="35" t="s">
        <v>550</v>
      </c>
      <c r="CN98" s="35" t="s">
        <v>401</v>
      </c>
      <c r="CQ98" s="35" t="s">
        <v>1008</v>
      </c>
      <c r="CR98" s="35" t="s">
        <v>1198</v>
      </c>
      <c r="CS98" s="35" t="s">
        <v>404</v>
      </c>
      <c r="CT98" s="35" t="s">
        <v>1032</v>
      </c>
      <c r="CU98" s="35" t="s">
        <v>1199</v>
      </c>
      <c r="CV98" s="35" t="s">
        <v>450</v>
      </c>
      <c r="CW98" s="35" t="s">
        <v>959</v>
      </c>
      <c r="CY98" s="35" t="s">
        <v>408</v>
      </c>
      <c r="DA98" s="35" t="s">
        <v>453</v>
      </c>
      <c r="DC98" s="35" t="s">
        <v>408</v>
      </c>
      <c r="DE98" s="35" t="s">
        <v>406</v>
      </c>
      <c r="DF98" s="35" t="s">
        <v>407</v>
      </c>
      <c r="DH98" s="35" t="s">
        <v>561</v>
      </c>
      <c r="DI98" s="35" t="s">
        <v>410</v>
      </c>
      <c r="DJ98" s="35" t="s">
        <v>459</v>
      </c>
      <c r="DK98" s="35" t="s">
        <v>613</v>
      </c>
      <c r="EU98" s="35" t="s">
        <v>526</v>
      </c>
      <c r="EV98" s="35" t="s">
        <v>479</v>
      </c>
      <c r="EW98" s="35" t="s">
        <v>663</v>
      </c>
      <c r="FA98" s="35" t="s">
        <v>414</v>
      </c>
      <c r="FB98" s="35" t="s">
        <v>583</v>
      </c>
      <c r="FC98" s="35" t="s">
        <v>415</v>
      </c>
      <c r="FD98" s="35" t="s">
        <v>583</v>
      </c>
      <c r="FE98" s="35" t="s">
        <v>415</v>
      </c>
      <c r="FF98" s="35" t="s">
        <v>415</v>
      </c>
      <c r="FG98" s="35" t="s">
        <v>583</v>
      </c>
      <c r="FH98" s="35" t="s">
        <v>413</v>
      </c>
      <c r="FI98" s="35" t="s">
        <v>583</v>
      </c>
      <c r="FJ98" s="35" t="s">
        <v>583</v>
      </c>
      <c r="FK98" s="35" t="s">
        <v>414</v>
      </c>
      <c r="FL98" s="35" t="s">
        <v>415</v>
      </c>
      <c r="FM98" s="35" t="s">
        <v>415</v>
      </c>
      <c r="FN98" s="35" t="s">
        <v>416</v>
      </c>
      <c r="FO98" s="35" t="s">
        <v>414</v>
      </c>
      <c r="FP98" s="35" t="s">
        <v>417</v>
      </c>
      <c r="FQ98" s="35" t="s">
        <v>1200</v>
      </c>
      <c r="FR98" s="35" t="s">
        <v>630</v>
      </c>
      <c r="FT98" s="35" t="s">
        <v>995</v>
      </c>
      <c r="FU98" s="35" t="s">
        <v>488</v>
      </c>
      <c r="FV98" s="35" t="s">
        <v>533</v>
      </c>
      <c r="FW98" s="35" t="s">
        <v>490</v>
      </c>
      <c r="FX98" s="35" t="s">
        <v>491</v>
      </c>
      <c r="FZ98" s="35" t="s">
        <v>535</v>
      </c>
      <c r="GC98" s="35" t="s">
        <v>408</v>
      </c>
      <c r="GH98" s="35" t="s">
        <v>788</v>
      </c>
      <c r="GI98" s="35" t="s">
        <v>789</v>
      </c>
      <c r="GJ98" s="35" t="s">
        <v>946</v>
      </c>
    </row>
    <row r="99">
      <c r="A99" s="40"/>
      <c r="B99" s="40">
        <v>45827.37673142361</v>
      </c>
      <c r="C99" s="35" t="s">
        <v>368</v>
      </c>
      <c r="D99" s="35" t="s">
        <v>370</v>
      </c>
      <c r="F99" s="35" t="s">
        <v>1421</v>
      </c>
      <c r="H99" s="35" t="s">
        <v>422</v>
      </c>
      <c r="I99" s="35" t="s">
        <v>1203</v>
      </c>
      <c r="J99" s="35" t="s">
        <v>638</v>
      </c>
      <c r="K99" s="35" t="s">
        <v>1204</v>
      </c>
      <c r="L99" s="35" t="s">
        <v>376</v>
      </c>
      <c r="M99" s="35" t="s">
        <v>793</v>
      </c>
      <c r="N99" s="35" t="s">
        <v>720</v>
      </c>
      <c r="O99" s="35" t="s">
        <v>793</v>
      </c>
      <c r="P99" s="35" t="s">
        <v>720</v>
      </c>
      <c r="Q99" s="35" t="s">
        <v>592</v>
      </c>
      <c r="R99" s="35" t="s">
        <v>1156</v>
      </c>
      <c r="S99" s="35" t="s">
        <v>427</v>
      </c>
      <c r="T99" s="35" t="s">
        <v>384</v>
      </c>
      <c r="U99" s="35" t="s">
        <v>385</v>
      </c>
      <c r="X99" s="35" t="s">
        <v>428</v>
      </c>
      <c r="AW99" s="35" t="s">
        <v>597</v>
      </c>
      <c r="AX99" s="41">
        <v>2.0</v>
      </c>
      <c r="AY99" s="41">
        <v>2.0</v>
      </c>
      <c r="AZ99" s="41">
        <v>2.0</v>
      </c>
      <c r="BA99" s="35" t="s">
        <v>429</v>
      </c>
      <c r="BB99" s="35" t="s">
        <v>429</v>
      </c>
      <c r="BC99" s="35" t="s">
        <v>429</v>
      </c>
      <c r="BD99" s="35" t="s">
        <v>1422</v>
      </c>
      <c r="BE99" s="35" t="s">
        <v>1423</v>
      </c>
      <c r="BF99" s="35" t="s">
        <v>392</v>
      </c>
      <c r="BG99" s="35" t="s">
        <v>433</v>
      </c>
      <c r="BH99" s="35" t="s">
        <v>678</v>
      </c>
      <c r="BI99" s="35" t="s">
        <v>11056</v>
      </c>
      <c r="BJ99" s="35" t="s">
        <v>824</v>
      </c>
      <c r="BL99" s="35" t="s">
        <v>511</v>
      </c>
      <c r="BM99" s="35" t="s">
        <v>396</v>
      </c>
      <c r="BN99" s="35" t="s">
        <v>549</v>
      </c>
      <c r="BO99" s="35" t="s">
        <v>513</v>
      </c>
      <c r="CM99" s="35" t="s">
        <v>441</v>
      </c>
      <c r="CN99" s="35" t="s">
        <v>604</v>
      </c>
      <c r="CO99" s="35" t="s">
        <v>1425</v>
      </c>
      <c r="CP99" s="35" t="s">
        <v>11057</v>
      </c>
      <c r="CQ99" s="35" t="s">
        <v>979</v>
      </c>
      <c r="CR99" s="35" t="s">
        <v>1427</v>
      </c>
      <c r="CS99" s="35" t="s">
        <v>404</v>
      </c>
      <c r="CT99" s="35" t="s">
        <v>1428</v>
      </c>
      <c r="CU99" s="35" t="s">
        <v>11058</v>
      </c>
      <c r="CV99" s="35" t="s">
        <v>450</v>
      </c>
      <c r="CW99" s="35" t="s">
        <v>451</v>
      </c>
      <c r="CX99" s="35" t="s">
        <v>1430</v>
      </c>
      <c r="CY99" s="35" t="s">
        <v>408</v>
      </c>
      <c r="DA99" s="35" t="s">
        <v>453</v>
      </c>
      <c r="DB99" s="35" t="s">
        <v>1431</v>
      </c>
      <c r="DC99" s="35" t="s">
        <v>455</v>
      </c>
      <c r="DD99" s="35" t="s">
        <v>1432</v>
      </c>
      <c r="DE99" s="35" t="s">
        <v>406</v>
      </c>
      <c r="DF99" s="35" t="s">
        <v>1058</v>
      </c>
      <c r="DG99" s="35" t="s">
        <v>1433</v>
      </c>
      <c r="DH99" s="35" t="s">
        <v>524</v>
      </c>
      <c r="DI99" s="35" t="s">
        <v>410</v>
      </c>
      <c r="DJ99" s="35" t="s">
        <v>459</v>
      </c>
      <c r="DK99" s="35" t="s">
        <v>460</v>
      </c>
      <c r="DL99" s="35" t="s">
        <v>1434</v>
      </c>
      <c r="EU99" s="35" t="s">
        <v>526</v>
      </c>
      <c r="EV99" s="35" t="s">
        <v>579</v>
      </c>
      <c r="EW99" s="35" t="s">
        <v>778</v>
      </c>
      <c r="EX99" s="35" t="s">
        <v>1435</v>
      </c>
      <c r="EY99" s="35" t="s">
        <v>11059</v>
      </c>
      <c r="EZ99" s="35" t="s">
        <v>1437</v>
      </c>
      <c r="FA99" s="35" t="s">
        <v>415</v>
      </c>
      <c r="FB99" s="35" t="s">
        <v>415</v>
      </c>
      <c r="FC99" s="35" t="s">
        <v>413</v>
      </c>
      <c r="FD99" s="35" t="s">
        <v>413</v>
      </c>
      <c r="FE99" s="35" t="s">
        <v>413</v>
      </c>
      <c r="FF99" s="35" t="s">
        <v>413</v>
      </c>
      <c r="FG99" s="35" t="s">
        <v>413</v>
      </c>
      <c r="FH99" s="35" t="s">
        <v>413</v>
      </c>
      <c r="FI99" s="35" t="s">
        <v>415</v>
      </c>
      <c r="FJ99" s="35" t="s">
        <v>413</v>
      </c>
      <c r="FK99" s="35" t="s">
        <v>413</v>
      </c>
      <c r="FL99" s="35" t="s">
        <v>413</v>
      </c>
      <c r="FM99" s="35" t="s">
        <v>413</v>
      </c>
      <c r="FN99" s="35" t="s">
        <v>413</v>
      </c>
      <c r="FO99" s="35" t="s">
        <v>413</v>
      </c>
      <c r="FP99" s="35" t="s">
        <v>485</v>
      </c>
      <c r="FQ99" s="35" t="s">
        <v>418</v>
      </c>
      <c r="FR99" s="35" t="s">
        <v>531</v>
      </c>
      <c r="FS99" s="35" t="s">
        <v>1438</v>
      </c>
      <c r="FT99" s="35" t="s">
        <v>420</v>
      </c>
      <c r="FU99" s="35" t="s">
        <v>488</v>
      </c>
      <c r="FV99" s="35" t="s">
        <v>1235</v>
      </c>
      <c r="FW99" s="35" t="s">
        <v>490</v>
      </c>
      <c r="FX99" s="35" t="s">
        <v>491</v>
      </c>
      <c r="FY99" s="35" t="s">
        <v>1439</v>
      </c>
      <c r="FZ99" s="35" t="s">
        <v>535</v>
      </c>
      <c r="GA99" s="35" t="s">
        <v>1440</v>
      </c>
      <c r="GC99" s="35" t="s">
        <v>408</v>
      </c>
      <c r="GH99" s="35" t="s">
        <v>920</v>
      </c>
      <c r="GI99" s="35" t="s">
        <v>1000</v>
      </c>
      <c r="GJ99" s="35" t="s">
        <v>946</v>
      </c>
    </row>
    <row r="100">
      <c r="A100" s="40"/>
      <c r="B100" s="40">
        <v>45827.39404474537</v>
      </c>
      <c r="C100" s="35" t="s">
        <v>368</v>
      </c>
      <c r="D100" s="35" t="s">
        <v>370</v>
      </c>
      <c r="F100" s="35" t="s">
        <v>1441</v>
      </c>
      <c r="H100" s="35" t="s">
        <v>422</v>
      </c>
      <c r="I100" s="35" t="s">
        <v>637</v>
      </c>
      <c r="J100" s="35" t="s">
        <v>638</v>
      </c>
      <c r="K100" s="35" t="s">
        <v>425</v>
      </c>
      <c r="L100" s="35" t="s">
        <v>376</v>
      </c>
      <c r="M100" s="35" t="s">
        <v>591</v>
      </c>
      <c r="N100" s="35" t="s">
        <v>541</v>
      </c>
      <c r="O100" s="35" t="s">
        <v>591</v>
      </c>
      <c r="P100" s="35" t="s">
        <v>1442</v>
      </c>
      <c r="Q100" s="35" t="s">
        <v>498</v>
      </c>
      <c r="R100" s="35" t="s">
        <v>1156</v>
      </c>
      <c r="S100" s="35" t="s">
        <v>795</v>
      </c>
      <c r="T100" s="35" t="s">
        <v>1443</v>
      </c>
      <c r="U100" s="35" t="s">
        <v>385</v>
      </c>
      <c r="X100" s="35" t="s">
        <v>593</v>
      </c>
      <c r="Y100" s="35" t="s">
        <v>387</v>
      </c>
      <c r="Z100" s="35" t="s">
        <v>1444</v>
      </c>
      <c r="AA100" s="35" t="s">
        <v>672</v>
      </c>
      <c r="AB100" s="35" t="s">
        <v>11060</v>
      </c>
      <c r="AC100" s="35" t="s">
        <v>1446</v>
      </c>
      <c r="AW100" s="35" t="s">
        <v>390</v>
      </c>
      <c r="AX100" s="35" t="s">
        <v>429</v>
      </c>
      <c r="AY100" s="35" t="s">
        <v>429</v>
      </c>
      <c r="AZ100" s="35" t="s">
        <v>429</v>
      </c>
      <c r="BA100" s="35" t="s">
        <v>429</v>
      </c>
      <c r="BB100" s="35" t="s">
        <v>429</v>
      </c>
      <c r="BC100" s="35" t="s">
        <v>429</v>
      </c>
      <c r="BD100" s="35" t="s">
        <v>1447</v>
      </c>
      <c r="BE100" s="35" t="s">
        <v>1448</v>
      </c>
      <c r="BF100" s="35" t="s">
        <v>392</v>
      </c>
      <c r="BG100" s="35" t="s">
        <v>433</v>
      </c>
      <c r="BH100" s="35" t="s">
        <v>678</v>
      </c>
      <c r="BI100" s="35" t="s">
        <v>1449</v>
      </c>
      <c r="BJ100" s="35" t="s">
        <v>509</v>
      </c>
      <c r="BK100" s="35" t="s">
        <v>1450</v>
      </c>
      <c r="BL100" s="35" t="s">
        <v>681</v>
      </c>
      <c r="BM100" s="35" t="s">
        <v>603</v>
      </c>
      <c r="BN100" s="35" t="s">
        <v>549</v>
      </c>
      <c r="BO100" s="35" t="s">
        <v>513</v>
      </c>
      <c r="CM100" s="35" t="s">
        <v>441</v>
      </c>
      <c r="CN100" s="35" t="s">
        <v>604</v>
      </c>
      <c r="CO100" s="35" t="s">
        <v>11061</v>
      </c>
      <c r="CP100" s="35" t="s">
        <v>11062</v>
      </c>
      <c r="CQ100" s="35" t="s">
        <v>445</v>
      </c>
      <c r="CR100" s="35" t="s">
        <v>1453</v>
      </c>
      <c r="CS100" s="35" t="s">
        <v>447</v>
      </c>
      <c r="CT100" s="35" t="s">
        <v>1454</v>
      </c>
      <c r="CU100" s="35" t="s">
        <v>11063</v>
      </c>
      <c r="CV100" s="35" t="s">
        <v>519</v>
      </c>
      <c r="CW100" s="35" t="s">
        <v>451</v>
      </c>
      <c r="CX100" s="35" t="s">
        <v>11064</v>
      </c>
      <c r="CY100" s="35" t="s">
        <v>733</v>
      </c>
      <c r="CZ100" s="35" t="s">
        <v>11065</v>
      </c>
      <c r="DA100" s="35" t="s">
        <v>453</v>
      </c>
      <c r="DB100" s="35" t="s">
        <v>11066</v>
      </c>
      <c r="DC100" s="35" t="s">
        <v>455</v>
      </c>
      <c r="DD100" s="35" t="s">
        <v>11067</v>
      </c>
      <c r="DE100" s="35" t="s">
        <v>457</v>
      </c>
      <c r="DF100" s="35" t="s">
        <v>691</v>
      </c>
      <c r="DG100" s="35" t="s">
        <v>1460</v>
      </c>
      <c r="DH100" s="35" t="s">
        <v>561</v>
      </c>
      <c r="DI100" s="35" t="s">
        <v>833</v>
      </c>
      <c r="DJ100" s="35" t="s">
        <v>459</v>
      </c>
      <c r="DK100" s="35" t="s">
        <v>613</v>
      </c>
      <c r="EU100" s="35" t="s">
        <v>526</v>
      </c>
      <c r="EV100" s="35" t="s">
        <v>479</v>
      </c>
      <c r="EW100" s="35" t="s">
        <v>480</v>
      </c>
      <c r="EY100" s="35" t="s">
        <v>11068</v>
      </c>
      <c r="FA100" s="35" t="s">
        <v>413</v>
      </c>
      <c r="FB100" s="35" t="s">
        <v>415</v>
      </c>
      <c r="FC100" s="35" t="s">
        <v>413</v>
      </c>
      <c r="FD100" s="35" t="s">
        <v>413</v>
      </c>
      <c r="FE100" s="35" t="s">
        <v>413</v>
      </c>
      <c r="FF100" s="35" t="s">
        <v>413</v>
      </c>
      <c r="FG100" s="35" t="s">
        <v>415</v>
      </c>
      <c r="FH100" s="35" t="s">
        <v>415</v>
      </c>
      <c r="FI100" s="35" t="s">
        <v>415</v>
      </c>
      <c r="FJ100" s="35" t="s">
        <v>414</v>
      </c>
      <c r="FK100" s="35" t="s">
        <v>414</v>
      </c>
      <c r="FL100" s="35" t="s">
        <v>415</v>
      </c>
      <c r="FM100" s="35" t="s">
        <v>415</v>
      </c>
      <c r="FN100" s="35" t="s">
        <v>415</v>
      </c>
      <c r="FO100" s="35" t="s">
        <v>414</v>
      </c>
      <c r="FP100" s="35" t="s">
        <v>485</v>
      </c>
      <c r="FQ100" s="35" t="s">
        <v>486</v>
      </c>
      <c r="FR100" s="35" t="s">
        <v>712</v>
      </c>
      <c r="FT100" s="35" t="s">
        <v>1189</v>
      </c>
      <c r="FU100" s="35" t="s">
        <v>1462</v>
      </c>
      <c r="FV100" s="35" t="s">
        <v>533</v>
      </c>
      <c r="FW100" s="35" t="s">
        <v>490</v>
      </c>
      <c r="FX100" s="35" t="s">
        <v>491</v>
      </c>
      <c r="FY100" s="35" t="s">
        <v>1463</v>
      </c>
      <c r="FZ100" s="35" t="s">
        <v>1020</v>
      </c>
      <c r="GC100" s="35" t="s">
        <v>455</v>
      </c>
      <c r="GD100" s="35" t="s">
        <v>11069</v>
      </c>
      <c r="GF100" s="35" t="s">
        <v>786</v>
      </c>
      <c r="GH100" s="35" t="s">
        <v>857</v>
      </c>
      <c r="GI100" s="35" t="s">
        <v>857</v>
      </c>
      <c r="GJ100" s="35" t="s">
        <v>790</v>
      </c>
    </row>
    <row r="101">
      <c r="A101" s="40"/>
      <c r="B101" s="40">
        <v>45827.396721377314</v>
      </c>
      <c r="C101" s="35" t="s">
        <v>368</v>
      </c>
      <c r="D101" s="35" t="s">
        <v>370</v>
      </c>
      <c r="F101" s="35" t="s">
        <v>1464</v>
      </c>
      <c r="H101" s="35" t="s">
        <v>422</v>
      </c>
      <c r="I101" s="35" t="s">
        <v>539</v>
      </c>
      <c r="J101" s="35" t="s">
        <v>424</v>
      </c>
      <c r="K101" s="35" t="s">
        <v>718</v>
      </c>
      <c r="L101" s="35" t="s">
        <v>376</v>
      </c>
      <c r="M101" s="35" t="s">
        <v>426</v>
      </c>
      <c r="N101" s="35" t="s">
        <v>378</v>
      </c>
      <c r="O101" s="35" t="s">
        <v>591</v>
      </c>
      <c r="P101" s="35" t="s">
        <v>11070</v>
      </c>
      <c r="Q101" s="35" t="s">
        <v>498</v>
      </c>
      <c r="R101" s="35" t="s">
        <v>1342</v>
      </c>
      <c r="S101" s="35" t="s">
        <v>427</v>
      </c>
      <c r="T101" s="35" t="s">
        <v>384</v>
      </c>
      <c r="U101" s="35" t="s">
        <v>385</v>
      </c>
      <c r="X101" s="35" t="s">
        <v>428</v>
      </c>
      <c r="AW101" s="35" t="s">
        <v>1310</v>
      </c>
      <c r="AX101" s="41">
        <v>4.0</v>
      </c>
      <c r="AY101" s="35" t="s">
        <v>391</v>
      </c>
      <c r="AZ101" s="41">
        <v>4.0</v>
      </c>
      <c r="BA101" s="35" t="s">
        <v>429</v>
      </c>
      <c r="BB101" s="41">
        <v>2.0</v>
      </c>
      <c r="BC101" s="35" t="s">
        <v>391</v>
      </c>
      <c r="BF101" s="35" t="s">
        <v>432</v>
      </c>
      <c r="BG101" s="35" t="s">
        <v>393</v>
      </c>
      <c r="BH101" s="35" t="s">
        <v>678</v>
      </c>
      <c r="BJ101" s="35" t="s">
        <v>727</v>
      </c>
      <c r="BL101" s="35" t="s">
        <v>681</v>
      </c>
      <c r="BM101" s="35" t="s">
        <v>904</v>
      </c>
      <c r="BN101" s="35" t="s">
        <v>1247</v>
      </c>
      <c r="BO101" s="35" t="s">
        <v>513</v>
      </c>
      <c r="CM101" s="35" t="s">
        <v>441</v>
      </c>
      <c r="CN101" s="35" t="s">
        <v>401</v>
      </c>
      <c r="CO101" s="35" t="s">
        <v>552</v>
      </c>
      <c r="CP101" s="35" t="s">
        <v>11071</v>
      </c>
      <c r="CQ101" s="35" t="s">
        <v>685</v>
      </c>
      <c r="CR101" s="35" t="s">
        <v>1467</v>
      </c>
      <c r="CS101" s="35" t="s">
        <v>555</v>
      </c>
      <c r="CT101" s="35" t="s">
        <v>1346</v>
      </c>
      <c r="CU101" s="35" t="s">
        <v>1468</v>
      </c>
      <c r="CV101" s="35" t="s">
        <v>982</v>
      </c>
      <c r="CW101" s="35" t="s">
        <v>451</v>
      </c>
      <c r="CX101" s="35" t="s">
        <v>11072</v>
      </c>
      <c r="CY101" s="35" t="s">
        <v>408</v>
      </c>
      <c r="DA101" s="35" t="s">
        <v>985</v>
      </c>
      <c r="DB101" s="35" t="s">
        <v>11073</v>
      </c>
      <c r="DC101" s="35" t="s">
        <v>408</v>
      </c>
      <c r="DE101" s="35" t="s">
        <v>988</v>
      </c>
      <c r="DG101" s="35" t="s">
        <v>1471</v>
      </c>
      <c r="DH101" s="35" t="s">
        <v>561</v>
      </c>
      <c r="DI101" s="35" t="s">
        <v>1220</v>
      </c>
      <c r="DJ101" s="35" t="s">
        <v>963</v>
      </c>
      <c r="DK101" s="35" t="s">
        <v>460</v>
      </c>
      <c r="DL101" s="35" t="s">
        <v>525</v>
      </c>
      <c r="EU101" s="35" t="s">
        <v>526</v>
      </c>
      <c r="EV101" s="35" t="s">
        <v>479</v>
      </c>
      <c r="EW101" s="35" t="s">
        <v>480</v>
      </c>
      <c r="EX101" s="35" t="s">
        <v>11074</v>
      </c>
      <c r="EY101" s="35" t="s">
        <v>1473</v>
      </c>
      <c r="EZ101" s="35" t="s">
        <v>7785</v>
      </c>
      <c r="FA101" s="35" t="s">
        <v>415</v>
      </c>
      <c r="FB101" s="35" t="s">
        <v>415</v>
      </c>
      <c r="FC101" s="35" t="s">
        <v>413</v>
      </c>
      <c r="FD101" s="35" t="s">
        <v>413</v>
      </c>
      <c r="FE101" s="35" t="s">
        <v>413</v>
      </c>
      <c r="FF101" s="35" t="s">
        <v>415</v>
      </c>
      <c r="FG101" s="35" t="s">
        <v>413</v>
      </c>
      <c r="FH101" s="35" t="s">
        <v>415</v>
      </c>
      <c r="FI101" s="35" t="s">
        <v>415</v>
      </c>
      <c r="FJ101" s="35" t="s">
        <v>415</v>
      </c>
      <c r="FK101" s="35" t="s">
        <v>415</v>
      </c>
      <c r="FL101" s="35" t="s">
        <v>415</v>
      </c>
      <c r="FM101" s="35" t="s">
        <v>415</v>
      </c>
      <c r="FN101" s="35" t="s">
        <v>415</v>
      </c>
      <c r="FO101" s="35" t="s">
        <v>415</v>
      </c>
      <c r="FP101" s="35" t="s">
        <v>850</v>
      </c>
      <c r="FQ101" s="35" t="s">
        <v>418</v>
      </c>
      <c r="FR101" s="35" t="s">
        <v>712</v>
      </c>
      <c r="FS101" s="35" t="s">
        <v>1475</v>
      </c>
      <c r="FT101" s="35" t="s">
        <v>420</v>
      </c>
      <c r="FU101" s="35" t="s">
        <v>1476</v>
      </c>
      <c r="FV101" s="35" t="s">
        <v>918</v>
      </c>
      <c r="FW101" s="35" t="s">
        <v>490</v>
      </c>
      <c r="FX101" s="35" t="s">
        <v>491</v>
      </c>
      <c r="FY101" s="35" t="s">
        <v>1477</v>
      </c>
      <c r="FZ101" s="35" t="s">
        <v>535</v>
      </c>
      <c r="GB101" s="35" t="s">
        <v>11075</v>
      </c>
      <c r="GC101" s="35" t="s">
        <v>455</v>
      </c>
      <c r="GD101" s="35" t="s">
        <v>11076</v>
      </c>
      <c r="GF101" s="35" t="s">
        <v>753</v>
      </c>
      <c r="GG101" s="35" t="s">
        <v>1479</v>
      </c>
      <c r="GH101" s="35" t="s">
        <v>788</v>
      </c>
      <c r="GI101" s="35" t="s">
        <v>788</v>
      </c>
      <c r="GJ101" s="35" t="s">
        <v>756</v>
      </c>
    </row>
    <row r="102">
      <c r="A102" s="40"/>
      <c r="B102" s="40">
        <v>45827.41032530092</v>
      </c>
      <c r="C102" s="35" t="s">
        <v>368</v>
      </c>
      <c r="D102" s="35" t="s">
        <v>634</v>
      </c>
      <c r="E102" s="35" t="s">
        <v>634</v>
      </c>
      <c r="H102" s="35" t="s">
        <v>1503</v>
      </c>
      <c r="I102" s="35" t="s">
        <v>1203</v>
      </c>
      <c r="J102" s="35" t="s">
        <v>638</v>
      </c>
      <c r="K102" s="35" t="s">
        <v>1204</v>
      </c>
      <c r="L102" s="35" t="s">
        <v>376</v>
      </c>
      <c r="M102" s="35" t="s">
        <v>379</v>
      </c>
      <c r="N102" s="35" t="s">
        <v>378</v>
      </c>
      <c r="O102" s="35" t="s">
        <v>379</v>
      </c>
      <c r="P102" s="35" t="s">
        <v>380</v>
      </c>
      <c r="Q102" s="35" t="s">
        <v>1504</v>
      </c>
      <c r="R102" s="35" t="s">
        <v>1156</v>
      </c>
      <c r="S102" s="35" t="s">
        <v>427</v>
      </c>
      <c r="T102" s="35" t="s">
        <v>384</v>
      </c>
      <c r="U102" s="35" t="s">
        <v>385</v>
      </c>
      <c r="X102" s="35" t="s">
        <v>593</v>
      </c>
      <c r="Y102" s="35" t="s">
        <v>642</v>
      </c>
      <c r="AM102" s="35" t="s">
        <v>1505</v>
      </c>
      <c r="AN102" s="35" t="s">
        <v>644</v>
      </c>
      <c r="AO102" s="35" t="s">
        <v>408</v>
      </c>
      <c r="AQ102" s="35" t="s">
        <v>1506</v>
      </c>
      <c r="AR102" s="41">
        <v>5.0</v>
      </c>
      <c r="AS102" s="35" t="s">
        <v>1507</v>
      </c>
      <c r="AW102" s="35" t="s">
        <v>1310</v>
      </c>
      <c r="AX102" s="41">
        <v>4.0</v>
      </c>
      <c r="AY102" s="41">
        <v>4.0</v>
      </c>
      <c r="AZ102" s="41">
        <v>4.0</v>
      </c>
      <c r="BA102" s="41">
        <v>4.0</v>
      </c>
      <c r="BB102" s="41">
        <v>4.0</v>
      </c>
      <c r="BC102" s="41">
        <v>4.0</v>
      </c>
      <c r="BF102" s="35" t="s">
        <v>902</v>
      </c>
      <c r="BG102" s="35" t="s">
        <v>1095</v>
      </c>
      <c r="BH102" s="35" t="s">
        <v>678</v>
      </c>
      <c r="BJ102" s="35" t="s">
        <v>727</v>
      </c>
      <c r="BL102" s="35" t="s">
        <v>437</v>
      </c>
      <c r="BM102" s="35" t="s">
        <v>904</v>
      </c>
      <c r="BN102" s="35" t="s">
        <v>1247</v>
      </c>
      <c r="BO102" s="35" t="s">
        <v>513</v>
      </c>
      <c r="CM102" s="35" t="s">
        <v>550</v>
      </c>
      <c r="CN102" s="35" t="s">
        <v>401</v>
      </c>
      <c r="CQ102" s="35" t="s">
        <v>979</v>
      </c>
      <c r="CR102" s="35" t="s">
        <v>1508</v>
      </c>
      <c r="CS102" s="35" t="s">
        <v>804</v>
      </c>
      <c r="CT102" s="35" t="s">
        <v>1509</v>
      </c>
      <c r="CV102" s="35" t="s">
        <v>450</v>
      </c>
      <c r="CW102" s="35" t="s">
        <v>451</v>
      </c>
      <c r="CY102" s="35" t="s">
        <v>408</v>
      </c>
      <c r="DA102" s="35" t="s">
        <v>453</v>
      </c>
      <c r="DE102" s="35" t="s">
        <v>988</v>
      </c>
      <c r="DH102" s="35" t="s">
        <v>524</v>
      </c>
      <c r="DI102" s="35" t="s">
        <v>410</v>
      </c>
      <c r="DJ102" s="35" t="s">
        <v>459</v>
      </c>
      <c r="DK102" s="35" t="s">
        <v>460</v>
      </c>
      <c r="DL102" s="35" t="s">
        <v>461</v>
      </c>
      <c r="EU102" s="35" t="s">
        <v>526</v>
      </c>
      <c r="EV102" s="35" t="s">
        <v>479</v>
      </c>
      <c r="EW102" s="35" t="s">
        <v>527</v>
      </c>
      <c r="FA102" s="35" t="s">
        <v>413</v>
      </c>
      <c r="FB102" s="35" t="s">
        <v>414</v>
      </c>
      <c r="FC102" s="35" t="s">
        <v>413</v>
      </c>
      <c r="FD102" s="35" t="s">
        <v>413</v>
      </c>
      <c r="FE102" s="35" t="s">
        <v>413</v>
      </c>
      <c r="FF102" s="35" t="s">
        <v>414</v>
      </c>
      <c r="FG102" s="35" t="s">
        <v>415</v>
      </c>
      <c r="FH102" s="35" t="s">
        <v>413</v>
      </c>
      <c r="FI102" s="35" t="s">
        <v>583</v>
      </c>
      <c r="FJ102" s="35" t="s">
        <v>413</v>
      </c>
      <c r="FK102" s="35" t="s">
        <v>415</v>
      </c>
      <c r="FL102" s="35" t="s">
        <v>413</v>
      </c>
      <c r="FM102" s="35" t="s">
        <v>413</v>
      </c>
      <c r="FN102" s="35" t="s">
        <v>413</v>
      </c>
      <c r="FO102" s="35" t="s">
        <v>583</v>
      </c>
      <c r="FP102" s="35" t="s">
        <v>485</v>
      </c>
      <c r="FQ102" s="35" t="s">
        <v>486</v>
      </c>
      <c r="FR102" s="35" t="s">
        <v>419</v>
      </c>
      <c r="FT102" s="35" t="s">
        <v>420</v>
      </c>
      <c r="FU102" s="35" t="s">
        <v>1462</v>
      </c>
      <c r="FV102" s="35" t="s">
        <v>533</v>
      </c>
      <c r="FW102" s="35" t="s">
        <v>490</v>
      </c>
      <c r="FX102" s="35" t="s">
        <v>491</v>
      </c>
      <c r="FZ102" s="35" t="s">
        <v>535</v>
      </c>
      <c r="GC102" s="35" t="s">
        <v>408</v>
      </c>
      <c r="GH102" s="35" t="s">
        <v>1000</v>
      </c>
      <c r="GI102" s="35" t="s">
        <v>755</v>
      </c>
      <c r="GJ102" s="35" t="s">
        <v>858</v>
      </c>
    </row>
    <row r="103">
      <c r="A103" s="40"/>
      <c r="B103" s="40">
        <v>45827.43042048611</v>
      </c>
      <c r="C103" s="35" t="s">
        <v>368</v>
      </c>
      <c r="D103" s="35" t="s">
        <v>370</v>
      </c>
      <c r="F103" s="35" t="s">
        <v>1510</v>
      </c>
      <c r="H103" s="35" t="s">
        <v>422</v>
      </c>
      <c r="I103" s="35" t="s">
        <v>637</v>
      </c>
      <c r="J103" s="35" t="s">
        <v>638</v>
      </c>
      <c r="K103" s="35" t="s">
        <v>590</v>
      </c>
      <c r="L103" s="35" t="s">
        <v>376</v>
      </c>
      <c r="M103" s="35" t="s">
        <v>591</v>
      </c>
      <c r="N103" s="35" t="s">
        <v>1024</v>
      </c>
      <c r="O103" s="35" t="s">
        <v>379</v>
      </c>
      <c r="P103" s="35" t="s">
        <v>1511</v>
      </c>
      <c r="Q103" s="35" t="s">
        <v>381</v>
      </c>
      <c r="R103" s="35" t="s">
        <v>759</v>
      </c>
      <c r="S103" s="35" t="s">
        <v>949</v>
      </c>
      <c r="T103" s="35" t="s">
        <v>1512</v>
      </c>
      <c r="U103" s="35" t="s">
        <v>385</v>
      </c>
      <c r="X103" s="35" t="s">
        <v>386</v>
      </c>
      <c r="Y103" s="35" t="s">
        <v>387</v>
      </c>
      <c r="Z103" s="35" t="s">
        <v>388</v>
      </c>
      <c r="AA103" s="35" t="s">
        <v>502</v>
      </c>
      <c r="AB103" s="35" t="s">
        <v>1513</v>
      </c>
      <c r="AW103" s="35" t="s">
        <v>504</v>
      </c>
      <c r="AX103" s="35" t="s">
        <v>429</v>
      </c>
      <c r="AY103" s="35" t="s">
        <v>429</v>
      </c>
      <c r="AZ103" s="35" t="s">
        <v>429</v>
      </c>
      <c r="BA103" s="35" t="s">
        <v>429</v>
      </c>
      <c r="BB103" s="35" t="s">
        <v>429</v>
      </c>
      <c r="BC103" s="41">
        <v>2.0</v>
      </c>
      <c r="BD103" s="35" t="s">
        <v>1514</v>
      </c>
      <c r="BE103" s="35" t="s">
        <v>1515</v>
      </c>
      <c r="BF103" s="35" t="s">
        <v>392</v>
      </c>
      <c r="BG103" s="35" t="s">
        <v>433</v>
      </c>
      <c r="BH103" s="35" t="s">
        <v>678</v>
      </c>
      <c r="BJ103" s="35" t="s">
        <v>824</v>
      </c>
      <c r="BL103" s="35" t="s">
        <v>511</v>
      </c>
      <c r="BM103" s="35" t="s">
        <v>512</v>
      </c>
      <c r="BN103" s="35" t="s">
        <v>439</v>
      </c>
      <c r="BO103" s="35" t="s">
        <v>513</v>
      </c>
      <c r="CM103" s="35" t="s">
        <v>441</v>
      </c>
      <c r="CN103" s="35" t="s">
        <v>604</v>
      </c>
      <c r="CP103" s="35" t="s">
        <v>11077</v>
      </c>
      <c r="CQ103" s="35" t="s">
        <v>403</v>
      </c>
      <c r="CR103" s="35" t="s">
        <v>1517</v>
      </c>
      <c r="CS103" s="35" t="s">
        <v>404</v>
      </c>
      <c r="CT103" s="35" t="s">
        <v>1518</v>
      </c>
      <c r="CV103" s="35" t="s">
        <v>519</v>
      </c>
      <c r="CW103" s="35" t="s">
        <v>451</v>
      </c>
      <c r="CX103" s="35" t="s">
        <v>1519</v>
      </c>
      <c r="CY103" s="35" t="s">
        <v>455</v>
      </c>
      <c r="DA103" s="35" t="s">
        <v>453</v>
      </c>
      <c r="DB103" s="35" t="s">
        <v>1520</v>
      </c>
      <c r="DC103" s="35" t="s">
        <v>455</v>
      </c>
      <c r="DD103" s="35" t="s">
        <v>11078</v>
      </c>
      <c r="DE103" s="35" t="s">
        <v>457</v>
      </c>
      <c r="DH103" s="35" t="s">
        <v>776</v>
      </c>
      <c r="DI103" s="35" t="s">
        <v>410</v>
      </c>
      <c r="DJ103" s="35" t="s">
        <v>777</v>
      </c>
      <c r="DK103" s="35" t="s">
        <v>562</v>
      </c>
      <c r="DL103" s="35" t="s">
        <v>1434</v>
      </c>
      <c r="EU103" s="35" t="s">
        <v>478</v>
      </c>
      <c r="EV103" s="35" t="s">
        <v>479</v>
      </c>
      <c r="EW103" s="35" t="s">
        <v>1262</v>
      </c>
      <c r="EY103" s="35" t="s">
        <v>11079</v>
      </c>
      <c r="EZ103" s="35" t="s">
        <v>11080</v>
      </c>
      <c r="FA103" s="35" t="s">
        <v>414</v>
      </c>
      <c r="FB103" s="35" t="s">
        <v>414</v>
      </c>
      <c r="FC103" s="35" t="s">
        <v>415</v>
      </c>
      <c r="FD103" s="35" t="s">
        <v>414</v>
      </c>
      <c r="FE103" s="35" t="s">
        <v>416</v>
      </c>
      <c r="FF103" s="35" t="s">
        <v>414</v>
      </c>
      <c r="FG103" s="35" t="s">
        <v>415</v>
      </c>
      <c r="FH103" s="35" t="s">
        <v>416</v>
      </c>
      <c r="FI103" s="35" t="s">
        <v>583</v>
      </c>
      <c r="FJ103" s="35" t="s">
        <v>583</v>
      </c>
      <c r="FK103" s="35" t="s">
        <v>414</v>
      </c>
      <c r="FL103" s="35" t="s">
        <v>415</v>
      </c>
      <c r="FM103" s="35" t="s">
        <v>415</v>
      </c>
      <c r="FN103" s="35" t="s">
        <v>414</v>
      </c>
      <c r="FO103" s="35" t="s">
        <v>583</v>
      </c>
      <c r="FP103" s="35" t="s">
        <v>417</v>
      </c>
      <c r="FQ103" s="35" t="s">
        <v>486</v>
      </c>
      <c r="FR103" s="35" t="s">
        <v>630</v>
      </c>
      <c r="FS103" s="35" t="s">
        <v>1524</v>
      </c>
      <c r="FT103" s="35" t="s">
        <v>420</v>
      </c>
      <c r="FU103" s="35" t="s">
        <v>1462</v>
      </c>
      <c r="FV103" s="35" t="s">
        <v>1235</v>
      </c>
      <c r="FW103" s="35" t="s">
        <v>490</v>
      </c>
      <c r="FX103" s="35" t="s">
        <v>491</v>
      </c>
      <c r="FY103" s="35" t="s">
        <v>1525</v>
      </c>
      <c r="FZ103" s="35" t="s">
        <v>493</v>
      </c>
      <c r="GC103" s="35" t="s">
        <v>455</v>
      </c>
      <c r="GD103" s="35" t="s">
        <v>11081</v>
      </c>
      <c r="GF103" s="35" t="s">
        <v>855</v>
      </c>
      <c r="GH103" s="35" t="s">
        <v>755</v>
      </c>
      <c r="GI103" s="35" t="s">
        <v>755</v>
      </c>
      <c r="GJ103" s="35" t="s">
        <v>946</v>
      </c>
    </row>
    <row r="104">
      <c r="A104" s="40"/>
      <c r="B104" s="40">
        <v>45827.43160585648</v>
      </c>
      <c r="C104" s="35" t="s">
        <v>368</v>
      </c>
      <c r="D104" s="35" t="s">
        <v>538</v>
      </c>
      <c r="E104" s="35" t="s">
        <v>538</v>
      </c>
      <c r="H104" s="35" t="s">
        <v>422</v>
      </c>
      <c r="I104" s="35" t="s">
        <v>539</v>
      </c>
      <c r="J104" s="35" t="s">
        <v>424</v>
      </c>
      <c r="K104" s="35" t="s">
        <v>375</v>
      </c>
      <c r="L104" s="35" t="s">
        <v>376</v>
      </c>
      <c r="M104" s="35" t="s">
        <v>1526</v>
      </c>
      <c r="N104" s="35" t="s">
        <v>378</v>
      </c>
      <c r="O104" s="35" t="s">
        <v>1526</v>
      </c>
      <c r="P104" s="35" t="s">
        <v>497</v>
      </c>
      <c r="Q104" s="35" t="s">
        <v>381</v>
      </c>
      <c r="R104" s="35" t="s">
        <v>759</v>
      </c>
      <c r="S104" s="35" t="s">
        <v>500</v>
      </c>
      <c r="T104" s="35" t="s">
        <v>384</v>
      </c>
      <c r="U104" s="35" t="s">
        <v>385</v>
      </c>
      <c r="X104" s="35" t="s">
        <v>760</v>
      </c>
      <c r="Y104" s="35" t="s">
        <v>387</v>
      </c>
      <c r="AA104" s="35" t="s">
        <v>389</v>
      </c>
      <c r="AW104" s="35" t="s">
        <v>504</v>
      </c>
      <c r="AX104" s="41">
        <v>2.0</v>
      </c>
      <c r="AY104" s="41">
        <v>2.0</v>
      </c>
      <c r="AZ104" s="41">
        <v>2.0</v>
      </c>
      <c r="BA104" s="35" t="s">
        <v>429</v>
      </c>
      <c r="BB104" s="41">
        <v>2.0</v>
      </c>
      <c r="BC104" s="35" t="s">
        <v>391</v>
      </c>
      <c r="BF104" s="35" t="s">
        <v>902</v>
      </c>
      <c r="BG104" s="35" t="s">
        <v>433</v>
      </c>
      <c r="BH104" s="35" t="s">
        <v>765</v>
      </c>
      <c r="BI104" s="35" t="s">
        <v>11082</v>
      </c>
      <c r="BJ104" s="35" t="s">
        <v>509</v>
      </c>
      <c r="BL104" s="35" t="s">
        <v>681</v>
      </c>
      <c r="BM104" s="35" t="s">
        <v>512</v>
      </c>
      <c r="BN104" s="35" t="s">
        <v>439</v>
      </c>
      <c r="BO104" s="35" t="s">
        <v>513</v>
      </c>
      <c r="CM104" s="35" t="s">
        <v>550</v>
      </c>
      <c r="CN104" s="35" t="s">
        <v>401</v>
      </c>
      <c r="CO104" s="35" t="s">
        <v>552</v>
      </c>
      <c r="CQ104" s="35" t="s">
        <v>403</v>
      </c>
      <c r="CR104" s="35" t="s">
        <v>931</v>
      </c>
      <c r="CS104" s="35" t="s">
        <v>804</v>
      </c>
      <c r="CT104" s="35" t="s">
        <v>1528</v>
      </c>
      <c r="CU104" s="35" t="s">
        <v>11083</v>
      </c>
      <c r="CV104" s="35" t="s">
        <v>450</v>
      </c>
      <c r="CW104" s="35" t="s">
        <v>451</v>
      </c>
      <c r="CX104" s="35" t="s">
        <v>11084</v>
      </c>
      <c r="CY104" s="35" t="s">
        <v>408</v>
      </c>
      <c r="DA104" s="35" t="s">
        <v>453</v>
      </c>
      <c r="DB104" s="35" t="s">
        <v>11085</v>
      </c>
      <c r="DC104" s="35" t="s">
        <v>455</v>
      </c>
      <c r="DD104" s="35" t="s">
        <v>11086</v>
      </c>
      <c r="DE104" s="35" t="s">
        <v>406</v>
      </c>
      <c r="DF104" s="35" t="s">
        <v>691</v>
      </c>
      <c r="DH104" s="35" t="s">
        <v>561</v>
      </c>
      <c r="DI104" s="35" t="s">
        <v>410</v>
      </c>
      <c r="DJ104" s="35" t="s">
        <v>963</v>
      </c>
      <c r="DK104" s="35" t="s">
        <v>562</v>
      </c>
      <c r="DL104" s="35" t="s">
        <v>563</v>
      </c>
      <c r="DM104" s="35" t="s">
        <v>11087</v>
      </c>
      <c r="EU104" s="35" t="s">
        <v>526</v>
      </c>
      <c r="EV104" s="35" t="s">
        <v>579</v>
      </c>
      <c r="EW104" s="35" t="s">
        <v>1534</v>
      </c>
      <c r="EY104" s="35" t="s">
        <v>11088</v>
      </c>
      <c r="EZ104" s="35" t="s">
        <v>11089</v>
      </c>
      <c r="FA104" s="35" t="s">
        <v>414</v>
      </c>
      <c r="FB104" s="35" t="s">
        <v>583</v>
      </c>
      <c r="FC104" s="35" t="s">
        <v>413</v>
      </c>
      <c r="FD104" s="35" t="s">
        <v>415</v>
      </c>
      <c r="FE104" s="35" t="s">
        <v>416</v>
      </c>
      <c r="FF104" s="35" t="s">
        <v>583</v>
      </c>
      <c r="FG104" s="35" t="s">
        <v>415</v>
      </c>
      <c r="FH104" s="35" t="s">
        <v>415</v>
      </c>
      <c r="FI104" s="35" t="s">
        <v>415</v>
      </c>
      <c r="FJ104" s="35" t="s">
        <v>416</v>
      </c>
      <c r="FK104" s="35" t="s">
        <v>416</v>
      </c>
      <c r="FL104" s="35" t="s">
        <v>415</v>
      </c>
      <c r="FM104" s="35" t="s">
        <v>414</v>
      </c>
      <c r="FN104" s="35" t="s">
        <v>415</v>
      </c>
      <c r="FO104" s="35" t="s">
        <v>415</v>
      </c>
      <c r="FP104" s="35" t="s">
        <v>1537</v>
      </c>
      <c r="FQ104" s="35" t="s">
        <v>486</v>
      </c>
      <c r="FR104" s="35" t="s">
        <v>1039</v>
      </c>
      <c r="FT104" s="35" t="s">
        <v>420</v>
      </c>
      <c r="FU104" s="35" t="s">
        <v>1462</v>
      </c>
      <c r="FV104" s="35" t="s">
        <v>1235</v>
      </c>
      <c r="FW104" s="35" t="s">
        <v>490</v>
      </c>
      <c r="FX104" s="35" t="s">
        <v>491</v>
      </c>
      <c r="FY104" s="35" t="s">
        <v>11090</v>
      </c>
      <c r="FZ104" s="35" t="s">
        <v>535</v>
      </c>
      <c r="GC104" s="35" t="s">
        <v>408</v>
      </c>
      <c r="GH104" s="35" t="s">
        <v>920</v>
      </c>
      <c r="GI104" s="35" t="s">
        <v>1000</v>
      </c>
      <c r="GJ104" s="35" t="s">
        <v>858</v>
      </c>
    </row>
    <row r="105">
      <c r="A105" s="40"/>
      <c r="B105" s="40">
        <v>45827.56687807871</v>
      </c>
      <c r="C105" s="35" t="s">
        <v>368</v>
      </c>
      <c r="D105" s="35" t="s">
        <v>1341</v>
      </c>
      <c r="E105" s="35" t="s">
        <v>1341</v>
      </c>
      <c r="F105" s="35" t="s">
        <v>1023</v>
      </c>
      <c r="H105" s="35" t="s">
        <v>1140</v>
      </c>
      <c r="I105" s="35" t="s">
        <v>637</v>
      </c>
      <c r="J105" s="35" t="s">
        <v>638</v>
      </c>
      <c r="K105" s="35" t="s">
        <v>590</v>
      </c>
      <c r="L105" s="35" t="s">
        <v>376</v>
      </c>
      <c r="M105" s="35" t="s">
        <v>377</v>
      </c>
      <c r="N105" s="35" t="s">
        <v>378</v>
      </c>
      <c r="O105" s="35" t="s">
        <v>379</v>
      </c>
      <c r="P105" s="35" t="s">
        <v>497</v>
      </c>
      <c r="Q105" s="35" t="s">
        <v>381</v>
      </c>
      <c r="R105" s="35" t="s">
        <v>818</v>
      </c>
      <c r="S105" s="35" t="s">
        <v>427</v>
      </c>
      <c r="T105" s="35" t="s">
        <v>384</v>
      </c>
      <c r="U105" s="35" t="s">
        <v>385</v>
      </c>
      <c r="X105" s="35" t="s">
        <v>386</v>
      </c>
      <c r="Y105" s="35" t="s">
        <v>642</v>
      </c>
      <c r="AM105" s="35" t="s">
        <v>1141</v>
      </c>
      <c r="AN105" s="35" t="s">
        <v>644</v>
      </c>
      <c r="AO105" s="35" t="s">
        <v>455</v>
      </c>
      <c r="AP105" s="35" t="s">
        <v>1638</v>
      </c>
      <c r="AQ105" s="35" t="s">
        <v>1144</v>
      </c>
      <c r="AR105" s="41">
        <v>4.0</v>
      </c>
      <c r="AS105" s="35" t="s">
        <v>1639</v>
      </c>
      <c r="AT105" s="35" t="s">
        <v>11091</v>
      </c>
      <c r="AU105" s="35" t="s">
        <v>1641</v>
      </c>
      <c r="AV105" s="35" t="s">
        <v>11092</v>
      </c>
      <c r="AW105" s="35" t="s">
        <v>390</v>
      </c>
      <c r="AX105" s="35" t="s">
        <v>429</v>
      </c>
      <c r="AY105" s="35" t="s">
        <v>429</v>
      </c>
      <c r="AZ105" s="41">
        <v>2.0</v>
      </c>
      <c r="BA105" s="41">
        <v>2.0</v>
      </c>
      <c r="BB105" s="35" t="s">
        <v>429</v>
      </c>
      <c r="BC105" s="35" t="s">
        <v>429</v>
      </c>
      <c r="BD105" s="35" t="s">
        <v>1643</v>
      </c>
      <c r="BE105" s="35" t="s">
        <v>1644</v>
      </c>
      <c r="BF105" s="35" t="s">
        <v>392</v>
      </c>
      <c r="BG105" s="35" t="s">
        <v>433</v>
      </c>
      <c r="BH105" s="35" t="s">
        <v>725</v>
      </c>
      <c r="BI105" s="35" t="s">
        <v>1645</v>
      </c>
      <c r="BJ105" s="35" t="s">
        <v>509</v>
      </c>
      <c r="BK105" s="35" t="s">
        <v>1646</v>
      </c>
      <c r="BL105" s="35" t="s">
        <v>681</v>
      </c>
      <c r="BM105" s="35" t="s">
        <v>438</v>
      </c>
      <c r="BN105" s="35" t="s">
        <v>439</v>
      </c>
      <c r="BO105" s="35" t="s">
        <v>513</v>
      </c>
      <c r="CM105" s="35" t="s">
        <v>550</v>
      </c>
      <c r="CN105" s="35" t="s">
        <v>401</v>
      </c>
      <c r="CO105" s="35" t="s">
        <v>1647</v>
      </c>
      <c r="CP105" s="35" t="s">
        <v>1648</v>
      </c>
      <c r="CQ105" s="35" t="s">
        <v>445</v>
      </c>
      <c r="CR105" s="35" t="s">
        <v>1649</v>
      </c>
      <c r="CS105" s="35" t="s">
        <v>447</v>
      </c>
      <c r="CT105" s="35" t="s">
        <v>1650</v>
      </c>
      <c r="CU105" s="35" t="s">
        <v>11093</v>
      </c>
      <c r="CV105" s="35" t="s">
        <v>519</v>
      </c>
      <c r="CW105" s="35" t="s">
        <v>451</v>
      </c>
      <c r="CX105" s="35" t="s">
        <v>11094</v>
      </c>
      <c r="CY105" s="35" t="s">
        <v>408</v>
      </c>
      <c r="DA105" s="35" t="s">
        <v>985</v>
      </c>
      <c r="DB105" s="35" t="s">
        <v>1653</v>
      </c>
      <c r="DC105" s="35" t="s">
        <v>408</v>
      </c>
      <c r="DE105" s="35" t="s">
        <v>406</v>
      </c>
      <c r="DF105" s="35" t="s">
        <v>407</v>
      </c>
      <c r="DG105" s="35" t="s">
        <v>11095</v>
      </c>
      <c r="DH105" s="35" t="s">
        <v>524</v>
      </c>
      <c r="DI105" s="35" t="s">
        <v>410</v>
      </c>
      <c r="DJ105" s="35" t="s">
        <v>459</v>
      </c>
      <c r="DK105" s="35" t="s">
        <v>613</v>
      </c>
      <c r="EU105" s="35" t="s">
        <v>578</v>
      </c>
      <c r="EV105" s="35" t="s">
        <v>887</v>
      </c>
      <c r="EW105" s="35" t="s">
        <v>1534</v>
      </c>
      <c r="EX105" s="35" t="s">
        <v>1655</v>
      </c>
      <c r="EY105" s="35" t="s">
        <v>1656</v>
      </c>
      <c r="EZ105" s="35" t="s">
        <v>11096</v>
      </c>
      <c r="FA105" s="35" t="s">
        <v>414</v>
      </c>
      <c r="FB105" s="35" t="s">
        <v>414</v>
      </c>
      <c r="FC105" s="35" t="s">
        <v>413</v>
      </c>
      <c r="FD105" s="35" t="s">
        <v>415</v>
      </c>
      <c r="FE105" s="35" t="s">
        <v>413</v>
      </c>
      <c r="FF105" s="35" t="s">
        <v>583</v>
      </c>
      <c r="FG105" s="35" t="s">
        <v>415</v>
      </c>
      <c r="FH105" s="35" t="s">
        <v>416</v>
      </c>
      <c r="FI105" s="35" t="s">
        <v>414</v>
      </c>
      <c r="FJ105" s="35" t="s">
        <v>583</v>
      </c>
      <c r="FK105" s="35" t="s">
        <v>415</v>
      </c>
      <c r="FL105" s="35" t="s">
        <v>416</v>
      </c>
      <c r="FM105" s="35" t="s">
        <v>416</v>
      </c>
      <c r="FN105" s="35" t="s">
        <v>413</v>
      </c>
      <c r="FO105" s="35" t="s">
        <v>583</v>
      </c>
      <c r="FP105" s="35" t="s">
        <v>850</v>
      </c>
      <c r="FQ105" s="35" t="s">
        <v>418</v>
      </c>
      <c r="FR105" s="35" t="s">
        <v>749</v>
      </c>
      <c r="FS105" s="35" t="s">
        <v>11097</v>
      </c>
      <c r="FT105" s="35" t="s">
        <v>420</v>
      </c>
      <c r="FU105" s="35" t="s">
        <v>488</v>
      </c>
      <c r="FV105" s="35" t="s">
        <v>918</v>
      </c>
      <c r="FW105" s="35" t="s">
        <v>490</v>
      </c>
      <c r="FX105" s="35" t="s">
        <v>491</v>
      </c>
      <c r="FY105" s="35" t="s">
        <v>1659</v>
      </c>
      <c r="FZ105" s="35" t="s">
        <v>493</v>
      </c>
      <c r="GA105" s="35" t="s">
        <v>1660</v>
      </c>
      <c r="GB105" s="35" t="s">
        <v>1661</v>
      </c>
      <c r="GC105" s="35" t="s">
        <v>455</v>
      </c>
      <c r="GD105" s="35" t="s">
        <v>11098</v>
      </c>
      <c r="GE105" s="35" t="s">
        <v>11099</v>
      </c>
      <c r="GF105" s="35" t="s">
        <v>753</v>
      </c>
      <c r="GG105" s="35" t="s">
        <v>1662</v>
      </c>
      <c r="GH105" s="35" t="s">
        <v>788</v>
      </c>
      <c r="GJ105" s="35" t="s">
        <v>921</v>
      </c>
    </row>
    <row r="106">
      <c r="A106" s="40"/>
      <c r="B106" s="40">
        <v>45827.75616498843</v>
      </c>
      <c r="C106" s="35" t="s">
        <v>368</v>
      </c>
      <c r="D106" s="35" t="s">
        <v>370</v>
      </c>
      <c r="F106" s="35" t="s">
        <v>1849</v>
      </c>
      <c r="H106" s="35" t="s">
        <v>422</v>
      </c>
      <c r="I106" s="35" t="s">
        <v>637</v>
      </c>
      <c r="J106" s="35" t="s">
        <v>638</v>
      </c>
      <c r="K106" s="35" t="s">
        <v>375</v>
      </c>
      <c r="L106" s="35" t="s">
        <v>376</v>
      </c>
      <c r="M106" s="35" t="s">
        <v>379</v>
      </c>
      <c r="N106" s="35" t="s">
        <v>378</v>
      </c>
      <c r="O106" s="35" t="s">
        <v>377</v>
      </c>
      <c r="P106" s="35" t="s">
        <v>497</v>
      </c>
      <c r="Q106" s="35" t="s">
        <v>1760</v>
      </c>
      <c r="R106" s="35" t="s">
        <v>499</v>
      </c>
      <c r="S106" s="35" t="s">
        <v>500</v>
      </c>
      <c r="T106" s="35" t="s">
        <v>384</v>
      </c>
      <c r="U106" s="35" t="s">
        <v>385</v>
      </c>
      <c r="X106" s="35" t="s">
        <v>428</v>
      </c>
      <c r="AW106" s="35" t="s">
        <v>1310</v>
      </c>
      <c r="AX106" s="41">
        <v>4.0</v>
      </c>
      <c r="AY106" s="35" t="s">
        <v>391</v>
      </c>
      <c r="AZ106" s="41">
        <v>4.0</v>
      </c>
      <c r="BA106" s="41">
        <v>2.0</v>
      </c>
      <c r="BB106" s="41">
        <v>4.0</v>
      </c>
      <c r="BC106" s="41">
        <v>4.0</v>
      </c>
      <c r="BF106" s="35" t="s">
        <v>902</v>
      </c>
      <c r="BG106" s="35" t="s">
        <v>1095</v>
      </c>
      <c r="BH106" s="35" t="s">
        <v>765</v>
      </c>
      <c r="BJ106" s="35" t="s">
        <v>824</v>
      </c>
      <c r="BL106" s="35" t="s">
        <v>681</v>
      </c>
      <c r="BM106" s="35" t="s">
        <v>396</v>
      </c>
      <c r="BN106" s="35" t="s">
        <v>397</v>
      </c>
      <c r="BO106" s="35" t="s">
        <v>513</v>
      </c>
      <c r="CM106" s="35" t="s">
        <v>441</v>
      </c>
      <c r="CN106" s="35" t="s">
        <v>604</v>
      </c>
      <c r="CQ106" s="35" t="s">
        <v>1008</v>
      </c>
      <c r="CR106" s="35" t="s">
        <v>1850</v>
      </c>
      <c r="CS106" s="35" t="s">
        <v>447</v>
      </c>
      <c r="CT106" s="35" t="s">
        <v>1851</v>
      </c>
      <c r="CV106" s="35" t="s">
        <v>1852</v>
      </c>
      <c r="CW106" s="35" t="s">
        <v>451</v>
      </c>
      <c r="CY106" s="35" t="s">
        <v>408</v>
      </c>
      <c r="DA106" s="35" t="s">
        <v>1398</v>
      </c>
      <c r="DC106" s="35" t="s">
        <v>408</v>
      </c>
      <c r="DE106" s="35" t="s">
        <v>988</v>
      </c>
      <c r="DF106" s="35" t="s">
        <v>1058</v>
      </c>
      <c r="DH106" s="35" t="s">
        <v>561</v>
      </c>
      <c r="DI106" s="35" t="s">
        <v>410</v>
      </c>
      <c r="DJ106" s="35" t="s">
        <v>963</v>
      </c>
      <c r="DK106" s="35" t="s">
        <v>562</v>
      </c>
      <c r="DL106" s="35" t="s">
        <v>461</v>
      </c>
      <c r="EU106" s="35" t="s">
        <v>578</v>
      </c>
      <c r="EV106" s="35" t="s">
        <v>479</v>
      </c>
      <c r="EW106" s="35" t="s">
        <v>663</v>
      </c>
      <c r="FA106" s="35" t="s">
        <v>414</v>
      </c>
      <c r="FB106" s="35" t="s">
        <v>414</v>
      </c>
      <c r="FC106" s="35" t="s">
        <v>415</v>
      </c>
      <c r="FD106" s="35" t="s">
        <v>414</v>
      </c>
      <c r="FE106" s="35" t="s">
        <v>416</v>
      </c>
      <c r="FF106" s="35" t="s">
        <v>583</v>
      </c>
      <c r="FG106" s="35" t="s">
        <v>484</v>
      </c>
      <c r="FH106" s="35" t="s">
        <v>413</v>
      </c>
      <c r="FI106" s="35" t="s">
        <v>583</v>
      </c>
      <c r="FJ106" s="35" t="s">
        <v>583</v>
      </c>
      <c r="FK106" s="35" t="s">
        <v>415</v>
      </c>
      <c r="FL106" s="35" t="s">
        <v>414</v>
      </c>
      <c r="FM106" s="35" t="s">
        <v>414</v>
      </c>
      <c r="FN106" s="35" t="s">
        <v>415</v>
      </c>
      <c r="FO106" s="35" t="s">
        <v>414</v>
      </c>
      <c r="FP106" s="35" t="s">
        <v>850</v>
      </c>
      <c r="FQ106" s="35" t="s">
        <v>486</v>
      </c>
      <c r="FR106" s="35" t="s">
        <v>419</v>
      </c>
      <c r="FT106" s="35" t="s">
        <v>420</v>
      </c>
      <c r="FU106" s="35" t="s">
        <v>421</v>
      </c>
      <c r="FV106" s="35" t="s">
        <v>489</v>
      </c>
      <c r="FW106" s="35" t="s">
        <v>490</v>
      </c>
      <c r="FX106" s="35" t="s">
        <v>1853</v>
      </c>
      <c r="FZ106" s="35" t="s">
        <v>1854</v>
      </c>
      <c r="GC106" s="35" t="s">
        <v>408</v>
      </c>
      <c r="GH106" s="35" t="s">
        <v>788</v>
      </c>
      <c r="GI106" s="35" t="s">
        <v>789</v>
      </c>
      <c r="GJ106" s="35" t="s">
        <v>790</v>
      </c>
    </row>
    <row r="107">
      <c r="A107" s="40"/>
      <c r="B107" s="40">
        <v>45827.761791192126</v>
      </c>
      <c r="C107" s="35" t="s">
        <v>368</v>
      </c>
      <c r="D107" s="35" t="s">
        <v>369</v>
      </c>
      <c r="E107" s="35" t="s">
        <v>369</v>
      </c>
      <c r="H107" s="35" t="s">
        <v>372</v>
      </c>
      <c r="I107" s="35" t="s">
        <v>539</v>
      </c>
      <c r="J107" s="35" t="s">
        <v>424</v>
      </c>
      <c r="K107" s="35" t="s">
        <v>540</v>
      </c>
      <c r="L107" s="35" t="s">
        <v>376</v>
      </c>
      <c r="M107" s="35" t="s">
        <v>591</v>
      </c>
      <c r="N107" s="35" t="s">
        <v>378</v>
      </c>
      <c r="O107" s="35" t="s">
        <v>591</v>
      </c>
      <c r="P107" s="35" t="s">
        <v>719</v>
      </c>
      <c r="Q107" s="35" t="s">
        <v>498</v>
      </c>
      <c r="R107" s="35" t="s">
        <v>818</v>
      </c>
      <c r="S107" s="35" t="s">
        <v>427</v>
      </c>
      <c r="T107" s="35" t="s">
        <v>384</v>
      </c>
      <c r="U107" s="35" t="s">
        <v>385</v>
      </c>
      <c r="X107" s="35" t="s">
        <v>428</v>
      </c>
      <c r="AW107" s="35" t="s">
        <v>597</v>
      </c>
      <c r="AX107" s="35" t="s">
        <v>675</v>
      </c>
      <c r="AY107" s="35" t="s">
        <v>675</v>
      </c>
      <c r="AZ107" s="35" t="s">
        <v>675</v>
      </c>
      <c r="BA107" s="35" t="s">
        <v>675</v>
      </c>
      <c r="BB107" s="35" t="s">
        <v>675</v>
      </c>
      <c r="BC107" s="35" t="s">
        <v>675</v>
      </c>
      <c r="BD107" s="35" t="s">
        <v>1855</v>
      </c>
      <c r="BE107" s="35" t="s">
        <v>1856</v>
      </c>
      <c r="BF107" s="35" t="s">
        <v>392</v>
      </c>
      <c r="BG107" s="35" t="s">
        <v>1095</v>
      </c>
      <c r="BH107" s="35" t="s">
        <v>678</v>
      </c>
      <c r="BI107" s="35" t="s">
        <v>11100</v>
      </c>
      <c r="BJ107" s="35" t="s">
        <v>976</v>
      </c>
      <c r="BL107" s="35" t="s">
        <v>511</v>
      </c>
      <c r="BM107" s="35" t="s">
        <v>904</v>
      </c>
      <c r="BN107" s="35" t="s">
        <v>549</v>
      </c>
      <c r="BO107" s="35" t="s">
        <v>513</v>
      </c>
      <c r="CM107" s="35" t="s">
        <v>682</v>
      </c>
      <c r="CN107" s="35" t="s">
        <v>682</v>
      </c>
      <c r="CO107" s="35" t="s">
        <v>1858</v>
      </c>
      <c r="CP107" s="35" t="s">
        <v>11101</v>
      </c>
      <c r="CQ107" s="35" t="s">
        <v>685</v>
      </c>
      <c r="CR107" s="35" t="s">
        <v>1860</v>
      </c>
      <c r="CS107" s="35" t="s">
        <v>804</v>
      </c>
      <c r="CT107" s="35" t="s">
        <v>1861</v>
      </c>
      <c r="CU107" s="35" t="s">
        <v>1862</v>
      </c>
      <c r="CV107" s="35" t="s">
        <v>1863</v>
      </c>
      <c r="CW107" s="35" t="s">
        <v>959</v>
      </c>
      <c r="CX107" s="35" t="s">
        <v>1864</v>
      </c>
      <c r="CY107" s="35" t="s">
        <v>408</v>
      </c>
      <c r="DA107" s="35" t="s">
        <v>453</v>
      </c>
      <c r="DB107" s="35" t="s">
        <v>11102</v>
      </c>
      <c r="DC107" s="35" t="s">
        <v>455</v>
      </c>
      <c r="DD107" s="35" t="s">
        <v>1866</v>
      </c>
      <c r="DE107" s="35" t="s">
        <v>406</v>
      </c>
      <c r="DF107" s="35" t="s">
        <v>1867</v>
      </c>
      <c r="DG107" s="35" t="s">
        <v>1868</v>
      </c>
      <c r="DH107" s="35" t="s">
        <v>524</v>
      </c>
      <c r="DI107" s="35" t="s">
        <v>410</v>
      </c>
      <c r="DJ107" s="35" t="s">
        <v>963</v>
      </c>
      <c r="DK107" s="35" t="s">
        <v>613</v>
      </c>
      <c r="EU107" s="35" t="s">
        <v>526</v>
      </c>
      <c r="EV107" s="35" t="s">
        <v>579</v>
      </c>
      <c r="EW107" s="35" t="s">
        <v>480</v>
      </c>
      <c r="EY107" s="35" t="s">
        <v>11103</v>
      </c>
      <c r="EZ107" s="35" t="s">
        <v>1870</v>
      </c>
      <c r="FA107" s="35" t="s">
        <v>415</v>
      </c>
      <c r="FB107" s="35" t="s">
        <v>415</v>
      </c>
      <c r="FC107" s="35" t="s">
        <v>413</v>
      </c>
      <c r="FD107" s="35" t="s">
        <v>414</v>
      </c>
      <c r="FE107" s="35" t="s">
        <v>413</v>
      </c>
      <c r="FF107" s="35" t="s">
        <v>415</v>
      </c>
      <c r="FG107" s="35" t="s">
        <v>414</v>
      </c>
      <c r="FH107" s="35" t="s">
        <v>414</v>
      </c>
      <c r="FI107" s="35" t="s">
        <v>413</v>
      </c>
      <c r="FJ107" s="35" t="s">
        <v>415</v>
      </c>
      <c r="FK107" s="35" t="s">
        <v>415</v>
      </c>
      <c r="FL107" s="35" t="s">
        <v>413</v>
      </c>
      <c r="FM107" s="35" t="s">
        <v>415</v>
      </c>
      <c r="FN107" s="35" t="s">
        <v>415</v>
      </c>
      <c r="FO107" s="35" t="s">
        <v>413</v>
      </c>
      <c r="FP107" s="35" t="s">
        <v>850</v>
      </c>
      <c r="FQ107" s="35" t="s">
        <v>418</v>
      </c>
      <c r="FR107" s="35" t="s">
        <v>749</v>
      </c>
      <c r="FT107" s="35" t="s">
        <v>1871</v>
      </c>
      <c r="FU107" s="35" t="s">
        <v>488</v>
      </c>
      <c r="FV107" s="35" t="s">
        <v>918</v>
      </c>
      <c r="FW107" s="35" t="s">
        <v>490</v>
      </c>
      <c r="FX107" s="35" t="s">
        <v>491</v>
      </c>
      <c r="FY107" s="35" t="s">
        <v>11104</v>
      </c>
      <c r="FZ107" s="35" t="s">
        <v>535</v>
      </c>
      <c r="GA107" s="35" t="s">
        <v>11105</v>
      </c>
      <c r="GB107" s="35" t="s">
        <v>1874</v>
      </c>
      <c r="GC107" s="35" t="s">
        <v>455</v>
      </c>
      <c r="GF107" s="35" t="s">
        <v>855</v>
      </c>
      <c r="GH107" s="35" t="s">
        <v>920</v>
      </c>
      <c r="GI107" s="35" t="s">
        <v>920</v>
      </c>
      <c r="GJ107" s="35" t="s">
        <v>858</v>
      </c>
    </row>
    <row r="108">
      <c r="A108" s="40"/>
      <c r="B108" s="40">
        <v>45827.77905215278</v>
      </c>
      <c r="C108" s="35" t="s">
        <v>368</v>
      </c>
      <c r="D108" s="35" t="s">
        <v>370</v>
      </c>
      <c r="F108" s="35" t="s">
        <v>1899</v>
      </c>
      <c r="H108" s="35" t="s">
        <v>1900</v>
      </c>
      <c r="I108" s="35" t="s">
        <v>373</v>
      </c>
      <c r="J108" s="35" t="s">
        <v>638</v>
      </c>
      <c r="K108" s="35" t="s">
        <v>590</v>
      </c>
      <c r="L108" s="35" t="s">
        <v>376</v>
      </c>
      <c r="M108" s="35" t="s">
        <v>591</v>
      </c>
      <c r="N108" s="35" t="s">
        <v>378</v>
      </c>
      <c r="O108" s="35" t="s">
        <v>591</v>
      </c>
      <c r="P108" s="35" t="s">
        <v>541</v>
      </c>
      <c r="Q108" s="35" t="s">
        <v>498</v>
      </c>
      <c r="R108" s="35" t="s">
        <v>862</v>
      </c>
      <c r="S108" s="35" t="s">
        <v>1901</v>
      </c>
      <c r="T108" s="35" t="s">
        <v>1902</v>
      </c>
      <c r="U108" s="35" t="s">
        <v>385</v>
      </c>
      <c r="X108" s="35" t="s">
        <v>760</v>
      </c>
      <c r="Y108" s="35" t="s">
        <v>387</v>
      </c>
      <c r="Z108" s="35" t="s">
        <v>1444</v>
      </c>
      <c r="AA108" s="35" t="s">
        <v>543</v>
      </c>
      <c r="AB108" s="35" t="s">
        <v>1903</v>
      </c>
      <c r="AC108" s="35" t="s">
        <v>1904</v>
      </c>
      <c r="AW108" s="35" t="s">
        <v>1905</v>
      </c>
      <c r="AY108" s="41">
        <v>4.0</v>
      </c>
      <c r="AZ108" s="35" t="s">
        <v>429</v>
      </c>
      <c r="BB108" s="35" t="s">
        <v>429</v>
      </c>
      <c r="BF108" s="35" t="s">
        <v>902</v>
      </c>
      <c r="BG108" s="35" t="s">
        <v>433</v>
      </c>
      <c r="BH108" s="35" t="s">
        <v>678</v>
      </c>
      <c r="BJ108" s="35" t="s">
        <v>727</v>
      </c>
      <c r="BL108" s="35" t="s">
        <v>511</v>
      </c>
      <c r="BM108" s="35" t="s">
        <v>904</v>
      </c>
      <c r="BN108" s="35" t="s">
        <v>439</v>
      </c>
      <c r="BO108" s="35" t="s">
        <v>513</v>
      </c>
      <c r="CM108" s="35" t="s">
        <v>441</v>
      </c>
      <c r="CN108" s="35" t="s">
        <v>401</v>
      </c>
      <c r="CO108" s="35" t="s">
        <v>1906</v>
      </c>
      <c r="CP108" s="35" t="s">
        <v>1907</v>
      </c>
      <c r="CQ108" s="35" t="s">
        <v>445</v>
      </c>
      <c r="CR108" s="35" t="s">
        <v>1908</v>
      </c>
      <c r="CS108" s="35" t="s">
        <v>804</v>
      </c>
      <c r="CT108" s="35" t="s">
        <v>1909</v>
      </c>
      <c r="CU108" s="35" t="s">
        <v>1910</v>
      </c>
      <c r="CV108" s="35" t="s">
        <v>450</v>
      </c>
      <c r="CW108" s="35" t="s">
        <v>451</v>
      </c>
      <c r="CX108" s="35" t="s">
        <v>1911</v>
      </c>
      <c r="CY108" s="35" t="s">
        <v>408</v>
      </c>
      <c r="DA108" s="35" t="s">
        <v>453</v>
      </c>
      <c r="DB108" s="35" t="s">
        <v>1912</v>
      </c>
      <c r="DC108" s="35" t="s">
        <v>455</v>
      </c>
      <c r="DD108" s="35" t="s">
        <v>1913</v>
      </c>
      <c r="DE108" s="35" t="s">
        <v>457</v>
      </c>
      <c r="DH108" s="35" t="s">
        <v>776</v>
      </c>
      <c r="DI108" s="35" t="s">
        <v>410</v>
      </c>
      <c r="DJ108" s="35" t="s">
        <v>459</v>
      </c>
      <c r="DK108" s="35" t="s">
        <v>613</v>
      </c>
      <c r="EU108" s="35" t="s">
        <v>478</v>
      </c>
      <c r="EV108" s="35" t="s">
        <v>479</v>
      </c>
      <c r="EW108" s="35" t="s">
        <v>778</v>
      </c>
      <c r="EX108" s="35" t="s">
        <v>1914</v>
      </c>
      <c r="EY108" s="35" t="s">
        <v>1915</v>
      </c>
      <c r="EZ108" s="35" t="s">
        <v>1916</v>
      </c>
      <c r="FP108" s="35" t="s">
        <v>485</v>
      </c>
      <c r="FQ108" s="35" t="s">
        <v>418</v>
      </c>
      <c r="FR108" s="35" t="s">
        <v>712</v>
      </c>
      <c r="FT108" s="35" t="s">
        <v>420</v>
      </c>
      <c r="FU108" s="35" t="s">
        <v>488</v>
      </c>
      <c r="FV108" s="35" t="s">
        <v>918</v>
      </c>
      <c r="FW108" s="35" t="s">
        <v>490</v>
      </c>
      <c r="FX108" s="35" t="s">
        <v>491</v>
      </c>
      <c r="FY108" s="35" t="s">
        <v>1917</v>
      </c>
      <c r="FZ108" s="35" t="s">
        <v>535</v>
      </c>
      <c r="GA108" s="35" t="s">
        <v>1918</v>
      </c>
      <c r="GB108" s="35" t="s">
        <v>1919</v>
      </c>
      <c r="GC108" s="35" t="s">
        <v>455</v>
      </c>
      <c r="GD108" s="35" t="s">
        <v>11106</v>
      </c>
      <c r="GE108" s="35" t="s">
        <v>11107</v>
      </c>
      <c r="GF108" s="35" t="s">
        <v>753</v>
      </c>
      <c r="GG108" s="35" t="s">
        <v>1920</v>
      </c>
      <c r="GH108" s="35" t="s">
        <v>755</v>
      </c>
      <c r="GI108" s="35" t="s">
        <v>755</v>
      </c>
      <c r="GJ108" s="35" t="s">
        <v>946</v>
      </c>
    </row>
    <row r="109">
      <c r="A109" s="40"/>
      <c r="B109" s="40">
        <v>45827.82377087963</v>
      </c>
      <c r="C109" s="35" t="s">
        <v>368</v>
      </c>
      <c r="D109" s="35" t="s">
        <v>894</v>
      </c>
      <c r="H109" s="35" t="s">
        <v>422</v>
      </c>
      <c r="I109" s="35" t="s">
        <v>373</v>
      </c>
      <c r="J109" s="35" t="s">
        <v>374</v>
      </c>
      <c r="K109" s="35" t="s">
        <v>718</v>
      </c>
      <c r="L109" s="35" t="s">
        <v>376</v>
      </c>
      <c r="M109" s="35" t="s">
        <v>591</v>
      </c>
      <c r="N109" s="35" t="s">
        <v>719</v>
      </c>
      <c r="O109" s="35" t="s">
        <v>591</v>
      </c>
      <c r="P109" s="35" t="s">
        <v>719</v>
      </c>
      <c r="Q109" s="35" t="s">
        <v>498</v>
      </c>
      <c r="R109" s="35" t="s">
        <v>382</v>
      </c>
      <c r="S109" s="35" t="s">
        <v>500</v>
      </c>
      <c r="T109" s="35" t="s">
        <v>384</v>
      </c>
      <c r="U109" s="35" t="s">
        <v>385</v>
      </c>
      <c r="V109" s="35" t="s">
        <v>1045</v>
      </c>
      <c r="W109" s="35" t="s">
        <v>1045</v>
      </c>
      <c r="X109" s="35" t="s">
        <v>386</v>
      </c>
      <c r="Y109" s="35" t="s">
        <v>1706</v>
      </c>
      <c r="AD109" s="35" t="s">
        <v>1707</v>
      </c>
      <c r="AE109" s="35" t="s">
        <v>1938</v>
      </c>
      <c r="AF109" s="35" t="s">
        <v>455</v>
      </c>
      <c r="AG109" s="35" t="s">
        <v>11108</v>
      </c>
      <c r="AH109" s="41">
        <v>3.0</v>
      </c>
      <c r="AI109" s="35" t="s">
        <v>647</v>
      </c>
      <c r="AJ109" s="35" t="s">
        <v>11109</v>
      </c>
      <c r="AK109" s="35" t="s">
        <v>1941</v>
      </c>
      <c r="AL109" s="35" t="s">
        <v>1942</v>
      </c>
      <c r="AW109" s="35" t="s">
        <v>390</v>
      </c>
      <c r="AX109" s="35" t="s">
        <v>429</v>
      </c>
      <c r="AY109" s="41">
        <v>2.0</v>
      </c>
      <c r="AZ109" s="35" t="s">
        <v>429</v>
      </c>
      <c r="BA109" s="35" t="s">
        <v>429</v>
      </c>
      <c r="BB109" s="41">
        <v>2.0</v>
      </c>
      <c r="BC109" s="35" t="s">
        <v>429</v>
      </c>
      <c r="BD109" s="35" t="s">
        <v>1943</v>
      </c>
      <c r="BE109" s="35" t="s">
        <v>11110</v>
      </c>
      <c r="BF109" s="35" t="s">
        <v>432</v>
      </c>
      <c r="BG109" s="35" t="s">
        <v>433</v>
      </c>
      <c r="BH109" s="35" t="s">
        <v>765</v>
      </c>
      <c r="BJ109" s="35" t="s">
        <v>435</v>
      </c>
      <c r="BK109" s="35" t="s">
        <v>11111</v>
      </c>
      <c r="BL109" s="35" t="s">
        <v>437</v>
      </c>
      <c r="BM109" s="35" t="s">
        <v>603</v>
      </c>
      <c r="BN109" s="35" t="s">
        <v>397</v>
      </c>
      <c r="BO109" s="35" t="s">
        <v>513</v>
      </c>
      <c r="CM109" s="35" t="s">
        <v>441</v>
      </c>
      <c r="CN109" s="35" t="s">
        <v>442</v>
      </c>
      <c r="CO109" s="35" t="s">
        <v>11112</v>
      </c>
      <c r="CP109" s="35" t="s">
        <v>11113</v>
      </c>
      <c r="CQ109" s="35" t="s">
        <v>1948</v>
      </c>
      <c r="CR109" s="35" t="s">
        <v>1949</v>
      </c>
      <c r="CS109" s="35" t="s">
        <v>404</v>
      </c>
      <c r="CT109" s="35" t="s">
        <v>1950</v>
      </c>
      <c r="CU109" s="35" t="s">
        <v>11114</v>
      </c>
      <c r="CV109" s="35" t="s">
        <v>450</v>
      </c>
      <c r="CW109" s="35" t="s">
        <v>451</v>
      </c>
      <c r="CX109" s="35" t="s">
        <v>11115</v>
      </c>
      <c r="CY109" s="35" t="s">
        <v>408</v>
      </c>
      <c r="DA109" s="35" t="s">
        <v>453</v>
      </c>
      <c r="DB109" s="35" t="s">
        <v>11116</v>
      </c>
      <c r="DC109" s="35" t="s">
        <v>408</v>
      </c>
      <c r="DE109" s="35" t="s">
        <v>457</v>
      </c>
      <c r="DG109" s="35" t="s">
        <v>11117</v>
      </c>
      <c r="DH109" s="35" t="s">
        <v>524</v>
      </c>
      <c r="DI109" s="35" t="s">
        <v>410</v>
      </c>
      <c r="DJ109" s="35" t="s">
        <v>459</v>
      </c>
      <c r="DK109" s="35" t="s">
        <v>460</v>
      </c>
      <c r="DL109" s="35" t="s">
        <v>461</v>
      </c>
      <c r="EU109" s="35" t="s">
        <v>578</v>
      </c>
      <c r="EV109" s="35" t="s">
        <v>479</v>
      </c>
      <c r="EW109" s="35" t="s">
        <v>527</v>
      </c>
      <c r="EX109" s="35" t="s">
        <v>11118</v>
      </c>
      <c r="EY109" s="35" t="s">
        <v>11119</v>
      </c>
      <c r="EZ109" s="35" t="s">
        <v>6933</v>
      </c>
      <c r="FA109" s="35" t="s">
        <v>414</v>
      </c>
      <c r="FB109" s="35" t="s">
        <v>414</v>
      </c>
      <c r="FC109" s="35" t="s">
        <v>413</v>
      </c>
      <c r="FD109" s="35" t="s">
        <v>414</v>
      </c>
      <c r="FE109" s="35" t="s">
        <v>413</v>
      </c>
      <c r="FF109" s="35" t="s">
        <v>414</v>
      </c>
      <c r="FG109" s="35" t="s">
        <v>415</v>
      </c>
      <c r="FH109" s="35" t="s">
        <v>415</v>
      </c>
      <c r="FI109" s="35" t="s">
        <v>416</v>
      </c>
      <c r="FJ109" s="35" t="s">
        <v>415</v>
      </c>
      <c r="FK109" s="35" t="s">
        <v>415</v>
      </c>
      <c r="FL109" s="35" t="s">
        <v>415</v>
      </c>
      <c r="FM109" s="35" t="s">
        <v>484</v>
      </c>
      <c r="FN109" s="35" t="s">
        <v>413</v>
      </c>
      <c r="FO109" s="35" t="s">
        <v>484</v>
      </c>
      <c r="FP109" s="35" t="s">
        <v>850</v>
      </c>
      <c r="FQ109" s="35" t="s">
        <v>418</v>
      </c>
      <c r="FR109" s="35" t="s">
        <v>1039</v>
      </c>
      <c r="FS109" s="35" t="s">
        <v>1957</v>
      </c>
      <c r="FT109" s="35" t="s">
        <v>1189</v>
      </c>
      <c r="FU109" s="35" t="s">
        <v>488</v>
      </c>
      <c r="FV109" s="35" t="s">
        <v>585</v>
      </c>
      <c r="FW109" s="35" t="s">
        <v>490</v>
      </c>
      <c r="FX109" s="35" t="s">
        <v>491</v>
      </c>
      <c r="FY109" s="35" t="s">
        <v>11120</v>
      </c>
      <c r="FZ109" s="35" t="s">
        <v>1020</v>
      </c>
      <c r="GC109" s="35" t="s">
        <v>408</v>
      </c>
      <c r="GH109" s="35" t="s">
        <v>920</v>
      </c>
      <c r="GI109" s="35" t="s">
        <v>920</v>
      </c>
      <c r="GJ109" s="35" t="s">
        <v>817</v>
      </c>
    </row>
    <row r="110">
      <c r="A110" s="40"/>
      <c r="B110" s="40">
        <v>45827.82513037037</v>
      </c>
      <c r="C110" s="35" t="s">
        <v>368</v>
      </c>
      <c r="E110" s="35" t="s">
        <v>1201</v>
      </c>
      <c r="X110" s="35" t="s">
        <v>760</v>
      </c>
      <c r="Y110" s="35" t="s">
        <v>387</v>
      </c>
      <c r="AA110" s="35" t="s">
        <v>543</v>
      </c>
      <c r="AW110" s="35" t="s">
        <v>1310</v>
      </c>
      <c r="BF110" s="35" t="s">
        <v>432</v>
      </c>
      <c r="BG110" s="35" t="s">
        <v>1095</v>
      </c>
      <c r="BH110" s="35" t="s">
        <v>434</v>
      </c>
      <c r="BJ110" s="35" t="s">
        <v>824</v>
      </c>
      <c r="BL110" s="35" t="s">
        <v>437</v>
      </c>
      <c r="BN110" s="35" t="s">
        <v>1247</v>
      </c>
      <c r="BO110" s="35" t="s">
        <v>513</v>
      </c>
      <c r="CM110" s="35" t="s">
        <v>953</v>
      </c>
      <c r="CN110" s="35" t="s">
        <v>551</v>
      </c>
      <c r="CQ110" s="35" t="s">
        <v>445</v>
      </c>
      <c r="CR110" s="35" t="s">
        <v>1959</v>
      </c>
      <c r="CS110" s="35" t="s">
        <v>828</v>
      </c>
      <c r="CT110" s="35" t="s">
        <v>1960</v>
      </c>
      <c r="CV110" s="35" t="s">
        <v>1961</v>
      </c>
      <c r="CW110" s="35" t="s">
        <v>959</v>
      </c>
      <c r="CY110" s="35" t="s">
        <v>408</v>
      </c>
      <c r="DA110" s="35" t="s">
        <v>1962</v>
      </c>
      <c r="DC110" s="35" t="s">
        <v>408</v>
      </c>
      <c r="DE110" s="35" t="s">
        <v>406</v>
      </c>
      <c r="DF110" s="35" t="s">
        <v>1058</v>
      </c>
      <c r="DG110" s="35" t="s">
        <v>1963</v>
      </c>
      <c r="DH110" s="35" t="s">
        <v>990</v>
      </c>
      <c r="DI110" s="35" t="s">
        <v>1964</v>
      </c>
      <c r="DJ110" s="35" t="s">
        <v>963</v>
      </c>
      <c r="DK110" s="35" t="s">
        <v>613</v>
      </c>
      <c r="EU110" s="35" t="s">
        <v>478</v>
      </c>
      <c r="EV110" s="35" t="s">
        <v>579</v>
      </c>
      <c r="EW110" s="35" t="s">
        <v>580</v>
      </c>
      <c r="FA110" s="35" t="s">
        <v>414</v>
      </c>
      <c r="FB110" s="35" t="s">
        <v>414</v>
      </c>
      <c r="FC110" s="35" t="s">
        <v>415</v>
      </c>
      <c r="FD110" s="35" t="s">
        <v>415</v>
      </c>
      <c r="FE110" s="35" t="s">
        <v>415</v>
      </c>
      <c r="FF110" s="35" t="s">
        <v>414</v>
      </c>
      <c r="FG110" s="35" t="s">
        <v>415</v>
      </c>
      <c r="FH110" s="35" t="s">
        <v>415</v>
      </c>
      <c r="FI110" s="35" t="s">
        <v>415</v>
      </c>
      <c r="FJ110" s="35" t="s">
        <v>416</v>
      </c>
      <c r="FK110" s="35" t="s">
        <v>415</v>
      </c>
      <c r="FL110" s="35" t="s">
        <v>414</v>
      </c>
      <c r="FM110" s="35" t="s">
        <v>414</v>
      </c>
      <c r="FN110" s="35" t="s">
        <v>484</v>
      </c>
      <c r="FO110" s="35" t="s">
        <v>484</v>
      </c>
      <c r="FP110" s="35" t="s">
        <v>1074</v>
      </c>
      <c r="FQ110" s="35" t="s">
        <v>1200</v>
      </c>
      <c r="FR110" s="35" t="s">
        <v>712</v>
      </c>
      <c r="FT110" s="35" t="s">
        <v>1076</v>
      </c>
      <c r="FU110" s="35" t="s">
        <v>1476</v>
      </c>
      <c r="FV110" s="35" t="s">
        <v>585</v>
      </c>
      <c r="FW110" s="35" t="s">
        <v>1101</v>
      </c>
      <c r="FX110" s="35" t="s">
        <v>1853</v>
      </c>
      <c r="FY110" s="35" t="s">
        <v>1965</v>
      </c>
      <c r="FZ110" s="35" t="s">
        <v>1854</v>
      </c>
      <c r="GC110" s="35" t="s">
        <v>408</v>
      </c>
      <c r="GH110" s="35" t="s">
        <v>788</v>
      </c>
      <c r="GI110" s="35" t="s">
        <v>788</v>
      </c>
      <c r="GJ110" s="35" t="s">
        <v>858</v>
      </c>
    </row>
    <row r="111">
      <c r="A111" s="40"/>
      <c r="B111" s="40">
        <v>45827.86569578704</v>
      </c>
      <c r="C111" s="35" t="s">
        <v>368</v>
      </c>
      <c r="D111" s="35" t="s">
        <v>370</v>
      </c>
      <c r="F111" s="35" t="s">
        <v>2012</v>
      </c>
      <c r="H111" s="35" t="s">
        <v>422</v>
      </c>
      <c r="I111" s="35" t="s">
        <v>539</v>
      </c>
      <c r="J111" s="35" t="s">
        <v>424</v>
      </c>
      <c r="K111" s="35" t="s">
        <v>425</v>
      </c>
      <c r="L111" s="35" t="s">
        <v>376</v>
      </c>
      <c r="M111" s="35" t="s">
        <v>379</v>
      </c>
      <c r="N111" s="35" t="s">
        <v>378</v>
      </c>
      <c r="O111" s="35" t="s">
        <v>379</v>
      </c>
      <c r="P111" s="35" t="s">
        <v>380</v>
      </c>
      <c r="Q111" s="35" t="s">
        <v>498</v>
      </c>
      <c r="R111" s="35" t="s">
        <v>499</v>
      </c>
      <c r="S111" s="35" t="s">
        <v>1197</v>
      </c>
      <c r="T111" s="35" t="s">
        <v>384</v>
      </c>
      <c r="U111" s="35" t="s">
        <v>385</v>
      </c>
      <c r="X111" s="35" t="s">
        <v>386</v>
      </c>
      <c r="Y111" s="35" t="s">
        <v>387</v>
      </c>
      <c r="Z111" s="35" t="s">
        <v>1444</v>
      </c>
      <c r="AA111" s="35" t="s">
        <v>543</v>
      </c>
      <c r="AB111" s="35" t="s">
        <v>408</v>
      </c>
      <c r="AW111" s="35" t="s">
        <v>597</v>
      </c>
      <c r="AX111" s="41">
        <v>2.0</v>
      </c>
      <c r="AY111" s="41">
        <v>2.0</v>
      </c>
      <c r="AZ111" s="41">
        <v>2.0</v>
      </c>
      <c r="BA111" s="41">
        <v>2.0</v>
      </c>
      <c r="BB111" s="41">
        <v>2.0</v>
      </c>
      <c r="BC111" s="41">
        <v>2.0</v>
      </c>
      <c r="BD111" s="35" t="s">
        <v>2013</v>
      </c>
      <c r="BE111" s="35" t="s">
        <v>11121</v>
      </c>
      <c r="BF111" s="35" t="s">
        <v>902</v>
      </c>
      <c r="BG111" s="35" t="s">
        <v>393</v>
      </c>
      <c r="BH111" s="35" t="s">
        <v>434</v>
      </c>
      <c r="BI111" s="35" t="s">
        <v>2015</v>
      </c>
      <c r="BJ111" s="35" t="s">
        <v>976</v>
      </c>
      <c r="BL111" s="35" t="s">
        <v>681</v>
      </c>
      <c r="BM111" s="35" t="s">
        <v>603</v>
      </c>
      <c r="BN111" s="35" t="s">
        <v>549</v>
      </c>
      <c r="BO111" s="35" t="s">
        <v>513</v>
      </c>
      <c r="CM111" s="35" t="s">
        <v>441</v>
      </c>
      <c r="CN111" s="35" t="s">
        <v>604</v>
      </c>
      <c r="CO111" s="35" t="s">
        <v>9161</v>
      </c>
      <c r="CP111" s="35" t="s">
        <v>552</v>
      </c>
      <c r="CQ111" s="35" t="s">
        <v>685</v>
      </c>
      <c r="CR111" s="35" t="s">
        <v>956</v>
      </c>
      <c r="CS111" s="35" t="s">
        <v>555</v>
      </c>
      <c r="CT111" s="35" t="s">
        <v>1346</v>
      </c>
      <c r="CU111" s="35" t="s">
        <v>2017</v>
      </c>
      <c r="CV111" s="35" t="s">
        <v>1852</v>
      </c>
      <c r="CW111" s="35" t="s">
        <v>451</v>
      </c>
      <c r="CX111" s="35" t="s">
        <v>11122</v>
      </c>
      <c r="CY111" s="35" t="s">
        <v>408</v>
      </c>
      <c r="DA111" s="35" t="s">
        <v>985</v>
      </c>
      <c r="DB111" s="35" t="s">
        <v>2019</v>
      </c>
      <c r="DC111" s="35" t="s">
        <v>408</v>
      </c>
      <c r="DE111" s="35" t="s">
        <v>406</v>
      </c>
      <c r="DF111" s="35" t="s">
        <v>1058</v>
      </c>
      <c r="DG111" s="35" t="s">
        <v>2020</v>
      </c>
      <c r="DH111" s="35" t="s">
        <v>776</v>
      </c>
      <c r="DI111" s="35" t="s">
        <v>833</v>
      </c>
      <c r="DJ111" s="35" t="s">
        <v>459</v>
      </c>
      <c r="DK111" s="35" t="s">
        <v>613</v>
      </c>
      <c r="EU111" s="35" t="s">
        <v>578</v>
      </c>
      <c r="EV111" s="35" t="s">
        <v>887</v>
      </c>
      <c r="EW111" s="35" t="s">
        <v>480</v>
      </c>
      <c r="EY111" s="35" t="s">
        <v>11123</v>
      </c>
      <c r="EZ111" s="35" t="s">
        <v>1380</v>
      </c>
      <c r="FA111" s="35" t="s">
        <v>413</v>
      </c>
      <c r="FB111" s="35" t="s">
        <v>416</v>
      </c>
      <c r="FC111" s="35" t="s">
        <v>413</v>
      </c>
      <c r="FD111" s="35" t="s">
        <v>416</v>
      </c>
      <c r="FE111" s="35" t="s">
        <v>413</v>
      </c>
      <c r="FF111" s="35" t="s">
        <v>416</v>
      </c>
      <c r="FG111" s="35" t="s">
        <v>416</v>
      </c>
      <c r="FH111" s="35" t="s">
        <v>416</v>
      </c>
      <c r="FI111" s="35" t="s">
        <v>413</v>
      </c>
      <c r="FJ111" s="35" t="s">
        <v>416</v>
      </c>
      <c r="FK111" s="35" t="s">
        <v>416</v>
      </c>
      <c r="FL111" s="35" t="s">
        <v>416</v>
      </c>
      <c r="FM111" s="35" t="s">
        <v>416</v>
      </c>
      <c r="FN111" s="35" t="s">
        <v>416</v>
      </c>
      <c r="FO111" s="35" t="s">
        <v>416</v>
      </c>
      <c r="FP111" s="35" t="s">
        <v>850</v>
      </c>
      <c r="FQ111" s="35" t="s">
        <v>418</v>
      </c>
      <c r="FR111" s="35" t="s">
        <v>630</v>
      </c>
      <c r="FS111" s="35" t="s">
        <v>2022</v>
      </c>
      <c r="FT111" s="35" t="s">
        <v>1189</v>
      </c>
      <c r="FU111" s="35" t="s">
        <v>488</v>
      </c>
      <c r="FV111" s="35" t="s">
        <v>489</v>
      </c>
      <c r="FW111" s="35" t="s">
        <v>490</v>
      </c>
      <c r="FX111" s="35" t="s">
        <v>491</v>
      </c>
      <c r="FY111" s="35" t="s">
        <v>2023</v>
      </c>
      <c r="FZ111" s="35" t="s">
        <v>535</v>
      </c>
      <c r="GC111" s="35" t="s">
        <v>455</v>
      </c>
      <c r="GD111" s="35" t="s">
        <v>11124</v>
      </c>
      <c r="GE111" s="35" t="s">
        <v>11125</v>
      </c>
      <c r="GF111" s="35" t="s">
        <v>786</v>
      </c>
      <c r="GG111" s="35" t="s">
        <v>2024</v>
      </c>
      <c r="GH111" s="35" t="s">
        <v>1000</v>
      </c>
      <c r="GI111" s="35" t="s">
        <v>1000</v>
      </c>
      <c r="GJ111" s="35" t="s">
        <v>946</v>
      </c>
    </row>
    <row r="112">
      <c r="A112" s="40"/>
      <c r="B112" s="40">
        <v>45827.871949594904</v>
      </c>
      <c r="C112" s="35" t="s">
        <v>368</v>
      </c>
      <c r="D112" s="35" t="s">
        <v>370</v>
      </c>
      <c r="F112" s="35" t="s">
        <v>1510</v>
      </c>
      <c r="H112" s="35" t="s">
        <v>1269</v>
      </c>
      <c r="I112" s="35" t="s">
        <v>539</v>
      </c>
      <c r="J112" s="35" t="s">
        <v>424</v>
      </c>
      <c r="K112" s="35" t="s">
        <v>375</v>
      </c>
      <c r="L112" s="35" t="s">
        <v>376</v>
      </c>
      <c r="M112" s="35" t="s">
        <v>379</v>
      </c>
      <c r="N112" s="35" t="s">
        <v>378</v>
      </c>
      <c r="O112" s="35" t="s">
        <v>426</v>
      </c>
      <c r="P112" s="35" t="s">
        <v>11126</v>
      </c>
      <c r="Q112" s="35" t="s">
        <v>498</v>
      </c>
      <c r="R112" s="35" t="s">
        <v>382</v>
      </c>
      <c r="S112" s="35" t="s">
        <v>949</v>
      </c>
      <c r="T112" s="35" t="s">
        <v>384</v>
      </c>
      <c r="U112" s="35" t="s">
        <v>385</v>
      </c>
      <c r="X112" s="35" t="s">
        <v>428</v>
      </c>
      <c r="AW112" s="35" t="s">
        <v>1310</v>
      </c>
      <c r="AX112" s="35" t="s">
        <v>675</v>
      </c>
      <c r="AY112" s="41">
        <v>4.0</v>
      </c>
      <c r="AZ112" s="35" t="s">
        <v>675</v>
      </c>
      <c r="BA112" s="41">
        <v>4.0</v>
      </c>
      <c r="BB112" s="41">
        <v>4.0</v>
      </c>
      <c r="BC112" s="41">
        <v>4.0</v>
      </c>
      <c r="BD112" s="35" t="s">
        <v>11127</v>
      </c>
      <c r="BE112" s="35" t="s">
        <v>11128</v>
      </c>
      <c r="BF112" s="35" t="s">
        <v>902</v>
      </c>
      <c r="BG112" s="35" t="s">
        <v>1245</v>
      </c>
      <c r="BI112" s="35" t="s">
        <v>11129</v>
      </c>
      <c r="BJ112" s="35" t="s">
        <v>435</v>
      </c>
      <c r="BL112" s="35" t="s">
        <v>395</v>
      </c>
      <c r="BM112" s="35" t="s">
        <v>438</v>
      </c>
      <c r="BN112" s="35" t="s">
        <v>1247</v>
      </c>
      <c r="BO112" s="35" t="s">
        <v>513</v>
      </c>
      <c r="CM112" s="35" t="s">
        <v>682</v>
      </c>
      <c r="CN112" s="35" t="s">
        <v>442</v>
      </c>
      <c r="CO112" s="35" t="s">
        <v>11130</v>
      </c>
      <c r="CP112" s="35" t="s">
        <v>11131</v>
      </c>
      <c r="CQ112" s="35" t="s">
        <v>685</v>
      </c>
      <c r="CR112" s="35" t="s">
        <v>2103</v>
      </c>
      <c r="CS112" s="35" t="s">
        <v>404</v>
      </c>
      <c r="CT112" s="35" t="s">
        <v>2104</v>
      </c>
      <c r="CU112" s="35" t="s">
        <v>11132</v>
      </c>
      <c r="CV112" s="35" t="s">
        <v>450</v>
      </c>
      <c r="CW112" s="35" t="s">
        <v>959</v>
      </c>
      <c r="CX112" s="35" t="s">
        <v>11133</v>
      </c>
      <c r="CY112" s="35" t="s">
        <v>408</v>
      </c>
      <c r="DA112" s="35" t="s">
        <v>985</v>
      </c>
      <c r="DB112" s="35" t="s">
        <v>11134</v>
      </c>
      <c r="DC112" s="35" t="s">
        <v>408</v>
      </c>
      <c r="DE112" s="35" t="s">
        <v>1400</v>
      </c>
      <c r="DF112" s="35" t="s">
        <v>407</v>
      </c>
      <c r="DH112" s="35" t="s">
        <v>776</v>
      </c>
      <c r="DI112" s="35" t="s">
        <v>1220</v>
      </c>
      <c r="DJ112" s="35" t="s">
        <v>963</v>
      </c>
      <c r="DK112" s="35" t="s">
        <v>613</v>
      </c>
      <c r="EU112" s="35" t="s">
        <v>578</v>
      </c>
      <c r="EV112" s="35" t="s">
        <v>479</v>
      </c>
      <c r="EW112" s="35" t="s">
        <v>527</v>
      </c>
      <c r="EX112" s="35" t="s">
        <v>11135</v>
      </c>
      <c r="EY112" s="35" t="s">
        <v>11136</v>
      </c>
      <c r="EZ112" s="35" t="s">
        <v>11137</v>
      </c>
      <c r="FA112" s="35" t="s">
        <v>583</v>
      </c>
      <c r="FB112" s="35" t="s">
        <v>583</v>
      </c>
      <c r="FC112" s="35" t="s">
        <v>583</v>
      </c>
      <c r="FD112" s="35" t="s">
        <v>583</v>
      </c>
      <c r="FE112" s="35" t="s">
        <v>415</v>
      </c>
      <c r="FF112" s="35" t="s">
        <v>583</v>
      </c>
      <c r="FG112" s="35" t="s">
        <v>583</v>
      </c>
      <c r="FH112" s="35" t="s">
        <v>583</v>
      </c>
      <c r="FI112" s="35" t="s">
        <v>484</v>
      </c>
      <c r="FJ112" s="35" t="s">
        <v>583</v>
      </c>
      <c r="FK112" s="35" t="s">
        <v>583</v>
      </c>
      <c r="FL112" s="35" t="s">
        <v>583</v>
      </c>
      <c r="FM112" s="35" t="s">
        <v>583</v>
      </c>
      <c r="FN112" s="35" t="s">
        <v>484</v>
      </c>
      <c r="FO112" s="35" t="s">
        <v>583</v>
      </c>
      <c r="FP112" s="35" t="s">
        <v>417</v>
      </c>
      <c r="FQ112" s="35" t="s">
        <v>486</v>
      </c>
      <c r="FR112" s="35" t="s">
        <v>419</v>
      </c>
      <c r="FS112" s="35" t="s">
        <v>11138</v>
      </c>
      <c r="FT112" s="35" t="s">
        <v>995</v>
      </c>
      <c r="FU112" s="35" t="s">
        <v>1462</v>
      </c>
      <c r="FV112" s="35" t="s">
        <v>533</v>
      </c>
      <c r="FW112" s="35" t="s">
        <v>490</v>
      </c>
      <c r="FX112" s="35" t="s">
        <v>491</v>
      </c>
      <c r="FY112" s="35" t="s">
        <v>11139</v>
      </c>
      <c r="FZ112" s="35" t="s">
        <v>493</v>
      </c>
      <c r="GA112" s="35" t="s">
        <v>11140</v>
      </c>
      <c r="GC112" s="35" t="s">
        <v>455</v>
      </c>
      <c r="GD112" s="35" t="s">
        <v>11141</v>
      </c>
      <c r="GF112" s="35" t="s">
        <v>855</v>
      </c>
      <c r="GH112" s="35" t="s">
        <v>1000</v>
      </c>
      <c r="GI112" s="35" t="s">
        <v>1000</v>
      </c>
      <c r="GJ112" s="35" t="s">
        <v>946</v>
      </c>
    </row>
    <row r="113">
      <c r="A113" s="40"/>
      <c r="B113" s="40">
        <v>45827.910598622686</v>
      </c>
      <c r="C113" s="35" t="s">
        <v>368</v>
      </c>
      <c r="D113" s="35" t="s">
        <v>894</v>
      </c>
      <c r="E113" s="35" t="s">
        <v>894</v>
      </c>
      <c r="H113" s="35" t="s">
        <v>422</v>
      </c>
      <c r="I113" s="35" t="s">
        <v>637</v>
      </c>
      <c r="J113" s="35" t="s">
        <v>638</v>
      </c>
      <c r="K113" s="35" t="s">
        <v>1240</v>
      </c>
      <c r="L113" s="35" t="s">
        <v>376</v>
      </c>
      <c r="M113" s="35" t="s">
        <v>591</v>
      </c>
      <c r="N113" s="35" t="s">
        <v>720</v>
      </c>
      <c r="O113" s="35" t="s">
        <v>1526</v>
      </c>
      <c r="P113" s="35" t="s">
        <v>671</v>
      </c>
      <c r="Q113" s="35" t="s">
        <v>498</v>
      </c>
      <c r="R113" s="35" t="s">
        <v>382</v>
      </c>
      <c r="S113" s="35" t="s">
        <v>11142</v>
      </c>
      <c r="T113" s="35" t="s">
        <v>384</v>
      </c>
      <c r="U113" s="35" t="s">
        <v>385</v>
      </c>
      <c r="V113" s="35" t="s">
        <v>1025</v>
      </c>
      <c r="W113" s="35" t="s">
        <v>1025</v>
      </c>
      <c r="X113" s="35" t="s">
        <v>428</v>
      </c>
      <c r="AW113" s="35" t="s">
        <v>390</v>
      </c>
      <c r="AX113" s="35" t="s">
        <v>429</v>
      </c>
      <c r="AY113" s="35" t="s">
        <v>429</v>
      </c>
      <c r="AZ113" s="41">
        <v>4.0</v>
      </c>
      <c r="BA113" s="35" t="s">
        <v>429</v>
      </c>
      <c r="BB113" s="41">
        <v>2.0</v>
      </c>
      <c r="BC113" s="41">
        <v>2.0</v>
      </c>
      <c r="BD113" s="35" t="s">
        <v>11143</v>
      </c>
      <c r="BE113" s="35" t="s">
        <v>2142</v>
      </c>
      <c r="BF113" s="35" t="s">
        <v>392</v>
      </c>
      <c r="BG113" s="35" t="s">
        <v>433</v>
      </c>
      <c r="BH113" s="35" t="s">
        <v>678</v>
      </c>
      <c r="BI113" s="35" t="s">
        <v>11144</v>
      </c>
      <c r="BJ113" s="35" t="s">
        <v>509</v>
      </c>
      <c r="BK113" s="35" t="s">
        <v>11145</v>
      </c>
      <c r="BL113" s="35" t="s">
        <v>602</v>
      </c>
      <c r="BM113" s="35" t="s">
        <v>512</v>
      </c>
      <c r="BN113" s="35" t="s">
        <v>549</v>
      </c>
      <c r="BO113" s="35" t="s">
        <v>513</v>
      </c>
      <c r="CM113" s="35" t="s">
        <v>441</v>
      </c>
      <c r="CN113" s="35" t="s">
        <v>604</v>
      </c>
      <c r="CO113" s="35" t="s">
        <v>11146</v>
      </c>
      <c r="CP113" s="35" t="s">
        <v>11147</v>
      </c>
      <c r="CQ113" s="35" t="s">
        <v>445</v>
      </c>
      <c r="CR113" s="35" t="s">
        <v>11148</v>
      </c>
      <c r="CS113" s="35" t="s">
        <v>404</v>
      </c>
      <c r="CT113" s="35" t="s">
        <v>2148</v>
      </c>
      <c r="CU113" s="35" t="s">
        <v>2149</v>
      </c>
      <c r="CV113" s="35" t="s">
        <v>519</v>
      </c>
      <c r="CW113" s="35" t="s">
        <v>451</v>
      </c>
      <c r="CX113" s="35" t="s">
        <v>11149</v>
      </c>
      <c r="CY113" s="35" t="s">
        <v>733</v>
      </c>
      <c r="CZ113" s="35" t="s">
        <v>11150</v>
      </c>
      <c r="DA113" s="35" t="s">
        <v>453</v>
      </c>
      <c r="DB113" s="35" t="s">
        <v>11151</v>
      </c>
      <c r="DC113" s="35" t="s">
        <v>455</v>
      </c>
      <c r="DD113" s="35" t="s">
        <v>11152</v>
      </c>
      <c r="DE113" s="35" t="s">
        <v>988</v>
      </c>
      <c r="DG113" s="35" t="s">
        <v>11153</v>
      </c>
      <c r="DH113" s="35" t="s">
        <v>524</v>
      </c>
      <c r="DI113" s="35" t="s">
        <v>410</v>
      </c>
      <c r="DJ113" s="35" t="s">
        <v>459</v>
      </c>
      <c r="DK113" s="35" t="s">
        <v>562</v>
      </c>
      <c r="DL113" s="35" t="s">
        <v>461</v>
      </c>
      <c r="EU113" s="35" t="s">
        <v>478</v>
      </c>
      <c r="EV113" s="35" t="s">
        <v>1037</v>
      </c>
      <c r="EW113" s="35" t="s">
        <v>580</v>
      </c>
      <c r="EX113" s="35" t="s">
        <v>11154</v>
      </c>
      <c r="EY113" s="35" t="s">
        <v>2156</v>
      </c>
      <c r="EZ113" s="35" t="s">
        <v>5744</v>
      </c>
      <c r="FA113" s="35" t="s">
        <v>415</v>
      </c>
      <c r="FB113" s="35" t="s">
        <v>414</v>
      </c>
      <c r="FC113" s="35" t="s">
        <v>413</v>
      </c>
      <c r="FD113" s="35" t="s">
        <v>414</v>
      </c>
      <c r="FE113" s="35" t="s">
        <v>413</v>
      </c>
      <c r="FF113" s="35" t="s">
        <v>415</v>
      </c>
      <c r="FG113" s="35" t="s">
        <v>415</v>
      </c>
      <c r="FH113" s="35" t="s">
        <v>413</v>
      </c>
      <c r="FI113" s="35" t="s">
        <v>414</v>
      </c>
      <c r="FJ113" s="35" t="s">
        <v>416</v>
      </c>
      <c r="FK113" s="35" t="s">
        <v>416</v>
      </c>
      <c r="FL113" s="35" t="s">
        <v>484</v>
      </c>
      <c r="FM113" s="35" t="s">
        <v>484</v>
      </c>
      <c r="FN113" s="35" t="s">
        <v>413</v>
      </c>
      <c r="FO113" s="35" t="s">
        <v>583</v>
      </c>
      <c r="FP113" s="35" t="s">
        <v>1537</v>
      </c>
      <c r="FQ113" s="35" t="s">
        <v>418</v>
      </c>
      <c r="FR113" s="35" t="s">
        <v>749</v>
      </c>
      <c r="FS113" s="35" t="s">
        <v>2157</v>
      </c>
      <c r="FT113" s="35" t="s">
        <v>995</v>
      </c>
      <c r="FU113" s="35" t="s">
        <v>488</v>
      </c>
      <c r="FV113" s="35" t="s">
        <v>585</v>
      </c>
      <c r="FW113" s="35" t="s">
        <v>490</v>
      </c>
      <c r="FX113" s="35" t="s">
        <v>491</v>
      </c>
      <c r="FY113" s="35" t="s">
        <v>2158</v>
      </c>
      <c r="FZ113" s="35" t="s">
        <v>535</v>
      </c>
      <c r="GA113" s="35" t="s">
        <v>11155</v>
      </c>
      <c r="GC113" s="35" t="s">
        <v>455</v>
      </c>
      <c r="GD113" s="35" t="s">
        <v>11156</v>
      </c>
      <c r="GF113" s="35" t="s">
        <v>786</v>
      </c>
      <c r="GG113" s="35" t="s">
        <v>11157</v>
      </c>
      <c r="GH113" s="35" t="s">
        <v>920</v>
      </c>
      <c r="GI113" s="35" t="s">
        <v>920</v>
      </c>
      <c r="GJ113" s="35" t="s">
        <v>858</v>
      </c>
    </row>
    <row r="114">
      <c r="A114" s="40"/>
      <c r="B114" s="40">
        <v>45827.95437741898</v>
      </c>
      <c r="C114" s="35" t="s">
        <v>368</v>
      </c>
      <c r="D114" s="35" t="s">
        <v>370</v>
      </c>
      <c r="F114" s="35" t="s">
        <v>1899</v>
      </c>
      <c r="H114" s="35" t="s">
        <v>636</v>
      </c>
      <c r="I114" s="35" t="s">
        <v>637</v>
      </c>
      <c r="J114" s="35" t="s">
        <v>638</v>
      </c>
      <c r="K114" s="35" t="s">
        <v>425</v>
      </c>
      <c r="L114" s="35" t="s">
        <v>376</v>
      </c>
      <c r="M114" s="35" t="s">
        <v>379</v>
      </c>
      <c r="N114" s="35" t="s">
        <v>2251</v>
      </c>
      <c r="O114" s="35" t="s">
        <v>670</v>
      </c>
      <c r="P114" s="35" t="s">
        <v>719</v>
      </c>
      <c r="Q114" s="35" t="s">
        <v>381</v>
      </c>
      <c r="R114" s="35" t="s">
        <v>818</v>
      </c>
      <c r="S114" s="35" t="s">
        <v>427</v>
      </c>
      <c r="T114" s="35" t="s">
        <v>384</v>
      </c>
      <c r="U114" s="35" t="s">
        <v>385</v>
      </c>
      <c r="X114" s="35" t="s">
        <v>760</v>
      </c>
      <c r="Y114" s="35" t="s">
        <v>642</v>
      </c>
      <c r="AM114" s="35" t="s">
        <v>2252</v>
      </c>
      <c r="AN114" s="35" t="s">
        <v>2253</v>
      </c>
      <c r="AO114" s="35" t="s">
        <v>408</v>
      </c>
      <c r="AQ114" s="35" t="s">
        <v>913</v>
      </c>
      <c r="AR114" s="41">
        <v>5.0</v>
      </c>
      <c r="AS114" s="35" t="s">
        <v>1507</v>
      </c>
      <c r="AT114" s="35" t="s">
        <v>2254</v>
      </c>
      <c r="AU114" s="35" t="s">
        <v>2255</v>
      </c>
      <c r="AV114" s="35" t="s">
        <v>2256</v>
      </c>
      <c r="AW114" s="35" t="s">
        <v>504</v>
      </c>
      <c r="AX114" s="35" t="s">
        <v>391</v>
      </c>
      <c r="AY114" s="35" t="s">
        <v>429</v>
      </c>
      <c r="AZ114" s="35" t="s">
        <v>391</v>
      </c>
      <c r="BA114" s="35" t="s">
        <v>429</v>
      </c>
      <c r="BB114" s="41">
        <v>2.0</v>
      </c>
      <c r="BC114" s="35" t="s">
        <v>429</v>
      </c>
      <c r="BD114" s="35" t="s">
        <v>2257</v>
      </c>
      <c r="BE114" s="35" t="s">
        <v>2258</v>
      </c>
      <c r="BF114" s="35" t="s">
        <v>2259</v>
      </c>
      <c r="BH114" s="35" t="s">
        <v>765</v>
      </c>
      <c r="BI114" s="35" t="s">
        <v>2260</v>
      </c>
      <c r="BJ114" s="35" t="s">
        <v>824</v>
      </c>
      <c r="BL114" s="35" t="s">
        <v>511</v>
      </c>
      <c r="BM114" s="35" t="s">
        <v>396</v>
      </c>
      <c r="BN114" s="35" t="s">
        <v>549</v>
      </c>
      <c r="BO114" s="35" t="s">
        <v>513</v>
      </c>
      <c r="CM114" s="35" t="s">
        <v>441</v>
      </c>
      <c r="CN114" s="35" t="s">
        <v>604</v>
      </c>
      <c r="CO114" s="35" t="s">
        <v>2261</v>
      </c>
      <c r="CP114" s="35" t="s">
        <v>2262</v>
      </c>
      <c r="CQ114" s="35" t="s">
        <v>979</v>
      </c>
      <c r="CR114" s="35" t="s">
        <v>2263</v>
      </c>
      <c r="CS114" s="35" t="s">
        <v>404</v>
      </c>
      <c r="CT114" s="35" t="s">
        <v>2264</v>
      </c>
      <c r="CU114" s="35" t="s">
        <v>11158</v>
      </c>
      <c r="CV114" s="35" t="s">
        <v>450</v>
      </c>
      <c r="CW114" s="35" t="s">
        <v>451</v>
      </c>
      <c r="CX114" s="35" t="s">
        <v>2266</v>
      </c>
      <c r="CY114" s="35" t="s">
        <v>408</v>
      </c>
      <c r="DA114" s="35" t="s">
        <v>453</v>
      </c>
      <c r="DB114" s="35" t="s">
        <v>2267</v>
      </c>
      <c r="DC114" s="35" t="s">
        <v>408</v>
      </c>
      <c r="DE114" s="35" t="s">
        <v>662</v>
      </c>
      <c r="DG114" s="35" t="s">
        <v>2268</v>
      </c>
      <c r="DH114" s="35" t="s">
        <v>561</v>
      </c>
      <c r="DI114" s="35" t="s">
        <v>410</v>
      </c>
      <c r="DJ114" s="35" t="s">
        <v>459</v>
      </c>
      <c r="DK114" s="35" t="s">
        <v>562</v>
      </c>
      <c r="DL114" s="35" t="s">
        <v>461</v>
      </c>
      <c r="EU114" s="35" t="s">
        <v>526</v>
      </c>
      <c r="EV114" s="35" t="s">
        <v>1037</v>
      </c>
      <c r="EW114" s="35" t="s">
        <v>580</v>
      </c>
      <c r="EX114" s="35" t="s">
        <v>2269</v>
      </c>
      <c r="EY114" s="35" t="s">
        <v>2270</v>
      </c>
      <c r="EZ114" s="35" t="s">
        <v>2271</v>
      </c>
      <c r="FP114" s="35" t="s">
        <v>485</v>
      </c>
      <c r="FQ114" s="35" t="s">
        <v>418</v>
      </c>
      <c r="FR114" s="35" t="s">
        <v>712</v>
      </c>
      <c r="FS114" s="35" t="s">
        <v>2272</v>
      </c>
      <c r="FT114" s="35" t="s">
        <v>1189</v>
      </c>
      <c r="FU114" s="35" t="s">
        <v>488</v>
      </c>
      <c r="FV114" s="35" t="s">
        <v>489</v>
      </c>
      <c r="FW114" s="35" t="s">
        <v>490</v>
      </c>
      <c r="FX114" s="35" t="s">
        <v>491</v>
      </c>
      <c r="FY114" s="35" t="s">
        <v>2273</v>
      </c>
      <c r="FZ114" s="35" t="s">
        <v>535</v>
      </c>
      <c r="GA114" s="35" t="s">
        <v>2274</v>
      </c>
      <c r="GB114" s="35" t="s">
        <v>2275</v>
      </c>
      <c r="GC114" s="35" t="s">
        <v>455</v>
      </c>
      <c r="GD114" s="35" t="s">
        <v>11159</v>
      </c>
      <c r="GF114" s="35" t="s">
        <v>1339</v>
      </c>
      <c r="GG114" s="35" t="s">
        <v>2276</v>
      </c>
      <c r="GH114" s="35" t="s">
        <v>857</v>
      </c>
      <c r="GI114" s="35" t="s">
        <v>857</v>
      </c>
      <c r="GJ114" s="35" t="s">
        <v>790</v>
      </c>
    </row>
    <row r="115">
      <c r="A115" s="40"/>
      <c r="B115" s="40">
        <v>45828.025735347226</v>
      </c>
      <c r="C115" s="35" t="s">
        <v>368</v>
      </c>
      <c r="D115" s="35" t="s">
        <v>1201</v>
      </c>
      <c r="E115" s="35" t="s">
        <v>1201</v>
      </c>
      <c r="F115" s="35" t="s">
        <v>1023</v>
      </c>
      <c r="X115" s="35" t="s">
        <v>760</v>
      </c>
      <c r="Y115" s="35" t="s">
        <v>387</v>
      </c>
      <c r="Z115" s="35" t="s">
        <v>1595</v>
      </c>
      <c r="AA115" s="35" t="s">
        <v>543</v>
      </c>
      <c r="AB115" s="35" t="s">
        <v>2313</v>
      </c>
      <c r="AC115" s="35" t="s">
        <v>2314</v>
      </c>
      <c r="BO115" s="35" t="s">
        <v>513</v>
      </c>
      <c r="CM115" s="35" t="s">
        <v>550</v>
      </c>
      <c r="CN115" s="35" t="s">
        <v>604</v>
      </c>
      <c r="CO115" s="35" t="s">
        <v>2315</v>
      </c>
      <c r="CP115" s="35" t="s">
        <v>2316</v>
      </c>
      <c r="CQ115" s="35" t="s">
        <v>685</v>
      </c>
      <c r="CR115" s="35" t="s">
        <v>2317</v>
      </c>
      <c r="CS115" s="35" t="s">
        <v>804</v>
      </c>
      <c r="CT115" s="35" t="s">
        <v>2318</v>
      </c>
      <c r="CU115" s="35" t="s">
        <v>2319</v>
      </c>
      <c r="CV115" s="35" t="s">
        <v>450</v>
      </c>
      <c r="CW115" s="35" t="s">
        <v>451</v>
      </c>
      <c r="CX115" s="35" t="s">
        <v>2320</v>
      </c>
      <c r="CY115" s="35" t="s">
        <v>455</v>
      </c>
      <c r="CZ115" s="35" t="s">
        <v>2321</v>
      </c>
      <c r="DA115" s="35" t="s">
        <v>453</v>
      </c>
      <c r="DB115" s="35" t="s">
        <v>2322</v>
      </c>
      <c r="DC115" s="35" t="s">
        <v>455</v>
      </c>
      <c r="DD115" s="35" t="s">
        <v>2323</v>
      </c>
      <c r="DE115" s="35" t="s">
        <v>662</v>
      </c>
      <c r="DF115" s="35" t="s">
        <v>407</v>
      </c>
      <c r="DG115" s="35" t="s">
        <v>2324</v>
      </c>
      <c r="DH115" s="35" t="s">
        <v>561</v>
      </c>
      <c r="DI115" s="35" t="s">
        <v>410</v>
      </c>
      <c r="DJ115" s="35" t="s">
        <v>459</v>
      </c>
      <c r="DK115" s="35" t="s">
        <v>562</v>
      </c>
      <c r="DL115" s="35" t="s">
        <v>563</v>
      </c>
      <c r="DM115" s="35" t="s">
        <v>2325</v>
      </c>
      <c r="EU115" s="35" t="s">
        <v>478</v>
      </c>
      <c r="EV115" s="35" t="s">
        <v>579</v>
      </c>
      <c r="EW115" s="35" t="s">
        <v>527</v>
      </c>
      <c r="EX115" s="35" t="s">
        <v>2326</v>
      </c>
      <c r="EY115" s="35" t="s">
        <v>11160</v>
      </c>
      <c r="EZ115" s="35" t="s">
        <v>11161</v>
      </c>
      <c r="FA115" s="35" t="s">
        <v>415</v>
      </c>
      <c r="FB115" s="35" t="s">
        <v>414</v>
      </c>
      <c r="FC115" s="35" t="s">
        <v>414</v>
      </c>
      <c r="FD115" s="35" t="s">
        <v>414</v>
      </c>
      <c r="FE115" s="35" t="s">
        <v>413</v>
      </c>
      <c r="FF115" s="35" t="s">
        <v>414</v>
      </c>
      <c r="FG115" s="35" t="s">
        <v>414</v>
      </c>
      <c r="FH115" s="35" t="s">
        <v>413</v>
      </c>
      <c r="FI115" s="35" t="s">
        <v>583</v>
      </c>
      <c r="FJ115" s="35" t="s">
        <v>416</v>
      </c>
      <c r="FK115" s="35" t="s">
        <v>415</v>
      </c>
      <c r="FL115" s="35" t="s">
        <v>413</v>
      </c>
      <c r="FM115" s="35" t="s">
        <v>415</v>
      </c>
      <c r="FN115" s="35" t="s">
        <v>413</v>
      </c>
      <c r="FO115" s="35" t="s">
        <v>583</v>
      </c>
      <c r="FP115" s="35" t="s">
        <v>485</v>
      </c>
      <c r="FQ115" s="35" t="s">
        <v>418</v>
      </c>
      <c r="FR115" s="35" t="s">
        <v>749</v>
      </c>
      <c r="FS115" s="35" t="s">
        <v>2329</v>
      </c>
      <c r="FT115" s="35" t="s">
        <v>1076</v>
      </c>
      <c r="FU115" s="35" t="s">
        <v>488</v>
      </c>
      <c r="FV115" s="35" t="s">
        <v>585</v>
      </c>
      <c r="FW115" s="35" t="s">
        <v>490</v>
      </c>
      <c r="FX115" s="35" t="s">
        <v>491</v>
      </c>
      <c r="FY115" s="35" t="s">
        <v>2330</v>
      </c>
      <c r="FZ115" s="35" t="s">
        <v>493</v>
      </c>
      <c r="GA115" s="35" t="s">
        <v>2331</v>
      </c>
      <c r="GB115" s="35" t="s">
        <v>2332</v>
      </c>
      <c r="GC115" s="35" t="s">
        <v>455</v>
      </c>
      <c r="GE115" s="35" t="s">
        <v>2333</v>
      </c>
      <c r="GF115" s="35" t="s">
        <v>753</v>
      </c>
      <c r="GG115" s="35" t="s">
        <v>2334</v>
      </c>
      <c r="GH115" s="35" t="s">
        <v>1000</v>
      </c>
      <c r="GI115" s="35" t="s">
        <v>920</v>
      </c>
      <c r="GJ115" s="35" t="s">
        <v>858</v>
      </c>
    </row>
    <row r="116">
      <c r="A116" s="40"/>
      <c r="B116" s="40">
        <v>45828.06036765046</v>
      </c>
      <c r="C116" s="35" t="s">
        <v>368</v>
      </c>
      <c r="D116" s="35" t="s">
        <v>370</v>
      </c>
      <c r="F116" s="35" t="s">
        <v>2359</v>
      </c>
      <c r="H116" s="35" t="s">
        <v>422</v>
      </c>
      <c r="I116" s="35" t="s">
        <v>373</v>
      </c>
      <c r="J116" s="35" t="s">
        <v>638</v>
      </c>
      <c r="K116" s="35" t="s">
        <v>375</v>
      </c>
      <c r="L116" s="35" t="s">
        <v>376</v>
      </c>
      <c r="M116" s="35" t="s">
        <v>591</v>
      </c>
      <c r="N116" s="35" t="s">
        <v>378</v>
      </c>
      <c r="O116" s="35" t="s">
        <v>793</v>
      </c>
      <c r="P116" s="35" t="s">
        <v>719</v>
      </c>
      <c r="Q116" s="35" t="s">
        <v>498</v>
      </c>
      <c r="R116" s="35" t="s">
        <v>382</v>
      </c>
      <c r="S116" s="35" t="s">
        <v>2360</v>
      </c>
      <c r="T116" s="35" t="s">
        <v>2361</v>
      </c>
      <c r="U116" s="35" t="s">
        <v>385</v>
      </c>
      <c r="X116" s="35" t="s">
        <v>428</v>
      </c>
      <c r="AW116" s="35" t="s">
        <v>504</v>
      </c>
      <c r="AX116" s="35" t="s">
        <v>429</v>
      </c>
      <c r="AY116" s="35" t="s">
        <v>429</v>
      </c>
      <c r="AZ116" s="35" t="s">
        <v>429</v>
      </c>
      <c r="BA116" s="41">
        <v>2.0</v>
      </c>
      <c r="BB116" s="35" t="s">
        <v>429</v>
      </c>
      <c r="BC116" s="41">
        <v>2.0</v>
      </c>
      <c r="BD116" s="35" t="s">
        <v>2362</v>
      </c>
      <c r="BE116" s="35" t="s">
        <v>2363</v>
      </c>
      <c r="BF116" s="35" t="s">
        <v>432</v>
      </c>
      <c r="BG116" s="35" t="s">
        <v>433</v>
      </c>
      <c r="BH116" s="35" t="s">
        <v>434</v>
      </c>
      <c r="BI116" s="35" t="s">
        <v>2364</v>
      </c>
      <c r="BJ116" s="35" t="s">
        <v>509</v>
      </c>
      <c r="BK116" s="35" t="s">
        <v>2365</v>
      </c>
      <c r="BL116" s="35" t="s">
        <v>602</v>
      </c>
      <c r="BM116" s="35" t="s">
        <v>438</v>
      </c>
      <c r="BN116" s="35" t="s">
        <v>439</v>
      </c>
      <c r="BO116" s="35" t="s">
        <v>513</v>
      </c>
      <c r="CM116" s="35" t="s">
        <v>441</v>
      </c>
      <c r="CN116" s="35" t="s">
        <v>604</v>
      </c>
      <c r="CO116" s="35" t="s">
        <v>2366</v>
      </c>
      <c r="CP116" s="35" t="s">
        <v>2367</v>
      </c>
      <c r="CQ116" s="35" t="s">
        <v>403</v>
      </c>
      <c r="CR116" s="35" t="s">
        <v>956</v>
      </c>
      <c r="CS116" s="35" t="s">
        <v>804</v>
      </c>
      <c r="CT116" s="35" t="s">
        <v>2368</v>
      </c>
      <c r="CU116" s="35" t="s">
        <v>2369</v>
      </c>
      <c r="CV116" s="35" t="s">
        <v>450</v>
      </c>
      <c r="CW116" s="35" t="s">
        <v>451</v>
      </c>
      <c r="CX116" s="35" t="s">
        <v>11162</v>
      </c>
      <c r="CY116" s="35" t="s">
        <v>408</v>
      </c>
      <c r="DA116" s="35" t="s">
        <v>453</v>
      </c>
      <c r="DB116" s="35" t="s">
        <v>2371</v>
      </c>
      <c r="DC116" s="35" t="s">
        <v>455</v>
      </c>
      <c r="DD116" s="35" t="s">
        <v>2372</v>
      </c>
      <c r="DE116" s="35" t="s">
        <v>988</v>
      </c>
      <c r="DG116" s="35" t="s">
        <v>2373</v>
      </c>
      <c r="DH116" s="35" t="s">
        <v>524</v>
      </c>
      <c r="DI116" s="35" t="s">
        <v>1220</v>
      </c>
      <c r="DJ116" s="35" t="s">
        <v>459</v>
      </c>
      <c r="DK116" s="35" t="s">
        <v>460</v>
      </c>
      <c r="DL116" s="35" t="s">
        <v>461</v>
      </c>
      <c r="EU116" s="35" t="s">
        <v>478</v>
      </c>
      <c r="EV116" s="35" t="s">
        <v>479</v>
      </c>
      <c r="EW116" s="35" t="s">
        <v>480</v>
      </c>
      <c r="FA116" s="35" t="s">
        <v>414</v>
      </c>
      <c r="FB116" s="35" t="s">
        <v>414</v>
      </c>
      <c r="FC116" s="35" t="s">
        <v>414</v>
      </c>
      <c r="FD116" s="35" t="s">
        <v>414</v>
      </c>
      <c r="FE116" s="35" t="s">
        <v>484</v>
      </c>
      <c r="FF116" s="35" t="s">
        <v>414</v>
      </c>
      <c r="FG116" s="35" t="s">
        <v>484</v>
      </c>
      <c r="FH116" s="35" t="s">
        <v>484</v>
      </c>
      <c r="FI116" s="35" t="s">
        <v>414</v>
      </c>
      <c r="FJ116" s="35" t="s">
        <v>414</v>
      </c>
      <c r="FK116" s="35" t="s">
        <v>484</v>
      </c>
      <c r="FL116" s="35" t="s">
        <v>484</v>
      </c>
      <c r="FM116" s="35" t="s">
        <v>484</v>
      </c>
      <c r="FN116" s="35" t="s">
        <v>416</v>
      </c>
      <c r="FO116" s="35" t="s">
        <v>583</v>
      </c>
      <c r="FP116" s="35" t="s">
        <v>417</v>
      </c>
      <c r="FQ116" s="35" t="s">
        <v>418</v>
      </c>
      <c r="FR116" s="35" t="s">
        <v>712</v>
      </c>
      <c r="FT116" s="35" t="s">
        <v>420</v>
      </c>
      <c r="FU116" s="35" t="s">
        <v>488</v>
      </c>
      <c r="FV116" s="35" t="s">
        <v>489</v>
      </c>
      <c r="FW116" s="35" t="s">
        <v>490</v>
      </c>
      <c r="FX116" s="35" t="s">
        <v>491</v>
      </c>
      <c r="FZ116" s="35" t="s">
        <v>535</v>
      </c>
      <c r="GC116" s="35" t="s">
        <v>455</v>
      </c>
      <c r="GE116" s="35" t="s">
        <v>2374</v>
      </c>
      <c r="GF116" s="35" t="s">
        <v>1339</v>
      </c>
      <c r="GG116" s="35" t="s">
        <v>2375</v>
      </c>
      <c r="GH116" s="35" t="s">
        <v>857</v>
      </c>
      <c r="GI116" s="35" t="s">
        <v>857</v>
      </c>
      <c r="GJ116" s="35" t="s">
        <v>946</v>
      </c>
    </row>
    <row r="117">
      <c r="A117" s="40"/>
      <c r="B117" s="40">
        <v>45828.06330849537</v>
      </c>
      <c r="C117" s="35" t="s">
        <v>368</v>
      </c>
      <c r="D117" s="35" t="s">
        <v>370</v>
      </c>
      <c r="F117" s="35" t="s">
        <v>2376</v>
      </c>
      <c r="H117" s="35" t="s">
        <v>422</v>
      </c>
      <c r="I117" s="35" t="s">
        <v>423</v>
      </c>
      <c r="J117" s="35" t="s">
        <v>424</v>
      </c>
      <c r="K117" s="35" t="s">
        <v>425</v>
      </c>
      <c r="L117" s="35" t="s">
        <v>376</v>
      </c>
      <c r="M117" s="35" t="s">
        <v>591</v>
      </c>
      <c r="N117" s="35" t="s">
        <v>719</v>
      </c>
      <c r="O117" s="35" t="s">
        <v>426</v>
      </c>
      <c r="P117" s="35" t="s">
        <v>497</v>
      </c>
      <c r="Q117" s="35" t="s">
        <v>381</v>
      </c>
      <c r="R117" s="35" t="s">
        <v>862</v>
      </c>
      <c r="S117" s="35" t="s">
        <v>949</v>
      </c>
      <c r="T117" s="35" t="s">
        <v>384</v>
      </c>
      <c r="U117" s="35" t="s">
        <v>385</v>
      </c>
      <c r="X117" s="35" t="s">
        <v>428</v>
      </c>
      <c r="AW117" s="35" t="s">
        <v>597</v>
      </c>
      <c r="AX117" s="35" t="s">
        <v>675</v>
      </c>
      <c r="AY117" s="41">
        <v>4.0</v>
      </c>
      <c r="AZ117" s="41">
        <v>4.0</v>
      </c>
      <c r="BA117" s="35" t="s">
        <v>391</v>
      </c>
      <c r="BB117" s="41">
        <v>4.0</v>
      </c>
      <c r="BC117" s="35" t="s">
        <v>391</v>
      </c>
      <c r="BD117" s="35" t="s">
        <v>2377</v>
      </c>
      <c r="BE117" s="35" t="s">
        <v>2378</v>
      </c>
      <c r="BF117" s="35" t="s">
        <v>2379</v>
      </c>
      <c r="BG117" s="35" t="s">
        <v>1095</v>
      </c>
      <c r="BH117" s="35" t="s">
        <v>725</v>
      </c>
      <c r="BI117" s="35" t="s">
        <v>2380</v>
      </c>
      <c r="BJ117" s="35" t="s">
        <v>976</v>
      </c>
      <c r="BK117" s="35" t="s">
        <v>1211</v>
      </c>
      <c r="BL117" s="35" t="s">
        <v>437</v>
      </c>
      <c r="BM117" s="35" t="s">
        <v>904</v>
      </c>
      <c r="BN117" s="35" t="s">
        <v>397</v>
      </c>
      <c r="BO117" s="35" t="s">
        <v>513</v>
      </c>
      <c r="CM117" s="35" t="s">
        <v>441</v>
      </c>
      <c r="CN117" s="35" t="s">
        <v>604</v>
      </c>
      <c r="CO117" s="35" t="s">
        <v>2381</v>
      </c>
      <c r="CP117" s="35" t="s">
        <v>2382</v>
      </c>
      <c r="CQ117" s="35" t="s">
        <v>1008</v>
      </c>
      <c r="CR117" s="35" t="s">
        <v>2383</v>
      </c>
      <c r="CS117" s="35" t="s">
        <v>404</v>
      </c>
      <c r="CT117" s="35" t="s">
        <v>1137</v>
      </c>
      <c r="CU117" s="35" t="s">
        <v>2384</v>
      </c>
      <c r="CV117" s="35" t="s">
        <v>982</v>
      </c>
      <c r="CW117" s="35" t="s">
        <v>409</v>
      </c>
      <c r="CX117" s="35" t="s">
        <v>11163</v>
      </c>
      <c r="CY117" s="35" t="s">
        <v>408</v>
      </c>
      <c r="CZ117" s="35" t="s">
        <v>1211</v>
      </c>
      <c r="DA117" s="35" t="s">
        <v>1962</v>
      </c>
      <c r="DB117" s="35" t="s">
        <v>1211</v>
      </c>
      <c r="DC117" s="35" t="s">
        <v>408</v>
      </c>
      <c r="DD117" s="35" t="s">
        <v>1211</v>
      </c>
      <c r="DE117" s="35" t="s">
        <v>988</v>
      </c>
      <c r="DF117" s="35" t="s">
        <v>1058</v>
      </c>
      <c r="DG117" s="35" t="s">
        <v>1211</v>
      </c>
      <c r="DH117" s="35" t="s">
        <v>524</v>
      </c>
      <c r="DI117" s="35" t="s">
        <v>833</v>
      </c>
      <c r="DJ117" s="35" t="s">
        <v>459</v>
      </c>
      <c r="DK117" s="35" t="s">
        <v>460</v>
      </c>
      <c r="DL117" s="35" t="s">
        <v>461</v>
      </c>
      <c r="EU117" s="35" t="s">
        <v>578</v>
      </c>
      <c r="EV117" s="35" t="s">
        <v>479</v>
      </c>
      <c r="EW117" s="35" t="s">
        <v>480</v>
      </c>
      <c r="FA117" s="35" t="s">
        <v>414</v>
      </c>
      <c r="FB117" s="35" t="s">
        <v>414</v>
      </c>
      <c r="FC117" s="35" t="s">
        <v>413</v>
      </c>
      <c r="FD117" s="35" t="s">
        <v>413</v>
      </c>
      <c r="FE117" s="35" t="s">
        <v>413</v>
      </c>
      <c r="FF117" s="35" t="s">
        <v>583</v>
      </c>
      <c r="FG117" s="35" t="s">
        <v>413</v>
      </c>
      <c r="FH117" s="35" t="s">
        <v>413</v>
      </c>
      <c r="FI117" s="35" t="s">
        <v>413</v>
      </c>
      <c r="FJ117" s="35" t="s">
        <v>414</v>
      </c>
      <c r="FK117" s="35" t="s">
        <v>414</v>
      </c>
      <c r="FL117" s="35" t="s">
        <v>415</v>
      </c>
      <c r="FM117" s="35" t="s">
        <v>415</v>
      </c>
      <c r="FN117" s="35" t="s">
        <v>415</v>
      </c>
      <c r="FO117" s="35" t="s">
        <v>415</v>
      </c>
      <c r="FP117" s="35" t="s">
        <v>1074</v>
      </c>
      <c r="FQ117" s="35" t="s">
        <v>486</v>
      </c>
      <c r="FR117" s="35" t="s">
        <v>419</v>
      </c>
      <c r="FS117" s="35" t="s">
        <v>2386</v>
      </c>
      <c r="FT117" s="35" t="s">
        <v>420</v>
      </c>
      <c r="FU117" s="35" t="s">
        <v>1462</v>
      </c>
      <c r="FV117" s="35" t="s">
        <v>533</v>
      </c>
      <c r="FW117" s="35" t="s">
        <v>2387</v>
      </c>
      <c r="FX117" s="35" t="s">
        <v>1853</v>
      </c>
      <c r="FZ117" s="35" t="s">
        <v>1020</v>
      </c>
      <c r="GC117" s="35" t="s">
        <v>408</v>
      </c>
      <c r="GH117" s="35" t="s">
        <v>755</v>
      </c>
      <c r="GI117" s="35" t="s">
        <v>755</v>
      </c>
      <c r="GJ117" s="35" t="s">
        <v>817</v>
      </c>
    </row>
    <row r="118">
      <c r="A118" s="40"/>
      <c r="B118" s="40">
        <v>45828.12018145833</v>
      </c>
      <c r="C118" s="35" t="s">
        <v>368</v>
      </c>
      <c r="D118" s="35" t="s">
        <v>370</v>
      </c>
      <c r="F118" s="35" t="s">
        <v>2388</v>
      </c>
      <c r="H118" s="35" t="s">
        <v>422</v>
      </c>
      <c r="I118" s="35" t="s">
        <v>637</v>
      </c>
      <c r="J118" s="35" t="s">
        <v>374</v>
      </c>
      <c r="K118" s="35" t="s">
        <v>718</v>
      </c>
      <c r="L118" s="35" t="s">
        <v>376</v>
      </c>
      <c r="M118" s="35" t="s">
        <v>591</v>
      </c>
      <c r="N118" s="35" t="s">
        <v>719</v>
      </c>
      <c r="O118" s="35" t="s">
        <v>793</v>
      </c>
      <c r="P118" s="35" t="s">
        <v>719</v>
      </c>
      <c r="Q118" s="35" t="s">
        <v>592</v>
      </c>
      <c r="R118" s="35" t="s">
        <v>1156</v>
      </c>
      <c r="S118" s="35" t="s">
        <v>427</v>
      </c>
      <c r="T118" s="35" t="s">
        <v>384</v>
      </c>
      <c r="U118" s="35" t="s">
        <v>385</v>
      </c>
      <c r="X118" s="35" t="s">
        <v>593</v>
      </c>
      <c r="Y118" s="35" t="s">
        <v>387</v>
      </c>
      <c r="Z118" s="35" t="s">
        <v>897</v>
      </c>
      <c r="AA118" s="35" t="s">
        <v>672</v>
      </c>
      <c r="AC118" s="35" t="s">
        <v>11164</v>
      </c>
      <c r="AW118" s="35" t="s">
        <v>1310</v>
      </c>
      <c r="AX118" s="41">
        <v>4.0</v>
      </c>
      <c r="AY118" s="41">
        <v>4.0</v>
      </c>
      <c r="AZ118" s="35" t="s">
        <v>675</v>
      </c>
      <c r="BA118" s="41">
        <v>4.0</v>
      </c>
      <c r="BB118" s="35" t="s">
        <v>429</v>
      </c>
      <c r="BC118" s="35" t="s">
        <v>391</v>
      </c>
      <c r="BF118" s="35" t="s">
        <v>2379</v>
      </c>
      <c r="BG118" s="35" t="s">
        <v>393</v>
      </c>
      <c r="BH118" s="35" t="s">
        <v>434</v>
      </c>
      <c r="BL118" s="35" t="s">
        <v>681</v>
      </c>
      <c r="BN118" s="35" t="s">
        <v>1247</v>
      </c>
      <c r="BO118" s="35" t="s">
        <v>513</v>
      </c>
      <c r="CM118" s="35" t="s">
        <v>550</v>
      </c>
      <c r="CN118" s="35" t="s">
        <v>401</v>
      </c>
      <c r="CO118" s="35" t="s">
        <v>2390</v>
      </c>
      <c r="CP118" s="35" t="s">
        <v>408</v>
      </c>
      <c r="CQ118" s="35" t="s">
        <v>685</v>
      </c>
      <c r="CR118" s="35" t="s">
        <v>2391</v>
      </c>
      <c r="CS118" s="35" t="s">
        <v>804</v>
      </c>
      <c r="CT118" s="35" t="s">
        <v>2392</v>
      </c>
      <c r="CV118" s="35" t="s">
        <v>1961</v>
      </c>
      <c r="CW118" s="35" t="s">
        <v>2393</v>
      </c>
      <c r="CY118" s="35" t="s">
        <v>455</v>
      </c>
      <c r="CZ118" s="35" t="s">
        <v>2394</v>
      </c>
      <c r="DA118" s="35" t="s">
        <v>1962</v>
      </c>
      <c r="DC118" s="35" t="s">
        <v>455</v>
      </c>
      <c r="DD118" s="35" t="s">
        <v>11165</v>
      </c>
      <c r="DE118" s="35" t="s">
        <v>662</v>
      </c>
      <c r="DH118" s="35" t="s">
        <v>990</v>
      </c>
      <c r="DI118" s="35" t="s">
        <v>833</v>
      </c>
      <c r="DJ118" s="35" t="s">
        <v>459</v>
      </c>
      <c r="DK118" s="35" t="s">
        <v>613</v>
      </c>
      <c r="EU118" s="35" t="s">
        <v>578</v>
      </c>
      <c r="EV118" s="35" t="s">
        <v>479</v>
      </c>
      <c r="EW118" s="35" t="s">
        <v>480</v>
      </c>
      <c r="EY118" s="35" t="s">
        <v>2396</v>
      </c>
      <c r="EZ118" s="35" t="s">
        <v>2397</v>
      </c>
      <c r="FA118" s="35" t="s">
        <v>583</v>
      </c>
      <c r="FB118" s="35" t="s">
        <v>583</v>
      </c>
      <c r="FC118" s="35" t="s">
        <v>583</v>
      </c>
      <c r="FD118" s="35" t="s">
        <v>583</v>
      </c>
      <c r="FE118" s="35" t="s">
        <v>414</v>
      </c>
      <c r="FF118" s="35" t="s">
        <v>583</v>
      </c>
      <c r="FG118" s="35" t="s">
        <v>583</v>
      </c>
      <c r="FH118" s="35" t="s">
        <v>415</v>
      </c>
      <c r="FI118" s="35" t="s">
        <v>583</v>
      </c>
      <c r="FJ118" s="35" t="s">
        <v>583</v>
      </c>
      <c r="FK118" s="35" t="s">
        <v>583</v>
      </c>
      <c r="FL118" s="35" t="s">
        <v>583</v>
      </c>
      <c r="FM118" s="35" t="s">
        <v>583</v>
      </c>
      <c r="FN118" s="35" t="s">
        <v>413</v>
      </c>
      <c r="FO118" s="35" t="s">
        <v>583</v>
      </c>
      <c r="FP118" s="35" t="s">
        <v>1537</v>
      </c>
      <c r="FQ118" s="35" t="s">
        <v>1200</v>
      </c>
      <c r="FR118" s="35" t="s">
        <v>630</v>
      </c>
      <c r="FT118" s="35" t="s">
        <v>1871</v>
      </c>
      <c r="FU118" s="35" t="s">
        <v>2398</v>
      </c>
      <c r="FV118" s="35" t="s">
        <v>533</v>
      </c>
      <c r="FW118" s="35" t="s">
        <v>2399</v>
      </c>
      <c r="FX118" s="35" t="s">
        <v>1853</v>
      </c>
      <c r="FZ118" s="35" t="s">
        <v>1020</v>
      </c>
      <c r="GC118" s="35" t="s">
        <v>408</v>
      </c>
      <c r="GH118" s="35" t="s">
        <v>755</v>
      </c>
      <c r="GI118" s="35" t="s">
        <v>755</v>
      </c>
      <c r="GJ118" s="35" t="s">
        <v>756</v>
      </c>
    </row>
    <row r="119">
      <c r="A119" s="40"/>
      <c r="B119" s="40">
        <v>45828.22725708333</v>
      </c>
      <c r="C119" s="35" t="s">
        <v>368</v>
      </c>
      <c r="D119" s="35" t="s">
        <v>538</v>
      </c>
      <c r="E119" s="35" t="s">
        <v>538</v>
      </c>
      <c r="H119" s="35" t="s">
        <v>422</v>
      </c>
      <c r="I119" s="35" t="s">
        <v>539</v>
      </c>
      <c r="J119" s="35" t="s">
        <v>424</v>
      </c>
      <c r="K119" s="35" t="s">
        <v>540</v>
      </c>
      <c r="L119" s="35" t="s">
        <v>376</v>
      </c>
      <c r="M119" s="35" t="s">
        <v>426</v>
      </c>
      <c r="N119" s="35" t="s">
        <v>2464</v>
      </c>
      <c r="O119" s="35" t="s">
        <v>426</v>
      </c>
      <c r="P119" s="35" t="s">
        <v>2465</v>
      </c>
      <c r="Q119" s="35" t="s">
        <v>592</v>
      </c>
      <c r="R119" s="35" t="s">
        <v>1156</v>
      </c>
      <c r="S119" s="35" t="s">
        <v>427</v>
      </c>
      <c r="T119" s="35" t="s">
        <v>384</v>
      </c>
      <c r="U119" s="35" t="s">
        <v>385</v>
      </c>
      <c r="X119" s="35" t="s">
        <v>428</v>
      </c>
      <c r="AW119" s="35" t="s">
        <v>1310</v>
      </c>
      <c r="AX119" s="35" t="s">
        <v>391</v>
      </c>
      <c r="AY119" s="35" t="s">
        <v>391</v>
      </c>
      <c r="AZ119" s="35" t="s">
        <v>429</v>
      </c>
      <c r="BA119" s="41">
        <v>2.0</v>
      </c>
      <c r="BB119" s="41">
        <v>4.0</v>
      </c>
      <c r="BC119" s="41">
        <v>4.0</v>
      </c>
      <c r="BD119" s="35" t="s">
        <v>11166</v>
      </c>
      <c r="BE119" s="35" t="s">
        <v>2467</v>
      </c>
      <c r="BF119" s="35" t="s">
        <v>432</v>
      </c>
      <c r="BG119" s="35" t="s">
        <v>393</v>
      </c>
      <c r="BH119" s="35" t="s">
        <v>725</v>
      </c>
      <c r="BJ119" s="35" t="s">
        <v>435</v>
      </c>
      <c r="BL119" s="35" t="s">
        <v>602</v>
      </c>
      <c r="BM119" s="35" t="s">
        <v>904</v>
      </c>
      <c r="BN119" s="35" t="s">
        <v>1247</v>
      </c>
      <c r="BO119" s="35" t="s">
        <v>513</v>
      </c>
      <c r="CM119" s="35" t="s">
        <v>550</v>
      </c>
      <c r="CN119" s="35" t="s">
        <v>604</v>
      </c>
      <c r="CO119" s="35" t="s">
        <v>2468</v>
      </c>
      <c r="CP119" s="35" t="s">
        <v>2469</v>
      </c>
      <c r="CQ119" s="35" t="s">
        <v>685</v>
      </c>
      <c r="CR119" s="35" t="s">
        <v>2470</v>
      </c>
      <c r="CS119" s="35" t="s">
        <v>804</v>
      </c>
      <c r="CT119" s="35" t="s">
        <v>2471</v>
      </c>
      <c r="CU119" s="35" t="s">
        <v>11167</v>
      </c>
      <c r="CV119" s="35" t="s">
        <v>450</v>
      </c>
      <c r="CW119" s="35" t="s">
        <v>409</v>
      </c>
      <c r="CX119" s="35" t="s">
        <v>10858</v>
      </c>
      <c r="CY119" s="35" t="s">
        <v>455</v>
      </c>
      <c r="CZ119" s="35" t="s">
        <v>2474</v>
      </c>
      <c r="DA119" s="35" t="s">
        <v>1398</v>
      </c>
      <c r="DB119" s="35" t="s">
        <v>2475</v>
      </c>
      <c r="DC119" s="35" t="s">
        <v>455</v>
      </c>
      <c r="DD119" s="35" t="s">
        <v>2476</v>
      </c>
      <c r="DE119" s="35" t="s">
        <v>457</v>
      </c>
      <c r="DG119" s="35" t="s">
        <v>11168</v>
      </c>
      <c r="DH119" s="35" t="s">
        <v>776</v>
      </c>
      <c r="DI119" s="35" t="s">
        <v>410</v>
      </c>
      <c r="DJ119" s="35" t="s">
        <v>459</v>
      </c>
      <c r="DK119" s="35" t="s">
        <v>460</v>
      </c>
      <c r="DL119" s="35" t="s">
        <v>563</v>
      </c>
      <c r="DM119" s="35" t="s">
        <v>2478</v>
      </c>
      <c r="EU119" s="35" t="s">
        <v>478</v>
      </c>
      <c r="EV119" s="35" t="s">
        <v>579</v>
      </c>
      <c r="EW119" s="35" t="s">
        <v>480</v>
      </c>
      <c r="EZ119" s="35" t="s">
        <v>2479</v>
      </c>
      <c r="FA119" s="35" t="s">
        <v>583</v>
      </c>
      <c r="FB119" s="35" t="s">
        <v>583</v>
      </c>
      <c r="FC119" s="35" t="s">
        <v>413</v>
      </c>
      <c r="FD119" s="35" t="s">
        <v>583</v>
      </c>
      <c r="FE119" s="35" t="s">
        <v>416</v>
      </c>
      <c r="FF119" s="35" t="s">
        <v>583</v>
      </c>
      <c r="FG119" s="35" t="s">
        <v>583</v>
      </c>
      <c r="FH119" s="35" t="s">
        <v>414</v>
      </c>
      <c r="FI119" s="35" t="s">
        <v>484</v>
      </c>
      <c r="FJ119" s="35" t="s">
        <v>413</v>
      </c>
      <c r="FK119" s="35" t="s">
        <v>583</v>
      </c>
      <c r="FL119" s="35" t="s">
        <v>416</v>
      </c>
      <c r="FM119" s="35" t="s">
        <v>416</v>
      </c>
      <c r="FN119" s="35" t="s">
        <v>413</v>
      </c>
      <c r="FO119" s="35" t="s">
        <v>583</v>
      </c>
      <c r="FP119" s="35" t="s">
        <v>1537</v>
      </c>
      <c r="FQ119" s="35" t="s">
        <v>418</v>
      </c>
      <c r="FR119" s="35" t="s">
        <v>630</v>
      </c>
      <c r="FS119" s="35" t="s">
        <v>2022</v>
      </c>
      <c r="FT119" s="35" t="s">
        <v>1871</v>
      </c>
      <c r="FU119" s="35" t="s">
        <v>1462</v>
      </c>
      <c r="FV119" s="35" t="s">
        <v>585</v>
      </c>
      <c r="FW119" s="35" t="s">
        <v>2136</v>
      </c>
      <c r="FX119" s="35" t="s">
        <v>1853</v>
      </c>
      <c r="FY119" s="35" t="s">
        <v>2480</v>
      </c>
      <c r="FZ119" s="35" t="s">
        <v>1854</v>
      </c>
      <c r="GA119" s="35" t="s">
        <v>2481</v>
      </c>
      <c r="GC119" s="35" t="s">
        <v>455</v>
      </c>
      <c r="GD119" s="35" t="s">
        <v>11169</v>
      </c>
      <c r="GF119" s="35" t="s">
        <v>753</v>
      </c>
      <c r="GG119" s="35" t="s">
        <v>455</v>
      </c>
      <c r="GH119" s="35" t="s">
        <v>755</v>
      </c>
      <c r="GI119" s="35" t="s">
        <v>755</v>
      </c>
      <c r="GJ119" s="35" t="s">
        <v>946</v>
      </c>
      <c r="GO119" s="35" t="s">
        <v>2293</v>
      </c>
      <c r="GP119" s="35" t="s">
        <v>2293</v>
      </c>
    </row>
    <row r="120">
      <c r="A120" s="40"/>
      <c r="B120" s="40">
        <v>45828.31245334491</v>
      </c>
      <c r="C120" s="35" t="s">
        <v>368</v>
      </c>
      <c r="D120" s="35" t="s">
        <v>370</v>
      </c>
      <c r="F120" s="35" t="s">
        <v>2376</v>
      </c>
      <c r="H120" s="35" t="s">
        <v>422</v>
      </c>
      <c r="I120" s="35" t="s">
        <v>637</v>
      </c>
      <c r="J120" s="35" t="s">
        <v>374</v>
      </c>
      <c r="K120" s="35" t="s">
        <v>718</v>
      </c>
      <c r="L120" s="35" t="s">
        <v>376</v>
      </c>
      <c r="M120" s="35" t="s">
        <v>793</v>
      </c>
      <c r="O120" s="35" t="s">
        <v>379</v>
      </c>
      <c r="Q120" s="35" t="s">
        <v>381</v>
      </c>
      <c r="R120" s="35" t="s">
        <v>1156</v>
      </c>
      <c r="S120" s="35" t="s">
        <v>1704</v>
      </c>
      <c r="T120" s="35" t="s">
        <v>1512</v>
      </c>
      <c r="U120" s="35" t="s">
        <v>385</v>
      </c>
      <c r="X120" s="35" t="s">
        <v>386</v>
      </c>
      <c r="Y120" s="35" t="s">
        <v>387</v>
      </c>
      <c r="AA120" s="35" t="s">
        <v>672</v>
      </c>
      <c r="AW120" s="35" t="s">
        <v>504</v>
      </c>
      <c r="AX120" s="35" t="s">
        <v>429</v>
      </c>
      <c r="AY120" s="35" t="s">
        <v>429</v>
      </c>
      <c r="AZ120" s="35" t="s">
        <v>429</v>
      </c>
      <c r="BA120" s="35" t="s">
        <v>429</v>
      </c>
      <c r="BB120" s="35" t="s">
        <v>429</v>
      </c>
      <c r="BC120" s="35" t="s">
        <v>429</v>
      </c>
      <c r="BF120" s="35" t="s">
        <v>392</v>
      </c>
      <c r="BG120" s="35" t="s">
        <v>433</v>
      </c>
      <c r="BJ120" s="35" t="s">
        <v>509</v>
      </c>
      <c r="BL120" s="35" t="s">
        <v>681</v>
      </c>
      <c r="BM120" s="35" t="s">
        <v>438</v>
      </c>
      <c r="BN120" s="35" t="s">
        <v>439</v>
      </c>
      <c r="BO120" s="35" t="s">
        <v>513</v>
      </c>
      <c r="CM120" s="35" t="s">
        <v>441</v>
      </c>
      <c r="CN120" s="35" t="s">
        <v>442</v>
      </c>
      <c r="CO120" s="35" t="s">
        <v>552</v>
      </c>
      <c r="CP120" s="35" t="s">
        <v>2514</v>
      </c>
      <c r="CQ120" s="35" t="s">
        <v>1008</v>
      </c>
      <c r="CR120" s="35" t="s">
        <v>2515</v>
      </c>
      <c r="CV120" s="35" t="s">
        <v>450</v>
      </c>
      <c r="CW120" s="35" t="s">
        <v>451</v>
      </c>
      <c r="CY120" s="35" t="s">
        <v>408</v>
      </c>
      <c r="DA120" s="35" t="s">
        <v>453</v>
      </c>
      <c r="DC120" s="35" t="s">
        <v>455</v>
      </c>
      <c r="DE120" s="35" t="s">
        <v>662</v>
      </c>
      <c r="DH120" s="35" t="s">
        <v>524</v>
      </c>
      <c r="DI120" s="35" t="s">
        <v>410</v>
      </c>
      <c r="DJ120" s="35" t="s">
        <v>459</v>
      </c>
      <c r="DK120" s="35" t="s">
        <v>613</v>
      </c>
      <c r="EU120" s="35" t="s">
        <v>526</v>
      </c>
      <c r="EV120" s="35" t="s">
        <v>479</v>
      </c>
      <c r="FP120" s="35" t="s">
        <v>485</v>
      </c>
      <c r="FQ120" s="35" t="s">
        <v>418</v>
      </c>
      <c r="FT120" s="35" t="s">
        <v>420</v>
      </c>
      <c r="FU120" s="35" t="s">
        <v>488</v>
      </c>
      <c r="FW120" s="35" t="s">
        <v>490</v>
      </c>
      <c r="FX120" s="35" t="s">
        <v>491</v>
      </c>
      <c r="FZ120" s="35" t="s">
        <v>535</v>
      </c>
      <c r="GC120" s="35" t="s">
        <v>408</v>
      </c>
      <c r="GH120" s="35" t="s">
        <v>755</v>
      </c>
      <c r="GI120" s="35" t="s">
        <v>755</v>
      </c>
      <c r="GJ120" s="35" t="s">
        <v>946</v>
      </c>
    </row>
    <row r="121">
      <c r="A121" s="40"/>
      <c r="B121" s="40">
        <v>45828.31539207176</v>
      </c>
      <c r="C121" s="35" t="s">
        <v>368</v>
      </c>
      <c r="D121" s="35" t="s">
        <v>370</v>
      </c>
      <c r="F121" s="35" t="s">
        <v>371</v>
      </c>
      <c r="H121" s="35" t="s">
        <v>422</v>
      </c>
      <c r="I121" s="35" t="s">
        <v>1921</v>
      </c>
      <c r="J121" s="35" t="s">
        <v>668</v>
      </c>
      <c r="K121" s="35" t="s">
        <v>718</v>
      </c>
      <c r="L121" s="35" t="s">
        <v>376</v>
      </c>
      <c r="M121" s="35" t="s">
        <v>379</v>
      </c>
      <c r="N121" s="35" t="s">
        <v>2464</v>
      </c>
      <c r="O121" s="35" t="s">
        <v>426</v>
      </c>
      <c r="P121" s="35" t="s">
        <v>380</v>
      </c>
      <c r="Q121" s="35" t="s">
        <v>381</v>
      </c>
      <c r="R121" s="35" t="s">
        <v>499</v>
      </c>
      <c r="S121" s="35" t="s">
        <v>1594</v>
      </c>
      <c r="T121" s="35" t="s">
        <v>384</v>
      </c>
      <c r="U121" s="35" t="s">
        <v>385</v>
      </c>
      <c r="X121" s="35" t="s">
        <v>428</v>
      </c>
      <c r="AW121" s="35" t="s">
        <v>390</v>
      </c>
      <c r="AX121" s="41">
        <v>2.0</v>
      </c>
      <c r="AY121" s="41">
        <v>2.0</v>
      </c>
      <c r="AZ121" s="41">
        <v>2.0</v>
      </c>
      <c r="BA121" s="35" t="s">
        <v>429</v>
      </c>
      <c r="BB121" s="35" t="s">
        <v>429</v>
      </c>
      <c r="BC121" s="41">
        <v>2.0</v>
      </c>
      <c r="BD121" s="35" t="s">
        <v>9042</v>
      </c>
      <c r="BE121" s="35" t="s">
        <v>11170</v>
      </c>
      <c r="BF121" s="35" t="s">
        <v>392</v>
      </c>
      <c r="BG121" s="35" t="s">
        <v>433</v>
      </c>
      <c r="BH121" s="35" t="s">
        <v>678</v>
      </c>
      <c r="BJ121" s="35" t="s">
        <v>509</v>
      </c>
      <c r="BL121" s="35" t="s">
        <v>511</v>
      </c>
      <c r="BM121" s="35" t="s">
        <v>512</v>
      </c>
      <c r="BN121" s="35" t="s">
        <v>549</v>
      </c>
      <c r="BO121" s="35" t="s">
        <v>513</v>
      </c>
      <c r="CM121" s="35" t="s">
        <v>441</v>
      </c>
      <c r="CN121" s="35" t="s">
        <v>401</v>
      </c>
      <c r="CO121" s="35" t="s">
        <v>6791</v>
      </c>
      <c r="CP121" s="35" t="s">
        <v>11171</v>
      </c>
      <c r="CQ121" s="35" t="s">
        <v>1008</v>
      </c>
      <c r="CR121" s="35" t="s">
        <v>2519</v>
      </c>
      <c r="CS121" s="35" t="s">
        <v>404</v>
      </c>
      <c r="CT121" s="35" t="s">
        <v>2520</v>
      </c>
      <c r="CV121" s="35" t="s">
        <v>982</v>
      </c>
      <c r="CW121" s="35" t="s">
        <v>451</v>
      </c>
      <c r="CX121" s="35" t="s">
        <v>11172</v>
      </c>
      <c r="CY121" s="35" t="s">
        <v>408</v>
      </c>
      <c r="DA121" s="35" t="s">
        <v>453</v>
      </c>
      <c r="DC121" s="35" t="s">
        <v>455</v>
      </c>
      <c r="DE121" s="35" t="s">
        <v>1400</v>
      </c>
      <c r="DF121" s="35" t="s">
        <v>1867</v>
      </c>
      <c r="DH121" s="35" t="s">
        <v>524</v>
      </c>
      <c r="DI121" s="35" t="s">
        <v>1220</v>
      </c>
      <c r="DJ121" s="35" t="s">
        <v>963</v>
      </c>
      <c r="DK121" s="35" t="s">
        <v>1403</v>
      </c>
      <c r="DL121" s="35" t="s">
        <v>525</v>
      </c>
      <c r="EU121" s="35" t="s">
        <v>526</v>
      </c>
      <c r="EV121" s="35" t="s">
        <v>479</v>
      </c>
      <c r="EW121" s="35" t="s">
        <v>1262</v>
      </c>
      <c r="EY121" s="35" t="s">
        <v>2522</v>
      </c>
      <c r="EZ121" s="35" t="s">
        <v>2523</v>
      </c>
      <c r="FA121" s="35" t="s">
        <v>583</v>
      </c>
      <c r="FB121" s="35" t="s">
        <v>583</v>
      </c>
      <c r="FC121" s="35" t="s">
        <v>414</v>
      </c>
      <c r="FD121" s="35" t="s">
        <v>414</v>
      </c>
      <c r="FE121" s="35" t="s">
        <v>414</v>
      </c>
      <c r="FF121" s="35" t="s">
        <v>583</v>
      </c>
      <c r="FG121" s="35" t="s">
        <v>583</v>
      </c>
      <c r="FH121" s="35" t="s">
        <v>414</v>
      </c>
      <c r="FI121" s="35" t="s">
        <v>414</v>
      </c>
      <c r="FJ121" s="35" t="s">
        <v>414</v>
      </c>
      <c r="FK121" s="35" t="s">
        <v>583</v>
      </c>
      <c r="FP121" s="35" t="s">
        <v>850</v>
      </c>
      <c r="FQ121" s="35" t="s">
        <v>2524</v>
      </c>
      <c r="FR121" s="35" t="s">
        <v>712</v>
      </c>
      <c r="FT121" s="35" t="s">
        <v>420</v>
      </c>
      <c r="FU121" s="35" t="s">
        <v>421</v>
      </c>
      <c r="FV121" s="35" t="s">
        <v>533</v>
      </c>
      <c r="FW121" s="35" t="s">
        <v>490</v>
      </c>
      <c r="FX121" s="35" t="s">
        <v>491</v>
      </c>
      <c r="FZ121" s="35" t="s">
        <v>1337</v>
      </c>
      <c r="GC121" s="35" t="s">
        <v>455</v>
      </c>
      <c r="GD121" s="35" t="s">
        <v>11173</v>
      </c>
      <c r="GF121" s="35" t="s">
        <v>753</v>
      </c>
      <c r="GH121" s="35" t="s">
        <v>755</v>
      </c>
      <c r="GI121" s="35" t="s">
        <v>755</v>
      </c>
      <c r="GJ121" s="35" t="s">
        <v>946</v>
      </c>
    </row>
    <row r="122">
      <c r="A122" s="40"/>
      <c r="B122" s="40">
        <v>45828.36039090277</v>
      </c>
      <c r="C122" s="35" t="s">
        <v>368</v>
      </c>
      <c r="D122" s="35" t="s">
        <v>370</v>
      </c>
      <c r="F122" s="35" t="s">
        <v>2620</v>
      </c>
      <c r="H122" s="35" t="s">
        <v>1093</v>
      </c>
      <c r="I122" s="35" t="s">
        <v>539</v>
      </c>
      <c r="J122" s="35" t="s">
        <v>424</v>
      </c>
      <c r="K122" s="35" t="s">
        <v>669</v>
      </c>
      <c r="L122" s="35" t="s">
        <v>376</v>
      </c>
      <c r="M122" s="35" t="s">
        <v>591</v>
      </c>
      <c r="N122" s="35" t="s">
        <v>378</v>
      </c>
      <c r="O122" s="35" t="s">
        <v>670</v>
      </c>
      <c r="P122" s="35" t="s">
        <v>671</v>
      </c>
      <c r="Q122" s="35" t="s">
        <v>592</v>
      </c>
      <c r="R122" s="35" t="s">
        <v>382</v>
      </c>
      <c r="S122" s="35" t="s">
        <v>500</v>
      </c>
      <c r="T122" s="35" t="s">
        <v>384</v>
      </c>
      <c r="U122" s="35" t="s">
        <v>385</v>
      </c>
      <c r="X122" s="35" t="s">
        <v>428</v>
      </c>
      <c r="AW122" s="35" t="s">
        <v>1310</v>
      </c>
      <c r="AX122" s="35" t="s">
        <v>391</v>
      </c>
      <c r="AY122" s="35" t="s">
        <v>391</v>
      </c>
      <c r="AZ122" s="35" t="s">
        <v>429</v>
      </c>
      <c r="BA122" s="35" t="s">
        <v>429</v>
      </c>
      <c r="BC122" s="41">
        <v>2.0</v>
      </c>
      <c r="BF122" s="35" t="s">
        <v>392</v>
      </c>
      <c r="BG122" s="35" t="s">
        <v>393</v>
      </c>
      <c r="BH122" s="35" t="s">
        <v>678</v>
      </c>
      <c r="BJ122" s="35" t="s">
        <v>976</v>
      </c>
      <c r="BL122" s="35" t="s">
        <v>511</v>
      </c>
      <c r="BM122" s="35" t="s">
        <v>603</v>
      </c>
      <c r="BN122" s="35" t="s">
        <v>1247</v>
      </c>
      <c r="BO122" s="35" t="s">
        <v>513</v>
      </c>
      <c r="CM122" s="35" t="s">
        <v>441</v>
      </c>
      <c r="CN122" s="35" t="s">
        <v>401</v>
      </c>
      <c r="CQ122" s="35" t="s">
        <v>403</v>
      </c>
      <c r="CR122" s="35" t="s">
        <v>1427</v>
      </c>
      <c r="CS122" s="35" t="s">
        <v>404</v>
      </c>
      <c r="CT122" s="35" t="s">
        <v>1137</v>
      </c>
      <c r="CV122" s="35" t="s">
        <v>1852</v>
      </c>
      <c r="CW122" s="35" t="s">
        <v>1931</v>
      </c>
      <c r="CY122" s="35" t="s">
        <v>408</v>
      </c>
      <c r="DA122" s="35" t="s">
        <v>1962</v>
      </c>
      <c r="DC122" s="35" t="s">
        <v>408</v>
      </c>
      <c r="DE122" s="35" t="s">
        <v>406</v>
      </c>
      <c r="DF122" s="35" t="s">
        <v>407</v>
      </c>
      <c r="DH122" s="35" t="s">
        <v>990</v>
      </c>
      <c r="DI122" s="35" t="s">
        <v>694</v>
      </c>
      <c r="DJ122" s="35" t="s">
        <v>459</v>
      </c>
      <c r="DK122" s="35" t="s">
        <v>613</v>
      </c>
      <c r="EU122" s="35" t="s">
        <v>478</v>
      </c>
      <c r="EV122" s="35" t="s">
        <v>479</v>
      </c>
      <c r="EW122" s="35" t="s">
        <v>480</v>
      </c>
      <c r="FA122" s="35" t="s">
        <v>414</v>
      </c>
      <c r="FB122" s="35" t="s">
        <v>583</v>
      </c>
      <c r="FC122" s="35" t="s">
        <v>413</v>
      </c>
      <c r="FD122" s="35" t="s">
        <v>414</v>
      </c>
      <c r="FE122" s="35" t="s">
        <v>413</v>
      </c>
      <c r="FF122" s="35" t="s">
        <v>583</v>
      </c>
      <c r="FG122" s="35" t="s">
        <v>414</v>
      </c>
      <c r="FH122" s="35" t="s">
        <v>415</v>
      </c>
      <c r="FI122" s="35" t="s">
        <v>415</v>
      </c>
      <c r="FJ122" s="35" t="s">
        <v>583</v>
      </c>
      <c r="FK122" s="35" t="s">
        <v>415</v>
      </c>
      <c r="FL122" s="35" t="s">
        <v>415</v>
      </c>
      <c r="FM122" s="35" t="s">
        <v>415</v>
      </c>
      <c r="FN122" s="35" t="s">
        <v>415</v>
      </c>
      <c r="FO122" s="35" t="s">
        <v>415</v>
      </c>
      <c r="FP122" s="35" t="s">
        <v>485</v>
      </c>
      <c r="FQ122" s="35" t="s">
        <v>418</v>
      </c>
      <c r="FR122" s="35" t="s">
        <v>712</v>
      </c>
      <c r="FT122" s="35" t="s">
        <v>1076</v>
      </c>
      <c r="FU122" s="35" t="s">
        <v>1476</v>
      </c>
      <c r="FV122" s="35" t="s">
        <v>489</v>
      </c>
      <c r="FW122" s="35" t="s">
        <v>1101</v>
      </c>
      <c r="FX122" s="35" t="s">
        <v>1853</v>
      </c>
      <c r="FZ122" s="35" t="s">
        <v>1854</v>
      </c>
      <c r="GC122" s="35" t="s">
        <v>408</v>
      </c>
      <c r="GH122" s="35" t="s">
        <v>789</v>
      </c>
      <c r="GI122" s="35" t="s">
        <v>789</v>
      </c>
      <c r="GJ122" s="35" t="s">
        <v>756</v>
      </c>
    </row>
    <row r="123">
      <c r="A123" s="40"/>
      <c r="B123" s="40">
        <v>45828.39941795139</v>
      </c>
      <c r="C123" s="35" t="s">
        <v>368</v>
      </c>
      <c r="D123" s="35" t="s">
        <v>370</v>
      </c>
      <c r="F123" s="35" t="s">
        <v>1562</v>
      </c>
      <c r="H123" s="35" t="s">
        <v>422</v>
      </c>
      <c r="I123" s="35" t="s">
        <v>637</v>
      </c>
      <c r="J123" s="35" t="s">
        <v>638</v>
      </c>
      <c r="K123" s="35" t="s">
        <v>590</v>
      </c>
      <c r="L123" s="35" t="s">
        <v>376</v>
      </c>
      <c r="M123" s="35" t="s">
        <v>591</v>
      </c>
      <c r="N123" s="35" t="s">
        <v>719</v>
      </c>
      <c r="O123" s="35" t="s">
        <v>591</v>
      </c>
      <c r="P123" s="35" t="s">
        <v>2633</v>
      </c>
      <c r="Q123" s="35" t="s">
        <v>498</v>
      </c>
      <c r="R123" s="35" t="s">
        <v>1156</v>
      </c>
      <c r="S123" s="35" t="s">
        <v>427</v>
      </c>
      <c r="T123" s="35" t="s">
        <v>384</v>
      </c>
      <c r="U123" s="35" t="s">
        <v>385</v>
      </c>
      <c r="X123" s="35" t="s">
        <v>760</v>
      </c>
      <c r="Y123" s="35" t="s">
        <v>387</v>
      </c>
      <c r="Z123" s="35" t="s">
        <v>2115</v>
      </c>
      <c r="AB123" s="35" t="s">
        <v>11174</v>
      </c>
      <c r="AC123" s="35" t="s">
        <v>11175</v>
      </c>
      <c r="AW123" s="35" t="s">
        <v>1310</v>
      </c>
      <c r="AX123" s="35" t="s">
        <v>391</v>
      </c>
      <c r="AY123" s="35" t="s">
        <v>391</v>
      </c>
      <c r="AZ123" s="35" t="s">
        <v>391</v>
      </c>
      <c r="BA123" s="41">
        <v>2.0</v>
      </c>
      <c r="BB123" s="35" t="s">
        <v>429</v>
      </c>
      <c r="BC123" s="41">
        <v>2.0</v>
      </c>
      <c r="BD123" s="35" t="s">
        <v>2636</v>
      </c>
      <c r="BE123" s="35" t="s">
        <v>11176</v>
      </c>
      <c r="BF123" s="35" t="s">
        <v>432</v>
      </c>
      <c r="BG123" s="35" t="s">
        <v>393</v>
      </c>
      <c r="BH123" s="35" t="s">
        <v>434</v>
      </c>
      <c r="BI123" s="35" t="s">
        <v>2638</v>
      </c>
      <c r="BJ123" s="35" t="s">
        <v>727</v>
      </c>
      <c r="BK123" s="35" t="s">
        <v>2639</v>
      </c>
      <c r="BL123" s="35" t="s">
        <v>511</v>
      </c>
      <c r="BM123" s="35" t="s">
        <v>438</v>
      </c>
      <c r="BN123" s="35" t="s">
        <v>549</v>
      </c>
      <c r="BO123" s="35" t="s">
        <v>513</v>
      </c>
      <c r="CM123" s="35" t="s">
        <v>441</v>
      </c>
      <c r="CN123" s="35" t="s">
        <v>401</v>
      </c>
      <c r="CO123" s="35" t="s">
        <v>2640</v>
      </c>
      <c r="CP123" s="35" t="s">
        <v>11177</v>
      </c>
      <c r="CQ123" s="35" t="s">
        <v>403</v>
      </c>
      <c r="CR123" s="35" t="s">
        <v>1427</v>
      </c>
      <c r="CS123" s="35" t="s">
        <v>404</v>
      </c>
      <c r="CT123" s="35" t="s">
        <v>2642</v>
      </c>
      <c r="CU123" s="35" t="s">
        <v>11178</v>
      </c>
      <c r="CV123" s="35" t="s">
        <v>450</v>
      </c>
      <c r="CW123" s="35" t="s">
        <v>451</v>
      </c>
      <c r="CX123" s="35" t="s">
        <v>2644</v>
      </c>
      <c r="CY123" s="35" t="s">
        <v>733</v>
      </c>
      <c r="DA123" s="35" t="s">
        <v>453</v>
      </c>
      <c r="DB123" s="35" t="s">
        <v>11179</v>
      </c>
      <c r="DC123" s="35" t="s">
        <v>455</v>
      </c>
      <c r="DD123" s="35" t="s">
        <v>11180</v>
      </c>
      <c r="DE123" s="35" t="s">
        <v>406</v>
      </c>
      <c r="DF123" s="35" t="s">
        <v>407</v>
      </c>
      <c r="DG123" s="35" t="s">
        <v>11181</v>
      </c>
      <c r="DH123" s="35" t="s">
        <v>524</v>
      </c>
      <c r="DI123" s="35" t="s">
        <v>410</v>
      </c>
      <c r="DJ123" s="35" t="s">
        <v>963</v>
      </c>
      <c r="DK123" s="35" t="s">
        <v>613</v>
      </c>
      <c r="EU123" s="35" t="s">
        <v>526</v>
      </c>
      <c r="EV123" s="35" t="s">
        <v>479</v>
      </c>
      <c r="EW123" s="35" t="s">
        <v>527</v>
      </c>
      <c r="EX123" s="35" t="s">
        <v>2648</v>
      </c>
      <c r="EY123" s="35" t="s">
        <v>11182</v>
      </c>
      <c r="EZ123" s="35" t="s">
        <v>11183</v>
      </c>
      <c r="FA123" s="35" t="s">
        <v>414</v>
      </c>
      <c r="FB123" s="35" t="s">
        <v>414</v>
      </c>
      <c r="FC123" s="35" t="s">
        <v>414</v>
      </c>
      <c r="FD123" s="35" t="s">
        <v>414</v>
      </c>
      <c r="FE123" s="35" t="s">
        <v>413</v>
      </c>
      <c r="FF123" s="35" t="s">
        <v>583</v>
      </c>
      <c r="FG123" s="35" t="s">
        <v>413</v>
      </c>
      <c r="FH123" s="35" t="s">
        <v>413</v>
      </c>
      <c r="FI123" s="35" t="s">
        <v>414</v>
      </c>
      <c r="FJ123" s="35" t="s">
        <v>583</v>
      </c>
      <c r="FK123" s="35" t="s">
        <v>414</v>
      </c>
      <c r="FL123" s="35" t="s">
        <v>484</v>
      </c>
      <c r="FM123" s="35" t="s">
        <v>484</v>
      </c>
      <c r="FN123" s="35" t="s">
        <v>484</v>
      </c>
      <c r="FO123" s="35" t="s">
        <v>583</v>
      </c>
      <c r="FP123" s="35" t="s">
        <v>417</v>
      </c>
      <c r="FQ123" s="35" t="s">
        <v>2651</v>
      </c>
      <c r="FR123" s="35" t="s">
        <v>630</v>
      </c>
      <c r="FS123" s="35" t="s">
        <v>11184</v>
      </c>
      <c r="FT123" s="35" t="s">
        <v>420</v>
      </c>
      <c r="FU123" s="35" t="s">
        <v>488</v>
      </c>
      <c r="FV123" s="35" t="s">
        <v>533</v>
      </c>
      <c r="FW123" s="35" t="s">
        <v>490</v>
      </c>
      <c r="FX123" s="35" t="s">
        <v>491</v>
      </c>
      <c r="FY123" s="35" t="s">
        <v>11185</v>
      </c>
      <c r="FZ123" s="35" t="s">
        <v>535</v>
      </c>
      <c r="GA123" s="35" t="s">
        <v>11186</v>
      </c>
      <c r="GB123" s="35" t="s">
        <v>2655</v>
      </c>
      <c r="GC123" s="35" t="s">
        <v>455</v>
      </c>
      <c r="GD123" s="35" t="s">
        <v>11187</v>
      </c>
      <c r="GF123" s="35" t="s">
        <v>753</v>
      </c>
      <c r="GG123" s="35" t="s">
        <v>2656</v>
      </c>
      <c r="GH123" s="35" t="s">
        <v>857</v>
      </c>
      <c r="GI123" s="35" t="s">
        <v>857</v>
      </c>
      <c r="GJ123" s="35" t="s">
        <v>817</v>
      </c>
    </row>
    <row r="124">
      <c r="A124" s="40"/>
      <c r="B124" s="40">
        <v>45828.49643018519</v>
      </c>
      <c r="C124" s="35" t="s">
        <v>368</v>
      </c>
      <c r="D124" s="35" t="s">
        <v>370</v>
      </c>
      <c r="F124" s="35" t="s">
        <v>2708</v>
      </c>
      <c r="H124" s="35" t="s">
        <v>422</v>
      </c>
      <c r="I124" s="35" t="s">
        <v>1307</v>
      </c>
      <c r="J124" s="35" t="s">
        <v>668</v>
      </c>
      <c r="K124" s="35" t="s">
        <v>540</v>
      </c>
      <c r="L124" s="35" t="s">
        <v>376</v>
      </c>
      <c r="M124" s="35" t="s">
        <v>379</v>
      </c>
      <c r="N124" s="35" t="s">
        <v>378</v>
      </c>
      <c r="O124" s="35" t="s">
        <v>377</v>
      </c>
      <c r="P124" s="35" t="s">
        <v>497</v>
      </c>
      <c r="Q124" s="35" t="s">
        <v>381</v>
      </c>
      <c r="R124" s="35" t="s">
        <v>382</v>
      </c>
      <c r="S124" s="35" t="s">
        <v>949</v>
      </c>
      <c r="T124" s="35" t="s">
        <v>384</v>
      </c>
      <c r="U124" s="35" t="s">
        <v>385</v>
      </c>
      <c r="X124" s="35" t="s">
        <v>386</v>
      </c>
      <c r="Y124" s="35" t="s">
        <v>387</v>
      </c>
      <c r="Z124" s="35" t="s">
        <v>388</v>
      </c>
      <c r="AA124" s="35" t="s">
        <v>543</v>
      </c>
      <c r="AB124" s="35" t="s">
        <v>408</v>
      </c>
      <c r="AC124" s="35" t="s">
        <v>408</v>
      </c>
      <c r="AW124" s="35" t="s">
        <v>597</v>
      </c>
      <c r="AX124" s="35" t="s">
        <v>675</v>
      </c>
      <c r="AY124" s="41">
        <v>4.0</v>
      </c>
      <c r="AZ124" s="35" t="s">
        <v>675</v>
      </c>
      <c r="BA124" s="41">
        <v>4.0</v>
      </c>
      <c r="BB124" s="41">
        <v>4.0</v>
      </c>
      <c r="BC124" s="41">
        <v>4.0</v>
      </c>
      <c r="BD124" s="35" t="s">
        <v>2709</v>
      </c>
      <c r="BE124" s="35" t="s">
        <v>2710</v>
      </c>
      <c r="BF124" s="35" t="s">
        <v>902</v>
      </c>
      <c r="BG124" s="35" t="s">
        <v>433</v>
      </c>
      <c r="BH124" s="35" t="s">
        <v>434</v>
      </c>
      <c r="BI124" s="35" t="s">
        <v>2711</v>
      </c>
      <c r="BJ124" s="35" t="s">
        <v>435</v>
      </c>
      <c r="BK124" s="35" t="s">
        <v>11188</v>
      </c>
      <c r="BL124" s="35" t="s">
        <v>437</v>
      </c>
      <c r="BM124" s="35" t="s">
        <v>603</v>
      </c>
      <c r="BN124" s="35" t="s">
        <v>397</v>
      </c>
      <c r="BO124" s="35" t="s">
        <v>513</v>
      </c>
      <c r="CM124" s="35" t="s">
        <v>441</v>
      </c>
      <c r="CN124" s="35" t="s">
        <v>682</v>
      </c>
      <c r="CO124" s="35" t="s">
        <v>11189</v>
      </c>
      <c r="CP124" s="35" t="s">
        <v>11190</v>
      </c>
      <c r="CQ124" s="35" t="s">
        <v>685</v>
      </c>
      <c r="CR124" s="35" t="s">
        <v>2715</v>
      </c>
      <c r="CS124" s="35" t="s">
        <v>447</v>
      </c>
      <c r="CT124" s="35" t="s">
        <v>1528</v>
      </c>
      <c r="CU124" s="35" t="s">
        <v>11191</v>
      </c>
      <c r="CV124" s="35" t="s">
        <v>1852</v>
      </c>
      <c r="CW124" s="35" t="s">
        <v>451</v>
      </c>
      <c r="CX124" s="35" t="s">
        <v>11192</v>
      </c>
      <c r="CY124" s="35" t="s">
        <v>408</v>
      </c>
      <c r="DA124" s="35" t="s">
        <v>985</v>
      </c>
      <c r="DB124" s="35" t="s">
        <v>11193</v>
      </c>
      <c r="DC124" s="35" t="s">
        <v>408</v>
      </c>
      <c r="DE124" s="35" t="s">
        <v>406</v>
      </c>
      <c r="DF124" s="35" t="s">
        <v>407</v>
      </c>
      <c r="DG124" s="35" t="s">
        <v>11194</v>
      </c>
      <c r="DH124" s="35" t="s">
        <v>776</v>
      </c>
      <c r="DI124" s="35" t="s">
        <v>410</v>
      </c>
      <c r="DJ124" s="35" t="s">
        <v>963</v>
      </c>
      <c r="DK124" s="35" t="s">
        <v>695</v>
      </c>
      <c r="DL124" s="35" t="s">
        <v>563</v>
      </c>
      <c r="DM124" s="35" t="s">
        <v>11195</v>
      </c>
      <c r="EU124" s="35" t="s">
        <v>526</v>
      </c>
      <c r="EV124" s="35" t="s">
        <v>479</v>
      </c>
      <c r="EW124" s="35" t="s">
        <v>480</v>
      </c>
      <c r="EX124" s="35" t="s">
        <v>2721</v>
      </c>
      <c r="EY124" s="35" t="s">
        <v>11196</v>
      </c>
      <c r="EZ124" s="35" t="s">
        <v>11197</v>
      </c>
      <c r="FA124" s="35" t="s">
        <v>414</v>
      </c>
      <c r="FB124" s="35" t="s">
        <v>414</v>
      </c>
      <c r="FC124" s="35" t="s">
        <v>416</v>
      </c>
      <c r="FD124" s="35" t="s">
        <v>413</v>
      </c>
      <c r="FE124" s="35" t="s">
        <v>416</v>
      </c>
      <c r="FF124" s="35" t="s">
        <v>415</v>
      </c>
      <c r="FG124" s="35" t="s">
        <v>415</v>
      </c>
      <c r="FH124" s="35" t="s">
        <v>416</v>
      </c>
      <c r="FI124" s="35" t="s">
        <v>414</v>
      </c>
      <c r="FJ124" s="35" t="s">
        <v>414</v>
      </c>
      <c r="FK124" s="35" t="s">
        <v>416</v>
      </c>
      <c r="FL124" s="35" t="s">
        <v>415</v>
      </c>
      <c r="FM124" s="35" t="s">
        <v>414</v>
      </c>
      <c r="FN124" s="35" t="s">
        <v>413</v>
      </c>
      <c r="FO124" s="35" t="s">
        <v>583</v>
      </c>
      <c r="FP124" s="35" t="s">
        <v>850</v>
      </c>
      <c r="FQ124" s="35" t="s">
        <v>418</v>
      </c>
      <c r="FR124" s="35" t="s">
        <v>531</v>
      </c>
      <c r="FS124" s="35" t="s">
        <v>11198</v>
      </c>
      <c r="FT124" s="35" t="s">
        <v>1871</v>
      </c>
      <c r="FU124" s="35" t="s">
        <v>1462</v>
      </c>
      <c r="FV124" s="35" t="s">
        <v>585</v>
      </c>
      <c r="FW124" s="35" t="s">
        <v>490</v>
      </c>
      <c r="FX124" s="35" t="s">
        <v>491</v>
      </c>
      <c r="FY124" s="35" t="s">
        <v>2725</v>
      </c>
      <c r="FZ124" s="35" t="s">
        <v>535</v>
      </c>
      <c r="GA124" s="35" t="s">
        <v>11199</v>
      </c>
      <c r="GC124" s="35" t="s">
        <v>455</v>
      </c>
      <c r="GD124" s="35" t="s">
        <v>11200</v>
      </c>
      <c r="GE124" s="35" t="s">
        <v>11201</v>
      </c>
      <c r="GF124" s="35" t="s">
        <v>786</v>
      </c>
      <c r="GH124" s="35" t="s">
        <v>755</v>
      </c>
      <c r="GI124" s="35" t="s">
        <v>755</v>
      </c>
      <c r="GJ124" s="35" t="s">
        <v>946</v>
      </c>
    </row>
    <row r="125">
      <c r="A125" s="40"/>
      <c r="B125" s="40">
        <v>45828.541225312496</v>
      </c>
      <c r="C125" s="35" t="s">
        <v>368</v>
      </c>
      <c r="D125" s="35" t="s">
        <v>370</v>
      </c>
      <c r="F125" s="35" t="s">
        <v>371</v>
      </c>
      <c r="H125" s="35" t="s">
        <v>2754</v>
      </c>
      <c r="I125" s="35" t="s">
        <v>539</v>
      </c>
      <c r="J125" s="35" t="s">
        <v>424</v>
      </c>
      <c r="K125" s="35" t="s">
        <v>425</v>
      </c>
      <c r="L125" s="35" t="s">
        <v>376</v>
      </c>
      <c r="M125" s="35" t="s">
        <v>377</v>
      </c>
      <c r="N125" s="35" t="s">
        <v>380</v>
      </c>
      <c r="O125" s="35" t="s">
        <v>377</v>
      </c>
      <c r="P125" s="35" t="s">
        <v>380</v>
      </c>
      <c r="Q125" s="35" t="s">
        <v>498</v>
      </c>
      <c r="R125" s="35" t="s">
        <v>382</v>
      </c>
      <c r="S125" s="35" t="s">
        <v>500</v>
      </c>
      <c r="T125" s="35" t="s">
        <v>384</v>
      </c>
      <c r="U125" s="35" t="s">
        <v>385</v>
      </c>
      <c r="X125" s="35" t="s">
        <v>386</v>
      </c>
      <c r="Y125" s="35" t="s">
        <v>387</v>
      </c>
      <c r="Z125" s="35" t="s">
        <v>388</v>
      </c>
      <c r="AA125" s="35" t="s">
        <v>502</v>
      </c>
      <c r="AB125" s="35" t="s">
        <v>11202</v>
      </c>
      <c r="AC125" s="35" t="s">
        <v>11203</v>
      </c>
      <c r="AW125" s="35" t="s">
        <v>597</v>
      </c>
      <c r="AX125" s="35" t="s">
        <v>391</v>
      </c>
      <c r="AY125" s="35" t="s">
        <v>391</v>
      </c>
      <c r="AZ125" s="35" t="s">
        <v>391</v>
      </c>
      <c r="BA125" s="41">
        <v>2.0</v>
      </c>
      <c r="BB125" s="35" t="s">
        <v>429</v>
      </c>
      <c r="BC125" s="35" t="s">
        <v>429</v>
      </c>
      <c r="BD125" s="35" t="s">
        <v>11204</v>
      </c>
      <c r="BE125" s="35" t="s">
        <v>11205</v>
      </c>
      <c r="BF125" s="35" t="s">
        <v>432</v>
      </c>
      <c r="BG125" s="35" t="s">
        <v>393</v>
      </c>
      <c r="BH125" s="35" t="s">
        <v>678</v>
      </c>
      <c r="BI125" s="35" t="s">
        <v>11206</v>
      </c>
      <c r="BJ125" s="35" t="s">
        <v>509</v>
      </c>
      <c r="BK125" s="35" t="s">
        <v>11207</v>
      </c>
      <c r="BL125" s="35" t="s">
        <v>681</v>
      </c>
      <c r="BM125" s="35" t="s">
        <v>603</v>
      </c>
      <c r="BN125" s="35" t="s">
        <v>397</v>
      </c>
      <c r="BO125" s="35" t="s">
        <v>513</v>
      </c>
      <c r="CM125" s="35" t="s">
        <v>441</v>
      </c>
      <c r="CN125" s="35" t="s">
        <v>401</v>
      </c>
      <c r="CO125" s="35" t="s">
        <v>11208</v>
      </c>
      <c r="CP125" s="35" t="s">
        <v>11209</v>
      </c>
      <c r="CQ125" s="35" t="s">
        <v>445</v>
      </c>
      <c r="CR125" s="35" t="s">
        <v>2763</v>
      </c>
      <c r="CS125" s="35" t="s">
        <v>447</v>
      </c>
      <c r="CT125" s="35" t="s">
        <v>2764</v>
      </c>
      <c r="CU125" s="35" t="s">
        <v>11210</v>
      </c>
      <c r="CV125" s="35" t="s">
        <v>1852</v>
      </c>
      <c r="CW125" s="35" t="s">
        <v>451</v>
      </c>
      <c r="CX125" s="35" t="s">
        <v>11211</v>
      </c>
      <c r="CY125" s="35" t="s">
        <v>408</v>
      </c>
      <c r="DA125" s="35" t="s">
        <v>453</v>
      </c>
      <c r="DB125" s="35" t="s">
        <v>11212</v>
      </c>
      <c r="DC125" s="35" t="s">
        <v>455</v>
      </c>
      <c r="DD125" s="35" t="s">
        <v>11213</v>
      </c>
      <c r="DE125" s="35" t="s">
        <v>988</v>
      </c>
      <c r="DF125" s="35" t="s">
        <v>407</v>
      </c>
      <c r="DG125" s="35" t="s">
        <v>11214</v>
      </c>
      <c r="DH125" s="35" t="s">
        <v>524</v>
      </c>
      <c r="DI125" s="35" t="s">
        <v>694</v>
      </c>
      <c r="DJ125" s="35" t="s">
        <v>459</v>
      </c>
      <c r="DK125" s="35" t="s">
        <v>460</v>
      </c>
      <c r="DL125" s="35" t="s">
        <v>461</v>
      </c>
      <c r="EU125" s="35" t="s">
        <v>526</v>
      </c>
      <c r="EV125" s="35" t="s">
        <v>479</v>
      </c>
      <c r="EW125" s="35" t="s">
        <v>527</v>
      </c>
      <c r="EX125" s="35" t="s">
        <v>11215</v>
      </c>
      <c r="EY125" s="35" t="s">
        <v>11216</v>
      </c>
      <c r="EZ125" s="35" t="s">
        <v>11217</v>
      </c>
      <c r="FA125" s="35" t="s">
        <v>415</v>
      </c>
      <c r="FB125" s="35" t="s">
        <v>415</v>
      </c>
      <c r="FC125" s="35" t="s">
        <v>413</v>
      </c>
      <c r="FD125" s="35" t="s">
        <v>413</v>
      </c>
      <c r="FE125" s="35" t="s">
        <v>413</v>
      </c>
      <c r="FF125" s="35" t="s">
        <v>415</v>
      </c>
      <c r="FG125" s="35" t="s">
        <v>415</v>
      </c>
      <c r="FH125" s="35" t="s">
        <v>416</v>
      </c>
      <c r="FI125" s="35" t="s">
        <v>414</v>
      </c>
      <c r="FJ125" s="35" t="s">
        <v>583</v>
      </c>
      <c r="FK125" s="35" t="s">
        <v>414</v>
      </c>
      <c r="FL125" s="35" t="s">
        <v>414</v>
      </c>
      <c r="FM125" s="35" t="s">
        <v>414</v>
      </c>
      <c r="FN125" s="35" t="s">
        <v>416</v>
      </c>
      <c r="FO125" s="35" t="s">
        <v>583</v>
      </c>
      <c r="FP125" s="35" t="s">
        <v>850</v>
      </c>
      <c r="FQ125" s="35" t="s">
        <v>418</v>
      </c>
      <c r="FR125" s="35" t="s">
        <v>712</v>
      </c>
      <c r="FS125" s="35" t="s">
        <v>11218</v>
      </c>
      <c r="FT125" s="35" t="s">
        <v>1189</v>
      </c>
      <c r="FU125" s="35" t="s">
        <v>488</v>
      </c>
      <c r="FV125" s="35" t="s">
        <v>489</v>
      </c>
      <c r="FW125" s="35" t="s">
        <v>490</v>
      </c>
      <c r="FX125" s="35" t="s">
        <v>491</v>
      </c>
      <c r="FY125" s="35" t="s">
        <v>11219</v>
      </c>
      <c r="FZ125" s="35" t="s">
        <v>535</v>
      </c>
      <c r="GA125" s="35" t="s">
        <v>11220</v>
      </c>
      <c r="GB125" s="35" t="s">
        <v>11221</v>
      </c>
      <c r="GC125" s="35" t="s">
        <v>455</v>
      </c>
      <c r="GD125" s="35" t="s">
        <v>11222</v>
      </c>
      <c r="GE125" s="35" t="s">
        <v>11222</v>
      </c>
      <c r="GF125" s="35" t="s">
        <v>753</v>
      </c>
      <c r="GG125" s="35" t="s">
        <v>11223</v>
      </c>
      <c r="GH125" s="35" t="s">
        <v>755</v>
      </c>
      <c r="GI125" s="35" t="s">
        <v>755</v>
      </c>
      <c r="GJ125" s="35" t="s">
        <v>946</v>
      </c>
    </row>
    <row r="126">
      <c r="A126" s="40"/>
      <c r="B126" s="40">
        <v>45828.57699451389</v>
      </c>
      <c r="C126" s="35" t="s">
        <v>368</v>
      </c>
      <c r="D126" s="35" t="s">
        <v>2795</v>
      </c>
      <c r="E126" s="35" t="s">
        <v>2796</v>
      </c>
      <c r="H126" s="35" t="s">
        <v>422</v>
      </c>
      <c r="I126" s="35" t="s">
        <v>637</v>
      </c>
      <c r="J126" s="35" t="s">
        <v>638</v>
      </c>
      <c r="K126" s="35" t="s">
        <v>1204</v>
      </c>
      <c r="L126" s="35" t="s">
        <v>376</v>
      </c>
      <c r="M126" s="35" t="s">
        <v>591</v>
      </c>
      <c r="N126" s="35" t="s">
        <v>541</v>
      </c>
      <c r="O126" s="35" t="s">
        <v>426</v>
      </c>
      <c r="P126" s="35" t="s">
        <v>2797</v>
      </c>
      <c r="Q126" s="35" t="s">
        <v>498</v>
      </c>
      <c r="R126" s="35" t="s">
        <v>862</v>
      </c>
      <c r="S126" s="35" t="s">
        <v>1594</v>
      </c>
      <c r="T126" s="35" t="s">
        <v>384</v>
      </c>
      <c r="U126" s="35" t="s">
        <v>385</v>
      </c>
      <c r="X126" s="35" t="s">
        <v>428</v>
      </c>
      <c r="AW126" s="35" t="s">
        <v>390</v>
      </c>
      <c r="AX126" s="41">
        <v>2.0</v>
      </c>
      <c r="AY126" s="41">
        <v>2.0</v>
      </c>
      <c r="AZ126" s="35" t="s">
        <v>391</v>
      </c>
      <c r="BA126" s="41">
        <v>2.0</v>
      </c>
      <c r="BB126" s="35" t="s">
        <v>429</v>
      </c>
      <c r="BC126" s="35" t="s">
        <v>429</v>
      </c>
      <c r="BD126" s="35" t="s">
        <v>2798</v>
      </c>
      <c r="BE126" s="35" t="s">
        <v>2799</v>
      </c>
      <c r="BF126" s="35" t="s">
        <v>432</v>
      </c>
      <c r="BG126" s="35" t="s">
        <v>433</v>
      </c>
      <c r="BH126" s="35" t="s">
        <v>678</v>
      </c>
      <c r="BJ126" s="35" t="s">
        <v>824</v>
      </c>
      <c r="BL126" s="35" t="s">
        <v>511</v>
      </c>
      <c r="BM126" s="35" t="s">
        <v>396</v>
      </c>
      <c r="BN126" s="35" t="s">
        <v>439</v>
      </c>
      <c r="BO126" s="35" t="s">
        <v>513</v>
      </c>
      <c r="CM126" s="35" t="s">
        <v>550</v>
      </c>
      <c r="CN126" s="35" t="s">
        <v>401</v>
      </c>
      <c r="CO126" s="35" t="s">
        <v>1313</v>
      </c>
      <c r="CP126" s="35" t="s">
        <v>2800</v>
      </c>
      <c r="CQ126" s="35" t="s">
        <v>685</v>
      </c>
      <c r="CR126" s="35" t="s">
        <v>956</v>
      </c>
      <c r="CS126" s="35" t="s">
        <v>555</v>
      </c>
      <c r="CT126" s="35" t="s">
        <v>2801</v>
      </c>
      <c r="CU126" s="35" t="s">
        <v>11224</v>
      </c>
      <c r="CV126" s="35" t="s">
        <v>450</v>
      </c>
      <c r="CW126" s="35" t="s">
        <v>451</v>
      </c>
      <c r="CX126" s="35" t="s">
        <v>2803</v>
      </c>
      <c r="CY126" s="35" t="s">
        <v>455</v>
      </c>
      <c r="CZ126" s="35" t="s">
        <v>2804</v>
      </c>
      <c r="DA126" s="35" t="s">
        <v>453</v>
      </c>
      <c r="DB126" s="35" t="s">
        <v>2805</v>
      </c>
      <c r="DC126" s="35" t="s">
        <v>455</v>
      </c>
      <c r="DD126" s="35" t="s">
        <v>2806</v>
      </c>
      <c r="DE126" s="35" t="s">
        <v>988</v>
      </c>
      <c r="DG126" s="35" t="s">
        <v>2807</v>
      </c>
      <c r="DH126" s="35" t="s">
        <v>561</v>
      </c>
      <c r="DI126" s="35" t="s">
        <v>1220</v>
      </c>
      <c r="DJ126" s="35" t="s">
        <v>963</v>
      </c>
      <c r="DK126" s="35" t="s">
        <v>613</v>
      </c>
      <c r="EU126" s="35" t="s">
        <v>526</v>
      </c>
      <c r="EV126" s="35" t="s">
        <v>579</v>
      </c>
      <c r="EW126" s="35" t="s">
        <v>1534</v>
      </c>
      <c r="FA126" s="35" t="s">
        <v>414</v>
      </c>
      <c r="FB126" s="35" t="s">
        <v>414</v>
      </c>
      <c r="FC126" s="35" t="s">
        <v>416</v>
      </c>
      <c r="FD126" s="35" t="s">
        <v>414</v>
      </c>
      <c r="FE126" s="35" t="s">
        <v>414</v>
      </c>
      <c r="FF126" s="35" t="s">
        <v>583</v>
      </c>
      <c r="FG126" s="35" t="s">
        <v>415</v>
      </c>
      <c r="FH126" s="35" t="s">
        <v>415</v>
      </c>
      <c r="FI126" s="35" t="s">
        <v>414</v>
      </c>
      <c r="FJ126" s="35" t="s">
        <v>413</v>
      </c>
      <c r="FK126" s="35" t="s">
        <v>413</v>
      </c>
      <c r="FL126" s="35" t="s">
        <v>415</v>
      </c>
      <c r="FM126" s="35" t="s">
        <v>415</v>
      </c>
      <c r="FN126" s="35" t="s">
        <v>413</v>
      </c>
      <c r="FO126" s="35" t="s">
        <v>583</v>
      </c>
      <c r="FP126" s="35" t="s">
        <v>417</v>
      </c>
      <c r="FQ126" s="35" t="s">
        <v>418</v>
      </c>
      <c r="FR126" s="35" t="s">
        <v>1039</v>
      </c>
      <c r="FT126" s="35" t="s">
        <v>420</v>
      </c>
      <c r="FU126" s="35" t="s">
        <v>488</v>
      </c>
      <c r="FV126" s="35" t="s">
        <v>1235</v>
      </c>
      <c r="FW126" s="35" t="s">
        <v>490</v>
      </c>
      <c r="FX126" s="35" t="s">
        <v>491</v>
      </c>
      <c r="FY126" s="35" t="s">
        <v>11225</v>
      </c>
      <c r="FZ126" s="35" t="s">
        <v>535</v>
      </c>
      <c r="GC126" s="35" t="s">
        <v>408</v>
      </c>
      <c r="GH126" s="35" t="s">
        <v>857</v>
      </c>
      <c r="GI126" s="35" t="s">
        <v>857</v>
      </c>
      <c r="GJ126" s="35" t="s">
        <v>790</v>
      </c>
    </row>
    <row r="127">
      <c r="A127" s="40"/>
      <c r="B127" s="40">
        <v>45828.60358170139</v>
      </c>
      <c r="C127" s="35" t="s">
        <v>368</v>
      </c>
      <c r="D127" s="35" t="s">
        <v>2827</v>
      </c>
      <c r="E127" s="35" t="s">
        <v>2827</v>
      </c>
      <c r="H127" s="35" t="s">
        <v>1140</v>
      </c>
      <c r="I127" s="35" t="s">
        <v>496</v>
      </c>
      <c r="J127" s="35" t="s">
        <v>374</v>
      </c>
      <c r="K127" s="35" t="s">
        <v>718</v>
      </c>
      <c r="L127" s="35" t="s">
        <v>376</v>
      </c>
      <c r="M127" s="35" t="s">
        <v>379</v>
      </c>
      <c r="N127" s="35" t="s">
        <v>378</v>
      </c>
      <c r="O127" s="35" t="s">
        <v>591</v>
      </c>
      <c r="P127" s="35" t="s">
        <v>380</v>
      </c>
      <c r="Q127" s="35" t="s">
        <v>498</v>
      </c>
      <c r="R127" s="35" t="s">
        <v>1156</v>
      </c>
      <c r="S127" s="35" t="s">
        <v>500</v>
      </c>
      <c r="T127" s="35" t="s">
        <v>384</v>
      </c>
      <c r="U127" s="35" t="s">
        <v>385</v>
      </c>
      <c r="X127" s="35" t="s">
        <v>593</v>
      </c>
      <c r="Y127" s="35" t="s">
        <v>642</v>
      </c>
      <c r="AM127" s="35" t="s">
        <v>1141</v>
      </c>
      <c r="AN127" s="35" t="s">
        <v>644</v>
      </c>
      <c r="AO127" s="35" t="s">
        <v>455</v>
      </c>
      <c r="AQ127" s="35" t="s">
        <v>1144</v>
      </c>
      <c r="AR127" s="41">
        <v>1.0</v>
      </c>
      <c r="AS127" s="35" t="s">
        <v>647</v>
      </c>
      <c r="AW127" s="35" t="s">
        <v>597</v>
      </c>
      <c r="AX127" s="35" t="s">
        <v>391</v>
      </c>
      <c r="AY127" s="41">
        <v>2.0</v>
      </c>
      <c r="AZ127" s="35" t="s">
        <v>391</v>
      </c>
      <c r="BA127" s="41">
        <v>4.0</v>
      </c>
      <c r="BB127" s="41">
        <v>2.0</v>
      </c>
      <c r="BC127" s="41">
        <v>2.0</v>
      </c>
      <c r="BD127" s="35" t="s">
        <v>10566</v>
      </c>
      <c r="BE127" s="35" t="s">
        <v>11226</v>
      </c>
      <c r="BF127" s="35" t="s">
        <v>392</v>
      </c>
      <c r="BG127" s="35" t="s">
        <v>393</v>
      </c>
      <c r="BH127" s="35" t="s">
        <v>765</v>
      </c>
      <c r="BJ127" s="35" t="s">
        <v>435</v>
      </c>
      <c r="BL127" s="35" t="s">
        <v>602</v>
      </c>
      <c r="BM127" s="35" t="s">
        <v>438</v>
      </c>
      <c r="BN127" s="35" t="s">
        <v>397</v>
      </c>
      <c r="BO127" s="35" t="s">
        <v>513</v>
      </c>
      <c r="CM127" s="35" t="s">
        <v>441</v>
      </c>
      <c r="CN127" s="35" t="s">
        <v>401</v>
      </c>
      <c r="CO127" s="35" t="s">
        <v>6001</v>
      </c>
      <c r="CP127" s="35" t="s">
        <v>8609</v>
      </c>
      <c r="CQ127" s="35" t="s">
        <v>979</v>
      </c>
      <c r="CR127" s="35" t="s">
        <v>2831</v>
      </c>
      <c r="CS127" s="35" t="s">
        <v>447</v>
      </c>
      <c r="CT127" s="35" t="s">
        <v>2832</v>
      </c>
      <c r="CU127" s="35" t="s">
        <v>2833</v>
      </c>
      <c r="CV127" s="35" t="s">
        <v>519</v>
      </c>
      <c r="CW127" s="35" t="s">
        <v>451</v>
      </c>
      <c r="CX127" s="35" t="s">
        <v>2834</v>
      </c>
      <c r="CY127" s="35" t="s">
        <v>408</v>
      </c>
      <c r="DA127" s="35" t="s">
        <v>453</v>
      </c>
      <c r="DC127" s="35" t="s">
        <v>455</v>
      </c>
      <c r="DD127" s="35" t="s">
        <v>11227</v>
      </c>
      <c r="DE127" s="35" t="s">
        <v>988</v>
      </c>
      <c r="DH127" s="35" t="s">
        <v>561</v>
      </c>
      <c r="DI127" s="35" t="s">
        <v>410</v>
      </c>
      <c r="DJ127" s="35" t="s">
        <v>459</v>
      </c>
      <c r="DK127" s="35" t="s">
        <v>460</v>
      </c>
      <c r="DL127" s="35" t="s">
        <v>461</v>
      </c>
      <c r="EU127" s="35" t="s">
        <v>526</v>
      </c>
      <c r="EV127" s="35" t="s">
        <v>479</v>
      </c>
      <c r="EW127" s="35" t="s">
        <v>1534</v>
      </c>
      <c r="FA127" s="35" t="s">
        <v>413</v>
      </c>
      <c r="FB127" s="35" t="s">
        <v>415</v>
      </c>
      <c r="FC127" s="35" t="s">
        <v>413</v>
      </c>
      <c r="FD127" s="35" t="s">
        <v>416</v>
      </c>
      <c r="FE127" s="35" t="s">
        <v>413</v>
      </c>
      <c r="FF127" s="35" t="s">
        <v>416</v>
      </c>
      <c r="FG127" s="35" t="s">
        <v>413</v>
      </c>
      <c r="FH127" s="35" t="s">
        <v>413</v>
      </c>
      <c r="FI127" s="35" t="s">
        <v>583</v>
      </c>
      <c r="FJ127" s="35" t="s">
        <v>583</v>
      </c>
      <c r="FK127" s="35" t="s">
        <v>413</v>
      </c>
      <c r="FL127" s="35" t="s">
        <v>416</v>
      </c>
      <c r="FM127" s="35" t="s">
        <v>413</v>
      </c>
      <c r="FN127" s="35" t="s">
        <v>413</v>
      </c>
      <c r="FO127" s="35" t="s">
        <v>583</v>
      </c>
      <c r="FP127" s="35" t="s">
        <v>485</v>
      </c>
      <c r="FQ127" s="35" t="s">
        <v>486</v>
      </c>
      <c r="FR127" s="35" t="s">
        <v>531</v>
      </c>
      <c r="FT127" s="35" t="s">
        <v>420</v>
      </c>
      <c r="FU127" s="35" t="s">
        <v>488</v>
      </c>
      <c r="FV127" s="35" t="s">
        <v>533</v>
      </c>
      <c r="FW127" s="35" t="s">
        <v>490</v>
      </c>
      <c r="FX127" s="35" t="s">
        <v>491</v>
      </c>
      <c r="FY127" s="35" t="s">
        <v>11228</v>
      </c>
      <c r="FZ127" s="35" t="s">
        <v>493</v>
      </c>
      <c r="GC127" s="35" t="s">
        <v>455</v>
      </c>
      <c r="GD127" s="35" t="s">
        <v>11229</v>
      </c>
      <c r="GE127" s="35">
        <v>9.62788712267E11</v>
      </c>
      <c r="GF127" s="35" t="s">
        <v>1339</v>
      </c>
      <c r="GH127" s="35" t="s">
        <v>755</v>
      </c>
      <c r="GI127" s="35" t="s">
        <v>755</v>
      </c>
      <c r="GJ127" s="35" t="s">
        <v>946</v>
      </c>
      <c r="GO127" s="35" t="s">
        <v>11230</v>
      </c>
      <c r="GP127" s="35" t="s">
        <v>11230</v>
      </c>
    </row>
    <row r="128">
      <c r="A128" s="40"/>
      <c r="B128" s="40">
        <v>45828.791163622685</v>
      </c>
      <c r="C128" s="35" t="s">
        <v>368</v>
      </c>
      <c r="D128" s="35" t="s">
        <v>370</v>
      </c>
      <c r="F128" s="35" t="s">
        <v>1480</v>
      </c>
      <c r="H128" s="35" t="s">
        <v>422</v>
      </c>
      <c r="I128" s="35" t="s">
        <v>373</v>
      </c>
      <c r="J128" s="35" t="s">
        <v>374</v>
      </c>
      <c r="K128" s="35" t="s">
        <v>590</v>
      </c>
      <c r="L128" s="35" t="s">
        <v>376</v>
      </c>
      <c r="M128" s="35" t="s">
        <v>379</v>
      </c>
      <c r="N128" s="35" t="s">
        <v>378</v>
      </c>
      <c r="O128" s="35" t="s">
        <v>379</v>
      </c>
      <c r="P128" s="35" t="s">
        <v>380</v>
      </c>
      <c r="Q128" s="35" t="s">
        <v>381</v>
      </c>
      <c r="R128" s="35" t="s">
        <v>1156</v>
      </c>
      <c r="S128" s="35" t="s">
        <v>427</v>
      </c>
      <c r="T128" s="35" t="s">
        <v>384</v>
      </c>
      <c r="U128" s="35" t="s">
        <v>385</v>
      </c>
      <c r="X128" s="35" t="s">
        <v>593</v>
      </c>
      <c r="Y128" s="35" t="s">
        <v>387</v>
      </c>
      <c r="Z128" s="35" t="s">
        <v>388</v>
      </c>
      <c r="AA128" s="35" t="s">
        <v>502</v>
      </c>
      <c r="AB128" s="35" t="s">
        <v>1962</v>
      </c>
      <c r="AC128" s="35" t="s">
        <v>2908</v>
      </c>
      <c r="AW128" s="35" t="s">
        <v>390</v>
      </c>
      <c r="AX128" s="35" t="s">
        <v>391</v>
      </c>
      <c r="AY128" s="35" t="s">
        <v>391</v>
      </c>
      <c r="AZ128" s="41">
        <v>2.0</v>
      </c>
      <c r="BA128" s="41">
        <v>2.0</v>
      </c>
      <c r="BB128" s="41">
        <v>2.0</v>
      </c>
      <c r="BC128" s="41">
        <v>2.0</v>
      </c>
      <c r="BD128" s="35" t="s">
        <v>2909</v>
      </c>
      <c r="BE128" s="35" t="s">
        <v>2910</v>
      </c>
      <c r="BF128" s="35" t="s">
        <v>392</v>
      </c>
      <c r="BG128" s="35" t="s">
        <v>393</v>
      </c>
      <c r="BH128" s="35" t="s">
        <v>434</v>
      </c>
      <c r="BI128" s="35" t="s">
        <v>2911</v>
      </c>
      <c r="BJ128" s="35" t="s">
        <v>976</v>
      </c>
      <c r="BL128" s="35" t="s">
        <v>395</v>
      </c>
      <c r="BM128" s="35" t="s">
        <v>603</v>
      </c>
      <c r="BN128" s="35" t="s">
        <v>549</v>
      </c>
      <c r="BO128" s="35" t="s">
        <v>513</v>
      </c>
      <c r="CM128" s="35" t="s">
        <v>441</v>
      </c>
      <c r="CN128" s="35" t="s">
        <v>401</v>
      </c>
      <c r="CO128" s="35" t="s">
        <v>2912</v>
      </c>
      <c r="CP128" s="35" t="s">
        <v>2913</v>
      </c>
      <c r="CQ128" s="35" t="s">
        <v>685</v>
      </c>
      <c r="CR128" s="35" t="s">
        <v>2914</v>
      </c>
      <c r="CS128" s="35" t="s">
        <v>447</v>
      </c>
      <c r="CT128" s="35" t="s">
        <v>2915</v>
      </c>
      <c r="CU128" s="35" t="s">
        <v>2916</v>
      </c>
      <c r="CV128" s="35" t="s">
        <v>450</v>
      </c>
      <c r="CW128" s="35" t="s">
        <v>451</v>
      </c>
      <c r="CX128" s="35" t="s">
        <v>2917</v>
      </c>
      <c r="CY128" s="35" t="s">
        <v>408</v>
      </c>
      <c r="DA128" s="35" t="s">
        <v>453</v>
      </c>
      <c r="DB128" s="35" t="s">
        <v>2918</v>
      </c>
      <c r="DC128" s="35" t="s">
        <v>408</v>
      </c>
      <c r="DE128" s="35" t="s">
        <v>662</v>
      </c>
      <c r="DF128" s="35" t="s">
        <v>407</v>
      </c>
      <c r="DG128" s="35" t="s">
        <v>2919</v>
      </c>
      <c r="DH128" s="35" t="s">
        <v>561</v>
      </c>
      <c r="DI128" s="35" t="s">
        <v>410</v>
      </c>
      <c r="DJ128" s="35" t="s">
        <v>459</v>
      </c>
      <c r="DK128" s="35" t="s">
        <v>460</v>
      </c>
      <c r="DL128" s="35" t="s">
        <v>461</v>
      </c>
      <c r="EU128" s="35" t="s">
        <v>526</v>
      </c>
      <c r="EV128" s="35" t="s">
        <v>479</v>
      </c>
      <c r="EW128" s="35" t="s">
        <v>480</v>
      </c>
      <c r="EY128" s="35" t="s">
        <v>2920</v>
      </c>
      <c r="EZ128" s="35" t="s">
        <v>2921</v>
      </c>
      <c r="FA128" s="35" t="s">
        <v>583</v>
      </c>
      <c r="FB128" s="35" t="s">
        <v>583</v>
      </c>
      <c r="FC128" s="35" t="s">
        <v>583</v>
      </c>
      <c r="FD128" s="35" t="s">
        <v>583</v>
      </c>
      <c r="FE128" s="35" t="s">
        <v>415</v>
      </c>
      <c r="FF128" s="35" t="s">
        <v>583</v>
      </c>
      <c r="FG128" s="35" t="s">
        <v>484</v>
      </c>
      <c r="FH128" s="35" t="s">
        <v>416</v>
      </c>
      <c r="FI128" s="35" t="s">
        <v>583</v>
      </c>
      <c r="FJ128" s="35" t="s">
        <v>414</v>
      </c>
      <c r="FK128" s="35" t="s">
        <v>415</v>
      </c>
      <c r="FL128" s="35" t="s">
        <v>415</v>
      </c>
      <c r="FM128" s="35" t="s">
        <v>415</v>
      </c>
      <c r="FN128" s="35" t="s">
        <v>416</v>
      </c>
      <c r="FO128" s="35" t="s">
        <v>583</v>
      </c>
      <c r="FP128" s="35" t="s">
        <v>417</v>
      </c>
      <c r="FQ128" s="35" t="s">
        <v>418</v>
      </c>
      <c r="FR128" s="35" t="s">
        <v>749</v>
      </c>
      <c r="FS128" s="35" t="s">
        <v>2922</v>
      </c>
      <c r="FT128" s="35" t="s">
        <v>420</v>
      </c>
      <c r="FU128" s="35" t="s">
        <v>488</v>
      </c>
      <c r="FV128" s="35" t="s">
        <v>489</v>
      </c>
      <c r="FW128" s="35" t="s">
        <v>490</v>
      </c>
      <c r="FX128" s="35" t="s">
        <v>491</v>
      </c>
      <c r="FY128" s="35" t="s">
        <v>2923</v>
      </c>
      <c r="FZ128" s="35" t="s">
        <v>535</v>
      </c>
      <c r="GA128" s="35" t="s">
        <v>2924</v>
      </c>
      <c r="GB128" s="35" t="s">
        <v>2925</v>
      </c>
      <c r="GC128" s="35" t="s">
        <v>455</v>
      </c>
      <c r="GD128" s="35" t="s">
        <v>11231</v>
      </c>
      <c r="GF128" s="35" t="s">
        <v>1339</v>
      </c>
      <c r="GG128" s="35" t="s">
        <v>2926</v>
      </c>
      <c r="GH128" s="35" t="s">
        <v>755</v>
      </c>
      <c r="GI128" s="35" t="s">
        <v>755</v>
      </c>
      <c r="GJ128" s="35" t="s">
        <v>946</v>
      </c>
    </row>
    <row r="129">
      <c r="A129" s="40"/>
      <c r="B129" s="40">
        <v>45828.88566534722</v>
      </c>
      <c r="C129" s="35" t="s">
        <v>368</v>
      </c>
      <c r="D129" s="35" t="s">
        <v>370</v>
      </c>
      <c r="F129" s="35" t="s">
        <v>667</v>
      </c>
      <c r="H129" s="35" t="s">
        <v>422</v>
      </c>
      <c r="I129" s="35" t="s">
        <v>1921</v>
      </c>
      <c r="J129" s="35" t="s">
        <v>668</v>
      </c>
      <c r="K129" s="35" t="s">
        <v>375</v>
      </c>
      <c r="L129" s="35" t="s">
        <v>376</v>
      </c>
      <c r="M129" s="35" t="s">
        <v>379</v>
      </c>
      <c r="N129" s="35" t="s">
        <v>378</v>
      </c>
      <c r="O129" s="35" t="s">
        <v>426</v>
      </c>
      <c r="P129" s="35" t="s">
        <v>380</v>
      </c>
      <c r="Q129" s="35" t="s">
        <v>498</v>
      </c>
      <c r="R129" s="35" t="s">
        <v>862</v>
      </c>
      <c r="S129" s="35" t="s">
        <v>500</v>
      </c>
      <c r="T129" s="35" t="s">
        <v>384</v>
      </c>
      <c r="U129" s="35" t="s">
        <v>385</v>
      </c>
      <c r="X129" s="35" t="s">
        <v>386</v>
      </c>
      <c r="Y129" s="35" t="s">
        <v>387</v>
      </c>
      <c r="Z129" s="35" t="s">
        <v>388</v>
      </c>
      <c r="AA129" s="35" t="s">
        <v>543</v>
      </c>
      <c r="AB129" s="35" t="s">
        <v>2927</v>
      </c>
      <c r="AW129" s="35" t="s">
        <v>1310</v>
      </c>
      <c r="AX129" s="35" t="s">
        <v>675</v>
      </c>
      <c r="AY129" s="35" t="s">
        <v>675</v>
      </c>
      <c r="AZ129" s="41">
        <v>2.0</v>
      </c>
      <c r="BA129" s="41">
        <v>4.0</v>
      </c>
      <c r="BB129" s="41">
        <v>4.0</v>
      </c>
      <c r="BC129" s="41">
        <v>4.0</v>
      </c>
      <c r="BD129" s="35" t="s">
        <v>2928</v>
      </c>
      <c r="BE129" s="35" t="s">
        <v>2929</v>
      </c>
      <c r="BF129" s="35" t="s">
        <v>902</v>
      </c>
      <c r="BG129" s="35" t="s">
        <v>1245</v>
      </c>
      <c r="BH129" s="35" t="s">
        <v>765</v>
      </c>
      <c r="BI129" s="35" t="s">
        <v>552</v>
      </c>
      <c r="BJ129" s="35" t="s">
        <v>976</v>
      </c>
      <c r="BL129" s="35" t="s">
        <v>437</v>
      </c>
      <c r="BM129" s="35" t="s">
        <v>904</v>
      </c>
      <c r="BN129" s="35" t="s">
        <v>1247</v>
      </c>
      <c r="BO129" s="35" t="s">
        <v>513</v>
      </c>
      <c r="CM129" s="35" t="s">
        <v>441</v>
      </c>
      <c r="CN129" s="35" t="s">
        <v>401</v>
      </c>
      <c r="CO129" s="35" t="s">
        <v>2930</v>
      </c>
      <c r="CP129" s="35" t="s">
        <v>552</v>
      </c>
      <c r="CQ129" s="35" t="s">
        <v>403</v>
      </c>
      <c r="CR129" s="35" t="s">
        <v>931</v>
      </c>
      <c r="CS129" s="35" t="s">
        <v>447</v>
      </c>
      <c r="CT129" s="35" t="s">
        <v>1137</v>
      </c>
      <c r="CU129" s="35" t="s">
        <v>2931</v>
      </c>
      <c r="CV129" s="35" t="s">
        <v>1852</v>
      </c>
      <c r="CW129" s="35" t="s">
        <v>409</v>
      </c>
      <c r="CX129" s="35" t="s">
        <v>2932</v>
      </c>
      <c r="CY129" s="35" t="s">
        <v>408</v>
      </c>
      <c r="DA129" s="35" t="s">
        <v>1962</v>
      </c>
      <c r="DC129" s="35" t="s">
        <v>408</v>
      </c>
      <c r="DE129" s="35" t="s">
        <v>406</v>
      </c>
      <c r="DF129" s="35" t="s">
        <v>1058</v>
      </c>
      <c r="DG129" s="35" t="s">
        <v>2933</v>
      </c>
      <c r="DH129" s="35" t="s">
        <v>990</v>
      </c>
      <c r="DI129" s="35" t="s">
        <v>694</v>
      </c>
      <c r="DJ129" s="35" t="s">
        <v>459</v>
      </c>
      <c r="DK129" s="35" t="s">
        <v>562</v>
      </c>
      <c r="DL129" s="35" t="s">
        <v>461</v>
      </c>
      <c r="EU129" s="35" t="s">
        <v>478</v>
      </c>
      <c r="EV129" s="35" t="s">
        <v>1037</v>
      </c>
      <c r="EW129" s="35" t="s">
        <v>527</v>
      </c>
      <c r="EY129" s="35" t="s">
        <v>2934</v>
      </c>
      <c r="EZ129" s="35" t="s">
        <v>2935</v>
      </c>
      <c r="FA129" s="35" t="s">
        <v>414</v>
      </c>
      <c r="FB129" s="35" t="s">
        <v>583</v>
      </c>
      <c r="FC129" s="35" t="s">
        <v>416</v>
      </c>
      <c r="FD129" s="35" t="s">
        <v>583</v>
      </c>
      <c r="FE129" s="35" t="s">
        <v>413</v>
      </c>
      <c r="FF129" s="35" t="s">
        <v>583</v>
      </c>
      <c r="FG129" s="35" t="s">
        <v>484</v>
      </c>
      <c r="FH129" s="35" t="s">
        <v>413</v>
      </c>
      <c r="FI129" s="35" t="s">
        <v>583</v>
      </c>
      <c r="FJ129" s="35" t="s">
        <v>583</v>
      </c>
      <c r="FK129" s="35" t="s">
        <v>583</v>
      </c>
      <c r="FL129" s="35" t="s">
        <v>583</v>
      </c>
      <c r="FM129" s="35" t="s">
        <v>583</v>
      </c>
      <c r="FN129" s="35" t="s">
        <v>413</v>
      </c>
      <c r="FO129" s="35" t="s">
        <v>583</v>
      </c>
      <c r="FP129" s="35" t="s">
        <v>485</v>
      </c>
      <c r="FQ129" s="35" t="s">
        <v>418</v>
      </c>
      <c r="FR129" s="35" t="s">
        <v>630</v>
      </c>
      <c r="FS129" s="35" t="s">
        <v>2936</v>
      </c>
      <c r="FT129" s="35" t="s">
        <v>1871</v>
      </c>
      <c r="FU129" s="35" t="s">
        <v>1476</v>
      </c>
      <c r="FV129" s="35" t="s">
        <v>533</v>
      </c>
      <c r="FW129" s="35" t="s">
        <v>1101</v>
      </c>
      <c r="FX129" s="35" t="s">
        <v>1853</v>
      </c>
      <c r="FZ129" s="35" t="s">
        <v>1854</v>
      </c>
      <c r="GC129" s="35" t="s">
        <v>408</v>
      </c>
      <c r="GH129" s="35" t="s">
        <v>857</v>
      </c>
      <c r="GI129" s="35" t="s">
        <v>857</v>
      </c>
      <c r="GJ129" s="35" t="s">
        <v>756</v>
      </c>
    </row>
    <row r="130">
      <c r="A130" s="40"/>
      <c r="B130" s="40">
        <v>45828.891574270834</v>
      </c>
      <c r="C130" s="35" t="s">
        <v>368</v>
      </c>
      <c r="D130" s="35" t="s">
        <v>370</v>
      </c>
      <c r="F130" s="35" t="s">
        <v>1510</v>
      </c>
      <c r="H130" s="35" t="s">
        <v>422</v>
      </c>
      <c r="I130" s="35" t="s">
        <v>423</v>
      </c>
      <c r="J130" s="35" t="s">
        <v>668</v>
      </c>
      <c r="K130" s="35" t="s">
        <v>718</v>
      </c>
      <c r="L130" s="35" t="s">
        <v>376</v>
      </c>
      <c r="M130" s="35" t="s">
        <v>591</v>
      </c>
      <c r="N130" s="35" t="s">
        <v>2539</v>
      </c>
      <c r="O130" s="35" t="s">
        <v>591</v>
      </c>
      <c r="P130" s="35" t="s">
        <v>719</v>
      </c>
      <c r="Q130" s="35" t="s">
        <v>498</v>
      </c>
      <c r="R130" s="35" t="s">
        <v>499</v>
      </c>
      <c r="S130" s="35" t="s">
        <v>1197</v>
      </c>
      <c r="T130" s="35" t="s">
        <v>384</v>
      </c>
      <c r="U130" s="35" t="s">
        <v>385</v>
      </c>
      <c r="X130" s="35" t="s">
        <v>386</v>
      </c>
      <c r="Y130" s="35" t="s">
        <v>387</v>
      </c>
      <c r="Z130" s="35" t="s">
        <v>1824</v>
      </c>
      <c r="AA130" s="35" t="s">
        <v>543</v>
      </c>
      <c r="AB130" s="35" t="s">
        <v>2937</v>
      </c>
      <c r="AW130" s="35" t="s">
        <v>597</v>
      </c>
      <c r="AX130" s="41">
        <v>2.0</v>
      </c>
      <c r="AY130" s="41">
        <v>2.0</v>
      </c>
      <c r="AZ130" s="35" t="s">
        <v>391</v>
      </c>
      <c r="BA130" s="35" t="s">
        <v>391</v>
      </c>
      <c r="BB130" s="35" t="s">
        <v>391</v>
      </c>
      <c r="BC130" s="35" t="s">
        <v>391</v>
      </c>
      <c r="BD130" s="35" t="s">
        <v>2938</v>
      </c>
      <c r="BE130" s="35" t="s">
        <v>2939</v>
      </c>
      <c r="BF130" s="35" t="s">
        <v>902</v>
      </c>
      <c r="BG130" s="35" t="s">
        <v>1095</v>
      </c>
      <c r="BH130" s="35" t="s">
        <v>434</v>
      </c>
      <c r="BJ130" s="35" t="s">
        <v>435</v>
      </c>
      <c r="BK130" s="35" t="s">
        <v>2940</v>
      </c>
      <c r="BL130" s="35" t="s">
        <v>602</v>
      </c>
      <c r="BM130" s="35" t="s">
        <v>438</v>
      </c>
      <c r="BN130" s="35" t="s">
        <v>1247</v>
      </c>
      <c r="BO130" s="35" t="s">
        <v>513</v>
      </c>
      <c r="CM130" s="35" t="s">
        <v>441</v>
      </c>
      <c r="CN130" s="35" t="s">
        <v>604</v>
      </c>
      <c r="CO130" s="35" t="s">
        <v>552</v>
      </c>
      <c r="CP130" s="35" t="s">
        <v>2941</v>
      </c>
      <c r="CQ130" s="35" t="s">
        <v>685</v>
      </c>
      <c r="CR130" s="35" t="s">
        <v>931</v>
      </c>
      <c r="CS130" s="35" t="s">
        <v>447</v>
      </c>
      <c r="CT130" s="35" t="s">
        <v>2942</v>
      </c>
      <c r="CU130" s="35" t="s">
        <v>2943</v>
      </c>
      <c r="CV130" s="35" t="s">
        <v>450</v>
      </c>
      <c r="CW130" s="35" t="s">
        <v>451</v>
      </c>
      <c r="CX130" s="35" t="s">
        <v>2944</v>
      </c>
      <c r="CY130" s="35" t="s">
        <v>408</v>
      </c>
      <c r="DA130" s="35" t="s">
        <v>1398</v>
      </c>
      <c r="DB130" s="35" t="s">
        <v>2945</v>
      </c>
      <c r="DC130" s="35" t="s">
        <v>455</v>
      </c>
      <c r="DD130" s="35" t="s">
        <v>2946</v>
      </c>
      <c r="DE130" s="35" t="s">
        <v>406</v>
      </c>
      <c r="DF130" s="35" t="s">
        <v>1368</v>
      </c>
      <c r="DG130" s="35" t="s">
        <v>2947</v>
      </c>
      <c r="DH130" s="35" t="s">
        <v>693</v>
      </c>
      <c r="DI130" s="35" t="s">
        <v>833</v>
      </c>
      <c r="DJ130" s="35" t="s">
        <v>459</v>
      </c>
      <c r="DK130" s="35" t="s">
        <v>1403</v>
      </c>
      <c r="DL130" s="35" t="s">
        <v>461</v>
      </c>
      <c r="EU130" s="35" t="s">
        <v>578</v>
      </c>
      <c r="EV130" s="35" t="s">
        <v>479</v>
      </c>
      <c r="EW130" s="35" t="s">
        <v>480</v>
      </c>
      <c r="EY130" s="35" t="s">
        <v>2948</v>
      </c>
      <c r="EZ130" s="35" t="s">
        <v>2949</v>
      </c>
      <c r="FA130" s="35" t="s">
        <v>414</v>
      </c>
      <c r="FB130" s="35" t="s">
        <v>414</v>
      </c>
      <c r="FC130" s="35" t="s">
        <v>416</v>
      </c>
      <c r="FD130" s="35" t="s">
        <v>416</v>
      </c>
      <c r="FE130" s="35" t="s">
        <v>416</v>
      </c>
      <c r="FF130" s="35" t="s">
        <v>414</v>
      </c>
      <c r="FG130" s="35" t="s">
        <v>415</v>
      </c>
      <c r="FH130" s="35" t="s">
        <v>415</v>
      </c>
      <c r="FI130" s="35" t="s">
        <v>415</v>
      </c>
      <c r="FJ130" s="35" t="s">
        <v>415</v>
      </c>
      <c r="FK130" s="35" t="s">
        <v>416</v>
      </c>
      <c r="FL130" s="35" t="s">
        <v>414</v>
      </c>
      <c r="FM130" s="35" t="s">
        <v>414</v>
      </c>
      <c r="FN130" s="35" t="s">
        <v>415</v>
      </c>
      <c r="FO130" s="35" t="s">
        <v>583</v>
      </c>
      <c r="FP130" s="35" t="s">
        <v>850</v>
      </c>
      <c r="FQ130" s="35" t="s">
        <v>418</v>
      </c>
      <c r="FR130" s="35" t="s">
        <v>531</v>
      </c>
      <c r="FT130" s="35" t="s">
        <v>995</v>
      </c>
      <c r="FU130" s="35" t="s">
        <v>488</v>
      </c>
      <c r="FV130" s="35" t="s">
        <v>489</v>
      </c>
      <c r="FW130" s="35" t="s">
        <v>490</v>
      </c>
      <c r="FX130" s="35" t="s">
        <v>491</v>
      </c>
      <c r="FY130" s="35" t="s">
        <v>2950</v>
      </c>
      <c r="FZ130" s="35" t="s">
        <v>493</v>
      </c>
      <c r="GB130" s="35" t="s">
        <v>408</v>
      </c>
      <c r="GC130" s="35" t="s">
        <v>408</v>
      </c>
      <c r="GH130" s="35" t="s">
        <v>755</v>
      </c>
      <c r="GI130" s="35" t="s">
        <v>755</v>
      </c>
      <c r="GJ130" s="35" t="s">
        <v>817</v>
      </c>
    </row>
    <row r="131">
      <c r="A131" s="40"/>
      <c r="B131" s="40">
        <v>45829.0024090625</v>
      </c>
      <c r="C131" s="35" t="s">
        <v>368</v>
      </c>
      <c r="D131" s="35" t="s">
        <v>370</v>
      </c>
      <c r="F131" s="35" t="s">
        <v>1480</v>
      </c>
      <c r="H131" s="35" t="s">
        <v>422</v>
      </c>
      <c r="I131" s="35" t="s">
        <v>373</v>
      </c>
      <c r="J131" s="35" t="s">
        <v>638</v>
      </c>
      <c r="K131" s="35" t="s">
        <v>375</v>
      </c>
      <c r="L131" s="35" t="s">
        <v>376</v>
      </c>
      <c r="M131" s="35" t="s">
        <v>426</v>
      </c>
      <c r="N131" s="35" t="s">
        <v>2966</v>
      </c>
      <c r="O131" s="35" t="s">
        <v>426</v>
      </c>
      <c r="P131" s="35" t="s">
        <v>497</v>
      </c>
      <c r="Q131" s="35" t="s">
        <v>1760</v>
      </c>
      <c r="R131" s="35" t="s">
        <v>499</v>
      </c>
      <c r="S131" s="35" t="s">
        <v>500</v>
      </c>
      <c r="T131" s="35" t="s">
        <v>384</v>
      </c>
      <c r="U131" s="35" t="s">
        <v>385</v>
      </c>
      <c r="X131" s="35" t="s">
        <v>386</v>
      </c>
      <c r="Y131" s="35" t="s">
        <v>1706</v>
      </c>
      <c r="AD131" s="35" t="s">
        <v>2967</v>
      </c>
      <c r="AE131" s="35" t="s">
        <v>2968</v>
      </c>
      <c r="AF131" s="35" t="s">
        <v>1143</v>
      </c>
      <c r="AG131" s="35" t="s">
        <v>2969</v>
      </c>
      <c r="AH131" s="41">
        <v>5.0</v>
      </c>
      <c r="AI131" s="35" t="s">
        <v>1639</v>
      </c>
      <c r="AJ131" s="35" t="s">
        <v>2970</v>
      </c>
      <c r="AK131" s="35" t="s">
        <v>2971</v>
      </c>
      <c r="AL131" s="35" t="s">
        <v>396</v>
      </c>
      <c r="AW131" s="35" t="s">
        <v>390</v>
      </c>
      <c r="AX131" s="35" t="s">
        <v>391</v>
      </c>
      <c r="AY131" s="35" t="s">
        <v>391</v>
      </c>
      <c r="AZ131" s="35" t="s">
        <v>429</v>
      </c>
      <c r="BA131" s="35" t="s">
        <v>429</v>
      </c>
      <c r="BB131" s="41">
        <v>2.0</v>
      </c>
      <c r="BC131" s="35" t="s">
        <v>429</v>
      </c>
      <c r="BD131" s="35" t="s">
        <v>2972</v>
      </c>
      <c r="BE131" s="35" t="s">
        <v>11232</v>
      </c>
      <c r="BF131" s="35" t="s">
        <v>392</v>
      </c>
      <c r="BG131" s="35" t="s">
        <v>433</v>
      </c>
      <c r="BH131" s="35" t="s">
        <v>678</v>
      </c>
      <c r="BI131" s="35" t="s">
        <v>2974</v>
      </c>
      <c r="BJ131" s="35" t="s">
        <v>509</v>
      </c>
      <c r="BK131" s="35" t="s">
        <v>2975</v>
      </c>
      <c r="BL131" s="35" t="s">
        <v>511</v>
      </c>
      <c r="BM131" s="35" t="s">
        <v>512</v>
      </c>
      <c r="BN131" s="35" t="s">
        <v>439</v>
      </c>
      <c r="BO131" s="35" t="s">
        <v>513</v>
      </c>
      <c r="CM131" s="35" t="s">
        <v>441</v>
      </c>
      <c r="CN131" s="35" t="s">
        <v>604</v>
      </c>
      <c r="CO131" s="35" t="s">
        <v>2976</v>
      </c>
      <c r="CP131" s="35" t="s">
        <v>2977</v>
      </c>
      <c r="CQ131" s="35" t="s">
        <v>1008</v>
      </c>
      <c r="CR131" s="35" t="s">
        <v>2978</v>
      </c>
      <c r="CS131" s="35" t="s">
        <v>804</v>
      </c>
      <c r="CT131" s="35" t="s">
        <v>2979</v>
      </c>
      <c r="CU131" s="35" t="s">
        <v>2980</v>
      </c>
      <c r="CV131" s="35" t="s">
        <v>519</v>
      </c>
      <c r="CW131" s="35" t="s">
        <v>451</v>
      </c>
      <c r="CX131" s="35" t="s">
        <v>2830</v>
      </c>
      <c r="CY131" s="35" t="s">
        <v>408</v>
      </c>
      <c r="DA131" s="35" t="s">
        <v>453</v>
      </c>
      <c r="DB131" s="35" t="s">
        <v>2981</v>
      </c>
      <c r="DC131" s="35" t="s">
        <v>455</v>
      </c>
      <c r="DD131" s="35" t="s">
        <v>2982</v>
      </c>
      <c r="DE131" s="35" t="s">
        <v>662</v>
      </c>
      <c r="DG131" s="35" t="s">
        <v>2983</v>
      </c>
      <c r="DH131" s="35" t="s">
        <v>561</v>
      </c>
      <c r="DI131" s="35" t="s">
        <v>410</v>
      </c>
      <c r="DJ131" s="35" t="s">
        <v>459</v>
      </c>
      <c r="DK131" s="35" t="s">
        <v>613</v>
      </c>
      <c r="EU131" s="35" t="s">
        <v>526</v>
      </c>
      <c r="EV131" s="35" t="s">
        <v>479</v>
      </c>
      <c r="EW131" s="35" t="s">
        <v>480</v>
      </c>
      <c r="EX131" s="35" t="s">
        <v>2984</v>
      </c>
      <c r="EY131" s="35" t="s">
        <v>2985</v>
      </c>
      <c r="EZ131" s="35" t="s">
        <v>2986</v>
      </c>
      <c r="FA131" s="35" t="s">
        <v>583</v>
      </c>
      <c r="FB131" s="35" t="s">
        <v>583</v>
      </c>
      <c r="FC131" s="35" t="s">
        <v>583</v>
      </c>
      <c r="FD131" s="35" t="s">
        <v>583</v>
      </c>
      <c r="FE131" s="35" t="s">
        <v>414</v>
      </c>
      <c r="FF131" s="35" t="s">
        <v>583</v>
      </c>
      <c r="FG131" s="35" t="s">
        <v>583</v>
      </c>
      <c r="FH131" s="35" t="s">
        <v>414</v>
      </c>
      <c r="FI131" s="35" t="s">
        <v>583</v>
      </c>
      <c r="FJ131" s="35" t="s">
        <v>583</v>
      </c>
      <c r="FK131" s="35" t="s">
        <v>583</v>
      </c>
      <c r="FL131" s="35" t="s">
        <v>414</v>
      </c>
      <c r="FM131" s="35" t="s">
        <v>484</v>
      </c>
      <c r="FN131" s="35" t="s">
        <v>484</v>
      </c>
      <c r="FO131" s="35" t="s">
        <v>583</v>
      </c>
      <c r="FP131" s="35" t="s">
        <v>417</v>
      </c>
      <c r="FQ131" s="35" t="s">
        <v>486</v>
      </c>
      <c r="FR131" s="35" t="s">
        <v>712</v>
      </c>
      <c r="FS131" s="35" t="s">
        <v>2987</v>
      </c>
      <c r="FT131" s="35" t="s">
        <v>420</v>
      </c>
      <c r="FU131" s="35" t="s">
        <v>488</v>
      </c>
      <c r="FV131" s="35" t="s">
        <v>533</v>
      </c>
      <c r="FW131" s="35" t="s">
        <v>490</v>
      </c>
      <c r="FX131" s="35" t="s">
        <v>491</v>
      </c>
      <c r="FY131" s="35" t="s">
        <v>2988</v>
      </c>
      <c r="FZ131" s="35" t="s">
        <v>535</v>
      </c>
      <c r="GA131" s="35" t="s">
        <v>2989</v>
      </c>
      <c r="GC131" s="35" t="s">
        <v>455</v>
      </c>
      <c r="GD131" s="35" t="s">
        <v>11233</v>
      </c>
      <c r="GE131" s="35" t="s">
        <v>11234</v>
      </c>
      <c r="GF131" s="35" t="s">
        <v>944</v>
      </c>
      <c r="GG131" s="35" t="s">
        <v>733</v>
      </c>
      <c r="GH131" s="35" t="s">
        <v>1000</v>
      </c>
      <c r="GI131" s="35" t="s">
        <v>1000</v>
      </c>
      <c r="GJ131" s="35" t="s">
        <v>817</v>
      </c>
    </row>
    <row r="132">
      <c r="A132" s="40"/>
      <c r="B132" s="40">
        <v>45829.01592366898</v>
      </c>
      <c r="C132" s="35" t="s">
        <v>368</v>
      </c>
      <c r="D132" s="35" t="s">
        <v>370</v>
      </c>
      <c r="F132" s="35" t="s">
        <v>791</v>
      </c>
      <c r="H132" s="35" t="s">
        <v>1093</v>
      </c>
      <c r="I132" s="35" t="s">
        <v>1203</v>
      </c>
      <c r="J132" s="35" t="s">
        <v>638</v>
      </c>
      <c r="K132" s="35" t="s">
        <v>1023</v>
      </c>
      <c r="L132" s="35" t="s">
        <v>376</v>
      </c>
      <c r="M132" s="35" t="s">
        <v>1526</v>
      </c>
      <c r="N132" s="35" t="s">
        <v>1024</v>
      </c>
      <c r="O132" s="35" t="s">
        <v>396</v>
      </c>
      <c r="P132" s="35" t="s">
        <v>1024</v>
      </c>
      <c r="Q132" s="35" t="s">
        <v>498</v>
      </c>
      <c r="R132" s="35" t="s">
        <v>759</v>
      </c>
      <c r="S132" s="35" t="s">
        <v>427</v>
      </c>
      <c r="T132" s="35" t="s">
        <v>384</v>
      </c>
      <c r="U132" s="35" t="s">
        <v>385</v>
      </c>
      <c r="X132" s="35" t="s">
        <v>1023</v>
      </c>
      <c r="AW132" s="35" t="s">
        <v>597</v>
      </c>
      <c r="AX132" s="35" t="s">
        <v>391</v>
      </c>
      <c r="AY132" s="35" t="s">
        <v>391</v>
      </c>
      <c r="AZ132" s="35" t="s">
        <v>391</v>
      </c>
      <c r="BB132" s="41">
        <v>2.0</v>
      </c>
      <c r="BC132" s="41">
        <v>2.0</v>
      </c>
      <c r="BD132" s="35" t="s">
        <v>2990</v>
      </c>
      <c r="BE132" s="35" t="s">
        <v>2991</v>
      </c>
      <c r="BF132" s="35" t="s">
        <v>1094</v>
      </c>
      <c r="BH132" s="35" t="s">
        <v>678</v>
      </c>
      <c r="BJ132" s="35" t="s">
        <v>824</v>
      </c>
      <c r="BL132" s="35" t="s">
        <v>511</v>
      </c>
      <c r="BM132" s="35" t="s">
        <v>396</v>
      </c>
      <c r="BN132" s="35" t="s">
        <v>549</v>
      </c>
      <c r="BO132" s="35" t="s">
        <v>513</v>
      </c>
      <c r="CM132" s="35" t="s">
        <v>441</v>
      </c>
      <c r="CN132" s="35" t="s">
        <v>604</v>
      </c>
      <c r="CO132" s="35" t="s">
        <v>2992</v>
      </c>
      <c r="CP132" s="35" t="s">
        <v>2993</v>
      </c>
      <c r="CQ132" s="35" t="s">
        <v>979</v>
      </c>
      <c r="CR132" s="35" t="s">
        <v>2994</v>
      </c>
      <c r="CS132" s="35" t="s">
        <v>404</v>
      </c>
      <c r="CT132" s="35" t="s">
        <v>1032</v>
      </c>
      <c r="CU132" s="35" t="s">
        <v>2995</v>
      </c>
      <c r="CV132" s="35" t="s">
        <v>450</v>
      </c>
      <c r="CW132" s="35" t="s">
        <v>451</v>
      </c>
      <c r="CY132" s="35" t="s">
        <v>733</v>
      </c>
      <c r="DA132" s="35" t="s">
        <v>453</v>
      </c>
      <c r="DB132" s="35" t="s">
        <v>2996</v>
      </c>
      <c r="DC132" s="35" t="s">
        <v>913</v>
      </c>
      <c r="DE132" s="35" t="s">
        <v>406</v>
      </c>
      <c r="DF132" s="35" t="s">
        <v>407</v>
      </c>
      <c r="DH132" s="35" t="s">
        <v>524</v>
      </c>
      <c r="DI132" s="35" t="s">
        <v>410</v>
      </c>
      <c r="DJ132" s="35" t="s">
        <v>459</v>
      </c>
      <c r="DK132" s="35" t="s">
        <v>613</v>
      </c>
      <c r="EU132" s="35" t="s">
        <v>526</v>
      </c>
      <c r="EV132" s="35" t="s">
        <v>1037</v>
      </c>
      <c r="EW132" s="35" t="s">
        <v>580</v>
      </c>
      <c r="FA132" s="35" t="s">
        <v>415</v>
      </c>
      <c r="FB132" s="35" t="s">
        <v>415</v>
      </c>
      <c r="FC132" s="35" t="s">
        <v>416</v>
      </c>
      <c r="FD132" s="35" t="s">
        <v>583</v>
      </c>
      <c r="FE132" s="35" t="s">
        <v>413</v>
      </c>
      <c r="FF132" s="35" t="s">
        <v>414</v>
      </c>
      <c r="FG132" s="35" t="s">
        <v>416</v>
      </c>
      <c r="FH132" s="35" t="s">
        <v>414</v>
      </c>
      <c r="FI132" s="35" t="s">
        <v>583</v>
      </c>
      <c r="FJ132" s="35" t="s">
        <v>583</v>
      </c>
      <c r="FK132" s="35" t="s">
        <v>415</v>
      </c>
      <c r="FL132" s="35" t="s">
        <v>413</v>
      </c>
      <c r="FM132" s="35" t="s">
        <v>415</v>
      </c>
      <c r="FN132" s="35" t="s">
        <v>416</v>
      </c>
      <c r="FO132" s="35" t="s">
        <v>415</v>
      </c>
      <c r="FP132" s="35" t="s">
        <v>417</v>
      </c>
      <c r="FQ132" s="35" t="s">
        <v>418</v>
      </c>
      <c r="FR132" s="35" t="s">
        <v>419</v>
      </c>
      <c r="FT132" s="35" t="s">
        <v>1871</v>
      </c>
      <c r="FU132" s="35" t="s">
        <v>488</v>
      </c>
      <c r="FV132" s="35" t="s">
        <v>533</v>
      </c>
      <c r="FW132" s="35" t="s">
        <v>490</v>
      </c>
      <c r="GC132" s="35" t="s">
        <v>408</v>
      </c>
      <c r="GH132" s="35" t="s">
        <v>1000</v>
      </c>
      <c r="GI132" s="35" t="s">
        <v>1000</v>
      </c>
      <c r="GJ132" s="35" t="s">
        <v>790</v>
      </c>
    </row>
    <row r="133">
      <c r="A133" s="40"/>
      <c r="B133" s="40">
        <v>45829.15104336805</v>
      </c>
      <c r="C133" s="35" t="s">
        <v>368</v>
      </c>
      <c r="D133" s="35" t="s">
        <v>538</v>
      </c>
      <c r="E133" s="35" t="s">
        <v>538</v>
      </c>
      <c r="H133" s="35" t="s">
        <v>2295</v>
      </c>
      <c r="I133" s="35" t="s">
        <v>373</v>
      </c>
      <c r="J133" s="35" t="s">
        <v>374</v>
      </c>
      <c r="K133" s="35" t="s">
        <v>718</v>
      </c>
      <c r="L133" s="35" t="s">
        <v>376</v>
      </c>
      <c r="M133" s="35" t="s">
        <v>379</v>
      </c>
      <c r="N133" s="35" t="s">
        <v>2997</v>
      </c>
      <c r="O133" s="35" t="s">
        <v>426</v>
      </c>
      <c r="P133" s="35" t="s">
        <v>2998</v>
      </c>
      <c r="Q133" s="35" t="s">
        <v>1760</v>
      </c>
      <c r="R133" s="35" t="s">
        <v>862</v>
      </c>
      <c r="S133" s="35" t="s">
        <v>500</v>
      </c>
      <c r="T133" s="35" t="s">
        <v>384</v>
      </c>
      <c r="U133" s="35" t="s">
        <v>385</v>
      </c>
      <c r="X133" s="35" t="s">
        <v>386</v>
      </c>
      <c r="Y133" s="35" t="s">
        <v>387</v>
      </c>
      <c r="Z133" s="35" t="s">
        <v>542</v>
      </c>
      <c r="AA133" s="35" t="s">
        <v>389</v>
      </c>
      <c r="AB133" s="35" t="s">
        <v>11235</v>
      </c>
      <c r="AW133" s="35" t="s">
        <v>390</v>
      </c>
      <c r="AX133" s="41">
        <v>2.0</v>
      </c>
      <c r="AY133" s="41">
        <v>2.0</v>
      </c>
      <c r="AZ133" s="35" t="s">
        <v>675</v>
      </c>
      <c r="BA133" s="35" t="s">
        <v>429</v>
      </c>
      <c r="BB133" s="41">
        <v>2.0</v>
      </c>
      <c r="BC133" s="35" t="s">
        <v>391</v>
      </c>
      <c r="BD133" s="35" t="s">
        <v>6790</v>
      </c>
      <c r="BE133" s="35" t="s">
        <v>2999</v>
      </c>
      <c r="BF133" s="35" t="s">
        <v>432</v>
      </c>
      <c r="BG133" s="35" t="s">
        <v>433</v>
      </c>
      <c r="BH133" s="35" t="s">
        <v>678</v>
      </c>
      <c r="BI133" s="35" t="s">
        <v>11236</v>
      </c>
      <c r="BJ133" s="35" t="s">
        <v>509</v>
      </c>
      <c r="BK133" s="35" t="s">
        <v>3001</v>
      </c>
      <c r="BL133" s="35" t="s">
        <v>602</v>
      </c>
      <c r="BM133" s="35" t="s">
        <v>512</v>
      </c>
      <c r="BN133" s="35" t="s">
        <v>549</v>
      </c>
      <c r="BO133" s="35" t="s">
        <v>513</v>
      </c>
      <c r="CM133" s="35" t="s">
        <v>441</v>
      </c>
      <c r="CN133" s="35" t="s">
        <v>401</v>
      </c>
      <c r="CO133" s="35" t="s">
        <v>6791</v>
      </c>
      <c r="CP133" s="35" t="s">
        <v>11237</v>
      </c>
      <c r="CQ133" s="35" t="s">
        <v>979</v>
      </c>
      <c r="CR133" s="35" t="s">
        <v>1568</v>
      </c>
      <c r="CS133" s="35" t="s">
        <v>555</v>
      </c>
      <c r="CT133" s="35" t="s">
        <v>1032</v>
      </c>
      <c r="CU133" s="35" t="s">
        <v>11238</v>
      </c>
      <c r="CV133" s="35" t="s">
        <v>450</v>
      </c>
      <c r="CW133" s="35" t="s">
        <v>451</v>
      </c>
      <c r="CX133" s="35" t="s">
        <v>3004</v>
      </c>
      <c r="CY133" s="35" t="s">
        <v>408</v>
      </c>
      <c r="CZ133" s="35" t="s">
        <v>3005</v>
      </c>
      <c r="DA133" s="35" t="s">
        <v>453</v>
      </c>
      <c r="DB133" s="35" t="s">
        <v>11239</v>
      </c>
      <c r="DC133" s="35" t="s">
        <v>408</v>
      </c>
      <c r="DE133" s="35" t="s">
        <v>457</v>
      </c>
      <c r="DG133" s="35" t="s">
        <v>3007</v>
      </c>
      <c r="DH133" s="35" t="s">
        <v>776</v>
      </c>
      <c r="DI133" s="35" t="s">
        <v>410</v>
      </c>
      <c r="DJ133" s="35" t="s">
        <v>459</v>
      </c>
      <c r="DK133" s="35" t="s">
        <v>460</v>
      </c>
      <c r="DL133" s="35" t="s">
        <v>461</v>
      </c>
      <c r="EU133" s="35" t="s">
        <v>2747</v>
      </c>
      <c r="EV133" s="35" t="s">
        <v>479</v>
      </c>
      <c r="EW133" s="35" t="s">
        <v>663</v>
      </c>
      <c r="EY133" s="35" t="s">
        <v>3008</v>
      </c>
      <c r="EZ133" s="35" t="s">
        <v>3009</v>
      </c>
      <c r="FA133" s="35" t="s">
        <v>583</v>
      </c>
      <c r="FB133" s="35" t="s">
        <v>583</v>
      </c>
      <c r="FC133" s="35" t="s">
        <v>413</v>
      </c>
      <c r="FD133" s="35" t="s">
        <v>583</v>
      </c>
      <c r="FE133" s="35" t="s">
        <v>415</v>
      </c>
      <c r="FF133" s="35" t="s">
        <v>583</v>
      </c>
      <c r="FG133" s="35" t="s">
        <v>415</v>
      </c>
      <c r="FH133" s="35" t="s">
        <v>415</v>
      </c>
      <c r="FI133" s="35" t="s">
        <v>583</v>
      </c>
      <c r="FJ133" s="35" t="s">
        <v>583</v>
      </c>
      <c r="FK133" s="35" t="s">
        <v>583</v>
      </c>
      <c r="FL133" s="35" t="s">
        <v>415</v>
      </c>
      <c r="FM133" s="35" t="s">
        <v>415</v>
      </c>
      <c r="FN133" s="35" t="s">
        <v>415</v>
      </c>
      <c r="FO133" s="35" t="s">
        <v>415</v>
      </c>
      <c r="FP133" s="35" t="s">
        <v>417</v>
      </c>
      <c r="FQ133" s="35" t="s">
        <v>418</v>
      </c>
      <c r="FR133" s="35" t="s">
        <v>1039</v>
      </c>
      <c r="FT133" s="35" t="s">
        <v>420</v>
      </c>
      <c r="FU133" s="35" t="s">
        <v>1462</v>
      </c>
      <c r="FV133" s="35" t="s">
        <v>1235</v>
      </c>
      <c r="FW133" s="35" t="s">
        <v>490</v>
      </c>
      <c r="FX133" s="35" t="s">
        <v>491</v>
      </c>
      <c r="FY133" s="35" t="s">
        <v>11240</v>
      </c>
      <c r="FZ133" s="35" t="s">
        <v>535</v>
      </c>
      <c r="GA133" s="35" t="s">
        <v>11241</v>
      </c>
      <c r="GC133" s="35" t="s">
        <v>408</v>
      </c>
      <c r="GH133" s="35" t="s">
        <v>788</v>
      </c>
      <c r="GI133" s="35" t="s">
        <v>755</v>
      </c>
      <c r="GJ133" s="35" t="s">
        <v>817</v>
      </c>
      <c r="GO133" s="35" t="s">
        <v>5767</v>
      </c>
      <c r="GP133" s="35" t="s">
        <v>5767</v>
      </c>
    </row>
    <row r="134">
      <c r="A134" s="40"/>
      <c r="B134" s="40">
        <v>45829.99185576389</v>
      </c>
      <c r="C134" s="35" t="s">
        <v>368</v>
      </c>
      <c r="D134" s="35" t="s">
        <v>370</v>
      </c>
      <c r="F134" s="35" t="s">
        <v>667</v>
      </c>
      <c r="H134" s="35" t="s">
        <v>3187</v>
      </c>
      <c r="I134" s="35" t="s">
        <v>539</v>
      </c>
      <c r="J134" s="35" t="s">
        <v>424</v>
      </c>
      <c r="K134" s="35" t="s">
        <v>375</v>
      </c>
      <c r="L134" s="35" t="s">
        <v>376</v>
      </c>
      <c r="M134" s="35" t="s">
        <v>426</v>
      </c>
      <c r="N134" s="35" t="s">
        <v>2464</v>
      </c>
      <c r="O134" s="35" t="s">
        <v>426</v>
      </c>
      <c r="P134" s="35" t="s">
        <v>719</v>
      </c>
      <c r="Q134" s="35" t="s">
        <v>592</v>
      </c>
      <c r="R134" s="35" t="s">
        <v>862</v>
      </c>
      <c r="S134" s="35" t="s">
        <v>500</v>
      </c>
      <c r="T134" s="35" t="s">
        <v>384</v>
      </c>
      <c r="U134" s="35" t="s">
        <v>385</v>
      </c>
      <c r="X134" s="35" t="s">
        <v>3014</v>
      </c>
      <c r="AW134" s="35" t="s">
        <v>504</v>
      </c>
      <c r="AX134" s="35" t="s">
        <v>429</v>
      </c>
      <c r="AY134" s="35" t="s">
        <v>429</v>
      </c>
      <c r="AZ134" s="35" t="s">
        <v>429</v>
      </c>
      <c r="BA134" s="35" t="s">
        <v>429</v>
      </c>
      <c r="BB134" s="35" t="s">
        <v>429</v>
      </c>
      <c r="BC134" s="35" t="s">
        <v>429</v>
      </c>
      <c r="BD134" s="35" t="s">
        <v>3188</v>
      </c>
      <c r="BE134" s="35" t="s">
        <v>3189</v>
      </c>
      <c r="BF134" s="35" t="s">
        <v>392</v>
      </c>
      <c r="BG134" s="35" t="s">
        <v>433</v>
      </c>
      <c r="BH134" s="35" t="s">
        <v>678</v>
      </c>
      <c r="BI134" s="35" t="s">
        <v>3190</v>
      </c>
      <c r="BJ134" s="35" t="s">
        <v>509</v>
      </c>
      <c r="BK134" s="35" t="s">
        <v>3191</v>
      </c>
      <c r="BL134" s="35" t="s">
        <v>511</v>
      </c>
      <c r="BM134" s="35" t="s">
        <v>512</v>
      </c>
      <c r="BN134" s="35" t="s">
        <v>439</v>
      </c>
      <c r="BO134" s="35" t="s">
        <v>513</v>
      </c>
      <c r="CM134" s="35" t="s">
        <v>441</v>
      </c>
      <c r="CN134" s="35" t="s">
        <v>442</v>
      </c>
      <c r="CO134" s="35" t="s">
        <v>1277</v>
      </c>
      <c r="CP134" s="35" t="s">
        <v>3192</v>
      </c>
      <c r="CQ134" s="35" t="s">
        <v>685</v>
      </c>
      <c r="CR134" s="35" t="s">
        <v>3193</v>
      </c>
      <c r="CS134" s="35" t="s">
        <v>447</v>
      </c>
      <c r="CT134" s="35" t="s">
        <v>3194</v>
      </c>
      <c r="CU134" s="35" t="s">
        <v>3195</v>
      </c>
      <c r="CV134" s="35" t="s">
        <v>450</v>
      </c>
      <c r="CW134" s="35" t="s">
        <v>451</v>
      </c>
      <c r="CX134" s="35" t="s">
        <v>3196</v>
      </c>
      <c r="CY134" s="35" t="s">
        <v>408</v>
      </c>
      <c r="DA134" s="35" t="s">
        <v>453</v>
      </c>
      <c r="DB134" s="35" t="s">
        <v>3197</v>
      </c>
      <c r="DC134" s="35" t="s">
        <v>455</v>
      </c>
      <c r="DD134" s="35" t="s">
        <v>3198</v>
      </c>
      <c r="DE134" s="35" t="s">
        <v>457</v>
      </c>
      <c r="DF134" s="35" t="s">
        <v>1368</v>
      </c>
      <c r="DG134" s="35" t="s">
        <v>3199</v>
      </c>
      <c r="DH134" s="35" t="s">
        <v>561</v>
      </c>
      <c r="DI134" s="35" t="s">
        <v>410</v>
      </c>
      <c r="DJ134" s="35" t="s">
        <v>459</v>
      </c>
      <c r="DK134" s="35" t="s">
        <v>613</v>
      </c>
      <c r="EU134" s="35" t="s">
        <v>526</v>
      </c>
      <c r="EV134" s="35" t="s">
        <v>887</v>
      </c>
      <c r="EW134" s="35" t="s">
        <v>480</v>
      </c>
      <c r="EX134" s="35" t="s">
        <v>3200</v>
      </c>
      <c r="EY134" s="35" t="s">
        <v>3201</v>
      </c>
      <c r="EZ134" s="35" t="s">
        <v>3202</v>
      </c>
      <c r="FA134" s="35" t="s">
        <v>413</v>
      </c>
      <c r="FB134" s="35" t="s">
        <v>413</v>
      </c>
      <c r="FC134" s="35" t="s">
        <v>413</v>
      </c>
      <c r="FD134" s="35" t="s">
        <v>413</v>
      </c>
      <c r="FE134" s="35" t="s">
        <v>413</v>
      </c>
      <c r="FF134" s="35" t="s">
        <v>413</v>
      </c>
      <c r="FG134" s="35" t="s">
        <v>413</v>
      </c>
      <c r="FH134" s="35" t="s">
        <v>413</v>
      </c>
      <c r="FI134" s="35" t="s">
        <v>413</v>
      </c>
      <c r="FK134" s="35" t="s">
        <v>413</v>
      </c>
      <c r="FP134" s="35" t="s">
        <v>485</v>
      </c>
      <c r="FQ134" s="35" t="s">
        <v>418</v>
      </c>
      <c r="FR134" s="35" t="s">
        <v>531</v>
      </c>
      <c r="FS134" s="35" t="s">
        <v>3203</v>
      </c>
      <c r="FT134" s="35" t="s">
        <v>420</v>
      </c>
      <c r="FU134" s="35" t="s">
        <v>488</v>
      </c>
      <c r="FV134" s="35" t="s">
        <v>585</v>
      </c>
      <c r="FW134" s="35" t="s">
        <v>490</v>
      </c>
      <c r="FX134" s="35" t="s">
        <v>491</v>
      </c>
      <c r="FY134" s="35" t="s">
        <v>3204</v>
      </c>
      <c r="FZ134" s="35" t="s">
        <v>535</v>
      </c>
      <c r="GA134" s="35" t="s">
        <v>3205</v>
      </c>
      <c r="GB134" s="35" t="s">
        <v>3206</v>
      </c>
      <c r="GC134" s="35" t="s">
        <v>455</v>
      </c>
      <c r="GD134" s="35" t="s">
        <v>11242</v>
      </c>
      <c r="GF134" s="35" t="s">
        <v>753</v>
      </c>
      <c r="GG134" s="35" t="s">
        <v>3207</v>
      </c>
      <c r="GH134" s="35" t="s">
        <v>755</v>
      </c>
      <c r="GI134" s="35" t="s">
        <v>755</v>
      </c>
      <c r="GJ134" s="35" t="s">
        <v>946</v>
      </c>
      <c r="GR134" s="35" t="s">
        <v>3208</v>
      </c>
    </row>
    <row r="135">
      <c r="A135" s="40"/>
      <c r="B135" s="40">
        <v>45829.99663518518</v>
      </c>
      <c r="C135" s="35" t="s">
        <v>368</v>
      </c>
      <c r="D135" s="35" t="s">
        <v>1341</v>
      </c>
      <c r="E135" s="35" t="s">
        <v>1341</v>
      </c>
      <c r="H135" s="35" t="s">
        <v>422</v>
      </c>
      <c r="I135" s="35" t="s">
        <v>1921</v>
      </c>
      <c r="J135" s="35" t="s">
        <v>668</v>
      </c>
      <c r="K135" s="35" t="s">
        <v>375</v>
      </c>
      <c r="L135" s="35" t="s">
        <v>376</v>
      </c>
      <c r="M135" s="35" t="s">
        <v>377</v>
      </c>
      <c r="N135" s="35" t="s">
        <v>497</v>
      </c>
      <c r="O135" s="35" t="s">
        <v>377</v>
      </c>
      <c r="P135" s="35" t="s">
        <v>497</v>
      </c>
      <c r="Q135" s="35" t="s">
        <v>498</v>
      </c>
      <c r="R135" s="35" t="s">
        <v>382</v>
      </c>
      <c r="S135" s="35" t="s">
        <v>427</v>
      </c>
      <c r="T135" s="35" t="s">
        <v>384</v>
      </c>
      <c r="U135" s="35" t="s">
        <v>385</v>
      </c>
      <c r="X135" s="35" t="s">
        <v>593</v>
      </c>
      <c r="Y135" s="35" t="s">
        <v>387</v>
      </c>
      <c r="Z135" s="35" t="s">
        <v>388</v>
      </c>
      <c r="AA135" s="35" t="s">
        <v>389</v>
      </c>
      <c r="AW135" s="35" t="s">
        <v>1242</v>
      </c>
      <c r="AX135" s="41">
        <v>4.0</v>
      </c>
      <c r="AY135" s="35" t="s">
        <v>675</v>
      </c>
      <c r="AZ135" s="41">
        <v>4.0</v>
      </c>
      <c r="BA135" s="41">
        <v>4.0</v>
      </c>
      <c r="BB135" s="35" t="s">
        <v>391</v>
      </c>
      <c r="BC135" s="35" t="s">
        <v>675</v>
      </c>
      <c r="BD135" s="35" t="s">
        <v>3209</v>
      </c>
      <c r="BE135" s="35" t="s">
        <v>3210</v>
      </c>
      <c r="BF135" s="35" t="s">
        <v>2379</v>
      </c>
      <c r="BG135" s="35" t="s">
        <v>1047</v>
      </c>
      <c r="BH135" s="35" t="s">
        <v>434</v>
      </c>
      <c r="BI135" s="35" t="s">
        <v>3211</v>
      </c>
      <c r="BJ135" s="35" t="s">
        <v>976</v>
      </c>
      <c r="BL135" s="35" t="s">
        <v>395</v>
      </c>
      <c r="BM135" s="35" t="s">
        <v>603</v>
      </c>
      <c r="BN135" s="35" t="s">
        <v>1314</v>
      </c>
      <c r="BO135" s="35" t="s">
        <v>513</v>
      </c>
      <c r="CM135" s="35" t="s">
        <v>682</v>
      </c>
      <c r="CN135" s="35" t="s">
        <v>604</v>
      </c>
      <c r="CO135" s="35" t="s">
        <v>3212</v>
      </c>
      <c r="CP135" s="35" t="s">
        <v>11243</v>
      </c>
      <c r="CQ135" s="35" t="s">
        <v>445</v>
      </c>
      <c r="CR135" s="35" t="s">
        <v>3214</v>
      </c>
      <c r="CS135" s="35" t="s">
        <v>404</v>
      </c>
      <c r="CU135" s="35" t="s">
        <v>3215</v>
      </c>
      <c r="CV135" s="35" t="s">
        <v>982</v>
      </c>
      <c r="CW135" s="35" t="s">
        <v>959</v>
      </c>
      <c r="CX135" s="35" t="s">
        <v>2675</v>
      </c>
      <c r="CY135" s="35" t="s">
        <v>408</v>
      </c>
      <c r="DA135" s="35" t="s">
        <v>1962</v>
      </c>
      <c r="DC135" s="35" t="s">
        <v>408</v>
      </c>
      <c r="DE135" s="35" t="s">
        <v>406</v>
      </c>
      <c r="DF135" s="35" t="s">
        <v>1058</v>
      </c>
      <c r="DH135" s="35" t="s">
        <v>990</v>
      </c>
      <c r="DI135" s="35" t="s">
        <v>410</v>
      </c>
      <c r="DJ135" s="35" t="s">
        <v>459</v>
      </c>
      <c r="DK135" s="35" t="s">
        <v>613</v>
      </c>
      <c r="EU135" s="35" t="s">
        <v>578</v>
      </c>
      <c r="EV135" s="35" t="s">
        <v>579</v>
      </c>
      <c r="EW135" s="35" t="s">
        <v>480</v>
      </c>
      <c r="EY135" s="35" t="s">
        <v>11244</v>
      </c>
      <c r="EZ135" s="35" t="s">
        <v>11245</v>
      </c>
      <c r="FA135" s="35" t="s">
        <v>583</v>
      </c>
      <c r="FB135" s="35" t="s">
        <v>415</v>
      </c>
      <c r="FC135" s="35" t="s">
        <v>414</v>
      </c>
      <c r="FD135" s="35" t="s">
        <v>583</v>
      </c>
      <c r="FE135" s="35" t="s">
        <v>583</v>
      </c>
      <c r="FF135" s="35" t="s">
        <v>583</v>
      </c>
      <c r="FG135" s="35" t="s">
        <v>583</v>
      </c>
      <c r="FH135" s="35" t="s">
        <v>415</v>
      </c>
      <c r="FI135" s="35" t="s">
        <v>415</v>
      </c>
      <c r="FJ135" s="35" t="s">
        <v>413</v>
      </c>
      <c r="FK135" s="35" t="s">
        <v>415</v>
      </c>
      <c r="FL135" s="35" t="s">
        <v>414</v>
      </c>
      <c r="FM135" s="35" t="s">
        <v>414</v>
      </c>
      <c r="FN135" s="35" t="s">
        <v>414</v>
      </c>
      <c r="FO135" s="35" t="s">
        <v>415</v>
      </c>
      <c r="FP135" s="35" t="s">
        <v>1537</v>
      </c>
      <c r="FQ135" s="35" t="s">
        <v>3218</v>
      </c>
      <c r="FR135" s="35" t="s">
        <v>749</v>
      </c>
      <c r="FT135" s="35" t="s">
        <v>1871</v>
      </c>
      <c r="FU135" s="35" t="s">
        <v>2398</v>
      </c>
      <c r="FV135" s="35" t="s">
        <v>585</v>
      </c>
      <c r="FW135" s="35" t="s">
        <v>2399</v>
      </c>
      <c r="FX135" s="35" t="s">
        <v>1853</v>
      </c>
      <c r="FZ135" s="35" t="s">
        <v>1854</v>
      </c>
      <c r="GC135" s="35" t="s">
        <v>455</v>
      </c>
      <c r="GD135" s="35" t="s">
        <v>11246</v>
      </c>
      <c r="GF135" s="35" t="s">
        <v>855</v>
      </c>
      <c r="GG135" s="35" t="s">
        <v>3219</v>
      </c>
      <c r="GH135" s="35" t="s">
        <v>755</v>
      </c>
      <c r="GI135" s="35" t="s">
        <v>1000</v>
      </c>
      <c r="GJ135" s="35" t="s">
        <v>946</v>
      </c>
      <c r="GO135" s="35" t="s">
        <v>3220</v>
      </c>
      <c r="GP135" s="35" t="s">
        <v>3220</v>
      </c>
      <c r="GR135" s="35" t="s">
        <v>3208</v>
      </c>
    </row>
    <row r="136">
      <c r="A136" s="40"/>
      <c r="B136" s="40">
        <v>45830.26074947917</v>
      </c>
      <c r="C136" s="35" t="s">
        <v>368</v>
      </c>
      <c r="D136" s="35" t="s">
        <v>370</v>
      </c>
      <c r="F136" s="35" t="s">
        <v>791</v>
      </c>
      <c r="H136" s="35" t="s">
        <v>422</v>
      </c>
      <c r="I136" s="35" t="s">
        <v>637</v>
      </c>
      <c r="J136" s="35" t="s">
        <v>638</v>
      </c>
      <c r="K136" s="35" t="s">
        <v>590</v>
      </c>
      <c r="L136" s="35" t="s">
        <v>376</v>
      </c>
      <c r="M136" s="35" t="s">
        <v>591</v>
      </c>
      <c r="N136" s="35" t="s">
        <v>2464</v>
      </c>
      <c r="O136" s="35" t="s">
        <v>379</v>
      </c>
      <c r="P136" s="35" t="s">
        <v>2464</v>
      </c>
      <c r="Q136" s="35" t="s">
        <v>592</v>
      </c>
      <c r="R136" s="35" t="s">
        <v>382</v>
      </c>
      <c r="S136" s="35" t="s">
        <v>427</v>
      </c>
      <c r="T136" s="35" t="s">
        <v>384</v>
      </c>
      <c r="U136" s="35" t="s">
        <v>385</v>
      </c>
      <c r="AW136" s="35" t="s">
        <v>1310</v>
      </c>
      <c r="AX136" s="35" t="s">
        <v>391</v>
      </c>
      <c r="AY136" s="35" t="s">
        <v>391</v>
      </c>
      <c r="AZ136" s="35" t="s">
        <v>391</v>
      </c>
      <c r="BA136" s="35" t="s">
        <v>391</v>
      </c>
      <c r="BB136" s="35" t="s">
        <v>391</v>
      </c>
      <c r="BC136" s="35" t="s">
        <v>391</v>
      </c>
      <c r="BD136" s="35" t="s">
        <v>3221</v>
      </c>
      <c r="BE136" s="35" t="s">
        <v>3222</v>
      </c>
      <c r="BF136" s="35" t="s">
        <v>432</v>
      </c>
      <c r="BG136" s="35" t="s">
        <v>1095</v>
      </c>
      <c r="BH136" s="35" t="s">
        <v>434</v>
      </c>
      <c r="BJ136" s="35" t="s">
        <v>824</v>
      </c>
      <c r="BL136" s="35" t="s">
        <v>511</v>
      </c>
      <c r="BM136" s="35" t="s">
        <v>396</v>
      </c>
      <c r="BN136" s="35" t="s">
        <v>1314</v>
      </c>
      <c r="BO136" s="35" t="s">
        <v>513</v>
      </c>
      <c r="CM136" s="35" t="s">
        <v>441</v>
      </c>
      <c r="CN136" s="35" t="s">
        <v>401</v>
      </c>
      <c r="CO136" s="35" t="s">
        <v>3223</v>
      </c>
      <c r="CP136" s="35" t="s">
        <v>3224</v>
      </c>
      <c r="CQ136" s="35" t="s">
        <v>403</v>
      </c>
      <c r="CR136" s="35" t="s">
        <v>3225</v>
      </c>
      <c r="CS136" s="35" t="s">
        <v>447</v>
      </c>
      <c r="CT136" s="35" t="s">
        <v>1626</v>
      </c>
      <c r="CU136" s="35" t="s">
        <v>3226</v>
      </c>
      <c r="CV136" s="35" t="s">
        <v>982</v>
      </c>
      <c r="CW136" s="35" t="s">
        <v>409</v>
      </c>
      <c r="CX136" s="35" t="s">
        <v>3227</v>
      </c>
      <c r="CY136" s="35" t="s">
        <v>408</v>
      </c>
      <c r="DA136" s="35" t="s">
        <v>1962</v>
      </c>
      <c r="DC136" s="35" t="s">
        <v>455</v>
      </c>
      <c r="DD136" s="35" t="s">
        <v>3228</v>
      </c>
      <c r="DE136" s="35" t="s">
        <v>406</v>
      </c>
      <c r="DF136" s="35" t="s">
        <v>407</v>
      </c>
      <c r="DH136" s="35" t="s">
        <v>776</v>
      </c>
      <c r="DI136" s="35" t="s">
        <v>1220</v>
      </c>
      <c r="DJ136" s="35" t="s">
        <v>459</v>
      </c>
      <c r="DK136" s="35" t="s">
        <v>613</v>
      </c>
      <c r="EU136" s="35" t="s">
        <v>578</v>
      </c>
      <c r="EV136" s="35" t="s">
        <v>479</v>
      </c>
      <c r="EW136" s="35" t="s">
        <v>1262</v>
      </c>
      <c r="FA136" s="35" t="s">
        <v>414</v>
      </c>
      <c r="FB136" s="35" t="s">
        <v>414</v>
      </c>
      <c r="FC136" s="35" t="s">
        <v>413</v>
      </c>
      <c r="FD136" s="35" t="s">
        <v>414</v>
      </c>
      <c r="FE136" s="35" t="s">
        <v>413</v>
      </c>
      <c r="FF136" s="35" t="s">
        <v>484</v>
      </c>
      <c r="FG136" s="35" t="s">
        <v>415</v>
      </c>
      <c r="FH136" s="35" t="s">
        <v>415</v>
      </c>
      <c r="FI136" s="35" t="s">
        <v>415</v>
      </c>
      <c r="FJ136" s="35" t="s">
        <v>415</v>
      </c>
      <c r="FK136" s="35" t="s">
        <v>415</v>
      </c>
      <c r="FL136" s="35" t="s">
        <v>415</v>
      </c>
      <c r="FM136" s="35" t="s">
        <v>415</v>
      </c>
      <c r="FN136" s="35" t="s">
        <v>415</v>
      </c>
      <c r="FO136" s="35" t="s">
        <v>415</v>
      </c>
      <c r="FP136" s="35" t="s">
        <v>1074</v>
      </c>
      <c r="FQ136" s="35" t="s">
        <v>418</v>
      </c>
      <c r="FS136" s="35" t="s">
        <v>3229</v>
      </c>
      <c r="FT136" s="35" t="s">
        <v>1076</v>
      </c>
      <c r="FU136" s="35" t="s">
        <v>1462</v>
      </c>
      <c r="FV136" s="35" t="s">
        <v>533</v>
      </c>
      <c r="FW136" s="35" t="s">
        <v>2387</v>
      </c>
      <c r="FX136" s="35" t="s">
        <v>491</v>
      </c>
      <c r="FY136" s="35" t="s">
        <v>3230</v>
      </c>
      <c r="FZ136" s="35" t="s">
        <v>493</v>
      </c>
      <c r="GC136" s="35" t="s">
        <v>455</v>
      </c>
      <c r="GD136" s="35" t="s">
        <v>11247</v>
      </c>
      <c r="GF136" s="35" t="s">
        <v>753</v>
      </c>
      <c r="GH136" s="35" t="s">
        <v>789</v>
      </c>
      <c r="GI136" s="35" t="s">
        <v>789</v>
      </c>
      <c r="GJ136" s="35" t="s">
        <v>921</v>
      </c>
      <c r="GR136" s="35" t="s">
        <v>3208</v>
      </c>
    </row>
    <row r="137">
      <c r="A137" s="40"/>
      <c r="B137" s="40">
        <v>45830.46624547454</v>
      </c>
      <c r="C137" s="35" t="s">
        <v>368</v>
      </c>
      <c r="D137" s="35" t="s">
        <v>370</v>
      </c>
      <c r="F137" s="35" t="s">
        <v>3338</v>
      </c>
      <c r="H137" s="35" t="s">
        <v>422</v>
      </c>
      <c r="I137" s="35" t="s">
        <v>423</v>
      </c>
      <c r="J137" s="35" t="s">
        <v>424</v>
      </c>
      <c r="K137" s="35" t="s">
        <v>375</v>
      </c>
      <c r="L137" s="35" t="s">
        <v>376</v>
      </c>
      <c r="M137" s="35" t="s">
        <v>377</v>
      </c>
      <c r="N137" s="35" t="s">
        <v>378</v>
      </c>
      <c r="O137" s="35" t="s">
        <v>591</v>
      </c>
      <c r="P137" s="35" t="s">
        <v>640</v>
      </c>
      <c r="Q137" s="35" t="s">
        <v>498</v>
      </c>
      <c r="R137" s="35" t="s">
        <v>1004</v>
      </c>
      <c r="S137" s="35" t="s">
        <v>949</v>
      </c>
      <c r="T137" s="35" t="s">
        <v>384</v>
      </c>
      <c r="U137" s="35" t="s">
        <v>385</v>
      </c>
      <c r="X137" s="35" t="s">
        <v>386</v>
      </c>
      <c r="Y137" s="35" t="s">
        <v>387</v>
      </c>
      <c r="Z137" s="35" t="s">
        <v>388</v>
      </c>
      <c r="AA137" s="35" t="s">
        <v>543</v>
      </c>
      <c r="AB137" s="35" t="s">
        <v>11248</v>
      </c>
      <c r="AW137" s="35" t="s">
        <v>1310</v>
      </c>
      <c r="AX137" s="35" t="s">
        <v>675</v>
      </c>
      <c r="AY137" s="41">
        <v>4.0</v>
      </c>
      <c r="AZ137" s="41">
        <v>2.0</v>
      </c>
      <c r="BA137" s="41">
        <v>4.0</v>
      </c>
      <c r="BB137" s="35" t="s">
        <v>429</v>
      </c>
      <c r="BC137" s="41">
        <v>4.0</v>
      </c>
      <c r="BD137" s="35" t="s">
        <v>3340</v>
      </c>
      <c r="BE137" s="35" t="s">
        <v>3341</v>
      </c>
      <c r="BF137" s="35" t="s">
        <v>432</v>
      </c>
      <c r="BG137" s="35" t="s">
        <v>1095</v>
      </c>
      <c r="BH137" s="35" t="s">
        <v>725</v>
      </c>
      <c r="BJ137" s="35" t="s">
        <v>976</v>
      </c>
      <c r="BL137" s="35" t="s">
        <v>602</v>
      </c>
      <c r="BM137" s="35" t="s">
        <v>904</v>
      </c>
      <c r="BN137" s="35" t="s">
        <v>1247</v>
      </c>
      <c r="BO137" s="35" t="s">
        <v>513</v>
      </c>
      <c r="CM137" s="35" t="s">
        <v>441</v>
      </c>
      <c r="CN137" s="35" t="s">
        <v>604</v>
      </c>
      <c r="CO137" s="35" t="s">
        <v>11249</v>
      </c>
      <c r="CP137" s="35" t="s">
        <v>3343</v>
      </c>
      <c r="CQ137" s="35" t="s">
        <v>445</v>
      </c>
      <c r="CR137" s="35" t="s">
        <v>1467</v>
      </c>
      <c r="CS137" s="35" t="s">
        <v>447</v>
      </c>
      <c r="CT137" s="35" t="s">
        <v>957</v>
      </c>
      <c r="CU137" s="35" t="s">
        <v>3344</v>
      </c>
      <c r="CV137" s="35" t="s">
        <v>1863</v>
      </c>
      <c r="CW137" s="35" t="s">
        <v>409</v>
      </c>
      <c r="CX137" s="35" t="s">
        <v>11250</v>
      </c>
      <c r="CY137" s="35" t="s">
        <v>408</v>
      </c>
      <c r="DA137" s="35" t="s">
        <v>1962</v>
      </c>
      <c r="DC137" s="35" t="s">
        <v>408</v>
      </c>
      <c r="DE137" s="35" t="s">
        <v>406</v>
      </c>
      <c r="DF137" s="35" t="s">
        <v>1058</v>
      </c>
      <c r="DG137" s="35" t="s">
        <v>3346</v>
      </c>
      <c r="DH137" s="35" t="s">
        <v>693</v>
      </c>
      <c r="DI137" s="35" t="s">
        <v>1964</v>
      </c>
      <c r="DJ137" s="35" t="s">
        <v>459</v>
      </c>
      <c r="DK137" s="35" t="s">
        <v>1403</v>
      </c>
      <c r="DL137" s="35" t="s">
        <v>461</v>
      </c>
      <c r="EU137" s="35" t="s">
        <v>578</v>
      </c>
      <c r="EV137" s="35" t="s">
        <v>479</v>
      </c>
      <c r="EW137" s="35" t="s">
        <v>580</v>
      </c>
      <c r="EY137" s="35" t="s">
        <v>11251</v>
      </c>
      <c r="EZ137" s="35" t="s">
        <v>3348</v>
      </c>
      <c r="FB137" s="35" t="s">
        <v>413</v>
      </c>
      <c r="FC137" s="35" t="s">
        <v>413</v>
      </c>
      <c r="FF137" s="35" t="s">
        <v>413</v>
      </c>
      <c r="FP137" s="35" t="s">
        <v>417</v>
      </c>
      <c r="FQ137" s="35" t="s">
        <v>418</v>
      </c>
      <c r="FR137" s="35" t="s">
        <v>630</v>
      </c>
      <c r="FS137" s="35" t="s">
        <v>11252</v>
      </c>
      <c r="FT137" s="35" t="s">
        <v>1871</v>
      </c>
      <c r="FU137" s="35" t="s">
        <v>1462</v>
      </c>
      <c r="FV137" s="35" t="s">
        <v>918</v>
      </c>
      <c r="FW137" s="35" t="s">
        <v>490</v>
      </c>
      <c r="FX137" s="35" t="s">
        <v>491</v>
      </c>
      <c r="FY137" s="35" t="s">
        <v>3349</v>
      </c>
      <c r="FZ137" s="35" t="s">
        <v>493</v>
      </c>
      <c r="GA137" s="35" t="s">
        <v>3350</v>
      </c>
      <c r="GC137" s="35" t="s">
        <v>455</v>
      </c>
      <c r="GD137" s="35" t="s">
        <v>11253</v>
      </c>
      <c r="GF137" s="35" t="s">
        <v>786</v>
      </c>
      <c r="GH137" s="35" t="s">
        <v>755</v>
      </c>
      <c r="GI137" s="35" t="s">
        <v>755</v>
      </c>
      <c r="GJ137" s="35" t="s">
        <v>817</v>
      </c>
      <c r="GR137" s="35" t="s">
        <v>3351</v>
      </c>
    </row>
    <row r="138">
      <c r="A138" s="40"/>
      <c r="B138" s="40">
        <v>45830.74782991898</v>
      </c>
      <c r="C138" s="35" t="s">
        <v>368</v>
      </c>
      <c r="D138" s="35" t="s">
        <v>370</v>
      </c>
      <c r="F138" s="35" t="s">
        <v>371</v>
      </c>
      <c r="H138" s="35" t="s">
        <v>422</v>
      </c>
      <c r="I138" s="35" t="s">
        <v>373</v>
      </c>
      <c r="J138" s="35" t="s">
        <v>374</v>
      </c>
      <c r="K138" s="35" t="s">
        <v>375</v>
      </c>
      <c r="L138" s="35" t="s">
        <v>376</v>
      </c>
      <c r="M138" s="35" t="s">
        <v>793</v>
      </c>
      <c r="N138" s="35" t="s">
        <v>1690</v>
      </c>
      <c r="O138" s="35" t="s">
        <v>793</v>
      </c>
      <c r="P138" s="35" t="s">
        <v>3453</v>
      </c>
      <c r="Q138" s="35" t="s">
        <v>592</v>
      </c>
      <c r="R138" s="35" t="s">
        <v>499</v>
      </c>
      <c r="S138" s="35" t="s">
        <v>949</v>
      </c>
      <c r="T138" s="35" t="s">
        <v>384</v>
      </c>
      <c r="U138" s="35" t="s">
        <v>385</v>
      </c>
      <c r="X138" s="35" t="s">
        <v>3014</v>
      </c>
      <c r="AW138" s="35" t="s">
        <v>597</v>
      </c>
      <c r="AX138" s="41">
        <v>4.0</v>
      </c>
      <c r="AY138" s="41">
        <v>4.0</v>
      </c>
      <c r="AZ138" s="41">
        <v>4.0</v>
      </c>
      <c r="BA138" s="35" t="s">
        <v>391</v>
      </c>
      <c r="BB138" s="41">
        <v>2.0</v>
      </c>
      <c r="BC138" s="35" t="s">
        <v>391</v>
      </c>
      <c r="BF138" s="35" t="s">
        <v>902</v>
      </c>
      <c r="BG138" s="35" t="s">
        <v>393</v>
      </c>
      <c r="BH138" s="35" t="s">
        <v>725</v>
      </c>
      <c r="BJ138" s="35" t="s">
        <v>976</v>
      </c>
      <c r="BL138" s="35" t="s">
        <v>602</v>
      </c>
      <c r="BM138" s="35" t="s">
        <v>603</v>
      </c>
      <c r="BN138" s="35" t="s">
        <v>1247</v>
      </c>
      <c r="BO138" s="35" t="s">
        <v>513</v>
      </c>
      <c r="CM138" s="35" t="s">
        <v>441</v>
      </c>
      <c r="CN138" s="35" t="s">
        <v>401</v>
      </c>
      <c r="CQ138" s="35" t="s">
        <v>403</v>
      </c>
      <c r="CR138" s="35" t="s">
        <v>931</v>
      </c>
      <c r="CS138" s="35" t="s">
        <v>404</v>
      </c>
      <c r="CY138" s="35" t="s">
        <v>408</v>
      </c>
      <c r="DA138" s="35" t="s">
        <v>1398</v>
      </c>
      <c r="DC138" s="35" t="s">
        <v>408</v>
      </c>
      <c r="DE138" s="35" t="s">
        <v>406</v>
      </c>
      <c r="DF138" s="35" t="s">
        <v>1058</v>
      </c>
      <c r="DH138" s="35" t="s">
        <v>776</v>
      </c>
      <c r="DI138" s="35" t="s">
        <v>1220</v>
      </c>
      <c r="DJ138" s="35" t="s">
        <v>777</v>
      </c>
      <c r="DK138" s="35" t="s">
        <v>460</v>
      </c>
      <c r="DL138" s="35" t="s">
        <v>1434</v>
      </c>
      <c r="EU138" s="35" t="s">
        <v>526</v>
      </c>
      <c r="EV138" s="35" t="s">
        <v>887</v>
      </c>
      <c r="EW138" s="35" t="s">
        <v>580</v>
      </c>
      <c r="FA138" s="35" t="s">
        <v>416</v>
      </c>
      <c r="FB138" s="35" t="s">
        <v>415</v>
      </c>
      <c r="FC138" s="35" t="s">
        <v>413</v>
      </c>
      <c r="FD138" s="35" t="s">
        <v>413</v>
      </c>
      <c r="FE138" s="35" t="s">
        <v>413</v>
      </c>
      <c r="FF138" s="35" t="s">
        <v>415</v>
      </c>
      <c r="FG138" s="35" t="s">
        <v>413</v>
      </c>
      <c r="FH138" s="35" t="s">
        <v>415</v>
      </c>
      <c r="FI138" s="35" t="s">
        <v>415</v>
      </c>
      <c r="FJ138" s="35" t="s">
        <v>414</v>
      </c>
      <c r="FK138" s="35" t="s">
        <v>415</v>
      </c>
      <c r="FL138" s="35" t="s">
        <v>415</v>
      </c>
      <c r="FM138" s="35" t="s">
        <v>415</v>
      </c>
      <c r="FN138" s="35" t="s">
        <v>416</v>
      </c>
      <c r="FO138" s="35" t="s">
        <v>583</v>
      </c>
      <c r="FP138" s="35" t="s">
        <v>850</v>
      </c>
      <c r="FQ138" s="35" t="s">
        <v>418</v>
      </c>
      <c r="FR138" s="35" t="s">
        <v>749</v>
      </c>
      <c r="FT138" s="35" t="s">
        <v>420</v>
      </c>
      <c r="FU138" s="35" t="s">
        <v>488</v>
      </c>
      <c r="FV138" s="35" t="s">
        <v>489</v>
      </c>
      <c r="FW138" s="35" t="s">
        <v>490</v>
      </c>
      <c r="FX138" s="35" t="s">
        <v>1853</v>
      </c>
      <c r="FZ138" s="35" t="s">
        <v>1020</v>
      </c>
      <c r="GH138" s="35" t="s">
        <v>755</v>
      </c>
      <c r="GI138" s="35" t="s">
        <v>755</v>
      </c>
      <c r="GJ138" s="35" t="s">
        <v>946</v>
      </c>
      <c r="GR138" s="35" t="s">
        <v>3208</v>
      </c>
    </row>
    <row r="139">
      <c r="A139" s="40"/>
      <c r="B139" s="40">
        <v>45830.76834444444</v>
      </c>
      <c r="C139" s="35" t="s">
        <v>368</v>
      </c>
      <c r="D139" s="35" t="s">
        <v>370</v>
      </c>
      <c r="F139" s="35" t="s">
        <v>495</v>
      </c>
      <c r="H139" s="35" t="s">
        <v>422</v>
      </c>
      <c r="I139" s="35" t="s">
        <v>637</v>
      </c>
      <c r="J139" s="35" t="s">
        <v>638</v>
      </c>
      <c r="K139" s="35" t="s">
        <v>375</v>
      </c>
      <c r="L139" s="35" t="s">
        <v>376</v>
      </c>
      <c r="M139" s="35" t="s">
        <v>379</v>
      </c>
      <c r="N139" s="35" t="s">
        <v>2464</v>
      </c>
      <c r="O139" s="35" t="s">
        <v>591</v>
      </c>
      <c r="P139" s="35" t="s">
        <v>380</v>
      </c>
      <c r="Q139" s="35" t="s">
        <v>381</v>
      </c>
      <c r="R139" s="35" t="s">
        <v>1156</v>
      </c>
      <c r="S139" s="35" t="s">
        <v>427</v>
      </c>
      <c r="T139" s="35" t="s">
        <v>384</v>
      </c>
      <c r="U139" s="35" t="s">
        <v>385</v>
      </c>
      <c r="X139" s="35" t="s">
        <v>593</v>
      </c>
      <c r="Y139" s="35" t="s">
        <v>387</v>
      </c>
      <c r="Z139" s="35" t="s">
        <v>1444</v>
      </c>
      <c r="AA139" s="35" t="s">
        <v>672</v>
      </c>
      <c r="AB139" s="35" t="s">
        <v>408</v>
      </c>
      <c r="AW139" s="35" t="s">
        <v>504</v>
      </c>
      <c r="AX139" s="41">
        <v>2.0</v>
      </c>
      <c r="AY139" s="35" t="s">
        <v>429</v>
      </c>
      <c r="AZ139" s="35" t="s">
        <v>391</v>
      </c>
      <c r="BA139" s="41">
        <v>2.0</v>
      </c>
      <c r="BB139" s="41">
        <v>2.0</v>
      </c>
      <c r="BC139" s="35" t="s">
        <v>429</v>
      </c>
      <c r="BD139" s="35" t="s">
        <v>3454</v>
      </c>
      <c r="BE139" s="35" t="s">
        <v>3455</v>
      </c>
      <c r="BF139" s="35" t="s">
        <v>432</v>
      </c>
      <c r="BG139" s="35" t="s">
        <v>433</v>
      </c>
      <c r="BH139" s="35" t="s">
        <v>678</v>
      </c>
      <c r="BJ139" s="35" t="s">
        <v>435</v>
      </c>
      <c r="BL139" s="35" t="s">
        <v>511</v>
      </c>
      <c r="BM139" s="35" t="s">
        <v>603</v>
      </c>
      <c r="BN139" s="35" t="s">
        <v>439</v>
      </c>
      <c r="BO139" s="35" t="s">
        <v>513</v>
      </c>
      <c r="CM139" s="35" t="s">
        <v>441</v>
      </c>
      <c r="CN139" s="35" t="s">
        <v>401</v>
      </c>
      <c r="CO139" s="35" t="s">
        <v>3456</v>
      </c>
      <c r="CP139" s="35" t="s">
        <v>3457</v>
      </c>
      <c r="CQ139" s="35" t="s">
        <v>979</v>
      </c>
      <c r="CR139" s="35" t="s">
        <v>3458</v>
      </c>
      <c r="CS139" s="35" t="s">
        <v>447</v>
      </c>
      <c r="CT139" s="35" t="s">
        <v>957</v>
      </c>
      <c r="CU139" s="35" t="s">
        <v>3459</v>
      </c>
      <c r="CV139" s="35" t="s">
        <v>450</v>
      </c>
      <c r="CW139" s="35" t="s">
        <v>451</v>
      </c>
      <c r="CX139" s="35" t="s">
        <v>3460</v>
      </c>
      <c r="CY139" s="35" t="s">
        <v>733</v>
      </c>
      <c r="DA139" s="35" t="s">
        <v>453</v>
      </c>
      <c r="DB139" s="35" t="s">
        <v>3461</v>
      </c>
      <c r="DC139" s="35" t="s">
        <v>455</v>
      </c>
      <c r="DD139" s="35" t="s">
        <v>3462</v>
      </c>
      <c r="DE139" s="35" t="s">
        <v>662</v>
      </c>
      <c r="DG139" s="35" t="s">
        <v>3463</v>
      </c>
      <c r="DH139" s="35" t="s">
        <v>524</v>
      </c>
      <c r="DI139" s="35" t="s">
        <v>410</v>
      </c>
      <c r="DJ139" s="35" t="s">
        <v>459</v>
      </c>
      <c r="DK139" s="35" t="s">
        <v>613</v>
      </c>
      <c r="EU139" s="35" t="s">
        <v>526</v>
      </c>
      <c r="EV139" s="35" t="s">
        <v>479</v>
      </c>
      <c r="EW139" s="35" t="s">
        <v>480</v>
      </c>
      <c r="EY139" s="35" t="s">
        <v>3464</v>
      </c>
      <c r="EZ139" s="35" t="s">
        <v>3465</v>
      </c>
      <c r="FA139" s="35" t="s">
        <v>415</v>
      </c>
      <c r="FB139" s="35" t="s">
        <v>415</v>
      </c>
      <c r="FC139" s="35" t="s">
        <v>413</v>
      </c>
      <c r="FD139" s="35" t="s">
        <v>416</v>
      </c>
      <c r="FE139" s="35" t="s">
        <v>413</v>
      </c>
      <c r="FF139" s="35" t="s">
        <v>415</v>
      </c>
      <c r="FG139" s="35" t="s">
        <v>413</v>
      </c>
      <c r="FH139" s="35" t="s">
        <v>415</v>
      </c>
      <c r="FI139" s="35" t="s">
        <v>415</v>
      </c>
      <c r="FJ139" s="35" t="s">
        <v>484</v>
      </c>
      <c r="FK139" s="35" t="s">
        <v>414</v>
      </c>
      <c r="FL139" s="35" t="s">
        <v>415</v>
      </c>
      <c r="FM139" s="35" t="s">
        <v>415</v>
      </c>
      <c r="FN139" s="35" t="s">
        <v>415</v>
      </c>
      <c r="FO139" s="35" t="s">
        <v>415</v>
      </c>
      <c r="FP139" s="35" t="s">
        <v>485</v>
      </c>
      <c r="FQ139" s="35" t="s">
        <v>418</v>
      </c>
      <c r="FR139" s="35" t="s">
        <v>630</v>
      </c>
      <c r="FS139" s="35" t="s">
        <v>3466</v>
      </c>
      <c r="FT139" s="35" t="s">
        <v>420</v>
      </c>
      <c r="FU139" s="35" t="s">
        <v>488</v>
      </c>
      <c r="FV139" s="35" t="s">
        <v>533</v>
      </c>
      <c r="FW139" s="35" t="s">
        <v>490</v>
      </c>
      <c r="FX139" s="35" t="s">
        <v>491</v>
      </c>
      <c r="FY139" s="35" t="s">
        <v>3467</v>
      </c>
      <c r="FZ139" s="35" t="s">
        <v>535</v>
      </c>
      <c r="GA139" s="35" t="s">
        <v>3468</v>
      </c>
      <c r="GC139" s="35" t="s">
        <v>408</v>
      </c>
      <c r="GH139" s="35" t="s">
        <v>920</v>
      </c>
      <c r="GI139" s="35" t="s">
        <v>1000</v>
      </c>
      <c r="GJ139" s="35" t="s">
        <v>756</v>
      </c>
      <c r="GR139" s="35" t="s">
        <v>3208</v>
      </c>
    </row>
    <row r="140">
      <c r="A140" s="40"/>
      <c r="B140" s="40">
        <v>45830.87385914352</v>
      </c>
      <c r="C140" s="35" t="s">
        <v>368</v>
      </c>
      <c r="D140" s="35" t="s">
        <v>370</v>
      </c>
      <c r="F140" s="35" t="s">
        <v>1464</v>
      </c>
      <c r="H140" s="35" t="s">
        <v>422</v>
      </c>
      <c r="I140" s="35" t="s">
        <v>373</v>
      </c>
      <c r="J140" s="35" t="s">
        <v>374</v>
      </c>
      <c r="K140" s="35" t="s">
        <v>718</v>
      </c>
      <c r="L140" s="35" t="s">
        <v>376</v>
      </c>
      <c r="M140" s="35" t="s">
        <v>591</v>
      </c>
      <c r="N140" s="35" t="s">
        <v>11254</v>
      </c>
      <c r="O140" s="35" t="s">
        <v>591</v>
      </c>
      <c r="P140" s="35" t="s">
        <v>3477</v>
      </c>
      <c r="Q140" s="35" t="s">
        <v>592</v>
      </c>
      <c r="R140" s="35" t="s">
        <v>1156</v>
      </c>
      <c r="S140" s="35" t="s">
        <v>949</v>
      </c>
      <c r="T140" s="35" t="s">
        <v>384</v>
      </c>
      <c r="U140" s="35" t="s">
        <v>385</v>
      </c>
      <c r="X140" s="35" t="s">
        <v>3231</v>
      </c>
      <c r="AW140" s="35" t="s">
        <v>1310</v>
      </c>
      <c r="AX140" s="41">
        <v>2.0</v>
      </c>
      <c r="AY140" s="35" t="s">
        <v>391</v>
      </c>
      <c r="AZ140" s="35" t="s">
        <v>429</v>
      </c>
      <c r="BA140" s="35" t="s">
        <v>391</v>
      </c>
      <c r="BB140" s="35" t="s">
        <v>429</v>
      </c>
      <c r="BC140" s="35" t="s">
        <v>429</v>
      </c>
      <c r="BF140" s="35" t="s">
        <v>392</v>
      </c>
      <c r="BG140" s="35" t="s">
        <v>393</v>
      </c>
      <c r="BH140" s="35" t="s">
        <v>725</v>
      </c>
      <c r="BJ140" s="35" t="s">
        <v>509</v>
      </c>
      <c r="BL140" s="35" t="s">
        <v>395</v>
      </c>
      <c r="BM140" s="35" t="s">
        <v>512</v>
      </c>
      <c r="BN140" s="35" t="s">
        <v>549</v>
      </c>
      <c r="BO140" s="35" t="s">
        <v>513</v>
      </c>
      <c r="CM140" s="35" t="s">
        <v>441</v>
      </c>
      <c r="CN140" s="35" t="s">
        <v>401</v>
      </c>
      <c r="CQ140" s="35" t="s">
        <v>445</v>
      </c>
      <c r="CR140" s="35" t="s">
        <v>3478</v>
      </c>
      <c r="CS140" s="35" t="s">
        <v>447</v>
      </c>
      <c r="CT140" s="35" t="s">
        <v>3479</v>
      </c>
      <c r="CV140" s="35" t="s">
        <v>519</v>
      </c>
      <c r="CW140" s="35" t="s">
        <v>451</v>
      </c>
      <c r="CY140" s="35" t="s">
        <v>455</v>
      </c>
      <c r="CZ140" s="35" t="s">
        <v>11255</v>
      </c>
      <c r="DA140" s="35" t="s">
        <v>453</v>
      </c>
      <c r="DC140" s="35" t="s">
        <v>408</v>
      </c>
      <c r="DE140" s="35" t="s">
        <v>457</v>
      </c>
      <c r="DH140" s="35" t="s">
        <v>561</v>
      </c>
      <c r="DI140" s="35" t="s">
        <v>410</v>
      </c>
      <c r="DJ140" s="35" t="s">
        <v>459</v>
      </c>
      <c r="DK140" s="35" t="s">
        <v>460</v>
      </c>
      <c r="DL140" s="35" t="s">
        <v>461</v>
      </c>
      <c r="EU140" s="35" t="s">
        <v>526</v>
      </c>
      <c r="EV140" s="35" t="s">
        <v>479</v>
      </c>
      <c r="EW140" s="35" t="s">
        <v>1262</v>
      </c>
      <c r="FA140" s="35" t="s">
        <v>583</v>
      </c>
      <c r="FB140" s="35" t="s">
        <v>583</v>
      </c>
      <c r="FC140" s="35" t="s">
        <v>583</v>
      </c>
      <c r="FD140" s="35" t="s">
        <v>583</v>
      </c>
      <c r="FE140" s="35" t="s">
        <v>416</v>
      </c>
      <c r="FF140" s="35" t="s">
        <v>583</v>
      </c>
      <c r="FG140" s="35" t="s">
        <v>583</v>
      </c>
      <c r="FH140" s="35" t="s">
        <v>416</v>
      </c>
      <c r="FI140" s="35" t="s">
        <v>583</v>
      </c>
      <c r="FJ140" s="35" t="s">
        <v>583</v>
      </c>
      <c r="FK140" s="35" t="s">
        <v>583</v>
      </c>
      <c r="FL140" s="35" t="s">
        <v>413</v>
      </c>
      <c r="FM140" s="35" t="s">
        <v>583</v>
      </c>
      <c r="FN140" s="35" t="s">
        <v>413</v>
      </c>
      <c r="FO140" s="35" t="s">
        <v>583</v>
      </c>
      <c r="FP140" s="35" t="s">
        <v>485</v>
      </c>
      <c r="FQ140" s="35" t="s">
        <v>418</v>
      </c>
      <c r="FR140" s="35" t="s">
        <v>630</v>
      </c>
      <c r="FT140" s="35" t="s">
        <v>420</v>
      </c>
      <c r="FU140" s="35" t="s">
        <v>488</v>
      </c>
      <c r="FV140" s="35" t="s">
        <v>533</v>
      </c>
      <c r="FW140" s="35" t="s">
        <v>490</v>
      </c>
      <c r="FX140" s="35" t="s">
        <v>1853</v>
      </c>
      <c r="FZ140" s="35" t="s">
        <v>535</v>
      </c>
      <c r="GC140" s="35" t="s">
        <v>408</v>
      </c>
      <c r="GH140" s="35" t="s">
        <v>755</v>
      </c>
      <c r="GI140" s="35" t="s">
        <v>755</v>
      </c>
      <c r="GJ140" s="35" t="s">
        <v>946</v>
      </c>
      <c r="GQ140" s="35" t="s">
        <v>387</v>
      </c>
      <c r="GR140" s="35" t="s">
        <v>3208</v>
      </c>
    </row>
    <row r="141">
      <c r="A141" s="40"/>
      <c r="B141" s="40">
        <v>45831.06838657407</v>
      </c>
      <c r="C141" s="35" t="s">
        <v>368</v>
      </c>
      <c r="D141" s="35" t="s">
        <v>370</v>
      </c>
      <c r="F141" s="35" t="s">
        <v>791</v>
      </c>
      <c r="H141" s="35" t="s">
        <v>422</v>
      </c>
      <c r="I141" s="35" t="s">
        <v>637</v>
      </c>
      <c r="J141" s="35" t="s">
        <v>638</v>
      </c>
      <c r="K141" s="35" t="s">
        <v>375</v>
      </c>
      <c r="L141" s="35" t="s">
        <v>376</v>
      </c>
      <c r="M141" s="35" t="s">
        <v>591</v>
      </c>
      <c r="N141" s="35" t="s">
        <v>378</v>
      </c>
      <c r="O141" s="35" t="s">
        <v>591</v>
      </c>
      <c r="P141" s="35" t="s">
        <v>719</v>
      </c>
      <c r="Q141" s="35" t="s">
        <v>381</v>
      </c>
      <c r="R141" s="35" t="s">
        <v>862</v>
      </c>
      <c r="S141" s="35" t="s">
        <v>427</v>
      </c>
      <c r="T141" s="35" t="s">
        <v>384</v>
      </c>
      <c r="U141" s="35" t="s">
        <v>385</v>
      </c>
      <c r="X141" s="35" t="s">
        <v>3014</v>
      </c>
      <c r="AW141" s="35" t="s">
        <v>597</v>
      </c>
      <c r="AX141" s="41">
        <v>2.0</v>
      </c>
      <c r="AY141" s="35" t="s">
        <v>429</v>
      </c>
      <c r="AZ141" s="41">
        <v>4.0</v>
      </c>
      <c r="BA141" s="41">
        <v>2.0</v>
      </c>
      <c r="BB141" s="35" t="s">
        <v>429</v>
      </c>
      <c r="BC141" s="35" t="s">
        <v>429</v>
      </c>
      <c r="BD141" s="35" t="s">
        <v>3510</v>
      </c>
      <c r="BE141" s="35" t="s">
        <v>3511</v>
      </c>
      <c r="BF141" s="35" t="s">
        <v>392</v>
      </c>
      <c r="BG141" s="35" t="s">
        <v>433</v>
      </c>
      <c r="BH141" s="35" t="s">
        <v>678</v>
      </c>
      <c r="BI141" s="35" t="s">
        <v>3512</v>
      </c>
      <c r="BJ141" s="35" t="s">
        <v>824</v>
      </c>
      <c r="BL141" s="35" t="s">
        <v>681</v>
      </c>
      <c r="BM141" s="35" t="s">
        <v>396</v>
      </c>
      <c r="BN141" s="35" t="s">
        <v>397</v>
      </c>
      <c r="BO141" s="35" t="s">
        <v>513</v>
      </c>
      <c r="CM141" s="35" t="s">
        <v>441</v>
      </c>
      <c r="CN141" s="35" t="s">
        <v>401</v>
      </c>
      <c r="CO141" s="35" t="s">
        <v>3513</v>
      </c>
      <c r="CP141" s="35" t="s">
        <v>3514</v>
      </c>
      <c r="CQ141" s="35" t="s">
        <v>403</v>
      </c>
      <c r="CR141" s="35" t="s">
        <v>1427</v>
      </c>
      <c r="CS141" s="35" t="s">
        <v>447</v>
      </c>
      <c r="CT141" s="35" t="s">
        <v>2684</v>
      </c>
      <c r="CU141" s="35" t="s">
        <v>3515</v>
      </c>
      <c r="CV141" s="35" t="s">
        <v>519</v>
      </c>
      <c r="CW141" s="35" t="s">
        <v>451</v>
      </c>
      <c r="CX141" s="35" t="s">
        <v>3516</v>
      </c>
      <c r="CY141" s="35" t="s">
        <v>733</v>
      </c>
      <c r="DA141" s="35" t="s">
        <v>985</v>
      </c>
      <c r="DB141" s="35" t="s">
        <v>3517</v>
      </c>
      <c r="DC141" s="35" t="s">
        <v>408</v>
      </c>
      <c r="DE141" s="35" t="s">
        <v>406</v>
      </c>
      <c r="DF141" s="35" t="s">
        <v>407</v>
      </c>
      <c r="DG141" s="35" t="s">
        <v>3518</v>
      </c>
      <c r="DH141" s="35" t="s">
        <v>561</v>
      </c>
      <c r="DI141" s="35" t="s">
        <v>833</v>
      </c>
      <c r="DJ141" s="35" t="s">
        <v>777</v>
      </c>
      <c r="DK141" s="35" t="s">
        <v>613</v>
      </c>
      <c r="EU141" s="35" t="s">
        <v>526</v>
      </c>
      <c r="EV141" s="35" t="s">
        <v>479</v>
      </c>
      <c r="EW141" s="35" t="s">
        <v>580</v>
      </c>
      <c r="EX141" s="35" t="s">
        <v>3519</v>
      </c>
      <c r="EY141" s="35" t="s">
        <v>3520</v>
      </c>
      <c r="EZ141" s="35" t="s">
        <v>3521</v>
      </c>
      <c r="FA141" s="35" t="s">
        <v>583</v>
      </c>
      <c r="FB141" s="35" t="s">
        <v>583</v>
      </c>
      <c r="FC141" s="35" t="s">
        <v>583</v>
      </c>
      <c r="FD141" s="35" t="s">
        <v>583</v>
      </c>
      <c r="FE141" s="35" t="s">
        <v>413</v>
      </c>
      <c r="FF141" s="35" t="s">
        <v>414</v>
      </c>
      <c r="FG141" s="35" t="s">
        <v>414</v>
      </c>
      <c r="FH141" s="35" t="s">
        <v>414</v>
      </c>
      <c r="FI141" s="35" t="s">
        <v>416</v>
      </c>
      <c r="FJ141" s="35" t="s">
        <v>414</v>
      </c>
      <c r="FK141" s="35" t="s">
        <v>583</v>
      </c>
      <c r="FL141" s="35" t="s">
        <v>414</v>
      </c>
      <c r="FM141" s="35" t="s">
        <v>414</v>
      </c>
      <c r="FN141" s="35" t="s">
        <v>414</v>
      </c>
      <c r="FO141" s="35" t="s">
        <v>414</v>
      </c>
      <c r="FP141" s="35" t="s">
        <v>485</v>
      </c>
      <c r="FQ141" s="35" t="s">
        <v>418</v>
      </c>
      <c r="FR141" s="35" t="s">
        <v>419</v>
      </c>
      <c r="FS141" s="35" t="s">
        <v>3522</v>
      </c>
      <c r="FT141" s="35" t="s">
        <v>420</v>
      </c>
      <c r="FU141" s="35" t="s">
        <v>488</v>
      </c>
      <c r="FV141" s="35" t="s">
        <v>533</v>
      </c>
      <c r="FW141" s="35" t="s">
        <v>490</v>
      </c>
      <c r="FX141" s="35" t="s">
        <v>491</v>
      </c>
      <c r="FY141" s="35" t="s">
        <v>3523</v>
      </c>
      <c r="FZ141" s="35" t="s">
        <v>535</v>
      </c>
      <c r="GC141" s="35" t="s">
        <v>408</v>
      </c>
      <c r="GH141" s="35" t="s">
        <v>857</v>
      </c>
      <c r="GI141" s="35" t="s">
        <v>857</v>
      </c>
      <c r="GJ141" s="35" t="s">
        <v>790</v>
      </c>
      <c r="GR141" s="35" t="s">
        <v>3273</v>
      </c>
    </row>
    <row r="142">
      <c r="A142" s="40"/>
      <c r="B142" s="40">
        <v>45831.37880005787</v>
      </c>
      <c r="C142" s="35" t="s">
        <v>368</v>
      </c>
      <c r="D142" s="35" t="s">
        <v>894</v>
      </c>
      <c r="E142" s="35" t="s">
        <v>894</v>
      </c>
      <c r="H142" s="35" t="s">
        <v>422</v>
      </c>
      <c r="I142" s="35" t="s">
        <v>637</v>
      </c>
      <c r="J142" s="35" t="s">
        <v>638</v>
      </c>
      <c r="K142" s="35" t="s">
        <v>375</v>
      </c>
      <c r="L142" s="35" t="s">
        <v>376</v>
      </c>
      <c r="M142" s="35" t="s">
        <v>379</v>
      </c>
      <c r="N142" s="35" t="s">
        <v>380</v>
      </c>
      <c r="O142" s="35" t="s">
        <v>379</v>
      </c>
      <c r="P142" s="35" t="s">
        <v>380</v>
      </c>
      <c r="Q142" s="35" t="s">
        <v>498</v>
      </c>
      <c r="R142" s="35" t="s">
        <v>382</v>
      </c>
      <c r="S142" s="35" t="s">
        <v>1594</v>
      </c>
      <c r="T142" s="35" t="s">
        <v>384</v>
      </c>
      <c r="U142" s="35" t="s">
        <v>385</v>
      </c>
      <c r="V142" s="35" t="s">
        <v>1045</v>
      </c>
      <c r="W142" s="35" t="s">
        <v>1045</v>
      </c>
      <c r="X142" s="35" t="s">
        <v>3231</v>
      </c>
      <c r="AW142" s="35" t="s">
        <v>1310</v>
      </c>
      <c r="AX142" s="35" t="s">
        <v>391</v>
      </c>
      <c r="AY142" s="41">
        <v>4.0</v>
      </c>
      <c r="AZ142" s="35" t="s">
        <v>391</v>
      </c>
      <c r="BA142" s="41">
        <v>2.0</v>
      </c>
      <c r="BB142" s="35" t="s">
        <v>391</v>
      </c>
      <c r="BC142" s="35" t="s">
        <v>391</v>
      </c>
      <c r="BF142" s="35" t="s">
        <v>432</v>
      </c>
      <c r="BG142" s="35" t="s">
        <v>1095</v>
      </c>
      <c r="BH142" s="35" t="s">
        <v>725</v>
      </c>
      <c r="BJ142" s="35" t="s">
        <v>435</v>
      </c>
      <c r="BL142" s="35" t="s">
        <v>681</v>
      </c>
      <c r="BM142" s="35" t="s">
        <v>603</v>
      </c>
      <c r="BN142" s="35" t="s">
        <v>1247</v>
      </c>
      <c r="BO142" s="35" t="s">
        <v>513</v>
      </c>
      <c r="CM142" s="35" t="s">
        <v>682</v>
      </c>
      <c r="CN142" s="35" t="s">
        <v>442</v>
      </c>
      <c r="CQ142" s="35" t="s">
        <v>445</v>
      </c>
      <c r="CR142" s="35" t="s">
        <v>3672</v>
      </c>
      <c r="CS142" s="35" t="s">
        <v>555</v>
      </c>
      <c r="CV142" s="35" t="s">
        <v>982</v>
      </c>
      <c r="CW142" s="35" t="s">
        <v>959</v>
      </c>
      <c r="CY142" s="35" t="s">
        <v>408</v>
      </c>
      <c r="DA142" s="35" t="s">
        <v>985</v>
      </c>
      <c r="DC142" s="35" t="s">
        <v>408</v>
      </c>
      <c r="DE142" s="35" t="s">
        <v>406</v>
      </c>
      <c r="DH142" s="35" t="s">
        <v>990</v>
      </c>
      <c r="DI142" s="35" t="s">
        <v>694</v>
      </c>
      <c r="DJ142" s="35" t="s">
        <v>459</v>
      </c>
      <c r="DK142" s="35" t="s">
        <v>613</v>
      </c>
      <c r="EU142" s="35" t="s">
        <v>478</v>
      </c>
      <c r="EV142" s="35" t="s">
        <v>579</v>
      </c>
      <c r="EW142" s="35" t="s">
        <v>480</v>
      </c>
      <c r="FA142" s="35" t="s">
        <v>583</v>
      </c>
      <c r="FB142" s="35" t="s">
        <v>583</v>
      </c>
      <c r="FC142" s="35" t="s">
        <v>413</v>
      </c>
      <c r="FD142" s="35" t="s">
        <v>416</v>
      </c>
      <c r="FE142" s="35" t="s">
        <v>415</v>
      </c>
      <c r="FF142" s="35" t="s">
        <v>583</v>
      </c>
      <c r="FG142" s="35" t="s">
        <v>583</v>
      </c>
      <c r="FH142" s="35" t="s">
        <v>583</v>
      </c>
      <c r="FI142" s="35" t="s">
        <v>416</v>
      </c>
      <c r="FJ142" s="35" t="s">
        <v>413</v>
      </c>
      <c r="FK142" s="35" t="s">
        <v>583</v>
      </c>
      <c r="FL142" s="35" t="s">
        <v>415</v>
      </c>
      <c r="FM142" s="35" t="s">
        <v>415</v>
      </c>
      <c r="FN142" s="35" t="s">
        <v>583</v>
      </c>
      <c r="FO142" s="35" t="s">
        <v>413</v>
      </c>
      <c r="FP142" s="35" t="s">
        <v>1074</v>
      </c>
      <c r="FQ142" s="35" t="s">
        <v>3218</v>
      </c>
      <c r="FR142" s="35" t="s">
        <v>419</v>
      </c>
      <c r="FT142" s="35" t="s">
        <v>1871</v>
      </c>
      <c r="FU142" s="35" t="s">
        <v>2750</v>
      </c>
      <c r="FV142" s="35" t="s">
        <v>1235</v>
      </c>
      <c r="FW142" s="35" t="s">
        <v>2136</v>
      </c>
      <c r="FZ142" s="35" t="s">
        <v>1337</v>
      </c>
      <c r="GC142" s="35" t="s">
        <v>408</v>
      </c>
      <c r="GH142" s="35" t="s">
        <v>755</v>
      </c>
      <c r="GI142" s="35" t="s">
        <v>755</v>
      </c>
      <c r="GJ142" s="35" t="s">
        <v>817</v>
      </c>
      <c r="GQ142" s="35" t="s">
        <v>387</v>
      </c>
      <c r="GR142" s="35" t="s">
        <v>3208</v>
      </c>
    </row>
    <row r="143">
      <c r="A143" s="40"/>
      <c r="B143" s="40">
        <v>45832.168814212964</v>
      </c>
      <c r="C143" s="35" t="s">
        <v>368</v>
      </c>
      <c r="D143" s="35" t="s">
        <v>370</v>
      </c>
      <c r="F143" s="35" t="s">
        <v>667</v>
      </c>
      <c r="H143" s="35" t="s">
        <v>792</v>
      </c>
      <c r="I143" s="35" t="s">
        <v>373</v>
      </c>
      <c r="J143" s="35" t="s">
        <v>374</v>
      </c>
      <c r="K143" s="35" t="s">
        <v>375</v>
      </c>
      <c r="L143" s="35" t="s">
        <v>376</v>
      </c>
      <c r="M143" s="35" t="s">
        <v>379</v>
      </c>
      <c r="N143" s="35" t="s">
        <v>3919</v>
      </c>
      <c r="O143" s="35" t="s">
        <v>670</v>
      </c>
      <c r="P143" s="35" t="s">
        <v>720</v>
      </c>
      <c r="Q143" s="35" t="s">
        <v>381</v>
      </c>
      <c r="R143" s="35" t="s">
        <v>1156</v>
      </c>
      <c r="S143" s="35" t="s">
        <v>427</v>
      </c>
      <c r="T143" s="35" t="s">
        <v>384</v>
      </c>
      <c r="U143" s="35" t="s">
        <v>385</v>
      </c>
      <c r="X143" s="35" t="s">
        <v>3014</v>
      </c>
      <c r="AW143" s="35" t="s">
        <v>504</v>
      </c>
      <c r="AX143" s="35" t="s">
        <v>429</v>
      </c>
      <c r="AY143" s="35" t="s">
        <v>429</v>
      </c>
      <c r="AZ143" s="35" t="s">
        <v>429</v>
      </c>
      <c r="BA143" s="35" t="s">
        <v>429</v>
      </c>
      <c r="BB143" s="35" t="s">
        <v>429</v>
      </c>
      <c r="BC143" s="35" t="s">
        <v>429</v>
      </c>
      <c r="BD143" s="35" t="s">
        <v>3920</v>
      </c>
      <c r="BE143" s="35" t="s">
        <v>3921</v>
      </c>
      <c r="BF143" s="35" t="s">
        <v>392</v>
      </c>
      <c r="BG143" s="35" t="s">
        <v>433</v>
      </c>
      <c r="BH143" s="35" t="s">
        <v>678</v>
      </c>
      <c r="BJ143" s="35" t="s">
        <v>976</v>
      </c>
      <c r="BL143" s="35" t="s">
        <v>681</v>
      </c>
      <c r="BM143" s="35" t="s">
        <v>904</v>
      </c>
      <c r="BN143" s="35" t="s">
        <v>439</v>
      </c>
      <c r="BO143" s="35" t="s">
        <v>513</v>
      </c>
      <c r="CM143" s="35" t="s">
        <v>953</v>
      </c>
      <c r="CN143" s="35" t="s">
        <v>401</v>
      </c>
      <c r="CO143" s="35" t="s">
        <v>2829</v>
      </c>
      <c r="CP143" s="35" t="s">
        <v>3922</v>
      </c>
      <c r="CQ143" s="35" t="s">
        <v>979</v>
      </c>
      <c r="CR143" s="35" t="s">
        <v>3923</v>
      </c>
      <c r="CS143" s="35" t="s">
        <v>804</v>
      </c>
      <c r="CT143" s="35" t="s">
        <v>3924</v>
      </c>
      <c r="CU143" s="35" t="s">
        <v>3925</v>
      </c>
      <c r="CV143" s="35" t="s">
        <v>450</v>
      </c>
      <c r="CW143" s="35" t="s">
        <v>451</v>
      </c>
      <c r="CX143" s="35" t="s">
        <v>3926</v>
      </c>
      <c r="CY143" s="35" t="s">
        <v>733</v>
      </c>
      <c r="DA143" s="35" t="s">
        <v>453</v>
      </c>
      <c r="DB143" s="35" t="s">
        <v>11256</v>
      </c>
      <c r="DC143" s="35" t="s">
        <v>455</v>
      </c>
      <c r="DD143" s="35" t="s">
        <v>3928</v>
      </c>
      <c r="DE143" s="35" t="s">
        <v>457</v>
      </c>
      <c r="DG143" s="35" t="s">
        <v>11257</v>
      </c>
      <c r="DH143" s="35" t="s">
        <v>776</v>
      </c>
      <c r="DI143" s="35" t="s">
        <v>410</v>
      </c>
      <c r="DJ143" s="35" t="s">
        <v>459</v>
      </c>
      <c r="DK143" s="35" t="s">
        <v>460</v>
      </c>
      <c r="DL143" s="35" t="s">
        <v>563</v>
      </c>
      <c r="DM143" s="35" t="s">
        <v>11258</v>
      </c>
      <c r="EU143" s="35" t="s">
        <v>526</v>
      </c>
      <c r="EW143" s="35" t="s">
        <v>480</v>
      </c>
      <c r="EY143" s="35" t="s">
        <v>11259</v>
      </c>
      <c r="EZ143" s="35" t="s">
        <v>3932</v>
      </c>
      <c r="FA143" s="35" t="s">
        <v>583</v>
      </c>
      <c r="FB143" s="35" t="s">
        <v>583</v>
      </c>
      <c r="FC143" s="35" t="s">
        <v>583</v>
      </c>
      <c r="FD143" s="35" t="s">
        <v>583</v>
      </c>
      <c r="FE143" s="35" t="s">
        <v>583</v>
      </c>
      <c r="FF143" s="35" t="s">
        <v>583</v>
      </c>
      <c r="FG143" s="35" t="s">
        <v>583</v>
      </c>
      <c r="FH143" s="35" t="s">
        <v>415</v>
      </c>
      <c r="FI143" s="35" t="s">
        <v>415</v>
      </c>
      <c r="FJ143" s="35" t="s">
        <v>583</v>
      </c>
      <c r="FK143" s="35" t="s">
        <v>583</v>
      </c>
      <c r="FL143" s="35" t="s">
        <v>583</v>
      </c>
      <c r="FM143" s="35" t="s">
        <v>583</v>
      </c>
      <c r="FN143" s="35" t="s">
        <v>415</v>
      </c>
      <c r="FO143" s="35" t="s">
        <v>415</v>
      </c>
      <c r="FP143" s="35" t="s">
        <v>417</v>
      </c>
      <c r="FQ143" s="35" t="s">
        <v>2524</v>
      </c>
      <c r="FR143" s="35" t="s">
        <v>630</v>
      </c>
      <c r="FS143" s="35" t="s">
        <v>3933</v>
      </c>
      <c r="FT143" s="35" t="s">
        <v>420</v>
      </c>
      <c r="FU143" s="35" t="s">
        <v>488</v>
      </c>
      <c r="FV143" s="35" t="s">
        <v>533</v>
      </c>
      <c r="FW143" s="35" t="s">
        <v>490</v>
      </c>
      <c r="FX143" s="35" t="s">
        <v>491</v>
      </c>
      <c r="FY143" s="35" t="s">
        <v>3934</v>
      </c>
      <c r="FZ143" s="35" t="s">
        <v>535</v>
      </c>
      <c r="GA143" s="35" t="s">
        <v>3935</v>
      </c>
      <c r="GB143" s="35" t="s">
        <v>3936</v>
      </c>
      <c r="GC143" s="35" t="s">
        <v>455</v>
      </c>
      <c r="GD143" s="35" t="s">
        <v>11260</v>
      </c>
      <c r="GF143" s="35" t="s">
        <v>1339</v>
      </c>
      <c r="GH143" s="35" t="s">
        <v>755</v>
      </c>
      <c r="GI143" s="35" t="s">
        <v>755</v>
      </c>
      <c r="GJ143" s="35" t="s">
        <v>946</v>
      </c>
      <c r="GR143" s="35" t="s">
        <v>3937</v>
      </c>
    </row>
    <row r="144">
      <c r="A144" s="40"/>
      <c r="B144" s="40">
        <v>45832.613582488426</v>
      </c>
      <c r="C144" s="35" t="s">
        <v>368</v>
      </c>
      <c r="D144" s="35" t="s">
        <v>370</v>
      </c>
      <c r="F144" s="35" t="s">
        <v>2335</v>
      </c>
      <c r="H144" s="35" t="s">
        <v>3187</v>
      </c>
      <c r="I144" s="35" t="s">
        <v>496</v>
      </c>
      <c r="J144" s="35" t="s">
        <v>2578</v>
      </c>
      <c r="K144" s="35" t="s">
        <v>375</v>
      </c>
      <c r="L144" s="35" t="s">
        <v>376</v>
      </c>
      <c r="M144" s="35" t="s">
        <v>793</v>
      </c>
      <c r="N144" s="35" t="s">
        <v>639</v>
      </c>
      <c r="O144" s="35" t="s">
        <v>670</v>
      </c>
      <c r="P144" s="35" t="s">
        <v>720</v>
      </c>
      <c r="Q144" s="35" t="s">
        <v>498</v>
      </c>
      <c r="R144" s="35" t="s">
        <v>382</v>
      </c>
      <c r="S144" s="35" t="s">
        <v>427</v>
      </c>
      <c r="T144" s="35" t="s">
        <v>384</v>
      </c>
      <c r="U144" s="35" t="s">
        <v>385</v>
      </c>
      <c r="X144" s="35" t="s">
        <v>3014</v>
      </c>
      <c r="AW144" s="35" t="s">
        <v>1310</v>
      </c>
      <c r="AX144" s="35" t="s">
        <v>391</v>
      </c>
      <c r="AY144" s="41">
        <v>2.0</v>
      </c>
      <c r="AZ144" s="41">
        <v>4.0</v>
      </c>
      <c r="BA144" s="35" t="s">
        <v>391</v>
      </c>
      <c r="BB144" s="35" t="s">
        <v>429</v>
      </c>
      <c r="BC144" s="35" t="s">
        <v>391</v>
      </c>
      <c r="BD144" s="35" t="s">
        <v>4021</v>
      </c>
      <c r="BE144" s="35" t="s">
        <v>4022</v>
      </c>
      <c r="BF144" s="35" t="s">
        <v>432</v>
      </c>
      <c r="BG144" s="35" t="s">
        <v>433</v>
      </c>
      <c r="BH144" s="35" t="s">
        <v>765</v>
      </c>
      <c r="BJ144" s="35" t="s">
        <v>509</v>
      </c>
      <c r="BL144" s="35" t="s">
        <v>681</v>
      </c>
      <c r="BM144" s="35" t="s">
        <v>512</v>
      </c>
      <c r="BN144" s="35" t="s">
        <v>1247</v>
      </c>
      <c r="BO144" s="35" t="s">
        <v>513</v>
      </c>
      <c r="CM144" s="35" t="s">
        <v>441</v>
      </c>
      <c r="CN144" s="35" t="s">
        <v>442</v>
      </c>
      <c r="CO144" s="35" t="s">
        <v>552</v>
      </c>
      <c r="CQ144" s="35" t="s">
        <v>685</v>
      </c>
      <c r="CR144" s="35" t="s">
        <v>4023</v>
      </c>
      <c r="CS144" s="35" t="s">
        <v>447</v>
      </c>
      <c r="CT144" s="35" t="s">
        <v>4024</v>
      </c>
      <c r="CU144" s="35" t="s">
        <v>4025</v>
      </c>
      <c r="CV144" s="35" t="s">
        <v>519</v>
      </c>
      <c r="CW144" s="35" t="s">
        <v>451</v>
      </c>
      <c r="CY144" s="35" t="s">
        <v>408</v>
      </c>
      <c r="DA144" s="35" t="s">
        <v>453</v>
      </c>
      <c r="DC144" s="35" t="s">
        <v>455</v>
      </c>
      <c r="DD144" s="35" t="s">
        <v>1866</v>
      </c>
      <c r="DE144" s="35" t="s">
        <v>988</v>
      </c>
      <c r="DG144" s="35" t="s">
        <v>4026</v>
      </c>
      <c r="DH144" s="35" t="s">
        <v>524</v>
      </c>
      <c r="DI144" s="35" t="s">
        <v>410</v>
      </c>
      <c r="DJ144" s="35" t="s">
        <v>963</v>
      </c>
      <c r="DK144" s="35" t="s">
        <v>562</v>
      </c>
      <c r="DL144" s="35" t="s">
        <v>563</v>
      </c>
      <c r="DM144" s="35" t="s">
        <v>4027</v>
      </c>
      <c r="EU144" s="35" t="s">
        <v>578</v>
      </c>
      <c r="EV144" s="35" t="s">
        <v>887</v>
      </c>
      <c r="EW144" s="35" t="s">
        <v>580</v>
      </c>
      <c r="FA144" s="35" t="s">
        <v>416</v>
      </c>
      <c r="FB144" s="35" t="s">
        <v>415</v>
      </c>
      <c r="FC144" s="35" t="s">
        <v>413</v>
      </c>
      <c r="FD144" s="35" t="s">
        <v>413</v>
      </c>
      <c r="FE144" s="35" t="s">
        <v>413</v>
      </c>
      <c r="FF144" s="35" t="s">
        <v>416</v>
      </c>
      <c r="FG144" s="35" t="s">
        <v>413</v>
      </c>
      <c r="FH144" s="35" t="s">
        <v>413</v>
      </c>
      <c r="FI144" s="35" t="s">
        <v>415</v>
      </c>
      <c r="FJ144" s="35" t="s">
        <v>415</v>
      </c>
      <c r="FK144" s="35" t="s">
        <v>415</v>
      </c>
      <c r="FL144" s="35" t="s">
        <v>413</v>
      </c>
      <c r="FM144" s="35" t="s">
        <v>415</v>
      </c>
      <c r="FN144" s="35" t="s">
        <v>413</v>
      </c>
      <c r="FO144" s="35" t="s">
        <v>583</v>
      </c>
      <c r="FP144" s="35" t="s">
        <v>485</v>
      </c>
      <c r="FQ144" s="35" t="s">
        <v>418</v>
      </c>
      <c r="FR144" s="35" t="s">
        <v>712</v>
      </c>
      <c r="FT144" s="35" t="s">
        <v>420</v>
      </c>
      <c r="FU144" s="35" t="s">
        <v>488</v>
      </c>
      <c r="FV144" s="35" t="s">
        <v>918</v>
      </c>
      <c r="FW144" s="35" t="s">
        <v>490</v>
      </c>
      <c r="FX144" s="35" t="s">
        <v>491</v>
      </c>
      <c r="FY144" s="35" t="s">
        <v>4028</v>
      </c>
      <c r="FZ144" s="35" t="s">
        <v>535</v>
      </c>
      <c r="GC144" s="35" t="s">
        <v>455</v>
      </c>
      <c r="GD144" s="35" t="s">
        <v>11261</v>
      </c>
      <c r="GF144" s="35" t="s">
        <v>855</v>
      </c>
      <c r="GH144" s="35" t="s">
        <v>1000</v>
      </c>
      <c r="GI144" s="35" t="s">
        <v>1000</v>
      </c>
      <c r="GJ144" s="35" t="s">
        <v>756</v>
      </c>
      <c r="GR144" s="35" t="s">
        <v>3273</v>
      </c>
    </row>
    <row r="145">
      <c r="A145" s="40"/>
      <c r="B145" s="40">
        <v>45833.09466783565</v>
      </c>
      <c r="C145" s="35" t="s">
        <v>368</v>
      </c>
      <c r="D145" s="35" t="s">
        <v>1201</v>
      </c>
      <c r="E145" s="35" t="s">
        <v>1201</v>
      </c>
      <c r="H145" s="35" t="s">
        <v>422</v>
      </c>
      <c r="I145" s="35" t="s">
        <v>637</v>
      </c>
      <c r="J145" s="35" t="s">
        <v>638</v>
      </c>
      <c r="K145" s="35" t="s">
        <v>590</v>
      </c>
      <c r="L145" s="35" t="s">
        <v>376</v>
      </c>
      <c r="M145" s="35" t="s">
        <v>379</v>
      </c>
      <c r="N145" s="35" t="s">
        <v>720</v>
      </c>
      <c r="O145" s="35" t="s">
        <v>591</v>
      </c>
      <c r="P145" s="35" t="s">
        <v>639</v>
      </c>
      <c r="Q145" s="35" t="s">
        <v>381</v>
      </c>
      <c r="R145" s="35" t="s">
        <v>862</v>
      </c>
      <c r="S145" s="35" t="s">
        <v>1901</v>
      </c>
      <c r="T145" s="35" t="s">
        <v>384</v>
      </c>
      <c r="U145" s="35" t="s">
        <v>385</v>
      </c>
      <c r="X145" s="35" t="s">
        <v>3014</v>
      </c>
      <c r="AW145" s="35" t="s">
        <v>1310</v>
      </c>
      <c r="AX145" s="35" t="s">
        <v>391</v>
      </c>
      <c r="AY145" s="35" t="s">
        <v>391</v>
      </c>
      <c r="AZ145" s="41">
        <v>4.0</v>
      </c>
      <c r="BA145" s="35" t="s">
        <v>391</v>
      </c>
      <c r="BB145" s="35" t="s">
        <v>391</v>
      </c>
      <c r="BC145" s="35" t="s">
        <v>391</v>
      </c>
      <c r="BD145" s="35" t="s">
        <v>4049</v>
      </c>
      <c r="BE145" s="35" t="s">
        <v>4050</v>
      </c>
      <c r="BF145" s="35" t="s">
        <v>392</v>
      </c>
      <c r="BG145" s="35" t="s">
        <v>393</v>
      </c>
      <c r="BH145" s="35" t="s">
        <v>725</v>
      </c>
      <c r="BI145" s="35" t="s">
        <v>4051</v>
      </c>
      <c r="BJ145" s="35" t="s">
        <v>727</v>
      </c>
      <c r="BL145" s="35" t="s">
        <v>681</v>
      </c>
      <c r="BM145" s="35" t="s">
        <v>603</v>
      </c>
      <c r="BN145" s="35" t="s">
        <v>1247</v>
      </c>
      <c r="BO145" s="35" t="s">
        <v>513</v>
      </c>
      <c r="CM145" s="35" t="s">
        <v>953</v>
      </c>
      <c r="CN145" s="35" t="s">
        <v>401</v>
      </c>
      <c r="CO145" s="35" t="s">
        <v>4052</v>
      </c>
      <c r="CP145" s="35" t="s">
        <v>4053</v>
      </c>
      <c r="CR145" s="35" t="s">
        <v>4054</v>
      </c>
      <c r="CS145" s="35" t="s">
        <v>804</v>
      </c>
      <c r="CU145" s="35" t="s">
        <v>4055</v>
      </c>
      <c r="CV145" s="35" t="s">
        <v>1961</v>
      </c>
      <c r="CW145" s="35" t="s">
        <v>959</v>
      </c>
      <c r="CY145" s="35" t="s">
        <v>408</v>
      </c>
      <c r="DC145" s="35" t="s">
        <v>408</v>
      </c>
      <c r="DE145" s="35" t="s">
        <v>1400</v>
      </c>
      <c r="DG145" s="35" t="s">
        <v>4056</v>
      </c>
      <c r="DH145" s="35" t="s">
        <v>693</v>
      </c>
      <c r="DI145" s="35" t="s">
        <v>410</v>
      </c>
      <c r="DJ145" s="35" t="s">
        <v>963</v>
      </c>
      <c r="DK145" s="35" t="s">
        <v>460</v>
      </c>
      <c r="DL145" s="35" t="s">
        <v>563</v>
      </c>
      <c r="DM145" s="35" t="s">
        <v>4057</v>
      </c>
      <c r="EU145" s="35" t="s">
        <v>578</v>
      </c>
      <c r="EV145" s="35" t="s">
        <v>579</v>
      </c>
      <c r="EW145" s="35" t="s">
        <v>1534</v>
      </c>
      <c r="EX145" s="35" t="s">
        <v>4058</v>
      </c>
      <c r="EY145" s="35" t="s">
        <v>4059</v>
      </c>
      <c r="EZ145" s="35" t="s">
        <v>4060</v>
      </c>
      <c r="FA145" s="35" t="s">
        <v>415</v>
      </c>
      <c r="FB145" s="35" t="s">
        <v>414</v>
      </c>
      <c r="FC145" s="35" t="s">
        <v>416</v>
      </c>
      <c r="FD145" s="35" t="s">
        <v>414</v>
      </c>
      <c r="FE145" s="35" t="s">
        <v>415</v>
      </c>
      <c r="FF145" s="35" t="s">
        <v>414</v>
      </c>
      <c r="FG145" s="35" t="s">
        <v>415</v>
      </c>
      <c r="FH145" s="35" t="s">
        <v>415</v>
      </c>
      <c r="FI145" s="35" t="s">
        <v>414</v>
      </c>
      <c r="FJ145" s="35" t="s">
        <v>415</v>
      </c>
      <c r="FK145" s="35" t="s">
        <v>415</v>
      </c>
      <c r="FL145" s="35" t="s">
        <v>415</v>
      </c>
      <c r="FM145" s="35" t="s">
        <v>415</v>
      </c>
      <c r="FN145" s="35" t="s">
        <v>415</v>
      </c>
      <c r="FO145" s="35" t="s">
        <v>414</v>
      </c>
      <c r="FP145" s="35" t="s">
        <v>1074</v>
      </c>
      <c r="FQ145" s="35" t="s">
        <v>486</v>
      </c>
      <c r="FR145" s="35" t="s">
        <v>749</v>
      </c>
      <c r="FS145" s="35" t="s">
        <v>4061</v>
      </c>
      <c r="FT145" s="35" t="s">
        <v>1871</v>
      </c>
      <c r="FU145" s="35" t="s">
        <v>1462</v>
      </c>
      <c r="FV145" s="35" t="s">
        <v>1235</v>
      </c>
      <c r="FW145" s="35" t="s">
        <v>2136</v>
      </c>
      <c r="FX145" s="35" t="s">
        <v>491</v>
      </c>
      <c r="FY145" s="35" t="s">
        <v>4062</v>
      </c>
      <c r="FZ145" s="35" t="s">
        <v>1020</v>
      </c>
      <c r="GA145" s="35" t="s">
        <v>4063</v>
      </c>
      <c r="GB145" s="35" t="s">
        <v>11262</v>
      </c>
      <c r="GC145" s="35" t="s">
        <v>455</v>
      </c>
      <c r="GD145" s="35" t="s">
        <v>11263</v>
      </c>
      <c r="GE145" s="35" t="s">
        <v>11264</v>
      </c>
      <c r="GF145" s="35" t="s">
        <v>1339</v>
      </c>
      <c r="GG145" s="35" t="s">
        <v>4065</v>
      </c>
      <c r="GH145" s="35" t="s">
        <v>857</v>
      </c>
      <c r="GI145" s="35" t="s">
        <v>857</v>
      </c>
      <c r="GJ145" s="35" t="s">
        <v>790</v>
      </c>
      <c r="GR145" s="35" t="s">
        <v>3351</v>
      </c>
    </row>
    <row r="146">
      <c r="A146" s="40"/>
      <c r="B146" s="40">
        <v>45833.43214159722</v>
      </c>
      <c r="C146" s="35" t="s">
        <v>368</v>
      </c>
      <c r="D146" s="35" t="s">
        <v>370</v>
      </c>
      <c r="F146" s="35" t="s">
        <v>4114</v>
      </c>
      <c r="H146" s="35" t="s">
        <v>4115</v>
      </c>
      <c r="I146" s="35" t="s">
        <v>1203</v>
      </c>
      <c r="J146" s="35" t="s">
        <v>638</v>
      </c>
      <c r="K146" s="35" t="s">
        <v>1204</v>
      </c>
      <c r="L146" s="35" t="s">
        <v>376</v>
      </c>
      <c r="M146" s="35" t="s">
        <v>379</v>
      </c>
      <c r="N146" s="35" t="s">
        <v>378</v>
      </c>
      <c r="O146" s="35" t="s">
        <v>1526</v>
      </c>
      <c r="P146" s="35" t="s">
        <v>4116</v>
      </c>
      <c r="Q146" s="35" t="s">
        <v>381</v>
      </c>
      <c r="R146" s="35" t="s">
        <v>1156</v>
      </c>
      <c r="S146" s="35" t="s">
        <v>4117</v>
      </c>
      <c r="T146" s="35" t="s">
        <v>4118</v>
      </c>
      <c r="U146" s="35" t="s">
        <v>385</v>
      </c>
      <c r="X146" s="35" t="s">
        <v>593</v>
      </c>
      <c r="Y146" s="35" t="s">
        <v>387</v>
      </c>
      <c r="Z146" s="35" t="s">
        <v>897</v>
      </c>
      <c r="AA146" s="35" t="s">
        <v>502</v>
      </c>
      <c r="AB146" s="35" t="s">
        <v>4119</v>
      </c>
      <c r="AC146" s="35" t="s">
        <v>4120</v>
      </c>
      <c r="AW146" s="35" t="s">
        <v>504</v>
      </c>
      <c r="AX146" s="41">
        <v>2.0</v>
      </c>
      <c r="AY146" s="35" t="s">
        <v>429</v>
      </c>
      <c r="AZ146" s="35" t="s">
        <v>429</v>
      </c>
      <c r="BA146" s="41">
        <v>2.0</v>
      </c>
      <c r="BB146" s="41">
        <v>2.0</v>
      </c>
      <c r="BC146" s="35" t="s">
        <v>429</v>
      </c>
      <c r="BD146" s="35" t="s">
        <v>4121</v>
      </c>
      <c r="BE146" s="35" t="s">
        <v>11265</v>
      </c>
      <c r="BF146" s="35" t="s">
        <v>432</v>
      </c>
      <c r="BG146" s="35" t="s">
        <v>433</v>
      </c>
      <c r="BH146" s="35" t="s">
        <v>394</v>
      </c>
      <c r="BI146" s="35" t="s">
        <v>4123</v>
      </c>
      <c r="BJ146" s="35" t="s">
        <v>509</v>
      </c>
      <c r="BL146" s="35" t="s">
        <v>681</v>
      </c>
      <c r="BM146" s="35" t="s">
        <v>512</v>
      </c>
      <c r="BN146" s="35" t="s">
        <v>439</v>
      </c>
      <c r="BO146" s="35" t="s">
        <v>513</v>
      </c>
      <c r="CM146" s="35" t="s">
        <v>441</v>
      </c>
      <c r="CN146" s="35" t="s">
        <v>442</v>
      </c>
      <c r="CO146" s="35" t="s">
        <v>4124</v>
      </c>
      <c r="CP146" s="35" t="s">
        <v>11266</v>
      </c>
      <c r="CQ146" s="35" t="s">
        <v>445</v>
      </c>
      <c r="CR146" s="35" t="s">
        <v>4126</v>
      </c>
      <c r="CS146" s="35" t="s">
        <v>447</v>
      </c>
      <c r="CT146" s="35" t="s">
        <v>4127</v>
      </c>
      <c r="CU146" s="35" t="s">
        <v>4128</v>
      </c>
      <c r="CV146" s="35" t="s">
        <v>519</v>
      </c>
      <c r="CW146" s="35" t="s">
        <v>451</v>
      </c>
      <c r="CX146" s="35" t="s">
        <v>4129</v>
      </c>
      <c r="CY146" s="35" t="s">
        <v>733</v>
      </c>
      <c r="DA146" s="35" t="s">
        <v>453</v>
      </c>
      <c r="DB146" s="35" t="s">
        <v>4130</v>
      </c>
      <c r="DC146" s="35" t="s">
        <v>455</v>
      </c>
      <c r="DD146" s="35" t="s">
        <v>11267</v>
      </c>
      <c r="DE146" s="35" t="s">
        <v>988</v>
      </c>
      <c r="DF146" s="35" t="s">
        <v>407</v>
      </c>
      <c r="DH146" s="35" t="s">
        <v>524</v>
      </c>
      <c r="DI146" s="35" t="s">
        <v>410</v>
      </c>
      <c r="DJ146" s="35" t="s">
        <v>459</v>
      </c>
      <c r="DK146" s="35" t="s">
        <v>562</v>
      </c>
      <c r="DL146" s="35" t="s">
        <v>461</v>
      </c>
      <c r="EU146" s="35" t="s">
        <v>478</v>
      </c>
      <c r="EV146" s="35" t="s">
        <v>479</v>
      </c>
      <c r="EW146" s="35" t="s">
        <v>527</v>
      </c>
      <c r="EX146" s="35" t="s">
        <v>4132</v>
      </c>
      <c r="EY146" s="35" t="s">
        <v>4133</v>
      </c>
      <c r="EZ146" s="35" t="s">
        <v>4134</v>
      </c>
      <c r="FA146" s="35" t="s">
        <v>414</v>
      </c>
      <c r="FB146" s="35" t="s">
        <v>414</v>
      </c>
      <c r="FC146" s="35" t="s">
        <v>583</v>
      </c>
      <c r="FD146" s="35" t="s">
        <v>583</v>
      </c>
      <c r="FE146" s="35" t="s">
        <v>414</v>
      </c>
      <c r="FF146" s="35" t="s">
        <v>583</v>
      </c>
      <c r="FG146" s="35" t="s">
        <v>583</v>
      </c>
      <c r="FH146" s="35" t="s">
        <v>416</v>
      </c>
      <c r="FI146" s="35" t="s">
        <v>414</v>
      </c>
      <c r="FJ146" s="35" t="s">
        <v>583</v>
      </c>
      <c r="FK146" s="35" t="s">
        <v>414</v>
      </c>
      <c r="FL146" s="35" t="s">
        <v>414</v>
      </c>
      <c r="FM146" s="35" t="s">
        <v>416</v>
      </c>
      <c r="FN146" s="35" t="s">
        <v>413</v>
      </c>
      <c r="FO146" s="35" t="s">
        <v>583</v>
      </c>
      <c r="FP146" s="35" t="s">
        <v>417</v>
      </c>
      <c r="FQ146" s="35" t="s">
        <v>418</v>
      </c>
      <c r="FR146" s="35" t="s">
        <v>749</v>
      </c>
      <c r="FS146" s="35" t="s">
        <v>4135</v>
      </c>
      <c r="FT146" s="35" t="s">
        <v>420</v>
      </c>
      <c r="FU146" s="35" t="s">
        <v>488</v>
      </c>
      <c r="FV146" s="35" t="s">
        <v>533</v>
      </c>
      <c r="FW146" s="35" t="s">
        <v>490</v>
      </c>
      <c r="FX146" s="35" t="s">
        <v>491</v>
      </c>
      <c r="FY146" s="35" t="s">
        <v>733</v>
      </c>
      <c r="FZ146" s="35" t="s">
        <v>535</v>
      </c>
      <c r="GA146" s="35" t="s">
        <v>11268</v>
      </c>
      <c r="GB146" s="35" t="s">
        <v>4137</v>
      </c>
      <c r="GC146" s="35" t="s">
        <v>408</v>
      </c>
      <c r="GH146" s="35" t="s">
        <v>755</v>
      </c>
      <c r="GI146" s="35" t="s">
        <v>755</v>
      </c>
      <c r="GJ146" s="35" t="s">
        <v>946</v>
      </c>
      <c r="GR146" s="35" t="s">
        <v>3208</v>
      </c>
    </row>
    <row r="147">
      <c r="A147" s="40"/>
      <c r="B147" s="40">
        <v>45833.572022002314</v>
      </c>
      <c r="C147" s="35" t="s">
        <v>368</v>
      </c>
      <c r="D147" s="35" t="s">
        <v>894</v>
      </c>
      <c r="E147" s="35" t="s">
        <v>894</v>
      </c>
      <c r="H147" s="35" t="s">
        <v>422</v>
      </c>
      <c r="I147" s="35" t="s">
        <v>373</v>
      </c>
      <c r="J147" s="35" t="s">
        <v>374</v>
      </c>
      <c r="K147" s="35" t="s">
        <v>540</v>
      </c>
      <c r="L147" s="35" t="s">
        <v>376</v>
      </c>
      <c r="M147" s="35" t="s">
        <v>426</v>
      </c>
      <c r="N147" s="35" t="s">
        <v>720</v>
      </c>
      <c r="O147" s="35" t="s">
        <v>591</v>
      </c>
      <c r="P147" s="35" t="s">
        <v>719</v>
      </c>
      <c r="Q147" s="35" t="s">
        <v>592</v>
      </c>
      <c r="R147" s="35" t="s">
        <v>382</v>
      </c>
      <c r="S147" s="35" t="s">
        <v>427</v>
      </c>
      <c r="T147" s="35" t="s">
        <v>384</v>
      </c>
      <c r="U147" s="35" t="s">
        <v>385</v>
      </c>
      <c r="V147" s="35" t="s">
        <v>896</v>
      </c>
      <c r="W147" s="35" t="s">
        <v>896</v>
      </c>
      <c r="X147" s="35" t="s">
        <v>3231</v>
      </c>
      <c r="AW147" s="35" t="s">
        <v>1310</v>
      </c>
      <c r="AX147" s="35" t="s">
        <v>675</v>
      </c>
      <c r="AY147" s="41">
        <v>4.0</v>
      </c>
      <c r="AZ147" s="41">
        <v>4.0</v>
      </c>
      <c r="BA147" s="41">
        <v>4.0</v>
      </c>
      <c r="BB147" s="35" t="s">
        <v>429</v>
      </c>
      <c r="BC147" s="41">
        <v>4.0</v>
      </c>
      <c r="BD147" s="35" t="s">
        <v>4138</v>
      </c>
      <c r="BE147" s="35" t="s">
        <v>4139</v>
      </c>
      <c r="BF147" s="35" t="s">
        <v>432</v>
      </c>
      <c r="BG147" s="35" t="s">
        <v>1095</v>
      </c>
      <c r="BH147" s="35" t="s">
        <v>765</v>
      </c>
      <c r="BI147" s="35" t="s">
        <v>4140</v>
      </c>
      <c r="BJ147" s="35" t="s">
        <v>435</v>
      </c>
      <c r="BK147" s="35" t="s">
        <v>4141</v>
      </c>
      <c r="BL147" s="35" t="s">
        <v>437</v>
      </c>
      <c r="BM147" s="35" t="s">
        <v>603</v>
      </c>
      <c r="BN147" s="35" t="s">
        <v>1247</v>
      </c>
      <c r="BO147" s="35" t="s">
        <v>513</v>
      </c>
      <c r="CM147" s="35" t="s">
        <v>441</v>
      </c>
      <c r="CN147" s="35" t="s">
        <v>604</v>
      </c>
      <c r="CO147" s="35" t="s">
        <v>4142</v>
      </c>
      <c r="CP147" s="35" t="s">
        <v>4143</v>
      </c>
      <c r="CQ147" s="35" t="s">
        <v>445</v>
      </c>
      <c r="CR147" s="35" t="s">
        <v>4144</v>
      </c>
      <c r="CS147" s="35" t="s">
        <v>404</v>
      </c>
      <c r="CT147" s="35" t="s">
        <v>4145</v>
      </c>
      <c r="CU147" s="35" t="s">
        <v>4146</v>
      </c>
      <c r="CV147" s="35" t="s">
        <v>519</v>
      </c>
      <c r="CW147" s="35" t="s">
        <v>409</v>
      </c>
      <c r="CX147" s="35" t="s">
        <v>4147</v>
      </c>
      <c r="CY147" s="35" t="s">
        <v>408</v>
      </c>
      <c r="CZ147" s="35" t="s">
        <v>4148</v>
      </c>
      <c r="DA147" s="35" t="s">
        <v>985</v>
      </c>
      <c r="DB147" s="35" t="s">
        <v>4149</v>
      </c>
      <c r="DC147" s="35" t="s">
        <v>408</v>
      </c>
      <c r="DD147" s="35" t="s">
        <v>4148</v>
      </c>
      <c r="DE147" s="35" t="s">
        <v>406</v>
      </c>
      <c r="DF147" s="35" t="s">
        <v>407</v>
      </c>
      <c r="DG147" s="35" t="s">
        <v>4150</v>
      </c>
      <c r="DH147" s="35" t="s">
        <v>776</v>
      </c>
      <c r="DI147" s="35" t="s">
        <v>410</v>
      </c>
      <c r="DJ147" s="35" t="s">
        <v>459</v>
      </c>
      <c r="DK147" s="35" t="s">
        <v>460</v>
      </c>
      <c r="DL147" s="35" t="s">
        <v>461</v>
      </c>
      <c r="EU147" s="35" t="s">
        <v>578</v>
      </c>
      <c r="EV147" s="35" t="s">
        <v>1127</v>
      </c>
      <c r="EW147" s="35" t="s">
        <v>527</v>
      </c>
      <c r="EX147" s="35" t="s">
        <v>11269</v>
      </c>
      <c r="EY147" s="35" t="s">
        <v>4152</v>
      </c>
      <c r="EZ147" s="35" t="s">
        <v>4153</v>
      </c>
      <c r="FA147" s="35" t="s">
        <v>414</v>
      </c>
      <c r="FB147" s="35" t="s">
        <v>583</v>
      </c>
      <c r="FC147" s="35" t="s">
        <v>416</v>
      </c>
      <c r="FD147" s="35" t="s">
        <v>414</v>
      </c>
      <c r="FE147" s="35" t="s">
        <v>416</v>
      </c>
      <c r="FF147" s="35" t="s">
        <v>583</v>
      </c>
      <c r="FG147" s="35" t="s">
        <v>414</v>
      </c>
      <c r="FH147" s="35" t="s">
        <v>415</v>
      </c>
      <c r="FI147" s="35" t="s">
        <v>414</v>
      </c>
      <c r="FJ147" s="35" t="s">
        <v>415</v>
      </c>
      <c r="FK147" s="35" t="s">
        <v>414</v>
      </c>
      <c r="FL147" s="35" t="s">
        <v>414</v>
      </c>
      <c r="FM147" s="35" t="s">
        <v>414</v>
      </c>
      <c r="FN147" s="35" t="s">
        <v>416</v>
      </c>
      <c r="FO147" s="35" t="s">
        <v>414</v>
      </c>
      <c r="FP147" s="35" t="s">
        <v>1074</v>
      </c>
      <c r="FQ147" s="35" t="s">
        <v>486</v>
      </c>
      <c r="FR147" s="35" t="s">
        <v>419</v>
      </c>
      <c r="FS147" s="35" t="s">
        <v>4154</v>
      </c>
      <c r="FT147" s="35" t="s">
        <v>1076</v>
      </c>
      <c r="FU147" s="35" t="s">
        <v>1462</v>
      </c>
      <c r="FV147" s="35" t="s">
        <v>918</v>
      </c>
      <c r="FW147" s="35" t="s">
        <v>490</v>
      </c>
      <c r="FX147" s="35" t="s">
        <v>491</v>
      </c>
      <c r="FY147" s="35" t="s">
        <v>4155</v>
      </c>
      <c r="FZ147" s="35" t="s">
        <v>493</v>
      </c>
      <c r="GA147" s="35" t="s">
        <v>4156</v>
      </c>
      <c r="GB147" s="35" t="s">
        <v>4148</v>
      </c>
      <c r="GC147" s="35" t="s">
        <v>455</v>
      </c>
      <c r="GD147" s="35" t="s">
        <v>11270</v>
      </c>
      <c r="GF147" s="35" t="s">
        <v>753</v>
      </c>
      <c r="GG147" s="35" t="s">
        <v>4148</v>
      </c>
      <c r="GH147" s="35" t="s">
        <v>755</v>
      </c>
      <c r="GI147" s="35" t="s">
        <v>755</v>
      </c>
      <c r="GJ147" s="35" t="s">
        <v>946</v>
      </c>
      <c r="GQ147" s="35" t="s">
        <v>387</v>
      </c>
      <c r="GR147" s="35" t="s">
        <v>3273</v>
      </c>
    </row>
    <row r="148">
      <c r="A148" s="40"/>
      <c r="B148" s="40">
        <v>45833.822846944444</v>
      </c>
      <c r="C148" s="35" t="s">
        <v>368</v>
      </c>
      <c r="D148" s="35" t="s">
        <v>370</v>
      </c>
      <c r="F148" s="35" t="s">
        <v>4170</v>
      </c>
      <c r="H148" s="35" t="s">
        <v>422</v>
      </c>
      <c r="I148" s="35" t="s">
        <v>373</v>
      </c>
      <c r="J148" s="35" t="s">
        <v>1022</v>
      </c>
      <c r="K148" s="35" t="s">
        <v>590</v>
      </c>
      <c r="L148" s="35" t="s">
        <v>376</v>
      </c>
      <c r="M148" s="35" t="s">
        <v>379</v>
      </c>
      <c r="N148" s="35" t="s">
        <v>378</v>
      </c>
      <c r="O148" s="35" t="s">
        <v>1526</v>
      </c>
      <c r="P148" s="35" t="s">
        <v>640</v>
      </c>
      <c r="Q148" s="35" t="s">
        <v>1760</v>
      </c>
      <c r="R148" s="35" t="s">
        <v>1156</v>
      </c>
      <c r="S148" s="35" t="s">
        <v>500</v>
      </c>
      <c r="T148" s="35" t="s">
        <v>384</v>
      </c>
      <c r="U148" s="35" t="s">
        <v>385</v>
      </c>
      <c r="X148" s="35" t="s">
        <v>593</v>
      </c>
      <c r="Y148" s="35" t="s">
        <v>387</v>
      </c>
      <c r="Z148" s="35" t="s">
        <v>4171</v>
      </c>
      <c r="AA148" s="35" t="s">
        <v>672</v>
      </c>
      <c r="AB148" s="35" t="s">
        <v>4172</v>
      </c>
      <c r="AC148" s="35" t="s">
        <v>4173</v>
      </c>
      <c r="AW148" s="35" t="s">
        <v>1242</v>
      </c>
      <c r="AX148" s="35" t="s">
        <v>675</v>
      </c>
      <c r="AY148" s="41">
        <v>4.0</v>
      </c>
      <c r="AZ148" s="35" t="s">
        <v>391</v>
      </c>
      <c r="BA148" s="35" t="s">
        <v>391</v>
      </c>
      <c r="BB148" s="41">
        <v>2.0</v>
      </c>
      <c r="BC148" s="35" t="s">
        <v>391</v>
      </c>
      <c r="BD148" s="35" t="s">
        <v>4174</v>
      </c>
      <c r="BE148" s="35" t="s">
        <v>4175</v>
      </c>
      <c r="BF148" s="35" t="s">
        <v>432</v>
      </c>
      <c r="BG148" s="35" t="s">
        <v>393</v>
      </c>
      <c r="BH148" s="35" t="s">
        <v>678</v>
      </c>
      <c r="BI148" s="35" t="s">
        <v>4176</v>
      </c>
      <c r="BJ148" s="35" t="s">
        <v>435</v>
      </c>
      <c r="BK148" s="35" t="s">
        <v>4177</v>
      </c>
      <c r="BL148" s="35" t="s">
        <v>437</v>
      </c>
      <c r="BM148" s="35" t="s">
        <v>438</v>
      </c>
      <c r="BN148" s="35" t="s">
        <v>1314</v>
      </c>
      <c r="BO148" s="35" t="s">
        <v>513</v>
      </c>
      <c r="CM148" s="35" t="s">
        <v>441</v>
      </c>
      <c r="CN148" s="35" t="s">
        <v>604</v>
      </c>
      <c r="CO148" s="35" t="s">
        <v>4178</v>
      </c>
      <c r="CP148" s="35" t="s">
        <v>4179</v>
      </c>
      <c r="CQ148" s="35" t="s">
        <v>685</v>
      </c>
      <c r="CR148" s="35" t="s">
        <v>4180</v>
      </c>
      <c r="CS148" s="35" t="s">
        <v>447</v>
      </c>
      <c r="CT148" s="35" t="s">
        <v>4181</v>
      </c>
      <c r="CU148" s="35" t="s">
        <v>4182</v>
      </c>
      <c r="CV148" s="35" t="s">
        <v>450</v>
      </c>
      <c r="CW148" s="35" t="s">
        <v>451</v>
      </c>
      <c r="CX148" s="35" t="s">
        <v>4183</v>
      </c>
      <c r="CY148" s="35" t="s">
        <v>408</v>
      </c>
      <c r="DA148" s="35" t="s">
        <v>453</v>
      </c>
      <c r="DB148" s="35" t="s">
        <v>4184</v>
      </c>
      <c r="DC148" s="35" t="s">
        <v>455</v>
      </c>
      <c r="DD148" s="35" t="s">
        <v>4185</v>
      </c>
      <c r="DE148" s="35" t="s">
        <v>457</v>
      </c>
      <c r="DH148" s="35" t="s">
        <v>776</v>
      </c>
      <c r="DI148" s="35" t="s">
        <v>410</v>
      </c>
      <c r="DJ148" s="35" t="s">
        <v>459</v>
      </c>
      <c r="DK148" s="35" t="s">
        <v>613</v>
      </c>
      <c r="EU148" s="35" t="s">
        <v>578</v>
      </c>
      <c r="EV148" s="35" t="s">
        <v>479</v>
      </c>
      <c r="EW148" s="35" t="s">
        <v>778</v>
      </c>
      <c r="EX148" s="35" t="s">
        <v>4186</v>
      </c>
      <c r="EY148" s="35" t="s">
        <v>4187</v>
      </c>
      <c r="EZ148" s="35" t="s">
        <v>4188</v>
      </c>
      <c r="FA148" s="35" t="s">
        <v>414</v>
      </c>
      <c r="FB148" s="35" t="s">
        <v>414</v>
      </c>
      <c r="FC148" s="35" t="s">
        <v>583</v>
      </c>
      <c r="FD148" s="35" t="s">
        <v>583</v>
      </c>
      <c r="FE148" s="35" t="s">
        <v>413</v>
      </c>
      <c r="FF148" s="35" t="s">
        <v>414</v>
      </c>
      <c r="FG148" s="35" t="s">
        <v>484</v>
      </c>
      <c r="FH148" s="35" t="s">
        <v>583</v>
      </c>
      <c r="FI148" s="35" t="s">
        <v>413</v>
      </c>
      <c r="FJ148" s="35" t="s">
        <v>583</v>
      </c>
      <c r="FK148" s="35" t="s">
        <v>583</v>
      </c>
      <c r="FL148" s="35" t="s">
        <v>583</v>
      </c>
      <c r="FM148" s="35" t="s">
        <v>583</v>
      </c>
      <c r="FN148" s="35" t="s">
        <v>415</v>
      </c>
      <c r="FO148" s="35" t="s">
        <v>415</v>
      </c>
      <c r="FP148" s="35" t="s">
        <v>417</v>
      </c>
      <c r="FQ148" s="35" t="s">
        <v>418</v>
      </c>
      <c r="FR148" s="35" t="s">
        <v>712</v>
      </c>
      <c r="FS148" s="35" t="s">
        <v>4189</v>
      </c>
      <c r="FT148" s="35" t="s">
        <v>995</v>
      </c>
      <c r="FU148" s="35" t="s">
        <v>1462</v>
      </c>
      <c r="FV148" s="35" t="s">
        <v>533</v>
      </c>
      <c r="FW148" s="35" t="s">
        <v>490</v>
      </c>
      <c r="FX148" s="35" t="s">
        <v>491</v>
      </c>
      <c r="FY148" s="35" t="s">
        <v>4190</v>
      </c>
      <c r="FZ148" s="35" t="s">
        <v>535</v>
      </c>
      <c r="GA148" s="35" t="s">
        <v>4191</v>
      </c>
      <c r="GB148" s="35" t="s">
        <v>4192</v>
      </c>
      <c r="GC148" s="35" t="s">
        <v>455</v>
      </c>
      <c r="GD148" s="35" t="s">
        <v>11271</v>
      </c>
      <c r="GE148" s="35" t="s">
        <v>11272</v>
      </c>
      <c r="GF148" s="35" t="s">
        <v>1339</v>
      </c>
      <c r="GG148" s="35" t="s">
        <v>4193</v>
      </c>
      <c r="GH148" s="35" t="s">
        <v>788</v>
      </c>
      <c r="GI148" s="35" t="s">
        <v>788</v>
      </c>
      <c r="GJ148" s="35" t="s">
        <v>858</v>
      </c>
      <c r="GR148" s="35" t="s">
        <v>4194</v>
      </c>
    </row>
    <row r="149">
      <c r="A149" s="40"/>
      <c r="B149" s="40">
        <v>45833.88627903935</v>
      </c>
      <c r="C149" s="35" t="s">
        <v>368</v>
      </c>
      <c r="D149" s="35" t="s">
        <v>370</v>
      </c>
      <c r="F149" s="35" t="s">
        <v>371</v>
      </c>
      <c r="H149" s="35" t="s">
        <v>422</v>
      </c>
      <c r="I149" s="35" t="s">
        <v>496</v>
      </c>
      <c r="J149" s="35" t="s">
        <v>374</v>
      </c>
      <c r="K149" s="35" t="s">
        <v>718</v>
      </c>
      <c r="L149" s="35" t="s">
        <v>376</v>
      </c>
      <c r="M149" s="35" t="s">
        <v>793</v>
      </c>
      <c r="N149" s="35" t="s">
        <v>4195</v>
      </c>
      <c r="O149" s="35" t="s">
        <v>793</v>
      </c>
      <c r="P149" s="35" t="s">
        <v>1511</v>
      </c>
      <c r="Q149" s="35" t="s">
        <v>592</v>
      </c>
      <c r="R149" s="35" t="s">
        <v>862</v>
      </c>
      <c r="S149" s="35" t="s">
        <v>500</v>
      </c>
      <c r="T149" s="35" t="s">
        <v>384</v>
      </c>
      <c r="U149" s="35" t="s">
        <v>385</v>
      </c>
      <c r="X149" s="35" t="s">
        <v>593</v>
      </c>
      <c r="Y149" s="35" t="s">
        <v>387</v>
      </c>
      <c r="Z149" s="35" t="s">
        <v>388</v>
      </c>
      <c r="AA149" s="35" t="s">
        <v>543</v>
      </c>
      <c r="AB149" s="35" t="s">
        <v>4196</v>
      </c>
      <c r="AC149" s="35" t="s">
        <v>4197</v>
      </c>
      <c r="AW149" s="35" t="s">
        <v>1310</v>
      </c>
      <c r="AX149" s="41">
        <v>4.0</v>
      </c>
      <c r="AY149" s="35" t="s">
        <v>391</v>
      </c>
      <c r="AZ149" s="35" t="s">
        <v>391</v>
      </c>
      <c r="BA149" s="41">
        <v>2.0</v>
      </c>
      <c r="BB149" s="41">
        <v>2.0</v>
      </c>
      <c r="BC149" s="35" t="s">
        <v>391</v>
      </c>
      <c r="BD149" s="35" t="s">
        <v>4198</v>
      </c>
      <c r="BE149" s="35" t="s">
        <v>4199</v>
      </c>
      <c r="BF149" s="35" t="s">
        <v>432</v>
      </c>
      <c r="BG149" s="35" t="s">
        <v>1095</v>
      </c>
      <c r="BH149" s="35" t="s">
        <v>678</v>
      </c>
      <c r="BI149" s="35" t="s">
        <v>4200</v>
      </c>
      <c r="BJ149" s="35" t="s">
        <v>976</v>
      </c>
      <c r="BK149" s="35" t="s">
        <v>4201</v>
      </c>
      <c r="BL149" s="35" t="s">
        <v>511</v>
      </c>
      <c r="BM149" s="35" t="s">
        <v>904</v>
      </c>
      <c r="BN149" s="35" t="s">
        <v>1247</v>
      </c>
      <c r="BO149" s="35" t="s">
        <v>513</v>
      </c>
      <c r="CM149" s="35" t="s">
        <v>441</v>
      </c>
      <c r="CN149" s="35" t="s">
        <v>682</v>
      </c>
      <c r="CO149" s="35" t="s">
        <v>4202</v>
      </c>
      <c r="CP149" s="35" t="s">
        <v>11273</v>
      </c>
      <c r="CQ149" s="35" t="s">
        <v>685</v>
      </c>
      <c r="CR149" s="35" t="s">
        <v>4204</v>
      </c>
      <c r="CS149" s="35" t="s">
        <v>447</v>
      </c>
      <c r="CT149" s="35" t="s">
        <v>4205</v>
      </c>
      <c r="CU149" s="35" t="s">
        <v>4206</v>
      </c>
      <c r="CV149" s="35" t="s">
        <v>519</v>
      </c>
      <c r="CW149" s="35" t="s">
        <v>451</v>
      </c>
      <c r="CX149" s="35" t="s">
        <v>4207</v>
      </c>
      <c r="CY149" s="35" t="s">
        <v>408</v>
      </c>
      <c r="DA149" s="35" t="s">
        <v>985</v>
      </c>
      <c r="DB149" s="35" t="s">
        <v>4208</v>
      </c>
      <c r="DC149" s="35" t="s">
        <v>408</v>
      </c>
      <c r="DE149" s="35" t="s">
        <v>988</v>
      </c>
      <c r="DG149" s="35" t="s">
        <v>4209</v>
      </c>
      <c r="DH149" s="35" t="s">
        <v>524</v>
      </c>
      <c r="DI149" s="35" t="s">
        <v>410</v>
      </c>
      <c r="DJ149" s="35" t="s">
        <v>459</v>
      </c>
      <c r="DK149" s="35" t="s">
        <v>460</v>
      </c>
      <c r="DL149" s="35" t="s">
        <v>461</v>
      </c>
      <c r="EU149" s="35" t="s">
        <v>478</v>
      </c>
      <c r="EV149" s="35" t="s">
        <v>887</v>
      </c>
      <c r="EW149" s="35" t="s">
        <v>480</v>
      </c>
      <c r="EY149" s="35" t="s">
        <v>4210</v>
      </c>
      <c r="FA149" s="35" t="s">
        <v>414</v>
      </c>
      <c r="FB149" s="35" t="s">
        <v>414</v>
      </c>
      <c r="FC149" s="35" t="s">
        <v>416</v>
      </c>
      <c r="FD149" s="35" t="s">
        <v>414</v>
      </c>
      <c r="FE149" s="35" t="s">
        <v>416</v>
      </c>
      <c r="FF149" s="35" t="s">
        <v>414</v>
      </c>
      <c r="FG149" s="35" t="s">
        <v>415</v>
      </c>
      <c r="FH149" s="35" t="s">
        <v>416</v>
      </c>
      <c r="FI149" s="35" t="s">
        <v>414</v>
      </c>
      <c r="FJ149" s="35" t="s">
        <v>414</v>
      </c>
      <c r="FK149" s="35" t="s">
        <v>414</v>
      </c>
      <c r="FL149" s="35" t="s">
        <v>415</v>
      </c>
      <c r="FM149" s="35" t="s">
        <v>414</v>
      </c>
      <c r="FN149" s="35" t="s">
        <v>413</v>
      </c>
      <c r="FO149" s="35" t="s">
        <v>414</v>
      </c>
      <c r="FP149" s="35" t="s">
        <v>485</v>
      </c>
      <c r="FQ149" s="35" t="s">
        <v>486</v>
      </c>
      <c r="FR149" s="35" t="s">
        <v>749</v>
      </c>
      <c r="FT149" s="35" t="s">
        <v>420</v>
      </c>
      <c r="FV149" s="35" t="s">
        <v>489</v>
      </c>
      <c r="FW149" s="35" t="s">
        <v>490</v>
      </c>
      <c r="FX149" s="35" t="s">
        <v>491</v>
      </c>
      <c r="FY149" s="35" t="s">
        <v>4211</v>
      </c>
      <c r="FZ149" s="35" t="s">
        <v>493</v>
      </c>
      <c r="GC149" s="35" t="s">
        <v>455</v>
      </c>
      <c r="GD149" s="35" t="s">
        <v>11274</v>
      </c>
      <c r="GF149" s="35" t="s">
        <v>1339</v>
      </c>
      <c r="GG149" s="35" t="s">
        <v>4212</v>
      </c>
      <c r="GH149" s="35" t="s">
        <v>920</v>
      </c>
      <c r="GJ149" s="35" t="s">
        <v>756</v>
      </c>
      <c r="GR149" s="35" t="s">
        <v>3208</v>
      </c>
    </row>
    <row r="150">
      <c r="A150" s="40"/>
      <c r="B150" s="40">
        <v>45834.08521821759</v>
      </c>
      <c r="C150" s="35" t="s">
        <v>368</v>
      </c>
      <c r="D150" s="35" t="s">
        <v>947</v>
      </c>
      <c r="E150" s="35" t="s">
        <v>947</v>
      </c>
      <c r="H150" s="35" t="s">
        <v>422</v>
      </c>
      <c r="I150" s="35" t="s">
        <v>423</v>
      </c>
      <c r="J150" s="35" t="s">
        <v>424</v>
      </c>
      <c r="K150" s="35" t="s">
        <v>718</v>
      </c>
      <c r="L150" s="35" t="s">
        <v>376</v>
      </c>
      <c r="M150" s="35" t="s">
        <v>379</v>
      </c>
      <c r="N150" s="35" t="s">
        <v>4213</v>
      </c>
      <c r="O150" s="35" t="s">
        <v>793</v>
      </c>
      <c r="P150" s="35" t="s">
        <v>380</v>
      </c>
      <c r="Q150" s="35" t="s">
        <v>498</v>
      </c>
      <c r="R150" s="35" t="s">
        <v>499</v>
      </c>
      <c r="S150" s="35" t="s">
        <v>949</v>
      </c>
      <c r="T150" s="35" t="s">
        <v>384</v>
      </c>
      <c r="U150" s="35" t="s">
        <v>385</v>
      </c>
      <c r="X150" s="35" t="s">
        <v>386</v>
      </c>
      <c r="Y150" s="35" t="s">
        <v>387</v>
      </c>
      <c r="Z150" s="35" t="s">
        <v>388</v>
      </c>
      <c r="AA150" s="35" t="s">
        <v>543</v>
      </c>
      <c r="AB150" s="35" t="s">
        <v>408</v>
      </c>
      <c r="AW150" s="35" t="s">
        <v>1310</v>
      </c>
      <c r="AX150" s="35" t="s">
        <v>391</v>
      </c>
      <c r="AY150" s="41">
        <v>2.0</v>
      </c>
      <c r="AZ150" s="41">
        <v>2.0</v>
      </c>
      <c r="BA150" s="35" t="s">
        <v>429</v>
      </c>
      <c r="BB150" s="35" t="s">
        <v>429</v>
      </c>
      <c r="BC150" s="41">
        <v>4.0</v>
      </c>
      <c r="BD150" s="35" t="s">
        <v>4214</v>
      </c>
      <c r="BE150" s="35" t="s">
        <v>4215</v>
      </c>
      <c r="BF150" s="35" t="s">
        <v>392</v>
      </c>
      <c r="BG150" s="35" t="s">
        <v>1047</v>
      </c>
      <c r="BH150" s="35" t="s">
        <v>434</v>
      </c>
      <c r="BJ150" s="35" t="s">
        <v>435</v>
      </c>
      <c r="BK150" s="35" t="s">
        <v>4216</v>
      </c>
      <c r="BL150" s="35" t="s">
        <v>437</v>
      </c>
      <c r="BM150" s="35" t="s">
        <v>438</v>
      </c>
      <c r="BN150" s="35" t="s">
        <v>1276</v>
      </c>
      <c r="BO150" s="35" t="s">
        <v>513</v>
      </c>
      <c r="CM150" s="35" t="s">
        <v>953</v>
      </c>
      <c r="CN150" s="35" t="s">
        <v>401</v>
      </c>
      <c r="CO150" s="35" t="s">
        <v>11275</v>
      </c>
      <c r="CP150" s="35" t="s">
        <v>552</v>
      </c>
      <c r="CQ150" s="35" t="s">
        <v>685</v>
      </c>
      <c r="CR150" s="35" t="s">
        <v>4218</v>
      </c>
      <c r="CS150" s="35" t="s">
        <v>804</v>
      </c>
      <c r="CT150" s="35" t="s">
        <v>4219</v>
      </c>
      <c r="CU150" s="35" t="s">
        <v>11276</v>
      </c>
      <c r="CV150" s="35" t="s">
        <v>1852</v>
      </c>
      <c r="CW150" s="35" t="s">
        <v>959</v>
      </c>
      <c r="CY150" s="35" t="s">
        <v>408</v>
      </c>
      <c r="DA150" s="35" t="s">
        <v>1398</v>
      </c>
      <c r="DB150" s="35" t="s">
        <v>11277</v>
      </c>
      <c r="DC150" s="35" t="s">
        <v>408</v>
      </c>
      <c r="DE150" s="35" t="s">
        <v>988</v>
      </c>
      <c r="DI150" s="35" t="s">
        <v>833</v>
      </c>
      <c r="DJ150" s="35" t="s">
        <v>459</v>
      </c>
      <c r="DK150" s="35" t="s">
        <v>613</v>
      </c>
      <c r="EU150" s="35" t="s">
        <v>478</v>
      </c>
      <c r="EV150" s="35" t="s">
        <v>579</v>
      </c>
      <c r="EW150" s="35" t="s">
        <v>480</v>
      </c>
      <c r="EY150" s="35" t="s">
        <v>11278</v>
      </c>
      <c r="EZ150" s="35" t="s">
        <v>4223</v>
      </c>
      <c r="FA150" s="35" t="s">
        <v>583</v>
      </c>
      <c r="FB150" s="35" t="s">
        <v>583</v>
      </c>
      <c r="FC150" s="35" t="s">
        <v>413</v>
      </c>
      <c r="FD150" s="35" t="s">
        <v>414</v>
      </c>
      <c r="FE150" s="35" t="s">
        <v>413</v>
      </c>
      <c r="FF150" s="35" t="s">
        <v>583</v>
      </c>
      <c r="FG150" s="35" t="s">
        <v>414</v>
      </c>
      <c r="FH150" s="35" t="s">
        <v>414</v>
      </c>
      <c r="FI150" s="35" t="s">
        <v>416</v>
      </c>
      <c r="FJ150" s="35" t="s">
        <v>413</v>
      </c>
      <c r="FK150" s="35" t="s">
        <v>583</v>
      </c>
      <c r="FL150" s="35" t="s">
        <v>415</v>
      </c>
      <c r="FM150" s="35" t="s">
        <v>415</v>
      </c>
      <c r="FN150" s="35" t="s">
        <v>415</v>
      </c>
      <c r="FO150" s="35" t="s">
        <v>415</v>
      </c>
      <c r="FP150" s="35" t="s">
        <v>1537</v>
      </c>
      <c r="FQ150" s="35" t="s">
        <v>418</v>
      </c>
      <c r="FR150" s="35" t="s">
        <v>419</v>
      </c>
      <c r="FS150" s="35" t="s">
        <v>4224</v>
      </c>
      <c r="FT150" s="35" t="s">
        <v>1076</v>
      </c>
      <c r="FU150" s="35" t="s">
        <v>488</v>
      </c>
      <c r="FV150" s="35" t="s">
        <v>1235</v>
      </c>
      <c r="FW150" s="35" t="s">
        <v>1101</v>
      </c>
      <c r="FX150" s="35" t="s">
        <v>1853</v>
      </c>
      <c r="FY150" s="35" t="s">
        <v>11279</v>
      </c>
      <c r="FZ150" s="35" t="s">
        <v>1854</v>
      </c>
      <c r="GA150" s="35" t="s">
        <v>4226</v>
      </c>
      <c r="GC150" s="35" t="s">
        <v>455</v>
      </c>
      <c r="GD150" s="35" t="s">
        <v>11280</v>
      </c>
      <c r="GF150" s="35" t="s">
        <v>753</v>
      </c>
      <c r="GG150" s="35" t="s">
        <v>4227</v>
      </c>
      <c r="GH150" s="35" t="s">
        <v>755</v>
      </c>
      <c r="GI150" s="35" t="s">
        <v>755</v>
      </c>
      <c r="GJ150" s="35" t="s">
        <v>817</v>
      </c>
      <c r="GR150" s="35" t="s">
        <v>3208</v>
      </c>
    </row>
    <row r="151">
      <c r="A151" s="40"/>
      <c r="B151" s="40">
        <v>45834.09703479167</v>
      </c>
      <c r="C151" s="35" t="s">
        <v>368</v>
      </c>
      <c r="D151" s="35" t="s">
        <v>538</v>
      </c>
      <c r="E151" s="35" t="s">
        <v>538</v>
      </c>
      <c r="H151" s="35" t="s">
        <v>422</v>
      </c>
      <c r="I151" s="35" t="s">
        <v>1921</v>
      </c>
      <c r="J151" s="35" t="s">
        <v>668</v>
      </c>
      <c r="K151" s="35" t="s">
        <v>718</v>
      </c>
      <c r="L151" s="35" t="s">
        <v>376</v>
      </c>
      <c r="M151" s="35" t="s">
        <v>379</v>
      </c>
      <c r="N151" s="35" t="s">
        <v>378</v>
      </c>
      <c r="O151" s="35" t="s">
        <v>379</v>
      </c>
      <c r="P151" s="35" t="s">
        <v>4228</v>
      </c>
      <c r="Q151" s="35" t="s">
        <v>498</v>
      </c>
      <c r="R151" s="35" t="s">
        <v>499</v>
      </c>
      <c r="S151" s="35" t="s">
        <v>427</v>
      </c>
      <c r="T151" s="35" t="s">
        <v>384</v>
      </c>
      <c r="U151" s="35" t="s">
        <v>385</v>
      </c>
      <c r="X151" s="35" t="s">
        <v>3014</v>
      </c>
      <c r="AW151" s="35" t="s">
        <v>390</v>
      </c>
      <c r="AX151" s="41">
        <v>2.0</v>
      </c>
      <c r="AY151" s="41">
        <v>2.0</v>
      </c>
      <c r="AZ151" s="41">
        <v>4.0</v>
      </c>
      <c r="BA151" s="35" t="s">
        <v>391</v>
      </c>
      <c r="BB151" s="41">
        <v>2.0</v>
      </c>
      <c r="BC151" s="35" t="s">
        <v>391</v>
      </c>
      <c r="BD151" s="35" t="s">
        <v>4229</v>
      </c>
      <c r="BE151" s="35" t="s">
        <v>4230</v>
      </c>
      <c r="BF151" s="35" t="s">
        <v>392</v>
      </c>
      <c r="BG151" s="35" t="s">
        <v>433</v>
      </c>
      <c r="BH151" s="35" t="s">
        <v>725</v>
      </c>
      <c r="BJ151" s="35" t="s">
        <v>976</v>
      </c>
      <c r="BL151" s="35" t="s">
        <v>511</v>
      </c>
      <c r="BM151" s="35" t="s">
        <v>603</v>
      </c>
      <c r="BN151" s="35" t="s">
        <v>549</v>
      </c>
      <c r="BO151" s="35" t="s">
        <v>513</v>
      </c>
      <c r="CM151" s="35" t="s">
        <v>441</v>
      </c>
      <c r="CN151" s="35" t="s">
        <v>401</v>
      </c>
      <c r="CO151" s="35" t="s">
        <v>4231</v>
      </c>
      <c r="CP151" s="35" t="s">
        <v>4232</v>
      </c>
      <c r="CQ151" s="35" t="s">
        <v>979</v>
      </c>
      <c r="CR151" s="35" t="s">
        <v>3090</v>
      </c>
      <c r="CS151" s="35" t="s">
        <v>404</v>
      </c>
      <c r="CT151" s="35" t="s">
        <v>1032</v>
      </c>
      <c r="CU151" s="35" t="s">
        <v>4233</v>
      </c>
      <c r="CV151" s="35" t="s">
        <v>450</v>
      </c>
      <c r="CW151" s="35" t="s">
        <v>451</v>
      </c>
      <c r="CX151" s="35" t="s">
        <v>4234</v>
      </c>
      <c r="CY151" s="35" t="s">
        <v>408</v>
      </c>
      <c r="DA151" s="35" t="s">
        <v>453</v>
      </c>
      <c r="DB151" s="35" t="s">
        <v>4235</v>
      </c>
      <c r="DC151" s="35" t="s">
        <v>455</v>
      </c>
      <c r="DD151" s="35" t="s">
        <v>4236</v>
      </c>
      <c r="DE151" s="35" t="s">
        <v>406</v>
      </c>
      <c r="DF151" s="35" t="s">
        <v>407</v>
      </c>
      <c r="DG151" s="35" t="s">
        <v>4237</v>
      </c>
      <c r="DH151" s="35" t="s">
        <v>561</v>
      </c>
      <c r="DI151" s="35" t="s">
        <v>410</v>
      </c>
      <c r="DJ151" s="35" t="s">
        <v>459</v>
      </c>
      <c r="DK151" s="35" t="s">
        <v>460</v>
      </c>
      <c r="DL151" s="35" t="s">
        <v>461</v>
      </c>
      <c r="EU151" s="35" t="s">
        <v>578</v>
      </c>
      <c r="EV151" s="35" t="s">
        <v>579</v>
      </c>
      <c r="EW151" s="35" t="s">
        <v>1262</v>
      </c>
      <c r="EY151" s="35" t="s">
        <v>4238</v>
      </c>
      <c r="EZ151" s="35" t="s">
        <v>4239</v>
      </c>
      <c r="FA151" s="35" t="s">
        <v>414</v>
      </c>
      <c r="FB151" s="35" t="s">
        <v>414</v>
      </c>
      <c r="FC151" s="35" t="s">
        <v>413</v>
      </c>
      <c r="FD151" s="35" t="s">
        <v>416</v>
      </c>
      <c r="FE151" s="35" t="s">
        <v>413</v>
      </c>
      <c r="FF151" s="35" t="s">
        <v>414</v>
      </c>
      <c r="FG151" s="35" t="s">
        <v>416</v>
      </c>
      <c r="FH151" s="35" t="s">
        <v>413</v>
      </c>
      <c r="FI151" s="35" t="s">
        <v>414</v>
      </c>
      <c r="FJ151" s="35" t="s">
        <v>416</v>
      </c>
      <c r="FK151" s="35" t="s">
        <v>415</v>
      </c>
      <c r="FL151" s="35" t="s">
        <v>413</v>
      </c>
      <c r="FN151" s="35" t="s">
        <v>413</v>
      </c>
      <c r="FO151" s="35" t="s">
        <v>414</v>
      </c>
      <c r="FP151" s="35" t="s">
        <v>1074</v>
      </c>
      <c r="FQ151" s="35" t="s">
        <v>418</v>
      </c>
      <c r="FR151" s="35" t="s">
        <v>1039</v>
      </c>
      <c r="FS151" s="35" t="s">
        <v>4240</v>
      </c>
      <c r="FT151" s="35" t="s">
        <v>1189</v>
      </c>
      <c r="FU151" s="35" t="s">
        <v>488</v>
      </c>
      <c r="FV151" s="35" t="s">
        <v>1235</v>
      </c>
      <c r="FW151" s="35" t="s">
        <v>490</v>
      </c>
      <c r="FX151" s="35" t="s">
        <v>491</v>
      </c>
      <c r="FY151" s="35" t="s">
        <v>4241</v>
      </c>
      <c r="FZ151" s="35" t="s">
        <v>493</v>
      </c>
      <c r="GC151" s="35" t="s">
        <v>408</v>
      </c>
      <c r="GH151" s="35" t="s">
        <v>755</v>
      </c>
      <c r="GI151" s="35" t="s">
        <v>755</v>
      </c>
      <c r="GJ151" s="35" t="s">
        <v>946</v>
      </c>
      <c r="GO151" s="35" t="s">
        <v>3012</v>
      </c>
      <c r="GP151" s="35" t="s">
        <v>3012</v>
      </c>
      <c r="GR151" s="35" t="s">
        <v>4242</v>
      </c>
    </row>
    <row r="152">
      <c r="A152" s="40"/>
      <c r="B152" s="40">
        <v>45834.45642371528</v>
      </c>
      <c r="C152" s="35" t="s">
        <v>368</v>
      </c>
      <c r="D152" s="35" t="s">
        <v>370</v>
      </c>
      <c r="F152" s="35" t="s">
        <v>667</v>
      </c>
      <c r="H152" s="35" t="s">
        <v>422</v>
      </c>
      <c r="I152" s="35" t="s">
        <v>1203</v>
      </c>
      <c r="J152" s="35" t="s">
        <v>638</v>
      </c>
      <c r="K152" s="35" t="s">
        <v>1204</v>
      </c>
      <c r="L152" s="35" t="s">
        <v>376</v>
      </c>
      <c r="M152" s="35" t="s">
        <v>379</v>
      </c>
      <c r="N152" s="35" t="s">
        <v>720</v>
      </c>
      <c r="O152" s="35" t="s">
        <v>377</v>
      </c>
      <c r="P152" s="35" t="s">
        <v>497</v>
      </c>
      <c r="Q152" s="35" t="s">
        <v>381</v>
      </c>
      <c r="R152" s="35" t="s">
        <v>1156</v>
      </c>
      <c r="S152" s="35" t="s">
        <v>1135</v>
      </c>
      <c r="T152" s="35" t="s">
        <v>384</v>
      </c>
      <c r="U152" s="35" t="s">
        <v>385</v>
      </c>
      <c r="X152" s="35" t="s">
        <v>3014</v>
      </c>
      <c r="AW152" s="35" t="s">
        <v>504</v>
      </c>
      <c r="AX152" s="35" t="s">
        <v>429</v>
      </c>
      <c r="AY152" s="35" t="s">
        <v>429</v>
      </c>
      <c r="AZ152" s="35" t="s">
        <v>429</v>
      </c>
      <c r="BA152" s="35" t="s">
        <v>429</v>
      </c>
      <c r="BB152" s="35" t="s">
        <v>429</v>
      </c>
      <c r="BC152" s="35" t="s">
        <v>429</v>
      </c>
      <c r="BD152" s="35" t="s">
        <v>4256</v>
      </c>
      <c r="BE152" s="35" t="s">
        <v>4257</v>
      </c>
      <c r="BF152" s="35" t="s">
        <v>392</v>
      </c>
      <c r="BG152" s="35" t="s">
        <v>433</v>
      </c>
      <c r="BH152" s="35" t="s">
        <v>765</v>
      </c>
      <c r="BJ152" s="35" t="s">
        <v>824</v>
      </c>
      <c r="BL152" s="35" t="s">
        <v>511</v>
      </c>
      <c r="BM152" s="35" t="s">
        <v>396</v>
      </c>
      <c r="BN152" s="35" t="s">
        <v>439</v>
      </c>
      <c r="BO152" s="35" t="s">
        <v>513</v>
      </c>
      <c r="CM152" s="35" t="s">
        <v>550</v>
      </c>
      <c r="CN152" s="35" t="s">
        <v>604</v>
      </c>
      <c r="CO152" s="35" t="s">
        <v>4258</v>
      </c>
      <c r="CP152" s="35" t="s">
        <v>4259</v>
      </c>
      <c r="CQ152" s="35" t="s">
        <v>1948</v>
      </c>
      <c r="CR152" s="35" t="s">
        <v>2383</v>
      </c>
      <c r="CS152" s="35" t="s">
        <v>404</v>
      </c>
      <c r="CT152" s="35" t="s">
        <v>4260</v>
      </c>
      <c r="CU152" s="35" t="s">
        <v>4261</v>
      </c>
      <c r="CV152" s="35" t="s">
        <v>519</v>
      </c>
      <c r="CW152" s="35" t="s">
        <v>451</v>
      </c>
      <c r="CX152" s="35" t="s">
        <v>4262</v>
      </c>
      <c r="CY152" s="35" t="s">
        <v>408</v>
      </c>
      <c r="DA152" s="35" t="s">
        <v>453</v>
      </c>
      <c r="DB152" s="35" t="s">
        <v>4263</v>
      </c>
      <c r="DC152" s="35" t="s">
        <v>408</v>
      </c>
      <c r="DE152" s="35" t="s">
        <v>988</v>
      </c>
      <c r="DG152" s="35" t="s">
        <v>4264</v>
      </c>
      <c r="DH152" s="35" t="s">
        <v>561</v>
      </c>
      <c r="DI152" s="35" t="s">
        <v>410</v>
      </c>
      <c r="DJ152" s="35" t="s">
        <v>459</v>
      </c>
      <c r="DK152" s="35" t="s">
        <v>562</v>
      </c>
      <c r="DL152" s="35" t="s">
        <v>461</v>
      </c>
      <c r="EU152" s="35" t="s">
        <v>526</v>
      </c>
      <c r="EV152" s="35" t="s">
        <v>887</v>
      </c>
      <c r="EW152" s="35" t="s">
        <v>580</v>
      </c>
      <c r="EY152" s="35" t="s">
        <v>1337</v>
      </c>
      <c r="EZ152" s="35" t="s">
        <v>4265</v>
      </c>
      <c r="FA152" s="35" t="s">
        <v>416</v>
      </c>
      <c r="FB152" s="35" t="s">
        <v>415</v>
      </c>
      <c r="FC152" s="35" t="s">
        <v>413</v>
      </c>
      <c r="FD152" s="35" t="s">
        <v>413</v>
      </c>
      <c r="FE152" s="35" t="s">
        <v>413</v>
      </c>
      <c r="FF152" s="35" t="s">
        <v>414</v>
      </c>
      <c r="FG152" s="35" t="s">
        <v>413</v>
      </c>
      <c r="FH152" s="35" t="s">
        <v>484</v>
      </c>
      <c r="FI152" s="35" t="s">
        <v>484</v>
      </c>
      <c r="FJ152" s="35" t="s">
        <v>484</v>
      </c>
      <c r="FK152" s="35" t="s">
        <v>416</v>
      </c>
      <c r="FL152" s="35" t="s">
        <v>484</v>
      </c>
      <c r="FM152" s="35" t="s">
        <v>484</v>
      </c>
      <c r="FN152" s="35" t="s">
        <v>484</v>
      </c>
      <c r="FO152" s="35" t="s">
        <v>484</v>
      </c>
      <c r="FP152" s="35" t="s">
        <v>485</v>
      </c>
      <c r="FQ152" s="35" t="s">
        <v>418</v>
      </c>
      <c r="FR152" s="35" t="s">
        <v>712</v>
      </c>
      <c r="FT152" s="35" t="s">
        <v>420</v>
      </c>
      <c r="FU152" s="35" t="s">
        <v>488</v>
      </c>
      <c r="FV152" s="35" t="s">
        <v>585</v>
      </c>
      <c r="FW152" s="35" t="s">
        <v>1101</v>
      </c>
      <c r="FX152" s="35" t="s">
        <v>491</v>
      </c>
      <c r="FY152" s="35" t="s">
        <v>4266</v>
      </c>
      <c r="FZ152" s="35" t="s">
        <v>535</v>
      </c>
      <c r="GC152" s="35" t="s">
        <v>408</v>
      </c>
      <c r="GH152" s="35" t="s">
        <v>788</v>
      </c>
      <c r="GI152" s="35" t="s">
        <v>788</v>
      </c>
      <c r="GJ152" s="35" t="s">
        <v>756</v>
      </c>
      <c r="GR152" s="35" t="s">
        <v>3208</v>
      </c>
    </row>
    <row r="153">
      <c r="A153" s="40"/>
      <c r="B153" s="40">
        <v>45834.83290418981</v>
      </c>
      <c r="C153" s="35" t="s">
        <v>368</v>
      </c>
      <c r="D153" s="35" t="s">
        <v>370</v>
      </c>
      <c r="E153" s="35" t="s">
        <v>370</v>
      </c>
      <c r="F153" s="35" t="s">
        <v>2294</v>
      </c>
      <c r="G153" s="35" t="s">
        <v>2294</v>
      </c>
      <c r="H153" s="35" t="s">
        <v>422</v>
      </c>
      <c r="I153" s="35" t="s">
        <v>373</v>
      </c>
      <c r="J153" s="35" t="s">
        <v>374</v>
      </c>
      <c r="K153" s="35" t="s">
        <v>375</v>
      </c>
      <c r="L153" s="35" t="s">
        <v>376</v>
      </c>
      <c r="M153" s="35" t="s">
        <v>426</v>
      </c>
      <c r="N153" s="35" t="s">
        <v>378</v>
      </c>
      <c r="O153" s="35" t="s">
        <v>591</v>
      </c>
      <c r="P153" s="35" t="s">
        <v>671</v>
      </c>
      <c r="Q153" s="35" t="s">
        <v>498</v>
      </c>
      <c r="R153" s="35" t="s">
        <v>382</v>
      </c>
      <c r="S153" s="35" t="s">
        <v>427</v>
      </c>
      <c r="T153" s="35" t="s">
        <v>384</v>
      </c>
      <c r="U153" s="35" t="s">
        <v>385</v>
      </c>
      <c r="X153" s="35" t="s">
        <v>386</v>
      </c>
      <c r="Y153" s="35" t="s">
        <v>387</v>
      </c>
      <c r="Z153" s="35" t="s">
        <v>594</v>
      </c>
      <c r="AA153" s="35" t="s">
        <v>672</v>
      </c>
      <c r="AB153" s="35" t="s">
        <v>4286</v>
      </c>
      <c r="AC153" s="35" t="s">
        <v>11281</v>
      </c>
      <c r="AW153" s="35" t="s">
        <v>504</v>
      </c>
      <c r="AX153" s="35" t="s">
        <v>429</v>
      </c>
      <c r="AY153" s="41">
        <v>2.0</v>
      </c>
      <c r="AZ153" s="41">
        <v>4.0</v>
      </c>
      <c r="BA153" s="41">
        <v>2.0</v>
      </c>
      <c r="BB153" s="35" t="s">
        <v>429</v>
      </c>
      <c r="BC153" s="35" t="s">
        <v>429</v>
      </c>
      <c r="BD153" s="35" t="s">
        <v>11282</v>
      </c>
      <c r="BE153" s="35" t="s">
        <v>11283</v>
      </c>
      <c r="BF153" s="35" t="s">
        <v>432</v>
      </c>
      <c r="BG153" s="35" t="s">
        <v>433</v>
      </c>
      <c r="BH153" s="35" t="s">
        <v>678</v>
      </c>
      <c r="BI153" s="35" t="s">
        <v>4290</v>
      </c>
      <c r="BJ153" s="35" t="s">
        <v>509</v>
      </c>
      <c r="BK153" s="35" t="s">
        <v>11284</v>
      </c>
      <c r="BL153" s="35" t="s">
        <v>511</v>
      </c>
      <c r="BM153" s="35" t="s">
        <v>438</v>
      </c>
      <c r="BN153" s="35" t="s">
        <v>439</v>
      </c>
      <c r="BO153" s="35" t="s">
        <v>513</v>
      </c>
      <c r="CM153" s="35" t="s">
        <v>441</v>
      </c>
      <c r="CN153" s="35" t="s">
        <v>604</v>
      </c>
      <c r="CO153" s="35" t="s">
        <v>11285</v>
      </c>
      <c r="CP153" s="35" t="s">
        <v>11286</v>
      </c>
      <c r="CQ153" s="35" t="s">
        <v>979</v>
      </c>
      <c r="CR153" s="35" t="s">
        <v>4294</v>
      </c>
      <c r="CS153" s="35" t="s">
        <v>804</v>
      </c>
      <c r="CT153" s="35" t="s">
        <v>4295</v>
      </c>
      <c r="CU153" s="35" t="s">
        <v>4296</v>
      </c>
      <c r="CV153" s="35" t="s">
        <v>450</v>
      </c>
      <c r="CW153" s="35" t="s">
        <v>451</v>
      </c>
      <c r="CX153" s="35" t="s">
        <v>4297</v>
      </c>
      <c r="CY153" s="35" t="s">
        <v>408</v>
      </c>
      <c r="DA153" s="35" t="s">
        <v>453</v>
      </c>
      <c r="DB153" s="35" t="s">
        <v>11287</v>
      </c>
      <c r="DC153" s="35" t="s">
        <v>455</v>
      </c>
      <c r="DD153" s="35" t="s">
        <v>11288</v>
      </c>
      <c r="DE153" s="35" t="s">
        <v>457</v>
      </c>
      <c r="DG153" s="35" t="s">
        <v>11289</v>
      </c>
      <c r="DH153" s="35" t="s">
        <v>524</v>
      </c>
      <c r="DI153" s="35" t="s">
        <v>410</v>
      </c>
      <c r="DJ153" s="35" t="s">
        <v>459</v>
      </c>
      <c r="DK153" s="35" t="s">
        <v>613</v>
      </c>
      <c r="EU153" s="35" t="s">
        <v>526</v>
      </c>
      <c r="EV153" s="35" t="s">
        <v>479</v>
      </c>
      <c r="EW153" s="35" t="s">
        <v>480</v>
      </c>
      <c r="EX153" s="35" t="s">
        <v>11290</v>
      </c>
      <c r="EY153" s="35" t="s">
        <v>11291</v>
      </c>
      <c r="EZ153" s="35" t="s">
        <v>4303</v>
      </c>
      <c r="FA153" s="35" t="s">
        <v>413</v>
      </c>
      <c r="FB153" s="35" t="s">
        <v>413</v>
      </c>
      <c r="FC153" s="35" t="s">
        <v>413</v>
      </c>
      <c r="FD153" s="35" t="s">
        <v>413</v>
      </c>
      <c r="FE153" s="35" t="s">
        <v>413</v>
      </c>
      <c r="FF153" s="35" t="s">
        <v>413</v>
      </c>
      <c r="FG153" s="35" t="s">
        <v>413</v>
      </c>
      <c r="FH153" s="35" t="s">
        <v>413</v>
      </c>
      <c r="FI153" s="35" t="s">
        <v>583</v>
      </c>
      <c r="FJ153" s="35" t="s">
        <v>583</v>
      </c>
      <c r="FK153" s="35" t="s">
        <v>415</v>
      </c>
      <c r="FL153" s="35" t="s">
        <v>484</v>
      </c>
      <c r="FM153" s="35" t="s">
        <v>484</v>
      </c>
      <c r="FN153" s="35" t="s">
        <v>413</v>
      </c>
      <c r="FO153" s="35" t="s">
        <v>583</v>
      </c>
      <c r="FP153" s="35" t="s">
        <v>417</v>
      </c>
      <c r="FQ153" s="35" t="s">
        <v>418</v>
      </c>
      <c r="FR153" s="35" t="s">
        <v>1039</v>
      </c>
      <c r="FS153" s="35" t="s">
        <v>4304</v>
      </c>
      <c r="FT153" s="35" t="s">
        <v>420</v>
      </c>
      <c r="FU153" s="35" t="s">
        <v>488</v>
      </c>
      <c r="FV153" s="35" t="s">
        <v>489</v>
      </c>
      <c r="FW153" s="35" t="s">
        <v>490</v>
      </c>
      <c r="FX153" s="35" t="s">
        <v>491</v>
      </c>
      <c r="FY153" s="35" t="s">
        <v>4305</v>
      </c>
      <c r="FZ153" s="35" t="s">
        <v>1020</v>
      </c>
      <c r="GA153" s="35" t="s">
        <v>11292</v>
      </c>
      <c r="GB153" s="35" t="s">
        <v>11293</v>
      </c>
      <c r="GC153" s="35" t="s">
        <v>455</v>
      </c>
      <c r="GE153" s="35" t="s">
        <v>4308</v>
      </c>
      <c r="GF153" s="35" t="s">
        <v>753</v>
      </c>
      <c r="GG153" s="35" t="s">
        <v>4309</v>
      </c>
      <c r="GH153" s="35" t="s">
        <v>1000</v>
      </c>
      <c r="GI153" s="35" t="s">
        <v>788</v>
      </c>
      <c r="GJ153" s="35" t="s">
        <v>756</v>
      </c>
      <c r="GR153" s="35" t="s">
        <v>4310</v>
      </c>
    </row>
    <row r="154">
      <c r="A154" s="40"/>
      <c r="B154" s="40">
        <v>45835.70610258102</v>
      </c>
      <c r="C154" s="35" t="s">
        <v>368</v>
      </c>
      <c r="D154" s="35" t="s">
        <v>370</v>
      </c>
      <c r="E154" s="35" t="s">
        <v>370</v>
      </c>
      <c r="F154" s="35" t="s">
        <v>589</v>
      </c>
      <c r="G154" s="35" t="s">
        <v>1510</v>
      </c>
      <c r="H154" s="35" t="s">
        <v>422</v>
      </c>
      <c r="I154" s="35" t="s">
        <v>373</v>
      </c>
      <c r="J154" s="35" t="s">
        <v>638</v>
      </c>
      <c r="K154" s="35" t="s">
        <v>375</v>
      </c>
      <c r="L154" s="35" t="s">
        <v>376</v>
      </c>
      <c r="M154" s="35" t="s">
        <v>793</v>
      </c>
      <c r="N154" s="35" t="s">
        <v>719</v>
      </c>
      <c r="O154" s="35" t="s">
        <v>793</v>
      </c>
      <c r="P154" s="35" t="s">
        <v>719</v>
      </c>
      <c r="Q154" s="35" t="s">
        <v>592</v>
      </c>
      <c r="R154" s="35" t="s">
        <v>759</v>
      </c>
      <c r="S154" s="35" t="s">
        <v>427</v>
      </c>
      <c r="T154" s="35" t="s">
        <v>384</v>
      </c>
      <c r="U154" s="35" t="s">
        <v>385</v>
      </c>
      <c r="X154" s="35" t="s">
        <v>3231</v>
      </c>
      <c r="AW154" s="35" t="s">
        <v>597</v>
      </c>
      <c r="AX154" s="35" t="s">
        <v>391</v>
      </c>
      <c r="AY154" s="41">
        <v>2.0</v>
      </c>
      <c r="AZ154" s="35" t="s">
        <v>391</v>
      </c>
      <c r="BA154" s="35" t="s">
        <v>391</v>
      </c>
      <c r="BB154" s="41">
        <v>2.0</v>
      </c>
      <c r="BC154" s="41">
        <v>2.0</v>
      </c>
      <c r="BD154" s="35" t="s">
        <v>4342</v>
      </c>
      <c r="BE154" s="35" t="s">
        <v>4343</v>
      </c>
      <c r="BF154" s="35" t="s">
        <v>392</v>
      </c>
      <c r="BG154" s="35" t="s">
        <v>433</v>
      </c>
      <c r="BH154" s="35" t="s">
        <v>434</v>
      </c>
      <c r="BI154" s="35" t="s">
        <v>4344</v>
      </c>
      <c r="BJ154" s="35" t="s">
        <v>509</v>
      </c>
      <c r="BK154" s="35" t="s">
        <v>4345</v>
      </c>
      <c r="BL154" s="35" t="s">
        <v>437</v>
      </c>
      <c r="BM154" s="35" t="s">
        <v>512</v>
      </c>
      <c r="BN154" s="35" t="s">
        <v>439</v>
      </c>
      <c r="BO154" s="35" t="s">
        <v>513</v>
      </c>
      <c r="CM154" s="35" t="s">
        <v>441</v>
      </c>
      <c r="CN154" s="35" t="s">
        <v>682</v>
      </c>
      <c r="CO154" s="35" t="s">
        <v>4346</v>
      </c>
      <c r="CP154" s="35" t="s">
        <v>4347</v>
      </c>
      <c r="CQ154" s="35" t="s">
        <v>979</v>
      </c>
      <c r="CR154" s="35" t="s">
        <v>4348</v>
      </c>
      <c r="CS154" s="35" t="s">
        <v>447</v>
      </c>
      <c r="CT154" s="35" t="s">
        <v>4349</v>
      </c>
      <c r="CU154" s="35" t="s">
        <v>11294</v>
      </c>
      <c r="CV154" s="35" t="s">
        <v>450</v>
      </c>
      <c r="CW154" s="35" t="s">
        <v>451</v>
      </c>
      <c r="CX154" s="35" t="s">
        <v>4351</v>
      </c>
      <c r="CY154" s="35" t="s">
        <v>408</v>
      </c>
      <c r="DA154" s="35" t="s">
        <v>985</v>
      </c>
      <c r="DB154" s="35" t="s">
        <v>4352</v>
      </c>
      <c r="DC154" s="35" t="s">
        <v>455</v>
      </c>
      <c r="DD154" s="35" t="s">
        <v>4353</v>
      </c>
      <c r="DE154" s="35" t="s">
        <v>457</v>
      </c>
      <c r="DG154" s="35" t="s">
        <v>4354</v>
      </c>
      <c r="DH154" s="35" t="s">
        <v>561</v>
      </c>
      <c r="DI154" s="35" t="s">
        <v>1964</v>
      </c>
      <c r="DJ154" s="35" t="s">
        <v>459</v>
      </c>
      <c r="DK154" s="35" t="s">
        <v>562</v>
      </c>
      <c r="DL154" s="35" t="s">
        <v>461</v>
      </c>
      <c r="EU154" s="35" t="s">
        <v>526</v>
      </c>
      <c r="EV154" s="35" t="s">
        <v>887</v>
      </c>
      <c r="EW154" s="35" t="s">
        <v>480</v>
      </c>
      <c r="EY154" s="35" t="s">
        <v>4355</v>
      </c>
      <c r="EZ154" s="35" t="s">
        <v>4356</v>
      </c>
      <c r="FA154" s="35" t="s">
        <v>414</v>
      </c>
      <c r="FB154" s="35" t="s">
        <v>583</v>
      </c>
      <c r="FC154" s="35" t="s">
        <v>413</v>
      </c>
      <c r="FD154" s="35" t="s">
        <v>583</v>
      </c>
      <c r="FE154" s="35" t="s">
        <v>413</v>
      </c>
      <c r="FF154" s="35" t="s">
        <v>415</v>
      </c>
      <c r="FG154" s="35" t="s">
        <v>415</v>
      </c>
      <c r="FH154" s="35" t="s">
        <v>416</v>
      </c>
      <c r="FI154" s="35" t="s">
        <v>583</v>
      </c>
      <c r="FJ154" s="35" t="s">
        <v>415</v>
      </c>
      <c r="FK154" s="35" t="s">
        <v>414</v>
      </c>
      <c r="FL154" s="35" t="s">
        <v>416</v>
      </c>
      <c r="FM154" s="35" t="s">
        <v>415</v>
      </c>
      <c r="FN154" s="35" t="s">
        <v>413</v>
      </c>
      <c r="FO154" s="35" t="s">
        <v>583</v>
      </c>
      <c r="FP154" s="35" t="s">
        <v>485</v>
      </c>
      <c r="FQ154" s="35" t="s">
        <v>418</v>
      </c>
      <c r="FR154" s="35" t="s">
        <v>419</v>
      </c>
      <c r="FS154" s="35" t="s">
        <v>4357</v>
      </c>
      <c r="FT154" s="35" t="s">
        <v>420</v>
      </c>
      <c r="FU154" s="35" t="s">
        <v>488</v>
      </c>
      <c r="FV154" s="35" t="s">
        <v>918</v>
      </c>
      <c r="FW154" s="35" t="s">
        <v>490</v>
      </c>
      <c r="FX154" s="35" t="s">
        <v>491</v>
      </c>
      <c r="FY154" s="35" t="s">
        <v>4358</v>
      </c>
      <c r="FZ154" s="35" t="s">
        <v>535</v>
      </c>
      <c r="GA154" s="35" t="s">
        <v>4359</v>
      </c>
      <c r="GC154" s="35" t="s">
        <v>455</v>
      </c>
      <c r="GD154" s="35" t="s">
        <v>11295</v>
      </c>
      <c r="GE154" s="35" t="s">
        <v>11296</v>
      </c>
      <c r="GF154" s="35" t="s">
        <v>753</v>
      </c>
      <c r="GG154" s="35" t="s">
        <v>4360</v>
      </c>
      <c r="GH154" s="35" t="s">
        <v>1000</v>
      </c>
      <c r="GI154" s="35" t="s">
        <v>755</v>
      </c>
      <c r="GJ154" s="35" t="s">
        <v>817</v>
      </c>
      <c r="GQ154" s="35" t="s">
        <v>387</v>
      </c>
      <c r="GR154" s="35" t="s">
        <v>3208</v>
      </c>
    </row>
    <row r="155">
      <c r="A155" s="40"/>
      <c r="B155" s="40">
        <v>45836.20510865741</v>
      </c>
      <c r="C155" s="35" t="s">
        <v>368</v>
      </c>
      <c r="D155" s="35" t="s">
        <v>894</v>
      </c>
      <c r="E155" s="35" t="s">
        <v>894</v>
      </c>
      <c r="H155" s="35" t="s">
        <v>422</v>
      </c>
      <c r="I155" s="35" t="s">
        <v>539</v>
      </c>
      <c r="J155" s="35" t="s">
        <v>2578</v>
      </c>
      <c r="K155" s="35" t="s">
        <v>540</v>
      </c>
      <c r="L155" s="35" t="s">
        <v>376</v>
      </c>
      <c r="M155" s="35" t="s">
        <v>379</v>
      </c>
      <c r="N155" s="35" t="s">
        <v>378</v>
      </c>
      <c r="O155" s="35" t="s">
        <v>793</v>
      </c>
      <c r="P155" s="35" t="s">
        <v>719</v>
      </c>
      <c r="Q155" s="35" t="s">
        <v>381</v>
      </c>
      <c r="R155" s="35" t="s">
        <v>862</v>
      </c>
      <c r="S155" s="35" t="s">
        <v>500</v>
      </c>
      <c r="T155" s="35" t="s">
        <v>384</v>
      </c>
      <c r="U155" s="35" t="s">
        <v>385</v>
      </c>
      <c r="V155" s="35" t="s">
        <v>896</v>
      </c>
      <c r="W155" s="35" t="s">
        <v>4407</v>
      </c>
      <c r="X155" s="35" t="s">
        <v>593</v>
      </c>
      <c r="Y155" s="35" t="s">
        <v>387</v>
      </c>
      <c r="Z155" s="35" t="s">
        <v>1824</v>
      </c>
      <c r="AA155" s="35" t="s">
        <v>543</v>
      </c>
      <c r="AW155" s="35" t="s">
        <v>597</v>
      </c>
      <c r="AX155" s="35" t="s">
        <v>429</v>
      </c>
      <c r="AY155" s="35" t="s">
        <v>429</v>
      </c>
      <c r="AZ155" s="35" t="s">
        <v>429</v>
      </c>
      <c r="BA155" s="35" t="s">
        <v>429</v>
      </c>
      <c r="BB155" s="35" t="s">
        <v>429</v>
      </c>
      <c r="BC155" s="35" t="s">
        <v>429</v>
      </c>
      <c r="BD155" s="35" t="s">
        <v>1514</v>
      </c>
      <c r="BE155" s="35" t="s">
        <v>4408</v>
      </c>
      <c r="BF155" s="35" t="s">
        <v>392</v>
      </c>
      <c r="BG155" s="35" t="s">
        <v>433</v>
      </c>
      <c r="BH155" s="35" t="s">
        <v>725</v>
      </c>
      <c r="BJ155" s="35" t="s">
        <v>435</v>
      </c>
      <c r="BL155" s="35" t="s">
        <v>602</v>
      </c>
      <c r="BM155" s="35" t="s">
        <v>438</v>
      </c>
      <c r="BN155" s="35" t="s">
        <v>549</v>
      </c>
      <c r="BO155" s="35" t="s">
        <v>513</v>
      </c>
      <c r="CO155" s="35" t="s">
        <v>6934</v>
      </c>
      <c r="CP155" s="35" t="s">
        <v>4409</v>
      </c>
      <c r="CQ155" s="35" t="s">
        <v>979</v>
      </c>
      <c r="CR155" s="35" t="s">
        <v>4410</v>
      </c>
      <c r="CS155" s="35" t="s">
        <v>804</v>
      </c>
      <c r="CT155" s="35" t="s">
        <v>4411</v>
      </c>
      <c r="CU155" s="35" t="s">
        <v>4412</v>
      </c>
      <c r="CV155" s="35" t="s">
        <v>519</v>
      </c>
      <c r="CW155" s="35" t="s">
        <v>451</v>
      </c>
      <c r="CX155" s="35" t="s">
        <v>2521</v>
      </c>
      <c r="CY155" s="35" t="s">
        <v>408</v>
      </c>
      <c r="DA155" s="35" t="s">
        <v>985</v>
      </c>
      <c r="DB155" s="35" t="s">
        <v>4413</v>
      </c>
      <c r="DC155" s="35" t="s">
        <v>408</v>
      </c>
      <c r="DE155" s="35" t="s">
        <v>988</v>
      </c>
      <c r="DH155" s="35" t="s">
        <v>561</v>
      </c>
      <c r="DI155" s="35" t="s">
        <v>1220</v>
      </c>
      <c r="DJ155" s="35" t="s">
        <v>459</v>
      </c>
      <c r="DK155" s="35" t="s">
        <v>460</v>
      </c>
      <c r="DL155" s="35" t="s">
        <v>461</v>
      </c>
      <c r="EU155" s="35" t="s">
        <v>526</v>
      </c>
      <c r="EV155" s="35" t="s">
        <v>887</v>
      </c>
      <c r="EW155" s="35" t="s">
        <v>480</v>
      </c>
      <c r="EY155" s="35" t="s">
        <v>4414</v>
      </c>
      <c r="EZ155" s="35" t="s">
        <v>4415</v>
      </c>
      <c r="FA155" s="35" t="s">
        <v>583</v>
      </c>
      <c r="FB155" s="35" t="s">
        <v>583</v>
      </c>
      <c r="FC155" s="35" t="s">
        <v>414</v>
      </c>
      <c r="FD155" s="35" t="s">
        <v>583</v>
      </c>
      <c r="FE155" s="35" t="s">
        <v>413</v>
      </c>
      <c r="FF155" s="35" t="s">
        <v>583</v>
      </c>
      <c r="FG155" s="35" t="s">
        <v>583</v>
      </c>
      <c r="FH155" s="35" t="s">
        <v>583</v>
      </c>
      <c r="FI155" s="35" t="s">
        <v>413</v>
      </c>
      <c r="FJ155" s="35" t="s">
        <v>583</v>
      </c>
      <c r="FK155" s="35" t="s">
        <v>583</v>
      </c>
      <c r="FL155" s="35" t="s">
        <v>583</v>
      </c>
      <c r="FM155" s="35" t="s">
        <v>583</v>
      </c>
      <c r="FN155" s="35" t="s">
        <v>415</v>
      </c>
      <c r="FO155" s="35" t="s">
        <v>415</v>
      </c>
      <c r="FR155" s="35" t="s">
        <v>419</v>
      </c>
      <c r="FS155" s="35" t="s">
        <v>4416</v>
      </c>
      <c r="FT155" s="35" t="s">
        <v>1076</v>
      </c>
      <c r="FU155" s="35" t="s">
        <v>488</v>
      </c>
      <c r="FV155" s="35" t="s">
        <v>489</v>
      </c>
      <c r="FW155" s="35" t="s">
        <v>490</v>
      </c>
      <c r="FX155" s="35" t="s">
        <v>491</v>
      </c>
      <c r="FY155" s="35" t="s">
        <v>4417</v>
      </c>
      <c r="FZ155" s="35" t="s">
        <v>1337</v>
      </c>
      <c r="GC155" s="35" t="s">
        <v>408</v>
      </c>
      <c r="GH155" s="35" t="s">
        <v>755</v>
      </c>
      <c r="GI155" s="35" t="s">
        <v>755</v>
      </c>
      <c r="GJ155" s="35" t="s">
        <v>921</v>
      </c>
      <c r="GR155" s="35" t="s">
        <v>3208</v>
      </c>
    </row>
    <row r="156">
      <c r="A156" s="40"/>
      <c r="B156" s="40">
        <v>45836.70248601852</v>
      </c>
      <c r="C156" s="35" t="s">
        <v>368</v>
      </c>
      <c r="D156" s="35" t="s">
        <v>894</v>
      </c>
      <c r="E156" s="35" t="s">
        <v>894</v>
      </c>
      <c r="H156" s="35" t="s">
        <v>422</v>
      </c>
      <c r="I156" s="35" t="s">
        <v>496</v>
      </c>
      <c r="J156" s="35" t="s">
        <v>374</v>
      </c>
      <c r="K156" s="35" t="s">
        <v>425</v>
      </c>
      <c r="L156" s="35" t="s">
        <v>376</v>
      </c>
      <c r="M156" s="35" t="s">
        <v>591</v>
      </c>
      <c r="N156" s="35" t="s">
        <v>541</v>
      </c>
      <c r="O156" s="35" t="s">
        <v>591</v>
      </c>
      <c r="P156" s="35" t="s">
        <v>719</v>
      </c>
      <c r="Q156" s="35" t="s">
        <v>498</v>
      </c>
      <c r="S156" s="35" t="s">
        <v>949</v>
      </c>
      <c r="T156" s="35" t="s">
        <v>384</v>
      </c>
      <c r="U156" s="35" t="s">
        <v>385</v>
      </c>
      <c r="V156" s="35" t="s">
        <v>896</v>
      </c>
      <c r="W156" s="35" t="s">
        <v>896</v>
      </c>
      <c r="X156" s="35" t="s">
        <v>3231</v>
      </c>
      <c r="AW156" s="35" t="s">
        <v>1905</v>
      </c>
      <c r="AX156" s="41">
        <v>4.0</v>
      </c>
      <c r="AY156" s="35" t="s">
        <v>391</v>
      </c>
      <c r="AZ156" s="35" t="s">
        <v>391</v>
      </c>
      <c r="BA156" s="35" t="s">
        <v>391</v>
      </c>
      <c r="BB156" s="35" t="s">
        <v>429</v>
      </c>
      <c r="BC156" s="35" t="s">
        <v>391</v>
      </c>
      <c r="BD156" s="35" t="s">
        <v>4480</v>
      </c>
      <c r="BE156" s="35" t="s">
        <v>4481</v>
      </c>
      <c r="BF156" s="35" t="s">
        <v>392</v>
      </c>
      <c r="BG156" s="35" t="s">
        <v>1095</v>
      </c>
      <c r="BH156" s="35" t="s">
        <v>678</v>
      </c>
      <c r="BI156" s="35" t="s">
        <v>4482</v>
      </c>
      <c r="BJ156" s="35" t="s">
        <v>976</v>
      </c>
      <c r="BK156" s="35" t="s">
        <v>4483</v>
      </c>
      <c r="BL156" s="35" t="s">
        <v>511</v>
      </c>
      <c r="BM156" s="35" t="s">
        <v>603</v>
      </c>
      <c r="BN156" s="35" t="s">
        <v>1276</v>
      </c>
      <c r="BO156" s="35" t="s">
        <v>513</v>
      </c>
      <c r="CM156" s="35" t="s">
        <v>441</v>
      </c>
      <c r="CN156" s="35" t="s">
        <v>401</v>
      </c>
      <c r="CO156" s="35" t="s">
        <v>4484</v>
      </c>
      <c r="CP156" s="35" t="s">
        <v>4485</v>
      </c>
      <c r="CQ156" s="35" t="s">
        <v>445</v>
      </c>
      <c r="CR156" s="35" t="s">
        <v>4486</v>
      </c>
      <c r="CS156" s="35" t="s">
        <v>828</v>
      </c>
      <c r="CT156" s="35" t="s">
        <v>4487</v>
      </c>
      <c r="CU156" s="35" t="s">
        <v>4488</v>
      </c>
      <c r="CV156" s="35" t="s">
        <v>1852</v>
      </c>
      <c r="CW156" s="35" t="s">
        <v>409</v>
      </c>
      <c r="CX156" s="35" t="s">
        <v>4489</v>
      </c>
      <c r="CY156" s="35" t="s">
        <v>408</v>
      </c>
      <c r="DA156" s="35" t="s">
        <v>1962</v>
      </c>
      <c r="DB156" s="35" t="s">
        <v>4490</v>
      </c>
      <c r="DC156" s="35" t="s">
        <v>913</v>
      </c>
      <c r="DD156" s="35" t="s">
        <v>4491</v>
      </c>
      <c r="DE156" s="35" t="s">
        <v>988</v>
      </c>
      <c r="DH156" s="35" t="s">
        <v>990</v>
      </c>
      <c r="DI156" s="35" t="s">
        <v>1964</v>
      </c>
      <c r="DJ156" s="35" t="s">
        <v>459</v>
      </c>
      <c r="DK156" s="35" t="s">
        <v>613</v>
      </c>
      <c r="EU156" s="35" t="s">
        <v>478</v>
      </c>
      <c r="EV156" s="35" t="s">
        <v>887</v>
      </c>
      <c r="EW156" s="35" t="s">
        <v>480</v>
      </c>
      <c r="EY156" s="35" t="s">
        <v>4492</v>
      </c>
      <c r="EZ156" s="35" t="s">
        <v>4493</v>
      </c>
      <c r="FA156" s="35" t="s">
        <v>583</v>
      </c>
      <c r="FB156" s="35" t="s">
        <v>583</v>
      </c>
      <c r="FC156" s="35" t="s">
        <v>583</v>
      </c>
      <c r="FD156" s="35" t="s">
        <v>583</v>
      </c>
      <c r="FE156" s="35" t="s">
        <v>414</v>
      </c>
      <c r="FF156" s="35" t="s">
        <v>414</v>
      </c>
      <c r="FG156" s="35" t="s">
        <v>583</v>
      </c>
      <c r="FH156" s="35" t="s">
        <v>414</v>
      </c>
      <c r="FI156" s="35" t="s">
        <v>484</v>
      </c>
      <c r="FJ156" s="35" t="s">
        <v>414</v>
      </c>
      <c r="FK156" s="35" t="s">
        <v>414</v>
      </c>
      <c r="FL156" s="35" t="s">
        <v>414</v>
      </c>
      <c r="FM156" s="35" t="s">
        <v>414</v>
      </c>
      <c r="FN156" s="35" t="s">
        <v>414</v>
      </c>
      <c r="FO156" s="35" t="s">
        <v>484</v>
      </c>
      <c r="FP156" s="35" t="s">
        <v>1074</v>
      </c>
      <c r="FQ156" s="35" t="s">
        <v>3218</v>
      </c>
      <c r="FR156" s="35" t="s">
        <v>419</v>
      </c>
      <c r="FS156" s="35" t="s">
        <v>4494</v>
      </c>
      <c r="FT156" s="35" t="s">
        <v>1871</v>
      </c>
      <c r="FU156" s="35" t="s">
        <v>2398</v>
      </c>
      <c r="FV156" s="35" t="s">
        <v>489</v>
      </c>
      <c r="FW156" s="35" t="s">
        <v>2399</v>
      </c>
      <c r="FX156" s="35" t="s">
        <v>1853</v>
      </c>
      <c r="FY156" s="35" t="s">
        <v>4495</v>
      </c>
      <c r="FZ156" s="35" t="s">
        <v>1854</v>
      </c>
      <c r="GA156" s="35" t="s">
        <v>4496</v>
      </c>
      <c r="GC156" s="35" t="s">
        <v>408</v>
      </c>
      <c r="GH156" s="35" t="s">
        <v>789</v>
      </c>
      <c r="GI156" s="35" t="s">
        <v>920</v>
      </c>
      <c r="GJ156" s="35" t="s">
        <v>921</v>
      </c>
      <c r="GQ156" s="35" t="s">
        <v>387</v>
      </c>
      <c r="GR156" s="35" t="s">
        <v>3351</v>
      </c>
    </row>
    <row r="157">
      <c r="A157" s="40"/>
      <c r="B157" s="40">
        <v>45836.7177146412</v>
      </c>
      <c r="C157" s="35" t="s">
        <v>368</v>
      </c>
      <c r="D157" s="35" t="s">
        <v>370</v>
      </c>
      <c r="E157" s="35" t="s">
        <v>370</v>
      </c>
      <c r="F157" s="35" t="s">
        <v>2400</v>
      </c>
      <c r="G157" s="35" t="s">
        <v>4170</v>
      </c>
      <c r="H157" s="35" t="s">
        <v>422</v>
      </c>
      <c r="I157" s="35" t="s">
        <v>373</v>
      </c>
      <c r="J157" s="35" t="s">
        <v>638</v>
      </c>
      <c r="K157" s="35" t="s">
        <v>375</v>
      </c>
      <c r="L157" s="35" t="s">
        <v>376</v>
      </c>
      <c r="M157" s="35" t="s">
        <v>591</v>
      </c>
      <c r="N157" s="35" t="s">
        <v>378</v>
      </c>
      <c r="O157" s="35" t="s">
        <v>591</v>
      </c>
      <c r="P157" s="35" t="s">
        <v>719</v>
      </c>
      <c r="Q157" s="35" t="s">
        <v>498</v>
      </c>
      <c r="R157" s="35" t="s">
        <v>1342</v>
      </c>
      <c r="S157" s="35" t="s">
        <v>427</v>
      </c>
      <c r="T157" s="35" t="s">
        <v>384</v>
      </c>
      <c r="U157" s="35" t="s">
        <v>385</v>
      </c>
      <c r="X157" s="35" t="s">
        <v>386</v>
      </c>
      <c r="Y157" s="35" t="s">
        <v>387</v>
      </c>
      <c r="Z157" s="35" t="s">
        <v>4171</v>
      </c>
      <c r="AA157" s="35" t="s">
        <v>543</v>
      </c>
      <c r="AB157" s="35" t="s">
        <v>4497</v>
      </c>
      <c r="AC157" s="35" t="s">
        <v>11297</v>
      </c>
      <c r="AW157" s="35" t="s">
        <v>504</v>
      </c>
      <c r="AX157" s="41">
        <v>2.0</v>
      </c>
      <c r="AY157" s="35" t="s">
        <v>429</v>
      </c>
      <c r="AZ157" s="35" t="s">
        <v>429</v>
      </c>
      <c r="BA157" s="35" t="s">
        <v>429</v>
      </c>
      <c r="BB157" s="35" t="s">
        <v>429</v>
      </c>
      <c r="BC157" s="35" t="s">
        <v>429</v>
      </c>
      <c r="BD157" s="35" t="s">
        <v>4499</v>
      </c>
      <c r="BE157" s="35" t="s">
        <v>4500</v>
      </c>
      <c r="BF157" s="35" t="s">
        <v>392</v>
      </c>
      <c r="BG157" s="35" t="s">
        <v>433</v>
      </c>
      <c r="BH157" s="35" t="s">
        <v>678</v>
      </c>
      <c r="BI157" s="35" t="s">
        <v>4501</v>
      </c>
      <c r="BJ157" s="35" t="s">
        <v>509</v>
      </c>
      <c r="BK157" s="35" t="s">
        <v>4502</v>
      </c>
      <c r="BL157" s="35" t="s">
        <v>437</v>
      </c>
      <c r="BM157" s="35" t="s">
        <v>512</v>
      </c>
      <c r="BN157" s="35" t="s">
        <v>439</v>
      </c>
      <c r="BO157" s="35" t="s">
        <v>513</v>
      </c>
      <c r="CM157" s="35" t="s">
        <v>441</v>
      </c>
      <c r="CN157" s="35" t="s">
        <v>401</v>
      </c>
      <c r="CO157" s="35" t="s">
        <v>11298</v>
      </c>
      <c r="CP157" s="35" t="s">
        <v>4504</v>
      </c>
      <c r="CQ157" s="35" t="s">
        <v>445</v>
      </c>
      <c r="CR157" s="35" t="s">
        <v>11299</v>
      </c>
      <c r="CS157" s="35" t="s">
        <v>447</v>
      </c>
      <c r="CT157" s="35" t="s">
        <v>4506</v>
      </c>
      <c r="CU157" s="35" t="s">
        <v>4507</v>
      </c>
      <c r="CV157" s="35" t="s">
        <v>450</v>
      </c>
      <c r="CW157" s="35" t="s">
        <v>451</v>
      </c>
      <c r="CX157" s="35" t="s">
        <v>4508</v>
      </c>
      <c r="CY157" s="35" t="s">
        <v>408</v>
      </c>
      <c r="DA157" s="35" t="s">
        <v>453</v>
      </c>
      <c r="DB157" s="35" t="s">
        <v>4509</v>
      </c>
      <c r="DC157" s="35" t="s">
        <v>455</v>
      </c>
      <c r="DD157" s="35" t="s">
        <v>4510</v>
      </c>
      <c r="DE157" s="35" t="s">
        <v>662</v>
      </c>
      <c r="DG157" s="35" t="s">
        <v>4511</v>
      </c>
      <c r="DH157" s="35" t="s">
        <v>561</v>
      </c>
      <c r="DI157" s="35" t="s">
        <v>410</v>
      </c>
      <c r="DJ157" s="35" t="s">
        <v>459</v>
      </c>
      <c r="DK157" s="35" t="s">
        <v>562</v>
      </c>
      <c r="DL157" s="35" t="s">
        <v>461</v>
      </c>
      <c r="EU157" s="35" t="s">
        <v>2747</v>
      </c>
      <c r="EV157" s="35" t="s">
        <v>479</v>
      </c>
      <c r="EW157" s="35" t="s">
        <v>480</v>
      </c>
      <c r="EX157" s="35" t="s">
        <v>4512</v>
      </c>
      <c r="EY157" s="35" t="s">
        <v>4513</v>
      </c>
      <c r="EZ157" s="35" t="s">
        <v>4514</v>
      </c>
      <c r="FA157" s="35" t="s">
        <v>583</v>
      </c>
      <c r="FB157" s="35" t="s">
        <v>583</v>
      </c>
      <c r="FC157" s="35" t="s">
        <v>583</v>
      </c>
      <c r="FD157" s="35" t="s">
        <v>583</v>
      </c>
      <c r="FE157" s="35" t="s">
        <v>415</v>
      </c>
      <c r="FF157" s="35" t="s">
        <v>583</v>
      </c>
      <c r="FG157" s="35" t="s">
        <v>583</v>
      </c>
      <c r="FH157" s="35" t="s">
        <v>413</v>
      </c>
      <c r="FI157" s="35" t="s">
        <v>583</v>
      </c>
      <c r="FJ157" s="35" t="s">
        <v>583</v>
      </c>
      <c r="FK157" s="35" t="s">
        <v>583</v>
      </c>
      <c r="FL157" s="35" t="s">
        <v>583</v>
      </c>
      <c r="FM157" s="35" t="s">
        <v>583</v>
      </c>
      <c r="FN157" s="35" t="s">
        <v>413</v>
      </c>
      <c r="FO157" s="35" t="s">
        <v>583</v>
      </c>
      <c r="FP157" s="35" t="s">
        <v>485</v>
      </c>
      <c r="FQ157" s="35" t="s">
        <v>418</v>
      </c>
      <c r="FR157" s="35" t="s">
        <v>630</v>
      </c>
      <c r="FS157" s="35" t="s">
        <v>4515</v>
      </c>
      <c r="FT157" s="35" t="s">
        <v>420</v>
      </c>
      <c r="FU157" s="35" t="s">
        <v>488</v>
      </c>
      <c r="FV157" s="35" t="s">
        <v>533</v>
      </c>
      <c r="FW157" s="35" t="s">
        <v>490</v>
      </c>
      <c r="FX157" s="35" t="s">
        <v>491</v>
      </c>
      <c r="FY157" s="35" t="s">
        <v>11300</v>
      </c>
      <c r="FZ157" s="35" t="s">
        <v>535</v>
      </c>
      <c r="GA157" s="35" t="s">
        <v>4517</v>
      </c>
      <c r="GB157" s="35" t="s">
        <v>4518</v>
      </c>
      <c r="GC157" s="35" t="s">
        <v>455</v>
      </c>
      <c r="GD157" s="35" t="s">
        <v>11301</v>
      </c>
      <c r="GF157" s="35" t="s">
        <v>753</v>
      </c>
      <c r="GG157" s="35" t="s">
        <v>4519</v>
      </c>
      <c r="GH157" s="35" t="s">
        <v>755</v>
      </c>
      <c r="GI157" s="35" t="s">
        <v>755</v>
      </c>
      <c r="GJ157" s="35" t="s">
        <v>946</v>
      </c>
      <c r="GR157" s="35" t="s">
        <v>3208</v>
      </c>
    </row>
    <row r="158">
      <c r="A158" s="40"/>
      <c r="B158" s="40">
        <v>45836.82635135417</v>
      </c>
      <c r="C158" s="35" t="s">
        <v>368</v>
      </c>
      <c r="D158" s="35" t="s">
        <v>894</v>
      </c>
      <c r="E158" s="35" t="s">
        <v>894</v>
      </c>
      <c r="H158" s="35" t="s">
        <v>422</v>
      </c>
      <c r="I158" s="35" t="s">
        <v>539</v>
      </c>
      <c r="J158" s="35" t="s">
        <v>424</v>
      </c>
      <c r="K158" s="35" t="s">
        <v>425</v>
      </c>
      <c r="L158" s="35" t="s">
        <v>376</v>
      </c>
      <c r="M158" s="35" t="s">
        <v>591</v>
      </c>
      <c r="N158" s="35" t="s">
        <v>639</v>
      </c>
      <c r="O158" s="35" t="s">
        <v>426</v>
      </c>
      <c r="P158" s="35" t="s">
        <v>497</v>
      </c>
      <c r="Q158" s="35" t="s">
        <v>498</v>
      </c>
      <c r="R158" s="35" t="s">
        <v>862</v>
      </c>
      <c r="S158" s="35" t="s">
        <v>427</v>
      </c>
      <c r="T158" s="35" t="s">
        <v>384</v>
      </c>
      <c r="U158" s="35" t="s">
        <v>385</v>
      </c>
      <c r="V158" s="35" t="s">
        <v>896</v>
      </c>
      <c r="W158" s="35" t="s">
        <v>896</v>
      </c>
      <c r="X158" s="35" t="s">
        <v>386</v>
      </c>
      <c r="Y158" s="35" t="s">
        <v>387</v>
      </c>
      <c r="Z158" s="35" t="s">
        <v>388</v>
      </c>
      <c r="AA158" s="35" t="s">
        <v>672</v>
      </c>
      <c r="AB158" s="35" t="s">
        <v>4520</v>
      </c>
      <c r="AC158" s="35" t="s">
        <v>4521</v>
      </c>
      <c r="AW158" s="35" t="s">
        <v>504</v>
      </c>
      <c r="AX158" s="35" t="s">
        <v>429</v>
      </c>
      <c r="AY158" s="35" t="s">
        <v>429</v>
      </c>
      <c r="AZ158" s="35" t="s">
        <v>429</v>
      </c>
      <c r="BA158" s="35" t="s">
        <v>429</v>
      </c>
      <c r="BB158" s="35" t="s">
        <v>429</v>
      </c>
      <c r="BC158" s="35" t="s">
        <v>429</v>
      </c>
      <c r="BD158" s="35" t="s">
        <v>4522</v>
      </c>
      <c r="BE158" s="35" t="s">
        <v>4523</v>
      </c>
      <c r="BF158" s="35" t="s">
        <v>392</v>
      </c>
      <c r="BG158" s="35" t="s">
        <v>433</v>
      </c>
      <c r="BH158" s="35" t="s">
        <v>678</v>
      </c>
      <c r="BI158" s="35" t="s">
        <v>4524</v>
      </c>
      <c r="BJ158" s="35" t="s">
        <v>509</v>
      </c>
      <c r="BK158" s="35" t="s">
        <v>4525</v>
      </c>
      <c r="BL158" s="35" t="s">
        <v>681</v>
      </c>
      <c r="BM158" s="35" t="s">
        <v>904</v>
      </c>
      <c r="BN158" s="35" t="s">
        <v>439</v>
      </c>
      <c r="BO158" s="35" t="s">
        <v>513</v>
      </c>
      <c r="CM158" s="35" t="s">
        <v>441</v>
      </c>
      <c r="CN158" s="35" t="s">
        <v>442</v>
      </c>
      <c r="CO158" s="35" t="s">
        <v>4526</v>
      </c>
      <c r="CP158" s="35" t="s">
        <v>11302</v>
      </c>
      <c r="CQ158" s="35" t="s">
        <v>685</v>
      </c>
      <c r="CR158" s="35" t="s">
        <v>4528</v>
      </c>
      <c r="CS158" s="35" t="s">
        <v>447</v>
      </c>
      <c r="CT158" s="35" t="s">
        <v>4260</v>
      </c>
      <c r="CU158" s="35" t="s">
        <v>4529</v>
      </c>
      <c r="CV158" s="35" t="s">
        <v>450</v>
      </c>
      <c r="CW158" s="35" t="s">
        <v>451</v>
      </c>
      <c r="CX158" s="35" t="s">
        <v>4530</v>
      </c>
      <c r="CY158" s="35" t="s">
        <v>455</v>
      </c>
      <c r="CZ158" s="35" t="s">
        <v>4531</v>
      </c>
      <c r="DA158" s="35" t="s">
        <v>453</v>
      </c>
      <c r="DB158" s="35" t="s">
        <v>4532</v>
      </c>
      <c r="DC158" s="35" t="s">
        <v>455</v>
      </c>
      <c r="DD158" s="35" t="s">
        <v>4533</v>
      </c>
      <c r="DE158" s="35" t="s">
        <v>662</v>
      </c>
      <c r="DG158" s="35" t="s">
        <v>4534</v>
      </c>
      <c r="DH158" s="35" t="s">
        <v>524</v>
      </c>
      <c r="DI158" s="35" t="s">
        <v>410</v>
      </c>
      <c r="DJ158" s="35" t="s">
        <v>459</v>
      </c>
      <c r="DK158" s="35" t="s">
        <v>613</v>
      </c>
      <c r="EU158" s="35" t="s">
        <v>2747</v>
      </c>
      <c r="EV158" s="35" t="s">
        <v>479</v>
      </c>
      <c r="EW158" s="35" t="s">
        <v>480</v>
      </c>
      <c r="EY158" s="35" t="s">
        <v>4535</v>
      </c>
      <c r="EZ158" s="35" t="s">
        <v>4536</v>
      </c>
      <c r="FA158" s="35" t="s">
        <v>583</v>
      </c>
      <c r="FB158" s="35" t="s">
        <v>583</v>
      </c>
      <c r="FC158" s="35" t="s">
        <v>413</v>
      </c>
      <c r="FD158" s="35" t="s">
        <v>583</v>
      </c>
      <c r="FE158" s="35" t="s">
        <v>583</v>
      </c>
      <c r="FF158" s="35" t="s">
        <v>583</v>
      </c>
      <c r="FG158" s="35" t="s">
        <v>583</v>
      </c>
      <c r="FH158" s="35" t="s">
        <v>583</v>
      </c>
      <c r="FI158" s="35" t="s">
        <v>413</v>
      </c>
      <c r="FJ158" s="35" t="s">
        <v>583</v>
      </c>
      <c r="FK158" s="35" t="s">
        <v>583</v>
      </c>
      <c r="FL158" s="35" t="s">
        <v>413</v>
      </c>
      <c r="FM158" s="35" t="s">
        <v>583</v>
      </c>
      <c r="FN158" s="35" t="s">
        <v>583</v>
      </c>
      <c r="FO158" s="35" t="s">
        <v>583</v>
      </c>
      <c r="FP158" s="35" t="s">
        <v>417</v>
      </c>
      <c r="FQ158" s="35" t="s">
        <v>418</v>
      </c>
      <c r="FR158" s="35" t="s">
        <v>630</v>
      </c>
      <c r="FS158" s="35" t="s">
        <v>4537</v>
      </c>
      <c r="FT158" s="35" t="s">
        <v>420</v>
      </c>
      <c r="FU158" s="35" t="s">
        <v>488</v>
      </c>
      <c r="FV158" s="35" t="s">
        <v>533</v>
      </c>
      <c r="FW158" s="35" t="s">
        <v>490</v>
      </c>
      <c r="FX158" s="35" t="s">
        <v>491</v>
      </c>
      <c r="FY158" s="35" t="s">
        <v>4538</v>
      </c>
      <c r="FZ158" s="35" t="s">
        <v>535</v>
      </c>
      <c r="GA158" s="35" t="s">
        <v>4539</v>
      </c>
      <c r="GB158" s="35" t="s">
        <v>4540</v>
      </c>
      <c r="GC158" s="35" t="s">
        <v>455</v>
      </c>
      <c r="GE158" s="35" t="s">
        <v>4541</v>
      </c>
      <c r="GF158" s="35" t="s">
        <v>753</v>
      </c>
      <c r="GG158" s="35" t="s">
        <v>4542</v>
      </c>
      <c r="GH158" s="35" t="s">
        <v>755</v>
      </c>
      <c r="GI158" s="35" t="s">
        <v>755</v>
      </c>
      <c r="GJ158" s="35" t="s">
        <v>946</v>
      </c>
      <c r="GR158" s="35" t="s">
        <v>3208</v>
      </c>
    </row>
    <row r="159">
      <c r="A159" s="40"/>
      <c r="B159" s="40">
        <v>45837.03236370371</v>
      </c>
      <c r="C159" s="35" t="s">
        <v>368</v>
      </c>
      <c r="D159" s="35" t="s">
        <v>370</v>
      </c>
      <c r="E159" s="35" t="s">
        <v>370</v>
      </c>
      <c r="F159" s="35" t="s">
        <v>1798</v>
      </c>
      <c r="G159" s="35" t="s">
        <v>1421</v>
      </c>
      <c r="H159" s="35" t="s">
        <v>422</v>
      </c>
      <c r="I159" s="35" t="s">
        <v>496</v>
      </c>
      <c r="J159" s="35" t="s">
        <v>374</v>
      </c>
      <c r="K159" s="35" t="s">
        <v>425</v>
      </c>
      <c r="L159" s="35" t="s">
        <v>376</v>
      </c>
      <c r="M159" s="35" t="s">
        <v>426</v>
      </c>
      <c r="N159" s="35" t="s">
        <v>4553</v>
      </c>
      <c r="O159" s="35" t="s">
        <v>426</v>
      </c>
      <c r="P159" s="35" t="s">
        <v>380</v>
      </c>
      <c r="Q159" s="35" t="s">
        <v>498</v>
      </c>
      <c r="R159" s="35" t="s">
        <v>818</v>
      </c>
      <c r="S159" s="35" t="s">
        <v>427</v>
      </c>
      <c r="T159" s="35" t="s">
        <v>384</v>
      </c>
      <c r="U159" s="35" t="s">
        <v>385</v>
      </c>
      <c r="X159" s="35" t="s">
        <v>386</v>
      </c>
      <c r="Y159" s="35" t="s">
        <v>387</v>
      </c>
      <c r="AA159" s="35" t="s">
        <v>543</v>
      </c>
      <c r="AB159" s="35" t="s">
        <v>408</v>
      </c>
      <c r="AC159" s="35" t="s">
        <v>408</v>
      </c>
      <c r="AW159" s="35" t="s">
        <v>390</v>
      </c>
      <c r="AX159" s="35" t="s">
        <v>391</v>
      </c>
      <c r="AY159" s="41">
        <v>2.0</v>
      </c>
      <c r="AZ159" s="41">
        <v>2.0</v>
      </c>
      <c r="BA159" s="35" t="s">
        <v>429</v>
      </c>
      <c r="BB159" s="41">
        <v>2.0</v>
      </c>
      <c r="BC159" s="41">
        <v>2.0</v>
      </c>
      <c r="BD159" s="35" t="s">
        <v>4554</v>
      </c>
      <c r="BE159" s="35" t="s">
        <v>4555</v>
      </c>
      <c r="BF159" s="35" t="s">
        <v>392</v>
      </c>
      <c r="BG159" s="35" t="s">
        <v>433</v>
      </c>
      <c r="BH159" s="35" t="s">
        <v>434</v>
      </c>
      <c r="BI159" s="35" t="s">
        <v>4556</v>
      </c>
      <c r="BJ159" s="35" t="s">
        <v>509</v>
      </c>
      <c r="BK159" s="35" t="s">
        <v>4557</v>
      </c>
      <c r="BL159" s="35" t="s">
        <v>511</v>
      </c>
      <c r="BM159" s="35" t="s">
        <v>904</v>
      </c>
      <c r="BN159" s="35" t="s">
        <v>439</v>
      </c>
      <c r="BO159" s="35" t="s">
        <v>513</v>
      </c>
      <c r="CM159" s="35" t="s">
        <v>441</v>
      </c>
      <c r="CN159" s="35" t="s">
        <v>442</v>
      </c>
      <c r="CO159" s="35" t="s">
        <v>4558</v>
      </c>
      <c r="CP159" s="35" t="s">
        <v>4559</v>
      </c>
      <c r="CQ159" s="35" t="s">
        <v>445</v>
      </c>
      <c r="CR159" s="35" t="s">
        <v>4560</v>
      </c>
      <c r="CS159" s="35" t="s">
        <v>447</v>
      </c>
      <c r="CT159" s="35" t="s">
        <v>4561</v>
      </c>
      <c r="CU159" s="35" t="s">
        <v>4562</v>
      </c>
      <c r="CV159" s="35" t="s">
        <v>450</v>
      </c>
      <c r="CW159" s="35" t="s">
        <v>451</v>
      </c>
      <c r="CX159" s="35" t="s">
        <v>4563</v>
      </c>
      <c r="CY159" s="35" t="s">
        <v>408</v>
      </c>
      <c r="DA159" s="35" t="s">
        <v>453</v>
      </c>
      <c r="DB159" s="35" t="s">
        <v>4564</v>
      </c>
      <c r="DC159" s="35" t="s">
        <v>455</v>
      </c>
      <c r="DD159" s="35" t="s">
        <v>4565</v>
      </c>
      <c r="DE159" s="35" t="s">
        <v>988</v>
      </c>
      <c r="DF159" s="35" t="s">
        <v>407</v>
      </c>
      <c r="DG159" s="35" t="s">
        <v>4566</v>
      </c>
      <c r="DH159" s="35" t="s">
        <v>561</v>
      </c>
      <c r="DI159" s="35" t="s">
        <v>410</v>
      </c>
      <c r="DJ159" s="35" t="s">
        <v>459</v>
      </c>
      <c r="DK159" s="35" t="s">
        <v>562</v>
      </c>
      <c r="DL159" s="35" t="s">
        <v>525</v>
      </c>
      <c r="EU159" s="35" t="s">
        <v>578</v>
      </c>
      <c r="EV159" s="35" t="s">
        <v>479</v>
      </c>
      <c r="EW159" s="35" t="s">
        <v>480</v>
      </c>
      <c r="EY159" s="35" t="s">
        <v>11303</v>
      </c>
      <c r="EZ159" s="35" t="s">
        <v>4568</v>
      </c>
      <c r="FA159" s="35" t="s">
        <v>414</v>
      </c>
      <c r="FB159" s="35" t="s">
        <v>583</v>
      </c>
      <c r="FC159" s="35" t="s">
        <v>416</v>
      </c>
      <c r="FD159" s="35" t="s">
        <v>414</v>
      </c>
      <c r="FE159" s="35" t="s">
        <v>415</v>
      </c>
      <c r="FF159" s="35" t="s">
        <v>583</v>
      </c>
      <c r="FG159" s="35" t="s">
        <v>583</v>
      </c>
      <c r="FH159" s="35" t="s">
        <v>413</v>
      </c>
      <c r="FI159" s="35" t="s">
        <v>583</v>
      </c>
      <c r="FJ159" s="35" t="s">
        <v>414</v>
      </c>
      <c r="FK159" s="35" t="s">
        <v>414</v>
      </c>
      <c r="FL159" s="35" t="s">
        <v>413</v>
      </c>
      <c r="FM159" s="35" t="s">
        <v>415</v>
      </c>
      <c r="FN159" s="35" t="s">
        <v>413</v>
      </c>
      <c r="FO159" s="35" t="s">
        <v>414</v>
      </c>
      <c r="FP159" s="35" t="s">
        <v>485</v>
      </c>
      <c r="FQ159" s="35" t="s">
        <v>418</v>
      </c>
      <c r="FR159" s="35" t="s">
        <v>712</v>
      </c>
      <c r="FS159" s="35" t="s">
        <v>4569</v>
      </c>
      <c r="FT159" s="35" t="s">
        <v>420</v>
      </c>
      <c r="FU159" s="35" t="s">
        <v>488</v>
      </c>
      <c r="FV159" s="35" t="s">
        <v>489</v>
      </c>
      <c r="FW159" s="35" t="s">
        <v>490</v>
      </c>
      <c r="FX159" s="35" t="s">
        <v>491</v>
      </c>
      <c r="FY159" s="35" t="s">
        <v>11304</v>
      </c>
      <c r="FZ159" s="35" t="s">
        <v>535</v>
      </c>
      <c r="GA159" s="35" t="s">
        <v>4571</v>
      </c>
      <c r="GC159" s="35" t="s">
        <v>455</v>
      </c>
      <c r="GH159" s="35" t="s">
        <v>857</v>
      </c>
      <c r="GI159" s="35" t="s">
        <v>857</v>
      </c>
      <c r="GJ159" s="35" t="s">
        <v>946</v>
      </c>
      <c r="GR159" s="35" t="s">
        <v>3208</v>
      </c>
    </row>
    <row r="160">
      <c r="A160" s="40"/>
      <c r="B160" s="40">
        <v>45837.456585266205</v>
      </c>
      <c r="C160" s="35" t="s">
        <v>368</v>
      </c>
      <c r="D160" s="35" t="s">
        <v>894</v>
      </c>
      <c r="E160" s="35" t="s">
        <v>894</v>
      </c>
      <c r="H160" s="35" t="s">
        <v>422</v>
      </c>
      <c r="I160" s="35" t="s">
        <v>1203</v>
      </c>
      <c r="J160" s="35" t="s">
        <v>638</v>
      </c>
      <c r="K160" s="35" t="s">
        <v>425</v>
      </c>
      <c r="L160" s="35" t="s">
        <v>376</v>
      </c>
      <c r="M160" s="35" t="s">
        <v>670</v>
      </c>
      <c r="N160" s="35" t="s">
        <v>4572</v>
      </c>
      <c r="O160" s="35" t="s">
        <v>591</v>
      </c>
      <c r="P160" s="35" t="s">
        <v>4573</v>
      </c>
      <c r="Q160" s="35" t="s">
        <v>592</v>
      </c>
      <c r="R160" s="35" t="s">
        <v>862</v>
      </c>
      <c r="S160" s="35" t="s">
        <v>500</v>
      </c>
      <c r="T160" s="35" t="s">
        <v>384</v>
      </c>
      <c r="U160" s="35" t="s">
        <v>385</v>
      </c>
      <c r="V160" s="35" t="s">
        <v>896</v>
      </c>
      <c r="W160" s="35" t="s">
        <v>896</v>
      </c>
      <c r="X160" s="35" t="s">
        <v>3014</v>
      </c>
      <c r="AW160" s="35" t="s">
        <v>504</v>
      </c>
      <c r="AX160" s="35" t="s">
        <v>429</v>
      </c>
      <c r="AY160" s="35" t="s">
        <v>429</v>
      </c>
      <c r="AZ160" s="35" t="s">
        <v>429</v>
      </c>
      <c r="BA160" s="35" t="s">
        <v>429</v>
      </c>
      <c r="BB160" s="35" t="s">
        <v>429</v>
      </c>
      <c r="BC160" s="35" t="s">
        <v>429</v>
      </c>
      <c r="BD160" s="35" t="s">
        <v>11305</v>
      </c>
      <c r="BE160" s="35" t="s">
        <v>4575</v>
      </c>
      <c r="BF160" s="35" t="s">
        <v>392</v>
      </c>
      <c r="BG160" s="35" t="s">
        <v>433</v>
      </c>
      <c r="BH160" s="35" t="s">
        <v>678</v>
      </c>
      <c r="BI160" s="35" t="s">
        <v>11306</v>
      </c>
      <c r="BJ160" s="35" t="s">
        <v>976</v>
      </c>
      <c r="BL160" s="35" t="s">
        <v>511</v>
      </c>
      <c r="BM160" s="35" t="s">
        <v>904</v>
      </c>
      <c r="BN160" s="35" t="s">
        <v>439</v>
      </c>
      <c r="BO160" s="35" t="s">
        <v>513</v>
      </c>
      <c r="CM160" s="35" t="s">
        <v>441</v>
      </c>
      <c r="CN160" s="35" t="s">
        <v>604</v>
      </c>
      <c r="CO160" s="35" t="s">
        <v>6791</v>
      </c>
      <c r="CP160" s="35" t="s">
        <v>11307</v>
      </c>
      <c r="CQ160" s="35" t="s">
        <v>685</v>
      </c>
      <c r="CR160" s="35" t="s">
        <v>4578</v>
      </c>
      <c r="CS160" s="35" t="s">
        <v>804</v>
      </c>
      <c r="CT160" s="35" t="s">
        <v>4579</v>
      </c>
      <c r="CU160" s="35" t="s">
        <v>11308</v>
      </c>
      <c r="CV160" s="35" t="s">
        <v>450</v>
      </c>
      <c r="CW160" s="35" t="s">
        <v>451</v>
      </c>
      <c r="CX160" s="35" t="s">
        <v>11309</v>
      </c>
      <c r="CY160" s="35" t="s">
        <v>408</v>
      </c>
      <c r="DA160" s="35" t="s">
        <v>453</v>
      </c>
      <c r="DB160" s="35" t="s">
        <v>4582</v>
      </c>
      <c r="DC160" s="35" t="s">
        <v>455</v>
      </c>
      <c r="DD160" s="35" t="s">
        <v>11310</v>
      </c>
      <c r="DE160" s="35" t="s">
        <v>662</v>
      </c>
      <c r="DG160" s="35" t="s">
        <v>11311</v>
      </c>
      <c r="DH160" s="35" t="s">
        <v>524</v>
      </c>
      <c r="DI160" s="35" t="s">
        <v>410</v>
      </c>
      <c r="DJ160" s="35" t="s">
        <v>459</v>
      </c>
      <c r="DK160" s="35" t="s">
        <v>613</v>
      </c>
      <c r="EU160" s="35" t="s">
        <v>526</v>
      </c>
      <c r="EV160" s="35" t="s">
        <v>1127</v>
      </c>
      <c r="EW160" s="35" t="s">
        <v>580</v>
      </c>
      <c r="EY160" s="35" t="s">
        <v>4585</v>
      </c>
      <c r="EZ160" s="35" t="s">
        <v>11312</v>
      </c>
      <c r="FA160" s="35" t="s">
        <v>415</v>
      </c>
      <c r="FB160" s="35" t="s">
        <v>413</v>
      </c>
      <c r="FC160" s="35" t="s">
        <v>415</v>
      </c>
      <c r="FD160" s="35" t="s">
        <v>415</v>
      </c>
      <c r="FE160" s="35" t="s">
        <v>415</v>
      </c>
      <c r="FF160" s="35" t="s">
        <v>415</v>
      </c>
      <c r="FG160" s="35" t="s">
        <v>415</v>
      </c>
      <c r="FH160" s="35" t="s">
        <v>415</v>
      </c>
      <c r="FI160" s="35" t="s">
        <v>415</v>
      </c>
      <c r="FJ160" s="35" t="s">
        <v>415</v>
      </c>
      <c r="FK160" s="35" t="s">
        <v>415</v>
      </c>
      <c r="FL160" s="35" t="s">
        <v>415</v>
      </c>
      <c r="FM160" s="35" t="s">
        <v>415</v>
      </c>
      <c r="FN160" s="35" t="s">
        <v>415</v>
      </c>
      <c r="FO160" s="35" t="s">
        <v>415</v>
      </c>
      <c r="FP160" s="35" t="s">
        <v>417</v>
      </c>
      <c r="FQ160" s="35" t="s">
        <v>418</v>
      </c>
      <c r="FR160" s="35" t="s">
        <v>419</v>
      </c>
      <c r="FS160" s="35" t="s">
        <v>11313</v>
      </c>
      <c r="FT160" s="35" t="s">
        <v>420</v>
      </c>
      <c r="FU160" s="35" t="s">
        <v>488</v>
      </c>
      <c r="FV160" s="35" t="s">
        <v>918</v>
      </c>
      <c r="FW160" s="35" t="s">
        <v>490</v>
      </c>
      <c r="FX160" s="35" t="s">
        <v>491</v>
      </c>
      <c r="FY160" s="35" t="s">
        <v>4588</v>
      </c>
      <c r="FZ160" s="35" t="s">
        <v>535</v>
      </c>
      <c r="GC160" s="35" t="s">
        <v>455</v>
      </c>
      <c r="GD160" s="35" t="s">
        <v>11314</v>
      </c>
      <c r="GF160" s="35" t="s">
        <v>753</v>
      </c>
      <c r="GG160" s="35" t="s">
        <v>4589</v>
      </c>
      <c r="GH160" s="35" t="s">
        <v>755</v>
      </c>
      <c r="GI160" s="35" t="s">
        <v>789</v>
      </c>
      <c r="GJ160" s="35" t="s">
        <v>817</v>
      </c>
      <c r="GR160" s="35" t="s">
        <v>3208</v>
      </c>
    </row>
    <row r="161">
      <c r="A161" s="40"/>
      <c r="B161" s="40">
        <v>45837.54343665509</v>
      </c>
      <c r="C161" s="35" t="s">
        <v>368</v>
      </c>
      <c r="D161" s="35" t="s">
        <v>370</v>
      </c>
      <c r="E161" s="35" t="s">
        <v>370</v>
      </c>
      <c r="F161" s="35" t="s">
        <v>2114</v>
      </c>
      <c r="G161" s="35" t="s">
        <v>2114</v>
      </c>
      <c r="H161" s="35" t="s">
        <v>422</v>
      </c>
      <c r="I161" s="35" t="s">
        <v>423</v>
      </c>
      <c r="J161" s="35" t="s">
        <v>424</v>
      </c>
      <c r="K161" s="35" t="s">
        <v>1240</v>
      </c>
      <c r="L161" s="35" t="s">
        <v>376</v>
      </c>
      <c r="M161" s="35" t="s">
        <v>426</v>
      </c>
      <c r="N161" s="35" t="s">
        <v>378</v>
      </c>
      <c r="O161" s="35" t="s">
        <v>379</v>
      </c>
      <c r="P161" s="35" t="s">
        <v>4590</v>
      </c>
      <c r="Q161" s="35" t="s">
        <v>498</v>
      </c>
      <c r="R161" s="35" t="s">
        <v>1156</v>
      </c>
      <c r="S161" s="35" t="s">
        <v>427</v>
      </c>
      <c r="T161" s="35" t="s">
        <v>384</v>
      </c>
      <c r="U161" s="35" t="s">
        <v>385</v>
      </c>
      <c r="X161" s="35" t="s">
        <v>593</v>
      </c>
      <c r="Y161" s="35" t="s">
        <v>387</v>
      </c>
      <c r="Z161" s="35" t="s">
        <v>388</v>
      </c>
      <c r="AA161" s="35" t="s">
        <v>543</v>
      </c>
      <c r="AB161" s="35" t="s">
        <v>11315</v>
      </c>
      <c r="AC161" s="35" t="s">
        <v>11316</v>
      </c>
      <c r="AW161" s="35" t="s">
        <v>504</v>
      </c>
      <c r="AX161" s="35" t="s">
        <v>429</v>
      </c>
      <c r="AY161" s="35" t="s">
        <v>429</v>
      </c>
      <c r="AZ161" s="41">
        <v>4.0</v>
      </c>
      <c r="BA161" s="35" t="s">
        <v>429</v>
      </c>
      <c r="BB161" s="35" t="s">
        <v>429</v>
      </c>
      <c r="BC161" s="35" t="s">
        <v>429</v>
      </c>
      <c r="BD161" s="35" t="s">
        <v>11317</v>
      </c>
      <c r="BE161" s="35" t="s">
        <v>4594</v>
      </c>
      <c r="BF161" s="35" t="s">
        <v>432</v>
      </c>
      <c r="BG161" s="35" t="s">
        <v>433</v>
      </c>
      <c r="BH161" s="35" t="s">
        <v>678</v>
      </c>
      <c r="BI161" s="35" t="s">
        <v>4595</v>
      </c>
      <c r="BJ161" s="35" t="s">
        <v>509</v>
      </c>
      <c r="BK161" s="35" t="s">
        <v>4596</v>
      </c>
      <c r="BL161" s="35" t="s">
        <v>681</v>
      </c>
      <c r="BM161" s="35" t="s">
        <v>512</v>
      </c>
      <c r="BN161" s="35" t="s">
        <v>439</v>
      </c>
      <c r="BO161" s="35" t="s">
        <v>513</v>
      </c>
      <c r="CM161" s="35" t="s">
        <v>441</v>
      </c>
      <c r="CN161" s="35" t="s">
        <v>682</v>
      </c>
      <c r="CO161" s="35" t="s">
        <v>11318</v>
      </c>
      <c r="CP161" s="35" t="s">
        <v>11319</v>
      </c>
      <c r="CQ161" s="35" t="s">
        <v>685</v>
      </c>
      <c r="CR161" s="35" t="s">
        <v>11320</v>
      </c>
      <c r="CS161" s="35" t="s">
        <v>447</v>
      </c>
      <c r="CT161" s="35" t="s">
        <v>805</v>
      </c>
      <c r="CU161" s="35" t="s">
        <v>11321</v>
      </c>
      <c r="CV161" s="35" t="s">
        <v>450</v>
      </c>
      <c r="CW161" s="35" t="s">
        <v>451</v>
      </c>
      <c r="CX161" s="35" t="s">
        <v>4601</v>
      </c>
      <c r="CY161" s="35" t="s">
        <v>455</v>
      </c>
      <c r="CZ161" s="35" t="s">
        <v>11322</v>
      </c>
      <c r="DA161" s="35" t="s">
        <v>453</v>
      </c>
      <c r="DB161" s="35" t="s">
        <v>11323</v>
      </c>
      <c r="DC161" s="35" t="s">
        <v>455</v>
      </c>
      <c r="DD161" s="35" t="s">
        <v>11324</v>
      </c>
      <c r="DE161" s="35" t="s">
        <v>988</v>
      </c>
      <c r="DG161" s="35" t="s">
        <v>4605</v>
      </c>
      <c r="DH161" s="35" t="s">
        <v>693</v>
      </c>
      <c r="DI161" s="35" t="s">
        <v>410</v>
      </c>
      <c r="DJ161" s="35" t="s">
        <v>459</v>
      </c>
      <c r="DK161" s="35" t="s">
        <v>460</v>
      </c>
      <c r="DL161" s="35" t="s">
        <v>461</v>
      </c>
      <c r="EU161" s="35" t="s">
        <v>526</v>
      </c>
      <c r="EV161" s="35" t="s">
        <v>479</v>
      </c>
      <c r="EW161" s="35" t="s">
        <v>480</v>
      </c>
      <c r="EX161" s="35" t="s">
        <v>11325</v>
      </c>
      <c r="EY161" s="35" t="s">
        <v>4607</v>
      </c>
      <c r="EZ161" s="35" t="s">
        <v>11326</v>
      </c>
      <c r="FA161" s="35" t="s">
        <v>583</v>
      </c>
      <c r="FB161" s="35" t="s">
        <v>583</v>
      </c>
      <c r="FC161" s="35" t="s">
        <v>583</v>
      </c>
      <c r="FD161" s="35" t="s">
        <v>583</v>
      </c>
      <c r="FE161" s="35" t="s">
        <v>484</v>
      </c>
      <c r="FF161" s="35" t="s">
        <v>583</v>
      </c>
      <c r="FG161" s="35" t="s">
        <v>484</v>
      </c>
      <c r="FH161" s="35" t="s">
        <v>583</v>
      </c>
      <c r="FI161" s="35" t="s">
        <v>583</v>
      </c>
      <c r="FJ161" s="35" t="s">
        <v>583</v>
      </c>
      <c r="FK161" s="35" t="s">
        <v>583</v>
      </c>
      <c r="FL161" s="35" t="s">
        <v>583</v>
      </c>
      <c r="FM161" s="35" t="s">
        <v>583</v>
      </c>
      <c r="FN161" s="35" t="s">
        <v>583</v>
      </c>
      <c r="FO161" s="35" t="s">
        <v>583</v>
      </c>
      <c r="FP161" s="35" t="s">
        <v>1537</v>
      </c>
      <c r="FQ161" s="35" t="s">
        <v>2524</v>
      </c>
      <c r="FR161" s="35" t="s">
        <v>630</v>
      </c>
      <c r="FS161" s="35" t="s">
        <v>11327</v>
      </c>
      <c r="FT161" s="35" t="s">
        <v>420</v>
      </c>
      <c r="FU161" s="35" t="s">
        <v>488</v>
      </c>
      <c r="FV161" s="35" t="s">
        <v>533</v>
      </c>
      <c r="FW161" s="35" t="s">
        <v>490</v>
      </c>
      <c r="FX161" s="35" t="s">
        <v>1853</v>
      </c>
      <c r="FY161" s="35" t="s">
        <v>11328</v>
      </c>
      <c r="FZ161" s="35" t="s">
        <v>535</v>
      </c>
      <c r="GA161" s="35" t="s">
        <v>4611</v>
      </c>
      <c r="GB161" s="35" t="s">
        <v>11329</v>
      </c>
      <c r="GC161" s="35" t="s">
        <v>455</v>
      </c>
      <c r="GD161" s="35" t="s">
        <v>11330</v>
      </c>
      <c r="GE161" s="35" t="s">
        <v>11331</v>
      </c>
      <c r="GF161" s="35" t="s">
        <v>1339</v>
      </c>
      <c r="GG161" s="35" t="s">
        <v>11332</v>
      </c>
      <c r="GH161" s="35" t="s">
        <v>755</v>
      </c>
      <c r="GI161" s="35" t="s">
        <v>788</v>
      </c>
      <c r="GJ161" s="35" t="s">
        <v>756</v>
      </c>
      <c r="GR161" s="35" t="s">
        <v>11333</v>
      </c>
    </row>
    <row r="162">
      <c r="A162" s="40"/>
      <c r="B162" s="40">
        <v>45838.117896192125</v>
      </c>
      <c r="C162" s="35" t="s">
        <v>368</v>
      </c>
      <c r="D162" s="35" t="s">
        <v>2025</v>
      </c>
      <c r="E162" s="35" t="s">
        <v>2025</v>
      </c>
      <c r="H162" s="35" t="s">
        <v>422</v>
      </c>
      <c r="I162" s="35" t="s">
        <v>423</v>
      </c>
      <c r="J162" s="35" t="s">
        <v>424</v>
      </c>
      <c r="K162" s="35" t="s">
        <v>375</v>
      </c>
      <c r="L162" s="35" t="s">
        <v>376</v>
      </c>
      <c r="M162" s="35" t="s">
        <v>377</v>
      </c>
      <c r="N162" s="35" t="s">
        <v>541</v>
      </c>
      <c r="O162" s="35" t="s">
        <v>379</v>
      </c>
      <c r="P162" s="35" t="s">
        <v>541</v>
      </c>
      <c r="Q162" s="35" t="s">
        <v>498</v>
      </c>
      <c r="R162" s="35" t="s">
        <v>499</v>
      </c>
      <c r="S162" s="35" t="s">
        <v>500</v>
      </c>
      <c r="T162" s="35" t="s">
        <v>384</v>
      </c>
      <c r="U162" s="35" t="s">
        <v>385</v>
      </c>
      <c r="X162" s="35" t="s">
        <v>386</v>
      </c>
      <c r="Y162" s="35" t="s">
        <v>387</v>
      </c>
      <c r="Z162" s="35" t="s">
        <v>2026</v>
      </c>
      <c r="AA162" s="35" t="s">
        <v>543</v>
      </c>
      <c r="AB162" s="35" t="s">
        <v>4638</v>
      </c>
      <c r="AW162" s="35" t="s">
        <v>504</v>
      </c>
      <c r="AX162" s="41">
        <v>2.0</v>
      </c>
      <c r="AY162" s="35" t="s">
        <v>429</v>
      </c>
      <c r="AZ162" s="35" t="s">
        <v>391</v>
      </c>
      <c r="BA162" s="35" t="s">
        <v>429</v>
      </c>
      <c r="BB162" s="35" t="s">
        <v>429</v>
      </c>
      <c r="BC162" s="35" t="s">
        <v>429</v>
      </c>
      <c r="BD162" s="35" t="s">
        <v>4639</v>
      </c>
      <c r="BE162" s="35" t="s">
        <v>4640</v>
      </c>
      <c r="BF162" s="35" t="s">
        <v>392</v>
      </c>
      <c r="BG162" s="35" t="s">
        <v>433</v>
      </c>
      <c r="BH162" s="35" t="s">
        <v>678</v>
      </c>
      <c r="BJ162" s="35" t="s">
        <v>509</v>
      </c>
      <c r="BK162" s="35" t="s">
        <v>4641</v>
      </c>
      <c r="BL162" s="35" t="s">
        <v>511</v>
      </c>
      <c r="BM162" s="35" t="s">
        <v>512</v>
      </c>
      <c r="BN162" s="35" t="s">
        <v>439</v>
      </c>
      <c r="BO162" s="35" t="s">
        <v>513</v>
      </c>
      <c r="CM162" s="35" t="s">
        <v>441</v>
      </c>
      <c r="CN162" s="35" t="s">
        <v>401</v>
      </c>
      <c r="CO162" s="35" t="s">
        <v>4642</v>
      </c>
      <c r="CP162" s="35" t="s">
        <v>4643</v>
      </c>
      <c r="CQ162" s="35" t="s">
        <v>685</v>
      </c>
      <c r="CR162" s="35" t="s">
        <v>4644</v>
      </c>
      <c r="CS162" s="35" t="s">
        <v>447</v>
      </c>
      <c r="CT162" s="35" t="s">
        <v>4645</v>
      </c>
      <c r="CU162" s="35" t="s">
        <v>4646</v>
      </c>
      <c r="CV162" s="35" t="s">
        <v>450</v>
      </c>
      <c r="CX162" s="35" t="s">
        <v>11334</v>
      </c>
      <c r="CY162" s="35" t="s">
        <v>408</v>
      </c>
      <c r="DA162" s="35" t="s">
        <v>453</v>
      </c>
      <c r="DB162" s="35" t="s">
        <v>4648</v>
      </c>
      <c r="DC162" s="35" t="s">
        <v>455</v>
      </c>
      <c r="DD162" s="35" t="s">
        <v>4649</v>
      </c>
      <c r="DE162" s="35" t="s">
        <v>457</v>
      </c>
      <c r="DG162" s="35" t="s">
        <v>4650</v>
      </c>
      <c r="DH162" s="35" t="s">
        <v>776</v>
      </c>
      <c r="DI162" s="35" t="s">
        <v>410</v>
      </c>
      <c r="DJ162" s="35" t="s">
        <v>459</v>
      </c>
      <c r="DK162" s="35" t="s">
        <v>613</v>
      </c>
      <c r="EU162" s="35" t="s">
        <v>526</v>
      </c>
      <c r="EV162" s="35" t="s">
        <v>579</v>
      </c>
      <c r="EW162" s="35" t="s">
        <v>480</v>
      </c>
      <c r="FA162" s="35" t="s">
        <v>583</v>
      </c>
      <c r="FB162" s="35" t="s">
        <v>414</v>
      </c>
      <c r="FC162" s="35" t="s">
        <v>484</v>
      </c>
      <c r="FD162" s="35" t="s">
        <v>484</v>
      </c>
      <c r="FE162" s="35" t="s">
        <v>484</v>
      </c>
      <c r="FF162" s="35" t="s">
        <v>414</v>
      </c>
      <c r="FG162" s="35" t="s">
        <v>484</v>
      </c>
      <c r="FH162" s="35" t="s">
        <v>484</v>
      </c>
      <c r="FI162" s="35" t="s">
        <v>484</v>
      </c>
      <c r="FJ162" s="35" t="s">
        <v>484</v>
      </c>
      <c r="FK162" s="35" t="s">
        <v>484</v>
      </c>
      <c r="FL162" s="35" t="s">
        <v>484</v>
      </c>
      <c r="FM162" s="35" t="s">
        <v>484</v>
      </c>
      <c r="FN162" s="35" t="s">
        <v>484</v>
      </c>
      <c r="FO162" s="35" t="s">
        <v>484</v>
      </c>
      <c r="FP162" s="35" t="s">
        <v>485</v>
      </c>
      <c r="FQ162" s="35" t="s">
        <v>418</v>
      </c>
      <c r="FR162" s="35" t="s">
        <v>712</v>
      </c>
      <c r="FT162" s="35" t="s">
        <v>420</v>
      </c>
      <c r="FU162" s="35" t="s">
        <v>488</v>
      </c>
      <c r="FV162" s="35" t="s">
        <v>918</v>
      </c>
      <c r="FW162" s="35" t="s">
        <v>490</v>
      </c>
      <c r="FX162" s="35" t="s">
        <v>491</v>
      </c>
      <c r="FY162" s="35" t="s">
        <v>4651</v>
      </c>
      <c r="FZ162" s="35" t="s">
        <v>535</v>
      </c>
      <c r="GC162" s="35" t="s">
        <v>455</v>
      </c>
      <c r="GD162" s="35" t="s">
        <v>11335</v>
      </c>
      <c r="GE162" s="29">
        <v>27826883488</v>
      </c>
      <c r="GF162" s="35" t="s">
        <v>786</v>
      </c>
      <c r="GG162" s="35" t="s">
        <v>11336</v>
      </c>
      <c r="GH162" s="35" t="s">
        <v>755</v>
      </c>
      <c r="GI162" s="35" t="s">
        <v>755</v>
      </c>
      <c r="GJ162" s="35" t="s">
        <v>817</v>
      </c>
      <c r="GO162" s="35" t="s">
        <v>2025</v>
      </c>
      <c r="GP162" s="35" t="s">
        <v>2025</v>
      </c>
      <c r="GR162" s="35" t="s">
        <v>4653</v>
      </c>
    </row>
    <row r="163">
      <c r="A163" s="40"/>
      <c r="B163" s="40">
        <v>45839.585315289354</v>
      </c>
      <c r="C163" s="35" t="s">
        <v>368</v>
      </c>
      <c r="D163" s="35" t="s">
        <v>370</v>
      </c>
      <c r="E163" s="35" t="s">
        <v>370</v>
      </c>
      <c r="F163" s="35" t="s">
        <v>2335</v>
      </c>
      <c r="G163" s="35" t="s">
        <v>1421</v>
      </c>
      <c r="H163" s="35" t="s">
        <v>422</v>
      </c>
      <c r="I163" s="35" t="s">
        <v>539</v>
      </c>
      <c r="J163" s="35" t="s">
        <v>424</v>
      </c>
      <c r="K163" s="35" t="s">
        <v>758</v>
      </c>
      <c r="L163" s="35" t="s">
        <v>376</v>
      </c>
      <c r="M163" s="35" t="s">
        <v>426</v>
      </c>
      <c r="N163" s="35" t="s">
        <v>720</v>
      </c>
      <c r="O163" s="35" t="s">
        <v>793</v>
      </c>
      <c r="P163" s="35" t="s">
        <v>2097</v>
      </c>
      <c r="Q163" s="35" t="s">
        <v>498</v>
      </c>
      <c r="R163" s="35" t="s">
        <v>499</v>
      </c>
      <c r="S163" s="35" t="s">
        <v>500</v>
      </c>
      <c r="T163" s="35" t="s">
        <v>384</v>
      </c>
      <c r="U163" s="35" t="s">
        <v>385</v>
      </c>
      <c r="X163" s="35" t="s">
        <v>593</v>
      </c>
      <c r="Y163" s="35" t="s">
        <v>387</v>
      </c>
      <c r="Z163" s="35" t="s">
        <v>388</v>
      </c>
      <c r="AA163" s="35" t="s">
        <v>543</v>
      </c>
      <c r="AB163" s="35" t="s">
        <v>4668</v>
      </c>
      <c r="AC163" s="35" t="s">
        <v>4669</v>
      </c>
      <c r="AW163" s="35" t="s">
        <v>1310</v>
      </c>
      <c r="AX163" s="41">
        <v>2.0</v>
      </c>
      <c r="AY163" s="41">
        <v>2.0</v>
      </c>
      <c r="AZ163" s="41">
        <v>2.0</v>
      </c>
      <c r="BA163" s="35" t="s">
        <v>391</v>
      </c>
      <c r="BB163" s="35" t="s">
        <v>391</v>
      </c>
      <c r="BC163" s="35" t="s">
        <v>391</v>
      </c>
      <c r="BD163" s="35" t="s">
        <v>4670</v>
      </c>
      <c r="BE163" s="35" t="s">
        <v>4671</v>
      </c>
      <c r="BF163" s="35" t="s">
        <v>3114</v>
      </c>
      <c r="BG163" s="35" t="s">
        <v>1095</v>
      </c>
      <c r="BH163" s="35" t="s">
        <v>678</v>
      </c>
      <c r="BI163" s="35" t="s">
        <v>4672</v>
      </c>
      <c r="BJ163" s="35" t="s">
        <v>435</v>
      </c>
      <c r="BK163" s="35" t="s">
        <v>11337</v>
      </c>
      <c r="BL163" s="35" t="s">
        <v>437</v>
      </c>
      <c r="BM163" s="35" t="s">
        <v>438</v>
      </c>
      <c r="BN163" s="35" t="s">
        <v>1247</v>
      </c>
      <c r="BO163" s="35" t="s">
        <v>513</v>
      </c>
      <c r="CM163" s="35" t="s">
        <v>913</v>
      </c>
      <c r="CN163" s="35" t="s">
        <v>442</v>
      </c>
      <c r="CO163" s="35" t="s">
        <v>552</v>
      </c>
      <c r="CP163" s="35" t="s">
        <v>4674</v>
      </c>
      <c r="CQ163" s="35" t="s">
        <v>403</v>
      </c>
      <c r="CR163" s="35" t="s">
        <v>1427</v>
      </c>
      <c r="CS163" s="35" t="s">
        <v>404</v>
      </c>
      <c r="CT163" s="35" t="s">
        <v>1137</v>
      </c>
      <c r="CU163" s="35" t="s">
        <v>4675</v>
      </c>
      <c r="CV163" s="35" t="s">
        <v>982</v>
      </c>
      <c r="CW163" s="35" t="s">
        <v>451</v>
      </c>
      <c r="CX163" s="35" t="s">
        <v>4676</v>
      </c>
      <c r="CY163" s="35" t="s">
        <v>408</v>
      </c>
      <c r="DA163" s="35" t="s">
        <v>453</v>
      </c>
      <c r="DB163" s="35" t="s">
        <v>4677</v>
      </c>
      <c r="DC163" s="35" t="s">
        <v>408</v>
      </c>
      <c r="DE163" s="35" t="s">
        <v>406</v>
      </c>
      <c r="DF163" s="35" t="s">
        <v>407</v>
      </c>
      <c r="DG163" s="35" t="s">
        <v>11338</v>
      </c>
      <c r="DH163" s="35" t="s">
        <v>524</v>
      </c>
      <c r="DI163" s="35" t="s">
        <v>833</v>
      </c>
      <c r="DJ163" s="35" t="s">
        <v>459</v>
      </c>
      <c r="DK163" s="35" t="s">
        <v>613</v>
      </c>
      <c r="EU163" s="35" t="s">
        <v>478</v>
      </c>
      <c r="EV163" s="35" t="s">
        <v>1127</v>
      </c>
      <c r="EW163" s="35" t="s">
        <v>527</v>
      </c>
      <c r="EX163" s="35" t="s">
        <v>4679</v>
      </c>
      <c r="EY163" s="35" t="s">
        <v>4680</v>
      </c>
      <c r="EZ163" s="35" t="s">
        <v>4681</v>
      </c>
      <c r="FA163" s="35" t="s">
        <v>414</v>
      </c>
      <c r="FB163" s="35" t="s">
        <v>414</v>
      </c>
      <c r="FC163" s="35" t="s">
        <v>413</v>
      </c>
      <c r="FD163" s="35" t="s">
        <v>414</v>
      </c>
      <c r="FE163" s="35" t="s">
        <v>413</v>
      </c>
      <c r="FF163" s="35" t="s">
        <v>414</v>
      </c>
      <c r="FG163" s="35" t="s">
        <v>415</v>
      </c>
      <c r="FH163" s="35" t="s">
        <v>413</v>
      </c>
      <c r="FI163" s="35" t="s">
        <v>414</v>
      </c>
      <c r="FJ163" s="35" t="s">
        <v>583</v>
      </c>
      <c r="FK163" s="35" t="s">
        <v>413</v>
      </c>
      <c r="FL163" s="35" t="s">
        <v>414</v>
      </c>
      <c r="FM163" s="35" t="s">
        <v>414</v>
      </c>
      <c r="FN163" s="35" t="s">
        <v>416</v>
      </c>
      <c r="FO163" s="35" t="s">
        <v>414</v>
      </c>
      <c r="FP163" s="35" t="s">
        <v>417</v>
      </c>
      <c r="FQ163" s="35" t="s">
        <v>418</v>
      </c>
      <c r="FR163" s="35" t="s">
        <v>630</v>
      </c>
      <c r="FS163" s="35" t="s">
        <v>4682</v>
      </c>
      <c r="FT163" s="35" t="s">
        <v>420</v>
      </c>
      <c r="FU163" s="35" t="s">
        <v>488</v>
      </c>
      <c r="FV163" s="35" t="s">
        <v>489</v>
      </c>
      <c r="FW163" s="35" t="s">
        <v>490</v>
      </c>
      <c r="FX163" s="35" t="s">
        <v>491</v>
      </c>
      <c r="FY163" s="35" t="s">
        <v>11338</v>
      </c>
      <c r="FZ163" s="35" t="s">
        <v>535</v>
      </c>
      <c r="GA163" s="35" t="s">
        <v>4683</v>
      </c>
      <c r="GB163" s="35" t="s">
        <v>4684</v>
      </c>
      <c r="GC163" s="35" t="s">
        <v>455</v>
      </c>
      <c r="GD163" s="35" t="s">
        <v>11339</v>
      </c>
      <c r="GE163" s="35" t="s">
        <v>11340</v>
      </c>
      <c r="GF163" s="35" t="s">
        <v>786</v>
      </c>
      <c r="GG163" s="35" t="s">
        <v>11341</v>
      </c>
      <c r="GH163" s="35" t="s">
        <v>755</v>
      </c>
      <c r="GI163" s="35" t="s">
        <v>755</v>
      </c>
      <c r="GJ163" s="35" t="s">
        <v>946</v>
      </c>
      <c r="GR163" s="35" t="s">
        <v>3306</v>
      </c>
    </row>
    <row r="164">
      <c r="A164" s="40"/>
      <c r="B164" s="40">
        <v>45839.90020665509</v>
      </c>
      <c r="C164" s="35" t="s">
        <v>368</v>
      </c>
      <c r="D164" s="35" t="s">
        <v>370</v>
      </c>
      <c r="E164" s="35" t="s">
        <v>370</v>
      </c>
      <c r="F164" s="35" t="s">
        <v>495</v>
      </c>
      <c r="G164" s="35" t="s">
        <v>1421</v>
      </c>
      <c r="H164" s="35" t="s">
        <v>422</v>
      </c>
      <c r="I164" s="35" t="s">
        <v>423</v>
      </c>
      <c r="J164" s="35" t="s">
        <v>668</v>
      </c>
      <c r="K164" s="35" t="s">
        <v>590</v>
      </c>
      <c r="L164" s="35" t="s">
        <v>376</v>
      </c>
      <c r="M164" s="35" t="s">
        <v>793</v>
      </c>
      <c r="N164" s="35" t="s">
        <v>639</v>
      </c>
      <c r="O164" s="35" t="s">
        <v>793</v>
      </c>
      <c r="P164" s="35" t="s">
        <v>2594</v>
      </c>
      <c r="Q164" s="35" t="s">
        <v>498</v>
      </c>
      <c r="R164" s="35" t="s">
        <v>818</v>
      </c>
      <c r="S164" s="35" t="s">
        <v>500</v>
      </c>
      <c r="T164" s="35" t="s">
        <v>384</v>
      </c>
      <c r="U164" s="35" t="s">
        <v>385</v>
      </c>
      <c r="X164" s="35" t="s">
        <v>3014</v>
      </c>
      <c r="AW164" s="35" t="s">
        <v>597</v>
      </c>
      <c r="AX164" s="41">
        <v>4.0</v>
      </c>
      <c r="AY164" s="35" t="s">
        <v>391</v>
      </c>
      <c r="AZ164" s="41">
        <v>4.0</v>
      </c>
      <c r="BA164" s="41">
        <v>2.0</v>
      </c>
      <c r="BB164" s="35" t="s">
        <v>391</v>
      </c>
      <c r="BC164" s="41">
        <v>2.0</v>
      </c>
      <c r="BD164" s="35" t="s">
        <v>4686</v>
      </c>
      <c r="BE164" s="35" t="s">
        <v>11342</v>
      </c>
      <c r="BF164" s="35" t="s">
        <v>432</v>
      </c>
      <c r="BG164" s="35" t="s">
        <v>393</v>
      </c>
      <c r="BH164" s="35" t="s">
        <v>725</v>
      </c>
      <c r="BI164" s="35" t="s">
        <v>11343</v>
      </c>
      <c r="BJ164" s="35" t="s">
        <v>435</v>
      </c>
      <c r="BK164" s="35" t="s">
        <v>11344</v>
      </c>
      <c r="BL164" s="35" t="s">
        <v>511</v>
      </c>
      <c r="BM164" s="35" t="s">
        <v>603</v>
      </c>
      <c r="BN164" s="35" t="s">
        <v>397</v>
      </c>
      <c r="BO164" s="35" t="s">
        <v>513</v>
      </c>
      <c r="CM164" s="35" t="s">
        <v>441</v>
      </c>
      <c r="CN164" s="35" t="s">
        <v>604</v>
      </c>
      <c r="CO164" s="35" t="s">
        <v>4690</v>
      </c>
      <c r="CP164" s="35" t="s">
        <v>11345</v>
      </c>
      <c r="CQ164" s="35" t="s">
        <v>445</v>
      </c>
      <c r="CR164" s="35" t="s">
        <v>4692</v>
      </c>
      <c r="CS164" s="35" t="s">
        <v>447</v>
      </c>
      <c r="CT164" s="35" t="s">
        <v>4693</v>
      </c>
      <c r="CU164" s="35" t="s">
        <v>11346</v>
      </c>
      <c r="CV164" s="35" t="s">
        <v>1863</v>
      </c>
      <c r="CW164" s="35" t="s">
        <v>409</v>
      </c>
      <c r="CX164" s="35" t="s">
        <v>11347</v>
      </c>
      <c r="CY164" s="35" t="s">
        <v>455</v>
      </c>
      <c r="CZ164" s="35" t="s">
        <v>11348</v>
      </c>
      <c r="DA164" s="35" t="s">
        <v>1398</v>
      </c>
      <c r="DB164" s="35" t="s">
        <v>11349</v>
      </c>
      <c r="DC164" s="35" t="s">
        <v>408</v>
      </c>
      <c r="DE164" s="35" t="s">
        <v>406</v>
      </c>
      <c r="DF164" s="35" t="s">
        <v>1867</v>
      </c>
      <c r="DG164" s="35" t="s">
        <v>4698</v>
      </c>
      <c r="DH164" s="35" t="s">
        <v>776</v>
      </c>
      <c r="DI164" s="35" t="s">
        <v>1220</v>
      </c>
      <c r="DJ164" s="35" t="s">
        <v>459</v>
      </c>
      <c r="DK164" s="35" t="s">
        <v>613</v>
      </c>
      <c r="EU164" s="35" t="s">
        <v>478</v>
      </c>
      <c r="EV164" s="35" t="s">
        <v>479</v>
      </c>
      <c r="EW164" s="35" t="s">
        <v>1262</v>
      </c>
      <c r="EX164" s="35" t="s">
        <v>11350</v>
      </c>
      <c r="EY164" s="35" t="s">
        <v>11351</v>
      </c>
      <c r="EZ164" s="35" t="s">
        <v>11352</v>
      </c>
      <c r="FA164" s="35" t="s">
        <v>415</v>
      </c>
      <c r="FB164" s="35" t="s">
        <v>414</v>
      </c>
      <c r="FC164" s="35" t="s">
        <v>413</v>
      </c>
      <c r="FD164" s="35" t="s">
        <v>416</v>
      </c>
      <c r="FE164" s="35" t="s">
        <v>416</v>
      </c>
      <c r="FF164" s="35" t="s">
        <v>583</v>
      </c>
      <c r="FG164" s="35" t="s">
        <v>416</v>
      </c>
      <c r="FH164" s="35" t="s">
        <v>416</v>
      </c>
      <c r="FI164" s="35" t="s">
        <v>413</v>
      </c>
      <c r="FJ164" s="35" t="s">
        <v>414</v>
      </c>
      <c r="FK164" s="35" t="s">
        <v>416</v>
      </c>
      <c r="FL164" s="35" t="s">
        <v>415</v>
      </c>
      <c r="FM164" s="35" t="s">
        <v>415</v>
      </c>
      <c r="FN164" s="35" t="s">
        <v>415</v>
      </c>
      <c r="FO164" s="35" t="s">
        <v>583</v>
      </c>
      <c r="FP164" s="35" t="s">
        <v>3396</v>
      </c>
      <c r="FQ164" s="35" t="s">
        <v>486</v>
      </c>
      <c r="FR164" s="35" t="s">
        <v>1039</v>
      </c>
      <c r="FS164" s="35" t="s">
        <v>4702</v>
      </c>
      <c r="FT164" s="35" t="s">
        <v>420</v>
      </c>
      <c r="FU164" s="35" t="s">
        <v>1462</v>
      </c>
      <c r="FV164" s="35" t="s">
        <v>489</v>
      </c>
      <c r="FW164" s="35" t="s">
        <v>490</v>
      </c>
      <c r="FX164" s="35" t="s">
        <v>491</v>
      </c>
      <c r="FY164" s="35" t="s">
        <v>4703</v>
      </c>
      <c r="FZ164" s="35" t="s">
        <v>1020</v>
      </c>
      <c r="GA164" s="35" t="s">
        <v>4704</v>
      </c>
      <c r="GC164" s="35" t="s">
        <v>455</v>
      </c>
      <c r="GD164" s="35" t="s">
        <v>11353</v>
      </c>
      <c r="GF164" s="35" t="s">
        <v>753</v>
      </c>
      <c r="GG164" s="35" t="s">
        <v>4705</v>
      </c>
      <c r="GH164" s="35" t="s">
        <v>1000</v>
      </c>
      <c r="GI164" s="35" t="s">
        <v>1000</v>
      </c>
      <c r="GJ164" s="35" t="s">
        <v>817</v>
      </c>
      <c r="GR164" s="35" t="s">
        <v>4706</v>
      </c>
    </row>
    <row r="165">
      <c r="A165" s="40"/>
      <c r="B165" s="40">
        <v>45844.41842277777</v>
      </c>
      <c r="C165" s="35" t="s">
        <v>368</v>
      </c>
      <c r="D165" s="35" t="s">
        <v>370</v>
      </c>
      <c r="E165" s="35" t="s">
        <v>1267</v>
      </c>
      <c r="F165" s="35" t="s">
        <v>791</v>
      </c>
      <c r="H165" s="35" t="s">
        <v>422</v>
      </c>
      <c r="I165" s="35" t="s">
        <v>1921</v>
      </c>
      <c r="J165" s="35" t="s">
        <v>668</v>
      </c>
      <c r="K165" s="35" t="s">
        <v>375</v>
      </c>
      <c r="L165" s="35" t="s">
        <v>376</v>
      </c>
      <c r="M165" s="35" t="s">
        <v>379</v>
      </c>
      <c r="N165" s="35" t="s">
        <v>378</v>
      </c>
      <c r="O165" s="35" t="s">
        <v>379</v>
      </c>
      <c r="P165" s="35" t="s">
        <v>497</v>
      </c>
      <c r="Q165" s="35" t="s">
        <v>498</v>
      </c>
      <c r="R165" s="35" t="s">
        <v>499</v>
      </c>
      <c r="S165" s="35" t="s">
        <v>500</v>
      </c>
      <c r="T165" s="35" t="s">
        <v>384</v>
      </c>
      <c r="U165" s="35" t="s">
        <v>385</v>
      </c>
      <c r="X165" s="35" t="s">
        <v>386</v>
      </c>
      <c r="Y165" s="35" t="s">
        <v>387</v>
      </c>
      <c r="Z165" s="35" t="s">
        <v>388</v>
      </c>
      <c r="AA165" s="35" t="s">
        <v>543</v>
      </c>
      <c r="AB165" s="35" t="s">
        <v>2675</v>
      </c>
      <c r="AW165" s="35" t="s">
        <v>1310</v>
      </c>
      <c r="AX165" s="35" t="s">
        <v>675</v>
      </c>
      <c r="AY165" s="35" t="s">
        <v>675</v>
      </c>
      <c r="AZ165" s="35" t="s">
        <v>675</v>
      </c>
      <c r="BA165" s="41">
        <v>4.0</v>
      </c>
      <c r="BB165" s="35" t="s">
        <v>391</v>
      </c>
      <c r="BC165" s="35" t="s">
        <v>391</v>
      </c>
      <c r="BD165" s="35" t="s">
        <v>4851</v>
      </c>
      <c r="BE165" s="35" t="s">
        <v>4852</v>
      </c>
      <c r="BF165" s="35" t="s">
        <v>432</v>
      </c>
      <c r="BG165" s="35" t="s">
        <v>1095</v>
      </c>
      <c r="BH165" s="35" t="s">
        <v>434</v>
      </c>
      <c r="BJ165" s="35" t="s">
        <v>976</v>
      </c>
      <c r="BK165" s="35" t="s">
        <v>4148</v>
      </c>
      <c r="BL165" s="35" t="s">
        <v>602</v>
      </c>
      <c r="BM165" s="35" t="s">
        <v>603</v>
      </c>
      <c r="BN165" s="35" t="s">
        <v>1247</v>
      </c>
      <c r="BO165" s="35" t="s">
        <v>513</v>
      </c>
      <c r="CM165" s="35" t="s">
        <v>441</v>
      </c>
      <c r="CN165" s="35" t="s">
        <v>604</v>
      </c>
      <c r="CO165" s="35" t="s">
        <v>4853</v>
      </c>
      <c r="CP165" s="35" t="s">
        <v>2675</v>
      </c>
      <c r="CQ165" s="35" t="s">
        <v>1008</v>
      </c>
      <c r="CR165" s="35" t="s">
        <v>4854</v>
      </c>
      <c r="CS165" s="35" t="s">
        <v>447</v>
      </c>
      <c r="CT165" s="35" t="s">
        <v>1626</v>
      </c>
      <c r="CU165" s="35" t="s">
        <v>4855</v>
      </c>
      <c r="CV165" s="35" t="s">
        <v>1852</v>
      </c>
      <c r="CW165" s="35" t="s">
        <v>451</v>
      </c>
      <c r="CX165" s="35" t="s">
        <v>4856</v>
      </c>
      <c r="CY165" s="35" t="s">
        <v>408</v>
      </c>
      <c r="DA165" s="35" t="s">
        <v>1962</v>
      </c>
      <c r="DC165" s="35" t="s">
        <v>408</v>
      </c>
      <c r="DE165" s="35" t="s">
        <v>988</v>
      </c>
      <c r="DG165" s="35" t="s">
        <v>4857</v>
      </c>
      <c r="DH165" s="35" t="s">
        <v>990</v>
      </c>
      <c r="DI165" s="35" t="s">
        <v>1964</v>
      </c>
      <c r="DJ165" s="35" t="s">
        <v>459</v>
      </c>
      <c r="DK165" s="35" t="s">
        <v>460</v>
      </c>
      <c r="DL165" s="35" t="s">
        <v>461</v>
      </c>
      <c r="EU165" s="35" t="s">
        <v>526</v>
      </c>
      <c r="EV165" s="35" t="s">
        <v>887</v>
      </c>
      <c r="EW165" s="35" t="s">
        <v>527</v>
      </c>
      <c r="EY165" s="35" t="s">
        <v>4858</v>
      </c>
      <c r="EZ165" s="35" t="s">
        <v>4859</v>
      </c>
      <c r="FA165" s="35" t="s">
        <v>415</v>
      </c>
      <c r="FB165" s="35" t="s">
        <v>583</v>
      </c>
      <c r="FC165" s="35" t="s">
        <v>583</v>
      </c>
      <c r="FD165" s="35" t="s">
        <v>583</v>
      </c>
      <c r="FE165" s="35" t="s">
        <v>583</v>
      </c>
      <c r="FF165" s="35" t="s">
        <v>413</v>
      </c>
      <c r="FG165" s="35" t="s">
        <v>415</v>
      </c>
      <c r="FH165" s="35" t="s">
        <v>583</v>
      </c>
      <c r="FI165" s="35" t="s">
        <v>415</v>
      </c>
      <c r="FJ165" s="35" t="s">
        <v>416</v>
      </c>
      <c r="FK165" s="35" t="s">
        <v>415</v>
      </c>
      <c r="FL165" s="35" t="s">
        <v>413</v>
      </c>
      <c r="FM165" s="35" t="s">
        <v>413</v>
      </c>
      <c r="FN165" s="35" t="s">
        <v>583</v>
      </c>
      <c r="FO165" s="35" t="s">
        <v>416</v>
      </c>
      <c r="FP165" s="35" t="s">
        <v>1074</v>
      </c>
      <c r="FQ165" s="35" t="s">
        <v>2651</v>
      </c>
      <c r="FR165" s="35" t="s">
        <v>531</v>
      </c>
      <c r="FS165" s="35" t="s">
        <v>4860</v>
      </c>
      <c r="FT165" s="35" t="s">
        <v>420</v>
      </c>
      <c r="FU165" s="35" t="s">
        <v>421</v>
      </c>
      <c r="FV165" s="35" t="s">
        <v>489</v>
      </c>
      <c r="FW165" s="35" t="s">
        <v>490</v>
      </c>
      <c r="FX165" s="35" t="s">
        <v>1853</v>
      </c>
      <c r="FZ165" s="35" t="s">
        <v>1854</v>
      </c>
      <c r="GC165" s="35" t="s">
        <v>408</v>
      </c>
      <c r="GH165" s="35" t="s">
        <v>755</v>
      </c>
      <c r="GI165" s="35" t="s">
        <v>755</v>
      </c>
      <c r="GJ165" s="35" t="s">
        <v>756</v>
      </c>
      <c r="GP165" s="35" t="s">
        <v>1267</v>
      </c>
      <c r="GR165" s="35" t="s">
        <v>3351</v>
      </c>
      <c r="GU165" s="35" t="s">
        <v>4774</v>
      </c>
      <c r="GV165" s="35" t="s">
        <v>4148</v>
      </c>
    </row>
    <row r="166">
      <c r="A166" s="40"/>
      <c r="B166" s="40">
        <v>45845.51969324074</v>
      </c>
      <c r="C166" s="35" t="s">
        <v>368</v>
      </c>
      <c r="D166" s="35" t="s">
        <v>370</v>
      </c>
      <c r="E166" s="35" t="s">
        <v>370</v>
      </c>
      <c r="F166" s="35" t="s">
        <v>2708</v>
      </c>
      <c r="G166" s="35" t="s">
        <v>2708</v>
      </c>
      <c r="H166" s="35" t="s">
        <v>422</v>
      </c>
      <c r="I166" s="35" t="s">
        <v>1921</v>
      </c>
      <c r="J166" s="35" t="s">
        <v>668</v>
      </c>
      <c r="K166" s="35" t="s">
        <v>718</v>
      </c>
      <c r="L166" s="35" t="s">
        <v>376</v>
      </c>
      <c r="M166" s="35" t="s">
        <v>379</v>
      </c>
      <c r="N166" s="35" t="s">
        <v>719</v>
      </c>
      <c r="O166" s="35" t="s">
        <v>379</v>
      </c>
      <c r="P166" s="35" t="s">
        <v>380</v>
      </c>
      <c r="Q166" s="35" t="s">
        <v>498</v>
      </c>
      <c r="R166" s="35" t="s">
        <v>862</v>
      </c>
      <c r="S166" s="35" t="s">
        <v>427</v>
      </c>
      <c r="T166" s="35" t="s">
        <v>384</v>
      </c>
      <c r="U166" s="35" t="s">
        <v>385</v>
      </c>
      <c r="X166" s="35" t="s">
        <v>593</v>
      </c>
      <c r="Y166" s="35" t="s">
        <v>387</v>
      </c>
      <c r="Z166" s="35" t="s">
        <v>1595</v>
      </c>
      <c r="AA166" s="35" t="s">
        <v>543</v>
      </c>
      <c r="AB166" s="35" t="s">
        <v>408</v>
      </c>
      <c r="AW166" s="35" t="s">
        <v>1242</v>
      </c>
      <c r="AX166" s="41">
        <v>4.0</v>
      </c>
      <c r="AY166" s="41">
        <v>4.0</v>
      </c>
      <c r="AZ166" s="41">
        <v>4.0</v>
      </c>
      <c r="BA166" s="35" t="s">
        <v>675</v>
      </c>
      <c r="BB166" s="41">
        <v>4.0</v>
      </c>
      <c r="BC166" s="41">
        <v>4.0</v>
      </c>
      <c r="BD166" s="35" t="s">
        <v>11354</v>
      </c>
      <c r="BE166" s="35" t="s">
        <v>11355</v>
      </c>
      <c r="BF166" s="35" t="s">
        <v>902</v>
      </c>
      <c r="BG166" s="35" t="s">
        <v>1245</v>
      </c>
      <c r="BH166" s="35" t="s">
        <v>394</v>
      </c>
      <c r="BI166" s="35" t="s">
        <v>11356</v>
      </c>
      <c r="BJ166" s="35" t="s">
        <v>976</v>
      </c>
      <c r="BL166" s="35" t="s">
        <v>395</v>
      </c>
      <c r="BM166" s="35" t="s">
        <v>904</v>
      </c>
      <c r="BN166" s="35" t="s">
        <v>1314</v>
      </c>
      <c r="BO166" s="35" t="s">
        <v>513</v>
      </c>
      <c r="CN166" s="35" t="s">
        <v>442</v>
      </c>
      <c r="CO166" s="35" t="s">
        <v>11357</v>
      </c>
      <c r="CP166" s="35" t="s">
        <v>11358</v>
      </c>
      <c r="CQ166" s="35" t="s">
        <v>685</v>
      </c>
      <c r="CR166" s="35" t="s">
        <v>1467</v>
      </c>
      <c r="CS166" s="35" t="s">
        <v>447</v>
      </c>
      <c r="CT166" s="35" t="s">
        <v>4880</v>
      </c>
      <c r="CU166" s="35" t="s">
        <v>11359</v>
      </c>
      <c r="CV166" s="35" t="s">
        <v>1863</v>
      </c>
      <c r="CW166" s="35" t="s">
        <v>1931</v>
      </c>
      <c r="CY166" s="35" t="s">
        <v>408</v>
      </c>
      <c r="DA166" s="35" t="s">
        <v>1962</v>
      </c>
      <c r="DC166" s="35" t="s">
        <v>408</v>
      </c>
      <c r="DE166" s="35" t="s">
        <v>988</v>
      </c>
      <c r="DH166" s="35" t="s">
        <v>693</v>
      </c>
      <c r="DI166" s="35" t="s">
        <v>1220</v>
      </c>
      <c r="DJ166" s="35" t="s">
        <v>963</v>
      </c>
      <c r="DK166" s="35" t="s">
        <v>613</v>
      </c>
      <c r="EU166" s="35" t="s">
        <v>578</v>
      </c>
      <c r="EV166" s="35" t="s">
        <v>479</v>
      </c>
      <c r="EW166" s="35" t="s">
        <v>580</v>
      </c>
      <c r="EY166" s="35" t="s">
        <v>2238</v>
      </c>
      <c r="EZ166" s="35" t="s">
        <v>2238</v>
      </c>
      <c r="FA166" s="35" t="s">
        <v>484</v>
      </c>
      <c r="FB166" s="35" t="s">
        <v>414</v>
      </c>
      <c r="FC166" s="35" t="s">
        <v>583</v>
      </c>
      <c r="FD166" s="35" t="s">
        <v>583</v>
      </c>
      <c r="FE166" s="35" t="s">
        <v>484</v>
      </c>
      <c r="FF166" s="35" t="s">
        <v>414</v>
      </c>
      <c r="FG166" s="35" t="s">
        <v>484</v>
      </c>
      <c r="FH166" s="35" t="s">
        <v>484</v>
      </c>
      <c r="FI166" s="35" t="s">
        <v>484</v>
      </c>
      <c r="FJ166" s="35" t="s">
        <v>484</v>
      </c>
      <c r="FK166" s="35" t="s">
        <v>415</v>
      </c>
      <c r="FL166" s="35" t="s">
        <v>484</v>
      </c>
      <c r="FM166" s="35" t="s">
        <v>484</v>
      </c>
      <c r="FN166" s="35" t="s">
        <v>484</v>
      </c>
      <c r="FO166" s="35" t="s">
        <v>484</v>
      </c>
      <c r="FP166" s="35" t="s">
        <v>850</v>
      </c>
      <c r="FQ166" s="35" t="s">
        <v>1200</v>
      </c>
      <c r="FR166" s="35" t="s">
        <v>419</v>
      </c>
      <c r="FS166" s="35" t="s">
        <v>11360</v>
      </c>
      <c r="FT166" s="35" t="s">
        <v>1871</v>
      </c>
      <c r="FU166" s="35" t="s">
        <v>421</v>
      </c>
      <c r="FV166" s="35" t="s">
        <v>489</v>
      </c>
      <c r="FW166" s="35" t="s">
        <v>490</v>
      </c>
      <c r="FX166" s="35" t="s">
        <v>1853</v>
      </c>
      <c r="FY166" s="35" t="s">
        <v>4883</v>
      </c>
      <c r="FZ166" s="35" t="s">
        <v>1854</v>
      </c>
      <c r="GA166" s="35" t="s">
        <v>11361</v>
      </c>
      <c r="GB166" s="35" t="s">
        <v>11362</v>
      </c>
      <c r="GC166" s="35" t="s">
        <v>455</v>
      </c>
      <c r="GD166" s="35" t="s">
        <v>11363</v>
      </c>
      <c r="GF166" s="35" t="s">
        <v>855</v>
      </c>
      <c r="GH166" s="35" t="s">
        <v>788</v>
      </c>
      <c r="GI166" s="35" t="s">
        <v>788</v>
      </c>
      <c r="GJ166" s="35" t="s">
        <v>921</v>
      </c>
      <c r="GR166" s="35" t="s">
        <v>4886</v>
      </c>
      <c r="GU166" s="35" t="s">
        <v>4774</v>
      </c>
    </row>
    <row r="167">
      <c r="A167" s="40"/>
      <c r="B167" s="40">
        <v>45846.13157090278</v>
      </c>
      <c r="C167" s="35" t="s">
        <v>368</v>
      </c>
      <c r="D167" s="35" t="s">
        <v>538</v>
      </c>
      <c r="E167" s="35" t="s">
        <v>538</v>
      </c>
      <c r="H167" s="35" t="s">
        <v>422</v>
      </c>
      <c r="I167" s="35" t="s">
        <v>496</v>
      </c>
      <c r="J167" s="35" t="s">
        <v>374</v>
      </c>
      <c r="K167" s="35" t="s">
        <v>425</v>
      </c>
      <c r="L167" s="35" t="s">
        <v>376</v>
      </c>
      <c r="M167" s="35" t="s">
        <v>379</v>
      </c>
      <c r="N167" s="35" t="s">
        <v>541</v>
      </c>
      <c r="O167" s="35" t="s">
        <v>426</v>
      </c>
      <c r="P167" s="35" t="s">
        <v>497</v>
      </c>
      <c r="Q167" s="35" t="s">
        <v>498</v>
      </c>
      <c r="R167" s="35" t="s">
        <v>499</v>
      </c>
      <c r="S167" s="35" t="s">
        <v>427</v>
      </c>
      <c r="T167" s="35" t="s">
        <v>384</v>
      </c>
      <c r="U167" s="35" t="s">
        <v>385</v>
      </c>
      <c r="X167" s="35" t="s">
        <v>386</v>
      </c>
      <c r="Y167" s="35" t="s">
        <v>387</v>
      </c>
      <c r="Z167" s="35" t="s">
        <v>388</v>
      </c>
      <c r="AB167" s="35" t="s">
        <v>408</v>
      </c>
      <c r="AW167" s="35" t="s">
        <v>390</v>
      </c>
      <c r="AX167" s="41">
        <v>2.0</v>
      </c>
      <c r="AY167" s="41">
        <v>2.0</v>
      </c>
      <c r="AZ167" s="35" t="s">
        <v>429</v>
      </c>
      <c r="BA167" s="41">
        <v>2.0</v>
      </c>
      <c r="BB167" s="35" t="s">
        <v>429</v>
      </c>
      <c r="BC167" s="41">
        <v>2.0</v>
      </c>
      <c r="BD167" s="35" t="s">
        <v>4887</v>
      </c>
      <c r="BE167" s="35" t="s">
        <v>4888</v>
      </c>
      <c r="BF167" s="35" t="s">
        <v>392</v>
      </c>
      <c r="BG167" s="35" t="s">
        <v>433</v>
      </c>
      <c r="BH167" s="35" t="s">
        <v>678</v>
      </c>
      <c r="BI167" s="35" t="s">
        <v>4889</v>
      </c>
      <c r="BJ167" s="35" t="s">
        <v>509</v>
      </c>
      <c r="BK167" s="35" t="s">
        <v>4890</v>
      </c>
      <c r="BL167" s="35" t="s">
        <v>511</v>
      </c>
      <c r="BM167" s="35" t="s">
        <v>512</v>
      </c>
      <c r="BN167" s="35" t="s">
        <v>439</v>
      </c>
      <c r="BO167" s="35" t="s">
        <v>513</v>
      </c>
      <c r="CM167" s="35" t="s">
        <v>550</v>
      </c>
      <c r="CN167" s="35" t="s">
        <v>401</v>
      </c>
      <c r="CO167" s="35" t="s">
        <v>4891</v>
      </c>
      <c r="CP167" s="35" t="s">
        <v>4892</v>
      </c>
      <c r="CQ167" s="35" t="s">
        <v>1008</v>
      </c>
      <c r="CR167" s="35" t="s">
        <v>4893</v>
      </c>
      <c r="CS167" s="35" t="s">
        <v>404</v>
      </c>
      <c r="CT167" s="35" t="s">
        <v>4894</v>
      </c>
      <c r="CU167" s="35" t="s">
        <v>11364</v>
      </c>
      <c r="CV167" s="35" t="s">
        <v>519</v>
      </c>
      <c r="CW167" s="35" t="s">
        <v>451</v>
      </c>
      <c r="CX167" s="35" t="s">
        <v>4896</v>
      </c>
      <c r="CY167" s="35" t="s">
        <v>408</v>
      </c>
      <c r="DA167" s="35" t="s">
        <v>453</v>
      </c>
      <c r="DB167" s="35" t="s">
        <v>4897</v>
      </c>
      <c r="DC167" s="35" t="s">
        <v>408</v>
      </c>
      <c r="DE167" s="35" t="s">
        <v>662</v>
      </c>
      <c r="DG167" s="35" t="s">
        <v>11365</v>
      </c>
      <c r="DH167" s="35" t="s">
        <v>4899</v>
      </c>
      <c r="DI167" s="35" t="s">
        <v>410</v>
      </c>
      <c r="DJ167" s="35" t="s">
        <v>963</v>
      </c>
      <c r="DK167" s="35" t="s">
        <v>613</v>
      </c>
      <c r="EU167" s="35" t="s">
        <v>526</v>
      </c>
      <c r="EV167" s="35" t="s">
        <v>1037</v>
      </c>
      <c r="EW167" s="35" t="s">
        <v>580</v>
      </c>
      <c r="EY167" s="35" t="s">
        <v>4900</v>
      </c>
      <c r="EZ167" s="35" t="s">
        <v>4901</v>
      </c>
      <c r="FA167" s="35" t="s">
        <v>583</v>
      </c>
      <c r="FB167" s="35" t="s">
        <v>583</v>
      </c>
      <c r="FC167" s="35" t="s">
        <v>413</v>
      </c>
      <c r="FD167" s="35" t="s">
        <v>583</v>
      </c>
      <c r="FE167" s="35" t="s">
        <v>413</v>
      </c>
      <c r="FF167" s="35" t="s">
        <v>583</v>
      </c>
      <c r="FG167" s="35" t="s">
        <v>484</v>
      </c>
      <c r="FH167" s="35" t="s">
        <v>484</v>
      </c>
      <c r="FI167" s="35" t="s">
        <v>484</v>
      </c>
      <c r="FJ167" s="35" t="s">
        <v>413</v>
      </c>
      <c r="FK167" s="35" t="s">
        <v>484</v>
      </c>
      <c r="FL167" s="35" t="s">
        <v>484</v>
      </c>
      <c r="FM167" s="35" t="s">
        <v>484</v>
      </c>
      <c r="FN167" s="35" t="s">
        <v>484</v>
      </c>
      <c r="FO167" s="35" t="s">
        <v>484</v>
      </c>
      <c r="FP167" s="35" t="s">
        <v>417</v>
      </c>
      <c r="FQ167" s="35" t="s">
        <v>418</v>
      </c>
      <c r="FR167" s="35" t="s">
        <v>712</v>
      </c>
      <c r="FT167" s="35" t="s">
        <v>420</v>
      </c>
      <c r="FU167" s="35" t="s">
        <v>1462</v>
      </c>
      <c r="FV167" s="35" t="s">
        <v>1235</v>
      </c>
      <c r="FW167" s="35" t="s">
        <v>490</v>
      </c>
      <c r="FX167" s="35" t="s">
        <v>491</v>
      </c>
      <c r="FY167" s="35" t="s">
        <v>4902</v>
      </c>
      <c r="FZ167" s="35" t="s">
        <v>535</v>
      </c>
      <c r="GA167" s="35" t="s">
        <v>4903</v>
      </c>
      <c r="GC167" s="35" t="s">
        <v>455</v>
      </c>
      <c r="GD167" s="35" t="s">
        <v>11366</v>
      </c>
      <c r="GF167" s="35" t="s">
        <v>753</v>
      </c>
      <c r="GG167" s="35" t="s">
        <v>4904</v>
      </c>
      <c r="GH167" s="35" t="s">
        <v>755</v>
      </c>
      <c r="GI167" s="35" t="s">
        <v>755</v>
      </c>
      <c r="GJ167" s="35" t="s">
        <v>946</v>
      </c>
      <c r="GO167" s="35" t="s">
        <v>3012</v>
      </c>
      <c r="GP167" s="35" t="s">
        <v>3012</v>
      </c>
      <c r="GR167" s="35" t="s">
        <v>3208</v>
      </c>
      <c r="GU167" s="35" t="s">
        <v>4774</v>
      </c>
    </row>
    <row r="168">
      <c r="A168" s="40"/>
      <c r="B168" s="40">
        <v>45846.51041663194</v>
      </c>
      <c r="C168" s="35" t="s">
        <v>368</v>
      </c>
      <c r="D168" s="35" t="s">
        <v>370</v>
      </c>
      <c r="E168" s="35" t="s">
        <v>370</v>
      </c>
      <c r="F168" s="35" t="s">
        <v>4905</v>
      </c>
      <c r="G168" s="35" t="s">
        <v>4905</v>
      </c>
      <c r="H168" s="35" t="s">
        <v>2295</v>
      </c>
      <c r="I168" s="35" t="s">
        <v>539</v>
      </c>
      <c r="J168" s="35" t="s">
        <v>424</v>
      </c>
      <c r="K168" s="35" t="s">
        <v>758</v>
      </c>
      <c r="L168" s="35" t="s">
        <v>376</v>
      </c>
      <c r="M168" s="35" t="s">
        <v>426</v>
      </c>
      <c r="N168" s="35" t="s">
        <v>2464</v>
      </c>
      <c r="P168" s="35" t="s">
        <v>1024</v>
      </c>
      <c r="Q168" s="35" t="s">
        <v>498</v>
      </c>
      <c r="R168" s="35" t="s">
        <v>1004</v>
      </c>
      <c r="S168" s="35" t="s">
        <v>500</v>
      </c>
      <c r="T168" s="35" t="s">
        <v>384</v>
      </c>
      <c r="U168" s="35" t="s">
        <v>385</v>
      </c>
      <c r="X168" s="35" t="s">
        <v>3014</v>
      </c>
      <c r="BN168" s="35" t="s">
        <v>549</v>
      </c>
      <c r="BO168" s="35" t="s">
        <v>513</v>
      </c>
      <c r="CO168" s="35" t="s">
        <v>11367</v>
      </c>
      <c r="CP168" s="35" t="s">
        <v>4907</v>
      </c>
      <c r="CQ168" s="35" t="s">
        <v>1008</v>
      </c>
      <c r="CR168" s="35" t="s">
        <v>4908</v>
      </c>
      <c r="CS168" s="35" t="s">
        <v>804</v>
      </c>
      <c r="CT168" s="35" t="s">
        <v>4909</v>
      </c>
      <c r="CU168" s="35" t="s">
        <v>4910</v>
      </c>
      <c r="CV168" s="35" t="s">
        <v>519</v>
      </c>
      <c r="CW168" s="35" t="s">
        <v>451</v>
      </c>
      <c r="CX168" s="35" t="s">
        <v>11368</v>
      </c>
      <c r="CY168" s="35" t="s">
        <v>408</v>
      </c>
      <c r="DA168" s="35" t="s">
        <v>453</v>
      </c>
      <c r="DB168" s="35" t="s">
        <v>4912</v>
      </c>
      <c r="DC168" s="35" t="s">
        <v>455</v>
      </c>
      <c r="DD168" s="35" t="s">
        <v>11369</v>
      </c>
      <c r="DE168" s="35" t="s">
        <v>406</v>
      </c>
      <c r="DF168" s="35" t="s">
        <v>1867</v>
      </c>
      <c r="DG168" s="35" t="s">
        <v>4914</v>
      </c>
      <c r="DH168" s="35" t="s">
        <v>990</v>
      </c>
      <c r="DI168" s="35" t="s">
        <v>410</v>
      </c>
      <c r="DJ168" s="35" t="s">
        <v>459</v>
      </c>
      <c r="DK168" s="35" t="s">
        <v>562</v>
      </c>
      <c r="DL168" s="35" t="s">
        <v>525</v>
      </c>
      <c r="EU168" s="35" t="s">
        <v>526</v>
      </c>
      <c r="EV168" s="35" t="s">
        <v>479</v>
      </c>
      <c r="EW168" s="35" t="s">
        <v>480</v>
      </c>
      <c r="EY168" s="35" t="s">
        <v>4915</v>
      </c>
      <c r="EZ168" s="35" t="s">
        <v>4916</v>
      </c>
      <c r="FA168" s="35" t="s">
        <v>583</v>
      </c>
      <c r="FB168" s="35" t="s">
        <v>583</v>
      </c>
      <c r="FC168" s="35" t="s">
        <v>413</v>
      </c>
      <c r="FD168" s="35" t="s">
        <v>583</v>
      </c>
      <c r="FE168" s="35" t="s">
        <v>413</v>
      </c>
      <c r="FF168" s="35" t="s">
        <v>583</v>
      </c>
      <c r="FG168" s="35" t="s">
        <v>583</v>
      </c>
      <c r="FH168" s="35" t="s">
        <v>583</v>
      </c>
      <c r="FI168" s="35" t="s">
        <v>583</v>
      </c>
      <c r="FJ168" s="35" t="s">
        <v>583</v>
      </c>
      <c r="FK168" s="35" t="s">
        <v>583</v>
      </c>
      <c r="FL168" s="35" t="s">
        <v>583</v>
      </c>
      <c r="FM168" s="35" t="s">
        <v>583</v>
      </c>
      <c r="FO168" s="35" t="s">
        <v>583</v>
      </c>
      <c r="FP168" s="35" t="s">
        <v>485</v>
      </c>
      <c r="FQ168" s="35" t="s">
        <v>486</v>
      </c>
      <c r="FR168" s="35" t="s">
        <v>712</v>
      </c>
      <c r="FS168" s="35" t="s">
        <v>11370</v>
      </c>
      <c r="FT168" s="35" t="s">
        <v>995</v>
      </c>
      <c r="FU168" s="35" t="s">
        <v>1476</v>
      </c>
      <c r="FV168" s="35" t="s">
        <v>533</v>
      </c>
      <c r="FW168" s="35" t="s">
        <v>490</v>
      </c>
      <c r="FX168" s="35" t="s">
        <v>491</v>
      </c>
      <c r="FY168" s="35" t="s">
        <v>11371</v>
      </c>
      <c r="FZ168" s="35" t="s">
        <v>493</v>
      </c>
      <c r="GA168" s="35" t="s">
        <v>4919</v>
      </c>
      <c r="GC168" s="35" t="s">
        <v>408</v>
      </c>
      <c r="GH168" s="35" t="s">
        <v>789</v>
      </c>
      <c r="GI168" s="35" t="s">
        <v>789</v>
      </c>
      <c r="GJ168" s="35" t="s">
        <v>817</v>
      </c>
      <c r="GR168" s="35" t="s">
        <v>3351</v>
      </c>
      <c r="GU168" s="35" t="s">
        <v>4774</v>
      </c>
    </row>
    <row r="169">
      <c r="A169" s="40"/>
      <c r="B169" s="40">
        <v>45849.608638680555</v>
      </c>
      <c r="C169" s="35" t="s">
        <v>368</v>
      </c>
      <c r="D169" s="35" t="s">
        <v>370</v>
      </c>
      <c r="E169" s="35" t="s">
        <v>370</v>
      </c>
      <c r="F169" s="35" t="s">
        <v>1421</v>
      </c>
      <c r="G169" s="35" t="s">
        <v>1421</v>
      </c>
      <c r="H169" s="35" t="s">
        <v>422</v>
      </c>
      <c r="I169" s="35" t="s">
        <v>496</v>
      </c>
      <c r="J169" s="35" t="s">
        <v>374</v>
      </c>
      <c r="K169" s="35" t="s">
        <v>718</v>
      </c>
      <c r="L169" s="35" t="s">
        <v>376</v>
      </c>
      <c r="M169" s="35" t="s">
        <v>793</v>
      </c>
      <c r="N169" s="35" t="s">
        <v>4920</v>
      </c>
      <c r="O169" s="35" t="s">
        <v>793</v>
      </c>
      <c r="P169" s="35" t="s">
        <v>671</v>
      </c>
      <c r="Q169" s="35" t="s">
        <v>592</v>
      </c>
      <c r="R169" s="35" t="s">
        <v>1004</v>
      </c>
      <c r="S169" s="35" t="s">
        <v>1704</v>
      </c>
      <c r="T169" s="35" t="s">
        <v>384</v>
      </c>
      <c r="U169" s="35" t="s">
        <v>385</v>
      </c>
      <c r="X169" s="35" t="s">
        <v>3014</v>
      </c>
      <c r="AW169" s="35" t="s">
        <v>1310</v>
      </c>
      <c r="BC169" s="35" t="s">
        <v>675</v>
      </c>
      <c r="BD169" s="35" t="s">
        <v>4921</v>
      </c>
      <c r="BE169" s="35" t="s">
        <v>4922</v>
      </c>
      <c r="BF169" s="35" t="s">
        <v>392</v>
      </c>
      <c r="BG169" s="35" t="s">
        <v>393</v>
      </c>
      <c r="BH169" s="35" t="s">
        <v>678</v>
      </c>
      <c r="BI169" s="35" t="s">
        <v>4923</v>
      </c>
      <c r="BJ169" s="35" t="s">
        <v>976</v>
      </c>
      <c r="BK169" s="35" t="s">
        <v>4924</v>
      </c>
      <c r="BL169" s="35" t="s">
        <v>511</v>
      </c>
      <c r="BM169" s="35" t="s">
        <v>438</v>
      </c>
      <c r="BN169" s="35" t="s">
        <v>397</v>
      </c>
      <c r="BO169" s="35" t="s">
        <v>513</v>
      </c>
      <c r="CM169" s="35" t="s">
        <v>441</v>
      </c>
      <c r="CN169" s="35" t="s">
        <v>442</v>
      </c>
      <c r="CO169" s="35" t="s">
        <v>4925</v>
      </c>
      <c r="CP169" s="35" t="s">
        <v>4926</v>
      </c>
      <c r="CQ169" s="35" t="s">
        <v>685</v>
      </c>
      <c r="CR169" s="35" t="s">
        <v>1427</v>
      </c>
      <c r="CS169" s="35" t="s">
        <v>447</v>
      </c>
      <c r="CT169" s="35" t="s">
        <v>4927</v>
      </c>
      <c r="CU169" s="35" t="s">
        <v>4928</v>
      </c>
      <c r="CV169" s="35" t="s">
        <v>1863</v>
      </c>
      <c r="CW169" s="35" t="s">
        <v>409</v>
      </c>
      <c r="CX169" s="35" t="s">
        <v>4929</v>
      </c>
      <c r="CY169" s="35" t="s">
        <v>408</v>
      </c>
      <c r="DA169" s="35" t="s">
        <v>985</v>
      </c>
      <c r="DB169" s="35" t="s">
        <v>4930</v>
      </c>
      <c r="DC169" s="35" t="s">
        <v>913</v>
      </c>
      <c r="DE169" s="35" t="s">
        <v>406</v>
      </c>
      <c r="DF169" s="35" t="s">
        <v>1867</v>
      </c>
      <c r="DG169" s="35" t="s">
        <v>4931</v>
      </c>
      <c r="DH169" s="35" t="s">
        <v>561</v>
      </c>
      <c r="DI169" s="35" t="s">
        <v>1220</v>
      </c>
      <c r="DJ169" s="35" t="s">
        <v>459</v>
      </c>
      <c r="DK169" s="35" t="s">
        <v>562</v>
      </c>
      <c r="DL169" s="35" t="s">
        <v>1434</v>
      </c>
      <c r="EU169" s="35" t="s">
        <v>526</v>
      </c>
      <c r="EV169" s="35" t="s">
        <v>1037</v>
      </c>
      <c r="EW169" s="35" t="s">
        <v>580</v>
      </c>
      <c r="FA169" s="35" t="s">
        <v>414</v>
      </c>
      <c r="FB169" s="35" t="s">
        <v>415</v>
      </c>
      <c r="FC169" s="35" t="s">
        <v>415</v>
      </c>
      <c r="FD169" s="35" t="s">
        <v>415</v>
      </c>
      <c r="FE169" s="35" t="s">
        <v>416</v>
      </c>
      <c r="FF169" s="35" t="s">
        <v>415</v>
      </c>
      <c r="FG169" s="35" t="s">
        <v>484</v>
      </c>
      <c r="FH169" s="35" t="s">
        <v>413</v>
      </c>
      <c r="FI169" s="35" t="s">
        <v>583</v>
      </c>
      <c r="FJ169" s="35" t="s">
        <v>414</v>
      </c>
      <c r="FK169" s="35" t="s">
        <v>484</v>
      </c>
      <c r="FL169" s="35" t="s">
        <v>414</v>
      </c>
      <c r="FM169" s="35" t="s">
        <v>414</v>
      </c>
      <c r="FN169" s="35" t="s">
        <v>416</v>
      </c>
      <c r="FO169" s="35" t="s">
        <v>583</v>
      </c>
      <c r="FP169" s="35" t="s">
        <v>1537</v>
      </c>
      <c r="FQ169" s="35" t="s">
        <v>486</v>
      </c>
      <c r="FR169" s="35" t="s">
        <v>712</v>
      </c>
      <c r="FS169" s="35" t="s">
        <v>4932</v>
      </c>
      <c r="FT169" s="35" t="s">
        <v>995</v>
      </c>
      <c r="FU169" s="35" t="s">
        <v>1462</v>
      </c>
      <c r="FV169" s="35" t="s">
        <v>489</v>
      </c>
      <c r="FX169" s="35" t="s">
        <v>491</v>
      </c>
      <c r="GA169" s="35" t="s">
        <v>4933</v>
      </c>
      <c r="GB169" s="35" t="s">
        <v>4934</v>
      </c>
      <c r="GC169" s="35" t="s">
        <v>455</v>
      </c>
      <c r="GD169" s="35" t="s">
        <v>11372</v>
      </c>
      <c r="GE169" s="35" t="s">
        <v>11373</v>
      </c>
      <c r="GF169" s="35" t="s">
        <v>1339</v>
      </c>
      <c r="GG169" s="35" t="s">
        <v>4935</v>
      </c>
      <c r="GH169" s="35" t="s">
        <v>788</v>
      </c>
      <c r="GI169" s="35" t="s">
        <v>788</v>
      </c>
      <c r="GR169" s="35" t="s">
        <v>3306</v>
      </c>
      <c r="GU169" s="35" t="s">
        <v>4936</v>
      </c>
    </row>
    <row r="170">
      <c r="A170" s="40"/>
      <c r="B170" s="40">
        <v>45850.18852405093</v>
      </c>
      <c r="C170" s="35" t="s">
        <v>368</v>
      </c>
      <c r="D170" s="35" t="s">
        <v>4958</v>
      </c>
      <c r="E170" s="35" t="s">
        <v>4958</v>
      </c>
      <c r="H170" s="35" t="s">
        <v>422</v>
      </c>
      <c r="I170" s="35" t="s">
        <v>423</v>
      </c>
      <c r="J170" s="35" t="s">
        <v>668</v>
      </c>
      <c r="K170" s="35" t="s">
        <v>375</v>
      </c>
      <c r="L170" s="35" t="s">
        <v>376</v>
      </c>
      <c r="M170" s="35" t="s">
        <v>377</v>
      </c>
      <c r="N170" s="35" t="s">
        <v>378</v>
      </c>
      <c r="O170" s="35" t="s">
        <v>377</v>
      </c>
      <c r="P170" s="35" t="s">
        <v>380</v>
      </c>
      <c r="Q170" s="35" t="s">
        <v>381</v>
      </c>
      <c r="R170" s="35" t="s">
        <v>759</v>
      </c>
      <c r="S170" s="35" t="s">
        <v>949</v>
      </c>
      <c r="T170" s="35" t="s">
        <v>384</v>
      </c>
      <c r="U170" s="35" t="s">
        <v>385</v>
      </c>
      <c r="X170" s="35" t="s">
        <v>3014</v>
      </c>
      <c r="AW170" s="35" t="s">
        <v>1242</v>
      </c>
      <c r="AX170" s="35" t="s">
        <v>675</v>
      </c>
      <c r="AY170" s="41">
        <v>4.0</v>
      </c>
      <c r="AZ170" s="35" t="s">
        <v>675</v>
      </c>
      <c r="BA170" s="35" t="s">
        <v>675</v>
      </c>
      <c r="BB170" s="41">
        <v>4.0</v>
      </c>
      <c r="BC170" s="35" t="s">
        <v>675</v>
      </c>
      <c r="BD170" s="35" t="s">
        <v>11374</v>
      </c>
      <c r="BE170" s="35" t="s">
        <v>4960</v>
      </c>
      <c r="BF170" s="35" t="s">
        <v>2259</v>
      </c>
      <c r="BG170" s="35" t="s">
        <v>1245</v>
      </c>
      <c r="BH170" s="35" t="s">
        <v>765</v>
      </c>
      <c r="BI170" s="35" t="s">
        <v>11375</v>
      </c>
      <c r="BJ170" s="35" t="s">
        <v>435</v>
      </c>
      <c r="BK170" s="35" t="s">
        <v>11376</v>
      </c>
      <c r="BL170" s="35" t="s">
        <v>395</v>
      </c>
      <c r="BM170" s="35" t="s">
        <v>512</v>
      </c>
      <c r="BN170" s="35" t="s">
        <v>1247</v>
      </c>
      <c r="BO170" s="35" t="s">
        <v>513</v>
      </c>
      <c r="CM170" s="35" t="s">
        <v>682</v>
      </c>
      <c r="CN170" s="35" t="s">
        <v>401</v>
      </c>
      <c r="CO170" s="35" t="s">
        <v>11377</v>
      </c>
      <c r="CP170" s="35" t="s">
        <v>11378</v>
      </c>
      <c r="CR170" s="35" t="s">
        <v>4965</v>
      </c>
      <c r="CS170" s="35" t="s">
        <v>404</v>
      </c>
      <c r="CU170" s="35" t="s">
        <v>11379</v>
      </c>
      <c r="CV170" s="35" t="s">
        <v>1961</v>
      </c>
      <c r="CW170" s="35" t="s">
        <v>959</v>
      </c>
      <c r="CY170" s="35" t="s">
        <v>408</v>
      </c>
      <c r="DA170" s="35" t="s">
        <v>1962</v>
      </c>
      <c r="DC170" s="35" t="s">
        <v>408</v>
      </c>
      <c r="DE170" s="35" t="s">
        <v>406</v>
      </c>
      <c r="DF170" s="35" t="s">
        <v>1058</v>
      </c>
      <c r="DH170" s="35" t="s">
        <v>990</v>
      </c>
      <c r="DI170" s="35" t="s">
        <v>694</v>
      </c>
      <c r="DJ170" s="35" t="s">
        <v>777</v>
      </c>
      <c r="DK170" s="35" t="s">
        <v>460</v>
      </c>
      <c r="DL170" s="35" t="s">
        <v>1434</v>
      </c>
      <c r="EU170" s="35" t="s">
        <v>478</v>
      </c>
      <c r="EV170" s="35" t="s">
        <v>579</v>
      </c>
      <c r="EW170" s="35" t="s">
        <v>480</v>
      </c>
      <c r="EX170" s="35" t="s">
        <v>11380</v>
      </c>
      <c r="EY170" s="35" t="s">
        <v>11381</v>
      </c>
      <c r="EZ170" s="35" t="s">
        <v>11382</v>
      </c>
      <c r="FA170" s="35" t="s">
        <v>583</v>
      </c>
      <c r="FB170" s="35" t="s">
        <v>583</v>
      </c>
      <c r="FC170" s="35" t="s">
        <v>583</v>
      </c>
      <c r="FD170" s="35" t="s">
        <v>583</v>
      </c>
      <c r="FE170" s="35" t="s">
        <v>583</v>
      </c>
      <c r="FF170" s="35" t="s">
        <v>583</v>
      </c>
      <c r="FG170" s="35" t="s">
        <v>583</v>
      </c>
      <c r="FH170" s="35" t="s">
        <v>583</v>
      </c>
      <c r="FI170" s="35" t="s">
        <v>484</v>
      </c>
      <c r="FJ170" s="35" t="s">
        <v>414</v>
      </c>
      <c r="FK170" s="35" t="s">
        <v>583</v>
      </c>
      <c r="FL170" s="35" t="s">
        <v>414</v>
      </c>
      <c r="FM170" s="35" t="s">
        <v>414</v>
      </c>
      <c r="FN170" s="35" t="s">
        <v>414</v>
      </c>
      <c r="FO170" s="35" t="s">
        <v>414</v>
      </c>
      <c r="FP170" s="35" t="s">
        <v>1537</v>
      </c>
      <c r="FQ170" s="35" t="s">
        <v>2524</v>
      </c>
      <c r="FR170" s="35" t="s">
        <v>419</v>
      </c>
      <c r="FS170" s="35" t="s">
        <v>4970</v>
      </c>
      <c r="FT170" s="35" t="s">
        <v>1076</v>
      </c>
      <c r="FU170" s="35" t="s">
        <v>2750</v>
      </c>
      <c r="FV170" s="35" t="s">
        <v>918</v>
      </c>
      <c r="FW170" s="35" t="s">
        <v>2399</v>
      </c>
      <c r="FX170" s="35" t="s">
        <v>1853</v>
      </c>
      <c r="FY170" s="35" t="s">
        <v>4971</v>
      </c>
      <c r="FZ170" s="35" t="s">
        <v>1020</v>
      </c>
      <c r="GA170" s="35" t="s">
        <v>4972</v>
      </c>
      <c r="GB170" s="35" t="s">
        <v>4973</v>
      </c>
      <c r="GC170" s="35" t="s">
        <v>408</v>
      </c>
      <c r="GH170" s="35" t="s">
        <v>755</v>
      </c>
      <c r="GI170" s="35" t="s">
        <v>788</v>
      </c>
      <c r="GJ170" s="35" t="s">
        <v>946</v>
      </c>
      <c r="GO170" s="35" t="s">
        <v>4974</v>
      </c>
      <c r="GP170" s="35" t="s">
        <v>4974</v>
      </c>
      <c r="GR170" s="35" t="s">
        <v>4975</v>
      </c>
      <c r="GU170" s="35" t="s">
        <v>4774</v>
      </c>
    </row>
    <row r="171">
      <c r="A171" s="40"/>
      <c r="B171" s="40">
        <v>45850.64452353009</v>
      </c>
      <c r="C171" s="35" t="s">
        <v>368</v>
      </c>
      <c r="D171" s="35" t="s">
        <v>370</v>
      </c>
      <c r="E171" s="35" t="s">
        <v>370</v>
      </c>
      <c r="F171" s="35" t="s">
        <v>589</v>
      </c>
      <c r="G171" s="35" t="s">
        <v>589</v>
      </c>
      <c r="H171" s="35" t="s">
        <v>2657</v>
      </c>
      <c r="I171" s="35" t="s">
        <v>637</v>
      </c>
      <c r="J171" s="35" t="s">
        <v>638</v>
      </c>
      <c r="K171" s="35" t="s">
        <v>375</v>
      </c>
      <c r="L171" s="35" t="s">
        <v>376</v>
      </c>
      <c r="M171" s="35" t="s">
        <v>591</v>
      </c>
      <c r="N171" s="35" t="s">
        <v>719</v>
      </c>
      <c r="O171" s="35" t="s">
        <v>379</v>
      </c>
      <c r="P171" s="35" t="s">
        <v>671</v>
      </c>
      <c r="Q171" s="35" t="s">
        <v>498</v>
      </c>
      <c r="R171" s="35" t="s">
        <v>499</v>
      </c>
      <c r="S171" s="35" t="s">
        <v>641</v>
      </c>
      <c r="T171" s="35" t="s">
        <v>384</v>
      </c>
      <c r="U171" s="35" t="s">
        <v>385</v>
      </c>
      <c r="X171" s="35" t="s">
        <v>3231</v>
      </c>
      <c r="AW171" s="35" t="s">
        <v>390</v>
      </c>
      <c r="AX171" s="35" t="s">
        <v>391</v>
      </c>
      <c r="AY171" s="35" t="s">
        <v>391</v>
      </c>
      <c r="AZ171" s="35" t="s">
        <v>391</v>
      </c>
      <c r="BA171" s="35" t="s">
        <v>391</v>
      </c>
      <c r="BB171" s="41">
        <v>2.0</v>
      </c>
      <c r="BC171" s="41">
        <v>2.0</v>
      </c>
      <c r="BD171" s="35" t="s">
        <v>4976</v>
      </c>
      <c r="BE171" s="35" t="s">
        <v>4977</v>
      </c>
      <c r="BF171" s="35" t="s">
        <v>432</v>
      </c>
      <c r="BG171" s="35" t="s">
        <v>393</v>
      </c>
      <c r="BH171" s="35" t="s">
        <v>725</v>
      </c>
      <c r="BI171" s="35" t="s">
        <v>4978</v>
      </c>
      <c r="BJ171" s="35" t="s">
        <v>727</v>
      </c>
      <c r="BK171" s="35" t="s">
        <v>4979</v>
      </c>
      <c r="BL171" s="35" t="s">
        <v>395</v>
      </c>
      <c r="BM171" s="35" t="s">
        <v>438</v>
      </c>
      <c r="BN171" s="35" t="s">
        <v>549</v>
      </c>
      <c r="BO171" s="35" t="s">
        <v>513</v>
      </c>
      <c r="CM171" s="35" t="s">
        <v>441</v>
      </c>
      <c r="CN171" s="35" t="s">
        <v>401</v>
      </c>
      <c r="CO171" s="35" t="s">
        <v>4980</v>
      </c>
      <c r="CP171" s="35" t="s">
        <v>4981</v>
      </c>
      <c r="CQ171" s="35" t="s">
        <v>403</v>
      </c>
      <c r="CR171" s="35" t="s">
        <v>1427</v>
      </c>
      <c r="CS171" s="35" t="s">
        <v>404</v>
      </c>
      <c r="CT171" s="35" t="s">
        <v>1137</v>
      </c>
      <c r="CU171" s="35" t="s">
        <v>4982</v>
      </c>
      <c r="CV171" s="35" t="s">
        <v>519</v>
      </c>
      <c r="CW171" s="35" t="s">
        <v>451</v>
      </c>
      <c r="CX171" s="35" t="s">
        <v>4983</v>
      </c>
      <c r="CY171" s="35" t="s">
        <v>733</v>
      </c>
      <c r="CZ171" s="35" t="s">
        <v>4984</v>
      </c>
      <c r="DA171" s="35" t="s">
        <v>453</v>
      </c>
      <c r="DB171" s="35" t="s">
        <v>4985</v>
      </c>
      <c r="DC171" s="35" t="s">
        <v>408</v>
      </c>
      <c r="DD171" s="35" t="s">
        <v>4979</v>
      </c>
      <c r="DE171" s="35" t="s">
        <v>406</v>
      </c>
      <c r="DF171" s="35" t="s">
        <v>407</v>
      </c>
      <c r="DG171" s="35" t="s">
        <v>4986</v>
      </c>
      <c r="DH171" s="35" t="s">
        <v>776</v>
      </c>
      <c r="DI171" s="35" t="s">
        <v>833</v>
      </c>
      <c r="DJ171" s="35" t="s">
        <v>459</v>
      </c>
      <c r="DK171" s="35" t="s">
        <v>613</v>
      </c>
      <c r="EU171" s="35" t="s">
        <v>526</v>
      </c>
      <c r="EV171" s="35" t="s">
        <v>1037</v>
      </c>
      <c r="EW171" s="35" t="s">
        <v>480</v>
      </c>
      <c r="EX171" s="35" t="s">
        <v>4979</v>
      </c>
      <c r="EY171" s="35" t="s">
        <v>4987</v>
      </c>
      <c r="EZ171" s="35" t="s">
        <v>4988</v>
      </c>
      <c r="FA171" s="35" t="s">
        <v>413</v>
      </c>
      <c r="FB171" s="35" t="s">
        <v>414</v>
      </c>
      <c r="FC171" s="35" t="s">
        <v>413</v>
      </c>
      <c r="FD171" s="35" t="s">
        <v>413</v>
      </c>
      <c r="FE171" s="35" t="s">
        <v>413</v>
      </c>
      <c r="FF171" s="35" t="s">
        <v>414</v>
      </c>
      <c r="FG171" s="35" t="s">
        <v>415</v>
      </c>
      <c r="FH171" s="35" t="s">
        <v>415</v>
      </c>
      <c r="FI171" s="35" t="s">
        <v>415</v>
      </c>
      <c r="FJ171" s="35" t="s">
        <v>414</v>
      </c>
      <c r="FK171" s="35" t="s">
        <v>583</v>
      </c>
      <c r="FL171" s="35" t="s">
        <v>415</v>
      </c>
      <c r="FM171" s="35" t="s">
        <v>415</v>
      </c>
      <c r="FN171" s="35" t="s">
        <v>415</v>
      </c>
      <c r="FO171" s="35" t="s">
        <v>414</v>
      </c>
      <c r="FP171" s="35" t="s">
        <v>417</v>
      </c>
      <c r="FQ171" s="35" t="s">
        <v>418</v>
      </c>
      <c r="FR171" s="35" t="s">
        <v>419</v>
      </c>
      <c r="FS171" s="35" t="s">
        <v>4989</v>
      </c>
      <c r="FT171" s="35" t="s">
        <v>420</v>
      </c>
      <c r="FU171" s="35" t="s">
        <v>488</v>
      </c>
      <c r="FV171" s="35" t="s">
        <v>489</v>
      </c>
      <c r="FW171" s="35" t="s">
        <v>490</v>
      </c>
      <c r="FX171" s="35" t="s">
        <v>491</v>
      </c>
      <c r="FY171" s="35" t="s">
        <v>4990</v>
      </c>
      <c r="FZ171" s="35" t="s">
        <v>535</v>
      </c>
      <c r="GA171" s="35" t="s">
        <v>4991</v>
      </c>
      <c r="GB171" s="35" t="s">
        <v>4992</v>
      </c>
      <c r="GC171" s="35" t="s">
        <v>455</v>
      </c>
      <c r="GD171" s="35" t="s">
        <v>11383</v>
      </c>
      <c r="GE171" s="35" t="s">
        <v>11384</v>
      </c>
      <c r="GF171" s="35" t="s">
        <v>944</v>
      </c>
      <c r="GG171" s="35" t="s">
        <v>4993</v>
      </c>
      <c r="GH171" s="35" t="s">
        <v>857</v>
      </c>
      <c r="GI171" s="35" t="s">
        <v>857</v>
      </c>
      <c r="GJ171" s="35" t="s">
        <v>790</v>
      </c>
      <c r="GQ171" s="35" t="s">
        <v>387</v>
      </c>
      <c r="GR171" s="35" t="s">
        <v>3208</v>
      </c>
      <c r="GU171" s="35" t="s">
        <v>4774</v>
      </c>
      <c r="GV171" s="35" t="s">
        <v>4979</v>
      </c>
    </row>
    <row r="172">
      <c r="A172" s="40"/>
      <c r="B172" s="40">
        <v>45853.81523930556</v>
      </c>
      <c r="C172" s="35" t="s">
        <v>368</v>
      </c>
      <c r="D172" s="35" t="s">
        <v>370</v>
      </c>
      <c r="E172" s="35" t="s">
        <v>370</v>
      </c>
      <c r="F172" s="35" t="s">
        <v>5064</v>
      </c>
      <c r="G172" s="35" t="s">
        <v>1510</v>
      </c>
      <c r="H172" s="35" t="s">
        <v>422</v>
      </c>
      <c r="I172" s="35" t="s">
        <v>637</v>
      </c>
      <c r="J172" s="35" t="s">
        <v>638</v>
      </c>
      <c r="K172" s="35" t="s">
        <v>375</v>
      </c>
      <c r="L172" s="35" t="s">
        <v>376</v>
      </c>
      <c r="M172" s="35" t="s">
        <v>591</v>
      </c>
      <c r="N172" s="35" t="s">
        <v>1024</v>
      </c>
      <c r="O172" s="35" t="s">
        <v>591</v>
      </c>
      <c r="P172" s="35" t="s">
        <v>640</v>
      </c>
      <c r="Q172" s="35" t="s">
        <v>592</v>
      </c>
      <c r="R172" s="35" t="s">
        <v>499</v>
      </c>
      <c r="S172" s="35" t="s">
        <v>5065</v>
      </c>
      <c r="T172" s="35" t="s">
        <v>384</v>
      </c>
      <c r="U172" s="35" t="s">
        <v>385</v>
      </c>
      <c r="X172" s="35" t="s">
        <v>3014</v>
      </c>
      <c r="AW172" s="35" t="s">
        <v>390</v>
      </c>
      <c r="AX172" s="35" t="s">
        <v>429</v>
      </c>
      <c r="AY172" s="35" t="s">
        <v>429</v>
      </c>
      <c r="AZ172" s="35" t="s">
        <v>429</v>
      </c>
      <c r="BA172" s="35" t="s">
        <v>429</v>
      </c>
      <c r="BB172" s="35" t="s">
        <v>429</v>
      </c>
      <c r="BC172" s="35" t="s">
        <v>429</v>
      </c>
      <c r="BD172" s="35" t="s">
        <v>5066</v>
      </c>
      <c r="BE172" s="35" t="s">
        <v>11385</v>
      </c>
      <c r="BF172" s="35" t="s">
        <v>392</v>
      </c>
      <c r="BG172" s="35" t="s">
        <v>433</v>
      </c>
      <c r="BH172" s="35" t="s">
        <v>434</v>
      </c>
      <c r="BI172" s="35" t="s">
        <v>11386</v>
      </c>
      <c r="BJ172" s="35" t="s">
        <v>509</v>
      </c>
      <c r="BK172" s="35" t="s">
        <v>5069</v>
      </c>
      <c r="BL172" s="35" t="s">
        <v>511</v>
      </c>
      <c r="BM172" s="35" t="s">
        <v>512</v>
      </c>
      <c r="BN172" s="35" t="s">
        <v>439</v>
      </c>
      <c r="BO172" s="35" t="s">
        <v>513</v>
      </c>
      <c r="CM172" s="35" t="s">
        <v>441</v>
      </c>
      <c r="CN172" s="35" t="s">
        <v>682</v>
      </c>
      <c r="CO172" s="35" t="s">
        <v>552</v>
      </c>
      <c r="CP172" s="35" t="s">
        <v>11387</v>
      </c>
      <c r="CQ172" s="35" t="s">
        <v>685</v>
      </c>
      <c r="CR172" s="35" t="s">
        <v>5071</v>
      </c>
      <c r="CS172" s="35" t="s">
        <v>447</v>
      </c>
      <c r="CT172" s="35" t="s">
        <v>2368</v>
      </c>
      <c r="CU172" s="35" t="s">
        <v>5072</v>
      </c>
      <c r="CV172" s="35" t="s">
        <v>450</v>
      </c>
      <c r="CW172" s="35" t="s">
        <v>451</v>
      </c>
      <c r="CX172" s="35" t="s">
        <v>5073</v>
      </c>
      <c r="CY172" s="35" t="s">
        <v>733</v>
      </c>
      <c r="DA172" s="35" t="s">
        <v>453</v>
      </c>
      <c r="DB172" s="35" t="s">
        <v>5074</v>
      </c>
      <c r="DC172" s="35" t="s">
        <v>455</v>
      </c>
      <c r="DD172" s="35" t="s">
        <v>11388</v>
      </c>
      <c r="DE172" s="35" t="s">
        <v>988</v>
      </c>
      <c r="DG172" s="35" t="s">
        <v>5076</v>
      </c>
      <c r="DH172" s="35" t="s">
        <v>776</v>
      </c>
      <c r="DI172" s="35" t="s">
        <v>833</v>
      </c>
      <c r="DJ172" s="35" t="s">
        <v>459</v>
      </c>
      <c r="DK172" s="35" t="s">
        <v>613</v>
      </c>
      <c r="EU172" s="35" t="s">
        <v>578</v>
      </c>
      <c r="EV172" s="35" t="s">
        <v>479</v>
      </c>
      <c r="EW172" s="35" t="s">
        <v>1262</v>
      </c>
      <c r="EX172" s="35" t="s">
        <v>5077</v>
      </c>
      <c r="EY172" s="35" t="s">
        <v>4872</v>
      </c>
      <c r="EZ172" s="35" t="s">
        <v>5078</v>
      </c>
      <c r="FA172" s="35" t="s">
        <v>583</v>
      </c>
      <c r="FB172" s="35" t="s">
        <v>583</v>
      </c>
      <c r="FC172" s="35" t="s">
        <v>583</v>
      </c>
      <c r="FD172" s="35" t="s">
        <v>583</v>
      </c>
      <c r="FE172" s="35" t="s">
        <v>583</v>
      </c>
      <c r="FF172" s="35" t="s">
        <v>583</v>
      </c>
      <c r="FG172" s="35" t="s">
        <v>583</v>
      </c>
      <c r="FH172" s="35" t="s">
        <v>413</v>
      </c>
      <c r="FI172" s="35" t="s">
        <v>583</v>
      </c>
      <c r="FJ172" s="35" t="s">
        <v>583</v>
      </c>
      <c r="FK172" s="35" t="s">
        <v>583</v>
      </c>
      <c r="FL172" s="35" t="s">
        <v>415</v>
      </c>
      <c r="FM172" s="35" t="s">
        <v>583</v>
      </c>
      <c r="FN172" s="35" t="s">
        <v>413</v>
      </c>
      <c r="FO172" s="35" t="s">
        <v>583</v>
      </c>
      <c r="FP172" s="35" t="s">
        <v>417</v>
      </c>
      <c r="FQ172" s="35" t="s">
        <v>418</v>
      </c>
      <c r="FR172" s="35" t="s">
        <v>712</v>
      </c>
      <c r="FS172" s="35" t="s">
        <v>11389</v>
      </c>
      <c r="FT172" s="35" t="s">
        <v>420</v>
      </c>
      <c r="FU172" s="35" t="s">
        <v>488</v>
      </c>
      <c r="FV172" s="35" t="s">
        <v>533</v>
      </c>
      <c r="FW172" s="35" t="s">
        <v>490</v>
      </c>
      <c r="FX172" s="35" t="s">
        <v>491</v>
      </c>
      <c r="FY172" s="35" t="s">
        <v>5080</v>
      </c>
      <c r="FZ172" s="35" t="s">
        <v>535</v>
      </c>
      <c r="GC172" s="35" t="s">
        <v>455</v>
      </c>
      <c r="GD172" s="35" t="s">
        <v>11390</v>
      </c>
      <c r="GE172" s="35" t="s">
        <v>552</v>
      </c>
      <c r="GF172" s="35" t="s">
        <v>753</v>
      </c>
      <c r="GH172" s="35" t="s">
        <v>920</v>
      </c>
      <c r="GI172" s="35" t="s">
        <v>920</v>
      </c>
      <c r="GJ172" s="35" t="s">
        <v>946</v>
      </c>
      <c r="GR172" s="35" t="s">
        <v>3208</v>
      </c>
      <c r="GU172" s="35" t="s">
        <v>5081</v>
      </c>
      <c r="GV172" s="35" t="s">
        <v>5082</v>
      </c>
    </row>
    <row r="173">
      <c r="A173" s="40"/>
      <c r="B173" s="40">
        <v>45854.425925324074</v>
      </c>
      <c r="C173" s="35" t="s">
        <v>368</v>
      </c>
      <c r="D173" s="35" t="s">
        <v>370</v>
      </c>
      <c r="E173" s="35" t="s">
        <v>370</v>
      </c>
      <c r="F173" s="35" t="s">
        <v>859</v>
      </c>
      <c r="G173" s="35" t="s">
        <v>859</v>
      </c>
      <c r="H173" s="35" t="s">
        <v>1783</v>
      </c>
      <c r="I173" s="35" t="s">
        <v>373</v>
      </c>
      <c r="J173" s="35" t="s">
        <v>638</v>
      </c>
      <c r="K173" s="35" t="s">
        <v>590</v>
      </c>
      <c r="L173" s="35" t="s">
        <v>376</v>
      </c>
      <c r="M173" s="35" t="s">
        <v>591</v>
      </c>
      <c r="N173" s="35" t="s">
        <v>5116</v>
      </c>
      <c r="O173" s="35" t="s">
        <v>591</v>
      </c>
      <c r="P173" s="35" t="s">
        <v>671</v>
      </c>
      <c r="Q173" s="35" t="s">
        <v>498</v>
      </c>
      <c r="R173" s="35" t="s">
        <v>862</v>
      </c>
      <c r="S173" s="35" t="s">
        <v>500</v>
      </c>
      <c r="T173" s="35" t="s">
        <v>384</v>
      </c>
      <c r="U173" s="35" t="s">
        <v>385</v>
      </c>
      <c r="X173" s="35" t="s">
        <v>3014</v>
      </c>
      <c r="AW173" s="35" t="s">
        <v>504</v>
      </c>
      <c r="AX173" s="35" t="s">
        <v>675</v>
      </c>
      <c r="AY173" s="35" t="s">
        <v>675</v>
      </c>
      <c r="AZ173" s="41">
        <v>4.0</v>
      </c>
      <c r="BA173" s="41">
        <v>4.0</v>
      </c>
      <c r="BB173" s="35" t="s">
        <v>391</v>
      </c>
      <c r="BC173" s="35" t="s">
        <v>429</v>
      </c>
      <c r="BD173" s="35" t="s">
        <v>5117</v>
      </c>
      <c r="BE173" s="35" t="s">
        <v>11391</v>
      </c>
      <c r="BF173" s="35" t="s">
        <v>2379</v>
      </c>
      <c r="BG173" s="35" t="s">
        <v>433</v>
      </c>
      <c r="BH173" s="35" t="s">
        <v>678</v>
      </c>
      <c r="BI173" s="35" t="s">
        <v>5119</v>
      </c>
      <c r="BJ173" s="35" t="s">
        <v>976</v>
      </c>
      <c r="BL173" s="35" t="s">
        <v>437</v>
      </c>
      <c r="BM173" s="35" t="s">
        <v>904</v>
      </c>
      <c r="BN173" s="35" t="s">
        <v>439</v>
      </c>
      <c r="BO173" s="35" t="s">
        <v>513</v>
      </c>
      <c r="CM173" s="35" t="s">
        <v>441</v>
      </c>
      <c r="CN173" s="35" t="s">
        <v>604</v>
      </c>
      <c r="CO173" s="35" t="s">
        <v>5120</v>
      </c>
      <c r="CP173" s="35" t="s">
        <v>5121</v>
      </c>
      <c r="CQ173" s="35" t="s">
        <v>403</v>
      </c>
      <c r="CR173" s="35" t="s">
        <v>5122</v>
      </c>
      <c r="CS173" s="35" t="s">
        <v>447</v>
      </c>
      <c r="CT173" s="35" t="s">
        <v>5123</v>
      </c>
      <c r="CU173" s="35" t="s">
        <v>5124</v>
      </c>
      <c r="CV173" s="35" t="s">
        <v>450</v>
      </c>
      <c r="CW173" s="35" t="s">
        <v>451</v>
      </c>
      <c r="CX173" s="35" t="s">
        <v>5125</v>
      </c>
      <c r="CY173" s="35" t="s">
        <v>408</v>
      </c>
      <c r="DA173" s="35" t="s">
        <v>453</v>
      </c>
      <c r="DB173" s="35" t="s">
        <v>5126</v>
      </c>
      <c r="DC173" s="35" t="s">
        <v>408</v>
      </c>
      <c r="DE173" s="35" t="s">
        <v>988</v>
      </c>
      <c r="DG173" s="35" t="s">
        <v>5127</v>
      </c>
      <c r="DH173" s="35" t="s">
        <v>776</v>
      </c>
      <c r="DI173" s="35" t="s">
        <v>410</v>
      </c>
      <c r="DJ173" s="35" t="s">
        <v>459</v>
      </c>
      <c r="DK173" s="35" t="s">
        <v>460</v>
      </c>
      <c r="DL173" s="35" t="s">
        <v>1434</v>
      </c>
      <c r="EU173" s="35" t="s">
        <v>578</v>
      </c>
      <c r="EV173" s="35" t="s">
        <v>479</v>
      </c>
      <c r="EW173" s="35" t="s">
        <v>480</v>
      </c>
      <c r="EX173" s="35" t="s">
        <v>5128</v>
      </c>
      <c r="EY173" s="35" t="s">
        <v>5129</v>
      </c>
      <c r="EZ173" s="35" t="s">
        <v>5130</v>
      </c>
      <c r="FA173" s="35" t="s">
        <v>583</v>
      </c>
      <c r="FB173" s="35" t="s">
        <v>583</v>
      </c>
      <c r="FC173" s="35" t="s">
        <v>414</v>
      </c>
      <c r="FD173" s="35" t="s">
        <v>583</v>
      </c>
      <c r="FE173" s="35" t="s">
        <v>416</v>
      </c>
      <c r="FF173" s="35" t="s">
        <v>583</v>
      </c>
      <c r="FG173" s="35" t="s">
        <v>414</v>
      </c>
      <c r="FH173" s="35" t="s">
        <v>413</v>
      </c>
      <c r="FI173" s="35" t="s">
        <v>583</v>
      </c>
      <c r="FJ173" s="35" t="s">
        <v>583</v>
      </c>
      <c r="FK173" s="35" t="s">
        <v>414</v>
      </c>
      <c r="FL173" s="35" t="s">
        <v>484</v>
      </c>
      <c r="FM173" s="35" t="s">
        <v>484</v>
      </c>
      <c r="FN173" s="35" t="s">
        <v>415</v>
      </c>
      <c r="FO173" s="35" t="s">
        <v>583</v>
      </c>
      <c r="FP173" s="35" t="s">
        <v>485</v>
      </c>
      <c r="FQ173" s="35" t="s">
        <v>486</v>
      </c>
      <c r="FR173" s="35" t="s">
        <v>419</v>
      </c>
      <c r="FS173" s="35" t="s">
        <v>5131</v>
      </c>
      <c r="FT173" s="35" t="s">
        <v>420</v>
      </c>
      <c r="FU173" s="35" t="s">
        <v>1462</v>
      </c>
      <c r="FV173" s="35" t="s">
        <v>533</v>
      </c>
      <c r="FW173" s="35" t="s">
        <v>490</v>
      </c>
      <c r="FX173" s="35" t="s">
        <v>491</v>
      </c>
      <c r="FY173" s="35" t="s">
        <v>5132</v>
      </c>
      <c r="FZ173" s="35" t="s">
        <v>1020</v>
      </c>
      <c r="GA173" s="35" t="s">
        <v>5133</v>
      </c>
      <c r="GB173" s="35" t="s">
        <v>408</v>
      </c>
      <c r="GC173" s="35" t="s">
        <v>455</v>
      </c>
      <c r="GD173" s="35" t="s">
        <v>11392</v>
      </c>
      <c r="GF173" s="35" t="s">
        <v>753</v>
      </c>
      <c r="GG173" s="35" t="s">
        <v>5134</v>
      </c>
      <c r="GH173" s="35" t="s">
        <v>755</v>
      </c>
      <c r="GI173" s="35" t="s">
        <v>755</v>
      </c>
      <c r="GJ173" s="35" t="s">
        <v>817</v>
      </c>
      <c r="GR173" s="35" t="s">
        <v>3208</v>
      </c>
    </row>
    <row r="174">
      <c r="A174" s="40"/>
      <c r="B174" s="40">
        <v>45855.065328993056</v>
      </c>
      <c r="C174" s="35" t="s">
        <v>368</v>
      </c>
      <c r="D174" s="35" t="s">
        <v>5153</v>
      </c>
      <c r="E174" s="35" t="s">
        <v>5153</v>
      </c>
      <c r="H174" s="35" t="s">
        <v>422</v>
      </c>
      <c r="I174" s="35" t="s">
        <v>637</v>
      </c>
      <c r="J174" s="35" t="s">
        <v>374</v>
      </c>
      <c r="K174" s="35" t="s">
        <v>375</v>
      </c>
      <c r="L174" s="35" t="s">
        <v>376</v>
      </c>
      <c r="M174" s="35" t="s">
        <v>1526</v>
      </c>
      <c r="N174" s="35" t="s">
        <v>1024</v>
      </c>
      <c r="O174" s="35" t="s">
        <v>1526</v>
      </c>
      <c r="P174" s="35" t="s">
        <v>1024</v>
      </c>
      <c r="Q174" s="35" t="s">
        <v>498</v>
      </c>
      <c r="R174" s="35" t="s">
        <v>818</v>
      </c>
      <c r="S174" s="35" t="s">
        <v>427</v>
      </c>
      <c r="T174" s="35" t="s">
        <v>384</v>
      </c>
      <c r="U174" s="35" t="s">
        <v>385</v>
      </c>
      <c r="X174" s="35" t="s">
        <v>3014</v>
      </c>
      <c r="AW174" s="35" t="s">
        <v>1242</v>
      </c>
      <c r="AX174" s="41">
        <v>2.0</v>
      </c>
      <c r="AY174" s="41">
        <v>2.0</v>
      </c>
      <c r="AZ174" s="41">
        <v>2.0</v>
      </c>
      <c r="BA174" s="41">
        <v>2.0</v>
      </c>
      <c r="BB174" s="35" t="s">
        <v>429</v>
      </c>
      <c r="BC174" s="35" t="s">
        <v>429</v>
      </c>
      <c r="BD174" s="35" t="s">
        <v>5154</v>
      </c>
      <c r="BE174" s="35" t="s">
        <v>5155</v>
      </c>
      <c r="BF174" s="35" t="s">
        <v>392</v>
      </c>
      <c r="BG174" s="35" t="s">
        <v>1095</v>
      </c>
      <c r="BH174" s="35" t="s">
        <v>394</v>
      </c>
      <c r="BI174" s="35" t="s">
        <v>408</v>
      </c>
      <c r="BJ174" s="35" t="s">
        <v>976</v>
      </c>
      <c r="BK174" s="35" t="s">
        <v>5156</v>
      </c>
      <c r="BL174" s="35" t="s">
        <v>681</v>
      </c>
      <c r="BM174" s="35" t="s">
        <v>603</v>
      </c>
      <c r="BN174" s="35" t="s">
        <v>1314</v>
      </c>
      <c r="BO174" s="35" t="s">
        <v>513</v>
      </c>
      <c r="CM174" s="35" t="s">
        <v>682</v>
      </c>
      <c r="CN174" s="35" t="s">
        <v>604</v>
      </c>
      <c r="CO174" s="35" t="s">
        <v>5078</v>
      </c>
      <c r="CP174" s="35" t="s">
        <v>5157</v>
      </c>
      <c r="CQ174" s="35" t="s">
        <v>403</v>
      </c>
      <c r="CR174" s="35" t="s">
        <v>5158</v>
      </c>
      <c r="CS174" s="35" t="s">
        <v>555</v>
      </c>
      <c r="CT174" s="35" t="s">
        <v>1137</v>
      </c>
      <c r="CU174" s="35" t="s">
        <v>11393</v>
      </c>
      <c r="CV174" s="35" t="s">
        <v>1852</v>
      </c>
      <c r="CW174" s="35" t="s">
        <v>959</v>
      </c>
      <c r="CX174" s="35" t="s">
        <v>11394</v>
      </c>
      <c r="CY174" s="35" t="s">
        <v>455</v>
      </c>
      <c r="CZ174" s="35" t="s">
        <v>5161</v>
      </c>
      <c r="DA174" s="35" t="s">
        <v>1962</v>
      </c>
      <c r="DB174" s="35" t="s">
        <v>11395</v>
      </c>
      <c r="DC174" s="35" t="s">
        <v>408</v>
      </c>
      <c r="DE174" s="35" t="s">
        <v>406</v>
      </c>
      <c r="DF174" s="35" t="s">
        <v>1867</v>
      </c>
      <c r="DG174" s="35" t="s">
        <v>5162</v>
      </c>
      <c r="DH174" s="35" t="s">
        <v>693</v>
      </c>
      <c r="DI174" s="35" t="s">
        <v>410</v>
      </c>
      <c r="DJ174" s="35" t="s">
        <v>963</v>
      </c>
      <c r="DK174" s="35" t="s">
        <v>613</v>
      </c>
      <c r="EU174" s="35" t="s">
        <v>578</v>
      </c>
      <c r="EV174" s="35" t="s">
        <v>579</v>
      </c>
      <c r="EW174" s="35" t="s">
        <v>580</v>
      </c>
      <c r="EX174" s="35" t="s">
        <v>5156</v>
      </c>
      <c r="EY174" s="35" t="s">
        <v>5163</v>
      </c>
      <c r="EZ174" s="35" t="s">
        <v>11396</v>
      </c>
      <c r="FA174" s="35" t="s">
        <v>583</v>
      </c>
      <c r="FB174" s="35" t="s">
        <v>583</v>
      </c>
      <c r="FC174" s="35" t="s">
        <v>413</v>
      </c>
      <c r="FD174" s="35" t="s">
        <v>415</v>
      </c>
      <c r="FE174" s="35" t="s">
        <v>415</v>
      </c>
      <c r="FF174" s="35" t="s">
        <v>583</v>
      </c>
      <c r="FG174" s="35" t="s">
        <v>415</v>
      </c>
      <c r="FH174" s="35" t="s">
        <v>416</v>
      </c>
      <c r="FI174" s="35" t="s">
        <v>416</v>
      </c>
      <c r="FJ174" s="35" t="s">
        <v>413</v>
      </c>
      <c r="FK174" s="35" t="s">
        <v>416</v>
      </c>
      <c r="FL174" s="35" t="s">
        <v>413</v>
      </c>
      <c r="FM174" s="35" t="s">
        <v>413</v>
      </c>
      <c r="FN174" s="35" t="s">
        <v>413</v>
      </c>
      <c r="FO174" s="35" t="s">
        <v>416</v>
      </c>
      <c r="FP174" s="35" t="s">
        <v>1537</v>
      </c>
      <c r="FQ174" s="35" t="s">
        <v>486</v>
      </c>
      <c r="FR174" s="35" t="s">
        <v>749</v>
      </c>
      <c r="FS174" s="35" t="s">
        <v>5165</v>
      </c>
      <c r="FT174" s="35" t="s">
        <v>1871</v>
      </c>
      <c r="FU174" s="35" t="s">
        <v>1476</v>
      </c>
      <c r="FV174" s="35" t="s">
        <v>1235</v>
      </c>
      <c r="FW174" s="35" t="s">
        <v>2136</v>
      </c>
      <c r="FX174" s="35" t="s">
        <v>1853</v>
      </c>
      <c r="FY174" s="35" t="s">
        <v>5166</v>
      </c>
      <c r="FZ174" s="35" t="s">
        <v>1854</v>
      </c>
      <c r="GA174" s="35" t="s">
        <v>5167</v>
      </c>
      <c r="GB174" s="35" t="s">
        <v>11397</v>
      </c>
      <c r="GC174" s="35" t="s">
        <v>455</v>
      </c>
      <c r="GD174" s="35" t="s">
        <v>11398</v>
      </c>
      <c r="GF174" s="35" t="s">
        <v>753</v>
      </c>
      <c r="GG174" s="35" t="s">
        <v>11399</v>
      </c>
      <c r="GH174" s="35" t="s">
        <v>1000</v>
      </c>
      <c r="GI174" s="35" t="s">
        <v>1000</v>
      </c>
      <c r="GJ174" s="35" t="s">
        <v>756</v>
      </c>
      <c r="GO174" s="35" t="s">
        <v>5153</v>
      </c>
      <c r="GP174" s="35" t="s">
        <v>11400</v>
      </c>
      <c r="GR174" s="35" t="s">
        <v>3208</v>
      </c>
      <c r="GU174" s="35" t="s">
        <v>5170</v>
      </c>
      <c r="GV174" s="35" t="s">
        <v>11401</v>
      </c>
    </row>
    <row r="175">
      <c r="A175" s="35" t="s">
        <v>11402</v>
      </c>
      <c r="B175" s="40">
        <v>45858.855598043985</v>
      </c>
      <c r="C175" s="35" t="s">
        <v>368</v>
      </c>
      <c r="D175" s="35" t="s">
        <v>1268</v>
      </c>
      <c r="E175" s="35" t="s">
        <v>1268</v>
      </c>
      <c r="H175" s="35" t="s">
        <v>792</v>
      </c>
      <c r="I175" s="35" t="s">
        <v>373</v>
      </c>
      <c r="J175" s="35" t="s">
        <v>374</v>
      </c>
      <c r="K175" s="35" t="s">
        <v>375</v>
      </c>
      <c r="L175" s="35" t="s">
        <v>376</v>
      </c>
      <c r="M175" s="35" t="s">
        <v>591</v>
      </c>
      <c r="N175" s="35" t="s">
        <v>2998</v>
      </c>
      <c r="O175" s="35" t="s">
        <v>426</v>
      </c>
      <c r="P175" s="35" t="s">
        <v>5184</v>
      </c>
      <c r="Q175" s="35" t="s">
        <v>592</v>
      </c>
      <c r="R175" s="35" t="s">
        <v>818</v>
      </c>
      <c r="S175" s="35" t="s">
        <v>427</v>
      </c>
      <c r="T175" s="35" t="s">
        <v>384</v>
      </c>
      <c r="U175" s="35" t="s">
        <v>385</v>
      </c>
      <c r="X175" s="35" t="s">
        <v>3231</v>
      </c>
      <c r="AW175" s="35" t="s">
        <v>1310</v>
      </c>
      <c r="AX175" s="41">
        <v>4.0</v>
      </c>
      <c r="AY175" s="41">
        <v>2.0</v>
      </c>
      <c r="AZ175" s="41">
        <v>2.0</v>
      </c>
      <c r="BA175" s="35" t="s">
        <v>429</v>
      </c>
      <c r="BB175" s="35" t="s">
        <v>429</v>
      </c>
      <c r="BC175" s="41">
        <v>2.0</v>
      </c>
      <c r="BD175" s="35" t="s">
        <v>5185</v>
      </c>
      <c r="BE175" s="35" t="s">
        <v>5186</v>
      </c>
      <c r="BF175" s="35" t="s">
        <v>392</v>
      </c>
      <c r="BG175" s="35" t="s">
        <v>1095</v>
      </c>
      <c r="BH175" s="35" t="s">
        <v>434</v>
      </c>
      <c r="BI175" s="35" t="s">
        <v>5187</v>
      </c>
      <c r="BJ175" s="35" t="s">
        <v>435</v>
      </c>
      <c r="BK175" s="35" t="s">
        <v>5188</v>
      </c>
      <c r="BL175" s="35" t="s">
        <v>437</v>
      </c>
      <c r="BM175" s="35" t="s">
        <v>603</v>
      </c>
      <c r="BN175" s="35" t="s">
        <v>1247</v>
      </c>
      <c r="BO175" s="35" t="s">
        <v>513</v>
      </c>
      <c r="CM175" s="35" t="s">
        <v>550</v>
      </c>
      <c r="CN175" s="35" t="s">
        <v>604</v>
      </c>
      <c r="CO175" s="35" t="s">
        <v>5189</v>
      </c>
      <c r="CP175" s="35" t="s">
        <v>5190</v>
      </c>
      <c r="CQ175" s="35" t="s">
        <v>685</v>
      </c>
      <c r="CR175" s="35" t="s">
        <v>5191</v>
      </c>
      <c r="CS175" s="35" t="s">
        <v>804</v>
      </c>
      <c r="CT175" s="35" t="s">
        <v>5192</v>
      </c>
      <c r="CU175" s="35" t="s">
        <v>5193</v>
      </c>
      <c r="CV175" s="35" t="s">
        <v>519</v>
      </c>
      <c r="CW175" s="35" t="s">
        <v>1931</v>
      </c>
      <c r="CY175" s="35" t="s">
        <v>408</v>
      </c>
      <c r="DA175" s="35" t="s">
        <v>1962</v>
      </c>
      <c r="DC175" s="35" t="s">
        <v>408</v>
      </c>
      <c r="DE175" s="35" t="s">
        <v>406</v>
      </c>
      <c r="DF175" s="35" t="s">
        <v>407</v>
      </c>
      <c r="DG175" s="35" t="s">
        <v>5194</v>
      </c>
      <c r="DH175" s="35" t="s">
        <v>776</v>
      </c>
      <c r="DI175" s="35" t="s">
        <v>833</v>
      </c>
      <c r="DJ175" s="35" t="s">
        <v>963</v>
      </c>
      <c r="DK175" s="35" t="s">
        <v>460</v>
      </c>
      <c r="DL175" s="35" t="s">
        <v>563</v>
      </c>
      <c r="DM175" s="35" t="s">
        <v>5195</v>
      </c>
      <c r="EU175" s="35" t="s">
        <v>526</v>
      </c>
      <c r="EV175" s="35" t="s">
        <v>579</v>
      </c>
      <c r="EW175" s="35" t="s">
        <v>580</v>
      </c>
      <c r="EX175" s="35" t="s">
        <v>5196</v>
      </c>
      <c r="EY175" s="35" t="s">
        <v>5197</v>
      </c>
      <c r="EZ175" s="35" t="s">
        <v>5198</v>
      </c>
      <c r="FA175" s="35" t="s">
        <v>414</v>
      </c>
      <c r="FB175" s="35" t="s">
        <v>583</v>
      </c>
      <c r="FC175" s="35" t="s">
        <v>413</v>
      </c>
      <c r="FD175" s="35" t="s">
        <v>415</v>
      </c>
      <c r="FE175" s="35" t="s">
        <v>416</v>
      </c>
      <c r="FF175" s="35" t="s">
        <v>414</v>
      </c>
      <c r="FG175" s="35" t="s">
        <v>415</v>
      </c>
      <c r="FH175" s="35" t="s">
        <v>415</v>
      </c>
      <c r="FI175" s="35" t="s">
        <v>415</v>
      </c>
      <c r="FJ175" s="35" t="s">
        <v>416</v>
      </c>
      <c r="FK175" s="35" t="s">
        <v>414</v>
      </c>
      <c r="FL175" s="35" t="s">
        <v>416</v>
      </c>
      <c r="FM175" s="35" t="s">
        <v>416</v>
      </c>
      <c r="FN175" s="35" t="s">
        <v>415</v>
      </c>
      <c r="FO175" s="35" t="s">
        <v>415</v>
      </c>
      <c r="FP175" s="35" t="s">
        <v>1074</v>
      </c>
      <c r="FQ175" s="35" t="s">
        <v>486</v>
      </c>
      <c r="FR175" s="35" t="s">
        <v>419</v>
      </c>
      <c r="FS175" s="35" t="s">
        <v>5199</v>
      </c>
      <c r="FT175" s="35" t="s">
        <v>1871</v>
      </c>
      <c r="FU175" s="35" t="s">
        <v>1462</v>
      </c>
      <c r="FV175" s="35" t="s">
        <v>1235</v>
      </c>
      <c r="FW175" s="35" t="s">
        <v>2399</v>
      </c>
      <c r="FX175" s="35" t="s">
        <v>1853</v>
      </c>
      <c r="FY175" s="35" t="s">
        <v>5200</v>
      </c>
      <c r="FZ175" s="35" t="s">
        <v>1020</v>
      </c>
      <c r="GA175" s="35" t="s">
        <v>5201</v>
      </c>
      <c r="GB175" s="35" t="s">
        <v>5202</v>
      </c>
      <c r="GC175" s="35" t="s">
        <v>408</v>
      </c>
      <c r="GH175" s="35" t="s">
        <v>1000</v>
      </c>
      <c r="GI175" s="35" t="s">
        <v>1000</v>
      </c>
      <c r="GJ175" s="35" t="s">
        <v>817</v>
      </c>
      <c r="GO175" s="35" t="s">
        <v>1268</v>
      </c>
      <c r="GP175" s="35" t="s">
        <v>1268</v>
      </c>
      <c r="GQ175" s="35" t="s">
        <v>5203</v>
      </c>
      <c r="GR175" s="35" t="s">
        <v>3208</v>
      </c>
      <c r="GU175" s="35" t="s">
        <v>4774</v>
      </c>
    </row>
    <row r="176">
      <c r="A176" s="35" t="s">
        <v>11403</v>
      </c>
      <c r="B176" s="40">
        <v>45865.26090908565</v>
      </c>
      <c r="C176" s="35" t="s">
        <v>368</v>
      </c>
      <c r="D176" s="35" t="s">
        <v>2796</v>
      </c>
      <c r="E176" s="35" t="s">
        <v>2796</v>
      </c>
      <c r="H176" s="35" t="s">
        <v>422</v>
      </c>
      <c r="I176" s="35" t="s">
        <v>373</v>
      </c>
      <c r="J176" s="35" t="s">
        <v>638</v>
      </c>
      <c r="K176" s="35" t="s">
        <v>375</v>
      </c>
      <c r="L176" s="35" t="s">
        <v>376</v>
      </c>
      <c r="M176" s="35" t="s">
        <v>426</v>
      </c>
      <c r="N176" s="35" t="s">
        <v>720</v>
      </c>
      <c r="O176" s="35" t="s">
        <v>426</v>
      </c>
      <c r="P176" s="35" t="s">
        <v>380</v>
      </c>
      <c r="Q176" s="35" t="s">
        <v>381</v>
      </c>
      <c r="R176" s="35" t="s">
        <v>1156</v>
      </c>
      <c r="S176" s="35" t="s">
        <v>949</v>
      </c>
      <c r="T176" s="35" t="s">
        <v>384</v>
      </c>
      <c r="U176" s="35" t="s">
        <v>385</v>
      </c>
      <c r="X176" s="35" t="s">
        <v>386</v>
      </c>
      <c r="Y176" s="35" t="s">
        <v>387</v>
      </c>
      <c r="Z176" s="35" t="s">
        <v>388</v>
      </c>
      <c r="AA176" s="35" t="s">
        <v>389</v>
      </c>
      <c r="AW176" s="35" t="s">
        <v>1310</v>
      </c>
      <c r="AX176" s="41">
        <v>4.0</v>
      </c>
      <c r="AY176" s="35" t="s">
        <v>391</v>
      </c>
      <c r="AZ176" s="35" t="s">
        <v>391</v>
      </c>
      <c r="BA176" s="35" t="s">
        <v>429</v>
      </c>
      <c r="BB176" s="35" t="s">
        <v>429</v>
      </c>
      <c r="BC176" s="35" t="s">
        <v>391</v>
      </c>
      <c r="BD176" s="35" t="s">
        <v>5266</v>
      </c>
      <c r="BE176" s="35" t="s">
        <v>5267</v>
      </c>
      <c r="BF176" s="35" t="s">
        <v>902</v>
      </c>
      <c r="BG176" s="35" t="s">
        <v>393</v>
      </c>
      <c r="BH176" s="35" t="s">
        <v>765</v>
      </c>
      <c r="BJ176" s="35" t="s">
        <v>976</v>
      </c>
      <c r="BL176" s="35" t="s">
        <v>437</v>
      </c>
      <c r="BM176" s="35" t="s">
        <v>603</v>
      </c>
      <c r="BN176" s="35" t="s">
        <v>1247</v>
      </c>
      <c r="BO176" s="35" t="s">
        <v>513</v>
      </c>
      <c r="CM176" s="35" t="s">
        <v>550</v>
      </c>
      <c r="CN176" s="35" t="s">
        <v>604</v>
      </c>
      <c r="CO176" s="35" t="s">
        <v>5268</v>
      </c>
      <c r="CP176" s="35" t="s">
        <v>5269</v>
      </c>
      <c r="CQ176" s="35" t="s">
        <v>1008</v>
      </c>
      <c r="CR176" s="35" t="s">
        <v>5270</v>
      </c>
      <c r="CS176" s="35" t="s">
        <v>404</v>
      </c>
      <c r="CT176" s="35" t="s">
        <v>1851</v>
      </c>
      <c r="CU176" s="35" t="s">
        <v>5271</v>
      </c>
      <c r="CV176" s="35" t="s">
        <v>1961</v>
      </c>
      <c r="CW176" s="35" t="s">
        <v>409</v>
      </c>
      <c r="CX176" s="35" t="s">
        <v>5272</v>
      </c>
      <c r="CY176" s="35" t="s">
        <v>408</v>
      </c>
      <c r="DA176" s="35" t="s">
        <v>1962</v>
      </c>
      <c r="DC176" s="35" t="s">
        <v>455</v>
      </c>
      <c r="DD176" s="35" t="s">
        <v>5273</v>
      </c>
      <c r="DE176" s="35" t="s">
        <v>662</v>
      </c>
      <c r="DG176" s="35" t="s">
        <v>5274</v>
      </c>
      <c r="DH176" s="35" t="s">
        <v>990</v>
      </c>
      <c r="DI176" s="35" t="s">
        <v>410</v>
      </c>
      <c r="DJ176" s="35" t="s">
        <v>963</v>
      </c>
      <c r="DK176" s="35" t="s">
        <v>562</v>
      </c>
      <c r="DL176" s="35" t="s">
        <v>563</v>
      </c>
      <c r="DM176" s="35" t="s">
        <v>5275</v>
      </c>
      <c r="EU176" s="35" t="s">
        <v>578</v>
      </c>
      <c r="EV176" s="35" t="s">
        <v>579</v>
      </c>
      <c r="EW176" s="35" t="s">
        <v>1262</v>
      </c>
      <c r="EY176" s="35" t="s">
        <v>5276</v>
      </c>
      <c r="EZ176" s="35" t="s">
        <v>5277</v>
      </c>
      <c r="FA176" s="35" t="s">
        <v>415</v>
      </c>
      <c r="FB176" s="35" t="s">
        <v>414</v>
      </c>
      <c r="FC176" s="35" t="s">
        <v>416</v>
      </c>
      <c r="FD176" s="35" t="s">
        <v>414</v>
      </c>
      <c r="FE176" s="35" t="s">
        <v>413</v>
      </c>
      <c r="FF176" s="35" t="s">
        <v>583</v>
      </c>
      <c r="FG176" s="35" t="s">
        <v>583</v>
      </c>
      <c r="FH176" s="35" t="s">
        <v>583</v>
      </c>
      <c r="FI176" s="35" t="s">
        <v>413</v>
      </c>
      <c r="FJ176" s="35" t="s">
        <v>413</v>
      </c>
      <c r="FK176" s="35" t="s">
        <v>415</v>
      </c>
      <c r="FL176" s="35" t="s">
        <v>414</v>
      </c>
      <c r="FM176" s="35" t="s">
        <v>414</v>
      </c>
      <c r="FN176" s="35" t="s">
        <v>414</v>
      </c>
      <c r="FO176" s="35" t="s">
        <v>415</v>
      </c>
      <c r="FP176" s="35" t="s">
        <v>1074</v>
      </c>
      <c r="FQ176" s="35" t="s">
        <v>418</v>
      </c>
      <c r="FR176" s="35" t="s">
        <v>1039</v>
      </c>
      <c r="FS176" s="35" t="s">
        <v>5278</v>
      </c>
      <c r="FT176" s="35" t="s">
        <v>1076</v>
      </c>
      <c r="FU176" s="35" t="s">
        <v>1462</v>
      </c>
      <c r="FV176" s="35" t="s">
        <v>585</v>
      </c>
      <c r="FW176" s="35" t="s">
        <v>1101</v>
      </c>
      <c r="FX176" s="35" t="s">
        <v>1853</v>
      </c>
      <c r="FY176" s="35" t="s">
        <v>5279</v>
      </c>
      <c r="FZ176" s="35" t="s">
        <v>493</v>
      </c>
      <c r="GA176" s="35" t="s">
        <v>5280</v>
      </c>
      <c r="GC176" s="35" t="s">
        <v>408</v>
      </c>
      <c r="GH176" s="35" t="s">
        <v>788</v>
      </c>
      <c r="GI176" s="35" t="s">
        <v>788</v>
      </c>
      <c r="GJ176" s="35" t="s">
        <v>817</v>
      </c>
      <c r="GR176" s="35" t="s">
        <v>3208</v>
      </c>
      <c r="GU176" s="35" t="s">
        <v>4774</v>
      </c>
      <c r="GW176" s="35" t="s">
        <v>5231</v>
      </c>
      <c r="GX176" s="35" t="s">
        <v>5232</v>
      </c>
      <c r="HD176" s="35" t="s">
        <v>5281</v>
      </c>
      <c r="HE176" s="35" t="s">
        <v>5282</v>
      </c>
      <c r="HF176" s="35" t="s">
        <v>5283</v>
      </c>
      <c r="HG176" s="35" t="s">
        <v>5284</v>
      </c>
      <c r="HP176" s="35" t="s">
        <v>5285</v>
      </c>
      <c r="HQ176" s="35" t="s">
        <v>5237</v>
      </c>
      <c r="HR176" s="35" t="s">
        <v>5286</v>
      </c>
      <c r="HS176" s="35" t="s">
        <v>5287</v>
      </c>
    </row>
    <row r="177">
      <c r="A177" s="35" t="s">
        <v>11404</v>
      </c>
      <c r="B177" s="40">
        <v>45865.286593275465</v>
      </c>
      <c r="C177" s="35" t="s">
        <v>368</v>
      </c>
      <c r="D177" s="35" t="s">
        <v>370</v>
      </c>
      <c r="E177" s="35" t="s">
        <v>370</v>
      </c>
      <c r="F177" s="35" t="s">
        <v>589</v>
      </c>
      <c r="G177" s="35" t="s">
        <v>589</v>
      </c>
      <c r="H177" s="35" t="s">
        <v>1023</v>
      </c>
      <c r="I177" s="35" t="s">
        <v>539</v>
      </c>
      <c r="J177" s="35" t="s">
        <v>424</v>
      </c>
      <c r="K177" s="35" t="s">
        <v>425</v>
      </c>
      <c r="L177" s="35" t="s">
        <v>376</v>
      </c>
      <c r="M177" s="35" t="s">
        <v>591</v>
      </c>
      <c r="N177" s="35" t="s">
        <v>378</v>
      </c>
      <c r="O177" s="35" t="s">
        <v>591</v>
      </c>
      <c r="P177" s="35" t="s">
        <v>639</v>
      </c>
      <c r="Q177" s="35" t="s">
        <v>1760</v>
      </c>
      <c r="R177" s="35" t="s">
        <v>1156</v>
      </c>
      <c r="S177" s="35" t="s">
        <v>427</v>
      </c>
      <c r="T177" s="35" t="s">
        <v>384</v>
      </c>
      <c r="U177" s="35" t="s">
        <v>385</v>
      </c>
      <c r="X177" s="35" t="s">
        <v>593</v>
      </c>
      <c r="Y177" s="35" t="s">
        <v>387</v>
      </c>
      <c r="Z177" s="35" t="s">
        <v>2115</v>
      </c>
      <c r="AA177" s="35" t="s">
        <v>502</v>
      </c>
      <c r="AB177" s="35" t="s">
        <v>5288</v>
      </c>
      <c r="AC177" s="35" t="s">
        <v>5289</v>
      </c>
      <c r="AW177" s="35" t="s">
        <v>597</v>
      </c>
      <c r="AX177" s="35" t="s">
        <v>391</v>
      </c>
      <c r="AY177" s="35" t="s">
        <v>429</v>
      </c>
      <c r="AZ177" s="35" t="s">
        <v>429</v>
      </c>
      <c r="BA177" s="35" t="s">
        <v>429</v>
      </c>
      <c r="BB177" s="35" t="s">
        <v>429</v>
      </c>
      <c r="BC177" s="35" t="s">
        <v>429</v>
      </c>
      <c r="BF177" s="35" t="s">
        <v>392</v>
      </c>
      <c r="BG177" s="35" t="s">
        <v>393</v>
      </c>
      <c r="BH177" s="35" t="s">
        <v>765</v>
      </c>
      <c r="BJ177" s="35" t="s">
        <v>509</v>
      </c>
      <c r="BL177" s="35" t="s">
        <v>511</v>
      </c>
      <c r="BM177" s="35" t="s">
        <v>512</v>
      </c>
      <c r="BN177" s="35" t="s">
        <v>549</v>
      </c>
      <c r="BO177" s="35" t="s">
        <v>513</v>
      </c>
      <c r="CM177" s="35" t="s">
        <v>441</v>
      </c>
      <c r="CN177" s="35" t="s">
        <v>442</v>
      </c>
      <c r="CP177" s="35" t="s">
        <v>5290</v>
      </c>
      <c r="CQ177" s="35" t="s">
        <v>1008</v>
      </c>
      <c r="CR177" s="35" t="s">
        <v>2064</v>
      </c>
      <c r="CS177" s="35" t="s">
        <v>447</v>
      </c>
      <c r="CT177" s="35" t="s">
        <v>5291</v>
      </c>
      <c r="CU177" s="35" t="s">
        <v>5292</v>
      </c>
      <c r="CV177" s="35" t="s">
        <v>519</v>
      </c>
      <c r="CW177" s="35" t="s">
        <v>451</v>
      </c>
      <c r="CX177" s="35" t="s">
        <v>5293</v>
      </c>
      <c r="CY177" s="35" t="s">
        <v>408</v>
      </c>
      <c r="DA177" s="35" t="s">
        <v>1398</v>
      </c>
      <c r="DB177" s="35" t="s">
        <v>5294</v>
      </c>
      <c r="DC177" s="35" t="s">
        <v>408</v>
      </c>
      <c r="DE177" s="35" t="s">
        <v>406</v>
      </c>
      <c r="DF177" s="35" t="s">
        <v>1867</v>
      </c>
      <c r="DH177" s="35" t="s">
        <v>561</v>
      </c>
      <c r="DI177" s="35" t="s">
        <v>833</v>
      </c>
      <c r="DJ177" s="35" t="s">
        <v>459</v>
      </c>
      <c r="DK177" s="35" t="s">
        <v>613</v>
      </c>
      <c r="EU177" s="35" t="s">
        <v>2747</v>
      </c>
      <c r="EV177" s="35" t="s">
        <v>479</v>
      </c>
      <c r="EW177" s="35" t="s">
        <v>1534</v>
      </c>
      <c r="FA177" s="35" t="s">
        <v>413</v>
      </c>
      <c r="FB177" s="35" t="s">
        <v>416</v>
      </c>
      <c r="FC177" s="35" t="s">
        <v>413</v>
      </c>
      <c r="FD177" s="35" t="s">
        <v>413</v>
      </c>
      <c r="FE177" s="35" t="s">
        <v>413</v>
      </c>
      <c r="FF177" s="35" t="s">
        <v>416</v>
      </c>
      <c r="FG177" s="35" t="s">
        <v>413</v>
      </c>
      <c r="FH177" s="35" t="s">
        <v>413</v>
      </c>
      <c r="FI177" s="35" t="s">
        <v>583</v>
      </c>
      <c r="FJ177" s="35" t="s">
        <v>583</v>
      </c>
      <c r="FK177" s="35" t="s">
        <v>414</v>
      </c>
      <c r="FL177" s="35" t="s">
        <v>413</v>
      </c>
      <c r="FM177" s="35" t="s">
        <v>415</v>
      </c>
      <c r="FN177" s="35" t="s">
        <v>413</v>
      </c>
      <c r="FO177" s="35" t="s">
        <v>583</v>
      </c>
      <c r="FP177" s="35" t="s">
        <v>417</v>
      </c>
      <c r="FQ177" s="35" t="s">
        <v>418</v>
      </c>
      <c r="FR177" s="35" t="s">
        <v>419</v>
      </c>
      <c r="FT177" s="35" t="s">
        <v>1189</v>
      </c>
      <c r="FU177" s="35" t="s">
        <v>488</v>
      </c>
      <c r="FV177" s="35" t="s">
        <v>533</v>
      </c>
      <c r="FW177" s="35" t="s">
        <v>490</v>
      </c>
      <c r="FX177" s="35" t="s">
        <v>491</v>
      </c>
      <c r="FY177" s="35" t="s">
        <v>5295</v>
      </c>
      <c r="FZ177" s="35" t="s">
        <v>535</v>
      </c>
      <c r="GA177" s="35" t="s">
        <v>5296</v>
      </c>
      <c r="GC177" s="35" t="s">
        <v>455</v>
      </c>
      <c r="GD177" s="35" t="s">
        <v>11405</v>
      </c>
      <c r="GF177" s="35" t="s">
        <v>753</v>
      </c>
      <c r="GH177" s="35" t="s">
        <v>789</v>
      </c>
      <c r="GI177" s="35" t="s">
        <v>789</v>
      </c>
      <c r="GJ177" s="35" t="s">
        <v>817</v>
      </c>
      <c r="GR177" s="35" t="s">
        <v>3208</v>
      </c>
      <c r="GU177" s="35" t="s">
        <v>4774</v>
      </c>
      <c r="GW177" s="35" t="s">
        <v>5231</v>
      </c>
      <c r="GX177" s="35" t="s">
        <v>5232</v>
      </c>
      <c r="HD177" s="35" t="s">
        <v>5297</v>
      </c>
      <c r="HE177" s="35" t="s">
        <v>5298</v>
      </c>
      <c r="HF177" s="35" t="s">
        <v>5299</v>
      </c>
      <c r="HG177" s="35" t="s">
        <v>5300</v>
      </c>
      <c r="HP177" s="35" t="s">
        <v>5301</v>
      </c>
      <c r="HQ177" s="35" t="s">
        <v>5302</v>
      </c>
      <c r="HR177" s="35" t="s">
        <v>5238</v>
      </c>
      <c r="HS177" s="35" t="s">
        <v>5287</v>
      </c>
    </row>
    <row r="178">
      <c r="A178" s="35" t="s">
        <v>11406</v>
      </c>
      <c r="B178" s="40">
        <v>45865.616428368055</v>
      </c>
      <c r="C178" s="35" t="s">
        <v>368</v>
      </c>
      <c r="D178" s="35" t="s">
        <v>370</v>
      </c>
      <c r="E178" s="35" t="s">
        <v>370</v>
      </c>
      <c r="F178" s="35" t="s">
        <v>371</v>
      </c>
      <c r="G178" s="35" t="s">
        <v>371</v>
      </c>
      <c r="H178" s="35" t="s">
        <v>422</v>
      </c>
      <c r="I178" s="35" t="s">
        <v>496</v>
      </c>
      <c r="J178" s="35" t="s">
        <v>374</v>
      </c>
      <c r="K178" s="35" t="s">
        <v>1240</v>
      </c>
      <c r="L178" s="35" t="s">
        <v>376</v>
      </c>
      <c r="M178" s="35" t="s">
        <v>379</v>
      </c>
      <c r="N178" s="35" t="s">
        <v>719</v>
      </c>
      <c r="O178" s="35" t="s">
        <v>426</v>
      </c>
      <c r="P178" s="35" t="s">
        <v>497</v>
      </c>
      <c r="Q178" s="35" t="s">
        <v>498</v>
      </c>
      <c r="R178" s="35" t="s">
        <v>499</v>
      </c>
      <c r="S178" s="35" t="s">
        <v>427</v>
      </c>
      <c r="T178" s="35" t="s">
        <v>384</v>
      </c>
      <c r="U178" s="35" t="s">
        <v>385</v>
      </c>
      <c r="X178" s="35" t="s">
        <v>3014</v>
      </c>
      <c r="AW178" s="35" t="s">
        <v>390</v>
      </c>
      <c r="AX178" s="35" t="s">
        <v>429</v>
      </c>
      <c r="AY178" s="35" t="s">
        <v>429</v>
      </c>
      <c r="AZ178" s="35" t="s">
        <v>429</v>
      </c>
      <c r="BA178" s="35" t="s">
        <v>429</v>
      </c>
      <c r="BB178" s="35" t="s">
        <v>429</v>
      </c>
      <c r="BC178" s="41">
        <v>2.0</v>
      </c>
      <c r="BD178" s="35" t="s">
        <v>5303</v>
      </c>
      <c r="BE178" s="35" t="s">
        <v>5304</v>
      </c>
      <c r="BF178" s="35" t="s">
        <v>392</v>
      </c>
      <c r="BG178" s="35" t="s">
        <v>433</v>
      </c>
      <c r="BH178" s="35" t="s">
        <v>678</v>
      </c>
      <c r="BI178" s="35" t="s">
        <v>5305</v>
      </c>
      <c r="BJ178" s="35" t="s">
        <v>435</v>
      </c>
      <c r="BK178" s="35" t="s">
        <v>5306</v>
      </c>
      <c r="BL178" s="35" t="s">
        <v>511</v>
      </c>
      <c r="BM178" s="35" t="s">
        <v>603</v>
      </c>
      <c r="BN178" s="35" t="s">
        <v>439</v>
      </c>
      <c r="BO178" s="35" t="s">
        <v>513</v>
      </c>
      <c r="CM178" s="35" t="s">
        <v>441</v>
      </c>
      <c r="CN178" s="35" t="s">
        <v>401</v>
      </c>
      <c r="CO178" s="35" t="s">
        <v>552</v>
      </c>
      <c r="CP178" s="35" t="s">
        <v>455</v>
      </c>
      <c r="CQ178" s="35" t="s">
        <v>685</v>
      </c>
      <c r="CR178" s="35" t="s">
        <v>5307</v>
      </c>
      <c r="CS178" s="35" t="s">
        <v>804</v>
      </c>
      <c r="CT178" s="35" t="s">
        <v>5308</v>
      </c>
      <c r="CU178" s="35" t="s">
        <v>5309</v>
      </c>
      <c r="CV178" s="35" t="s">
        <v>450</v>
      </c>
      <c r="CW178" s="35" t="s">
        <v>451</v>
      </c>
      <c r="CX178" s="35" t="s">
        <v>5310</v>
      </c>
      <c r="CY178" s="35" t="s">
        <v>733</v>
      </c>
      <c r="DA178" s="35" t="s">
        <v>453</v>
      </c>
      <c r="DB178" s="35" t="s">
        <v>5311</v>
      </c>
      <c r="DC178" s="35" t="s">
        <v>455</v>
      </c>
      <c r="DD178" s="35" t="s">
        <v>5312</v>
      </c>
      <c r="DE178" s="35" t="s">
        <v>457</v>
      </c>
      <c r="DH178" s="35" t="s">
        <v>524</v>
      </c>
      <c r="DI178" s="35" t="s">
        <v>410</v>
      </c>
      <c r="DJ178" s="35" t="s">
        <v>459</v>
      </c>
      <c r="DK178" s="35" t="s">
        <v>460</v>
      </c>
      <c r="DL178" s="35" t="s">
        <v>461</v>
      </c>
      <c r="EU178" s="35" t="s">
        <v>526</v>
      </c>
      <c r="EV178" s="35" t="s">
        <v>479</v>
      </c>
      <c r="EW178" s="35" t="s">
        <v>480</v>
      </c>
      <c r="EY178" s="35" t="s">
        <v>5313</v>
      </c>
      <c r="EZ178" s="35" t="s">
        <v>552</v>
      </c>
      <c r="FA178" s="35" t="s">
        <v>583</v>
      </c>
      <c r="FB178" s="35" t="s">
        <v>583</v>
      </c>
      <c r="FC178" s="35" t="s">
        <v>583</v>
      </c>
      <c r="FD178" s="35" t="s">
        <v>583</v>
      </c>
      <c r="FE178" s="35" t="s">
        <v>415</v>
      </c>
      <c r="FF178" s="35" t="s">
        <v>583</v>
      </c>
      <c r="FG178" s="35" t="s">
        <v>583</v>
      </c>
      <c r="FH178" s="35" t="s">
        <v>416</v>
      </c>
      <c r="FI178" s="35" t="s">
        <v>583</v>
      </c>
      <c r="FJ178" s="35" t="s">
        <v>583</v>
      </c>
      <c r="FK178" s="35" t="s">
        <v>583</v>
      </c>
      <c r="FL178" s="35" t="s">
        <v>583</v>
      </c>
      <c r="FM178" s="35" t="s">
        <v>583</v>
      </c>
      <c r="FN178" s="35" t="s">
        <v>413</v>
      </c>
      <c r="FO178" s="35" t="s">
        <v>583</v>
      </c>
      <c r="FP178" s="35" t="s">
        <v>417</v>
      </c>
      <c r="FQ178" s="35" t="s">
        <v>486</v>
      </c>
      <c r="FR178" s="35" t="s">
        <v>419</v>
      </c>
      <c r="FS178" s="35" t="s">
        <v>5314</v>
      </c>
      <c r="FT178" s="35" t="s">
        <v>420</v>
      </c>
      <c r="FU178" s="35" t="s">
        <v>1462</v>
      </c>
      <c r="FV178" s="35" t="s">
        <v>533</v>
      </c>
      <c r="FW178" s="35" t="s">
        <v>490</v>
      </c>
      <c r="FX178" s="35" t="s">
        <v>491</v>
      </c>
      <c r="FY178" s="35" t="s">
        <v>5315</v>
      </c>
      <c r="FZ178" s="35" t="s">
        <v>1020</v>
      </c>
      <c r="GA178" s="35" t="s">
        <v>5316</v>
      </c>
      <c r="GC178" s="35" t="s">
        <v>455</v>
      </c>
      <c r="GD178" s="35" t="s">
        <v>11407</v>
      </c>
      <c r="GE178" s="35" t="s">
        <v>11125</v>
      </c>
      <c r="GF178" s="35" t="s">
        <v>786</v>
      </c>
      <c r="GG178" s="35" t="s">
        <v>5317</v>
      </c>
      <c r="GH178" s="35" t="s">
        <v>857</v>
      </c>
      <c r="GI178" s="35" t="s">
        <v>857</v>
      </c>
      <c r="GJ178" s="35" t="s">
        <v>790</v>
      </c>
      <c r="GR178" s="35" t="s">
        <v>3208</v>
      </c>
      <c r="GU178" s="35" t="s">
        <v>5318</v>
      </c>
      <c r="GV178" s="35" t="s">
        <v>5319</v>
      </c>
      <c r="GW178" s="35" t="s">
        <v>5231</v>
      </c>
      <c r="GX178" s="35" t="s">
        <v>5232</v>
      </c>
      <c r="HD178" s="35" t="s">
        <v>5297</v>
      </c>
      <c r="HE178" s="35" t="s">
        <v>5282</v>
      </c>
      <c r="HF178" s="35" t="s">
        <v>5320</v>
      </c>
      <c r="HG178" s="35" t="s">
        <v>5284</v>
      </c>
      <c r="HP178" s="35" t="s">
        <v>5236</v>
      </c>
      <c r="HQ178" s="35" t="s">
        <v>5237</v>
      </c>
      <c r="HR178" s="35" t="s">
        <v>5238</v>
      </c>
      <c r="HS178" s="35" t="s">
        <v>5321</v>
      </c>
    </row>
    <row r="179">
      <c r="A179" s="35" t="s">
        <v>11408</v>
      </c>
      <c r="B179" s="40">
        <v>45866.36920435185</v>
      </c>
      <c r="C179" s="35" t="s">
        <v>368</v>
      </c>
      <c r="D179" s="35" t="s">
        <v>370</v>
      </c>
      <c r="E179" s="35" t="s">
        <v>370</v>
      </c>
      <c r="F179" s="35" t="s">
        <v>757</v>
      </c>
      <c r="G179" s="35" t="s">
        <v>791</v>
      </c>
      <c r="H179" s="35" t="s">
        <v>422</v>
      </c>
      <c r="I179" s="35" t="s">
        <v>539</v>
      </c>
      <c r="J179" s="35" t="s">
        <v>424</v>
      </c>
      <c r="K179" s="35" t="s">
        <v>718</v>
      </c>
      <c r="L179" s="35" t="s">
        <v>376</v>
      </c>
      <c r="M179" s="35" t="s">
        <v>793</v>
      </c>
      <c r="N179" s="35" t="s">
        <v>639</v>
      </c>
      <c r="O179" s="35" t="s">
        <v>670</v>
      </c>
      <c r="P179" s="35" t="s">
        <v>1270</v>
      </c>
      <c r="Q179" s="35" t="s">
        <v>381</v>
      </c>
      <c r="R179" s="35" t="s">
        <v>382</v>
      </c>
      <c r="S179" s="35" t="s">
        <v>427</v>
      </c>
      <c r="T179" s="35" t="s">
        <v>384</v>
      </c>
      <c r="U179" s="35" t="s">
        <v>385</v>
      </c>
      <c r="X179" s="35" t="s">
        <v>593</v>
      </c>
      <c r="Y179" s="35" t="s">
        <v>387</v>
      </c>
      <c r="Z179" s="35" t="s">
        <v>388</v>
      </c>
      <c r="AA179" s="35" t="s">
        <v>502</v>
      </c>
      <c r="AX179" s="35" t="s">
        <v>391</v>
      </c>
      <c r="AY179" s="35" t="s">
        <v>391</v>
      </c>
      <c r="AZ179" s="35" t="s">
        <v>391</v>
      </c>
      <c r="BA179" s="41">
        <v>2.0</v>
      </c>
      <c r="BB179" s="41">
        <v>2.0</v>
      </c>
      <c r="BC179" s="35" t="s">
        <v>391</v>
      </c>
      <c r="BF179" s="35" t="s">
        <v>392</v>
      </c>
      <c r="BG179" s="35" t="s">
        <v>393</v>
      </c>
      <c r="BH179" s="35" t="s">
        <v>765</v>
      </c>
      <c r="BJ179" s="35" t="s">
        <v>435</v>
      </c>
      <c r="BL179" s="35" t="s">
        <v>437</v>
      </c>
      <c r="BN179" s="35" t="s">
        <v>397</v>
      </c>
      <c r="BO179" s="35" t="s">
        <v>513</v>
      </c>
      <c r="CQ179" s="35" t="s">
        <v>445</v>
      </c>
      <c r="CR179" s="35" t="s">
        <v>1467</v>
      </c>
      <c r="CS179" s="35" t="s">
        <v>555</v>
      </c>
      <c r="CT179" s="35" t="s">
        <v>5348</v>
      </c>
      <c r="CV179" s="35" t="s">
        <v>450</v>
      </c>
      <c r="CW179" s="35" t="s">
        <v>451</v>
      </c>
      <c r="CY179" s="35" t="s">
        <v>455</v>
      </c>
      <c r="DA179" s="35" t="s">
        <v>985</v>
      </c>
      <c r="DC179" s="35" t="s">
        <v>408</v>
      </c>
      <c r="DE179" s="35" t="s">
        <v>406</v>
      </c>
      <c r="DF179" s="35" t="s">
        <v>407</v>
      </c>
      <c r="DH179" s="35" t="s">
        <v>776</v>
      </c>
      <c r="DI179" s="35" t="s">
        <v>833</v>
      </c>
      <c r="DJ179" s="35" t="s">
        <v>459</v>
      </c>
      <c r="DK179" s="35" t="s">
        <v>562</v>
      </c>
      <c r="DL179" s="35" t="s">
        <v>461</v>
      </c>
      <c r="EU179" s="35" t="s">
        <v>526</v>
      </c>
      <c r="EV179" s="35" t="s">
        <v>479</v>
      </c>
      <c r="EW179" s="35" t="s">
        <v>1262</v>
      </c>
      <c r="FA179" s="35" t="s">
        <v>415</v>
      </c>
      <c r="FB179" s="35" t="s">
        <v>415</v>
      </c>
      <c r="FC179" s="35" t="s">
        <v>413</v>
      </c>
      <c r="FD179" s="35" t="s">
        <v>416</v>
      </c>
      <c r="FE179" s="35" t="s">
        <v>413</v>
      </c>
      <c r="FF179" s="35" t="s">
        <v>415</v>
      </c>
      <c r="FG179" s="35" t="s">
        <v>415</v>
      </c>
      <c r="FH179" s="35" t="s">
        <v>413</v>
      </c>
      <c r="FI179" s="35" t="s">
        <v>583</v>
      </c>
      <c r="FJ179" s="35" t="s">
        <v>415</v>
      </c>
      <c r="FK179" s="35" t="s">
        <v>415</v>
      </c>
      <c r="FL179" s="35" t="s">
        <v>413</v>
      </c>
      <c r="FM179" s="35" t="s">
        <v>413</v>
      </c>
      <c r="FN179" s="35" t="s">
        <v>415</v>
      </c>
      <c r="FO179" s="35" t="s">
        <v>415</v>
      </c>
      <c r="FP179" s="35" t="s">
        <v>850</v>
      </c>
      <c r="FQ179" s="35" t="s">
        <v>418</v>
      </c>
      <c r="FR179" s="35" t="s">
        <v>712</v>
      </c>
      <c r="FT179" s="35" t="s">
        <v>995</v>
      </c>
      <c r="FU179" s="35" t="s">
        <v>488</v>
      </c>
      <c r="FV179" s="35" t="s">
        <v>533</v>
      </c>
      <c r="FW179" s="35" t="s">
        <v>490</v>
      </c>
      <c r="FX179" s="35" t="s">
        <v>491</v>
      </c>
      <c r="FZ179" s="35" t="s">
        <v>535</v>
      </c>
      <c r="GC179" s="35" t="s">
        <v>408</v>
      </c>
      <c r="GH179" s="35" t="s">
        <v>920</v>
      </c>
      <c r="GI179" s="35" t="s">
        <v>920</v>
      </c>
      <c r="GJ179" s="35" t="s">
        <v>756</v>
      </c>
      <c r="GR179" s="35" t="s">
        <v>3208</v>
      </c>
      <c r="GU179" s="35" t="s">
        <v>4774</v>
      </c>
      <c r="GW179" s="35" t="s">
        <v>5231</v>
      </c>
      <c r="GX179" s="35" t="s">
        <v>5232</v>
      </c>
      <c r="HD179" s="35" t="s">
        <v>5297</v>
      </c>
      <c r="HE179" s="35" t="s">
        <v>5349</v>
      </c>
      <c r="HG179" s="35" t="s">
        <v>5300</v>
      </c>
      <c r="HP179" s="35" t="s">
        <v>5236</v>
      </c>
      <c r="HQ179" s="35" t="s">
        <v>5264</v>
      </c>
      <c r="HR179" s="35" t="s">
        <v>5238</v>
      </c>
      <c r="HS179" s="35" t="s">
        <v>913</v>
      </c>
    </row>
    <row r="180">
      <c r="A180" s="35" t="s">
        <v>11409</v>
      </c>
      <c r="B180" s="40">
        <v>45869.6256671875</v>
      </c>
      <c r="C180" s="35" t="s">
        <v>368</v>
      </c>
      <c r="D180" s="35" t="s">
        <v>5372</v>
      </c>
      <c r="E180" s="35" t="s">
        <v>635</v>
      </c>
      <c r="H180" s="35" t="s">
        <v>422</v>
      </c>
      <c r="I180" s="35" t="s">
        <v>637</v>
      </c>
      <c r="J180" s="35" t="s">
        <v>638</v>
      </c>
      <c r="K180" s="35" t="s">
        <v>590</v>
      </c>
      <c r="L180" s="35" t="s">
        <v>376</v>
      </c>
      <c r="M180" s="35" t="s">
        <v>426</v>
      </c>
      <c r="N180" s="35" t="s">
        <v>1024</v>
      </c>
      <c r="O180" s="35" t="s">
        <v>591</v>
      </c>
      <c r="P180" s="35" t="s">
        <v>1024</v>
      </c>
      <c r="Q180" s="35" t="s">
        <v>498</v>
      </c>
      <c r="R180" s="35" t="s">
        <v>818</v>
      </c>
      <c r="S180" s="35" t="s">
        <v>500</v>
      </c>
      <c r="T180" s="35" t="s">
        <v>384</v>
      </c>
      <c r="U180" s="35" t="s">
        <v>385</v>
      </c>
      <c r="X180" s="35" t="s">
        <v>3014</v>
      </c>
      <c r="AW180" s="35" t="s">
        <v>1310</v>
      </c>
      <c r="AX180" s="41">
        <v>4.0</v>
      </c>
      <c r="AY180" s="41">
        <v>4.0</v>
      </c>
      <c r="AZ180" s="41">
        <v>4.0</v>
      </c>
      <c r="BA180" s="41">
        <v>2.0</v>
      </c>
      <c r="BB180" s="41">
        <v>2.0</v>
      </c>
      <c r="BC180" s="35" t="s">
        <v>391</v>
      </c>
      <c r="BE180" s="35" t="s">
        <v>5373</v>
      </c>
      <c r="BF180" s="35" t="s">
        <v>432</v>
      </c>
      <c r="BG180" s="35" t="s">
        <v>1095</v>
      </c>
      <c r="BH180" s="35" t="s">
        <v>394</v>
      </c>
      <c r="BJ180" s="35" t="s">
        <v>824</v>
      </c>
      <c r="BL180" s="35" t="s">
        <v>681</v>
      </c>
      <c r="BM180" s="35" t="s">
        <v>396</v>
      </c>
      <c r="BN180" s="35" t="s">
        <v>1247</v>
      </c>
      <c r="BO180" s="35" t="s">
        <v>513</v>
      </c>
      <c r="CM180" s="35" t="s">
        <v>953</v>
      </c>
      <c r="CN180" s="35" t="s">
        <v>401</v>
      </c>
      <c r="CO180" s="35" t="s">
        <v>5374</v>
      </c>
      <c r="CP180" s="35" t="s">
        <v>5375</v>
      </c>
      <c r="CQ180" s="35" t="s">
        <v>445</v>
      </c>
      <c r="CR180" s="35" t="s">
        <v>5376</v>
      </c>
      <c r="CS180" s="35" t="s">
        <v>404</v>
      </c>
      <c r="CT180" s="35" t="s">
        <v>1137</v>
      </c>
      <c r="CU180" s="35" t="s">
        <v>5377</v>
      </c>
      <c r="CV180" s="35" t="s">
        <v>450</v>
      </c>
      <c r="CW180" s="35" t="s">
        <v>959</v>
      </c>
      <c r="CY180" s="35" t="s">
        <v>408</v>
      </c>
      <c r="DA180" s="35" t="s">
        <v>1398</v>
      </c>
      <c r="DC180" s="35" t="s">
        <v>408</v>
      </c>
      <c r="DE180" s="35" t="s">
        <v>406</v>
      </c>
      <c r="DF180" s="35" t="s">
        <v>691</v>
      </c>
      <c r="DH180" s="35" t="s">
        <v>776</v>
      </c>
      <c r="DI180" s="35" t="s">
        <v>410</v>
      </c>
      <c r="DJ180" s="35" t="s">
        <v>963</v>
      </c>
      <c r="DK180" s="35" t="s">
        <v>613</v>
      </c>
      <c r="EU180" s="35" t="s">
        <v>478</v>
      </c>
      <c r="EV180" s="35" t="s">
        <v>579</v>
      </c>
      <c r="EW180" s="35" t="s">
        <v>527</v>
      </c>
      <c r="EX180" s="35" t="s">
        <v>5378</v>
      </c>
      <c r="EZ180" s="35" t="s">
        <v>5379</v>
      </c>
      <c r="FA180" s="35" t="s">
        <v>583</v>
      </c>
      <c r="FB180" s="35" t="s">
        <v>583</v>
      </c>
      <c r="FC180" s="35" t="s">
        <v>413</v>
      </c>
      <c r="FD180" s="35" t="s">
        <v>583</v>
      </c>
      <c r="FE180" s="35" t="s">
        <v>415</v>
      </c>
      <c r="FF180" s="35" t="s">
        <v>583</v>
      </c>
      <c r="FG180" s="35" t="s">
        <v>583</v>
      </c>
      <c r="FH180" s="35" t="s">
        <v>414</v>
      </c>
      <c r="FI180" s="35" t="s">
        <v>413</v>
      </c>
      <c r="FJ180" s="35" t="s">
        <v>413</v>
      </c>
      <c r="FK180" s="35" t="s">
        <v>583</v>
      </c>
      <c r="FL180" s="35" t="s">
        <v>583</v>
      </c>
      <c r="FM180" s="35" t="s">
        <v>583</v>
      </c>
      <c r="FN180" s="35" t="s">
        <v>413</v>
      </c>
      <c r="FO180" s="35" t="s">
        <v>413</v>
      </c>
      <c r="FP180" s="35" t="s">
        <v>1537</v>
      </c>
      <c r="FQ180" s="35" t="s">
        <v>1200</v>
      </c>
      <c r="FR180" s="35" t="s">
        <v>712</v>
      </c>
      <c r="FS180" s="35" t="s">
        <v>5380</v>
      </c>
      <c r="FT180" s="35" t="s">
        <v>1871</v>
      </c>
      <c r="FU180" s="35" t="s">
        <v>421</v>
      </c>
      <c r="FV180" s="35" t="s">
        <v>1235</v>
      </c>
      <c r="FW180" s="35" t="s">
        <v>2387</v>
      </c>
      <c r="FX180" s="35" t="s">
        <v>491</v>
      </c>
      <c r="FZ180" s="35" t="s">
        <v>493</v>
      </c>
      <c r="GC180" s="35" t="s">
        <v>455</v>
      </c>
      <c r="GD180" s="35" t="s">
        <v>11410</v>
      </c>
      <c r="GF180" s="35" t="s">
        <v>753</v>
      </c>
      <c r="GH180" s="35" t="s">
        <v>755</v>
      </c>
      <c r="GI180" s="35" t="s">
        <v>755</v>
      </c>
      <c r="GJ180" s="35" t="s">
        <v>858</v>
      </c>
      <c r="GR180" s="35" t="s">
        <v>3208</v>
      </c>
      <c r="GU180" s="35" t="s">
        <v>4774</v>
      </c>
      <c r="GW180" s="35" t="s">
        <v>5381</v>
      </c>
      <c r="GX180" s="35" t="s">
        <v>484</v>
      </c>
      <c r="HD180" s="35" t="s">
        <v>5281</v>
      </c>
      <c r="HE180" s="35" t="s">
        <v>5382</v>
      </c>
      <c r="HF180" s="35" t="s">
        <v>484</v>
      </c>
      <c r="HG180" s="35" t="s">
        <v>5300</v>
      </c>
      <c r="HP180" s="35" t="s">
        <v>5383</v>
      </c>
      <c r="HQ180" s="35" t="s">
        <v>5302</v>
      </c>
      <c r="HR180" s="35" t="s">
        <v>5238</v>
      </c>
      <c r="HS180" s="35" t="s">
        <v>5321</v>
      </c>
    </row>
    <row r="181">
      <c r="A181" s="35" t="s">
        <v>11411</v>
      </c>
      <c r="B181" s="40">
        <v>45870.66304393519</v>
      </c>
      <c r="C181" s="35" t="s">
        <v>368</v>
      </c>
      <c r="D181" s="35" t="s">
        <v>370</v>
      </c>
      <c r="E181" s="35" t="s">
        <v>370</v>
      </c>
      <c r="F181" s="35" t="s">
        <v>5384</v>
      </c>
      <c r="G181" s="35" t="s">
        <v>1421</v>
      </c>
      <c r="H181" s="35" t="s">
        <v>422</v>
      </c>
      <c r="I181" s="35" t="s">
        <v>373</v>
      </c>
      <c r="J181" s="35" t="s">
        <v>374</v>
      </c>
      <c r="K181" s="35" t="s">
        <v>375</v>
      </c>
      <c r="L181" s="35" t="s">
        <v>376</v>
      </c>
      <c r="M181" s="35" t="s">
        <v>379</v>
      </c>
      <c r="N181" s="35" t="s">
        <v>1690</v>
      </c>
      <c r="O181" s="35" t="s">
        <v>379</v>
      </c>
      <c r="P181" s="35" t="s">
        <v>5385</v>
      </c>
      <c r="Q181" s="35" t="s">
        <v>381</v>
      </c>
      <c r="R181" s="35" t="s">
        <v>1156</v>
      </c>
      <c r="S181" s="35" t="s">
        <v>500</v>
      </c>
      <c r="T181" s="35" t="s">
        <v>5386</v>
      </c>
      <c r="U181" s="35" t="s">
        <v>385</v>
      </c>
      <c r="X181" s="35" t="s">
        <v>386</v>
      </c>
      <c r="Y181" s="35" t="s">
        <v>387</v>
      </c>
      <c r="Z181" s="35" t="s">
        <v>761</v>
      </c>
      <c r="AA181" s="35" t="s">
        <v>672</v>
      </c>
      <c r="AB181" s="35" t="s">
        <v>5387</v>
      </c>
      <c r="AC181" s="35" t="s">
        <v>5388</v>
      </c>
      <c r="AW181" s="35" t="s">
        <v>504</v>
      </c>
      <c r="AX181" s="35" t="s">
        <v>675</v>
      </c>
      <c r="AY181" s="41">
        <v>4.0</v>
      </c>
      <c r="AZ181" s="35" t="s">
        <v>675</v>
      </c>
      <c r="BA181" s="35" t="s">
        <v>675</v>
      </c>
      <c r="BB181" s="35" t="s">
        <v>675</v>
      </c>
      <c r="BC181" s="35" t="s">
        <v>675</v>
      </c>
      <c r="BD181" s="35" t="s">
        <v>5389</v>
      </c>
      <c r="BE181" s="35" t="s">
        <v>5390</v>
      </c>
      <c r="BF181" s="35" t="s">
        <v>432</v>
      </c>
      <c r="BG181" s="35" t="s">
        <v>1245</v>
      </c>
      <c r="BH181" s="35" t="s">
        <v>394</v>
      </c>
      <c r="BJ181" s="35" t="s">
        <v>976</v>
      </c>
      <c r="BL181" s="35" t="s">
        <v>681</v>
      </c>
      <c r="BM181" s="35" t="s">
        <v>603</v>
      </c>
      <c r="BN181" s="35" t="s">
        <v>1247</v>
      </c>
      <c r="BO181" s="35" t="s">
        <v>513</v>
      </c>
      <c r="CM181" s="35" t="s">
        <v>441</v>
      </c>
      <c r="CN181" s="35" t="s">
        <v>401</v>
      </c>
      <c r="CO181" s="35" t="s">
        <v>5391</v>
      </c>
      <c r="CP181" s="35" t="s">
        <v>5392</v>
      </c>
      <c r="CQ181" s="35" t="s">
        <v>445</v>
      </c>
      <c r="CR181" s="35" t="s">
        <v>5393</v>
      </c>
      <c r="CS181" s="35" t="s">
        <v>447</v>
      </c>
      <c r="CT181" s="35" t="s">
        <v>5394</v>
      </c>
      <c r="CU181" s="35" t="s">
        <v>5395</v>
      </c>
      <c r="CV181" s="35" t="s">
        <v>450</v>
      </c>
      <c r="CW181" s="35" t="s">
        <v>451</v>
      </c>
      <c r="CX181" s="35" t="s">
        <v>5396</v>
      </c>
      <c r="CY181" s="35" t="s">
        <v>408</v>
      </c>
      <c r="CZ181" s="35" t="s">
        <v>1211</v>
      </c>
      <c r="DA181" s="35" t="s">
        <v>453</v>
      </c>
      <c r="DB181" s="35" t="s">
        <v>5397</v>
      </c>
      <c r="DC181" s="35" t="s">
        <v>408</v>
      </c>
      <c r="DD181" s="35" t="s">
        <v>1211</v>
      </c>
      <c r="DE181" s="35" t="s">
        <v>406</v>
      </c>
      <c r="DF181" s="35" t="s">
        <v>407</v>
      </c>
      <c r="DG181" s="35" t="s">
        <v>5398</v>
      </c>
      <c r="DH181" s="35" t="s">
        <v>561</v>
      </c>
      <c r="DI181" s="35" t="s">
        <v>1964</v>
      </c>
      <c r="DJ181" s="35" t="s">
        <v>459</v>
      </c>
      <c r="DK181" s="35" t="s">
        <v>460</v>
      </c>
      <c r="DL181" s="35" t="s">
        <v>461</v>
      </c>
      <c r="EU181" s="35" t="s">
        <v>2747</v>
      </c>
      <c r="EV181" s="35" t="s">
        <v>479</v>
      </c>
      <c r="EW181" s="35" t="s">
        <v>480</v>
      </c>
      <c r="EX181" s="35" t="s">
        <v>5399</v>
      </c>
      <c r="EY181" s="35" t="s">
        <v>5400</v>
      </c>
      <c r="EZ181" s="35" t="s">
        <v>5401</v>
      </c>
      <c r="FA181" s="35" t="s">
        <v>416</v>
      </c>
      <c r="FB181" s="35" t="s">
        <v>416</v>
      </c>
      <c r="FC181" s="35" t="s">
        <v>413</v>
      </c>
      <c r="FD181" s="35" t="s">
        <v>413</v>
      </c>
      <c r="FE181" s="35" t="s">
        <v>413</v>
      </c>
      <c r="FF181" s="35" t="s">
        <v>414</v>
      </c>
      <c r="FG181" s="35" t="s">
        <v>413</v>
      </c>
      <c r="FH181" s="35" t="s">
        <v>413</v>
      </c>
      <c r="FI181" s="35" t="s">
        <v>484</v>
      </c>
      <c r="FJ181" s="35" t="s">
        <v>484</v>
      </c>
      <c r="FK181" s="35" t="s">
        <v>583</v>
      </c>
      <c r="FL181" s="35" t="s">
        <v>413</v>
      </c>
      <c r="FM181" s="35" t="s">
        <v>416</v>
      </c>
      <c r="FN181" s="35" t="s">
        <v>413</v>
      </c>
      <c r="FO181" s="35" t="s">
        <v>484</v>
      </c>
      <c r="FP181" s="35" t="s">
        <v>850</v>
      </c>
      <c r="FQ181" s="35" t="s">
        <v>418</v>
      </c>
      <c r="FR181" s="35" t="s">
        <v>1039</v>
      </c>
      <c r="FS181" s="35" t="s">
        <v>5402</v>
      </c>
      <c r="FT181" s="35" t="s">
        <v>1189</v>
      </c>
      <c r="FU181" s="35" t="s">
        <v>488</v>
      </c>
      <c r="FV181" s="35" t="s">
        <v>489</v>
      </c>
      <c r="FW181" s="35" t="s">
        <v>490</v>
      </c>
      <c r="FX181" s="35" t="s">
        <v>491</v>
      </c>
      <c r="FY181" s="35" t="s">
        <v>5403</v>
      </c>
      <c r="FZ181" s="35" t="s">
        <v>535</v>
      </c>
      <c r="GA181" s="35" t="s">
        <v>5404</v>
      </c>
      <c r="GB181" s="35" t="s">
        <v>5405</v>
      </c>
      <c r="GC181" s="35" t="s">
        <v>455</v>
      </c>
      <c r="GD181" s="35" t="s">
        <v>11412</v>
      </c>
      <c r="GF181" s="35" t="s">
        <v>855</v>
      </c>
      <c r="GG181" s="35" t="s">
        <v>5406</v>
      </c>
      <c r="GH181" s="35" t="s">
        <v>755</v>
      </c>
      <c r="GI181" s="35" t="s">
        <v>755</v>
      </c>
      <c r="GJ181" s="35" t="s">
        <v>946</v>
      </c>
      <c r="GR181" s="35" t="s">
        <v>5407</v>
      </c>
      <c r="GU181" s="35" t="s">
        <v>4774</v>
      </c>
      <c r="GV181" s="35" t="s">
        <v>1211</v>
      </c>
      <c r="GW181" s="35" t="s">
        <v>5231</v>
      </c>
      <c r="GX181" s="35" t="s">
        <v>5232</v>
      </c>
      <c r="HD181" s="35" t="s">
        <v>484</v>
      </c>
      <c r="HE181" s="35" t="s">
        <v>5349</v>
      </c>
      <c r="HF181" s="35" t="s">
        <v>5320</v>
      </c>
      <c r="HG181" s="35" t="s">
        <v>5300</v>
      </c>
      <c r="HP181" s="35" t="s">
        <v>5236</v>
      </c>
      <c r="HQ181" s="35" t="s">
        <v>5264</v>
      </c>
      <c r="HR181" s="35" t="s">
        <v>5238</v>
      </c>
      <c r="HS181" s="35" t="s">
        <v>913</v>
      </c>
    </row>
    <row r="182">
      <c r="A182" s="35" t="s">
        <v>11413</v>
      </c>
      <c r="B182" s="40">
        <v>45871.494499988425</v>
      </c>
      <c r="C182" s="35" t="s">
        <v>368</v>
      </c>
      <c r="D182" s="35" t="s">
        <v>370</v>
      </c>
      <c r="E182" s="35" t="s">
        <v>370</v>
      </c>
      <c r="F182" s="35" t="s">
        <v>1875</v>
      </c>
      <c r="G182" s="35" t="s">
        <v>3955</v>
      </c>
      <c r="H182" s="35" t="s">
        <v>422</v>
      </c>
      <c r="I182" s="35" t="s">
        <v>539</v>
      </c>
      <c r="J182" s="35" t="s">
        <v>424</v>
      </c>
      <c r="K182" s="35" t="s">
        <v>718</v>
      </c>
      <c r="L182" s="35" t="s">
        <v>376</v>
      </c>
      <c r="M182" s="35" t="s">
        <v>379</v>
      </c>
      <c r="N182" s="35" t="s">
        <v>720</v>
      </c>
      <c r="O182" s="35" t="s">
        <v>793</v>
      </c>
      <c r="P182" s="35" t="s">
        <v>5408</v>
      </c>
      <c r="Q182" s="35" t="s">
        <v>498</v>
      </c>
      <c r="R182" s="35" t="s">
        <v>862</v>
      </c>
      <c r="S182" s="35" t="s">
        <v>500</v>
      </c>
      <c r="T182" s="35" t="s">
        <v>384</v>
      </c>
      <c r="U182" s="35" t="s">
        <v>385</v>
      </c>
      <c r="X182" s="35" t="s">
        <v>593</v>
      </c>
      <c r="Y182" s="35" t="s">
        <v>387</v>
      </c>
      <c r="Z182" s="35" t="s">
        <v>1444</v>
      </c>
      <c r="AA182" s="35" t="s">
        <v>543</v>
      </c>
      <c r="AB182" s="35" t="s">
        <v>796</v>
      </c>
      <c r="AC182" s="35" t="s">
        <v>5409</v>
      </c>
      <c r="AW182" s="35" t="s">
        <v>390</v>
      </c>
      <c r="AX182" s="35" t="s">
        <v>391</v>
      </c>
      <c r="AY182" s="35" t="s">
        <v>391</v>
      </c>
      <c r="AZ182" s="41">
        <v>2.0</v>
      </c>
      <c r="BA182" s="41">
        <v>2.0</v>
      </c>
      <c r="BB182" s="35" t="s">
        <v>429</v>
      </c>
      <c r="BC182" s="41">
        <v>2.0</v>
      </c>
      <c r="BD182" s="35" t="s">
        <v>5410</v>
      </c>
      <c r="BE182" s="35" t="s">
        <v>5411</v>
      </c>
      <c r="BF182" s="35" t="s">
        <v>432</v>
      </c>
      <c r="BG182" s="35" t="s">
        <v>433</v>
      </c>
      <c r="BH182" s="35" t="s">
        <v>765</v>
      </c>
      <c r="BI182" s="35" t="s">
        <v>5412</v>
      </c>
      <c r="BJ182" s="35" t="s">
        <v>509</v>
      </c>
      <c r="BK182" s="35" t="s">
        <v>5413</v>
      </c>
      <c r="BL182" s="35" t="s">
        <v>681</v>
      </c>
      <c r="BM182" s="35" t="s">
        <v>512</v>
      </c>
      <c r="BN182" s="35" t="s">
        <v>439</v>
      </c>
      <c r="BO182" s="35" t="s">
        <v>513</v>
      </c>
      <c r="CM182" s="35" t="s">
        <v>441</v>
      </c>
      <c r="CN182" s="35" t="s">
        <v>604</v>
      </c>
      <c r="CO182" s="35" t="s">
        <v>1315</v>
      </c>
      <c r="CP182" s="35" t="s">
        <v>5414</v>
      </c>
      <c r="CQ182" s="35" t="s">
        <v>685</v>
      </c>
      <c r="CR182" s="35" t="s">
        <v>5415</v>
      </c>
      <c r="CS182" s="35" t="s">
        <v>447</v>
      </c>
      <c r="CT182" s="35" t="s">
        <v>3488</v>
      </c>
      <c r="CU182" s="35" t="s">
        <v>5416</v>
      </c>
      <c r="CV182" s="35" t="s">
        <v>450</v>
      </c>
      <c r="CW182" s="35" t="s">
        <v>451</v>
      </c>
      <c r="CX182" s="35" t="s">
        <v>5417</v>
      </c>
      <c r="CY182" s="35" t="s">
        <v>455</v>
      </c>
      <c r="CZ182" s="35" t="s">
        <v>5418</v>
      </c>
      <c r="DA182" s="35" t="s">
        <v>453</v>
      </c>
      <c r="DB182" s="35" t="s">
        <v>5419</v>
      </c>
      <c r="DC182" s="35" t="s">
        <v>455</v>
      </c>
      <c r="DD182" s="35" t="s">
        <v>5420</v>
      </c>
      <c r="DE182" s="35" t="s">
        <v>662</v>
      </c>
      <c r="DG182" s="35" t="s">
        <v>5421</v>
      </c>
      <c r="DH182" s="35" t="s">
        <v>524</v>
      </c>
      <c r="DI182" s="35" t="s">
        <v>410</v>
      </c>
      <c r="DJ182" s="35" t="s">
        <v>459</v>
      </c>
      <c r="DK182" s="35" t="s">
        <v>460</v>
      </c>
      <c r="DL182" s="35" t="s">
        <v>461</v>
      </c>
      <c r="EU182" s="35" t="s">
        <v>526</v>
      </c>
      <c r="EV182" s="35" t="s">
        <v>479</v>
      </c>
      <c r="EW182" s="35" t="s">
        <v>480</v>
      </c>
      <c r="EX182" s="35" t="s">
        <v>5422</v>
      </c>
      <c r="EY182" s="35" t="s">
        <v>5423</v>
      </c>
      <c r="EZ182" s="35" t="s">
        <v>5424</v>
      </c>
      <c r="FA182" s="35" t="s">
        <v>413</v>
      </c>
      <c r="FC182" s="35" t="s">
        <v>413</v>
      </c>
      <c r="FD182" s="35" t="s">
        <v>413</v>
      </c>
      <c r="FE182" s="35" t="s">
        <v>413</v>
      </c>
      <c r="FF182" s="35" t="s">
        <v>413</v>
      </c>
      <c r="FG182" s="35" t="s">
        <v>413</v>
      </c>
      <c r="FH182" s="35" t="s">
        <v>415</v>
      </c>
      <c r="FI182" s="35" t="s">
        <v>583</v>
      </c>
      <c r="FJ182" s="35" t="s">
        <v>414</v>
      </c>
      <c r="FK182" s="35" t="s">
        <v>414</v>
      </c>
      <c r="FL182" s="35" t="s">
        <v>416</v>
      </c>
      <c r="FM182" s="35" t="s">
        <v>415</v>
      </c>
      <c r="FN182" s="35" t="s">
        <v>415</v>
      </c>
      <c r="FO182" s="35" t="s">
        <v>414</v>
      </c>
      <c r="FP182" s="35" t="s">
        <v>485</v>
      </c>
      <c r="FQ182" s="35" t="s">
        <v>418</v>
      </c>
      <c r="FR182" s="35" t="s">
        <v>419</v>
      </c>
      <c r="FT182" s="35" t="s">
        <v>420</v>
      </c>
      <c r="FU182" s="35" t="s">
        <v>488</v>
      </c>
      <c r="FV182" s="35" t="s">
        <v>489</v>
      </c>
      <c r="FW182" s="35" t="s">
        <v>490</v>
      </c>
      <c r="FX182" s="35" t="s">
        <v>491</v>
      </c>
      <c r="FY182" s="35" t="s">
        <v>5425</v>
      </c>
      <c r="FZ182" s="35" t="s">
        <v>535</v>
      </c>
      <c r="GC182" s="35" t="s">
        <v>455</v>
      </c>
      <c r="GD182" s="35" t="s">
        <v>11414</v>
      </c>
      <c r="GF182" s="35" t="s">
        <v>786</v>
      </c>
      <c r="GG182" s="35" t="s">
        <v>5426</v>
      </c>
      <c r="GH182" s="35" t="s">
        <v>755</v>
      </c>
      <c r="GI182" s="35" t="s">
        <v>755</v>
      </c>
      <c r="GJ182" s="35" t="s">
        <v>946</v>
      </c>
      <c r="GR182" s="35" t="s">
        <v>4653</v>
      </c>
      <c r="GU182" s="35" t="s">
        <v>4774</v>
      </c>
      <c r="GW182" s="35" t="s">
        <v>5231</v>
      </c>
      <c r="GX182" s="35" t="s">
        <v>5232</v>
      </c>
      <c r="HD182" s="35" t="s">
        <v>5297</v>
      </c>
      <c r="HE182" s="35" t="s">
        <v>5349</v>
      </c>
      <c r="HF182" s="35" t="s">
        <v>5320</v>
      </c>
      <c r="HG182" s="35" t="s">
        <v>5300</v>
      </c>
      <c r="HP182" s="35" t="s">
        <v>5236</v>
      </c>
      <c r="HQ182" s="35" t="s">
        <v>5264</v>
      </c>
      <c r="HR182" s="35" t="s">
        <v>5238</v>
      </c>
      <c r="HS182" s="35" t="s">
        <v>913</v>
      </c>
    </row>
    <row r="183">
      <c r="A183" s="35" t="s">
        <v>11415</v>
      </c>
      <c r="B183" s="40">
        <v>45872.47329465278</v>
      </c>
      <c r="C183" s="35" t="s">
        <v>368</v>
      </c>
      <c r="D183" s="35" t="s">
        <v>370</v>
      </c>
      <c r="E183" s="35" t="s">
        <v>370</v>
      </c>
      <c r="F183" s="35" t="s">
        <v>1001</v>
      </c>
      <c r="G183" s="35" t="s">
        <v>2708</v>
      </c>
      <c r="H183" s="35" t="s">
        <v>422</v>
      </c>
      <c r="I183" s="35" t="s">
        <v>496</v>
      </c>
      <c r="J183" s="35" t="s">
        <v>2578</v>
      </c>
      <c r="K183" s="35" t="s">
        <v>540</v>
      </c>
      <c r="L183" s="35" t="s">
        <v>376</v>
      </c>
      <c r="M183" s="35" t="s">
        <v>591</v>
      </c>
      <c r="N183" s="35" t="s">
        <v>639</v>
      </c>
      <c r="O183" s="35" t="s">
        <v>591</v>
      </c>
      <c r="P183" s="35" t="s">
        <v>5439</v>
      </c>
      <c r="Q183" s="35" t="s">
        <v>381</v>
      </c>
      <c r="R183" s="35" t="s">
        <v>382</v>
      </c>
      <c r="S183" s="35" t="s">
        <v>500</v>
      </c>
      <c r="T183" s="35" t="s">
        <v>384</v>
      </c>
      <c r="U183" s="35" t="s">
        <v>385</v>
      </c>
      <c r="X183" s="35" t="s">
        <v>386</v>
      </c>
      <c r="Y183" s="35" t="s">
        <v>387</v>
      </c>
      <c r="Z183" s="35" t="s">
        <v>388</v>
      </c>
      <c r="AA183" s="35" t="s">
        <v>543</v>
      </c>
      <c r="AW183" s="35" t="s">
        <v>1310</v>
      </c>
      <c r="AX183" s="41">
        <v>4.0</v>
      </c>
      <c r="AY183" s="41">
        <v>2.0</v>
      </c>
      <c r="AZ183" s="35" t="s">
        <v>391</v>
      </c>
      <c r="BA183" s="35" t="s">
        <v>429</v>
      </c>
      <c r="BB183" s="41">
        <v>2.0</v>
      </c>
      <c r="BC183" s="41">
        <v>2.0</v>
      </c>
      <c r="BD183" s="35" t="s">
        <v>5440</v>
      </c>
      <c r="BE183" s="35" t="s">
        <v>5441</v>
      </c>
      <c r="BF183" s="35" t="s">
        <v>902</v>
      </c>
      <c r="BG183" s="35" t="s">
        <v>393</v>
      </c>
      <c r="BH183" s="35" t="s">
        <v>765</v>
      </c>
      <c r="BJ183" s="35" t="s">
        <v>435</v>
      </c>
      <c r="BL183" s="35" t="s">
        <v>437</v>
      </c>
      <c r="BM183" s="35" t="s">
        <v>603</v>
      </c>
      <c r="BN183" s="35" t="s">
        <v>397</v>
      </c>
      <c r="BO183" s="35" t="s">
        <v>513</v>
      </c>
      <c r="CM183" s="35" t="s">
        <v>441</v>
      </c>
      <c r="CN183" s="35" t="s">
        <v>604</v>
      </c>
      <c r="CO183" s="35" t="s">
        <v>5442</v>
      </c>
      <c r="CP183" s="35" t="s">
        <v>5443</v>
      </c>
      <c r="CQ183" s="35" t="s">
        <v>445</v>
      </c>
      <c r="CR183" s="35" t="s">
        <v>1427</v>
      </c>
      <c r="CS183" s="35" t="s">
        <v>447</v>
      </c>
      <c r="CT183" s="35" t="s">
        <v>2801</v>
      </c>
      <c r="CU183" s="35" t="s">
        <v>5444</v>
      </c>
      <c r="CV183" s="35" t="s">
        <v>519</v>
      </c>
      <c r="CW183" s="35" t="s">
        <v>451</v>
      </c>
      <c r="CX183" s="35" t="s">
        <v>5445</v>
      </c>
      <c r="CY183" s="35" t="s">
        <v>408</v>
      </c>
      <c r="DA183" s="35" t="s">
        <v>985</v>
      </c>
      <c r="DB183" s="35" t="s">
        <v>5446</v>
      </c>
      <c r="DC183" s="35" t="s">
        <v>408</v>
      </c>
      <c r="DE183" s="35" t="s">
        <v>662</v>
      </c>
      <c r="DF183" s="35" t="s">
        <v>407</v>
      </c>
      <c r="DG183" s="35" t="s">
        <v>5447</v>
      </c>
      <c r="DH183" s="35" t="s">
        <v>561</v>
      </c>
      <c r="DI183" s="35" t="s">
        <v>833</v>
      </c>
      <c r="DJ183" s="35" t="s">
        <v>459</v>
      </c>
      <c r="DK183" s="35" t="s">
        <v>562</v>
      </c>
      <c r="DL183" s="35" t="s">
        <v>525</v>
      </c>
      <c r="EU183" s="35" t="s">
        <v>526</v>
      </c>
      <c r="EV183" s="35" t="s">
        <v>479</v>
      </c>
      <c r="EW183" s="35" t="s">
        <v>480</v>
      </c>
      <c r="FA183" s="35" t="s">
        <v>415</v>
      </c>
      <c r="FB183" s="35" t="s">
        <v>415</v>
      </c>
      <c r="FC183" s="35" t="s">
        <v>413</v>
      </c>
      <c r="FD183" s="35" t="s">
        <v>413</v>
      </c>
      <c r="FE183" s="35" t="s">
        <v>413</v>
      </c>
      <c r="FF183" s="35" t="s">
        <v>583</v>
      </c>
      <c r="FG183" s="35" t="s">
        <v>414</v>
      </c>
      <c r="FH183" s="35" t="s">
        <v>413</v>
      </c>
      <c r="FI183" s="35" t="s">
        <v>583</v>
      </c>
      <c r="FJ183" s="35" t="s">
        <v>583</v>
      </c>
      <c r="FK183" s="35" t="s">
        <v>414</v>
      </c>
      <c r="FL183" s="35" t="s">
        <v>484</v>
      </c>
      <c r="FM183" s="35" t="s">
        <v>583</v>
      </c>
      <c r="FN183" s="35" t="s">
        <v>416</v>
      </c>
      <c r="FO183" s="35" t="s">
        <v>583</v>
      </c>
      <c r="FP183" s="35" t="s">
        <v>3396</v>
      </c>
      <c r="FQ183" s="35" t="s">
        <v>418</v>
      </c>
      <c r="FR183" s="35" t="s">
        <v>419</v>
      </c>
      <c r="FT183" s="35" t="s">
        <v>420</v>
      </c>
      <c r="FU183" s="35" t="s">
        <v>488</v>
      </c>
      <c r="FV183" s="35" t="s">
        <v>489</v>
      </c>
      <c r="FW183" s="35" t="s">
        <v>490</v>
      </c>
      <c r="FX183" s="35" t="s">
        <v>491</v>
      </c>
      <c r="FY183" s="35" t="s">
        <v>5448</v>
      </c>
      <c r="FZ183" s="35" t="s">
        <v>493</v>
      </c>
      <c r="GC183" s="35" t="s">
        <v>408</v>
      </c>
      <c r="GH183" s="35" t="s">
        <v>755</v>
      </c>
      <c r="GI183" s="35" t="s">
        <v>755</v>
      </c>
      <c r="GJ183" s="35" t="s">
        <v>946</v>
      </c>
      <c r="GR183" s="35" t="s">
        <v>3208</v>
      </c>
      <c r="GU183" s="35" t="s">
        <v>4774</v>
      </c>
      <c r="GW183" s="35" t="s">
        <v>5231</v>
      </c>
      <c r="GX183" s="35" t="s">
        <v>5232</v>
      </c>
      <c r="HD183" s="35" t="s">
        <v>5297</v>
      </c>
      <c r="HE183" s="35" t="s">
        <v>5282</v>
      </c>
      <c r="HF183" s="35" t="s">
        <v>5320</v>
      </c>
      <c r="HG183" s="35" t="s">
        <v>5284</v>
      </c>
      <c r="HP183" s="35" t="s">
        <v>5236</v>
      </c>
      <c r="HQ183" s="35" t="s">
        <v>5264</v>
      </c>
      <c r="HR183" s="35" t="s">
        <v>5286</v>
      </c>
      <c r="HS183" s="35" t="s">
        <v>5239</v>
      </c>
    </row>
    <row r="184">
      <c r="A184" s="35" t="s">
        <v>11416</v>
      </c>
      <c r="B184" s="40">
        <v>45879.723996388886</v>
      </c>
      <c r="C184" s="35" t="s">
        <v>368</v>
      </c>
      <c r="D184" s="35" t="s">
        <v>370</v>
      </c>
      <c r="E184" s="35" t="s">
        <v>370</v>
      </c>
      <c r="F184" s="35" t="s">
        <v>1382</v>
      </c>
      <c r="G184" s="35" t="s">
        <v>1421</v>
      </c>
      <c r="H184" s="35" t="s">
        <v>422</v>
      </c>
      <c r="I184" s="35" t="s">
        <v>496</v>
      </c>
      <c r="J184" s="35" t="s">
        <v>374</v>
      </c>
      <c r="K184" s="35" t="s">
        <v>718</v>
      </c>
      <c r="L184" s="35" t="s">
        <v>376</v>
      </c>
      <c r="M184" s="35" t="s">
        <v>426</v>
      </c>
      <c r="N184" s="35" t="s">
        <v>720</v>
      </c>
      <c r="O184" s="35" t="s">
        <v>379</v>
      </c>
      <c r="P184" s="35" t="s">
        <v>380</v>
      </c>
      <c r="Q184" s="35" t="s">
        <v>498</v>
      </c>
      <c r="R184" s="35" t="s">
        <v>382</v>
      </c>
      <c r="S184" s="35" t="s">
        <v>500</v>
      </c>
      <c r="T184" s="35" t="s">
        <v>384</v>
      </c>
      <c r="U184" s="35" t="s">
        <v>385</v>
      </c>
      <c r="X184" s="35" t="s">
        <v>3231</v>
      </c>
      <c r="AW184" s="35" t="s">
        <v>390</v>
      </c>
      <c r="AX184" s="35" t="s">
        <v>391</v>
      </c>
      <c r="AY184" s="35" t="s">
        <v>391</v>
      </c>
      <c r="AZ184" s="41">
        <v>4.0</v>
      </c>
      <c r="BA184" s="35" t="s">
        <v>391</v>
      </c>
      <c r="BB184" s="35" t="s">
        <v>391</v>
      </c>
      <c r="BC184" s="35" t="s">
        <v>391</v>
      </c>
      <c r="BF184" s="35" t="s">
        <v>392</v>
      </c>
      <c r="BG184" s="35" t="s">
        <v>393</v>
      </c>
      <c r="BH184" s="35" t="s">
        <v>725</v>
      </c>
      <c r="BJ184" s="35" t="s">
        <v>824</v>
      </c>
      <c r="BL184" s="35" t="s">
        <v>395</v>
      </c>
      <c r="BN184" s="35" t="s">
        <v>549</v>
      </c>
      <c r="BO184" s="35" t="s">
        <v>513</v>
      </c>
      <c r="CM184" s="35" t="s">
        <v>441</v>
      </c>
      <c r="CN184" s="35" t="s">
        <v>682</v>
      </c>
      <c r="CQ184" s="35" t="s">
        <v>445</v>
      </c>
      <c r="CR184" s="35" t="s">
        <v>1467</v>
      </c>
      <c r="CS184" s="35" t="s">
        <v>447</v>
      </c>
      <c r="CT184" s="35" t="s">
        <v>3120</v>
      </c>
      <c r="CV184" s="35" t="s">
        <v>982</v>
      </c>
      <c r="CW184" s="35" t="s">
        <v>409</v>
      </c>
      <c r="CY184" s="35" t="s">
        <v>408</v>
      </c>
      <c r="DA184" s="35" t="s">
        <v>1962</v>
      </c>
      <c r="DC184" s="35" t="s">
        <v>408</v>
      </c>
      <c r="DE184" s="35" t="s">
        <v>406</v>
      </c>
      <c r="DF184" s="35" t="s">
        <v>407</v>
      </c>
      <c r="DH184" s="35" t="s">
        <v>990</v>
      </c>
      <c r="DI184" s="35" t="s">
        <v>833</v>
      </c>
      <c r="DJ184" s="35" t="s">
        <v>459</v>
      </c>
      <c r="DK184" s="35" t="s">
        <v>613</v>
      </c>
      <c r="FA184" s="35" t="s">
        <v>416</v>
      </c>
      <c r="FB184" s="35" t="s">
        <v>415</v>
      </c>
      <c r="FC184" s="35" t="s">
        <v>413</v>
      </c>
      <c r="FD184" s="35" t="s">
        <v>415</v>
      </c>
      <c r="FE184" s="35" t="s">
        <v>413</v>
      </c>
      <c r="FF184" s="35" t="s">
        <v>415</v>
      </c>
      <c r="FG184" s="35" t="s">
        <v>415</v>
      </c>
      <c r="FH184" s="35" t="s">
        <v>413</v>
      </c>
      <c r="FI184" s="35" t="s">
        <v>583</v>
      </c>
      <c r="FJ184" s="35" t="s">
        <v>414</v>
      </c>
      <c r="FK184" s="35" t="s">
        <v>415</v>
      </c>
      <c r="FL184" s="35" t="s">
        <v>413</v>
      </c>
      <c r="FM184" s="35" t="s">
        <v>413</v>
      </c>
      <c r="FN184" s="35" t="s">
        <v>413</v>
      </c>
      <c r="FO184" s="35" t="s">
        <v>583</v>
      </c>
      <c r="FP184" s="35" t="s">
        <v>850</v>
      </c>
      <c r="FQ184" s="35" t="s">
        <v>418</v>
      </c>
      <c r="FR184" s="35" t="s">
        <v>419</v>
      </c>
      <c r="FT184" s="35" t="s">
        <v>1189</v>
      </c>
      <c r="FU184" s="35" t="s">
        <v>488</v>
      </c>
      <c r="FV184" s="35" t="s">
        <v>533</v>
      </c>
      <c r="FW184" s="35" t="s">
        <v>490</v>
      </c>
      <c r="FX184" s="35" t="s">
        <v>491</v>
      </c>
      <c r="FZ184" s="35" t="s">
        <v>535</v>
      </c>
      <c r="GC184" s="35" t="s">
        <v>408</v>
      </c>
      <c r="GH184" s="35" t="s">
        <v>755</v>
      </c>
      <c r="GI184" s="35" t="s">
        <v>755</v>
      </c>
      <c r="GJ184" s="35" t="s">
        <v>946</v>
      </c>
      <c r="GQ184" s="35" t="s">
        <v>387</v>
      </c>
      <c r="GU184" s="35" t="s">
        <v>4774</v>
      </c>
      <c r="GW184" s="35" t="s">
        <v>5231</v>
      </c>
      <c r="GX184" s="35" t="s">
        <v>5232</v>
      </c>
      <c r="HD184" s="35" t="s">
        <v>5297</v>
      </c>
      <c r="HE184" s="35" t="s">
        <v>5349</v>
      </c>
      <c r="HF184" s="35" t="s">
        <v>5320</v>
      </c>
      <c r="HG184" s="35" t="s">
        <v>5284</v>
      </c>
      <c r="HP184" s="35" t="s">
        <v>5236</v>
      </c>
      <c r="HQ184" s="35" t="s">
        <v>5264</v>
      </c>
      <c r="HR184" s="35" t="s">
        <v>5238</v>
      </c>
      <c r="HS184" s="35" t="s">
        <v>5321</v>
      </c>
      <c r="HX184" s="35" t="s">
        <v>5501</v>
      </c>
    </row>
    <row r="185">
      <c r="A185" s="35" t="s">
        <v>11417</v>
      </c>
      <c r="B185" s="40">
        <v>45880.668832337964</v>
      </c>
      <c r="C185" s="35" t="s">
        <v>368</v>
      </c>
      <c r="D185" s="35" t="s">
        <v>370</v>
      </c>
      <c r="E185" s="35" t="s">
        <v>370</v>
      </c>
      <c r="F185" s="35" t="s">
        <v>1510</v>
      </c>
      <c r="G185" s="35" t="s">
        <v>1510</v>
      </c>
      <c r="H185" s="35" t="s">
        <v>422</v>
      </c>
      <c r="I185" s="35" t="s">
        <v>1203</v>
      </c>
      <c r="J185" s="35" t="s">
        <v>638</v>
      </c>
      <c r="K185" s="35" t="s">
        <v>1204</v>
      </c>
      <c r="L185" s="35" t="s">
        <v>376</v>
      </c>
      <c r="M185" s="35" t="s">
        <v>591</v>
      </c>
      <c r="N185" s="35" t="s">
        <v>719</v>
      </c>
      <c r="O185" s="35" t="s">
        <v>591</v>
      </c>
      <c r="P185" s="35" t="s">
        <v>719</v>
      </c>
      <c r="Q185" s="35" t="s">
        <v>498</v>
      </c>
      <c r="R185" s="35" t="s">
        <v>1156</v>
      </c>
      <c r="S185" s="35" t="s">
        <v>5538</v>
      </c>
      <c r="T185" s="35" t="s">
        <v>384</v>
      </c>
      <c r="U185" s="35" t="s">
        <v>385</v>
      </c>
      <c r="AW185" s="35" t="s">
        <v>390</v>
      </c>
      <c r="AX185" s="41">
        <v>2.0</v>
      </c>
      <c r="AY185" s="41">
        <v>2.0</v>
      </c>
      <c r="AZ185" s="35" t="s">
        <v>391</v>
      </c>
      <c r="BA185" s="41">
        <v>2.0</v>
      </c>
      <c r="BB185" s="41">
        <v>2.0</v>
      </c>
      <c r="BC185" s="41">
        <v>2.0</v>
      </c>
      <c r="BF185" s="35" t="s">
        <v>432</v>
      </c>
      <c r="BG185" s="35" t="s">
        <v>433</v>
      </c>
      <c r="BH185" s="35" t="s">
        <v>765</v>
      </c>
      <c r="BJ185" s="35" t="s">
        <v>824</v>
      </c>
      <c r="BL185" s="35" t="s">
        <v>437</v>
      </c>
      <c r="BM185" s="35" t="s">
        <v>603</v>
      </c>
      <c r="BN185" s="35" t="s">
        <v>439</v>
      </c>
      <c r="BO185" s="35" t="s">
        <v>513</v>
      </c>
      <c r="CM185" s="35" t="s">
        <v>441</v>
      </c>
      <c r="CN185" s="35" t="s">
        <v>442</v>
      </c>
      <c r="CR185" s="35" t="s">
        <v>5539</v>
      </c>
      <c r="CS185" s="35" t="s">
        <v>404</v>
      </c>
      <c r="CT185" s="35" t="s">
        <v>5540</v>
      </c>
      <c r="DE185" s="35" t="s">
        <v>662</v>
      </c>
      <c r="GW185" s="35" t="s">
        <v>5231</v>
      </c>
      <c r="GX185" s="35" t="s">
        <v>484</v>
      </c>
      <c r="HD185" s="35" t="s">
        <v>5297</v>
      </c>
      <c r="HE185" s="35" t="s">
        <v>5349</v>
      </c>
      <c r="HF185" s="35" t="s">
        <v>5299</v>
      </c>
      <c r="HG185" s="35" t="s">
        <v>5284</v>
      </c>
      <c r="HX185" s="35" t="s">
        <v>5541</v>
      </c>
    </row>
    <row r="186">
      <c r="A186" s="35" t="s">
        <v>11418</v>
      </c>
      <c r="B186" s="40">
        <v>45881.71131423611</v>
      </c>
      <c r="C186" s="35" t="s">
        <v>368</v>
      </c>
      <c r="D186" s="35" t="s">
        <v>538</v>
      </c>
      <c r="E186" s="35" t="s">
        <v>538</v>
      </c>
      <c r="H186" s="35" t="s">
        <v>422</v>
      </c>
      <c r="I186" s="35" t="s">
        <v>423</v>
      </c>
      <c r="J186" s="35" t="s">
        <v>668</v>
      </c>
      <c r="K186" s="35" t="s">
        <v>1240</v>
      </c>
      <c r="L186" s="35" t="s">
        <v>376</v>
      </c>
      <c r="M186" s="35" t="s">
        <v>379</v>
      </c>
      <c r="N186" s="35" t="s">
        <v>378</v>
      </c>
      <c r="O186" s="35" t="s">
        <v>377</v>
      </c>
      <c r="P186" s="35" t="s">
        <v>497</v>
      </c>
      <c r="Q186" s="35" t="s">
        <v>498</v>
      </c>
      <c r="R186" s="35" t="s">
        <v>862</v>
      </c>
      <c r="S186" s="35" t="s">
        <v>427</v>
      </c>
      <c r="T186" s="35" t="s">
        <v>384</v>
      </c>
      <c r="U186" s="35" t="s">
        <v>385</v>
      </c>
      <c r="X186" s="35" t="s">
        <v>386</v>
      </c>
      <c r="Y186" s="35" t="s">
        <v>387</v>
      </c>
      <c r="AA186" s="35" t="s">
        <v>672</v>
      </c>
      <c r="AB186" s="35" t="s">
        <v>408</v>
      </c>
      <c r="AC186" s="35" t="s">
        <v>408</v>
      </c>
      <c r="AW186" s="35" t="s">
        <v>1242</v>
      </c>
      <c r="AX186" s="41">
        <v>4.0</v>
      </c>
      <c r="AY186" s="35" t="s">
        <v>391</v>
      </c>
      <c r="AZ186" s="35" t="s">
        <v>391</v>
      </c>
      <c r="BA186" s="41">
        <v>2.0</v>
      </c>
      <c r="BB186" s="35" t="s">
        <v>429</v>
      </c>
      <c r="BC186" s="41">
        <v>2.0</v>
      </c>
      <c r="BD186" s="35" t="s">
        <v>5579</v>
      </c>
      <c r="BE186" s="35" t="s">
        <v>5580</v>
      </c>
      <c r="BF186" s="35" t="s">
        <v>392</v>
      </c>
      <c r="BG186" s="35" t="s">
        <v>393</v>
      </c>
      <c r="BH186" s="35" t="s">
        <v>678</v>
      </c>
      <c r="BI186" s="35" t="s">
        <v>5581</v>
      </c>
      <c r="BJ186" s="35" t="s">
        <v>509</v>
      </c>
      <c r="BK186" s="35" t="s">
        <v>5582</v>
      </c>
      <c r="BL186" s="35" t="s">
        <v>437</v>
      </c>
      <c r="BM186" s="35" t="s">
        <v>438</v>
      </c>
      <c r="BN186" s="35" t="s">
        <v>1247</v>
      </c>
      <c r="BO186" s="35" t="s">
        <v>513</v>
      </c>
      <c r="CM186" s="35" t="s">
        <v>441</v>
      </c>
      <c r="CP186" s="35" t="s">
        <v>5583</v>
      </c>
      <c r="CR186" s="35" t="s">
        <v>956</v>
      </c>
      <c r="CS186" s="35" t="s">
        <v>804</v>
      </c>
      <c r="CT186" s="35" t="s">
        <v>1346</v>
      </c>
      <c r="CU186" s="35" t="s">
        <v>5584</v>
      </c>
      <c r="CV186" s="35" t="s">
        <v>519</v>
      </c>
      <c r="CW186" s="35" t="s">
        <v>409</v>
      </c>
      <c r="CX186" s="35" t="s">
        <v>5585</v>
      </c>
      <c r="CY186" s="35" t="s">
        <v>455</v>
      </c>
      <c r="CZ186" s="35" t="s">
        <v>5586</v>
      </c>
      <c r="DA186" s="35" t="s">
        <v>1962</v>
      </c>
      <c r="DC186" s="35" t="s">
        <v>455</v>
      </c>
      <c r="DD186" s="35" t="s">
        <v>5587</v>
      </c>
      <c r="DE186" s="35" t="s">
        <v>406</v>
      </c>
      <c r="DF186" s="35" t="s">
        <v>407</v>
      </c>
      <c r="DG186" s="35" t="s">
        <v>5588</v>
      </c>
      <c r="DH186" s="35" t="s">
        <v>776</v>
      </c>
      <c r="DI186" s="35" t="s">
        <v>410</v>
      </c>
      <c r="DJ186" s="35" t="s">
        <v>459</v>
      </c>
      <c r="DK186" s="35" t="s">
        <v>613</v>
      </c>
      <c r="EU186" s="35" t="s">
        <v>2747</v>
      </c>
      <c r="EV186" s="35" t="s">
        <v>579</v>
      </c>
      <c r="EW186" s="35" t="s">
        <v>580</v>
      </c>
      <c r="EX186" s="35" t="s">
        <v>5589</v>
      </c>
      <c r="EY186" s="35" t="s">
        <v>5590</v>
      </c>
      <c r="EZ186" s="35" t="s">
        <v>5591</v>
      </c>
      <c r="FA186" s="35" t="s">
        <v>583</v>
      </c>
      <c r="FB186" s="35" t="s">
        <v>583</v>
      </c>
      <c r="FC186" s="35" t="s">
        <v>583</v>
      </c>
      <c r="FD186" s="35" t="s">
        <v>583</v>
      </c>
      <c r="FE186" s="35" t="s">
        <v>413</v>
      </c>
      <c r="FF186" s="35" t="s">
        <v>583</v>
      </c>
      <c r="FG186" s="35" t="s">
        <v>583</v>
      </c>
      <c r="FH186" s="35" t="s">
        <v>583</v>
      </c>
      <c r="FI186" s="35" t="s">
        <v>583</v>
      </c>
      <c r="FJ186" s="35" t="s">
        <v>413</v>
      </c>
      <c r="FK186" s="35" t="s">
        <v>413</v>
      </c>
      <c r="FL186" s="35" t="s">
        <v>583</v>
      </c>
      <c r="FM186" s="35" t="s">
        <v>583</v>
      </c>
      <c r="FN186" s="35" t="s">
        <v>583</v>
      </c>
      <c r="FO186" s="35" t="s">
        <v>583</v>
      </c>
      <c r="FP186" s="35" t="s">
        <v>1537</v>
      </c>
      <c r="FQ186" s="35" t="s">
        <v>486</v>
      </c>
      <c r="FR186" s="35" t="s">
        <v>749</v>
      </c>
      <c r="FS186" s="35" t="s">
        <v>5592</v>
      </c>
      <c r="FT186" s="35" t="s">
        <v>1871</v>
      </c>
      <c r="FU186" s="35" t="s">
        <v>1462</v>
      </c>
      <c r="FV186" s="35" t="s">
        <v>1235</v>
      </c>
      <c r="FW186" s="35" t="s">
        <v>2136</v>
      </c>
      <c r="FX186" s="35" t="s">
        <v>491</v>
      </c>
      <c r="FY186" s="35" t="s">
        <v>5593</v>
      </c>
      <c r="FZ186" s="35" t="s">
        <v>1854</v>
      </c>
      <c r="GA186" s="35" t="s">
        <v>5594</v>
      </c>
      <c r="GB186" s="35" t="s">
        <v>5595</v>
      </c>
      <c r="GC186" s="35" t="s">
        <v>455</v>
      </c>
      <c r="GD186" s="35" t="s">
        <v>11419</v>
      </c>
      <c r="GF186" s="35" t="s">
        <v>753</v>
      </c>
      <c r="GH186" s="35" t="s">
        <v>857</v>
      </c>
      <c r="GI186" s="35" t="s">
        <v>755</v>
      </c>
      <c r="GJ186" s="35" t="s">
        <v>946</v>
      </c>
      <c r="GO186" s="35" t="s">
        <v>5596</v>
      </c>
      <c r="GP186" s="35" t="s">
        <v>5596</v>
      </c>
      <c r="GR186" s="35" t="s">
        <v>3208</v>
      </c>
      <c r="GU186" s="35" t="s">
        <v>4774</v>
      </c>
      <c r="GV186" s="35" t="s">
        <v>408</v>
      </c>
      <c r="GW186" s="35" t="s">
        <v>5260</v>
      </c>
      <c r="GX186" s="35" t="s">
        <v>5261</v>
      </c>
      <c r="HD186" s="35" t="s">
        <v>5281</v>
      </c>
      <c r="HE186" s="35" t="s">
        <v>5382</v>
      </c>
      <c r="HF186" s="35" t="s">
        <v>5492</v>
      </c>
      <c r="HG186" s="35" t="s">
        <v>5300</v>
      </c>
      <c r="HP186" s="35" t="s">
        <v>5236</v>
      </c>
      <c r="HQ186" s="35" t="s">
        <v>5371</v>
      </c>
      <c r="HR186" s="35" t="s">
        <v>5286</v>
      </c>
      <c r="HS186" s="35" t="s">
        <v>5287</v>
      </c>
      <c r="HX186" s="35" t="s">
        <v>5597</v>
      </c>
    </row>
    <row r="187">
      <c r="A187" s="35" t="s">
        <v>11420</v>
      </c>
      <c r="B187" s="40">
        <v>45890.5657042824</v>
      </c>
      <c r="C187" s="35" t="s">
        <v>368</v>
      </c>
      <c r="D187" s="35" t="s">
        <v>370</v>
      </c>
      <c r="E187" s="35" t="s">
        <v>370</v>
      </c>
      <c r="F187" s="35" t="s">
        <v>2708</v>
      </c>
      <c r="G187" s="35" t="s">
        <v>2708</v>
      </c>
      <c r="H187" s="35" t="s">
        <v>422</v>
      </c>
      <c r="I187" s="35" t="s">
        <v>496</v>
      </c>
      <c r="J187" s="35" t="s">
        <v>374</v>
      </c>
      <c r="K187" s="35" t="s">
        <v>375</v>
      </c>
      <c r="L187" s="35" t="s">
        <v>376</v>
      </c>
      <c r="M187" s="35" t="s">
        <v>379</v>
      </c>
      <c r="N187" s="35" t="s">
        <v>541</v>
      </c>
      <c r="O187" s="35" t="s">
        <v>426</v>
      </c>
      <c r="P187" s="35" t="s">
        <v>380</v>
      </c>
      <c r="Q187" s="35" t="s">
        <v>381</v>
      </c>
      <c r="R187" s="35" t="s">
        <v>382</v>
      </c>
      <c r="S187" s="35" t="s">
        <v>427</v>
      </c>
      <c r="T187" s="35" t="s">
        <v>384</v>
      </c>
      <c r="U187" s="35" t="s">
        <v>385</v>
      </c>
      <c r="BO187" s="35" t="s">
        <v>513</v>
      </c>
      <c r="CN187" s="35" t="s">
        <v>401</v>
      </c>
      <c r="GW187" s="35" t="s">
        <v>5231</v>
      </c>
      <c r="GX187" s="35" t="s">
        <v>5232</v>
      </c>
    </row>
    <row r="188">
      <c r="A188" s="35" t="s">
        <v>11421</v>
      </c>
      <c r="B188" s="40">
        <v>45891.315471574075</v>
      </c>
      <c r="C188" s="35" t="s">
        <v>368</v>
      </c>
      <c r="D188" s="35" t="s">
        <v>5694</v>
      </c>
      <c r="E188" s="35" t="s">
        <v>5694</v>
      </c>
      <c r="H188" s="35" t="s">
        <v>422</v>
      </c>
      <c r="I188" s="35" t="s">
        <v>373</v>
      </c>
      <c r="J188" s="35" t="s">
        <v>374</v>
      </c>
      <c r="K188" s="35" t="s">
        <v>718</v>
      </c>
      <c r="L188" s="35" t="s">
        <v>376</v>
      </c>
      <c r="M188" s="35" t="s">
        <v>793</v>
      </c>
      <c r="N188" s="35" t="s">
        <v>639</v>
      </c>
      <c r="O188" s="35" t="s">
        <v>793</v>
      </c>
      <c r="P188" s="35" t="s">
        <v>671</v>
      </c>
      <c r="Q188" s="35" t="s">
        <v>498</v>
      </c>
      <c r="R188" s="35" t="s">
        <v>382</v>
      </c>
      <c r="S188" s="35" t="s">
        <v>949</v>
      </c>
      <c r="T188" s="35" t="s">
        <v>384</v>
      </c>
      <c r="U188" s="35" t="s">
        <v>385</v>
      </c>
      <c r="X188" s="35" t="s">
        <v>3014</v>
      </c>
      <c r="AW188" s="35" t="s">
        <v>1310</v>
      </c>
      <c r="AX188" s="41">
        <v>4.0</v>
      </c>
      <c r="AY188" s="35" t="s">
        <v>391</v>
      </c>
      <c r="AZ188" s="41">
        <v>2.0</v>
      </c>
      <c r="BA188" s="41">
        <v>2.0</v>
      </c>
      <c r="BB188" s="35" t="s">
        <v>429</v>
      </c>
      <c r="BC188" s="41">
        <v>2.0</v>
      </c>
      <c r="BD188" s="35" t="s">
        <v>5695</v>
      </c>
      <c r="BE188" s="35" t="s">
        <v>5696</v>
      </c>
      <c r="BF188" s="35" t="s">
        <v>432</v>
      </c>
      <c r="BG188" s="35" t="s">
        <v>393</v>
      </c>
      <c r="BH188" s="35" t="s">
        <v>434</v>
      </c>
      <c r="BI188" s="35" t="s">
        <v>5697</v>
      </c>
      <c r="BJ188" s="35" t="s">
        <v>509</v>
      </c>
      <c r="BK188" s="35" t="s">
        <v>5698</v>
      </c>
      <c r="BL188" s="35" t="s">
        <v>602</v>
      </c>
      <c r="BM188" s="35" t="s">
        <v>438</v>
      </c>
      <c r="BN188" s="35" t="s">
        <v>1247</v>
      </c>
      <c r="BO188" s="35" t="s">
        <v>513</v>
      </c>
      <c r="CM188" s="35" t="s">
        <v>550</v>
      </c>
      <c r="CN188" s="35" t="s">
        <v>604</v>
      </c>
      <c r="CO188" s="35" t="s">
        <v>5699</v>
      </c>
      <c r="CP188" s="35" t="s">
        <v>5700</v>
      </c>
      <c r="CQ188" s="35" t="s">
        <v>685</v>
      </c>
      <c r="CR188" s="35" t="s">
        <v>5701</v>
      </c>
      <c r="CS188" s="35" t="s">
        <v>404</v>
      </c>
      <c r="CT188" s="35" t="s">
        <v>5702</v>
      </c>
      <c r="CU188" s="35" t="s">
        <v>5703</v>
      </c>
      <c r="CV188" s="35" t="s">
        <v>1852</v>
      </c>
      <c r="CW188" s="35" t="s">
        <v>451</v>
      </c>
      <c r="CX188" s="35" t="s">
        <v>5704</v>
      </c>
      <c r="CY188" s="35" t="s">
        <v>408</v>
      </c>
      <c r="CZ188" s="35" t="s">
        <v>1211</v>
      </c>
      <c r="DA188" s="35" t="s">
        <v>453</v>
      </c>
      <c r="DB188" s="35" t="s">
        <v>5705</v>
      </c>
      <c r="DC188" s="35" t="s">
        <v>913</v>
      </c>
      <c r="DD188" s="35" t="s">
        <v>5706</v>
      </c>
      <c r="DE188" s="35" t="s">
        <v>406</v>
      </c>
      <c r="DF188" s="35" t="s">
        <v>407</v>
      </c>
      <c r="DG188" s="35" t="s">
        <v>5707</v>
      </c>
      <c r="DH188" s="35" t="s">
        <v>776</v>
      </c>
      <c r="DI188" s="35" t="s">
        <v>410</v>
      </c>
      <c r="DJ188" s="35" t="s">
        <v>963</v>
      </c>
      <c r="DK188" s="35" t="s">
        <v>460</v>
      </c>
      <c r="DL188" s="35" t="s">
        <v>563</v>
      </c>
      <c r="DM188" s="35" t="s">
        <v>5708</v>
      </c>
      <c r="EU188" s="35" t="s">
        <v>478</v>
      </c>
      <c r="EV188" s="35" t="s">
        <v>579</v>
      </c>
      <c r="EW188" s="35" t="s">
        <v>1534</v>
      </c>
      <c r="EX188" s="35" t="s">
        <v>5709</v>
      </c>
      <c r="EY188" s="35" t="s">
        <v>5710</v>
      </c>
      <c r="EZ188" s="35" t="s">
        <v>5711</v>
      </c>
      <c r="FA188" s="35" t="s">
        <v>416</v>
      </c>
      <c r="FB188" s="35" t="s">
        <v>415</v>
      </c>
      <c r="FC188" s="35" t="s">
        <v>413</v>
      </c>
      <c r="FD188" s="35" t="s">
        <v>413</v>
      </c>
      <c r="FE188" s="35" t="s">
        <v>413</v>
      </c>
      <c r="FF188" s="35" t="s">
        <v>416</v>
      </c>
      <c r="FG188" s="35" t="s">
        <v>415</v>
      </c>
      <c r="FH188" s="35" t="s">
        <v>416</v>
      </c>
      <c r="FI188" s="35" t="s">
        <v>414</v>
      </c>
      <c r="FJ188" s="35" t="s">
        <v>413</v>
      </c>
      <c r="FK188" s="35" t="s">
        <v>416</v>
      </c>
      <c r="FL188" s="35" t="s">
        <v>415</v>
      </c>
      <c r="FM188" s="35" t="s">
        <v>415</v>
      </c>
      <c r="FN188" s="35" t="s">
        <v>415</v>
      </c>
      <c r="FO188" s="35" t="s">
        <v>415</v>
      </c>
      <c r="FP188" s="35" t="s">
        <v>485</v>
      </c>
      <c r="FQ188" s="35" t="s">
        <v>418</v>
      </c>
      <c r="FR188" s="35" t="s">
        <v>1039</v>
      </c>
      <c r="FS188" s="35" t="s">
        <v>5712</v>
      </c>
      <c r="FT188" s="35" t="s">
        <v>420</v>
      </c>
      <c r="FU188" s="35" t="s">
        <v>488</v>
      </c>
      <c r="FV188" s="35" t="s">
        <v>1235</v>
      </c>
      <c r="FW188" s="35" t="s">
        <v>490</v>
      </c>
      <c r="FX188" s="35" t="s">
        <v>491</v>
      </c>
      <c r="FY188" s="35" t="s">
        <v>5713</v>
      </c>
      <c r="FZ188" s="35" t="s">
        <v>535</v>
      </c>
      <c r="GA188" s="35" t="s">
        <v>5714</v>
      </c>
      <c r="GB188" s="35" t="s">
        <v>5715</v>
      </c>
      <c r="GC188" s="35" t="s">
        <v>408</v>
      </c>
      <c r="GH188" s="35" t="s">
        <v>1000</v>
      </c>
      <c r="GI188" s="35" t="s">
        <v>1000</v>
      </c>
      <c r="GJ188" s="35" t="s">
        <v>858</v>
      </c>
      <c r="GO188" s="35" t="s">
        <v>5716</v>
      </c>
      <c r="GP188" s="35" t="s">
        <v>5716</v>
      </c>
      <c r="GR188" s="35" t="s">
        <v>5717</v>
      </c>
      <c r="GU188" s="35" t="s">
        <v>4774</v>
      </c>
      <c r="GV188" s="35" t="s">
        <v>1211</v>
      </c>
      <c r="GW188" s="35" t="s">
        <v>5231</v>
      </c>
      <c r="GX188" s="35" t="s">
        <v>484</v>
      </c>
      <c r="HD188" s="35" t="s">
        <v>5281</v>
      </c>
      <c r="HE188" s="35" t="s">
        <v>5282</v>
      </c>
      <c r="HF188" s="35" t="s">
        <v>5718</v>
      </c>
      <c r="HG188" s="35" t="s">
        <v>5300</v>
      </c>
      <c r="HP188" s="35" t="s">
        <v>5301</v>
      </c>
      <c r="HQ188" s="35" t="s">
        <v>5719</v>
      </c>
      <c r="HR188" s="35" t="s">
        <v>5286</v>
      </c>
      <c r="HS188" s="35" t="s">
        <v>913</v>
      </c>
      <c r="HX188" s="35" t="s">
        <v>5720</v>
      </c>
    </row>
    <row r="189">
      <c r="A189" s="35" t="s">
        <v>11422</v>
      </c>
      <c r="B189" s="40">
        <v>45896.146926319445</v>
      </c>
      <c r="C189" s="35" t="s">
        <v>368</v>
      </c>
      <c r="D189" s="35" t="s">
        <v>538</v>
      </c>
      <c r="E189" s="35" t="s">
        <v>538</v>
      </c>
      <c r="H189" s="35" t="s">
        <v>422</v>
      </c>
      <c r="I189" s="35" t="s">
        <v>637</v>
      </c>
      <c r="J189" s="35" t="s">
        <v>638</v>
      </c>
      <c r="K189" s="35" t="s">
        <v>1023</v>
      </c>
      <c r="L189" s="35" t="s">
        <v>376</v>
      </c>
      <c r="M189" s="35" t="s">
        <v>591</v>
      </c>
      <c r="N189" s="35" t="s">
        <v>639</v>
      </c>
      <c r="O189" s="35" t="s">
        <v>591</v>
      </c>
      <c r="P189" s="35" t="s">
        <v>671</v>
      </c>
      <c r="Q189" s="35" t="s">
        <v>381</v>
      </c>
      <c r="R189" s="35" t="s">
        <v>862</v>
      </c>
      <c r="S189" s="35" t="s">
        <v>2360</v>
      </c>
      <c r="T189" s="35" t="s">
        <v>1512</v>
      </c>
      <c r="U189" s="35" t="s">
        <v>385</v>
      </c>
      <c r="X189" s="35" t="s">
        <v>3014</v>
      </c>
      <c r="AW189" s="35" t="s">
        <v>390</v>
      </c>
      <c r="AX189" s="41">
        <v>4.0</v>
      </c>
      <c r="AY189" s="41">
        <v>2.0</v>
      </c>
      <c r="AZ189" s="41">
        <v>2.0</v>
      </c>
      <c r="BA189" s="41">
        <v>2.0</v>
      </c>
      <c r="BB189" s="41">
        <v>4.0</v>
      </c>
      <c r="BC189" s="35" t="s">
        <v>391</v>
      </c>
      <c r="BD189" s="35" t="s">
        <v>5754</v>
      </c>
      <c r="BE189" s="35" t="s">
        <v>5755</v>
      </c>
      <c r="BF189" s="35" t="s">
        <v>432</v>
      </c>
      <c r="BG189" s="35" t="s">
        <v>1047</v>
      </c>
      <c r="BH189" s="35" t="s">
        <v>678</v>
      </c>
      <c r="BJ189" s="35" t="s">
        <v>509</v>
      </c>
      <c r="BL189" s="35" t="s">
        <v>437</v>
      </c>
      <c r="BM189" s="35" t="s">
        <v>603</v>
      </c>
      <c r="BN189" s="35" t="s">
        <v>439</v>
      </c>
      <c r="BO189" s="35" t="s">
        <v>513</v>
      </c>
      <c r="CM189" s="35" t="s">
        <v>550</v>
      </c>
      <c r="CN189" s="35" t="s">
        <v>401</v>
      </c>
      <c r="CO189" s="35" t="s">
        <v>5756</v>
      </c>
      <c r="CP189" s="35" t="s">
        <v>5757</v>
      </c>
      <c r="CQ189" s="35" t="s">
        <v>445</v>
      </c>
      <c r="CR189" s="35" t="s">
        <v>5758</v>
      </c>
      <c r="CS189" s="35" t="s">
        <v>804</v>
      </c>
      <c r="CT189" s="35" t="s">
        <v>687</v>
      </c>
      <c r="CU189" s="35" t="s">
        <v>5759</v>
      </c>
      <c r="CV189" s="35" t="s">
        <v>450</v>
      </c>
      <c r="CW189" s="35" t="s">
        <v>451</v>
      </c>
      <c r="CX189" s="35" t="s">
        <v>5760</v>
      </c>
      <c r="CY189" s="35" t="s">
        <v>408</v>
      </c>
      <c r="DA189" s="35" t="s">
        <v>453</v>
      </c>
      <c r="DB189" s="35" t="s">
        <v>5761</v>
      </c>
      <c r="DC189" s="35" t="s">
        <v>455</v>
      </c>
      <c r="DD189" s="35" t="s">
        <v>5762</v>
      </c>
      <c r="DE189" s="35" t="s">
        <v>406</v>
      </c>
      <c r="DF189" s="35" t="s">
        <v>691</v>
      </c>
      <c r="DG189" s="35" t="s">
        <v>5763</v>
      </c>
      <c r="DH189" s="35" t="s">
        <v>524</v>
      </c>
      <c r="DI189" s="35" t="s">
        <v>410</v>
      </c>
      <c r="DJ189" s="35" t="s">
        <v>963</v>
      </c>
      <c r="DK189" s="35" t="s">
        <v>613</v>
      </c>
      <c r="EU189" s="35" t="s">
        <v>526</v>
      </c>
      <c r="EV189" s="35" t="s">
        <v>579</v>
      </c>
      <c r="EW189" s="35" t="s">
        <v>1262</v>
      </c>
      <c r="EX189" s="35" t="s">
        <v>5764</v>
      </c>
      <c r="EY189" s="35" t="s">
        <v>5765</v>
      </c>
      <c r="EZ189" s="35" t="s">
        <v>5766</v>
      </c>
      <c r="FA189" s="35" t="s">
        <v>413</v>
      </c>
      <c r="FB189" s="35" t="s">
        <v>413</v>
      </c>
      <c r="FC189" s="35" t="s">
        <v>413</v>
      </c>
      <c r="FD189" s="35" t="s">
        <v>413</v>
      </c>
      <c r="FE189" s="35" t="s">
        <v>413</v>
      </c>
      <c r="FF189" s="35" t="s">
        <v>414</v>
      </c>
      <c r="FG189" s="35" t="s">
        <v>583</v>
      </c>
      <c r="FH189" s="35" t="s">
        <v>583</v>
      </c>
      <c r="FI189" s="35" t="s">
        <v>415</v>
      </c>
      <c r="FJ189" s="35" t="s">
        <v>415</v>
      </c>
      <c r="FK189" s="35" t="s">
        <v>415</v>
      </c>
      <c r="FL189" s="35" t="s">
        <v>415</v>
      </c>
      <c r="FM189" s="35" t="s">
        <v>415</v>
      </c>
      <c r="FN189" s="35" t="s">
        <v>415</v>
      </c>
      <c r="FO189" s="35" t="s">
        <v>415</v>
      </c>
      <c r="FP189" s="35" t="s">
        <v>417</v>
      </c>
      <c r="FQ189" s="35" t="s">
        <v>418</v>
      </c>
      <c r="FR189" s="35" t="s">
        <v>712</v>
      </c>
      <c r="FT189" s="35" t="s">
        <v>1189</v>
      </c>
      <c r="FU189" s="35" t="s">
        <v>1462</v>
      </c>
      <c r="FV189" s="35" t="s">
        <v>585</v>
      </c>
      <c r="FW189" s="35" t="s">
        <v>490</v>
      </c>
      <c r="FX189" s="35" t="s">
        <v>491</v>
      </c>
      <c r="FZ189" s="35" t="s">
        <v>493</v>
      </c>
      <c r="GC189" s="35" t="s">
        <v>408</v>
      </c>
      <c r="GH189" s="35" t="s">
        <v>755</v>
      </c>
      <c r="GI189" s="35" t="s">
        <v>755</v>
      </c>
      <c r="GJ189" s="35" t="s">
        <v>946</v>
      </c>
      <c r="GO189" s="35" t="s">
        <v>5767</v>
      </c>
      <c r="GP189" s="35" t="s">
        <v>3012</v>
      </c>
      <c r="GR189" s="35" t="s">
        <v>5656</v>
      </c>
      <c r="GU189" s="35" t="s">
        <v>4774</v>
      </c>
      <c r="GW189" s="35" t="s">
        <v>5231</v>
      </c>
      <c r="GX189" s="35" t="s">
        <v>484</v>
      </c>
      <c r="HD189" s="35" t="s">
        <v>5281</v>
      </c>
      <c r="HE189" s="35" t="s">
        <v>5349</v>
      </c>
      <c r="HF189" s="35" t="s">
        <v>5718</v>
      </c>
      <c r="HG189" s="35" t="s">
        <v>5768</v>
      </c>
      <c r="HP189" s="35" t="s">
        <v>5285</v>
      </c>
      <c r="HQ189" s="35" t="s">
        <v>5264</v>
      </c>
      <c r="HR189" s="35" t="s">
        <v>5238</v>
      </c>
      <c r="HS189" s="35" t="s">
        <v>5347</v>
      </c>
      <c r="HX189" s="35" t="s">
        <v>5769</v>
      </c>
    </row>
    <row r="190">
      <c r="A190" s="35" t="s">
        <v>11423</v>
      </c>
      <c r="B190" s="40">
        <v>45896.65199521991</v>
      </c>
      <c r="C190" s="35" t="s">
        <v>368</v>
      </c>
      <c r="D190" s="35" t="s">
        <v>538</v>
      </c>
      <c r="E190" s="35" t="s">
        <v>538</v>
      </c>
      <c r="H190" s="35" t="s">
        <v>422</v>
      </c>
      <c r="I190" s="35" t="s">
        <v>539</v>
      </c>
      <c r="J190" s="35" t="s">
        <v>2578</v>
      </c>
      <c r="K190" s="35" t="s">
        <v>375</v>
      </c>
      <c r="L190" s="35" t="s">
        <v>376</v>
      </c>
      <c r="M190" s="35" t="s">
        <v>379</v>
      </c>
      <c r="N190" s="35" t="s">
        <v>2464</v>
      </c>
      <c r="O190" s="35" t="s">
        <v>591</v>
      </c>
      <c r="P190" s="35" t="s">
        <v>2464</v>
      </c>
      <c r="Q190" s="35" t="s">
        <v>381</v>
      </c>
      <c r="R190" s="35" t="s">
        <v>862</v>
      </c>
      <c r="S190" s="35" t="s">
        <v>949</v>
      </c>
      <c r="T190" s="35" t="s">
        <v>384</v>
      </c>
      <c r="U190" s="35" t="s">
        <v>385</v>
      </c>
      <c r="X190" s="35" t="s">
        <v>3014</v>
      </c>
      <c r="AW190" s="35" t="s">
        <v>390</v>
      </c>
      <c r="AX190" s="35" t="s">
        <v>391</v>
      </c>
      <c r="AY190" s="41">
        <v>2.0</v>
      </c>
      <c r="AZ190" s="41">
        <v>2.0</v>
      </c>
      <c r="BA190" s="35" t="s">
        <v>429</v>
      </c>
      <c r="BB190" s="35" t="s">
        <v>429</v>
      </c>
      <c r="BC190" s="35" t="s">
        <v>429</v>
      </c>
      <c r="BD190" s="35" t="s">
        <v>5785</v>
      </c>
      <c r="BE190" s="35" t="s">
        <v>5786</v>
      </c>
      <c r="BF190" s="35" t="s">
        <v>902</v>
      </c>
      <c r="BG190" s="35" t="s">
        <v>433</v>
      </c>
      <c r="BH190" s="35" t="s">
        <v>725</v>
      </c>
      <c r="BI190" s="35" t="s">
        <v>5787</v>
      </c>
      <c r="BJ190" s="35" t="s">
        <v>509</v>
      </c>
      <c r="BK190" s="35" t="s">
        <v>5788</v>
      </c>
      <c r="BL190" s="35" t="s">
        <v>511</v>
      </c>
      <c r="BM190" s="35" t="s">
        <v>438</v>
      </c>
      <c r="BN190" s="35" t="s">
        <v>549</v>
      </c>
      <c r="BO190" s="35" t="s">
        <v>513</v>
      </c>
      <c r="CM190" s="35" t="s">
        <v>550</v>
      </c>
      <c r="CN190" s="35" t="s">
        <v>401</v>
      </c>
      <c r="CO190" s="35" t="s">
        <v>5789</v>
      </c>
      <c r="CP190" s="35" t="s">
        <v>5790</v>
      </c>
      <c r="CQ190" s="35" t="s">
        <v>445</v>
      </c>
      <c r="CR190" s="35" t="s">
        <v>5791</v>
      </c>
      <c r="CS190" s="35" t="s">
        <v>804</v>
      </c>
      <c r="CT190" s="35" t="s">
        <v>4145</v>
      </c>
      <c r="CU190" s="35" t="s">
        <v>5792</v>
      </c>
      <c r="CV190" s="35" t="s">
        <v>1852</v>
      </c>
      <c r="CW190" s="35" t="s">
        <v>451</v>
      </c>
      <c r="CX190" s="35" t="s">
        <v>5793</v>
      </c>
      <c r="CY190" s="35" t="s">
        <v>408</v>
      </c>
      <c r="DA190" s="35" t="s">
        <v>985</v>
      </c>
      <c r="DB190" s="35" t="s">
        <v>5794</v>
      </c>
      <c r="DC190" s="35" t="s">
        <v>455</v>
      </c>
      <c r="DD190" s="35" t="s">
        <v>5795</v>
      </c>
      <c r="DE190" s="35" t="s">
        <v>406</v>
      </c>
      <c r="DF190" s="35" t="s">
        <v>1867</v>
      </c>
      <c r="DH190" s="35" t="s">
        <v>561</v>
      </c>
      <c r="DI190" s="35" t="s">
        <v>833</v>
      </c>
      <c r="DJ190" s="35" t="s">
        <v>459</v>
      </c>
      <c r="DK190" s="35" t="s">
        <v>613</v>
      </c>
      <c r="EU190" s="35" t="s">
        <v>578</v>
      </c>
      <c r="EV190" s="35" t="s">
        <v>579</v>
      </c>
      <c r="EW190" s="35" t="s">
        <v>527</v>
      </c>
      <c r="EY190" s="35" t="s">
        <v>5796</v>
      </c>
      <c r="EZ190" s="35" t="s">
        <v>5797</v>
      </c>
      <c r="FA190" s="35" t="s">
        <v>583</v>
      </c>
      <c r="FB190" s="35" t="s">
        <v>583</v>
      </c>
      <c r="FC190" s="35" t="s">
        <v>416</v>
      </c>
      <c r="FD190" s="35" t="s">
        <v>414</v>
      </c>
      <c r="FE190" s="35" t="s">
        <v>413</v>
      </c>
      <c r="FF190" s="35" t="s">
        <v>484</v>
      </c>
      <c r="FG190" s="35" t="s">
        <v>583</v>
      </c>
      <c r="FH190" s="35" t="s">
        <v>583</v>
      </c>
      <c r="FI190" s="35" t="s">
        <v>583</v>
      </c>
      <c r="FJ190" s="35" t="s">
        <v>583</v>
      </c>
      <c r="FK190" s="35" t="s">
        <v>414</v>
      </c>
      <c r="FL190" s="35" t="s">
        <v>415</v>
      </c>
      <c r="FM190" s="35" t="s">
        <v>415</v>
      </c>
      <c r="FN190" s="35" t="s">
        <v>415</v>
      </c>
      <c r="FO190" s="35" t="s">
        <v>415</v>
      </c>
      <c r="FP190" s="35" t="s">
        <v>1074</v>
      </c>
      <c r="FQ190" s="35" t="s">
        <v>418</v>
      </c>
      <c r="FR190" s="35" t="s">
        <v>749</v>
      </c>
      <c r="FT190" s="35" t="s">
        <v>1871</v>
      </c>
      <c r="FU190" s="35" t="s">
        <v>1462</v>
      </c>
      <c r="FV190" s="35" t="s">
        <v>489</v>
      </c>
      <c r="FW190" s="35" t="s">
        <v>2387</v>
      </c>
      <c r="FX190" s="35" t="s">
        <v>491</v>
      </c>
      <c r="FY190" s="35" t="s">
        <v>5798</v>
      </c>
      <c r="FZ190" s="35" t="s">
        <v>493</v>
      </c>
      <c r="GC190" s="35" t="s">
        <v>455</v>
      </c>
      <c r="GD190" s="35" t="s">
        <v>11424</v>
      </c>
      <c r="GF190" s="35" t="s">
        <v>753</v>
      </c>
      <c r="GH190" s="35" t="s">
        <v>755</v>
      </c>
      <c r="GI190" s="35" t="s">
        <v>1000</v>
      </c>
      <c r="GJ190" s="35" t="s">
        <v>817</v>
      </c>
      <c r="GO190" s="35" t="s">
        <v>3012</v>
      </c>
      <c r="GP190" s="35" t="s">
        <v>5799</v>
      </c>
      <c r="GR190" s="35" t="s">
        <v>3208</v>
      </c>
      <c r="GU190" s="35" t="s">
        <v>4741</v>
      </c>
      <c r="GV190" s="35" t="s">
        <v>5800</v>
      </c>
      <c r="GW190" s="35" t="s">
        <v>5231</v>
      </c>
      <c r="GX190" s="35" t="s">
        <v>484</v>
      </c>
      <c r="HD190" s="35" t="s">
        <v>484</v>
      </c>
      <c r="HE190" s="35" t="s">
        <v>5349</v>
      </c>
      <c r="HF190" s="35" t="s">
        <v>5718</v>
      </c>
      <c r="HG190" s="35" t="s">
        <v>5300</v>
      </c>
      <c r="HP190" s="35" t="s">
        <v>5236</v>
      </c>
      <c r="HQ190" s="35" t="s">
        <v>5719</v>
      </c>
      <c r="HR190" s="35" t="s">
        <v>5801</v>
      </c>
      <c r="HS190" s="35" t="s">
        <v>913</v>
      </c>
      <c r="HX190" s="35" t="s">
        <v>5802</v>
      </c>
    </row>
    <row r="191">
      <c r="A191" s="35" t="s">
        <v>11425</v>
      </c>
      <c r="B191" s="40">
        <v>45900.64462908565</v>
      </c>
      <c r="C191" s="35" t="s">
        <v>368</v>
      </c>
      <c r="D191" s="35" t="s">
        <v>1341</v>
      </c>
      <c r="E191" s="35" t="s">
        <v>1341</v>
      </c>
      <c r="H191" s="35" t="s">
        <v>422</v>
      </c>
      <c r="I191" s="35" t="s">
        <v>1921</v>
      </c>
      <c r="J191" s="35" t="s">
        <v>668</v>
      </c>
      <c r="K191" s="35" t="s">
        <v>375</v>
      </c>
      <c r="L191" s="35" t="s">
        <v>376</v>
      </c>
      <c r="M191" s="35" t="s">
        <v>377</v>
      </c>
      <c r="N191" s="35" t="s">
        <v>497</v>
      </c>
      <c r="O191" s="35" t="s">
        <v>377</v>
      </c>
      <c r="P191" s="35" t="s">
        <v>497</v>
      </c>
      <c r="Q191" s="35" t="s">
        <v>381</v>
      </c>
      <c r="R191" s="35" t="s">
        <v>499</v>
      </c>
      <c r="S191" s="35" t="s">
        <v>427</v>
      </c>
      <c r="T191" s="35" t="s">
        <v>384</v>
      </c>
      <c r="U191" s="35" t="s">
        <v>385</v>
      </c>
      <c r="X191" s="35" t="s">
        <v>386</v>
      </c>
      <c r="Y191" s="35" t="s">
        <v>387</v>
      </c>
      <c r="Z191" s="35" t="s">
        <v>388</v>
      </c>
      <c r="AA191" s="35" t="s">
        <v>543</v>
      </c>
      <c r="AB191" s="35" t="s">
        <v>5904</v>
      </c>
      <c r="AC191" s="35" t="s">
        <v>5905</v>
      </c>
      <c r="AW191" s="35" t="s">
        <v>1242</v>
      </c>
      <c r="AX191" s="35" t="s">
        <v>675</v>
      </c>
      <c r="AY191" s="41">
        <v>4.0</v>
      </c>
      <c r="AZ191" s="41">
        <v>4.0</v>
      </c>
      <c r="BA191" s="41">
        <v>4.0</v>
      </c>
      <c r="BB191" s="41">
        <v>2.0</v>
      </c>
      <c r="BC191" s="35" t="s">
        <v>675</v>
      </c>
      <c r="BD191" s="35" t="s">
        <v>5906</v>
      </c>
      <c r="BE191" s="35" t="s">
        <v>5907</v>
      </c>
      <c r="BF191" s="35" t="s">
        <v>2259</v>
      </c>
      <c r="BG191" s="35" t="s">
        <v>1047</v>
      </c>
      <c r="BH191" s="35" t="s">
        <v>434</v>
      </c>
      <c r="BJ191" s="35" t="s">
        <v>976</v>
      </c>
      <c r="BL191" s="35" t="s">
        <v>395</v>
      </c>
      <c r="BM191" s="35" t="s">
        <v>904</v>
      </c>
      <c r="BN191" s="35" t="s">
        <v>1314</v>
      </c>
      <c r="BO191" s="35" t="s">
        <v>513</v>
      </c>
      <c r="CM191" s="35" t="s">
        <v>682</v>
      </c>
      <c r="CN191" s="35" t="s">
        <v>604</v>
      </c>
      <c r="CO191" s="35" t="s">
        <v>5908</v>
      </c>
      <c r="CP191" s="35" t="s">
        <v>5909</v>
      </c>
      <c r="CU191" s="35" t="s">
        <v>5910</v>
      </c>
      <c r="CV191" s="35" t="s">
        <v>1852</v>
      </c>
      <c r="CW191" s="35" t="s">
        <v>959</v>
      </c>
      <c r="CX191" s="35" t="s">
        <v>5911</v>
      </c>
      <c r="CY191" s="35" t="s">
        <v>408</v>
      </c>
      <c r="DA191" s="35" t="s">
        <v>1962</v>
      </c>
      <c r="DC191" s="35" t="s">
        <v>408</v>
      </c>
      <c r="DH191" s="35" t="s">
        <v>990</v>
      </c>
      <c r="DI191" s="35" t="s">
        <v>833</v>
      </c>
      <c r="DJ191" s="35" t="s">
        <v>963</v>
      </c>
      <c r="DK191" s="35" t="s">
        <v>562</v>
      </c>
      <c r="DL191" s="35" t="s">
        <v>563</v>
      </c>
      <c r="DM191" s="35" t="s">
        <v>5912</v>
      </c>
      <c r="EU191" s="35" t="s">
        <v>578</v>
      </c>
      <c r="EV191" s="35" t="s">
        <v>579</v>
      </c>
      <c r="EW191" s="35" t="s">
        <v>527</v>
      </c>
      <c r="EX191" s="35" t="s">
        <v>5913</v>
      </c>
      <c r="EY191" s="35" t="s">
        <v>5914</v>
      </c>
      <c r="EZ191" s="35" t="s">
        <v>5915</v>
      </c>
      <c r="FA191" s="35" t="s">
        <v>414</v>
      </c>
      <c r="FB191" s="35" t="s">
        <v>583</v>
      </c>
      <c r="FC191" s="35" t="s">
        <v>415</v>
      </c>
      <c r="FD191" s="35" t="s">
        <v>583</v>
      </c>
      <c r="FE191" s="35" t="s">
        <v>414</v>
      </c>
      <c r="FF191" s="35" t="s">
        <v>583</v>
      </c>
      <c r="FG191" s="35" t="s">
        <v>583</v>
      </c>
      <c r="FH191" s="35" t="s">
        <v>583</v>
      </c>
      <c r="FI191" s="35" t="s">
        <v>416</v>
      </c>
      <c r="FJ191" s="35" t="s">
        <v>413</v>
      </c>
      <c r="FK191" s="35" t="s">
        <v>415</v>
      </c>
      <c r="FL191" s="35" t="s">
        <v>583</v>
      </c>
      <c r="FM191" s="35" t="s">
        <v>583</v>
      </c>
      <c r="FN191" s="35" t="s">
        <v>414</v>
      </c>
      <c r="FO191" s="35" t="s">
        <v>413</v>
      </c>
      <c r="FP191" s="35" t="s">
        <v>1074</v>
      </c>
      <c r="FQ191" s="35" t="s">
        <v>3218</v>
      </c>
      <c r="FR191" s="35" t="s">
        <v>749</v>
      </c>
      <c r="FS191" s="35" t="s">
        <v>2270</v>
      </c>
      <c r="FT191" s="35" t="s">
        <v>1871</v>
      </c>
      <c r="FU191" s="35" t="s">
        <v>2398</v>
      </c>
      <c r="FV191" s="35" t="s">
        <v>1235</v>
      </c>
      <c r="FW191" s="35" t="s">
        <v>2399</v>
      </c>
      <c r="FX191" s="35" t="s">
        <v>1853</v>
      </c>
      <c r="FZ191" s="35" t="s">
        <v>1854</v>
      </c>
      <c r="GC191" s="35" t="s">
        <v>408</v>
      </c>
      <c r="GH191" s="35" t="s">
        <v>755</v>
      </c>
      <c r="GI191" s="35" t="s">
        <v>755</v>
      </c>
      <c r="GJ191" s="35" t="s">
        <v>946</v>
      </c>
      <c r="GO191" s="35" t="s">
        <v>3220</v>
      </c>
      <c r="GP191" s="35" t="s">
        <v>3220</v>
      </c>
      <c r="GR191" s="35" t="s">
        <v>3208</v>
      </c>
      <c r="GU191" s="35" t="s">
        <v>4774</v>
      </c>
      <c r="GW191" s="35" t="s">
        <v>5260</v>
      </c>
      <c r="GX191" s="35" t="s">
        <v>5261</v>
      </c>
      <c r="HP191" s="35" t="s">
        <v>5383</v>
      </c>
      <c r="HQ191" s="35" t="s">
        <v>5719</v>
      </c>
      <c r="HR191" s="35" t="s">
        <v>5721</v>
      </c>
      <c r="HS191" s="35" t="s">
        <v>5287</v>
      </c>
      <c r="HT191" s="35" t="s">
        <v>5916</v>
      </c>
      <c r="HV191" s="35" t="s">
        <v>5917</v>
      </c>
      <c r="HW191" s="35" t="s">
        <v>5918</v>
      </c>
      <c r="HY191" s="35" t="s">
        <v>5919</v>
      </c>
      <c r="HZ191" s="35" t="s">
        <v>5920</v>
      </c>
      <c r="IA191" s="35" t="s">
        <v>5920</v>
      </c>
      <c r="IB191" s="35" t="s">
        <v>5921</v>
      </c>
      <c r="IC191" s="35" t="s">
        <v>5919</v>
      </c>
      <c r="ID191" s="35" t="s">
        <v>5922</v>
      </c>
      <c r="IE191" s="35" t="s">
        <v>5500</v>
      </c>
      <c r="IF191" s="35" t="s">
        <v>5536</v>
      </c>
      <c r="IG191" s="35" t="s">
        <v>5500</v>
      </c>
      <c r="IH191" s="35" t="s">
        <v>5536</v>
      </c>
      <c r="II191" s="35" t="s">
        <v>5536</v>
      </c>
      <c r="IJ191" s="35" t="s">
        <v>5500</v>
      </c>
      <c r="IK191" s="35" t="s">
        <v>5923</v>
      </c>
      <c r="IL191" s="35" t="s">
        <v>5924</v>
      </c>
      <c r="IM191" s="35" t="s">
        <v>5925</v>
      </c>
    </row>
    <row r="192">
      <c r="A192" s="35" t="s">
        <v>11426</v>
      </c>
      <c r="B192" s="40">
        <v>45902.88062935185</v>
      </c>
      <c r="C192" s="35" t="s">
        <v>368</v>
      </c>
      <c r="D192" s="35" t="s">
        <v>370</v>
      </c>
      <c r="E192" s="35" t="s">
        <v>370</v>
      </c>
      <c r="F192" s="35" t="s">
        <v>3955</v>
      </c>
      <c r="G192" s="35" t="s">
        <v>1421</v>
      </c>
      <c r="H192" s="35" t="s">
        <v>422</v>
      </c>
      <c r="I192" s="35" t="s">
        <v>373</v>
      </c>
      <c r="J192" s="35" t="s">
        <v>374</v>
      </c>
      <c r="K192" s="35" t="s">
        <v>375</v>
      </c>
      <c r="L192" s="35" t="s">
        <v>376</v>
      </c>
      <c r="M192" s="35" t="s">
        <v>591</v>
      </c>
      <c r="N192" s="35" t="s">
        <v>378</v>
      </c>
      <c r="O192" s="35" t="s">
        <v>793</v>
      </c>
      <c r="P192" s="35" t="s">
        <v>719</v>
      </c>
      <c r="Q192" s="35" t="s">
        <v>592</v>
      </c>
      <c r="R192" s="35" t="s">
        <v>499</v>
      </c>
      <c r="S192" s="35" t="s">
        <v>5936</v>
      </c>
      <c r="T192" s="35" t="s">
        <v>2361</v>
      </c>
      <c r="U192" s="35" t="s">
        <v>385</v>
      </c>
      <c r="X192" s="35" t="s">
        <v>386</v>
      </c>
      <c r="Y192" s="35" t="s">
        <v>387</v>
      </c>
      <c r="Z192" s="35" t="s">
        <v>2026</v>
      </c>
      <c r="AW192" s="35" t="s">
        <v>597</v>
      </c>
      <c r="BM192" s="35" t="s">
        <v>904</v>
      </c>
      <c r="BO192" s="35" t="s">
        <v>513</v>
      </c>
      <c r="CM192" s="35" t="s">
        <v>913</v>
      </c>
      <c r="CN192" s="35" t="s">
        <v>401</v>
      </c>
      <c r="CP192" s="35" t="s">
        <v>5937</v>
      </c>
      <c r="CQ192" s="35" t="s">
        <v>445</v>
      </c>
      <c r="CR192" s="35" t="s">
        <v>5938</v>
      </c>
      <c r="CS192" s="35" t="s">
        <v>447</v>
      </c>
      <c r="CW192" s="35" t="s">
        <v>409</v>
      </c>
      <c r="DG192" s="35" t="s">
        <v>5939</v>
      </c>
      <c r="DJ192" s="35" t="s">
        <v>459</v>
      </c>
      <c r="DK192" s="35" t="s">
        <v>460</v>
      </c>
      <c r="DL192" s="35" t="s">
        <v>525</v>
      </c>
      <c r="EU192" s="35" t="s">
        <v>578</v>
      </c>
      <c r="FZ192" s="35" t="s">
        <v>1337</v>
      </c>
      <c r="GC192" s="35" t="s">
        <v>408</v>
      </c>
      <c r="GR192" s="35" t="s">
        <v>3306</v>
      </c>
      <c r="GW192" s="35" t="s">
        <v>484</v>
      </c>
      <c r="GX192" s="35" t="s">
        <v>484</v>
      </c>
      <c r="HD192" s="35" t="s">
        <v>5297</v>
      </c>
      <c r="HS192" s="35" t="s">
        <v>5321</v>
      </c>
    </row>
    <row r="193">
      <c r="A193" s="35" t="s">
        <v>11427</v>
      </c>
      <c r="B193" s="40">
        <v>45902.913459814816</v>
      </c>
      <c r="C193" s="35" t="s">
        <v>368</v>
      </c>
      <c r="D193" s="35" t="s">
        <v>370</v>
      </c>
      <c r="E193" s="35" t="s">
        <v>370</v>
      </c>
      <c r="F193" s="35" t="s">
        <v>2114</v>
      </c>
      <c r="G193" s="35" t="s">
        <v>1421</v>
      </c>
      <c r="H193" s="35" t="s">
        <v>422</v>
      </c>
      <c r="I193" s="35" t="s">
        <v>496</v>
      </c>
      <c r="J193" s="35" t="s">
        <v>374</v>
      </c>
      <c r="K193" s="35" t="s">
        <v>375</v>
      </c>
      <c r="L193" s="35" t="s">
        <v>376</v>
      </c>
      <c r="M193" s="35" t="s">
        <v>793</v>
      </c>
      <c r="N193" s="35" t="s">
        <v>720</v>
      </c>
      <c r="O193" s="35" t="s">
        <v>426</v>
      </c>
      <c r="P193" s="35" t="s">
        <v>497</v>
      </c>
      <c r="Q193" s="35" t="s">
        <v>498</v>
      </c>
      <c r="R193" s="35" t="s">
        <v>382</v>
      </c>
      <c r="S193" s="35" t="s">
        <v>1704</v>
      </c>
      <c r="T193" s="35" t="s">
        <v>3798</v>
      </c>
      <c r="U193" s="35" t="s">
        <v>385</v>
      </c>
      <c r="X193" s="35" t="s">
        <v>593</v>
      </c>
      <c r="Y193" s="35" t="s">
        <v>387</v>
      </c>
      <c r="Z193" s="35" t="s">
        <v>1966</v>
      </c>
      <c r="AA193" s="35" t="s">
        <v>502</v>
      </c>
      <c r="AB193" s="35" t="s">
        <v>455</v>
      </c>
      <c r="AC193" s="35" t="s">
        <v>5962</v>
      </c>
      <c r="AW193" s="35" t="s">
        <v>390</v>
      </c>
      <c r="AX193" s="41">
        <v>2.0</v>
      </c>
      <c r="AY193" s="41">
        <v>2.0</v>
      </c>
      <c r="AZ193" s="41">
        <v>2.0</v>
      </c>
      <c r="BA193" s="41">
        <v>2.0</v>
      </c>
      <c r="BB193" s="41">
        <v>2.0</v>
      </c>
      <c r="BC193" s="41">
        <v>2.0</v>
      </c>
      <c r="BD193" s="35" t="s">
        <v>5963</v>
      </c>
      <c r="BE193" s="35" t="s">
        <v>5964</v>
      </c>
      <c r="BF193" s="35" t="s">
        <v>432</v>
      </c>
      <c r="BG193" s="35" t="s">
        <v>433</v>
      </c>
      <c r="BH193" s="35" t="s">
        <v>725</v>
      </c>
      <c r="BJ193" s="35" t="s">
        <v>509</v>
      </c>
      <c r="BL193" s="35" t="s">
        <v>511</v>
      </c>
      <c r="BM193" s="35" t="s">
        <v>603</v>
      </c>
      <c r="BN193" s="35" t="s">
        <v>549</v>
      </c>
      <c r="BO193" s="35" t="s">
        <v>513</v>
      </c>
      <c r="CM193" s="35" t="s">
        <v>441</v>
      </c>
      <c r="CN193" s="35" t="s">
        <v>401</v>
      </c>
      <c r="CO193" s="35" t="s">
        <v>5965</v>
      </c>
      <c r="CP193" s="35" t="s">
        <v>5966</v>
      </c>
      <c r="CQ193" s="35" t="s">
        <v>979</v>
      </c>
      <c r="CR193" s="35" t="s">
        <v>1649</v>
      </c>
      <c r="CS193" s="35" t="s">
        <v>447</v>
      </c>
      <c r="CT193" s="35" t="s">
        <v>5967</v>
      </c>
      <c r="CU193" s="35" t="s">
        <v>5968</v>
      </c>
      <c r="CV193" s="35" t="s">
        <v>450</v>
      </c>
      <c r="CW193" s="35" t="s">
        <v>451</v>
      </c>
      <c r="CX193" s="35" t="s">
        <v>5969</v>
      </c>
      <c r="CY193" s="35" t="s">
        <v>408</v>
      </c>
      <c r="DA193" s="35" t="s">
        <v>453</v>
      </c>
      <c r="DB193" s="35" t="s">
        <v>2567</v>
      </c>
      <c r="DC193" s="35" t="s">
        <v>408</v>
      </c>
      <c r="DE193" s="35" t="s">
        <v>406</v>
      </c>
      <c r="DF193" s="35" t="s">
        <v>407</v>
      </c>
      <c r="DG193" s="35" t="s">
        <v>5970</v>
      </c>
      <c r="DH193" s="35" t="s">
        <v>561</v>
      </c>
      <c r="DI193" s="35" t="s">
        <v>410</v>
      </c>
      <c r="DJ193" s="35" t="s">
        <v>459</v>
      </c>
      <c r="DK193" s="35" t="s">
        <v>460</v>
      </c>
      <c r="DL193" s="35" t="s">
        <v>461</v>
      </c>
      <c r="EU193" s="35" t="s">
        <v>578</v>
      </c>
      <c r="EV193" s="35" t="s">
        <v>479</v>
      </c>
      <c r="EW193" s="35" t="s">
        <v>1534</v>
      </c>
      <c r="FA193" s="35" t="s">
        <v>413</v>
      </c>
      <c r="FB193" s="35" t="s">
        <v>413</v>
      </c>
      <c r="FC193" s="35" t="s">
        <v>413</v>
      </c>
      <c r="FD193" s="35" t="s">
        <v>413</v>
      </c>
      <c r="FE193" s="35" t="s">
        <v>413</v>
      </c>
      <c r="FF193" s="35" t="s">
        <v>413</v>
      </c>
      <c r="FG193" s="35" t="s">
        <v>413</v>
      </c>
      <c r="FH193" s="35" t="s">
        <v>413</v>
      </c>
      <c r="FI193" s="35" t="s">
        <v>484</v>
      </c>
      <c r="FJ193" s="35" t="s">
        <v>413</v>
      </c>
      <c r="FK193" s="35" t="s">
        <v>413</v>
      </c>
      <c r="FL193" s="35" t="s">
        <v>413</v>
      </c>
      <c r="FM193" s="35" t="s">
        <v>413</v>
      </c>
      <c r="FN193" s="35" t="s">
        <v>413</v>
      </c>
      <c r="FO193" s="35" t="s">
        <v>484</v>
      </c>
      <c r="FP193" s="35" t="s">
        <v>417</v>
      </c>
      <c r="FQ193" s="35" t="s">
        <v>418</v>
      </c>
      <c r="FR193" s="35" t="s">
        <v>531</v>
      </c>
      <c r="FT193" s="35" t="s">
        <v>420</v>
      </c>
      <c r="FU193" s="35" t="s">
        <v>488</v>
      </c>
      <c r="FV193" s="35" t="s">
        <v>918</v>
      </c>
      <c r="FW193" s="35" t="s">
        <v>490</v>
      </c>
      <c r="FX193" s="35" t="s">
        <v>491</v>
      </c>
      <c r="FZ193" s="35" t="s">
        <v>535</v>
      </c>
      <c r="GC193" s="35" t="s">
        <v>408</v>
      </c>
      <c r="GH193" s="35" t="s">
        <v>755</v>
      </c>
      <c r="GI193" s="35" t="s">
        <v>755</v>
      </c>
      <c r="GJ193" s="35" t="s">
        <v>817</v>
      </c>
      <c r="GR193" s="35" t="s">
        <v>3937</v>
      </c>
      <c r="GU193" s="35" t="s">
        <v>4774</v>
      </c>
      <c r="GW193" s="35" t="s">
        <v>5231</v>
      </c>
      <c r="GX193" s="35" t="s">
        <v>5232</v>
      </c>
      <c r="HD193" s="35" t="s">
        <v>5297</v>
      </c>
      <c r="HE193" s="35" t="s">
        <v>5298</v>
      </c>
      <c r="HF193" s="35" t="s">
        <v>5299</v>
      </c>
      <c r="HG193" s="35" t="s">
        <v>5284</v>
      </c>
      <c r="HQ193" s="35" t="s">
        <v>5264</v>
      </c>
      <c r="HR193" s="35" t="s">
        <v>5238</v>
      </c>
      <c r="HS193" s="35" t="s">
        <v>5347</v>
      </c>
      <c r="HX193" s="35" t="s">
        <v>5971</v>
      </c>
    </row>
    <row r="194">
      <c r="A194" s="35" t="s">
        <v>11428</v>
      </c>
      <c r="B194" s="40">
        <v>45902.931395011576</v>
      </c>
      <c r="C194" s="35" t="s">
        <v>368</v>
      </c>
      <c r="D194" s="35" t="s">
        <v>370</v>
      </c>
      <c r="E194" s="35" t="s">
        <v>370</v>
      </c>
      <c r="F194" s="35" t="s">
        <v>667</v>
      </c>
      <c r="G194" s="35" t="s">
        <v>1421</v>
      </c>
      <c r="H194" s="35" t="s">
        <v>5972</v>
      </c>
      <c r="I194" s="35" t="s">
        <v>496</v>
      </c>
      <c r="J194" s="35" t="s">
        <v>374</v>
      </c>
      <c r="K194" s="35" t="s">
        <v>375</v>
      </c>
      <c r="L194" s="35" t="s">
        <v>376</v>
      </c>
      <c r="M194" s="35" t="s">
        <v>793</v>
      </c>
      <c r="N194" s="35" t="s">
        <v>639</v>
      </c>
      <c r="O194" s="35" t="s">
        <v>379</v>
      </c>
      <c r="P194" s="35" t="s">
        <v>671</v>
      </c>
      <c r="Q194" s="35" t="s">
        <v>381</v>
      </c>
      <c r="R194" s="35" t="s">
        <v>499</v>
      </c>
      <c r="S194" s="35" t="s">
        <v>500</v>
      </c>
      <c r="T194" s="35" t="s">
        <v>384</v>
      </c>
      <c r="U194" s="35" t="s">
        <v>385</v>
      </c>
      <c r="X194" s="35" t="s">
        <v>593</v>
      </c>
      <c r="Y194" s="35" t="s">
        <v>387</v>
      </c>
      <c r="Z194" s="35" t="s">
        <v>594</v>
      </c>
      <c r="AA194" s="35" t="s">
        <v>389</v>
      </c>
      <c r="AB194" s="35" t="s">
        <v>5973</v>
      </c>
      <c r="AW194" s="35" t="s">
        <v>1242</v>
      </c>
      <c r="AX194" s="35" t="s">
        <v>391</v>
      </c>
      <c r="AY194" s="35" t="s">
        <v>391</v>
      </c>
      <c r="AZ194" s="41">
        <v>2.0</v>
      </c>
      <c r="BA194" s="35" t="s">
        <v>391</v>
      </c>
      <c r="BB194" s="35" t="s">
        <v>391</v>
      </c>
      <c r="BC194" s="41">
        <v>4.0</v>
      </c>
      <c r="BD194" s="35" t="s">
        <v>5974</v>
      </c>
      <c r="BE194" s="35" t="s">
        <v>5975</v>
      </c>
      <c r="BF194" s="35" t="s">
        <v>902</v>
      </c>
      <c r="BG194" s="35" t="s">
        <v>393</v>
      </c>
      <c r="BH194" s="35" t="s">
        <v>678</v>
      </c>
      <c r="BI194" s="35" t="s">
        <v>5976</v>
      </c>
      <c r="BJ194" s="35" t="s">
        <v>435</v>
      </c>
      <c r="BK194" s="35" t="s">
        <v>5977</v>
      </c>
      <c r="BL194" s="35" t="s">
        <v>511</v>
      </c>
      <c r="BM194" s="35" t="s">
        <v>512</v>
      </c>
      <c r="BN194" s="35" t="s">
        <v>1314</v>
      </c>
      <c r="BO194" s="35" t="s">
        <v>513</v>
      </c>
      <c r="CM194" s="35" t="s">
        <v>682</v>
      </c>
      <c r="CN194" s="35" t="s">
        <v>682</v>
      </c>
      <c r="CO194" s="35" t="s">
        <v>5978</v>
      </c>
      <c r="CP194" s="35" t="s">
        <v>5979</v>
      </c>
      <c r="CV194" s="35" t="s">
        <v>1961</v>
      </c>
      <c r="CW194" s="35" t="s">
        <v>959</v>
      </c>
      <c r="CY194" s="35" t="s">
        <v>455</v>
      </c>
      <c r="CZ194" s="35" t="s">
        <v>5980</v>
      </c>
      <c r="DA194" s="35" t="s">
        <v>1962</v>
      </c>
      <c r="DC194" s="35" t="s">
        <v>455</v>
      </c>
      <c r="DD194" s="35" t="s">
        <v>5981</v>
      </c>
      <c r="DH194" s="35" t="s">
        <v>990</v>
      </c>
      <c r="DI194" s="35" t="s">
        <v>410</v>
      </c>
      <c r="DJ194" s="35" t="s">
        <v>963</v>
      </c>
      <c r="DK194" s="35" t="s">
        <v>460</v>
      </c>
      <c r="DL194" s="35" t="s">
        <v>563</v>
      </c>
      <c r="DM194" s="35" t="s">
        <v>5982</v>
      </c>
      <c r="EU194" s="35" t="s">
        <v>2747</v>
      </c>
      <c r="EV194" s="35" t="s">
        <v>579</v>
      </c>
      <c r="EW194" s="35" t="s">
        <v>778</v>
      </c>
      <c r="EX194" s="35" t="s">
        <v>5983</v>
      </c>
      <c r="EZ194" s="35" t="s">
        <v>5984</v>
      </c>
      <c r="FA194" s="35" t="s">
        <v>415</v>
      </c>
      <c r="FB194" s="35" t="s">
        <v>414</v>
      </c>
      <c r="FC194" s="35" t="s">
        <v>413</v>
      </c>
      <c r="FD194" s="35" t="s">
        <v>484</v>
      </c>
      <c r="FE194" s="35" t="s">
        <v>415</v>
      </c>
      <c r="FF194" s="35" t="s">
        <v>415</v>
      </c>
      <c r="FG194" s="35" t="s">
        <v>415</v>
      </c>
      <c r="FH194" s="35" t="s">
        <v>415</v>
      </c>
      <c r="FI194" s="35" t="s">
        <v>415</v>
      </c>
      <c r="FJ194" s="35" t="s">
        <v>413</v>
      </c>
      <c r="FK194" s="35" t="s">
        <v>414</v>
      </c>
      <c r="FL194" s="35" t="s">
        <v>413</v>
      </c>
      <c r="FM194" s="35" t="s">
        <v>416</v>
      </c>
      <c r="FN194" s="35" t="s">
        <v>583</v>
      </c>
      <c r="FO194" s="35" t="s">
        <v>413</v>
      </c>
      <c r="FP194" s="35" t="s">
        <v>850</v>
      </c>
      <c r="FQ194" s="35" t="s">
        <v>1200</v>
      </c>
      <c r="FR194" s="35" t="s">
        <v>419</v>
      </c>
      <c r="FS194" s="35" t="s">
        <v>5985</v>
      </c>
      <c r="FT194" s="35" t="s">
        <v>1871</v>
      </c>
      <c r="FU194" s="35" t="s">
        <v>421</v>
      </c>
      <c r="FV194" s="35" t="s">
        <v>489</v>
      </c>
      <c r="FW194" s="35" t="s">
        <v>490</v>
      </c>
      <c r="FX194" s="35" t="s">
        <v>491</v>
      </c>
      <c r="FY194" s="35" t="s">
        <v>5986</v>
      </c>
      <c r="FZ194" s="35" t="s">
        <v>1337</v>
      </c>
      <c r="GC194" s="35" t="s">
        <v>455</v>
      </c>
      <c r="GD194" s="35" t="s">
        <v>11429</v>
      </c>
      <c r="GF194" s="35" t="s">
        <v>855</v>
      </c>
      <c r="GH194" s="35" t="s">
        <v>755</v>
      </c>
      <c r="GI194" s="35" t="s">
        <v>755</v>
      </c>
      <c r="GJ194" s="35" t="s">
        <v>946</v>
      </c>
      <c r="GR194" s="35" t="s">
        <v>3208</v>
      </c>
      <c r="GU194" s="35" t="s">
        <v>4774</v>
      </c>
      <c r="GW194" s="35" t="s">
        <v>5231</v>
      </c>
      <c r="GX194" s="35" t="s">
        <v>5232</v>
      </c>
      <c r="HP194" s="35" t="s">
        <v>5383</v>
      </c>
      <c r="HQ194" s="35" t="s">
        <v>5237</v>
      </c>
      <c r="HR194" s="35" t="s">
        <v>5238</v>
      </c>
      <c r="HS194" s="35" t="s">
        <v>5321</v>
      </c>
      <c r="HT194" s="35" t="s">
        <v>5987</v>
      </c>
      <c r="HV194" s="35" t="s">
        <v>5988</v>
      </c>
      <c r="HW194" s="35" t="s">
        <v>5918</v>
      </c>
      <c r="HY194" s="35" t="s">
        <v>5922</v>
      </c>
      <c r="HZ194" s="35" t="s">
        <v>5921</v>
      </c>
      <c r="IA194" s="35" t="s">
        <v>5920</v>
      </c>
      <c r="IB194" s="35" t="s">
        <v>5919</v>
      </c>
      <c r="IC194" s="35" t="s">
        <v>5920</v>
      </c>
      <c r="ID194" s="35" t="s">
        <v>5922</v>
      </c>
      <c r="IE194" s="35" t="s">
        <v>5500</v>
      </c>
      <c r="IF194" s="35" t="s">
        <v>5989</v>
      </c>
      <c r="IG194" s="35" t="s">
        <v>5537</v>
      </c>
      <c r="IH194" s="35" t="s">
        <v>5989</v>
      </c>
      <c r="II194" s="35" t="s">
        <v>5537</v>
      </c>
      <c r="IJ194" s="35" t="s">
        <v>5537</v>
      </c>
      <c r="IK194" s="35" t="s">
        <v>5990</v>
      </c>
      <c r="IL194" s="35" t="s">
        <v>5924</v>
      </c>
      <c r="IM194" s="35" t="s">
        <v>5991</v>
      </c>
      <c r="IN194" s="35" t="s">
        <v>5992</v>
      </c>
    </row>
    <row r="195">
      <c r="A195" s="35" t="s">
        <v>11430</v>
      </c>
      <c r="B195" s="40">
        <v>45903.48758677083</v>
      </c>
      <c r="C195" s="35" t="s">
        <v>368</v>
      </c>
      <c r="D195" s="35" t="s">
        <v>894</v>
      </c>
      <c r="E195" s="35" t="s">
        <v>894</v>
      </c>
      <c r="H195" s="35" t="s">
        <v>422</v>
      </c>
      <c r="I195" s="35" t="s">
        <v>496</v>
      </c>
      <c r="J195" s="35" t="s">
        <v>374</v>
      </c>
      <c r="K195" s="35" t="s">
        <v>375</v>
      </c>
      <c r="L195" s="35" t="s">
        <v>376</v>
      </c>
      <c r="M195" s="35" t="s">
        <v>426</v>
      </c>
      <c r="N195" s="35" t="s">
        <v>6033</v>
      </c>
      <c r="O195" s="35" t="s">
        <v>379</v>
      </c>
      <c r="P195" s="35" t="s">
        <v>1511</v>
      </c>
      <c r="Q195" s="35" t="s">
        <v>381</v>
      </c>
      <c r="R195" s="35" t="s">
        <v>382</v>
      </c>
      <c r="S195" s="35" t="s">
        <v>1704</v>
      </c>
      <c r="T195" s="35" t="s">
        <v>4742</v>
      </c>
      <c r="U195" s="35" t="s">
        <v>385</v>
      </c>
      <c r="V195" s="35" t="s">
        <v>896</v>
      </c>
      <c r="W195" s="35" t="s">
        <v>1025</v>
      </c>
      <c r="X195" s="35" t="s">
        <v>3014</v>
      </c>
      <c r="AW195" s="35" t="s">
        <v>597</v>
      </c>
      <c r="AX195" s="41">
        <v>4.0</v>
      </c>
      <c r="AY195" s="35" t="s">
        <v>391</v>
      </c>
      <c r="AZ195" s="41">
        <v>2.0</v>
      </c>
      <c r="BA195" s="35" t="s">
        <v>429</v>
      </c>
      <c r="BB195" s="41">
        <v>2.0</v>
      </c>
      <c r="BC195" s="35" t="s">
        <v>429</v>
      </c>
      <c r="BD195" s="35" t="s">
        <v>6034</v>
      </c>
      <c r="BE195" s="35" t="s">
        <v>6035</v>
      </c>
      <c r="BF195" s="35" t="s">
        <v>432</v>
      </c>
      <c r="BG195" s="35" t="s">
        <v>393</v>
      </c>
      <c r="BH195" s="35" t="s">
        <v>765</v>
      </c>
      <c r="BI195" s="35" t="s">
        <v>6036</v>
      </c>
      <c r="BJ195" s="35" t="s">
        <v>509</v>
      </c>
      <c r="BK195" s="35" t="s">
        <v>6037</v>
      </c>
      <c r="BL195" s="35" t="s">
        <v>395</v>
      </c>
      <c r="BM195" s="35" t="s">
        <v>438</v>
      </c>
      <c r="BN195" s="35" t="s">
        <v>549</v>
      </c>
      <c r="BO195" s="35" t="s">
        <v>513</v>
      </c>
      <c r="CM195" s="35" t="s">
        <v>441</v>
      </c>
      <c r="CN195" s="35" t="s">
        <v>604</v>
      </c>
      <c r="CO195" s="35" t="s">
        <v>6038</v>
      </c>
      <c r="CP195" s="35" t="s">
        <v>6039</v>
      </c>
      <c r="CQ195" s="35" t="s">
        <v>685</v>
      </c>
      <c r="CR195" s="35" t="s">
        <v>6040</v>
      </c>
      <c r="CS195" s="35" t="s">
        <v>447</v>
      </c>
      <c r="CT195" s="35" t="s">
        <v>6041</v>
      </c>
      <c r="CU195" s="35" t="s">
        <v>6042</v>
      </c>
      <c r="CV195" s="35" t="s">
        <v>450</v>
      </c>
      <c r="CW195" s="35" t="s">
        <v>451</v>
      </c>
      <c r="CX195" s="35" t="s">
        <v>6043</v>
      </c>
      <c r="CY195" s="35" t="s">
        <v>408</v>
      </c>
      <c r="DA195" s="35" t="s">
        <v>453</v>
      </c>
      <c r="DB195" s="35" t="s">
        <v>6044</v>
      </c>
      <c r="DC195" s="35" t="s">
        <v>455</v>
      </c>
      <c r="DD195" s="35" t="s">
        <v>6045</v>
      </c>
      <c r="DE195" s="35" t="s">
        <v>988</v>
      </c>
      <c r="DF195" s="35" t="s">
        <v>1368</v>
      </c>
      <c r="DG195" s="35" t="s">
        <v>6046</v>
      </c>
      <c r="DH195" s="35" t="s">
        <v>561</v>
      </c>
      <c r="DI195" s="35" t="s">
        <v>410</v>
      </c>
      <c r="DJ195" s="35" t="s">
        <v>459</v>
      </c>
      <c r="DK195" s="35" t="s">
        <v>460</v>
      </c>
      <c r="DL195" s="35" t="s">
        <v>563</v>
      </c>
      <c r="DM195" s="35" t="s">
        <v>6047</v>
      </c>
      <c r="EU195" s="35" t="s">
        <v>2747</v>
      </c>
      <c r="EV195" s="35" t="s">
        <v>1127</v>
      </c>
      <c r="EW195" s="35" t="s">
        <v>527</v>
      </c>
      <c r="EX195" s="35" t="s">
        <v>6048</v>
      </c>
      <c r="EY195" s="35" t="s">
        <v>6049</v>
      </c>
      <c r="FA195" s="35" t="s">
        <v>414</v>
      </c>
      <c r="FB195" s="35" t="s">
        <v>414</v>
      </c>
      <c r="FC195" s="35" t="s">
        <v>415</v>
      </c>
      <c r="FE195" s="35" t="s">
        <v>413</v>
      </c>
      <c r="FF195" s="35" t="s">
        <v>414</v>
      </c>
      <c r="FG195" s="35" t="s">
        <v>414</v>
      </c>
      <c r="FH195" s="35" t="s">
        <v>416</v>
      </c>
      <c r="FI195" s="35" t="s">
        <v>414</v>
      </c>
      <c r="FJ195" s="35" t="s">
        <v>414</v>
      </c>
      <c r="FK195" s="35" t="s">
        <v>415</v>
      </c>
      <c r="FL195" s="35" t="s">
        <v>414</v>
      </c>
      <c r="FM195" s="35" t="s">
        <v>414</v>
      </c>
      <c r="FN195" s="35" t="s">
        <v>416</v>
      </c>
      <c r="FO195" s="35" t="s">
        <v>414</v>
      </c>
      <c r="FP195" s="35" t="s">
        <v>417</v>
      </c>
      <c r="FQ195" s="35" t="s">
        <v>418</v>
      </c>
      <c r="FR195" s="35" t="s">
        <v>531</v>
      </c>
      <c r="FS195" s="35" t="s">
        <v>6050</v>
      </c>
      <c r="FT195" s="35" t="s">
        <v>420</v>
      </c>
      <c r="FU195" s="35" t="s">
        <v>488</v>
      </c>
      <c r="FV195" s="35" t="s">
        <v>1235</v>
      </c>
      <c r="FW195" s="35" t="s">
        <v>490</v>
      </c>
      <c r="FX195" s="35" t="s">
        <v>491</v>
      </c>
      <c r="FY195" s="35" t="s">
        <v>6051</v>
      </c>
      <c r="FZ195" s="35" t="s">
        <v>535</v>
      </c>
      <c r="GA195" s="35" t="s">
        <v>6052</v>
      </c>
      <c r="GC195" s="35" t="s">
        <v>408</v>
      </c>
      <c r="GH195" s="35" t="s">
        <v>1000</v>
      </c>
      <c r="GI195" s="35" t="s">
        <v>1000</v>
      </c>
      <c r="GJ195" s="35" t="s">
        <v>756</v>
      </c>
      <c r="GR195" s="35" t="s">
        <v>3306</v>
      </c>
      <c r="GU195" s="35" t="s">
        <v>4774</v>
      </c>
      <c r="GW195" s="35" t="s">
        <v>5231</v>
      </c>
      <c r="GX195" s="35" t="s">
        <v>5232</v>
      </c>
      <c r="HD195" s="35" t="s">
        <v>6053</v>
      </c>
      <c r="HE195" s="35" t="s">
        <v>5282</v>
      </c>
      <c r="HF195" s="35" t="s">
        <v>5492</v>
      </c>
      <c r="HG195" s="35" t="s">
        <v>5493</v>
      </c>
      <c r="HP195" s="35" t="s">
        <v>5383</v>
      </c>
      <c r="HQ195" s="35" t="s">
        <v>5302</v>
      </c>
      <c r="HR195" s="35" t="s">
        <v>5238</v>
      </c>
      <c r="HS195" s="35" t="s">
        <v>5321</v>
      </c>
      <c r="HX195" s="35" t="s">
        <v>5628</v>
      </c>
    </row>
    <row r="196">
      <c r="A196" s="35" t="s">
        <v>11431</v>
      </c>
      <c r="B196" s="40">
        <v>45903.51222153935</v>
      </c>
      <c r="C196" s="35" t="s">
        <v>368</v>
      </c>
      <c r="D196" s="35" t="s">
        <v>370</v>
      </c>
      <c r="E196" s="35" t="s">
        <v>370</v>
      </c>
      <c r="F196" s="35" t="s">
        <v>1421</v>
      </c>
      <c r="G196" s="35" t="s">
        <v>1421</v>
      </c>
      <c r="H196" s="35" t="s">
        <v>422</v>
      </c>
      <c r="I196" s="35" t="s">
        <v>496</v>
      </c>
      <c r="J196" s="35" t="s">
        <v>374</v>
      </c>
      <c r="K196" s="35" t="s">
        <v>375</v>
      </c>
      <c r="L196" s="35" t="s">
        <v>376</v>
      </c>
      <c r="M196" s="35" t="s">
        <v>426</v>
      </c>
      <c r="N196" s="35" t="s">
        <v>541</v>
      </c>
      <c r="O196" s="35" t="s">
        <v>591</v>
      </c>
      <c r="P196" s="35" t="s">
        <v>497</v>
      </c>
      <c r="Q196" s="35" t="s">
        <v>498</v>
      </c>
      <c r="R196" s="35" t="s">
        <v>1004</v>
      </c>
      <c r="S196" s="35" t="s">
        <v>949</v>
      </c>
      <c r="T196" s="35" t="s">
        <v>6074</v>
      </c>
      <c r="U196" s="35" t="s">
        <v>385</v>
      </c>
      <c r="X196" s="35" t="s">
        <v>3014</v>
      </c>
      <c r="AW196" s="35" t="s">
        <v>390</v>
      </c>
      <c r="AX196" s="35" t="s">
        <v>391</v>
      </c>
      <c r="AY196" s="35" t="s">
        <v>391</v>
      </c>
      <c r="AZ196" s="41">
        <v>2.0</v>
      </c>
      <c r="BA196" s="41">
        <v>2.0</v>
      </c>
      <c r="BB196" s="41">
        <v>2.0</v>
      </c>
      <c r="BC196" s="41">
        <v>2.0</v>
      </c>
      <c r="BD196" s="35" t="s">
        <v>6075</v>
      </c>
      <c r="BE196" s="35" t="s">
        <v>6076</v>
      </c>
      <c r="BF196" s="35" t="s">
        <v>902</v>
      </c>
      <c r="BG196" s="35" t="s">
        <v>393</v>
      </c>
      <c r="BH196" s="35" t="s">
        <v>434</v>
      </c>
      <c r="BI196" s="35" t="s">
        <v>6077</v>
      </c>
      <c r="BJ196" s="35" t="s">
        <v>509</v>
      </c>
      <c r="BK196" s="35" t="s">
        <v>6078</v>
      </c>
      <c r="BL196" s="35" t="s">
        <v>681</v>
      </c>
      <c r="BM196" s="35" t="s">
        <v>512</v>
      </c>
      <c r="BN196" s="35" t="s">
        <v>549</v>
      </c>
      <c r="BO196" s="35" t="s">
        <v>513</v>
      </c>
      <c r="CM196" s="35" t="s">
        <v>441</v>
      </c>
      <c r="CN196" s="35" t="s">
        <v>604</v>
      </c>
      <c r="CO196" s="35" t="s">
        <v>6079</v>
      </c>
      <c r="CP196" s="35" t="s">
        <v>6080</v>
      </c>
      <c r="CQ196" s="35" t="s">
        <v>1948</v>
      </c>
      <c r="CR196" s="35" t="s">
        <v>5701</v>
      </c>
      <c r="CS196" s="35" t="s">
        <v>447</v>
      </c>
      <c r="CT196" s="35" t="s">
        <v>6081</v>
      </c>
      <c r="CU196" s="35" t="s">
        <v>6082</v>
      </c>
      <c r="CV196" s="35" t="s">
        <v>1852</v>
      </c>
      <c r="CW196" s="35" t="s">
        <v>409</v>
      </c>
      <c r="CX196" s="35" t="s">
        <v>6083</v>
      </c>
      <c r="CY196" s="35" t="s">
        <v>408</v>
      </c>
      <c r="DA196" s="35" t="s">
        <v>1962</v>
      </c>
      <c r="DC196" s="35" t="s">
        <v>408</v>
      </c>
      <c r="DE196" s="35" t="s">
        <v>988</v>
      </c>
      <c r="DG196" s="35" t="s">
        <v>6084</v>
      </c>
      <c r="DH196" s="35" t="s">
        <v>990</v>
      </c>
      <c r="DI196" s="35" t="s">
        <v>1964</v>
      </c>
      <c r="DJ196" s="35" t="s">
        <v>459</v>
      </c>
      <c r="DK196" s="35" t="s">
        <v>613</v>
      </c>
      <c r="EU196" s="35" t="s">
        <v>478</v>
      </c>
      <c r="EV196" s="35" t="s">
        <v>1037</v>
      </c>
      <c r="EW196" s="35" t="s">
        <v>580</v>
      </c>
      <c r="EY196" s="35" t="s">
        <v>6085</v>
      </c>
      <c r="EZ196" s="35" t="s">
        <v>6085</v>
      </c>
      <c r="FA196" s="35" t="s">
        <v>414</v>
      </c>
      <c r="FB196" s="35" t="s">
        <v>414</v>
      </c>
      <c r="FC196" s="35" t="s">
        <v>416</v>
      </c>
      <c r="FD196" s="35" t="s">
        <v>415</v>
      </c>
      <c r="FE196" s="35" t="s">
        <v>416</v>
      </c>
      <c r="FF196" s="35" t="s">
        <v>415</v>
      </c>
      <c r="FG196" s="35" t="s">
        <v>484</v>
      </c>
      <c r="FH196" s="35" t="s">
        <v>484</v>
      </c>
      <c r="FI196" s="35" t="s">
        <v>484</v>
      </c>
      <c r="FJ196" s="35" t="s">
        <v>484</v>
      </c>
      <c r="FK196" s="35" t="s">
        <v>484</v>
      </c>
      <c r="FL196" s="35" t="s">
        <v>484</v>
      </c>
      <c r="FM196" s="35" t="s">
        <v>484</v>
      </c>
      <c r="FN196" s="35" t="s">
        <v>484</v>
      </c>
      <c r="FO196" s="35" t="s">
        <v>484</v>
      </c>
      <c r="FP196" s="35" t="s">
        <v>3396</v>
      </c>
      <c r="FQ196" s="35" t="s">
        <v>486</v>
      </c>
      <c r="FR196" s="35" t="s">
        <v>712</v>
      </c>
      <c r="FT196" s="35" t="s">
        <v>995</v>
      </c>
      <c r="FU196" s="35" t="s">
        <v>1462</v>
      </c>
      <c r="FV196" s="35" t="s">
        <v>918</v>
      </c>
      <c r="FW196" s="35" t="s">
        <v>490</v>
      </c>
      <c r="FX196" s="35" t="s">
        <v>491</v>
      </c>
      <c r="FY196" s="35" t="s">
        <v>6086</v>
      </c>
      <c r="FZ196" s="35" t="s">
        <v>493</v>
      </c>
      <c r="GC196" s="35" t="s">
        <v>408</v>
      </c>
      <c r="GH196" s="35" t="s">
        <v>789</v>
      </c>
      <c r="GI196" s="35" t="s">
        <v>920</v>
      </c>
      <c r="GJ196" s="35" t="s">
        <v>756</v>
      </c>
      <c r="GR196" s="35" t="s">
        <v>5656</v>
      </c>
      <c r="GU196" s="35" t="s">
        <v>5081</v>
      </c>
      <c r="GV196" s="35" t="s">
        <v>6087</v>
      </c>
      <c r="GW196" s="35" t="s">
        <v>5231</v>
      </c>
      <c r="GX196" s="35" t="s">
        <v>484</v>
      </c>
      <c r="HD196" s="35" t="s">
        <v>484</v>
      </c>
      <c r="HE196" s="35" t="s">
        <v>5282</v>
      </c>
      <c r="HF196" s="35" t="s">
        <v>5492</v>
      </c>
      <c r="HG196" s="35" t="s">
        <v>5899</v>
      </c>
      <c r="HP196" s="35" t="s">
        <v>5236</v>
      </c>
      <c r="HQ196" s="35" t="s">
        <v>5371</v>
      </c>
      <c r="HR196" s="35" t="s">
        <v>5238</v>
      </c>
      <c r="HS196" s="35" t="s">
        <v>5321</v>
      </c>
      <c r="HX196" s="35" t="s">
        <v>5628</v>
      </c>
    </row>
    <row r="197">
      <c r="A197" s="35" t="s">
        <v>11432</v>
      </c>
      <c r="B197" s="40">
        <v>45903.61053475694</v>
      </c>
      <c r="C197" s="35" t="s">
        <v>368</v>
      </c>
      <c r="D197" s="35" t="s">
        <v>370</v>
      </c>
      <c r="E197" s="35" t="s">
        <v>370</v>
      </c>
      <c r="F197" s="35" t="s">
        <v>2388</v>
      </c>
      <c r="G197" s="35" t="s">
        <v>2388</v>
      </c>
      <c r="H197" s="35" t="s">
        <v>422</v>
      </c>
      <c r="I197" s="35" t="s">
        <v>539</v>
      </c>
      <c r="J197" s="35" t="s">
        <v>424</v>
      </c>
      <c r="K197" s="35" t="s">
        <v>425</v>
      </c>
      <c r="L197" s="35" t="s">
        <v>376</v>
      </c>
      <c r="M197" s="35" t="s">
        <v>379</v>
      </c>
      <c r="N197" s="35" t="s">
        <v>948</v>
      </c>
      <c r="O197" s="35" t="s">
        <v>379</v>
      </c>
      <c r="P197" s="35" t="s">
        <v>2097</v>
      </c>
      <c r="Q197" s="35" t="s">
        <v>498</v>
      </c>
      <c r="R197" s="35" t="s">
        <v>1156</v>
      </c>
      <c r="S197" s="35" t="s">
        <v>427</v>
      </c>
      <c r="T197" s="35" t="s">
        <v>384</v>
      </c>
      <c r="U197" s="35" t="s">
        <v>385</v>
      </c>
      <c r="X197" s="35" t="s">
        <v>593</v>
      </c>
      <c r="Y197" s="35" t="s">
        <v>387</v>
      </c>
      <c r="Z197" s="35" t="s">
        <v>388</v>
      </c>
      <c r="AA197" s="35" t="s">
        <v>502</v>
      </c>
      <c r="AB197" s="35" t="s">
        <v>6127</v>
      </c>
      <c r="AW197" s="35" t="s">
        <v>597</v>
      </c>
      <c r="AX197" s="41">
        <v>4.0</v>
      </c>
      <c r="AY197" s="35" t="s">
        <v>391</v>
      </c>
      <c r="AZ197" s="41">
        <v>2.0</v>
      </c>
      <c r="BA197" s="35" t="s">
        <v>391</v>
      </c>
      <c r="BB197" s="41">
        <v>2.0</v>
      </c>
      <c r="BC197" s="35" t="s">
        <v>391</v>
      </c>
      <c r="BD197" s="35" t="s">
        <v>6128</v>
      </c>
      <c r="BE197" s="35" t="s">
        <v>6129</v>
      </c>
      <c r="BF197" s="35" t="s">
        <v>902</v>
      </c>
      <c r="BG197" s="35" t="s">
        <v>1095</v>
      </c>
      <c r="BH197" s="35" t="s">
        <v>678</v>
      </c>
      <c r="BJ197" s="35" t="s">
        <v>976</v>
      </c>
      <c r="BL197" s="35" t="s">
        <v>395</v>
      </c>
      <c r="BM197" s="35" t="s">
        <v>603</v>
      </c>
      <c r="BN197" s="35" t="s">
        <v>397</v>
      </c>
      <c r="BO197" s="35" t="s">
        <v>513</v>
      </c>
      <c r="CM197" s="35" t="s">
        <v>441</v>
      </c>
      <c r="CN197" s="35" t="s">
        <v>604</v>
      </c>
      <c r="CO197" s="35" t="s">
        <v>6130</v>
      </c>
      <c r="CP197" s="35" t="s">
        <v>6131</v>
      </c>
      <c r="CQ197" s="35" t="s">
        <v>403</v>
      </c>
      <c r="CR197" s="35" t="s">
        <v>6132</v>
      </c>
      <c r="CS197" s="35" t="s">
        <v>804</v>
      </c>
      <c r="CT197" s="35" t="s">
        <v>6133</v>
      </c>
      <c r="CU197" s="35" t="s">
        <v>6134</v>
      </c>
      <c r="CV197" s="35" t="s">
        <v>1852</v>
      </c>
      <c r="CW197" s="35" t="s">
        <v>409</v>
      </c>
      <c r="CY197" s="35" t="s">
        <v>408</v>
      </c>
      <c r="DA197" s="35" t="s">
        <v>1398</v>
      </c>
      <c r="DC197" s="35" t="s">
        <v>408</v>
      </c>
      <c r="DE197" s="35" t="s">
        <v>406</v>
      </c>
      <c r="DF197" s="35" t="s">
        <v>1867</v>
      </c>
      <c r="DG197" s="35" t="s">
        <v>6135</v>
      </c>
      <c r="DH197" s="35" t="s">
        <v>990</v>
      </c>
      <c r="DI197" s="35" t="s">
        <v>833</v>
      </c>
      <c r="DJ197" s="35" t="s">
        <v>963</v>
      </c>
      <c r="DK197" s="35" t="s">
        <v>1403</v>
      </c>
      <c r="DL197" s="35" t="s">
        <v>563</v>
      </c>
      <c r="DM197" s="35" t="s">
        <v>408</v>
      </c>
      <c r="EU197" s="35" t="s">
        <v>578</v>
      </c>
      <c r="EV197" s="35" t="s">
        <v>887</v>
      </c>
      <c r="EW197" s="35" t="s">
        <v>527</v>
      </c>
      <c r="EX197" s="35" t="s">
        <v>6136</v>
      </c>
      <c r="EY197" s="35" t="s">
        <v>6137</v>
      </c>
      <c r="EZ197" s="35" t="s">
        <v>6137</v>
      </c>
      <c r="FA197" s="35" t="s">
        <v>415</v>
      </c>
      <c r="FB197" s="35" t="s">
        <v>414</v>
      </c>
      <c r="FC197" s="35" t="s">
        <v>416</v>
      </c>
      <c r="FD197" s="35" t="s">
        <v>415</v>
      </c>
      <c r="FE197" s="35" t="s">
        <v>415</v>
      </c>
      <c r="FF197" s="35" t="s">
        <v>415</v>
      </c>
      <c r="FG197" s="35" t="s">
        <v>415</v>
      </c>
      <c r="FH197" s="35" t="s">
        <v>414</v>
      </c>
      <c r="FI197" s="35" t="s">
        <v>416</v>
      </c>
      <c r="FJ197" s="35" t="s">
        <v>415</v>
      </c>
      <c r="FK197" s="35" t="s">
        <v>415</v>
      </c>
      <c r="FL197" s="35" t="s">
        <v>414</v>
      </c>
      <c r="FM197" s="35" t="s">
        <v>414</v>
      </c>
      <c r="FN197" s="35" t="s">
        <v>415</v>
      </c>
      <c r="FO197" s="35" t="s">
        <v>416</v>
      </c>
      <c r="FP197" s="35" t="s">
        <v>850</v>
      </c>
      <c r="FQ197" s="35" t="s">
        <v>1200</v>
      </c>
      <c r="FR197" s="35" t="s">
        <v>712</v>
      </c>
      <c r="FS197" s="35" t="s">
        <v>6138</v>
      </c>
      <c r="FT197" s="35" t="s">
        <v>1871</v>
      </c>
      <c r="FU197" s="35" t="s">
        <v>421</v>
      </c>
      <c r="FV197" s="35" t="s">
        <v>489</v>
      </c>
      <c r="FW197" s="35" t="s">
        <v>490</v>
      </c>
      <c r="FX197" s="35" t="s">
        <v>491</v>
      </c>
      <c r="FY197" s="35" t="s">
        <v>6139</v>
      </c>
      <c r="FZ197" s="35" t="s">
        <v>535</v>
      </c>
      <c r="GA197" s="35" t="s">
        <v>6140</v>
      </c>
      <c r="GC197" s="35" t="s">
        <v>408</v>
      </c>
      <c r="GH197" s="35" t="s">
        <v>789</v>
      </c>
      <c r="GI197" s="35" t="s">
        <v>789</v>
      </c>
      <c r="GJ197" s="35" t="s">
        <v>921</v>
      </c>
      <c r="GR197" s="35" t="s">
        <v>6141</v>
      </c>
      <c r="GU197" s="35" t="s">
        <v>4774</v>
      </c>
      <c r="GW197" s="35" t="s">
        <v>5231</v>
      </c>
      <c r="GX197" s="35" t="s">
        <v>5232</v>
      </c>
      <c r="HD197" s="35" t="s">
        <v>484</v>
      </c>
      <c r="HE197" s="35" t="s">
        <v>5282</v>
      </c>
      <c r="HF197" s="35" t="s">
        <v>5283</v>
      </c>
      <c r="HG197" s="35" t="s">
        <v>5300</v>
      </c>
      <c r="HP197" s="35" t="s">
        <v>5301</v>
      </c>
      <c r="HQ197" s="35" t="s">
        <v>5371</v>
      </c>
      <c r="HR197" s="35" t="s">
        <v>5238</v>
      </c>
      <c r="HS197" s="35" t="s">
        <v>5321</v>
      </c>
      <c r="HX197" s="35" t="s">
        <v>5541</v>
      </c>
    </row>
    <row r="198">
      <c r="A198" s="35" t="s">
        <v>11433</v>
      </c>
      <c r="B198" s="40">
        <v>45903.64189053241</v>
      </c>
      <c r="C198" s="35" t="s">
        <v>368</v>
      </c>
      <c r="D198" s="35" t="s">
        <v>370</v>
      </c>
      <c r="E198" s="35" t="s">
        <v>370</v>
      </c>
      <c r="F198" s="35" t="s">
        <v>1421</v>
      </c>
      <c r="G198" s="35" t="s">
        <v>1421</v>
      </c>
      <c r="H198" s="35" t="s">
        <v>422</v>
      </c>
      <c r="I198" s="35" t="s">
        <v>373</v>
      </c>
      <c r="J198" s="35" t="s">
        <v>374</v>
      </c>
      <c r="K198" s="35" t="s">
        <v>375</v>
      </c>
      <c r="L198" s="35" t="s">
        <v>376</v>
      </c>
      <c r="M198" s="35" t="s">
        <v>591</v>
      </c>
      <c r="N198" s="35" t="s">
        <v>6157</v>
      </c>
      <c r="O198" s="35" t="s">
        <v>670</v>
      </c>
      <c r="P198" s="35" t="s">
        <v>671</v>
      </c>
      <c r="Q198" s="35" t="s">
        <v>592</v>
      </c>
      <c r="R198" s="35" t="s">
        <v>862</v>
      </c>
      <c r="S198" s="35" t="s">
        <v>949</v>
      </c>
      <c r="T198" s="35" t="s">
        <v>384</v>
      </c>
      <c r="U198" s="35" t="s">
        <v>385</v>
      </c>
      <c r="X198" s="35" t="s">
        <v>593</v>
      </c>
      <c r="Y198" s="35" t="s">
        <v>387</v>
      </c>
      <c r="Z198" s="35" t="s">
        <v>388</v>
      </c>
      <c r="AA198" s="35" t="s">
        <v>502</v>
      </c>
      <c r="AB198" s="35" t="s">
        <v>6158</v>
      </c>
      <c r="AC198" s="35" t="s">
        <v>6159</v>
      </c>
      <c r="AW198" s="35" t="s">
        <v>597</v>
      </c>
      <c r="AX198" s="35" t="s">
        <v>391</v>
      </c>
      <c r="AY198" s="35" t="s">
        <v>391</v>
      </c>
      <c r="AZ198" s="41">
        <v>4.0</v>
      </c>
      <c r="BA198" s="41">
        <v>2.0</v>
      </c>
      <c r="BB198" s="41">
        <v>2.0</v>
      </c>
      <c r="BC198" s="35" t="s">
        <v>391</v>
      </c>
      <c r="BD198" s="35" t="s">
        <v>6160</v>
      </c>
      <c r="BE198" s="35" t="s">
        <v>6161</v>
      </c>
      <c r="BF198" s="35" t="s">
        <v>432</v>
      </c>
      <c r="BG198" s="35" t="s">
        <v>393</v>
      </c>
      <c r="BH198" s="35" t="s">
        <v>765</v>
      </c>
      <c r="BI198" s="35" t="s">
        <v>6162</v>
      </c>
      <c r="BJ198" s="35" t="s">
        <v>976</v>
      </c>
      <c r="BL198" s="35" t="s">
        <v>602</v>
      </c>
      <c r="BM198" s="35" t="s">
        <v>603</v>
      </c>
      <c r="BN198" s="35" t="s">
        <v>1247</v>
      </c>
      <c r="BO198" s="35" t="s">
        <v>513</v>
      </c>
      <c r="CM198" s="35" t="s">
        <v>441</v>
      </c>
      <c r="CN198" s="35" t="s">
        <v>604</v>
      </c>
      <c r="CO198" s="35" t="s">
        <v>6163</v>
      </c>
      <c r="CP198" s="35" t="s">
        <v>6164</v>
      </c>
      <c r="CQ198" s="35" t="s">
        <v>445</v>
      </c>
      <c r="CR198" s="35" t="s">
        <v>6165</v>
      </c>
      <c r="CS198" s="35" t="s">
        <v>447</v>
      </c>
      <c r="CT198" s="35" t="s">
        <v>1626</v>
      </c>
      <c r="CU198" s="35" t="s">
        <v>6166</v>
      </c>
      <c r="CV198" s="35" t="s">
        <v>1863</v>
      </c>
      <c r="CW198" s="35" t="s">
        <v>409</v>
      </c>
      <c r="CX198" s="35" t="s">
        <v>6167</v>
      </c>
      <c r="CY198" s="35" t="s">
        <v>455</v>
      </c>
      <c r="CZ198" s="35" t="s">
        <v>6168</v>
      </c>
      <c r="DA198" s="35" t="s">
        <v>985</v>
      </c>
      <c r="DB198" s="35" t="s">
        <v>6169</v>
      </c>
      <c r="DC198" s="35" t="s">
        <v>913</v>
      </c>
      <c r="DD198" s="35" t="s">
        <v>6170</v>
      </c>
      <c r="DE198" s="35" t="s">
        <v>988</v>
      </c>
      <c r="DF198" s="35" t="s">
        <v>407</v>
      </c>
      <c r="DG198" s="35" t="s">
        <v>6171</v>
      </c>
      <c r="DH198" s="35" t="s">
        <v>4899</v>
      </c>
      <c r="DI198" s="35" t="s">
        <v>833</v>
      </c>
      <c r="DJ198" s="35" t="s">
        <v>459</v>
      </c>
      <c r="DK198" s="35" t="s">
        <v>460</v>
      </c>
      <c r="DL198" s="35" t="s">
        <v>461</v>
      </c>
      <c r="EU198" s="35" t="s">
        <v>478</v>
      </c>
      <c r="EV198" s="35" t="s">
        <v>887</v>
      </c>
      <c r="EW198" s="35" t="s">
        <v>527</v>
      </c>
      <c r="EX198" s="35" t="s">
        <v>6172</v>
      </c>
      <c r="EY198" s="35" t="s">
        <v>6173</v>
      </c>
      <c r="EZ198" s="35" t="s">
        <v>6174</v>
      </c>
      <c r="FA198" s="35" t="s">
        <v>414</v>
      </c>
      <c r="FB198" s="35" t="s">
        <v>414</v>
      </c>
      <c r="FC198" s="35" t="s">
        <v>413</v>
      </c>
      <c r="FD198" s="35" t="s">
        <v>415</v>
      </c>
      <c r="FE198" s="35" t="s">
        <v>413</v>
      </c>
      <c r="FF198" s="35" t="s">
        <v>414</v>
      </c>
      <c r="FG198" s="35" t="s">
        <v>415</v>
      </c>
      <c r="FH198" s="35" t="s">
        <v>413</v>
      </c>
      <c r="FI198" s="35" t="s">
        <v>583</v>
      </c>
      <c r="FJ198" s="35" t="s">
        <v>415</v>
      </c>
      <c r="FK198" s="35" t="s">
        <v>484</v>
      </c>
      <c r="FL198" s="35" t="s">
        <v>415</v>
      </c>
      <c r="FM198" s="35" t="s">
        <v>415</v>
      </c>
      <c r="FN198" s="35" t="s">
        <v>416</v>
      </c>
      <c r="FO198" s="35" t="s">
        <v>414</v>
      </c>
      <c r="FP198" s="35" t="s">
        <v>1074</v>
      </c>
      <c r="FQ198" s="35" t="s">
        <v>2524</v>
      </c>
      <c r="FR198" s="35" t="s">
        <v>749</v>
      </c>
      <c r="FS198" s="35" t="s">
        <v>6175</v>
      </c>
      <c r="FT198" s="35" t="s">
        <v>1189</v>
      </c>
      <c r="FU198" s="35" t="s">
        <v>488</v>
      </c>
      <c r="FV198" s="35" t="s">
        <v>489</v>
      </c>
      <c r="FW198" s="35" t="s">
        <v>490</v>
      </c>
      <c r="FX198" s="35" t="s">
        <v>491</v>
      </c>
      <c r="FY198" s="35" t="s">
        <v>6176</v>
      </c>
      <c r="FZ198" s="35" t="s">
        <v>493</v>
      </c>
      <c r="GB198" s="35" t="s">
        <v>6177</v>
      </c>
      <c r="GC198" s="35" t="s">
        <v>408</v>
      </c>
      <c r="GH198" s="35" t="s">
        <v>755</v>
      </c>
      <c r="GI198" s="35" t="s">
        <v>755</v>
      </c>
      <c r="GJ198" s="35" t="s">
        <v>817</v>
      </c>
      <c r="GR198" s="35" t="s">
        <v>5656</v>
      </c>
      <c r="GU198" s="35" t="s">
        <v>5039</v>
      </c>
      <c r="GV198" s="35" t="s">
        <v>6178</v>
      </c>
      <c r="GW198" s="35" t="s">
        <v>5231</v>
      </c>
      <c r="GX198" s="35" t="s">
        <v>5232</v>
      </c>
      <c r="HD198" s="35" t="s">
        <v>5297</v>
      </c>
      <c r="HE198" s="35" t="s">
        <v>5282</v>
      </c>
      <c r="HF198" s="35" t="s">
        <v>5320</v>
      </c>
      <c r="HG198" s="35" t="s">
        <v>5493</v>
      </c>
      <c r="HP198" s="35" t="s">
        <v>5346</v>
      </c>
      <c r="HQ198" s="35" t="s">
        <v>5302</v>
      </c>
      <c r="HR198" s="35" t="s">
        <v>5801</v>
      </c>
      <c r="HS198" s="35" t="s">
        <v>913</v>
      </c>
      <c r="HX198" s="35" t="s">
        <v>5628</v>
      </c>
    </row>
    <row r="199">
      <c r="A199" s="35" t="s">
        <v>11434</v>
      </c>
      <c r="B199" s="40">
        <v>45903.651005266205</v>
      </c>
      <c r="C199" s="35" t="s">
        <v>368</v>
      </c>
      <c r="D199" s="35" t="s">
        <v>370</v>
      </c>
      <c r="E199" s="35" t="s">
        <v>370</v>
      </c>
      <c r="F199" s="35" t="s">
        <v>1001</v>
      </c>
      <c r="G199" s="35" t="s">
        <v>1421</v>
      </c>
      <c r="H199" s="35" t="s">
        <v>422</v>
      </c>
      <c r="I199" s="35" t="s">
        <v>373</v>
      </c>
      <c r="J199" s="35" t="s">
        <v>638</v>
      </c>
      <c r="K199" s="35" t="s">
        <v>718</v>
      </c>
      <c r="L199" s="35" t="s">
        <v>376</v>
      </c>
      <c r="M199" s="35" t="s">
        <v>670</v>
      </c>
      <c r="N199" s="35" t="s">
        <v>860</v>
      </c>
      <c r="O199" s="35" t="s">
        <v>591</v>
      </c>
      <c r="P199" s="35" t="s">
        <v>2579</v>
      </c>
      <c r="Q199" s="35" t="s">
        <v>498</v>
      </c>
      <c r="R199" s="35" t="s">
        <v>382</v>
      </c>
      <c r="S199" s="35" t="s">
        <v>500</v>
      </c>
      <c r="T199" s="35" t="s">
        <v>384</v>
      </c>
      <c r="U199" s="35" t="s">
        <v>385</v>
      </c>
      <c r="X199" s="35" t="s">
        <v>3014</v>
      </c>
      <c r="AW199" s="35" t="s">
        <v>1310</v>
      </c>
      <c r="AX199" s="41">
        <v>4.0</v>
      </c>
      <c r="AY199" s="35" t="s">
        <v>675</v>
      </c>
      <c r="AZ199" s="35" t="s">
        <v>429</v>
      </c>
      <c r="BA199" s="41">
        <v>2.0</v>
      </c>
      <c r="BB199" s="41">
        <v>2.0</v>
      </c>
      <c r="BC199" s="35" t="s">
        <v>391</v>
      </c>
      <c r="BG199" s="35" t="s">
        <v>433</v>
      </c>
      <c r="BH199" s="35" t="s">
        <v>725</v>
      </c>
      <c r="BJ199" s="35" t="s">
        <v>509</v>
      </c>
      <c r="BL199" s="35" t="s">
        <v>395</v>
      </c>
      <c r="BM199" s="35" t="s">
        <v>603</v>
      </c>
      <c r="BN199" s="35" t="s">
        <v>1247</v>
      </c>
      <c r="BO199" s="35" t="s">
        <v>513</v>
      </c>
      <c r="CM199" s="35" t="s">
        <v>441</v>
      </c>
      <c r="CN199" s="35" t="s">
        <v>604</v>
      </c>
      <c r="CO199" s="35" t="s">
        <v>6179</v>
      </c>
      <c r="CP199" s="35" t="s">
        <v>6180</v>
      </c>
      <c r="CQ199" s="35" t="s">
        <v>685</v>
      </c>
      <c r="CR199" s="35" t="s">
        <v>6181</v>
      </c>
      <c r="CS199" s="35" t="s">
        <v>447</v>
      </c>
      <c r="CT199" s="35" t="s">
        <v>6182</v>
      </c>
      <c r="CV199" s="35" t="s">
        <v>982</v>
      </c>
      <c r="CW199" s="35" t="s">
        <v>451</v>
      </c>
      <c r="CX199" s="35" t="s">
        <v>3586</v>
      </c>
      <c r="CY199" s="35" t="s">
        <v>408</v>
      </c>
      <c r="DA199" s="35" t="s">
        <v>1962</v>
      </c>
      <c r="DC199" s="35" t="s">
        <v>408</v>
      </c>
      <c r="DE199" s="35" t="s">
        <v>406</v>
      </c>
      <c r="DF199" s="35" t="s">
        <v>407</v>
      </c>
      <c r="DG199" s="35" t="s">
        <v>6183</v>
      </c>
      <c r="DH199" s="35" t="s">
        <v>776</v>
      </c>
      <c r="DI199" s="35" t="s">
        <v>1220</v>
      </c>
      <c r="DJ199" s="35" t="s">
        <v>459</v>
      </c>
      <c r="DK199" s="35" t="s">
        <v>613</v>
      </c>
      <c r="EU199" s="35" t="s">
        <v>578</v>
      </c>
      <c r="EV199" s="35" t="s">
        <v>479</v>
      </c>
      <c r="EW199" s="35" t="s">
        <v>527</v>
      </c>
      <c r="FA199" s="35" t="s">
        <v>413</v>
      </c>
      <c r="FC199" s="35" t="s">
        <v>413</v>
      </c>
      <c r="FE199" s="35" t="s">
        <v>413</v>
      </c>
      <c r="FF199" s="35" t="s">
        <v>583</v>
      </c>
      <c r="FH199" s="35" t="s">
        <v>413</v>
      </c>
      <c r="FI199" s="35" t="s">
        <v>413</v>
      </c>
      <c r="FJ199" s="35" t="s">
        <v>583</v>
      </c>
      <c r="FP199" s="35" t="s">
        <v>485</v>
      </c>
      <c r="FQ199" s="35" t="s">
        <v>418</v>
      </c>
      <c r="FR199" s="35" t="s">
        <v>712</v>
      </c>
      <c r="FT199" s="35" t="s">
        <v>1189</v>
      </c>
      <c r="FU199" s="35" t="s">
        <v>488</v>
      </c>
      <c r="FV199" s="35" t="s">
        <v>585</v>
      </c>
      <c r="FW199" s="35" t="s">
        <v>2399</v>
      </c>
      <c r="FX199" s="35" t="s">
        <v>491</v>
      </c>
      <c r="FZ199" s="35" t="s">
        <v>535</v>
      </c>
      <c r="GC199" s="35" t="s">
        <v>408</v>
      </c>
      <c r="GH199" s="35" t="s">
        <v>755</v>
      </c>
      <c r="GI199" s="35" t="s">
        <v>755</v>
      </c>
      <c r="GJ199" s="35" t="s">
        <v>946</v>
      </c>
      <c r="GR199" s="35" t="s">
        <v>3208</v>
      </c>
      <c r="GU199" s="35" t="s">
        <v>5170</v>
      </c>
      <c r="GW199" s="35" t="s">
        <v>5231</v>
      </c>
      <c r="GX199" s="35" t="s">
        <v>5232</v>
      </c>
      <c r="HD199" s="35" t="s">
        <v>6053</v>
      </c>
      <c r="HE199" s="35" t="s">
        <v>5282</v>
      </c>
      <c r="HF199" s="35" t="s">
        <v>5320</v>
      </c>
      <c r="HG199" s="35" t="s">
        <v>5300</v>
      </c>
      <c r="HP199" s="35" t="s">
        <v>5236</v>
      </c>
      <c r="HQ199" s="35" t="s">
        <v>5237</v>
      </c>
      <c r="HR199" s="35" t="s">
        <v>5801</v>
      </c>
      <c r="HS199" s="35" t="s">
        <v>5239</v>
      </c>
      <c r="HX199" s="35" t="s">
        <v>5541</v>
      </c>
    </row>
    <row r="200">
      <c r="A200" s="35" t="s">
        <v>11435</v>
      </c>
      <c r="B200" s="40">
        <v>45903.676439421295</v>
      </c>
      <c r="C200" s="35" t="s">
        <v>368</v>
      </c>
      <c r="D200" s="35" t="s">
        <v>370</v>
      </c>
      <c r="E200" s="35" t="s">
        <v>370</v>
      </c>
      <c r="F200" s="35" t="s">
        <v>757</v>
      </c>
      <c r="G200" s="35" t="s">
        <v>1421</v>
      </c>
      <c r="H200" s="35" t="s">
        <v>422</v>
      </c>
      <c r="I200" s="35" t="s">
        <v>496</v>
      </c>
      <c r="J200" s="35" t="s">
        <v>374</v>
      </c>
      <c r="K200" s="35" t="s">
        <v>375</v>
      </c>
      <c r="L200" s="35" t="s">
        <v>376</v>
      </c>
      <c r="M200" s="35" t="s">
        <v>793</v>
      </c>
      <c r="N200" s="35" t="s">
        <v>6184</v>
      </c>
      <c r="O200" s="35" t="s">
        <v>426</v>
      </c>
      <c r="P200" s="35" t="s">
        <v>497</v>
      </c>
      <c r="Q200" s="35" t="s">
        <v>381</v>
      </c>
      <c r="R200" s="35" t="s">
        <v>382</v>
      </c>
      <c r="S200" s="35" t="s">
        <v>949</v>
      </c>
      <c r="T200" s="35" t="s">
        <v>6185</v>
      </c>
      <c r="U200" s="35" t="s">
        <v>385</v>
      </c>
      <c r="X200" s="35" t="s">
        <v>1023</v>
      </c>
      <c r="AW200" s="35" t="s">
        <v>597</v>
      </c>
      <c r="AX200" s="35" t="s">
        <v>391</v>
      </c>
      <c r="AY200" s="35" t="s">
        <v>391</v>
      </c>
      <c r="AZ200" s="35" t="s">
        <v>429</v>
      </c>
      <c r="BA200" s="35" t="s">
        <v>429</v>
      </c>
      <c r="BB200" s="41">
        <v>2.0</v>
      </c>
      <c r="BC200" s="35" t="s">
        <v>429</v>
      </c>
      <c r="BD200" s="35" t="s">
        <v>6186</v>
      </c>
      <c r="BE200" s="35" t="s">
        <v>6187</v>
      </c>
      <c r="BF200" s="35" t="s">
        <v>902</v>
      </c>
      <c r="BG200" s="35" t="s">
        <v>433</v>
      </c>
      <c r="BH200" s="35" t="s">
        <v>678</v>
      </c>
      <c r="BI200" s="35" t="s">
        <v>6188</v>
      </c>
      <c r="BJ200" s="35" t="s">
        <v>509</v>
      </c>
      <c r="BK200" s="35" t="s">
        <v>6189</v>
      </c>
      <c r="BL200" s="35" t="s">
        <v>437</v>
      </c>
      <c r="BM200" s="35" t="s">
        <v>904</v>
      </c>
      <c r="BN200" s="35" t="s">
        <v>439</v>
      </c>
      <c r="BO200" s="35" t="s">
        <v>513</v>
      </c>
      <c r="CM200" s="35" t="s">
        <v>441</v>
      </c>
      <c r="CN200" s="35" t="s">
        <v>442</v>
      </c>
      <c r="CO200" s="35" t="s">
        <v>552</v>
      </c>
      <c r="CP200" s="35" t="s">
        <v>6190</v>
      </c>
      <c r="CQ200" s="35" t="s">
        <v>445</v>
      </c>
      <c r="CR200" s="35" t="s">
        <v>6191</v>
      </c>
      <c r="CS200" s="35" t="s">
        <v>404</v>
      </c>
      <c r="CT200" s="35" t="s">
        <v>6192</v>
      </c>
      <c r="CU200" s="35" t="s">
        <v>6193</v>
      </c>
      <c r="CV200" s="35" t="s">
        <v>450</v>
      </c>
      <c r="CW200" s="35" t="s">
        <v>451</v>
      </c>
      <c r="CX200" s="35" t="s">
        <v>6194</v>
      </c>
      <c r="CY200" s="35" t="s">
        <v>408</v>
      </c>
      <c r="DA200" s="35" t="s">
        <v>453</v>
      </c>
      <c r="DB200" s="35" t="s">
        <v>6195</v>
      </c>
      <c r="DC200" s="35" t="s">
        <v>455</v>
      </c>
      <c r="DD200" s="35" t="s">
        <v>6196</v>
      </c>
      <c r="DE200" s="35" t="s">
        <v>662</v>
      </c>
      <c r="DF200" s="35" t="s">
        <v>1368</v>
      </c>
      <c r="DG200" s="35" t="s">
        <v>6197</v>
      </c>
      <c r="DH200" s="35" t="s">
        <v>561</v>
      </c>
      <c r="DI200" s="35" t="s">
        <v>410</v>
      </c>
      <c r="DJ200" s="35" t="s">
        <v>777</v>
      </c>
      <c r="DK200" s="35" t="s">
        <v>613</v>
      </c>
      <c r="EU200" s="35" t="s">
        <v>578</v>
      </c>
      <c r="EV200" s="35" t="s">
        <v>479</v>
      </c>
      <c r="EW200" s="35" t="s">
        <v>527</v>
      </c>
      <c r="EX200" s="35" t="s">
        <v>6198</v>
      </c>
      <c r="EY200" s="35" t="s">
        <v>6199</v>
      </c>
      <c r="EZ200" s="35" t="s">
        <v>6200</v>
      </c>
      <c r="FA200" s="35" t="s">
        <v>484</v>
      </c>
      <c r="FB200" s="35" t="s">
        <v>484</v>
      </c>
      <c r="FC200" s="35" t="s">
        <v>413</v>
      </c>
      <c r="FD200" s="35" t="s">
        <v>415</v>
      </c>
      <c r="FE200" s="35" t="s">
        <v>413</v>
      </c>
      <c r="FF200" s="35" t="s">
        <v>414</v>
      </c>
      <c r="FG200" s="35" t="s">
        <v>484</v>
      </c>
      <c r="FH200" s="35" t="s">
        <v>413</v>
      </c>
      <c r="FI200" s="35" t="s">
        <v>583</v>
      </c>
      <c r="FJ200" s="35" t="s">
        <v>484</v>
      </c>
      <c r="FK200" s="35" t="s">
        <v>484</v>
      </c>
      <c r="FL200" s="35" t="s">
        <v>484</v>
      </c>
      <c r="FM200" s="35" t="s">
        <v>484</v>
      </c>
      <c r="FN200" s="35" t="s">
        <v>413</v>
      </c>
      <c r="FO200" s="35" t="s">
        <v>583</v>
      </c>
      <c r="FP200" s="35" t="s">
        <v>850</v>
      </c>
      <c r="FQ200" s="35" t="s">
        <v>418</v>
      </c>
      <c r="FR200" s="35" t="s">
        <v>712</v>
      </c>
      <c r="FS200" s="35" t="s">
        <v>6201</v>
      </c>
      <c r="FT200" s="35" t="s">
        <v>995</v>
      </c>
      <c r="FU200" s="35" t="s">
        <v>488</v>
      </c>
      <c r="FV200" s="35" t="s">
        <v>489</v>
      </c>
      <c r="FW200" s="35" t="s">
        <v>490</v>
      </c>
      <c r="FX200" s="35" t="s">
        <v>491</v>
      </c>
      <c r="FY200" s="35" t="s">
        <v>6202</v>
      </c>
      <c r="FZ200" s="35" t="s">
        <v>535</v>
      </c>
      <c r="GA200" s="35" t="s">
        <v>6203</v>
      </c>
      <c r="GB200" s="35" t="s">
        <v>6204</v>
      </c>
      <c r="GC200" s="35" t="s">
        <v>455</v>
      </c>
      <c r="GD200" s="35" t="s">
        <v>11436</v>
      </c>
      <c r="GF200" s="35" t="s">
        <v>753</v>
      </c>
      <c r="GH200" s="35" t="s">
        <v>789</v>
      </c>
      <c r="GI200" s="35" t="s">
        <v>1000</v>
      </c>
      <c r="GJ200" s="35" t="s">
        <v>756</v>
      </c>
      <c r="GR200" s="35" t="s">
        <v>5656</v>
      </c>
      <c r="GU200" s="35" t="s">
        <v>4774</v>
      </c>
      <c r="GW200" s="35" t="s">
        <v>5231</v>
      </c>
      <c r="GX200" s="35" t="s">
        <v>5232</v>
      </c>
      <c r="HD200" s="35" t="s">
        <v>484</v>
      </c>
      <c r="HE200" s="35" t="s">
        <v>5349</v>
      </c>
      <c r="HF200" s="35" t="s">
        <v>5320</v>
      </c>
      <c r="HG200" s="35" t="s">
        <v>5300</v>
      </c>
      <c r="HP200" s="35" t="s">
        <v>5346</v>
      </c>
      <c r="HQ200" s="35" t="s">
        <v>5719</v>
      </c>
      <c r="HR200" s="35" t="s">
        <v>5238</v>
      </c>
      <c r="HS200" s="35" t="s">
        <v>5321</v>
      </c>
      <c r="HX200" s="35" t="s">
        <v>5501</v>
      </c>
    </row>
    <row r="201">
      <c r="A201" s="35" t="s">
        <v>11437</v>
      </c>
      <c r="B201" s="40">
        <v>45904.68773384259</v>
      </c>
      <c r="C201" s="35" t="s">
        <v>368</v>
      </c>
      <c r="D201" s="35" t="s">
        <v>370</v>
      </c>
      <c r="E201" s="35" t="s">
        <v>370</v>
      </c>
      <c r="F201" s="35" t="s">
        <v>495</v>
      </c>
      <c r="G201" s="35" t="s">
        <v>495</v>
      </c>
      <c r="H201" s="35" t="s">
        <v>422</v>
      </c>
      <c r="I201" s="35" t="s">
        <v>1921</v>
      </c>
      <c r="J201" s="35" t="s">
        <v>668</v>
      </c>
      <c r="K201" s="35" t="s">
        <v>375</v>
      </c>
      <c r="L201" s="35" t="s">
        <v>376</v>
      </c>
      <c r="M201" s="35" t="s">
        <v>591</v>
      </c>
      <c r="N201" s="35" t="s">
        <v>639</v>
      </c>
      <c r="O201" s="35" t="s">
        <v>591</v>
      </c>
      <c r="P201" s="35" t="s">
        <v>719</v>
      </c>
      <c r="Q201" s="35" t="s">
        <v>498</v>
      </c>
      <c r="R201" s="35" t="s">
        <v>499</v>
      </c>
      <c r="S201" s="35" t="s">
        <v>500</v>
      </c>
      <c r="T201" s="35" t="s">
        <v>384</v>
      </c>
      <c r="U201" s="35" t="s">
        <v>385</v>
      </c>
      <c r="X201" s="35" t="s">
        <v>3014</v>
      </c>
      <c r="AW201" s="35" t="s">
        <v>1310</v>
      </c>
      <c r="AX201" s="35" t="s">
        <v>675</v>
      </c>
      <c r="AY201" s="41">
        <v>4.0</v>
      </c>
      <c r="AZ201" s="41">
        <v>4.0</v>
      </c>
      <c r="BA201" s="35" t="s">
        <v>391</v>
      </c>
      <c r="BB201" s="41">
        <v>2.0</v>
      </c>
      <c r="BC201" s="35" t="s">
        <v>391</v>
      </c>
      <c r="BD201" s="35" t="s">
        <v>6254</v>
      </c>
      <c r="BE201" s="35" t="s">
        <v>6255</v>
      </c>
      <c r="BF201" s="35" t="s">
        <v>432</v>
      </c>
      <c r="BG201" s="35" t="s">
        <v>1095</v>
      </c>
      <c r="BH201" s="35" t="s">
        <v>434</v>
      </c>
      <c r="BI201" s="35" t="s">
        <v>6256</v>
      </c>
      <c r="BJ201" s="35" t="s">
        <v>727</v>
      </c>
      <c r="BL201" s="35" t="s">
        <v>681</v>
      </c>
      <c r="BM201" s="35" t="s">
        <v>603</v>
      </c>
      <c r="BN201" s="35" t="s">
        <v>1247</v>
      </c>
      <c r="BO201" s="35" t="s">
        <v>513</v>
      </c>
      <c r="CM201" s="35" t="s">
        <v>441</v>
      </c>
      <c r="CN201" s="35" t="s">
        <v>682</v>
      </c>
      <c r="CO201" s="35" t="s">
        <v>6257</v>
      </c>
      <c r="CP201" s="35" t="s">
        <v>6258</v>
      </c>
      <c r="CQ201" s="35" t="s">
        <v>1008</v>
      </c>
      <c r="CR201" s="35" t="s">
        <v>1427</v>
      </c>
      <c r="CS201" s="35" t="s">
        <v>447</v>
      </c>
      <c r="CT201" s="35" t="s">
        <v>6259</v>
      </c>
      <c r="CU201" s="35" t="s">
        <v>6260</v>
      </c>
      <c r="CV201" s="35" t="s">
        <v>519</v>
      </c>
      <c r="CW201" s="35" t="s">
        <v>451</v>
      </c>
      <c r="CX201" s="35" t="s">
        <v>6261</v>
      </c>
      <c r="CY201" s="35" t="s">
        <v>408</v>
      </c>
      <c r="DA201" s="35" t="s">
        <v>985</v>
      </c>
      <c r="DB201" s="35" t="s">
        <v>6262</v>
      </c>
      <c r="DC201" s="35" t="s">
        <v>408</v>
      </c>
      <c r="DE201" s="35" t="s">
        <v>988</v>
      </c>
      <c r="DF201" s="35" t="s">
        <v>1867</v>
      </c>
      <c r="DG201" s="35" t="s">
        <v>6263</v>
      </c>
      <c r="DH201" s="35" t="s">
        <v>561</v>
      </c>
      <c r="DI201" s="35" t="s">
        <v>833</v>
      </c>
      <c r="DJ201" s="35" t="s">
        <v>777</v>
      </c>
      <c r="DK201" s="35" t="s">
        <v>460</v>
      </c>
      <c r="DL201" s="35" t="s">
        <v>461</v>
      </c>
      <c r="EU201" s="35" t="s">
        <v>526</v>
      </c>
      <c r="EV201" s="35" t="s">
        <v>1037</v>
      </c>
      <c r="EW201" s="35" t="s">
        <v>527</v>
      </c>
      <c r="EX201" s="35" t="s">
        <v>6264</v>
      </c>
      <c r="EY201" s="35" t="s">
        <v>6265</v>
      </c>
      <c r="EZ201" s="35" t="s">
        <v>6266</v>
      </c>
      <c r="FA201" s="35" t="s">
        <v>415</v>
      </c>
      <c r="FB201" s="35" t="s">
        <v>415</v>
      </c>
      <c r="FC201" s="35" t="s">
        <v>413</v>
      </c>
      <c r="FD201" s="35" t="s">
        <v>413</v>
      </c>
      <c r="FE201" s="35" t="s">
        <v>413</v>
      </c>
      <c r="FF201" s="35" t="s">
        <v>414</v>
      </c>
      <c r="FG201" s="35" t="s">
        <v>415</v>
      </c>
      <c r="FH201" s="35" t="s">
        <v>413</v>
      </c>
      <c r="FI201" s="35" t="s">
        <v>415</v>
      </c>
      <c r="FJ201" s="35" t="s">
        <v>414</v>
      </c>
      <c r="FK201" s="35" t="s">
        <v>415</v>
      </c>
      <c r="FL201" s="35" t="s">
        <v>415</v>
      </c>
      <c r="FM201" s="35" t="s">
        <v>415</v>
      </c>
      <c r="FN201" s="35" t="s">
        <v>413</v>
      </c>
      <c r="FO201" s="35" t="s">
        <v>414</v>
      </c>
      <c r="FP201" s="35" t="s">
        <v>850</v>
      </c>
      <c r="FQ201" s="35" t="s">
        <v>418</v>
      </c>
      <c r="FR201" s="35" t="s">
        <v>712</v>
      </c>
      <c r="FS201" s="35" t="s">
        <v>6267</v>
      </c>
      <c r="FT201" s="35" t="s">
        <v>1189</v>
      </c>
      <c r="FU201" s="35" t="s">
        <v>488</v>
      </c>
      <c r="FV201" s="35" t="s">
        <v>489</v>
      </c>
      <c r="FW201" s="35" t="s">
        <v>490</v>
      </c>
      <c r="FX201" s="35" t="s">
        <v>491</v>
      </c>
      <c r="FY201" s="35" t="s">
        <v>6268</v>
      </c>
      <c r="FZ201" s="35" t="s">
        <v>535</v>
      </c>
      <c r="GA201" s="35" t="s">
        <v>6269</v>
      </c>
      <c r="GB201" s="35" t="s">
        <v>6270</v>
      </c>
      <c r="GC201" s="35" t="s">
        <v>455</v>
      </c>
      <c r="GD201" s="35" t="s">
        <v>11438</v>
      </c>
      <c r="GF201" s="35" t="s">
        <v>855</v>
      </c>
      <c r="GG201" s="35" t="s">
        <v>6271</v>
      </c>
      <c r="GH201" s="35" t="s">
        <v>857</v>
      </c>
      <c r="GI201" s="35" t="s">
        <v>857</v>
      </c>
      <c r="GJ201" s="35" t="s">
        <v>790</v>
      </c>
      <c r="GR201" s="35" t="s">
        <v>6272</v>
      </c>
      <c r="GU201" s="35" t="s">
        <v>4774</v>
      </c>
      <c r="GW201" s="35" t="s">
        <v>5231</v>
      </c>
      <c r="GX201" s="35" t="s">
        <v>5232</v>
      </c>
      <c r="HD201" s="35" t="s">
        <v>484</v>
      </c>
      <c r="HE201" s="35" t="s">
        <v>5349</v>
      </c>
      <c r="HF201" s="35" t="s">
        <v>5320</v>
      </c>
      <c r="HG201" s="35" t="s">
        <v>5493</v>
      </c>
      <c r="HP201" s="35" t="s">
        <v>5346</v>
      </c>
      <c r="HQ201" s="35" t="s">
        <v>5237</v>
      </c>
      <c r="HR201" s="35" t="s">
        <v>5238</v>
      </c>
      <c r="HS201" s="35" t="s">
        <v>6273</v>
      </c>
      <c r="HX201" s="35" t="s">
        <v>6274</v>
      </c>
    </row>
    <row r="202">
      <c r="A202" s="35" t="s">
        <v>11439</v>
      </c>
      <c r="B202" s="40">
        <v>45917.73239077546</v>
      </c>
      <c r="C202" s="35" t="s">
        <v>368</v>
      </c>
      <c r="D202" s="35" t="s">
        <v>370</v>
      </c>
      <c r="E202" s="35" t="s">
        <v>370</v>
      </c>
      <c r="F202" s="35" t="s">
        <v>1510</v>
      </c>
      <c r="G202" s="35" t="s">
        <v>1510</v>
      </c>
      <c r="H202" s="35" t="s">
        <v>422</v>
      </c>
      <c r="I202" s="35" t="s">
        <v>1203</v>
      </c>
      <c r="J202" s="35" t="s">
        <v>638</v>
      </c>
      <c r="K202" s="35" t="s">
        <v>1204</v>
      </c>
      <c r="L202" s="35" t="s">
        <v>376</v>
      </c>
      <c r="M202" s="35" t="s">
        <v>379</v>
      </c>
      <c r="N202" s="35" t="s">
        <v>2998</v>
      </c>
      <c r="O202" s="35" t="s">
        <v>670</v>
      </c>
      <c r="P202" s="35" t="s">
        <v>720</v>
      </c>
      <c r="Q202" s="35" t="s">
        <v>498</v>
      </c>
      <c r="R202" s="35" t="s">
        <v>499</v>
      </c>
      <c r="S202" s="35" t="s">
        <v>500</v>
      </c>
      <c r="T202" s="35" t="s">
        <v>384</v>
      </c>
      <c r="U202" s="35" t="s">
        <v>385</v>
      </c>
      <c r="X202" s="35" t="s">
        <v>3231</v>
      </c>
      <c r="AW202" s="35" t="s">
        <v>390</v>
      </c>
      <c r="AX202" s="35" t="s">
        <v>391</v>
      </c>
      <c r="AY202" s="41">
        <v>2.0</v>
      </c>
      <c r="AZ202" s="35" t="s">
        <v>391</v>
      </c>
      <c r="BA202" s="35" t="s">
        <v>429</v>
      </c>
      <c r="BB202" s="41">
        <v>2.0</v>
      </c>
      <c r="BC202" s="35" t="s">
        <v>391</v>
      </c>
      <c r="BD202" s="35" t="s">
        <v>6438</v>
      </c>
      <c r="BE202" s="35" t="s">
        <v>6439</v>
      </c>
      <c r="BF202" s="35" t="s">
        <v>432</v>
      </c>
      <c r="BG202" s="35" t="s">
        <v>393</v>
      </c>
      <c r="BH202" s="35" t="s">
        <v>507</v>
      </c>
      <c r="BI202" s="35" t="s">
        <v>6440</v>
      </c>
      <c r="BJ202" s="35" t="s">
        <v>824</v>
      </c>
      <c r="BL202" s="35" t="s">
        <v>681</v>
      </c>
      <c r="BM202" s="35" t="s">
        <v>396</v>
      </c>
      <c r="BN202" s="35" t="s">
        <v>549</v>
      </c>
      <c r="BO202" s="35" t="s">
        <v>513</v>
      </c>
      <c r="CM202" s="35" t="s">
        <v>441</v>
      </c>
      <c r="CN202" s="35" t="s">
        <v>604</v>
      </c>
      <c r="CO202" s="35" t="s">
        <v>6441</v>
      </c>
      <c r="CP202" s="35" t="s">
        <v>6442</v>
      </c>
      <c r="CQ202" s="35" t="s">
        <v>445</v>
      </c>
      <c r="CR202" s="35" t="s">
        <v>6443</v>
      </c>
      <c r="CS202" s="35" t="s">
        <v>447</v>
      </c>
      <c r="CV202" s="35" t="s">
        <v>519</v>
      </c>
      <c r="CW202" s="35" t="s">
        <v>451</v>
      </c>
      <c r="CX202" s="35" t="s">
        <v>6444</v>
      </c>
      <c r="CY202" s="35" t="s">
        <v>408</v>
      </c>
      <c r="DA202" s="35" t="s">
        <v>985</v>
      </c>
      <c r="DB202" s="35" t="s">
        <v>6445</v>
      </c>
      <c r="DC202" s="35" t="s">
        <v>408</v>
      </c>
      <c r="DE202" s="35" t="s">
        <v>406</v>
      </c>
      <c r="DF202" s="35" t="s">
        <v>1058</v>
      </c>
      <c r="DH202" s="35" t="s">
        <v>524</v>
      </c>
      <c r="DI202" s="35" t="s">
        <v>410</v>
      </c>
      <c r="DJ202" s="35" t="s">
        <v>459</v>
      </c>
      <c r="DK202" s="35" t="s">
        <v>460</v>
      </c>
      <c r="DL202" s="35" t="s">
        <v>6335</v>
      </c>
      <c r="EU202" s="35" t="s">
        <v>478</v>
      </c>
      <c r="EV202" s="35" t="s">
        <v>479</v>
      </c>
      <c r="EW202" s="35" t="s">
        <v>480</v>
      </c>
      <c r="FA202" s="35" t="s">
        <v>583</v>
      </c>
      <c r="FB202" s="35" t="s">
        <v>583</v>
      </c>
      <c r="FC202" s="35" t="s">
        <v>583</v>
      </c>
      <c r="FD202" s="35" t="s">
        <v>583</v>
      </c>
      <c r="FE202" s="35" t="s">
        <v>413</v>
      </c>
      <c r="FF202" s="35" t="s">
        <v>583</v>
      </c>
      <c r="FG202" s="35" t="s">
        <v>484</v>
      </c>
      <c r="FH202" s="35" t="s">
        <v>413</v>
      </c>
      <c r="FI202" s="35" t="s">
        <v>583</v>
      </c>
      <c r="FJ202" s="35" t="s">
        <v>583</v>
      </c>
      <c r="FK202" s="35" t="s">
        <v>484</v>
      </c>
      <c r="FL202" s="35" t="s">
        <v>484</v>
      </c>
      <c r="FM202" s="35" t="s">
        <v>484</v>
      </c>
      <c r="FN202" s="35" t="s">
        <v>413</v>
      </c>
      <c r="FO202" s="35" t="s">
        <v>583</v>
      </c>
      <c r="FP202" s="35" t="s">
        <v>3396</v>
      </c>
      <c r="FQ202" s="35" t="s">
        <v>418</v>
      </c>
      <c r="FR202" s="35" t="s">
        <v>712</v>
      </c>
      <c r="FT202" s="35" t="s">
        <v>420</v>
      </c>
      <c r="FU202" s="35" t="s">
        <v>488</v>
      </c>
      <c r="FV202" s="35" t="s">
        <v>489</v>
      </c>
      <c r="FW202" s="35" t="s">
        <v>490</v>
      </c>
      <c r="FX202" s="35" t="s">
        <v>491</v>
      </c>
      <c r="FZ202" s="35" t="s">
        <v>493</v>
      </c>
      <c r="GC202" s="35" t="s">
        <v>455</v>
      </c>
      <c r="GD202" s="35" t="s">
        <v>11440</v>
      </c>
      <c r="GF202" s="35" t="s">
        <v>753</v>
      </c>
      <c r="GH202" s="35" t="s">
        <v>788</v>
      </c>
      <c r="GI202" s="35" t="s">
        <v>788</v>
      </c>
      <c r="GJ202" s="35" t="s">
        <v>946</v>
      </c>
      <c r="GQ202" s="35" t="s">
        <v>387</v>
      </c>
      <c r="GR202" s="35" t="s">
        <v>5656</v>
      </c>
      <c r="GU202" s="35" t="s">
        <v>4774</v>
      </c>
      <c r="GW202" s="35" t="s">
        <v>5231</v>
      </c>
      <c r="GX202" s="35" t="s">
        <v>5232</v>
      </c>
      <c r="HD202" s="35" t="s">
        <v>5297</v>
      </c>
      <c r="HE202" s="35" t="s">
        <v>5349</v>
      </c>
      <c r="HF202" s="35" t="s">
        <v>5320</v>
      </c>
      <c r="HG202" s="35" t="s">
        <v>5300</v>
      </c>
      <c r="HP202" s="35" t="s">
        <v>5236</v>
      </c>
      <c r="HQ202" s="35" t="s">
        <v>5264</v>
      </c>
      <c r="HR202" s="35" t="s">
        <v>5238</v>
      </c>
      <c r="HS202" s="35" t="s">
        <v>5321</v>
      </c>
      <c r="MK202" s="35" t="s">
        <v>6321</v>
      </c>
    </row>
    <row r="203">
      <c r="A203" s="35" t="s">
        <v>11441</v>
      </c>
      <c r="B203" s="40">
        <v>45918.237352870376</v>
      </c>
      <c r="C203" s="35" t="s">
        <v>368</v>
      </c>
      <c r="D203" s="35" t="s">
        <v>894</v>
      </c>
      <c r="E203" s="35" t="s">
        <v>894</v>
      </c>
      <c r="H203" s="35" t="s">
        <v>3187</v>
      </c>
      <c r="I203" s="35" t="s">
        <v>496</v>
      </c>
      <c r="J203" s="35" t="s">
        <v>2578</v>
      </c>
      <c r="K203" s="35" t="s">
        <v>1240</v>
      </c>
      <c r="L203" s="35" t="s">
        <v>376</v>
      </c>
      <c r="M203" s="35" t="s">
        <v>426</v>
      </c>
      <c r="N203" s="35" t="s">
        <v>2998</v>
      </c>
      <c r="O203" s="35" t="s">
        <v>379</v>
      </c>
      <c r="P203" s="35" t="s">
        <v>6446</v>
      </c>
      <c r="Q203" s="35" t="s">
        <v>381</v>
      </c>
      <c r="R203" s="35" t="s">
        <v>862</v>
      </c>
      <c r="S203" s="35" t="s">
        <v>427</v>
      </c>
      <c r="T203" s="35" t="s">
        <v>384</v>
      </c>
      <c r="U203" s="35" t="s">
        <v>385</v>
      </c>
      <c r="V203" s="35" t="s">
        <v>1823</v>
      </c>
      <c r="W203" s="35" t="s">
        <v>1241</v>
      </c>
      <c r="X203" s="35" t="s">
        <v>386</v>
      </c>
      <c r="Y203" s="35" t="s">
        <v>387</v>
      </c>
      <c r="Z203" s="35" t="s">
        <v>388</v>
      </c>
      <c r="AA203" s="35" t="s">
        <v>543</v>
      </c>
      <c r="AB203" s="35" t="s">
        <v>408</v>
      </c>
      <c r="AC203" s="35" t="s">
        <v>408</v>
      </c>
      <c r="AW203" s="35" t="s">
        <v>1242</v>
      </c>
      <c r="AX203" s="35" t="s">
        <v>675</v>
      </c>
      <c r="AY203" s="35" t="s">
        <v>675</v>
      </c>
      <c r="AZ203" s="41">
        <v>4.0</v>
      </c>
      <c r="BA203" s="35" t="s">
        <v>391</v>
      </c>
      <c r="BB203" s="35" t="s">
        <v>391</v>
      </c>
      <c r="BC203" s="35" t="s">
        <v>675</v>
      </c>
      <c r="BD203" s="35" t="s">
        <v>6447</v>
      </c>
      <c r="BE203" s="35" t="s">
        <v>6448</v>
      </c>
      <c r="BF203" s="35" t="s">
        <v>432</v>
      </c>
      <c r="BG203" s="35" t="s">
        <v>1095</v>
      </c>
      <c r="BH203" s="35" t="s">
        <v>434</v>
      </c>
      <c r="BI203" s="35" t="s">
        <v>6449</v>
      </c>
      <c r="BJ203" s="35" t="s">
        <v>435</v>
      </c>
      <c r="BK203" s="35" t="s">
        <v>6450</v>
      </c>
      <c r="BL203" s="35" t="s">
        <v>395</v>
      </c>
      <c r="BM203" s="35" t="s">
        <v>904</v>
      </c>
      <c r="BN203" s="35" t="s">
        <v>1314</v>
      </c>
      <c r="BO203" s="35" t="s">
        <v>513</v>
      </c>
      <c r="CM203" s="35" t="s">
        <v>682</v>
      </c>
      <c r="CN203" s="35" t="s">
        <v>604</v>
      </c>
      <c r="CO203" s="35" t="s">
        <v>6451</v>
      </c>
      <c r="CP203" s="35" t="s">
        <v>6452</v>
      </c>
      <c r="CU203" s="35" t="s">
        <v>6453</v>
      </c>
      <c r="CV203" s="35" t="s">
        <v>1961</v>
      </c>
      <c r="CW203" s="35" t="s">
        <v>959</v>
      </c>
      <c r="CX203" s="35" t="s">
        <v>6454</v>
      </c>
      <c r="CY203" s="35" t="s">
        <v>455</v>
      </c>
      <c r="CZ203" s="35" t="s">
        <v>6455</v>
      </c>
      <c r="DA203" s="35" t="s">
        <v>1962</v>
      </c>
      <c r="DB203" s="35" t="s">
        <v>6456</v>
      </c>
      <c r="DC203" s="35" t="s">
        <v>455</v>
      </c>
      <c r="DD203" s="35" t="s">
        <v>6457</v>
      </c>
      <c r="DH203" s="35" t="s">
        <v>990</v>
      </c>
      <c r="DI203" s="35" t="s">
        <v>1220</v>
      </c>
      <c r="DJ203" s="35" t="s">
        <v>777</v>
      </c>
      <c r="DK203" s="35" t="s">
        <v>460</v>
      </c>
      <c r="DL203" s="35" t="s">
        <v>6319</v>
      </c>
      <c r="EU203" s="35" t="s">
        <v>2747</v>
      </c>
      <c r="EV203" s="35" t="s">
        <v>887</v>
      </c>
      <c r="EW203" s="35" t="s">
        <v>1262</v>
      </c>
      <c r="EX203" s="35" t="s">
        <v>6458</v>
      </c>
      <c r="EY203" s="35" t="s">
        <v>6459</v>
      </c>
      <c r="EZ203" s="35" t="s">
        <v>6460</v>
      </c>
      <c r="FA203" s="35" t="s">
        <v>414</v>
      </c>
      <c r="FB203" s="35" t="s">
        <v>583</v>
      </c>
      <c r="FC203" s="35" t="s">
        <v>414</v>
      </c>
      <c r="FD203" s="35" t="s">
        <v>583</v>
      </c>
      <c r="FE203" s="35" t="s">
        <v>415</v>
      </c>
      <c r="FF203" s="35" t="s">
        <v>414</v>
      </c>
      <c r="FG203" s="35" t="s">
        <v>583</v>
      </c>
      <c r="FH203" s="35" t="s">
        <v>414</v>
      </c>
      <c r="FI203" s="35" t="s">
        <v>416</v>
      </c>
      <c r="FJ203" s="35" t="s">
        <v>583</v>
      </c>
      <c r="FK203" s="35" t="s">
        <v>583</v>
      </c>
      <c r="FL203" s="35" t="s">
        <v>414</v>
      </c>
      <c r="FM203" s="35" t="s">
        <v>583</v>
      </c>
      <c r="FN203" s="35" t="s">
        <v>416</v>
      </c>
      <c r="FO203" s="35" t="s">
        <v>415</v>
      </c>
      <c r="FP203" s="35" t="s">
        <v>1537</v>
      </c>
      <c r="FQ203" s="35" t="s">
        <v>3218</v>
      </c>
      <c r="FR203" s="35" t="s">
        <v>630</v>
      </c>
      <c r="FS203" s="35" t="s">
        <v>6461</v>
      </c>
      <c r="FT203" s="35" t="s">
        <v>1871</v>
      </c>
      <c r="FU203" s="35" t="s">
        <v>2750</v>
      </c>
      <c r="FV203" s="35" t="s">
        <v>533</v>
      </c>
      <c r="FW203" s="35" t="s">
        <v>490</v>
      </c>
      <c r="FX203" s="35" t="s">
        <v>491</v>
      </c>
      <c r="FY203" s="35" t="s">
        <v>6462</v>
      </c>
      <c r="FZ203" s="35" t="s">
        <v>1020</v>
      </c>
      <c r="GC203" s="35" t="s">
        <v>408</v>
      </c>
      <c r="GH203" s="35" t="s">
        <v>1000</v>
      </c>
      <c r="GI203" s="35" t="s">
        <v>1000</v>
      </c>
      <c r="GJ203" s="35" t="s">
        <v>817</v>
      </c>
      <c r="GR203" s="35" t="s">
        <v>3208</v>
      </c>
      <c r="GU203" s="35" t="s">
        <v>4774</v>
      </c>
      <c r="GV203" s="35" t="s">
        <v>6463</v>
      </c>
      <c r="GW203" s="35" t="s">
        <v>5231</v>
      </c>
      <c r="GX203" s="35" t="s">
        <v>5232</v>
      </c>
      <c r="HP203" s="35" t="s">
        <v>5236</v>
      </c>
      <c r="HQ203" s="35" t="s">
        <v>5264</v>
      </c>
      <c r="HR203" s="35" t="s">
        <v>5238</v>
      </c>
      <c r="HS203" s="35" t="s">
        <v>5321</v>
      </c>
      <c r="HT203" s="35" t="s">
        <v>5987</v>
      </c>
      <c r="HV203" s="35" t="s">
        <v>5917</v>
      </c>
      <c r="HW203" s="35" t="s">
        <v>5918</v>
      </c>
      <c r="HY203" s="35" t="s">
        <v>5922</v>
      </c>
      <c r="HZ203" s="35" t="s">
        <v>5921</v>
      </c>
      <c r="IA203" s="35" t="s">
        <v>5920</v>
      </c>
      <c r="IB203" s="35" t="s">
        <v>6464</v>
      </c>
      <c r="IC203" s="35" t="s">
        <v>6464</v>
      </c>
      <c r="ID203" s="35" t="s">
        <v>5922</v>
      </c>
      <c r="IE203" s="35" t="s">
        <v>5500</v>
      </c>
      <c r="IF203" s="35" t="s">
        <v>5500</v>
      </c>
      <c r="IG203" s="35" t="s">
        <v>5500</v>
      </c>
      <c r="IH203" s="35" t="s">
        <v>5536</v>
      </c>
      <c r="II203" s="35" t="s">
        <v>5536</v>
      </c>
      <c r="IJ203" s="35" t="s">
        <v>5500</v>
      </c>
      <c r="IK203" s="35" t="s">
        <v>6465</v>
      </c>
      <c r="IL203" s="35" t="s">
        <v>5924</v>
      </c>
      <c r="IM203" s="35" t="s">
        <v>6466</v>
      </c>
      <c r="IN203" s="35" t="s">
        <v>6467</v>
      </c>
      <c r="MK203" s="35" t="s">
        <v>6321</v>
      </c>
    </row>
    <row r="204">
      <c r="A204" s="35" t="s">
        <v>11442</v>
      </c>
      <c r="B204" s="40">
        <v>45920.97316596065</v>
      </c>
      <c r="C204" s="35" t="s">
        <v>368</v>
      </c>
      <c r="D204" s="35" t="s">
        <v>1201</v>
      </c>
      <c r="E204" s="35" t="s">
        <v>1201</v>
      </c>
      <c r="H204" s="35" t="s">
        <v>422</v>
      </c>
      <c r="I204" s="35" t="s">
        <v>373</v>
      </c>
      <c r="J204" s="35" t="s">
        <v>374</v>
      </c>
      <c r="K204" s="35" t="s">
        <v>669</v>
      </c>
      <c r="L204" s="35" t="s">
        <v>376</v>
      </c>
      <c r="M204" s="35" t="s">
        <v>670</v>
      </c>
      <c r="N204" s="35" t="s">
        <v>720</v>
      </c>
      <c r="O204" s="35" t="s">
        <v>591</v>
      </c>
      <c r="P204" s="35" t="s">
        <v>497</v>
      </c>
      <c r="Q204" s="35" t="s">
        <v>592</v>
      </c>
      <c r="R204" s="35" t="s">
        <v>1156</v>
      </c>
      <c r="S204" s="35" t="s">
        <v>427</v>
      </c>
      <c r="T204" s="35" t="s">
        <v>384</v>
      </c>
      <c r="AW204" s="35" t="s">
        <v>1242</v>
      </c>
      <c r="BH204" s="35" t="s">
        <v>765</v>
      </c>
      <c r="BN204" s="35" t="s">
        <v>1247</v>
      </c>
      <c r="BO204" s="35" t="s">
        <v>513</v>
      </c>
      <c r="CM204" s="35" t="s">
        <v>953</v>
      </c>
      <c r="CN204" s="35" t="s">
        <v>401</v>
      </c>
      <c r="CV204" s="35" t="s">
        <v>519</v>
      </c>
      <c r="CW204" s="35" t="s">
        <v>959</v>
      </c>
      <c r="CY204" s="35" t="s">
        <v>455</v>
      </c>
      <c r="DA204" s="35" t="s">
        <v>985</v>
      </c>
      <c r="DC204" s="35" t="s">
        <v>455</v>
      </c>
      <c r="DH204" s="35" t="s">
        <v>990</v>
      </c>
      <c r="DI204" s="35" t="s">
        <v>410</v>
      </c>
      <c r="DJ204" s="35" t="s">
        <v>459</v>
      </c>
      <c r="DK204" s="35" t="s">
        <v>460</v>
      </c>
      <c r="DL204" s="35" t="s">
        <v>6335</v>
      </c>
      <c r="EU204" s="35" t="s">
        <v>2747</v>
      </c>
      <c r="EV204" s="35" t="s">
        <v>887</v>
      </c>
      <c r="EW204" s="35" t="s">
        <v>1262</v>
      </c>
      <c r="FU204" s="35" t="s">
        <v>2398</v>
      </c>
      <c r="FV204" s="35" t="s">
        <v>533</v>
      </c>
      <c r="GH204" s="35" t="s">
        <v>755</v>
      </c>
      <c r="GI204" s="35" t="s">
        <v>755</v>
      </c>
      <c r="GJ204" s="35" t="s">
        <v>946</v>
      </c>
      <c r="GO204" s="35" t="s">
        <v>6520</v>
      </c>
      <c r="GP204" s="35" t="s">
        <v>6520</v>
      </c>
      <c r="GU204" s="35" t="s">
        <v>4774</v>
      </c>
      <c r="GW204" s="35" t="s">
        <v>5231</v>
      </c>
      <c r="GX204" s="35" t="s">
        <v>5232</v>
      </c>
      <c r="HT204" s="35" t="s">
        <v>5987</v>
      </c>
      <c r="HV204" s="35" t="s">
        <v>5917</v>
      </c>
      <c r="HW204" s="35" t="s">
        <v>6521</v>
      </c>
      <c r="HY204" s="35" t="s">
        <v>5921</v>
      </c>
      <c r="HZ204" s="35" t="s">
        <v>5921</v>
      </c>
      <c r="IA204" s="35" t="s">
        <v>5921</v>
      </c>
      <c r="IB204" s="35" t="s">
        <v>6464</v>
      </c>
      <c r="IC204" s="35" t="s">
        <v>6464</v>
      </c>
      <c r="ID204" s="35" t="s">
        <v>5921</v>
      </c>
      <c r="IE204" s="35" t="s">
        <v>5500</v>
      </c>
      <c r="IF204" s="35" t="s">
        <v>6522</v>
      </c>
      <c r="IG204" s="35" t="s">
        <v>6522</v>
      </c>
      <c r="IH204" s="35" t="s">
        <v>6522</v>
      </c>
      <c r="II204" s="35" t="s">
        <v>6522</v>
      </c>
      <c r="IJ204" s="35" t="s">
        <v>5500</v>
      </c>
      <c r="IL204" s="35" t="s">
        <v>6523</v>
      </c>
      <c r="MK204" s="35" t="s">
        <v>6321</v>
      </c>
    </row>
    <row r="205">
      <c r="A205" s="35" t="s">
        <v>11443</v>
      </c>
      <c r="B205" s="40">
        <v>45921.55637546296</v>
      </c>
      <c r="C205" s="35" t="s">
        <v>368</v>
      </c>
      <c r="D205" s="35" t="s">
        <v>538</v>
      </c>
      <c r="E205" s="35" t="s">
        <v>538</v>
      </c>
      <c r="H205" s="35" t="s">
        <v>422</v>
      </c>
      <c r="I205" s="35" t="s">
        <v>496</v>
      </c>
      <c r="J205" s="35" t="s">
        <v>374</v>
      </c>
      <c r="K205" s="35" t="s">
        <v>375</v>
      </c>
      <c r="L205" s="35" t="s">
        <v>376</v>
      </c>
      <c r="M205" s="35" t="s">
        <v>379</v>
      </c>
      <c r="N205" s="35" t="s">
        <v>380</v>
      </c>
      <c r="O205" s="35" t="s">
        <v>379</v>
      </c>
      <c r="P205" s="35" t="s">
        <v>380</v>
      </c>
      <c r="Q205" s="35" t="s">
        <v>381</v>
      </c>
      <c r="R205" s="35" t="s">
        <v>382</v>
      </c>
      <c r="S205" s="35" t="s">
        <v>500</v>
      </c>
      <c r="T205" s="35" t="s">
        <v>384</v>
      </c>
      <c r="U205" s="35" t="s">
        <v>385</v>
      </c>
      <c r="X205" s="35" t="s">
        <v>3014</v>
      </c>
      <c r="AW205" s="35" t="s">
        <v>1242</v>
      </c>
      <c r="AX205" s="41">
        <v>4.0</v>
      </c>
      <c r="AY205" s="41">
        <v>4.0</v>
      </c>
      <c r="AZ205" s="35" t="s">
        <v>391</v>
      </c>
      <c r="BA205" s="35" t="s">
        <v>429</v>
      </c>
      <c r="BB205" s="35" t="s">
        <v>429</v>
      </c>
      <c r="BC205" s="35" t="s">
        <v>391</v>
      </c>
      <c r="BD205" s="35" t="s">
        <v>6524</v>
      </c>
      <c r="BE205" s="35" t="s">
        <v>6525</v>
      </c>
      <c r="BF205" s="35" t="s">
        <v>432</v>
      </c>
      <c r="BG205" s="35" t="s">
        <v>393</v>
      </c>
      <c r="BH205" s="35" t="s">
        <v>678</v>
      </c>
      <c r="BJ205" s="35" t="s">
        <v>727</v>
      </c>
      <c r="BL205" s="35" t="s">
        <v>602</v>
      </c>
      <c r="BM205" s="35" t="s">
        <v>904</v>
      </c>
      <c r="BN205" s="35" t="s">
        <v>1314</v>
      </c>
      <c r="BO205" s="35" t="s">
        <v>513</v>
      </c>
      <c r="CM205" s="35" t="s">
        <v>682</v>
      </c>
      <c r="CN205" s="35" t="s">
        <v>442</v>
      </c>
      <c r="CO205" s="35" t="s">
        <v>6526</v>
      </c>
      <c r="CP205" s="35" t="s">
        <v>2675</v>
      </c>
      <c r="CU205" s="35" t="s">
        <v>6527</v>
      </c>
      <c r="CV205" s="35" t="s">
        <v>1961</v>
      </c>
      <c r="CW205" s="35" t="s">
        <v>2248</v>
      </c>
      <c r="CY205" s="35" t="s">
        <v>408</v>
      </c>
      <c r="CZ205" s="35" t="s">
        <v>6528</v>
      </c>
      <c r="DA205" s="35" t="s">
        <v>1962</v>
      </c>
      <c r="DC205" s="35" t="s">
        <v>408</v>
      </c>
      <c r="DH205" s="35" t="s">
        <v>990</v>
      </c>
      <c r="DI205" s="35" t="s">
        <v>410</v>
      </c>
      <c r="DJ205" s="35" t="s">
        <v>963</v>
      </c>
      <c r="DK205" s="35" t="s">
        <v>613</v>
      </c>
      <c r="EU205" s="35" t="s">
        <v>578</v>
      </c>
      <c r="EV205" s="35" t="s">
        <v>579</v>
      </c>
      <c r="EW205" s="35" t="s">
        <v>1534</v>
      </c>
      <c r="EY205" s="35" t="s">
        <v>6529</v>
      </c>
      <c r="EZ205" s="35" t="s">
        <v>6530</v>
      </c>
      <c r="FA205" s="35" t="s">
        <v>583</v>
      </c>
      <c r="FC205" s="35" t="s">
        <v>415</v>
      </c>
      <c r="FD205" s="35" t="s">
        <v>583</v>
      </c>
      <c r="FE205" s="35" t="s">
        <v>414</v>
      </c>
      <c r="FF205" s="35" t="s">
        <v>583</v>
      </c>
      <c r="FG205" s="35" t="s">
        <v>583</v>
      </c>
      <c r="FH205" s="35" t="s">
        <v>583</v>
      </c>
      <c r="FI205" s="35" t="s">
        <v>413</v>
      </c>
      <c r="FJ205" s="35" t="s">
        <v>415</v>
      </c>
      <c r="FK205" s="35" t="s">
        <v>583</v>
      </c>
      <c r="FL205" s="35" t="s">
        <v>583</v>
      </c>
      <c r="FM205" s="35" t="s">
        <v>583</v>
      </c>
      <c r="FN205" s="35" t="s">
        <v>414</v>
      </c>
      <c r="FO205" s="35" t="s">
        <v>583</v>
      </c>
      <c r="FP205" s="35" t="s">
        <v>1537</v>
      </c>
      <c r="FQ205" s="35" t="s">
        <v>2524</v>
      </c>
      <c r="FR205" s="35" t="s">
        <v>749</v>
      </c>
      <c r="FS205" s="35" t="s">
        <v>2386</v>
      </c>
      <c r="FT205" s="35" t="s">
        <v>1871</v>
      </c>
      <c r="FU205" s="35" t="s">
        <v>2750</v>
      </c>
      <c r="FV205" s="35" t="s">
        <v>1235</v>
      </c>
      <c r="FW205" s="35" t="s">
        <v>2399</v>
      </c>
      <c r="FX205" s="35" t="s">
        <v>1853</v>
      </c>
      <c r="FY205" s="35" t="s">
        <v>6531</v>
      </c>
      <c r="FZ205" s="35" t="s">
        <v>1854</v>
      </c>
      <c r="GA205" s="35" t="s">
        <v>6532</v>
      </c>
      <c r="GC205" s="35" t="s">
        <v>455</v>
      </c>
      <c r="GD205" s="35" t="s">
        <v>11444</v>
      </c>
      <c r="GF205" s="35" t="s">
        <v>753</v>
      </c>
      <c r="GG205" s="35" t="s">
        <v>6533</v>
      </c>
      <c r="GH205" s="35" t="s">
        <v>755</v>
      </c>
      <c r="GI205" s="35" t="s">
        <v>755</v>
      </c>
      <c r="GJ205" s="35" t="s">
        <v>946</v>
      </c>
      <c r="GO205" s="35" t="s">
        <v>3012</v>
      </c>
      <c r="GP205" s="35" t="s">
        <v>3012</v>
      </c>
      <c r="GR205" s="35" t="s">
        <v>5656</v>
      </c>
      <c r="GU205" s="35" t="s">
        <v>4774</v>
      </c>
      <c r="GW205" s="35" t="s">
        <v>5231</v>
      </c>
      <c r="GX205" s="35" t="s">
        <v>5232</v>
      </c>
      <c r="HP205" s="35" t="s">
        <v>5236</v>
      </c>
      <c r="HQ205" s="35" t="s">
        <v>5237</v>
      </c>
      <c r="HR205" s="35" t="s">
        <v>5721</v>
      </c>
      <c r="HS205" s="35" t="s">
        <v>5239</v>
      </c>
      <c r="HT205" s="35" t="s">
        <v>6534</v>
      </c>
      <c r="HV205" s="35" t="s">
        <v>5988</v>
      </c>
      <c r="HW205" s="35" t="s">
        <v>5918</v>
      </c>
      <c r="HY205" s="35" t="s">
        <v>5922</v>
      </c>
      <c r="HZ205" s="35" t="s">
        <v>5922</v>
      </c>
      <c r="IA205" s="35" t="s">
        <v>5920</v>
      </c>
      <c r="IB205" s="35" t="s">
        <v>5920</v>
      </c>
      <c r="IC205" s="35" t="s">
        <v>5921</v>
      </c>
      <c r="ID205" s="35" t="s">
        <v>5919</v>
      </c>
      <c r="IE205" s="35" t="s">
        <v>5500</v>
      </c>
      <c r="IF205" s="35" t="s">
        <v>5500</v>
      </c>
      <c r="IG205" s="35" t="s">
        <v>5536</v>
      </c>
      <c r="IH205" s="35" t="s">
        <v>5536</v>
      </c>
      <c r="II205" s="35" t="s">
        <v>5537</v>
      </c>
      <c r="IJ205" s="35" t="s">
        <v>5500</v>
      </c>
      <c r="IK205" s="35" t="s">
        <v>6535</v>
      </c>
      <c r="IL205" s="35" t="s">
        <v>5924</v>
      </c>
      <c r="IM205" s="35" t="s">
        <v>6536</v>
      </c>
      <c r="IN205" s="35" t="s">
        <v>6537</v>
      </c>
      <c r="MK205" s="35" t="s">
        <v>6321</v>
      </c>
    </row>
    <row r="206">
      <c r="A206" s="35" t="s">
        <v>11445</v>
      </c>
      <c r="B206" s="40">
        <v>45921.58873783565</v>
      </c>
      <c r="C206" s="35" t="s">
        <v>368</v>
      </c>
      <c r="D206" s="35" t="s">
        <v>370</v>
      </c>
      <c r="F206" s="35" t="s">
        <v>3172</v>
      </c>
      <c r="H206" s="35" t="s">
        <v>422</v>
      </c>
      <c r="I206" s="35" t="s">
        <v>1921</v>
      </c>
      <c r="J206" s="35" t="s">
        <v>668</v>
      </c>
      <c r="K206" s="35" t="s">
        <v>425</v>
      </c>
      <c r="L206" s="35" t="s">
        <v>376</v>
      </c>
      <c r="M206" s="35" t="s">
        <v>426</v>
      </c>
      <c r="N206" s="35" t="s">
        <v>639</v>
      </c>
      <c r="O206" s="35" t="s">
        <v>379</v>
      </c>
      <c r="P206" s="35" t="s">
        <v>6572</v>
      </c>
      <c r="Q206" s="35" t="s">
        <v>592</v>
      </c>
      <c r="R206" s="35" t="s">
        <v>862</v>
      </c>
      <c r="S206" s="35" t="s">
        <v>500</v>
      </c>
      <c r="T206" s="35" t="s">
        <v>384</v>
      </c>
      <c r="U206" s="35" t="s">
        <v>385</v>
      </c>
      <c r="X206" s="35" t="s">
        <v>3014</v>
      </c>
      <c r="AW206" s="35" t="s">
        <v>597</v>
      </c>
      <c r="AX206" s="35" t="s">
        <v>391</v>
      </c>
      <c r="BD206" s="35" t="s">
        <v>6573</v>
      </c>
      <c r="BE206" s="35" t="s">
        <v>6574</v>
      </c>
      <c r="BF206" s="35" t="s">
        <v>432</v>
      </c>
      <c r="BG206" s="35" t="s">
        <v>433</v>
      </c>
      <c r="BH206" s="35" t="s">
        <v>765</v>
      </c>
      <c r="BI206" s="35" t="s">
        <v>6575</v>
      </c>
      <c r="BJ206" s="35" t="s">
        <v>435</v>
      </c>
      <c r="BK206" s="35" t="s">
        <v>6576</v>
      </c>
      <c r="BL206" s="35" t="s">
        <v>437</v>
      </c>
      <c r="BM206" s="35" t="s">
        <v>904</v>
      </c>
      <c r="BN206" s="35" t="s">
        <v>1247</v>
      </c>
      <c r="BO206" s="35" t="s">
        <v>513</v>
      </c>
      <c r="CM206" s="35" t="s">
        <v>441</v>
      </c>
      <c r="CN206" s="35" t="s">
        <v>604</v>
      </c>
      <c r="CO206" s="35" t="s">
        <v>6577</v>
      </c>
      <c r="CP206" s="35" t="s">
        <v>6578</v>
      </c>
      <c r="CQ206" s="35" t="s">
        <v>1008</v>
      </c>
      <c r="CR206" s="35" t="s">
        <v>6579</v>
      </c>
      <c r="CS206" s="35" t="s">
        <v>447</v>
      </c>
      <c r="CT206" s="35" t="s">
        <v>871</v>
      </c>
      <c r="CU206" s="35" t="s">
        <v>6580</v>
      </c>
      <c r="CV206" s="35" t="s">
        <v>519</v>
      </c>
      <c r="CW206" s="35" t="s">
        <v>451</v>
      </c>
      <c r="CX206" s="35" t="s">
        <v>6581</v>
      </c>
      <c r="CY206" s="35" t="s">
        <v>408</v>
      </c>
      <c r="DA206" s="35" t="s">
        <v>1398</v>
      </c>
      <c r="DB206" s="35" t="s">
        <v>6582</v>
      </c>
      <c r="DC206" s="35" t="s">
        <v>408</v>
      </c>
      <c r="DE206" s="35" t="s">
        <v>457</v>
      </c>
      <c r="DG206" s="35" t="s">
        <v>6583</v>
      </c>
      <c r="DH206" s="35" t="s">
        <v>776</v>
      </c>
      <c r="DI206" s="35" t="s">
        <v>833</v>
      </c>
      <c r="DJ206" s="35" t="s">
        <v>777</v>
      </c>
      <c r="DK206" s="35" t="s">
        <v>613</v>
      </c>
      <c r="EU206" s="35" t="s">
        <v>578</v>
      </c>
      <c r="EW206" s="35" t="s">
        <v>1262</v>
      </c>
      <c r="EX206" s="35" t="s">
        <v>6584</v>
      </c>
      <c r="EY206" s="35" t="s">
        <v>6585</v>
      </c>
      <c r="EZ206" s="35" t="s">
        <v>6586</v>
      </c>
      <c r="FA206" s="35" t="s">
        <v>413</v>
      </c>
      <c r="FB206" s="35" t="s">
        <v>413</v>
      </c>
      <c r="FC206" s="35" t="s">
        <v>413</v>
      </c>
      <c r="FD206" s="35" t="s">
        <v>413</v>
      </c>
      <c r="FE206" s="35" t="s">
        <v>413</v>
      </c>
      <c r="FF206" s="35" t="s">
        <v>413</v>
      </c>
      <c r="FG206" s="35" t="s">
        <v>413</v>
      </c>
      <c r="FH206" s="35" t="s">
        <v>413</v>
      </c>
      <c r="FI206" s="35" t="s">
        <v>413</v>
      </c>
      <c r="FJ206" s="35" t="s">
        <v>413</v>
      </c>
      <c r="FK206" s="35" t="s">
        <v>413</v>
      </c>
      <c r="FL206" s="35" t="s">
        <v>583</v>
      </c>
      <c r="FM206" s="35" t="s">
        <v>484</v>
      </c>
      <c r="FN206" s="35" t="s">
        <v>414</v>
      </c>
      <c r="FO206" s="35" t="s">
        <v>415</v>
      </c>
      <c r="FP206" s="35" t="s">
        <v>485</v>
      </c>
      <c r="FQ206" s="35" t="s">
        <v>486</v>
      </c>
      <c r="FR206" s="35" t="s">
        <v>1039</v>
      </c>
      <c r="FS206" s="35" t="s">
        <v>6587</v>
      </c>
      <c r="FT206" s="35" t="s">
        <v>420</v>
      </c>
      <c r="FU206" s="35" t="s">
        <v>488</v>
      </c>
      <c r="FV206" s="35" t="s">
        <v>585</v>
      </c>
      <c r="FW206" s="35" t="s">
        <v>490</v>
      </c>
      <c r="FX206" s="35" t="s">
        <v>491</v>
      </c>
      <c r="FY206" s="35" t="s">
        <v>6588</v>
      </c>
      <c r="FZ206" s="35" t="s">
        <v>535</v>
      </c>
      <c r="GA206" s="35" t="s">
        <v>6589</v>
      </c>
      <c r="GB206" s="35" t="s">
        <v>6590</v>
      </c>
      <c r="GC206" s="35" t="s">
        <v>455</v>
      </c>
      <c r="GD206" s="35" t="s">
        <v>11446</v>
      </c>
      <c r="GF206" s="35" t="s">
        <v>753</v>
      </c>
      <c r="GG206" s="35" t="s">
        <v>6591</v>
      </c>
      <c r="GH206" s="35" t="s">
        <v>755</v>
      </c>
      <c r="GI206" s="35" t="s">
        <v>755</v>
      </c>
      <c r="GJ206" s="35" t="s">
        <v>817</v>
      </c>
      <c r="GR206" s="35" t="s">
        <v>3208</v>
      </c>
      <c r="GU206" s="35" t="s">
        <v>4741</v>
      </c>
      <c r="GV206" s="35" t="s">
        <v>6592</v>
      </c>
      <c r="GW206" s="35" t="s">
        <v>5231</v>
      </c>
      <c r="GX206" s="35" t="s">
        <v>5232</v>
      </c>
      <c r="HD206" s="35" t="s">
        <v>6053</v>
      </c>
      <c r="HE206" s="35" t="s">
        <v>5349</v>
      </c>
      <c r="HF206" s="35" t="s">
        <v>5492</v>
      </c>
      <c r="HG206" s="35" t="s">
        <v>5284</v>
      </c>
      <c r="HP206" s="35" t="s">
        <v>5236</v>
      </c>
      <c r="HQ206" s="35" t="s">
        <v>5237</v>
      </c>
      <c r="HR206" s="35" t="s">
        <v>5238</v>
      </c>
      <c r="HS206" s="35" t="s">
        <v>5321</v>
      </c>
      <c r="HX206" s="35" t="s">
        <v>5501</v>
      </c>
      <c r="MK206" s="35" t="s">
        <v>6321</v>
      </c>
    </row>
    <row r="207">
      <c r="A207" s="35" t="s">
        <v>11447</v>
      </c>
      <c r="B207" s="40">
        <v>45922.126089375</v>
      </c>
      <c r="C207" s="35" t="s">
        <v>368</v>
      </c>
      <c r="D207" s="35" t="s">
        <v>370</v>
      </c>
      <c r="E207" s="35" t="s">
        <v>370</v>
      </c>
      <c r="F207" s="35" t="s">
        <v>3955</v>
      </c>
      <c r="G207" s="35" t="s">
        <v>667</v>
      </c>
      <c r="H207" s="35" t="s">
        <v>422</v>
      </c>
      <c r="I207" s="35" t="s">
        <v>637</v>
      </c>
      <c r="J207" s="35" t="s">
        <v>638</v>
      </c>
      <c r="K207" s="35" t="s">
        <v>375</v>
      </c>
      <c r="L207" s="35" t="s">
        <v>376</v>
      </c>
      <c r="M207" s="35" t="s">
        <v>793</v>
      </c>
      <c r="N207" s="35" t="s">
        <v>639</v>
      </c>
      <c r="O207" s="35" t="s">
        <v>591</v>
      </c>
      <c r="P207" s="35" t="s">
        <v>719</v>
      </c>
      <c r="Q207" s="35" t="s">
        <v>592</v>
      </c>
      <c r="R207" s="35" t="s">
        <v>862</v>
      </c>
      <c r="S207" s="35" t="s">
        <v>500</v>
      </c>
      <c r="T207" s="35" t="s">
        <v>384</v>
      </c>
      <c r="U207" s="35" t="s">
        <v>385</v>
      </c>
      <c r="X207" s="35" t="s">
        <v>386</v>
      </c>
      <c r="Y207" s="35" t="s">
        <v>387</v>
      </c>
      <c r="Z207" s="35" t="s">
        <v>1966</v>
      </c>
      <c r="AA207" s="35" t="s">
        <v>543</v>
      </c>
      <c r="AW207" s="35" t="s">
        <v>1310</v>
      </c>
      <c r="AX207" s="35" t="s">
        <v>675</v>
      </c>
      <c r="AY207" s="35" t="s">
        <v>675</v>
      </c>
      <c r="AZ207" s="35" t="s">
        <v>675</v>
      </c>
      <c r="BA207" s="41">
        <v>4.0</v>
      </c>
      <c r="BB207" s="35" t="s">
        <v>675</v>
      </c>
      <c r="BC207" s="35" t="s">
        <v>675</v>
      </c>
      <c r="BF207" s="35" t="s">
        <v>432</v>
      </c>
      <c r="BG207" s="35" t="s">
        <v>1245</v>
      </c>
      <c r="BH207" s="35" t="s">
        <v>765</v>
      </c>
      <c r="BJ207" s="35" t="s">
        <v>976</v>
      </c>
      <c r="BM207" s="35" t="s">
        <v>904</v>
      </c>
      <c r="BN207" s="35" t="s">
        <v>1247</v>
      </c>
      <c r="BO207" s="35" t="s">
        <v>513</v>
      </c>
      <c r="CM207" s="35" t="s">
        <v>682</v>
      </c>
      <c r="CN207" s="35" t="s">
        <v>401</v>
      </c>
      <c r="CO207" s="35" t="s">
        <v>6593</v>
      </c>
      <c r="CV207" s="35" t="s">
        <v>1852</v>
      </c>
      <c r="CW207" s="35" t="s">
        <v>959</v>
      </c>
      <c r="CY207" s="35" t="s">
        <v>455</v>
      </c>
      <c r="CZ207" s="35" t="s">
        <v>6594</v>
      </c>
      <c r="DA207" s="35" t="s">
        <v>1962</v>
      </c>
      <c r="DC207" s="35" t="s">
        <v>408</v>
      </c>
      <c r="DH207" s="35" t="s">
        <v>693</v>
      </c>
      <c r="DI207" s="35" t="s">
        <v>1220</v>
      </c>
      <c r="DJ207" s="35" t="s">
        <v>459</v>
      </c>
      <c r="DK207" s="35" t="s">
        <v>460</v>
      </c>
      <c r="DL207" s="35" t="s">
        <v>6319</v>
      </c>
      <c r="EU207" s="35" t="s">
        <v>478</v>
      </c>
      <c r="EV207" s="35" t="s">
        <v>479</v>
      </c>
      <c r="EW207" s="35" t="s">
        <v>527</v>
      </c>
      <c r="FA207" s="35" t="s">
        <v>414</v>
      </c>
      <c r="FB207" s="35" t="s">
        <v>583</v>
      </c>
      <c r="FC207" s="35" t="s">
        <v>413</v>
      </c>
      <c r="FD207" s="35" t="s">
        <v>583</v>
      </c>
      <c r="FE207" s="35" t="s">
        <v>416</v>
      </c>
      <c r="FF207" s="35" t="s">
        <v>583</v>
      </c>
      <c r="FG207" s="35" t="s">
        <v>583</v>
      </c>
      <c r="FH207" s="35" t="s">
        <v>484</v>
      </c>
      <c r="FI207" s="35" t="s">
        <v>484</v>
      </c>
      <c r="FJ207" s="35" t="s">
        <v>414</v>
      </c>
      <c r="FK207" s="35" t="s">
        <v>583</v>
      </c>
      <c r="FL207" s="35" t="s">
        <v>414</v>
      </c>
      <c r="FM207" s="35" t="s">
        <v>414</v>
      </c>
      <c r="FN207" s="35" t="s">
        <v>416</v>
      </c>
      <c r="FO207" s="35" t="s">
        <v>414</v>
      </c>
      <c r="FP207" s="35" t="s">
        <v>1074</v>
      </c>
      <c r="FQ207" s="35" t="s">
        <v>486</v>
      </c>
      <c r="FR207" s="35" t="s">
        <v>712</v>
      </c>
      <c r="FT207" s="35" t="s">
        <v>1871</v>
      </c>
      <c r="FU207" s="35" t="s">
        <v>421</v>
      </c>
      <c r="FV207" s="35" t="s">
        <v>533</v>
      </c>
      <c r="FW207" s="35" t="s">
        <v>2399</v>
      </c>
      <c r="FX207" s="35" t="s">
        <v>1853</v>
      </c>
      <c r="FZ207" s="35" t="s">
        <v>1854</v>
      </c>
      <c r="GC207" s="35" t="s">
        <v>408</v>
      </c>
      <c r="GH207" s="35" t="s">
        <v>1000</v>
      </c>
      <c r="GI207" s="35" t="s">
        <v>1000</v>
      </c>
      <c r="GJ207" s="35" t="s">
        <v>756</v>
      </c>
      <c r="GR207" s="35" t="s">
        <v>3208</v>
      </c>
      <c r="GU207" s="35" t="s">
        <v>4774</v>
      </c>
      <c r="GW207" s="35" t="s">
        <v>5231</v>
      </c>
      <c r="GX207" s="35" t="s">
        <v>484</v>
      </c>
      <c r="HP207" s="35" t="s">
        <v>5236</v>
      </c>
      <c r="HQ207" s="35" t="s">
        <v>5264</v>
      </c>
      <c r="HR207" s="35" t="s">
        <v>5801</v>
      </c>
      <c r="HS207" s="35" t="s">
        <v>5239</v>
      </c>
      <c r="HT207" s="35" t="s">
        <v>5916</v>
      </c>
      <c r="HV207" s="35" t="s">
        <v>5988</v>
      </c>
      <c r="HW207" s="35" t="s">
        <v>5918</v>
      </c>
      <c r="HY207" s="35" t="s">
        <v>5920</v>
      </c>
      <c r="HZ207" s="35" t="s">
        <v>5919</v>
      </c>
      <c r="IA207" s="35" t="s">
        <v>6464</v>
      </c>
      <c r="IB207" s="35" t="s">
        <v>6464</v>
      </c>
      <c r="IC207" s="35" t="s">
        <v>6464</v>
      </c>
      <c r="ID207" s="35" t="s">
        <v>5919</v>
      </c>
      <c r="IE207" s="35" t="s">
        <v>5500</v>
      </c>
      <c r="IF207" s="35" t="s">
        <v>5536</v>
      </c>
      <c r="IG207" s="35" t="s">
        <v>5536</v>
      </c>
      <c r="IH207" s="35" t="s">
        <v>5537</v>
      </c>
      <c r="II207" s="35" t="s">
        <v>5537</v>
      </c>
      <c r="IJ207" s="35" t="s">
        <v>5500</v>
      </c>
      <c r="IL207" s="35" t="s">
        <v>6523</v>
      </c>
      <c r="MK207" s="35" t="s">
        <v>6321</v>
      </c>
    </row>
    <row r="208">
      <c r="A208" s="35" t="s">
        <v>11448</v>
      </c>
      <c r="B208" s="40">
        <v>45922.53526744213</v>
      </c>
      <c r="C208" s="35" t="s">
        <v>368</v>
      </c>
      <c r="D208" s="35" t="s">
        <v>370</v>
      </c>
      <c r="E208" s="35" t="s">
        <v>370</v>
      </c>
      <c r="F208" s="35" t="s">
        <v>757</v>
      </c>
      <c r="G208" s="35" t="s">
        <v>757</v>
      </c>
      <c r="H208" s="35" t="s">
        <v>422</v>
      </c>
      <c r="I208" s="35" t="s">
        <v>1921</v>
      </c>
      <c r="J208" s="35" t="s">
        <v>668</v>
      </c>
      <c r="K208" s="35" t="s">
        <v>375</v>
      </c>
      <c r="L208" s="35" t="s">
        <v>376</v>
      </c>
      <c r="M208" s="35" t="s">
        <v>379</v>
      </c>
      <c r="N208" s="35" t="s">
        <v>860</v>
      </c>
      <c r="O208" s="35" t="s">
        <v>379</v>
      </c>
      <c r="P208" s="35" t="s">
        <v>671</v>
      </c>
      <c r="Q208" s="35" t="s">
        <v>1760</v>
      </c>
      <c r="R208" s="35" t="s">
        <v>499</v>
      </c>
      <c r="S208" s="35" t="s">
        <v>427</v>
      </c>
      <c r="T208" s="35" t="s">
        <v>384</v>
      </c>
      <c r="U208" s="35" t="s">
        <v>385</v>
      </c>
      <c r="X208" s="35" t="s">
        <v>3014</v>
      </c>
      <c r="AW208" s="35" t="s">
        <v>1310</v>
      </c>
      <c r="AX208" s="35" t="s">
        <v>391</v>
      </c>
      <c r="AY208" s="35" t="s">
        <v>391</v>
      </c>
      <c r="AZ208" s="35" t="s">
        <v>391</v>
      </c>
      <c r="BA208" s="41">
        <v>2.0</v>
      </c>
      <c r="BB208" s="35" t="s">
        <v>429</v>
      </c>
      <c r="BC208" s="41">
        <v>2.0</v>
      </c>
      <c r="BD208" s="35" t="s">
        <v>6595</v>
      </c>
      <c r="BE208" s="35" t="s">
        <v>6596</v>
      </c>
      <c r="BF208" s="35" t="s">
        <v>392</v>
      </c>
      <c r="BG208" s="35" t="s">
        <v>393</v>
      </c>
      <c r="BH208" s="35" t="s">
        <v>678</v>
      </c>
      <c r="BI208" s="35" t="s">
        <v>2675</v>
      </c>
      <c r="BJ208" s="35" t="s">
        <v>435</v>
      </c>
      <c r="BK208" s="35" t="s">
        <v>6597</v>
      </c>
      <c r="BL208" s="35" t="s">
        <v>511</v>
      </c>
      <c r="BM208" s="35" t="s">
        <v>512</v>
      </c>
      <c r="BN208" s="35" t="s">
        <v>549</v>
      </c>
      <c r="BO208" s="35" t="s">
        <v>513</v>
      </c>
      <c r="CM208" s="35" t="s">
        <v>441</v>
      </c>
      <c r="CN208" s="35" t="s">
        <v>442</v>
      </c>
      <c r="CO208" s="35" t="s">
        <v>1313</v>
      </c>
      <c r="CP208" s="35" t="s">
        <v>6598</v>
      </c>
      <c r="CQ208" s="35" t="s">
        <v>685</v>
      </c>
      <c r="CR208" s="35" t="s">
        <v>956</v>
      </c>
      <c r="CS208" s="35" t="s">
        <v>555</v>
      </c>
      <c r="CT208" s="35" t="s">
        <v>1346</v>
      </c>
      <c r="CU208" s="35" t="s">
        <v>6599</v>
      </c>
      <c r="CV208" s="35" t="s">
        <v>450</v>
      </c>
      <c r="CW208" s="35" t="s">
        <v>451</v>
      </c>
      <c r="CX208" s="35" t="s">
        <v>6600</v>
      </c>
      <c r="CY208" s="35" t="s">
        <v>408</v>
      </c>
      <c r="DA208" s="35" t="s">
        <v>985</v>
      </c>
      <c r="DB208" s="35" t="s">
        <v>6601</v>
      </c>
      <c r="DC208" s="35" t="s">
        <v>408</v>
      </c>
      <c r="DE208" s="35" t="s">
        <v>988</v>
      </c>
      <c r="DF208" s="35" t="s">
        <v>1867</v>
      </c>
      <c r="DG208" s="35" t="s">
        <v>6602</v>
      </c>
      <c r="DH208" s="35" t="s">
        <v>776</v>
      </c>
      <c r="DI208" s="35" t="s">
        <v>1964</v>
      </c>
      <c r="DJ208" s="35" t="s">
        <v>963</v>
      </c>
      <c r="DK208" s="35" t="s">
        <v>1148</v>
      </c>
      <c r="DL208" s="35" t="s">
        <v>6603</v>
      </c>
      <c r="DM208" s="35" t="s">
        <v>6604</v>
      </c>
      <c r="EU208" s="35" t="s">
        <v>526</v>
      </c>
      <c r="EV208" s="35" t="s">
        <v>479</v>
      </c>
      <c r="EW208" s="35" t="s">
        <v>480</v>
      </c>
      <c r="EY208" s="35" t="s">
        <v>6605</v>
      </c>
      <c r="EZ208" s="35" t="s">
        <v>6606</v>
      </c>
      <c r="FA208" s="35" t="s">
        <v>415</v>
      </c>
      <c r="FB208" s="35" t="s">
        <v>415</v>
      </c>
      <c r="FC208" s="35" t="s">
        <v>413</v>
      </c>
      <c r="FD208" s="35" t="s">
        <v>413</v>
      </c>
      <c r="FE208" s="35" t="s">
        <v>413</v>
      </c>
      <c r="FF208" s="35" t="s">
        <v>415</v>
      </c>
      <c r="FG208" s="35" t="s">
        <v>413</v>
      </c>
      <c r="FH208" s="35" t="s">
        <v>413</v>
      </c>
      <c r="FI208" s="35" t="s">
        <v>416</v>
      </c>
      <c r="FJ208" s="35" t="s">
        <v>414</v>
      </c>
      <c r="FK208" s="35" t="s">
        <v>414</v>
      </c>
      <c r="FL208" s="35" t="s">
        <v>414</v>
      </c>
      <c r="FM208" s="35" t="s">
        <v>415</v>
      </c>
      <c r="FN208" s="35" t="s">
        <v>415</v>
      </c>
      <c r="FO208" s="35" t="s">
        <v>414</v>
      </c>
      <c r="FP208" s="35" t="s">
        <v>485</v>
      </c>
      <c r="FQ208" s="35" t="s">
        <v>418</v>
      </c>
      <c r="FR208" s="35" t="s">
        <v>419</v>
      </c>
      <c r="FT208" s="35" t="s">
        <v>1189</v>
      </c>
      <c r="FU208" s="35" t="s">
        <v>488</v>
      </c>
      <c r="FV208" s="35" t="s">
        <v>585</v>
      </c>
      <c r="FW208" s="35" t="s">
        <v>490</v>
      </c>
      <c r="FX208" s="35" t="s">
        <v>491</v>
      </c>
      <c r="FY208" s="35" t="s">
        <v>6607</v>
      </c>
      <c r="FZ208" s="35" t="s">
        <v>493</v>
      </c>
      <c r="GC208" s="35" t="s">
        <v>408</v>
      </c>
      <c r="GH208" s="35" t="s">
        <v>920</v>
      </c>
      <c r="GI208" s="35" t="s">
        <v>920</v>
      </c>
      <c r="GJ208" s="35" t="s">
        <v>756</v>
      </c>
      <c r="GR208" s="35" t="s">
        <v>3273</v>
      </c>
      <c r="GU208" s="35" t="s">
        <v>4774</v>
      </c>
      <c r="GW208" s="35" t="s">
        <v>5381</v>
      </c>
      <c r="GX208" s="35" t="s">
        <v>5232</v>
      </c>
      <c r="HD208" s="35" t="s">
        <v>5281</v>
      </c>
      <c r="HE208" s="35" t="s">
        <v>5349</v>
      </c>
      <c r="HF208" s="35" t="s">
        <v>5320</v>
      </c>
      <c r="HG208" s="35" t="s">
        <v>5284</v>
      </c>
      <c r="HQ208" s="35" t="s">
        <v>5264</v>
      </c>
      <c r="HR208" s="35" t="s">
        <v>5238</v>
      </c>
      <c r="HS208" s="35" t="s">
        <v>5321</v>
      </c>
      <c r="HX208" s="35" t="s">
        <v>5628</v>
      </c>
      <c r="MK208" s="35" t="s">
        <v>6321</v>
      </c>
    </row>
    <row r="209">
      <c r="A209" s="35" t="s">
        <v>11449</v>
      </c>
      <c r="B209" s="40">
        <v>45922.616364236106</v>
      </c>
      <c r="C209" s="35" t="s">
        <v>368</v>
      </c>
      <c r="D209" s="35" t="s">
        <v>6645</v>
      </c>
      <c r="E209" s="35" t="s">
        <v>6645</v>
      </c>
      <c r="H209" s="35" t="s">
        <v>1140</v>
      </c>
      <c r="I209" s="35" t="s">
        <v>637</v>
      </c>
      <c r="J209" s="35" t="s">
        <v>638</v>
      </c>
      <c r="K209" s="35" t="s">
        <v>590</v>
      </c>
      <c r="L209" s="35" t="s">
        <v>376</v>
      </c>
      <c r="M209" s="35" t="s">
        <v>426</v>
      </c>
      <c r="N209" s="35" t="s">
        <v>720</v>
      </c>
      <c r="O209" s="35" t="s">
        <v>591</v>
      </c>
      <c r="P209" s="35" t="s">
        <v>639</v>
      </c>
      <c r="Q209" s="35" t="s">
        <v>592</v>
      </c>
      <c r="R209" s="35" t="s">
        <v>1156</v>
      </c>
      <c r="S209" s="35" t="s">
        <v>427</v>
      </c>
      <c r="T209" s="35" t="s">
        <v>384</v>
      </c>
      <c r="U209" s="35" t="s">
        <v>385</v>
      </c>
      <c r="X209" s="35" t="s">
        <v>593</v>
      </c>
      <c r="Y209" s="35" t="s">
        <v>642</v>
      </c>
      <c r="AM209" s="35" t="s">
        <v>6646</v>
      </c>
      <c r="AN209" s="35" t="s">
        <v>644</v>
      </c>
      <c r="AO209" s="35" t="s">
        <v>455</v>
      </c>
      <c r="AP209" s="35" t="s">
        <v>6647</v>
      </c>
      <c r="AQ209" s="35" t="s">
        <v>1144</v>
      </c>
      <c r="AR209" s="41">
        <v>5.0</v>
      </c>
      <c r="AS209" s="35" t="s">
        <v>1145</v>
      </c>
      <c r="AT209" s="35" t="s">
        <v>6648</v>
      </c>
      <c r="AU209" s="35" t="s">
        <v>6649</v>
      </c>
      <c r="AV209" s="35" t="s">
        <v>6650</v>
      </c>
      <c r="AW209" s="35" t="s">
        <v>390</v>
      </c>
      <c r="AX209" s="35" t="s">
        <v>391</v>
      </c>
      <c r="AY209" s="35" t="s">
        <v>391</v>
      </c>
      <c r="AZ209" s="35" t="s">
        <v>675</v>
      </c>
      <c r="BA209" s="41">
        <v>2.0</v>
      </c>
      <c r="BB209" s="35" t="s">
        <v>391</v>
      </c>
      <c r="BC209" s="35" t="s">
        <v>675</v>
      </c>
      <c r="BD209" s="35" t="s">
        <v>6651</v>
      </c>
      <c r="BE209" s="35" t="s">
        <v>6652</v>
      </c>
      <c r="BF209" s="35" t="s">
        <v>392</v>
      </c>
      <c r="BG209" s="35" t="s">
        <v>433</v>
      </c>
      <c r="BH209" s="35" t="s">
        <v>678</v>
      </c>
      <c r="BI209" s="35" t="s">
        <v>6653</v>
      </c>
      <c r="BJ209" s="35" t="s">
        <v>976</v>
      </c>
      <c r="BL209" s="35" t="s">
        <v>681</v>
      </c>
      <c r="BM209" s="35" t="s">
        <v>438</v>
      </c>
      <c r="BN209" s="35" t="s">
        <v>397</v>
      </c>
      <c r="BO209" s="35" t="s">
        <v>513</v>
      </c>
      <c r="CM209" s="35" t="s">
        <v>550</v>
      </c>
      <c r="CN209" s="35" t="s">
        <v>604</v>
      </c>
      <c r="CO209" s="35" t="s">
        <v>6654</v>
      </c>
      <c r="CP209" s="35" t="s">
        <v>6655</v>
      </c>
      <c r="CQ209" s="35" t="s">
        <v>445</v>
      </c>
      <c r="CR209" s="35" t="s">
        <v>6656</v>
      </c>
      <c r="CS209" s="35" t="s">
        <v>447</v>
      </c>
      <c r="CT209" s="35" t="s">
        <v>656</v>
      </c>
      <c r="CU209" s="35" t="s">
        <v>6657</v>
      </c>
      <c r="CV209" s="35" t="s">
        <v>450</v>
      </c>
      <c r="CW209" s="35" t="s">
        <v>451</v>
      </c>
      <c r="CX209" s="35" t="s">
        <v>6658</v>
      </c>
      <c r="CY209" s="35" t="s">
        <v>408</v>
      </c>
      <c r="CZ209" s="35" t="s">
        <v>6659</v>
      </c>
      <c r="DA209" s="35" t="s">
        <v>453</v>
      </c>
      <c r="DB209" s="35" t="s">
        <v>6660</v>
      </c>
      <c r="DC209" s="35" t="s">
        <v>408</v>
      </c>
      <c r="DE209" s="35" t="s">
        <v>457</v>
      </c>
      <c r="DG209" s="35" t="s">
        <v>6661</v>
      </c>
      <c r="DH209" s="35" t="s">
        <v>561</v>
      </c>
      <c r="DI209" s="35" t="s">
        <v>410</v>
      </c>
      <c r="DJ209" s="35" t="s">
        <v>459</v>
      </c>
      <c r="DK209" s="35" t="s">
        <v>562</v>
      </c>
      <c r="DL209" s="35" t="s">
        <v>6319</v>
      </c>
      <c r="EU209" s="35" t="s">
        <v>526</v>
      </c>
      <c r="EV209" s="35" t="s">
        <v>479</v>
      </c>
      <c r="EW209" s="35" t="s">
        <v>480</v>
      </c>
      <c r="EX209" s="35" t="s">
        <v>6662</v>
      </c>
      <c r="EY209" s="35" t="s">
        <v>6663</v>
      </c>
      <c r="EZ209" s="35" t="s">
        <v>6664</v>
      </c>
      <c r="FA209" s="35" t="s">
        <v>583</v>
      </c>
      <c r="FB209" s="35" t="s">
        <v>583</v>
      </c>
      <c r="FC209" s="35" t="s">
        <v>583</v>
      </c>
      <c r="FD209" s="35" t="s">
        <v>583</v>
      </c>
      <c r="FE209" s="35" t="s">
        <v>415</v>
      </c>
      <c r="FF209" s="35" t="s">
        <v>583</v>
      </c>
      <c r="FG209" s="35" t="s">
        <v>583</v>
      </c>
      <c r="FH209" s="35" t="s">
        <v>484</v>
      </c>
      <c r="FI209" s="35" t="s">
        <v>484</v>
      </c>
      <c r="FJ209" s="35" t="s">
        <v>583</v>
      </c>
      <c r="FK209" s="35" t="s">
        <v>414</v>
      </c>
      <c r="FL209" s="35" t="s">
        <v>484</v>
      </c>
      <c r="FM209" s="35" t="s">
        <v>484</v>
      </c>
      <c r="FN209" s="35" t="s">
        <v>484</v>
      </c>
      <c r="FO209" s="35" t="s">
        <v>583</v>
      </c>
      <c r="FP209" s="35" t="s">
        <v>417</v>
      </c>
      <c r="FQ209" s="35" t="s">
        <v>418</v>
      </c>
      <c r="FR209" s="35" t="s">
        <v>419</v>
      </c>
      <c r="FS209" s="35" t="s">
        <v>6665</v>
      </c>
      <c r="FT209" s="35" t="s">
        <v>995</v>
      </c>
      <c r="FU209" s="35" t="s">
        <v>488</v>
      </c>
      <c r="FV209" s="35" t="s">
        <v>533</v>
      </c>
      <c r="FW209" s="35" t="s">
        <v>490</v>
      </c>
      <c r="FX209" s="35" t="s">
        <v>491</v>
      </c>
      <c r="FY209" s="35" t="s">
        <v>6666</v>
      </c>
      <c r="FZ209" s="35" t="s">
        <v>535</v>
      </c>
      <c r="GA209" s="35" t="s">
        <v>6667</v>
      </c>
      <c r="GB209" s="35" t="s">
        <v>6668</v>
      </c>
      <c r="GC209" s="35" t="s">
        <v>455</v>
      </c>
      <c r="GD209" s="35" t="s">
        <v>11450</v>
      </c>
      <c r="GE209" s="35" t="s">
        <v>11451</v>
      </c>
      <c r="GF209" s="35" t="s">
        <v>753</v>
      </c>
      <c r="GG209" s="35" t="s">
        <v>6669</v>
      </c>
      <c r="GH209" s="35" t="s">
        <v>857</v>
      </c>
      <c r="GI209" s="35" t="s">
        <v>857</v>
      </c>
      <c r="GJ209" s="35" t="s">
        <v>790</v>
      </c>
      <c r="GO209" s="35" t="s">
        <v>6645</v>
      </c>
      <c r="GP209" s="35" t="s">
        <v>6645</v>
      </c>
      <c r="GR209" s="35" t="s">
        <v>3273</v>
      </c>
      <c r="GU209" s="35" t="s">
        <v>5081</v>
      </c>
      <c r="GV209" s="35" t="s">
        <v>6670</v>
      </c>
      <c r="GW209" s="35" t="s">
        <v>5231</v>
      </c>
      <c r="GX209" s="35" t="s">
        <v>5232</v>
      </c>
      <c r="HD209" s="35" t="s">
        <v>5297</v>
      </c>
      <c r="HE209" s="35" t="s">
        <v>5349</v>
      </c>
      <c r="HF209" s="35" t="s">
        <v>5718</v>
      </c>
      <c r="HG209" s="35" t="s">
        <v>5899</v>
      </c>
      <c r="HP209" s="35" t="s">
        <v>5383</v>
      </c>
      <c r="HQ209" s="35" t="s">
        <v>5264</v>
      </c>
      <c r="HR209" s="35" t="s">
        <v>5238</v>
      </c>
      <c r="HS209" s="35" t="s">
        <v>5321</v>
      </c>
      <c r="HX209" s="35" t="s">
        <v>5628</v>
      </c>
      <c r="MK209" s="35" t="s">
        <v>6321</v>
      </c>
    </row>
    <row r="210">
      <c r="A210" s="35" t="s">
        <v>11452</v>
      </c>
      <c r="B210" s="40">
        <v>45924.3610935301</v>
      </c>
      <c r="C210" s="35" t="s">
        <v>368</v>
      </c>
      <c r="D210" s="35" t="s">
        <v>370</v>
      </c>
      <c r="E210" s="35" t="s">
        <v>370</v>
      </c>
      <c r="F210" s="35" t="s">
        <v>667</v>
      </c>
      <c r="G210" s="35" t="s">
        <v>667</v>
      </c>
      <c r="H210" s="35" t="s">
        <v>422</v>
      </c>
      <c r="I210" s="35" t="s">
        <v>373</v>
      </c>
      <c r="J210" s="35" t="s">
        <v>374</v>
      </c>
      <c r="K210" s="35" t="s">
        <v>540</v>
      </c>
      <c r="L210" s="35" t="s">
        <v>376</v>
      </c>
      <c r="M210" s="35" t="s">
        <v>426</v>
      </c>
      <c r="N210" s="35" t="s">
        <v>720</v>
      </c>
      <c r="O210" s="35" t="s">
        <v>793</v>
      </c>
      <c r="P210" s="35" t="s">
        <v>6696</v>
      </c>
      <c r="Q210" s="35" t="s">
        <v>381</v>
      </c>
      <c r="R210" s="35" t="s">
        <v>382</v>
      </c>
      <c r="S210" s="35" t="s">
        <v>427</v>
      </c>
      <c r="T210" s="35" t="s">
        <v>384</v>
      </c>
      <c r="U210" s="35" t="s">
        <v>385</v>
      </c>
      <c r="X210" s="35" t="s">
        <v>386</v>
      </c>
      <c r="Y210" s="35" t="s">
        <v>387</v>
      </c>
      <c r="Z210" s="35" t="s">
        <v>388</v>
      </c>
      <c r="AA210" s="35" t="s">
        <v>543</v>
      </c>
      <c r="AB210" s="35" t="s">
        <v>6697</v>
      </c>
      <c r="AW210" s="35" t="s">
        <v>597</v>
      </c>
      <c r="AX210" s="35" t="s">
        <v>391</v>
      </c>
      <c r="AY210" s="41">
        <v>2.0</v>
      </c>
      <c r="AZ210" s="35" t="s">
        <v>391</v>
      </c>
      <c r="BA210" s="35" t="s">
        <v>391</v>
      </c>
      <c r="BB210" s="35" t="s">
        <v>429</v>
      </c>
      <c r="BC210" s="41">
        <v>2.0</v>
      </c>
      <c r="BD210" s="35" t="s">
        <v>6698</v>
      </c>
      <c r="BE210" s="35" t="s">
        <v>6699</v>
      </c>
      <c r="BF210" s="35" t="s">
        <v>392</v>
      </c>
      <c r="BG210" s="35" t="s">
        <v>393</v>
      </c>
      <c r="BH210" s="35" t="s">
        <v>765</v>
      </c>
      <c r="BI210" s="35" t="s">
        <v>6700</v>
      </c>
      <c r="BJ210" s="35" t="s">
        <v>727</v>
      </c>
      <c r="BL210" s="35" t="s">
        <v>437</v>
      </c>
      <c r="BM210" s="35" t="s">
        <v>603</v>
      </c>
      <c r="BN210" s="35" t="s">
        <v>549</v>
      </c>
      <c r="BO210" s="35" t="s">
        <v>513</v>
      </c>
      <c r="CM210" s="35" t="s">
        <v>550</v>
      </c>
      <c r="CN210" s="35" t="s">
        <v>604</v>
      </c>
      <c r="CO210" s="35" t="s">
        <v>6701</v>
      </c>
      <c r="CP210" s="35" t="s">
        <v>6702</v>
      </c>
      <c r="CQ210" s="35" t="s">
        <v>1008</v>
      </c>
      <c r="CR210" s="35" t="s">
        <v>6703</v>
      </c>
      <c r="CS210" s="35" t="s">
        <v>404</v>
      </c>
      <c r="CT210" s="35" t="s">
        <v>5702</v>
      </c>
      <c r="CU210" s="35" t="s">
        <v>6704</v>
      </c>
      <c r="CV210" s="35" t="s">
        <v>519</v>
      </c>
      <c r="CW210" s="35" t="s">
        <v>451</v>
      </c>
      <c r="CX210" s="35" t="s">
        <v>6705</v>
      </c>
      <c r="CY210" s="35" t="s">
        <v>408</v>
      </c>
      <c r="DA210" s="35" t="s">
        <v>453</v>
      </c>
      <c r="DB210" s="35" t="s">
        <v>6706</v>
      </c>
      <c r="DC210" s="35" t="s">
        <v>455</v>
      </c>
      <c r="DD210" s="35" t="s">
        <v>6707</v>
      </c>
      <c r="DE210" s="35" t="s">
        <v>662</v>
      </c>
      <c r="DG210" s="35" t="s">
        <v>6708</v>
      </c>
      <c r="DH210" s="35" t="s">
        <v>776</v>
      </c>
      <c r="DI210" s="35" t="s">
        <v>410</v>
      </c>
      <c r="DJ210" s="35" t="s">
        <v>459</v>
      </c>
      <c r="DK210" s="35" t="s">
        <v>562</v>
      </c>
      <c r="DL210" s="35" t="s">
        <v>6335</v>
      </c>
      <c r="EU210" s="35" t="s">
        <v>526</v>
      </c>
      <c r="EV210" s="35" t="s">
        <v>479</v>
      </c>
      <c r="EW210" s="35" t="s">
        <v>480</v>
      </c>
      <c r="EX210" s="35" t="s">
        <v>6709</v>
      </c>
      <c r="EY210" s="35" t="s">
        <v>6710</v>
      </c>
      <c r="EZ210" s="35" t="s">
        <v>6711</v>
      </c>
      <c r="FA210" s="35" t="s">
        <v>583</v>
      </c>
      <c r="FB210" s="35" t="s">
        <v>583</v>
      </c>
      <c r="FC210" s="35" t="s">
        <v>414</v>
      </c>
      <c r="FD210" s="35" t="s">
        <v>583</v>
      </c>
      <c r="FE210" s="35" t="s">
        <v>416</v>
      </c>
      <c r="FF210" s="35" t="s">
        <v>583</v>
      </c>
      <c r="FG210" s="35" t="s">
        <v>484</v>
      </c>
      <c r="FH210" s="35" t="s">
        <v>413</v>
      </c>
      <c r="FI210" s="35" t="s">
        <v>583</v>
      </c>
      <c r="FJ210" s="35" t="s">
        <v>583</v>
      </c>
      <c r="FK210" s="35" t="s">
        <v>583</v>
      </c>
      <c r="FL210" s="35" t="s">
        <v>583</v>
      </c>
      <c r="FM210" s="35" t="s">
        <v>583</v>
      </c>
      <c r="FN210" s="35" t="s">
        <v>484</v>
      </c>
      <c r="FO210" s="35" t="s">
        <v>484</v>
      </c>
      <c r="FP210" s="35" t="s">
        <v>850</v>
      </c>
      <c r="FQ210" s="35" t="s">
        <v>418</v>
      </c>
      <c r="FR210" s="35" t="s">
        <v>419</v>
      </c>
      <c r="FS210" s="35" t="s">
        <v>6712</v>
      </c>
      <c r="FT210" s="35" t="s">
        <v>420</v>
      </c>
      <c r="FU210" s="35" t="s">
        <v>488</v>
      </c>
      <c r="FV210" s="35" t="s">
        <v>533</v>
      </c>
      <c r="FW210" s="35" t="s">
        <v>490</v>
      </c>
      <c r="FX210" s="35" t="s">
        <v>491</v>
      </c>
      <c r="FY210" s="35" t="s">
        <v>6713</v>
      </c>
      <c r="FZ210" s="35" t="s">
        <v>1020</v>
      </c>
      <c r="GB210" s="35" t="s">
        <v>6714</v>
      </c>
      <c r="GC210" s="35" t="s">
        <v>455</v>
      </c>
      <c r="GD210" s="35" t="s">
        <v>11453</v>
      </c>
      <c r="GF210" s="35" t="s">
        <v>753</v>
      </c>
      <c r="GH210" s="35" t="s">
        <v>789</v>
      </c>
      <c r="GI210" s="35" t="s">
        <v>857</v>
      </c>
      <c r="GJ210" s="35" t="s">
        <v>790</v>
      </c>
      <c r="GR210" s="35" t="s">
        <v>3208</v>
      </c>
      <c r="GV210" s="35" t="s">
        <v>6170</v>
      </c>
      <c r="GW210" s="35" t="s">
        <v>5231</v>
      </c>
      <c r="GX210" s="35" t="s">
        <v>484</v>
      </c>
      <c r="HD210" s="35" t="s">
        <v>5297</v>
      </c>
      <c r="HE210" s="35" t="s">
        <v>5282</v>
      </c>
      <c r="HF210" s="35" t="s">
        <v>5320</v>
      </c>
      <c r="HG210" s="35" t="s">
        <v>5284</v>
      </c>
      <c r="HP210" s="35" t="s">
        <v>5236</v>
      </c>
      <c r="HQ210" s="35" t="s">
        <v>5719</v>
      </c>
      <c r="HR210" s="35" t="s">
        <v>5801</v>
      </c>
      <c r="HS210" s="35" t="s">
        <v>5321</v>
      </c>
      <c r="HX210" s="35" t="s">
        <v>6715</v>
      </c>
      <c r="MK210" s="35" t="s">
        <v>6321</v>
      </c>
    </row>
    <row r="211">
      <c r="A211" s="35" t="s">
        <v>11454</v>
      </c>
      <c r="B211" s="40">
        <v>45926.09634458333</v>
      </c>
      <c r="C211" s="35" t="s">
        <v>368</v>
      </c>
      <c r="D211" s="35" t="s">
        <v>894</v>
      </c>
      <c r="E211" s="35" t="s">
        <v>894</v>
      </c>
      <c r="H211" s="35" t="s">
        <v>2295</v>
      </c>
      <c r="I211" s="35" t="s">
        <v>637</v>
      </c>
      <c r="J211" s="35" t="s">
        <v>638</v>
      </c>
      <c r="K211" s="35" t="s">
        <v>425</v>
      </c>
      <c r="L211" s="35" t="s">
        <v>376</v>
      </c>
      <c r="M211" s="35" t="s">
        <v>1526</v>
      </c>
      <c r="N211" s="35" t="s">
        <v>2464</v>
      </c>
      <c r="O211" s="35" t="s">
        <v>1526</v>
      </c>
      <c r="P211" s="35" t="s">
        <v>6740</v>
      </c>
      <c r="Q211" s="35" t="s">
        <v>381</v>
      </c>
      <c r="R211" s="35" t="s">
        <v>818</v>
      </c>
      <c r="S211" s="35" t="s">
        <v>500</v>
      </c>
      <c r="T211" s="35" t="s">
        <v>6741</v>
      </c>
      <c r="U211" s="35" t="s">
        <v>385</v>
      </c>
      <c r="V211" s="35" t="s">
        <v>1045</v>
      </c>
      <c r="W211" s="35" t="s">
        <v>1045</v>
      </c>
      <c r="X211" s="35" t="s">
        <v>593</v>
      </c>
      <c r="Y211" s="35" t="s">
        <v>387</v>
      </c>
      <c r="Z211" s="35" t="s">
        <v>2115</v>
      </c>
      <c r="AB211" s="35" t="s">
        <v>6742</v>
      </c>
      <c r="AC211" s="35" t="s">
        <v>6743</v>
      </c>
      <c r="AW211" s="35" t="s">
        <v>390</v>
      </c>
      <c r="AX211" s="41">
        <v>2.0</v>
      </c>
      <c r="AY211" s="35" t="s">
        <v>429</v>
      </c>
      <c r="AZ211" s="35" t="s">
        <v>429</v>
      </c>
      <c r="BB211" s="35" t="s">
        <v>429</v>
      </c>
      <c r="BC211" s="35" t="s">
        <v>429</v>
      </c>
      <c r="BD211" s="35" t="s">
        <v>6744</v>
      </c>
      <c r="BE211" s="35" t="s">
        <v>6745</v>
      </c>
      <c r="BF211" s="35" t="s">
        <v>1094</v>
      </c>
      <c r="BG211" s="35" t="s">
        <v>433</v>
      </c>
      <c r="BH211" s="35" t="s">
        <v>434</v>
      </c>
      <c r="BI211" s="35" t="s">
        <v>6746</v>
      </c>
      <c r="BJ211" s="35" t="s">
        <v>435</v>
      </c>
      <c r="BL211" s="35" t="s">
        <v>511</v>
      </c>
      <c r="BM211" s="35" t="s">
        <v>396</v>
      </c>
      <c r="BN211" s="35" t="s">
        <v>439</v>
      </c>
      <c r="BO211" s="35" t="s">
        <v>513</v>
      </c>
      <c r="CM211" s="35" t="s">
        <v>441</v>
      </c>
      <c r="CN211" s="35" t="s">
        <v>401</v>
      </c>
      <c r="CO211" s="35" t="s">
        <v>6747</v>
      </c>
      <c r="CP211" s="35" t="s">
        <v>6748</v>
      </c>
      <c r="CQ211" s="35" t="s">
        <v>1008</v>
      </c>
      <c r="CR211" s="35" t="s">
        <v>6749</v>
      </c>
      <c r="CS211" s="35" t="s">
        <v>447</v>
      </c>
      <c r="CT211" s="35" t="s">
        <v>6750</v>
      </c>
      <c r="CU211" s="35" t="s">
        <v>6751</v>
      </c>
      <c r="CV211" s="35" t="s">
        <v>450</v>
      </c>
      <c r="CW211" s="35" t="s">
        <v>451</v>
      </c>
      <c r="CX211" s="35" t="s">
        <v>6752</v>
      </c>
      <c r="CY211" s="35" t="s">
        <v>733</v>
      </c>
      <c r="DA211" s="35" t="s">
        <v>453</v>
      </c>
      <c r="DB211" s="35" t="s">
        <v>6753</v>
      </c>
      <c r="DC211" s="35" t="s">
        <v>913</v>
      </c>
      <c r="DE211" s="35" t="s">
        <v>457</v>
      </c>
      <c r="DH211" s="35" t="s">
        <v>776</v>
      </c>
      <c r="DI211" s="35" t="s">
        <v>410</v>
      </c>
      <c r="DJ211" s="35" t="s">
        <v>459</v>
      </c>
      <c r="DK211" s="35" t="s">
        <v>1403</v>
      </c>
      <c r="DL211" s="35" t="s">
        <v>6603</v>
      </c>
      <c r="DM211" s="35" t="s">
        <v>6754</v>
      </c>
      <c r="EU211" s="35" t="s">
        <v>526</v>
      </c>
      <c r="EV211" s="35" t="s">
        <v>1037</v>
      </c>
      <c r="EW211" s="35" t="s">
        <v>527</v>
      </c>
      <c r="EY211" s="35" t="s">
        <v>6755</v>
      </c>
      <c r="FA211" s="35" t="s">
        <v>414</v>
      </c>
      <c r="FB211" s="35" t="s">
        <v>414</v>
      </c>
      <c r="FC211" s="35" t="s">
        <v>415</v>
      </c>
      <c r="FD211" s="35" t="s">
        <v>414</v>
      </c>
      <c r="FE211" s="35" t="s">
        <v>415</v>
      </c>
      <c r="FF211" s="35" t="s">
        <v>414</v>
      </c>
      <c r="FG211" s="35" t="s">
        <v>415</v>
      </c>
      <c r="FH211" s="35" t="s">
        <v>415</v>
      </c>
      <c r="FI211" s="35" t="s">
        <v>583</v>
      </c>
      <c r="FJ211" s="35" t="s">
        <v>414</v>
      </c>
      <c r="FK211" s="35" t="s">
        <v>583</v>
      </c>
      <c r="FL211" s="35" t="s">
        <v>484</v>
      </c>
      <c r="FM211" s="35" t="s">
        <v>484</v>
      </c>
      <c r="FN211" s="35" t="s">
        <v>484</v>
      </c>
      <c r="FO211" s="35" t="s">
        <v>484</v>
      </c>
      <c r="FP211" s="35" t="s">
        <v>417</v>
      </c>
      <c r="FQ211" s="35" t="s">
        <v>418</v>
      </c>
      <c r="FR211" s="35" t="s">
        <v>712</v>
      </c>
      <c r="FT211" s="35" t="s">
        <v>420</v>
      </c>
      <c r="FU211" s="35" t="s">
        <v>488</v>
      </c>
      <c r="FV211" s="35" t="s">
        <v>918</v>
      </c>
      <c r="FW211" s="35" t="s">
        <v>1101</v>
      </c>
      <c r="FX211" s="35" t="s">
        <v>491</v>
      </c>
      <c r="FY211" s="35" t="s">
        <v>6756</v>
      </c>
      <c r="FZ211" s="35" t="s">
        <v>535</v>
      </c>
      <c r="GA211" s="35" t="s">
        <v>6757</v>
      </c>
      <c r="GC211" s="35" t="s">
        <v>455</v>
      </c>
      <c r="GD211" s="35" t="s">
        <v>11455</v>
      </c>
      <c r="GE211" s="35" t="s">
        <v>11456</v>
      </c>
      <c r="GF211" s="35" t="s">
        <v>753</v>
      </c>
      <c r="GG211" s="35" t="s">
        <v>6758</v>
      </c>
      <c r="GH211" s="35" t="s">
        <v>920</v>
      </c>
      <c r="GI211" s="35" t="s">
        <v>755</v>
      </c>
      <c r="GJ211" s="35" t="s">
        <v>946</v>
      </c>
      <c r="GR211" s="35" t="s">
        <v>3208</v>
      </c>
      <c r="GU211" s="35" t="s">
        <v>4774</v>
      </c>
      <c r="GW211" s="35" t="s">
        <v>5231</v>
      </c>
      <c r="GX211" s="35" t="s">
        <v>484</v>
      </c>
      <c r="HD211" s="35" t="s">
        <v>6053</v>
      </c>
      <c r="HE211" s="35" t="s">
        <v>5349</v>
      </c>
      <c r="HF211" s="35" t="s">
        <v>5320</v>
      </c>
      <c r="HG211" s="35" t="s">
        <v>5300</v>
      </c>
      <c r="HP211" s="35" t="s">
        <v>5301</v>
      </c>
      <c r="HQ211" s="35" t="s">
        <v>5237</v>
      </c>
      <c r="HR211" s="35" t="s">
        <v>5238</v>
      </c>
      <c r="HS211" s="35" t="s">
        <v>6759</v>
      </c>
      <c r="HX211" s="35" t="s">
        <v>6760</v>
      </c>
      <c r="MK211" s="35" t="s">
        <v>6321</v>
      </c>
    </row>
    <row r="212">
      <c r="A212" s="35" t="s">
        <v>11457</v>
      </c>
      <c r="B212" s="40">
        <v>45926.12340616898</v>
      </c>
      <c r="C212" s="35" t="s">
        <v>368</v>
      </c>
      <c r="D212" s="35" t="s">
        <v>370</v>
      </c>
      <c r="E212" s="35" t="s">
        <v>370</v>
      </c>
      <c r="F212" s="35" t="s">
        <v>2400</v>
      </c>
      <c r="G212" s="35" t="s">
        <v>2400</v>
      </c>
      <c r="H212" s="35" t="s">
        <v>422</v>
      </c>
      <c r="I212" s="35" t="s">
        <v>423</v>
      </c>
      <c r="J212" s="35" t="s">
        <v>668</v>
      </c>
      <c r="K212" s="35" t="s">
        <v>590</v>
      </c>
      <c r="L212" s="35" t="s">
        <v>376</v>
      </c>
      <c r="M212" s="35" t="s">
        <v>379</v>
      </c>
      <c r="N212" s="35" t="s">
        <v>6761</v>
      </c>
      <c r="O212" s="35" t="s">
        <v>379</v>
      </c>
      <c r="P212" s="35" t="s">
        <v>6762</v>
      </c>
      <c r="Q212" s="35" t="s">
        <v>381</v>
      </c>
      <c r="R212" s="35" t="s">
        <v>1156</v>
      </c>
      <c r="S212" s="35" t="s">
        <v>427</v>
      </c>
      <c r="T212" s="35" t="s">
        <v>384</v>
      </c>
      <c r="U212" s="35" t="s">
        <v>385</v>
      </c>
      <c r="X212" s="35" t="s">
        <v>593</v>
      </c>
      <c r="Y212" s="35" t="s">
        <v>387</v>
      </c>
      <c r="Z212" s="35" t="s">
        <v>1157</v>
      </c>
      <c r="AA212" s="35" t="s">
        <v>502</v>
      </c>
      <c r="AB212" s="35" t="s">
        <v>408</v>
      </c>
      <c r="AW212" s="35" t="s">
        <v>597</v>
      </c>
      <c r="AX212" s="35" t="s">
        <v>675</v>
      </c>
      <c r="AY212" s="35" t="s">
        <v>391</v>
      </c>
      <c r="AZ212" s="35" t="s">
        <v>429</v>
      </c>
      <c r="BA212" s="41">
        <v>2.0</v>
      </c>
      <c r="BB212" s="41">
        <v>4.0</v>
      </c>
      <c r="BC212" s="41">
        <v>4.0</v>
      </c>
      <c r="BD212" s="35" t="s">
        <v>6763</v>
      </c>
      <c r="BE212" s="35" t="s">
        <v>6764</v>
      </c>
      <c r="BF212" s="35" t="s">
        <v>3114</v>
      </c>
      <c r="BG212" s="35" t="s">
        <v>1095</v>
      </c>
      <c r="BH212" s="35" t="s">
        <v>678</v>
      </c>
      <c r="BI212" s="35" t="s">
        <v>6765</v>
      </c>
      <c r="BJ212" s="35" t="s">
        <v>435</v>
      </c>
      <c r="BL212" s="35" t="s">
        <v>681</v>
      </c>
      <c r="BM212" s="35" t="s">
        <v>603</v>
      </c>
      <c r="BN212" s="35" t="s">
        <v>549</v>
      </c>
      <c r="BO212" s="35" t="s">
        <v>513</v>
      </c>
      <c r="CM212" s="35" t="s">
        <v>441</v>
      </c>
      <c r="CN212" s="35" t="s">
        <v>401</v>
      </c>
      <c r="CO212" s="35" t="s">
        <v>6766</v>
      </c>
      <c r="CP212" s="35" t="s">
        <v>6767</v>
      </c>
      <c r="CQ212" s="35" t="s">
        <v>445</v>
      </c>
      <c r="CR212" s="35" t="s">
        <v>3090</v>
      </c>
      <c r="CS212" s="35" t="s">
        <v>804</v>
      </c>
      <c r="CT212" s="35" t="s">
        <v>1569</v>
      </c>
      <c r="CU212" s="35" t="s">
        <v>6768</v>
      </c>
      <c r="CV212" s="35" t="s">
        <v>1961</v>
      </c>
      <c r="CW212" s="35" t="s">
        <v>1931</v>
      </c>
      <c r="CX212" s="35" t="s">
        <v>6769</v>
      </c>
      <c r="CY212" s="35" t="s">
        <v>408</v>
      </c>
      <c r="DA212" s="35" t="s">
        <v>1962</v>
      </c>
      <c r="DC212" s="35" t="s">
        <v>408</v>
      </c>
      <c r="DE212" s="35" t="s">
        <v>406</v>
      </c>
      <c r="DF212" s="35" t="s">
        <v>1058</v>
      </c>
      <c r="DG212" s="35" t="s">
        <v>6770</v>
      </c>
      <c r="DH212" s="35" t="s">
        <v>990</v>
      </c>
      <c r="DI212" s="35" t="s">
        <v>694</v>
      </c>
      <c r="DJ212" s="35" t="s">
        <v>459</v>
      </c>
      <c r="DK212" s="35" t="s">
        <v>613</v>
      </c>
      <c r="EU212" s="35" t="s">
        <v>2747</v>
      </c>
      <c r="EV212" s="35" t="s">
        <v>479</v>
      </c>
      <c r="EW212" s="35" t="s">
        <v>480</v>
      </c>
      <c r="EY212" s="35" t="s">
        <v>6771</v>
      </c>
      <c r="EZ212" s="35" t="s">
        <v>6772</v>
      </c>
      <c r="FP212" s="35" t="s">
        <v>1074</v>
      </c>
      <c r="FQ212" s="35" t="s">
        <v>2524</v>
      </c>
      <c r="FR212" s="35" t="s">
        <v>630</v>
      </c>
      <c r="FT212" s="35" t="s">
        <v>1871</v>
      </c>
      <c r="FU212" s="35" t="s">
        <v>2750</v>
      </c>
      <c r="FV212" s="35" t="s">
        <v>533</v>
      </c>
      <c r="FW212" s="35" t="s">
        <v>2399</v>
      </c>
      <c r="FX212" s="35" t="s">
        <v>1853</v>
      </c>
      <c r="FZ212" s="35" t="s">
        <v>1854</v>
      </c>
      <c r="GB212" s="35" t="s">
        <v>2675</v>
      </c>
      <c r="GC212" s="35" t="s">
        <v>408</v>
      </c>
      <c r="GH212" s="35" t="s">
        <v>857</v>
      </c>
      <c r="GI212" s="35" t="s">
        <v>857</v>
      </c>
      <c r="GJ212" s="35" t="s">
        <v>921</v>
      </c>
      <c r="GR212" s="35" t="s">
        <v>3208</v>
      </c>
      <c r="GU212" s="35" t="s">
        <v>4774</v>
      </c>
      <c r="GW212" s="35" t="s">
        <v>5231</v>
      </c>
      <c r="GX212" s="35" t="s">
        <v>5232</v>
      </c>
      <c r="HD212" s="35" t="s">
        <v>5297</v>
      </c>
      <c r="HE212" s="35" t="s">
        <v>5282</v>
      </c>
      <c r="HF212" s="35" t="s">
        <v>5718</v>
      </c>
      <c r="HG212" s="35" t="s">
        <v>5284</v>
      </c>
      <c r="HP212" s="35" t="s">
        <v>5236</v>
      </c>
      <c r="HQ212" s="35" t="s">
        <v>5302</v>
      </c>
      <c r="HR212" s="35" t="s">
        <v>5721</v>
      </c>
      <c r="HS212" s="35" t="s">
        <v>5239</v>
      </c>
      <c r="HX212" s="35" t="s">
        <v>5628</v>
      </c>
      <c r="MK212" s="35" t="s">
        <v>6321</v>
      </c>
    </row>
    <row r="213">
      <c r="A213" s="35" t="s">
        <v>11458</v>
      </c>
      <c r="B213" s="40">
        <v>45927.602613229166</v>
      </c>
      <c r="C213" s="35" t="s">
        <v>368</v>
      </c>
      <c r="D213" s="35" t="s">
        <v>1341</v>
      </c>
      <c r="E213" s="35" t="s">
        <v>1341</v>
      </c>
      <c r="H213" s="35" t="s">
        <v>422</v>
      </c>
      <c r="I213" s="35" t="s">
        <v>1921</v>
      </c>
      <c r="J213" s="35" t="s">
        <v>668</v>
      </c>
      <c r="K213" s="35" t="s">
        <v>375</v>
      </c>
      <c r="L213" s="35" t="s">
        <v>1784</v>
      </c>
      <c r="M213" s="35" t="s">
        <v>377</v>
      </c>
      <c r="N213" s="35" t="s">
        <v>378</v>
      </c>
      <c r="P213" s="35" t="s">
        <v>497</v>
      </c>
      <c r="Q213" s="35" t="s">
        <v>381</v>
      </c>
      <c r="R213" s="35" t="s">
        <v>1156</v>
      </c>
      <c r="S213" s="35" t="s">
        <v>427</v>
      </c>
      <c r="T213" s="35" t="s">
        <v>384</v>
      </c>
      <c r="U213" s="35" t="s">
        <v>385</v>
      </c>
      <c r="X213" s="35" t="s">
        <v>593</v>
      </c>
      <c r="Y213" s="35" t="s">
        <v>387</v>
      </c>
      <c r="Z213" s="35" t="s">
        <v>388</v>
      </c>
      <c r="AA213" s="35" t="s">
        <v>502</v>
      </c>
      <c r="AB213" s="35" t="s">
        <v>6773</v>
      </c>
      <c r="AW213" s="35" t="s">
        <v>597</v>
      </c>
      <c r="AX213" s="35" t="s">
        <v>391</v>
      </c>
      <c r="AY213" s="41">
        <v>4.0</v>
      </c>
      <c r="AZ213" s="41">
        <v>4.0</v>
      </c>
      <c r="BA213" s="41">
        <v>2.0</v>
      </c>
      <c r="BB213" s="35" t="s">
        <v>429</v>
      </c>
      <c r="BC213" s="35" t="s">
        <v>391</v>
      </c>
      <c r="BD213" s="35" t="s">
        <v>6774</v>
      </c>
      <c r="BE213" s="35" t="s">
        <v>6775</v>
      </c>
      <c r="BF213" s="35" t="s">
        <v>432</v>
      </c>
      <c r="BG213" s="35" t="s">
        <v>433</v>
      </c>
      <c r="BH213" s="35" t="s">
        <v>678</v>
      </c>
      <c r="BJ213" s="35" t="s">
        <v>509</v>
      </c>
      <c r="BL213" s="35" t="s">
        <v>511</v>
      </c>
      <c r="BM213" s="35" t="s">
        <v>512</v>
      </c>
      <c r="BN213" s="35" t="s">
        <v>397</v>
      </c>
      <c r="BO213" s="35" t="s">
        <v>513</v>
      </c>
      <c r="CM213" s="35" t="s">
        <v>550</v>
      </c>
      <c r="CN213" s="35" t="s">
        <v>604</v>
      </c>
      <c r="CO213" s="35" t="s">
        <v>6776</v>
      </c>
      <c r="CP213" s="35" t="s">
        <v>6777</v>
      </c>
      <c r="CQ213" s="35" t="s">
        <v>1008</v>
      </c>
      <c r="CR213" s="35" t="s">
        <v>6778</v>
      </c>
      <c r="CS213" s="35" t="s">
        <v>404</v>
      </c>
      <c r="CT213" s="35" t="s">
        <v>6779</v>
      </c>
      <c r="CU213" s="35" t="s">
        <v>6780</v>
      </c>
      <c r="CV213" s="35" t="s">
        <v>450</v>
      </c>
      <c r="CW213" s="35" t="s">
        <v>451</v>
      </c>
      <c r="CX213" s="35" t="s">
        <v>6781</v>
      </c>
      <c r="CY213" s="35" t="s">
        <v>455</v>
      </c>
      <c r="CZ213" s="35" t="s">
        <v>6782</v>
      </c>
      <c r="DA213" s="35" t="s">
        <v>453</v>
      </c>
      <c r="DB213" s="35" t="s">
        <v>6783</v>
      </c>
      <c r="DC213" s="35" t="s">
        <v>455</v>
      </c>
      <c r="DE213" s="35" t="s">
        <v>662</v>
      </c>
      <c r="DG213" s="35" t="s">
        <v>6784</v>
      </c>
      <c r="DH213" s="35" t="s">
        <v>693</v>
      </c>
      <c r="DI213" s="35" t="s">
        <v>410</v>
      </c>
      <c r="DJ213" s="35" t="s">
        <v>459</v>
      </c>
      <c r="DK213" s="35" t="s">
        <v>1148</v>
      </c>
      <c r="DL213" s="35" t="s">
        <v>6335</v>
      </c>
      <c r="EU213" s="35" t="s">
        <v>578</v>
      </c>
      <c r="EV213" s="35" t="s">
        <v>579</v>
      </c>
      <c r="EW213" s="35" t="s">
        <v>580</v>
      </c>
      <c r="EY213" s="35" t="s">
        <v>6785</v>
      </c>
      <c r="EZ213" s="35" t="s">
        <v>6786</v>
      </c>
      <c r="FA213" s="35" t="s">
        <v>415</v>
      </c>
      <c r="FB213" s="35" t="s">
        <v>583</v>
      </c>
      <c r="FC213" s="35" t="s">
        <v>413</v>
      </c>
      <c r="FD213" s="35" t="s">
        <v>413</v>
      </c>
      <c r="FE213" s="35" t="s">
        <v>413</v>
      </c>
      <c r="FF213" s="35" t="s">
        <v>415</v>
      </c>
      <c r="FG213" s="35" t="s">
        <v>413</v>
      </c>
      <c r="FH213" s="35" t="s">
        <v>413</v>
      </c>
      <c r="FI213" s="35" t="s">
        <v>413</v>
      </c>
      <c r="FJ213" s="35" t="s">
        <v>413</v>
      </c>
      <c r="FK213" s="35" t="s">
        <v>416</v>
      </c>
      <c r="FL213" s="35" t="s">
        <v>415</v>
      </c>
      <c r="FM213" s="35" t="s">
        <v>415</v>
      </c>
      <c r="FN213" s="35" t="s">
        <v>415</v>
      </c>
      <c r="FO213" s="35" t="s">
        <v>414</v>
      </c>
      <c r="FP213" s="35" t="s">
        <v>850</v>
      </c>
      <c r="FQ213" s="35" t="s">
        <v>486</v>
      </c>
      <c r="FR213" s="35" t="s">
        <v>531</v>
      </c>
      <c r="FS213" s="35" t="s">
        <v>6787</v>
      </c>
      <c r="FT213" s="35" t="s">
        <v>420</v>
      </c>
      <c r="FU213" s="35" t="s">
        <v>488</v>
      </c>
      <c r="FV213" s="35" t="s">
        <v>1235</v>
      </c>
      <c r="FW213" s="35" t="s">
        <v>490</v>
      </c>
      <c r="FX213" s="35" t="s">
        <v>491</v>
      </c>
      <c r="FZ213" s="35" t="s">
        <v>535</v>
      </c>
      <c r="GC213" s="35" t="s">
        <v>408</v>
      </c>
      <c r="GH213" s="35" t="s">
        <v>755</v>
      </c>
      <c r="GI213" s="35" t="s">
        <v>755</v>
      </c>
      <c r="GJ213" s="35" t="s">
        <v>946</v>
      </c>
      <c r="GO213" s="35" t="s">
        <v>3220</v>
      </c>
      <c r="GP213" s="35" t="s">
        <v>6788</v>
      </c>
      <c r="GR213" s="35" t="s">
        <v>3208</v>
      </c>
      <c r="GU213" s="35" t="s">
        <v>4774</v>
      </c>
      <c r="GW213" s="35" t="s">
        <v>484</v>
      </c>
      <c r="GX213" s="35" t="s">
        <v>484</v>
      </c>
      <c r="HD213" s="35" t="s">
        <v>5281</v>
      </c>
      <c r="HE213" s="35" t="s">
        <v>5298</v>
      </c>
      <c r="HF213" s="35" t="s">
        <v>5299</v>
      </c>
      <c r="HG213" s="35" t="s">
        <v>5284</v>
      </c>
      <c r="HP213" s="35" t="s">
        <v>5301</v>
      </c>
      <c r="HQ213" s="35" t="s">
        <v>5237</v>
      </c>
      <c r="HR213" s="35" t="s">
        <v>5238</v>
      </c>
      <c r="HS213" s="35" t="s">
        <v>5287</v>
      </c>
      <c r="HX213" s="35" t="s">
        <v>6789</v>
      </c>
      <c r="MK213" s="35" t="s">
        <v>6321</v>
      </c>
    </row>
    <row r="214">
      <c r="A214" s="35" t="s">
        <v>11459</v>
      </c>
      <c r="B214" s="40">
        <v>45929.419320416666</v>
      </c>
      <c r="C214" s="35" t="s">
        <v>368</v>
      </c>
      <c r="D214" s="35" t="s">
        <v>370</v>
      </c>
      <c r="E214" s="35" t="s">
        <v>370</v>
      </c>
      <c r="F214" s="35" t="s">
        <v>1464</v>
      </c>
      <c r="G214" s="35" t="s">
        <v>2400</v>
      </c>
      <c r="H214" s="35" t="s">
        <v>422</v>
      </c>
      <c r="I214" s="35" t="s">
        <v>1307</v>
      </c>
      <c r="J214" s="35" t="s">
        <v>668</v>
      </c>
      <c r="K214" s="35" t="s">
        <v>718</v>
      </c>
      <c r="L214" s="35" t="s">
        <v>376</v>
      </c>
      <c r="M214" s="35" t="s">
        <v>379</v>
      </c>
      <c r="N214" s="35" t="s">
        <v>541</v>
      </c>
      <c r="O214" s="35" t="s">
        <v>426</v>
      </c>
      <c r="P214" s="35" t="s">
        <v>497</v>
      </c>
      <c r="Q214" s="35" t="s">
        <v>498</v>
      </c>
      <c r="R214" s="35" t="s">
        <v>382</v>
      </c>
      <c r="S214" s="35" t="s">
        <v>427</v>
      </c>
      <c r="T214" s="35" t="s">
        <v>384</v>
      </c>
      <c r="U214" s="35" t="s">
        <v>385</v>
      </c>
      <c r="X214" s="35" t="s">
        <v>593</v>
      </c>
      <c r="Y214" s="35" t="s">
        <v>387</v>
      </c>
      <c r="Z214" s="35" t="s">
        <v>897</v>
      </c>
      <c r="AA214" s="35" t="s">
        <v>672</v>
      </c>
      <c r="AB214" s="35" t="s">
        <v>408</v>
      </c>
      <c r="AW214" s="35" t="s">
        <v>1242</v>
      </c>
      <c r="AX214" s="35" t="s">
        <v>391</v>
      </c>
      <c r="AY214" s="35" t="s">
        <v>391</v>
      </c>
      <c r="AZ214" s="41">
        <v>2.0</v>
      </c>
      <c r="BA214" s="35" t="s">
        <v>429</v>
      </c>
      <c r="BB214" s="35" t="s">
        <v>429</v>
      </c>
      <c r="BC214" s="35" t="s">
        <v>429</v>
      </c>
      <c r="BD214" s="35" t="s">
        <v>6790</v>
      </c>
      <c r="BF214" s="35" t="s">
        <v>432</v>
      </c>
      <c r="BG214" s="35" t="s">
        <v>433</v>
      </c>
      <c r="BH214" s="35" t="s">
        <v>678</v>
      </c>
      <c r="BJ214" s="35" t="s">
        <v>509</v>
      </c>
      <c r="BL214" s="35" t="s">
        <v>511</v>
      </c>
      <c r="BM214" s="35" t="s">
        <v>438</v>
      </c>
      <c r="BN214" s="35" t="s">
        <v>439</v>
      </c>
      <c r="BO214" s="35" t="s">
        <v>513</v>
      </c>
      <c r="CM214" s="35" t="s">
        <v>441</v>
      </c>
      <c r="CN214" s="35" t="s">
        <v>442</v>
      </c>
      <c r="CO214" s="35" t="s">
        <v>6791</v>
      </c>
      <c r="CP214" s="35" t="s">
        <v>6792</v>
      </c>
      <c r="CR214" s="35" t="s">
        <v>6793</v>
      </c>
      <c r="CS214" s="35" t="s">
        <v>447</v>
      </c>
      <c r="CT214" s="35" t="s">
        <v>6794</v>
      </c>
      <c r="CU214" s="35" t="s">
        <v>6795</v>
      </c>
      <c r="CV214" s="35" t="s">
        <v>982</v>
      </c>
      <c r="CW214" s="35" t="s">
        <v>451</v>
      </c>
      <c r="CX214" s="35" t="s">
        <v>6796</v>
      </c>
      <c r="CY214" s="35" t="s">
        <v>408</v>
      </c>
      <c r="DA214" s="35" t="s">
        <v>453</v>
      </c>
      <c r="DB214" s="35" t="s">
        <v>6797</v>
      </c>
      <c r="DC214" s="35" t="s">
        <v>408</v>
      </c>
      <c r="DE214" s="35" t="s">
        <v>406</v>
      </c>
      <c r="DF214" s="35" t="s">
        <v>1058</v>
      </c>
      <c r="DG214" s="35" t="s">
        <v>6798</v>
      </c>
      <c r="DH214" s="35" t="s">
        <v>776</v>
      </c>
      <c r="DI214" s="35" t="s">
        <v>410</v>
      </c>
      <c r="DJ214" s="35" t="s">
        <v>459</v>
      </c>
      <c r="DK214" s="35" t="s">
        <v>460</v>
      </c>
      <c r="DL214" s="35" t="s">
        <v>6335</v>
      </c>
      <c r="EV214" s="35" t="s">
        <v>479</v>
      </c>
      <c r="EW214" s="35" t="s">
        <v>480</v>
      </c>
      <c r="FA214" s="35" t="s">
        <v>414</v>
      </c>
      <c r="FB214" s="35" t="s">
        <v>414</v>
      </c>
      <c r="FC214" s="35" t="s">
        <v>413</v>
      </c>
      <c r="FD214" s="35" t="s">
        <v>414</v>
      </c>
      <c r="FE214" s="35" t="s">
        <v>415</v>
      </c>
      <c r="FF214" s="35" t="s">
        <v>414</v>
      </c>
      <c r="FG214" s="35" t="s">
        <v>484</v>
      </c>
      <c r="FH214" s="35" t="s">
        <v>484</v>
      </c>
      <c r="FI214" s="35" t="s">
        <v>413</v>
      </c>
      <c r="FJ214" s="35" t="s">
        <v>414</v>
      </c>
      <c r="FK214" s="35" t="s">
        <v>415</v>
      </c>
      <c r="FL214" s="35" t="s">
        <v>414</v>
      </c>
      <c r="FM214" s="35" t="s">
        <v>415</v>
      </c>
      <c r="FN214" s="35" t="s">
        <v>415</v>
      </c>
      <c r="FO214" s="35" t="s">
        <v>415</v>
      </c>
      <c r="FP214" s="35" t="s">
        <v>485</v>
      </c>
      <c r="FQ214" s="35" t="s">
        <v>418</v>
      </c>
      <c r="FR214" s="35" t="s">
        <v>712</v>
      </c>
      <c r="FT214" s="35" t="s">
        <v>420</v>
      </c>
      <c r="FU214" s="35" t="s">
        <v>488</v>
      </c>
      <c r="FV214" s="35" t="s">
        <v>533</v>
      </c>
      <c r="FW214" s="35" t="s">
        <v>490</v>
      </c>
      <c r="FX214" s="35" t="s">
        <v>491</v>
      </c>
      <c r="FY214" s="35" t="s">
        <v>6799</v>
      </c>
      <c r="FZ214" s="35" t="s">
        <v>535</v>
      </c>
      <c r="GA214" s="35" t="s">
        <v>6800</v>
      </c>
      <c r="GB214" s="35" t="s">
        <v>6801</v>
      </c>
      <c r="GC214" s="35" t="s">
        <v>455</v>
      </c>
      <c r="GF214" s="35" t="s">
        <v>1420</v>
      </c>
      <c r="GH214" s="35" t="s">
        <v>755</v>
      </c>
      <c r="GI214" s="35" t="s">
        <v>755</v>
      </c>
      <c r="GJ214" s="35" t="s">
        <v>946</v>
      </c>
      <c r="GR214" s="35" t="s">
        <v>4653</v>
      </c>
      <c r="GU214" s="35" t="s">
        <v>4774</v>
      </c>
      <c r="GW214" s="35" t="s">
        <v>5231</v>
      </c>
      <c r="GX214" s="35" t="s">
        <v>5232</v>
      </c>
      <c r="HD214" s="35" t="s">
        <v>5297</v>
      </c>
      <c r="HE214" s="35" t="s">
        <v>484</v>
      </c>
      <c r="HF214" s="35" t="s">
        <v>5320</v>
      </c>
      <c r="HG214" s="35" t="s">
        <v>5768</v>
      </c>
      <c r="HP214" s="35" t="s">
        <v>5236</v>
      </c>
      <c r="HQ214" s="35" t="s">
        <v>5264</v>
      </c>
      <c r="HR214" s="35" t="s">
        <v>5238</v>
      </c>
      <c r="HS214" s="35" t="s">
        <v>5321</v>
      </c>
      <c r="MK214" s="35" t="s">
        <v>6321</v>
      </c>
    </row>
    <row r="215">
      <c r="A215" s="35" t="s">
        <v>11460</v>
      </c>
      <c r="B215" s="40">
        <v>45929.659956793985</v>
      </c>
      <c r="C215" s="35" t="s">
        <v>368</v>
      </c>
      <c r="D215" s="35" t="s">
        <v>370</v>
      </c>
      <c r="E215" s="35" t="s">
        <v>370</v>
      </c>
      <c r="F215" s="35" t="s">
        <v>6634</v>
      </c>
      <c r="G215" s="35" t="s">
        <v>3955</v>
      </c>
      <c r="H215" s="35" t="s">
        <v>422</v>
      </c>
      <c r="I215" s="35" t="s">
        <v>1203</v>
      </c>
      <c r="J215" s="35" t="s">
        <v>6803</v>
      </c>
      <c r="K215" s="35" t="s">
        <v>590</v>
      </c>
      <c r="L215" s="35" t="s">
        <v>376</v>
      </c>
      <c r="M215" s="35" t="s">
        <v>379</v>
      </c>
      <c r="N215" s="35" t="s">
        <v>6804</v>
      </c>
      <c r="O215" s="35" t="s">
        <v>379</v>
      </c>
      <c r="P215" s="35" t="s">
        <v>2966</v>
      </c>
      <c r="Q215" s="35" t="s">
        <v>498</v>
      </c>
      <c r="R215" s="35" t="s">
        <v>1156</v>
      </c>
      <c r="S215" s="35" t="s">
        <v>427</v>
      </c>
      <c r="T215" s="35" t="s">
        <v>384</v>
      </c>
      <c r="U215" s="35" t="s">
        <v>385</v>
      </c>
      <c r="X215" s="35" t="s">
        <v>3231</v>
      </c>
      <c r="AW215" s="35" t="s">
        <v>390</v>
      </c>
      <c r="AX215" s="41">
        <v>2.0</v>
      </c>
      <c r="AY215" s="35" t="s">
        <v>391</v>
      </c>
      <c r="AZ215" s="41">
        <v>4.0</v>
      </c>
      <c r="BA215" s="41">
        <v>2.0</v>
      </c>
      <c r="BB215" s="41">
        <v>2.0</v>
      </c>
      <c r="BC215" s="41">
        <v>2.0</v>
      </c>
      <c r="BH215" s="35" t="s">
        <v>507</v>
      </c>
      <c r="BL215" s="35" t="s">
        <v>511</v>
      </c>
      <c r="BN215" s="35" t="s">
        <v>549</v>
      </c>
      <c r="BO215" s="35" t="s">
        <v>513</v>
      </c>
      <c r="CM215" s="35" t="s">
        <v>441</v>
      </c>
      <c r="CN215" s="35" t="s">
        <v>401</v>
      </c>
      <c r="CO215" s="35" t="s">
        <v>6805</v>
      </c>
      <c r="CP215" s="35" t="s">
        <v>6806</v>
      </c>
      <c r="CQ215" s="35" t="s">
        <v>445</v>
      </c>
      <c r="CR215" s="35" t="s">
        <v>6807</v>
      </c>
      <c r="CT215" s="35" t="s">
        <v>6808</v>
      </c>
      <c r="CU215" s="35" t="s">
        <v>6809</v>
      </c>
      <c r="CV215" s="35" t="s">
        <v>1863</v>
      </c>
      <c r="CW215" s="35" t="s">
        <v>451</v>
      </c>
      <c r="CX215" s="35" t="s">
        <v>6810</v>
      </c>
      <c r="CY215" s="35" t="s">
        <v>733</v>
      </c>
      <c r="DA215" s="35" t="s">
        <v>453</v>
      </c>
      <c r="DB215" s="35" t="s">
        <v>6811</v>
      </c>
      <c r="DC215" s="35" t="s">
        <v>913</v>
      </c>
      <c r="DE215" s="35" t="s">
        <v>406</v>
      </c>
      <c r="DF215" s="35" t="s">
        <v>407</v>
      </c>
      <c r="DG215" s="35" t="s">
        <v>6812</v>
      </c>
      <c r="DH215" s="35" t="s">
        <v>524</v>
      </c>
      <c r="DI215" s="35" t="s">
        <v>694</v>
      </c>
      <c r="DJ215" s="35" t="s">
        <v>963</v>
      </c>
      <c r="DK215" s="35" t="s">
        <v>562</v>
      </c>
      <c r="DL215" s="35" t="s">
        <v>6335</v>
      </c>
      <c r="EU215" s="35" t="s">
        <v>526</v>
      </c>
      <c r="EV215" s="35" t="s">
        <v>479</v>
      </c>
      <c r="EW215" s="35" t="s">
        <v>480</v>
      </c>
      <c r="EY215" s="35" t="s">
        <v>6813</v>
      </c>
      <c r="EZ215" s="35" t="s">
        <v>6814</v>
      </c>
      <c r="FA215" s="35" t="s">
        <v>583</v>
      </c>
      <c r="FB215" s="35" t="s">
        <v>583</v>
      </c>
      <c r="FC215" s="35" t="s">
        <v>415</v>
      </c>
      <c r="FD215" s="35" t="s">
        <v>583</v>
      </c>
      <c r="FE215" s="35" t="s">
        <v>414</v>
      </c>
      <c r="FF215" s="35" t="s">
        <v>583</v>
      </c>
      <c r="FG215" s="35" t="s">
        <v>583</v>
      </c>
      <c r="FH215" s="35" t="s">
        <v>583</v>
      </c>
      <c r="FI215" s="35" t="s">
        <v>414</v>
      </c>
      <c r="FJ215" s="35" t="s">
        <v>583</v>
      </c>
      <c r="FK215" s="35" t="s">
        <v>414</v>
      </c>
      <c r="FL215" s="35" t="s">
        <v>414</v>
      </c>
      <c r="FM215" s="35" t="s">
        <v>414</v>
      </c>
      <c r="FN215" s="35" t="s">
        <v>414</v>
      </c>
      <c r="FO215" s="35" t="s">
        <v>414</v>
      </c>
      <c r="FP215" s="35" t="s">
        <v>850</v>
      </c>
      <c r="FQ215" s="35" t="s">
        <v>418</v>
      </c>
      <c r="FR215" s="35" t="s">
        <v>630</v>
      </c>
      <c r="FS215" s="35" t="s">
        <v>6815</v>
      </c>
      <c r="FT215" s="35" t="s">
        <v>995</v>
      </c>
      <c r="FU215" s="35" t="s">
        <v>488</v>
      </c>
      <c r="FV215" s="35" t="s">
        <v>533</v>
      </c>
      <c r="FW215" s="35" t="s">
        <v>490</v>
      </c>
      <c r="FX215" s="35" t="s">
        <v>491</v>
      </c>
      <c r="FY215" s="35" t="s">
        <v>6816</v>
      </c>
      <c r="FZ215" s="35" t="s">
        <v>535</v>
      </c>
      <c r="GA215" s="35" t="s">
        <v>6817</v>
      </c>
      <c r="GB215" s="35" t="s">
        <v>6818</v>
      </c>
      <c r="GC215" s="35" t="s">
        <v>408</v>
      </c>
      <c r="GH215" s="35" t="s">
        <v>789</v>
      </c>
      <c r="GI215" s="35" t="s">
        <v>755</v>
      </c>
      <c r="GJ215" s="35" t="s">
        <v>946</v>
      </c>
      <c r="GQ215" s="35" t="s">
        <v>387</v>
      </c>
      <c r="GR215" s="35" t="s">
        <v>3208</v>
      </c>
      <c r="GU215" s="35" t="s">
        <v>4774</v>
      </c>
      <c r="GW215" s="35" t="s">
        <v>5231</v>
      </c>
      <c r="GX215" s="35" t="s">
        <v>5261</v>
      </c>
      <c r="HD215" s="35" t="s">
        <v>5297</v>
      </c>
      <c r="HE215" s="35" t="s">
        <v>484</v>
      </c>
      <c r="HF215" s="35" t="s">
        <v>5492</v>
      </c>
      <c r="HG215" s="35" t="s">
        <v>5300</v>
      </c>
      <c r="HP215" s="35" t="s">
        <v>5236</v>
      </c>
      <c r="HQ215" s="35" t="s">
        <v>5264</v>
      </c>
      <c r="HR215" s="35" t="s">
        <v>5238</v>
      </c>
      <c r="HS215" s="35" t="s">
        <v>6819</v>
      </c>
      <c r="HX215" s="35" t="s">
        <v>6820</v>
      </c>
      <c r="MK215" s="35" t="s">
        <v>6321</v>
      </c>
    </row>
    <row r="216">
      <c r="A216" s="35" t="s">
        <v>11461</v>
      </c>
      <c r="B216" s="40">
        <v>45929.82908622685</v>
      </c>
      <c r="C216" s="35" t="s">
        <v>368</v>
      </c>
      <c r="D216" s="35" t="s">
        <v>370</v>
      </c>
      <c r="E216" s="35" t="s">
        <v>370</v>
      </c>
      <c r="F216" s="35" t="s">
        <v>2400</v>
      </c>
      <c r="G216" s="35" t="s">
        <v>2400</v>
      </c>
      <c r="H216" s="35" t="s">
        <v>6821</v>
      </c>
      <c r="I216" s="35" t="s">
        <v>373</v>
      </c>
      <c r="J216" s="35" t="s">
        <v>374</v>
      </c>
      <c r="K216" s="35" t="s">
        <v>590</v>
      </c>
      <c r="L216" s="35" t="s">
        <v>376</v>
      </c>
      <c r="M216" s="35" t="s">
        <v>379</v>
      </c>
      <c r="N216" s="35" t="s">
        <v>2464</v>
      </c>
      <c r="O216" s="35" t="s">
        <v>591</v>
      </c>
      <c r="P216" s="35" t="s">
        <v>497</v>
      </c>
      <c r="Q216" s="35" t="s">
        <v>1760</v>
      </c>
      <c r="R216" s="35" t="s">
        <v>862</v>
      </c>
      <c r="S216" s="35" t="s">
        <v>1704</v>
      </c>
      <c r="T216" s="35" t="s">
        <v>1512</v>
      </c>
      <c r="U216" s="35" t="s">
        <v>385</v>
      </c>
      <c r="X216" s="35" t="s">
        <v>386</v>
      </c>
      <c r="Y216" s="35" t="s">
        <v>387</v>
      </c>
      <c r="Z216" s="35" t="s">
        <v>6822</v>
      </c>
      <c r="AA216" s="35" t="s">
        <v>672</v>
      </c>
      <c r="AB216" s="35" t="s">
        <v>6823</v>
      </c>
      <c r="AW216" s="35" t="s">
        <v>504</v>
      </c>
      <c r="AX216" s="35" t="s">
        <v>429</v>
      </c>
      <c r="AY216" s="35" t="s">
        <v>429</v>
      </c>
      <c r="AZ216" s="35" t="s">
        <v>429</v>
      </c>
      <c r="BA216" s="35" t="s">
        <v>429</v>
      </c>
      <c r="BB216" s="35" t="s">
        <v>429</v>
      </c>
      <c r="BC216" s="35" t="s">
        <v>429</v>
      </c>
      <c r="BD216" s="35" t="s">
        <v>6824</v>
      </c>
      <c r="BE216" s="35" t="s">
        <v>6825</v>
      </c>
      <c r="BF216" s="35" t="s">
        <v>392</v>
      </c>
      <c r="BG216" s="35" t="s">
        <v>433</v>
      </c>
      <c r="BH216" s="35" t="s">
        <v>678</v>
      </c>
      <c r="BI216" s="35" t="s">
        <v>6826</v>
      </c>
      <c r="BJ216" s="35" t="s">
        <v>509</v>
      </c>
      <c r="BK216" s="35" t="s">
        <v>6827</v>
      </c>
      <c r="BL216" s="35" t="s">
        <v>681</v>
      </c>
      <c r="BM216" s="35" t="s">
        <v>512</v>
      </c>
      <c r="BN216" s="35" t="s">
        <v>439</v>
      </c>
      <c r="BO216" s="35" t="s">
        <v>513</v>
      </c>
      <c r="CM216" s="35" t="s">
        <v>441</v>
      </c>
      <c r="CN216" s="35" t="s">
        <v>604</v>
      </c>
      <c r="CO216" s="35" t="s">
        <v>6828</v>
      </c>
      <c r="CP216" s="35" t="s">
        <v>6829</v>
      </c>
      <c r="CQ216" s="35" t="s">
        <v>1948</v>
      </c>
      <c r="CR216" s="35" t="s">
        <v>6830</v>
      </c>
      <c r="CS216" s="35" t="s">
        <v>804</v>
      </c>
      <c r="CT216" s="35" t="s">
        <v>6831</v>
      </c>
      <c r="CU216" s="35" t="s">
        <v>6832</v>
      </c>
      <c r="CV216" s="35" t="s">
        <v>450</v>
      </c>
      <c r="CW216" s="35" t="s">
        <v>451</v>
      </c>
      <c r="CX216" s="35" t="s">
        <v>6833</v>
      </c>
      <c r="CY216" s="35" t="s">
        <v>408</v>
      </c>
      <c r="DA216" s="35" t="s">
        <v>453</v>
      </c>
      <c r="DB216" s="35" t="s">
        <v>6834</v>
      </c>
      <c r="DC216" s="35" t="s">
        <v>455</v>
      </c>
      <c r="DD216" s="35" t="s">
        <v>6835</v>
      </c>
      <c r="DE216" s="35" t="s">
        <v>457</v>
      </c>
      <c r="DG216" s="35" t="s">
        <v>6836</v>
      </c>
      <c r="DH216" s="35" t="s">
        <v>524</v>
      </c>
      <c r="DI216" s="35" t="s">
        <v>410</v>
      </c>
      <c r="DJ216" s="35" t="s">
        <v>459</v>
      </c>
      <c r="DK216" s="35" t="s">
        <v>613</v>
      </c>
      <c r="EU216" s="35" t="s">
        <v>478</v>
      </c>
      <c r="EV216" s="35" t="s">
        <v>1127</v>
      </c>
      <c r="EW216" s="35" t="s">
        <v>480</v>
      </c>
      <c r="EX216" s="35" t="s">
        <v>6837</v>
      </c>
      <c r="EY216" s="35" t="s">
        <v>6838</v>
      </c>
      <c r="EZ216" s="35" t="s">
        <v>2963</v>
      </c>
      <c r="FA216" s="35" t="s">
        <v>484</v>
      </c>
      <c r="FB216" s="35" t="s">
        <v>484</v>
      </c>
      <c r="FC216" s="35" t="s">
        <v>484</v>
      </c>
      <c r="FD216" s="35" t="s">
        <v>484</v>
      </c>
      <c r="FE216" s="35" t="s">
        <v>484</v>
      </c>
      <c r="FF216" s="35" t="s">
        <v>484</v>
      </c>
      <c r="FG216" s="35" t="s">
        <v>484</v>
      </c>
      <c r="FH216" s="35" t="s">
        <v>484</v>
      </c>
      <c r="FI216" s="35" t="s">
        <v>484</v>
      </c>
      <c r="FJ216" s="35" t="s">
        <v>484</v>
      </c>
      <c r="FK216" s="35" t="s">
        <v>484</v>
      </c>
      <c r="FL216" s="35" t="s">
        <v>484</v>
      </c>
      <c r="FM216" s="35" t="s">
        <v>484</v>
      </c>
      <c r="FN216" s="35" t="s">
        <v>484</v>
      </c>
      <c r="FO216" s="35" t="s">
        <v>484</v>
      </c>
      <c r="FP216" s="35" t="s">
        <v>417</v>
      </c>
      <c r="FQ216" s="35" t="s">
        <v>418</v>
      </c>
      <c r="FR216" s="35" t="s">
        <v>419</v>
      </c>
      <c r="FS216" s="35" t="s">
        <v>6839</v>
      </c>
      <c r="FT216" s="35" t="s">
        <v>420</v>
      </c>
      <c r="FU216" s="35" t="s">
        <v>488</v>
      </c>
      <c r="FV216" s="35" t="s">
        <v>489</v>
      </c>
      <c r="FW216" s="35" t="s">
        <v>490</v>
      </c>
      <c r="FX216" s="35" t="s">
        <v>491</v>
      </c>
      <c r="FY216" s="35" t="s">
        <v>6840</v>
      </c>
      <c r="FZ216" s="35" t="s">
        <v>535</v>
      </c>
      <c r="GA216" s="35" t="s">
        <v>6841</v>
      </c>
      <c r="GC216" s="35" t="s">
        <v>455</v>
      </c>
      <c r="GD216" s="35" t="s">
        <v>11462</v>
      </c>
      <c r="GE216" s="35" t="s">
        <v>11463</v>
      </c>
      <c r="GF216" s="35" t="s">
        <v>753</v>
      </c>
      <c r="GG216" s="35" t="s">
        <v>455</v>
      </c>
      <c r="GH216" s="35" t="s">
        <v>755</v>
      </c>
      <c r="GI216" s="35" t="s">
        <v>755</v>
      </c>
      <c r="GJ216" s="35" t="s">
        <v>858</v>
      </c>
      <c r="GR216" s="35" t="s">
        <v>4653</v>
      </c>
      <c r="GW216" s="35" t="s">
        <v>5231</v>
      </c>
      <c r="GX216" s="35" t="s">
        <v>484</v>
      </c>
      <c r="HD216" s="35" t="s">
        <v>5281</v>
      </c>
      <c r="HE216" s="35" t="s">
        <v>5282</v>
      </c>
      <c r="HF216" s="35" t="s">
        <v>5320</v>
      </c>
      <c r="HG216" s="35" t="s">
        <v>5899</v>
      </c>
      <c r="HP216" s="35" t="s">
        <v>5236</v>
      </c>
      <c r="HQ216" s="35" t="s">
        <v>5237</v>
      </c>
      <c r="HR216" s="35" t="s">
        <v>5238</v>
      </c>
      <c r="HS216" s="35" t="s">
        <v>5347</v>
      </c>
      <c r="HX216" s="35" t="s">
        <v>5628</v>
      </c>
      <c r="MK216" s="35" t="s">
        <v>6321</v>
      </c>
    </row>
    <row r="217">
      <c r="A217" s="35" t="s">
        <v>11464</v>
      </c>
      <c r="B217" s="40">
        <v>45931.496851261574</v>
      </c>
      <c r="C217" s="35" t="s">
        <v>368</v>
      </c>
      <c r="D217" s="35" t="s">
        <v>370</v>
      </c>
      <c r="E217" s="35" t="s">
        <v>370</v>
      </c>
      <c r="F217" s="35" t="s">
        <v>2114</v>
      </c>
      <c r="G217" s="35" t="s">
        <v>371</v>
      </c>
      <c r="H217" s="35" t="s">
        <v>1002</v>
      </c>
      <c r="I217" s="35" t="s">
        <v>496</v>
      </c>
      <c r="J217" s="35" t="s">
        <v>374</v>
      </c>
      <c r="K217" s="35" t="s">
        <v>375</v>
      </c>
      <c r="L217" s="35" t="s">
        <v>376</v>
      </c>
      <c r="M217" s="35" t="s">
        <v>591</v>
      </c>
      <c r="N217" s="35" t="s">
        <v>541</v>
      </c>
      <c r="O217" s="35" t="s">
        <v>379</v>
      </c>
      <c r="P217" s="35" t="s">
        <v>497</v>
      </c>
      <c r="Q217" s="35" t="s">
        <v>498</v>
      </c>
      <c r="R217" s="35" t="s">
        <v>818</v>
      </c>
      <c r="S217" s="35" t="s">
        <v>427</v>
      </c>
      <c r="T217" s="35" t="s">
        <v>1443</v>
      </c>
      <c r="U217" s="35" t="s">
        <v>385</v>
      </c>
      <c r="X217" s="35" t="s">
        <v>3014</v>
      </c>
      <c r="AW217" s="35" t="s">
        <v>504</v>
      </c>
      <c r="AX217" s="35" t="s">
        <v>429</v>
      </c>
      <c r="AY217" s="35" t="s">
        <v>429</v>
      </c>
      <c r="AZ217" s="35" t="s">
        <v>429</v>
      </c>
      <c r="BA217" s="41">
        <v>2.0</v>
      </c>
      <c r="BB217" s="35" t="s">
        <v>429</v>
      </c>
      <c r="BC217" s="41">
        <v>2.0</v>
      </c>
      <c r="BD217" s="35" t="s">
        <v>6842</v>
      </c>
      <c r="BE217" s="35" t="s">
        <v>6843</v>
      </c>
      <c r="BF217" s="35" t="s">
        <v>392</v>
      </c>
      <c r="BG217" s="35" t="s">
        <v>433</v>
      </c>
      <c r="BH217" s="35" t="s">
        <v>678</v>
      </c>
      <c r="BI217" s="35" t="s">
        <v>6844</v>
      </c>
      <c r="BJ217" s="35" t="s">
        <v>509</v>
      </c>
      <c r="BK217" s="35" t="s">
        <v>6845</v>
      </c>
      <c r="BL217" s="35" t="s">
        <v>437</v>
      </c>
      <c r="BM217" s="35" t="s">
        <v>512</v>
      </c>
      <c r="BN217" s="35" t="s">
        <v>439</v>
      </c>
      <c r="BO217" s="35" t="s">
        <v>513</v>
      </c>
      <c r="CM217" s="35" t="s">
        <v>441</v>
      </c>
      <c r="CN217" s="35" t="s">
        <v>442</v>
      </c>
      <c r="CO217" s="35" t="s">
        <v>6846</v>
      </c>
      <c r="CP217" s="35" t="s">
        <v>6847</v>
      </c>
      <c r="CQ217" s="35" t="s">
        <v>685</v>
      </c>
      <c r="CR217" s="35" t="s">
        <v>516</v>
      </c>
      <c r="CS217" s="35" t="s">
        <v>447</v>
      </c>
      <c r="CT217" s="35" t="s">
        <v>6848</v>
      </c>
      <c r="CU217" s="35" t="s">
        <v>6849</v>
      </c>
      <c r="CV217" s="35" t="s">
        <v>450</v>
      </c>
      <c r="CW217" s="35" t="s">
        <v>451</v>
      </c>
      <c r="CX217" s="35" t="s">
        <v>6850</v>
      </c>
      <c r="CY217" s="35" t="s">
        <v>408</v>
      </c>
      <c r="DA217" s="35" t="s">
        <v>453</v>
      </c>
      <c r="DB217" s="35" t="s">
        <v>6851</v>
      </c>
      <c r="DC217" s="35" t="s">
        <v>455</v>
      </c>
      <c r="DD217" s="35" t="s">
        <v>6852</v>
      </c>
      <c r="DE217" s="35" t="s">
        <v>457</v>
      </c>
      <c r="DG217" s="35" t="s">
        <v>6853</v>
      </c>
      <c r="DH217" s="35" t="s">
        <v>561</v>
      </c>
      <c r="DI217" s="35" t="s">
        <v>410</v>
      </c>
      <c r="DJ217" s="35" t="s">
        <v>459</v>
      </c>
      <c r="DK217" s="35" t="s">
        <v>460</v>
      </c>
      <c r="DL217" s="35" t="s">
        <v>6335</v>
      </c>
      <c r="EU217" s="35" t="s">
        <v>478</v>
      </c>
      <c r="EV217" s="35" t="s">
        <v>479</v>
      </c>
      <c r="EW217" s="35" t="s">
        <v>663</v>
      </c>
      <c r="EY217" s="35" t="s">
        <v>6854</v>
      </c>
      <c r="EZ217" s="35" t="s">
        <v>4254</v>
      </c>
      <c r="FA217" s="35" t="s">
        <v>413</v>
      </c>
      <c r="FB217" s="35" t="s">
        <v>415</v>
      </c>
      <c r="FC217" s="35" t="s">
        <v>413</v>
      </c>
      <c r="FD217" s="35" t="s">
        <v>413</v>
      </c>
      <c r="FE217" s="35" t="s">
        <v>413</v>
      </c>
      <c r="FF217" s="35" t="s">
        <v>415</v>
      </c>
      <c r="FG217" s="35" t="s">
        <v>415</v>
      </c>
      <c r="FH217" s="35" t="s">
        <v>413</v>
      </c>
      <c r="FI217" s="35" t="s">
        <v>583</v>
      </c>
      <c r="FJ217" s="35" t="s">
        <v>415</v>
      </c>
      <c r="FK217" s="35" t="s">
        <v>413</v>
      </c>
      <c r="FL217" s="35" t="s">
        <v>413</v>
      </c>
      <c r="FM217" s="35" t="s">
        <v>413</v>
      </c>
      <c r="FN217" s="35" t="s">
        <v>413</v>
      </c>
      <c r="FO217" s="35" t="s">
        <v>583</v>
      </c>
      <c r="FP217" s="35" t="s">
        <v>417</v>
      </c>
      <c r="FQ217" s="35" t="s">
        <v>418</v>
      </c>
      <c r="FR217" s="35" t="s">
        <v>749</v>
      </c>
      <c r="FS217" s="35" t="s">
        <v>6855</v>
      </c>
      <c r="FT217" s="35" t="s">
        <v>420</v>
      </c>
      <c r="FU217" s="35" t="s">
        <v>488</v>
      </c>
      <c r="FV217" s="35" t="s">
        <v>918</v>
      </c>
      <c r="FW217" s="35" t="s">
        <v>490</v>
      </c>
      <c r="FX217" s="35" t="s">
        <v>491</v>
      </c>
      <c r="FY217" s="35" t="s">
        <v>6856</v>
      </c>
      <c r="FZ217" s="35" t="s">
        <v>535</v>
      </c>
      <c r="GA217" s="35" t="s">
        <v>6857</v>
      </c>
      <c r="GB217" s="35" t="s">
        <v>6858</v>
      </c>
      <c r="GC217" s="35" t="s">
        <v>455</v>
      </c>
      <c r="GD217" s="35" t="s">
        <v>11465</v>
      </c>
      <c r="GF217" s="35" t="s">
        <v>1339</v>
      </c>
      <c r="GH217" s="35" t="s">
        <v>788</v>
      </c>
      <c r="GI217" s="35" t="s">
        <v>788</v>
      </c>
      <c r="GJ217" s="35" t="s">
        <v>921</v>
      </c>
      <c r="GR217" s="35" t="s">
        <v>3208</v>
      </c>
      <c r="GU217" s="35" t="s">
        <v>4774</v>
      </c>
      <c r="GW217" s="35" t="s">
        <v>5231</v>
      </c>
      <c r="GX217" s="35" t="s">
        <v>5232</v>
      </c>
      <c r="HD217" s="35" t="s">
        <v>5297</v>
      </c>
      <c r="HE217" s="35" t="s">
        <v>5298</v>
      </c>
      <c r="HF217" s="35" t="s">
        <v>5320</v>
      </c>
      <c r="HG217" s="35" t="s">
        <v>5899</v>
      </c>
      <c r="HP217" s="35" t="s">
        <v>5236</v>
      </c>
      <c r="HQ217" s="35" t="s">
        <v>5237</v>
      </c>
      <c r="HR217" s="35" t="s">
        <v>5238</v>
      </c>
      <c r="HS217" s="35" t="s">
        <v>5321</v>
      </c>
      <c r="HX217" s="35" t="s">
        <v>6859</v>
      </c>
      <c r="MK217" s="35" t="s">
        <v>6321</v>
      </c>
    </row>
    <row r="218">
      <c r="A218" s="35" t="s">
        <v>11466</v>
      </c>
      <c r="B218" s="40">
        <v>45933.70498268519</v>
      </c>
      <c r="C218" s="35" t="s">
        <v>368</v>
      </c>
      <c r="D218" s="35" t="s">
        <v>370</v>
      </c>
      <c r="E218" s="35" t="s">
        <v>370</v>
      </c>
      <c r="F218" s="35" t="s">
        <v>1421</v>
      </c>
      <c r="G218" s="35" t="s">
        <v>1421</v>
      </c>
      <c r="H218" s="35" t="s">
        <v>422</v>
      </c>
      <c r="I218" s="35" t="s">
        <v>373</v>
      </c>
      <c r="J218" s="35" t="s">
        <v>638</v>
      </c>
      <c r="K218" s="35" t="s">
        <v>590</v>
      </c>
      <c r="L218" s="35" t="s">
        <v>376</v>
      </c>
      <c r="M218" s="35" t="s">
        <v>379</v>
      </c>
      <c r="N218" s="35" t="s">
        <v>2464</v>
      </c>
      <c r="O218" s="35" t="s">
        <v>377</v>
      </c>
      <c r="P218" s="35" t="s">
        <v>1024</v>
      </c>
      <c r="Q218" s="35" t="s">
        <v>381</v>
      </c>
      <c r="R218" s="35" t="s">
        <v>759</v>
      </c>
      <c r="S218" s="35" t="s">
        <v>1704</v>
      </c>
      <c r="T218" s="35" t="s">
        <v>3798</v>
      </c>
      <c r="U218" s="35" t="s">
        <v>385</v>
      </c>
      <c r="X218" s="35" t="s">
        <v>3014</v>
      </c>
      <c r="AW218" s="35" t="s">
        <v>390</v>
      </c>
      <c r="AX218" s="35" t="s">
        <v>391</v>
      </c>
      <c r="AY218" s="41">
        <v>2.0</v>
      </c>
      <c r="AZ218" s="41">
        <v>4.0</v>
      </c>
      <c r="BA218" s="41">
        <v>4.0</v>
      </c>
      <c r="BB218" s="41">
        <v>2.0</v>
      </c>
      <c r="BC218" s="35" t="s">
        <v>391</v>
      </c>
      <c r="BF218" s="35" t="s">
        <v>2259</v>
      </c>
      <c r="BG218" s="35" t="s">
        <v>1047</v>
      </c>
      <c r="BH218" s="35" t="s">
        <v>765</v>
      </c>
      <c r="BJ218" s="35" t="s">
        <v>976</v>
      </c>
      <c r="BL218" s="35" t="s">
        <v>437</v>
      </c>
      <c r="BM218" s="35" t="s">
        <v>438</v>
      </c>
      <c r="BN218" s="35" t="s">
        <v>397</v>
      </c>
      <c r="BO218" s="35" t="s">
        <v>513</v>
      </c>
      <c r="CM218" s="35" t="s">
        <v>441</v>
      </c>
      <c r="CN218" s="35" t="s">
        <v>604</v>
      </c>
      <c r="CO218" s="35" t="s">
        <v>552</v>
      </c>
      <c r="CQ218" s="35" t="s">
        <v>979</v>
      </c>
      <c r="CR218" s="35" t="s">
        <v>1427</v>
      </c>
      <c r="CS218" s="35" t="s">
        <v>404</v>
      </c>
      <c r="CT218" s="35" t="s">
        <v>6860</v>
      </c>
      <c r="CV218" s="35" t="s">
        <v>450</v>
      </c>
      <c r="CW218" s="35" t="s">
        <v>451</v>
      </c>
      <c r="CY218" s="35" t="s">
        <v>408</v>
      </c>
      <c r="DA218" s="35" t="s">
        <v>1398</v>
      </c>
      <c r="DC218" s="35" t="s">
        <v>408</v>
      </c>
      <c r="DE218" s="35" t="s">
        <v>662</v>
      </c>
      <c r="DF218" s="35" t="s">
        <v>407</v>
      </c>
      <c r="DH218" s="35" t="s">
        <v>561</v>
      </c>
      <c r="DI218" s="35" t="s">
        <v>833</v>
      </c>
      <c r="DJ218" s="35" t="s">
        <v>777</v>
      </c>
      <c r="DK218" s="35" t="s">
        <v>562</v>
      </c>
      <c r="DL218" s="35" t="s">
        <v>1434</v>
      </c>
      <c r="EU218" s="35" t="s">
        <v>578</v>
      </c>
      <c r="EV218" s="35" t="s">
        <v>1037</v>
      </c>
      <c r="EW218" s="35" t="s">
        <v>663</v>
      </c>
      <c r="FC218" s="35" t="s">
        <v>413</v>
      </c>
      <c r="FD218" s="35" t="s">
        <v>413</v>
      </c>
      <c r="FE218" s="35" t="s">
        <v>413</v>
      </c>
      <c r="FF218" s="35" t="s">
        <v>415</v>
      </c>
      <c r="FG218" s="35" t="s">
        <v>415</v>
      </c>
      <c r="FH218" s="35" t="s">
        <v>415</v>
      </c>
      <c r="FI218" s="35" t="s">
        <v>583</v>
      </c>
      <c r="FJ218" s="35" t="s">
        <v>583</v>
      </c>
      <c r="FK218" s="35" t="s">
        <v>415</v>
      </c>
      <c r="FL218" s="35" t="s">
        <v>484</v>
      </c>
      <c r="FM218" s="35" t="s">
        <v>484</v>
      </c>
      <c r="FN218" s="35" t="s">
        <v>415</v>
      </c>
      <c r="FO218" s="35" t="s">
        <v>583</v>
      </c>
      <c r="FP218" s="35" t="s">
        <v>3396</v>
      </c>
      <c r="FQ218" s="35" t="s">
        <v>2524</v>
      </c>
      <c r="FR218" s="35" t="s">
        <v>712</v>
      </c>
      <c r="FT218" s="35" t="s">
        <v>420</v>
      </c>
      <c r="FU218" s="35" t="s">
        <v>1476</v>
      </c>
      <c r="FV218" s="35" t="s">
        <v>489</v>
      </c>
      <c r="FW218" s="35" t="s">
        <v>490</v>
      </c>
      <c r="FX218" s="35" t="s">
        <v>491</v>
      </c>
      <c r="FZ218" s="35" t="s">
        <v>535</v>
      </c>
      <c r="GC218" s="35" t="s">
        <v>408</v>
      </c>
      <c r="GH218" s="35" t="s">
        <v>788</v>
      </c>
      <c r="GI218" s="35" t="s">
        <v>1000</v>
      </c>
      <c r="GJ218" s="35" t="s">
        <v>756</v>
      </c>
      <c r="GR218" s="35" t="s">
        <v>3306</v>
      </c>
      <c r="GU218" s="35" t="s">
        <v>4774</v>
      </c>
      <c r="GW218" s="35" t="s">
        <v>5231</v>
      </c>
      <c r="GX218" s="35" t="s">
        <v>484</v>
      </c>
      <c r="HD218" s="35" t="s">
        <v>484</v>
      </c>
      <c r="HE218" s="35" t="s">
        <v>5282</v>
      </c>
      <c r="HF218" s="35" t="s">
        <v>484</v>
      </c>
      <c r="HG218" s="35" t="s">
        <v>5768</v>
      </c>
      <c r="HP218" s="35" t="s">
        <v>5383</v>
      </c>
      <c r="HQ218" s="35" t="s">
        <v>5237</v>
      </c>
      <c r="HR218" s="35" t="s">
        <v>5238</v>
      </c>
      <c r="HS218" s="35" t="s">
        <v>5347</v>
      </c>
      <c r="MK218" s="35" t="s">
        <v>6321</v>
      </c>
    </row>
    <row r="219">
      <c r="A219" s="35" t="s">
        <v>11467</v>
      </c>
      <c r="B219" s="40">
        <v>45937.46064668981</v>
      </c>
      <c r="C219" s="35" t="s">
        <v>368</v>
      </c>
      <c r="D219" s="35" t="s">
        <v>5153</v>
      </c>
      <c r="E219" s="35" t="s">
        <v>5153</v>
      </c>
      <c r="H219" s="35" t="s">
        <v>422</v>
      </c>
      <c r="I219" s="35" t="s">
        <v>637</v>
      </c>
      <c r="J219" s="35" t="s">
        <v>638</v>
      </c>
      <c r="K219" s="35" t="s">
        <v>375</v>
      </c>
      <c r="L219" s="35" t="s">
        <v>376</v>
      </c>
      <c r="M219" s="35" t="s">
        <v>1526</v>
      </c>
      <c r="N219" s="35" t="s">
        <v>720</v>
      </c>
      <c r="O219" s="35" t="s">
        <v>1526</v>
      </c>
      <c r="P219" s="35" t="s">
        <v>497</v>
      </c>
      <c r="Q219" s="35" t="s">
        <v>381</v>
      </c>
      <c r="R219" s="35" t="s">
        <v>759</v>
      </c>
      <c r="S219" s="35" t="s">
        <v>427</v>
      </c>
      <c r="T219" s="35" t="s">
        <v>384</v>
      </c>
      <c r="U219" s="35" t="s">
        <v>385</v>
      </c>
      <c r="X219" s="35" t="s">
        <v>3014</v>
      </c>
      <c r="AW219" s="35" t="s">
        <v>1242</v>
      </c>
      <c r="AX219" s="35" t="s">
        <v>391</v>
      </c>
      <c r="AY219" s="35" t="s">
        <v>429</v>
      </c>
      <c r="AZ219" s="35" t="s">
        <v>391</v>
      </c>
      <c r="BA219" s="35" t="s">
        <v>429</v>
      </c>
      <c r="BB219" s="35" t="s">
        <v>429</v>
      </c>
      <c r="BC219" s="35" t="s">
        <v>429</v>
      </c>
      <c r="BF219" s="35" t="s">
        <v>392</v>
      </c>
      <c r="BG219" s="35" t="s">
        <v>433</v>
      </c>
      <c r="BH219" s="35" t="s">
        <v>394</v>
      </c>
      <c r="BJ219" s="35" t="s">
        <v>976</v>
      </c>
      <c r="BL219" s="35" t="s">
        <v>681</v>
      </c>
      <c r="BM219" s="35" t="s">
        <v>603</v>
      </c>
      <c r="BN219" s="35" t="s">
        <v>1314</v>
      </c>
      <c r="BO219" s="35" t="s">
        <v>513</v>
      </c>
      <c r="CM219" s="35" t="s">
        <v>682</v>
      </c>
      <c r="CN219" s="35" t="s">
        <v>604</v>
      </c>
      <c r="CU219" s="35" t="s">
        <v>6890</v>
      </c>
      <c r="CV219" s="35" t="s">
        <v>1852</v>
      </c>
      <c r="CW219" s="35" t="s">
        <v>959</v>
      </c>
      <c r="CY219" s="35" t="s">
        <v>408</v>
      </c>
      <c r="DA219" s="35" t="s">
        <v>1962</v>
      </c>
      <c r="DC219" s="35" t="s">
        <v>455</v>
      </c>
      <c r="DH219" s="35" t="s">
        <v>693</v>
      </c>
      <c r="DI219" s="35" t="s">
        <v>833</v>
      </c>
      <c r="DJ219" s="35" t="s">
        <v>963</v>
      </c>
      <c r="DK219" s="35" t="s">
        <v>613</v>
      </c>
      <c r="EV219" s="35" t="s">
        <v>579</v>
      </c>
      <c r="EW219" s="35" t="s">
        <v>1262</v>
      </c>
      <c r="FA219" s="35" t="s">
        <v>413</v>
      </c>
      <c r="FB219" s="35" t="s">
        <v>416</v>
      </c>
      <c r="FC219" s="35" t="s">
        <v>413</v>
      </c>
      <c r="FD219" s="35" t="s">
        <v>413</v>
      </c>
      <c r="FE219" s="35" t="s">
        <v>413</v>
      </c>
      <c r="FF219" s="35" t="s">
        <v>416</v>
      </c>
      <c r="FG219" s="35" t="s">
        <v>413</v>
      </c>
      <c r="FH219" s="35" t="s">
        <v>413</v>
      </c>
      <c r="FI219" s="35" t="s">
        <v>413</v>
      </c>
      <c r="FJ219" s="35" t="s">
        <v>413</v>
      </c>
      <c r="FK219" s="35" t="s">
        <v>413</v>
      </c>
      <c r="FL219" s="35" t="s">
        <v>413</v>
      </c>
      <c r="FM219" s="35" t="s">
        <v>413</v>
      </c>
      <c r="FN219" s="35" t="s">
        <v>413</v>
      </c>
      <c r="FO219" s="35" t="s">
        <v>413</v>
      </c>
      <c r="FP219" s="35" t="s">
        <v>1537</v>
      </c>
      <c r="FQ219" s="35" t="s">
        <v>2524</v>
      </c>
      <c r="FR219" s="35" t="s">
        <v>1039</v>
      </c>
      <c r="FT219" s="35" t="s">
        <v>420</v>
      </c>
      <c r="GC219" s="35" t="s">
        <v>408</v>
      </c>
      <c r="GH219" s="35" t="s">
        <v>755</v>
      </c>
      <c r="GI219" s="35" t="s">
        <v>755</v>
      </c>
      <c r="GJ219" s="35" t="s">
        <v>756</v>
      </c>
      <c r="GO219" s="35" t="s">
        <v>6891</v>
      </c>
      <c r="GP219" s="35" t="s">
        <v>6891</v>
      </c>
      <c r="GU219" s="35" t="s">
        <v>5170</v>
      </c>
      <c r="GW219" s="35" t="s">
        <v>5231</v>
      </c>
      <c r="GX219" s="35" t="s">
        <v>484</v>
      </c>
      <c r="HT219" s="35" t="s">
        <v>5987</v>
      </c>
      <c r="HV219" s="35" t="s">
        <v>5988</v>
      </c>
      <c r="HW219" s="35" t="s">
        <v>5918</v>
      </c>
      <c r="HY219" s="35" t="s">
        <v>5920</v>
      </c>
      <c r="HZ219" s="35" t="s">
        <v>5921</v>
      </c>
      <c r="IA219" s="35" t="s">
        <v>6464</v>
      </c>
      <c r="IB219" s="35" t="s">
        <v>5922</v>
      </c>
      <c r="IC219" s="35" t="s">
        <v>6464</v>
      </c>
      <c r="ID219" s="35" t="s">
        <v>5919</v>
      </c>
      <c r="IE219" s="35" t="s">
        <v>5500</v>
      </c>
      <c r="IF219" s="35" t="s">
        <v>5536</v>
      </c>
      <c r="IG219" s="35" t="s">
        <v>5989</v>
      </c>
      <c r="IH219" s="35" t="s">
        <v>5989</v>
      </c>
      <c r="II219" s="35" t="s">
        <v>6522</v>
      </c>
      <c r="IJ219" s="35" t="s">
        <v>5500</v>
      </c>
      <c r="IL219" s="35" t="s">
        <v>5924</v>
      </c>
      <c r="MK219" s="35" t="s">
        <v>6321</v>
      </c>
    </row>
    <row r="220">
      <c r="A220" s="35" t="s">
        <v>11468</v>
      </c>
      <c r="B220" s="40">
        <v>45938.7871534838</v>
      </c>
      <c r="C220" s="35" t="s">
        <v>368</v>
      </c>
      <c r="D220" s="35" t="s">
        <v>3570</v>
      </c>
      <c r="E220" s="35" t="s">
        <v>3570</v>
      </c>
      <c r="H220" s="35" t="s">
        <v>1783</v>
      </c>
      <c r="I220" s="35" t="s">
        <v>637</v>
      </c>
      <c r="J220" s="35" t="s">
        <v>638</v>
      </c>
      <c r="K220" s="35" t="s">
        <v>590</v>
      </c>
      <c r="L220" s="35" t="s">
        <v>376</v>
      </c>
      <c r="M220" s="35" t="s">
        <v>426</v>
      </c>
      <c r="N220" s="35" t="s">
        <v>719</v>
      </c>
      <c r="O220" s="35" t="s">
        <v>591</v>
      </c>
      <c r="P220" s="35" t="s">
        <v>719</v>
      </c>
      <c r="Q220" s="35" t="s">
        <v>381</v>
      </c>
      <c r="R220" s="35" t="s">
        <v>759</v>
      </c>
      <c r="S220" s="35" t="s">
        <v>427</v>
      </c>
      <c r="T220" s="35" t="s">
        <v>384</v>
      </c>
      <c r="U220" s="35" t="s">
        <v>385</v>
      </c>
      <c r="X220" s="35" t="s">
        <v>3014</v>
      </c>
      <c r="AW220" s="35" t="s">
        <v>504</v>
      </c>
      <c r="AX220" s="35" t="s">
        <v>429</v>
      </c>
      <c r="AY220" s="35" t="s">
        <v>429</v>
      </c>
      <c r="AZ220" s="35" t="s">
        <v>429</v>
      </c>
      <c r="BA220" s="35" t="s">
        <v>429</v>
      </c>
      <c r="BB220" s="35" t="s">
        <v>429</v>
      </c>
      <c r="BC220" s="35" t="s">
        <v>429</v>
      </c>
      <c r="BD220" s="35" t="s">
        <v>6892</v>
      </c>
      <c r="BF220" s="35" t="s">
        <v>392</v>
      </c>
      <c r="BG220" s="35" t="s">
        <v>433</v>
      </c>
      <c r="BH220" s="35" t="s">
        <v>678</v>
      </c>
      <c r="BJ220" s="35" t="s">
        <v>509</v>
      </c>
      <c r="BL220" s="35" t="s">
        <v>511</v>
      </c>
      <c r="BM220" s="35" t="s">
        <v>512</v>
      </c>
      <c r="BN220" s="35" t="s">
        <v>439</v>
      </c>
      <c r="BO220" s="35" t="s">
        <v>513</v>
      </c>
      <c r="CM220" s="35" t="s">
        <v>441</v>
      </c>
      <c r="CN220" s="35" t="s">
        <v>401</v>
      </c>
      <c r="CO220" s="35" t="s">
        <v>6893</v>
      </c>
      <c r="CP220" s="35" t="s">
        <v>6894</v>
      </c>
      <c r="CQ220" s="35" t="s">
        <v>685</v>
      </c>
      <c r="CR220" s="35" t="s">
        <v>6895</v>
      </c>
      <c r="CS220" s="35" t="s">
        <v>404</v>
      </c>
      <c r="CT220" s="35" t="s">
        <v>1137</v>
      </c>
      <c r="CU220" s="35" t="s">
        <v>6896</v>
      </c>
      <c r="CV220" s="35" t="s">
        <v>450</v>
      </c>
      <c r="CW220" s="35" t="s">
        <v>451</v>
      </c>
      <c r="CX220" s="35" t="s">
        <v>6897</v>
      </c>
      <c r="CY220" s="35" t="s">
        <v>408</v>
      </c>
      <c r="DA220" s="35" t="s">
        <v>453</v>
      </c>
      <c r="DB220" s="35" t="s">
        <v>6898</v>
      </c>
      <c r="DC220" s="35" t="s">
        <v>455</v>
      </c>
      <c r="DD220" s="35" t="s">
        <v>6899</v>
      </c>
      <c r="DE220" s="35" t="s">
        <v>988</v>
      </c>
      <c r="DG220" s="35" t="s">
        <v>6900</v>
      </c>
      <c r="DH220" s="35" t="s">
        <v>524</v>
      </c>
      <c r="DI220" s="35" t="s">
        <v>410</v>
      </c>
      <c r="DJ220" s="35" t="s">
        <v>963</v>
      </c>
      <c r="DK220" s="35" t="s">
        <v>613</v>
      </c>
      <c r="EU220" s="35" t="s">
        <v>578</v>
      </c>
      <c r="EV220" s="35" t="s">
        <v>579</v>
      </c>
      <c r="EW220" s="35" t="s">
        <v>580</v>
      </c>
      <c r="EY220" s="35" t="s">
        <v>6901</v>
      </c>
      <c r="EZ220" s="35" t="s">
        <v>6902</v>
      </c>
      <c r="FA220" s="35" t="s">
        <v>413</v>
      </c>
      <c r="FB220" s="35" t="s">
        <v>415</v>
      </c>
      <c r="FC220" s="35" t="s">
        <v>413</v>
      </c>
      <c r="FD220" s="35" t="s">
        <v>413</v>
      </c>
      <c r="FE220" s="35" t="s">
        <v>413</v>
      </c>
      <c r="FF220" s="35" t="s">
        <v>415</v>
      </c>
      <c r="FG220" s="35" t="s">
        <v>416</v>
      </c>
      <c r="FH220" s="35" t="s">
        <v>415</v>
      </c>
      <c r="FI220" s="35" t="s">
        <v>415</v>
      </c>
      <c r="FJ220" s="35" t="s">
        <v>413</v>
      </c>
      <c r="FK220" s="35" t="s">
        <v>413</v>
      </c>
      <c r="FL220" s="35" t="s">
        <v>413</v>
      </c>
      <c r="FM220" s="35" t="s">
        <v>413</v>
      </c>
      <c r="FN220" s="35" t="s">
        <v>415</v>
      </c>
      <c r="FO220" s="35" t="s">
        <v>415</v>
      </c>
      <c r="FP220" s="35" t="s">
        <v>850</v>
      </c>
      <c r="FQ220" s="35" t="s">
        <v>418</v>
      </c>
      <c r="FR220" s="35" t="s">
        <v>531</v>
      </c>
      <c r="FS220" s="35" t="s">
        <v>6903</v>
      </c>
      <c r="FT220" s="35" t="s">
        <v>420</v>
      </c>
      <c r="FU220" s="35" t="s">
        <v>488</v>
      </c>
      <c r="FV220" s="35" t="s">
        <v>1235</v>
      </c>
      <c r="FW220" s="35" t="s">
        <v>490</v>
      </c>
      <c r="FX220" s="35" t="s">
        <v>491</v>
      </c>
      <c r="FY220" s="35" t="s">
        <v>6904</v>
      </c>
      <c r="FZ220" s="35" t="s">
        <v>535</v>
      </c>
      <c r="GA220" s="35" t="s">
        <v>6905</v>
      </c>
      <c r="GB220" s="35" t="s">
        <v>6906</v>
      </c>
      <c r="GC220" s="35" t="s">
        <v>455</v>
      </c>
      <c r="GD220" s="35" t="s">
        <v>11469</v>
      </c>
      <c r="GE220" s="35" t="s">
        <v>11470</v>
      </c>
      <c r="GF220" s="35" t="s">
        <v>944</v>
      </c>
      <c r="GG220" s="35" t="s">
        <v>6907</v>
      </c>
      <c r="GH220" s="35" t="s">
        <v>755</v>
      </c>
      <c r="GI220" s="35" t="s">
        <v>755</v>
      </c>
      <c r="GJ220" s="35" t="s">
        <v>946</v>
      </c>
      <c r="GO220" s="35" t="s">
        <v>6908</v>
      </c>
      <c r="GP220" s="35" t="s">
        <v>6909</v>
      </c>
      <c r="GR220" s="35" t="s">
        <v>3208</v>
      </c>
      <c r="GU220" s="35" t="s">
        <v>4774</v>
      </c>
      <c r="GW220" s="35" t="s">
        <v>484</v>
      </c>
      <c r="GX220" s="35" t="s">
        <v>484</v>
      </c>
      <c r="HD220" s="35" t="s">
        <v>5281</v>
      </c>
      <c r="HE220" s="35" t="s">
        <v>5282</v>
      </c>
      <c r="HF220" s="35" t="s">
        <v>5320</v>
      </c>
      <c r="HG220" s="35" t="s">
        <v>5284</v>
      </c>
      <c r="HP220" s="35" t="s">
        <v>5285</v>
      </c>
      <c r="HQ220" s="35" t="s">
        <v>5719</v>
      </c>
      <c r="HR220" s="35" t="s">
        <v>5238</v>
      </c>
      <c r="HS220" s="35" t="s">
        <v>5321</v>
      </c>
      <c r="HX220" s="35" t="s">
        <v>5501</v>
      </c>
      <c r="MK220" s="35" t="s">
        <v>6321</v>
      </c>
    </row>
    <row r="221">
      <c r="A221" s="35" t="s">
        <v>11471</v>
      </c>
      <c r="B221" s="40">
        <v>45939.365505891205</v>
      </c>
      <c r="C221" s="35" t="s">
        <v>368</v>
      </c>
      <c r="D221" s="35" t="s">
        <v>370</v>
      </c>
      <c r="E221" s="35" t="s">
        <v>370</v>
      </c>
      <c r="F221" s="35" t="s">
        <v>1480</v>
      </c>
      <c r="G221" s="35" t="s">
        <v>1875</v>
      </c>
      <c r="H221" s="35" t="s">
        <v>636</v>
      </c>
      <c r="I221" s="35" t="s">
        <v>373</v>
      </c>
      <c r="J221" s="35" t="s">
        <v>374</v>
      </c>
      <c r="K221" s="35" t="s">
        <v>425</v>
      </c>
      <c r="L221" s="35" t="s">
        <v>376</v>
      </c>
      <c r="M221" s="35" t="s">
        <v>426</v>
      </c>
      <c r="N221" s="35" t="s">
        <v>541</v>
      </c>
      <c r="O221" s="35" t="s">
        <v>793</v>
      </c>
      <c r="P221" s="35" t="s">
        <v>671</v>
      </c>
      <c r="Q221" s="35" t="s">
        <v>498</v>
      </c>
      <c r="R221" s="35" t="s">
        <v>862</v>
      </c>
      <c r="S221" s="35" t="s">
        <v>500</v>
      </c>
      <c r="T221" s="35" t="s">
        <v>384</v>
      </c>
      <c r="U221" s="35" t="s">
        <v>385</v>
      </c>
      <c r="X221" s="35" t="s">
        <v>386</v>
      </c>
      <c r="Y221" s="35" t="s">
        <v>387</v>
      </c>
      <c r="Z221" s="35" t="s">
        <v>1444</v>
      </c>
      <c r="AA221" s="35" t="s">
        <v>502</v>
      </c>
      <c r="AB221" s="35" t="s">
        <v>408</v>
      </c>
      <c r="AC221" s="35" t="s">
        <v>408</v>
      </c>
      <c r="AW221" s="35" t="s">
        <v>1310</v>
      </c>
      <c r="AX221" s="41">
        <v>4.0</v>
      </c>
      <c r="AY221" s="41">
        <v>4.0</v>
      </c>
      <c r="AZ221" s="35" t="s">
        <v>391</v>
      </c>
      <c r="BA221" s="41">
        <v>4.0</v>
      </c>
      <c r="BB221" s="41">
        <v>4.0</v>
      </c>
      <c r="BC221" s="41">
        <v>4.0</v>
      </c>
      <c r="BD221" s="35" t="s">
        <v>6910</v>
      </c>
      <c r="BE221" s="35" t="s">
        <v>6911</v>
      </c>
      <c r="BF221" s="35" t="s">
        <v>2379</v>
      </c>
      <c r="BG221" s="35" t="s">
        <v>393</v>
      </c>
      <c r="BH221" s="35" t="s">
        <v>434</v>
      </c>
      <c r="BI221" s="35" t="s">
        <v>6912</v>
      </c>
      <c r="BJ221" s="35" t="s">
        <v>976</v>
      </c>
      <c r="BK221" s="35" t="s">
        <v>6170</v>
      </c>
      <c r="BL221" s="35" t="s">
        <v>437</v>
      </c>
      <c r="BM221" s="35" t="s">
        <v>603</v>
      </c>
      <c r="BN221" s="35" t="s">
        <v>1247</v>
      </c>
      <c r="BO221" s="35" t="s">
        <v>513</v>
      </c>
      <c r="CM221" s="35" t="s">
        <v>441</v>
      </c>
      <c r="CN221" s="35" t="s">
        <v>401</v>
      </c>
      <c r="CO221" s="35" t="s">
        <v>6913</v>
      </c>
      <c r="CP221" s="35" t="s">
        <v>6914</v>
      </c>
      <c r="CQ221" s="35" t="s">
        <v>979</v>
      </c>
      <c r="CR221" s="35" t="s">
        <v>6915</v>
      </c>
      <c r="CS221" s="35" t="s">
        <v>447</v>
      </c>
      <c r="CT221" s="35" t="s">
        <v>6916</v>
      </c>
      <c r="CU221" s="35" t="s">
        <v>6917</v>
      </c>
      <c r="CV221" s="35" t="s">
        <v>982</v>
      </c>
      <c r="CW221" s="35" t="s">
        <v>451</v>
      </c>
      <c r="CX221" s="35" t="s">
        <v>6918</v>
      </c>
      <c r="CY221" s="35" t="s">
        <v>408</v>
      </c>
      <c r="DA221" s="35" t="s">
        <v>985</v>
      </c>
      <c r="DB221" s="35" t="s">
        <v>6919</v>
      </c>
      <c r="DC221" s="35" t="s">
        <v>408</v>
      </c>
      <c r="DE221" s="35" t="s">
        <v>406</v>
      </c>
      <c r="DF221" s="35" t="s">
        <v>691</v>
      </c>
      <c r="DG221" s="35" t="s">
        <v>6920</v>
      </c>
      <c r="DH221" s="35" t="s">
        <v>776</v>
      </c>
      <c r="DI221" s="35" t="s">
        <v>1220</v>
      </c>
      <c r="DJ221" s="35" t="s">
        <v>459</v>
      </c>
      <c r="DK221" s="35" t="s">
        <v>460</v>
      </c>
      <c r="DL221" s="35" t="s">
        <v>6335</v>
      </c>
      <c r="EU221" s="35" t="s">
        <v>526</v>
      </c>
      <c r="EV221" s="35" t="s">
        <v>887</v>
      </c>
      <c r="EW221" s="35" t="s">
        <v>527</v>
      </c>
      <c r="EX221" s="35" t="s">
        <v>6921</v>
      </c>
      <c r="EY221" s="35" t="s">
        <v>6922</v>
      </c>
      <c r="FA221" s="35" t="s">
        <v>413</v>
      </c>
      <c r="FB221" s="35" t="s">
        <v>415</v>
      </c>
      <c r="FC221" s="35" t="s">
        <v>413</v>
      </c>
      <c r="FD221" s="35" t="s">
        <v>413</v>
      </c>
      <c r="FE221" s="35" t="s">
        <v>413</v>
      </c>
      <c r="FF221" s="35" t="s">
        <v>415</v>
      </c>
      <c r="FG221" s="35" t="s">
        <v>413</v>
      </c>
      <c r="FH221" s="35" t="s">
        <v>413</v>
      </c>
      <c r="FI221" s="35" t="s">
        <v>583</v>
      </c>
      <c r="FJ221" s="35" t="s">
        <v>415</v>
      </c>
      <c r="FK221" s="35" t="s">
        <v>413</v>
      </c>
      <c r="FL221" s="35" t="s">
        <v>413</v>
      </c>
      <c r="FM221" s="35" t="s">
        <v>416</v>
      </c>
      <c r="FN221" s="35" t="s">
        <v>413</v>
      </c>
      <c r="FO221" s="35" t="s">
        <v>414</v>
      </c>
      <c r="FP221" s="35" t="s">
        <v>850</v>
      </c>
      <c r="FQ221" s="35" t="s">
        <v>486</v>
      </c>
      <c r="FR221" s="35" t="s">
        <v>749</v>
      </c>
      <c r="FT221" s="35" t="s">
        <v>420</v>
      </c>
      <c r="FU221" s="35" t="s">
        <v>488</v>
      </c>
      <c r="FV221" s="35" t="s">
        <v>489</v>
      </c>
      <c r="FW221" s="35" t="s">
        <v>490</v>
      </c>
      <c r="FX221" s="35" t="s">
        <v>491</v>
      </c>
      <c r="FZ221" s="35" t="s">
        <v>535</v>
      </c>
      <c r="GB221" s="35" t="s">
        <v>6923</v>
      </c>
      <c r="GC221" s="35" t="s">
        <v>408</v>
      </c>
      <c r="GH221" s="35" t="s">
        <v>755</v>
      </c>
      <c r="GI221" s="35" t="s">
        <v>755</v>
      </c>
      <c r="GJ221" s="35" t="s">
        <v>756</v>
      </c>
      <c r="GR221" s="35" t="s">
        <v>3208</v>
      </c>
      <c r="GU221" s="35" t="s">
        <v>4774</v>
      </c>
      <c r="GW221" s="35" t="s">
        <v>5231</v>
      </c>
      <c r="GX221" s="35" t="s">
        <v>5232</v>
      </c>
      <c r="HD221" s="35" t="s">
        <v>5297</v>
      </c>
      <c r="HE221" s="35" t="s">
        <v>5282</v>
      </c>
      <c r="HF221" s="35" t="s">
        <v>5492</v>
      </c>
      <c r="HG221" s="35" t="s">
        <v>5300</v>
      </c>
      <c r="HP221" s="35" t="s">
        <v>5285</v>
      </c>
      <c r="HQ221" s="35" t="s">
        <v>5264</v>
      </c>
      <c r="HR221" s="35" t="s">
        <v>5238</v>
      </c>
      <c r="HS221" s="35" t="s">
        <v>5321</v>
      </c>
      <c r="HX221" s="35" t="s">
        <v>5499</v>
      </c>
      <c r="MK221" s="35" t="s">
        <v>6321</v>
      </c>
    </row>
    <row r="222">
      <c r="A222" s="35" t="s">
        <v>11472</v>
      </c>
      <c r="B222" s="40">
        <v>45939.628821273145</v>
      </c>
      <c r="C222" s="35" t="s">
        <v>368</v>
      </c>
      <c r="D222" s="35" t="s">
        <v>6924</v>
      </c>
      <c r="E222" s="35" t="s">
        <v>370</v>
      </c>
      <c r="G222" s="35" t="s">
        <v>371</v>
      </c>
      <c r="H222" s="35" t="s">
        <v>1093</v>
      </c>
      <c r="I222" s="35" t="s">
        <v>496</v>
      </c>
      <c r="J222" s="35" t="s">
        <v>374</v>
      </c>
      <c r="K222" s="35" t="s">
        <v>375</v>
      </c>
      <c r="L222" s="35" t="s">
        <v>376</v>
      </c>
      <c r="M222" s="35" t="s">
        <v>793</v>
      </c>
      <c r="N222" s="35" t="s">
        <v>6925</v>
      </c>
      <c r="O222" s="35" t="s">
        <v>670</v>
      </c>
      <c r="P222" s="35" t="s">
        <v>639</v>
      </c>
      <c r="Q222" s="35" t="s">
        <v>498</v>
      </c>
      <c r="R222" s="35" t="s">
        <v>862</v>
      </c>
      <c r="S222" s="35" t="s">
        <v>427</v>
      </c>
      <c r="T222" s="35" t="s">
        <v>384</v>
      </c>
      <c r="U222" s="35" t="s">
        <v>385</v>
      </c>
      <c r="X222" s="35" t="s">
        <v>3014</v>
      </c>
      <c r="AW222" s="35" t="s">
        <v>1310</v>
      </c>
      <c r="AX222" s="35" t="s">
        <v>675</v>
      </c>
      <c r="AY222" s="35" t="s">
        <v>675</v>
      </c>
      <c r="AZ222" s="35" t="s">
        <v>429</v>
      </c>
      <c r="BA222" s="35" t="s">
        <v>675</v>
      </c>
      <c r="BB222" s="35" t="s">
        <v>429</v>
      </c>
      <c r="BC222" s="35" t="s">
        <v>675</v>
      </c>
      <c r="BD222" s="35" t="s">
        <v>6926</v>
      </c>
      <c r="BE222" s="35" t="s">
        <v>6927</v>
      </c>
      <c r="BF222" s="35" t="s">
        <v>432</v>
      </c>
      <c r="BG222" s="35" t="s">
        <v>1245</v>
      </c>
      <c r="BI222" s="35" t="s">
        <v>6928</v>
      </c>
      <c r="BJ222" s="35" t="s">
        <v>727</v>
      </c>
      <c r="BL222" s="35" t="s">
        <v>681</v>
      </c>
      <c r="BM222" s="35" t="s">
        <v>603</v>
      </c>
      <c r="BN222" s="35" t="s">
        <v>397</v>
      </c>
      <c r="BO222" s="35" t="s">
        <v>513</v>
      </c>
      <c r="CM222" s="35" t="s">
        <v>682</v>
      </c>
      <c r="CN222" s="35" t="s">
        <v>442</v>
      </c>
      <c r="CO222" s="35" t="s">
        <v>6929</v>
      </c>
      <c r="CP222" s="35" t="s">
        <v>6930</v>
      </c>
      <c r="CU222" s="35" t="s">
        <v>6931</v>
      </c>
      <c r="CV222" s="35" t="s">
        <v>450</v>
      </c>
      <c r="CW222" s="35" t="s">
        <v>959</v>
      </c>
      <c r="CY222" s="35" t="s">
        <v>408</v>
      </c>
      <c r="DA222" s="35" t="s">
        <v>1962</v>
      </c>
      <c r="DC222" s="35" t="s">
        <v>408</v>
      </c>
      <c r="DI222" s="35" t="s">
        <v>410</v>
      </c>
      <c r="DJ222" s="35" t="s">
        <v>963</v>
      </c>
      <c r="DK222" s="35" t="s">
        <v>460</v>
      </c>
      <c r="DL222" s="35" t="s">
        <v>6319</v>
      </c>
      <c r="EU222" s="35" t="s">
        <v>578</v>
      </c>
      <c r="EV222" s="35" t="s">
        <v>479</v>
      </c>
      <c r="EW222" s="35" t="s">
        <v>480</v>
      </c>
      <c r="EY222" s="35" t="s">
        <v>6932</v>
      </c>
      <c r="EZ222" s="35" t="s">
        <v>6933</v>
      </c>
      <c r="FA222" s="35" t="s">
        <v>415</v>
      </c>
      <c r="FB222" s="35" t="s">
        <v>583</v>
      </c>
      <c r="FC222" s="35" t="s">
        <v>413</v>
      </c>
      <c r="FD222" s="35" t="s">
        <v>583</v>
      </c>
      <c r="FE222" s="35" t="s">
        <v>583</v>
      </c>
      <c r="FF222" s="35" t="s">
        <v>583</v>
      </c>
      <c r="FG222" s="35" t="s">
        <v>583</v>
      </c>
      <c r="FH222" s="35" t="s">
        <v>583</v>
      </c>
      <c r="FI222" s="35" t="s">
        <v>413</v>
      </c>
      <c r="FJ222" s="35" t="s">
        <v>583</v>
      </c>
      <c r="FK222" s="35" t="s">
        <v>583</v>
      </c>
      <c r="FL222" s="35" t="s">
        <v>415</v>
      </c>
      <c r="FM222" s="35" t="s">
        <v>415</v>
      </c>
      <c r="FN222" s="35" t="s">
        <v>415</v>
      </c>
      <c r="FO222" s="35" t="s">
        <v>415</v>
      </c>
      <c r="FP222" s="35" t="s">
        <v>1537</v>
      </c>
      <c r="FQ222" s="35" t="s">
        <v>2524</v>
      </c>
      <c r="FR222" s="35" t="s">
        <v>630</v>
      </c>
      <c r="FS222" s="35" t="s">
        <v>6934</v>
      </c>
      <c r="FT222" s="35" t="s">
        <v>1871</v>
      </c>
      <c r="FU222" s="35" t="s">
        <v>421</v>
      </c>
      <c r="FV222" s="35" t="s">
        <v>533</v>
      </c>
      <c r="FW222" s="35" t="s">
        <v>490</v>
      </c>
      <c r="FX222" s="35" t="s">
        <v>491</v>
      </c>
      <c r="FY222" s="35" t="s">
        <v>6935</v>
      </c>
      <c r="FZ222" s="35" t="s">
        <v>493</v>
      </c>
      <c r="GC222" s="35" t="s">
        <v>455</v>
      </c>
      <c r="GF222" s="35" t="s">
        <v>753</v>
      </c>
      <c r="GH222" s="35" t="s">
        <v>755</v>
      </c>
      <c r="GI222" s="35" t="s">
        <v>755</v>
      </c>
      <c r="GJ222" s="35" t="s">
        <v>946</v>
      </c>
      <c r="GO222" s="35" t="s">
        <v>6936</v>
      </c>
      <c r="GR222" s="35" t="s">
        <v>3208</v>
      </c>
      <c r="GU222" s="35" t="s">
        <v>4741</v>
      </c>
      <c r="GV222" s="35" t="s">
        <v>6937</v>
      </c>
      <c r="GW222" s="35" t="s">
        <v>5231</v>
      </c>
      <c r="GX222" s="35" t="s">
        <v>484</v>
      </c>
      <c r="HP222" s="35" t="s">
        <v>5285</v>
      </c>
      <c r="HQ222" s="35" t="s">
        <v>5264</v>
      </c>
      <c r="HR222" s="35" t="s">
        <v>5286</v>
      </c>
      <c r="HS222" s="35" t="s">
        <v>5321</v>
      </c>
      <c r="HT222" s="35" t="s">
        <v>5987</v>
      </c>
      <c r="HV222" s="35" t="s">
        <v>5988</v>
      </c>
      <c r="HW222" s="35" t="s">
        <v>5918</v>
      </c>
      <c r="HY222" s="35" t="s">
        <v>5922</v>
      </c>
      <c r="HZ222" s="35" t="s">
        <v>5922</v>
      </c>
      <c r="IA222" s="35" t="s">
        <v>6464</v>
      </c>
      <c r="IB222" s="35" t="s">
        <v>6464</v>
      </c>
      <c r="IC222" s="35" t="s">
        <v>6464</v>
      </c>
      <c r="ID222" s="35" t="s">
        <v>5920</v>
      </c>
      <c r="IE222" s="35" t="s">
        <v>5500</v>
      </c>
      <c r="IF222" s="35" t="s">
        <v>5500</v>
      </c>
      <c r="IG222" s="35" t="s">
        <v>5500</v>
      </c>
      <c r="IH222" s="35" t="s">
        <v>5500</v>
      </c>
      <c r="II222" s="35" t="s">
        <v>5500</v>
      </c>
      <c r="IJ222" s="35" t="s">
        <v>5500</v>
      </c>
      <c r="IK222" s="35" t="s">
        <v>6938</v>
      </c>
      <c r="IL222" s="35" t="s">
        <v>5924</v>
      </c>
      <c r="IM222" s="35" t="s">
        <v>6939</v>
      </c>
      <c r="IN222" s="35" t="s">
        <v>6940</v>
      </c>
      <c r="MK222" s="35" t="s">
        <v>6321</v>
      </c>
    </row>
    <row r="223">
      <c r="A223" s="35" t="s">
        <v>11473</v>
      </c>
      <c r="B223" s="40">
        <v>45939.66269103009</v>
      </c>
      <c r="C223" s="35" t="s">
        <v>368</v>
      </c>
      <c r="D223" s="35" t="s">
        <v>370</v>
      </c>
      <c r="E223" s="35" t="s">
        <v>370</v>
      </c>
      <c r="F223" s="35" t="s">
        <v>791</v>
      </c>
      <c r="G223" s="35" t="s">
        <v>791</v>
      </c>
      <c r="H223" s="35" t="s">
        <v>422</v>
      </c>
      <c r="I223" s="35" t="s">
        <v>373</v>
      </c>
      <c r="J223" s="35" t="s">
        <v>374</v>
      </c>
      <c r="K223" s="35" t="s">
        <v>375</v>
      </c>
      <c r="L223" s="35" t="s">
        <v>376</v>
      </c>
      <c r="M223" s="35" t="s">
        <v>591</v>
      </c>
      <c r="N223" s="35" t="s">
        <v>6941</v>
      </c>
      <c r="O223" s="35" t="s">
        <v>591</v>
      </c>
      <c r="P223" s="35" t="s">
        <v>6942</v>
      </c>
      <c r="Q223" s="35" t="s">
        <v>498</v>
      </c>
      <c r="R223" s="35" t="s">
        <v>382</v>
      </c>
      <c r="S223" s="35" t="s">
        <v>1704</v>
      </c>
      <c r="T223" s="35" t="s">
        <v>6943</v>
      </c>
      <c r="U223" s="35" t="s">
        <v>385</v>
      </c>
      <c r="X223" s="35" t="s">
        <v>386</v>
      </c>
      <c r="Y223" s="35" t="s">
        <v>387</v>
      </c>
      <c r="Z223" s="35" t="s">
        <v>388</v>
      </c>
      <c r="AA223" s="35" t="s">
        <v>543</v>
      </c>
      <c r="AB223" s="35" t="s">
        <v>408</v>
      </c>
      <c r="AW223" s="35" t="s">
        <v>504</v>
      </c>
      <c r="AX223" s="35" t="s">
        <v>429</v>
      </c>
      <c r="AY223" s="35" t="s">
        <v>429</v>
      </c>
      <c r="AZ223" s="41">
        <v>2.0</v>
      </c>
      <c r="BA223" s="35" t="s">
        <v>429</v>
      </c>
      <c r="BB223" s="35" t="s">
        <v>429</v>
      </c>
      <c r="BC223" s="35" t="s">
        <v>429</v>
      </c>
      <c r="BD223" s="35" t="s">
        <v>6944</v>
      </c>
      <c r="BE223" s="35" t="s">
        <v>6945</v>
      </c>
      <c r="BF223" s="35" t="s">
        <v>392</v>
      </c>
      <c r="BG223" s="35" t="s">
        <v>433</v>
      </c>
      <c r="BH223" s="35" t="s">
        <v>678</v>
      </c>
      <c r="BI223" s="35" t="s">
        <v>6946</v>
      </c>
      <c r="BJ223" s="35" t="s">
        <v>509</v>
      </c>
      <c r="BK223" s="35" t="s">
        <v>6947</v>
      </c>
      <c r="BL223" s="35" t="s">
        <v>437</v>
      </c>
      <c r="BM223" s="35" t="s">
        <v>438</v>
      </c>
      <c r="BN223" s="35" t="s">
        <v>439</v>
      </c>
      <c r="BO223" s="35" t="s">
        <v>513</v>
      </c>
      <c r="CM223" s="35" t="s">
        <v>441</v>
      </c>
      <c r="CN223" s="35" t="s">
        <v>401</v>
      </c>
      <c r="CO223" s="35" t="s">
        <v>552</v>
      </c>
      <c r="CP223" s="35" t="s">
        <v>6948</v>
      </c>
      <c r="CQ223" s="35" t="s">
        <v>445</v>
      </c>
      <c r="CR223" s="35" t="s">
        <v>6949</v>
      </c>
      <c r="CS223" s="35" t="s">
        <v>447</v>
      </c>
      <c r="CT223" s="35" t="s">
        <v>6950</v>
      </c>
      <c r="CU223" s="35" t="s">
        <v>6951</v>
      </c>
      <c r="CV223" s="35" t="s">
        <v>450</v>
      </c>
      <c r="CW223" s="35" t="s">
        <v>451</v>
      </c>
      <c r="CX223" s="35" t="s">
        <v>6952</v>
      </c>
      <c r="CY223" s="35" t="s">
        <v>408</v>
      </c>
      <c r="DA223" s="35" t="s">
        <v>453</v>
      </c>
      <c r="DB223" s="35" t="s">
        <v>6953</v>
      </c>
      <c r="DC223" s="35" t="s">
        <v>913</v>
      </c>
      <c r="DE223" s="35" t="s">
        <v>457</v>
      </c>
      <c r="DG223" s="35" t="s">
        <v>3463</v>
      </c>
      <c r="DH223" s="35" t="s">
        <v>524</v>
      </c>
      <c r="DI223" s="35" t="s">
        <v>410</v>
      </c>
      <c r="DJ223" s="35" t="s">
        <v>459</v>
      </c>
      <c r="DK223" s="35" t="s">
        <v>613</v>
      </c>
      <c r="EU223" s="35" t="s">
        <v>526</v>
      </c>
      <c r="EV223" s="35" t="s">
        <v>479</v>
      </c>
      <c r="EW223" s="35" t="s">
        <v>778</v>
      </c>
      <c r="EX223" s="35" t="s">
        <v>6954</v>
      </c>
      <c r="EY223" s="35" t="s">
        <v>6955</v>
      </c>
      <c r="EZ223" s="35" t="s">
        <v>6956</v>
      </c>
      <c r="FA223" s="35" t="s">
        <v>413</v>
      </c>
      <c r="FB223" s="35" t="s">
        <v>413</v>
      </c>
      <c r="FC223" s="35" t="s">
        <v>413</v>
      </c>
      <c r="FD223" s="35" t="s">
        <v>413</v>
      </c>
      <c r="FE223" s="35" t="s">
        <v>413</v>
      </c>
      <c r="FF223" s="35" t="s">
        <v>413</v>
      </c>
      <c r="FG223" s="35" t="s">
        <v>413</v>
      </c>
      <c r="FH223" s="35" t="s">
        <v>413</v>
      </c>
      <c r="FI223" s="35" t="s">
        <v>484</v>
      </c>
      <c r="FJ223" s="35" t="s">
        <v>413</v>
      </c>
      <c r="FK223" s="35" t="s">
        <v>413</v>
      </c>
      <c r="FL223" s="35" t="s">
        <v>413</v>
      </c>
      <c r="FM223" s="35" t="s">
        <v>413</v>
      </c>
      <c r="FN223" s="35" t="s">
        <v>413</v>
      </c>
      <c r="FO223" s="35" t="s">
        <v>484</v>
      </c>
      <c r="FP223" s="35" t="s">
        <v>417</v>
      </c>
      <c r="FQ223" s="35" t="s">
        <v>418</v>
      </c>
      <c r="FR223" s="35" t="s">
        <v>531</v>
      </c>
      <c r="FS223" s="35" t="s">
        <v>6957</v>
      </c>
      <c r="FT223" s="35" t="s">
        <v>420</v>
      </c>
      <c r="FU223" s="35" t="s">
        <v>488</v>
      </c>
      <c r="FV223" s="35" t="s">
        <v>489</v>
      </c>
      <c r="FW223" s="35" t="s">
        <v>490</v>
      </c>
      <c r="FX223" s="35" t="s">
        <v>491</v>
      </c>
      <c r="FY223" s="35" t="s">
        <v>6958</v>
      </c>
      <c r="FZ223" s="35" t="s">
        <v>535</v>
      </c>
      <c r="GA223" s="35" t="s">
        <v>6959</v>
      </c>
      <c r="GB223" s="35" t="s">
        <v>6960</v>
      </c>
      <c r="GC223" s="35" t="s">
        <v>455</v>
      </c>
      <c r="GD223" s="35" t="s">
        <v>11474</v>
      </c>
      <c r="GF223" s="35" t="s">
        <v>1339</v>
      </c>
      <c r="GG223" s="35" t="s">
        <v>6961</v>
      </c>
      <c r="GH223" s="35" t="s">
        <v>1000</v>
      </c>
      <c r="GI223" s="35" t="s">
        <v>920</v>
      </c>
      <c r="GJ223" s="35" t="s">
        <v>946</v>
      </c>
      <c r="GR223" s="35" t="s">
        <v>3208</v>
      </c>
      <c r="GU223" s="35" t="s">
        <v>4774</v>
      </c>
      <c r="GW223" s="35" t="s">
        <v>5231</v>
      </c>
      <c r="GX223" s="35" t="s">
        <v>5232</v>
      </c>
      <c r="HD223" s="35" t="s">
        <v>484</v>
      </c>
      <c r="HE223" s="35" t="s">
        <v>5282</v>
      </c>
      <c r="HF223" s="35" t="s">
        <v>5320</v>
      </c>
      <c r="HG223" s="35" t="s">
        <v>5284</v>
      </c>
      <c r="HP223" s="35" t="s">
        <v>5236</v>
      </c>
      <c r="HQ223" s="35" t="s">
        <v>5264</v>
      </c>
      <c r="HR223" s="35" t="s">
        <v>5238</v>
      </c>
      <c r="HS223" s="35" t="s">
        <v>5347</v>
      </c>
      <c r="HX223" s="35" t="s">
        <v>6274</v>
      </c>
      <c r="MK223" s="35" t="s">
        <v>6321</v>
      </c>
    </row>
    <row r="224">
      <c r="A224" s="35" t="s">
        <v>11475</v>
      </c>
      <c r="B224" s="40">
        <v>45939.87349773148</v>
      </c>
      <c r="C224" s="35" t="s">
        <v>368</v>
      </c>
      <c r="D224" s="35" t="s">
        <v>370</v>
      </c>
      <c r="E224" s="35" t="s">
        <v>370</v>
      </c>
      <c r="F224" s="35" t="s">
        <v>371</v>
      </c>
      <c r="G224" s="35" t="s">
        <v>371</v>
      </c>
      <c r="H224" s="35" t="s">
        <v>1093</v>
      </c>
      <c r="I224" s="35" t="s">
        <v>637</v>
      </c>
      <c r="J224" s="35" t="s">
        <v>638</v>
      </c>
      <c r="K224" s="35" t="s">
        <v>590</v>
      </c>
      <c r="L224" s="35" t="s">
        <v>376</v>
      </c>
      <c r="M224" s="35" t="s">
        <v>591</v>
      </c>
      <c r="N224" s="35" t="s">
        <v>2464</v>
      </c>
      <c r="O224" s="35" t="s">
        <v>379</v>
      </c>
      <c r="P224" s="35" t="s">
        <v>2464</v>
      </c>
      <c r="Q224" s="35" t="s">
        <v>498</v>
      </c>
      <c r="R224" s="35" t="s">
        <v>818</v>
      </c>
      <c r="S224" s="35" t="s">
        <v>949</v>
      </c>
      <c r="T224" s="35" t="s">
        <v>384</v>
      </c>
      <c r="U224" s="35" t="s">
        <v>385</v>
      </c>
      <c r="X224" s="35" t="s">
        <v>593</v>
      </c>
      <c r="Y224" s="35" t="s">
        <v>387</v>
      </c>
      <c r="Z224" s="35" t="s">
        <v>2115</v>
      </c>
      <c r="AA224" s="35" t="s">
        <v>672</v>
      </c>
      <c r="AB224" s="35" t="s">
        <v>6962</v>
      </c>
      <c r="AC224" s="35" t="s">
        <v>6963</v>
      </c>
      <c r="AW224" s="35" t="s">
        <v>390</v>
      </c>
      <c r="AX224" s="35" t="s">
        <v>429</v>
      </c>
      <c r="AY224" s="35" t="s">
        <v>429</v>
      </c>
      <c r="AZ224" s="35" t="s">
        <v>675</v>
      </c>
      <c r="BA224" s="35" t="s">
        <v>391</v>
      </c>
      <c r="BB224" s="41">
        <v>2.0</v>
      </c>
      <c r="BC224" s="35" t="s">
        <v>429</v>
      </c>
      <c r="BD224" s="35" t="s">
        <v>6964</v>
      </c>
      <c r="BE224" s="35" t="s">
        <v>6965</v>
      </c>
      <c r="BF224" s="35" t="s">
        <v>392</v>
      </c>
      <c r="BG224" s="35" t="s">
        <v>433</v>
      </c>
      <c r="BH224" s="35" t="s">
        <v>678</v>
      </c>
      <c r="BJ224" s="35" t="s">
        <v>824</v>
      </c>
      <c r="BL224" s="35" t="s">
        <v>681</v>
      </c>
      <c r="BM224" s="35" t="s">
        <v>904</v>
      </c>
      <c r="BN224" s="35" t="s">
        <v>439</v>
      </c>
      <c r="BO224" s="35" t="s">
        <v>513</v>
      </c>
      <c r="CM224" s="35" t="s">
        <v>441</v>
      </c>
      <c r="CN224" s="35" t="s">
        <v>682</v>
      </c>
      <c r="CO224" s="35" t="s">
        <v>552</v>
      </c>
      <c r="CP224" s="35" t="s">
        <v>6966</v>
      </c>
      <c r="CQ224" s="35" t="s">
        <v>1008</v>
      </c>
      <c r="CR224" s="35" t="s">
        <v>2383</v>
      </c>
      <c r="CS224" s="35" t="s">
        <v>447</v>
      </c>
      <c r="CT224" s="35" t="s">
        <v>6967</v>
      </c>
      <c r="CU224" s="35" t="s">
        <v>6968</v>
      </c>
      <c r="CV224" s="35" t="s">
        <v>450</v>
      </c>
      <c r="CW224" s="35" t="s">
        <v>451</v>
      </c>
      <c r="CX224" s="35" t="s">
        <v>6969</v>
      </c>
      <c r="CY224" s="35" t="s">
        <v>408</v>
      </c>
      <c r="DA224" s="35" t="s">
        <v>985</v>
      </c>
      <c r="DB224" s="35" t="s">
        <v>6970</v>
      </c>
      <c r="DC224" s="35" t="s">
        <v>455</v>
      </c>
      <c r="DD224" s="35" t="s">
        <v>6971</v>
      </c>
      <c r="DE224" s="35" t="s">
        <v>988</v>
      </c>
      <c r="DG224" s="35" t="s">
        <v>6972</v>
      </c>
      <c r="DH224" s="35" t="s">
        <v>561</v>
      </c>
      <c r="DI224" s="35" t="s">
        <v>694</v>
      </c>
      <c r="DJ224" s="35" t="s">
        <v>459</v>
      </c>
      <c r="DK224" s="35" t="s">
        <v>460</v>
      </c>
      <c r="DL224" s="35" t="s">
        <v>6335</v>
      </c>
      <c r="EU224" s="35" t="s">
        <v>526</v>
      </c>
      <c r="EV224" s="35" t="s">
        <v>479</v>
      </c>
      <c r="EW224" s="35" t="s">
        <v>527</v>
      </c>
      <c r="EX224" s="35" t="s">
        <v>6973</v>
      </c>
      <c r="EY224" s="35" t="s">
        <v>6974</v>
      </c>
      <c r="EZ224" s="35" t="s">
        <v>6975</v>
      </c>
      <c r="FA224" s="35" t="s">
        <v>414</v>
      </c>
      <c r="FB224" s="35" t="s">
        <v>414</v>
      </c>
      <c r="FC224" s="35" t="s">
        <v>414</v>
      </c>
      <c r="FD224" s="35" t="s">
        <v>414</v>
      </c>
      <c r="FE224" s="35" t="s">
        <v>414</v>
      </c>
      <c r="FF224" s="35" t="s">
        <v>414</v>
      </c>
      <c r="FG224" s="35" t="s">
        <v>414</v>
      </c>
      <c r="FH224" s="35" t="s">
        <v>414</v>
      </c>
      <c r="FI224" s="35" t="s">
        <v>414</v>
      </c>
      <c r="FJ224" s="35" t="s">
        <v>414</v>
      </c>
      <c r="FK224" s="35" t="s">
        <v>414</v>
      </c>
      <c r="FL224" s="35" t="s">
        <v>414</v>
      </c>
      <c r="FM224" s="35" t="s">
        <v>414</v>
      </c>
      <c r="FN224" s="35" t="s">
        <v>414</v>
      </c>
      <c r="FO224" s="35" t="s">
        <v>414</v>
      </c>
      <c r="FP224" s="35" t="s">
        <v>850</v>
      </c>
      <c r="FQ224" s="35" t="s">
        <v>486</v>
      </c>
      <c r="FR224" s="35" t="s">
        <v>419</v>
      </c>
      <c r="FS224" s="35" t="s">
        <v>6976</v>
      </c>
      <c r="FT224" s="35" t="s">
        <v>1189</v>
      </c>
      <c r="FU224" s="35" t="s">
        <v>488</v>
      </c>
      <c r="FV224" s="35" t="s">
        <v>489</v>
      </c>
      <c r="FW224" s="35" t="s">
        <v>490</v>
      </c>
      <c r="FX224" s="35" t="s">
        <v>491</v>
      </c>
      <c r="FY224" s="35" t="s">
        <v>6977</v>
      </c>
      <c r="FZ224" s="35" t="s">
        <v>535</v>
      </c>
      <c r="GA224" s="35" t="s">
        <v>6978</v>
      </c>
      <c r="GB224" s="35" t="s">
        <v>6979</v>
      </c>
      <c r="GC224" s="35" t="s">
        <v>455</v>
      </c>
      <c r="GD224" s="35" t="s">
        <v>11476</v>
      </c>
      <c r="GF224" s="35" t="s">
        <v>855</v>
      </c>
      <c r="GG224" s="35" t="s">
        <v>6980</v>
      </c>
      <c r="GH224" s="35" t="s">
        <v>1000</v>
      </c>
      <c r="GI224" s="35" t="s">
        <v>1000</v>
      </c>
      <c r="GJ224" s="35" t="s">
        <v>817</v>
      </c>
      <c r="GR224" s="35" t="s">
        <v>3208</v>
      </c>
      <c r="GU224" s="35" t="s">
        <v>5170</v>
      </c>
      <c r="GV224" s="35" t="s">
        <v>6981</v>
      </c>
      <c r="GW224" s="35" t="s">
        <v>5231</v>
      </c>
      <c r="GX224" s="35" t="s">
        <v>484</v>
      </c>
      <c r="HD224" s="35" t="s">
        <v>5297</v>
      </c>
      <c r="HE224" s="35" t="s">
        <v>5282</v>
      </c>
      <c r="HF224" s="35" t="s">
        <v>5320</v>
      </c>
      <c r="HG224" s="35" t="s">
        <v>5284</v>
      </c>
      <c r="HP224" s="35" t="s">
        <v>5383</v>
      </c>
      <c r="HQ224" s="35" t="s">
        <v>5264</v>
      </c>
      <c r="HR224" s="35" t="s">
        <v>5238</v>
      </c>
      <c r="HS224" s="35" t="s">
        <v>5321</v>
      </c>
      <c r="HX224" s="35" t="s">
        <v>6789</v>
      </c>
      <c r="MK224" s="35" t="s">
        <v>6321</v>
      </c>
    </row>
    <row r="225">
      <c r="A225" s="35" t="s">
        <v>11477</v>
      </c>
      <c r="B225" s="40">
        <v>45941.29232648148</v>
      </c>
      <c r="C225" s="35" t="s">
        <v>368</v>
      </c>
      <c r="D225" s="35" t="s">
        <v>370</v>
      </c>
      <c r="E225" s="35" t="s">
        <v>5694</v>
      </c>
      <c r="F225" s="35" t="s">
        <v>1592</v>
      </c>
      <c r="H225" s="35" t="s">
        <v>422</v>
      </c>
      <c r="I225" s="35" t="s">
        <v>373</v>
      </c>
      <c r="J225" s="35" t="s">
        <v>638</v>
      </c>
      <c r="K225" s="35" t="s">
        <v>375</v>
      </c>
      <c r="L225" s="35" t="s">
        <v>376</v>
      </c>
      <c r="M225" s="35" t="s">
        <v>591</v>
      </c>
      <c r="N225" s="35" t="s">
        <v>7054</v>
      </c>
      <c r="O225" s="35" t="s">
        <v>793</v>
      </c>
      <c r="P225" s="35" t="s">
        <v>7055</v>
      </c>
      <c r="Q225" s="35" t="s">
        <v>592</v>
      </c>
      <c r="R225" s="35" t="s">
        <v>862</v>
      </c>
      <c r="S225" s="35" t="s">
        <v>500</v>
      </c>
      <c r="T225" s="35" t="s">
        <v>7056</v>
      </c>
      <c r="U225" s="35" t="s">
        <v>385</v>
      </c>
      <c r="X225" s="35" t="s">
        <v>386</v>
      </c>
      <c r="Y225" s="35" t="s">
        <v>387</v>
      </c>
      <c r="Z225" s="35" t="s">
        <v>388</v>
      </c>
      <c r="AA225" s="35" t="s">
        <v>543</v>
      </c>
      <c r="AB225" s="35" t="s">
        <v>7057</v>
      </c>
      <c r="AC225" s="35" t="s">
        <v>7058</v>
      </c>
      <c r="AW225" s="35" t="s">
        <v>504</v>
      </c>
      <c r="AX225" s="35" t="s">
        <v>391</v>
      </c>
      <c r="AY225" s="35" t="s">
        <v>391</v>
      </c>
      <c r="AZ225" s="35" t="s">
        <v>391</v>
      </c>
      <c r="BA225" s="41">
        <v>2.0</v>
      </c>
      <c r="BB225" s="35" t="s">
        <v>429</v>
      </c>
      <c r="BC225" s="35" t="s">
        <v>429</v>
      </c>
      <c r="BD225" s="35" t="s">
        <v>7059</v>
      </c>
      <c r="BE225" s="35" t="s">
        <v>7060</v>
      </c>
      <c r="BF225" s="35" t="s">
        <v>392</v>
      </c>
      <c r="BG225" s="35" t="s">
        <v>433</v>
      </c>
      <c r="BH225" s="35" t="s">
        <v>434</v>
      </c>
      <c r="BI225" s="35" t="s">
        <v>7061</v>
      </c>
      <c r="BJ225" s="35" t="s">
        <v>509</v>
      </c>
      <c r="BK225" s="35" t="s">
        <v>7062</v>
      </c>
      <c r="BL225" s="35" t="s">
        <v>511</v>
      </c>
      <c r="BM225" s="35" t="s">
        <v>438</v>
      </c>
      <c r="BN225" s="35" t="s">
        <v>439</v>
      </c>
      <c r="BO225" s="35" t="s">
        <v>513</v>
      </c>
      <c r="CM225" s="35" t="s">
        <v>441</v>
      </c>
      <c r="CN225" s="35" t="s">
        <v>401</v>
      </c>
      <c r="CO225" s="35" t="s">
        <v>7063</v>
      </c>
      <c r="CP225" s="35" t="s">
        <v>7064</v>
      </c>
      <c r="CQ225" s="35" t="s">
        <v>979</v>
      </c>
      <c r="CR225" s="35" t="s">
        <v>7065</v>
      </c>
      <c r="CS225" s="35" t="s">
        <v>828</v>
      </c>
      <c r="CT225" s="35" t="s">
        <v>1626</v>
      </c>
      <c r="CU225" s="35" t="s">
        <v>7066</v>
      </c>
      <c r="CV225" s="35" t="s">
        <v>450</v>
      </c>
      <c r="CW225" s="35" t="s">
        <v>451</v>
      </c>
      <c r="CX225" s="35" t="s">
        <v>7067</v>
      </c>
      <c r="CY225" s="35" t="s">
        <v>408</v>
      </c>
      <c r="DA225" s="35" t="s">
        <v>453</v>
      </c>
      <c r="DB225" s="35" t="s">
        <v>7068</v>
      </c>
      <c r="DC225" s="35" t="s">
        <v>455</v>
      </c>
      <c r="DD225" s="35" t="s">
        <v>7069</v>
      </c>
      <c r="DE225" s="35" t="s">
        <v>457</v>
      </c>
      <c r="DG225" s="35" t="s">
        <v>7070</v>
      </c>
      <c r="DH225" s="35" t="s">
        <v>524</v>
      </c>
      <c r="DI225" s="35" t="s">
        <v>410</v>
      </c>
      <c r="DJ225" s="35" t="s">
        <v>459</v>
      </c>
      <c r="DK225" s="35" t="s">
        <v>613</v>
      </c>
      <c r="EU225" s="35" t="s">
        <v>478</v>
      </c>
      <c r="EV225" s="35" t="s">
        <v>887</v>
      </c>
      <c r="EW225" s="35" t="s">
        <v>480</v>
      </c>
      <c r="EY225" s="35" t="s">
        <v>7071</v>
      </c>
      <c r="EZ225" s="35" t="s">
        <v>7072</v>
      </c>
      <c r="FA225" s="35" t="s">
        <v>414</v>
      </c>
      <c r="FB225" s="35" t="s">
        <v>583</v>
      </c>
      <c r="FC225" s="35" t="s">
        <v>416</v>
      </c>
      <c r="FD225" s="35" t="s">
        <v>414</v>
      </c>
      <c r="FE225" s="35" t="s">
        <v>484</v>
      </c>
      <c r="FF225" s="35" t="s">
        <v>583</v>
      </c>
      <c r="FG225" s="35" t="s">
        <v>414</v>
      </c>
      <c r="FH225" s="35" t="s">
        <v>413</v>
      </c>
      <c r="FI225" s="35" t="s">
        <v>414</v>
      </c>
      <c r="FJ225" s="35" t="s">
        <v>414</v>
      </c>
      <c r="FK225" s="35" t="s">
        <v>414</v>
      </c>
      <c r="FL225" s="35" t="s">
        <v>484</v>
      </c>
      <c r="FM225" s="35" t="s">
        <v>484</v>
      </c>
      <c r="FN225" s="35" t="s">
        <v>413</v>
      </c>
      <c r="FO225" s="35" t="s">
        <v>583</v>
      </c>
      <c r="FP225" s="35" t="s">
        <v>485</v>
      </c>
      <c r="FQ225" s="35" t="s">
        <v>486</v>
      </c>
      <c r="FR225" s="35" t="s">
        <v>712</v>
      </c>
      <c r="FT225" s="35" t="s">
        <v>420</v>
      </c>
      <c r="FU225" s="35" t="s">
        <v>488</v>
      </c>
      <c r="FV225" s="35" t="s">
        <v>918</v>
      </c>
      <c r="FW225" s="35" t="s">
        <v>490</v>
      </c>
      <c r="FX225" s="35" t="s">
        <v>491</v>
      </c>
      <c r="FY225" s="35" t="s">
        <v>7073</v>
      </c>
      <c r="FZ225" s="35" t="s">
        <v>535</v>
      </c>
      <c r="GA225" s="35" t="s">
        <v>7074</v>
      </c>
      <c r="GB225" s="35" t="s">
        <v>7075</v>
      </c>
      <c r="GC225" s="35" t="s">
        <v>455</v>
      </c>
      <c r="GD225" s="35" t="s">
        <v>11478</v>
      </c>
      <c r="GF225" s="35" t="s">
        <v>753</v>
      </c>
      <c r="GH225" s="35" t="s">
        <v>1000</v>
      </c>
      <c r="GI225" s="35" t="s">
        <v>755</v>
      </c>
      <c r="GJ225" s="35" t="s">
        <v>817</v>
      </c>
      <c r="GP225" s="35" t="s">
        <v>7076</v>
      </c>
      <c r="GR225" s="35" t="s">
        <v>3208</v>
      </c>
      <c r="GU225" s="35" t="s">
        <v>4774</v>
      </c>
      <c r="GW225" s="35" t="s">
        <v>5231</v>
      </c>
      <c r="GX225" s="35" t="s">
        <v>5232</v>
      </c>
      <c r="HD225" s="35" t="s">
        <v>484</v>
      </c>
      <c r="HE225" s="35" t="s">
        <v>5282</v>
      </c>
      <c r="HF225" s="35" t="s">
        <v>5283</v>
      </c>
      <c r="HG225" s="35" t="s">
        <v>5493</v>
      </c>
      <c r="HP225" s="35" t="s">
        <v>5236</v>
      </c>
      <c r="HQ225" s="35" t="s">
        <v>5371</v>
      </c>
      <c r="HR225" s="35" t="s">
        <v>5238</v>
      </c>
      <c r="HS225" s="35" t="s">
        <v>913</v>
      </c>
      <c r="HX225" s="35" t="s">
        <v>7077</v>
      </c>
      <c r="MK225" s="35" t="s">
        <v>6321</v>
      </c>
    </row>
    <row r="226">
      <c r="A226" s="35" t="s">
        <v>11479</v>
      </c>
      <c r="B226" s="40">
        <v>45945.13833958333</v>
      </c>
      <c r="C226" s="35" t="s">
        <v>368</v>
      </c>
      <c r="D226" s="35" t="s">
        <v>3013</v>
      </c>
      <c r="E226" s="35" t="s">
        <v>370</v>
      </c>
      <c r="G226" s="35" t="s">
        <v>371</v>
      </c>
      <c r="H226" s="35" t="s">
        <v>1093</v>
      </c>
      <c r="I226" s="35" t="s">
        <v>496</v>
      </c>
      <c r="J226" s="35" t="s">
        <v>374</v>
      </c>
      <c r="K226" s="35" t="s">
        <v>375</v>
      </c>
      <c r="L226" s="35" t="s">
        <v>376</v>
      </c>
      <c r="M226" s="35" t="s">
        <v>377</v>
      </c>
      <c r="N226" s="35" t="s">
        <v>2966</v>
      </c>
      <c r="O226" s="35" t="s">
        <v>379</v>
      </c>
      <c r="P226" s="35" t="s">
        <v>541</v>
      </c>
      <c r="Q226" s="35" t="s">
        <v>381</v>
      </c>
      <c r="R226" s="35" t="s">
        <v>382</v>
      </c>
      <c r="S226" s="35" t="s">
        <v>500</v>
      </c>
      <c r="T226" s="35" t="s">
        <v>384</v>
      </c>
      <c r="U226" s="35" t="s">
        <v>385</v>
      </c>
      <c r="X226" s="35" t="s">
        <v>593</v>
      </c>
      <c r="Y226" s="35" t="s">
        <v>387</v>
      </c>
      <c r="Z226" s="35" t="s">
        <v>4171</v>
      </c>
      <c r="AA226" s="35" t="s">
        <v>502</v>
      </c>
      <c r="AB226" s="35" t="s">
        <v>7110</v>
      </c>
      <c r="AW226" s="35" t="s">
        <v>1310</v>
      </c>
      <c r="AX226" s="41">
        <v>4.0</v>
      </c>
      <c r="AY226" s="35" t="s">
        <v>391</v>
      </c>
      <c r="AZ226" s="41">
        <v>2.0</v>
      </c>
      <c r="BA226" s="41">
        <v>2.0</v>
      </c>
      <c r="BB226" s="35" t="s">
        <v>429</v>
      </c>
      <c r="BC226" s="35" t="s">
        <v>429</v>
      </c>
      <c r="BD226" s="35" t="s">
        <v>7111</v>
      </c>
      <c r="BE226" s="35" t="s">
        <v>7112</v>
      </c>
      <c r="BF226" s="35" t="s">
        <v>432</v>
      </c>
      <c r="BG226" s="35" t="s">
        <v>393</v>
      </c>
      <c r="BH226" s="35" t="s">
        <v>678</v>
      </c>
      <c r="BI226" s="35" t="s">
        <v>7113</v>
      </c>
      <c r="BJ226" s="35" t="s">
        <v>509</v>
      </c>
      <c r="BK226" s="35" t="s">
        <v>7114</v>
      </c>
      <c r="BL226" s="35" t="s">
        <v>681</v>
      </c>
      <c r="BM226" s="35" t="s">
        <v>438</v>
      </c>
      <c r="BN226" s="35" t="s">
        <v>1247</v>
      </c>
      <c r="BO226" s="35" t="s">
        <v>513</v>
      </c>
      <c r="CM226" s="35" t="s">
        <v>682</v>
      </c>
      <c r="CN226" s="35" t="s">
        <v>604</v>
      </c>
      <c r="CO226" s="35" t="s">
        <v>7115</v>
      </c>
      <c r="CP226" s="35" t="s">
        <v>7116</v>
      </c>
      <c r="CU226" s="35" t="s">
        <v>7117</v>
      </c>
      <c r="CV226" s="35" t="s">
        <v>450</v>
      </c>
      <c r="CW226" s="35" t="s">
        <v>959</v>
      </c>
      <c r="CY226" s="35" t="s">
        <v>455</v>
      </c>
      <c r="CZ226" s="35" t="s">
        <v>7118</v>
      </c>
      <c r="DA226" s="35" t="s">
        <v>1398</v>
      </c>
      <c r="DB226" s="35" t="s">
        <v>7119</v>
      </c>
      <c r="DC226" s="35" t="s">
        <v>408</v>
      </c>
      <c r="DH226" s="35" t="s">
        <v>776</v>
      </c>
      <c r="DI226" s="35" t="s">
        <v>410</v>
      </c>
      <c r="DJ226" s="35" t="s">
        <v>459</v>
      </c>
      <c r="DK226" s="35" t="s">
        <v>460</v>
      </c>
      <c r="DL226" s="35" t="s">
        <v>6319</v>
      </c>
      <c r="EU226" s="35" t="s">
        <v>478</v>
      </c>
      <c r="EV226" s="35" t="s">
        <v>579</v>
      </c>
      <c r="EW226" s="35" t="s">
        <v>480</v>
      </c>
      <c r="EY226" s="35" t="s">
        <v>7120</v>
      </c>
      <c r="EZ226" s="35" t="s">
        <v>7121</v>
      </c>
      <c r="FA226" s="35" t="s">
        <v>415</v>
      </c>
      <c r="FB226" s="35" t="s">
        <v>583</v>
      </c>
      <c r="FC226" s="35" t="s">
        <v>413</v>
      </c>
      <c r="FD226" s="35" t="s">
        <v>415</v>
      </c>
      <c r="FE226" s="35" t="s">
        <v>413</v>
      </c>
      <c r="FF226" s="35" t="s">
        <v>583</v>
      </c>
      <c r="FG226" s="35" t="s">
        <v>415</v>
      </c>
      <c r="FH226" s="35" t="s">
        <v>415</v>
      </c>
      <c r="FI226" s="35" t="s">
        <v>583</v>
      </c>
      <c r="FJ226" s="35" t="s">
        <v>413</v>
      </c>
      <c r="FK226" s="35" t="s">
        <v>583</v>
      </c>
      <c r="FL226" s="35" t="s">
        <v>583</v>
      </c>
      <c r="FM226" s="35" t="s">
        <v>583</v>
      </c>
      <c r="FN226" s="35" t="s">
        <v>413</v>
      </c>
      <c r="FO226" s="35" t="s">
        <v>583</v>
      </c>
      <c r="FP226" s="35" t="s">
        <v>850</v>
      </c>
      <c r="FR226" s="35" t="s">
        <v>630</v>
      </c>
      <c r="FS226" s="35" t="s">
        <v>4416</v>
      </c>
      <c r="FT226" s="35" t="s">
        <v>1871</v>
      </c>
      <c r="FU226" s="35" t="s">
        <v>1462</v>
      </c>
      <c r="FV226" s="35" t="s">
        <v>489</v>
      </c>
      <c r="FW226" s="35" t="s">
        <v>490</v>
      </c>
      <c r="FX226" s="35" t="s">
        <v>491</v>
      </c>
      <c r="FY226" s="35" t="s">
        <v>7122</v>
      </c>
      <c r="FZ226" s="35" t="s">
        <v>493</v>
      </c>
      <c r="GA226" s="35" t="s">
        <v>7123</v>
      </c>
      <c r="GC226" s="35" t="s">
        <v>455</v>
      </c>
      <c r="GD226" s="35" t="s">
        <v>11480</v>
      </c>
      <c r="GE226" s="35" t="s">
        <v>11481</v>
      </c>
      <c r="GF226" s="35" t="s">
        <v>855</v>
      </c>
      <c r="GH226" s="35" t="s">
        <v>755</v>
      </c>
      <c r="GI226" s="35" t="s">
        <v>755</v>
      </c>
      <c r="GJ226" s="35" t="s">
        <v>817</v>
      </c>
      <c r="GO226" s="35" t="s">
        <v>7124</v>
      </c>
      <c r="GR226" s="35" t="s">
        <v>3208</v>
      </c>
      <c r="GU226" s="35" t="s">
        <v>4774</v>
      </c>
      <c r="GW226" s="35" t="s">
        <v>5231</v>
      </c>
      <c r="GX226" s="35" t="s">
        <v>5261</v>
      </c>
      <c r="HP226" s="35" t="s">
        <v>5236</v>
      </c>
      <c r="HQ226" s="35" t="s">
        <v>5237</v>
      </c>
      <c r="HR226" s="35" t="s">
        <v>5238</v>
      </c>
      <c r="HS226" s="35" t="s">
        <v>5347</v>
      </c>
      <c r="HT226" s="35" t="s">
        <v>5916</v>
      </c>
      <c r="HV226" s="35" t="s">
        <v>5917</v>
      </c>
      <c r="HW226" s="35" t="s">
        <v>5918</v>
      </c>
      <c r="HY226" s="35" t="s">
        <v>5919</v>
      </c>
      <c r="HZ226" s="35" t="s">
        <v>6464</v>
      </c>
      <c r="IA226" s="35" t="s">
        <v>6464</v>
      </c>
      <c r="IB226" s="35" t="s">
        <v>6464</v>
      </c>
      <c r="IC226" s="35" t="s">
        <v>6464</v>
      </c>
      <c r="ID226" s="35" t="s">
        <v>5921</v>
      </c>
      <c r="IE226" s="35" t="s">
        <v>5536</v>
      </c>
      <c r="IF226" s="35" t="s">
        <v>6522</v>
      </c>
      <c r="IG226" s="35" t="s">
        <v>5989</v>
      </c>
      <c r="IH226" s="35" t="s">
        <v>6522</v>
      </c>
      <c r="II226" s="35" t="s">
        <v>6522</v>
      </c>
      <c r="IJ226" s="35" t="s">
        <v>5500</v>
      </c>
      <c r="IK226" s="35" t="s">
        <v>7125</v>
      </c>
      <c r="IL226" s="35" t="s">
        <v>7126</v>
      </c>
      <c r="IM226" s="35" t="s">
        <v>7127</v>
      </c>
      <c r="IN226" s="35" t="s">
        <v>7128</v>
      </c>
      <c r="MK226" s="35" t="s">
        <v>6321</v>
      </c>
    </row>
    <row r="227">
      <c r="A227" s="35" t="s">
        <v>11482</v>
      </c>
      <c r="B227" s="40">
        <v>45948.43710914352</v>
      </c>
      <c r="C227" s="35" t="s">
        <v>368</v>
      </c>
      <c r="D227" s="35" t="s">
        <v>1201</v>
      </c>
      <c r="E227" s="35" t="s">
        <v>1201</v>
      </c>
      <c r="H227" s="35" t="s">
        <v>422</v>
      </c>
      <c r="I227" s="35" t="s">
        <v>373</v>
      </c>
      <c r="J227" s="35" t="s">
        <v>374</v>
      </c>
      <c r="K227" s="35" t="s">
        <v>718</v>
      </c>
      <c r="L227" s="35" t="s">
        <v>376</v>
      </c>
      <c r="M227" s="35" t="s">
        <v>1526</v>
      </c>
      <c r="N227" s="35" t="s">
        <v>541</v>
      </c>
      <c r="O227" s="35" t="s">
        <v>1526</v>
      </c>
      <c r="P227" s="35" t="s">
        <v>380</v>
      </c>
      <c r="Q227" s="35" t="s">
        <v>381</v>
      </c>
      <c r="R227" s="35" t="s">
        <v>499</v>
      </c>
      <c r="S227" s="35" t="s">
        <v>427</v>
      </c>
      <c r="T227" s="35" t="s">
        <v>384</v>
      </c>
      <c r="U227" s="35" t="s">
        <v>385</v>
      </c>
      <c r="X227" s="35" t="s">
        <v>3231</v>
      </c>
      <c r="AW227" s="35" t="s">
        <v>1242</v>
      </c>
      <c r="AX227" s="35" t="s">
        <v>675</v>
      </c>
      <c r="AY227" s="35" t="s">
        <v>675</v>
      </c>
      <c r="AZ227" s="35" t="s">
        <v>675</v>
      </c>
      <c r="BA227" s="35" t="s">
        <v>675</v>
      </c>
      <c r="BB227" s="35" t="s">
        <v>429</v>
      </c>
      <c r="BC227" s="35" t="s">
        <v>675</v>
      </c>
      <c r="BE227" s="35" t="s">
        <v>7173</v>
      </c>
      <c r="BF227" s="35" t="s">
        <v>902</v>
      </c>
      <c r="BG227" s="35" t="s">
        <v>1245</v>
      </c>
      <c r="BH227" s="35" t="s">
        <v>678</v>
      </c>
      <c r="BI227" s="35" t="s">
        <v>7174</v>
      </c>
      <c r="BJ227" s="35" t="s">
        <v>976</v>
      </c>
      <c r="BL227" s="35" t="s">
        <v>681</v>
      </c>
      <c r="BM227" s="35" t="s">
        <v>603</v>
      </c>
      <c r="BN227" s="35" t="s">
        <v>1247</v>
      </c>
      <c r="BO227" s="35" t="s">
        <v>513</v>
      </c>
      <c r="CM227" s="35" t="s">
        <v>682</v>
      </c>
      <c r="CN227" s="35" t="s">
        <v>442</v>
      </c>
      <c r="CO227" s="35" t="s">
        <v>7175</v>
      </c>
      <c r="CP227" s="35" t="s">
        <v>7176</v>
      </c>
      <c r="CU227" s="35" t="s">
        <v>7177</v>
      </c>
      <c r="CV227" s="35" t="s">
        <v>1863</v>
      </c>
      <c r="CW227" s="35" t="s">
        <v>959</v>
      </c>
      <c r="CY227" s="35" t="s">
        <v>408</v>
      </c>
      <c r="DA227" s="35" t="s">
        <v>1962</v>
      </c>
      <c r="DC227" s="35" t="s">
        <v>913</v>
      </c>
      <c r="DD227" s="35" t="s">
        <v>7178</v>
      </c>
      <c r="DH227" s="35" t="s">
        <v>990</v>
      </c>
      <c r="DI227" s="35" t="s">
        <v>1220</v>
      </c>
      <c r="DJ227" s="35" t="s">
        <v>777</v>
      </c>
      <c r="DK227" s="35" t="s">
        <v>460</v>
      </c>
      <c r="DL227" s="35" t="s">
        <v>6319</v>
      </c>
      <c r="EU227" s="35" t="s">
        <v>478</v>
      </c>
      <c r="EV227" s="35" t="s">
        <v>1127</v>
      </c>
      <c r="EW227" s="35" t="s">
        <v>527</v>
      </c>
      <c r="EY227" s="35" t="s">
        <v>7179</v>
      </c>
      <c r="FA227" s="35" t="s">
        <v>583</v>
      </c>
      <c r="FB227" s="35" t="s">
        <v>583</v>
      </c>
      <c r="FC227" s="35" t="s">
        <v>583</v>
      </c>
      <c r="FD227" s="35" t="s">
        <v>583</v>
      </c>
      <c r="FE227" s="35" t="s">
        <v>484</v>
      </c>
      <c r="FF227" s="35" t="s">
        <v>583</v>
      </c>
      <c r="FG227" s="35" t="s">
        <v>583</v>
      </c>
      <c r="FH227" s="35" t="s">
        <v>583</v>
      </c>
      <c r="FI227" s="35" t="s">
        <v>583</v>
      </c>
      <c r="FJ227" s="35" t="s">
        <v>484</v>
      </c>
      <c r="FK227" s="35" t="s">
        <v>583</v>
      </c>
      <c r="FL227" s="35" t="s">
        <v>484</v>
      </c>
      <c r="FM227" s="35" t="s">
        <v>484</v>
      </c>
      <c r="FN227" s="35" t="s">
        <v>484</v>
      </c>
      <c r="FO227" s="35" t="s">
        <v>484</v>
      </c>
      <c r="FP227" s="35" t="s">
        <v>1074</v>
      </c>
      <c r="FQ227" s="35" t="s">
        <v>1200</v>
      </c>
      <c r="FR227" s="35" t="s">
        <v>419</v>
      </c>
      <c r="FS227" s="35" t="s">
        <v>7180</v>
      </c>
      <c r="FT227" s="35" t="s">
        <v>1871</v>
      </c>
      <c r="FU227" s="35" t="s">
        <v>421</v>
      </c>
      <c r="FV227" s="35" t="s">
        <v>918</v>
      </c>
      <c r="FW227" s="35" t="s">
        <v>2399</v>
      </c>
      <c r="FX227" s="35" t="s">
        <v>1853</v>
      </c>
      <c r="FZ227" s="35" t="s">
        <v>1020</v>
      </c>
      <c r="GA227" s="35" t="s">
        <v>7181</v>
      </c>
      <c r="GH227" s="35" t="s">
        <v>920</v>
      </c>
      <c r="GI227" s="35" t="s">
        <v>920</v>
      </c>
      <c r="GJ227" s="35" t="s">
        <v>790</v>
      </c>
      <c r="GO227" s="35" t="s">
        <v>7182</v>
      </c>
      <c r="GP227" s="35" t="s">
        <v>7182</v>
      </c>
      <c r="GQ227" s="35" t="s">
        <v>387</v>
      </c>
      <c r="GR227" s="35" t="s">
        <v>3208</v>
      </c>
      <c r="GV227" s="35" t="s">
        <v>1252</v>
      </c>
      <c r="GW227" s="35" t="s">
        <v>5231</v>
      </c>
      <c r="GX227" s="35" t="s">
        <v>484</v>
      </c>
      <c r="HP227" s="35" t="s">
        <v>5285</v>
      </c>
      <c r="HQ227" s="35" t="s">
        <v>5371</v>
      </c>
      <c r="HR227" s="35" t="s">
        <v>5721</v>
      </c>
      <c r="HS227" s="35" t="s">
        <v>5287</v>
      </c>
      <c r="HT227" s="35" t="s">
        <v>5916</v>
      </c>
      <c r="HV227" s="35" t="s">
        <v>5917</v>
      </c>
      <c r="HW227" s="35" t="s">
        <v>5918</v>
      </c>
      <c r="HY227" s="35" t="s">
        <v>5920</v>
      </c>
      <c r="HZ227" s="35" t="s">
        <v>5920</v>
      </c>
      <c r="IA227" s="35" t="s">
        <v>5920</v>
      </c>
      <c r="IB227" s="35" t="s">
        <v>5920</v>
      </c>
      <c r="IC227" s="35" t="s">
        <v>5920</v>
      </c>
      <c r="ID227" s="35" t="s">
        <v>5919</v>
      </c>
      <c r="IE227" s="35" t="s">
        <v>5500</v>
      </c>
      <c r="IF227" s="35" t="s">
        <v>6522</v>
      </c>
      <c r="IG227" s="35" t="s">
        <v>5536</v>
      </c>
      <c r="IH227" s="35" t="s">
        <v>5537</v>
      </c>
      <c r="II227" s="35" t="s">
        <v>5537</v>
      </c>
      <c r="IJ227" s="35" t="s">
        <v>5500</v>
      </c>
      <c r="IK227" s="35" t="s">
        <v>7183</v>
      </c>
      <c r="IL227" s="35" t="s">
        <v>6523</v>
      </c>
      <c r="IM227" s="35" t="s">
        <v>7184</v>
      </c>
      <c r="MK227" s="35" t="s">
        <v>6321</v>
      </c>
    </row>
    <row r="228">
      <c r="A228" s="35" t="s">
        <v>11483</v>
      </c>
      <c r="B228" s="40">
        <v>45951.28084502315</v>
      </c>
      <c r="C228" s="35" t="s">
        <v>368</v>
      </c>
      <c r="D228" s="35" t="s">
        <v>538</v>
      </c>
      <c r="E228" s="35" t="s">
        <v>538</v>
      </c>
      <c r="H228" s="35" t="s">
        <v>422</v>
      </c>
      <c r="I228" s="35" t="s">
        <v>637</v>
      </c>
      <c r="J228" s="35" t="s">
        <v>638</v>
      </c>
      <c r="K228" s="35" t="s">
        <v>425</v>
      </c>
      <c r="L228" s="35" t="s">
        <v>376</v>
      </c>
      <c r="M228" s="35" t="s">
        <v>793</v>
      </c>
      <c r="N228" s="35" t="s">
        <v>639</v>
      </c>
      <c r="O228" s="35" t="s">
        <v>793</v>
      </c>
      <c r="P228" s="35" t="s">
        <v>2579</v>
      </c>
      <c r="Q228" s="35" t="s">
        <v>381</v>
      </c>
      <c r="R228" s="35" t="s">
        <v>862</v>
      </c>
      <c r="S228" s="35" t="s">
        <v>2360</v>
      </c>
      <c r="T228" s="35" t="s">
        <v>1512</v>
      </c>
      <c r="U228" s="35" t="s">
        <v>385</v>
      </c>
      <c r="X228" s="35" t="s">
        <v>3014</v>
      </c>
      <c r="AW228" s="35" t="s">
        <v>390</v>
      </c>
      <c r="AX228" s="35" t="s">
        <v>391</v>
      </c>
      <c r="AY228" s="35" t="s">
        <v>429</v>
      </c>
      <c r="AZ228" s="41">
        <v>2.0</v>
      </c>
      <c r="BA228" s="35" t="s">
        <v>429</v>
      </c>
      <c r="BB228" s="35" t="s">
        <v>429</v>
      </c>
      <c r="BC228" s="35" t="s">
        <v>391</v>
      </c>
      <c r="BD228" s="35" t="s">
        <v>7185</v>
      </c>
      <c r="BE228" s="35" t="s">
        <v>7186</v>
      </c>
      <c r="BF228" s="35" t="s">
        <v>432</v>
      </c>
      <c r="BG228" s="35" t="s">
        <v>433</v>
      </c>
      <c r="BH228" s="35" t="s">
        <v>678</v>
      </c>
      <c r="BI228" s="35" t="s">
        <v>7187</v>
      </c>
      <c r="BJ228" s="35" t="s">
        <v>509</v>
      </c>
      <c r="BK228" s="35" t="s">
        <v>7188</v>
      </c>
      <c r="BL228" s="35" t="s">
        <v>437</v>
      </c>
      <c r="BM228" s="35" t="s">
        <v>603</v>
      </c>
      <c r="BN228" s="35" t="s">
        <v>439</v>
      </c>
      <c r="BO228" s="35" t="s">
        <v>513</v>
      </c>
      <c r="CM228" s="35" t="s">
        <v>550</v>
      </c>
      <c r="CN228" s="35" t="s">
        <v>604</v>
      </c>
      <c r="CO228" s="35" t="s">
        <v>7189</v>
      </c>
      <c r="CP228" s="35" t="s">
        <v>7190</v>
      </c>
      <c r="CQ228" s="35" t="s">
        <v>685</v>
      </c>
      <c r="CR228" s="35" t="s">
        <v>7191</v>
      </c>
      <c r="CS228" s="35" t="s">
        <v>804</v>
      </c>
      <c r="CT228" s="35" t="s">
        <v>7192</v>
      </c>
      <c r="CU228" s="35" t="s">
        <v>7193</v>
      </c>
      <c r="CV228" s="35" t="s">
        <v>450</v>
      </c>
      <c r="CW228" s="35" t="s">
        <v>451</v>
      </c>
      <c r="CX228" s="35" t="s">
        <v>7194</v>
      </c>
      <c r="CY228" s="35" t="s">
        <v>408</v>
      </c>
      <c r="DA228" s="35" t="s">
        <v>453</v>
      </c>
      <c r="DB228" s="35" t="s">
        <v>7195</v>
      </c>
      <c r="DC228" s="35" t="s">
        <v>455</v>
      </c>
      <c r="DD228" s="35" t="s">
        <v>7196</v>
      </c>
      <c r="DE228" s="35" t="s">
        <v>988</v>
      </c>
      <c r="DG228" s="35" t="s">
        <v>7197</v>
      </c>
      <c r="DH228" s="35" t="s">
        <v>524</v>
      </c>
      <c r="DI228" s="35" t="s">
        <v>410</v>
      </c>
      <c r="DJ228" s="35" t="s">
        <v>963</v>
      </c>
      <c r="DK228" s="35" t="s">
        <v>613</v>
      </c>
      <c r="EU228" s="35" t="s">
        <v>526</v>
      </c>
      <c r="EV228" s="35" t="s">
        <v>579</v>
      </c>
      <c r="EW228" s="35" t="s">
        <v>527</v>
      </c>
      <c r="EX228" s="35" t="s">
        <v>7198</v>
      </c>
      <c r="EY228" s="35" t="s">
        <v>7199</v>
      </c>
      <c r="EZ228" s="35" t="s">
        <v>7200</v>
      </c>
      <c r="FA228" s="35" t="s">
        <v>416</v>
      </c>
      <c r="FB228" s="35" t="s">
        <v>414</v>
      </c>
      <c r="FC228" s="35" t="s">
        <v>413</v>
      </c>
      <c r="FD228" s="35" t="s">
        <v>414</v>
      </c>
      <c r="FE228" s="35" t="s">
        <v>413</v>
      </c>
      <c r="FF228" s="35" t="s">
        <v>583</v>
      </c>
      <c r="FG228" s="35" t="s">
        <v>415</v>
      </c>
      <c r="FH228" s="35" t="s">
        <v>414</v>
      </c>
      <c r="FI228" s="35" t="s">
        <v>413</v>
      </c>
      <c r="FJ228" s="35" t="s">
        <v>415</v>
      </c>
      <c r="FK228" s="35" t="s">
        <v>414</v>
      </c>
      <c r="FL228" s="35" t="s">
        <v>415</v>
      </c>
      <c r="FM228" s="35" t="s">
        <v>415</v>
      </c>
      <c r="FN228" s="35" t="s">
        <v>415</v>
      </c>
      <c r="FO228" s="35" t="s">
        <v>415</v>
      </c>
      <c r="FP228" s="35" t="s">
        <v>417</v>
      </c>
      <c r="FQ228" s="35" t="s">
        <v>418</v>
      </c>
      <c r="FR228" s="35" t="s">
        <v>749</v>
      </c>
      <c r="FS228" s="35" t="s">
        <v>7201</v>
      </c>
      <c r="FT228" s="35" t="s">
        <v>420</v>
      </c>
      <c r="FU228" s="35" t="s">
        <v>488</v>
      </c>
      <c r="FV228" s="35" t="s">
        <v>585</v>
      </c>
      <c r="FW228" s="35" t="s">
        <v>490</v>
      </c>
      <c r="FX228" s="35" t="s">
        <v>491</v>
      </c>
      <c r="FY228" s="35" t="s">
        <v>7202</v>
      </c>
      <c r="FZ228" s="35" t="s">
        <v>493</v>
      </c>
      <c r="GA228" s="35" t="s">
        <v>7203</v>
      </c>
      <c r="GB228" s="35" t="s">
        <v>7204</v>
      </c>
      <c r="GC228" s="35" t="s">
        <v>408</v>
      </c>
      <c r="GH228" s="35" t="s">
        <v>857</v>
      </c>
      <c r="GI228" s="35" t="s">
        <v>1000</v>
      </c>
      <c r="GJ228" s="35" t="s">
        <v>946</v>
      </c>
      <c r="GO228" s="35" t="s">
        <v>3012</v>
      </c>
      <c r="GP228" s="35" t="s">
        <v>3012</v>
      </c>
      <c r="GR228" s="35" t="s">
        <v>5656</v>
      </c>
      <c r="GU228" s="35" t="s">
        <v>4774</v>
      </c>
      <c r="GW228" s="35" t="s">
        <v>5231</v>
      </c>
      <c r="GX228" s="35" t="s">
        <v>5261</v>
      </c>
      <c r="HD228" s="35" t="s">
        <v>5281</v>
      </c>
      <c r="HE228" s="35" t="s">
        <v>5349</v>
      </c>
      <c r="HF228" s="35" t="s">
        <v>5718</v>
      </c>
      <c r="HG228" s="35" t="s">
        <v>5899</v>
      </c>
      <c r="HP228" s="35" t="s">
        <v>5285</v>
      </c>
      <c r="HQ228" s="35" t="s">
        <v>5264</v>
      </c>
      <c r="HR228" s="35" t="s">
        <v>5238</v>
      </c>
      <c r="HS228" s="35" t="s">
        <v>5321</v>
      </c>
      <c r="HX228" s="35" t="s">
        <v>7205</v>
      </c>
      <c r="MK228" s="35" t="s">
        <v>6321</v>
      </c>
    </row>
    <row r="229">
      <c r="A229" s="35" t="s">
        <v>11484</v>
      </c>
      <c r="B229" s="40">
        <v>45956.00984539352</v>
      </c>
      <c r="C229" s="35" t="s">
        <v>368</v>
      </c>
      <c r="D229" s="35" t="s">
        <v>370</v>
      </c>
      <c r="E229" s="35" t="s">
        <v>370</v>
      </c>
      <c r="F229" s="35" t="s">
        <v>6500</v>
      </c>
      <c r="G229" s="35" t="s">
        <v>2559</v>
      </c>
      <c r="H229" s="35" t="s">
        <v>422</v>
      </c>
      <c r="I229" s="35" t="s">
        <v>539</v>
      </c>
      <c r="J229" s="35" t="s">
        <v>424</v>
      </c>
      <c r="K229" s="35" t="s">
        <v>718</v>
      </c>
      <c r="L229" s="35" t="s">
        <v>376</v>
      </c>
      <c r="M229" s="35" t="s">
        <v>591</v>
      </c>
      <c r="N229" s="35" t="s">
        <v>860</v>
      </c>
      <c r="O229" s="35" t="s">
        <v>591</v>
      </c>
      <c r="P229" s="35" t="s">
        <v>671</v>
      </c>
      <c r="Q229" s="35" t="s">
        <v>498</v>
      </c>
      <c r="R229" s="35" t="s">
        <v>499</v>
      </c>
      <c r="S229" s="35" t="s">
        <v>949</v>
      </c>
      <c r="T229" s="35" t="s">
        <v>384</v>
      </c>
      <c r="U229" s="35" t="s">
        <v>385</v>
      </c>
      <c r="X229" s="35" t="s">
        <v>593</v>
      </c>
      <c r="Y229" s="35" t="s">
        <v>387</v>
      </c>
      <c r="Z229" s="35" t="s">
        <v>2115</v>
      </c>
      <c r="AA229" s="35" t="s">
        <v>672</v>
      </c>
      <c r="AB229" s="35" t="s">
        <v>7252</v>
      </c>
      <c r="AC229" s="35" t="s">
        <v>7253</v>
      </c>
      <c r="AW229" s="35" t="s">
        <v>1310</v>
      </c>
      <c r="AX229" s="35" t="s">
        <v>391</v>
      </c>
      <c r="AY229" s="41">
        <v>2.0</v>
      </c>
      <c r="AZ229" s="35" t="s">
        <v>429</v>
      </c>
      <c r="BA229" s="41">
        <v>2.0</v>
      </c>
      <c r="BB229" s="41">
        <v>2.0</v>
      </c>
      <c r="BC229" s="35" t="s">
        <v>429</v>
      </c>
      <c r="BD229" s="35" t="s">
        <v>7254</v>
      </c>
      <c r="BE229" s="35" t="s">
        <v>7255</v>
      </c>
      <c r="BF229" s="35" t="s">
        <v>392</v>
      </c>
      <c r="BG229" s="35" t="s">
        <v>433</v>
      </c>
      <c r="BH229" s="35" t="s">
        <v>725</v>
      </c>
      <c r="BI229" s="35" t="s">
        <v>7256</v>
      </c>
      <c r="BJ229" s="35" t="s">
        <v>509</v>
      </c>
      <c r="BK229" s="35" t="s">
        <v>7257</v>
      </c>
      <c r="BL229" s="35" t="s">
        <v>602</v>
      </c>
      <c r="BM229" s="35" t="s">
        <v>512</v>
      </c>
      <c r="BN229" s="35" t="s">
        <v>1247</v>
      </c>
      <c r="BO229" s="35" t="s">
        <v>513</v>
      </c>
      <c r="CM229" s="35" t="s">
        <v>441</v>
      </c>
      <c r="CN229" s="35" t="s">
        <v>682</v>
      </c>
      <c r="CO229" s="35" t="s">
        <v>7258</v>
      </c>
      <c r="CP229" s="35" t="s">
        <v>7259</v>
      </c>
      <c r="CQ229" s="35" t="s">
        <v>979</v>
      </c>
      <c r="CR229" s="35" t="s">
        <v>7260</v>
      </c>
      <c r="CS229" s="35" t="s">
        <v>804</v>
      </c>
      <c r="CT229" s="35" t="s">
        <v>1346</v>
      </c>
      <c r="CU229" s="35" t="s">
        <v>7261</v>
      </c>
      <c r="CV229" s="35" t="s">
        <v>982</v>
      </c>
      <c r="CW229" s="35" t="s">
        <v>409</v>
      </c>
      <c r="CX229" s="35" t="s">
        <v>7262</v>
      </c>
      <c r="CY229" s="35" t="s">
        <v>408</v>
      </c>
      <c r="DA229" s="35" t="s">
        <v>1398</v>
      </c>
      <c r="DB229" s="35" t="s">
        <v>7263</v>
      </c>
      <c r="DC229" s="35" t="s">
        <v>408</v>
      </c>
      <c r="DE229" s="35" t="s">
        <v>406</v>
      </c>
      <c r="DF229" s="35" t="s">
        <v>407</v>
      </c>
      <c r="DG229" s="35" t="s">
        <v>7264</v>
      </c>
      <c r="DH229" s="35" t="s">
        <v>4899</v>
      </c>
      <c r="DI229" s="35" t="s">
        <v>1964</v>
      </c>
      <c r="DJ229" s="35" t="s">
        <v>459</v>
      </c>
      <c r="DK229" s="35" t="s">
        <v>613</v>
      </c>
      <c r="EU229" s="35" t="s">
        <v>526</v>
      </c>
      <c r="EV229" s="35" t="s">
        <v>579</v>
      </c>
      <c r="EW229" s="35" t="s">
        <v>480</v>
      </c>
      <c r="EX229" s="35" t="s">
        <v>7265</v>
      </c>
      <c r="EY229" s="35" t="s">
        <v>7266</v>
      </c>
      <c r="EZ229" s="35" t="s">
        <v>7267</v>
      </c>
      <c r="FA229" s="35" t="s">
        <v>583</v>
      </c>
      <c r="FB229" s="35" t="s">
        <v>583</v>
      </c>
      <c r="FC229" s="35" t="s">
        <v>416</v>
      </c>
      <c r="FD229" s="35" t="s">
        <v>583</v>
      </c>
      <c r="FE229" s="35" t="s">
        <v>484</v>
      </c>
      <c r="FF229" s="35" t="s">
        <v>583</v>
      </c>
      <c r="FG229" s="35" t="s">
        <v>484</v>
      </c>
      <c r="FH229" s="35" t="s">
        <v>583</v>
      </c>
      <c r="FI229" s="35" t="s">
        <v>484</v>
      </c>
      <c r="FJ229" s="35" t="s">
        <v>583</v>
      </c>
      <c r="FK229" s="35" t="s">
        <v>583</v>
      </c>
      <c r="FL229" s="35" t="s">
        <v>583</v>
      </c>
      <c r="FM229" s="35" t="s">
        <v>583</v>
      </c>
      <c r="FN229" s="35" t="s">
        <v>484</v>
      </c>
      <c r="FO229" s="35" t="s">
        <v>583</v>
      </c>
      <c r="FP229" s="35" t="s">
        <v>1537</v>
      </c>
      <c r="FQ229" s="35" t="s">
        <v>2651</v>
      </c>
      <c r="FR229" s="35" t="s">
        <v>419</v>
      </c>
      <c r="FS229" s="35" t="s">
        <v>6934</v>
      </c>
      <c r="FT229" s="35" t="s">
        <v>1871</v>
      </c>
      <c r="FU229" s="35" t="s">
        <v>1476</v>
      </c>
      <c r="FV229" s="35" t="s">
        <v>533</v>
      </c>
      <c r="FW229" s="35" t="s">
        <v>2399</v>
      </c>
      <c r="FX229" s="35" t="s">
        <v>1853</v>
      </c>
      <c r="FY229" s="35" t="s">
        <v>7268</v>
      </c>
      <c r="FZ229" s="35" t="s">
        <v>1020</v>
      </c>
      <c r="GA229" s="35" t="s">
        <v>7269</v>
      </c>
      <c r="GB229" s="35" t="s">
        <v>7270</v>
      </c>
      <c r="GC229" s="35" t="s">
        <v>455</v>
      </c>
      <c r="GD229" s="35" t="s">
        <v>11485</v>
      </c>
      <c r="GF229" s="35" t="s">
        <v>944</v>
      </c>
      <c r="GG229" s="35" t="s">
        <v>7271</v>
      </c>
      <c r="GH229" s="35" t="s">
        <v>755</v>
      </c>
      <c r="GI229" s="35" t="s">
        <v>1000</v>
      </c>
      <c r="GJ229" s="35" t="s">
        <v>817</v>
      </c>
      <c r="GR229" s="35" t="s">
        <v>5656</v>
      </c>
      <c r="GU229" s="35" t="s">
        <v>5081</v>
      </c>
      <c r="GV229" s="35" t="s">
        <v>7272</v>
      </c>
      <c r="GW229" s="35" t="s">
        <v>5231</v>
      </c>
      <c r="GX229" s="35" t="s">
        <v>5232</v>
      </c>
      <c r="HD229" s="35" t="s">
        <v>5297</v>
      </c>
      <c r="HE229" s="35" t="s">
        <v>5382</v>
      </c>
      <c r="HF229" s="35" t="s">
        <v>484</v>
      </c>
      <c r="HG229" s="35" t="s">
        <v>5300</v>
      </c>
      <c r="HP229" s="35" t="s">
        <v>5236</v>
      </c>
      <c r="HQ229" s="35" t="s">
        <v>5237</v>
      </c>
      <c r="HR229" s="35" t="s">
        <v>5801</v>
      </c>
      <c r="HS229" s="35" t="s">
        <v>913</v>
      </c>
      <c r="HX229" s="35" t="s">
        <v>6859</v>
      </c>
      <c r="MK229" s="35" t="s">
        <v>6321</v>
      </c>
    </row>
    <row r="230">
      <c r="A230" s="35" t="s">
        <v>11486</v>
      </c>
      <c r="B230" s="40">
        <v>45956.86146025463</v>
      </c>
      <c r="C230" s="35" t="s">
        <v>368</v>
      </c>
      <c r="D230" s="35" t="s">
        <v>370</v>
      </c>
      <c r="E230" s="35" t="s">
        <v>370</v>
      </c>
      <c r="F230" s="35" t="s">
        <v>1001</v>
      </c>
      <c r="G230" s="35" t="s">
        <v>371</v>
      </c>
      <c r="H230" s="35" t="s">
        <v>422</v>
      </c>
      <c r="I230" s="35" t="s">
        <v>373</v>
      </c>
      <c r="J230" s="35" t="s">
        <v>374</v>
      </c>
      <c r="K230" s="35" t="s">
        <v>375</v>
      </c>
      <c r="L230" s="35" t="s">
        <v>376</v>
      </c>
      <c r="M230" s="35" t="s">
        <v>591</v>
      </c>
      <c r="N230" s="35" t="s">
        <v>1270</v>
      </c>
      <c r="O230" s="35" t="s">
        <v>591</v>
      </c>
      <c r="P230" s="35" t="s">
        <v>1270</v>
      </c>
      <c r="Q230" s="35" t="s">
        <v>592</v>
      </c>
      <c r="R230" s="35" t="s">
        <v>382</v>
      </c>
      <c r="S230" s="35" t="s">
        <v>500</v>
      </c>
      <c r="T230" s="35" t="s">
        <v>384</v>
      </c>
      <c r="U230" s="35" t="s">
        <v>385</v>
      </c>
      <c r="X230" s="35" t="s">
        <v>3014</v>
      </c>
      <c r="AW230" s="35" t="s">
        <v>504</v>
      </c>
      <c r="AX230" s="35" t="s">
        <v>391</v>
      </c>
      <c r="AY230" s="35" t="s">
        <v>391</v>
      </c>
      <c r="AZ230" s="35" t="s">
        <v>391</v>
      </c>
      <c r="BA230" s="35" t="s">
        <v>429</v>
      </c>
      <c r="BB230" s="41">
        <v>2.0</v>
      </c>
      <c r="BC230" s="41">
        <v>2.0</v>
      </c>
      <c r="BF230" s="35" t="s">
        <v>392</v>
      </c>
      <c r="BG230" s="35" t="s">
        <v>433</v>
      </c>
      <c r="BH230" s="35" t="s">
        <v>725</v>
      </c>
      <c r="BJ230" s="35" t="s">
        <v>509</v>
      </c>
      <c r="BL230" s="35" t="s">
        <v>395</v>
      </c>
      <c r="BM230" s="35" t="s">
        <v>438</v>
      </c>
      <c r="BN230" s="35" t="s">
        <v>439</v>
      </c>
      <c r="BO230" s="35" t="s">
        <v>513</v>
      </c>
      <c r="CM230" s="35" t="s">
        <v>441</v>
      </c>
      <c r="CN230" s="35" t="s">
        <v>401</v>
      </c>
      <c r="CQ230" s="35" t="s">
        <v>403</v>
      </c>
      <c r="CR230" s="35" t="s">
        <v>7273</v>
      </c>
      <c r="CS230" s="35" t="s">
        <v>447</v>
      </c>
      <c r="CT230" s="35" t="s">
        <v>1137</v>
      </c>
      <c r="CV230" s="35" t="s">
        <v>450</v>
      </c>
      <c r="CW230" s="35" t="s">
        <v>451</v>
      </c>
      <c r="CY230" s="35" t="s">
        <v>408</v>
      </c>
      <c r="DA230" s="35" t="s">
        <v>453</v>
      </c>
      <c r="DC230" s="35" t="s">
        <v>913</v>
      </c>
      <c r="DE230" s="35" t="s">
        <v>406</v>
      </c>
      <c r="DF230" s="35" t="s">
        <v>407</v>
      </c>
      <c r="DH230" s="35" t="s">
        <v>561</v>
      </c>
      <c r="DI230" s="35" t="s">
        <v>410</v>
      </c>
      <c r="DJ230" s="35" t="s">
        <v>459</v>
      </c>
      <c r="DK230" s="35" t="s">
        <v>613</v>
      </c>
      <c r="EU230" s="35" t="s">
        <v>526</v>
      </c>
      <c r="EV230" s="35" t="s">
        <v>479</v>
      </c>
      <c r="EW230" s="35" t="s">
        <v>480</v>
      </c>
      <c r="FA230" s="35" t="s">
        <v>415</v>
      </c>
      <c r="FB230" s="35" t="s">
        <v>415</v>
      </c>
      <c r="FC230" s="35" t="s">
        <v>413</v>
      </c>
      <c r="FD230" s="35" t="s">
        <v>413</v>
      </c>
      <c r="FE230" s="35" t="s">
        <v>413</v>
      </c>
      <c r="FF230" s="35" t="s">
        <v>415</v>
      </c>
      <c r="FG230" s="35" t="s">
        <v>415</v>
      </c>
      <c r="FH230" s="35" t="s">
        <v>413</v>
      </c>
      <c r="FI230" s="35" t="s">
        <v>583</v>
      </c>
      <c r="FJ230" s="35" t="s">
        <v>415</v>
      </c>
      <c r="FK230" s="35" t="s">
        <v>413</v>
      </c>
      <c r="FL230" s="35" t="s">
        <v>415</v>
      </c>
      <c r="FM230" s="35" t="s">
        <v>415</v>
      </c>
      <c r="FN230" s="35" t="s">
        <v>413</v>
      </c>
      <c r="FO230" s="35" t="s">
        <v>583</v>
      </c>
      <c r="FP230" s="35" t="s">
        <v>850</v>
      </c>
      <c r="FQ230" s="35" t="s">
        <v>418</v>
      </c>
      <c r="FR230" s="35" t="s">
        <v>1039</v>
      </c>
      <c r="FT230" s="35" t="s">
        <v>420</v>
      </c>
      <c r="FU230" s="35" t="s">
        <v>488</v>
      </c>
      <c r="FV230" s="35" t="s">
        <v>533</v>
      </c>
      <c r="FW230" s="35" t="s">
        <v>490</v>
      </c>
      <c r="FX230" s="35" t="s">
        <v>491</v>
      </c>
      <c r="FZ230" s="35" t="s">
        <v>535</v>
      </c>
      <c r="GC230" s="35" t="s">
        <v>408</v>
      </c>
      <c r="GH230" s="35" t="s">
        <v>755</v>
      </c>
      <c r="GI230" s="35" t="s">
        <v>755</v>
      </c>
      <c r="GJ230" s="35" t="s">
        <v>946</v>
      </c>
      <c r="GR230" s="35" t="s">
        <v>3208</v>
      </c>
      <c r="GU230" s="35" t="s">
        <v>4774</v>
      </c>
      <c r="GW230" s="35" t="s">
        <v>5231</v>
      </c>
      <c r="GX230" s="35" t="s">
        <v>484</v>
      </c>
      <c r="HD230" s="35" t="s">
        <v>5297</v>
      </c>
      <c r="HE230" s="35" t="s">
        <v>5349</v>
      </c>
      <c r="HF230" s="35" t="s">
        <v>5320</v>
      </c>
      <c r="HG230" s="35" t="s">
        <v>5300</v>
      </c>
      <c r="HP230" s="35" t="s">
        <v>5236</v>
      </c>
      <c r="HQ230" s="35" t="s">
        <v>5264</v>
      </c>
      <c r="HR230" s="35" t="s">
        <v>5238</v>
      </c>
      <c r="HS230" s="35" t="s">
        <v>5287</v>
      </c>
      <c r="HX230" s="35" t="s">
        <v>6274</v>
      </c>
      <c r="MK230" s="35" t="s">
        <v>6321</v>
      </c>
    </row>
    <row r="231">
      <c r="A231" s="35" t="s">
        <v>11487</v>
      </c>
      <c r="B231" s="40">
        <v>45956.90730827546</v>
      </c>
      <c r="C231" s="35" t="s">
        <v>368</v>
      </c>
      <c r="D231" s="35" t="s">
        <v>894</v>
      </c>
      <c r="E231" s="35" t="s">
        <v>894</v>
      </c>
      <c r="H231" s="35" t="s">
        <v>422</v>
      </c>
      <c r="I231" s="35" t="s">
        <v>373</v>
      </c>
      <c r="J231" s="35" t="s">
        <v>374</v>
      </c>
      <c r="K231" s="35" t="s">
        <v>375</v>
      </c>
      <c r="L231" s="35" t="s">
        <v>376</v>
      </c>
      <c r="M231" s="35" t="s">
        <v>793</v>
      </c>
      <c r="N231" s="35" t="s">
        <v>7274</v>
      </c>
      <c r="O231" s="35" t="s">
        <v>793</v>
      </c>
      <c r="P231" s="35" t="s">
        <v>719</v>
      </c>
      <c r="Q231" s="35" t="s">
        <v>592</v>
      </c>
      <c r="R231" s="35" t="s">
        <v>499</v>
      </c>
      <c r="S231" s="35" t="s">
        <v>500</v>
      </c>
      <c r="T231" s="35" t="s">
        <v>384</v>
      </c>
      <c r="U231" s="35" t="s">
        <v>385</v>
      </c>
      <c r="V231" s="35" t="s">
        <v>896</v>
      </c>
      <c r="W231" s="35" t="s">
        <v>896</v>
      </c>
      <c r="X231" s="35" t="s">
        <v>3231</v>
      </c>
      <c r="AW231" s="35" t="s">
        <v>390</v>
      </c>
      <c r="AX231" s="35" t="s">
        <v>391</v>
      </c>
      <c r="AY231" s="35" t="s">
        <v>391</v>
      </c>
      <c r="AZ231" s="41">
        <v>2.0</v>
      </c>
      <c r="BA231" s="35" t="s">
        <v>429</v>
      </c>
      <c r="BB231" s="35" t="s">
        <v>429</v>
      </c>
      <c r="BC231" s="35" t="s">
        <v>391</v>
      </c>
      <c r="BD231" s="35" t="s">
        <v>7275</v>
      </c>
      <c r="BE231" s="35" t="s">
        <v>7276</v>
      </c>
      <c r="BF231" s="35" t="s">
        <v>902</v>
      </c>
      <c r="BG231" s="35" t="s">
        <v>1047</v>
      </c>
      <c r="BH231" s="35" t="s">
        <v>678</v>
      </c>
      <c r="BI231" s="35" t="s">
        <v>7277</v>
      </c>
      <c r="BJ231" s="35" t="s">
        <v>509</v>
      </c>
      <c r="BK231" s="35" t="s">
        <v>7278</v>
      </c>
      <c r="BL231" s="35" t="s">
        <v>437</v>
      </c>
      <c r="BM231" s="35" t="s">
        <v>603</v>
      </c>
      <c r="BN231" s="35" t="s">
        <v>549</v>
      </c>
      <c r="BO231" s="35" t="s">
        <v>513</v>
      </c>
      <c r="CM231" s="35" t="s">
        <v>441</v>
      </c>
      <c r="CN231" s="35" t="s">
        <v>604</v>
      </c>
      <c r="CO231" s="35" t="s">
        <v>552</v>
      </c>
      <c r="CP231" s="35" t="s">
        <v>7279</v>
      </c>
      <c r="CQ231" s="35" t="s">
        <v>685</v>
      </c>
      <c r="CR231" s="35" t="s">
        <v>7280</v>
      </c>
      <c r="CS231" s="35" t="s">
        <v>447</v>
      </c>
      <c r="CT231" s="35" t="s">
        <v>6848</v>
      </c>
      <c r="CU231" s="35" t="s">
        <v>7281</v>
      </c>
      <c r="CV231" s="35" t="s">
        <v>519</v>
      </c>
      <c r="CW231" s="35" t="s">
        <v>451</v>
      </c>
      <c r="CX231" s="35" t="s">
        <v>7282</v>
      </c>
      <c r="CY231" s="35" t="s">
        <v>408</v>
      </c>
      <c r="DA231" s="35" t="s">
        <v>453</v>
      </c>
      <c r="DB231" s="35" t="s">
        <v>7283</v>
      </c>
      <c r="DC231" s="35" t="s">
        <v>455</v>
      </c>
      <c r="DD231" s="35" t="s">
        <v>7284</v>
      </c>
      <c r="DE231" s="35" t="s">
        <v>457</v>
      </c>
      <c r="DG231" s="35" t="s">
        <v>7285</v>
      </c>
      <c r="DH231" s="35" t="s">
        <v>561</v>
      </c>
      <c r="DI231" s="35" t="s">
        <v>410</v>
      </c>
      <c r="DJ231" s="35" t="s">
        <v>459</v>
      </c>
      <c r="DK231" s="35" t="s">
        <v>460</v>
      </c>
      <c r="DL231" s="35" t="s">
        <v>6335</v>
      </c>
      <c r="EU231" s="35" t="s">
        <v>526</v>
      </c>
      <c r="EV231" s="35" t="s">
        <v>887</v>
      </c>
      <c r="EW231" s="35" t="s">
        <v>1262</v>
      </c>
      <c r="EY231" s="35" t="s">
        <v>7286</v>
      </c>
      <c r="FA231" s="35" t="s">
        <v>415</v>
      </c>
      <c r="FB231" s="35" t="s">
        <v>415</v>
      </c>
      <c r="FC231" s="35" t="s">
        <v>413</v>
      </c>
      <c r="FD231" s="35" t="s">
        <v>413</v>
      </c>
      <c r="FE231" s="35" t="s">
        <v>413</v>
      </c>
      <c r="FF231" s="35" t="s">
        <v>415</v>
      </c>
      <c r="FG231" s="35" t="s">
        <v>413</v>
      </c>
      <c r="FH231" s="35" t="s">
        <v>413</v>
      </c>
      <c r="FI231" s="35" t="s">
        <v>583</v>
      </c>
      <c r="FJ231" s="35" t="s">
        <v>416</v>
      </c>
      <c r="FK231" s="35" t="s">
        <v>416</v>
      </c>
      <c r="FL231" s="35" t="s">
        <v>413</v>
      </c>
      <c r="FM231" s="35" t="s">
        <v>415</v>
      </c>
      <c r="FN231" s="35" t="s">
        <v>413</v>
      </c>
      <c r="FO231" s="35" t="s">
        <v>583</v>
      </c>
      <c r="FP231" s="35" t="s">
        <v>485</v>
      </c>
      <c r="FQ231" s="35" t="s">
        <v>486</v>
      </c>
      <c r="FR231" s="35" t="s">
        <v>531</v>
      </c>
      <c r="FS231" s="35" t="s">
        <v>7287</v>
      </c>
      <c r="FT231" s="35" t="s">
        <v>420</v>
      </c>
      <c r="FU231" s="35" t="s">
        <v>488</v>
      </c>
      <c r="FV231" s="35" t="s">
        <v>918</v>
      </c>
      <c r="FW231" s="35" t="s">
        <v>490</v>
      </c>
      <c r="FX231" s="35" t="s">
        <v>491</v>
      </c>
      <c r="FY231" s="35" t="s">
        <v>7288</v>
      </c>
      <c r="FZ231" s="35" t="s">
        <v>535</v>
      </c>
      <c r="GC231" s="35" t="s">
        <v>408</v>
      </c>
      <c r="GH231" s="35" t="s">
        <v>755</v>
      </c>
      <c r="GI231" s="35" t="s">
        <v>755</v>
      </c>
      <c r="GJ231" s="35" t="s">
        <v>946</v>
      </c>
      <c r="GQ231" s="35" t="s">
        <v>387</v>
      </c>
      <c r="GR231" s="35" t="s">
        <v>3208</v>
      </c>
      <c r="GU231" s="35" t="s">
        <v>4774</v>
      </c>
      <c r="GW231" s="35" t="s">
        <v>5231</v>
      </c>
      <c r="GX231" s="35" t="s">
        <v>5232</v>
      </c>
      <c r="HD231" s="35" t="s">
        <v>6053</v>
      </c>
      <c r="HE231" s="35" t="s">
        <v>5282</v>
      </c>
      <c r="HF231" s="35" t="s">
        <v>5492</v>
      </c>
      <c r="HG231" s="35" t="s">
        <v>5899</v>
      </c>
      <c r="HP231" s="35" t="s">
        <v>5346</v>
      </c>
      <c r="HQ231" s="35" t="s">
        <v>5302</v>
      </c>
      <c r="HR231" s="35" t="s">
        <v>5238</v>
      </c>
      <c r="HS231" s="35" t="s">
        <v>5321</v>
      </c>
      <c r="HX231" s="35" t="s">
        <v>5501</v>
      </c>
      <c r="MK231" s="35" t="s">
        <v>6321</v>
      </c>
    </row>
    <row r="232">
      <c r="A232" s="35" t="s">
        <v>11488</v>
      </c>
      <c r="B232" s="40">
        <v>45959.10253167824</v>
      </c>
      <c r="C232" s="35" t="s">
        <v>368</v>
      </c>
      <c r="D232" s="35" t="s">
        <v>370</v>
      </c>
      <c r="E232" s="35" t="s">
        <v>370</v>
      </c>
      <c r="F232" s="35" t="s">
        <v>2359</v>
      </c>
      <c r="G232" s="35" t="s">
        <v>2359</v>
      </c>
      <c r="H232" s="35" t="s">
        <v>422</v>
      </c>
      <c r="I232" s="35" t="s">
        <v>496</v>
      </c>
      <c r="J232" s="35" t="s">
        <v>374</v>
      </c>
      <c r="K232" s="35" t="s">
        <v>375</v>
      </c>
      <c r="L232" s="35" t="s">
        <v>376</v>
      </c>
      <c r="M232" s="35" t="s">
        <v>426</v>
      </c>
      <c r="N232" s="35" t="s">
        <v>719</v>
      </c>
      <c r="O232" s="35" t="s">
        <v>426</v>
      </c>
      <c r="P232" s="35" t="s">
        <v>497</v>
      </c>
      <c r="Q232" s="35" t="s">
        <v>498</v>
      </c>
      <c r="R232" s="35" t="s">
        <v>382</v>
      </c>
      <c r="S232" s="35" t="s">
        <v>500</v>
      </c>
      <c r="T232" s="35" t="s">
        <v>384</v>
      </c>
      <c r="U232" s="35" t="s">
        <v>385</v>
      </c>
      <c r="X232" s="35" t="s">
        <v>386</v>
      </c>
      <c r="Y232" s="35" t="s">
        <v>387</v>
      </c>
      <c r="Z232" s="35" t="s">
        <v>388</v>
      </c>
      <c r="AA232" s="35" t="s">
        <v>502</v>
      </c>
      <c r="AB232" s="35" t="s">
        <v>408</v>
      </c>
      <c r="AC232" s="35" t="s">
        <v>7384</v>
      </c>
      <c r="AW232" s="35" t="s">
        <v>504</v>
      </c>
      <c r="AX232" s="35" t="s">
        <v>429</v>
      </c>
      <c r="AY232" s="35" t="s">
        <v>429</v>
      </c>
      <c r="AZ232" s="41">
        <v>2.0</v>
      </c>
      <c r="BA232" s="41">
        <v>2.0</v>
      </c>
      <c r="BB232" s="41">
        <v>2.0</v>
      </c>
      <c r="BC232" s="35" t="s">
        <v>429</v>
      </c>
      <c r="BE232" s="35" t="s">
        <v>7385</v>
      </c>
      <c r="BF232" s="35" t="s">
        <v>392</v>
      </c>
      <c r="BG232" s="35" t="s">
        <v>433</v>
      </c>
      <c r="BH232" s="35" t="s">
        <v>678</v>
      </c>
      <c r="BI232" s="35" t="s">
        <v>7386</v>
      </c>
      <c r="BJ232" s="35" t="s">
        <v>509</v>
      </c>
      <c r="BK232" s="35" t="s">
        <v>7387</v>
      </c>
      <c r="BL232" s="35" t="s">
        <v>395</v>
      </c>
      <c r="BM232" s="35" t="s">
        <v>603</v>
      </c>
      <c r="BN232" s="35" t="s">
        <v>439</v>
      </c>
      <c r="BO232" s="35" t="s">
        <v>513</v>
      </c>
      <c r="CM232" s="35" t="s">
        <v>441</v>
      </c>
      <c r="CN232" s="35" t="s">
        <v>604</v>
      </c>
      <c r="CO232" s="35" t="s">
        <v>7388</v>
      </c>
      <c r="CP232" s="35" t="s">
        <v>7389</v>
      </c>
      <c r="CQ232" s="35" t="s">
        <v>979</v>
      </c>
      <c r="CR232" s="35" t="s">
        <v>7390</v>
      </c>
      <c r="CS232" s="35" t="s">
        <v>447</v>
      </c>
      <c r="CT232" s="35" t="s">
        <v>7391</v>
      </c>
      <c r="CV232" s="35" t="s">
        <v>450</v>
      </c>
      <c r="CW232" s="35" t="s">
        <v>451</v>
      </c>
      <c r="CX232" s="35" t="s">
        <v>7392</v>
      </c>
      <c r="CY232" s="35" t="s">
        <v>733</v>
      </c>
      <c r="DA232" s="35" t="s">
        <v>453</v>
      </c>
      <c r="DB232" s="35" t="s">
        <v>7393</v>
      </c>
      <c r="DC232" s="35" t="s">
        <v>455</v>
      </c>
      <c r="DD232" s="35" t="s">
        <v>7394</v>
      </c>
      <c r="DE232" s="35" t="s">
        <v>662</v>
      </c>
      <c r="DF232" s="35" t="s">
        <v>407</v>
      </c>
      <c r="DG232" s="35" t="s">
        <v>7395</v>
      </c>
      <c r="DH232" s="35" t="s">
        <v>524</v>
      </c>
      <c r="DI232" s="35" t="s">
        <v>410</v>
      </c>
      <c r="DJ232" s="35" t="s">
        <v>459</v>
      </c>
      <c r="DK232" s="35" t="s">
        <v>613</v>
      </c>
      <c r="EU232" s="35" t="s">
        <v>526</v>
      </c>
      <c r="EV232" s="35" t="s">
        <v>479</v>
      </c>
      <c r="EW232" s="35" t="s">
        <v>663</v>
      </c>
      <c r="FA232" s="35" t="s">
        <v>413</v>
      </c>
      <c r="FB232" s="35" t="s">
        <v>413</v>
      </c>
      <c r="FC232" s="35" t="s">
        <v>413</v>
      </c>
      <c r="FD232" s="35" t="s">
        <v>413</v>
      </c>
      <c r="FE232" s="35" t="s">
        <v>413</v>
      </c>
      <c r="FF232" s="35" t="s">
        <v>413</v>
      </c>
      <c r="FG232" s="35" t="s">
        <v>413</v>
      </c>
      <c r="FH232" s="35" t="s">
        <v>413</v>
      </c>
      <c r="FI232" s="35" t="s">
        <v>413</v>
      </c>
      <c r="FJ232" s="35" t="s">
        <v>415</v>
      </c>
      <c r="FK232" s="35" t="s">
        <v>413</v>
      </c>
      <c r="FL232" s="35" t="s">
        <v>413</v>
      </c>
      <c r="FM232" s="35" t="s">
        <v>413</v>
      </c>
      <c r="FN232" s="35" t="s">
        <v>413</v>
      </c>
      <c r="FO232" s="35" t="s">
        <v>414</v>
      </c>
      <c r="FP232" s="35" t="s">
        <v>417</v>
      </c>
      <c r="FQ232" s="35" t="s">
        <v>486</v>
      </c>
      <c r="FR232" s="35" t="s">
        <v>531</v>
      </c>
      <c r="FS232" s="35" t="s">
        <v>7396</v>
      </c>
      <c r="FT232" s="35" t="s">
        <v>420</v>
      </c>
      <c r="FU232" s="35" t="s">
        <v>488</v>
      </c>
      <c r="FV232" s="35" t="s">
        <v>918</v>
      </c>
      <c r="FW232" s="35" t="s">
        <v>490</v>
      </c>
      <c r="FX232" s="35" t="s">
        <v>491</v>
      </c>
      <c r="FZ232" s="35" t="s">
        <v>535</v>
      </c>
      <c r="GA232" s="35" t="s">
        <v>7397</v>
      </c>
      <c r="GC232" s="35" t="s">
        <v>455</v>
      </c>
      <c r="GD232" s="35" t="s">
        <v>11489</v>
      </c>
      <c r="GE232" s="41">
        <v>8.567773282E9</v>
      </c>
      <c r="GF232" s="35" t="s">
        <v>753</v>
      </c>
      <c r="GG232" s="35" t="s">
        <v>7398</v>
      </c>
      <c r="GH232" s="35" t="s">
        <v>1000</v>
      </c>
      <c r="GI232" s="35" t="s">
        <v>1000</v>
      </c>
      <c r="GJ232" s="35" t="s">
        <v>946</v>
      </c>
      <c r="GR232" s="35" t="s">
        <v>4653</v>
      </c>
      <c r="GU232" s="35" t="s">
        <v>4741</v>
      </c>
      <c r="GV232" s="35" t="s">
        <v>7399</v>
      </c>
      <c r="GW232" s="35" t="s">
        <v>5231</v>
      </c>
      <c r="GX232" s="35" t="s">
        <v>5232</v>
      </c>
      <c r="HD232" s="35" t="s">
        <v>5297</v>
      </c>
      <c r="HE232" s="35" t="s">
        <v>5298</v>
      </c>
      <c r="HF232" s="35" t="s">
        <v>5492</v>
      </c>
      <c r="HG232" s="35" t="s">
        <v>5493</v>
      </c>
      <c r="HP232" s="35" t="s">
        <v>5236</v>
      </c>
      <c r="HQ232" s="35" t="s">
        <v>5264</v>
      </c>
      <c r="HR232" s="35" t="s">
        <v>5238</v>
      </c>
      <c r="HS232" s="35" t="s">
        <v>7400</v>
      </c>
      <c r="HX232" s="35" t="s">
        <v>5501</v>
      </c>
      <c r="MK232" s="35" t="s">
        <v>6321</v>
      </c>
    </row>
    <row r="233">
      <c r="A233" s="35" t="s">
        <v>11490</v>
      </c>
      <c r="B233" s="40">
        <v>45959.17554484954</v>
      </c>
      <c r="C233" s="35" t="s">
        <v>368</v>
      </c>
      <c r="D233" s="35" t="s">
        <v>370</v>
      </c>
      <c r="E233" s="35" t="s">
        <v>370</v>
      </c>
      <c r="F233" s="35" t="s">
        <v>859</v>
      </c>
      <c r="G233" s="35" t="s">
        <v>859</v>
      </c>
      <c r="H233" s="35" t="s">
        <v>422</v>
      </c>
      <c r="I233" s="35" t="s">
        <v>637</v>
      </c>
      <c r="J233" s="35" t="s">
        <v>638</v>
      </c>
      <c r="K233" s="35" t="s">
        <v>425</v>
      </c>
      <c r="L233" s="35" t="s">
        <v>376</v>
      </c>
      <c r="M233" s="35" t="s">
        <v>793</v>
      </c>
      <c r="N233" s="35" t="s">
        <v>639</v>
      </c>
      <c r="O233" s="35" t="s">
        <v>793</v>
      </c>
      <c r="P233" s="35" t="s">
        <v>719</v>
      </c>
      <c r="Q233" s="35" t="s">
        <v>592</v>
      </c>
      <c r="R233" s="35" t="s">
        <v>862</v>
      </c>
      <c r="S233" s="35" t="s">
        <v>500</v>
      </c>
      <c r="T233" s="35" t="s">
        <v>384</v>
      </c>
      <c r="U233" s="35" t="s">
        <v>385</v>
      </c>
      <c r="X233" s="35" t="s">
        <v>3014</v>
      </c>
      <c r="AW233" s="35" t="s">
        <v>504</v>
      </c>
      <c r="AX233" s="41">
        <v>2.0</v>
      </c>
      <c r="AY233" s="41">
        <v>2.0</v>
      </c>
      <c r="AZ233" s="35" t="s">
        <v>429</v>
      </c>
      <c r="BA233" s="35" t="s">
        <v>429</v>
      </c>
      <c r="BB233" s="35" t="s">
        <v>391</v>
      </c>
      <c r="BC233" s="41">
        <v>2.0</v>
      </c>
      <c r="BD233" s="35" t="s">
        <v>7401</v>
      </c>
      <c r="BF233" s="35" t="s">
        <v>432</v>
      </c>
      <c r="BG233" s="35" t="s">
        <v>433</v>
      </c>
      <c r="BH233" s="35" t="s">
        <v>507</v>
      </c>
      <c r="BI233" s="35" t="s">
        <v>7402</v>
      </c>
      <c r="BJ233" s="35" t="s">
        <v>509</v>
      </c>
      <c r="BK233" s="35" t="s">
        <v>7403</v>
      </c>
      <c r="BL233" s="35" t="s">
        <v>437</v>
      </c>
      <c r="BM233" s="35" t="s">
        <v>396</v>
      </c>
      <c r="BN233" s="35" t="s">
        <v>439</v>
      </c>
      <c r="BO233" s="35" t="s">
        <v>513</v>
      </c>
      <c r="CM233" s="35" t="s">
        <v>441</v>
      </c>
      <c r="CN233" s="35" t="s">
        <v>401</v>
      </c>
      <c r="CO233" s="35" t="s">
        <v>552</v>
      </c>
      <c r="CP233" s="35" t="s">
        <v>7404</v>
      </c>
      <c r="CQ233" s="35" t="s">
        <v>979</v>
      </c>
      <c r="CR233" s="35" t="s">
        <v>7405</v>
      </c>
      <c r="CS233" s="35" t="s">
        <v>447</v>
      </c>
      <c r="CT233" s="35" t="s">
        <v>3479</v>
      </c>
      <c r="CU233" s="35" t="s">
        <v>7406</v>
      </c>
      <c r="CV233" s="35" t="s">
        <v>450</v>
      </c>
      <c r="CW233" s="35" t="s">
        <v>451</v>
      </c>
      <c r="CX233" s="35" t="s">
        <v>7407</v>
      </c>
      <c r="CY233" s="35" t="s">
        <v>408</v>
      </c>
      <c r="DA233" s="35" t="s">
        <v>453</v>
      </c>
      <c r="DB233" s="35" t="s">
        <v>7408</v>
      </c>
      <c r="DC233" s="35" t="s">
        <v>408</v>
      </c>
      <c r="DE233" s="35" t="s">
        <v>457</v>
      </c>
      <c r="DH233" s="35" t="s">
        <v>561</v>
      </c>
      <c r="DI233" s="35" t="s">
        <v>1220</v>
      </c>
      <c r="DJ233" s="35" t="s">
        <v>459</v>
      </c>
      <c r="DK233" s="35" t="s">
        <v>613</v>
      </c>
      <c r="EU233" s="35" t="s">
        <v>478</v>
      </c>
      <c r="EV233" s="35" t="s">
        <v>479</v>
      </c>
      <c r="EW233" s="35" t="s">
        <v>527</v>
      </c>
      <c r="EX233" s="35" t="s">
        <v>7409</v>
      </c>
      <c r="FA233" s="35" t="s">
        <v>583</v>
      </c>
      <c r="FB233" s="35" t="s">
        <v>583</v>
      </c>
      <c r="FC233" s="35" t="s">
        <v>583</v>
      </c>
      <c r="FD233" s="35" t="s">
        <v>583</v>
      </c>
      <c r="FE233" s="35" t="s">
        <v>416</v>
      </c>
      <c r="FF233" s="35" t="s">
        <v>583</v>
      </c>
      <c r="FG233" s="35" t="s">
        <v>484</v>
      </c>
      <c r="FH233" s="35" t="s">
        <v>416</v>
      </c>
      <c r="FI233" s="35" t="s">
        <v>583</v>
      </c>
      <c r="FJ233" s="35" t="s">
        <v>414</v>
      </c>
      <c r="FK233" s="35" t="s">
        <v>414</v>
      </c>
      <c r="FL233" s="35" t="s">
        <v>484</v>
      </c>
      <c r="FM233" s="35" t="s">
        <v>484</v>
      </c>
      <c r="FN233" s="35" t="s">
        <v>484</v>
      </c>
      <c r="FO233" s="35" t="s">
        <v>484</v>
      </c>
      <c r="FP233" s="35" t="s">
        <v>850</v>
      </c>
      <c r="FQ233" s="35" t="s">
        <v>418</v>
      </c>
      <c r="FR233" s="35" t="s">
        <v>419</v>
      </c>
      <c r="FS233" s="35" t="s">
        <v>627</v>
      </c>
      <c r="FT233" s="35" t="s">
        <v>420</v>
      </c>
      <c r="FU233" s="35" t="s">
        <v>488</v>
      </c>
      <c r="FV233" s="35" t="s">
        <v>533</v>
      </c>
      <c r="FW233" s="35" t="s">
        <v>490</v>
      </c>
      <c r="FX233" s="35" t="s">
        <v>491</v>
      </c>
      <c r="FY233" s="35" t="s">
        <v>7410</v>
      </c>
      <c r="FZ233" s="35" t="s">
        <v>535</v>
      </c>
      <c r="GA233" s="35" t="s">
        <v>7411</v>
      </c>
      <c r="GC233" s="35" t="s">
        <v>408</v>
      </c>
      <c r="GH233" s="35" t="s">
        <v>920</v>
      </c>
      <c r="GI233" s="35" t="s">
        <v>920</v>
      </c>
      <c r="GJ233" s="35" t="s">
        <v>817</v>
      </c>
      <c r="GR233" s="35" t="s">
        <v>3208</v>
      </c>
      <c r="GU233" s="35" t="s">
        <v>4774</v>
      </c>
      <c r="GW233" s="35" t="s">
        <v>5231</v>
      </c>
      <c r="GX233" s="35" t="s">
        <v>484</v>
      </c>
      <c r="HD233" s="35" t="s">
        <v>5297</v>
      </c>
      <c r="HE233" s="35" t="s">
        <v>5282</v>
      </c>
      <c r="HF233" s="35" t="s">
        <v>5320</v>
      </c>
      <c r="HG233" s="35" t="s">
        <v>5284</v>
      </c>
      <c r="HP233" s="35" t="s">
        <v>5236</v>
      </c>
      <c r="HQ233" s="35" t="s">
        <v>5264</v>
      </c>
      <c r="HR233" s="35" t="s">
        <v>5238</v>
      </c>
      <c r="HS233" s="35" t="s">
        <v>5321</v>
      </c>
      <c r="MK233" s="35" t="s">
        <v>6321</v>
      </c>
    </row>
    <row r="234">
      <c r="A234" s="35" t="s">
        <v>11491</v>
      </c>
      <c r="B234" s="40">
        <v>45960.6216075</v>
      </c>
      <c r="C234" s="35" t="s">
        <v>368</v>
      </c>
      <c r="D234" s="35" t="s">
        <v>370</v>
      </c>
      <c r="E234" s="35" t="s">
        <v>370</v>
      </c>
      <c r="F234" s="35" t="s">
        <v>2195</v>
      </c>
      <c r="G234" s="35" t="s">
        <v>2195</v>
      </c>
      <c r="H234" s="35" t="s">
        <v>422</v>
      </c>
      <c r="I234" s="35" t="s">
        <v>373</v>
      </c>
      <c r="J234" s="35" t="s">
        <v>638</v>
      </c>
      <c r="K234" s="35" t="s">
        <v>590</v>
      </c>
      <c r="L234" s="35" t="s">
        <v>376</v>
      </c>
      <c r="M234" s="35" t="s">
        <v>379</v>
      </c>
      <c r="N234" s="35" t="s">
        <v>378</v>
      </c>
      <c r="O234" s="35" t="s">
        <v>591</v>
      </c>
      <c r="P234" s="35" t="s">
        <v>1385</v>
      </c>
      <c r="Q234" s="35" t="s">
        <v>498</v>
      </c>
      <c r="R234" s="35" t="s">
        <v>499</v>
      </c>
      <c r="S234" s="35" t="s">
        <v>1704</v>
      </c>
      <c r="T234" s="35" t="s">
        <v>384</v>
      </c>
      <c r="U234" s="35" t="s">
        <v>385</v>
      </c>
      <c r="X234" s="35" t="s">
        <v>386</v>
      </c>
      <c r="Y234" s="35" t="s">
        <v>387</v>
      </c>
      <c r="Z234" s="35" t="s">
        <v>897</v>
      </c>
      <c r="AA234" s="35" t="s">
        <v>502</v>
      </c>
      <c r="AB234" s="35" t="s">
        <v>7451</v>
      </c>
      <c r="AW234" s="35" t="s">
        <v>597</v>
      </c>
      <c r="AX234" s="35" t="s">
        <v>391</v>
      </c>
      <c r="AY234" s="35" t="s">
        <v>391</v>
      </c>
      <c r="AZ234" s="35" t="s">
        <v>391</v>
      </c>
      <c r="BA234" s="35" t="s">
        <v>391</v>
      </c>
      <c r="BB234" s="35" t="s">
        <v>391</v>
      </c>
      <c r="BC234" s="35" t="s">
        <v>391</v>
      </c>
      <c r="BF234" s="35" t="s">
        <v>432</v>
      </c>
      <c r="BG234" s="35" t="s">
        <v>393</v>
      </c>
      <c r="BH234" s="35" t="s">
        <v>434</v>
      </c>
      <c r="BJ234" s="35" t="s">
        <v>435</v>
      </c>
      <c r="BL234" s="35" t="s">
        <v>437</v>
      </c>
      <c r="BM234" s="35" t="s">
        <v>438</v>
      </c>
      <c r="BN234" s="35" t="s">
        <v>397</v>
      </c>
      <c r="BO234" s="35" t="s">
        <v>513</v>
      </c>
      <c r="CM234" s="35" t="s">
        <v>441</v>
      </c>
      <c r="CN234" s="35" t="s">
        <v>401</v>
      </c>
      <c r="CO234" s="35" t="s">
        <v>7452</v>
      </c>
      <c r="CP234" s="35" t="s">
        <v>7453</v>
      </c>
      <c r="CQ234" s="35" t="s">
        <v>403</v>
      </c>
      <c r="CR234" s="35" t="s">
        <v>7454</v>
      </c>
      <c r="CS234" s="35" t="s">
        <v>404</v>
      </c>
      <c r="CT234" s="35" t="s">
        <v>7455</v>
      </c>
      <c r="CU234" s="35" t="s">
        <v>7456</v>
      </c>
      <c r="CV234" s="35" t="s">
        <v>450</v>
      </c>
      <c r="CW234" s="35" t="s">
        <v>451</v>
      </c>
      <c r="CX234" s="35" t="s">
        <v>7457</v>
      </c>
      <c r="CY234" s="35" t="s">
        <v>733</v>
      </c>
      <c r="DA234" s="35" t="s">
        <v>453</v>
      </c>
      <c r="DB234" s="35" t="s">
        <v>7458</v>
      </c>
      <c r="DC234" s="35" t="s">
        <v>913</v>
      </c>
      <c r="DE234" s="35" t="s">
        <v>662</v>
      </c>
      <c r="DF234" s="35" t="s">
        <v>1867</v>
      </c>
      <c r="DH234" s="35" t="s">
        <v>524</v>
      </c>
      <c r="DI234" s="35" t="s">
        <v>833</v>
      </c>
      <c r="DJ234" s="35" t="s">
        <v>459</v>
      </c>
      <c r="DK234" s="35" t="s">
        <v>562</v>
      </c>
      <c r="DL234" s="35" t="s">
        <v>6335</v>
      </c>
      <c r="EU234" s="35" t="s">
        <v>526</v>
      </c>
      <c r="EV234" s="35" t="s">
        <v>479</v>
      </c>
      <c r="EW234" s="35" t="s">
        <v>1534</v>
      </c>
      <c r="EY234" s="35" t="s">
        <v>7459</v>
      </c>
      <c r="EZ234" s="35" t="s">
        <v>7460</v>
      </c>
      <c r="FA234" s="35" t="s">
        <v>413</v>
      </c>
      <c r="FB234" s="35" t="s">
        <v>416</v>
      </c>
      <c r="FC234" s="35" t="s">
        <v>415</v>
      </c>
      <c r="FD234" s="35" t="s">
        <v>414</v>
      </c>
      <c r="FE234" s="35" t="s">
        <v>413</v>
      </c>
      <c r="FF234" s="35" t="s">
        <v>415</v>
      </c>
      <c r="FG234" s="35" t="s">
        <v>415</v>
      </c>
      <c r="FH234" s="35" t="s">
        <v>416</v>
      </c>
      <c r="FI234" s="35" t="s">
        <v>583</v>
      </c>
      <c r="FJ234" s="35" t="s">
        <v>414</v>
      </c>
      <c r="FK234" s="35" t="s">
        <v>415</v>
      </c>
      <c r="FL234" s="35" t="s">
        <v>416</v>
      </c>
      <c r="FM234" s="35" t="s">
        <v>415</v>
      </c>
      <c r="FN234" s="35" t="s">
        <v>416</v>
      </c>
      <c r="FO234" s="35" t="s">
        <v>583</v>
      </c>
      <c r="FP234" s="35" t="s">
        <v>417</v>
      </c>
      <c r="FQ234" s="35" t="s">
        <v>418</v>
      </c>
      <c r="FR234" s="35" t="s">
        <v>712</v>
      </c>
      <c r="FT234" s="35" t="s">
        <v>420</v>
      </c>
      <c r="FU234" s="35" t="s">
        <v>488</v>
      </c>
      <c r="FV234" s="35" t="s">
        <v>489</v>
      </c>
      <c r="FW234" s="35" t="s">
        <v>490</v>
      </c>
      <c r="FX234" s="35" t="s">
        <v>491</v>
      </c>
      <c r="FY234" s="35" t="s">
        <v>7461</v>
      </c>
      <c r="FZ234" s="35" t="s">
        <v>535</v>
      </c>
      <c r="GA234" s="35" t="s">
        <v>7462</v>
      </c>
      <c r="GC234" s="35" t="s">
        <v>408</v>
      </c>
      <c r="GH234" s="35" t="s">
        <v>788</v>
      </c>
      <c r="GI234" s="35" t="s">
        <v>1000</v>
      </c>
      <c r="GJ234" s="35" t="s">
        <v>817</v>
      </c>
      <c r="GR234" s="35" t="s">
        <v>3306</v>
      </c>
      <c r="GU234" s="35" t="s">
        <v>5318</v>
      </c>
      <c r="GW234" s="35" t="s">
        <v>5231</v>
      </c>
      <c r="GX234" s="35" t="s">
        <v>484</v>
      </c>
      <c r="HD234" s="35" t="s">
        <v>5297</v>
      </c>
      <c r="HE234" s="35" t="s">
        <v>5298</v>
      </c>
      <c r="HF234" s="35" t="s">
        <v>5299</v>
      </c>
      <c r="HG234" s="35" t="s">
        <v>5768</v>
      </c>
      <c r="HP234" s="35" t="s">
        <v>5285</v>
      </c>
      <c r="HQ234" s="35" t="s">
        <v>5264</v>
      </c>
      <c r="HR234" s="35" t="s">
        <v>5238</v>
      </c>
      <c r="HS234" s="35" t="s">
        <v>913</v>
      </c>
      <c r="HX234" s="35" t="s">
        <v>7463</v>
      </c>
      <c r="MK234" s="35" t="s">
        <v>6321</v>
      </c>
    </row>
    <row r="235">
      <c r="A235" s="35" t="s">
        <v>11492</v>
      </c>
      <c r="B235" s="40">
        <v>45969.3909524537</v>
      </c>
      <c r="C235" s="35" t="s">
        <v>368</v>
      </c>
      <c r="D235" s="35" t="s">
        <v>1201</v>
      </c>
      <c r="E235" s="35" t="s">
        <v>1201</v>
      </c>
      <c r="H235" s="35" t="s">
        <v>422</v>
      </c>
      <c r="I235" s="35" t="s">
        <v>637</v>
      </c>
      <c r="J235" s="35" t="s">
        <v>638</v>
      </c>
      <c r="K235" s="35" t="s">
        <v>590</v>
      </c>
      <c r="L235" s="35" t="s">
        <v>376</v>
      </c>
      <c r="M235" s="35" t="s">
        <v>591</v>
      </c>
      <c r="N235" s="35" t="s">
        <v>720</v>
      </c>
      <c r="O235" s="35" t="s">
        <v>591</v>
      </c>
      <c r="P235" s="35" t="s">
        <v>639</v>
      </c>
      <c r="Q235" s="35" t="s">
        <v>498</v>
      </c>
      <c r="R235" s="35" t="s">
        <v>862</v>
      </c>
      <c r="S235" s="35" t="s">
        <v>949</v>
      </c>
      <c r="T235" s="35" t="s">
        <v>384</v>
      </c>
      <c r="U235" s="35" t="s">
        <v>385</v>
      </c>
      <c r="X235" s="35" t="s">
        <v>3014</v>
      </c>
      <c r="AW235" s="35" t="s">
        <v>1310</v>
      </c>
      <c r="AX235" s="35" t="s">
        <v>675</v>
      </c>
      <c r="AY235" s="35" t="s">
        <v>675</v>
      </c>
      <c r="AZ235" s="35" t="s">
        <v>675</v>
      </c>
      <c r="BA235" s="35" t="s">
        <v>675</v>
      </c>
      <c r="BB235" s="41">
        <v>4.0</v>
      </c>
      <c r="BC235" s="35" t="s">
        <v>675</v>
      </c>
      <c r="BD235" s="35" t="s">
        <v>7523</v>
      </c>
      <c r="BE235" s="35" t="s">
        <v>7524</v>
      </c>
      <c r="BF235" s="35" t="s">
        <v>432</v>
      </c>
      <c r="BG235" s="35" t="s">
        <v>1245</v>
      </c>
      <c r="BH235" s="35" t="s">
        <v>434</v>
      </c>
      <c r="BI235" s="35" t="s">
        <v>7525</v>
      </c>
      <c r="BJ235" s="35" t="s">
        <v>976</v>
      </c>
      <c r="BL235" s="35" t="s">
        <v>602</v>
      </c>
      <c r="BM235" s="35" t="s">
        <v>904</v>
      </c>
      <c r="BN235" s="35" t="s">
        <v>1314</v>
      </c>
      <c r="BO235" s="35" t="s">
        <v>513</v>
      </c>
      <c r="CM235" s="35" t="s">
        <v>441</v>
      </c>
      <c r="CN235" s="35" t="s">
        <v>604</v>
      </c>
      <c r="CO235" s="35" t="s">
        <v>7526</v>
      </c>
      <c r="CP235" s="35" t="s">
        <v>7527</v>
      </c>
      <c r="CQ235" s="35" t="s">
        <v>1008</v>
      </c>
      <c r="CR235" s="35" t="s">
        <v>7528</v>
      </c>
      <c r="CS235" s="35" t="s">
        <v>828</v>
      </c>
      <c r="CT235" s="35" t="s">
        <v>1851</v>
      </c>
      <c r="CU235" s="35" t="s">
        <v>7529</v>
      </c>
      <c r="CV235" s="35" t="s">
        <v>1961</v>
      </c>
      <c r="CW235" s="35" t="s">
        <v>409</v>
      </c>
      <c r="CX235" s="35" t="s">
        <v>7530</v>
      </c>
      <c r="CY235" s="35" t="s">
        <v>408</v>
      </c>
      <c r="DA235" s="35" t="s">
        <v>1962</v>
      </c>
      <c r="DC235" s="35" t="s">
        <v>408</v>
      </c>
      <c r="DE235" s="35" t="s">
        <v>457</v>
      </c>
      <c r="DG235" s="35" t="s">
        <v>7531</v>
      </c>
      <c r="DH235" s="35" t="s">
        <v>990</v>
      </c>
      <c r="DI235" s="35" t="s">
        <v>833</v>
      </c>
      <c r="DJ235" s="35" t="s">
        <v>963</v>
      </c>
      <c r="DK235" s="35" t="s">
        <v>613</v>
      </c>
      <c r="EU235" s="35" t="s">
        <v>2747</v>
      </c>
      <c r="EV235" s="35" t="s">
        <v>1127</v>
      </c>
      <c r="EW235" s="35" t="s">
        <v>527</v>
      </c>
      <c r="EX235" s="35" t="s">
        <v>7532</v>
      </c>
      <c r="EY235" s="35" t="s">
        <v>7533</v>
      </c>
      <c r="EZ235" s="35" t="s">
        <v>7534</v>
      </c>
      <c r="FA235" s="35" t="s">
        <v>414</v>
      </c>
      <c r="FB235" s="35" t="s">
        <v>414</v>
      </c>
      <c r="FC235" s="35" t="s">
        <v>416</v>
      </c>
      <c r="FD235" s="35" t="s">
        <v>583</v>
      </c>
      <c r="FE235" s="35" t="s">
        <v>415</v>
      </c>
      <c r="FF235" s="35" t="s">
        <v>583</v>
      </c>
      <c r="FG235" s="35" t="s">
        <v>414</v>
      </c>
      <c r="FH235" s="35" t="s">
        <v>415</v>
      </c>
      <c r="FI235" s="35" t="s">
        <v>414</v>
      </c>
      <c r="FJ235" s="35" t="s">
        <v>415</v>
      </c>
      <c r="FK235" s="35" t="s">
        <v>583</v>
      </c>
      <c r="FL235" s="35" t="s">
        <v>415</v>
      </c>
      <c r="FM235" s="35" t="s">
        <v>414</v>
      </c>
      <c r="FN235" s="35" t="s">
        <v>415</v>
      </c>
      <c r="FO235" s="35" t="s">
        <v>414</v>
      </c>
      <c r="FP235" s="35" t="s">
        <v>1074</v>
      </c>
      <c r="FQ235" s="35" t="s">
        <v>1200</v>
      </c>
      <c r="FR235" s="35" t="s">
        <v>419</v>
      </c>
      <c r="FS235" s="35" t="s">
        <v>7535</v>
      </c>
      <c r="FT235" s="35" t="s">
        <v>1871</v>
      </c>
      <c r="FU235" s="35" t="s">
        <v>421</v>
      </c>
      <c r="FV235" s="35" t="s">
        <v>918</v>
      </c>
      <c r="FW235" s="35" t="s">
        <v>2136</v>
      </c>
      <c r="FX235" s="35" t="s">
        <v>491</v>
      </c>
      <c r="FY235" s="35" t="s">
        <v>7536</v>
      </c>
      <c r="FZ235" s="35" t="s">
        <v>1854</v>
      </c>
      <c r="GA235" s="35" t="s">
        <v>7537</v>
      </c>
      <c r="GC235" s="35" t="s">
        <v>408</v>
      </c>
      <c r="GH235" s="35" t="s">
        <v>920</v>
      </c>
      <c r="GI235" s="35" t="s">
        <v>1000</v>
      </c>
      <c r="GJ235" s="35" t="s">
        <v>756</v>
      </c>
      <c r="GO235" s="35" t="s">
        <v>4084</v>
      </c>
      <c r="GP235" s="35" t="s">
        <v>4084</v>
      </c>
      <c r="GR235" s="35" t="s">
        <v>3273</v>
      </c>
      <c r="GU235" s="35" t="s">
        <v>4774</v>
      </c>
      <c r="GW235" s="35" t="s">
        <v>5231</v>
      </c>
      <c r="GX235" s="35" t="s">
        <v>484</v>
      </c>
      <c r="HD235" s="35" t="s">
        <v>6053</v>
      </c>
      <c r="HE235" s="35" t="s">
        <v>5382</v>
      </c>
      <c r="HF235" s="35" t="s">
        <v>5283</v>
      </c>
      <c r="HG235" s="35" t="s">
        <v>5284</v>
      </c>
      <c r="HP235" s="35" t="s">
        <v>5301</v>
      </c>
      <c r="HQ235" s="35" t="s">
        <v>5302</v>
      </c>
      <c r="HR235" s="35" t="s">
        <v>5286</v>
      </c>
      <c r="HS235" s="35" t="s">
        <v>5239</v>
      </c>
      <c r="HX235" s="35" t="s">
        <v>7538</v>
      </c>
      <c r="MK235" s="35" t="s">
        <v>6321</v>
      </c>
    </row>
    <row r="236">
      <c r="A236" s="35" t="s">
        <v>11493</v>
      </c>
      <c r="B236" s="40">
        <v>45969.90441969907</v>
      </c>
      <c r="C236" s="35" t="s">
        <v>368</v>
      </c>
      <c r="D236" s="35" t="s">
        <v>370</v>
      </c>
      <c r="E236" s="35" t="s">
        <v>370</v>
      </c>
      <c r="F236" s="35" t="s">
        <v>1562</v>
      </c>
      <c r="G236" s="35" t="s">
        <v>1562</v>
      </c>
      <c r="H236" s="35" t="s">
        <v>422</v>
      </c>
      <c r="I236" s="35" t="s">
        <v>637</v>
      </c>
      <c r="J236" s="35" t="s">
        <v>638</v>
      </c>
      <c r="K236" s="35" t="s">
        <v>590</v>
      </c>
      <c r="L236" s="35" t="s">
        <v>376</v>
      </c>
      <c r="M236" s="35" t="s">
        <v>426</v>
      </c>
      <c r="N236" s="35" t="s">
        <v>3109</v>
      </c>
      <c r="O236" s="35" t="s">
        <v>426</v>
      </c>
      <c r="P236" s="35" t="s">
        <v>719</v>
      </c>
      <c r="Q236" s="35" t="s">
        <v>381</v>
      </c>
      <c r="R236" s="35" t="s">
        <v>1342</v>
      </c>
      <c r="S236" s="35" t="s">
        <v>3976</v>
      </c>
      <c r="T236" s="35" t="s">
        <v>1594</v>
      </c>
      <c r="U236" s="35" t="s">
        <v>385</v>
      </c>
      <c r="X236" s="35" t="s">
        <v>3014</v>
      </c>
      <c r="AW236" s="35" t="s">
        <v>504</v>
      </c>
      <c r="AX236" s="41">
        <v>2.0</v>
      </c>
      <c r="AY236" s="35" t="s">
        <v>429</v>
      </c>
      <c r="AZ236" s="35" t="s">
        <v>429</v>
      </c>
      <c r="BA236" s="35" t="s">
        <v>429</v>
      </c>
      <c r="BB236" s="41">
        <v>2.0</v>
      </c>
      <c r="BC236" s="41">
        <v>2.0</v>
      </c>
      <c r="BD236" s="35" t="s">
        <v>7632</v>
      </c>
      <c r="BE236" s="35" t="s">
        <v>7633</v>
      </c>
      <c r="BF236" s="35" t="s">
        <v>392</v>
      </c>
      <c r="BG236" s="35" t="s">
        <v>433</v>
      </c>
      <c r="BH236" s="35" t="s">
        <v>678</v>
      </c>
      <c r="BI236" s="35" t="s">
        <v>7634</v>
      </c>
      <c r="BJ236" s="35" t="s">
        <v>727</v>
      </c>
      <c r="BK236" s="35" t="s">
        <v>7635</v>
      </c>
      <c r="BL236" s="35" t="s">
        <v>437</v>
      </c>
      <c r="BM236" s="35" t="s">
        <v>396</v>
      </c>
      <c r="BN236" s="35" t="s">
        <v>439</v>
      </c>
      <c r="BO236" s="35" t="s">
        <v>513</v>
      </c>
      <c r="CM236" s="35" t="s">
        <v>441</v>
      </c>
      <c r="CN236" s="35" t="s">
        <v>604</v>
      </c>
      <c r="CO236" s="35" t="s">
        <v>7636</v>
      </c>
      <c r="CP236" s="35" t="s">
        <v>7637</v>
      </c>
      <c r="CQ236" s="35" t="s">
        <v>445</v>
      </c>
      <c r="CR236" s="35" t="s">
        <v>7638</v>
      </c>
      <c r="CS236" s="35" t="s">
        <v>804</v>
      </c>
      <c r="CT236" s="35" t="s">
        <v>3194</v>
      </c>
      <c r="CU236" s="35" t="s">
        <v>7639</v>
      </c>
      <c r="CV236" s="35" t="s">
        <v>519</v>
      </c>
      <c r="CW236" s="35" t="s">
        <v>409</v>
      </c>
      <c r="CX236" s="35" t="s">
        <v>7640</v>
      </c>
      <c r="CY236" s="35" t="s">
        <v>408</v>
      </c>
      <c r="CZ236" s="35" t="s">
        <v>7641</v>
      </c>
      <c r="DA236" s="35" t="s">
        <v>453</v>
      </c>
      <c r="DB236" s="35" t="s">
        <v>7642</v>
      </c>
      <c r="DC236" s="35" t="s">
        <v>455</v>
      </c>
      <c r="DD236" s="35" t="s">
        <v>7643</v>
      </c>
      <c r="DE236" s="35" t="s">
        <v>457</v>
      </c>
      <c r="DG236" s="35" t="s">
        <v>7644</v>
      </c>
      <c r="DH236" s="35" t="s">
        <v>524</v>
      </c>
      <c r="DI236" s="35" t="s">
        <v>410</v>
      </c>
      <c r="DJ236" s="35" t="s">
        <v>459</v>
      </c>
      <c r="DK236" s="35" t="s">
        <v>562</v>
      </c>
      <c r="DL236" s="35" t="s">
        <v>1434</v>
      </c>
      <c r="EU236" s="35" t="s">
        <v>478</v>
      </c>
      <c r="EV236" s="35" t="s">
        <v>479</v>
      </c>
      <c r="EW236" s="35" t="s">
        <v>1262</v>
      </c>
      <c r="EX236" s="35" t="s">
        <v>7645</v>
      </c>
      <c r="EY236" s="35" t="s">
        <v>7646</v>
      </c>
      <c r="EZ236" s="35" t="s">
        <v>7647</v>
      </c>
      <c r="FA236" s="35" t="s">
        <v>414</v>
      </c>
      <c r="FB236" s="35" t="s">
        <v>583</v>
      </c>
      <c r="FC236" s="35" t="s">
        <v>416</v>
      </c>
      <c r="FD236" s="35" t="s">
        <v>583</v>
      </c>
      <c r="FE236" s="35" t="s">
        <v>415</v>
      </c>
      <c r="FF236" s="35" t="s">
        <v>583</v>
      </c>
      <c r="FG236" s="35" t="s">
        <v>583</v>
      </c>
      <c r="FH236" s="35" t="s">
        <v>416</v>
      </c>
      <c r="FI236" s="35" t="s">
        <v>583</v>
      </c>
      <c r="FJ236" s="35" t="s">
        <v>414</v>
      </c>
      <c r="FK236" s="35" t="s">
        <v>414</v>
      </c>
      <c r="FL236" s="35" t="s">
        <v>415</v>
      </c>
      <c r="FM236" s="35" t="s">
        <v>415</v>
      </c>
      <c r="FN236" s="35" t="s">
        <v>413</v>
      </c>
      <c r="FO236" s="35" t="s">
        <v>414</v>
      </c>
      <c r="FP236" s="35" t="s">
        <v>417</v>
      </c>
      <c r="FQ236" s="35" t="s">
        <v>418</v>
      </c>
      <c r="FR236" s="35" t="s">
        <v>630</v>
      </c>
      <c r="FS236" s="35" t="s">
        <v>7648</v>
      </c>
      <c r="FT236" s="35" t="s">
        <v>420</v>
      </c>
      <c r="FU236" s="35" t="s">
        <v>488</v>
      </c>
      <c r="FV236" s="35" t="s">
        <v>533</v>
      </c>
      <c r="FW236" s="35" t="s">
        <v>1101</v>
      </c>
      <c r="FX236" s="35" t="s">
        <v>491</v>
      </c>
      <c r="FY236" s="35" t="s">
        <v>7649</v>
      </c>
      <c r="FZ236" s="35" t="s">
        <v>535</v>
      </c>
      <c r="GB236" s="35" t="s">
        <v>7650</v>
      </c>
      <c r="GC236" s="35" t="s">
        <v>455</v>
      </c>
      <c r="GD236" s="35" t="s">
        <v>7651</v>
      </c>
      <c r="GE236" s="35" t="s">
        <v>7652</v>
      </c>
      <c r="GF236" s="35" t="s">
        <v>1339</v>
      </c>
      <c r="GG236" s="35" t="s">
        <v>7653</v>
      </c>
      <c r="GH236" s="35" t="s">
        <v>857</v>
      </c>
      <c r="GI236" s="35" t="s">
        <v>788</v>
      </c>
      <c r="GJ236" s="35" t="s">
        <v>858</v>
      </c>
      <c r="GR236" s="35" t="s">
        <v>3273</v>
      </c>
      <c r="GU236" s="35" t="s">
        <v>4774</v>
      </c>
      <c r="GW236" s="35" t="s">
        <v>5231</v>
      </c>
      <c r="HD236" s="35" t="s">
        <v>5297</v>
      </c>
      <c r="HE236" s="35" t="s">
        <v>5349</v>
      </c>
      <c r="HF236" s="35" t="s">
        <v>5320</v>
      </c>
      <c r="HG236" s="35" t="s">
        <v>5899</v>
      </c>
      <c r="HP236" s="35" t="s">
        <v>5346</v>
      </c>
      <c r="HQ236" s="35" t="s">
        <v>5264</v>
      </c>
      <c r="HR236" s="35" t="s">
        <v>5238</v>
      </c>
      <c r="HS236" s="35" t="s">
        <v>913</v>
      </c>
      <c r="HX236" s="35" t="s">
        <v>5628</v>
      </c>
      <c r="MK236" s="35" t="s">
        <v>6321</v>
      </c>
    </row>
    <row r="237">
      <c r="A237" s="35" t="s">
        <v>11494</v>
      </c>
      <c r="B237" s="40">
        <v>45969.90605799769</v>
      </c>
      <c r="C237" s="35" t="s">
        <v>368</v>
      </c>
      <c r="D237" s="35" t="s">
        <v>370</v>
      </c>
      <c r="E237" s="35" t="s">
        <v>370</v>
      </c>
      <c r="F237" s="35" t="s">
        <v>1562</v>
      </c>
      <c r="G237" s="35" t="s">
        <v>1562</v>
      </c>
      <c r="H237" s="35" t="s">
        <v>422</v>
      </c>
      <c r="I237" s="35" t="s">
        <v>637</v>
      </c>
      <c r="J237" s="35" t="s">
        <v>638</v>
      </c>
      <c r="K237" s="35" t="s">
        <v>590</v>
      </c>
      <c r="L237" s="35" t="s">
        <v>376</v>
      </c>
      <c r="M237" s="35" t="s">
        <v>426</v>
      </c>
      <c r="N237" s="35" t="s">
        <v>3109</v>
      </c>
      <c r="O237" s="35" t="s">
        <v>426</v>
      </c>
      <c r="P237" s="35" t="s">
        <v>719</v>
      </c>
      <c r="Q237" s="35" t="s">
        <v>381</v>
      </c>
      <c r="R237" s="35" t="s">
        <v>1342</v>
      </c>
      <c r="S237" s="35" t="s">
        <v>3976</v>
      </c>
      <c r="T237" s="35" t="s">
        <v>1594</v>
      </c>
      <c r="U237" s="35" t="s">
        <v>385</v>
      </c>
      <c r="X237" s="35" t="s">
        <v>3014</v>
      </c>
      <c r="AW237" s="35" t="s">
        <v>504</v>
      </c>
      <c r="AX237" s="41">
        <v>2.0</v>
      </c>
      <c r="AY237" s="35" t="s">
        <v>429</v>
      </c>
      <c r="AZ237" s="35" t="s">
        <v>429</v>
      </c>
      <c r="BA237" s="35" t="s">
        <v>429</v>
      </c>
      <c r="BB237" s="41">
        <v>2.0</v>
      </c>
      <c r="BC237" s="41">
        <v>2.0</v>
      </c>
      <c r="BD237" s="35" t="s">
        <v>7632</v>
      </c>
      <c r="BE237" s="35" t="s">
        <v>7633</v>
      </c>
      <c r="BF237" s="35" t="s">
        <v>392</v>
      </c>
      <c r="BG237" s="35" t="s">
        <v>433</v>
      </c>
      <c r="BH237" s="35" t="s">
        <v>678</v>
      </c>
      <c r="BI237" s="35" t="s">
        <v>7634</v>
      </c>
      <c r="BJ237" s="35" t="s">
        <v>727</v>
      </c>
      <c r="BK237" s="35" t="s">
        <v>7635</v>
      </c>
      <c r="BL237" s="35" t="s">
        <v>437</v>
      </c>
      <c r="BM237" s="35" t="s">
        <v>396</v>
      </c>
      <c r="BN237" s="35" t="s">
        <v>439</v>
      </c>
      <c r="BO237" s="35" t="s">
        <v>513</v>
      </c>
      <c r="CM237" s="35" t="s">
        <v>441</v>
      </c>
      <c r="CN237" s="35" t="s">
        <v>604</v>
      </c>
      <c r="CO237" s="35" t="s">
        <v>7636</v>
      </c>
      <c r="CP237" s="35" t="s">
        <v>7637</v>
      </c>
      <c r="CQ237" s="35" t="s">
        <v>445</v>
      </c>
      <c r="CR237" s="35" t="s">
        <v>7638</v>
      </c>
      <c r="CS237" s="35" t="s">
        <v>804</v>
      </c>
      <c r="CT237" s="35" t="s">
        <v>3194</v>
      </c>
      <c r="CU237" s="35" t="s">
        <v>7639</v>
      </c>
      <c r="CV237" s="35" t="s">
        <v>519</v>
      </c>
      <c r="CW237" s="35" t="s">
        <v>409</v>
      </c>
      <c r="CX237" s="35" t="s">
        <v>7640</v>
      </c>
      <c r="CY237" s="35" t="s">
        <v>408</v>
      </c>
      <c r="CZ237" s="35" t="s">
        <v>7641</v>
      </c>
      <c r="DA237" s="35" t="s">
        <v>453</v>
      </c>
      <c r="DB237" s="35" t="s">
        <v>7642</v>
      </c>
      <c r="DC237" s="35" t="s">
        <v>455</v>
      </c>
      <c r="DD237" s="35" t="s">
        <v>7643</v>
      </c>
      <c r="DE237" s="35" t="s">
        <v>457</v>
      </c>
      <c r="DG237" s="35" t="s">
        <v>7644</v>
      </c>
      <c r="DH237" s="35" t="s">
        <v>524</v>
      </c>
      <c r="DI237" s="35" t="s">
        <v>410</v>
      </c>
      <c r="DJ237" s="35" t="s">
        <v>459</v>
      </c>
      <c r="DK237" s="35" t="s">
        <v>562</v>
      </c>
      <c r="DL237" s="35" t="s">
        <v>1434</v>
      </c>
      <c r="EU237" s="35" t="s">
        <v>478</v>
      </c>
      <c r="EV237" s="35" t="s">
        <v>479</v>
      </c>
      <c r="EW237" s="35" t="s">
        <v>1262</v>
      </c>
      <c r="EX237" s="35" t="s">
        <v>7645</v>
      </c>
      <c r="EY237" s="35" t="s">
        <v>7646</v>
      </c>
      <c r="EZ237" s="35" t="s">
        <v>7647</v>
      </c>
      <c r="FA237" s="35" t="s">
        <v>414</v>
      </c>
      <c r="FB237" s="35" t="s">
        <v>583</v>
      </c>
      <c r="FC237" s="35" t="s">
        <v>416</v>
      </c>
      <c r="FD237" s="35" t="s">
        <v>583</v>
      </c>
      <c r="FE237" s="35" t="s">
        <v>415</v>
      </c>
      <c r="FF237" s="35" t="s">
        <v>583</v>
      </c>
      <c r="FG237" s="35" t="s">
        <v>583</v>
      </c>
      <c r="FH237" s="35" t="s">
        <v>416</v>
      </c>
      <c r="FI237" s="35" t="s">
        <v>583</v>
      </c>
      <c r="FJ237" s="35" t="s">
        <v>414</v>
      </c>
      <c r="FK237" s="35" t="s">
        <v>414</v>
      </c>
      <c r="FL237" s="35" t="s">
        <v>415</v>
      </c>
      <c r="FM237" s="35" t="s">
        <v>415</v>
      </c>
      <c r="FN237" s="35" t="s">
        <v>413</v>
      </c>
      <c r="FO237" s="35" t="s">
        <v>414</v>
      </c>
      <c r="FP237" s="35" t="s">
        <v>417</v>
      </c>
      <c r="FQ237" s="35" t="s">
        <v>418</v>
      </c>
      <c r="FR237" s="35" t="s">
        <v>630</v>
      </c>
      <c r="FS237" s="35" t="s">
        <v>7648</v>
      </c>
      <c r="FT237" s="35" t="s">
        <v>420</v>
      </c>
      <c r="FU237" s="35" t="s">
        <v>488</v>
      </c>
      <c r="FV237" s="35" t="s">
        <v>533</v>
      </c>
      <c r="FW237" s="35" t="s">
        <v>1101</v>
      </c>
      <c r="FX237" s="35" t="s">
        <v>491</v>
      </c>
      <c r="FY237" s="35" t="s">
        <v>7649</v>
      </c>
      <c r="FZ237" s="35" t="s">
        <v>535</v>
      </c>
      <c r="GB237" s="35" t="s">
        <v>7650</v>
      </c>
      <c r="GC237" s="35" t="s">
        <v>455</v>
      </c>
      <c r="GD237" s="35" t="s">
        <v>7651</v>
      </c>
      <c r="GE237" s="35" t="s">
        <v>7652</v>
      </c>
      <c r="GF237" s="35" t="s">
        <v>1339</v>
      </c>
      <c r="GG237" s="35" t="s">
        <v>7653</v>
      </c>
      <c r="GH237" s="35" t="s">
        <v>857</v>
      </c>
      <c r="GI237" s="35" t="s">
        <v>788</v>
      </c>
      <c r="GJ237" s="35" t="s">
        <v>858</v>
      </c>
      <c r="GR237" s="35" t="s">
        <v>3273</v>
      </c>
      <c r="GU237" s="35" t="s">
        <v>4774</v>
      </c>
      <c r="GW237" s="35" t="s">
        <v>5231</v>
      </c>
      <c r="GX237" s="35" t="s">
        <v>5232</v>
      </c>
      <c r="HD237" s="35" t="s">
        <v>5297</v>
      </c>
      <c r="HE237" s="35" t="s">
        <v>5349</v>
      </c>
      <c r="HF237" s="35" t="s">
        <v>5320</v>
      </c>
      <c r="HG237" s="35" t="s">
        <v>5899</v>
      </c>
      <c r="HP237" s="35" t="s">
        <v>5346</v>
      </c>
      <c r="HQ237" s="35" t="s">
        <v>5264</v>
      </c>
      <c r="HR237" s="35" t="s">
        <v>5238</v>
      </c>
      <c r="HS237" s="35" t="s">
        <v>913</v>
      </c>
      <c r="HX237" s="35" t="s">
        <v>5628</v>
      </c>
      <c r="MK237" s="35" t="s">
        <v>6321</v>
      </c>
    </row>
    <row r="238">
      <c r="A238" s="35" t="s">
        <v>11495</v>
      </c>
      <c r="B238" s="40">
        <v>45970.06699965278</v>
      </c>
      <c r="C238" s="35" t="s">
        <v>368</v>
      </c>
      <c r="D238" s="35" t="s">
        <v>1341</v>
      </c>
      <c r="E238" s="35" t="s">
        <v>1341</v>
      </c>
      <c r="H238" s="35" t="s">
        <v>422</v>
      </c>
      <c r="I238" s="35" t="s">
        <v>373</v>
      </c>
      <c r="J238" s="35" t="s">
        <v>638</v>
      </c>
      <c r="K238" s="35" t="s">
        <v>718</v>
      </c>
      <c r="L238" s="35" t="s">
        <v>376</v>
      </c>
      <c r="M238" s="35" t="s">
        <v>591</v>
      </c>
      <c r="N238" s="35" t="s">
        <v>378</v>
      </c>
      <c r="O238" s="35" t="s">
        <v>793</v>
      </c>
      <c r="P238" s="35" t="s">
        <v>671</v>
      </c>
      <c r="R238" s="35" t="s">
        <v>862</v>
      </c>
      <c r="S238" s="35" t="s">
        <v>427</v>
      </c>
      <c r="T238" s="35" t="s">
        <v>384</v>
      </c>
      <c r="U238" s="35" t="s">
        <v>385</v>
      </c>
      <c r="X238" s="35" t="s">
        <v>3014</v>
      </c>
      <c r="AW238" s="35" t="s">
        <v>1310</v>
      </c>
      <c r="AX238" s="41">
        <v>4.0</v>
      </c>
      <c r="AY238" s="41">
        <v>4.0</v>
      </c>
      <c r="AZ238" s="35" t="s">
        <v>391</v>
      </c>
      <c r="BA238" s="41">
        <v>2.0</v>
      </c>
      <c r="BB238" s="41">
        <v>2.0</v>
      </c>
      <c r="BC238" s="41">
        <v>4.0</v>
      </c>
      <c r="BD238" s="35" t="s">
        <v>7654</v>
      </c>
      <c r="BE238" s="35" t="s">
        <v>7655</v>
      </c>
      <c r="BF238" s="35" t="s">
        <v>902</v>
      </c>
      <c r="BH238" s="35" t="s">
        <v>765</v>
      </c>
      <c r="BI238" s="35" t="s">
        <v>7656</v>
      </c>
      <c r="BJ238" s="35" t="s">
        <v>976</v>
      </c>
      <c r="BL238" s="35" t="s">
        <v>681</v>
      </c>
      <c r="BM238" s="35" t="s">
        <v>603</v>
      </c>
      <c r="BN238" s="35" t="s">
        <v>1247</v>
      </c>
      <c r="BO238" s="35" t="s">
        <v>513</v>
      </c>
      <c r="CM238" s="35" t="s">
        <v>682</v>
      </c>
      <c r="CN238" s="35" t="s">
        <v>401</v>
      </c>
      <c r="CO238" s="35" t="s">
        <v>7657</v>
      </c>
      <c r="CP238" s="35" t="s">
        <v>7658</v>
      </c>
      <c r="CU238" s="35" t="s">
        <v>7659</v>
      </c>
      <c r="CV238" s="35" t="s">
        <v>1852</v>
      </c>
      <c r="CW238" s="35" t="s">
        <v>959</v>
      </c>
      <c r="CY238" s="35" t="s">
        <v>408</v>
      </c>
      <c r="DA238" s="35" t="s">
        <v>1962</v>
      </c>
      <c r="DC238" s="35" t="s">
        <v>408</v>
      </c>
      <c r="DH238" s="35" t="s">
        <v>990</v>
      </c>
      <c r="DI238" s="35" t="s">
        <v>410</v>
      </c>
      <c r="DJ238" s="35" t="s">
        <v>963</v>
      </c>
      <c r="DK238" s="35" t="s">
        <v>460</v>
      </c>
      <c r="DL238" s="35" t="s">
        <v>6603</v>
      </c>
      <c r="EU238" s="35" t="s">
        <v>478</v>
      </c>
      <c r="EV238" s="35" t="s">
        <v>579</v>
      </c>
      <c r="EW238" s="35" t="s">
        <v>480</v>
      </c>
      <c r="EY238" s="35" t="s">
        <v>7660</v>
      </c>
      <c r="EZ238" s="35" t="s">
        <v>7661</v>
      </c>
      <c r="FA238" s="35" t="s">
        <v>583</v>
      </c>
      <c r="FB238" s="35" t="s">
        <v>583</v>
      </c>
      <c r="FC238" s="35" t="s">
        <v>413</v>
      </c>
      <c r="FD238" s="35" t="s">
        <v>414</v>
      </c>
      <c r="FE238" s="35" t="s">
        <v>413</v>
      </c>
      <c r="FF238" s="35" t="s">
        <v>414</v>
      </c>
      <c r="FG238" s="35" t="s">
        <v>583</v>
      </c>
      <c r="FH238" s="35" t="s">
        <v>583</v>
      </c>
      <c r="FI238" s="35" t="s">
        <v>416</v>
      </c>
      <c r="FJ238" s="35" t="s">
        <v>413</v>
      </c>
      <c r="FK238" s="35" t="s">
        <v>414</v>
      </c>
      <c r="FL238" s="35" t="s">
        <v>583</v>
      </c>
      <c r="FM238" s="35" t="s">
        <v>583</v>
      </c>
      <c r="FN238" s="35" t="s">
        <v>414</v>
      </c>
      <c r="FO238" s="35" t="s">
        <v>413</v>
      </c>
      <c r="FP238" s="35" t="s">
        <v>1074</v>
      </c>
      <c r="FQ238" s="35" t="s">
        <v>486</v>
      </c>
      <c r="FR238" s="35" t="s">
        <v>749</v>
      </c>
      <c r="FT238" s="35" t="s">
        <v>1076</v>
      </c>
      <c r="FU238" s="35" t="s">
        <v>2398</v>
      </c>
      <c r="FV238" s="35" t="s">
        <v>1235</v>
      </c>
      <c r="FW238" s="35" t="s">
        <v>2399</v>
      </c>
      <c r="FX238" s="35" t="s">
        <v>1853</v>
      </c>
      <c r="FZ238" s="35" t="s">
        <v>1854</v>
      </c>
      <c r="GC238" s="35" t="s">
        <v>455</v>
      </c>
      <c r="GD238" s="35" t="s">
        <v>11496</v>
      </c>
      <c r="GF238" s="35" t="s">
        <v>1339</v>
      </c>
      <c r="GG238" s="35" t="s">
        <v>7662</v>
      </c>
      <c r="GH238" s="35" t="s">
        <v>1000</v>
      </c>
      <c r="GI238" s="35" t="s">
        <v>755</v>
      </c>
      <c r="GJ238" s="35" t="s">
        <v>946</v>
      </c>
      <c r="GO238" s="35" t="s">
        <v>7663</v>
      </c>
      <c r="GP238" s="35" t="s">
        <v>7663</v>
      </c>
      <c r="GR238" s="35" t="s">
        <v>3208</v>
      </c>
      <c r="GU238" s="35" t="s">
        <v>4774</v>
      </c>
      <c r="GW238" s="35" t="s">
        <v>5231</v>
      </c>
      <c r="GX238" s="35" t="s">
        <v>5232</v>
      </c>
      <c r="HP238" s="35" t="s">
        <v>5285</v>
      </c>
      <c r="HQ238" s="35" t="s">
        <v>5302</v>
      </c>
      <c r="HR238" s="35" t="s">
        <v>5286</v>
      </c>
      <c r="HS238" s="35" t="s">
        <v>5239</v>
      </c>
      <c r="HT238" s="35" t="s">
        <v>5987</v>
      </c>
      <c r="HV238" s="35" t="s">
        <v>5988</v>
      </c>
      <c r="HW238" s="35" t="s">
        <v>5918</v>
      </c>
      <c r="HY238" s="35" t="s">
        <v>5920</v>
      </c>
      <c r="HZ238" s="35" t="s">
        <v>5921</v>
      </c>
      <c r="IA238" s="35" t="s">
        <v>5921</v>
      </c>
      <c r="IB238" s="35" t="s">
        <v>6464</v>
      </c>
      <c r="IC238" s="35" t="s">
        <v>5921</v>
      </c>
      <c r="ID238" s="35" t="s">
        <v>5922</v>
      </c>
      <c r="IE238" s="35" t="s">
        <v>5536</v>
      </c>
      <c r="IF238" s="35" t="s">
        <v>5500</v>
      </c>
      <c r="IG238" s="35" t="s">
        <v>5537</v>
      </c>
      <c r="IH238" s="35" t="s">
        <v>5537</v>
      </c>
      <c r="II238" s="35" t="s">
        <v>5989</v>
      </c>
      <c r="IJ238" s="35" t="s">
        <v>5500</v>
      </c>
      <c r="IK238" s="35" t="s">
        <v>7664</v>
      </c>
      <c r="IL238" s="35" t="s">
        <v>5924</v>
      </c>
      <c r="IM238" s="35" t="s">
        <v>7665</v>
      </c>
      <c r="IN238" s="35" t="s">
        <v>7666</v>
      </c>
      <c r="MK238" s="35" t="s">
        <v>6321</v>
      </c>
    </row>
    <row r="239">
      <c r="A239" s="35" t="s">
        <v>11497</v>
      </c>
      <c r="B239" s="40">
        <v>45970.38046627315</v>
      </c>
      <c r="C239" s="35" t="s">
        <v>368</v>
      </c>
      <c r="D239" s="35" t="s">
        <v>370</v>
      </c>
      <c r="E239" s="35" t="s">
        <v>370</v>
      </c>
      <c r="F239" s="35" t="s">
        <v>922</v>
      </c>
      <c r="G239" s="35" t="s">
        <v>922</v>
      </c>
      <c r="H239" s="35" t="s">
        <v>422</v>
      </c>
      <c r="I239" s="35" t="s">
        <v>637</v>
      </c>
      <c r="J239" s="35" t="s">
        <v>638</v>
      </c>
      <c r="K239" s="35" t="s">
        <v>1204</v>
      </c>
      <c r="L239" s="35" t="s">
        <v>2560</v>
      </c>
      <c r="M239" s="35" t="s">
        <v>379</v>
      </c>
      <c r="N239" s="35" t="s">
        <v>1442</v>
      </c>
      <c r="O239" s="35" t="s">
        <v>377</v>
      </c>
      <c r="P239" s="35" t="s">
        <v>1024</v>
      </c>
      <c r="Q239" s="35" t="s">
        <v>381</v>
      </c>
      <c r="R239" s="35" t="s">
        <v>818</v>
      </c>
      <c r="S239" s="35" t="s">
        <v>427</v>
      </c>
      <c r="T239" s="35" t="s">
        <v>384</v>
      </c>
      <c r="U239" s="35" t="s">
        <v>385</v>
      </c>
      <c r="X239" s="35" t="s">
        <v>386</v>
      </c>
      <c r="Y239" s="35" t="s">
        <v>387</v>
      </c>
      <c r="Z239" s="35" t="s">
        <v>6822</v>
      </c>
      <c r="AA239" s="35" t="s">
        <v>543</v>
      </c>
      <c r="AW239" s="35" t="s">
        <v>597</v>
      </c>
      <c r="AX239" s="35" t="s">
        <v>391</v>
      </c>
      <c r="AY239" s="35" t="s">
        <v>429</v>
      </c>
      <c r="AZ239" s="35" t="s">
        <v>429</v>
      </c>
      <c r="BA239" s="35" t="s">
        <v>429</v>
      </c>
      <c r="BB239" s="35" t="s">
        <v>429</v>
      </c>
      <c r="BC239" s="35" t="s">
        <v>391</v>
      </c>
      <c r="BD239" s="35" t="s">
        <v>7667</v>
      </c>
      <c r="BE239" s="35" t="s">
        <v>7668</v>
      </c>
      <c r="BF239" s="35" t="s">
        <v>392</v>
      </c>
      <c r="BG239" s="35" t="s">
        <v>433</v>
      </c>
      <c r="BH239" s="35" t="s">
        <v>678</v>
      </c>
      <c r="BI239" s="35" t="s">
        <v>7669</v>
      </c>
      <c r="BJ239" s="35" t="s">
        <v>727</v>
      </c>
      <c r="BL239" s="35" t="s">
        <v>437</v>
      </c>
      <c r="BM239" s="35" t="s">
        <v>396</v>
      </c>
      <c r="BN239" s="35" t="s">
        <v>549</v>
      </c>
      <c r="BO239" s="35" t="s">
        <v>513</v>
      </c>
      <c r="CM239" s="35" t="s">
        <v>441</v>
      </c>
      <c r="CN239" s="35" t="s">
        <v>442</v>
      </c>
      <c r="CO239" s="35" t="s">
        <v>552</v>
      </c>
      <c r="CP239" s="35" t="s">
        <v>7670</v>
      </c>
      <c r="CQ239" s="35" t="s">
        <v>403</v>
      </c>
      <c r="CR239" s="35" t="s">
        <v>7671</v>
      </c>
      <c r="CS239" s="35" t="s">
        <v>447</v>
      </c>
      <c r="CT239" s="35" t="s">
        <v>448</v>
      </c>
      <c r="CU239" s="35" t="s">
        <v>7672</v>
      </c>
      <c r="CV239" s="35" t="s">
        <v>450</v>
      </c>
      <c r="CW239" s="35" t="s">
        <v>451</v>
      </c>
      <c r="CX239" s="35" t="s">
        <v>7673</v>
      </c>
      <c r="CY239" s="35" t="s">
        <v>408</v>
      </c>
      <c r="DA239" s="35" t="s">
        <v>453</v>
      </c>
      <c r="DB239" s="35" t="s">
        <v>7674</v>
      </c>
      <c r="DC239" s="35" t="s">
        <v>913</v>
      </c>
      <c r="DE239" s="35" t="s">
        <v>457</v>
      </c>
      <c r="DG239" s="35" t="s">
        <v>7675</v>
      </c>
      <c r="DH239" s="35" t="s">
        <v>524</v>
      </c>
      <c r="DI239" s="35" t="s">
        <v>410</v>
      </c>
      <c r="DJ239" s="35" t="s">
        <v>777</v>
      </c>
      <c r="DK239" s="35" t="s">
        <v>562</v>
      </c>
      <c r="DL239" s="35" t="s">
        <v>6335</v>
      </c>
      <c r="EU239" s="35" t="s">
        <v>526</v>
      </c>
      <c r="EV239" s="35" t="s">
        <v>479</v>
      </c>
      <c r="EW239" s="35" t="s">
        <v>480</v>
      </c>
      <c r="FP239" s="35" t="s">
        <v>417</v>
      </c>
      <c r="FQ239" s="35" t="s">
        <v>486</v>
      </c>
      <c r="FR239" s="35" t="s">
        <v>419</v>
      </c>
      <c r="FS239" s="35" t="s">
        <v>7676</v>
      </c>
      <c r="FT239" s="35" t="s">
        <v>420</v>
      </c>
      <c r="FU239" s="35" t="s">
        <v>488</v>
      </c>
      <c r="FV239" s="35" t="s">
        <v>533</v>
      </c>
      <c r="FW239" s="35" t="s">
        <v>490</v>
      </c>
      <c r="FX239" s="35" t="s">
        <v>491</v>
      </c>
      <c r="FY239" s="35" t="s">
        <v>7677</v>
      </c>
      <c r="FZ239" s="35" t="s">
        <v>535</v>
      </c>
      <c r="GC239" s="35" t="s">
        <v>455</v>
      </c>
      <c r="GD239" s="35" t="s">
        <v>11498</v>
      </c>
      <c r="GF239" s="35" t="s">
        <v>753</v>
      </c>
      <c r="GG239" s="35" t="s">
        <v>7678</v>
      </c>
      <c r="GH239" s="35" t="s">
        <v>857</v>
      </c>
      <c r="GI239" s="35" t="s">
        <v>857</v>
      </c>
      <c r="GJ239" s="35" t="s">
        <v>790</v>
      </c>
      <c r="GR239" s="35" t="s">
        <v>3208</v>
      </c>
      <c r="GU239" s="35" t="s">
        <v>4774</v>
      </c>
      <c r="GW239" s="35" t="s">
        <v>5231</v>
      </c>
      <c r="GX239" s="35" t="s">
        <v>5818</v>
      </c>
      <c r="HD239" s="35" t="s">
        <v>5297</v>
      </c>
      <c r="HE239" s="35" t="s">
        <v>5349</v>
      </c>
      <c r="HF239" s="35" t="s">
        <v>5320</v>
      </c>
      <c r="HG239" s="35" t="s">
        <v>5284</v>
      </c>
      <c r="HP239" s="35" t="s">
        <v>5346</v>
      </c>
      <c r="HQ239" s="35" t="s">
        <v>5264</v>
      </c>
      <c r="HR239" s="35" t="s">
        <v>5238</v>
      </c>
      <c r="HS239" s="35" t="s">
        <v>5321</v>
      </c>
      <c r="MK239" s="35" t="s">
        <v>6321</v>
      </c>
    </row>
    <row r="240">
      <c r="A240" s="35" t="s">
        <v>11499</v>
      </c>
      <c r="B240" s="40">
        <v>45970.66629606481</v>
      </c>
      <c r="C240" s="35" t="s">
        <v>368</v>
      </c>
      <c r="D240" s="35" t="s">
        <v>370</v>
      </c>
      <c r="E240" s="35" t="s">
        <v>370</v>
      </c>
      <c r="F240" s="35" t="s">
        <v>922</v>
      </c>
      <c r="G240" s="35" t="s">
        <v>2114</v>
      </c>
      <c r="H240" s="35" t="s">
        <v>422</v>
      </c>
      <c r="I240" s="35" t="s">
        <v>496</v>
      </c>
      <c r="J240" s="35" t="s">
        <v>374</v>
      </c>
      <c r="K240" s="35" t="s">
        <v>758</v>
      </c>
      <c r="L240" s="35" t="s">
        <v>376</v>
      </c>
      <c r="M240" s="35" t="s">
        <v>793</v>
      </c>
      <c r="N240" s="35" t="s">
        <v>720</v>
      </c>
      <c r="O240" s="35" t="s">
        <v>793</v>
      </c>
      <c r="P240" s="35" t="s">
        <v>720</v>
      </c>
      <c r="Q240" s="35" t="s">
        <v>498</v>
      </c>
      <c r="R240" s="35" t="s">
        <v>382</v>
      </c>
      <c r="S240" s="35" t="s">
        <v>500</v>
      </c>
      <c r="T240" s="35" t="s">
        <v>384</v>
      </c>
      <c r="U240" s="35" t="s">
        <v>385</v>
      </c>
      <c r="X240" s="35" t="s">
        <v>3231</v>
      </c>
      <c r="AW240" s="35" t="s">
        <v>390</v>
      </c>
      <c r="AX240" s="41">
        <v>2.0</v>
      </c>
      <c r="AY240" s="41">
        <v>2.0</v>
      </c>
      <c r="AZ240" s="35" t="s">
        <v>391</v>
      </c>
      <c r="BA240" s="41">
        <v>2.0</v>
      </c>
      <c r="BB240" s="35" t="s">
        <v>391</v>
      </c>
      <c r="BC240" s="35" t="s">
        <v>391</v>
      </c>
      <c r="BF240" s="35" t="s">
        <v>432</v>
      </c>
      <c r="BG240" s="35" t="s">
        <v>433</v>
      </c>
      <c r="BH240" s="35" t="s">
        <v>678</v>
      </c>
      <c r="BJ240" s="35" t="s">
        <v>435</v>
      </c>
      <c r="BL240" s="35" t="s">
        <v>437</v>
      </c>
      <c r="BM240" s="35" t="s">
        <v>603</v>
      </c>
      <c r="BN240" s="35" t="s">
        <v>549</v>
      </c>
      <c r="BO240" s="35" t="s">
        <v>513</v>
      </c>
      <c r="CM240" s="35" t="s">
        <v>441</v>
      </c>
      <c r="CN240" s="35" t="s">
        <v>682</v>
      </c>
      <c r="CO240" s="35" t="s">
        <v>7688</v>
      </c>
      <c r="CP240" s="35" t="s">
        <v>7689</v>
      </c>
      <c r="CQ240" s="35" t="s">
        <v>445</v>
      </c>
      <c r="CR240" s="35" t="s">
        <v>2064</v>
      </c>
      <c r="CS240" s="35" t="s">
        <v>447</v>
      </c>
      <c r="CT240" s="35" t="s">
        <v>1509</v>
      </c>
      <c r="CV240" s="35" t="s">
        <v>1863</v>
      </c>
      <c r="CW240" s="35" t="s">
        <v>451</v>
      </c>
      <c r="CY240" s="35" t="s">
        <v>408</v>
      </c>
      <c r="DA240" s="35" t="s">
        <v>453</v>
      </c>
      <c r="DC240" s="35" t="s">
        <v>913</v>
      </c>
      <c r="DE240" s="35" t="s">
        <v>988</v>
      </c>
      <c r="DH240" s="35" t="s">
        <v>561</v>
      </c>
      <c r="DI240" s="35" t="s">
        <v>410</v>
      </c>
      <c r="DJ240" s="35" t="s">
        <v>459</v>
      </c>
      <c r="DK240" s="35" t="s">
        <v>460</v>
      </c>
      <c r="DL240" s="35" t="s">
        <v>6335</v>
      </c>
      <c r="EU240" s="35" t="s">
        <v>478</v>
      </c>
      <c r="EV240" s="35" t="s">
        <v>479</v>
      </c>
      <c r="EW240" s="35" t="s">
        <v>480</v>
      </c>
      <c r="FA240" s="35" t="s">
        <v>416</v>
      </c>
      <c r="FB240" s="35" t="s">
        <v>414</v>
      </c>
      <c r="FC240" s="35" t="s">
        <v>413</v>
      </c>
      <c r="FD240" s="35" t="s">
        <v>414</v>
      </c>
      <c r="FE240" s="35" t="s">
        <v>413</v>
      </c>
      <c r="FF240" s="35" t="s">
        <v>414</v>
      </c>
      <c r="FG240" s="35" t="s">
        <v>484</v>
      </c>
      <c r="FH240" s="35" t="s">
        <v>414</v>
      </c>
      <c r="FI240" s="35" t="s">
        <v>583</v>
      </c>
      <c r="FJ240" s="35" t="s">
        <v>414</v>
      </c>
      <c r="FK240" s="35" t="s">
        <v>484</v>
      </c>
      <c r="FL240" s="35" t="s">
        <v>484</v>
      </c>
      <c r="FM240" s="35" t="s">
        <v>484</v>
      </c>
      <c r="FN240" s="35" t="s">
        <v>416</v>
      </c>
      <c r="FO240" s="35" t="s">
        <v>583</v>
      </c>
      <c r="FP240" s="35" t="s">
        <v>417</v>
      </c>
      <c r="FQ240" s="35" t="s">
        <v>418</v>
      </c>
      <c r="FR240" s="35" t="s">
        <v>712</v>
      </c>
      <c r="FT240" s="35" t="s">
        <v>995</v>
      </c>
      <c r="FU240" s="35" t="s">
        <v>488</v>
      </c>
      <c r="FV240" s="35" t="s">
        <v>489</v>
      </c>
      <c r="FW240" s="35" t="s">
        <v>490</v>
      </c>
      <c r="FX240" s="35" t="s">
        <v>491</v>
      </c>
      <c r="FZ240" s="35" t="s">
        <v>535</v>
      </c>
      <c r="GC240" s="35" t="s">
        <v>408</v>
      </c>
      <c r="GH240" s="35" t="s">
        <v>788</v>
      </c>
      <c r="GI240" s="35" t="s">
        <v>788</v>
      </c>
      <c r="GJ240" s="35" t="s">
        <v>858</v>
      </c>
      <c r="GQ240" s="35" t="s">
        <v>7690</v>
      </c>
      <c r="GR240" s="35" t="s">
        <v>5656</v>
      </c>
      <c r="GU240" s="35" t="s">
        <v>4774</v>
      </c>
      <c r="GW240" s="35" t="s">
        <v>5231</v>
      </c>
      <c r="GX240" s="35" t="s">
        <v>484</v>
      </c>
      <c r="HD240" s="35" t="s">
        <v>5297</v>
      </c>
      <c r="HE240" s="35" t="s">
        <v>5282</v>
      </c>
      <c r="HF240" s="35" t="s">
        <v>5299</v>
      </c>
      <c r="HG240" s="35" t="s">
        <v>5284</v>
      </c>
      <c r="HP240" s="35" t="s">
        <v>5301</v>
      </c>
      <c r="HQ240" s="35" t="s">
        <v>5302</v>
      </c>
      <c r="HR240" s="35" t="s">
        <v>5238</v>
      </c>
      <c r="HS240" s="35" t="s">
        <v>5239</v>
      </c>
      <c r="HX240" s="35" t="s">
        <v>5541</v>
      </c>
      <c r="MK240" s="35" t="s">
        <v>6321</v>
      </c>
    </row>
    <row r="241">
      <c r="A241" s="35" t="s">
        <v>11500</v>
      </c>
      <c r="B241" s="40">
        <v>45971.65164621528</v>
      </c>
      <c r="C241" s="35" t="s">
        <v>368</v>
      </c>
      <c r="D241" s="35" t="s">
        <v>370</v>
      </c>
      <c r="E241" s="35" t="s">
        <v>370</v>
      </c>
      <c r="F241" s="35" t="s">
        <v>757</v>
      </c>
      <c r="G241" s="35" t="s">
        <v>1562</v>
      </c>
      <c r="H241" s="35" t="s">
        <v>422</v>
      </c>
      <c r="I241" s="35" t="s">
        <v>373</v>
      </c>
      <c r="J241" s="35" t="s">
        <v>638</v>
      </c>
      <c r="K241" s="35" t="s">
        <v>425</v>
      </c>
      <c r="L241" s="35" t="s">
        <v>376</v>
      </c>
      <c r="M241" s="35" t="s">
        <v>591</v>
      </c>
      <c r="N241" s="35" t="s">
        <v>7711</v>
      </c>
      <c r="O241" s="35" t="s">
        <v>591</v>
      </c>
      <c r="P241" s="35" t="s">
        <v>7712</v>
      </c>
      <c r="Q241" s="35" t="s">
        <v>592</v>
      </c>
      <c r="R241" s="35" t="s">
        <v>1342</v>
      </c>
      <c r="S241" s="35" t="s">
        <v>427</v>
      </c>
      <c r="T241" s="35" t="s">
        <v>384</v>
      </c>
      <c r="U241" s="35" t="s">
        <v>385</v>
      </c>
      <c r="X241" s="35" t="s">
        <v>593</v>
      </c>
      <c r="Y241" s="35" t="s">
        <v>387</v>
      </c>
      <c r="Z241" s="35" t="s">
        <v>594</v>
      </c>
      <c r="AA241" s="35" t="s">
        <v>672</v>
      </c>
      <c r="AB241" s="35" t="s">
        <v>7713</v>
      </c>
      <c r="AC241" s="35" t="s">
        <v>7714</v>
      </c>
      <c r="AW241" s="35" t="s">
        <v>1310</v>
      </c>
      <c r="AX241" s="35" t="s">
        <v>391</v>
      </c>
      <c r="AY241" s="35" t="s">
        <v>391</v>
      </c>
      <c r="AZ241" s="41">
        <v>4.0</v>
      </c>
      <c r="BA241" s="41">
        <v>2.0</v>
      </c>
      <c r="BB241" s="41">
        <v>2.0</v>
      </c>
      <c r="BC241" s="35" t="s">
        <v>391</v>
      </c>
      <c r="BD241" s="35" t="s">
        <v>7715</v>
      </c>
      <c r="BE241" s="35" t="s">
        <v>7716</v>
      </c>
      <c r="BF241" s="35" t="s">
        <v>432</v>
      </c>
      <c r="BG241" s="35" t="s">
        <v>1047</v>
      </c>
      <c r="BH241" s="35" t="s">
        <v>725</v>
      </c>
      <c r="BI241" s="35" t="s">
        <v>5169</v>
      </c>
      <c r="BJ241" s="35" t="s">
        <v>976</v>
      </c>
      <c r="BK241" s="35" t="s">
        <v>1211</v>
      </c>
      <c r="BL241" s="35" t="s">
        <v>437</v>
      </c>
      <c r="BM241" s="35" t="s">
        <v>904</v>
      </c>
      <c r="BN241" s="35" t="s">
        <v>1247</v>
      </c>
      <c r="BO241" s="35" t="s">
        <v>513</v>
      </c>
      <c r="CM241" s="35" t="s">
        <v>441</v>
      </c>
      <c r="CN241" s="35" t="s">
        <v>551</v>
      </c>
      <c r="CO241" s="35" t="s">
        <v>7717</v>
      </c>
      <c r="CP241" s="35" t="s">
        <v>408</v>
      </c>
      <c r="CQ241" s="35" t="s">
        <v>445</v>
      </c>
      <c r="CR241" s="35" t="s">
        <v>1467</v>
      </c>
      <c r="CS241" s="35" t="s">
        <v>828</v>
      </c>
      <c r="CT241" s="35" t="s">
        <v>1626</v>
      </c>
      <c r="CU241" s="35" t="s">
        <v>7718</v>
      </c>
      <c r="CV241" s="35" t="s">
        <v>1863</v>
      </c>
      <c r="CW241" s="35" t="s">
        <v>1931</v>
      </c>
      <c r="CX241" s="35" t="s">
        <v>1211</v>
      </c>
      <c r="CY241" s="35" t="s">
        <v>408</v>
      </c>
      <c r="CZ241" s="35" t="s">
        <v>1211</v>
      </c>
      <c r="DA241" s="35" t="s">
        <v>1962</v>
      </c>
      <c r="DB241" s="35" t="s">
        <v>1211</v>
      </c>
      <c r="DC241" s="35" t="s">
        <v>408</v>
      </c>
      <c r="DD241" s="35" t="s">
        <v>1211</v>
      </c>
      <c r="DE241" s="35" t="s">
        <v>406</v>
      </c>
      <c r="DF241" s="35" t="s">
        <v>1867</v>
      </c>
      <c r="DG241" s="35" t="s">
        <v>7719</v>
      </c>
      <c r="DH241" s="35" t="s">
        <v>990</v>
      </c>
      <c r="DI241" s="35" t="s">
        <v>1220</v>
      </c>
      <c r="DJ241" s="35" t="s">
        <v>777</v>
      </c>
      <c r="DK241" s="35" t="s">
        <v>613</v>
      </c>
      <c r="EU241" s="35" t="s">
        <v>2747</v>
      </c>
      <c r="EV241" s="35" t="s">
        <v>1037</v>
      </c>
      <c r="EW241" s="35" t="s">
        <v>580</v>
      </c>
      <c r="EY241" s="35" t="s">
        <v>7720</v>
      </c>
      <c r="EZ241" s="35" t="s">
        <v>7721</v>
      </c>
      <c r="FA241" s="35" t="s">
        <v>414</v>
      </c>
      <c r="FB241" s="35" t="s">
        <v>583</v>
      </c>
      <c r="FC241" s="35" t="s">
        <v>416</v>
      </c>
      <c r="FD241" s="35" t="s">
        <v>414</v>
      </c>
      <c r="FE241" s="35" t="s">
        <v>413</v>
      </c>
      <c r="FF241" s="35" t="s">
        <v>583</v>
      </c>
      <c r="FG241" s="35" t="s">
        <v>416</v>
      </c>
      <c r="FH241" s="35" t="s">
        <v>416</v>
      </c>
      <c r="FI241" s="35" t="s">
        <v>583</v>
      </c>
      <c r="FJ241" s="35" t="s">
        <v>414</v>
      </c>
      <c r="FK241" s="35" t="s">
        <v>416</v>
      </c>
      <c r="FL241" s="35" t="s">
        <v>415</v>
      </c>
      <c r="FM241" s="35" t="s">
        <v>583</v>
      </c>
      <c r="FN241" s="35" t="s">
        <v>413</v>
      </c>
      <c r="FO241" s="35" t="s">
        <v>583</v>
      </c>
      <c r="FP241" s="35" t="s">
        <v>1074</v>
      </c>
      <c r="FQ241" s="35" t="s">
        <v>418</v>
      </c>
      <c r="FR241" s="35" t="s">
        <v>712</v>
      </c>
      <c r="FS241" s="35" t="s">
        <v>1211</v>
      </c>
      <c r="FT241" s="35" t="s">
        <v>1871</v>
      </c>
      <c r="FU241" s="35" t="s">
        <v>1462</v>
      </c>
      <c r="FV241" s="35" t="s">
        <v>918</v>
      </c>
      <c r="FW241" s="35" t="s">
        <v>2387</v>
      </c>
      <c r="FX241" s="35" t="s">
        <v>1853</v>
      </c>
      <c r="FY241" s="35" t="s">
        <v>7722</v>
      </c>
      <c r="FZ241" s="35" t="s">
        <v>1020</v>
      </c>
      <c r="GA241" s="35" t="s">
        <v>7723</v>
      </c>
      <c r="GC241" s="35" t="s">
        <v>408</v>
      </c>
      <c r="GH241" s="35" t="s">
        <v>789</v>
      </c>
      <c r="GI241" s="35" t="s">
        <v>789</v>
      </c>
      <c r="GJ241" s="35" t="s">
        <v>921</v>
      </c>
      <c r="GR241" s="35" t="s">
        <v>3306</v>
      </c>
      <c r="GU241" s="35" t="s">
        <v>4774</v>
      </c>
      <c r="GV241" s="35" t="s">
        <v>1211</v>
      </c>
      <c r="GW241" s="35" t="s">
        <v>5231</v>
      </c>
      <c r="GX241" s="35" t="s">
        <v>5232</v>
      </c>
      <c r="HD241" s="35" t="s">
        <v>484</v>
      </c>
      <c r="HE241" s="35" t="s">
        <v>5382</v>
      </c>
      <c r="HF241" s="35" t="s">
        <v>484</v>
      </c>
      <c r="HG241" s="35" t="s">
        <v>5768</v>
      </c>
      <c r="HP241" s="35" t="s">
        <v>5383</v>
      </c>
      <c r="HQ241" s="35" t="s">
        <v>5371</v>
      </c>
      <c r="HR241" s="35" t="s">
        <v>5801</v>
      </c>
      <c r="HS241" s="35" t="s">
        <v>913</v>
      </c>
      <c r="HX241" s="35" t="s">
        <v>1131</v>
      </c>
      <c r="MK241" s="35" t="s">
        <v>6321</v>
      </c>
    </row>
    <row r="242">
      <c r="A242" s="35" t="s">
        <v>11501</v>
      </c>
      <c r="B242" s="40">
        <v>45972.63994190972</v>
      </c>
      <c r="C242" s="35" t="s">
        <v>368</v>
      </c>
      <c r="D242" s="35" t="s">
        <v>370</v>
      </c>
      <c r="E242" s="35" t="s">
        <v>370</v>
      </c>
      <c r="F242" s="35" t="s">
        <v>757</v>
      </c>
      <c r="G242" s="35" t="s">
        <v>2708</v>
      </c>
      <c r="H242" s="35" t="s">
        <v>422</v>
      </c>
      <c r="I242" s="35" t="s">
        <v>373</v>
      </c>
      <c r="J242" s="35" t="s">
        <v>374</v>
      </c>
      <c r="K242" s="35" t="s">
        <v>669</v>
      </c>
      <c r="L242" s="35" t="s">
        <v>376</v>
      </c>
      <c r="M242" s="35" t="s">
        <v>591</v>
      </c>
      <c r="N242" s="35" t="s">
        <v>639</v>
      </c>
      <c r="O242" s="35" t="s">
        <v>793</v>
      </c>
      <c r="P242" s="35" t="s">
        <v>719</v>
      </c>
      <c r="Q242" s="35" t="s">
        <v>1504</v>
      </c>
      <c r="R242" s="35" t="s">
        <v>499</v>
      </c>
      <c r="S242" s="35" t="s">
        <v>427</v>
      </c>
      <c r="T242" s="35" t="s">
        <v>384</v>
      </c>
      <c r="U242" s="35" t="s">
        <v>385</v>
      </c>
      <c r="X242" s="35" t="s">
        <v>386</v>
      </c>
      <c r="Y242" s="35" t="s">
        <v>387</v>
      </c>
      <c r="Z242" s="35" t="s">
        <v>897</v>
      </c>
      <c r="AA242" s="35" t="s">
        <v>672</v>
      </c>
      <c r="AB242" s="35" t="s">
        <v>7769</v>
      </c>
      <c r="AC242" s="35" t="s">
        <v>7770</v>
      </c>
      <c r="AW242" s="35" t="s">
        <v>1242</v>
      </c>
      <c r="AX242" s="35" t="s">
        <v>675</v>
      </c>
      <c r="AY242" s="35" t="s">
        <v>675</v>
      </c>
      <c r="AZ242" s="35" t="s">
        <v>675</v>
      </c>
      <c r="BA242" s="35" t="s">
        <v>675</v>
      </c>
      <c r="BB242" s="35" t="s">
        <v>391</v>
      </c>
      <c r="BC242" s="35" t="s">
        <v>675</v>
      </c>
      <c r="BD242" s="35" t="s">
        <v>7771</v>
      </c>
      <c r="BE242" s="35" t="s">
        <v>7772</v>
      </c>
      <c r="BF242" s="35" t="s">
        <v>902</v>
      </c>
      <c r="BG242" s="35" t="s">
        <v>1245</v>
      </c>
      <c r="BH242" s="35" t="s">
        <v>434</v>
      </c>
      <c r="BI242" s="35" t="s">
        <v>7773</v>
      </c>
      <c r="BJ242" s="35" t="s">
        <v>976</v>
      </c>
      <c r="BK242" s="35" t="s">
        <v>6791</v>
      </c>
      <c r="BL242" s="35" t="s">
        <v>681</v>
      </c>
      <c r="BM242" s="35" t="s">
        <v>904</v>
      </c>
      <c r="BN242" s="35" t="s">
        <v>1314</v>
      </c>
      <c r="BO242" s="35" t="s">
        <v>513</v>
      </c>
      <c r="CM242" s="35" t="s">
        <v>441</v>
      </c>
      <c r="CN242" s="35" t="s">
        <v>442</v>
      </c>
      <c r="CO242" s="35" t="s">
        <v>7774</v>
      </c>
      <c r="CP242" s="35" t="s">
        <v>7775</v>
      </c>
      <c r="CQ242" s="35" t="s">
        <v>445</v>
      </c>
      <c r="CR242" s="35" t="s">
        <v>7776</v>
      </c>
      <c r="CS242" s="35" t="s">
        <v>447</v>
      </c>
      <c r="CT242" s="35" t="s">
        <v>7777</v>
      </c>
      <c r="CU242" s="35" t="s">
        <v>7778</v>
      </c>
      <c r="CV242" s="35" t="s">
        <v>1961</v>
      </c>
      <c r="CW242" s="35" t="s">
        <v>2393</v>
      </c>
      <c r="CX242" s="35" t="s">
        <v>7779</v>
      </c>
      <c r="CY242" s="35" t="s">
        <v>455</v>
      </c>
      <c r="CZ242" s="35" t="s">
        <v>7780</v>
      </c>
      <c r="DA242" s="35" t="s">
        <v>1962</v>
      </c>
      <c r="DB242" s="35" t="s">
        <v>7781</v>
      </c>
      <c r="DC242" s="35" t="s">
        <v>408</v>
      </c>
      <c r="DD242" s="35" t="s">
        <v>7782</v>
      </c>
      <c r="DE242" s="35" t="s">
        <v>406</v>
      </c>
      <c r="DF242" s="35" t="s">
        <v>1058</v>
      </c>
      <c r="DG242" s="35" t="s">
        <v>7783</v>
      </c>
      <c r="DH242" s="35" t="s">
        <v>693</v>
      </c>
      <c r="DI242" s="35" t="s">
        <v>694</v>
      </c>
      <c r="DJ242" s="35" t="s">
        <v>459</v>
      </c>
      <c r="DK242" s="35" t="s">
        <v>1403</v>
      </c>
      <c r="DL242" s="35" t="s">
        <v>6335</v>
      </c>
      <c r="EU242" s="35" t="s">
        <v>2747</v>
      </c>
      <c r="EV242" s="35" t="s">
        <v>479</v>
      </c>
      <c r="EW242" s="35" t="s">
        <v>527</v>
      </c>
      <c r="EX242" s="35" t="s">
        <v>7784</v>
      </c>
      <c r="EY242" s="35" t="s">
        <v>7785</v>
      </c>
      <c r="EZ242" s="35" t="s">
        <v>455</v>
      </c>
      <c r="FA242" s="35" t="s">
        <v>583</v>
      </c>
      <c r="FB242" s="35" t="s">
        <v>583</v>
      </c>
      <c r="FC242" s="35" t="s">
        <v>414</v>
      </c>
      <c r="FD242" s="35" t="s">
        <v>583</v>
      </c>
      <c r="FE242" s="35" t="s">
        <v>583</v>
      </c>
      <c r="FF242" s="35" t="s">
        <v>583</v>
      </c>
      <c r="FG242" s="35" t="s">
        <v>583</v>
      </c>
      <c r="FH242" s="35" t="s">
        <v>484</v>
      </c>
      <c r="FI242" s="35" t="s">
        <v>583</v>
      </c>
      <c r="FJ242" s="35" t="s">
        <v>583</v>
      </c>
      <c r="FK242" s="35" t="s">
        <v>583</v>
      </c>
      <c r="FL242" s="35" t="s">
        <v>583</v>
      </c>
      <c r="FM242" s="35" t="s">
        <v>583</v>
      </c>
      <c r="FN242" s="35" t="s">
        <v>484</v>
      </c>
      <c r="FO242" s="35" t="s">
        <v>583</v>
      </c>
      <c r="FP242" s="35" t="s">
        <v>1537</v>
      </c>
      <c r="FQ242" s="35" t="s">
        <v>2524</v>
      </c>
      <c r="FR242" s="35" t="s">
        <v>630</v>
      </c>
      <c r="FS242" s="35" t="s">
        <v>7786</v>
      </c>
      <c r="FT242" s="35" t="s">
        <v>1871</v>
      </c>
      <c r="FU242" s="35" t="s">
        <v>2750</v>
      </c>
      <c r="FV242" s="35" t="s">
        <v>533</v>
      </c>
      <c r="FW242" s="35" t="s">
        <v>2399</v>
      </c>
      <c r="FX242" s="35" t="s">
        <v>1853</v>
      </c>
      <c r="FY242" s="35" t="s">
        <v>7787</v>
      </c>
      <c r="FZ242" s="35" t="s">
        <v>1854</v>
      </c>
      <c r="GA242" s="35" t="s">
        <v>7788</v>
      </c>
      <c r="GB242" s="35" t="s">
        <v>7789</v>
      </c>
      <c r="GC242" s="35" t="s">
        <v>455</v>
      </c>
      <c r="GD242" s="35" t="s">
        <v>11502</v>
      </c>
      <c r="GE242" s="35" t="s">
        <v>11340</v>
      </c>
      <c r="GF242" s="35" t="s">
        <v>944</v>
      </c>
      <c r="GG242" s="35" t="s">
        <v>7790</v>
      </c>
      <c r="GH242" s="35" t="s">
        <v>920</v>
      </c>
      <c r="GI242" s="35" t="s">
        <v>920</v>
      </c>
      <c r="GJ242" s="35" t="s">
        <v>756</v>
      </c>
      <c r="GR242" s="35" t="s">
        <v>3208</v>
      </c>
      <c r="GU242" s="35" t="s">
        <v>4774</v>
      </c>
      <c r="GV242" s="35" t="s">
        <v>7791</v>
      </c>
      <c r="GW242" s="35" t="s">
        <v>5231</v>
      </c>
      <c r="GX242" s="35" t="s">
        <v>5232</v>
      </c>
      <c r="HD242" s="35" t="s">
        <v>5297</v>
      </c>
      <c r="HE242" s="35" t="s">
        <v>5282</v>
      </c>
      <c r="HF242" s="35" t="s">
        <v>5492</v>
      </c>
      <c r="HG242" s="35" t="s">
        <v>5284</v>
      </c>
      <c r="HP242" s="35" t="s">
        <v>5346</v>
      </c>
      <c r="HQ242" s="35" t="s">
        <v>5264</v>
      </c>
      <c r="HR242" s="35" t="s">
        <v>5801</v>
      </c>
      <c r="HS242" s="35" t="s">
        <v>5239</v>
      </c>
      <c r="HX242" s="35" t="s">
        <v>5628</v>
      </c>
      <c r="MK242" s="35" t="s">
        <v>6321</v>
      </c>
    </row>
    <row r="243">
      <c r="A243" s="35" t="s">
        <v>11503</v>
      </c>
      <c r="B243" s="40">
        <v>45979.000607615744</v>
      </c>
      <c r="C243" s="35" t="s">
        <v>368</v>
      </c>
      <c r="D243" s="35" t="s">
        <v>370</v>
      </c>
      <c r="E243" s="35" t="s">
        <v>370</v>
      </c>
      <c r="F243" s="35" t="s">
        <v>2388</v>
      </c>
      <c r="G243" s="35" t="s">
        <v>2388</v>
      </c>
      <c r="H243" s="35" t="s">
        <v>422</v>
      </c>
      <c r="I243" s="35" t="s">
        <v>496</v>
      </c>
      <c r="J243" s="35" t="s">
        <v>424</v>
      </c>
      <c r="K243" s="35" t="s">
        <v>425</v>
      </c>
      <c r="L243" s="35" t="s">
        <v>376</v>
      </c>
      <c r="M243" s="35" t="s">
        <v>379</v>
      </c>
      <c r="N243" s="35" t="s">
        <v>378</v>
      </c>
      <c r="O243" s="35" t="s">
        <v>379</v>
      </c>
      <c r="P243" s="35" t="s">
        <v>380</v>
      </c>
      <c r="Q243" s="35" t="s">
        <v>381</v>
      </c>
      <c r="R243" s="35" t="s">
        <v>382</v>
      </c>
      <c r="S243" s="35" t="s">
        <v>949</v>
      </c>
      <c r="T243" s="35" t="s">
        <v>384</v>
      </c>
      <c r="U243" s="35" t="s">
        <v>385</v>
      </c>
      <c r="X243" s="35" t="s">
        <v>593</v>
      </c>
      <c r="Y243" s="35" t="s">
        <v>387</v>
      </c>
      <c r="Z243" s="35" t="s">
        <v>388</v>
      </c>
      <c r="AA243" s="35" t="s">
        <v>502</v>
      </c>
      <c r="AB243" s="35" t="s">
        <v>7813</v>
      </c>
      <c r="AC243" s="35" t="s">
        <v>7814</v>
      </c>
      <c r="AW243" s="35" t="s">
        <v>504</v>
      </c>
      <c r="AX243" s="35" t="s">
        <v>429</v>
      </c>
      <c r="AY243" s="35" t="s">
        <v>429</v>
      </c>
      <c r="AZ243" s="41">
        <v>2.0</v>
      </c>
      <c r="BA243" s="35" t="s">
        <v>429</v>
      </c>
      <c r="BB243" s="35" t="s">
        <v>429</v>
      </c>
      <c r="BC243" s="35" t="s">
        <v>429</v>
      </c>
      <c r="BD243" s="35" t="s">
        <v>7815</v>
      </c>
      <c r="BE243" s="35" t="s">
        <v>7816</v>
      </c>
      <c r="BF243" s="35" t="s">
        <v>432</v>
      </c>
      <c r="BG243" s="35" t="s">
        <v>433</v>
      </c>
      <c r="BH243" s="35" t="s">
        <v>678</v>
      </c>
      <c r="BJ243" s="35" t="s">
        <v>509</v>
      </c>
      <c r="BK243" s="35" t="s">
        <v>7817</v>
      </c>
      <c r="BL243" s="35" t="s">
        <v>511</v>
      </c>
      <c r="BM243" s="35" t="s">
        <v>512</v>
      </c>
      <c r="BN243" s="35" t="s">
        <v>549</v>
      </c>
      <c r="BO243" s="35" t="s">
        <v>513</v>
      </c>
      <c r="CM243" s="35" t="s">
        <v>441</v>
      </c>
      <c r="CN243" s="35" t="s">
        <v>604</v>
      </c>
      <c r="CO243" s="35" t="s">
        <v>7818</v>
      </c>
      <c r="CP243" s="35" t="s">
        <v>7819</v>
      </c>
      <c r="CQ243" s="35" t="s">
        <v>445</v>
      </c>
      <c r="CR243" s="35" t="s">
        <v>7820</v>
      </c>
      <c r="CS243" s="35" t="s">
        <v>447</v>
      </c>
      <c r="CT243" s="35" t="s">
        <v>7821</v>
      </c>
      <c r="CU243" s="35" t="s">
        <v>7822</v>
      </c>
      <c r="CV243" s="35" t="s">
        <v>519</v>
      </c>
      <c r="CW243" s="35" t="s">
        <v>451</v>
      </c>
      <c r="CX243" s="35" t="s">
        <v>7823</v>
      </c>
      <c r="CY243" s="35" t="s">
        <v>408</v>
      </c>
      <c r="DA243" s="35" t="s">
        <v>453</v>
      </c>
      <c r="DB243" s="35" t="s">
        <v>7824</v>
      </c>
      <c r="DC243" s="35" t="s">
        <v>455</v>
      </c>
      <c r="DD243" s="35" t="s">
        <v>7825</v>
      </c>
      <c r="DE243" s="35" t="s">
        <v>662</v>
      </c>
      <c r="DG243" s="35" t="s">
        <v>7826</v>
      </c>
      <c r="DH243" s="35" t="s">
        <v>776</v>
      </c>
      <c r="DI243" s="35" t="s">
        <v>410</v>
      </c>
      <c r="DJ243" s="35" t="s">
        <v>459</v>
      </c>
      <c r="DK243" s="35" t="s">
        <v>460</v>
      </c>
      <c r="DL243" s="35" t="s">
        <v>6335</v>
      </c>
      <c r="EU243" s="35" t="s">
        <v>578</v>
      </c>
      <c r="EV243" s="35" t="s">
        <v>479</v>
      </c>
      <c r="EW243" s="35" t="s">
        <v>527</v>
      </c>
      <c r="EX243" s="35" t="s">
        <v>7827</v>
      </c>
      <c r="EY243" s="35" t="s">
        <v>4414</v>
      </c>
      <c r="EZ243" s="35" t="s">
        <v>7828</v>
      </c>
      <c r="FA243" s="35" t="s">
        <v>583</v>
      </c>
      <c r="FB243" s="35" t="s">
        <v>415</v>
      </c>
      <c r="FC243" s="35" t="s">
        <v>415</v>
      </c>
      <c r="FD243" s="35" t="s">
        <v>583</v>
      </c>
      <c r="FE243" s="35" t="s">
        <v>414</v>
      </c>
      <c r="FF243" s="35" t="s">
        <v>583</v>
      </c>
      <c r="FG243" s="35" t="s">
        <v>583</v>
      </c>
      <c r="FH243" s="35" t="s">
        <v>413</v>
      </c>
      <c r="FI243" s="35" t="s">
        <v>583</v>
      </c>
      <c r="FJ243" s="35" t="s">
        <v>583</v>
      </c>
      <c r="FK243" s="35" t="s">
        <v>583</v>
      </c>
      <c r="FL243" s="35" t="s">
        <v>414</v>
      </c>
      <c r="FM243" s="35" t="s">
        <v>583</v>
      </c>
      <c r="FN243" s="35" t="s">
        <v>413</v>
      </c>
      <c r="FO243" s="35" t="s">
        <v>583</v>
      </c>
      <c r="FP243" s="35" t="s">
        <v>850</v>
      </c>
      <c r="FQ243" s="35" t="s">
        <v>486</v>
      </c>
      <c r="FR243" s="35" t="s">
        <v>630</v>
      </c>
      <c r="FS243" s="35" t="s">
        <v>7829</v>
      </c>
      <c r="FT243" s="35" t="s">
        <v>1189</v>
      </c>
      <c r="FU243" s="35" t="s">
        <v>488</v>
      </c>
      <c r="FV243" s="35" t="s">
        <v>533</v>
      </c>
      <c r="FW243" s="35" t="s">
        <v>490</v>
      </c>
      <c r="FX243" s="35" t="s">
        <v>491</v>
      </c>
      <c r="FY243" s="35" t="s">
        <v>7830</v>
      </c>
      <c r="FZ243" s="35" t="s">
        <v>535</v>
      </c>
      <c r="GA243" s="35" t="s">
        <v>7831</v>
      </c>
      <c r="GC243" s="35" t="s">
        <v>455</v>
      </c>
      <c r="GD243" s="35" t="s">
        <v>11504</v>
      </c>
      <c r="GE243" s="35" t="s">
        <v>11505</v>
      </c>
      <c r="GF243" s="35" t="s">
        <v>1339</v>
      </c>
      <c r="GG243" s="35" t="s">
        <v>7832</v>
      </c>
      <c r="GH243" s="35" t="s">
        <v>788</v>
      </c>
      <c r="GI243" s="35" t="s">
        <v>788</v>
      </c>
      <c r="GJ243" s="35" t="s">
        <v>790</v>
      </c>
      <c r="GR243" s="35" t="s">
        <v>4653</v>
      </c>
      <c r="GU243" s="35" t="s">
        <v>5039</v>
      </c>
      <c r="GV243" s="35" t="s">
        <v>7833</v>
      </c>
      <c r="GW243" s="35" t="s">
        <v>5231</v>
      </c>
      <c r="GX243" s="35" t="s">
        <v>5232</v>
      </c>
      <c r="HD243" s="35" t="s">
        <v>5297</v>
      </c>
      <c r="HE243" s="35" t="s">
        <v>5298</v>
      </c>
      <c r="HF243" s="35" t="s">
        <v>5320</v>
      </c>
      <c r="HG243" s="35" t="s">
        <v>5284</v>
      </c>
      <c r="HP243" s="35" t="s">
        <v>5236</v>
      </c>
      <c r="HQ243" s="35" t="s">
        <v>5237</v>
      </c>
      <c r="HR243" s="35" t="s">
        <v>5238</v>
      </c>
      <c r="HS243" s="35" t="s">
        <v>7834</v>
      </c>
      <c r="HX243" s="35" t="s">
        <v>7835</v>
      </c>
      <c r="MK243" s="35" t="s">
        <v>6321</v>
      </c>
    </row>
    <row r="244">
      <c r="A244" s="35" t="s">
        <v>11506</v>
      </c>
      <c r="B244" s="40">
        <v>45979.966553935184</v>
      </c>
      <c r="C244" s="35" t="s">
        <v>368</v>
      </c>
      <c r="D244" s="35" t="s">
        <v>1703</v>
      </c>
      <c r="E244" s="35" t="s">
        <v>370</v>
      </c>
      <c r="G244" s="35" t="s">
        <v>1421</v>
      </c>
      <c r="H244" s="35" t="s">
        <v>422</v>
      </c>
      <c r="I244" s="35" t="s">
        <v>373</v>
      </c>
      <c r="J244" s="35" t="s">
        <v>374</v>
      </c>
      <c r="K244" s="35" t="s">
        <v>375</v>
      </c>
      <c r="L244" s="35" t="s">
        <v>376</v>
      </c>
      <c r="M244" s="35" t="s">
        <v>670</v>
      </c>
      <c r="N244" s="35" t="s">
        <v>378</v>
      </c>
      <c r="O244" s="35" t="s">
        <v>670</v>
      </c>
      <c r="P244" s="35" t="s">
        <v>1270</v>
      </c>
      <c r="Q244" s="35" t="s">
        <v>498</v>
      </c>
      <c r="R244" s="35" t="s">
        <v>1004</v>
      </c>
      <c r="S244" s="35" t="s">
        <v>500</v>
      </c>
      <c r="T244" s="35" t="s">
        <v>1705</v>
      </c>
      <c r="U244" s="35" t="s">
        <v>385</v>
      </c>
      <c r="X244" s="35" t="s">
        <v>3231</v>
      </c>
      <c r="AW244" s="35" t="s">
        <v>1310</v>
      </c>
      <c r="AX244" s="35" t="s">
        <v>675</v>
      </c>
      <c r="AY244" s="35" t="s">
        <v>675</v>
      </c>
      <c r="AZ244" s="35" t="s">
        <v>675</v>
      </c>
      <c r="BA244" s="35" t="s">
        <v>391</v>
      </c>
      <c r="BB244" s="41">
        <v>4.0</v>
      </c>
      <c r="BC244" s="35" t="s">
        <v>675</v>
      </c>
      <c r="BF244" s="35" t="s">
        <v>432</v>
      </c>
      <c r="BG244" s="35" t="s">
        <v>1095</v>
      </c>
      <c r="BH244" s="35" t="s">
        <v>765</v>
      </c>
      <c r="BI244" s="35" t="s">
        <v>7859</v>
      </c>
      <c r="BJ244" s="35" t="s">
        <v>976</v>
      </c>
      <c r="BL244" s="35" t="s">
        <v>681</v>
      </c>
      <c r="BM244" s="35" t="s">
        <v>603</v>
      </c>
      <c r="BN244" s="35" t="s">
        <v>1247</v>
      </c>
      <c r="BO244" s="35" t="s">
        <v>513</v>
      </c>
      <c r="CM244" s="35" t="s">
        <v>441</v>
      </c>
      <c r="CN244" s="35" t="s">
        <v>604</v>
      </c>
      <c r="CO244" s="35" t="s">
        <v>1313</v>
      </c>
      <c r="CP244" s="35" t="s">
        <v>7860</v>
      </c>
      <c r="CQ244" s="35" t="s">
        <v>1008</v>
      </c>
      <c r="CR244" s="35" t="s">
        <v>1649</v>
      </c>
      <c r="CS244" s="35" t="s">
        <v>404</v>
      </c>
      <c r="CT244" s="35" t="s">
        <v>1147</v>
      </c>
      <c r="CU244" s="35" t="s">
        <v>7861</v>
      </c>
      <c r="CV244" s="35" t="s">
        <v>1852</v>
      </c>
      <c r="CW244" s="35" t="s">
        <v>1931</v>
      </c>
      <c r="CY244" s="35" t="s">
        <v>408</v>
      </c>
      <c r="DA244" s="35" t="s">
        <v>1962</v>
      </c>
      <c r="DC244" s="35" t="s">
        <v>408</v>
      </c>
      <c r="DE244" s="35" t="s">
        <v>406</v>
      </c>
      <c r="DG244" s="35" t="s">
        <v>7862</v>
      </c>
      <c r="DH244" s="35" t="s">
        <v>693</v>
      </c>
      <c r="DI244" s="35" t="s">
        <v>833</v>
      </c>
      <c r="DJ244" s="35" t="s">
        <v>459</v>
      </c>
      <c r="DK244" s="35" t="s">
        <v>613</v>
      </c>
      <c r="EU244" s="35" t="s">
        <v>578</v>
      </c>
      <c r="EV244" s="35" t="s">
        <v>479</v>
      </c>
      <c r="EW244" s="35" t="s">
        <v>1534</v>
      </c>
      <c r="EY244" s="35" t="s">
        <v>1313</v>
      </c>
      <c r="EZ244" s="35" t="s">
        <v>1313</v>
      </c>
      <c r="FA244" s="35" t="s">
        <v>416</v>
      </c>
      <c r="FB244" s="35" t="s">
        <v>415</v>
      </c>
      <c r="FC244" s="35" t="s">
        <v>415</v>
      </c>
      <c r="FD244" s="35" t="s">
        <v>415</v>
      </c>
      <c r="FE244" s="35" t="s">
        <v>416</v>
      </c>
      <c r="FF244" s="35" t="s">
        <v>414</v>
      </c>
      <c r="FG244" s="35" t="s">
        <v>415</v>
      </c>
      <c r="FH244" s="35" t="s">
        <v>413</v>
      </c>
      <c r="FI244" s="35" t="s">
        <v>583</v>
      </c>
      <c r="FJ244" s="35" t="s">
        <v>583</v>
      </c>
      <c r="FK244" s="35" t="s">
        <v>415</v>
      </c>
      <c r="FL244" s="35" t="s">
        <v>415</v>
      </c>
      <c r="FM244" s="35" t="s">
        <v>415</v>
      </c>
      <c r="FN244" s="35" t="s">
        <v>416</v>
      </c>
      <c r="FO244" s="35" t="s">
        <v>414</v>
      </c>
      <c r="FP244" s="35" t="s">
        <v>850</v>
      </c>
      <c r="FQ244" s="35" t="s">
        <v>418</v>
      </c>
      <c r="FR244" s="35" t="s">
        <v>749</v>
      </c>
      <c r="FT244" s="35" t="s">
        <v>995</v>
      </c>
      <c r="FU244" s="35" t="s">
        <v>1462</v>
      </c>
      <c r="FV244" s="35" t="s">
        <v>918</v>
      </c>
      <c r="FW244" s="35" t="s">
        <v>490</v>
      </c>
      <c r="FX244" s="35" t="s">
        <v>1853</v>
      </c>
      <c r="FZ244" s="35" t="s">
        <v>493</v>
      </c>
      <c r="GC244" s="35" t="s">
        <v>408</v>
      </c>
      <c r="GH244" s="35" t="s">
        <v>788</v>
      </c>
      <c r="GI244" s="35" t="s">
        <v>920</v>
      </c>
      <c r="GJ244" s="35" t="s">
        <v>858</v>
      </c>
      <c r="GQ244" s="35" t="s">
        <v>1706</v>
      </c>
      <c r="GR244" s="35" t="s">
        <v>3306</v>
      </c>
      <c r="GU244" s="35" t="s">
        <v>4774</v>
      </c>
      <c r="GW244" s="35" t="s">
        <v>5231</v>
      </c>
      <c r="GX244" s="35" t="s">
        <v>5232</v>
      </c>
      <c r="HD244" s="35" t="s">
        <v>5297</v>
      </c>
      <c r="HE244" s="35" t="s">
        <v>5298</v>
      </c>
      <c r="HF244" s="35" t="s">
        <v>5492</v>
      </c>
      <c r="HG244" s="35" t="s">
        <v>5493</v>
      </c>
      <c r="HP244" s="35" t="s">
        <v>5383</v>
      </c>
      <c r="HQ244" s="35" t="s">
        <v>5302</v>
      </c>
      <c r="HR244" s="35" t="s">
        <v>5801</v>
      </c>
      <c r="HS244" s="35" t="s">
        <v>5321</v>
      </c>
      <c r="HX244" s="35" t="s">
        <v>5971</v>
      </c>
      <c r="MK244" s="35" t="s">
        <v>6321</v>
      </c>
    </row>
    <row r="245">
      <c r="A245" s="35" t="s">
        <v>11507</v>
      </c>
      <c r="B245" s="40">
        <v>45983.2148534375</v>
      </c>
      <c r="C245" s="35" t="s">
        <v>368</v>
      </c>
      <c r="D245" s="35" t="s">
        <v>2025</v>
      </c>
      <c r="E245" s="35" t="s">
        <v>2025</v>
      </c>
      <c r="H245" s="35" t="s">
        <v>422</v>
      </c>
      <c r="I245" s="35" t="s">
        <v>423</v>
      </c>
      <c r="J245" s="35" t="s">
        <v>668</v>
      </c>
      <c r="K245" s="35" t="s">
        <v>1240</v>
      </c>
      <c r="L245" s="35" t="s">
        <v>376</v>
      </c>
      <c r="M245" s="35" t="s">
        <v>426</v>
      </c>
      <c r="N245" s="35" t="s">
        <v>378</v>
      </c>
      <c r="O245" s="35" t="s">
        <v>591</v>
      </c>
      <c r="P245" s="35" t="s">
        <v>541</v>
      </c>
      <c r="Q245" s="35" t="s">
        <v>498</v>
      </c>
      <c r="R245" s="35" t="s">
        <v>818</v>
      </c>
      <c r="S245" s="35" t="s">
        <v>427</v>
      </c>
      <c r="T245" s="35" t="s">
        <v>384</v>
      </c>
      <c r="U245" s="35" t="s">
        <v>385</v>
      </c>
      <c r="X245" s="35" t="s">
        <v>593</v>
      </c>
      <c r="Y245" s="35" t="s">
        <v>387</v>
      </c>
      <c r="Z245" s="35" t="s">
        <v>388</v>
      </c>
      <c r="AA245" s="35" t="s">
        <v>543</v>
      </c>
      <c r="AW245" s="35" t="s">
        <v>390</v>
      </c>
      <c r="AX245" s="41">
        <v>2.0</v>
      </c>
      <c r="AY245" s="41">
        <v>2.0</v>
      </c>
      <c r="AZ245" s="41">
        <v>2.0</v>
      </c>
      <c r="BA245" s="41">
        <v>2.0</v>
      </c>
      <c r="BB245" s="35" t="s">
        <v>429</v>
      </c>
      <c r="BC245" s="35" t="s">
        <v>429</v>
      </c>
      <c r="BF245" s="35" t="s">
        <v>392</v>
      </c>
      <c r="BG245" s="35" t="s">
        <v>433</v>
      </c>
      <c r="BH245" s="35" t="s">
        <v>725</v>
      </c>
      <c r="BJ245" s="35" t="s">
        <v>727</v>
      </c>
      <c r="BL245" s="35" t="s">
        <v>437</v>
      </c>
      <c r="BM245" s="35" t="s">
        <v>512</v>
      </c>
      <c r="BN245" s="35" t="s">
        <v>549</v>
      </c>
      <c r="BO245" s="35" t="s">
        <v>513</v>
      </c>
      <c r="CM245" s="35" t="s">
        <v>441</v>
      </c>
      <c r="CN245" s="35" t="s">
        <v>401</v>
      </c>
      <c r="CO245" s="35" t="s">
        <v>552</v>
      </c>
      <c r="CP245" s="35" t="s">
        <v>7890</v>
      </c>
      <c r="CQ245" s="35" t="s">
        <v>979</v>
      </c>
      <c r="CR245" s="35" t="s">
        <v>7891</v>
      </c>
      <c r="CS245" s="35" t="s">
        <v>804</v>
      </c>
      <c r="CT245" s="35" t="s">
        <v>7892</v>
      </c>
      <c r="CU245" s="35" t="s">
        <v>7893</v>
      </c>
      <c r="CV245" s="35" t="s">
        <v>519</v>
      </c>
      <c r="CW245" s="35" t="s">
        <v>451</v>
      </c>
      <c r="CY245" s="35" t="s">
        <v>408</v>
      </c>
      <c r="DA245" s="35" t="s">
        <v>453</v>
      </c>
      <c r="DC245" s="35" t="s">
        <v>455</v>
      </c>
      <c r="DD245" s="35" t="s">
        <v>7894</v>
      </c>
      <c r="DE245" s="35" t="s">
        <v>406</v>
      </c>
      <c r="DF245" s="35" t="s">
        <v>407</v>
      </c>
      <c r="DG245" s="35" t="s">
        <v>7895</v>
      </c>
      <c r="DH245" s="35" t="s">
        <v>524</v>
      </c>
      <c r="DI245" s="35" t="s">
        <v>410</v>
      </c>
      <c r="DJ245" s="35" t="s">
        <v>459</v>
      </c>
      <c r="DK245" s="35" t="s">
        <v>613</v>
      </c>
      <c r="EU245" s="35" t="s">
        <v>526</v>
      </c>
      <c r="EV245" s="35" t="s">
        <v>579</v>
      </c>
      <c r="EW245" s="35" t="s">
        <v>480</v>
      </c>
      <c r="FA245" s="35" t="s">
        <v>413</v>
      </c>
      <c r="FB245" s="35" t="s">
        <v>414</v>
      </c>
      <c r="FC245" s="35" t="s">
        <v>413</v>
      </c>
      <c r="FD245" s="35" t="s">
        <v>413</v>
      </c>
      <c r="FE245" s="35" t="s">
        <v>413</v>
      </c>
      <c r="FF245" s="35" t="s">
        <v>414</v>
      </c>
      <c r="FG245" s="35" t="s">
        <v>416</v>
      </c>
      <c r="FH245" s="35" t="s">
        <v>416</v>
      </c>
      <c r="FI245" s="35" t="s">
        <v>583</v>
      </c>
      <c r="FJ245" s="35" t="s">
        <v>416</v>
      </c>
      <c r="FK245" s="35" t="s">
        <v>414</v>
      </c>
      <c r="FL245" s="35" t="s">
        <v>414</v>
      </c>
      <c r="FM245" s="35" t="s">
        <v>583</v>
      </c>
      <c r="FN245" s="35" t="s">
        <v>414</v>
      </c>
      <c r="FO245" s="35" t="s">
        <v>414</v>
      </c>
      <c r="FP245" s="35" t="s">
        <v>417</v>
      </c>
      <c r="FQ245" s="35" t="s">
        <v>486</v>
      </c>
      <c r="FR245" s="35" t="s">
        <v>712</v>
      </c>
      <c r="FT245" s="35" t="s">
        <v>420</v>
      </c>
      <c r="FU245" s="35" t="s">
        <v>488</v>
      </c>
      <c r="FV245" s="35" t="s">
        <v>1235</v>
      </c>
      <c r="FW245" s="35" t="s">
        <v>490</v>
      </c>
      <c r="FZ245" s="35" t="s">
        <v>493</v>
      </c>
      <c r="GC245" s="35" t="s">
        <v>408</v>
      </c>
      <c r="GH245" s="35" t="s">
        <v>755</v>
      </c>
      <c r="GI245" s="35" t="s">
        <v>755</v>
      </c>
      <c r="GJ245" s="35" t="s">
        <v>946</v>
      </c>
      <c r="GR245" s="35" t="s">
        <v>3208</v>
      </c>
      <c r="GW245" s="35" t="s">
        <v>5231</v>
      </c>
      <c r="GX245" s="35" t="s">
        <v>5232</v>
      </c>
      <c r="HD245" s="35" t="s">
        <v>5281</v>
      </c>
      <c r="HE245" s="35" t="s">
        <v>5282</v>
      </c>
      <c r="HF245" s="35" t="s">
        <v>484</v>
      </c>
      <c r="HG245" s="35" t="s">
        <v>5300</v>
      </c>
      <c r="HP245" s="35" t="s">
        <v>5285</v>
      </c>
      <c r="HQ245" s="35" t="s">
        <v>5371</v>
      </c>
      <c r="HR245" s="35" t="s">
        <v>5238</v>
      </c>
      <c r="HS245" s="35" t="s">
        <v>5239</v>
      </c>
      <c r="HX245" s="35" t="s">
        <v>5628</v>
      </c>
      <c r="MK245" s="35" t="s">
        <v>6321</v>
      </c>
    </row>
    <row r="246">
      <c r="A246" s="35" t="s">
        <v>11508</v>
      </c>
      <c r="B246" s="40">
        <v>45992.05210868055</v>
      </c>
      <c r="C246" s="35" t="s">
        <v>368</v>
      </c>
      <c r="D246" s="35" t="s">
        <v>7954</v>
      </c>
      <c r="E246" s="35" t="s">
        <v>1201</v>
      </c>
      <c r="H246" s="35" t="s">
        <v>422</v>
      </c>
      <c r="I246" s="35" t="s">
        <v>637</v>
      </c>
      <c r="J246" s="35" t="s">
        <v>638</v>
      </c>
      <c r="K246" s="35" t="s">
        <v>590</v>
      </c>
      <c r="L246" s="35" t="s">
        <v>1784</v>
      </c>
      <c r="M246" s="35" t="s">
        <v>1526</v>
      </c>
      <c r="N246" s="35" t="s">
        <v>1024</v>
      </c>
      <c r="O246" s="35" t="s">
        <v>1526</v>
      </c>
      <c r="P246" s="35" t="s">
        <v>1024</v>
      </c>
      <c r="Q246" s="35" t="s">
        <v>1760</v>
      </c>
      <c r="R246" s="35" t="s">
        <v>818</v>
      </c>
      <c r="S246" s="35" t="s">
        <v>1704</v>
      </c>
      <c r="T246" s="35" t="s">
        <v>2837</v>
      </c>
      <c r="U246" s="35" t="s">
        <v>385</v>
      </c>
      <c r="X246" s="35" t="s">
        <v>3014</v>
      </c>
      <c r="AW246" s="35" t="s">
        <v>1310</v>
      </c>
      <c r="AX246" s="41">
        <v>2.0</v>
      </c>
      <c r="AY246" s="41">
        <v>2.0</v>
      </c>
      <c r="AZ246" s="35" t="s">
        <v>391</v>
      </c>
      <c r="BA246" s="41">
        <v>4.0</v>
      </c>
      <c r="BB246" s="35" t="s">
        <v>429</v>
      </c>
      <c r="BC246" s="41">
        <v>4.0</v>
      </c>
      <c r="BN246" s="35" t="s">
        <v>1247</v>
      </c>
      <c r="BO246" s="35" t="s">
        <v>513</v>
      </c>
      <c r="CM246" s="35" t="s">
        <v>953</v>
      </c>
      <c r="CN246" s="35" t="s">
        <v>551</v>
      </c>
      <c r="CP246" s="35" t="s">
        <v>408</v>
      </c>
      <c r="CV246" s="35" t="s">
        <v>1852</v>
      </c>
      <c r="CW246" s="35" t="s">
        <v>2393</v>
      </c>
      <c r="CY246" s="35" t="s">
        <v>408</v>
      </c>
      <c r="DA246" s="35" t="s">
        <v>1962</v>
      </c>
      <c r="DC246" s="35" t="s">
        <v>408</v>
      </c>
      <c r="DH246" s="35" t="s">
        <v>990</v>
      </c>
      <c r="DI246" s="35" t="s">
        <v>1220</v>
      </c>
      <c r="DJ246" s="35" t="s">
        <v>963</v>
      </c>
      <c r="DK246" s="35" t="s">
        <v>460</v>
      </c>
      <c r="DL246" s="35" t="s">
        <v>6603</v>
      </c>
      <c r="EU246" s="35" t="s">
        <v>2747</v>
      </c>
      <c r="EV246" s="35" t="s">
        <v>579</v>
      </c>
      <c r="EW246" s="35" t="s">
        <v>580</v>
      </c>
      <c r="FA246" s="35" t="s">
        <v>414</v>
      </c>
      <c r="FB246" s="35" t="s">
        <v>414</v>
      </c>
      <c r="FC246" s="35" t="s">
        <v>416</v>
      </c>
      <c r="FD246" s="35" t="s">
        <v>583</v>
      </c>
      <c r="FE246" s="35" t="s">
        <v>415</v>
      </c>
      <c r="FF246" s="35" t="s">
        <v>414</v>
      </c>
      <c r="FG246" s="35" t="s">
        <v>414</v>
      </c>
      <c r="FH246" s="35" t="s">
        <v>414</v>
      </c>
      <c r="FI246" s="35" t="s">
        <v>414</v>
      </c>
      <c r="FJ246" s="35" t="s">
        <v>413</v>
      </c>
      <c r="FK246" s="35" t="s">
        <v>414</v>
      </c>
      <c r="FL246" s="35" t="s">
        <v>415</v>
      </c>
      <c r="FM246" s="35" t="s">
        <v>415</v>
      </c>
      <c r="FN246" s="35" t="s">
        <v>415</v>
      </c>
      <c r="FO246" s="35" t="s">
        <v>415</v>
      </c>
      <c r="FP246" s="35" t="s">
        <v>1074</v>
      </c>
      <c r="FQ246" s="35" t="s">
        <v>2651</v>
      </c>
      <c r="FR246" s="35" t="s">
        <v>749</v>
      </c>
      <c r="FT246" s="35" t="s">
        <v>1871</v>
      </c>
      <c r="FU246" s="35" t="s">
        <v>1476</v>
      </c>
      <c r="FV246" s="35" t="s">
        <v>1235</v>
      </c>
      <c r="FW246" s="35" t="s">
        <v>1101</v>
      </c>
      <c r="FX246" s="35" t="s">
        <v>1853</v>
      </c>
      <c r="FZ246" s="35" t="s">
        <v>1020</v>
      </c>
      <c r="GC246" s="35" t="s">
        <v>408</v>
      </c>
      <c r="GH246" s="35" t="s">
        <v>920</v>
      </c>
      <c r="GI246" s="35" t="s">
        <v>920</v>
      </c>
      <c r="GJ246" s="35" t="s">
        <v>756</v>
      </c>
      <c r="GR246" s="35" t="s">
        <v>3208</v>
      </c>
      <c r="GU246" s="35" t="s">
        <v>5039</v>
      </c>
      <c r="GW246" s="35" t="s">
        <v>484</v>
      </c>
      <c r="GX246" s="35" t="s">
        <v>484</v>
      </c>
      <c r="HP246" s="35" t="s">
        <v>5301</v>
      </c>
      <c r="HQ246" s="35" t="s">
        <v>5302</v>
      </c>
      <c r="HR246" s="35" t="s">
        <v>5721</v>
      </c>
      <c r="HS246" s="35" t="s">
        <v>913</v>
      </c>
      <c r="HT246" s="35" t="s">
        <v>5987</v>
      </c>
      <c r="HV246" s="35" t="s">
        <v>7955</v>
      </c>
      <c r="HW246" s="35" t="s">
        <v>6521</v>
      </c>
      <c r="HY246" s="35" t="s">
        <v>5920</v>
      </c>
      <c r="HZ246" s="35" t="s">
        <v>5920</v>
      </c>
      <c r="IA246" s="35" t="s">
        <v>5920</v>
      </c>
      <c r="IB246" s="35" t="s">
        <v>5921</v>
      </c>
      <c r="IC246" s="35" t="s">
        <v>5920</v>
      </c>
      <c r="ID246" s="35" t="s">
        <v>5919</v>
      </c>
      <c r="IE246" s="35" t="s">
        <v>5536</v>
      </c>
      <c r="IF246" s="35" t="s">
        <v>5989</v>
      </c>
      <c r="IG246" s="35" t="s">
        <v>5536</v>
      </c>
      <c r="IH246" s="35" t="s">
        <v>5989</v>
      </c>
      <c r="II246" s="35" t="s">
        <v>5536</v>
      </c>
      <c r="IJ246" s="35" t="s">
        <v>5536</v>
      </c>
      <c r="IL246" s="35" t="s">
        <v>6523</v>
      </c>
      <c r="MK246" s="35" t="s">
        <v>6321</v>
      </c>
    </row>
    <row r="247">
      <c r="A247" s="35" t="s">
        <v>11509</v>
      </c>
      <c r="B247" s="40">
        <v>45992.67591680556</v>
      </c>
      <c r="C247" s="35" t="s">
        <v>368</v>
      </c>
      <c r="D247" s="35" t="s">
        <v>6924</v>
      </c>
      <c r="E247" s="35" t="s">
        <v>370</v>
      </c>
      <c r="G247" s="35" t="s">
        <v>371</v>
      </c>
      <c r="H247" s="35" t="s">
        <v>1093</v>
      </c>
      <c r="I247" s="35" t="s">
        <v>496</v>
      </c>
      <c r="J247" s="35" t="s">
        <v>374</v>
      </c>
      <c r="K247" s="35" t="s">
        <v>375</v>
      </c>
      <c r="L247" s="35" t="s">
        <v>376</v>
      </c>
      <c r="M247" s="35" t="s">
        <v>793</v>
      </c>
      <c r="N247" s="35" t="s">
        <v>7956</v>
      </c>
      <c r="O247" s="35" t="s">
        <v>670</v>
      </c>
      <c r="P247" s="35" t="s">
        <v>1270</v>
      </c>
      <c r="Q247" s="35" t="s">
        <v>498</v>
      </c>
      <c r="R247" s="35" t="s">
        <v>862</v>
      </c>
      <c r="S247" s="35" t="s">
        <v>427</v>
      </c>
      <c r="T247" s="35" t="s">
        <v>384</v>
      </c>
      <c r="U247" s="35" t="s">
        <v>385</v>
      </c>
      <c r="X247" s="35" t="s">
        <v>3014</v>
      </c>
      <c r="AW247" s="35" t="s">
        <v>1310</v>
      </c>
      <c r="AX247" s="35" t="s">
        <v>675</v>
      </c>
      <c r="AY247" s="35" t="s">
        <v>675</v>
      </c>
      <c r="AZ247" s="35" t="s">
        <v>391</v>
      </c>
      <c r="BA247" s="35" t="s">
        <v>675</v>
      </c>
      <c r="BB247" s="35" t="s">
        <v>429</v>
      </c>
      <c r="BC247" s="35" t="s">
        <v>675</v>
      </c>
      <c r="BD247" s="35" t="s">
        <v>7957</v>
      </c>
      <c r="BE247" s="35" t="s">
        <v>7958</v>
      </c>
      <c r="BF247" s="35" t="s">
        <v>432</v>
      </c>
      <c r="BG247" s="35" t="s">
        <v>1245</v>
      </c>
      <c r="BH247" s="35" t="s">
        <v>394</v>
      </c>
      <c r="BI247" s="35" t="s">
        <v>7959</v>
      </c>
      <c r="BJ247" s="35" t="s">
        <v>727</v>
      </c>
      <c r="BL247" s="35" t="s">
        <v>681</v>
      </c>
      <c r="BM247" s="35" t="s">
        <v>438</v>
      </c>
      <c r="BN247" s="35" t="s">
        <v>397</v>
      </c>
      <c r="BO247" s="35" t="s">
        <v>513</v>
      </c>
      <c r="CM247" s="35" t="s">
        <v>682</v>
      </c>
      <c r="CN247" s="35" t="s">
        <v>604</v>
      </c>
      <c r="CO247" s="35" t="s">
        <v>7960</v>
      </c>
      <c r="CP247" s="35" t="s">
        <v>7961</v>
      </c>
      <c r="CU247" s="35" t="s">
        <v>7962</v>
      </c>
      <c r="CV247" s="35" t="s">
        <v>450</v>
      </c>
      <c r="CW247" s="35" t="s">
        <v>959</v>
      </c>
      <c r="CY247" s="35" t="s">
        <v>408</v>
      </c>
      <c r="DA247" s="35" t="s">
        <v>1962</v>
      </c>
      <c r="DH247" s="35" t="s">
        <v>990</v>
      </c>
      <c r="DI247" s="35" t="s">
        <v>410</v>
      </c>
      <c r="DJ247" s="35" t="s">
        <v>963</v>
      </c>
      <c r="DK247" s="35" t="s">
        <v>460</v>
      </c>
      <c r="DL247" s="35" t="s">
        <v>6319</v>
      </c>
      <c r="EU247" s="35" t="s">
        <v>578</v>
      </c>
      <c r="EV247" s="35" t="s">
        <v>1127</v>
      </c>
      <c r="EW247" s="35" t="s">
        <v>1262</v>
      </c>
      <c r="EY247" s="35" t="s">
        <v>7963</v>
      </c>
      <c r="EZ247" s="35" t="s">
        <v>7964</v>
      </c>
      <c r="FA247" s="35" t="s">
        <v>583</v>
      </c>
      <c r="FB247" s="35" t="s">
        <v>583</v>
      </c>
      <c r="FC247" s="35" t="s">
        <v>413</v>
      </c>
      <c r="FD247" s="35" t="s">
        <v>583</v>
      </c>
      <c r="FE247" s="35" t="s">
        <v>583</v>
      </c>
      <c r="FF247" s="35" t="s">
        <v>583</v>
      </c>
      <c r="FG247" s="35" t="s">
        <v>583</v>
      </c>
      <c r="FH247" s="35" t="s">
        <v>414</v>
      </c>
      <c r="FI247" s="35" t="s">
        <v>416</v>
      </c>
      <c r="FJ247" s="35" t="s">
        <v>583</v>
      </c>
      <c r="FK247" s="35" t="s">
        <v>583</v>
      </c>
      <c r="FL247" s="35" t="s">
        <v>414</v>
      </c>
      <c r="FM247" s="35" t="s">
        <v>414</v>
      </c>
      <c r="FN247" s="35" t="s">
        <v>413</v>
      </c>
      <c r="FO247" s="35" t="s">
        <v>583</v>
      </c>
      <c r="FP247" s="35" t="s">
        <v>1537</v>
      </c>
      <c r="FQ247" s="35" t="s">
        <v>2524</v>
      </c>
      <c r="FR247" s="35" t="s">
        <v>419</v>
      </c>
      <c r="FS247" s="35" t="s">
        <v>7965</v>
      </c>
      <c r="FT247" s="35" t="s">
        <v>1871</v>
      </c>
      <c r="FU247" s="35" t="s">
        <v>2750</v>
      </c>
      <c r="FV247" s="35" t="s">
        <v>489</v>
      </c>
      <c r="FW247" s="35" t="s">
        <v>490</v>
      </c>
      <c r="FX247" s="35" t="s">
        <v>491</v>
      </c>
      <c r="FY247" s="35" t="s">
        <v>7966</v>
      </c>
      <c r="FZ247" s="35" t="s">
        <v>1020</v>
      </c>
      <c r="GA247" s="35" t="s">
        <v>7967</v>
      </c>
      <c r="GC247" s="35" t="s">
        <v>455</v>
      </c>
      <c r="GD247" s="35" t="s">
        <v>11510</v>
      </c>
      <c r="GF247" s="35" t="s">
        <v>753</v>
      </c>
      <c r="GG247" s="35" t="s">
        <v>7968</v>
      </c>
      <c r="GH247" s="35" t="s">
        <v>755</v>
      </c>
      <c r="GI247" s="35" t="s">
        <v>755</v>
      </c>
      <c r="GJ247" s="35" t="s">
        <v>946</v>
      </c>
      <c r="GO247" s="35" t="s">
        <v>7969</v>
      </c>
      <c r="GR247" s="35" t="s">
        <v>3208</v>
      </c>
      <c r="GU247" s="35" t="s">
        <v>4741</v>
      </c>
      <c r="GV247" s="35" t="s">
        <v>7970</v>
      </c>
      <c r="GW247" s="35" t="s">
        <v>5231</v>
      </c>
      <c r="GX247" s="35" t="s">
        <v>484</v>
      </c>
      <c r="HP247" s="35" t="s">
        <v>5383</v>
      </c>
      <c r="HQ247" s="35" t="s">
        <v>5302</v>
      </c>
      <c r="HR247" s="35" t="s">
        <v>5286</v>
      </c>
      <c r="HS247" s="35" t="s">
        <v>5287</v>
      </c>
      <c r="HT247" s="35" t="s">
        <v>5987</v>
      </c>
      <c r="HV247" s="35" t="s">
        <v>5988</v>
      </c>
      <c r="HW247" s="35" t="s">
        <v>5918</v>
      </c>
      <c r="HY247" s="35" t="s">
        <v>5922</v>
      </c>
      <c r="HZ247" s="35" t="s">
        <v>5919</v>
      </c>
      <c r="IA247" s="35" t="s">
        <v>6464</v>
      </c>
      <c r="IB247" s="35" t="s">
        <v>6464</v>
      </c>
      <c r="IC247" s="35" t="s">
        <v>6464</v>
      </c>
      <c r="ID247" s="35" t="s">
        <v>5922</v>
      </c>
      <c r="IE247" s="35" t="s">
        <v>5536</v>
      </c>
      <c r="IF247" s="35" t="s">
        <v>5500</v>
      </c>
      <c r="IG247" s="35" t="s">
        <v>5500</v>
      </c>
      <c r="IH247" s="35" t="s">
        <v>5500</v>
      </c>
      <c r="II247" s="35" t="s">
        <v>5500</v>
      </c>
      <c r="IJ247" s="35" t="s">
        <v>5500</v>
      </c>
      <c r="IK247" s="35" t="s">
        <v>7971</v>
      </c>
      <c r="IL247" s="35" t="s">
        <v>5924</v>
      </c>
      <c r="IM247" s="35" t="s">
        <v>7972</v>
      </c>
      <c r="IN247" s="35" t="s">
        <v>7973</v>
      </c>
      <c r="MK247" s="35" t="s">
        <v>6321</v>
      </c>
    </row>
    <row r="248">
      <c r="A248" s="35" t="s">
        <v>11511</v>
      </c>
      <c r="B248" s="40">
        <v>45996.37980859954</v>
      </c>
      <c r="C248" s="35" t="s">
        <v>368</v>
      </c>
      <c r="D248" s="35" t="s">
        <v>4958</v>
      </c>
      <c r="E248" s="35" t="s">
        <v>1267</v>
      </c>
      <c r="H248" s="35" t="s">
        <v>422</v>
      </c>
      <c r="I248" s="35" t="s">
        <v>423</v>
      </c>
      <c r="J248" s="35" t="s">
        <v>668</v>
      </c>
      <c r="K248" s="35" t="s">
        <v>718</v>
      </c>
      <c r="L248" s="35" t="s">
        <v>376</v>
      </c>
      <c r="M248" s="35" t="s">
        <v>670</v>
      </c>
      <c r="N248" s="35" t="s">
        <v>639</v>
      </c>
      <c r="O248" s="35" t="s">
        <v>670</v>
      </c>
      <c r="P248" s="35" t="s">
        <v>720</v>
      </c>
      <c r="Q248" s="35" t="s">
        <v>1504</v>
      </c>
      <c r="R248" s="35" t="s">
        <v>1342</v>
      </c>
      <c r="S248" s="35" t="s">
        <v>427</v>
      </c>
      <c r="T248" s="35" t="s">
        <v>1512</v>
      </c>
      <c r="U248" s="35" t="s">
        <v>385</v>
      </c>
      <c r="X248" s="35" t="s">
        <v>3014</v>
      </c>
      <c r="AW248" s="35" t="s">
        <v>597</v>
      </c>
      <c r="AX248" s="35" t="s">
        <v>391</v>
      </c>
      <c r="AY248" s="35" t="s">
        <v>391</v>
      </c>
      <c r="AZ248" s="35" t="s">
        <v>391</v>
      </c>
      <c r="BA248" s="41">
        <v>2.0</v>
      </c>
      <c r="BB248" s="41">
        <v>2.0</v>
      </c>
      <c r="BC248" s="35" t="s">
        <v>391</v>
      </c>
      <c r="BD248" s="35" t="s">
        <v>7974</v>
      </c>
      <c r="BE248" s="35" t="s">
        <v>7975</v>
      </c>
      <c r="BF248" s="35" t="s">
        <v>1094</v>
      </c>
      <c r="BG248" s="35" t="s">
        <v>433</v>
      </c>
      <c r="BH248" s="35" t="s">
        <v>678</v>
      </c>
      <c r="BI248" s="35" t="s">
        <v>7976</v>
      </c>
      <c r="BJ248" s="35" t="s">
        <v>509</v>
      </c>
      <c r="BK248" s="35" t="s">
        <v>7977</v>
      </c>
      <c r="BL248" s="35" t="s">
        <v>511</v>
      </c>
      <c r="BM248" s="35" t="s">
        <v>512</v>
      </c>
      <c r="BN248" s="35" t="s">
        <v>549</v>
      </c>
      <c r="BO248" s="35" t="s">
        <v>513</v>
      </c>
      <c r="CM248" s="35" t="s">
        <v>953</v>
      </c>
      <c r="CN248" s="35" t="s">
        <v>401</v>
      </c>
      <c r="CO248" s="35" t="s">
        <v>7978</v>
      </c>
      <c r="CP248" s="35" t="s">
        <v>552</v>
      </c>
      <c r="CU248" s="35" t="s">
        <v>7979</v>
      </c>
      <c r="CV248" s="35" t="s">
        <v>1852</v>
      </c>
      <c r="CW248" s="35" t="s">
        <v>959</v>
      </c>
      <c r="CX248" s="35" t="s">
        <v>552</v>
      </c>
      <c r="CY248" s="35" t="s">
        <v>455</v>
      </c>
      <c r="CZ248" s="35" t="s">
        <v>7980</v>
      </c>
      <c r="DA248" s="35" t="s">
        <v>453</v>
      </c>
      <c r="DB248" s="35" t="s">
        <v>7981</v>
      </c>
      <c r="DC248" s="35" t="s">
        <v>408</v>
      </c>
      <c r="DD248" s="35" t="s">
        <v>7982</v>
      </c>
      <c r="DH248" s="35" t="s">
        <v>990</v>
      </c>
      <c r="DI248" s="35" t="s">
        <v>410</v>
      </c>
      <c r="DJ248" s="35" t="s">
        <v>459</v>
      </c>
      <c r="DK248" s="35" t="s">
        <v>460</v>
      </c>
      <c r="DL248" s="35" t="s">
        <v>6319</v>
      </c>
      <c r="EU248" s="35" t="s">
        <v>478</v>
      </c>
      <c r="EV248" s="35" t="s">
        <v>579</v>
      </c>
      <c r="EW248" s="35" t="s">
        <v>580</v>
      </c>
      <c r="EX248" s="35" t="s">
        <v>7982</v>
      </c>
      <c r="EY248" s="35" t="s">
        <v>7982</v>
      </c>
      <c r="EZ248" s="35" t="s">
        <v>7982</v>
      </c>
      <c r="FA248" s="35" t="s">
        <v>415</v>
      </c>
      <c r="FB248" s="35" t="s">
        <v>583</v>
      </c>
      <c r="FC248" s="35" t="s">
        <v>413</v>
      </c>
      <c r="FD248" s="35" t="s">
        <v>413</v>
      </c>
      <c r="FE248" s="35" t="s">
        <v>413</v>
      </c>
      <c r="FF248" s="35" t="s">
        <v>583</v>
      </c>
      <c r="FG248" s="35" t="s">
        <v>413</v>
      </c>
      <c r="FH248" s="35" t="s">
        <v>413</v>
      </c>
      <c r="FI248" s="35" t="s">
        <v>413</v>
      </c>
      <c r="FJ248" s="35" t="s">
        <v>413</v>
      </c>
      <c r="FK248" s="35" t="s">
        <v>413</v>
      </c>
      <c r="FL248" s="35" t="s">
        <v>413</v>
      </c>
      <c r="FM248" s="35" t="s">
        <v>413</v>
      </c>
      <c r="FN248" s="35" t="s">
        <v>413</v>
      </c>
      <c r="FO248" s="35" t="s">
        <v>413</v>
      </c>
      <c r="FP248" s="35" t="s">
        <v>485</v>
      </c>
      <c r="FQ248" s="35" t="s">
        <v>418</v>
      </c>
      <c r="FR248" s="35" t="s">
        <v>1039</v>
      </c>
      <c r="FS248" s="35" t="s">
        <v>7982</v>
      </c>
      <c r="FT248" s="35" t="s">
        <v>1076</v>
      </c>
      <c r="FU248" s="35" t="s">
        <v>488</v>
      </c>
      <c r="FV248" s="35" t="s">
        <v>585</v>
      </c>
      <c r="FW248" s="35" t="s">
        <v>490</v>
      </c>
      <c r="FX248" s="35" t="s">
        <v>491</v>
      </c>
      <c r="FY248" s="35" t="s">
        <v>7982</v>
      </c>
      <c r="FZ248" s="35" t="s">
        <v>535</v>
      </c>
      <c r="GA248" s="35" t="s">
        <v>7983</v>
      </c>
      <c r="GB248" s="35" t="s">
        <v>7982</v>
      </c>
      <c r="GC248" s="35" t="s">
        <v>455</v>
      </c>
      <c r="GD248" s="35" t="s">
        <v>11512</v>
      </c>
      <c r="GF248" s="35" t="s">
        <v>1339</v>
      </c>
      <c r="GG248" s="35" t="s">
        <v>7984</v>
      </c>
      <c r="GH248" s="35" t="s">
        <v>857</v>
      </c>
      <c r="GI248" s="35" t="s">
        <v>789</v>
      </c>
      <c r="GJ248" s="35" t="s">
        <v>921</v>
      </c>
      <c r="GO248" s="35" t="s">
        <v>4958</v>
      </c>
      <c r="GP248" s="35" t="s">
        <v>7985</v>
      </c>
      <c r="GR248" s="35" t="s">
        <v>3208</v>
      </c>
      <c r="GU248" s="35" t="s">
        <v>4774</v>
      </c>
      <c r="GV248" s="35" t="s">
        <v>7986</v>
      </c>
      <c r="GW248" s="35" t="s">
        <v>5231</v>
      </c>
      <c r="GX248" s="35" t="s">
        <v>5232</v>
      </c>
      <c r="HP248" s="35" t="s">
        <v>5301</v>
      </c>
      <c r="HQ248" s="35" t="s">
        <v>5264</v>
      </c>
      <c r="HR248" s="35" t="s">
        <v>5238</v>
      </c>
      <c r="HS248" s="35" t="s">
        <v>5321</v>
      </c>
      <c r="HT248" s="35" t="s">
        <v>7987</v>
      </c>
      <c r="HV248" s="35" t="s">
        <v>7955</v>
      </c>
      <c r="HW248" s="35" t="s">
        <v>7988</v>
      </c>
      <c r="HY248" s="35" t="s">
        <v>5922</v>
      </c>
      <c r="HZ248" s="35" t="s">
        <v>5919</v>
      </c>
      <c r="IA248" s="35" t="s">
        <v>5919</v>
      </c>
      <c r="IB248" s="35" t="s">
        <v>5919</v>
      </c>
      <c r="IC248" s="35" t="s">
        <v>5919</v>
      </c>
      <c r="ID248" s="35" t="s">
        <v>5922</v>
      </c>
      <c r="IE248" s="35" t="s">
        <v>5989</v>
      </c>
      <c r="IF248" s="35" t="s">
        <v>6522</v>
      </c>
      <c r="IG248" s="35" t="s">
        <v>6522</v>
      </c>
      <c r="IH248" s="35" t="s">
        <v>6522</v>
      </c>
      <c r="II248" s="35" t="s">
        <v>6522</v>
      </c>
      <c r="IJ248" s="35" t="s">
        <v>5989</v>
      </c>
      <c r="IK248" s="35" t="s">
        <v>7989</v>
      </c>
      <c r="IL248" s="35" t="s">
        <v>7990</v>
      </c>
      <c r="IM248" s="35" t="s">
        <v>7991</v>
      </c>
      <c r="IN248" s="35" t="s">
        <v>552</v>
      </c>
      <c r="MK248" s="35" t="s">
        <v>6321</v>
      </c>
    </row>
    <row r="249">
      <c r="A249" s="35" t="s">
        <v>11513</v>
      </c>
      <c r="B249" s="40">
        <v>45996.56378877314</v>
      </c>
      <c r="C249" s="35" t="s">
        <v>368</v>
      </c>
      <c r="D249" s="35" t="s">
        <v>370</v>
      </c>
      <c r="E249" s="35" t="s">
        <v>370</v>
      </c>
      <c r="F249" s="35" t="s">
        <v>1421</v>
      </c>
      <c r="G249" s="35" t="s">
        <v>1421</v>
      </c>
      <c r="H249" s="35" t="s">
        <v>422</v>
      </c>
      <c r="I249" s="35" t="s">
        <v>373</v>
      </c>
      <c r="J249" s="35" t="s">
        <v>374</v>
      </c>
      <c r="K249" s="35" t="s">
        <v>669</v>
      </c>
      <c r="L249" s="35" t="s">
        <v>376</v>
      </c>
      <c r="M249" s="35" t="s">
        <v>591</v>
      </c>
      <c r="N249" s="35" t="s">
        <v>3453</v>
      </c>
      <c r="O249" s="35" t="s">
        <v>793</v>
      </c>
      <c r="P249" s="35" t="s">
        <v>7992</v>
      </c>
      <c r="Q249" s="35" t="s">
        <v>592</v>
      </c>
      <c r="R249" s="35" t="s">
        <v>382</v>
      </c>
      <c r="S249" s="35" t="s">
        <v>1197</v>
      </c>
      <c r="T249" s="35" t="s">
        <v>384</v>
      </c>
      <c r="U249" s="35" t="s">
        <v>385</v>
      </c>
      <c r="X249" s="35" t="s">
        <v>386</v>
      </c>
      <c r="Y249" s="35" t="s">
        <v>387</v>
      </c>
      <c r="Z249" s="35" t="s">
        <v>388</v>
      </c>
      <c r="AA249" s="35" t="s">
        <v>543</v>
      </c>
      <c r="AW249" s="35" t="s">
        <v>1242</v>
      </c>
      <c r="AX249" s="35" t="s">
        <v>675</v>
      </c>
      <c r="AY249" s="35" t="s">
        <v>675</v>
      </c>
      <c r="AZ249" s="35" t="s">
        <v>391</v>
      </c>
      <c r="BA249" s="41">
        <v>4.0</v>
      </c>
      <c r="BB249" s="41">
        <v>4.0</v>
      </c>
      <c r="BC249" s="35" t="s">
        <v>675</v>
      </c>
      <c r="BF249" s="35" t="s">
        <v>432</v>
      </c>
      <c r="BG249" s="35" t="s">
        <v>1047</v>
      </c>
      <c r="BH249" s="35" t="s">
        <v>434</v>
      </c>
      <c r="BJ249" s="35" t="s">
        <v>976</v>
      </c>
      <c r="BL249" s="35" t="s">
        <v>395</v>
      </c>
      <c r="BM249" s="35" t="s">
        <v>904</v>
      </c>
      <c r="BN249" s="35" t="s">
        <v>1314</v>
      </c>
      <c r="BO249" s="35" t="s">
        <v>513</v>
      </c>
      <c r="CM249" s="35" t="s">
        <v>441</v>
      </c>
      <c r="CN249" s="35" t="s">
        <v>604</v>
      </c>
      <c r="CQ249" s="35" t="s">
        <v>445</v>
      </c>
      <c r="CR249" s="35" t="s">
        <v>6915</v>
      </c>
      <c r="CS249" s="35" t="s">
        <v>404</v>
      </c>
      <c r="CT249" s="35" t="s">
        <v>7993</v>
      </c>
      <c r="CV249" s="35" t="s">
        <v>982</v>
      </c>
      <c r="CW249" s="35" t="s">
        <v>409</v>
      </c>
      <c r="CY249" s="35" t="s">
        <v>408</v>
      </c>
      <c r="DA249" s="35" t="s">
        <v>1398</v>
      </c>
      <c r="DC249" s="35" t="s">
        <v>408</v>
      </c>
      <c r="DE249" s="35" t="s">
        <v>988</v>
      </c>
      <c r="DH249" s="35" t="s">
        <v>776</v>
      </c>
      <c r="DI249" s="35" t="s">
        <v>1220</v>
      </c>
      <c r="DJ249" s="35" t="s">
        <v>459</v>
      </c>
      <c r="DK249" s="35" t="s">
        <v>460</v>
      </c>
      <c r="DL249" s="35" t="s">
        <v>6335</v>
      </c>
      <c r="EU249" s="35" t="s">
        <v>478</v>
      </c>
      <c r="EV249" s="35" t="s">
        <v>887</v>
      </c>
      <c r="EW249" s="35" t="s">
        <v>580</v>
      </c>
      <c r="FA249" s="35" t="s">
        <v>414</v>
      </c>
      <c r="FB249" s="35" t="s">
        <v>414</v>
      </c>
      <c r="FC249" s="35" t="s">
        <v>414</v>
      </c>
      <c r="FD249" s="35" t="s">
        <v>414</v>
      </c>
      <c r="FE249" s="35" t="s">
        <v>415</v>
      </c>
      <c r="FF249" s="35" t="s">
        <v>414</v>
      </c>
      <c r="FG249" s="35" t="s">
        <v>414</v>
      </c>
      <c r="FH249" s="35" t="s">
        <v>415</v>
      </c>
      <c r="FI249" s="35" t="s">
        <v>415</v>
      </c>
      <c r="FJ249" s="35" t="s">
        <v>414</v>
      </c>
      <c r="FK249" s="35" t="s">
        <v>414</v>
      </c>
      <c r="FL249" s="35" t="s">
        <v>583</v>
      </c>
      <c r="FM249" s="35" t="s">
        <v>583</v>
      </c>
      <c r="FN249" s="35" t="s">
        <v>416</v>
      </c>
      <c r="FO249" s="35" t="s">
        <v>414</v>
      </c>
      <c r="FP249" s="35" t="s">
        <v>1074</v>
      </c>
      <c r="FQ249" s="35" t="s">
        <v>1200</v>
      </c>
      <c r="FR249" s="35" t="s">
        <v>419</v>
      </c>
      <c r="FT249" s="35" t="s">
        <v>1076</v>
      </c>
      <c r="FU249" s="35" t="s">
        <v>421</v>
      </c>
      <c r="FV249" s="35" t="s">
        <v>489</v>
      </c>
      <c r="FW249" s="35" t="s">
        <v>2387</v>
      </c>
      <c r="FX249" s="35" t="s">
        <v>1853</v>
      </c>
      <c r="FZ249" s="35" t="s">
        <v>1854</v>
      </c>
      <c r="GC249" s="35" t="s">
        <v>408</v>
      </c>
      <c r="GH249" s="35" t="s">
        <v>1000</v>
      </c>
      <c r="GI249" s="35" t="s">
        <v>1000</v>
      </c>
      <c r="GJ249" s="35" t="s">
        <v>756</v>
      </c>
      <c r="GR249" s="35" t="s">
        <v>3208</v>
      </c>
      <c r="GU249" s="35" t="s">
        <v>4774</v>
      </c>
      <c r="GW249" s="35" t="s">
        <v>5231</v>
      </c>
      <c r="GX249" s="35" t="s">
        <v>5232</v>
      </c>
      <c r="HD249" s="35" t="s">
        <v>5297</v>
      </c>
      <c r="HE249" s="35" t="s">
        <v>484</v>
      </c>
      <c r="HF249" s="35" t="s">
        <v>5320</v>
      </c>
      <c r="HG249" s="35" t="s">
        <v>5284</v>
      </c>
      <c r="HP249" s="35" t="s">
        <v>5346</v>
      </c>
      <c r="HQ249" s="35" t="s">
        <v>5302</v>
      </c>
      <c r="HR249" s="35" t="s">
        <v>5801</v>
      </c>
      <c r="HS249" s="35" t="s">
        <v>5239</v>
      </c>
      <c r="HX249" s="35" t="s">
        <v>6274</v>
      </c>
      <c r="MK249" s="35" t="s">
        <v>6321</v>
      </c>
    </row>
    <row r="250">
      <c r="A250" s="35" t="s">
        <v>11514</v>
      </c>
      <c r="B250" s="40">
        <v>45999.3960019213</v>
      </c>
      <c r="C250" s="35" t="s">
        <v>368</v>
      </c>
      <c r="D250" s="35" t="s">
        <v>370</v>
      </c>
      <c r="E250" s="35" t="s">
        <v>370</v>
      </c>
      <c r="F250" s="35" t="s">
        <v>371</v>
      </c>
      <c r="G250" s="35" t="s">
        <v>371</v>
      </c>
      <c r="H250" s="35" t="s">
        <v>1783</v>
      </c>
      <c r="I250" s="35" t="s">
        <v>373</v>
      </c>
      <c r="J250" s="35" t="s">
        <v>374</v>
      </c>
      <c r="K250" s="35" t="s">
        <v>718</v>
      </c>
      <c r="L250" s="35" t="s">
        <v>376</v>
      </c>
      <c r="M250" s="35" t="s">
        <v>379</v>
      </c>
      <c r="N250" s="35" t="s">
        <v>1442</v>
      </c>
      <c r="O250" s="35" t="s">
        <v>379</v>
      </c>
      <c r="P250" s="35" t="s">
        <v>497</v>
      </c>
      <c r="Q250" s="35" t="s">
        <v>381</v>
      </c>
      <c r="R250" s="35" t="s">
        <v>499</v>
      </c>
      <c r="S250" s="35" t="s">
        <v>427</v>
      </c>
      <c r="T250" s="35" t="s">
        <v>384</v>
      </c>
      <c r="U250" s="35" t="s">
        <v>385</v>
      </c>
      <c r="X250" s="35" t="s">
        <v>386</v>
      </c>
      <c r="Y250" s="35" t="s">
        <v>387</v>
      </c>
      <c r="Z250" s="35" t="s">
        <v>388</v>
      </c>
      <c r="AA250" s="35" t="s">
        <v>672</v>
      </c>
      <c r="AB250" s="35" t="s">
        <v>7994</v>
      </c>
      <c r="AC250" s="35" t="s">
        <v>4148</v>
      </c>
      <c r="AW250" s="35" t="s">
        <v>1310</v>
      </c>
      <c r="AX250" s="41">
        <v>4.0</v>
      </c>
      <c r="AY250" s="41">
        <v>4.0</v>
      </c>
      <c r="AZ250" s="41">
        <v>4.0</v>
      </c>
      <c r="BA250" s="35" t="s">
        <v>391</v>
      </c>
      <c r="BB250" s="41">
        <v>2.0</v>
      </c>
      <c r="BC250" s="35" t="s">
        <v>391</v>
      </c>
      <c r="BD250" s="35" t="s">
        <v>7995</v>
      </c>
      <c r="BE250" s="35" t="s">
        <v>7996</v>
      </c>
      <c r="BF250" s="35" t="s">
        <v>432</v>
      </c>
      <c r="BG250" s="35" t="s">
        <v>393</v>
      </c>
      <c r="BH250" s="35" t="s">
        <v>434</v>
      </c>
      <c r="BI250" s="35" t="s">
        <v>7997</v>
      </c>
      <c r="BJ250" s="35" t="s">
        <v>509</v>
      </c>
      <c r="BK250" s="35" t="s">
        <v>7998</v>
      </c>
      <c r="BL250" s="35" t="s">
        <v>681</v>
      </c>
      <c r="BM250" s="35" t="s">
        <v>438</v>
      </c>
      <c r="BN250" s="35" t="s">
        <v>1247</v>
      </c>
      <c r="BO250" s="35" t="s">
        <v>513</v>
      </c>
      <c r="CM250" s="35" t="s">
        <v>441</v>
      </c>
      <c r="CN250" s="35" t="s">
        <v>442</v>
      </c>
      <c r="CO250" s="35" t="s">
        <v>7999</v>
      </c>
      <c r="CP250" s="35" t="s">
        <v>8000</v>
      </c>
      <c r="CQ250" s="35" t="s">
        <v>445</v>
      </c>
      <c r="CR250" s="35" t="s">
        <v>8001</v>
      </c>
      <c r="CS250" s="35" t="s">
        <v>447</v>
      </c>
      <c r="CT250" s="35" t="s">
        <v>8002</v>
      </c>
      <c r="CU250" s="35" t="s">
        <v>8003</v>
      </c>
      <c r="CV250" s="35" t="s">
        <v>519</v>
      </c>
      <c r="CW250" s="35" t="s">
        <v>451</v>
      </c>
      <c r="CX250" s="35" t="s">
        <v>8004</v>
      </c>
      <c r="CY250" s="35" t="s">
        <v>455</v>
      </c>
      <c r="CZ250" s="35" t="s">
        <v>8005</v>
      </c>
      <c r="DA250" s="35" t="s">
        <v>985</v>
      </c>
      <c r="DB250" s="35" t="s">
        <v>8006</v>
      </c>
      <c r="DC250" s="35" t="s">
        <v>455</v>
      </c>
      <c r="DD250" s="35" t="s">
        <v>8007</v>
      </c>
      <c r="DE250" s="35" t="s">
        <v>988</v>
      </c>
      <c r="DH250" s="35" t="s">
        <v>776</v>
      </c>
      <c r="DI250" s="35" t="s">
        <v>410</v>
      </c>
      <c r="DJ250" s="35" t="s">
        <v>459</v>
      </c>
      <c r="DK250" s="35" t="s">
        <v>460</v>
      </c>
      <c r="DL250" s="35" t="s">
        <v>6335</v>
      </c>
      <c r="EU250" s="35" t="s">
        <v>578</v>
      </c>
      <c r="EV250" s="35" t="s">
        <v>887</v>
      </c>
      <c r="EW250" s="35" t="s">
        <v>527</v>
      </c>
      <c r="FA250" s="35" t="s">
        <v>583</v>
      </c>
      <c r="FB250" s="35" t="s">
        <v>583</v>
      </c>
      <c r="FC250" s="35" t="s">
        <v>416</v>
      </c>
      <c r="FD250" s="35" t="s">
        <v>583</v>
      </c>
      <c r="FE250" s="35" t="s">
        <v>416</v>
      </c>
      <c r="FF250" s="35" t="s">
        <v>583</v>
      </c>
      <c r="FG250" s="35" t="s">
        <v>583</v>
      </c>
      <c r="FH250" s="35" t="s">
        <v>413</v>
      </c>
      <c r="FI250" s="35" t="s">
        <v>583</v>
      </c>
      <c r="FJ250" s="35" t="s">
        <v>583</v>
      </c>
      <c r="FK250" s="35" t="s">
        <v>583</v>
      </c>
      <c r="FL250" s="35" t="s">
        <v>416</v>
      </c>
      <c r="FM250" s="35" t="s">
        <v>416</v>
      </c>
      <c r="FN250" s="35" t="s">
        <v>416</v>
      </c>
      <c r="FO250" s="35" t="s">
        <v>583</v>
      </c>
      <c r="FP250" s="35" t="s">
        <v>3396</v>
      </c>
      <c r="FQ250" s="35" t="s">
        <v>418</v>
      </c>
      <c r="FR250" s="35" t="s">
        <v>531</v>
      </c>
      <c r="FT250" s="35" t="s">
        <v>995</v>
      </c>
      <c r="FU250" s="35" t="s">
        <v>488</v>
      </c>
      <c r="FV250" s="35" t="s">
        <v>489</v>
      </c>
      <c r="FW250" s="35" t="s">
        <v>490</v>
      </c>
      <c r="FX250" s="35" t="s">
        <v>1853</v>
      </c>
      <c r="GC250" s="35" t="s">
        <v>455</v>
      </c>
      <c r="GH250" s="35" t="s">
        <v>755</v>
      </c>
      <c r="GI250" s="35" t="s">
        <v>755</v>
      </c>
      <c r="GJ250" s="35" t="s">
        <v>946</v>
      </c>
      <c r="GR250" s="35" t="s">
        <v>3208</v>
      </c>
      <c r="GU250" s="35" t="s">
        <v>4774</v>
      </c>
      <c r="GW250" s="35" t="s">
        <v>5381</v>
      </c>
      <c r="GX250" s="35" t="s">
        <v>5232</v>
      </c>
      <c r="HD250" s="35" t="s">
        <v>5297</v>
      </c>
      <c r="HE250" s="35" t="s">
        <v>5349</v>
      </c>
      <c r="HF250" s="35" t="s">
        <v>5320</v>
      </c>
      <c r="HG250" s="35" t="s">
        <v>5284</v>
      </c>
      <c r="HP250" s="35" t="s">
        <v>5236</v>
      </c>
      <c r="HQ250" s="35" t="s">
        <v>5264</v>
      </c>
      <c r="HR250" s="35" t="s">
        <v>5286</v>
      </c>
      <c r="HX250" s="35" t="s">
        <v>5578</v>
      </c>
      <c r="MK250" s="35" t="s">
        <v>6321</v>
      </c>
    </row>
    <row r="251">
      <c r="A251" s="35" t="s">
        <v>11515</v>
      </c>
      <c r="B251" s="40">
        <v>46001.23924292824</v>
      </c>
      <c r="C251" s="35" t="s">
        <v>368</v>
      </c>
      <c r="D251" s="35" t="s">
        <v>1341</v>
      </c>
      <c r="E251" s="35" t="s">
        <v>1341</v>
      </c>
      <c r="H251" s="35" t="s">
        <v>422</v>
      </c>
      <c r="I251" s="35" t="s">
        <v>496</v>
      </c>
      <c r="J251" s="35" t="s">
        <v>374</v>
      </c>
      <c r="K251" s="35" t="s">
        <v>375</v>
      </c>
      <c r="L251" s="35" t="s">
        <v>376</v>
      </c>
      <c r="M251" s="35" t="s">
        <v>377</v>
      </c>
      <c r="N251" s="35" t="s">
        <v>541</v>
      </c>
      <c r="O251" s="35" t="s">
        <v>379</v>
      </c>
      <c r="P251" s="35" t="s">
        <v>1024</v>
      </c>
      <c r="Q251" s="35" t="s">
        <v>1760</v>
      </c>
      <c r="R251" s="35" t="s">
        <v>499</v>
      </c>
      <c r="S251" s="35" t="s">
        <v>427</v>
      </c>
      <c r="T251" s="35" t="s">
        <v>384</v>
      </c>
      <c r="X251" s="35" t="s">
        <v>386</v>
      </c>
      <c r="Y251" s="35" t="s">
        <v>387</v>
      </c>
      <c r="Z251" s="35" t="s">
        <v>1444</v>
      </c>
      <c r="AA251" s="35" t="s">
        <v>389</v>
      </c>
      <c r="AW251" s="35" t="s">
        <v>390</v>
      </c>
      <c r="AX251" s="35" t="s">
        <v>391</v>
      </c>
      <c r="AY251" s="35" t="s">
        <v>391</v>
      </c>
      <c r="AZ251" s="41">
        <v>2.0</v>
      </c>
      <c r="BA251" s="35" t="s">
        <v>429</v>
      </c>
      <c r="BB251" s="35" t="s">
        <v>429</v>
      </c>
      <c r="BC251" s="41">
        <v>2.0</v>
      </c>
      <c r="BD251" s="35" t="s">
        <v>8008</v>
      </c>
      <c r="BE251" s="35" t="s">
        <v>8009</v>
      </c>
      <c r="BF251" s="35" t="s">
        <v>392</v>
      </c>
      <c r="BG251" s="35" t="s">
        <v>393</v>
      </c>
      <c r="BH251" s="35" t="s">
        <v>434</v>
      </c>
      <c r="BI251" s="35" t="s">
        <v>8010</v>
      </c>
      <c r="BJ251" s="35" t="s">
        <v>509</v>
      </c>
      <c r="BL251" s="35" t="s">
        <v>437</v>
      </c>
      <c r="BM251" s="35" t="s">
        <v>512</v>
      </c>
      <c r="BN251" s="35" t="s">
        <v>549</v>
      </c>
      <c r="BO251" s="35" t="s">
        <v>513</v>
      </c>
      <c r="CM251" s="35" t="s">
        <v>682</v>
      </c>
      <c r="CN251" s="35" t="s">
        <v>401</v>
      </c>
      <c r="CO251" s="35" t="s">
        <v>8011</v>
      </c>
      <c r="CP251" s="35" t="s">
        <v>8012</v>
      </c>
      <c r="CU251" s="35" t="s">
        <v>8013</v>
      </c>
      <c r="CV251" s="35" t="s">
        <v>450</v>
      </c>
      <c r="CW251" s="35" t="s">
        <v>959</v>
      </c>
      <c r="CY251" s="35" t="s">
        <v>408</v>
      </c>
      <c r="DA251" s="35" t="s">
        <v>985</v>
      </c>
      <c r="DB251" s="35" t="s">
        <v>8014</v>
      </c>
      <c r="DC251" s="35" t="s">
        <v>455</v>
      </c>
      <c r="DH251" s="35" t="s">
        <v>4899</v>
      </c>
      <c r="DI251" s="35" t="s">
        <v>1220</v>
      </c>
      <c r="DJ251" s="35" t="s">
        <v>1402</v>
      </c>
      <c r="DK251" s="35" t="s">
        <v>613</v>
      </c>
      <c r="EU251" s="35" t="s">
        <v>578</v>
      </c>
      <c r="EV251" s="35" t="s">
        <v>579</v>
      </c>
      <c r="EW251" s="35" t="s">
        <v>580</v>
      </c>
      <c r="EY251" s="35" t="s">
        <v>8015</v>
      </c>
      <c r="EZ251" s="35" t="s">
        <v>8016</v>
      </c>
      <c r="FA251" s="35" t="s">
        <v>414</v>
      </c>
      <c r="FB251" s="35" t="s">
        <v>414</v>
      </c>
      <c r="FC251" s="35" t="s">
        <v>413</v>
      </c>
      <c r="FD251" s="35" t="s">
        <v>414</v>
      </c>
      <c r="FE251" s="35" t="s">
        <v>416</v>
      </c>
      <c r="FF251" s="35" t="s">
        <v>414</v>
      </c>
      <c r="FG251" s="35" t="s">
        <v>414</v>
      </c>
      <c r="FH251" s="35" t="s">
        <v>414</v>
      </c>
      <c r="FI251" s="35" t="s">
        <v>416</v>
      </c>
      <c r="FJ251" s="35" t="s">
        <v>415</v>
      </c>
      <c r="FK251" s="35" t="s">
        <v>414</v>
      </c>
      <c r="FL251" s="35" t="s">
        <v>415</v>
      </c>
      <c r="FM251" s="35" t="s">
        <v>415</v>
      </c>
      <c r="FN251" s="35" t="s">
        <v>415</v>
      </c>
      <c r="FO251" s="35" t="s">
        <v>415</v>
      </c>
      <c r="FP251" s="35" t="s">
        <v>417</v>
      </c>
      <c r="FQ251" s="35" t="s">
        <v>486</v>
      </c>
      <c r="FR251" s="35" t="s">
        <v>419</v>
      </c>
      <c r="FS251" s="35" t="s">
        <v>8017</v>
      </c>
      <c r="FT251" s="35" t="s">
        <v>1076</v>
      </c>
      <c r="FU251" s="35" t="s">
        <v>1462</v>
      </c>
      <c r="FV251" s="35" t="s">
        <v>918</v>
      </c>
      <c r="FW251" s="35" t="s">
        <v>490</v>
      </c>
      <c r="FX251" s="35" t="s">
        <v>491</v>
      </c>
      <c r="FZ251" s="35" t="s">
        <v>493</v>
      </c>
      <c r="GA251" s="35" t="s">
        <v>8018</v>
      </c>
      <c r="GC251" s="35" t="s">
        <v>408</v>
      </c>
      <c r="GH251" s="35" t="s">
        <v>789</v>
      </c>
      <c r="GJ251" s="35" t="s">
        <v>921</v>
      </c>
      <c r="GR251" s="35" t="s">
        <v>3208</v>
      </c>
      <c r="GU251" s="35" t="s">
        <v>5039</v>
      </c>
      <c r="GW251" s="35" t="s">
        <v>5231</v>
      </c>
      <c r="GX251" s="35" t="s">
        <v>5261</v>
      </c>
      <c r="HP251" s="35" t="s">
        <v>5236</v>
      </c>
      <c r="HQ251" s="35" t="s">
        <v>5237</v>
      </c>
      <c r="HR251" s="35" t="s">
        <v>5238</v>
      </c>
      <c r="HS251" s="35" t="s">
        <v>8019</v>
      </c>
      <c r="HT251" s="35" t="s">
        <v>6534</v>
      </c>
      <c r="HV251" s="35" t="s">
        <v>7955</v>
      </c>
      <c r="HW251" s="35" t="s">
        <v>5918</v>
      </c>
      <c r="HY251" s="35" t="s">
        <v>5920</v>
      </c>
      <c r="HZ251" s="35" t="s">
        <v>5920</v>
      </c>
      <c r="IA251" s="35" t="s">
        <v>5921</v>
      </c>
      <c r="IB251" s="35" t="s">
        <v>5921</v>
      </c>
      <c r="IC251" s="35" t="s">
        <v>6464</v>
      </c>
      <c r="IE251" s="35" t="s">
        <v>6522</v>
      </c>
      <c r="IF251" s="35" t="s">
        <v>5989</v>
      </c>
      <c r="IG251" s="35" t="s">
        <v>5537</v>
      </c>
      <c r="IH251" s="35" t="s">
        <v>5989</v>
      </c>
      <c r="II251" s="35" t="s">
        <v>6522</v>
      </c>
      <c r="IJ251" s="35" t="s">
        <v>5537</v>
      </c>
      <c r="IK251" s="35" t="s">
        <v>8020</v>
      </c>
      <c r="IL251" s="35" t="s">
        <v>7126</v>
      </c>
      <c r="IM251" s="35" t="s">
        <v>8021</v>
      </c>
      <c r="MK251" s="35" t="s">
        <v>6321</v>
      </c>
    </row>
    <row r="252">
      <c r="A252" s="35" t="s">
        <v>11516</v>
      </c>
      <c r="B252" s="40">
        <v>46003.78513780092</v>
      </c>
      <c r="C252" s="35" t="s">
        <v>368</v>
      </c>
      <c r="D252" s="35" t="s">
        <v>370</v>
      </c>
      <c r="E252" s="35" t="s">
        <v>370</v>
      </c>
      <c r="F252" s="35" t="s">
        <v>6014</v>
      </c>
      <c r="G252" s="35" t="s">
        <v>371</v>
      </c>
      <c r="H252" s="35" t="s">
        <v>422</v>
      </c>
      <c r="I252" s="35" t="s">
        <v>373</v>
      </c>
      <c r="J252" s="35" t="s">
        <v>374</v>
      </c>
      <c r="K252" s="35" t="s">
        <v>425</v>
      </c>
      <c r="L252" s="35" t="s">
        <v>376</v>
      </c>
      <c r="M252" s="35" t="s">
        <v>793</v>
      </c>
      <c r="N252" s="35" t="s">
        <v>639</v>
      </c>
      <c r="O252" s="35" t="s">
        <v>426</v>
      </c>
      <c r="P252" s="35" t="s">
        <v>2464</v>
      </c>
      <c r="Q252" s="35" t="s">
        <v>592</v>
      </c>
      <c r="R252" s="35" t="s">
        <v>382</v>
      </c>
      <c r="S252" s="35" t="s">
        <v>427</v>
      </c>
      <c r="T252" s="35" t="s">
        <v>384</v>
      </c>
      <c r="U252" s="35" t="s">
        <v>385</v>
      </c>
      <c r="X252" s="35" t="s">
        <v>3231</v>
      </c>
      <c r="AW252" s="35" t="s">
        <v>504</v>
      </c>
      <c r="AX252" s="35" t="s">
        <v>429</v>
      </c>
      <c r="AY252" s="35" t="s">
        <v>429</v>
      </c>
      <c r="AZ252" s="35" t="s">
        <v>429</v>
      </c>
      <c r="BA252" s="35" t="s">
        <v>429</v>
      </c>
      <c r="BB252" s="35" t="s">
        <v>429</v>
      </c>
      <c r="BC252" s="35" t="s">
        <v>429</v>
      </c>
      <c r="BD252" s="35" t="s">
        <v>8022</v>
      </c>
      <c r="BE252" s="35" t="s">
        <v>8023</v>
      </c>
      <c r="BF252" s="35" t="s">
        <v>392</v>
      </c>
      <c r="BG252" s="35" t="s">
        <v>433</v>
      </c>
      <c r="BH252" s="35" t="s">
        <v>434</v>
      </c>
      <c r="BI252" s="35" t="s">
        <v>8024</v>
      </c>
      <c r="BJ252" s="35" t="s">
        <v>435</v>
      </c>
      <c r="BL252" s="35" t="s">
        <v>437</v>
      </c>
      <c r="BM252" s="35" t="s">
        <v>904</v>
      </c>
      <c r="BN252" s="35" t="s">
        <v>439</v>
      </c>
      <c r="BO252" s="35" t="s">
        <v>513</v>
      </c>
      <c r="CM252" s="35" t="s">
        <v>441</v>
      </c>
      <c r="CN252" s="35" t="s">
        <v>682</v>
      </c>
      <c r="CO252" s="35" t="s">
        <v>8025</v>
      </c>
      <c r="CP252" s="35" t="s">
        <v>8026</v>
      </c>
      <c r="CQ252" s="35" t="s">
        <v>445</v>
      </c>
      <c r="CR252" s="35" t="s">
        <v>8027</v>
      </c>
      <c r="CS252" s="35" t="s">
        <v>447</v>
      </c>
      <c r="CT252" s="35" t="s">
        <v>8028</v>
      </c>
      <c r="CU252" s="35" t="s">
        <v>8029</v>
      </c>
      <c r="CV252" s="35" t="s">
        <v>450</v>
      </c>
      <c r="CW252" s="35" t="s">
        <v>451</v>
      </c>
      <c r="CX252" s="35" t="s">
        <v>1604</v>
      </c>
      <c r="CY252" s="35" t="s">
        <v>408</v>
      </c>
      <c r="DA252" s="35" t="s">
        <v>453</v>
      </c>
      <c r="DB252" s="35" t="s">
        <v>8030</v>
      </c>
      <c r="DC252" s="35" t="s">
        <v>455</v>
      </c>
      <c r="DE252" s="35" t="s">
        <v>662</v>
      </c>
      <c r="DG252" s="35" t="s">
        <v>8031</v>
      </c>
      <c r="DH252" s="35" t="s">
        <v>524</v>
      </c>
      <c r="DI252" s="35" t="s">
        <v>410</v>
      </c>
      <c r="DJ252" s="35" t="s">
        <v>777</v>
      </c>
      <c r="DK252" s="35" t="s">
        <v>460</v>
      </c>
      <c r="DL252" s="35" t="s">
        <v>1434</v>
      </c>
      <c r="EU252" s="35" t="s">
        <v>526</v>
      </c>
      <c r="EV252" s="35" t="s">
        <v>579</v>
      </c>
      <c r="EW252" s="35" t="s">
        <v>778</v>
      </c>
      <c r="EX252" s="35" t="s">
        <v>8032</v>
      </c>
      <c r="EY252" s="35" t="s">
        <v>8033</v>
      </c>
      <c r="EZ252" s="35" t="s">
        <v>8034</v>
      </c>
      <c r="FA252" s="35" t="s">
        <v>413</v>
      </c>
      <c r="FB252" s="35" t="s">
        <v>413</v>
      </c>
      <c r="FC252" s="35" t="s">
        <v>413</v>
      </c>
      <c r="FD252" s="35" t="s">
        <v>413</v>
      </c>
      <c r="FE252" s="35" t="s">
        <v>413</v>
      </c>
      <c r="FF252" s="35" t="s">
        <v>413</v>
      </c>
      <c r="FG252" s="35" t="s">
        <v>413</v>
      </c>
      <c r="FH252" s="35" t="s">
        <v>413</v>
      </c>
      <c r="FI252" s="35" t="s">
        <v>413</v>
      </c>
      <c r="FJ252" s="35" t="s">
        <v>413</v>
      </c>
      <c r="FK252" s="35" t="s">
        <v>413</v>
      </c>
      <c r="FL252" s="35" t="s">
        <v>413</v>
      </c>
      <c r="FM252" s="35" t="s">
        <v>413</v>
      </c>
      <c r="FN252" s="35" t="s">
        <v>583</v>
      </c>
      <c r="FO252" s="35" t="s">
        <v>413</v>
      </c>
      <c r="FP252" s="35" t="s">
        <v>417</v>
      </c>
      <c r="FQ252" s="35" t="s">
        <v>418</v>
      </c>
      <c r="FR252" s="35" t="s">
        <v>531</v>
      </c>
      <c r="FS252" s="35" t="s">
        <v>8035</v>
      </c>
      <c r="FT252" s="35" t="s">
        <v>420</v>
      </c>
      <c r="FU252" s="35" t="s">
        <v>488</v>
      </c>
      <c r="FV252" s="35" t="s">
        <v>585</v>
      </c>
      <c r="FW252" s="35" t="s">
        <v>490</v>
      </c>
      <c r="FX252" s="35" t="s">
        <v>491</v>
      </c>
      <c r="FY252" s="35" t="s">
        <v>8036</v>
      </c>
      <c r="FZ252" s="35" t="s">
        <v>535</v>
      </c>
      <c r="GA252" s="35" t="s">
        <v>8037</v>
      </c>
      <c r="GC252" s="35" t="s">
        <v>455</v>
      </c>
      <c r="GH252" s="35" t="s">
        <v>755</v>
      </c>
      <c r="GI252" s="35" t="s">
        <v>755</v>
      </c>
      <c r="GJ252" s="35" t="s">
        <v>946</v>
      </c>
      <c r="GQ252" s="35" t="s">
        <v>387</v>
      </c>
      <c r="GR252" s="35" t="s">
        <v>3273</v>
      </c>
      <c r="GU252" s="35" t="s">
        <v>5318</v>
      </c>
      <c r="GW252" s="35" t="s">
        <v>5231</v>
      </c>
      <c r="GX252" s="35" t="s">
        <v>5232</v>
      </c>
      <c r="HD252" s="35" t="s">
        <v>5281</v>
      </c>
      <c r="HE252" s="35" t="s">
        <v>5282</v>
      </c>
      <c r="HF252" s="35" t="s">
        <v>5299</v>
      </c>
      <c r="HG252" s="35" t="s">
        <v>5284</v>
      </c>
      <c r="HP252" s="35" t="s">
        <v>5301</v>
      </c>
      <c r="HQ252" s="35" t="s">
        <v>5237</v>
      </c>
      <c r="HR252" s="35" t="s">
        <v>5238</v>
      </c>
      <c r="HS252" s="35" t="s">
        <v>8038</v>
      </c>
      <c r="HX252" s="35" t="s">
        <v>8039</v>
      </c>
      <c r="MK252" s="35" t="s">
        <v>6321</v>
      </c>
    </row>
    <row r="253">
      <c r="A253" s="35" t="s">
        <v>11517</v>
      </c>
      <c r="B253" s="40">
        <v>46009.5123213426</v>
      </c>
      <c r="C253" s="35" t="s">
        <v>368</v>
      </c>
      <c r="D253" s="35" t="s">
        <v>370</v>
      </c>
      <c r="E253" s="35" t="s">
        <v>370</v>
      </c>
      <c r="F253" s="35" t="s">
        <v>1510</v>
      </c>
      <c r="G253" s="35" t="s">
        <v>6716</v>
      </c>
      <c r="H253" s="35" t="s">
        <v>422</v>
      </c>
      <c r="I253" s="35" t="s">
        <v>1307</v>
      </c>
      <c r="J253" s="35" t="s">
        <v>668</v>
      </c>
      <c r="K253" s="35" t="s">
        <v>375</v>
      </c>
      <c r="L253" s="35" t="s">
        <v>376</v>
      </c>
      <c r="M253" s="35" t="s">
        <v>379</v>
      </c>
      <c r="N253" s="35" t="s">
        <v>378</v>
      </c>
      <c r="O253" s="35" t="s">
        <v>426</v>
      </c>
      <c r="P253" s="35" t="s">
        <v>497</v>
      </c>
      <c r="Q253" s="35" t="s">
        <v>592</v>
      </c>
      <c r="R253" s="35" t="s">
        <v>1156</v>
      </c>
      <c r="S253" s="35" t="s">
        <v>427</v>
      </c>
      <c r="T253" s="35" t="s">
        <v>384</v>
      </c>
      <c r="U253" s="35" t="s">
        <v>385</v>
      </c>
      <c r="X253" s="35" t="s">
        <v>593</v>
      </c>
      <c r="Y253" s="35" t="s">
        <v>387</v>
      </c>
      <c r="Z253" s="35" t="s">
        <v>761</v>
      </c>
      <c r="AA253" s="35" t="s">
        <v>543</v>
      </c>
      <c r="AB253" s="35" t="s">
        <v>8040</v>
      </c>
      <c r="AC253" s="35" t="s">
        <v>8041</v>
      </c>
      <c r="AW253" s="35" t="s">
        <v>390</v>
      </c>
      <c r="AX253" s="35" t="s">
        <v>391</v>
      </c>
      <c r="AY253" s="35" t="s">
        <v>391</v>
      </c>
      <c r="AZ253" s="35" t="s">
        <v>391</v>
      </c>
      <c r="BA253" s="41">
        <v>4.0</v>
      </c>
      <c r="BB253" s="41">
        <v>2.0</v>
      </c>
      <c r="BC253" s="41">
        <v>2.0</v>
      </c>
      <c r="BD253" s="35" t="s">
        <v>8042</v>
      </c>
      <c r="BE253" s="35" t="s">
        <v>8043</v>
      </c>
      <c r="BF253" s="35" t="s">
        <v>2259</v>
      </c>
      <c r="BG253" s="35" t="s">
        <v>433</v>
      </c>
      <c r="BH253" s="35" t="s">
        <v>725</v>
      </c>
      <c r="BI253" s="35" t="s">
        <v>8044</v>
      </c>
      <c r="BJ253" s="35" t="s">
        <v>509</v>
      </c>
      <c r="BK253" s="35" t="s">
        <v>8045</v>
      </c>
      <c r="BL253" s="35" t="s">
        <v>511</v>
      </c>
      <c r="BM253" s="35" t="s">
        <v>512</v>
      </c>
      <c r="BN253" s="35" t="s">
        <v>549</v>
      </c>
      <c r="BO253" s="35" t="s">
        <v>513</v>
      </c>
      <c r="CM253" s="35" t="s">
        <v>441</v>
      </c>
      <c r="CN253" s="35" t="s">
        <v>442</v>
      </c>
      <c r="CO253" s="35" t="s">
        <v>8046</v>
      </c>
      <c r="CP253" s="35" t="s">
        <v>8047</v>
      </c>
      <c r="CQ253" s="35" t="s">
        <v>1008</v>
      </c>
      <c r="CR253" s="35" t="s">
        <v>5701</v>
      </c>
      <c r="CS253" s="35" t="s">
        <v>804</v>
      </c>
      <c r="CT253" s="35" t="s">
        <v>6081</v>
      </c>
      <c r="CU253" s="35" t="s">
        <v>8048</v>
      </c>
      <c r="CV253" s="35" t="s">
        <v>519</v>
      </c>
      <c r="CW253" s="35" t="s">
        <v>451</v>
      </c>
      <c r="CX253" s="35" t="s">
        <v>8049</v>
      </c>
      <c r="CY253" s="35" t="s">
        <v>408</v>
      </c>
      <c r="DA253" s="35" t="s">
        <v>453</v>
      </c>
      <c r="DB253" s="35" t="s">
        <v>8050</v>
      </c>
      <c r="DC253" s="35" t="s">
        <v>408</v>
      </c>
      <c r="DE253" s="35" t="s">
        <v>988</v>
      </c>
      <c r="DF253" s="35" t="s">
        <v>1368</v>
      </c>
      <c r="DG253" s="35" t="s">
        <v>8051</v>
      </c>
      <c r="DH253" s="35" t="s">
        <v>561</v>
      </c>
      <c r="DI253" s="35" t="s">
        <v>410</v>
      </c>
      <c r="DJ253" s="35" t="s">
        <v>963</v>
      </c>
      <c r="DK253" s="35" t="s">
        <v>460</v>
      </c>
      <c r="DL253" s="35" t="s">
        <v>6335</v>
      </c>
      <c r="EU253" s="35" t="s">
        <v>526</v>
      </c>
      <c r="EV253" s="35" t="s">
        <v>887</v>
      </c>
      <c r="EW253" s="35" t="s">
        <v>527</v>
      </c>
      <c r="EX253" s="35" t="s">
        <v>8052</v>
      </c>
      <c r="EY253" s="35" t="s">
        <v>8053</v>
      </c>
      <c r="EZ253" s="35" t="s">
        <v>8054</v>
      </c>
      <c r="FA253" s="35" t="s">
        <v>413</v>
      </c>
      <c r="FB253" s="35" t="s">
        <v>415</v>
      </c>
      <c r="FC253" s="35" t="s">
        <v>413</v>
      </c>
      <c r="FD253" s="35" t="s">
        <v>413</v>
      </c>
      <c r="FE253" s="35" t="s">
        <v>415</v>
      </c>
      <c r="FF253" s="35" t="s">
        <v>415</v>
      </c>
      <c r="FG253" s="35" t="s">
        <v>413</v>
      </c>
      <c r="FH253" s="35" t="s">
        <v>413</v>
      </c>
      <c r="FI253" s="35" t="s">
        <v>413</v>
      </c>
      <c r="FJ253" s="35" t="s">
        <v>415</v>
      </c>
      <c r="FK253" s="35" t="s">
        <v>415</v>
      </c>
      <c r="FL253" s="35" t="s">
        <v>413</v>
      </c>
      <c r="FM253" s="35" t="s">
        <v>413</v>
      </c>
      <c r="FN253" s="35" t="s">
        <v>413</v>
      </c>
      <c r="FO253" s="35" t="s">
        <v>413</v>
      </c>
      <c r="FP253" s="35" t="s">
        <v>485</v>
      </c>
      <c r="FQ253" s="35" t="s">
        <v>418</v>
      </c>
      <c r="FR253" s="35" t="s">
        <v>419</v>
      </c>
      <c r="FS253" s="35" t="s">
        <v>8055</v>
      </c>
      <c r="FT253" s="35" t="s">
        <v>420</v>
      </c>
      <c r="FU253" s="35" t="s">
        <v>488</v>
      </c>
      <c r="FV253" s="35" t="s">
        <v>918</v>
      </c>
      <c r="FW253" s="35" t="s">
        <v>490</v>
      </c>
      <c r="FX253" s="35" t="s">
        <v>491</v>
      </c>
      <c r="FY253" s="35" t="s">
        <v>8056</v>
      </c>
      <c r="FZ253" s="35" t="s">
        <v>535</v>
      </c>
      <c r="GA253" s="35" t="s">
        <v>8057</v>
      </c>
      <c r="GC253" s="35" t="s">
        <v>408</v>
      </c>
      <c r="GH253" s="35" t="s">
        <v>1000</v>
      </c>
      <c r="GI253" s="35" t="s">
        <v>755</v>
      </c>
      <c r="GJ253" s="35" t="s">
        <v>817</v>
      </c>
      <c r="GR253" s="35" t="s">
        <v>5656</v>
      </c>
      <c r="GU253" s="35" t="s">
        <v>4774</v>
      </c>
      <c r="GW253" s="35" t="s">
        <v>5231</v>
      </c>
      <c r="GX253" s="35" t="s">
        <v>5232</v>
      </c>
      <c r="HD253" s="35" t="s">
        <v>6053</v>
      </c>
      <c r="HE253" s="35" t="s">
        <v>5282</v>
      </c>
      <c r="HF253" s="35" t="s">
        <v>5320</v>
      </c>
      <c r="HG253" s="35" t="s">
        <v>5493</v>
      </c>
      <c r="HP253" s="35" t="s">
        <v>5236</v>
      </c>
      <c r="HQ253" s="35" t="s">
        <v>5264</v>
      </c>
      <c r="HR253" s="35" t="s">
        <v>5238</v>
      </c>
      <c r="HS253" s="35" t="s">
        <v>5321</v>
      </c>
      <c r="HX253" s="35" t="s">
        <v>6274</v>
      </c>
      <c r="MK253" s="35" t="s">
        <v>6321</v>
      </c>
    </row>
    <row r="254">
      <c r="A254" s="35" t="s">
        <v>11518</v>
      </c>
      <c r="B254" s="40">
        <v>46012.99766703704</v>
      </c>
      <c r="C254" s="35" t="s">
        <v>368</v>
      </c>
      <c r="D254" s="35" t="s">
        <v>370</v>
      </c>
      <c r="E254" s="35" t="s">
        <v>370</v>
      </c>
      <c r="F254" s="35" t="s">
        <v>2620</v>
      </c>
      <c r="G254" s="35" t="s">
        <v>371</v>
      </c>
      <c r="H254" s="35" t="s">
        <v>422</v>
      </c>
      <c r="I254" s="35" t="s">
        <v>496</v>
      </c>
      <c r="J254" s="35" t="s">
        <v>374</v>
      </c>
      <c r="K254" s="35" t="s">
        <v>375</v>
      </c>
      <c r="L254" s="35" t="s">
        <v>376</v>
      </c>
      <c r="M254" s="35" t="s">
        <v>379</v>
      </c>
      <c r="N254" s="35" t="s">
        <v>378</v>
      </c>
      <c r="O254" s="35" t="s">
        <v>426</v>
      </c>
      <c r="P254" s="35" t="s">
        <v>640</v>
      </c>
      <c r="Q254" s="35" t="s">
        <v>592</v>
      </c>
      <c r="R254" s="35" t="s">
        <v>382</v>
      </c>
      <c r="S254" s="35" t="s">
        <v>427</v>
      </c>
      <c r="T254" s="35" t="s">
        <v>384</v>
      </c>
      <c r="U254" s="35" t="s">
        <v>385</v>
      </c>
      <c r="X254" s="35" t="s">
        <v>3014</v>
      </c>
      <c r="AW254" s="35" t="s">
        <v>390</v>
      </c>
      <c r="AX254" s="41">
        <v>2.0</v>
      </c>
      <c r="AY254" s="41">
        <v>2.0</v>
      </c>
      <c r="AZ254" s="41">
        <v>2.0</v>
      </c>
      <c r="BA254" s="41">
        <v>2.0</v>
      </c>
      <c r="BB254" s="41">
        <v>2.0</v>
      </c>
      <c r="BC254" s="41">
        <v>2.0</v>
      </c>
      <c r="BD254" s="35" t="s">
        <v>8093</v>
      </c>
      <c r="BE254" s="35" t="s">
        <v>8094</v>
      </c>
      <c r="BF254" s="35" t="s">
        <v>392</v>
      </c>
      <c r="BG254" s="35" t="s">
        <v>433</v>
      </c>
      <c r="BH254" s="35" t="s">
        <v>394</v>
      </c>
      <c r="BI254" s="35" t="s">
        <v>2675</v>
      </c>
      <c r="BJ254" s="35" t="s">
        <v>976</v>
      </c>
      <c r="BK254" s="35" t="s">
        <v>8095</v>
      </c>
      <c r="BL254" s="35" t="s">
        <v>437</v>
      </c>
      <c r="BM254" s="35" t="s">
        <v>603</v>
      </c>
      <c r="BN254" s="35" t="s">
        <v>549</v>
      </c>
      <c r="BO254" s="35" t="s">
        <v>513</v>
      </c>
      <c r="CM254" s="35" t="s">
        <v>441</v>
      </c>
      <c r="CN254" s="35" t="s">
        <v>682</v>
      </c>
      <c r="CO254" s="35" t="s">
        <v>6270</v>
      </c>
      <c r="CP254" s="35" t="s">
        <v>8096</v>
      </c>
      <c r="CQ254" s="35" t="s">
        <v>685</v>
      </c>
      <c r="CR254" s="35" t="s">
        <v>8097</v>
      </c>
      <c r="CS254" s="35" t="s">
        <v>804</v>
      </c>
      <c r="CT254" s="35" t="s">
        <v>8098</v>
      </c>
      <c r="CU254" s="35" t="s">
        <v>8099</v>
      </c>
      <c r="CV254" s="35" t="s">
        <v>450</v>
      </c>
      <c r="CW254" s="35" t="s">
        <v>451</v>
      </c>
      <c r="CX254" s="35" t="s">
        <v>8100</v>
      </c>
      <c r="CY254" s="35" t="s">
        <v>408</v>
      </c>
      <c r="DA254" s="35" t="s">
        <v>985</v>
      </c>
      <c r="DB254" s="35" t="s">
        <v>8101</v>
      </c>
      <c r="DC254" s="35" t="s">
        <v>913</v>
      </c>
      <c r="DD254" s="35" t="s">
        <v>8102</v>
      </c>
      <c r="DE254" s="35" t="s">
        <v>457</v>
      </c>
      <c r="DG254" s="35" t="s">
        <v>8103</v>
      </c>
      <c r="DH254" s="35" t="s">
        <v>524</v>
      </c>
      <c r="DI254" s="35" t="s">
        <v>1220</v>
      </c>
      <c r="DJ254" s="35" t="s">
        <v>459</v>
      </c>
      <c r="DK254" s="35" t="s">
        <v>460</v>
      </c>
      <c r="DL254" s="35" t="s">
        <v>6335</v>
      </c>
      <c r="EU254" s="35" t="s">
        <v>478</v>
      </c>
      <c r="EV254" s="35" t="s">
        <v>887</v>
      </c>
      <c r="EW254" s="35" t="s">
        <v>527</v>
      </c>
      <c r="EX254" s="35" t="s">
        <v>8104</v>
      </c>
      <c r="EY254" s="35" t="s">
        <v>8105</v>
      </c>
      <c r="EZ254" s="35" t="s">
        <v>8106</v>
      </c>
      <c r="FA254" s="35" t="s">
        <v>414</v>
      </c>
      <c r="FB254" s="35" t="s">
        <v>414</v>
      </c>
      <c r="FC254" s="35" t="s">
        <v>415</v>
      </c>
      <c r="FD254" s="35" t="s">
        <v>414</v>
      </c>
      <c r="FE254" s="35" t="s">
        <v>416</v>
      </c>
      <c r="FF254" s="35" t="s">
        <v>583</v>
      </c>
      <c r="FG254" s="35" t="s">
        <v>484</v>
      </c>
      <c r="FH254" s="35" t="s">
        <v>484</v>
      </c>
      <c r="FI254" s="35" t="s">
        <v>414</v>
      </c>
      <c r="FJ254" s="35" t="s">
        <v>414</v>
      </c>
      <c r="FK254" s="35" t="s">
        <v>414</v>
      </c>
      <c r="FL254" s="35" t="s">
        <v>484</v>
      </c>
      <c r="FM254" s="35" t="s">
        <v>414</v>
      </c>
      <c r="FN254" s="35" t="s">
        <v>416</v>
      </c>
      <c r="FO254" s="35" t="s">
        <v>415</v>
      </c>
      <c r="FP254" s="35" t="s">
        <v>850</v>
      </c>
      <c r="FQ254" s="35" t="s">
        <v>418</v>
      </c>
      <c r="FR254" s="35" t="s">
        <v>419</v>
      </c>
      <c r="FS254" s="35" t="s">
        <v>8107</v>
      </c>
      <c r="FT254" s="35" t="s">
        <v>420</v>
      </c>
      <c r="FU254" s="35" t="s">
        <v>488</v>
      </c>
      <c r="FV254" s="35" t="s">
        <v>489</v>
      </c>
      <c r="FW254" s="35" t="s">
        <v>490</v>
      </c>
      <c r="FX254" s="35" t="s">
        <v>491</v>
      </c>
      <c r="FY254" s="35" t="s">
        <v>8108</v>
      </c>
      <c r="FZ254" s="35" t="s">
        <v>535</v>
      </c>
      <c r="GA254" s="35" t="s">
        <v>8109</v>
      </c>
      <c r="GB254" s="35" t="s">
        <v>8110</v>
      </c>
      <c r="GC254" s="35" t="s">
        <v>455</v>
      </c>
      <c r="GE254" s="42" t="s">
        <v>8111</v>
      </c>
      <c r="GF254" s="35" t="s">
        <v>1339</v>
      </c>
      <c r="GG254" s="35" t="s">
        <v>8112</v>
      </c>
      <c r="GH254" s="35" t="s">
        <v>857</v>
      </c>
      <c r="GI254" s="35" t="s">
        <v>857</v>
      </c>
      <c r="GJ254" s="35" t="s">
        <v>756</v>
      </c>
      <c r="GR254" s="35" t="s">
        <v>8113</v>
      </c>
      <c r="GU254" s="35" t="s">
        <v>4774</v>
      </c>
      <c r="GW254" s="35" t="s">
        <v>6434</v>
      </c>
      <c r="GX254" s="35" t="s">
        <v>5232</v>
      </c>
      <c r="HD254" s="35" t="s">
        <v>5297</v>
      </c>
      <c r="HE254" s="35" t="s">
        <v>5282</v>
      </c>
      <c r="HF254" s="35" t="s">
        <v>5320</v>
      </c>
      <c r="HG254" s="35" t="s">
        <v>5899</v>
      </c>
      <c r="HP254" s="35" t="s">
        <v>5383</v>
      </c>
      <c r="HQ254" s="35" t="s">
        <v>5264</v>
      </c>
      <c r="HR254" s="35" t="s">
        <v>5238</v>
      </c>
      <c r="HS254" s="35" t="s">
        <v>5321</v>
      </c>
      <c r="HX254" s="35" t="s">
        <v>5628</v>
      </c>
      <c r="MK254" s="35" t="s">
        <v>6321</v>
      </c>
    </row>
    <row r="255">
      <c r="A255" s="35" t="s">
        <v>11519</v>
      </c>
      <c r="B255" s="40">
        <v>46019.43110707176</v>
      </c>
      <c r="C255" s="35" t="s">
        <v>368</v>
      </c>
      <c r="D255" s="35" t="s">
        <v>370</v>
      </c>
      <c r="E255" s="35" t="s">
        <v>370</v>
      </c>
      <c r="F255" s="35" t="s">
        <v>1875</v>
      </c>
      <c r="G255" s="35" t="s">
        <v>1023</v>
      </c>
      <c r="H255" s="35" t="s">
        <v>422</v>
      </c>
      <c r="I255" s="35" t="s">
        <v>373</v>
      </c>
      <c r="J255" s="35" t="s">
        <v>374</v>
      </c>
      <c r="K255" s="35" t="s">
        <v>375</v>
      </c>
      <c r="L255" s="35" t="s">
        <v>376</v>
      </c>
      <c r="M255" s="35" t="s">
        <v>379</v>
      </c>
      <c r="N255" s="35" t="s">
        <v>541</v>
      </c>
      <c r="O255" s="35" t="s">
        <v>426</v>
      </c>
      <c r="P255" s="35" t="s">
        <v>497</v>
      </c>
      <c r="Q255" s="35" t="s">
        <v>381</v>
      </c>
      <c r="R255" s="35" t="s">
        <v>382</v>
      </c>
      <c r="S255" s="35" t="s">
        <v>427</v>
      </c>
      <c r="T255" s="35" t="s">
        <v>384</v>
      </c>
      <c r="U255" s="35" t="s">
        <v>385</v>
      </c>
      <c r="X255" s="35" t="s">
        <v>386</v>
      </c>
      <c r="Y255" s="35" t="s">
        <v>387</v>
      </c>
      <c r="Z255" s="35" t="s">
        <v>594</v>
      </c>
      <c r="AA255" s="35" t="s">
        <v>543</v>
      </c>
      <c r="AC255" s="35" t="s">
        <v>8114</v>
      </c>
      <c r="AW255" s="35" t="s">
        <v>504</v>
      </c>
      <c r="AX255" s="35" t="s">
        <v>429</v>
      </c>
      <c r="AY255" s="35" t="s">
        <v>429</v>
      </c>
      <c r="AZ255" s="35" t="s">
        <v>429</v>
      </c>
      <c r="BA255" s="35" t="s">
        <v>429</v>
      </c>
      <c r="BB255" s="35" t="s">
        <v>429</v>
      </c>
      <c r="BC255" s="35" t="s">
        <v>429</v>
      </c>
      <c r="BD255" s="35" t="s">
        <v>8115</v>
      </c>
      <c r="BE255" s="35" t="s">
        <v>8116</v>
      </c>
      <c r="BF255" s="35" t="s">
        <v>392</v>
      </c>
      <c r="BG255" s="35" t="s">
        <v>433</v>
      </c>
      <c r="BH255" s="35" t="s">
        <v>678</v>
      </c>
      <c r="BJ255" s="35" t="s">
        <v>509</v>
      </c>
      <c r="BL255" s="35" t="s">
        <v>511</v>
      </c>
      <c r="BM255" s="35" t="s">
        <v>438</v>
      </c>
      <c r="BN255" s="35" t="s">
        <v>439</v>
      </c>
      <c r="BO255" s="35" t="s">
        <v>513</v>
      </c>
      <c r="CM255" s="35" t="s">
        <v>441</v>
      </c>
      <c r="CN255" s="35" t="s">
        <v>401</v>
      </c>
      <c r="CO255" s="35" t="s">
        <v>552</v>
      </c>
      <c r="CP255" s="35" t="s">
        <v>8117</v>
      </c>
      <c r="CQ255" s="35" t="s">
        <v>1008</v>
      </c>
      <c r="CR255" s="35" t="s">
        <v>8118</v>
      </c>
      <c r="CS255" s="35" t="s">
        <v>404</v>
      </c>
      <c r="CT255" s="35" t="s">
        <v>8119</v>
      </c>
      <c r="CU255" s="35" t="s">
        <v>8120</v>
      </c>
      <c r="CV255" s="35" t="s">
        <v>450</v>
      </c>
      <c r="CW255" s="35" t="s">
        <v>451</v>
      </c>
      <c r="CX255" s="35" t="s">
        <v>8121</v>
      </c>
      <c r="CY255" s="35" t="s">
        <v>733</v>
      </c>
      <c r="DA255" s="35" t="s">
        <v>453</v>
      </c>
      <c r="DB255" s="35" t="s">
        <v>8122</v>
      </c>
      <c r="DC255" s="35" t="s">
        <v>455</v>
      </c>
      <c r="DD255" s="35" t="s">
        <v>8123</v>
      </c>
      <c r="DE255" s="35" t="s">
        <v>988</v>
      </c>
      <c r="DF255" s="35" t="s">
        <v>407</v>
      </c>
      <c r="DG255" s="35" t="s">
        <v>8124</v>
      </c>
      <c r="DH255" s="35" t="s">
        <v>524</v>
      </c>
      <c r="DI255" s="35" t="s">
        <v>410</v>
      </c>
      <c r="DJ255" s="35" t="s">
        <v>459</v>
      </c>
      <c r="DK255" s="35" t="s">
        <v>460</v>
      </c>
      <c r="DL255" s="35" t="s">
        <v>6335</v>
      </c>
      <c r="EU255" s="35" t="s">
        <v>526</v>
      </c>
      <c r="EV255" s="35" t="s">
        <v>1037</v>
      </c>
      <c r="EW255" s="35" t="s">
        <v>580</v>
      </c>
      <c r="FA255" s="35" t="s">
        <v>413</v>
      </c>
      <c r="FB255" s="35" t="s">
        <v>415</v>
      </c>
      <c r="FC255" s="35" t="s">
        <v>413</v>
      </c>
      <c r="FD255" s="35" t="s">
        <v>413</v>
      </c>
      <c r="FE255" s="35" t="s">
        <v>413</v>
      </c>
      <c r="FF255" s="35" t="s">
        <v>414</v>
      </c>
      <c r="FG255" s="35" t="s">
        <v>413</v>
      </c>
      <c r="FH255" s="35" t="s">
        <v>413</v>
      </c>
      <c r="FI255" s="35" t="s">
        <v>583</v>
      </c>
      <c r="FJ255" s="35" t="s">
        <v>415</v>
      </c>
      <c r="FK255" s="35" t="s">
        <v>413</v>
      </c>
      <c r="FL255" s="35" t="s">
        <v>413</v>
      </c>
      <c r="FM255" s="35" t="s">
        <v>413</v>
      </c>
      <c r="FN255" s="35" t="s">
        <v>413</v>
      </c>
      <c r="FO255" s="35" t="s">
        <v>583</v>
      </c>
      <c r="FP255" s="35" t="s">
        <v>417</v>
      </c>
      <c r="FQ255" s="35" t="s">
        <v>486</v>
      </c>
      <c r="FR255" s="35" t="s">
        <v>712</v>
      </c>
      <c r="FT255" s="35" t="s">
        <v>420</v>
      </c>
      <c r="FU255" s="35" t="s">
        <v>488</v>
      </c>
      <c r="FV255" s="35" t="s">
        <v>918</v>
      </c>
      <c r="FW255" s="35" t="s">
        <v>490</v>
      </c>
      <c r="FX255" s="35" t="s">
        <v>491</v>
      </c>
      <c r="FY255" s="35" t="s">
        <v>8125</v>
      </c>
      <c r="FZ255" s="35" t="s">
        <v>535</v>
      </c>
      <c r="GC255" s="35" t="s">
        <v>408</v>
      </c>
      <c r="GH255" s="35" t="s">
        <v>857</v>
      </c>
      <c r="GI255" s="35" t="s">
        <v>857</v>
      </c>
      <c r="GJ255" s="35" t="s">
        <v>790</v>
      </c>
      <c r="GR255" s="35" t="s">
        <v>3208</v>
      </c>
      <c r="GU255" s="35" t="s">
        <v>4774</v>
      </c>
      <c r="GW255" s="35" t="s">
        <v>5231</v>
      </c>
      <c r="GX255" s="35" t="s">
        <v>484</v>
      </c>
      <c r="HD255" s="35" t="s">
        <v>484</v>
      </c>
      <c r="HE255" s="35" t="s">
        <v>5298</v>
      </c>
      <c r="HF255" s="35" t="s">
        <v>5320</v>
      </c>
      <c r="HG255" s="35" t="s">
        <v>5284</v>
      </c>
      <c r="HP255" s="35" t="s">
        <v>5383</v>
      </c>
      <c r="HQ255" s="35" t="s">
        <v>5371</v>
      </c>
      <c r="HR255" s="35" t="s">
        <v>5238</v>
      </c>
      <c r="HS255" s="35" t="s">
        <v>5321</v>
      </c>
      <c r="MK255" s="35" t="s">
        <v>6321</v>
      </c>
    </row>
    <row r="256">
      <c r="A256" s="35" t="s">
        <v>11520</v>
      </c>
      <c r="B256" s="40">
        <v>46019.70274966436</v>
      </c>
      <c r="C256" s="35" t="s">
        <v>368</v>
      </c>
      <c r="D256" s="35" t="s">
        <v>370</v>
      </c>
      <c r="E256" s="35" t="s">
        <v>370</v>
      </c>
      <c r="F256" s="35" t="s">
        <v>2195</v>
      </c>
      <c r="G256" s="35" t="s">
        <v>1510</v>
      </c>
      <c r="H256" s="35" t="s">
        <v>1023</v>
      </c>
      <c r="I256" s="35" t="s">
        <v>496</v>
      </c>
      <c r="J256" s="35" t="s">
        <v>2578</v>
      </c>
      <c r="K256" s="35" t="s">
        <v>375</v>
      </c>
      <c r="L256" s="35" t="s">
        <v>376</v>
      </c>
      <c r="M256" s="35" t="s">
        <v>379</v>
      </c>
      <c r="N256" s="35" t="s">
        <v>541</v>
      </c>
      <c r="O256" s="35" t="s">
        <v>591</v>
      </c>
      <c r="P256" s="35" t="s">
        <v>719</v>
      </c>
      <c r="Q256" s="35" t="s">
        <v>498</v>
      </c>
      <c r="R256" s="35" t="s">
        <v>499</v>
      </c>
      <c r="S256" s="35" t="s">
        <v>427</v>
      </c>
      <c r="T256" s="35" t="s">
        <v>384</v>
      </c>
      <c r="U256" s="35" t="s">
        <v>385</v>
      </c>
      <c r="X256" s="35" t="s">
        <v>3231</v>
      </c>
      <c r="AW256" s="35" t="s">
        <v>1310</v>
      </c>
      <c r="AX256" s="41">
        <v>4.0</v>
      </c>
      <c r="AY256" s="41">
        <v>4.0</v>
      </c>
      <c r="AZ256" s="41">
        <v>4.0</v>
      </c>
      <c r="BA256" s="41">
        <v>4.0</v>
      </c>
      <c r="BB256" s="35" t="s">
        <v>391</v>
      </c>
      <c r="BC256" s="41">
        <v>4.0</v>
      </c>
      <c r="BD256" s="35" t="s">
        <v>8126</v>
      </c>
      <c r="BE256" s="35" t="s">
        <v>8127</v>
      </c>
      <c r="BF256" s="35" t="s">
        <v>432</v>
      </c>
      <c r="BG256" s="35" t="s">
        <v>1095</v>
      </c>
      <c r="BH256" s="35" t="s">
        <v>765</v>
      </c>
      <c r="BI256" s="35" t="s">
        <v>8128</v>
      </c>
      <c r="BJ256" s="35" t="s">
        <v>976</v>
      </c>
      <c r="BL256" s="35" t="s">
        <v>395</v>
      </c>
      <c r="BM256" s="35" t="s">
        <v>603</v>
      </c>
      <c r="BN256" s="35" t="s">
        <v>1247</v>
      </c>
      <c r="BO256" s="35" t="s">
        <v>513</v>
      </c>
      <c r="CM256" s="35" t="s">
        <v>441</v>
      </c>
      <c r="CN256" s="35" t="s">
        <v>401</v>
      </c>
      <c r="CO256" s="35" t="s">
        <v>8129</v>
      </c>
      <c r="CP256" s="35" t="s">
        <v>8130</v>
      </c>
      <c r="CQ256" s="35" t="s">
        <v>403</v>
      </c>
      <c r="CR256" s="35" t="s">
        <v>2519</v>
      </c>
      <c r="CS256" s="35" t="s">
        <v>447</v>
      </c>
      <c r="CT256" s="35" t="s">
        <v>2104</v>
      </c>
      <c r="CU256" s="35" t="s">
        <v>8131</v>
      </c>
      <c r="CV256" s="35" t="s">
        <v>1852</v>
      </c>
      <c r="CW256" s="35" t="s">
        <v>451</v>
      </c>
      <c r="CX256" s="35" t="s">
        <v>8132</v>
      </c>
      <c r="CY256" s="35" t="s">
        <v>408</v>
      </c>
      <c r="DA256" s="35" t="s">
        <v>453</v>
      </c>
      <c r="DB256" s="35" t="s">
        <v>8133</v>
      </c>
      <c r="DC256" s="35" t="s">
        <v>408</v>
      </c>
      <c r="DE256" s="35" t="s">
        <v>406</v>
      </c>
      <c r="DF256" s="35" t="s">
        <v>691</v>
      </c>
      <c r="DG256" s="35" t="s">
        <v>8134</v>
      </c>
      <c r="DH256" s="35" t="s">
        <v>776</v>
      </c>
      <c r="DI256" s="35" t="s">
        <v>410</v>
      </c>
      <c r="DJ256" s="35" t="s">
        <v>459</v>
      </c>
      <c r="DK256" s="35" t="s">
        <v>613</v>
      </c>
      <c r="EU256" s="35" t="s">
        <v>526</v>
      </c>
      <c r="EV256" s="35" t="s">
        <v>1037</v>
      </c>
      <c r="EW256" s="35" t="s">
        <v>527</v>
      </c>
      <c r="EY256" s="35" t="s">
        <v>8135</v>
      </c>
      <c r="EZ256" s="35" t="s">
        <v>8136</v>
      </c>
      <c r="FA256" s="35" t="s">
        <v>414</v>
      </c>
      <c r="FB256" s="35" t="s">
        <v>583</v>
      </c>
      <c r="FC256" s="35" t="s">
        <v>413</v>
      </c>
      <c r="FD256" s="35" t="s">
        <v>414</v>
      </c>
      <c r="FE256" s="35" t="s">
        <v>416</v>
      </c>
      <c r="FF256" s="35" t="s">
        <v>583</v>
      </c>
      <c r="FG256" s="35" t="s">
        <v>414</v>
      </c>
      <c r="FH256" s="35" t="s">
        <v>415</v>
      </c>
      <c r="FI256" s="35" t="s">
        <v>583</v>
      </c>
      <c r="FJ256" s="35" t="s">
        <v>414</v>
      </c>
      <c r="FK256" s="35" t="s">
        <v>414</v>
      </c>
      <c r="FL256" s="35" t="s">
        <v>415</v>
      </c>
      <c r="FM256" s="35" t="s">
        <v>414</v>
      </c>
      <c r="FN256" s="35" t="s">
        <v>415</v>
      </c>
      <c r="FO256" s="35" t="s">
        <v>414</v>
      </c>
      <c r="FP256" s="35" t="s">
        <v>485</v>
      </c>
      <c r="FQ256" s="35" t="s">
        <v>1200</v>
      </c>
      <c r="FR256" s="35" t="s">
        <v>419</v>
      </c>
      <c r="FS256" s="35" t="s">
        <v>8137</v>
      </c>
      <c r="FT256" s="35" t="s">
        <v>1189</v>
      </c>
      <c r="FU256" s="35" t="s">
        <v>421</v>
      </c>
      <c r="FV256" s="35" t="s">
        <v>585</v>
      </c>
      <c r="FW256" s="35" t="s">
        <v>490</v>
      </c>
      <c r="FX256" s="35" t="s">
        <v>491</v>
      </c>
      <c r="FY256" s="35" t="s">
        <v>8138</v>
      </c>
      <c r="FZ256" s="35" t="s">
        <v>535</v>
      </c>
      <c r="GA256" s="35" t="s">
        <v>8139</v>
      </c>
      <c r="GB256" s="35" t="s">
        <v>8140</v>
      </c>
      <c r="GC256" s="35" t="s">
        <v>408</v>
      </c>
      <c r="GH256" s="35" t="s">
        <v>755</v>
      </c>
      <c r="GI256" s="35" t="s">
        <v>755</v>
      </c>
      <c r="GJ256" s="35" t="s">
        <v>946</v>
      </c>
      <c r="GQ256" s="35" t="s">
        <v>387</v>
      </c>
      <c r="GR256" s="35" t="s">
        <v>3208</v>
      </c>
      <c r="GU256" s="35" t="s">
        <v>4774</v>
      </c>
      <c r="GW256" s="35" t="s">
        <v>5231</v>
      </c>
      <c r="GX256" s="35" t="s">
        <v>484</v>
      </c>
      <c r="HD256" s="35" t="s">
        <v>5297</v>
      </c>
      <c r="HE256" s="35" t="s">
        <v>5349</v>
      </c>
      <c r="HF256" s="35" t="s">
        <v>5320</v>
      </c>
      <c r="HG256" s="35" t="s">
        <v>5300</v>
      </c>
      <c r="HP256" s="35" t="s">
        <v>5236</v>
      </c>
      <c r="HQ256" s="35" t="s">
        <v>5302</v>
      </c>
      <c r="HR256" s="35" t="s">
        <v>5238</v>
      </c>
      <c r="HS256" s="35" t="s">
        <v>5321</v>
      </c>
      <c r="HX256" s="35" t="s">
        <v>5501</v>
      </c>
      <c r="MK256" s="35" t="s">
        <v>6321</v>
      </c>
    </row>
    <row r="257">
      <c r="A257" s="35" t="s">
        <v>11521</v>
      </c>
      <c r="B257" s="40">
        <v>46025.157875034725</v>
      </c>
      <c r="C257" s="35" t="s">
        <v>368</v>
      </c>
      <c r="D257" s="35" t="s">
        <v>370</v>
      </c>
      <c r="E257" s="35" t="s">
        <v>370</v>
      </c>
      <c r="F257" s="35" t="s">
        <v>371</v>
      </c>
      <c r="G257" s="35" t="s">
        <v>371</v>
      </c>
      <c r="H257" s="35" t="s">
        <v>372</v>
      </c>
      <c r="I257" s="35" t="s">
        <v>373</v>
      </c>
      <c r="J257" s="35" t="s">
        <v>374</v>
      </c>
      <c r="S257" s="35" t="s">
        <v>427</v>
      </c>
      <c r="T257" s="35" t="s">
        <v>384</v>
      </c>
      <c r="AW257" s="35" t="s">
        <v>390</v>
      </c>
      <c r="AX257" s="41">
        <v>4.0</v>
      </c>
      <c r="AY257" s="35" t="s">
        <v>391</v>
      </c>
      <c r="AZ257" s="41">
        <v>2.0</v>
      </c>
      <c r="BA257" s="41">
        <v>2.0</v>
      </c>
      <c r="BB257" s="35" t="s">
        <v>391</v>
      </c>
      <c r="BC257" s="35" t="s">
        <v>391</v>
      </c>
      <c r="BF257" s="35" t="s">
        <v>2379</v>
      </c>
      <c r="BG257" s="35" t="s">
        <v>1095</v>
      </c>
      <c r="BH257" s="35" t="s">
        <v>725</v>
      </c>
      <c r="BJ257" s="35" t="s">
        <v>435</v>
      </c>
      <c r="BL257" s="35" t="s">
        <v>437</v>
      </c>
      <c r="BM257" s="35" t="s">
        <v>438</v>
      </c>
      <c r="BN257" s="35" t="s">
        <v>549</v>
      </c>
      <c r="BO257" s="35" t="s">
        <v>513</v>
      </c>
      <c r="CM257" s="35" t="s">
        <v>441</v>
      </c>
      <c r="CN257" s="35" t="s">
        <v>442</v>
      </c>
      <c r="CQ257" s="35" t="s">
        <v>403</v>
      </c>
      <c r="CR257" s="35" t="s">
        <v>1467</v>
      </c>
      <c r="CT257" s="35" t="s">
        <v>1137</v>
      </c>
      <c r="CV257" s="35" t="s">
        <v>1852</v>
      </c>
      <c r="CW257" s="35" t="s">
        <v>409</v>
      </c>
      <c r="CY257" s="35" t="s">
        <v>408</v>
      </c>
      <c r="DA257" s="35" t="s">
        <v>453</v>
      </c>
      <c r="DE257" s="35" t="s">
        <v>988</v>
      </c>
      <c r="DI257" s="35" t="s">
        <v>410</v>
      </c>
      <c r="EW257" s="35" t="s">
        <v>1262</v>
      </c>
      <c r="FA257" s="35" t="s">
        <v>413</v>
      </c>
      <c r="FB257" s="35" t="s">
        <v>583</v>
      </c>
      <c r="FC257" s="35" t="s">
        <v>413</v>
      </c>
      <c r="FD257" s="35" t="s">
        <v>413</v>
      </c>
      <c r="FE257" s="35" t="s">
        <v>413</v>
      </c>
      <c r="FF257" s="35" t="s">
        <v>484</v>
      </c>
      <c r="FG257" s="35" t="s">
        <v>413</v>
      </c>
      <c r="FH257" s="35" t="s">
        <v>413</v>
      </c>
      <c r="FI257" s="35" t="s">
        <v>484</v>
      </c>
      <c r="FJ257" s="35" t="s">
        <v>413</v>
      </c>
      <c r="FK257" s="35" t="s">
        <v>413</v>
      </c>
      <c r="FL257" s="35" t="s">
        <v>413</v>
      </c>
      <c r="FM257" s="35" t="s">
        <v>413</v>
      </c>
      <c r="FN257" s="35" t="s">
        <v>413</v>
      </c>
      <c r="GH257" s="35" t="s">
        <v>755</v>
      </c>
      <c r="GI257" s="35" t="s">
        <v>755</v>
      </c>
      <c r="GJ257" s="35" t="s">
        <v>946</v>
      </c>
      <c r="GU257" s="35" t="s">
        <v>5039</v>
      </c>
      <c r="GW257" s="35" t="s">
        <v>5231</v>
      </c>
      <c r="HD257" s="35" t="s">
        <v>5297</v>
      </c>
      <c r="HF257" s="35" t="s">
        <v>5320</v>
      </c>
      <c r="MK257" s="35" t="s">
        <v>6321</v>
      </c>
    </row>
    <row r="258">
      <c r="A258" s="35" t="s">
        <v>11522</v>
      </c>
      <c r="B258" s="40">
        <v>46028.958640625</v>
      </c>
      <c r="C258" s="35" t="s">
        <v>368</v>
      </c>
      <c r="D258" s="35" t="s">
        <v>370</v>
      </c>
      <c r="E258" s="35" t="s">
        <v>370</v>
      </c>
      <c r="F258" s="35" t="s">
        <v>791</v>
      </c>
      <c r="H258" s="35" t="s">
        <v>422</v>
      </c>
      <c r="I258" s="35" t="s">
        <v>373</v>
      </c>
      <c r="J258" s="35" t="s">
        <v>374</v>
      </c>
      <c r="K258" s="35" t="s">
        <v>590</v>
      </c>
      <c r="L258" s="35" t="s">
        <v>1383</v>
      </c>
      <c r="M258" s="35" t="s">
        <v>1526</v>
      </c>
      <c r="N258" s="35" t="s">
        <v>1024</v>
      </c>
      <c r="O258" s="35" t="s">
        <v>1526</v>
      </c>
      <c r="P258" s="35" t="s">
        <v>1024</v>
      </c>
      <c r="Q258" s="35" t="s">
        <v>498</v>
      </c>
      <c r="R258" s="35" t="s">
        <v>382</v>
      </c>
      <c r="S258" s="35" t="s">
        <v>427</v>
      </c>
      <c r="T258" s="35" t="s">
        <v>384</v>
      </c>
      <c r="U258" s="35" t="s">
        <v>385</v>
      </c>
      <c r="X258" s="35" t="s">
        <v>593</v>
      </c>
      <c r="Y258" s="35" t="s">
        <v>387</v>
      </c>
      <c r="Z258" s="35" t="s">
        <v>1444</v>
      </c>
      <c r="AA258" s="35" t="s">
        <v>672</v>
      </c>
      <c r="AB258" s="35" t="s">
        <v>408</v>
      </c>
      <c r="AW258" s="35" t="s">
        <v>597</v>
      </c>
      <c r="AX258" s="41">
        <v>2.0</v>
      </c>
      <c r="AY258" s="35" t="s">
        <v>429</v>
      </c>
      <c r="AZ258" s="35" t="s">
        <v>429</v>
      </c>
      <c r="BA258" s="35" t="s">
        <v>429</v>
      </c>
      <c r="BB258" s="35" t="s">
        <v>429</v>
      </c>
      <c r="BC258" s="35" t="s">
        <v>429</v>
      </c>
      <c r="BD258" s="35" t="s">
        <v>8199</v>
      </c>
      <c r="BE258" s="35" t="s">
        <v>8200</v>
      </c>
      <c r="BF258" s="35" t="s">
        <v>432</v>
      </c>
      <c r="BG258" s="35" t="s">
        <v>433</v>
      </c>
      <c r="BH258" s="35" t="s">
        <v>678</v>
      </c>
      <c r="BI258" s="35" t="s">
        <v>8201</v>
      </c>
      <c r="BJ258" s="35" t="s">
        <v>976</v>
      </c>
      <c r="BL258" s="35" t="s">
        <v>681</v>
      </c>
      <c r="BM258" s="35" t="s">
        <v>904</v>
      </c>
      <c r="BN258" s="35" t="s">
        <v>549</v>
      </c>
      <c r="BO258" s="35" t="s">
        <v>513</v>
      </c>
      <c r="CM258" s="35" t="s">
        <v>441</v>
      </c>
      <c r="CN258" s="35" t="s">
        <v>682</v>
      </c>
      <c r="CO258" s="35" t="s">
        <v>8202</v>
      </c>
      <c r="CP258" s="35" t="s">
        <v>8202</v>
      </c>
      <c r="CQ258" s="35" t="s">
        <v>685</v>
      </c>
      <c r="CR258" s="35" t="s">
        <v>1467</v>
      </c>
      <c r="CS258" s="35" t="s">
        <v>447</v>
      </c>
      <c r="CT258" s="35" t="s">
        <v>8203</v>
      </c>
      <c r="CU258" s="35" t="s">
        <v>8204</v>
      </c>
      <c r="CV258" s="35" t="s">
        <v>450</v>
      </c>
      <c r="CW258" s="35" t="s">
        <v>451</v>
      </c>
      <c r="CX258" s="35" t="s">
        <v>8205</v>
      </c>
      <c r="CY258" s="35" t="s">
        <v>408</v>
      </c>
      <c r="DA258" s="35" t="s">
        <v>453</v>
      </c>
      <c r="DB258" s="35" t="s">
        <v>8206</v>
      </c>
      <c r="DC258" s="35" t="s">
        <v>913</v>
      </c>
      <c r="DE258" s="35" t="s">
        <v>988</v>
      </c>
      <c r="DH258" s="35" t="s">
        <v>524</v>
      </c>
      <c r="DI258" s="35" t="s">
        <v>410</v>
      </c>
      <c r="DJ258" s="35" t="s">
        <v>459</v>
      </c>
      <c r="DK258" s="35" t="s">
        <v>460</v>
      </c>
      <c r="DL258" s="35" t="s">
        <v>6319</v>
      </c>
      <c r="EU258" s="35" t="s">
        <v>526</v>
      </c>
      <c r="EV258" s="35" t="s">
        <v>887</v>
      </c>
      <c r="EW258" s="35" t="s">
        <v>527</v>
      </c>
      <c r="EX258" s="35" t="s">
        <v>8207</v>
      </c>
      <c r="EY258" s="35" t="s">
        <v>8208</v>
      </c>
      <c r="EZ258" s="35" t="s">
        <v>8209</v>
      </c>
      <c r="FA258" s="35" t="s">
        <v>413</v>
      </c>
      <c r="FB258" s="35" t="s">
        <v>415</v>
      </c>
      <c r="FC258" s="35" t="s">
        <v>413</v>
      </c>
      <c r="FD258" s="35" t="s">
        <v>415</v>
      </c>
      <c r="FE258" s="35" t="s">
        <v>413</v>
      </c>
      <c r="FF258" s="35" t="s">
        <v>415</v>
      </c>
      <c r="FG258" s="35" t="s">
        <v>415</v>
      </c>
      <c r="FH258" s="35" t="s">
        <v>413</v>
      </c>
      <c r="FI258" s="35" t="s">
        <v>413</v>
      </c>
      <c r="FJ258" s="35" t="s">
        <v>414</v>
      </c>
      <c r="FK258" s="35" t="s">
        <v>414</v>
      </c>
      <c r="FL258" s="35" t="s">
        <v>413</v>
      </c>
      <c r="FM258" s="35" t="s">
        <v>413</v>
      </c>
      <c r="FN258" s="35" t="s">
        <v>416</v>
      </c>
      <c r="FO258" s="35" t="s">
        <v>414</v>
      </c>
      <c r="FP258" s="35" t="s">
        <v>417</v>
      </c>
      <c r="FQ258" s="35" t="s">
        <v>418</v>
      </c>
      <c r="FR258" s="35" t="s">
        <v>419</v>
      </c>
      <c r="FS258" s="35" t="s">
        <v>8210</v>
      </c>
      <c r="FT258" s="35" t="s">
        <v>420</v>
      </c>
      <c r="FU258" s="35" t="s">
        <v>488</v>
      </c>
      <c r="FV258" s="35" t="s">
        <v>489</v>
      </c>
      <c r="FW258" s="35" t="s">
        <v>490</v>
      </c>
      <c r="FX258" s="35" t="s">
        <v>491</v>
      </c>
      <c r="FY258" s="35" t="s">
        <v>8211</v>
      </c>
      <c r="FZ258" s="35" t="s">
        <v>493</v>
      </c>
      <c r="GA258" s="35" t="s">
        <v>8212</v>
      </c>
      <c r="GC258" s="35" t="s">
        <v>408</v>
      </c>
      <c r="GH258" s="35" t="s">
        <v>1000</v>
      </c>
      <c r="GI258" s="35" t="s">
        <v>1000</v>
      </c>
      <c r="GJ258" s="35" t="s">
        <v>817</v>
      </c>
      <c r="GR258" s="35" t="s">
        <v>3273</v>
      </c>
      <c r="GU258" s="35" t="s">
        <v>4774</v>
      </c>
      <c r="GW258" s="35" t="s">
        <v>5231</v>
      </c>
      <c r="GX258" s="35" t="s">
        <v>5232</v>
      </c>
      <c r="HD258" s="35" t="s">
        <v>5297</v>
      </c>
      <c r="HE258" s="35" t="s">
        <v>5349</v>
      </c>
      <c r="HF258" s="35" t="s">
        <v>5718</v>
      </c>
      <c r="HG258" s="35" t="s">
        <v>5768</v>
      </c>
      <c r="HP258" s="35" t="s">
        <v>5236</v>
      </c>
      <c r="HQ258" s="35" t="s">
        <v>5264</v>
      </c>
      <c r="HR258" s="35" t="s">
        <v>5238</v>
      </c>
      <c r="HS258" s="35" t="s">
        <v>8213</v>
      </c>
      <c r="HX258" s="35" t="s">
        <v>5628</v>
      </c>
      <c r="MK258" s="35" t="s">
        <v>6321</v>
      </c>
    </row>
    <row r="259">
      <c r="A259" s="35" t="s">
        <v>11523</v>
      </c>
      <c r="B259" s="40">
        <v>46053.61221619213</v>
      </c>
      <c r="C259" s="35" t="s">
        <v>368</v>
      </c>
      <c r="D259" s="35" t="s">
        <v>370</v>
      </c>
      <c r="E259" s="35" t="s">
        <v>370</v>
      </c>
      <c r="F259" s="35" t="s">
        <v>371</v>
      </c>
      <c r="G259" s="35" t="s">
        <v>371</v>
      </c>
      <c r="H259" s="35" t="s">
        <v>372</v>
      </c>
      <c r="I259" s="35" t="s">
        <v>539</v>
      </c>
      <c r="J259" s="35" t="s">
        <v>424</v>
      </c>
      <c r="K259" s="35" t="s">
        <v>425</v>
      </c>
      <c r="L259" s="35" t="s">
        <v>376</v>
      </c>
      <c r="M259" s="35" t="s">
        <v>591</v>
      </c>
      <c r="N259" s="35" t="s">
        <v>2482</v>
      </c>
      <c r="O259" s="35" t="s">
        <v>793</v>
      </c>
      <c r="P259" s="35" t="s">
        <v>1270</v>
      </c>
      <c r="Q259" s="35" t="s">
        <v>498</v>
      </c>
      <c r="R259" s="35" t="s">
        <v>818</v>
      </c>
      <c r="S259" s="35" t="s">
        <v>500</v>
      </c>
      <c r="T259" s="35" t="s">
        <v>384</v>
      </c>
      <c r="U259" s="35" t="s">
        <v>385</v>
      </c>
      <c r="X259" s="35" t="s">
        <v>593</v>
      </c>
      <c r="Y259" s="35" t="s">
        <v>387</v>
      </c>
      <c r="AA259" s="35" t="s">
        <v>543</v>
      </c>
      <c r="AB259" s="35" t="s">
        <v>8333</v>
      </c>
      <c r="AC259" s="35" t="s">
        <v>8334</v>
      </c>
      <c r="AW259" s="35" t="s">
        <v>1310</v>
      </c>
      <c r="AX259" s="35" t="s">
        <v>675</v>
      </c>
      <c r="AY259" s="35" t="s">
        <v>675</v>
      </c>
      <c r="AZ259" s="41">
        <v>4.0</v>
      </c>
      <c r="BA259" s="41">
        <v>4.0</v>
      </c>
      <c r="BB259" s="35" t="s">
        <v>429</v>
      </c>
      <c r="BC259" s="41">
        <v>4.0</v>
      </c>
      <c r="BD259" s="35" t="s">
        <v>8335</v>
      </c>
      <c r="BE259" s="35" t="s">
        <v>8336</v>
      </c>
      <c r="BF259" s="35" t="s">
        <v>902</v>
      </c>
      <c r="BG259" s="35" t="s">
        <v>1095</v>
      </c>
      <c r="BH259" s="35" t="s">
        <v>725</v>
      </c>
      <c r="BI259" s="35" t="s">
        <v>8337</v>
      </c>
      <c r="BJ259" s="35" t="s">
        <v>976</v>
      </c>
      <c r="BL259" s="35" t="s">
        <v>395</v>
      </c>
      <c r="BM259" s="35" t="s">
        <v>603</v>
      </c>
      <c r="BN259" s="35" t="s">
        <v>1247</v>
      </c>
      <c r="BO259" s="35" t="s">
        <v>513</v>
      </c>
      <c r="CM259" s="35" t="s">
        <v>441</v>
      </c>
      <c r="CN259" s="35" t="s">
        <v>682</v>
      </c>
      <c r="CO259" s="35" t="s">
        <v>8338</v>
      </c>
      <c r="CP259" s="35" t="s">
        <v>8339</v>
      </c>
      <c r="CQ259" s="35" t="s">
        <v>1008</v>
      </c>
      <c r="CR259" s="35" t="s">
        <v>4388</v>
      </c>
      <c r="CS259" s="35" t="s">
        <v>555</v>
      </c>
      <c r="CT259" s="35" t="s">
        <v>2801</v>
      </c>
      <c r="CU259" s="35" t="s">
        <v>8340</v>
      </c>
      <c r="CV259" s="35" t="s">
        <v>982</v>
      </c>
      <c r="CW259" s="35" t="s">
        <v>451</v>
      </c>
      <c r="CX259" s="35" t="s">
        <v>8341</v>
      </c>
      <c r="CY259" s="35" t="s">
        <v>408</v>
      </c>
      <c r="DA259" s="35" t="s">
        <v>1398</v>
      </c>
      <c r="DB259" s="35" t="s">
        <v>8342</v>
      </c>
      <c r="DC259" s="35" t="s">
        <v>408</v>
      </c>
      <c r="DE259" s="35" t="s">
        <v>988</v>
      </c>
      <c r="DG259" s="35" t="s">
        <v>8343</v>
      </c>
      <c r="DH259" s="35" t="s">
        <v>524</v>
      </c>
      <c r="DI259" s="35" t="s">
        <v>833</v>
      </c>
      <c r="DJ259" s="35" t="s">
        <v>459</v>
      </c>
      <c r="DK259" s="35" t="s">
        <v>460</v>
      </c>
      <c r="DL259" s="35" t="s">
        <v>6335</v>
      </c>
      <c r="EU259" s="35" t="s">
        <v>526</v>
      </c>
      <c r="EV259" s="35" t="s">
        <v>887</v>
      </c>
      <c r="EW259" s="35" t="s">
        <v>480</v>
      </c>
      <c r="EX259" s="35" t="s">
        <v>8344</v>
      </c>
      <c r="EY259" s="35" t="s">
        <v>8345</v>
      </c>
      <c r="EZ259" s="35" t="s">
        <v>8346</v>
      </c>
      <c r="FA259" s="35" t="s">
        <v>414</v>
      </c>
      <c r="FB259" s="35" t="s">
        <v>414</v>
      </c>
      <c r="FC259" s="35" t="s">
        <v>416</v>
      </c>
      <c r="FD259" s="35" t="s">
        <v>415</v>
      </c>
      <c r="FE259" s="35" t="s">
        <v>413</v>
      </c>
      <c r="FF259" s="35" t="s">
        <v>583</v>
      </c>
      <c r="FG259" s="35" t="s">
        <v>415</v>
      </c>
      <c r="FH259" s="35" t="s">
        <v>415</v>
      </c>
      <c r="FI259" s="35" t="s">
        <v>413</v>
      </c>
      <c r="FJ259" s="35" t="s">
        <v>416</v>
      </c>
      <c r="FK259" s="35" t="s">
        <v>583</v>
      </c>
      <c r="FL259" s="35" t="s">
        <v>413</v>
      </c>
      <c r="FM259" s="35" t="s">
        <v>484</v>
      </c>
      <c r="FN259" s="35" t="s">
        <v>583</v>
      </c>
      <c r="FO259" s="35" t="s">
        <v>484</v>
      </c>
      <c r="FP259" s="35" t="s">
        <v>1074</v>
      </c>
      <c r="FQ259" s="35" t="s">
        <v>2524</v>
      </c>
      <c r="FR259" s="35" t="s">
        <v>531</v>
      </c>
      <c r="FS259" s="35" t="s">
        <v>8347</v>
      </c>
      <c r="FT259" s="35" t="s">
        <v>1189</v>
      </c>
      <c r="FU259" s="35" t="s">
        <v>488</v>
      </c>
      <c r="FV259" s="35" t="s">
        <v>918</v>
      </c>
      <c r="FW259" s="35" t="s">
        <v>490</v>
      </c>
      <c r="FX259" s="35" t="s">
        <v>491</v>
      </c>
      <c r="FY259" s="35" t="s">
        <v>8348</v>
      </c>
      <c r="FZ259" s="35" t="s">
        <v>535</v>
      </c>
      <c r="GA259" s="35" t="s">
        <v>8349</v>
      </c>
      <c r="GB259" s="35" t="s">
        <v>8350</v>
      </c>
      <c r="GC259" s="35" t="s">
        <v>455</v>
      </c>
      <c r="GD259" s="35" t="s">
        <v>11524</v>
      </c>
      <c r="GE259" s="41">
        <v>4.088278337E9</v>
      </c>
      <c r="GF259" s="35" t="s">
        <v>1339</v>
      </c>
      <c r="GG259" s="35" t="s">
        <v>8351</v>
      </c>
      <c r="GH259" s="35" t="s">
        <v>1000</v>
      </c>
      <c r="GI259" s="35" t="s">
        <v>1000</v>
      </c>
      <c r="GJ259" s="35" t="s">
        <v>946</v>
      </c>
      <c r="GR259" s="35" t="s">
        <v>3208</v>
      </c>
      <c r="GU259" s="35" t="s">
        <v>4774</v>
      </c>
      <c r="GW259" s="35" t="s">
        <v>5231</v>
      </c>
      <c r="GX259" s="35" t="s">
        <v>5232</v>
      </c>
      <c r="HD259" s="35" t="s">
        <v>6053</v>
      </c>
      <c r="HE259" s="35" t="s">
        <v>5349</v>
      </c>
      <c r="HF259" s="35" t="s">
        <v>5492</v>
      </c>
      <c r="HG259" s="35" t="s">
        <v>5899</v>
      </c>
      <c r="HP259" s="35" t="s">
        <v>5236</v>
      </c>
      <c r="HQ259" s="35" t="s">
        <v>5264</v>
      </c>
      <c r="HR259" s="35" t="s">
        <v>5238</v>
      </c>
      <c r="HS259" s="35" t="s">
        <v>5321</v>
      </c>
      <c r="HX259" s="35" t="s">
        <v>5628</v>
      </c>
      <c r="MK259" s="35" t="s">
        <v>6321</v>
      </c>
    </row>
    <row r="260">
      <c r="A260" s="35" t="s">
        <v>11525</v>
      </c>
      <c r="B260" s="40">
        <v>46053.776607708336</v>
      </c>
      <c r="C260" s="35" t="s">
        <v>368</v>
      </c>
      <c r="D260" s="35" t="s">
        <v>370</v>
      </c>
      <c r="E260" s="35" t="s">
        <v>370</v>
      </c>
      <c r="F260" s="35" t="s">
        <v>2114</v>
      </c>
      <c r="G260" s="35" t="s">
        <v>1421</v>
      </c>
      <c r="H260" s="35" t="s">
        <v>422</v>
      </c>
      <c r="I260" s="35" t="s">
        <v>373</v>
      </c>
      <c r="J260" s="35" t="s">
        <v>638</v>
      </c>
      <c r="K260" s="35" t="s">
        <v>425</v>
      </c>
      <c r="L260" s="35" t="s">
        <v>376</v>
      </c>
      <c r="M260" s="35" t="s">
        <v>426</v>
      </c>
      <c r="N260" s="35" t="s">
        <v>639</v>
      </c>
      <c r="O260" s="35" t="s">
        <v>591</v>
      </c>
      <c r="P260" s="35" t="s">
        <v>639</v>
      </c>
      <c r="Q260" s="35" t="s">
        <v>498</v>
      </c>
      <c r="R260" s="35" t="s">
        <v>862</v>
      </c>
      <c r="S260" s="35" t="s">
        <v>949</v>
      </c>
      <c r="T260" s="35" t="s">
        <v>384</v>
      </c>
      <c r="U260" s="35" t="s">
        <v>385</v>
      </c>
      <c r="X260" s="35" t="s">
        <v>3014</v>
      </c>
      <c r="AW260" s="35" t="s">
        <v>1310</v>
      </c>
      <c r="AX260" s="35" t="s">
        <v>675</v>
      </c>
      <c r="AY260" s="41">
        <v>4.0</v>
      </c>
      <c r="AZ260" s="35" t="s">
        <v>675</v>
      </c>
      <c r="BA260" s="41">
        <v>4.0</v>
      </c>
      <c r="BB260" s="35" t="s">
        <v>391</v>
      </c>
      <c r="BC260" s="35" t="s">
        <v>391</v>
      </c>
      <c r="BF260" s="35" t="s">
        <v>432</v>
      </c>
      <c r="BG260" s="35" t="s">
        <v>1095</v>
      </c>
      <c r="BH260" s="35" t="s">
        <v>394</v>
      </c>
      <c r="BJ260" s="35" t="s">
        <v>435</v>
      </c>
      <c r="BK260" s="35" t="s">
        <v>8352</v>
      </c>
      <c r="BL260" s="35" t="s">
        <v>681</v>
      </c>
      <c r="BM260" s="35" t="s">
        <v>603</v>
      </c>
      <c r="BN260" s="35" t="s">
        <v>1247</v>
      </c>
      <c r="BO260" s="35" t="s">
        <v>513</v>
      </c>
      <c r="CM260" s="35" t="s">
        <v>441</v>
      </c>
      <c r="CN260" s="35" t="s">
        <v>604</v>
      </c>
      <c r="CO260" s="35" t="s">
        <v>8353</v>
      </c>
      <c r="CP260" s="35" t="s">
        <v>8354</v>
      </c>
      <c r="CQ260" s="35" t="s">
        <v>979</v>
      </c>
      <c r="CR260" s="35" t="s">
        <v>8355</v>
      </c>
      <c r="CS260" s="35" t="s">
        <v>404</v>
      </c>
      <c r="CT260" s="35" t="s">
        <v>8356</v>
      </c>
      <c r="CU260" s="35" t="s">
        <v>8357</v>
      </c>
      <c r="CV260" s="35" t="s">
        <v>1863</v>
      </c>
      <c r="CW260" s="35" t="s">
        <v>409</v>
      </c>
      <c r="CX260" s="35" t="s">
        <v>8358</v>
      </c>
      <c r="CY260" s="35" t="s">
        <v>408</v>
      </c>
      <c r="DA260" s="35" t="s">
        <v>1962</v>
      </c>
      <c r="DC260" s="35" t="s">
        <v>408</v>
      </c>
      <c r="DE260" s="35" t="s">
        <v>988</v>
      </c>
      <c r="DF260" s="35" t="s">
        <v>1058</v>
      </c>
      <c r="DG260" s="35" t="s">
        <v>8359</v>
      </c>
      <c r="DH260" s="35" t="s">
        <v>990</v>
      </c>
      <c r="DI260" s="35" t="s">
        <v>1964</v>
      </c>
      <c r="DJ260" s="35" t="s">
        <v>459</v>
      </c>
      <c r="DK260" s="35" t="s">
        <v>460</v>
      </c>
      <c r="DL260" s="35" t="s">
        <v>6335</v>
      </c>
      <c r="EU260" s="35" t="s">
        <v>478</v>
      </c>
      <c r="EV260" s="35" t="s">
        <v>887</v>
      </c>
      <c r="EW260" s="35" t="s">
        <v>580</v>
      </c>
      <c r="FA260" s="35" t="s">
        <v>414</v>
      </c>
      <c r="FB260" s="35" t="s">
        <v>414</v>
      </c>
      <c r="FC260" s="35" t="s">
        <v>416</v>
      </c>
      <c r="FD260" s="35" t="s">
        <v>414</v>
      </c>
      <c r="FI260" s="35" t="s">
        <v>414</v>
      </c>
      <c r="FK260" s="35" t="s">
        <v>414</v>
      </c>
      <c r="FP260" s="35" t="s">
        <v>3396</v>
      </c>
      <c r="FQ260" s="35" t="s">
        <v>2651</v>
      </c>
      <c r="FT260" s="35" t="s">
        <v>1076</v>
      </c>
      <c r="FU260" s="35" t="s">
        <v>1476</v>
      </c>
      <c r="FV260" s="35" t="s">
        <v>489</v>
      </c>
      <c r="FW260" s="35" t="s">
        <v>2387</v>
      </c>
      <c r="FX260" s="35" t="s">
        <v>1853</v>
      </c>
      <c r="FZ260" s="35" t="s">
        <v>1854</v>
      </c>
      <c r="GA260" s="35" t="s">
        <v>8360</v>
      </c>
      <c r="GC260" s="35" t="s">
        <v>408</v>
      </c>
      <c r="GH260" s="35" t="s">
        <v>857</v>
      </c>
      <c r="GI260" s="35" t="s">
        <v>857</v>
      </c>
      <c r="GJ260" s="35" t="s">
        <v>858</v>
      </c>
      <c r="GR260" s="35" t="s">
        <v>3273</v>
      </c>
      <c r="GU260" s="35" t="s">
        <v>4774</v>
      </c>
      <c r="GW260" s="35" t="s">
        <v>5231</v>
      </c>
      <c r="GX260" s="35" t="s">
        <v>5232</v>
      </c>
      <c r="HD260" s="35" t="s">
        <v>5297</v>
      </c>
      <c r="HE260" s="35" t="s">
        <v>5349</v>
      </c>
      <c r="HF260" s="35" t="s">
        <v>5320</v>
      </c>
      <c r="HG260" s="35" t="s">
        <v>5284</v>
      </c>
      <c r="HP260" s="35" t="s">
        <v>5236</v>
      </c>
      <c r="HQ260" s="35" t="s">
        <v>5264</v>
      </c>
      <c r="HR260" s="35" t="s">
        <v>5286</v>
      </c>
      <c r="HS260" s="35" t="s">
        <v>913</v>
      </c>
      <c r="HX260" s="35" t="s">
        <v>5501</v>
      </c>
      <c r="MK260" s="35" t="s">
        <v>6321</v>
      </c>
    </row>
    <row r="261">
      <c r="A261" s="35" t="s">
        <v>11526</v>
      </c>
      <c r="B261" s="40">
        <v>46055.72980008102</v>
      </c>
      <c r="C261" s="35" t="s">
        <v>368</v>
      </c>
      <c r="D261" s="35" t="s">
        <v>370</v>
      </c>
      <c r="E261" s="35" t="s">
        <v>370</v>
      </c>
      <c r="F261" s="35" t="s">
        <v>371</v>
      </c>
      <c r="G261" s="35" t="s">
        <v>2114</v>
      </c>
      <c r="H261" s="35" t="s">
        <v>422</v>
      </c>
      <c r="I261" s="35" t="s">
        <v>423</v>
      </c>
      <c r="J261" s="35" t="s">
        <v>668</v>
      </c>
      <c r="K261" s="35" t="s">
        <v>375</v>
      </c>
      <c r="L261" s="35" t="s">
        <v>376</v>
      </c>
      <c r="M261" s="35" t="s">
        <v>379</v>
      </c>
      <c r="N261" s="35" t="s">
        <v>378</v>
      </c>
      <c r="O261" s="35" t="s">
        <v>377</v>
      </c>
      <c r="P261" s="35" t="s">
        <v>1442</v>
      </c>
      <c r="Q261" s="35" t="s">
        <v>381</v>
      </c>
      <c r="R261" s="35" t="s">
        <v>818</v>
      </c>
      <c r="S261" s="35" t="s">
        <v>427</v>
      </c>
      <c r="T261" s="35" t="s">
        <v>384</v>
      </c>
      <c r="U261" s="35" t="s">
        <v>385</v>
      </c>
      <c r="X261" s="35" t="s">
        <v>593</v>
      </c>
      <c r="Y261" s="35" t="s">
        <v>387</v>
      </c>
      <c r="Z261" s="35" t="s">
        <v>8361</v>
      </c>
      <c r="AA261" s="35" t="s">
        <v>543</v>
      </c>
      <c r="AB261" s="35" t="s">
        <v>8362</v>
      </c>
      <c r="AC261" s="35" t="s">
        <v>8363</v>
      </c>
      <c r="AW261" s="35" t="s">
        <v>390</v>
      </c>
      <c r="AX261" s="41">
        <v>2.0</v>
      </c>
      <c r="AY261" s="35" t="s">
        <v>429</v>
      </c>
      <c r="AZ261" s="35" t="s">
        <v>429</v>
      </c>
      <c r="BA261" s="35" t="s">
        <v>429</v>
      </c>
      <c r="BB261" s="35" t="s">
        <v>429</v>
      </c>
      <c r="BC261" s="35" t="s">
        <v>429</v>
      </c>
      <c r="BD261" s="35" t="s">
        <v>8364</v>
      </c>
      <c r="BE261" s="35" t="s">
        <v>8365</v>
      </c>
      <c r="BF261" s="35" t="s">
        <v>392</v>
      </c>
      <c r="BG261" s="35" t="s">
        <v>1047</v>
      </c>
      <c r="BH261" s="35" t="s">
        <v>678</v>
      </c>
      <c r="BI261" s="35" t="s">
        <v>8366</v>
      </c>
      <c r="BJ261" s="35" t="s">
        <v>509</v>
      </c>
      <c r="BK261" s="35" t="s">
        <v>8367</v>
      </c>
      <c r="BL261" s="35" t="s">
        <v>395</v>
      </c>
      <c r="BM261" s="35" t="s">
        <v>512</v>
      </c>
      <c r="BN261" s="35" t="s">
        <v>439</v>
      </c>
      <c r="BO261" s="35" t="s">
        <v>513</v>
      </c>
      <c r="CM261" s="35" t="s">
        <v>441</v>
      </c>
      <c r="CN261" s="35" t="s">
        <v>682</v>
      </c>
      <c r="CO261" s="35" t="s">
        <v>8368</v>
      </c>
      <c r="CP261" s="35" t="s">
        <v>8369</v>
      </c>
      <c r="CQ261" s="35" t="s">
        <v>685</v>
      </c>
      <c r="CR261" s="35" t="s">
        <v>1427</v>
      </c>
      <c r="CS261" s="35" t="s">
        <v>447</v>
      </c>
      <c r="CT261" s="35" t="s">
        <v>8370</v>
      </c>
      <c r="CU261" s="35" t="s">
        <v>8371</v>
      </c>
      <c r="CV261" s="35" t="s">
        <v>519</v>
      </c>
      <c r="CW261" s="35" t="s">
        <v>451</v>
      </c>
      <c r="CX261" s="35" t="s">
        <v>8372</v>
      </c>
      <c r="CY261" s="35" t="s">
        <v>408</v>
      </c>
      <c r="DA261" s="35" t="s">
        <v>985</v>
      </c>
      <c r="DB261" s="35" t="s">
        <v>8373</v>
      </c>
      <c r="DC261" s="35" t="s">
        <v>455</v>
      </c>
      <c r="DD261" s="35" t="s">
        <v>8374</v>
      </c>
      <c r="DE261" s="35" t="s">
        <v>662</v>
      </c>
      <c r="DG261" s="35" t="s">
        <v>8375</v>
      </c>
      <c r="DH261" s="35" t="s">
        <v>776</v>
      </c>
      <c r="DI261" s="35" t="s">
        <v>410</v>
      </c>
      <c r="DJ261" s="35" t="s">
        <v>963</v>
      </c>
      <c r="DK261" s="35" t="s">
        <v>613</v>
      </c>
      <c r="EU261" s="35" t="s">
        <v>526</v>
      </c>
      <c r="EV261" s="35" t="s">
        <v>479</v>
      </c>
      <c r="EW261" s="35" t="s">
        <v>527</v>
      </c>
      <c r="EX261" s="35" t="s">
        <v>8376</v>
      </c>
      <c r="EY261" s="35" t="s">
        <v>8377</v>
      </c>
      <c r="EZ261" s="35" t="s">
        <v>8378</v>
      </c>
      <c r="FP261" s="35" t="s">
        <v>485</v>
      </c>
      <c r="FQ261" s="35" t="s">
        <v>418</v>
      </c>
      <c r="FR261" s="35" t="s">
        <v>1039</v>
      </c>
      <c r="FS261" s="35" t="s">
        <v>8379</v>
      </c>
      <c r="FT261" s="35" t="s">
        <v>420</v>
      </c>
      <c r="FU261" s="35" t="s">
        <v>488</v>
      </c>
      <c r="FW261" s="35" t="s">
        <v>490</v>
      </c>
      <c r="FX261" s="35" t="s">
        <v>491</v>
      </c>
      <c r="FY261" s="35" t="s">
        <v>8380</v>
      </c>
      <c r="FZ261" s="35" t="s">
        <v>535</v>
      </c>
      <c r="GA261" s="35" t="s">
        <v>8381</v>
      </c>
      <c r="GB261" s="35" t="s">
        <v>8382</v>
      </c>
      <c r="GC261" s="35" t="s">
        <v>455</v>
      </c>
      <c r="GD261" s="35" t="s">
        <v>11527</v>
      </c>
      <c r="GE261" s="35" t="s">
        <v>11528</v>
      </c>
      <c r="GF261" s="35" t="s">
        <v>786</v>
      </c>
      <c r="GG261" s="35" t="s">
        <v>8383</v>
      </c>
      <c r="GH261" s="35" t="s">
        <v>857</v>
      </c>
      <c r="GI261" s="35" t="s">
        <v>789</v>
      </c>
      <c r="GJ261" s="35" t="s">
        <v>858</v>
      </c>
      <c r="GR261" s="35" t="s">
        <v>3273</v>
      </c>
      <c r="GU261" s="35" t="s">
        <v>5081</v>
      </c>
      <c r="GV261" s="35" t="s">
        <v>8384</v>
      </c>
      <c r="GW261" s="35" t="s">
        <v>5231</v>
      </c>
      <c r="HD261" s="35" t="s">
        <v>5297</v>
      </c>
      <c r="HE261" s="35" t="s">
        <v>5282</v>
      </c>
      <c r="HF261" s="35" t="s">
        <v>5320</v>
      </c>
      <c r="HG261" s="35" t="s">
        <v>5300</v>
      </c>
      <c r="HP261" s="35" t="s">
        <v>5301</v>
      </c>
      <c r="HQ261" s="35" t="s">
        <v>5237</v>
      </c>
      <c r="HR261" s="35" t="s">
        <v>5238</v>
      </c>
      <c r="HS261" s="35" t="s">
        <v>5347</v>
      </c>
      <c r="HX261" s="35" t="s">
        <v>5628</v>
      </c>
      <c r="MK261" s="35" t="s">
        <v>6321</v>
      </c>
    </row>
    <row r="262">
      <c r="A262" s="35" t="s">
        <v>11529</v>
      </c>
      <c r="B262" s="40">
        <v>46060.45633940972</v>
      </c>
      <c r="C262" s="35" t="s">
        <v>368</v>
      </c>
      <c r="D262" s="35" t="s">
        <v>538</v>
      </c>
      <c r="E262" s="35" t="s">
        <v>538</v>
      </c>
      <c r="H262" s="35" t="s">
        <v>1093</v>
      </c>
      <c r="I262" s="35" t="s">
        <v>1203</v>
      </c>
      <c r="J262" s="35" t="s">
        <v>638</v>
      </c>
      <c r="K262" s="35" t="s">
        <v>1023</v>
      </c>
      <c r="L262" s="35" t="s">
        <v>376</v>
      </c>
      <c r="M262" s="35" t="s">
        <v>793</v>
      </c>
      <c r="N262" s="35" t="s">
        <v>719</v>
      </c>
      <c r="O262" s="35" t="s">
        <v>793</v>
      </c>
      <c r="P262" s="35" t="s">
        <v>720</v>
      </c>
      <c r="Q262" s="35" t="s">
        <v>592</v>
      </c>
      <c r="R262" s="35" t="s">
        <v>382</v>
      </c>
      <c r="S262" s="35" t="s">
        <v>949</v>
      </c>
      <c r="T262" s="35" t="s">
        <v>384</v>
      </c>
      <c r="U262" s="35" t="s">
        <v>385</v>
      </c>
      <c r="X262" s="35" t="s">
        <v>593</v>
      </c>
      <c r="Y262" s="35" t="s">
        <v>642</v>
      </c>
      <c r="AM262" s="35" t="s">
        <v>1141</v>
      </c>
      <c r="AN262" s="35" t="s">
        <v>1142</v>
      </c>
      <c r="AO262" s="35" t="s">
        <v>408</v>
      </c>
      <c r="AQ262" s="35" t="s">
        <v>913</v>
      </c>
      <c r="AR262" s="41">
        <v>5.0</v>
      </c>
      <c r="AS262" s="35" t="s">
        <v>1507</v>
      </c>
      <c r="AT262" s="35" t="s">
        <v>8385</v>
      </c>
      <c r="AU262" s="35" t="s">
        <v>8386</v>
      </c>
      <c r="AV262" s="35" t="s">
        <v>8387</v>
      </c>
      <c r="AW262" s="35" t="s">
        <v>390</v>
      </c>
      <c r="AX262" s="35" t="s">
        <v>391</v>
      </c>
      <c r="AY262" s="35" t="s">
        <v>391</v>
      </c>
      <c r="AZ262" s="41">
        <v>2.0</v>
      </c>
      <c r="BA262" s="41">
        <v>2.0</v>
      </c>
      <c r="BB262" s="41">
        <v>2.0</v>
      </c>
      <c r="BC262" s="41">
        <v>2.0</v>
      </c>
      <c r="BD262" s="35" t="s">
        <v>8388</v>
      </c>
      <c r="BE262" s="35" t="s">
        <v>8389</v>
      </c>
      <c r="BF262" s="35" t="s">
        <v>432</v>
      </c>
      <c r="BG262" s="35" t="s">
        <v>393</v>
      </c>
      <c r="BH262" s="35" t="s">
        <v>765</v>
      </c>
      <c r="BI262" s="35" t="s">
        <v>8390</v>
      </c>
      <c r="BJ262" s="35" t="s">
        <v>824</v>
      </c>
      <c r="BL262" s="35" t="s">
        <v>437</v>
      </c>
      <c r="BM262" s="35" t="s">
        <v>438</v>
      </c>
      <c r="BN262" s="35" t="s">
        <v>549</v>
      </c>
      <c r="BO262" s="35" t="s">
        <v>513</v>
      </c>
      <c r="CM262" s="35" t="s">
        <v>441</v>
      </c>
      <c r="CN262" s="35" t="s">
        <v>401</v>
      </c>
      <c r="CO262" s="35" t="s">
        <v>8391</v>
      </c>
      <c r="CP262" s="35" t="s">
        <v>8392</v>
      </c>
      <c r="CQ262" s="35" t="s">
        <v>445</v>
      </c>
      <c r="CR262" s="35" t="s">
        <v>1649</v>
      </c>
      <c r="CS262" s="35" t="s">
        <v>555</v>
      </c>
      <c r="CT262" s="35" t="s">
        <v>8393</v>
      </c>
      <c r="CU262" s="35" t="s">
        <v>8394</v>
      </c>
      <c r="CV262" s="35" t="s">
        <v>450</v>
      </c>
      <c r="CW262" s="35" t="s">
        <v>451</v>
      </c>
      <c r="CX262" s="35" t="s">
        <v>8395</v>
      </c>
      <c r="CY262" s="35" t="s">
        <v>408</v>
      </c>
      <c r="DA262" s="35" t="s">
        <v>453</v>
      </c>
      <c r="DB262" s="35" t="s">
        <v>8396</v>
      </c>
      <c r="DC262" s="35" t="s">
        <v>408</v>
      </c>
      <c r="DE262" s="35" t="s">
        <v>406</v>
      </c>
      <c r="DF262" s="35" t="s">
        <v>691</v>
      </c>
      <c r="DG262" s="35" t="s">
        <v>8397</v>
      </c>
      <c r="DH262" s="35" t="s">
        <v>561</v>
      </c>
      <c r="DI262" s="35" t="s">
        <v>833</v>
      </c>
      <c r="DJ262" s="35" t="s">
        <v>459</v>
      </c>
      <c r="DK262" s="35" t="s">
        <v>613</v>
      </c>
      <c r="EU262" s="35" t="s">
        <v>578</v>
      </c>
      <c r="EV262" s="35" t="s">
        <v>479</v>
      </c>
      <c r="EW262" s="35" t="s">
        <v>1534</v>
      </c>
      <c r="EX262" s="35" t="s">
        <v>8398</v>
      </c>
      <c r="EY262" s="35" t="s">
        <v>8399</v>
      </c>
      <c r="EZ262" s="35" t="s">
        <v>8400</v>
      </c>
      <c r="FA262" s="35" t="s">
        <v>413</v>
      </c>
      <c r="FB262" s="35" t="s">
        <v>413</v>
      </c>
      <c r="FC262" s="35" t="s">
        <v>413</v>
      </c>
      <c r="FD262" s="35" t="s">
        <v>413</v>
      </c>
      <c r="FE262" s="35" t="s">
        <v>413</v>
      </c>
      <c r="FF262" s="35" t="s">
        <v>413</v>
      </c>
      <c r="FG262" s="35" t="s">
        <v>413</v>
      </c>
      <c r="FH262" s="35" t="s">
        <v>413</v>
      </c>
      <c r="FI262" s="35" t="s">
        <v>583</v>
      </c>
      <c r="FJ262" s="35" t="s">
        <v>413</v>
      </c>
      <c r="FK262" s="35" t="s">
        <v>413</v>
      </c>
      <c r="FL262" s="35" t="s">
        <v>413</v>
      </c>
      <c r="FM262" s="35" t="s">
        <v>413</v>
      </c>
      <c r="FN262" s="35" t="s">
        <v>413</v>
      </c>
      <c r="FO262" s="35" t="s">
        <v>583</v>
      </c>
      <c r="FP262" s="35" t="s">
        <v>417</v>
      </c>
      <c r="FQ262" s="35" t="s">
        <v>418</v>
      </c>
      <c r="FR262" s="35" t="s">
        <v>1039</v>
      </c>
      <c r="FS262" s="35" t="s">
        <v>8401</v>
      </c>
      <c r="FT262" s="35" t="s">
        <v>420</v>
      </c>
      <c r="FU262" s="35" t="s">
        <v>488</v>
      </c>
      <c r="FV262" s="35" t="s">
        <v>585</v>
      </c>
      <c r="FW262" s="35" t="s">
        <v>490</v>
      </c>
      <c r="FX262" s="35" t="s">
        <v>491</v>
      </c>
      <c r="FY262" s="35" t="s">
        <v>8402</v>
      </c>
      <c r="FZ262" s="35" t="s">
        <v>535</v>
      </c>
      <c r="GA262" s="35" t="s">
        <v>8403</v>
      </c>
      <c r="GC262" s="35" t="s">
        <v>408</v>
      </c>
      <c r="GH262" s="35" t="s">
        <v>857</v>
      </c>
      <c r="GI262" s="35" t="s">
        <v>857</v>
      </c>
      <c r="GJ262" s="35" t="s">
        <v>790</v>
      </c>
      <c r="GO262" s="35" t="s">
        <v>538</v>
      </c>
      <c r="GP262" s="35" t="s">
        <v>538</v>
      </c>
      <c r="GR262" s="35" t="s">
        <v>3208</v>
      </c>
      <c r="GU262" s="35" t="s">
        <v>5170</v>
      </c>
      <c r="GV262" s="35" t="s">
        <v>8404</v>
      </c>
      <c r="GW262" s="35" t="s">
        <v>5231</v>
      </c>
      <c r="GX262" s="35" t="s">
        <v>484</v>
      </c>
      <c r="HD262" s="35" t="s">
        <v>5297</v>
      </c>
      <c r="HE262" s="35" t="s">
        <v>5298</v>
      </c>
      <c r="HF262" s="35" t="s">
        <v>5299</v>
      </c>
      <c r="HG262" s="35" t="s">
        <v>5284</v>
      </c>
      <c r="HP262" s="35" t="s">
        <v>5301</v>
      </c>
      <c r="HQ262" s="35" t="s">
        <v>5371</v>
      </c>
      <c r="HR262" s="35" t="s">
        <v>5238</v>
      </c>
      <c r="HS262" s="35" t="s">
        <v>5239</v>
      </c>
      <c r="HX262" s="35" t="s">
        <v>5971</v>
      </c>
      <c r="MK262" s="35" t="s">
        <v>6321</v>
      </c>
    </row>
    <row r="263">
      <c r="A263" s="35" t="s">
        <v>11530</v>
      </c>
      <c r="B263" s="40">
        <v>46064.99989840278</v>
      </c>
      <c r="C263" s="35" t="s">
        <v>368</v>
      </c>
      <c r="D263" s="35" t="s">
        <v>370</v>
      </c>
      <c r="E263" s="35" t="s">
        <v>8495</v>
      </c>
      <c r="F263" s="35" t="s">
        <v>371</v>
      </c>
      <c r="H263" s="35" t="s">
        <v>1023</v>
      </c>
      <c r="I263" s="35" t="s">
        <v>1921</v>
      </c>
      <c r="J263" s="35" t="s">
        <v>1022</v>
      </c>
      <c r="K263" s="35" t="s">
        <v>718</v>
      </c>
      <c r="L263" s="35" t="s">
        <v>376</v>
      </c>
      <c r="M263" s="35" t="s">
        <v>379</v>
      </c>
      <c r="N263" s="35" t="s">
        <v>541</v>
      </c>
      <c r="O263" s="35" t="s">
        <v>379</v>
      </c>
      <c r="P263" s="35" t="s">
        <v>719</v>
      </c>
      <c r="Q263" s="35" t="s">
        <v>498</v>
      </c>
      <c r="R263" s="35" t="s">
        <v>382</v>
      </c>
      <c r="S263" s="35" t="s">
        <v>427</v>
      </c>
      <c r="T263" s="35" t="s">
        <v>384</v>
      </c>
      <c r="U263" s="35" t="s">
        <v>385</v>
      </c>
      <c r="X263" s="35" t="s">
        <v>386</v>
      </c>
      <c r="Y263" s="35" t="s">
        <v>387</v>
      </c>
      <c r="Z263" s="35" t="s">
        <v>388</v>
      </c>
      <c r="AA263" s="35" t="s">
        <v>672</v>
      </c>
      <c r="AB263" s="35" t="s">
        <v>8496</v>
      </c>
      <c r="AW263" s="35" t="s">
        <v>597</v>
      </c>
      <c r="AX263" s="41">
        <v>2.0</v>
      </c>
      <c r="AY263" s="41">
        <v>4.0</v>
      </c>
      <c r="AZ263" s="41">
        <v>2.0</v>
      </c>
      <c r="BA263" s="35" t="s">
        <v>675</v>
      </c>
      <c r="BB263" s="35" t="s">
        <v>429</v>
      </c>
      <c r="BC263" s="41">
        <v>2.0</v>
      </c>
      <c r="BD263" s="35" t="s">
        <v>8497</v>
      </c>
      <c r="BE263" s="35" t="s">
        <v>8498</v>
      </c>
      <c r="BF263" s="35" t="s">
        <v>2259</v>
      </c>
      <c r="BG263" s="35" t="s">
        <v>1047</v>
      </c>
      <c r="BH263" s="35" t="s">
        <v>434</v>
      </c>
      <c r="BI263" s="35" t="s">
        <v>8499</v>
      </c>
      <c r="BJ263" s="35" t="s">
        <v>976</v>
      </c>
      <c r="BL263" s="35" t="s">
        <v>395</v>
      </c>
      <c r="BM263" s="35" t="s">
        <v>603</v>
      </c>
      <c r="BN263" s="35" t="s">
        <v>397</v>
      </c>
      <c r="BO263" s="35" t="s">
        <v>513</v>
      </c>
      <c r="CM263" s="35" t="s">
        <v>441</v>
      </c>
      <c r="CN263" s="35" t="s">
        <v>401</v>
      </c>
      <c r="CO263" s="35" t="s">
        <v>552</v>
      </c>
      <c r="CP263" s="35" t="s">
        <v>8500</v>
      </c>
      <c r="CQ263" s="35" t="s">
        <v>445</v>
      </c>
      <c r="CR263" s="35" t="s">
        <v>8501</v>
      </c>
      <c r="CS263" s="35" t="s">
        <v>447</v>
      </c>
      <c r="CT263" s="35" t="s">
        <v>8502</v>
      </c>
      <c r="CU263" s="35" t="s">
        <v>8503</v>
      </c>
      <c r="CV263" s="35" t="s">
        <v>519</v>
      </c>
      <c r="CW263" s="35" t="s">
        <v>451</v>
      </c>
      <c r="CX263" s="35" t="s">
        <v>8504</v>
      </c>
      <c r="CY263" s="35" t="s">
        <v>408</v>
      </c>
      <c r="DA263" s="35" t="s">
        <v>453</v>
      </c>
      <c r="DB263" s="35" t="s">
        <v>8505</v>
      </c>
      <c r="DC263" s="35" t="s">
        <v>455</v>
      </c>
      <c r="DD263" s="35" t="s">
        <v>8506</v>
      </c>
      <c r="DE263" s="35" t="s">
        <v>457</v>
      </c>
      <c r="DG263" s="35" t="s">
        <v>8507</v>
      </c>
      <c r="DH263" s="35" t="s">
        <v>776</v>
      </c>
      <c r="DI263" s="35" t="s">
        <v>410</v>
      </c>
      <c r="DJ263" s="35" t="s">
        <v>459</v>
      </c>
      <c r="DK263" s="35" t="s">
        <v>1403</v>
      </c>
      <c r="DL263" s="35" t="s">
        <v>6335</v>
      </c>
      <c r="EU263" s="35" t="s">
        <v>526</v>
      </c>
      <c r="EV263" s="35" t="s">
        <v>479</v>
      </c>
      <c r="EW263" s="35" t="s">
        <v>778</v>
      </c>
      <c r="EX263" s="35" t="s">
        <v>8508</v>
      </c>
      <c r="EY263" s="35" t="s">
        <v>8509</v>
      </c>
      <c r="EZ263" s="35" t="s">
        <v>8510</v>
      </c>
      <c r="FA263" s="35" t="s">
        <v>416</v>
      </c>
      <c r="FB263" s="35" t="s">
        <v>416</v>
      </c>
      <c r="FC263" s="35" t="s">
        <v>416</v>
      </c>
      <c r="FD263" s="35" t="s">
        <v>416</v>
      </c>
      <c r="FE263" s="35" t="s">
        <v>416</v>
      </c>
      <c r="FF263" s="35" t="s">
        <v>416</v>
      </c>
      <c r="FG263" s="35" t="s">
        <v>416</v>
      </c>
      <c r="FH263" s="35" t="s">
        <v>416</v>
      </c>
      <c r="FI263" s="35" t="s">
        <v>413</v>
      </c>
      <c r="FJ263" s="35" t="s">
        <v>413</v>
      </c>
      <c r="FK263" s="35" t="s">
        <v>416</v>
      </c>
      <c r="FL263" s="35" t="s">
        <v>416</v>
      </c>
      <c r="FM263" s="35" t="s">
        <v>413</v>
      </c>
      <c r="FN263" s="35" t="s">
        <v>416</v>
      </c>
      <c r="FO263" s="35" t="s">
        <v>413</v>
      </c>
      <c r="FP263" s="35" t="s">
        <v>417</v>
      </c>
      <c r="FQ263" s="35" t="s">
        <v>418</v>
      </c>
      <c r="FR263" s="35" t="s">
        <v>749</v>
      </c>
      <c r="FS263" s="35" t="s">
        <v>8511</v>
      </c>
      <c r="FT263" s="35" t="s">
        <v>1189</v>
      </c>
      <c r="FU263" s="35" t="s">
        <v>488</v>
      </c>
      <c r="FV263" s="35" t="s">
        <v>585</v>
      </c>
      <c r="FW263" s="35" t="s">
        <v>490</v>
      </c>
      <c r="FX263" s="35" t="s">
        <v>491</v>
      </c>
      <c r="FY263" s="35" t="s">
        <v>8512</v>
      </c>
      <c r="FZ263" s="35" t="s">
        <v>535</v>
      </c>
      <c r="GA263" s="35" t="s">
        <v>8513</v>
      </c>
      <c r="GB263" s="35" t="s">
        <v>8514</v>
      </c>
      <c r="GC263" s="35" t="s">
        <v>455</v>
      </c>
      <c r="GD263" s="35" t="s">
        <v>11531</v>
      </c>
      <c r="GF263" s="35" t="s">
        <v>786</v>
      </c>
      <c r="GG263" s="35" t="s">
        <v>8515</v>
      </c>
      <c r="GH263" s="35" t="s">
        <v>755</v>
      </c>
      <c r="GI263" s="35" t="s">
        <v>755</v>
      </c>
      <c r="GJ263" s="35" t="s">
        <v>946</v>
      </c>
      <c r="GP263" s="35" t="s">
        <v>8495</v>
      </c>
      <c r="GR263" s="35" t="s">
        <v>3306</v>
      </c>
      <c r="GU263" s="35" t="s">
        <v>5170</v>
      </c>
      <c r="GV263" s="35" t="s">
        <v>8516</v>
      </c>
      <c r="GW263" s="35" t="s">
        <v>5231</v>
      </c>
      <c r="GX263" s="35" t="s">
        <v>5232</v>
      </c>
      <c r="HD263" s="35" t="s">
        <v>5297</v>
      </c>
      <c r="HE263" s="35" t="s">
        <v>5282</v>
      </c>
      <c r="HF263" s="35" t="s">
        <v>5320</v>
      </c>
      <c r="HG263" s="35" t="s">
        <v>5284</v>
      </c>
      <c r="HP263" s="35" t="s">
        <v>5236</v>
      </c>
      <c r="HQ263" s="35" t="s">
        <v>5264</v>
      </c>
      <c r="HR263" s="35" t="s">
        <v>5238</v>
      </c>
      <c r="HS263" s="35" t="s">
        <v>5347</v>
      </c>
      <c r="HX263" s="35" t="s">
        <v>5628</v>
      </c>
      <c r="MK263" s="35" t="s">
        <v>6321</v>
      </c>
    </row>
    <row r="264">
      <c r="A264" s="35" t="s">
        <v>11532</v>
      </c>
      <c r="B264" s="40">
        <v>46065.31308600694</v>
      </c>
      <c r="C264" s="35" t="s">
        <v>368</v>
      </c>
      <c r="D264" s="35" t="s">
        <v>1341</v>
      </c>
      <c r="E264" s="35" t="s">
        <v>1341</v>
      </c>
      <c r="H264" s="35" t="s">
        <v>422</v>
      </c>
      <c r="I264" s="35" t="s">
        <v>1921</v>
      </c>
      <c r="J264" s="35" t="s">
        <v>668</v>
      </c>
      <c r="K264" s="35" t="s">
        <v>375</v>
      </c>
      <c r="L264" s="35" t="s">
        <v>376</v>
      </c>
      <c r="M264" s="35" t="s">
        <v>591</v>
      </c>
      <c r="N264" s="35" t="s">
        <v>720</v>
      </c>
      <c r="O264" s="35" t="s">
        <v>670</v>
      </c>
      <c r="P264" s="35" t="s">
        <v>720</v>
      </c>
      <c r="Q264" s="35" t="s">
        <v>592</v>
      </c>
      <c r="R264" s="35" t="s">
        <v>862</v>
      </c>
      <c r="S264" s="35" t="s">
        <v>427</v>
      </c>
      <c r="T264" s="35" t="s">
        <v>384</v>
      </c>
      <c r="U264" s="35" t="s">
        <v>385</v>
      </c>
      <c r="X264" s="35" t="s">
        <v>593</v>
      </c>
      <c r="Y264" s="35" t="s">
        <v>387</v>
      </c>
      <c r="Z264" s="35" t="s">
        <v>388</v>
      </c>
      <c r="AA264" s="35" t="s">
        <v>543</v>
      </c>
      <c r="AB264" s="35" t="s">
        <v>2675</v>
      </c>
      <c r="AC264" s="35" t="s">
        <v>8517</v>
      </c>
      <c r="AW264" s="35" t="s">
        <v>390</v>
      </c>
      <c r="AX264" s="35" t="s">
        <v>429</v>
      </c>
      <c r="AY264" s="35" t="s">
        <v>429</v>
      </c>
      <c r="AZ264" s="35" t="s">
        <v>429</v>
      </c>
      <c r="BA264" s="35" t="s">
        <v>429</v>
      </c>
      <c r="BB264" s="35" t="s">
        <v>429</v>
      </c>
      <c r="BC264" s="35" t="s">
        <v>429</v>
      </c>
      <c r="BD264" s="35" t="s">
        <v>8518</v>
      </c>
      <c r="BE264" s="35" t="s">
        <v>8519</v>
      </c>
      <c r="BF264" s="35" t="s">
        <v>392</v>
      </c>
      <c r="BG264" s="35" t="s">
        <v>433</v>
      </c>
      <c r="BI264" s="35" t="s">
        <v>8520</v>
      </c>
      <c r="BJ264" s="35" t="s">
        <v>509</v>
      </c>
      <c r="BK264" s="35" t="s">
        <v>8521</v>
      </c>
      <c r="BL264" s="35" t="s">
        <v>437</v>
      </c>
      <c r="BM264" s="35" t="s">
        <v>512</v>
      </c>
      <c r="BN264" s="35" t="s">
        <v>439</v>
      </c>
      <c r="BO264" s="35" t="s">
        <v>513</v>
      </c>
      <c r="CM264" s="35" t="s">
        <v>550</v>
      </c>
      <c r="CN264" s="35" t="s">
        <v>682</v>
      </c>
      <c r="CO264" s="35" t="s">
        <v>8522</v>
      </c>
      <c r="CP264" s="35" t="s">
        <v>8523</v>
      </c>
      <c r="CQ264" s="35" t="s">
        <v>685</v>
      </c>
      <c r="CR264" s="35" t="s">
        <v>8524</v>
      </c>
      <c r="CS264" s="35" t="s">
        <v>804</v>
      </c>
      <c r="CT264" s="35" t="s">
        <v>8525</v>
      </c>
      <c r="CU264" s="35" t="s">
        <v>8526</v>
      </c>
      <c r="CV264" s="35" t="s">
        <v>450</v>
      </c>
      <c r="CW264" s="35" t="s">
        <v>451</v>
      </c>
      <c r="CX264" s="35" t="s">
        <v>8527</v>
      </c>
      <c r="CY264" s="35" t="s">
        <v>455</v>
      </c>
      <c r="CZ264" s="35" t="s">
        <v>8528</v>
      </c>
      <c r="DA264" s="35" t="s">
        <v>453</v>
      </c>
      <c r="DB264" s="35" t="s">
        <v>8529</v>
      </c>
      <c r="DC264" s="35" t="s">
        <v>455</v>
      </c>
      <c r="DD264" s="35" t="s">
        <v>8530</v>
      </c>
      <c r="DE264" s="35" t="s">
        <v>1400</v>
      </c>
      <c r="DG264" s="35" t="s">
        <v>8531</v>
      </c>
      <c r="DH264" s="35" t="s">
        <v>776</v>
      </c>
      <c r="DI264" s="35" t="s">
        <v>410</v>
      </c>
      <c r="DJ264" s="35" t="s">
        <v>459</v>
      </c>
      <c r="DK264" s="35" t="s">
        <v>460</v>
      </c>
      <c r="DL264" s="35" t="s">
        <v>6319</v>
      </c>
      <c r="EU264" s="35" t="s">
        <v>526</v>
      </c>
      <c r="EV264" s="35" t="s">
        <v>579</v>
      </c>
      <c r="EW264" s="35" t="s">
        <v>480</v>
      </c>
      <c r="EX264" s="35" t="s">
        <v>8532</v>
      </c>
      <c r="EY264" s="35" t="s">
        <v>8533</v>
      </c>
      <c r="EZ264" s="35" t="s">
        <v>8534</v>
      </c>
      <c r="FA264" s="35" t="s">
        <v>416</v>
      </c>
      <c r="FB264" s="35" t="s">
        <v>416</v>
      </c>
      <c r="FC264" s="35" t="s">
        <v>413</v>
      </c>
      <c r="FD264" s="35" t="s">
        <v>416</v>
      </c>
      <c r="FE264" s="35" t="s">
        <v>413</v>
      </c>
      <c r="FF264" s="35" t="s">
        <v>416</v>
      </c>
      <c r="FG264" s="35" t="s">
        <v>413</v>
      </c>
      <c r="FH264" s="35" t="s">
        <v>413</v>
      </c>
      <c r="FI264" s="35" t="s">
        <v>413</v>
      </c>
      <c r="FJ264" s="35" t="s">
        <v>413</v>
      </c>
      <c r="FK264" s="35" t="s">
        <v>416</v>
      </c>
      <c r="FL264" s="35" t="s">
        <v>416</v>
      </c>
      <c r="FM264" s="35" t="s">
        <v>416</v>
      </c>
      <c r="FN264" s="35" t="s">
        <v>413</v>
      </c>
      <c r="FO264" s="35" t="s">
        <v>416</v>
      </c>
      <c r="FP264" s="35" t="s">
        <v>417</v>
      </c>
      <c r="FQ264" s="35" t="s">
        <v>418</v>
      </c>
      <c r="FR264" s="35" t="s">
        <v>1039</v>
      </c>
      <c r="FS264" s="35" t="s">
        <v>8535</v>
      </c>
      <c r="FT264" s="35" t="s">
        <v>420</v>
      </c>
      <c r="FU264" s="35" t="s">
        <v>488</v>
      </c>
      <c r="FV264" s="35" t="s">
        <v>1235</v>
      </c>
      <c r="FW264" s="35" t="s">
        <v>490</v>
      </c>
      <c r="FX264" s="35" t="s">
        <v>491</v>
      </c>
      <c r="FY264" s="35" t="s">
        <v>8536</v>
      </c>
      <c r="FZ264" s="35" t="s">
        <v>1020</v>
      </c>
      <c r="GA264" s="35" t="s">
        <v>8537</v>
      </c>
      <c r="GB264" s="35" t="s">
        <v>8538</v>
      </c>
      <c r="GC264" s="35" t="s">
        <v>455</v>
      </c>
      <c r="GD264" s="35" t="s">
        <v>11533</v>
      </c>
      <c r="GF264" s="35" t="s">
        <v>855</v>
      </c>
      <c r="GG264" s="35" t="s">
        <v>8539</v>
      </c>
      <c r="GH264" s="35" t="s">
        <v>857</v>
      </c>
      <c r="GI264" s="35" t="s">
        <v>755</v>
      </c>
      <c r="GJ264" s="35" t="s">
        <v>946</v>
      </c>
      <c r="GO264" s="35" t="s">
        <v>1341</v>
      </c>
      <c r="GP264" s="35" t="s">
        <v>1341</v>
      </c>
      <c r="GR264" s="35" t="s">
        <v>8540</v>
      </c>
      <c r="GU264" s="35" t="s">
        <v>4774</v>
      </c>
      <c r="GW264" s="35" t="s">
        <v>5231</v>
      </c>
      <c r="GX264" s="35" t="s">
        <v>8541</v>
      </c>
      <c r="HE264" s="35" t="s">
        <v>5282</v>
      </c>
      <c r="HF264" s="35" t="s">
        <v>5718</v>
      </c>
      <c r="HG264" s="35" t="s">
        <v>5768</v>
      </c>
      <c r="HQ264" s="35" t="s">
        <v>5719</v>
      </c>
      <c r="HR264" s="35" t="s">
        <v>5238</v>
      </c>
      <c r="HS264" s="35" t="s">
        <v>5321</v>
      </c>
      <c r="HX264" s="35" t="s">
        <v>8542</v>
      </c>
      <c r="MK264" s="35" t="s">
        <v>6321</v>
      </c>
    </row>
    <row r="265">
      <c r="A265" s="35" t="s">
        <v>11534</v>
      </c>
      <c r="B265" s="40">
        <v>46065.52200550926</v>
      </c>
      <c r="C265" s="35" t="s">
        <v>368</v>
      </c>
      <c r="D265" s="35" t="s">
        <v>370</v>
      </c>
      <c r="E265" s="35" t="s">
        <v>370</v>
      </c>
      <c r="F265" s="35" t="s">
        <v>3955</v>
      </c>
      <c r="G265" s="35" t="s">
        <v>3955</v>
      </c>
      <c r="H265" s="35" t="s">
        <v>422</v>
      </c>
      <c r="I265" s="35" t="s">
        <v>496</v>
      </c>
      <c r="J265" s="35" t="s">
        <v>374</v>
      </c>
      <c r="K265" s="35" t="s">
        <v>425</v>
      </c>
      <c r="L265" s="35" t="s">
        <v>2560</v>
      </c>
      <c r="M265" s="35" t="s">
        <v>591</v>
      </c>
      <c r="N265" s="35" t="s">
        <v>720</v>
      </c>
      <c r="O265" s="35" t="s">
        <v>396</v>
      </c>
      <c r="Q265" s="35" t="s">
        <v>498</v>
      </c>
      <c r="R265" s="35" t="s">
        <v>499</v>
      </c>
      <c r="S265" s="35" t="s">
        <v>427</v>
      </c>
      <c r="T265" s="35" t="s">
        <v>384</v>
      </c>
      <c r="U265" s="35" t="s">
        <v>385</v>
      </c>
      <c r="X265" s="35" t="s">
        <v>593</v>
      </c>
      <c r="Y265" s="35" t="s">
        <v>387</v>
      </c>
      <c r="Z265" s="35" t="s">
        <v>897</v>
      </c>
      <c r="AA265" s="35" t="s">
        <v>502</v>
      </c>
      <c r="AB265" s="35" t="s">
        <v>8564</v>
      </c>
      <c r="AC265" s="35" t="s">
        <v>8565</v>
      </c>
      <c r="AW265" s="35" t="s">
        <v>390</v>
      </c>
      <c r="AX265" s="41">
        <v>2.0</v>
      </c>
      <c r="AY265" s="41">
        <v>2.0</v>
      </c>
      <c r="AZ265" s="35" t="s">
        <v>429</v>
      </c>
      <c r="BA265" s="35" t="s">
        <v>429</v>
      </c>
      <c r="BB265" s="35" t="s">
        <v>429</v>
      </c>
      <c r="BC265" s="35" t="s">
        <v>429</v>
      </c>
      <c r="BD265" s="35" t="s">
        <v>8566</v>
      </c>
      <c r="BE265" s="35" t="s">
        <v>8567</v>
      </c>
      <c r="BF265" s="35" t="s">
        <v>392</v>
      </c>
      <c r="BG265" s="35" t="s">
        <v>433</v>
      </c>
      <c r="BH265" s="35" t="s">
        <v>678</v>
      </c>
      <c r="BI265" s="35" t="s">
        <v>8568</v>
      </c>
      <c r="BJ265" s="35" t="s">
        <v>509</v>
      </c>
      <c r="BK265" s="35" t="s">
        <v>8569</v>
      </c>
      <c r="BL265" s="35" t="s">
        <v>511</v>
      </c>
      <c r="BM265" s="35" t="s">
        <v>396</v>
      </c>
      <c r="BN265" s="35" t="s">
        <v>439</v>
      </c>
      <c r="BO265" s="35" t="s">
        <v>513</v>
      </c>
      <c r="CM265" s="35" t="s">
        <v>441</v>
      </c>
      <c r="CN265" s="35" t="s">
        <v>682</v>
      </c>
      <c r="CO265" s="35" t="s">
        <v>8570</v>
      </c>
      <c r="CP265" s="35" t="s">
        <v>8571</v>
      </c>
      <c r="CQ265" s="35" t="s">
        <v>1008</v>
      </c>
      <c r="CR265" s="35" t="s">
        <v>8572</v>
      </c>
      <c r="CS265" s="35" t="s">
        <v>447</v>
      </c>
      <c r="CT265" s="35" t="s">
        <v>1147</v>
      </c>
      <c r="CU265" s="35" t="s">
        <v>8573</v>
      </c>
      <c r="CV265" s="35" t="s">
        <v>450</v>
      </c>
      <c r="CW265" s="35" t="s">
        <v>451</v>
      </c>
      <c r="CX265" s="35" t="s">
        <v>8574</v>
      </c>
      <c r="CY265" s="35" t="s">
        <v>455</v>
      </c>
      <c r="CZ265" s="35" t="s">
        <v>8575</v>
      </c>
      <c r="DA265" s="35" t="s">
        <v>453</v>
      </c>
      <c r="DB265" s="35" t="s">
        <v>8576</v>
      </c>
      <c r="DC265" s="35" t="s">
        <v>455</v>
      </c>
      <c r="DD265" s="35" t="s">
        <v>8577</v>
      </c>
      <c r="DE265" s="35" t="s">
        <v>457</v>
      </c>
      <c r="DG265" s="35" t="s">
        <v>8578</v>
      </c>
      <c r="DH265" s="35" t="s">
        <v>561</v>
      </c>
      <c r="DI265" s="35" t="s">
        <v>410</v>
      </c>
      <c r="DJ265" s="35" t="s">
        <v>1402</v>
      </c>
      <c r="DK265" s="35" t="s">
        <v>613</v>
      </c>
      <c r="EU265" s="35" t="s">
        <v>526</v>
      </c>
      <c r="EV265" s="35" t="s">
        <v>1127</v>
      </c>
      <c r="EW265" s="35" t="s">
        <v>778</v>
      </c>
      <c r="EX265" s="35" t="s">
        <v>8579</v>
      </c>
      <c r="EY265" s="35" t="s">
        <v>8580</v>
      </c>
      <c r="EZ265" s="35" t="s">
        <v>8581</v>
      </c>
      <c r="FA265" s="35" t="s">
        <v>413</v>
      </c>
      <c r="FB265" s="35" t="s">
        <v>413</v>
      </c>
      <c r="FC265" s="35" t="s">
        <v>413</v>
      </c>
      <c r="FD265" s="35" t="s">
        <v>413</v>
      </c>
      <c r="FE265" s="35" t="s">
        <v>413</v>
      </c>
      <c r="FF265" s="35" t="s">
        <v>413</v>
      </c>
      <c r="FG265" s="35" t="s">
        <v>413</v>
      </c>
      <c r="FH265" s="35" t="s">
        <v>484</v>
      </c>
      <c r="FI265" s="35" t="s">
        <v>413</v>
      </c>
      <c r="FJ265" s="35" t="s">
        <v>413</v>
      </c>
      <c r="FK265" s="35" t="s">
        <v>413</v>
      </c>
      <c r="FL265" s="35" t="s">
        <v>413</v>
      </c>
      <c r="FM265" s="35" t="s">
        <v>484</v>
      </c>
      <c r="FN265" s="35" t="s">
        <v>484</v>
      </c>
      <c r="FO265" s="35" t="s">
        <v>484</v>
      </c>
      <c r="FP265" s="35" t="s">
        <v>417</v>
      </c>
      <c r="FQ265" s="35" t="s">
        <v>418</v>
      </c>
      <c r="FR265" s="35" t="s">
        <v>531</v>
      </c>
      <c r="FS265" s="35" t="s">
        <v>8582</v>
      </c>
      <c r="FT265" s="35" t="s">
        <v>420</v>
      </c>
      <c r="FU265" s="35" t="s">
        <v>488</v>
      </c>
      <c r="FV265" s="35" t="s">
        <v>918</v>
      </c>
      <c r="FW265" s="35" t="s">
        <v>490</v>
      </c>
      <c r="FX265" s="35" t="s">
        <v>491</v>
      </c>
      <c r="FY265" s="35" t="s">
        <v>8583</v>
      </c>
      <c r="FZ265" s="35" t="s">
        <v>535</v>
      </c>
      <c r="GA265" s="35" t="s">
        <v>8584</v>
      </c>
      <c r="GB265" s="35" t="s">
        <v>8585</v>
      </c>
      <c r="GC265" s="35" t="s">
        <v>455</v>
      </c>
      <c r="GD265" s="35" t="s">
        <v>11535</v>
      </c>
      <c r="GE265" s="35" t="s">
        <v>11536</v>
      </c>
      <c r="GF265" s="35" t="s">
        <v>1339</v>
      </c>
      <c r="GG265" s="35" t="s">
        <v>8586</v>
      </c>
      <c r="GH265" s="35" t="s">
        <v>789</v>
      </c>
      <c r="GI265" s="35" t="s">
        <v>857</v>
      </c>
      <c r="GJ265" s="35" t="s">
        <v>790</v>
      </c>
      <c r="GR265" s="35" t="s">
        <v>4653</v>
      </c>
      <c r="GU265" s="35" t="s">
        <v>4774</v>
      </c>
      <c r="GW265" s="35" t="s">
        <v>5231</v>
      </c>
      <c r="GX265" s="35" t="s">
        <v>5232</v>
      </c>
      <c r="HD265" s="35" t="s">
        <v>6053</v>
      </c>
      <c r="HE265" s="35" t="s">
        <v>5282</v>
      </c>
      <c r="HF265" s="35" t="s">
        <v>5299</v>
      </c>
      <c r="HG265" s="35" t="s">
        <v>5284</v>
      </c>
      <c r="HP265" s="35" t="s">
        <v>5346</v>
      </c>
      <c r="HQ265" s="35" t="s">
        <v>5237</v>
      </c>
      <c r="HR265" s="35" t="s">
        <v>5238</v>
      </c>
      <c r="HS265" s="35" t="s">
        <v>5347</v>
      </c>
      <c r="HX265" s="35" t="s">
        <v>8587</v>
      </c>
      <c r="MK265" s="35" t="s">
        <v>6321</v>
      </c>
    </row>
    <row r="266">
      <c r="A266" s="35" t="s">
        <v>11537</v>
      </c>
      <c r="B266" s="40">
        <v>46066.35949877315</v>
      </c>
      <c r="C266" s="35" t="s">
        <v>368</v>
      </c>
      <c r="D266" s="35" t="s">
        <v>370</v>
      </c>
      <c r="E266" s="35" t="s">
        <v>370</v>
      </c>
      <c r="F266" s="35" t="s">
        <v>2359</v>
      </c>
      <c r="G266" s="35" t="s">
        <v>2359</v>
      </c>
      <c r="H266" s="35" t="s">
        <v>422</v>
      </c>
      <c r="I266" s="35" t="s">
        <v>496</v>
      </c>
      <c r="J266" s="35" t="s">
        <v>374</v>
      </c>
      <c r="K266" s="35" t="s">
        <v>375</v>
      </c>
      <c r="L266" s="35" t="s">
        <v>376</v>
      </c>
      <c r="M266" s="35" t="s">
        <v>591</v>
      </c>
      <c r="N266" s="35" t="s">
        <v>719</v>
      </c>
      <c r="O266" s="35" t="s">
        <v>591</v>
      </c>
      <c r="P266" s="35" t="s">
        <v>380</v>
      </c>
      <c r="Q266" s="35" t="s">
        <v>498</v>
      </c>
      <c r="R266" s="35" t="s">
        <v>818</v>
      </c>
      <c r="S266" s="35" t="s">
        <v>500</v>
      </c>
      <c r="T266" s="35" t="s">
        <v>384</v>
      </c>
      <c r="U266" s="35" t="s">
        <v>385</v>
      </c>
      <c r="X266" s="35" t="s">
        <v>3231</v>
      </c>
      <c r="AW266" s="35" t="s">
        <v>390</v>
      </c>
      <c r="AX266" s="35" t="s">
        <v>429</v>
      </c>
      <c r="AY266" s="35" t="s">
        <v>429</v>
      </c>
      <c r="AZ266" s="41">
        <v>2.0</v>
      </c>
      <c r="BA266" s="35" t="s">
        <v>429</v>
      </c>
      <c r="BB266" s="35" t="s">
        <v>429</v>
      </c>
      <c r="BC266" s="35" t="s">
        <v>429</v>
      </c>
      <c r="BD266" s="35" t="s">
        <v>8602</v>
      </c>
      <c r="BE266" s="35" t="s">
        <v>8603</v>
      </c>
      <c r="BF266" s="35" t="s">
        <v>392</v>
      </c>
      <c r="BG266" s="35" t="s">
        <v>433</v>
      </c>
      <c r="BH266" s="35" t="s">
        <v>678</v>
      </c>
      <c r="BI266" s="35" t="s">
        <v>8604</v>
      </c>
      <c r="BJ266" s="35" t="s">
        <v>509</v>
      </c>
      <c r="BK266" s="35" t="s">
        <v>8605</v>
      </c>
      <c r="BL266" s="35" t="s">
        <v>437</v>
      </c>
      <c r="BM266" s="35" t="s">
        <v>438</v>
      </c>
      <c r="BN266" s="35" t="s">
        <v>439</v>
      </c>
      <c r="BO266" s="35" t="s">
        <v>513</v>
      </c>
      <c r="CM266" s="35" t="s">
        <v>441</v>
      </c>
      <c r="CN266" s="35" t="s">
        <v>442</v>
      </c>
      <c r="CO266" s="35" t="s">
        <v>6551</v>
      </c>
      <c r="CP266" s="35" t="s">
        <v>8606</v>
      </c>
      <c r="CQ266" s="35" t="s">
        <v>979</v>
      </c>
      <c r="CR266" s="35" t="s">
        <v>8607</v>
      </c>
      <c r="CS266" s="35" t="s">
        <v>447</v>
      </c>
      <c r="CT266" s="35" t="s">
        <v>8608</v>
      </c>
      <c r="CV266" s="35" t="s">
        <v>519</v>
      </c>
      <c r="CW266" s="35" t="s">
        <v>451</v>
      </c>
      <c r="CX266" s="35" t="s">
        <v>8609</v>
      </c>
      <c r="CY266" s="35" t="s">
        <v>408</v>
      </c>
      <c r="DA266" s="35" t="s">
        <v>453</v>
      </c>
      <c r="DB266" s="35" t="s">
        <v>8610</v>
      </c>
      <c r="DC266" s="35" t="s">
        <v>455</v>
      </c>
      <c r="DD266" s="35" t="s">
        <v>8611</v>
      </c>
      <c r="DE266" s="35" t="s">
        <v>662</v>
      </c>
      <c r="DF266" s="35" t="s">
        <v>691</v>
      </c>
      <c r="DG266" s="35" t="s">
        <v>8612</v>
      </c>
      <c r="DH266" s="35" t="s">
        <v>776</v>
      </c>
      <c r="DI266" s="35" t="s">
        <v>410</v>
      </c>
      <c r="DJ266" s="35" t="s">
        <v>459</v>
      </c>
      <c r="DK266" s="35" t="s">
        <v>613</v>
      </c>
      <c r="EU266" s="35" t="s">
        <v>526</v>
      </c>
      <c r="EV266" s="35" t="s">
        <v>479</v>
      </c>
      <c r="EW266" s="35" t="s">
        <v>663</v>
      </c>
      <c r="EY266" s="35" t="s">
        <v>8613</v>
      </c>
      <c r="EZ266" s="35" t="s">
        <v>8614</v>
      </c>
      <c r="FA266" s="35" t="s">
        <v>413</v>
      </c>
      <c r="FB266" s="35" t="s">
        <v>413</v>
      </c>
      <c r="FC266" s="35" t="s">
        <v>413</v>
      </c>
      <c r="FD266" s="35" t="s">
        <v>413</v>
      </c>
      <c r="FE266" s="35" t="s">
        <v>413</v>
      </c>
      <c r="FF266" s="35" t="s">
        <v>413</v>
      </c>
      <c r="FG266" s="35" t="s">
        <v>413</v>
      </c>
      <c r="FH266" s="35" t="s">
        <v>413</v>
      </c>
      <c r="FI266" s="35" t="s">
        <v>413</v>
      </c>
      <c r="FJ266" s="35" t="s">
        <v>416</v>
      </c>
      <c r="FK266" s="35" t="s">
        <v>416</v>
      </c>
      <c r="FL266" s="35" t="s">
        <v>583</v>
      </c>
      <c r="FM266" s="35" t="s">
        <v>583</v>
      </c>
      <c r="FN266" s="35" t="s">
        <v>583</v>
      </c>
      <c r="FO266" s="35" t="s">
        <v>583</v>
      </c>
      <c r="FP266" s="35" t="s">
        <v>485</v>
      </c>
      <c r="FQ266" s="35" t="s">
        <v>418</v>
      </c>
      <c r="FR266" s="35" t="s">
        <v>1039</v>
      </c>
      <c r="FS266" s="35" t="s">
        <v>8615</v>
      </c>
      <c r="FT266" s="35" t="s">
        <v>420</v>
      </c>
      <c r="FU266" s="35" t="s">
        <v>488</v>
      </c>
      <c r="FV266" s="35" t="s">
        <v>918</v>
      </c>
      <c r="FW266" s="35" t="s">
        <v>490</v>
      </c>
      <c r="FX266" s="35" t="s">
        <v>491</v>
      </c>
      <c r="FY266" s="35" t="s">
        <v>8616</v>
      </c>
      <c r="FZ266" s="35" t="s">
        <v>535</v>
      </c>
      <c r="GA266" s="35" t="s">
        <v>8617</v>
      </c>
      <c r="GC266" s="35" t="s">
        <v>408</v>
      </c>
      <c r="GH266" s="35" t="s">
        <v>1000</v>
      </c>
      <c r="GI266" s="35" t="s">
        <v>1000</v>
      </c>
      <c r="GJ266" s="35" t="s">
        <v>946</v>
      </c>
      <c r="GQ266" s="35" t="s">
        <v>387</v>
      </c>
      <c r="GR266" s="35" t="s">
        <v>3208</v>
      </c>
      <c r="GU266" s="35" t="s">
        <v>4741</v>
      </c>
      <c r="GV266" s="35" t="s">
        <v>8618</v>
      </c>
      <c r="GW266" s="35" t="s">
        <v>5231</v>
      </c>
      <c r="GX266" s="35" t="s">
        <v>5232</v>
      </c>
      <c r="HD266" s="35" t="s">
        <v>5297</v>
      </c>
      <c r="HE266" s="35" t="s">
        <v>5298</v>
      </c>
      <c r="HF266" s="35" t="s">
        <v>5492</v>
      </c>
      <c r="HG266" s="35" t="s">
        <v>5300</v>
      </c>
      <c r="HP266" s="35" t="s">
        <v>5346</v>
      </c>
      <c r="HQ266" s="35" t="s">
        <v>5237</v>
      </c>
      <c r="HR266" s="35" t="s">
        <v>5238</v>
      </c>
      <c r="HS266" s="35" t="s">
        <v>5347</v>
      </c>
      <c r="HX266" s="35" t="s">
        <v>8619</v>
      </c>
      <c r="MK266" s="35" t="s">
        <v>6321</v>
      </c>
    </row>
    <row r="267">
      <c r="A267" s="35" t="s">
        <v>11538</v>
      </c>
      <c r="B267" s="40">
        <v>46066.93613185185</v>
      </c>
      <c r="C267" s="35" t="s">
        <v>368</v>
      </c>
      <c r="D267" s="35" t="s">
        <v>370</v>
      </c>
      <c r="E267" s="35" t="s">
        <v>370</v>
      </c>
      <c r="F267" s="35" t="s">
        <v>371</v>
      </c>
      <c r="G267" s="35" t="s">
        <v>371</v>
      </c>
      <c r="H267" s="35" t="s">
        <v>422</v>
      </c>
      <c r="I267" s="35" t="s">
        <v>373</v>
      </c>
      <c r="J267" s="35" t="s">
        <v>374</v>
      </c>
      <c r="K267" s="35" t="s">
        <v>375</v>
      </c>
      <c r="L267" s="35" t="s">
        <v>376</v>
      </c>
      <c r="M267" s="35" t="s">
        <v>793</v>
      </c>
      <c r="N267" s="35" t="s">
        <v>639</v>
      </c>
      <c r="O267" s="35" t="s">
        <v>591</v>
      </c>
      <c r="P267" s="35" t="s">
        <v>671</v>
      </c>
      <c r="Q267" s="35" t="s">
        <v>381</v>
      </c>
      <c r="R267" s="35" t="s">
        <v>499</v>
      </c>
      <c r="S267" s="35" t="s">
        <v>949</v>
      </c>
      <c r="T267" s="35" t="s">
        <v>384</v>
      </c>
      <c r="U267" s="35" t="s">
        <v>385</v>
      </c>
      <c r="X267" s="35" t="s">
        <v>593</v>
      </c>
      <c r="Y267" s="35" t="s">
        <v>387</v>
      </c>
      <c r="Z267" s="35" t="s">
        <v>897</v>
      </c>
      <c r="AA267" s="35" t="s">
        <v>502</v>
      </c>
      <c r="AB267" s="35" t="s">
        <v>8620</v>
      </c>
      <c r="AC267" s="35" t="s">
        <v>8621</v>
      </c>
      <c r="AW267" s="35" t="s">
        <v>1310</v>
      </c>
      <c r="AX267" s="41">
        <v>4.0</v>
      </c>
      <c r="AY267" s="35" t="s">
        <v>391</v>
      </c>
      <c r="AZ267" s="41">
        <v>4.0</v>
      </c>
      <c r="BA267" s="35" t="s">
        <v>391</v>
      </c>
      <c r="BB267" s="35" t="s">
        <v>391</v>
      </c>
      <c r="BC267" s="41">
        <v>4.0</v>
      </c>
      <c r="BD267" s="35" t="s">
        <v>8622</v>
      </c>
      <c r="BE267" s="35" t="s">
        <v>8623</v>
      </c>
      <c r="BF267" s="35" t="s">
        <v>2379</v>
      </c>
      <c r="BG267" s="35" t="s">
        <v>393</v>
      </c>
      <c r="BH267" s="35" t="s">
        <v>725</v>
      </c>
      <c r="BI267" s="35" t="s">
        <v>8624</v>
      </c>
      <c r="BJ267" s="35" t="s">
        <v>509</v>
      </c>
      <c r="BK267" s="35" t="s">
        <v>8625</v>
      </c>
      <c r="BL267" s="35" t="s">
        <v>681</v>
      </c>
      <c r="BM267" s="35" t="s">
        <v>512</v>
      </c>
      <c r="BN267" s="35" t="s">
        <v>1247</v>
      </c>
      <c r="BO267" s="35" t="s">
        <v>513</v>
      </c>
      <c r="CM267" s="35" t="s">
        <v>441</v>
      </c>
      <c r="CN267" s="35" t="s">
        <v>604</v>
      </c>
      <c r="CO267" s="35" t="s">
        <v>8626</v>
      </c>
      <c r="CP267" s="35" t="s">
        <v>8627</v>
      </c>
      <c r="CQ267" s="35" t="s">
        <v>445</v>
      </c>
      <c r="CR267" s="35" t="s">
        <v>8628</v>
      </c>
      <c r="CS267" s="35" t="s">
        <v>447</v>
      </c>
      <c r="CT267" s="35" t="s">
        <v>8629</v>
      </c>
      <c r="CU267" s="35" t="s">
        <v>8630</v>
      </c>
      <c r="CV267" s="35" t="s">
        <v>982</v>
      </c>
      <c r="CW267" s="35" t="s">
        <v>1931</v>
      </c>
      <c r="CY267" s="35" t="s">
        <v>408</v>
      </c>
      <c r="DA267" s="35" t="s">
        <v>1962</v>
      </c>
      <c r="DC267" s="35" t="s">
        <v>408</v>
      </c>
      <c r="DE267" s="35" t="s">
        <v>406</v>
      </c>
      <c r="DF267" s="35" t="s">
        <v>1058</v>
      </c>
      <c r="DG267" s="35" t="s">
        <v>8631</v>
      </c>
      <c r="DH267" s="35" t="s">
        <v>693</v>
      </c>
      <c r="DI267" s="35" t="s">
        <v>694</v>
      </c>
      <c r="DJ267" s="35" t="s">
        <v>459</v>
      </c>
      <c r="DK267" s="35" t="s">
        <v>460</v>
      </c>
      <c r="DL267" s="35" t="s">
        <v>6335</v>
      </c>
      <c r="EU267" s="35" t="s">
        <v>478</v>
      </c>
      <c r="EV267" s="35" t="s">
        <v>479</v>
      </c>
      <c r="EW267" s="35" t="s">
        <v>1534</v>
      </c>
      <c r="EX267" s="35" t="s">
        <v>8632</v>
      </c>
      <c r="EY267" s="35" t="s">
        <v>8633</v>
      </c>
      <c r="EZ267" s="35" t="s">
        <v>6933</v>
      </c>
      <c r="FA267" s="35" t="s">
        <v>583</v>
      </c>
      <c r="FB267" s="35" t="s">
        <v>583</v>
      </c>
      <c r="FC267" s="35" t="s">
        <v>415</v>
      </c>
      <c r="FD267" s="35" t="s">
        <v>583</v>
      </c>
      <c r="FE267" s="35" t="s">
        <v>416</v>
      </c>
      <c r="FF267" s="35" t="s">
        <v>583</v>
      </c>
      <c r="FG267" s="35" t="s">
        <v>414</v>
      </c>
      <c r="FH267" s="35" t="s">
        <v>484</v>
      </c>
      <c r="FI267" s="35" t="s">
        <v>414</v>
      </c>
      <c r="FJ267" s="35" t="s">
        <v>583</v>
      </c>
      <c r="FK267" s="35" t="s">
        <v>583</v>
      </c>
      <c r="FL267" s="35" t="s">
        <v>484</v>
      </c>
      <c r="FM267" s="35" t="s">
        <v>414</v>
      </c>
      <c r="FN267" s="35" t="s">
        <v>484</v>
      </c>
      <c r="FO267" s="35" t="s">
        <v>484</v>
      </c>
      <c r="FP267" s="35" t="s">
        <v>850</v>
      </c>
      <c r="FQ267" s="35" t="s">
        <v>486</v>
      </c>
      <c r="FR267" s="35" t="s">
        <v>419</v>
      </c>
      <c r="FS267" s="35" t="s">
        <v>8634</v>
      </c>
      <c r="FT267" s="35" t="s">
        <v>1871</v>
      </c>
      <c r="FU267" s="35" t="s">
        <v>421</v>
      </c>
      <c r="FV267" s="35" t="s">
        <v>489</v>
      </c>
      <c r="FW267" s="35" t="s">
        <v>1101</v>
      </c>
      <c r="FX267" s="35" t="s">
        <v>491</v>
      </c>
      <c r="FY267" s="35" t="s">
        <v>8635</v>
      </c>
      <c r="FZ267" s="35" t="s">
        <v>493</v>
      </c>
      <c r="GA267" s="35" t="s">
        <v>8636</v>
      </c>
      <c r="GC267" s="35" t="s">
        <v>455</v>
      </c>
      <c r="GD267" s="35" t="s">
        <v>11539</v>
      </c>
      <c r="GF267" s="35" t="s">
        <v>944</v>
      </c>
      <c r="GG267" s="35" t="s">
        <v>8637</v>
      </c>
      <c r="GH267" s="35" t="s">
        <v>920</v>
      </c>
      <c r="GI267" s="35" t="s">
        <v>920</v>
      </c>
      <c r="GJ267" s="35" t="s">
        <v>756</v>
      </c>
      <c r="GR267" s="35" t="s">
        <v>4653</v>
      </c>
      <c r="GU267" s="35" t="s">
        <v>5039</v>
      </c>
      <c r="GV267" s="35" t="s">
        <v>8638</v>
      </c>
      <c r="GW267" s="35" t="s">
        <v>5231</v>
      </c>
      <c r="GX267" s="35" t="s">
        <v>5232</v>
      </c>
      <c r="HD267" s="35" t="s">
        <v>5297</v>
      </c>
      <c r="HE267" s="35" t="s">
        <v>5282</v>
      </c>
      <c r="HF267" s="35" t="s">
        <v>5320</v>
      </c>
      <c r="HG267" s="35" t="s">
        <v>5284</v>
      </c>
      <c r="HP267" s="35" t="s">
        <v>5236</v>
      </c>
      <c r="HQ267" s="35" t="s">
        <v>5719</v>
      </c>
      <c r="HR267" s="35" t="s">
        <v>5286</v>
      </c>
      <c r="HS267" s="35" t="s">
        <v>5321</v>
      </c>
      <c r="HX267" s="35" t="s">
        <v>5971</v>
      </c>
      <c r="MK267" s="35" t="s">
        <v>6321</v>
      </c>
    </row>
    <row r="268">
      <c r="A268" s="35" t="s">
        <v>11540</v>
      </c>
      <c r="B268" s="40">
        <v>46069.69560907407</v>
      </c>
      <c r="C268" s="35" t="s">
        <v>368</v>
      </c>
      <c r="D268" s="35" t="s">
        <v>8641</v>
      </c>
      <c r="H268" s="35" t="s">
        <v>636</v>
      </c>
      <c r="I268" s="35" t="s">
        <v>1921</v>
      </c>
      <c r="J268" s="35" t="s">
        <v>668</v>
      </c>
      <c r="K268" s="35" t="s">
        <v>540</v>
      </c>
      <c r="M268" s="35" t="s">
        <v>670</v>
      </c>
      <c r="N268" s="35" t="s">
        <v>3352</v>
      </c>
      <c r="O268" s="35" t="s">
        <v>670</v>
      </c>
      <c r="P268" s="35" t="s">
        <v>671</v>
      </c>
      <c r="Q268" s="35" t="s">
        <v>1504</v>
      </c>
      <c r="R268" s="35" t="s">
        <v>382</v>
      </c>
      <c r="S268" s="35" t="s">
        <v>427</v>
      </c>
      <c r="T268" s="35" t="s">
        <v>384</v>
      </c>
      <c r="U268" s="35" t="s">
        <v>385</v>
      </c>
      <c r="X268" s="35" t="s">
        <v>3014</v>
      </c>
      <c r="AW268" s="35" t="s">
        <v>390</v>
      </c>
      <c r="AX268" s="41">
        <v>4.0</v>
      </c>
      <c r="AY268" s="41">
        <v>4.0</v>
      </c>
      <c r="AZ268" s="35" t="s">
        <v>429</v>
      </c>
      <c r="BA268" s="41">
        <v>2.0</v>
      </c>
      <c r="BB268" s="35" t="s">
        <v>675</v>
      </c>
      <c r="BC268" s="35" t="s">
        <v>675</v>
      </c>
      <c r="BD268" s="35" t="s">
        <v>8642</v>
      </c>
      <c r="BE268" s="35" t="s">
        <v>8643</v>
      </c>
      <c r="BF268" s="35" t="s">
        <v>392</v>
      </c>
      <c r="BG268" s="35" t="s">
        <v>433</v>
      </c>
      <c r="BH268" s="35" t="s">
        <v>434</v>
      </c>
      <c r="BI268" s="35" t="s">
        <v>8644</v>
      </c>
      <c r="BJ268" s="35" t="s">
        <v>976</v>
      </c>
      <c r="BL268" s="35" t="s">
        <v>602</v>
      </c>
      <c r="BM268" s="35" t="s">
        <v>438</v>
      </c>
      <c r="BN268" s="35" t="s">
        <v>549</v>
      </c>
      <c r="BO268" s="35" t="s">
        <v>513</v>
      </c>
      <c r="CM268" s="35" t="s">
        <v>550</v>
      </c>
      <c r="CN268" s="35" t="s">
        <v>442</v>
      </c>
      <c r="CO268" s="35" t="s">
        <v>8645</v>
      </c>
      <c r="CP268" s="35" t="s">
        <v>8646</v>
      </c>
      <c r="CQ268" s="35" t="s">
        <v>1948</v>
      </c>
      <c r="CS268" s="35" t="s">
        <v>404</v>
      </c>
      <c r="CT268" s="35" t="s">
        <v>8647</v>
      </c>
      <c r="CU268" s="35" t="s">
        <v>8648</v>
      </c>
      <c r="CV268" s="35" t="s">
        <v>450</v>
      </c>
      <c r="CW268" s="35" t="s">
        <v>959</v>
      </c>
      <c r="CX268" s="35" t="s">
        <v>8649</v>
      </c>
      <c r="CY268" s="35" t="s">
        <v>408</v>
      </c>
      <c r="DA268" s="35" t="s">
        <v>453</v>
      </c>
      <c r="DB268" s="35" t="s">
        <v>8650</v>
      </c>
      <c r="DC268" s="35" t="s">
        <v>455</v>
      </c>
      <c r="DD268" s="35" t="s">
        <v>8651</v>
      </c>
      <c r="DE268" s="35" t="s">
        <v>662</v>
      </c>
      <c r="DF268" s="35" t="s">
        <v>407</v>
      </c>
      <c r="DG268" s="35" t="s">
        <v>8652</v>
      </c>
      <c r="DH268" s="35" t="s">
        <v>524</v>
      </c>
      <c r="DI268" s="35" t="s">
        <v>410</v>
      </c>
      <c r="DJ268" s="35" t="s">
        <v>963</v>
      </c>
      <c r="EU268" s="35" t="s">
        <v>526</v>
      </c>
      <c r="EV268" s="35" t="s">
        <v>887</v>
      </c>
      <c r="EW268" s="35" t="s">
        <v>1534</v>
      </c>
      <c r="EX268" s="35" t="s">
        <v>8653</v>
      </c>
      <c r="EY268" s="35" t="s">
        <v>8654</v>
      </c>
      <c r="EZ268" s="35" t="s">
        <v>8655</v>
      </c>
      <c r="FA268" s="35" t="s">
        <v>413</v>
      </c>
      <c r="FB268" s="35" t="s">
        <v>413</v>
      </c>
      <c r="FC268" s="35" t="s">
        <v>413</v>
      </c>
      <c r="FD268" s="35" t="s">
        <v>413</v>
      </c>
      <c r="FE268" s="35" t="s">
        <v>413</v>
      </c>
      <c r="FF268" s="35" t="s">
        <v>416</v>
      </c>
      <c r="FG268" s="35" t="s">
        <v>413</v>
      </c>
      <c r="FH268" s="35" t="s">
        <v>413</v>
      </c>
      <c r="FI268" s="35" t="s">
        <v>413</v>
      </c>
      <c r="FJ268" s="35" t="s">
        <v>416</v>
      </c>
      <c r="FK268" s="35" t="s">
        <v>413</v>
      </c>
      <c r="FL268" s="35" t="s">
        <v>416</v>
      </c>
      <c r="FM268" s="35" t="s">
        <v>413</v>
      </c>
      <c r="FN268" s="35" t="s">
        <v>413</v>
      </c>
      <c r="FO268" s="35" t="s">
        <v>416</v>
      </c>
      <c r="FP268" s="35" t="s">
        <v>485</v>
      </c>
      <c r="FQ268" s="35" t="s">
        <v>418</v>
      </c>
      <c r="FR268" s="35" t="s">
        <v>531</v>
      </c>
      <c r="FS268" s="35" t="s">
        <v>8656</v>
      </c>
      <c r="FT268" s="35" t="s">
        <v>420</v>
      </c>
      <c r="FU268" s="35" t="s">
        <v>488</v>
      </c>
      <c r="FV268" s="35" t="s">
        <v>918</v>
      </c>
      <c r="FW268" s="35" t="s">
        <v>490</v>
      </c>
      <c r="FX268" s="35" t="s">
        <v>491</v>
      </c>
      <c r="FY268" s="35" t="s">
        <v>8657</v>
      </c>
      <c r="FZ268" s="35" t="s">
        <v>535</v>
      </c>
      <c r="GA268" s="35" t="s">
        <v>8658</v>
      </c>
      <c r="GB268" s="35" t="s">
        <v>8659</v>
      </c>
      <c r="GC268" s="35" t="s">
        <v>455</v>
      </c>
      <c r="GD268" s="35" t="s">
        <v>11541</v>
      </c>
      <c r="GF268" s="35" t="s">
        <v>753</v>
      </c>
      <c r="GG268" s="35" t="s">
        <v>8660</v>
      </c>
      <c r="GH268" s="35" t="s">
        <v>1000</v>
      </c>
      <c r="GI268" s="35" t="s">
        <v>1000</v>
      </c>
      <c r="GJ268" s="35" t="s">
        <v>946</v>
      </c>
      <c r="GR268" s="35" t="s">
        <v>4653</v>
      </c>
      <c r="GU268" s="35" t="s">
        <v>5081</v>
      </c>
      <c r="GV268" s="35" t="s">
        <v>8661</v>
      </c>
      <c r="GW268" s="35" t="s">
        <v>5231</v>
      </c>
      <c r="GX268" s="35" t="s">
        <v>484</v>
      </c>
      <c r="HD268" s="35" t="s">
        <v>6053</v>
      </c>
      <c r="HE268" s="35" t="s">
        <v>5349</v>
      </c>
      <c r="HF268" s="35" t="s">
        <v>5492</v>
      </c>
      <c r="HG268" s="35" t="s">
        <v>5768</v>
      </c>
      <c r="HP268" s="35" t="s">
        <v>5236</v>
      </c>
      <c r="HQ268" s="35" t="s">
        <v>5264</v>
      </c>
      <c r="HR268" s="35" t="s">
        <v>5238</v>
      </c>
      <c r="HS268" s="35" t="s">
        <v>913</v>
      </c>
      <c r="HX268" s="35" t="s">
        <v>5541</v>
      </c>
      <c r="MK268" s="35" t="s">
        <v>6321</v>
      </c>
    </row>
    <row r="269">
      <c r="A269" s="35" t="s">
        <v>11542</v>
      </c>
      <c r="B269" s="40">
        <v>46076.66878359954</v>
      </c>
      <c r="C269" s="35" t="s">
        <v>368</v>
      </c>
      <c r="D269" s="35" t="s">
        <v>538</v>
      </c>
      <c r="E269" s="35" t="s">
        <v>538</v>
      </c>
      <c r="H269" s="35" t="s">
        <v>422</v>
      </c>
      <c r="I269" s="35" t="s">
        <v>637</v>
      </c>
      <c r="J269" s="35" t="s">
        <v>638</v>
      </c>
      <c r="K269" s="35" t="s">
        <v>425</v>
      </c>
      <c r="L269" s="35" t="s">
        <v>376</v>
      </c>
      <c r="M269" s="35" t="s">
        <v>591</v>
      </c>
      <c r="N269" s="35" t="s">
        <v>497</v>
      </c>
      <c r="O269" s="35" t="s">
        <v>1526</v>
      </c>
      <c r="P269" s="35" t="s">
        <v>1024</v>
      </c>
      <c r="Q269" s="35" t="s">
        <v>1760</v>
      </c>
      <c r="R269" s="35" t="s">
        <v>1156</v>
      </c>
      <c r="S269" s="35" t="s">
        <v>3976</v>
      </c>
      <c r="T269" s="35" t="s">
        <v>384</v>
      </c>
      <c r="U269" s="35" t="s">
        <v>385</v>
      </c>
      <c r="X269" s="35" t="s">
        <v>593</v>
      </c>
      <c r="Y269" s="35" t="s">
        <v>387</v>
      </c>
      <c r="Z269" s="35" t="s">
        <v>4171</v>
      </c>
      <c r="AA269" s="35" t="s">
        <v>389</v>
      </c>
      <c r="AB269" s="35" t="s">
        <v>8708</v>
      </c>
      <c r="AC269" s="35" t="s">
        <v>8709</v>
      </c>
      <c r="AW269" s="35" t="s">
        <v>504</v>
      </c>
      <c r="AX269" s="35" t="s">
        <v>429</v>
      </c>
      <c r="AY269" s="35" t="s">
        <v>429</v>
      </c>
      <c r="AZ269" s="35" t="s">
        <v>391</v>
      </c>
      <c r="BA269" s="35" t="s">
        <v>429</v>
      </c>
      <c r="BB269" s="35" t="s">
        <v>429</v>
      </c>
      <c r="BC269" s="35" t="s">
        <v>429</v>
      </c>
      <c r="BD269" s="35" t="s">
        <v>8710</v>
      </c>
      <c r="BE269" s="35" t="s">
        <v>8711</v>
      </c>
      <c r="BF269" s="35" t="s">
        <v>432</v>
      </c>
      <c r="BG269" s="35" t="s">
        <v>433</v>
      </c>
      <c r="BH269" s="35" t="s">
        <v>725</v>
      </c>
      <c r="BI269" s="35" t="s">
        <v>8712</v>
      </c>
      <c r="BJ269" s="35" t="s">
        <v>824</v>
      </c>
      <c r="BK269" s="35" t="s">
        <v>8713</v>
      </c>
      <c r="BL269" s="35" t="s">
        <v>681</v>
      </c>
      <c r="BM269" s="35" t="s">
        <v>396</v>
      </c>
      <c r="BN269" s="35" t="s">
        <v>439</v>
      </c>
      <c r="BO269" s="35" t="s">
        <v>513</v>
      </c>
      <c r="CM269" s="35" t="s">
        <v>441</v>
      </c>
      <c r="CN269" s="35" t="s">
        <v>401</v>
      </c>
      <c r="CO269" s="35" t="s">
        <v>1315</v>
      </c>
      <c r="CP269" s="35" t="s">
        <v>8714</v>
      </c>
      <c r="CQ269" s="35" t="s">
        <v>1008</v>
      </c>
      <c r="CR269" s="35" t="s">
        <v>8715</v>
      </c>
      <c r="CS269" s="35" t="s">
        <v>804</v>
      </c>
      <c r="CT269" s="35" t="s">
        <v>8716</v>
      </c>
      <c r="CU269" s="35" t="s">
        <v>8717</v>
      </c>
      <c r="CV269" s="35" t="s">
        <v>519</v>
      </c>
      <c r="CW269" s="35" t="s">
        <v>451</v>
      </c>
      <c r="CX269" s="35" t="s">
        <v>8718</v>
      </c>
      <c r="CY269" s="35" t="s">
        <v>733</v>
      </c>
      <c r="DA269" s="35" t="s">
        <v>453</v>
      </c>
      <c r="DB269" s="35" t="s">
        <v>8719</v>
      </c>
      <c r="DC269" s="35" t="s">
        <v>455</v>
      </c>
      <c r="DD269" s="35" t="s">
        <v>8720</v>
      </c>
      <c r="DE269" s="35" t="s">
        <v>457</v>
      </c>
      <c r="DG269" s="35" t="s">
        <v>8721</v>
      </c>
      <c r="DH269" s="35" t="s">
        <v>561</v>
      </c>
      <c r="DI269" s="35" t="s">
        <v>410</v>
      </c>
      <c r="DJ269" s="35" t="s">
        <v>459</v>
      </c>
      <c r="DK269" s="35" t="s">
        <v>613</v>
      </c>
      <c r="EU269" s="35" t="s">
        <v>526</v>
      </c>
      <c r="EV269" s="35" t="s">
        <v>579</v>
      </c>
      <c r="EW269" s="35" t="s">
        <v>778</v>
      </c>
      <c r="EX269" s="35" t="s">
        <v>8722</v>
      </c>
      <c r="EY269" s="35" t="s">
        <v>8723</v>
      </c>
      <c r="EZ269" s="35" t="s">
        <v>8724</v>
      </c>
      <c r="FA269" s="35" t="s">
        <v>413</v>
      </c>
      <c r="FB269" s="35" t="s">
        <v>413</v>
      </c>
      <c r="FC269" s="35" t="s">
        <v>413</v>
      </c>
      <c r="FD269" s="35" t="s">
        <v>413</v>
      </c>
      <c r="FE269" s="35" t="s">
        <v>413</v>
      </c>
      <c r="FF269" s="35" t="s">
        <v>413</v>
      </c>
      <c r="FG269" s="35" t="s">
        <v>413</v>
      </c>
      <c r="FH269" s="35" t="s">
        <v>413</v>
      </c>
      <c r="FI269" s="35" t="s">
        <v>413</v>
      </c>
      <c r="FJ269" s="35" t="s">
        <v>413</v>
      </c>
      <c r="FK269" s="35" t="s">
        <v>413</v>
      </c>
      <c r="FL269" s="35" t="s">
        <v>413</v>
      </c>
      <c r="FM269" s="35" t="s">
        <v>413</v>
      </c>
      <c r="FN269" s="35" t="s">
        <v>413</v>
      </c>
      <c r="FO269" s="35" t="s">
        <v>413</v>
      </c>
      <c r="FP269" s="35" t="s">
        <v>417</v>
      </c>
      <c r="FQ269" s="35" t="s">
        <v>418</v>
      </c>
      <c r="FR269" s="35" t="s">
        <v>531</v>
      </c>
      <c r="FS269" s="35" t="s">
        <v>8725</v>
      </c>
      <c r="FT269" s="35" t="s">
        <v>420</v>
      </c>
      <c r="FU269" s="35" t="s">
        <v>488</v>
      </c>
      <c r="FV269" s="35" t="s">
        <v>1235</v>
      </c>
      <c r="FW269" s="35" t="s">
        <v>490</v>
      </c>
      <c r="FX269" s="35" t="s">
        <v>491</v>
      </c>
      <c r="FY269" s="35" t="s">
        <v>8726</v>
      </c>
      <c r="FZ269" s="35" t="s">
        <v>535</v>
      </c>
      <c r="GA269" s="35" t="s">
        <v>8727</v>
      </c>
      <c r="GB269" s="35" t="s">
        <v>8728</v>
      </c>
      <c r="GC269" s="35" t="s">
        <v>408</v>
      </c>
      <c r="GH269" s="35" t="s">
        <v>755</v>
      </c>
      <c r="GI269" s="35" t="s">
        <v>755</v>
      </c>
      <c r="GJ269" s="35" t="s">
        <v>946</v>
      </c>
      <c r="GO269" s="35" t="s">
        <v>3012</v>
      </c>
      <c r="GP269" s="35" t="s">
        <v>3012</v>
      </c>
      <c r="GR269" s="35" t="s">
        <v>3208</v>
      </c>
      <c r="GU269" s="35" t="s">
        <v>5081</v>
      </c>
      <c r="GV269" s="35" t="s">
        <v>8729</v>
      </c>
      <c r="GW269" s="35" t="s">
        <v>5231</v>
      </c>
      <c r="GX269" s="35" t="s">
        <v>484</v>
      </c>
      <c r="HD269" s="35" t="s">
        <v>5281</v>
      </c>
      <c r="HE269" s="35" t="s">
        <v>5282</v>
      </c>
      <c r="HF269" s="35" t="s">
        <v>5283</v>
      </c>
      <c r="HG269" s="35" t="s">
        <v>5284</v>
      </c>
      <c r="HP269" s="35" t="s">
        <v>5285</v>
      </c>
      <c r="HQ269" s="35" t="s">
        <v>5264</v>
      </c>
      <c r="HR269" s="35" t="s">
        <v>5238</v>
      </c>
      <c r="HS269" s="35" t="s">
        <v>5239</v>
      </c>
      <c r="HX269" s="35" t="s">
        <v>8730</v>
      </c>
      <c r="MK269" s="35" t="s">
        <v>6321</v>
      </c>
    </row>
    <row r="270">
      <c r="A270" s="35" t="s">
        <v>11543</v>
      </c>
      <c r="B270" s="40">
        <v>46078.59408679398</v>
      </c>
      <c r="C270" s="35" t="s">
        <v>368</v>
      </c>
      <c r="D270" s="35" t="s">
        <v>1201</v>
      </c>
      <c r="E270" s="35" t="s">
        <v>1201</v>
      </c>
      <c r="H270" s="35" t="s">
        <v>422</v>
      </c>
      <c r="I270" s="35" t="s">
        <v>423</v>
      </c>
      <c r="J270" s="35" t="s">
        <v>424</v>
      </c>
      <c r="K270" s="35" t="s">
        <v>375</v>
      </c>
      <c r="L270" s="35" t="s">
        <v>376</v>
      </c>
      <c r="M270" s="35" t="s">
        <v>377</v>
      </c>
      <c r="N270" s="35" t="s">
        <v>2464</v>
      </c>
      <c r="O270" s="35" t="s">
        <v>379</v>
      </c>
      <c r="P270" s="35" t="s">
        <v>2464</v>
      </c>
      <c r="Q270" s="35" t="s">
        <v>498</v>
      </c>
      <c r="R270" s="35" t="s">
        <v>499</v>
      </c>
      <c r="S270" s="35" t="s">
        <v>500</v>
      </c>
      <c r="T270" s="35" t="s">
        <v>384</v>
      </c>
      <c r="U270" s="35" t="s">
        <v>385</v>
      </c>
      <c r="X270" s="35" t="s">
        <v>3014</v>
      </c>
      <c r="AW270" s="35" t="s">
        <v>1242</v>
      </c>
      <c r="AX270" s="35" t="s">
        <v>391</v>
      </c>
      <c r="AY270" s="35" t="s">
        <v>391</v>
      </c>
      <c r="AZ270" s="41">
        <v>4.0</v>
      </c>
      <c r="BA270" s="35" t="s">
        <v>391</v>
      </c>
      <c r="BB270" s="35" t="s">
        <v>391</v>
      </c>
      <c r="BC270" s="35" t="s">
        <v>391</v>
      </c>
      <c r="BD270" s="35" t="s">
        <v>8731</v>
      </c>
      <c r="BE270" s="35" t="s">
        <v>8732</v>
      </c>
      <c r="BF270" s="35" t="s">
        <v>432</v>
      </c>
      <c r="BG270" s="35" t="s">
        <v>1095</v>
      </c>
      <c r="BH270" s="35" t="s">
        <v>678</v>
      </c>
      <c r="BI270" s="35" t="s">
        <v>8733</v>
      </c>
      <c r="BJ270" s="35" t="s">
        <v>509</v>
      </c>
      <c r="BK270" s="35" t="s">
        <v>8734</v>
      </c>
      <c r="BL270" s="35" t="s">
        <v>602</v>
      </c>
      <c r="BM270" s="35" t="s">
        <v>438</v>
      </c>
      <c r="BN270" s="35" t="s">
        <v>1247</v>
      </c>
      <c r="BO270" s="35" t="s">
        <v>513</v>
      </c>
      <c r="CM270" s="35" t="s">
        <v>441</v>
      </c>
      <c r="CN270" s="35" t="s">
        <v>604</v>
      </c>
      <c r="CO270" s="35" t="s">
        <v>8735</v>
      </c>
      <c r="CP270" s="35" t="s">
        <v>8736</v>
      </c>
      <c r="CQ270" s="35" t="s">
        <v>1008</v>
      </c>
      <c r="CR270" s="35" t="s">
        <v>8737</v>
      </c>
      <c r="CS270" s="35" t="s">
        <v>447</v>
      </c>
      <c r="CT270" s="35" t="s">
        <v>8738</v>
      </c>
      <c r="CU270" s="35" t="s">
        <v>8739</v>
      </c>
      <c r="CV270" s="35" t="s">
        <v>519</v>
      </c>
      <c r="CW270" s="35" t="s">
        <v>451</v>
      </c>
      <c r="CX270" s="35" t="s">
        <v>8740</v>
      </c>
      <c r="CY270" s="35" t="s">
        <v>408</v>
      </c>
      <c r="DA270" s="35" t="s">
        <v>985</v>
      </c>
      <c r="DB270" s="35" t="s">
        <v>8741</v>
      </c>
      <c r="DC270" s="35" t="s">
        <v>408</v>
      </c>
      <c r="DE270" s="35" t="s">
        <v>457</v>
      </c>
      <c r="DG270" s="35" t="s">
        <v>8742</v>
      </c>
      <c r="DH270" s="35" t="s">
        <v>776</v>
      </c>
      <c r="DI270" s="35" t="s">
        <v>410</v>
      </c>
      <c r="DJ270" s="35" t="s">
        <v>963</v>
      </c>
      <c r="DK270" s="35" t="s">
        <v>562</v>
      </c>
      <c r="DL270" s="35" t="s">
        <v>6335</v>
      </c>
      <c r="EU270" s="35" t="s">
        <v>526</v>
      </c>
      <c r="EV270" s="35" t="s">
        <v>887</v>
      </c>
      <c r="EW270" s="35" t="s">
        <v>480</v>
      </c>
      <c r="EX270" s="35" t="s">
        <v>8743</v>
      </c>
      <c r="EY270" s="35" t="s">
        <v>8744</v>
      </c>
      <c r="EZ270" s="35" t="s">
        <v>8745</v>
      </c>
      <c r="FA270" s="35" t="s">
        <v>583</v>
      </c>
      <c r="FB270" s="35" t="s">
        <v>583</v>
      </c>
      <c r="FC270" s="35" t="s">
        <v>414</v>
      </c>
      <c r="FD270" s="35" t="s">
        <v>583</v>
      </c>
      <c r="FE270" s="35" t="s">
        <v>413</v>
      </c>
      <c r="FF270" s="35" t="s">
        <v>583</v>
      </c>
      <c r="FG270" s="35" t="s">
        <v>583</v>
      </c>
      <c r="FH270" s="35" t="s">
        <v>413</v>
      </c>
      <c r="FI270" s="35" t="s">
        <v>583</v>
      </c>
      <c r="FJ270" s="35" t="s">
        <v>415</v>
      </c>
      <c r="FK270" s="35" t="s">
        <v>414</v>
      </c>
      <c r="FL270" s="35" t="s">
        <v>415</v>
      </c>
      <c r="FM270" s="35" t="s">
        <v>583</v>
      </c>
      <c r="FN270" s="35" t="s">
        <v>413</v>
      </c>
      <c r="FO270" s="35" t="s">
        <v>583</v>
      </c>
      <c r="FP270" s="35" t="s">
        <v>1537</v>
      </c>
      <c r="FQ270" s="35" t="s">
        <v>418</v>
      </c>
      <c r="FR270" s="35" t="s">
        <v>749</v>
      </c>
      <c r="FS270" s="35" t="s">
        <v>8746</v>
      </c>
      <c r="FT270" s="35" t="s">
        <v>1871</v>
      </c>
      <c r="FU270" s="35" t="s">
        <v>1462</v>
      </c>
      <c r="FV270" s="35" t="s">
        <v>1235</v>
      </c>
      <c r="FW270" s="35" t="s">
        <v>490</v>
      </c>
      <c r="FX270" s="35" t="s">
        <v>491</v>
      </c>
      <c r="FY270" s="35" t="s">
        <v>8747</v>
      </c>
      <c r="FZ270" s="35" t="s">
        <v>535</v>
      </c>
      <c r="GC270" s="35" t="s">
        <v>455</v>
      </c>
      <c r="GD270" s="35" t="s">
        <v>11544</v>
      </c>
      <c r="GF270" s="35" t="s">
        <v>753</v>
      </c>
      <c r="GG270" s="35" t="s">
        <v>8748</v>
      </c>
      <c r="GH270" s="35" t="s">
        <v>755</v>
      </c>
      <c r="GI270" s="35" t="s">
        <v>755</v>
      </c>
      <c r="GJ270" s="35" t="s">
        <v>946</v>
      </c>
      <c r="GO270" s="35" t="s">
        <v>4084</v>
      </c>
      <c r="GP270" s="35" t="s">
        <v>4084</v>
      </c>
      <c r="GR270" s="35" t="s">
        <v>5015</v>
      </c>
      <c r="GU270" s="35" t="s">
        <v>4774</v>
      </c>
      <c r="GV270" s="35" t="s">
        <v>8749</v>
      </c>
      <c r="GW270" s="35" t="s">
        <v>5231</v>
      </c>
      <c r="GX270" s="35" t="s">
        <v>5232</v>
      </c>
      <c r="HD270" s="35" t="s">
        <v>5297</v>
      </c>
      <c r="HE270" s="35" t="s">
        <v>5349</v>
      </c>
      <c r="HF270" s="35" t="s">
        <v>5320</v>
      </c>
      <c r="HG270" s="35" t="s">
        <v>5284</v>
      </c>
      <c r="HP270" s="35" t="s">
        <v>5236</v>
      </c>
      <c r="HQ270" s="35" t="s">
        <v>5237</v>
      </c>
      <c r="HR270" s="35" t="s">
        <v>5238</v>
      </c>
      <c r="HS270" s="35" t="s">
        <v>5321</v>
      </c>
      <c r="HX270" s="35" t="s">
        <v>7383</v>
      </c>
      <c r="MK270" s="35" t="s">
        <v>6321</v>
      </c>
    </row>
    <row r="271">
      <c r="A271" s="35" t="s">
        <v>11545</v>
      </c>
      <c r="B271" s="40">
        <v>46091.30222179398</v>
      </c>
      <c r="C271" s="35" t="s">
        <v>368</v>
      </c>
      <c r="D271" s="35" t="s">
        <v>370</v>
      </c>
      <c r="E271" s="35" t="s">
        <v>370</v>
      </c>
      <c r="F271" s="35" t="s">
        <v>791</v>
      </c>
      <c r="G271" s="35" t="s">
        <v>791</v>
      </c>
      <c r="H271" s="35" t="s">
        <v>422</v>
      </c>
      <c r="I271" s="35" t="s">
        <v>539</v>
      </c>
      <c r="J271" s="35" t="s">
        <v>424</v>
      </c>
      <c r="K271" s="35" t="s">
        <v>375</v>
      </c>
      <c r="L271" s="35" t="s">
        <v>376</v>
      </c>
      <c r="M271" s="35" t="s">
        <v>591</v>
      </c>
      <c r="N271" s="35" t="s">
        <v>719</v>
      </c>
      <c r="O271" s="35" t="s">
        <v>426</v>
      </c>
      <c r="P271" s="35" t="s">
        <v>8776</v>
      </c>
      <c r="Q271" s="35" t="s">
        <v>1504</v>
      </c>
      <c r="R271" s="35" t="s">
        <v>862</v>
      </c>
      <c r="S271" s="35" t="s">
        <v>1901</v>
      </c>
      <c r="T271" s="35" t="s">
        <v>384</v>
      </c>
      <c r="U271" s="35" t="s">
        <v>385</v>
      </c>
      <c r="X271" s="35" t="s">
        <v>386</v>
      </c>
      <c r="Y271" s="35" t="s">
        <v>387</v>
      </c>
      <c r="Z271" s="35" t="s">
        <v>1444</v>
      </c>
      <c r="AA271" s="35" t="s">
        <v>543</v>
      </c>
      <c r="AB271" s="35" t="s">
        <v>8777</v>
      </c>
      <c r="AC271" s="35" t="s">
        <v>8778</v>
      </c>
      <c r="AW271" s="35" t="s">
        <v>597</v>
      </c>
      <c r="AX271" s="35" t="s">
        <v>391</v>
      </c>
      <c r="AY271" s="35" t="s">
        <v>675</v>
      </c>
      <c r="AZ271" s="35" t="s">
        <v>429</v>
      </c>
      <c r="BA271" s="41">
        <v>2.0</v>
      </c>
      <c r="BB271" s="41">
        <v>2.0</v>
      </c>
      <c r="BC271" s="35" t="s">
        <v>391</v>
      </c>
      <c r="BD271" s="35" t="s">
        <v>8779</v>
      </c>
      <c r="BE271" s="35" t="s">
        <v>8780</v>
      </c>
      <c r="BF271" s="35" t="s">
        <v>2379</v>
      </c>
      <c r="BG271" s="35" t="s">
        <v>393</v>
      </c>
      <c r="BH271" s="35" t="s">
        <v>678</v>
      </c>
      <c r="BI271" s="35" t="s">
        <v>8781</v>
      </c>
      <c r="BJ271" s="35" t="s">
        <v>509</v>
      </c>
      <c r="BK271" s="35" t="s">
        <v>8782</v>
      </c>
      <c r="BL271" s="35" t="s">
        <v>395</v>
      </c>
      <c r="BM271" s="35" t="s">
        <v>603</v>
      </c>
      <c r="BN271" s="35" t="s">
        <v>397</v>
      </c>
      <c r="BO271" s="35" t="s">
        <v>513</v>
      </c>
      <c r="CM271" s="35" t="s">
        <v>441</v>
      </c>
      <c r="CN271" s="35" t="s">
        <v>401</v>
      </c>
      <c r="CO271" s="35" t="s">
        <v>8783</v>
      </c>
      <c r="CP271" s="35" t="s">
        <v>8784</v>
      </c>
      <c r="CQ271" s="35" t="s">
        <v>445</v>
      </c>
      <c r="CR271" s="35" t="s">
        <v>8785</v>
      </c>
      <c r="CS271" s="35" t="s">
        <v>447</v>
      </c>
      <c r="CT271" s="35" t="s">
        <v>4349</v>
      </c>
      <c r="CU271" s="35" t="s">
        <v>8786</v>
      </c>
      <c r="CV271" s="35" t="s">
        <v>1852</v>
      </c>
      <c r="CW271" s="35" t="s">
        <v>451</v>
      </c>
      <c r="CX271" s="35" t="s">
        <v>8787</v>
      </c>
      <c r="CY271" s="35" t="s">
        <v>408</v>
      </c>
      <c r="DA271" s="35" t="s">
        <v>985</v>
      </c>
      <c r="DB271" s="35" t="s">
        <v>8788</v>
      </c>
      <c r="DC271" s="35" t="s">
        <v>408</v>
      </c>
      <c r="DE271" s="35" t="s">
        <v>988</v>
      </c>
      <c r="DG271" s="35" t="s">
        <v>8789</v>
      </c>
      <c r="DH271" s="35" t="s">
        <v>561</v>
      </c>
      <c r="DI271" s="35" t="s">
        <v>1220</v>
      </c>
      <c r="DJ271" s="35" t="s">
        <v>459</v>
      </c>
      <c r="DK271" s="35" t="s">
        <v>613</v>
      </c>
      <c r="EU271" s="35" t="s">
        <v>478</v>
      </c>
      <c r="EV271" s="35" t="s">
        <v>887</v>
      </c>
      <c r="EW271" s="35" t="s">
        <v>527</v>
      </c>
      <c r="EX271" s="35" t="s">
        <v>8790</v>
      </c>
      <c r="EY271" s="35" t="s">
        <v>8791</v>
      </c>
      <c r="EZ271" s="35" t="s">
        <v>8792</v>
      </c>
      <c r="FA271" s="35" t="s">
        <v>414</v>
      </c>
      <c r="FB271" s="35" t="s">
        <v>583</v>
      </c>
      <c r="FC271" s="35" t="s">
        <v>416</v>
      </c>
      <c r="FD271" s="35" t="s">
        <v>414</v>
      </c>
      <c r="FE271" s="35" t="s">
        <v>415</v>
      </c>
      <c r="FF271" s="35" t="s">
        <v>583</v>
      </c>
      <c r="FG271" s="35" t="s">
        <v>415</v>
      </c>
      <c r="FH271" s="35" t="s">
        <v>416</v>
      </c>
      <c r="FI271" s="35" t="s">
        <v>414</v>
      </c>
      <c r="FJ271" s="35" t="s">
        <v>414</v>
      </c>
      <c r="FK271" s="35" t="s">
        <v>484</v>
      </c>
      <c r="FL271" s="35" t="s">
        <v>484</v>
      </c>
      <c r="FM271" s="35" t="s">
        <v>484</v>
      </c>
      <c r="FN271" s="35" t="s">
        <v>416</v>
      </c>
      <c r="FO271" s="35" t="s">
        <v>414</v>
      </c>
      <c r="FP271" s="35" t="s">
        <v>485</v>
      </c>
      <c r="FQ271" s="35" t="s">
        <v>418</v>
      </c>
      <c r="FR271" s="35" t="s">
        <v>419</v>
      </c>
      <c r="FS271" s="35" t="s">
        <v>8793</v>
      </c>
      <c r="FT271" s="35" t="s">
        <v>1189</v>
      </c>
      <c r="FU271" s="35" t="s">
        <v>488</v>
      </c>
      <c r="FV271" s="35" t="s">
        <v>489</v>
      </c>
      <c r="FW271" s="35" t="s">
        <v>490</v>
      </c>
      <c r="FX271" s="35" t="s">
        <v>491</v>
      </c>
      <c r="FY271" s="35" t="s">
        <v>8794</v>
      </c>
      <c r="FZ271" s="35" t="s">
        <v>535</v>
      </c>
      <c r="GA271" s="35" t="s">
        <v>8795</v>
      </c>
      <c r="GC271" s="35" t="s">
        <v>455</v>
      </c>
      <c r="GD271" s="35" t="s">
        <v>11546</v>
      </c>
      <c r="GF271" s="35" t="s">
        <v>786</v>
      </c>
      <c r="GG271" s="35" t="s">
        <v>8796</v>
      </c>
      <c r="GH271" s="35" t="s">
        <v>920</v>
      </c>
      <c r="GI271" s="35" t="s">
        <v>920</v>
      </c>
      <c r="GJ271" s="35" t="s">
        <v>858</v>
      </c>
      <c r="GR271" s="35" t="s">
        <v>3306</v>
      </c>
      <c r="GV271" s="35" t="s">
        <v>8797</v>
      </c>
      <c r="GW271" s="35" t="s">
        <v>5231</v>
      </c>
      <c r="GX271" s="35" t="s">
        <v>484</v>
      </c>
      <c r="HD271" s="35" t="s">
        <v>5297</v>
      </c>
      <c r="HE271" s="35" t="s">
        <v>5349</v>
      </c>
      <c r="HF271" s="35" t="s">
        <v>5320</v>
      </c>
      <c r="HG271" s="35" t="s">
        <v>5493</v>
      </c>
      <c r="HP271" s="35" t="s">
        <v>5346</v>
      </c>
      <c r="HQ271" s="35" t="s">
        <v>5264</v>
      </c>
      <c r="HR271" s="35" t="s">
        <v>5238</v>
      </c>
      <c r="HS271" s="35" t="s">
        <v>5321</v>
      </c>
      <c r="HX271" s="35" t="s">
        <v>5501</v>
      </c>
      <c r="MK271" s="35" t="s">
        <v>6321</v>
      </c>
    </row>
    <row r="272">
      <c r="A272" s="35" t="s">
        <v>11547</v>
      </c>
      <c r="B272" s="40">
        <v>46091.744138333335</v>
      </c>
      <c r="C272" s="35" t="s">
        <v>368</v>
      </c>
      <c r="D272" s="35" t="s">
        <v>894</v>
      </c>
      <c r="E272" s="35" t="s">
        <v>894</v>
      </c>
      <c r="H272" s="35" t="s">
        <v>422</v>
      </c>
      <c r="I272" s="35" t="s">
        <v>1307</v>
      </c>
      <c r="J272" s="35" t="s">
        <v>7561</v>
      </c>
      <c r="K272" s="35" t="s">
        <v>425</v>
      </c>
      <c r="L272" s="35" t="s">
        <v>376</v>
      </c>
      <c r="M272" s="35" t="s">
        <v>377</v>
      </c>
      <c r="N272" s="35" t="s">
        <v>378</v>
      </c>
      <c r="P272" s="35" t="s">
        <v>719</v>
      </c>
      <c r="Q272" s="35" t="s">
        <v>498</v>
      </c>
      <c r="R272" s="35" t="s">
        <v>499</v>
      </c>
      <c r="S272" s="35" t="s">
        <v>795</v>
      </c>
      <c r="T272" s="35" t="s">
        <v>384</v>
      </c>
      <c r="U272" s="35" t="s">
        <v>385</v>
      </c>
      <c r="V272" s="35" t="s">
        <v>896</v>
      </c>
      <c r="W272" s="35" t="s">
        <v>1025</v>
      </c>
      <c r="X272" s="35" t="s">
        <v>386</v>
      </c>
      <c r="Y272" s="35" t="s">
        <v>387</v>
      </c>
      <c r="Z272" s="35" t="s">
        <v>542</v>
      </c>
      <c r="AA272" s="35" t="s">
        <v>543</v>
      </c>
      <c r="AB272" s="35" t="s">
        <v>2675</v>
      </c>
      <c r="AW272" s="35" t="s">
        <v>390</v>
      </c>
      <c r="AX272" s="35" t="s">
        <v>391</v>
      </c>
      <c r="AY272" s="35" t="s">
        <v>391</v>
      </c>
      <c r="AZ272" s="35" t="s">
        <v>391</v>
      </c>
      <c r="BA272" s="41">
        <v>4.0</v>
      </c>
      <c r="BB272" s="35" t="s">
        <v>429</v>
      </c>
      <c r="BC272" s="41">
        <v>2.0</v>
      </c>
      <c r="BO272" s="35" t="s">
        <v>513</v>
      </c>
      <c r="CM272" s="35" t="s">
        <v>441</v>
      </c>
      <c r="CN272" s="35" t="s">
        <v>401</v>
      </c>
      <c r="CQ272" s="35" t="s">
        <v>403</v>
      </c>
      <c r="CR272" s="35" t="s">
        <v>931</v>
      </c>
      <c r="CS272" s="35" t="s">
        <v>447</v>
      </c>
      <c r="CT272" s="35" t="s">
        <v>2801</v>
      </c>
      <c r="CV272" s="35" t="s">
        <v>1863</v>
      </c>
      <c r="CW272" s="35" t="s">
        <v>451</v>
      </c>
      <c r="CX272" s="35" t="s">
        <v>2834</v>
      </c>
      <c r="CY272" s="35" t="s">
        <v>408</v>
      </c>
      <c r="DA272" s="35" t="s">
        <v>453</v>
      </c>
      <c r="DB272" s="35" t="s">
        <v>8798</v>
      </c>
      <c r="DC272" s="35" t="s">
        <v>408</v>
      </c>
      <c r="DE272" s="35" t="s">
        <v>406</v>
      </c>
      <c r="DF272" s="35" t="s">
        <v>407</v>
      </c>
      <c r="DG272" s="35" t="s">
        <v>8789</v>
      </c>
      <c r="DH272" s="35" t="s">
        <v>776</v>
      </c>
      <c r="DI272" s="35" t="s">
        <v>833</v>
      </c>
      <c r="DJ272" s="35" t="s">
        <v>459</v>
      </c>
      <c r="DK272" s="35" t="s">
        <v>613</v>
      </c>
      <c r="EU272" s="35" t="s">
        <v>526</v>
      </c>
      <c r="EV272" s="35" t="s">
        <v>479</v>
      </c>
      <c r="EW272" s="35" t="s">
        <v>580</v>
      </c>
      <c r="EX272" s="35" t="s">
        <v>8799</v>
      </c>
      <c r="EY272" s="35" t="s">
        <v>1232</v>
      </c>
      <c r="FA272" s="35" t="s">
        <v>416</v>
      </c>
      <c r="FB272" s="35" t="s">
        <v>415</v>
      </c>
      <c r="FC272" s="35" t="s">
        <v>413</v>
      </c>
      <c r="FD272" s="35" t="s">
        <v>413</v>
      </c>
      <c r="FE272" s="35" t="s">
        <v>413</v>
      </c>
      <c r="FF272" s="35" t="s">
        <v>414</v>
      </c>
      <c r="FG272" s="35" t="s">
        <v>415</v>
      </c>
      <c r="FH272" s="35" t="s">
        <v>413</v>
      </c>
      <c r="FI272" s="35" t="s">
        <v>484</v>
      </c>
      <c r="FJ272" s="35" t="s">
        <v>415</v>
      </c>
      <c r="FK272" s="35" t="s">
        <v>415</v>
      </c>
      <c r="FL272" s="35" t="s">
        <v>413</v>
      </c>
      <c r="FM272" s="35" t="s">
        <v>415</v>
      </c>
      <c r="FN272" s="35" t="s">
        <v>413</v>
      </c>
      <c r="FO272" s="35" t="s">
        <v>583</v>
      </c>
      <c r="FP272" s="35" t="s">
        <v>485</v>
      </c>
      <c r="FQ272" s="35" t="s">
        <v>418</v>
      </c>
      <c r="FR272" s="35" t="s">
        <v>749</v>
      </c>
      <c r="FS272" s="35" t="s">
        <v>8800</v>
      </c>
      <c r="FT272" s="35" t="s">
        <v>420</v>
      </c>
      <c r="FU272" s="35" t="s">
        <v>1462</v>
      </c>
      <c r="FV272" s="35" t="s">
        <v>918</v>
      </c>
      <c r="FW272" s="35" t="s">
        <v>490</v>
      </c>
      <c r="FX272" s="35" t="s">
        <v>491</v>
      </c>
      <c r="FY272" s="35" t="s">
        <v>8801</v>
      </c>
      <c r="FZ272" s="35" t="s">
        <v>535</v>
      </c>
      <c r="GC272" s="35" t="s">
        <v>455</v>
      </c>
      <c r="GD272" s="35" t="s">
        <v>11548</v>
      </c>
      <c r="GF272" s="35" t="s">
        <v>753</v>
      </c>
      <c r="GH272" s="35" t="s">
        <v>755</v>
      </c>
      <c r="GI272" s="35" t="s">
        <v>755</v>
      </c>
      <c r="GJ272" s="35" t="s">
        <v>946</v>
      </c>
      <c r="GR272" s="35" t="s">
        <v>6251</v>
      </c>
      <c r="GW272" s="35" t="s">
        <v>5231</v>
      </c>
      <c r="GX272" s="35" t="s">
        <v>5232</v>
      </c>
      <c r="HD272" s="35" t="s">
        <v>5297</v>
      </c>
      <c r="HE272" s="35" t="s">
        <v>5349</v>
      </c>
      <c r="HF272" s="35" t="s">
        <v>5320</v>
      </c>
      <c r="HG272" s="35" t="s">
        <v>5300</v>
      </c>
      <c r="HP272" s="35" t="s">
        <v>5383</v>
      </c>
      <c r="HQ272" s="35" t="s">
        <v>5264</v>
      </c>
      <c r="HR272" s="35" t="s">
        <v>5238</v>
      </c>
      <c r="HS272" s="35" t="s">
        <v>5321</v>
      </c>
      <c r="HX272" s="35" t="s">
        <v>5501</v>
      </c>
      <c r="MK272" s="35" t="s">
        <v>6321</v>
      </c>
    </row>
    <row r="273">
      <c r="A273" s="35" t="s">
        <v>11549</v>
      </c>
      <c r="B273" s="40">
        <v>46093.8116130787</v>
      </c>
      <c r="C273" s="35" t="s">
        <v>368</v>
      </c>
      <c r="D273" s="35" t="s">
        <v>370</v>
      </c>
      <c r="E273" s="35" t="s">
        <v>370</v>
      </c>
      <c r="F273" s="35" t="s">
        <v>1510</v>
      </c>
      <c r="G273" s="35" t="s">
        <v>1421</v>
      </c>
      <c r="H273" s="35" t="s">
        <v>422</v>
      </c>
      <c r="I273" s="35" t="s">
        <v>539</v>
      </c>
      <c r="J273" s="35" t="s">
        <v>424</v>
      </c>
      <c r="K273" s="35" t="s">
        <v>375</v>
      </c>
      <c r="L273" s="35" t="s">
        <v>376</v>
      </c>
      <c r="M273" s="35" t="s">
        <v>379</v>
      </c>
      <c r="N273" s="35" t="s">
        <v>720</v>
      </c>
      <c r="O273" s="35" t="s">
        <v>591</v>
      </c>
      <c r="P273" s="35" t="s">
        <v>719</v>
      </c>
      <c r="Q273" s="35" t="s">
        <v>381</v>
      </c>
      <c r="R273" s="35" t="s">
        <v>499</v>
      </c>
      <c r="S273" s="35" t="s">
        <v>500</v>
      </c>
      <c r="T273" s="35" t="s">
        <v>384</v>
      </c>
      <c r="U273" s="35" t="s">
        <v>385</v>
      </c>
      <c r="X273" s="35" t="s">
        <v>593</v>
      </c>
      <c r="Y273" s="35" t="s">
        <v>387</v>
      </c>
      <c r="Z273" s="35" t="s">
        <v>897</v>
      </c>
      <c r="AA273" s="35" t="s">
        <v>672</v>
      </c>
      <c r="AB273" s="35" t="s">
        <v>408</v>
      </c>
      <c r="AW273" s="35" t="s">
        <v>1310</v>
      </c>
      <c r="AX273" s="35" t="s">
        <v>391</v>
      </c>
      <c r="AY273" s="35" t="s">
        <v>391</v>
      </c>
      <c r="AZ273" s="35" t="s">
        <v>429</v>
      </c>
      <c r="BA273" s="35" t="s">
        <v>391</v>
      </c>
      <c r="BB273" s="35" t="s">
        <v>391</v>
      </c>
      <c r="BC273" s="35" t="s">
        <v>391</v>
      </c>
      <c r="BD273" s="35" t="s">
        <v>8802</v>
      </c>
      <c r="BE273" s="35" t="s">
        <v>8803</v>
      </c>
      <c r="BF273" s="35" t="s">
        <v>2379</v>
      </c>
      <c r="BG273" s="35" t="s">
        <v>393</v>
      </c>
      <c r="BH273" s="35" t="s">
        <v>765</v>
      </c>
      <c r="BJ273" s="35" t="s">
        <v>976</v>
      </c>
      <c r="BL273" s="35" t="s">
        <v>681</v>
      </c>
      <c r="BM273" s="35" t="s">
        <v>603</v>
      </c>
      <c r="BN273" s="35" t="s">
        <v>1247</v>
      </c>
      <c r="BO273" s="35" t="s">
        <v>513</v>
      </c>
      <c r="CM273" s="35" t="s">
        <v>441</v>
      </c>
      <c r="CN273" s="35" t="s">
        <v>401</v>
      </c>
      <c r="CO273" s="35" t="s">
        <v>8804</v>
      </c>
      <c r="CP273" s="35" t="s">
        <v>8805</v>
      </c>
      <c r="CQ273" s="35" t="s">
        <v>979</v>
      </c>
      <c r="CR273" s="35" t="s">
        <v>1568</v>
      </c>
      <c r="CS273" s="35" t="s">
        <v>447</v>
      </c>
      <c r="CT273" s="35" t="s">
        <v>8806</v>
      </c>
      <c r="CU273" s="35" t="s">
        <v>8807</v>
      </c>
      <c r="CV273" s="35" t="s">
        <v>1852</v>
      </c>
      <c r="CW273" s="35" t="s">
        <v>451</v>
      </c>
      <c r="CX273" s="35" t="s">
        <v>8808</v>
      </c>
      <c r="CY273" s="35" t="s">
        <v>455</v>
      </c>
      <c r="CZ273" s="35" t="s">
        <v>8809</v>
      </c>
      <c r="DA273" s="35" t="s">
        <v>1962</v>
      </c>
      <c r="DC273" s="35" t="s">
        <v>408</v>
      </c>
      <c r="DE273" s="35" t="s">
        <v>406</v>
      </c>
      <c r="DF273" s="35" t="s">
        <v>1058</v>
      </c>
      <c r="DG273" s="35" t="s">
        <v>8810</v>
      </c>
      <c r="DH273" s="35" t="s">
        <v>693</v>
      </c>
      <c r="DI273" s="35" t="s">
        <v>1220</v>
      </c>
      <c r="DJ273" s="35" t="s">
        <v>459</v>
      </c>
      <c r="DK273" s="35" t="s">
        <v>460</v>
      </c>
      <c r="DL273" s="35" t="s">
        <v>6335</v>
      </c>
      <c r="EU273" s="35" t="s">
        <v>526</v>
      </c>
      <c r="EV273" s="35" t="s">
        <v>479</v>
      </c>
      <c r="EW273" s="35" t="s">
        <v>480</v>
      </c>
      <c r="EY273" s="35" t="s">
        <v>6247</v>
      </c>
      <c r="EZ273" s="35" t="s">
        <v>1380</v>
      </c>
      <c r="FA273" s="35" t="s">
        <v>415</v>
      </c>
      <c r="FB273" s="35" t="s">
        <v>415</v>
      </c>
      <c r="FC273" s="35" t="s">
        <v>413</v>
      </c>
      <c r="FD273" s="35" t="s">
        <v>413</v>
      </c>
      <c r="FE273" s="35" t="s">
        <v>413</v>
      </c>
      <c r="FF273" s="35" t="s">
        <v>415</v>
      </c>
      <c r="FG273" s="35" t="s">
        <v>415</v>
      </c>
      <c r="FH273" s="35" t="s">
        <v>413</v>
      </c>
      <c r="FI273" s="35" t="s">
        <v>415</v>
      </c>
      <c r="FJ273" s="35" t="s">
        <v>415</v>
      </c>
      <c r="FK273" s="35" t="s">
        <v>413</v>
      </c>
      <c r="FL273" s="35" t="s">
        <v>415</v>
      </c>
      <c r="FM273" s="35" t="s">
        <v>415</v>
      </c>
      <c r="FN273" s="35" t="s">
        <v>413</v>
      </c>
      <c r="FO273" s="35" t="s">
        <v>416</v>
      </c>
      <c r="FP273" s="35" t="s">
        <v>850</v>
      </c>
      <c r="FQ273" s="35" t="s">
        <v>418</v>
      </c>
      <c r="FR273" s="35" t="s">
        <v>749</v>
      </c>
      <c r="FS273" s="35" t="s">
        <v>6201</v>
      </c>
      <c r="FT273" s="35" t="s">
        <v>995</v>
      </c>
      <c r="FU273" s="35" t="s">
        <v>1462</v>
      </c>
      <c r="FV273" s="35" t="s">
        <v>489</v>
      </c>
      <c r="FW273" s="35" t="s">
        <v>490</v>
      </c>
      <c r="FX273" s="35" t="s">
        <v>491</v>
      </c>
      <c r="FY273" s="35" t="s">
        <v>8811</v>
      </c>
      <c r="FZ273" s="35" t="s">
        <v>1854</v>
      </c>
      <c r="GA273" s="35" t="s">
        <v>8812</v>
      </c>
      <c r="GC273" s="35" t="s">
        <v>455</v>
      </c>
      <c r="GD273" s="35" t="s">
        <v>11550</v>
      </c>
      <c r="GE273" s="35" t="s">
        <v>11551</v>
      </c>
      <c r="GF273" s="35" t="s">
        <v>1339</v>
      </c>
      <c r="GH273" s="35" t="s">
        <v>755</v>
      </c>
      <c r="GI273" s="35" t="s">
        <v>755</v>
      </c>
      <c r="GJ273" s="35" t="s">
        <v>817</v>
      </c>
      <c r="GR273" s="35" t="s">
        <v>8813</v>
      </c>
      <c r="GU273" s="35" t="s">
        <v>5170</v>
      </c>
      <c r="GV273" s="35" t="s">
        <v>8814</v>
      </c>
      <c r="GW273" s="35" t="s">
        <v>6434</v>
      </c>
      <c r="GX273" s="35" t="s">
        <v>5232</v>
      </c>
      <c r="HD273" s="35" t="s">
        <v>5297</v>
      </c>
      <c r="HE273" s="35" t="s">
        <v>5282</v>
      </c>
      <c r="HF273" s="35" t="s">
        <v>5492</v>
      </c>
      <c r="HG273" s="35" t="s">
        <v>5300</v>
      </c>
      <c r="HP273" s="35" t="s">
        <v>5383</v>
      </c>
      <c r="HQ273" s="35" t="s">
        <v>5302</v>
      </c>
      <c r="HR273" s="35" t="s">
        <v>5286</v>
      </c>
      <c r="HS273" s="35" t="s">
        <v>913</v>
      </c>
      <c r="HX273" s="35" t="s">
        <v>5628</v>
      </c>
      <c r="MK273" s="35" t="s">
        <v>6321</v>
      </c>
    </row>
    <row r="274">
      <c r="A274" s="35" t="s">
        <v>11552</v>
      </c>
      <c r="B274" s="40">
        <v>46095.51932767361</v>
      </c>
      <c r="C274" s="35" t="s">
        <v>368</v>
      </c>
      <c r="D274" s="35" t="s">
        <v>370</v>
      </c>
      <c r="E274" s="35" t="s">
        <v>370</v>
      </c>
      <c r="F274" s="35" t="s">
        <v>1875</v>
      </c>
      <c r="G274" s="35" t="s">
        <v>1875</v>
      </c>
      <c r="H274" s="35" t="s">
        <v>422</v>
      </c>
      <c r="I274" s="35" t="s">
        <v>373</v>
      </c>
      <c r="J274" s="35" t="s">
        <v>374</v>
      </c>
      <c r="K274" s="35" t="s">
        <v>375</v>
      </c>
      <c r="L274" s="35" t="s">
        <v>376</v>
      </c>
      <c r="M274" s="35" t="s">
        <v>793</v>
      </c>
      <c r="N274" s="35" t="s">
        <v>378</v>
      </c>
      <c r="O274" s="35" t="s">
        <v>793</v>
      </c>
      <c r="P274" s="35" t="s">
        <v>8815</v>
      </c>
      <c r="Q274" s="35" t="s">
        <v>381</v>
      </c>
      <c r="R274" s="35" t="s">
        <v>1156</v>
      </c>
      <c r="S274" s="35" t="s">
        <v>8816</v>
      </c>
      <c r="T274" s="35" t="s">
        <v>384</v>
      </c>
      <c r="U274" s="35" t="s">
        <v>385</v>
      </c>
      <c r="X274" s="35" t="s">
        <v>593</v>
      </c>
      <c r="Y274" s="35" t="s">
        <v>387</v>
      </c>
      <c r="Z274" s="35" t="s">
        <v>897</v>
      </c>
      <c r="AA274" s="35" t="s">
        <v>502</v>
      </c>
      <c r="AB274" s="35" t="s">
        <v>8817</v>
      </c>
      <c r="AC274" s="35" t="s">
        <v>8818</v>
      </c>
      <c r="AW274" s="35" t="s">
        <v>390</v>
      </c>
      <c r="AX274" s="35" t="s">
        <v>429</v>
      </c>
      <c r="AY274" s="35" t="s">
        <v>429</v>
      </c>
      <c r="AZ274" s="35" t="s">
        <v>429</v>
      </c>
      <c r="BA274" s="35" t="s">
        <v>429</v>
      </c>
      <c r="BB274" s="35" t="s">
        <v>429</v>
      </c>
      <c r="BC274" s="35" t="s">
        <v>429</v>
      </c>
      <c r="BD274" s="35" t="s">
        <v>8819</v>
      </c>
      <c r="BE274" s="35" t="s">
        <v>8820</v>
      </c>
      <c r="BF274" s="35" t="s">
        <v>392</v>
      </c>
      <c r="BG274" s="35" t="s">
        <v>433</v>
      </c>
      <c r="BH274" s="35" t="s">
        <v>507</v>
      </c>
      <c r="BI274" s="35" t="s">
        <v>8821</v>
      </c>
      <c r="BJ274" s="35" t="s">
        <v>509</v>
      </c>
      <c r="BK274" s="35" t="s">
        <v>8822</v>
      </c>
      <c r="BL274" s="35" t="s">
        <v>681</v>
      </c>
      <c r="BM274" s="35" t="s">
        <v>512</v>
      </c>
      <c r="BN274" s="35" t="s">
        <v>439</v>
      </c>
      <c r="BO274" s="35" t="s">
        <v>513</v>
      </c>
      <c r="CM274" s="35" t="s">
        <v>441</v>
      </c>
      <c r="CN274" s="35" t="s">
        <v>682</v>
      </c>
      <c r="CO274" s="35" t="s">
        <v>8823</v>
      </c>
      <c r="CP274" s="35" t="s">
        <v>8824</v>
      </c>
      <c r="CQ274" s="35" t="s">
        <v>445</v>
      </c>
      <c r="CR274" s="35" t="s">
        <v>8825</v>
      </c>
      <c r="CS274" s="35" t="s">
        <v>404</v>
      </c>
      <c r="CT274" s="35" t="s">
        <v>1137</v>
      </c>
      <c r="CU274" s="35" t="s">
        <v>8826</v>
      </c>
      <c r="CV274" s="35" t="s">
        <v>450</v>
      </c>
      <c r="CW274" s="35" t="s">
        <v>451</v>
      </c>
      <c r="CX274" s="35" t="s">
        <v>8827</v>
      </c>
      <c r="CY274" s="35" t="s">
        <v>408</v>
      </c>
      <c r="CZ274" s="35" t="s">
        <v>8828</v>
      </c>
      <c r="DA274" s="35" t="s">
        <v>453</v>
      </c>
      <c r="DB274" s="35" t="s">
        <v>8829</v>
      </c>
      <c r="DC274" s="35" t="s">
        <v>455</v>
      </c>
      <c r="DD274" s="35" t="s">
        <v>8830</v>
      </c>
      <c r="DE274" s="35" t="s">
        <v>406</v>
      </c>
      <c r="DF274" s="35" t="s">
        <v>1867</v>
      </c>
      <c r="DG274" s="35" t="s">
        <v>8831</v>
      </c>
      <c r="DH274" s="35" t="s">
        <v>561</v>
      </c>
      <c r="DI274" s="35" t="s">
        <v>410</v>
      </c>
      <c r="DJ274" s="35" t="s">
        <v>459</v>
      </c>
      <c r="DK274" s="35" t="s">
        <v>613</v>
      </c>
      <c r="EU274" s="35" t="s">
        <v>578</v>
      </c>
      <c r="EV274" s="35" t="s">
        <v>479</v>
      </c>
      <c r="EW274" s="35" t="s">
        <v>527</v>
      </c>
      <c r="EX274" s="35" t="s">
        <v>8832</v>
      </c>
      <c r="EY274" s="35" t="s">
        <v>8833</v>
      </c>
      <c r="EZ274" s="35" t="s">
        <v>8834</v>
      </c>
      <c r="FA274" s="35" t="s">
        <v>583</v>
      </c>
      <c r="FB274" s="35" t="s">
        <v>583</v>
      </c>
      <c r="FC274" s="35" t="s">
        <v>414</v>
      </c>
      <c r="FD274" s="35" t="s">
        <v>583</v>
      </c>
      <c r="FE274" s="35" t="s">
        <v>414</v>
      </c>
      <c r="FF274" s="35" t="s">
        <v>583</v>
      </c>
      <c r="FG274" s="35" t="s">
        <v>583</v>
      </c>
      <c r="FH274" s="35" t="s">
        <v>413</v>
      </c>
      <c r="FI274" s="35" t="s">
        <v>583</v>
      </c>
      <c r="FJ274" s="35" t="s">
        <v>583</v>
      </c>
      <c r="FK274" s="35" t="s">
        <v>583</v>
      </c>
      <c r="FL274" s="35" t="s">
        <v>583</v>
      </c>
      <c r="FM274" s="35" t="s">
        <v>414</v>
      </c>
      <c r="FN274" s="35" t="s">
        <v>413</v>
      </c>
      <c r="FO274" s="35" t="s">
        <v>583</v>
      </c>
      <c r="FP274" s="35" t="s">
        <v>417</v>
      </c>
      <c r="FQ274" s="35" t="s">
        <v>418</v>
      </c>
      <c r="FR274" s="35" t="s">
        <v>419</v>
      </c>
      <c r="FS274" s="35" t="s">
        <v>8835</v>
      </c>
      <c r="FT274" s="35" t="s">
        <v>995</v>
      </c>
      <c r="FU274" s="35" t="s">
        <v>488</v>
      </c>
      <c r="FV274" s="35" t="s">
        <v>489</v>
      </c>
      <c r="FW274" s="35" t="s">
        <v>490</v>
      </c>
      <c r="FX274" s="35" t="s">
        <v>491</v>
      </c>
      <c r="FY274" s="35" t="s">
        <v>8836</v>
      </c>
      <c r="FZ274" s="35" t="s">
        <v>493</v>
      </c>
      <c r="GA274" s="35" t="s">
        <v>8837</v>
      </c>
      <c r="GB274" s="35" t="s">
        <v>8838</v>
      </c>
      <c r="GC274" s="35" t="s">
        <v>455</v>
      </c>
      <c r="GD274" s="35" t="s">
        <v>11553</v>
      </c>
      <c r="GE274" s="35" t="s">
        <v>11554</v>
      </c>
      <c r="GF274" s="35" t="s">
        <v>1339</v>
      </c>
      <c r="GG274" s="35" t="s">
        <v>8839</v>
      </c>
      <c r="GH274" s="35" t="s">
        <v>857</v>
      </c>
      <c r="GI274" s="35" t="s">
        <v>857</v>
      </c>
      <c r="GJ274" s="35" t="s">
        <v>790</v>
      </c>
      <c r="GR274" s="35" t="s">
        <v>3208</v>
      </c>
      <c r="GU274" s="35" t="s">
        <v>5081</v>
      </c>
      <c r="GV274" s="35" t="s">
        <v>8729</v>
      </c>
      <c r="GW274" s="35" t="s">
        <v>5231</v>
      </c>
      <c r="GX274" s="35" t="s">
        <v>484</v>
      </c>
      <c r="HD274" s="35" t="s">
        <v>5297</v>
      </c>
      <c r="HE274" s="35" t="s">
        <v>484</v>
      </c>
      <c r="HF274" s="35" t="s">
        <v>5320</v>
      </c>
      <c r="HG274" s="35" t="s">
        <v>5300</v>
      </c>
      <c r="HP274" s="35" t="s">
        <v>5301</v>
      </c>
      <c r="HQ274" s="35" t="s">
        <v>5264</v>
      </c>
      <c r="HR274" s="35" t="s">
        <v>5238</v>
      </c>
      <c r="HS274" s="35" t="s">
        <v>5239</v>
      </c>
      <c r="HX274" s="35" t="s">
        <v>8840</v>
      </c>
      <c r="MK274" s="35" t="s">
        <v>6321</v>
      </c>
    </row>
    <row r="275">
      <c r="A275" s="35" t="s">
        <v>11555</v>
      </c>
      <c r="B275" s="40">
        <v>46111.22171283565</v>
      </c>
      <c r="C275" s="35" t="s">
        <v>368</v>
      </c>
      <c r="D275" s="35" t="s">
        <v>1341</v>
      </c>
      <c r="E275" s="35" t="s">
        <v>1341</v>
      </c>
      <c r="H275" s="35" t="s">
        <v>422</v>
      </c>
      <c r="I275" s="35" t="s">
        <v>373</v>
      </c>
      <c r="J275" s="35" t="s">
        <v>638</v>
      </c>
      <c r="K275" s="35" t="s">
        <v>590</v>
      </c>
      <c r="L275" s="35" t="s">
        <v>376</v>
      </c>
      <c r="M275" s="35" t="s">
        <v>379</v>
      </c>
      <c r="N275" s="35" t="s">
        <v>2464</v>
      </c>
      <c r="O275" s="35" t="s">
        <v>379</v>
      </c>
      <c r="P275" s="35" t="s">
        <v>541</v>
      </c>
      <c r="Q275" s="35" t="s">
        <v>498</v>
      </c>
      <c r="R275" s="35" t="s">
        <v>818</v>
      </c>
      <c r="S275" s="35" t="s">
        <v>500</v>
      </c>
      <c r="T275" s="35" t="s">
        <v>384</v>
      </c>
      <c r="U275" s="35" t="s">
        <v>385</v>
      </c>
      <c r="X275" s="35" t="s">
        <v>3231</v>
      </c>
      <c r="AW275" s="35" t="s">
        <v>1310</v>
      </c>
      <c r="AX275" s="35" t="s">
        <v>391</v>
      </c>
      <c r="AY275" s="35" t="s">
        <v>391</v>
      </c>
      <c r="AZ275" s="35" t="s">
        <v>391</v>
      </c>
      <c r="BA275" s="41">
        <v>2.0</v>
      </c>
      <c r="BB275" s="41">
        <v>2.0</v>
      </c>
      <c r="BC275" s="41">
        <v>2.0</v>
      </c>
      <c r="BD275" s="35" t="s">
        <v>8919</v>
      </c>
      <c r="BE275" s="35" t="s">
        <v>8919</v>
      </c>
      <c r="BF275" s="35" t="s">
        <v>3114</v>
      </c>
      <c r="BG275" s="35" t="s">
        <v>1095</v>
      </c>
      <c r="BH275" s="35" t="s">
        <v>765</v>
      </c>
      <c r="BJ275" s="35" t="s">
        <v>435</v>
      </c>
      <c r="BL275" s="35" t="s">
        <v>681</v>
      </c>
      <c r="BN275" s="35" t="s">
        <v>397</v>
      </c>
      <c r="BO275" s="35" t="s">
        <v>513</v>
      </c>
      <c r="CM275" s="35" t="s">
        <v>953</v>
      </c>
      <c r="CN275" s="35" t="s">
        <v>401</v>
      </c>
      <c r="CO275" s="35" t="s">
        <v>8920</v>
      </c>
      <c r="CP275" s="35" t="s">
        <v>8921</v>
      </c>
      <c r="CV275" s="35" t="s">
        <v>982</v>
      </c>
      <c r="CY275" s="35" t="s">
        <v>408</v>
      </c>
      <c r="DA275" s="35" t="s">
        <v>985</v>
      </c>
      <c r="DC275" s="35" t="s">
        <v>455</v>
      </c>
      <c r="DH275" s="35" t="s">
        <v>561</v>
      </c>
      <c r="DI275" s="35" t="s">
        <v>833</v>
      </c>
      <c r="DJ275" s="35" t="s">
        <v>963</v>
      </c>
      <c r="DK275" s="35" t="s">
        <v>613</v>
      </c>
      <c r="EU275" s="35" t="s">
        <v>578</v>
      </c>
      <c r="EV275" s="35" t="s">
        <v>579</v>
      </c>
      <c r="EW275" s="35" t="s">
        <v>480</v>
      </c>
      <c r="FA275" s="35" t="s">
        <v>415</v>
      </c>
      <c r="FB275" s="35" t="s">
        <v>414</v>
      </c>
      <c r="FC275" s="35" t="s">
        <v>413</v>
      </c>
      <c r="FD275" s="35" t="s">
        <v>415</v>
      </c>
      <c r="FE275" s="35" t="s">
        <v>413</v>
      </c>
      <c r="FF275" s="35" t="s">
        <v>414</v>
      </c>
      <c r="FG275" s="35" t="s">
        <v>415</v>
      </c>
      <c r="FH275" s="35" t="s">
        <v>415</v>
      </c>
      <c r="FI275" s="35" t="s">
        <v>415</v>
      </c>
      <c r="FJ275" s="35" t="s">
        <v>415</v>
      </c>
      <c r="FK275" s="35" t="s">
        <v>414</v>
      </c>
      <c r="FL275" s="35" t="s">
        <v>415</v>
      </c>
      <c r="FM275" s="35" t="s">
        <v>415</v>
      </c>
      <c r="FN275" s="35" t="s">
        <v>415</v>
      </c>
      <c r="FO275" s="35" t="s">
        <v>415</v>
      </c>
      <c r="FP275" s="35" t="s">
        <v>1074</v>
      </c>
      <c r="FQ275" s="35" t="s">
        <v>418</v>
      </c>
      <c r="FR275" s="35" t="s">
        <v>419</v>
      </c>
      <c r="FT275" s="35" t="s">
        <v>1076</v>
      </c>
      <c r="FU275" s="35" t="s">
        <v>488</v>
      </c>
      <c r="FV275" s="35" t="s">
        <v>918</v>
      </c>
      <c r="FW275" s="35" t="s">
        <v>1101</v>
      </c>
      <c r="FX275" s="35" t="s">
        <v>491</v>
      </c>
      <c r="FZ275" s="35" t="s">
        <v>535</v>
      </c>
      <c r="GC275" s="35" t="s">
        <v>408</v>
      </c>
      <c r="GH275" s="35" t="s">
        <v>1000</v>
      </c>
      <c r="GI275" s="35" t="s">
        <v>1000</v>
      </c>
      <c r="GJ275" s="35" t="s">
        <v>946</v>
      </c>
      <c r="GO275" s="35" t="s">
        <v>1341</v>
      </c>
      <c r="GQ275" s="35" t="s">
        <v>387</v>
      </c>
      <c r="GR275" s="35" t="s">
        <v>5015</v>
      </c>
      <c r="GU275" s="35" t="s">
        <v>4774</v>
      </c>
      <c r="GW275" s="35" t="s">
        <v>5231</v>
      </c>
      <c r="GX275" s="35" t="s">
        <v>5261</v>
      </c>
      <c r="HP275" s="35" t="s">
        <v>5285</v>
      </c>
      <c r="HQ275" s="35" t="s">
        <v>5264</v>
      </c>
      <c r="HR275" s="35" t="s">
        <v>5238</v>
      </c>
      <c r="HS275" s="35" t="s">
        <v>5321</v>
      </c>
      <c r="HT275" s="35" t="s">
        <v>6534</v>
      </c>
      <c r="HV275" s="35" t="s">
        <v>5917</v>
      </c>
      <c r="HW275" s="35" t="s">
        <v>8922</v>
      </c>
      <c r="HY275" s="35" t="s">
        <v>5920</v>
      </c>
      <c r="HZ275" s="35" t="s">
        <v>5920</v>
      </c>
      <c r="IA275" s="35" t="s">
        <v>5920</v>
      </c>
      <c r="IB275" s="35" t="s">
        <v>5920</v>
      </c>
      <c r="IC275" s="35" t="s">
        <v>5920</v>
      </c>
      <c r="ID275" s="35" t="s">
        <v>5922</v>
      </c>
      <c r="IE275" s="35" t="s">
        <v>5537</v>
      </c>
      <c r="IF275" s="35" t="s">
        <v>5537</v>
      </c>
      <c r="IG275" s="35" t="s">
        <v>5989</v>
      </c>
      <c r="IH275" s="35" t="s">
        <v>5989</v>
      </c>
      <c r="II275" s="35" t="s">
        <v>5989</v>
      </c>
      <c r="IJ275" s="35" t="s">
        <v>5989</v>
      </c>
      <c r="IL275" s="35" t="s">
        <v>6523</v>
      </c>
      <c r="MK275" s="35" t="s">
        <v>6321</v>
      </c>
    </row>
    <row r="276">
      <c r="A276" s="35" t="s">
        <v>11556</v>
      </c>
      <c r="B276" s="40">
        <v>46114.45798623843</v>
      </c>
      <c r="C276" s="35" t="s">
        <v>368</v>
      </c>
      <c r="D276" s="35" t="s">
        <v>370</v>
      </c>
      <c r="E276" s="35" t="s">
        <v>370</v>
      </c>
      <c r="F276" s="35" t="s">
        <v>922</v>
      </c>
      <c r="G276" s="35" t="s">
        <v>922</v>
      </c>
      <c r="H276" s="35" t="s">
        <v>636</v>
      </c>
      <c r="I276" s="35" t="s">
        <v>373</v>
      </c>
      <c r="J276" s="35" t="s">
        <v>638</v>
      </c>
      <c r="K276" s="35" t="s">
        <v>375</v>
      </c>
      <c r="L276" s="35" t="s">
        <v>376</v>
      </c>
      <c r="M276" s="35" t="s">
        <v>591</v>
      </c>
      <c r="O276" s="35" t="s">
        <v>591</v>
      </c>
      <c r="Q276" s="35" t="s">
        <v>498</v>
      </c>
      <c r="R276" s="35" t="s">
        <v>382</v>
      </c>
      <c r="S276" s="35" t="s">
        <v>1197</v>
      </c>
      <c r="T276" s="35" t="s">
        <v>384</v>
      </c>
      <c r="U276" s="35" t="s">
        <v>385</v>
      </c>
      <c r="X276" s="35" t="s">
        <v>386</v>
      </c>
      <c r="Y276" s="35" t="s">
        <v>1706</v>
      </c>
      <c r="AD276" s="35" t="s">
        <v>8923</v>
      </c>
      <c r="AE276" s="35" t="s">
        <v>2968</v>
      </c>
      <c r="AF276" s="35" t="s">
        <v>455</v>
      </c>
      <c r="AH276" s="41">
        <v>1.0</v>
      </c>
      <c r="AI276" s="35" t="s">
        <v>7226</v>
      </c>
      <c r="AL276" s="35" t="s">
        <v>7228</v>
      </c>
      <c r="AW276" s="35" t="s">
        <v>1242</v>
      </c>
      <c r="AX276" s="35" t="s">
        <v>675</v>
      </c>
      <c r="AY276" s="35" t="s">
        <v>675</v>
      </c>
      <c r="AZ276" s="35" t="s">
        <v>391</v>
      </c>
      <c r="BA276" s="35" t="s">
        <v>391</v>
      </c>
      <c r="BB276" s="35" t="s">
        <v>675</v>
      </c>
      <c r="BC276" s="41">
        <v>4.0</v>
      </c>
      <c r="BF276" s="35" t="s">
        <v>432</v>
      </c>
      <c r="BG276" s="35" t="s">
        <v>1095</v>
      </c>
      <c r="BH276" s="35" t="s">
        <v>434</v>
      </c>
      <c r="BJ276" s="35" t="s">
        <v>435</v>
      </c>
      <c r="BL276" s="35" t="s">
        <v>395</v>
      </c>
      <c r="BM276" s="35" t="s">
        <v>904</v>
      </c>
      <c r="BN276" s="35" t="s">
        <v>1314</v>
      </c>
      <c r="BO276" s="35" t="s">
        <v>513</v>
      </c>
      <c r="CM276" s="35" t="s">
        <v>441</v>
      </c>
      <c r="CN276" s="35" t="s">
        <v>604</v>
      </c>
      <c r="CQ276" s="35" t="s">
        <v>445</v>
      </c>
      <c r="CR276" s="35" t="s">
        <v>8924</v>
      </c>
      <c r="CS276" s="35" t="s">
        <v>404</v>
      </c>
      <c r="CT276" s="35" t="s">
        <v>8925</v>
      </c>
      <c r="CV276" s="35" t="s">
        <v>982</v>
      </c>
      <c r="CW276" s="35" t="s">
        <v>451</v>
      </c>
      <c r="CY276" s="35" t="s">
        <v>408</v>
      </c>
      <c r="DA276" s="35" t="s">
        <v>1962</v>
      </c>
      <c r="DC276" s="35" t="s">
        <v>408</v>
      </c>
      <c r="DE276" s="35" t="s">
        <v>406</v>
      </c>
      <c r="DF276" s="35" t="s">
        <v>1058</v>
      </c>
      <c r="DH276" s="35" t="s">
        <v>524</v>
      </c>
      <c r="DI276" s="35" t="s">
        <v>833</v>
      </c>
      <c r="DJ276" s="35" t="s">
        <v>459</v>
      </c>
      <c r="DK276" s="35" t="s">
        <v>613</v>
      </c>
      <c r="EU276" s="35" t="s">
        <v>578</v>
      </c>
      <c r="EV276" s="35" t="s">
        <v>479</v>
      </c>
      <c r="EW276" s="35" t="s">
        <v>1534</v>
      </c>
      <c r="FA276" s="35" t="s">
        <v>414</v>
      </c>
      <c r="FB276" s="35" t="s">
        <v>583</v>
      </c>
      <c r="FC276" s="35" t="s">
        <v>413</v>
      </c>
      <c r="FD276" s="35" t="s">
        <v>414</v>
      </c>
      <c r="FE276" s="35" t="s">
        <v>413</v>
      </c>
      <c r="FF276" s="35" t="s">
        <v>583</v>
      </c>
      <c r="FG276" s="35" t="s">
        <v>413</v>
      </c>
      <c r="FH276" s="35" t="s">
        <v>415</v>
      </c>
      <c r="FI276" s="35" t="s">
        <v>414</v>
      </c>
      <c r="FJ276" s="35" t="s">
        <v>583</v>
      </c>
      <c r="FK276" s="35" t="s">
        <v>583</v>
      </c>
      <c r="FL276" s="35" t="s">
        <v>415</v>
      </c>
      <c r="FM276" s="35" t="s">
        <v>414</v>
      </c>
      <c r="FN276" s="35" t="s">
        <v>484</v>
      </c>
      <c r="FO276" s="35" t="s">
        <v>484</v>
      </c>
      <c r="FP276" s="35" t="s">
        <v>1537</v>
      </c>
      <c r="FQ276" s="35" t="s">
        <v>486</v>
      </c>
      <c r="FR276" s="35" t="s">
        <v>630</v>
      </c>
      <c r="FT276" s="35" t="s">
        <v>420</v>
      </c>
      <c r="FU276" s="35" t="s">
        <v>1462</v>
      </c>
      <c r="FV276" s="35" t="s">
        <v>533</v>
      </c>
      <c r="FW276" s="35" t="s">
        <v>2399</v>
      </c>
      <c r="FX276" s="35" t="s">
        <v>1853</v>
      </c>
      <c r="FZ276" s="35" t="s">
        <v>1854</v>
      </c>
      <c r="GC276" s="35" t="s">
        <v>408</v>
      </c>
      <c r="GH276" s="35" t="s">
        <v>755</v>
      </c>
      <c r="GI276" s="35" t="s">
        <v>755</v>
      </c>
      <c r="GJ276" s="35" t="s">
        <v>946</v>
      </c>
      <c r="GR276" s="35" t="s">
        <v>3208</v>
      </c>
      <c r="GU276" s="35" t="s">
        <v>4774</v>
      </c>
      <c r="GW276" s="35" t="s">
        <v>5231</v>
      </c>
      <c r="GX276" s="35" t="s">
        <v>5232</v>
      </c>
      <c r="HD276" s="35" t="s">
        <v>5297</v>
      </c>
      <c r="HE276" s="35" t="s">
        <v>5282</v>
      </c>
      <c r="HF276" s="35" t="s">
        <v>5299</v>
      </c>
      <c r="HG276" s="35" t="s">
        <v>5284</v>
      </c>
      <c r="HP276" s="35" t="s">
        <v>5346</v>
      </c>
      <c r="HQ276" s="35" t="s">
        <v>5302</v>
      </c>
      <c r="HR276" s="35" t="s">
        <v>5721</v>
      </c>
      <c r="HS276" s="35" t="s">
        <v>5239</v>
      </c>
      <c r="HX276" s="35" t="s">
        <v>5971</v>
      </c>
      <c r="MK276" s="35" t="s">
        <v>6321</v>
      </c>
    </row>
    <row r="277">
      <c r="A277" s="35" t="s">
        <v>11557</v>
      </c>
      <c r="B277" s="40">
        <v>46116.70468314815</v>
      </c>
      <c r="C277" s="35" t="s">
        <v>368</v>
      </c>
      <c r="D277" s="35" t="s">
        <v>370</v>
      </c>
      <c r="E277" s="35" t="s">
        <v>370</v>
      </c>
      <c r="F277" s="35" t="s">
        <v>922</v>
      </c>
      <c r="G277" s="35" t="s">
        <v>5064</v>
      </c>
      <c r="H277" s="35" t="s">
        <v>422</v>
      </c>
      <c r="I277" s="35" t="s">
        <v>496</v>
      </c>
      <c r="J277" s="35" t="s">
        <v>374</v>
      </c>
      <c r="K277" s="35" t="s">
        <v>375</v>
      </c>
      <c r="L277" s="35" t="s">
        <v>376</v>
      </c>
      <c r="M277" s="35" t="s">
        <v>379</v>
      </c>
      <c r="N277" s="35" t="s">
        <v>378</v>
      </c>
      <c r="O277" s="35" t="s">
        <v>379</v>
      </c>
      <c r="P277" s="35" t="s">
        <v>497</v>
      </c>
      <c r="Q277" s="35" t="s">
        <v>498</v>
      </c>
      <c r="R277" s="35" t="s">
        <v>499</v>
      </c>
      <c r="S277" s="35" t="s">
        <v>427</v>
      </c>
      <c r="T277" s="35" t="s">
        <v>384</v>
      </c>
      <c r="U277" s="35" t="s">
        <v>385</v>
      </c>
      <c r="X277" s="35" t="s">
        <v>3231</v>
      </c>
      <c r="AW277" s="35" t="s">
        <v>504</v>
      </c>
      <c r="AX277" s="35" t="s">
        <v>429</v>
      </c>
      <c r="AY277" s="35" t="s">
        <v>429</v>
      </c>
      <c r="AZ277" s="35" t="s">
        <v>429</v>
      </c>
      <c r="BA277" s="35" t="s">
        <v>429</v>
      </c>
      <c r="BB277" s="35" t="s">
        <v>429</v>
      </c>
      <c r="BC277" s="35" t="s">
        <v>429</v>
      </c>
      <c r="BD277" s="35" t="s">
        <v>8926</v>
      </c>
      <c r="BE277" s="35" t="s">
        <v>8927</v>
      </c>
      <c r="BF277" s="35" t="s">
        <v>392</v>
      </c>
      <c r="BG277" s="35" t="s">
        <v>433</v>
      </c>
      <c r="BH277" s="35" t="s">
        <v>434</v>
      </c>
      <c r="BJ277" s="35" t="s">
        <v>509</v>
      </c>
      <c r="BK277" s="35" t="s">
        <v>8928</v>
      </c>
      <c r="BL277" s="35" t="s">
        <v>437</v>
      </c>
      <c r="BM277" s="35" t="s">
        <v>438</v>
      </c>
      <c r="BN277" s="35" t="s">
        <v>439</v>
      </c>
      <c r="BO277" s="35" t="s">
        <v>513</v>
      </c>
      <c r="CM277" s="35" t="s">
        <v>441</v>
      </c>
      <c r="CN277" s="35" t="s">
        <v>604</v>
      </c>
      <c r="CO277" s="35" t="s">
        <v>1600</v>
      </c>
      <c r="CP277" s="35" t="s">
        <v>8929</v>
      </c>
      <c r="CQ277" s="35" t="s">
        <v>445</v>
      </c>
      <c r="CR277" s="35" t="s">
        <v>7891</v>
      </c>
      <c r="CS277" s="35" t="s">
        <v>447</v>
      </c>
      <c r="CT277" s="35" t="s">
        <v>608</v>
      </c>
      <c r="CU277" s="35" t="s">
        <v>8930</v>
      </c>
      <c r="CV277" s="35" t="s">
        <v>450</v>
      </c>
      <c r="CW277" s="35" t="s">
        <v>451</v>
      </c>
      <c r="CX277" s="35" t="s">
        <v>8931</v>
      </c>
      <c r="CY277" s="35" t="s">
        <v>408</v>
      </c>
      <c r="DA277" s="35" t="s">
        <v>453</v>
      </c>
      <c r="DB277" s="35" t="s">
        <v>8932</v>
      </c>
      <c r="DC277" s="35" t="s">
        <v>455</v>
      </c>
      <c r="DD277" s="35" t="s">
        <v>8933</v>
      </c>
      <c r="DE277" s="35" t="s">
        <v>406</v>
      </c>
      <c r="DF277" s="35" t="s">
        <v>407</v>
      </c>
      <c r="DG277" s="35" t="s">
        <v>8934</v>
      </c>
      <c r="DH277" s="35" t="s">
        <v>524</v>
      </c>
      <c r="DI277" s="35" t="s">
        <v>410</v>
      </c>
      <c r="DJ277" s="35" t="s">
        <v>459</v>
      </c>
      <c r="DK277" s="35" t="s">
        <v>613</v>
      </c>
      <c r="EU277" s="35" t="s">
        <v>526</v>
      </c>
      <c r="EV277" s="35" t="s">
        <v>479</v>
      </c>
      <c r="EW277" s="35" t="s">
        <v>527</v>
      </c>
      <c r="EX277" s="35" t="s">
        <v>8935</v>
      </c>
      <c r="EY277" s="35" t="s">
        <v>8936</v>
      </c>
      <c r="EZ277" s="35" t="s">
        <v>8937</v>
      </c>
      <c r="FA277" s="35" t="s">
        <v>413</v>
      </c>
      <c r="FB277" s="35" t="s">
        <v>413</v>
      </c>
      <c r="FC277" s="35" t="s">
        <v>413</v>
      </c>
      <c r="FD277" s="35" t="s">
        <v>413</v>
      </c>
      <c r="FE277" s="35" t="s">
        <v>413</v>
      </c>
      <c r="FF277" s="35" t="s">
        <v>413</v>
      </c>
      <c r="FG277" s="35" t="s">
        <v>413</v>
      </c>
      <c r="FH277" s="35" t="s">
        <v>413</v>
      </c>
      <c r="FI277" s="35" t="s">
        <v>413</v>
      </c>
      <c r="FJ277" s="35" t="s">
        <v>583</v>
      </c>
      <c r="FK277" s="35" t="s">
        <v>416</v>
      </c>
      <c r="FL277" s="35" t="s">
        <v>416</v>
      </c>
      <c r="FM277" s="35" t="s">
        <v>416</v>
      </c>
      <c r="FN277" s="35" t="s">
        <v>416</v>
      </c>
      <c r="FO277" s="35" t="s">
        <v>414</v>
      </c>
      <c r="FP277" s="35" t="s">
        <v>485</v>
      </c>
      <c r="FQ277" s="35" t="s">
        <v>418</v>
      </c>
      <c r="FR277" s="35" t="s">
        <v>712</v>
      </c>
      <c r="FS277" s="35" t="s">
        <v>8938</v>
      </c>
      <c r="FT277" s="35" t="s">
        <v>420</v>
      </c>
      <c r="FU277" s="35" t="s">
        <v>488</v>
      </c>
      <c r="FV277" s="35" t="s">
        <v>533</v>
      </c>
      <c r="FW277" s="35" t="s">
        <v>490</v>
      </c>
      <c r="FX277" s="35" t="s">
        <v>491</v>
      </c>
      <c r="FY277" s="35" t="s">
        <v>8939</v>
      </c>
      <c r="FZ277" s="35" t="s">
        <v>535</v>
      </c>
      <c r="GB277" s="35" t="s">
        <v>8940</v>
      </c>
      <c r="GC277" s="35" t="s">
        <v>455</v>
      </c>
      <c r="GD277" s="35" t="s">
        <v>11558</v>
      </c>
      <c r="GE277" s="35" t="s">
        <v>11125</v>
      </c>
      <c r="GF277" s="35" t="s">
        <v>944</v>
      </c>
      <c r="GG277" s="35" t="s">
        <v>8941</v>
      </c>
      <c r="GH277" s="35" t="s">
        <v>755</v>
      </c>
      <c r="GI277" s="35" t="s">
        <v>755</v>
      </c>
      <c r="GJ277" s="35" t="s">
        <v>946</v>
      </c>
      <c r="GQ277" s="35" t="s">
        <v>387</v>
      </c>
      <c r="GR277" s="35" t="s">
        <v>3208</v>
      </c>
      <c r="GU277" s="35" t="s">
        <v>4774</v>
      </c>
      <c r="GV277" s="35" t="s">
        <v>1211</v>
      </c>
      <c r="GW277" s="35" t="s">
        <v>5231</v>
      </c>
      <c r="GX277" s="35" t="s">
        <v>5232</v>
      </c>
      <c r="HD277" s="35" t="s">
        <v>5297</v>
      </c>
      <c r="HE277" s="35" t="s">
        <v>5349</v>
      </c>
      <c r="HF277" s="35" t="s">
        <v>5320</v>
      </c>
      <c r="HG277" s="35" t="s">
        <v>5300</v>
      </c>
      <c r="HP277" s="35" t="s">
        <v>5236</v>
      </c>
      <c r="HQ277" s="35" t="s">
        <v>5264</v>
      </c>
      <c r="HR277" s="35" t="s">
        <v>5238</v>
      </c>
      <c r="HS277" s="35" t="s">
        <v>5321</v>
      </c>
      <c r="HX277" s="35" t="s">
        <v>5501</v>
      </c>
      <c r="MK277" s="35" t="s">
        <v>6321</v>
      </c>
    </row>
    <row r="278">
      <c r="A278" s="35" t="s">
        <v>11559</v>
      </c>
      <c r="B278" s="40">
        <v>46116.83796020833</v>
      </c>
      <c r="C278" s="35" t="s">
        <v>368</v>
      </c>
      <c r="D278" s="35" t="s">
        <v>370</v>
      </c>
      <c r="E278" s="35" t="s">
        <v>370</v>
      </c>
      <c r="F278" s="35" t="s">
        <v>4114</v>
      </c>
      <c r="G278" s="35" t="s">
        <v>4114</v>
      </c>
      <c r="H278" s="35" t="s">
        <v>422</v>
      </c>
      <c r="I278" s="35" t="s">
        <v>373</v>
      </c>
      <c r="J278" s="35" t="s">
        <v>638</v>
      </c>
      <c r="K278" s="35" t="s">
        <v>590</v>
      </c>
      <c r="L278" s="35" t="s">
        <v>376</v>
      </c>
      <c r="M278" s="35" t="s">
        <v>426</v>
      </c>
      <c r="N278" s="35" t="s">
        <v>639</v>
      </c>
      <c r="O278" s="35" t="s">
        <v>377</v>
      </c>
      <c r="P278" s="35" t="s">
        <v>497</v>
      </c>
      <c r="Q278" s="35" t="s">
        <v>1760</v>
      </c>
      <c r="R278" s="35" t="s">
        <v>382</v>
      </c>
      <c r="S278" s="35" t="s">
        <v>427</v>
      </c>
      <c r="T278" s="35" t="s">
        <v>384</v>
      </c>
      <c r="U278" s="35" t="s">
        <v>385</v>
      </c>
      <c r="X278" s="35" t="s">
        <v>3014</v>
      </c>
      <c r="AW278" s="35" t="s">
        <v>1310</v>
      </c>
      <c r="AX278" s="35" t="s">
        <v>391</v>
      </c>
      <c r="AY278" s="35" t="s">
        <v>391</v>
      </c>
      <c r="AZ278" s="41">
        <v>2.0</v>
      </c>
      <c r="BA278" s="41">
        <v>2.0</v>
      </c>
      <c r="BB278" s="35" t="s">
        <v>391</v>
      </c>
      <c r="BC278" s="41">
        <v>2.0</v>
      </c>
      <c r="BD278" s="35" t="s">
        <v>8974</v>
      </c>
      <c r="BE278" s="35" t="s">
        <v>8975</v>
      </c>
      <c r="BF278" s="35" t="s">
        <v>432</v>
      </c>
      <c r="BG278" s="35" t="s">
        <v>433</v>
      </c>
      <c r="BH278" s="35" t="s">
        <v>765</v>
      </c>
      <c r="BI278" s="35" t="s">
        <v>8976</v>
      </c>
      <c r="BJ278" s="35" t="s">
        <v>435</v>
      </c>
      <c r="BK278" s="35" t="s">
        <v>8977</v>
      </c>
      <c r="BL278" s="35" t="s">
        <v>681</v>
      </c>
      <c r="BM278" s="35" t="s">
        <v>438</v>
      </c>
      <c r="BN278" s="35" t="s">
        <v>1276</v>
      </c>
      <c r="BO278" s="35" t="s">
        <v>513</v>
      </c>
      <c r="CM278" s="35" t="s">
        <v>441</v>
      </c>
      <c r="CN278" s="35" t="s">
        <v>401</v>
      </c>
      <c r="CO278" s="35" t="s">
        <v>552</v>
      </c>
      <c r="CP278" s="35" t="s">
        <v>8978</v>
      </c>
      <c r="CQ278" s="35" t="s">
        <v>685</v>
      </c>
      <c r="CR278" s="35" t="s">
        <v>8979</v>
      </c>
      <c r="CS278" s="35" t="s">
        <v>447</v>
      </c>
      <c r="CT278" s="35" t="s">
        <v>805</v>
      </c>
      <c r="CU278" s="35" t="s">
        <v>8980</v>
      </c>
      <c r="CV278" s="35" t="s">
        <v>450</v>
      </c>
      <c r="CW278" s="35" t="s">
        <v>451</v>
      </c>
      <c r="CX278" s="35" t="s">
        <v>8981</v>
      </c>
      <c r="CY278" s="35" t="s">
        <v>408</v>
      </c>
      <c r="DA278" s="35" t="s">
        <v>985</v>
      </c>
      <c r="DB278" s="35" t="s">
        <v>8982</v>
      </c>
      <c r="DC278" s="35" t="s">
        <v>913</v>
      </c>
      <c r="DE278" s="35" t="s">
        <v>457</v>
      </c>
      <c r="DF278" s="35" t="s">
        <v>407</v>
      </c>
      <c r="DG278" s="35" t="s">
        <v>8983</v>
      </c>
      <c r="DH278" s="35" t="s">
        <v>561</v>
      </c>
      <c r="DI278" s="35" t="s">
        <v>410</v>
      </c>
      <c r="DJ278" s="35" t="s">
        <v>459</v>
      </c>
      <c r="DK278" s="35" t="s">
        <v>613</v>
      </c>
      <c r="EU278" s="35" t="s">
        <v>526</v>
      </c>
      <c r="EV278" s="35" t="s">
        <v>479</v>
      </c>
      <c r="EW278" s="35" t="s">
        <v>527</v>
      </c>
      <c r="EX278" s="35" t="s">
        <v>8984</v>
      </c>
      <c r="EY278" s="35" t="s">
        <v>8985</v>
      </c>
      <c r="EZ278" s="35" t="s">
        <v>8986</v>
      </c>
      <c r="FA278" s="35" t="s">
        <v>414</v>
      </c>
      <c r="FB278" s="35" t="s">
        <v>583</v>
      </c>
      <c r="FC278" s="35" t="s">
        <v>414</v>
      </c>
      <c r="FD278" s="35" t="s">
        <v>414</v>
      </c>
      <c r="FE278" s="35" t="s">
        <v>416</v>
      </c>
      <c r="FF278" s="35" t="s">
        <v>583</v>
      </c>
      <c r="FG278" s="35" t="s">
        <v>415</v>
      </c>
      <c r="FH278" s="35" t="s">
        <v>414</v>
      </c>
      <c r="FI278" s="35" t="s">
        <v>416</v>
      </c>
      <c r="FJ278" s="35" t="s">
        <v>583</v>
      </c>
      <c r="FK278" s="35" t="s">
        <v>414</v>
      </c>
      <c r="FL278" s="35" t="s">
        <v>583</v>
      </c>
      <c r="FM278" s="35" t="s">
        <v>484</v>
      </c>
      <c r="FN278" s="35" t="s">
        <v>414</v>
      </c>
      <c r="FO278" s="35" t="s">
        <v>583</v>
      </c>
      <c r="FP278" s="35" t="s">
        <v>485</v>
      </c>
      <c r="FQ278" s="35" t="s">
        <v>486</v>
      </c>
      <c r="FR278" s="35" t="s">
        <v>419</v>
      </c>
      <c r="FS278" s="35" t="s">
        <v>8987</v>
      </c>
      <c r="FT278" s="35" t="s">
        <v>1189</v>
      </c>
      <c r="FU278" s="35" t="s">
        <v>1462</v>
      </c>
      <c r="FV278" s="35" t="s">
        <v>533</v>
      </c>
      <c r="FW278" s="35" t="s">
        <v>490</v>
      </c>
      <c r="FX278" s="35" t="s">
        <v>491</v>
      </c>
      <c r="FY278" s="35" t="s">
        <v>8988</v>
      </c>
      <c r="FZ278" s="35" t="s">
        <v>493</v>
      </c>
      <c r="GA278" s="35" t="s">
        <v>8989</v>
      </c>
      <c r="GB278" s="35" t="s">
        <v>8990</v>
      </c>
      <c r="GC278" s="35" t="s">
        <v>408</v>
      </c>
      <c r="GH278" s="35" t="s">
        <v>857</v>
      </c>
      <c r="GI278" s="35" t="s">
        <v>857</v>
      </c>
      <c r="GJ278" s="35" t="s">
        <v>817</v>
      </c>
      <c r="GR278" s="35" t="s">
        <v>3208</v>
      </c>
      <c r="GU278" s="35" t="s">
        <v>4774</v>
      </c>
      <c r="GW278" s="35" t="s">
        <v>5231</v>
      </c>
      <c r="GX278" s="35" t="s">
        <v>5232</v>
      </c>
      <c r="HD278" s="35" t="s">
        <v>5297</v>
      </c>
      <c r="HE278" s="35" t="s">
        <v>5282</v>
      </c>
      <c r="HF278" s="35" t="s">
        <v>5320</v>
      </c>
      <c r="HG278" s="35" t="s">
        <v>5284</v>
      </c>
      <c r="HP278" s="35" t="s">
        <v>5346</v>
      </c>
      <c r="HQ278" s="35" t="s">
        <v>5264</v>
      </c>
      <c r="HR278" s="35" t="s">
        <v>5238</v>
      </c>
      <c r="HS278" s="35" t="s">
        <v>5321</v>
      </c>
      <c r="HX278" s="35" t="s">
        <v>6274</v>
      </c>
      <c r="MK278" s="35" t="s">
        <v>6321</v>
      </c>
    </row>
    <row r="279">
      <c r="A279" s="35" t="s">
        <v>11560</v>
      </c>
      <c r="B279" s="40">
        <v>46117.11012297454</v>
      </c>
      <c r="C279" s="35" t="s">
        <v>368</v>
      </c>
      <c r="D279" s="35" t="s">
        <v>1201</v>
      </c>
      <c r="E279" s="35" t="s">
        <v>1201</v>
      </c>
      <c r="H279" s="35" t="s">
        <v>422</v>
      </c>
      <c r="I279" s="35" t="s">
        <v>496</v>
      </c>
      <c r="K279" s="35" t="s">
        <v>718</v>
      </c>
      <c r="L279" s="35" t="s">
        <v>376</v>
      </c>
      <c r="M279" s="35" t="s">
        <v>377</v>
      </c>
      <c r="N279" s="35" t="s">
        <v>541</v>
      </c>
      <c r="O279" s="35" t="s">
        <v>379</v>
      </c>
      <c r="P279" s="35" t="s">
        <v>671</v>
      </c>
      <c r="Q279" s="35" t="s">
        <v>592</v>
      </c>
      <c r="R279" s="35" t="s">
        <v>1156</v>
      </c>
      <c r="S279" s="35" t="s">
        <v>3976</v>
      </c>
      <c r="T279" s="35" t="s">
        <v>384</v>
      </c>
      <c r="U279" s="35" t="s">
        <v>385</v>
      </c>
      <c r="X279" s="35" t="s">
        <v>593</v>
      </c>
      <c r="Y279" s="35" t="s">
        <v>387</v>
      </c>
      <c r="Z279" s="35" t="s">
        <v>594</v>
      </c>
      <c r="AA279" s="35" t="s">
        <v>672</v>
      </c>
      <c r="AB279" s="35" t="s">
        <v>9024</v>
      </c>
      <c r="AC279" s="35" t="s">
        <v>9025</v>
      </c>
      <c r="AW279" s="35" t="s">
        <v>1310</v>
      </c>
      <c r="AX279" s="35" t="s">
        <v>391</v>
      </c>
      <c r="AY279" s="41">
        <v>2.0</v>
      </c>
      <c r="AZ279" s="41">
        <v>2.0</v>
      </c>
      <c r="BA279" s="35" t="s">
        <v>391</v>
      </c>
      <c r="BB279" s="35" t="s">
        <v>429</v>
      </c>
      <c r="BC279" s="41">
        <v>2.0</v>
      </c>
      <c r="BD279" s="35" t="s">
        <v>9026</v>
      </c>
      <c r="BE279" s="35" t="s">
        <v>9027</v>
      </c>
      <c r="BF279" s="35" t="s">
        <v>432</v>
      </c>
      <c r="BG279" s="35" t="s">
        <v>393</v>
      </c>
      <c r="BH279" s="35" t="s">
        <v>678</v>
      </c>
      <c r="BI279" s="35" t="s">
        <v>9028</v>
      </c>
      <c r="BJ279" s="35" t="s">
        <v>976</v>
      </c>
      <c r="BL279" s="35" t="s">
        <v>437</v>
      </c>
      <c r="BM279" s="35" t="s">
        <v>904</v>
      </c>
      <c r="BN279" s="35" t="s">
        <v>1247</v>
      </c>
      <c r="BO279" s="35" t="s">
        <v>513</v>
      </c>
      <c r="CM279" s="35" t="s">
        <v>550</v>
      </c>
      <c r="CN279" s="35" t="s">
        <v>442</v>
      </c>
      <c r="CO279" s="35" t="s">
        <v>9029</v>
      </c>
      <c r="CP279" s="35" t="s">
        <v>9030</v>
      </c>
      <c r="CQ279" s="35" t="s">
        <v>685</v>
      </c>
      <c r="CR279" s="35" t="s">
        <v>4908</v>
      </c>
      <c r="CS279" s="35" t="s">
        <v>804</v>
      </c>
      <c r="CT279" s="35" t="s">
        <v>8203</v>
      </c>
      <c r="CU279" s="35" t="s">
        <v>9031</v>
      </c>
      <c r="CV279" s="35" t="s">
        <v>519</v>
      </c>
      <c r="CW279" s="35" t="s">
        <v>2393</v>
      </c>
      <c r="CY279" s="35" t="s">
        <v>408</v>
      </c>
      <c r="DA279" s="35" t="s">
        <v>1962</v>
      </c>
      <c r="DC279" s="35" t="s">
        <v>408</v>
      </c>
      <c r="DE279" s="35" t="s">
        <v>457</v>
      </c>
      <c r="DG279" s="35" t="s">
        <v>9032</v>
      </c>
      <c r="DH279" s="35" t="s">
        <v>990</v>
      </c>
      <c r="DI279" s="35" t="s">
        <v>410</v>
      </c>
      <c r="DJ279" s="35" t="s">
        <v>963</v>
      </c>
      <c r="DK279" s="35" t="s">
        <v>613</v>
      </c>
      <c r="EU279" s="35" t="s">
        <v>478</v>
      </c>
      <c r="EV279" s="35" t="s">
        <v>479</v>
      </c>
      <c r="EW279" s="35" t="s">
        <v>527</v>
      </c>
      <c r="EX279" s="35" t="s">
        <v>9033</v>
      </c>
      <c r="EY279" s="35" t="s">
        <v>9034</v>
      </c>
      <c r="EZ279" s="35" t="s">
        <v>9035</v>
      </c>
      <c r="FA279" s="35" t="s">
        <v>583</v>
      </c>
      <c r="FB279" s="35" t="s">
        <v>583</v>
      </c>
      <c r="FC279" s="35" t="s">
        <v>416</v>
      </c>
      <c r="FD279" s="35" t="s">
        <v>583</v>
      </c>
      <c r="FE279" s="35" t="s">
        <v>415</v>
      </c>
      <c r="FF279" s="35" t="s">
        <v>583</v>
      </c>
      <c r="FG279" s="35" t="s">
        <v>583</v>
      </c>
      <c r="FH279" s="35" t="s">
        <v>415</v>
      </c>
      <c r="FI279" s="35" t="s">
        <v>415</v>
      </c>
      <c r="FJ279" s="35" t="s">
        <v>414</v>
      </c>
      <c r="FK279" s="35" t="s">
        <v>414</v>
      </c>
      <c r="FL279" s="35" t="s">
        <v>414</v>
      </c>
      <c r="FM279" s="35" t="s">
        <v>414</v>
      </c>
      <c r="FN279" s="35" t="s">
        <v>415</v>
      </c>
      <c r="FO279" s="35" t="s">
        <v>415</v>
      </c>
      <c r="FP279" s="35" t="s">
        <v>1074</v>
      </c>
      <c r="FQ279" s="35" t="s">
        <v>3218</v>
      </c>
      <c r="FR279" s="35" t="s">
        <v>419</v>
      </c>
      <c r="FS279" s="35" t="s">
        <v>9036</v>
      </c>
      <c r="FT279" s="35" t="s">
        <v>1871</v>
      </c>
      <c r="FU279" s="35" t="s">
        <v>421</v>
      </c>
      <c r="FV279" s="35" t="s">
        <v>533</v>
      </c>
      <c r="FW279" s="35" t="s">
        <v>2387</v>
      </c>
      <c r="FY279" s="35" t="s">
        <v>9037</v>
      </c>
      <c r="FZ279" s="35" t="s">
        <v>1020</v>
      </c>
      <c r="GA279" s="35" t="s">
        <v>9038</v>
      </c>
      <c r="GC279" s="35" t="s">
        <v>455</v>
      </c>
      <c r="GD279" s="35" t="s">
        <v>11561</v>
      </c>
      <c r="GF279" s="35" t="s">
        <v>753</v>
      </c>
      <c r="GG279" s="35" t="s">
        <v>9039</v>
      </c>
      <c r="GH279" s="35" t="s">
        <v>1000</v>
      </c>
      <c r="GI279" s="35" t="s">
        <v>788</v>
      </c>
      <c r="GJ279" s="35" t="s">
        <v>756</v>
      </c>
      <c r="GP279" s="35" t="s">
        <v>9040</v>
      </c>
      <c r="GR279" s="35" t="s">
        <v>3208</v>
      </c>
      <c r="GU279" s="35" t="s">
        <v>4774</v>
      </c>
      <c r="GW279" s="35" t="s">
        <v>5231</v>
      </c>
      <c r="GX279" s="35" t="s">
        <v>5232</v>
      </c>
      <c r="HD279" s="35" t="s">
        <v>5281</v>
      </c>
      <c r="HE279" s="35" t="s">
        <v>484</v>
      </c>
      <c r="HF279" s="35" t="s">
        <v>5283</v>
      </c>
      <c r="HG279" s="35" t="s">
        <v>5284</v>
      </c>
      <c r="HP279" s="35" t="s">
        <v>5236</v>
      </c>
      <c r="HQ279" s="35" t="s">
        <v>5264</v>
      </c>
      <c r="HR279" s="35" t="s">
        <v>5801</v>
      </c>
      <c r="HS279" s="35" t="s">
        <v>5239</v>
      </c>
      <c r="HX279" s="35" t="s">
        <v>9041</v>
      </c>
      <c r="MK279" s="35" t="s">
        <v>6321</v>
      </c>
    </row>
    <row r="280">
      <c r="A280" s="35" t="s">
        <v>11562</v>
      </c>
      <c r="B280" s="40">
        <v>46117.37274850694</v>
      </c>
      <c r="C280" s="35" t="s">
        <v>368</v>
      </c>
      <c r="D280" s="35" t="s">
        <v>370</v>
      </c>
      <c r="E280" s="35" t="s">
        <v>370</v>
      </c>
      <c r="F280" s="35" t="s">
        <v>371</v>
      </c>
      <c r="G280" s="35" t="s">
        <v>371</v>
      </c>
      <c r="H280" s="35" t="s">
        <v>1093</v>
      </c>
      <c r="I280" s="35" t="s">
        <v>373</v>
      </c>
      <c r="J280" s="35" t="s">
        <v>638</v>
      </c>
      <c r="K280" s="35" t="s">
        <v>425</v>
      </c>
      <c r="L280" s="35" t="s">
        <v>376</v>
      </c>
      <c r="M280" s="35" t="s">
        <v>379</v>
      </c>
      <c r="N280" s="35" t="s">
        <v>2464</v>
      </c>
      <c r="O280" s="35" t="s">
        <v>426</v>
      </c>
      <c r="P280" s="35" t="s">
        <v>719</v>
      </c>
      <c r="Q280" s="35" t="s">
        <v>592</v>
      </c>
      <c r="R280" s="35" t="s">
        <v>862</v>
      </c>
      <c r="S280" s="35" t="s">
        <v>427</v>
      </c>
      <c r="T280" s="35" t="s">
        <v>384</v>
      </c>
      <c r="U280" s="35" t="s">
        <v>385</v>
      </c>
      <c r="X280" s="35" t="s">
        <v>3231</v>
      </c>
      <c r="AW280" s="35" t="s">
        <v>1310</v>
      </c>
      <c r="AX280" s="35" t="s">
        <v>391</v>
      </c>
      <c r="AY280" s="41">
        <v>2.0</v>
      </c>
      <c r="AZ280" s="41">
        <v>2.0</v>
      </c>
      <c r="BA280" s="35" t="s">
        <v>429</v>
      </c>
      <c r="BB280" s="35" t="s">
        <v>429</v>
      </c>
      <c r="BC280" s="41">
        <v>2.0</v>
      </c>
      <c r="BD280" s="35" t="s">
        <v>9042</v>
      </c>
      <c r="BE280" s="35" t="s">
        <v>9043</v>
      </c>
      <c r="BF280" s="35" t="s">
        <v>392</v>
      </c>
      <c r="BG280" s="35" t="s">
        <v>433</v>
      </c>
      <c r="BH280" s="35" t="s">
        <v>765</v>
      </c>
      <c r="BJ280" s="35" t="s">
        <v>976</v>
      </c>
      <c r="BL280" s="35" t="s">
        <v>681</v>
      </c>
      <c r="BM280" s="35" t="s">
        <v>904</v>
      </c>
      <c r="BN280" s="35" t="s">
        <v>1247</v>
      </c>
      <c r="BO280" s="35" t="s">
        <v>513</v>
      </c>
      <c r="CM280" s="35" t="s">
        <v>682</v>
      </c>
      <c r="CN280" s="35" t="s">
        <v>401</v>
      </c>
      <c r="CO280" s="35" t="s">
        <v>9044</v>
      </c>
      <c r="CP280" s="35" t="s">
        <v>9045</v>
      </c>
      <c r="CU280" s="35" t="s">
        <v>9046</v>
      </c>
      <c r="CV280" s="35" t="s">
        <v>982</v>
      </c>
      <c r="CW280" s="35" t="s">
        <v>959</v>
      </c>
      <c r="CY280" s="35" t="s">
        <v>408</v>
      </c>
      <c r="DA280" s="35" t="s">
        <v>1962</v>
      </c>
      <c r="DC280" s="35" t="s">
        <v>913</v>
      </c>
      <c r="DH280" s="35" t="s">
        <v>693</v>
      </c>
      <c r="DI280" s="35" t="s">
        <v>1964</v>
      </c>
      <c r="DJ280" s="35" t="s">
        <v>963</v>
      </c>
      <c r="DK280" s="35" t="s">
        <v>613</v>
      </c>
      <c r="EU280" s="35" t="s">
        <v>526</v>
      </c>
      <c r="EV280" s="35" t="s">
        <v>1127</v>
      </c>
      <c r="EW280" s="35" t="s">
        <v>480</v>
      </c>
      <c r="EY280" s="35" t="s">
        <v>6932</v>
      </c>
      <c r="EZ280" s="35" t="s">
        <v>1380</v>
      </c>
      <c r="FA280" s="35" t="s">
        <v>414</v>
      </c>
      <c r="FB280" s="35" t="s">
        <v>414</v>
      </c>
      <c r="FC280" s="35" t="s">
        <v>416</v>
      </c>
      <c r="FD280" s="35" t="s">
        <v>415</v>
      </c>
      <c r="FE280" s="35" t="s">
        <v>413</v>
      </c>
      <c r="FF280" s="35" t="s">
        <v>583</v>
      </c>
      <c r="FG280" s="35" t="s">
        <v>414</v>
      </c>
      <c r="FH280" s="35" t="s">
        <v>413</v>
      </c>
      <c r="FI280" s="35" t="s">
        <v>583</v>
      </c>
      <c r="FJ280" s="35" t="s">
        <v>583</v>
      </c>
      <c r="FK280" s="35" t="s">
        <v>583</v>
      </c>
      <c r="FL280" s="35" t="s">
        <v>414</v>
      </c>
      <c r="FM280" s="35" t="s">
        <v>583</v>
      </c>
      <c r="FN280" s="35" t="s">
        <v>413</v>
      </c>
      <c r="FO280" s="35" t="s">
        <v>583</v>
      </c>
      <c r="FP280" s="35" t="s">
        <v>1074</v>
      </c>
      <c r="FQ280" s="35" t="s">
        <v>418</v>
      </c>
      <c r="FR280" s="35" t="s">
        <v>630</v>
      </c>
      <c r="FS280" s="35" t="s">
        <v>9047</v>
      </c>
      <c r="FT280" s="35" t="s">
        <v>1076</v>
      </c>
      <c r="FU280" s="35" t="s">
        <v>488</v>
      </c>
      <c r="FV280" s="35" t="s">
        <v>489</v>
      </c>
      <c r="FW280" s="35" t="s">
        <v>490</v>
      </c>
      <c r="FX280" s="35" t="s">
        <v>491</v>
      </c>
      <c r="FY280" s="35" t="s">
        <v>9048</v>
      </c>
      <c r="FZ280" s="35" t="s">
        <v>493</v>
      </c>
      <c r="GA280" s="35" t="s">
        <v>9049</v>
      </c>
      <c r="GC280" s="35" t="s">
        <v>408</v>
      </c>
      <c r="GH280" s="35" t="s">
        <v>920</v>
      </c>
      <c r="GI280" s="35" t="s">
        <v>920</v>
      </c>
      <c r="GJ280" s="35" t="s">
        <v>817</v>
      </c>
      <c r="GQ280" s="35" t="s">
        <v>387</v>
      </c>
      <c r="GR280" s="35" t="s">
        <v>3208</v>
      </c>
      <c r="GU280" s="35" t="s">
        <v>4774</v>
      </c>
      <c r="GW280" s="35" t="s">
        <v>5231</v>
      </c>
      <c r="GX280" s="35" t="s">
        <v>484</v>
      </c>
      <c r="HP280" s="35" t="s">
        <v>5236</v>
      </c>
      <c r="HQ280" s="35" t="s">
        <v>5264</v>
      </c>
      <c r="HR280" s="35" t="s">
        <v>5238</v>
      </c>
      <c r="HS280" s="35" t="s">
        <v>5321</v>
      </c>
      <c r="HT280" s="35" t="s">
        <v>6534</v>
      </c>
      <c r="HV280" s="35" t="s">
        <v>7955</v>
      </c>
      <c r="HW280" s="35" t="s">
        <v>5918</v>
      </c>
      <c r="HY280" s="35" t="s">
        <v>5920</v>
      </c>
      <c r="HZ280" s="35" t="s">
        <v>5921</v>
      </c>
      <c r="IA280" s="35" t="s">
        <v>5921</v>
      </c>
      <c r="IB280" s="35" t="s">
        <v>6464</v>
      </c>
      <c r="IC280" s="35" t="s">
        <v>6464</v>
      </c>
      <c r="ID280" s="35" t="s">
        <v>5920</v>
      </c>
      <c r="IE280" s="35" t="s">
        <v>5536</v>
      </c>
      <c r="IF280" s="35" t="s">
        <v>6522</v>
      </c>
      <c r="IG280" s="35" t="s">
        <v>6522</v>
      </c>
      <c r="IH280" s="35" t="s">
        <v>6522</v>
      </c>
      <c r="II280" s="35" t="s">
        <v>6522</v>
      </c>
      <c r="IJ280" s="35" t="s">
        <v>5500</v>
      </c>
      <c r="IK280" s="35" t="s">
        <v>9050</v>
      </c>
      <c r="IL280" s="35" t="s">
        <v>7126</v>
      </c>
      <c r="IM280" s="35" t="s">
        <v>9051</v>
      </c>
      <c r="MK280" s="35" t="s">
        <v>6321</v>
      </c>
    </row>
    <row r="281">
      <c r="A281" s="35" t="s">
        <v>11563</v>
      </c>
      <c r="B281" s="40">
        <v>46117.402412662035</v>
      </c>
      <c r="C281" s="35" t="s">
        <v>368</v>
      </c>
      <c r="D281" s="35" t="s">
        <v>370</v>
      </c>
      <c r="E281" s="35" t="s">
        <v>370</v>
      </c>
      <c r="F281" s="35" t="s">
        <v>859</v>
      </c>
      <c r="G281" s="35" t="s">
        <v>859</v>
      </c>
      <c r="H281" s="35" t="s">
        <v>422</v>
      </c>
      <c r="I281" s="35" t="s">
        <v>637</v>
      </c>
      <c r="J281" s="35" t="s">
        <v>638</v>
      </c>
      <c r="K281" s="35" t="s">
        <v>1023</v>
      </c>
      <c r="L281" s="35" t="s">
        <v>376</v>
      </c>
      <c r="M281" s="35" t="s">
        <v>793</v>
      </c>
      <c r="N281" s="35" t="s">
        <v>1024</v>
      </c>
      <c r="O281" s="35" t="s">
        <v>1526</v>
      </c>
      <c r="P281" s="35" t="s">
        <v>1024</v>
      </c>
      <c r="Q281" s="35" t="s">
        <v>381</v>
      </c>
      <c r="R281" s="35" t="s">
        <v>862</v>
      </c>
      <c r="S281" s="35" t="s">
        <v>795</v>
      </c>
      <c r="T281" s="35" t="s">
        <v>384</v>
      </c>
      <c r="U281" s="35" t="s">
        <v>385</v>
      </c>
      <c r="X281" s="35" t="s">
        <v>3014</v>
      </c>
      <c r="AW281" s="35" t="s">
        <v>1310</v>
      </c>
      <c r="AX281" s="35" t="s">
        <v>675</v>
      </c>
      <c r="AY281" s="35" t="s">
        <v>675</v>
      </c>
      <c r="AZ281" s="35" t="s">
        <v>391</v>
      </c>
      <c r="BA281" s="41">
        <v>4.0</v>
      </c>
      <c r="BB281" s="41">
        <v>4.0</v>
      </c>
      <c r="BC281" s="35" t="s">
        <v>675</v>
      </c>
      <c r="BF281" s="35" t="s">
        <v>3114</v>
      </c>
      <c r="BG281" s="35" t="s">
        <v>1245</v>
      </c>
      <c r="BH281" s="35" t="s">
        <v>434</v>
      </c>
      <c r="BJ281" s="35" t="s">
        <v>976</v>
      </c>
      <c r="BL281" s="35" t="s">
        <v>395</v>
      </c>
      <c r="BM281" s="35" t="s">
        <v>904</v>
      </c>
      <c r="BN281" s="35" t="s">
        <v>1247</v>
      </c>
      <c r="BO281" s="35" t="s">
        <v>513</v>
      </c>
      <c r="CM281" s="35" t="s">
        <v>441</v>
      </c>
      <c r="CN281" s="35" t="s">
        <v>442</v>
      </c>
      <c r="CQ281" s="35" t="s">
        <v>403</v>
      </c>
      <c r="CR281" s="35" t="s">
        <v>1427</v>
      </c>
      <c r="CS281" s="35" t="s">
        <v>404</v>
      </c>
      <c r="CT281" s="35" t="s">
        <v>9052</v>
      </c>
      <c r="CV281" s="35" t="s">
        <v>1852</v>
      </c>
      <c r="CW281" s="35" t="s">
        <v>451</v>
      </c>
      <c r="CY281" s="35" t="s">
        <v>408</v>
      </c>
      <c r="DA281" s="35" t="s">
        <v>1398</v>
      </c>
      <c r="DC281" s="35" t="s">
        <v>408</v>
      </c>
      <c r="DE281" s="35" t="s">
        <v>406</v>
      </c>
      <c r="DF281" s="35" t="s">
        <v>1058</v>
      </c>
      <c r="DH281" s="35" t="s">
        <v>561</v>
      </c>
      <c r="DI281" s="35" t="s">
        <v>1220</v>
      </c>
      <c r="DJ281" s="35" t="s">
        <v>777</v>
      </c>
      <c r="DK281" s="35" t="s">
        <v>460</v>
      </c>
      <c r="DL281" s="35" t="s">
        <v>1434</v>
      </c>
      <c r="EW281" s="35" t="s">
        <v>580</v>
      </c>
      <c r="GH281" s="35" t="s">
        <v>920</v>
      </c>
      <c r="GI281" s="35" t="s">
        <v>789</v>
      </c>
      <c r="GJ281" s="35" t="s">
        <v>817</v>
      </c>
      <c r="GU281" s="35" t="s">
        <v>5318</v>
      </c>
      <c r="GW281" s="35" t="s">
        <v>5231</v>
      </c>
      <c r="GX281" s="35" t="s">
        <v>1023</v>
      </c>
      <c r="HD281" s="35" t="s">
        <v>484</v>
      </c>
      <c r="HE281" s="35" t="s">
        <v>484</v>
      </c>
      <c r="HF281" s="35" t="s">
        <v>484</v>
      </c>
      <c r="HG281" s="35" t="s">
        <v>5768</v>
      </c>
      <c r="MK281" s="35" t="s">
        <v>6321</v>
      </c>
    </row>
    <row r="282">
      <c r="A282" s="35" t="s">
        <v>11564</v>
      </c>
      <c r="B282" s="40">
        <v>46117.43835497685</v>
      </c>
      <c r="C282" s="35" t="s">
        <v>368</v>
      </c>
      <c r="D282" s="35" t="s">
        <v>1341</v>
      </c>
      <c r="E282" s="35" t="s">
        <v>1341</v>
      </c>
      <c r="H282" s="35" t="s">
        <v>422</v>
      </c>
      <c r="I282" s="35" t="s">
        <v>637</v>
      </c>
      <c r="J282" s="35" t="s">
        <v>638</v>
      </c>
      <c r="K282" s="35" t="s">
        <v>1204</v>
      </c>
      <c r="L282" s="35" t="s">
        <v>376</v>
      </c>
      <c r="M282" s="35" t="s">
        <v>377</v>
      </c>
      <c r="N282" s="35" t="s">
        <v>2464</v>
      </c>
      <c r="O282" s="35" t="s">
        <v>377</v>
      </c>
      <c r="P282" s="35" t="s">
        <v>497</v>
      </c>
      <c r="Q282" s="35" t="s">
        <v>381</v>
      </c>
      <c r="R282" s="35" t="s">
        <v>499</v>
      </c>
      <c r="S282" s="35" t="s">
        <v>500</v>
      </c>
      <c r="T282" s="35" t="s">
        <v>1512</v>
      </c>
      <c r="U282" s="35" t="s">
        <v>385</v>
      </c>
      <c r="X282" s="35" t="s">
        <v>3014</v>
      </c>
      <c r="AW282" s="35" t="s">
        <v>1242</v>
      </c>
      <c r="AX282" s="35" t="s">
        <v>391</v>
      </c>
      <c r="AY282" s="41">
        <v>2.0</v>
      </c>
      <c r="AZ282" s="35" t="s">
        <v>391</v>
      </c>
      <c r="BA282" s="41">
        <v>2.0</v>
      </c>
      <c r="BB282" s="41">
        <v>2.0</v>
      </c>
      <c r="BC282" s="41">
        <v>2.0</v>
      </c>
      <c r="BF282" s="35" t="s">
        <v>392</v>
      </c>
      <c r="BG282" s="35" t="s">
        <v>433</v>
      </c>
      <c r="BH282" s="35" t="s">
        <v>394</v>
      </c>
      <c r="BJ282" s="35" t="s">
        <v>509</v>
      </c>
      <c r="BL282" s="35" t="s">
        <v>681</v>
      </c>
      <c r="BM282" s="35" t="s">
        <v>603</v>
      </c>
      <c r="BN282" s="35" t="s">
        <v>397</v>
      </c>
      <c r="BO282" s="35" t="s">
        <v>513</v>
      </c>
      <c r="CM282" s="35" t="s">
        <v>550</v>
      </c>
      <c r="CN282" s="35" t="s">
        <v>604</v>
      </c>
      <c r="CQ282" s="35" t="s">
        <v>445</v>
      </c>
      <c r="CR282" s="35" t="s">
        <v>9073</v>
      </c>
      <c r="CS282" s="35" t="s">
        <v>555</v>
      </c>
      <c r="CT282" s="35" t="s">
        <v>8028</v>
      </c>
      <c r="CV282" s="35" t="s">
        <v>1863</v>
      </c>
      <c r="CW282" s="35" t="s">
        <v>451</v>
      </c>
      <c r="CY282" s="35" t="s">
        <v>408</v>
      </c>
      <c r="DA282" s="35" t="s">
        <v>985</v>
      </c>
      <c r="DC282" s="35" t="s">
        <v>913</v>
      </c>
      <c r="DE282" s="35" t="s">
        <v>988</v>
      </c>
      <c r="DH282" s="35" t="s">
        <v>776</v>
      </c>
      <c r="DI282" s="35" t="s">
        <v>1220</v>
      </c>
      <c r="DJ282" s="35" t="s">
        <v>963</v>
      </c>
      <c r="DK282" s="35" t="s">
        <v>460</v>
      </c>
      <c r="DL282" s="35" t="s">
        <v>6319</v>
      </c>
      <c r="EU282" s="35" t="s">
        <v>526</v>
      </c>
      <c r="EV282" s="35" t="s">
        <v>579</v>
      </c>
      <c r="EW282" s="35" t="s">
        <v>480</v>
      </c>
      <c r="FA282" s="35" t="s">
        <v>415</v>
      </c>
      <c r="FB282" s="35" t="s">
        <v>414</v>
      </c>
      <c r="FC282" s="35" t="s">
        <v>414</v>
      </c>
      <c r="FD282" s="35" t="s">
        <v>414</v>
      </c>
      <c r="FE282" s="35" t="s">
        <v>416</v>
      </c>
      <c r="FF282" s="35" t="s">
        <v>484</v>
      </c>
      <c r="FG282" s="35" t="s">
        <v>484</v>
      </c>
      <c r="FH282" s="35" t="s">
        <v>413</v>
      </c>
      <c r="FI282" s="35" t="s">
        <v>484</v>
      </c>
      <c r="FJ282" s="35" t="s">
        <v>413</v>
      </c>
      <c r="FK282" s="35" t="s">
        <v>583</v>
      </c>
      <c r="FL282" s="35" t="s">
        <v>413</v>
      </c>
      <c r="FM282" s="35" t="s">
        <v>413</v>
      </c>
      <c r="FN282" s="35" t="s">
        <v>413</v>
      </c>
      <c r="FO282" s="35" t="s">
        <v>484</v>
      </c>
      <c r="FP282" s="35" t="s">
        <v>1537</v>
      </c>
      <c r="FQ282" s="35" t="s">
        <v>486</v>
      </c>
      <c r="FR282" s="35" t="s">
        <v>419</v>
      </c>
      <c r="FT282" s="35" t="s">
        <v>1871</v>
      </c>
      <c r="FU282" s="35" t="s">
        <v>488</v>
      </c>
      <c r="FV282" s="35" t="s">
        <v>585</v>
      </c>
      <c r="FW282" s="35" t="s">
        <v>490</v>
      </c>
      <c r="FX282" s="35" t="s">
        <v>491</v>
      </c>
      <c r="FZ282" s="35" t="s">
        <v>535</v>
      </c>
      <c r="GC282" s="35" t="s">
        <v>408</v>
      </c>
      <c r="GH282" s="35" t="s">
        <v>920</v>
      </c>
      <c r="GI282" s="35" t="s">
        <v>1000</v>
      </c>
      <c r="GJ282" s="35" t="s">
        <v>817</v>
      </c>
      <c r="GR282" s="35" t="s">
        <v>3208</v>
      </c>
      <c r="GU282" s="35" t="s">
        <v>5170</v>
      </c>
      <c r="GW282" s="35" t="s">
        <v>5231</v>
      </c>
      <c r="GX282" s="35" t="s">
        <v>5818</v>
      </c>
      <c r="HD282" s="35" t="s">
        <v>5281</v>
      </c>
      <c r="HE282" s="35" t="s">
        <v>5349</v>
      </c>
      <c r="HF282" s="35" t="s">
        <v>5299</v>
      </c>
      <c r="HG282" s="35" t="s">
        <v>5284</v>
      </c>
      <c r="HP282" s="35" t="s">
        <v>5285</v>
      </c>
      <c r="HQ282" s="35" t="s">
        <v>5264</v>
      </c>
      <c r="HR282" s="35" t="s">
        <v>5238</v>
      </c>
      <c r="HS282" s="35" t="s">
        <v>5287</v>
      </c>
      <c r="MK282" s="35" t="s">
        <v>6321</v>
      </c>
    </row>
    <row r="283">
      <c r="A283" s="35" t="s">
        <v>11565</v>
      </c>
      <c r="B283" s="40">
        <v>46117.68275197917</v>
      </c>
      <c r="C283" s="35" t="s">
        <v>368</v>
      </c>
      <c r="D283" s="35" t="s">
        <v>370</v>
      </c>
      <c r="E283" s="35" t="s">
        <v>370</v>
      </c>
      <c r="F283" s="35" t="s">
        <v>2620</v>
      </c>
      <c r="G283" s="35" t="s">
        <v>1421</v>
      </c>
      <c r="H283" s="35" t="s">
        <v>422</v>
      </c>
      <c r="I283" s="35" t="s">
        <v>496</v>
      </c>
      <c r="J283" s="35" t="s">
        <v>374</v>
      </c>
      <c r="K283" s="35" t="s">
        <v>425</v>
      </c>
      <c r="L283" s="35" t="s">
        <v>376</v>
      </c>
      <c r="M283" s="35" t="s">
        <v>591</v>
      </c>
      <c r="N283" s="35" t="s">
        <v>1270</v>
      </c>
      <c r="O283" s="35" t="s">
        <v>426</v>
      </c>
      <c r="P283" s="35" t="s">
        <v>9108</v>
      </c>
      <c r="Q283" s="35" t="s">
        <v>592</v>
      </c>
      <c r="R283" s="35" t="s">
        <v>382</v>
      </c>
      <c r="S283" s="35" t="s">
        <v>949</v>
      </c>
      <c r="T283" s="35" t="s">
        <v>384</v>
      </c>
      <c r="U283" s="35" t="s">
        <v>385</v>
      </c>
      <c r="X283" s="35" t="s">
        <v>3231</v>
      </c>
      <c r="AW283" s="35" t="s">
        <v>390</v>
      </c>
      <c r="AX283" s="35" t="s">
        <v>391</v>
      </c>
      <c r="AY283" s="35" t="s">
        <v>391</v>
      </c>
      <c r="AZ283" s="35" t="s">
        <v>429</v>
      </c>
      <c r="BA283" s="41">
        <v>2.0</v>
      </c>
      <c r="BB283" s="41">
        <v>2.0</v>
      </c>
      <c r="BC283" s="35" t="s">
        <v>391</v>
      </c>
      <c r="BD283" s="35" t="s">
        <v>9109</v>
      </c>
      <c r="BE283" s="35" t="s">
        <v>9110</v>
      </c>
      <c r="BF283" s="35" t="s">
        <v>2259</v>
      </c>
      <c r="BG283" s="35" t="s">
        <v>393</v>
      </c>
      <c r="BH283" s="35" t="s">
        <v>678</v>
      </c>
      <c r="BI283" s="35" t="s">
        <v>9111</v>
      </c>
      <c r="BJ283" s="35" t="s">
        <v>509</v>
      </c>
      <c r="BK283" s="35" t="s">
        <v>9112</v>
      </c>
      <c r="BL283" s="35" t="s">
        <v>437</v>
      </c>
      <c r="BM283" s="35" t="s">
        <v>438</v>
      </c>
      <c r="BN283" s="35" t="s">
        <v>549</v>
      </c>
      <c r="BO283" s="35" t="s">
        <v>513</v>
      </c>
      <c r="CM283" s="35" t="s">
        <v>441</v>
      </c>
      <c r="CN283" s="35" t="s">
        <v>401</v>
      </c>
      <c r="CO283" s="35" t="s">
        <v>9113</v>
      </c>
      <c r="CP283" s="35" t="s">
        <v>9114</v>
      </c>
      <c r="CQ283" s="35" t="s">
        <v>1008</v>
      </c>
      <c r="CR283" s="35" t="s">
        <v>9115</v>
      </c>
      <c r="CS283" s="35" t="s">
        <v>447</v>
      </c>
      <c r="CT283" s="35" t="s">
        <v>2564</v>
      </c>
      <c r="CU283" s="35" t="s">
        <v>9116</v>
      </c>
      <c r="CV283" s="35" t="s">
        <v>450</v>
      </c>
      <c r="CW283" s="35" t="s">
        <v>451</v>
      </c>
      <c r="CX283" s="35" t="s">
        <v>9117</v>
      </c>
      <c r="CY283" s="35" t="s">
        <v>408</v>
      </c>
      <c r="DA283" s="35" t="s">
        <v>453</v>
      </c>
      <c r="DB283" s="35" t="s">
        <v>9118</v>
      </c>
      <c r="DC283" s="35" t="s">
        <v>408</v>
      </c>
      <c r="DE283" s="35" t="s">
        <v>988</v>
      </c>
      <c r="DF283" s="35" t="s">
        <v>691</v>
      </c>
      <c r="DG283" s="35" t="s">
        <v>9119</v>
      </c>
      <c r="DH283" s="35" t="s">
        <v>776</v>
      </c>
      <c r="DI283" s="35" t="s">
        <v>410</v>
      </c>
      <c r="DJ283" s="35" t="s">
        <v>459</v>
      </c>
      <c r="DK283" s="35" t="s">
        <v>613</v>
      </c>
      <c r="EU283" s="35" t="s">
        <v>526</v>
      </c>
      <c r="EV283" s="35" t="s">
        <v>1037</v>
      </c>
      <c r="EW283" s="35" t="s">
        <v>527</v>
      </c>
      <c r="EX283" s="35" t="s">
        <v>3371</v>
      </c>
      <c r="EY283" s="35" t="s">
        <v>9120</v>
      </c>
      <c r="EZ283" s="35" t="s">
        <v>9121</v>
      </c>
      <c r="FA283" s="35" t="s">
        <v>413</v>
      </c>
      <c r="FB283" s="35" t="s">
        <v>413</v>
      </c>
      <c r="FC283" s="35" t="s">
        <v>413</v>
      </c>
      <c r="FD283" s="35" t="s">
        <v>413</v>
      </c>
      <c r="FE283" s="35" t="s">
        <v>413</v>
      </c>
      <c r="FF283" s="35" t="s">
        <v>413</v>
      </c>
      <c r="FG283" s="35" t="s">
        <v>413</v>
      </c>
      <c r="FH283" s="35" t="s">
        <v>413</v>
      </c>
      <c r="FI283" s="35" t="s">
        <v>414</v>
      </c>
      <c r="FJ283" s="35" t="s">
        <v>414</v>
      </c>
      <c r="FK283" s="35" t="s">
        <v>413</v>
      </c>
      <c r="FL283" s="35" t="s">
        <v>413</v>
      </c>
      <c r="FM283" s="35" t="s">
        <v>413</v>
      </c>
      <c r="FN283" s="35" t="s">
        <v>413</v>
      </c>
      <c r="FO283" s="35" t="s">
        <v>583</v>
      </c>
      <c r="FP283" s="35" t="s">
        <v>485</v>
      </c>
      <c r="FQ283" s="35" t="s">
        <v>418</v>
      </c>
      <c r="FR283" s="35" t="s">
        <v>749</v>
      </c>
      <c r="FS283" s="35" t="s">
        <v>9122</v>
      </c>
      <c r="FT283" s="35" t="s">
        <v>1189</v>
      </c>
      <c r="FU283" s="35" t="s">
        <v>1462</v>
      </c>
      <c r="FV283" s="35" t="s">
        <v>489</v>
      </c>
      <c r="FW283" s="35" t="s">
        <v>490</v>
      </c>
      <c r="FX283" s="35" t="s">
        <v>491</v>
      </c>
      <c r="FY283" s="35" t="s">
        <v>9123</v>
      </c>
      <c r="FZ283" s="35" t="s">
        <v>535</v>
      </c>
      <c r="GA283" s="35" t="s">
        <v>9124</v>
      </c>
      <c r="GB283" s="35" t="s">
        <v>9125</v>
      </c>
      <c r="GC283" s="35" t="s">
        <v>408</v>
      </c>
      <c r="GH283" s="35" t="s">
        <v>920</v>
      </c>
      <c r="GI283" s="35" t="s">
        <v>1000</v>
      </c>
      <c r="GJ283" s="35" t="s">
        <v>946</v>
      </c>
      <c r="GQ283" s="35" t="s">
        <v>387</v>
      </c>
      <c r="GR283" s="35" t="s">
        <v>3208</v>
      </c>
      <c r="GU283" s="35" t="s">
        <v>5081</v>
      </c>
      <c r="GV283" s="35" t="s">
        <v>9126</v>
      </c>
      <c r="GW283" s="35" t="s">
        <v>5231</v>
      </c>
      <c r="GX283" s="35" t="s">
        <v>5232</v>
      </c>
      <c r="HD283" s="35" t="s">
        <v>5297</v>
      </c>
      <c r="HE283" s="35" t="s">
        <v>5349</v>
      </c>
      <c r="HF283" s="35" t="s">
        <v>5718</v>
      </c>
      <c r="HG283" s="35" t="s">
        <v>5493</v>
      </c>
      <c r="HP283" s="35" t="s">
        <v>5236</v>
      </c>
      <c r="HQ283" s="35" t="s">
        <v>5237</v>
      </c>
      <c r="HR283" s="35" t="s">
        <v>5238</v>
      </c>
      <c r="HS283" s="35" t="s">
        <v>5347</v>
      </c>
      <c r="HX283" s="35" t="s">
        <v>7383</v>
      </c>
      <c r="MK283" s="35" t="s">
        <v>6321</v>
      </c>
    </row>
    <row r="284">
      <c r="A284" s="35" t="s">
        <v>11566</v>
      </c>
      <c r="B284" s="40">
        <v>46118.63432261574</v>
      </c>
      <c r="C284" s="35" t="s">
        <v>368</v>
      </c>
      <c r="D284" s="35" t="s">
        <v>1341</v>
      </c>
      <c r="E284" s="35" t="s">
        <v>1341</v>
      </c>
      <c r="H284" s="35" t="s">
        <v>422</v>
      </c>
      <c r="I284" s="35" t="s">
        <v>373</v>
      </c>
      <c r="J284" s="35" t="s">
        <v>374</v>
      </c>
      <c r="K284" s="35" t="s">
        <v>425</v>
      </c>
      <c r="L284" s="35" t="s">
        <v>376</v>
      </c>
      <c r="M284" s="35" t="s">
        <v>377</v>
      </c>
      <c r="O284" s="35" t="s">
        <v>379</v>
      </c>
      <c r="P284" s="35" t="s">
        <v>2464</v>
      </c>
      <c r="Q284" s="35" t="s">
        <v>1760</v>
      </c>
      <c r="R284" s="35" t="s">
        <v>1004</v>
      </c>
      <c r="S284" s="35" t="s">
        <v>427</v>
      </c>
      <c r="T284" s="35" t="s">
        <v>384</v>
      </c>
      <c r="U284" s="35" t="s">
        <v>385</v>
      </c>
      <c r="X284" s="35" t="s">
        <v>3014</v>
      </c>
      <c r="AW284" s="35" t="s">
        <v>504</v>
      </c>
      <c r="AX284" s="35" t="s">
        <v>429</v>
      </c>
      <c r="AY284" s="35" t="s">
        <v>429</v>
      </c>
      <c r="AZ284" s="35" t="s">
        <v>429</v>
      </c>
      <c r="BA284" s="35" t="s">
        <v>429</v>
      </c>
      <c r="BB284" s="35" t="s">
        <v>429</v>
      </c>
      <c r="BC284" s="35" t="s">
        <v>429</v>
      </c>
      <c r="BD284" s="35" t="s">
        <v>9249</v>
      </c>
      <c r="BE284" s="35" t="s">
        <v>9250</v>
      </c>
      <c r="BF284" s="35" t="s">
        <v>392</v>
      </c>
      <c r="BG284" s="35" t="s">
        <v>433</v>
      </c>
      <c r="BH284" s="35" t="s">
        <v>678</v>
      </c>
      <c r="BJ284" s="35" t="s">
        <v>509</v>
      </c>
      <c r="BK284" s="35" t="s">
        <v>9251</v>
      </c>
      <c r="BL284" s="35" t="s">
        <v>511</v>
      </c>
      <c r="BM284" s="35" t="s">
        <v>603</v>
      </c>
      <c r="BN284" s="35" t="s">
        <v>439</v>
      </c>
      <c r="BO284" s="35" t="s">
        <v>513</v>
      </c>
      <c r="CM284" s="35" t="s">
        <v>550</v>
      </c>
      <c r="CN284" s="35" t="s">
        <v>401</v>
      </c>
      <c r="CO284" s="35" t="s">
        <v>9252</v>
      </c>
      <c r="CP284" s="35" t="s">
        <v>9253</v>
      </c>
      <c r="CQ284" s="35" t="s">
        <v>685</v>
      </c>
      <c r="CR284" s="35" t="s">
        <v>9254</v>
      </c>
      <c r="CS284" s="35" t="s">
        <v>447</v>
      </c>
      <c r="CT284" s="35" t="s">
        <v>9255</v>
      </c>
      <c r="CU284" s="35" t="s">
        <v>9256</v>
      </c>
      <c r="CV284" s="35" t="s">
        <v>450</v>
      </c>
      <c r="CW284" s="35" t="s">
        <v>451</v>
      </c>
      <c r="CX284" s="35" t="s">
        <v>9257</v>
      </c>
      <c r="CY284" s="35" t="s">
        <v>455</v>
      </c>
      <c r="DA284" s="35" t="s">
        <v>453</v>
      </c>
      <c r="DB284" s="35" t="s">
        <v>9258</v>
      </c>
      <c r="DC284" s="35" t="s">
        <v>455</v>
      </c>
      <c r="DE284" s="35" t="s">
        <v>988</v>
      </c>
      <c r="DG284" s="35" t="s">
        <v>9259</v>
      </c>
      <c r="DH284" s="35" t="s">
        <v>776</v>
      </c>
      <c r="DI284" s="35" t="s">
        <v>410</v>
      </c>
      <c r="DJ284" s="35" t="s">
        <v>963</v>
      </c>
      <c r="DK284" s="35" t="s">
        <v>460</v>
      </c>
      <c r="DL284" s="35" t="s">
        <v>6335</v>
      </c>
      <c r="EU284" s="35" t="s">
        <v>578</v>
      </c>
      <c r="EV284" s="35" t="s">
        <v>579</v>
      </c>
      <c r="EW284" s="35" t="s">
        <v>480</v>
      </c>
      <c r="EZ284" s="35" t="s">
        <v>9260</v>
      </c>
      <c r="FA284" s="35" t="s">
        <v>415</v>
      </c>
      <c r="FB284" s="35" t="s">
        <v>414</v>
      </c>
      <c r="FC284" s="35" t="s">
        <v>416</v>
      </c>
      <c r="FD284" s="35" t="s">
        <v>583</v>
      </c>
      <c r="FE284" s="35" t="s">
        <v>583</v>
      </c>
      <c r="FF284" s="35" t="s">
        <v>583</v>
      </c>
      <c r="FG284" s="35" t="s">
        <v>583</v>
      </c>
      <c r="FH284" s="35" t="s">
        <v>583</v>
      </c>
      <c r="FI284" s="35" t="s">
        <v>413</v>
      </c>
      <c r="FJ284" s="35" t="s">
        <v>416</v>
      </c>
      <c r="FK284" s="35" t="s">
        <v>583</v>
      </c>
      <c r="FL284" s="35" t="s">
        <v>583</v>
      </c>
      <c r="FM284" s="35" t="s">
        <v>583</v>
      </c>
      <c r="FN284" s="35" t="s">
        <v>583</v>
      </c>
      <c r="FO284" s="35" t="s">
        <v>416</v>
      </c>
      <c r="FP284" s="35" t="s">
        <v>417</v>
      </c>
      <c r="FQ284" s="35" t="s">
        <v>418</v>
      </c>
      <c r="FR284" s="35" t="s">
        <v>1039</v>
      </c>
      <c r="FT284" s="35" t="s">
        <v>995</v>
      </c>
      <c r="FU284" s="35" t="s">
        <v>488</v>
      </c>
      <c r="FV284" s="35" t="s">
        <v>1235</v>
      </c>
      <c r="FW284" s="35" t="s">
        <v>1101</v>
      </c>
      <c r="FX284" s="35" t="s">
        <v>491</v>
      </c>
      <c r="FY284" s="35" t="s">
        <v>9261</v>
      </c>
      <c r="FZ284" s="35" t="s">
        <v>535</v>
      </c>
      <c r="GA284" s="35" t="s">
        <v>9262</v>
      </c>
      <c r="GC284" s="35" t="s">
        <v>455</v>
      </c>
      <c r="GD284" s="35" t="s">
        <v>11567</v>
      </c>
      <c r="GF284" s="35" t="s">
        <v>753</v>
      </c>
      <c r="GG284" s="35" t="s">
        <v>9263</v>
      </c>
      <c r="GH284" s="35" t="s">
        <v>857</v>
      </c>
      <c r="GI284" s="35" t="s">
        <v>788</v>
      </c>
      <c r="GJ284" s="35" t="s">
        <v>756</v>
      </c>
      <c r="GO284" s="35" t="s">
        <v>9264</v>
      </c>
      <c r="GP284" s="35" t="s">
        <v>9265</v>
      </c>
      <c r="GR284" s="35" t="s">
        <v>3208</v>
      </c>
      <c r="GU284" s="35" t="s">
        <v>5170</v>
      </c>
      <c r="GW284" s="35" t="s">
        <v>5231</v>
      </c>
      <c r="GX284" s="35" t="s">
        <v>5232</v>
      </c>
      <c r="HD284" s="35" t="s">
        <v>484</v>
      </c>
      <c r="HE284" s="35" t="s">
        <v>5298</v>
      </c>
      <c r="HF284" s="35" t="s">
        <v>5320</v>
      </c>
      <c r="HG284" s="35" t="s">
        <v>5284</v>
      </c>
      <c r="HP284" s="35" t="s">
        <v>5346</v>
      </c>
      <c r="HQ284" s="35" t="s">
        <v>5237</v>
      </c>
      <c r="HR284" s="35" t="s">
        <v>5238</v>
      </c>
      <c r="HS284" s="35" t="s">
        <v>5239</v>
      </c>
      <c r="HX284" s="35" t="s">
        <v>5597</v>
      </c>
      <c r="MK284" s="35" t="s">
        <v>6321</v>
      </c>
    </row>
    <row r="285">
      <c r="A285" s="35" t="s">
        <v>11568</v>
      </c>
      <c r="B285" s="40">
        <v>46118.83804181713</v>
      </c>
      <c r="C285" s="35" t="s">
        <v>368</v>
      </c>
      <c r="D285" s="35" t="s">
        <v>9320</v>
      </c>
      <c r="E285" s="35" t="s">
        <v>894</v>
      </c>
      <c r="H285" s="35" t="s">
        <v>422</v>
      </c>
      <c r="I285" s="35" t="s">
        <v>1307</v>
      </c>
      <c r="J285" s="35" t="s">
        <v>668</v>
      </c>
      <c r="K285" s="35" t="s">
        <v>375</v>
      </c>
      <c r="L285" s="35" t="s">
        <v>376</v>
      </c>
      <c r="M285" s="35" t="s">
        <v>379</v>
      </c>
      <c r="N285" s="35" t="s">
        <v>378</v>
      </c>
      <c r="O285" s="35" t="s">
        <v>379</v>
      </c>
      <c r="P285" s="35" t="s">
        <v>2097</v>
      </c>
      <c r="Q285" s="35" t="s">
        <v>498</v>
      </c>
      <c r="R285" s="35" t="s">
        <v>818</v>
      </c>
      <c r="S285" s="35" t="s">
        <v>427</v>
      </c>
      <c r="T285" s="35" t="s">
        <v>384</v>
      </c>
      <c r="U285" s="35" t="s">
        <v>385</v>
      </c>
      <c r="W285" s="35" t="s">
        <v>1241</v>
      </c>
      <c r="X285" s="35" t="s">
        <v>3231</v>
      </c>
      <c r="AW285" s="35" t="s">
        <v>390</v>
      </c>
      <c r="AX285" s="35" t="s">
        <v>391</v>
      </c>
      <c r="AY285" s="41">
        <v>2.0</v>
      </c>
      <c r="AZ285" s="41">
        <v>4.0</v>
      </c>
      <c r="BA285" s="41">
        <v>2.0</v>
      </c>
      <c r="BB285" s="35" t="s">
        <v>429</v>
      </c>
      <c r="BC285" s="41">
        <v>2.0</v>
      </c>
      <c r="BD285" s="35" t="s">
        <v>9321</v>
      </c>
      <c r="BE285" s="35" t="s">
        <v>9322</v>
      </c>
      <c r="BF285" s="35" t="s">
        <v>392</v>
      </c>
      <c r="BG285" s="35" t="s">
        <v>433</v>
      </c>
      <c r="BH285" s="35" t="s">
        <v>678</v>
      </c>
      <c r="BI285" s="35" t="s">
        <v>9323</v>
      </c>
      <c r="BJ285" s="35" t="s">
        <v>435</v>
      </c>
      <c r="BK285" s="35" t="s">
        <v>9324</v>
      </c>
      <c r="BL285" s="35" t="s">
        <v>437</v>
      </c>
      <c r="BM285" s="35" t="s">
        <v>438</v>
      </c>
      <c r="BN285" s="35" t="s">
        <v>439</v>
      </c>
      <c r="BO285" s="35" t="s">
        <v>513</v>
      </c>
      <c r="CM285" s="35" t="s">
        <v>441</v>
      </c>
      <c r="CN285" s="35" t="s">
        <v>442</v>
      </c>
      <c r="CO285" s="35" t="s">
        <v>9325</v>
      </c>
      <c r="CP285" s="35" t="s">
        <v>9326</v>
      </c>
      <c r="CQ285" s="35" t="s">
        <v>1948</v>
      </c>
      <c r="CR285" s="35" t="s">
        <v>5701</v>
      </c>
      <c r="CS285" s="35" t="s">
        <v>555</v>
      </c>
      <c r="CT285" s="35" t="s">
        <v>9327</v>
      </c>
      <c r="CU285" s="35" t="s">
        <v>9328</v>
      </c>
      <c r="CV285" s="35" t="s">
        <v>519</v>
      </c>
      <c r="CW285" s="35" t="s">
        <v>451</v>
      </c>
      <c r="CX285" s="35" t="s">
        <v>9329</v>
      </c>
      <c r="CY285" s="35" t="s">
        <v>455</v>
      </c>
      <c r="CZ285" s="35" t="s">
        <v>9330</v>
      </c>
      <c r="DA285" s="35" t="s">
        <v>453</v>
      </c>
      <c r="DB285" s="35" t="s">
        <v>9331</v>
      </c>
      <c r="DC285" s="35" t="s">
        <v>455</v>
      </c>
      <c r="DD285" s="35" t="s">
        <v>9332</v>
      </c>
      <c r="DE285" s="35" t="s">
        <v>988</v>
      </c>
      <c r="DG285" s="35" t="s">
        <v>9333</v>
      </c>
      <c r="DH285" s="35" t="s">
        <v>561</v>
      </c>
      <c r="DI285" s="35" t="s">
        <v>410</v>
      </c>
      <c r="DJ285" s="35" t="s">
        <v>459</v>
      </c>
      <c r="DK285" s="35" t="s">
        <v>562</v>
      </c>
      <c r="DL285" s="35" t="s">
        <v>6335</v>
      </c>
      <c r="EU285" s="35" t="s">
        <v>526</v>
      </c>
      <c r="EV285" s="35" t="s">
        <v>1127</v>
      </c>
      <c r="EW285" s="35" t="s">
        <v>580</v>
      </c>
      <c r="EY285" s="35" t="s">
        <v>9334</v>
      </c>
      <c r="EZ285" s="35" t="s">
        <v>9335</v>
      </c>
      <c r="FA285" s="35" t="s">
        <v>413</v>
      </c>
      <c r="FB285" s="35" t="s">
        <v>415</v>
      </c>
      <c r="FC285" s="35" t="s">
        <v>413</v>
      </c>
      <c r="FD285" s="35" t="s">
        <v>413</v>
      </c>
      <c r="FE285" s="35" t="s">
        <v>413</v>
      </c>
      <c r="FF285" s="35" t="s">
        <v>415</v>
      </c>
      <c r="FG285" s="35" t="s">
        <v>416</v>
      </c>
      <c r="FH285" s="35" t="s">
        <v>413</v>
      </c>
      <c r="FI285" s="35" t="s">
        <v>416</v>
      </c>
      <c r="FJ285" s="35" t="s">
        <v>415</v>
      </c>
      <c r="FK285" s="35" t="s">
        <v>415</v>
      </c>
      <c r="FL285" s="35" t="s">
        <v>415</v>
      </c>
      <c r="FM285" s="35" t="s">
        <v>415</v>
      </c>
      <c r="FN285" s="35" t="s">
        <v>416</v>
      </c>
      <c r="FO285" s="35" t="s">
        <v>415</v>
      </c>
      <c r="FP285" s="35" t="s">
        <v>485</v>
      </c>
      <c r="FQ285" s="35" t="s">
        <v>418</v>
      </c>
      <c r="FR285" s="35" t="s">
        <v>749</v>
      </c>
      <c r="FS285" s="35" t="s">
        <v>9336</v>
      </c>
      <c r="FT285" s="35" t="s">
        <v>420</v>
      </c>
      <c r="FU285" s="35" t="s">
        <v>488</v>
      </c>
      <c r="FV285" s="35" t="s">
        <v>918</v>
      </c>
      <c r="FW285" s="35" t="s">
        <v>490</v>
      </c>
      <c r="FX285" s="35" t="s">
        <v>491</v>
      </c>
      <c r="FY285" s="35" t="s">
        <v>9337</v>
      </c>
      <c r="FZ285" s="35" t="s">
        <v>535</v>
      </c>
      <c r="GA285" s="35" t="s">
        <v>9338</v>
      </c>
      <c r="GB285" s="35" t="s">
        <v>9339</v>
      </c>
      <c r="GC285" s="35" t="s">
        <v>455</v>
      </c>
      <c r="GD285" s="35" t="s">
        <v>11569</v>
      </c>
      <c r="GF285" s="35" t="s">
        <v>753</v>
      </c>
      <c r="GG285" s="35" t="s">
        <v>9340</v>
      </c>
      <c r="GH285" s="35" t="s">
        <v>755</v>
      </c>
      <c r="GI285" s="35" t="s">
        <v>755</v>
      </c>
      <c r="GJ285" s="35" t="s">
        <v>946</v>
      </c>
      <c r="GQ285" s="35" t="s">
        <v>387</v>
      </c>
      <c r="GR285" s="35" t="s">
        <v>3208</v>
      </c>
      <c r="GU285" s="35" t="s">
        <v>4774</v>
      </c>
      <c r="GW285" s="35" t="s">
        <v>5231</v>
      </c>
      <c r="GX285" s="35" t="s">
        <v>5232</v>
      </c>
      <c r="HD285" s="35" t="s">
        <v>6053</v>
      </c>
      <c r="HE285" s="35" t="s">
        <v>5349</v>
      </c>
      <c r="HF285" s="35" t="s">
        <v>5718</v>
      </c>
      <c r="HG285" s="35" t="s">
        <v>5768</v>
      </c>
      <c r="HP285" s="35" t="s">
        <v>5236</v>
      </c>
      <c r="HQ285" s="35" t="s">
        <v>5719</v>
      </c>
      <c r="HR285" s="35" t="s">
        <v>5238</v>
      </c>
      <c r="HS285" s="35" t="s">
        <v>5321</v>
      </c>
      <c r="HX285" s="35" t="s">
        <v>9341</v>
      </c>
      <c r="MK285" s="35" t="s">
        <v>6321</v>
      </c>
    </row>
    <row r="286">
      <c r="A286" s="35" t="s">
        <v>11570</v>
      </c>
      <c r="B286" s="40">
        <v>46118.86745592592</v>
      </c>
      <c r="C286" s="35" t="s">
        <v>368</v>
      </c>
      <c r="D286" s="35" t="s">
        <v>894</v>
      </c>
      <c r="E286" s="35" t="s">
        <v>894</v>
      </c>
      <c r="H286" s="35" t="s">
        <v>422</v>
      </c>
      <c r="I286" s="35" t="s">
        <v>373</v>
      </c>
      <c r="J286" s="35" t="s">
        <v>638</v>
      </c>
      <c r="K286" s="35" t="s">
        <v>375</v>
      </c>
      <c r="L286" s="35" t="s">
        <v>376</v>
      </c>
      <c r="M286" s="35" t="s">
        <v>591</v>
      </c>
      <c r="N286" s="35" t="s">
        <v>720</v>
      </c>
      <c r="O286" s="35" t="s">
        <v>426</v>
      </c>
      <c r="P286" s="35" t="s">
        <v>2464</v>
      </c>
      <c r="Q286" s="35" t="s">
        <v>592</v>
      </c>
      <c r="R286" s="35" t="s">
        <v>382</v>
      </c>
      <c r="S286" s="35" t="s">
        <v>427</v>
      </c>
      <c r="T286" s="35" t="s">
        <v>384</v>
      </c>
      <c r="U286" s="35" t="s">
        <v>385</v>
      </c>
      <c r="V286" s="35" t="s">
        <v>1241</v>
      </c>
      <c r="W286" s="35" t="s">
        <v>1241</v>
      </c>
      <c r="X286" s="35" t="s">
        <v>3014</v>
      </c>
      <c r="AW286" s="35" t="s">
        <v>1242</v>
      </c>
      <c r="AX286" s="35" t="s">
        <v>675</v>
      </c>
      <c r="AY286" s="35" t="s">
        <v>675</v>
      </c>
      <c r="AZ286" s="41">
        <v>4.0</v>
      </c>
      <c r="BA286" s="35" t="s">
        <v>391</v>
      </c>
      <c r="BB286" s="41">
        <v>4.0</v>
      </c>
      <c r="BC286" s="41">
        <v>4.0</v>
      </c>
      <c r="BD286" s="35" t="s">
        <v>9342</v>
      </c>
      <c r="BE286" s="35" t="s">
        <v>9343</v>
      </c>
      <c r="BF286" s="35" t="s">
        <v>2379</v>
      </c>
      <c r="BG286" s="35" t="s">
        <v>1095</v>
      </c>
      <c r="BH286" s="35" t="s">
        <v>765</v>
      </c>
      <c r="BI286" s="35" t="s">
        <v>9344</v>
      </c>
      <c r="BJ286" s="35" t="s">
        <v>824</v>
      </c>
      <c r="BK286" s="35" t="s">
        <v>1211</v>
      </c>
      <c r="BL286" s="35" t="s">
        <v>437</v>
      </c>
      <c r="BM286" s="35" t="s">
        <v>396</v>
      </c>
      <c r="BN286" s="35" t="s">
        <v>1247</v>
      </c>
      <c r="BO286" s="35" t="s">
        <v>513</v>
      </c>
      <c r="CM286" s="35" t="s">
        <v>953</v>
      </c>
      <c r="CN286" s="35" t="s">
        <v>442</v>
      </c>
      <c r="CO286" s="35" t="s">
        <v>9345</v>
      </c>
      <c r="CP286" s="35" t="s">
        <v>9346</v>
      </c>
      <c r="CU286" s="35" t="s">
        <v>9347</v>
      </c>
      <c r="CV286" s="35" t="s">
        <v>1852</v>
      </c>
      <c r="CW286" s="35" t="s">
        <v>959</v>
      </c>
      <c r="CY286" s="35" t="s">
        <v>408</v>
      </c>
      <c r="DA286" s="35" t="s">
        <v>1962</v>
      </c>
      <c r="DC286" s="35" t="s">
        <v>408</v>
      </c>
      <c r="DH286" s="35" t="s">
        <v>776</v>
      </c>
      <c r="DI286" s="35" t="s">
        <v>1964</v>
      </c>
      <c r="DJ286" s="35" t="s">
        <v>963</v>
      </c>
      <c r="DK286" s="35" t="s">
        <v>613</v>
      </c>
      <c r="EU286" s="35" t="s">
        <v>478</v>
      </c>
      <c r="EV286" s="35" t="s">
        <v>1127</v>
      </c>
      <c r="EW286" s="35" t="s">
        <v>1262</v>
      </c>
      <c r="EY286" s="35" t="s">
        <v>9348</v>
      </c>
      <c r="FA286" s="35" t="s">
        <v>415</v>
      </c>
      <c r="FB286" s="35" t="s">
        <v>583</v>
      </c>
      <c r="FC286" s="35" t="s">
        <v>416</v>
      </c>
      <c r="FD286" s="35" t="s">
        <v>414</v>
      </c>
      <c r="FE286" s="35" t="s">
        <v>415</v>
      </c>
      <c r="FF286" s="35" t="s">
        <v>414</v>
      </c>
      <c r="FG286" s="35" t="s">
        <v>414</v>
      </c>
      <c r="FH286" s="35" t="s">
        <v>415</v>
      </c>
      <c r="FI286" s="35" t="s">
        <v>415</v>
      </c>
      <c r="FJ286" s="35" t="s">
        <v>415</v>
      </c>
      <c r="FK286" s="35" t="s">
        <v>415</v>
      </c>
      <c r="FL286" s="35" t="s">
        <v>414</v>
      </c>
      <c r="FM286" s="35" t="s">
        <v>414</v>
      </c>
      <c r="FN286" s="35" t="s">
        <v>416</v>
      </c>
      <c r="FO286" s="35" t="s">
        <v>414</v>
      </c>
      <c r="FP286" s="35" t="s">
        <v>1074</v>
      </c>
      <c r="FQ286" s="35" t="s">
        <v>1200</v>
      </c>
      <c r="FR286" s="35" t="s">
        <v>749</v>
      </c>
      <c r="FT286" s="35" t="s">
        <v>1871</v>
      </c>
      <c r="FU286" s="35" t="s">
        <v>421</v>
      </c>
      <c r="FV286" s="35" t="s">
        <v>918</v>
      </c>
      <c r="FW286" s="35" t="s">
        <v>2399</v>
      </c>
      <c r="FX286" s="35" t="s">
        <v>1853</v>
      </c>
      <c r="FY286" s="35" t="s">
        <v>9349</v>
      </c>
      <c r="FZ286" s="35" t="s">
        <v>1854</v>
      </c>
      <c r="GA286" s="35" t="s">
        <v>9350</v>
      </c>
      <c r="GC286" s="35" t="s">
        <v>455</v>
      </c>
      <c r="GD286" s="35" t="s">
        <v>11571</v>
      </c>
      <c r="GF286" s="35" t="s">
        <v>753</v>
      </c>
      <c r="GH286" s="35" t="s">
        <v>755</v>
      </c>
      <c r="GI286" s="35" t="s">
        <v>755</v>
      </c>
      <c r="GJ286" s="35" t="s">
        <v>756</v>
      </c>
      <c r="GR286" s="35" t="s">
        <v>3208</v>
      </c>
      <c r="GU286" s="35" t="s">
        <v>4774</v>
      </c>
      <c r="GW286" s="35" t="s">
        <v>5231</v>
      </c>
      <c r="GX286" s="35" t="s">
        <v>5232</v>
      </c>
      <c r="HP286" s="35" t="s">
        <v>5383</v>
      </c>
      <c r="HQ286" s="35" t="s">
        <v>5264</v>
      </c>
      <c r="HR286" s="35" t="s">
        <v>5721</v>
      </c>
      <c r="HS286" s="35" t="s">
        <v>5287</v>
      </c>
      <c r="HT286" s="35" t="s">
        <v>5916</v>
      </c>
      <c r="HV286" s="35" t="s">
        <v>5988</v>
      </c>
      <c r="HW286" s="35" t="s">
        <v>8922</v>
      </c>
      <c r="HY286" s="35" t="s">
        <v>5920</v>
      </c>
      <c r="HZ286" s="35" t="s">
        <v>5919</v>
      </c>
      <c r="IA286" s="35" t="s">
        <v>5920</v>
      </c>
      <c r="IB286" s="35" t="s">
        <v>5920</v>
      </c>
      <c r="IC286" s="35" t="s">
        <v>5920</v>
      </c>
      <c r="ID286" s="35" t="s">
        <v>5922</v>
      </c>
      <c r="IE286" s="35" t="s">
        <v>5500</v>
      </c>
      <c r="IF286" s="35" t="s">
        <v>5500</v>
      </c>
      <c r="IG286" s="35" t="s">
        <v>5536</v>
      </c>
      <c r="IH286" s="35" t="s">
        <v>5537</v>
      </c>
      <c r="II286" s="35" t="s">
        <v>5537</v>
      </c>
      <c r="IJ286" s="35" t="s">
        <v>5500</v>
      </c>
      <c r="IK286" s="35" t="s">
        <v>9351</v>
      </c>
      <c r="IL286" s="35" t="s">
        <v>6523</v>
      </c>
      <c r="IM286" s="35" t="s">
        <v>9352</v>
      </c>
      <c r="MK286" s="35" t="s">
        <v>6321</v>
      </c>
    </row>
    <row r="287">
      <c r="A287" s="35" t="s">
        <v>11572</v>
      </c>
      <c r="B287" s="40">
        <v>46119.198328576385</v>
      </c>
      <c r="C287" s="35" t="s">
        <v>368</v>
      </c>
      <c r="D287" s="35" t="s">
        <v>538</v>
      </c>
      <c r="E287" s="35" t="s">
        <v>538</v>
      </c>
      <c r="H287" s="35" t="s">
        <v>422</v>
      </c>
      <c r="I287" s="35" t="s">
        <v>539</v>
      </c>
      <c r="J287" s="35" t="s">
        <v>424</v>
      </c>
      <c r="K287" s="35" t="s">
        <v>375</v>
      </c>
      <c r="L287" s="35" t="s">
        <v>376</v>
      </c>
      <c r="M287" s="35" t="s">
        <v>379</v>
      </c>
      <c r="N287" s="35" t="s">
        <v>541</v>
      </c>
      <c r="O287" s="35" t="s">
        <v>377</v>
      </c>
      <c r="P287" s="35" t="s">
        <v>719</v>
      </c>
      <c r="Q287" s="35" t="s">
        <v>592</v>
      </c>
      <c r="R287" s="35" t="s">
        <v>759</v>
      </c>
      <c r="S287" s="35" t="s">
        <v>500</v>
      </c>
      <c r="T287" s="35" t="s">
        <v>384</v>
      </c>
      <c r="U287" s="35" t="s">
        <v>385</v>
      </c>
      <c r="X287" s="35" t="s">
        <v>3014</v>
      </c>
      <c r="AW287" s="35" t="s">
        <v>504</v>
      </c>
      <c r="AX287" s="35" t="s">
        <v>391</v>
      </c>
      <c r="AY287" s="35" t="s">
        <v>429</v>
      </c>
      <c r="AZ287" s="35" t="s">
        <v>391</v>
      </c>
      <c r="BA287" s="35" t="s">
        <v>429</v>
      </c>
      <c r="BB287" s="41">
        <v>2.0</v>
      </c>
      <c r="BC287" s="41">
        <v>2.0</v>
      </c>
      <c r="BD287" s="35" t="s">
        <v>9423</v>
      </c>
      <c r="BE287" s="35" t="s">
        <v>9424</v>
      </c>
      <c r="BF287" s="35" t="s">
        <v>432</v>
      </c>
      <c r="BG287" s="35" t="s">
        <v>433</v>
      </c>
      <c r="BH287" s="35" t="s">
        <v>725</v>
      </c>
      <c r="BJ287" s="35" t="s">
        <v>435</v>
      </c>
      <c r="BK287" s="35" t="s">
        <v>9425</v>
      </c>
      <c r="BL287" s="35" t="s">
        <v>511</v>
      </c>
      <c r="BM287" s="35" t="s">
        <v>512</v>
      </c>
      <c r="BN287" s="35" t="s">
        <v>439</v>
      </c>
      <c r="BO287" s="35" t="s">
        <v>513</v>
      </c>
      <c r="CM287" s="35" t="s">
        <v>441</v>
      </c>
      <c r="CN287" s="35" t="s">
        <v>604</v>
      </c>
      <c r="CO287" s="35" t="s">
        <v>9426</v>
      </c>
      <c r="CP287" s="35" t="s">
        <v>9427</v>
      </c>
      <c r="CQ287" s="35" t="s">
        <v>685</v>
      </c>
      <c r="CR287" s="35" t="s">
        <v>9428</v>
      </c>
      <c r="CS287" s="35" t="s">
        <v>804</v>
      </c>
      <c r="CT287" s="35" t="s">
        <v>1346</v>
      </c>
      <c r="CU287" s="35" t="s">
        <v>9429</v>
      </c>
      <c r="CV287" s="35" t="s">
        <v>450</v>
      </c>
      <c r="CW287" s="35" t="s">
        <v>451</v>
      </c>
      <c r="CX287" s="35" t="s">
        <v>9430</v>
      </c>
      <c r="CY287" s="35" t="s">
        <v>408</v>
      </c>
      <c r="DA287" s="35" t="s">
        <v>453</v>
      </c>
      <c r="DB287" s="35" t="s">
        <v>9431</v>
      </c>
      <c r="DC287" s="35" t="s">
        <v>408</v>
      </c>
      <c r="DE287" s="35" t="s">
        <v>457</v>
      </c>
      <c r="DG287" s="35" t="s">
        <v>9432</v>
      </c>
      <c r="DH287" s="35" t="s">
        <v>524</v>
      </c>
      <c r="DI287" s="35" t="s">
        <v>410</v>
      </c>
      <c r="DJ287" s="35" t="s">
        <v>963</v>
      </c>
      <c r="DK287" s="35" t="s">
        <v>613</v>
      </c>
      <c r="EU287" s="35" t="s">
        <v>578</v>
      </c>
      <c r="EV287" s="35" t="s">
        <v>579</v>
      </c>
      <c r="EW287" s="35" t="s">
        <v>580</v>
      </c>
      <c r="EY287" s="35" t="s">
        <v>9433</v>
      </c>
      <c r="EZ287" s="35" t="s">
        <v>9434</v>
      </c>
      <c r="FA287" s="35" t="s">
        <v>413</v>
      </c>
      <c r="FB287" s="35" t="s">
        <v>416</v>
      </c>
      <c r="FC287" s="35" t="s">
        <v>413</v>
      </c>
      <c r="FD287" s="35" t="s">
        <v>413</v>
      </c>
      <c r="FE287" s="35" t="s">
        <v>413</v>
      </c>
      <c r="FF287" s="35" t="s">
        <v>416</v>
      </c>
      <c r="FG287" s="35" t="s">
        <v>413</v>
      </c>
      <c r="FH287" s="35" t="s">
        <v>413</v>
      </c>
      <c r="FI287" s="35" t="s">
        <v>413</v>
      </c>
      <c r="FJ287" s="35" t="s">
        <v>413</v>
      </c>
      <c r="FK287" s="35" t="s">
        <v>413</v>
      </c>
      <c r="FL287" s="35" t="s">
        <v>415</v>
      </c>
      <c r="FM287" s="35" t="s">
        <v>415</v>
      </c>
      <c r="FN287" s="35" t="s">
        <v>415</v>
      </c>
      <c r="FO287" s="35" t="s">
        <v>415</v>
      </c>
      <c r="FP287" s="35" t="s">
        <v>485</v>
      </c>
      <c r="FQ287" s="35" t="s">
        <v>418</v>
      </c>
      <c r="FR287" s="35" t="s">
        <v>531</v>
      </c>
      <c r="FS287" s="35" t="s">
        <v>9435</v>
      </c>
      <c r="FT287" s="35" t="s">
        <v>420</v>
      </c>
      <c r="FU287" s="35" t="s">
        <v>488</v>
      </c>
      <c r="FV287" s="35" t="s">
        <v>1235</v>
      </c>
      <c r="FW287" s="35" t="s">
        <v>490</v>
      </c>
      <c r="FX287" s="35" t="s">
        <v>491</v>
      </c>
      <c r="FY287" s="35" t="s">
        <v>9436</v>
      </c>
      <c r="FZ287" s="35" t="s">
        <v>535</v>
      </c>
      <c r="GC287" s="35" t="s">
        <v>408</v>
      </c>
      <c r="GH287" s="35" t="s">
        <v>788</v>
      </c>
      <c r="GI287" s="35" t="s">
        <v>1000</v>
      </c>
      <c r="GJ287" s="35" t="s">
        <v>756</v>
      </c>
      <c r="GO287" s="35" t="s">
        <v>5368</v>
      </c>
      <c r="GP287" s="35" t="s">
        <v>5368</v>
      </c>
      <c r="GR287" s="35" t="s">
        <v>3208</v>
      </c>
      <c r="GU287" s="35" t="s">
        <v>4774</v>
      </c>
      <c r="GW287" s="35" t="s">
        <v>5231</v>
      </c>
      <c r="GX287" s="35" t="s">
        <v>5232</v>
      </c>
      <c r="HD287" s="35" t="s">
        <v>5281</v>
      </c>
      <c r="HE287" s="35" t="s">
        <v>5349</v>
      </c>
      <c r="HF287" s="35" t="s">
        <v>5283</v>
      </c>
      <c r="HG287" s="35" t="s">
        <v>5493</v>
      </c>
      <c r="HP287" s="35" t="s">
        <v>5236</v>
      </c>
      <c r="HQ287" s="35" t="s">
        <v>5264</v>
      </c>
      <c r="HR287" s="35" t="s">
        <v>5238</v>
      </c>
      <c r="HS287" s="35" t="s">
        <v>5321</v>
      </c>
      <c r="HX287" s="35" t="s">
        <v>5597</v>
      </c>
      <c r="MK287" s="35" t="s">
        <v>6321</v>
      </c>
    </row>
    <row r="288">
      <c r="A288" s="35" t="s">
        <v>11573</v>
      </c>
      <c r="B288" s="40">
        <v>46119.33508711806</v>
      </c>
      <c r="C288" s="35" t="s">
        <v>368</v>
      </c>
      <c r="D288" s="35" t="s">
        <v>370</v>
      </c>
      <c r="E288" s="35" t="s">
        <v>370</v>
      </c>
      <c r="F288" s="35" t="s">
        <v>1510</v>
      </c>
      <c r="G288" s="35" t="s">
        <v>1510</v>
      </c>
      <c r="H288" s="35" t="s">
        <v>422</v>
      </c>
      <c r="I288" s="35" t="s">
        <v>539</v>
      </c>
      <c r="J288" s="35" t="s">
        <v>424</v>
      </c>
      <c r="K288" s="35" t="s">
        <v>375</v>
      </c>
      <c r="L288" s="35" t="s">
        <v>376</v>
      </c>
      <c r="M288" s="35" t="s">
        <v>426</v>
      </c>
      <c r="N288" s="35" t="s">
        <v>497</v>
      </c>
      <c r="O288" s="35" t="s">
        <v>426</v>
      </c>
      <c r="P288" s="35" t="s">
        <v>719</v>
      </c>
      <c r="Q288" s="35" t="s">
        <v>592</v>
      </c>
      <c r="R288" s="35" t="s">
        <v>382</v>
      </c>
      <c r="S288" s="35" t="s">
        <v>427</v>
      </c>
      <c r="T288" s="35" t="s">
        <v>384</v>
      </c>
      <c r="U288" s="35" t="s">
        <v>385</v>
      </c>
      <c r="X288" s="35" t="s">
        <v>3231</v>
      </c>
      <c r="AW288" s="35" t="s">
        <v>597</v>
      </c>
      <c r="AX288" s="41">
        <v>4.0</v>
      </c>
      <c r="AY288" s="35" t="s">
        <v>391</v>
      </c>
      <c r="AZ288" s="41">
        <v>2.0</v>
      </c>
      <c r="BA288" s="41">
        <v>2.0</v>
      </c>
      <c r="BB288" s="35" t="s">
        <v>429</v>
      </c>
      <c r="BC288" s="41">
        <v>2.0</v>
      </c>
      <c r="BD288" s="35" t="s">
        <v>9437</v>
      </c>
      <c r="BE288" s="35" t="s">
        <v>9438</v>
      </c>
      <c r="BF288" s="35" t="s">
        <v>432</v>
      </c>
      <c r="BG288" s="35" t="s">
        <v>393</v>
      </c>
      <c r="BH288" s="35" t="s">
        <v>678</v>
      </c>
      <c r="BJ288" s="35" t="s">
        <v>435</v>
      </c>
      <c r="BK288" s="35" t="s">
        <v>9439</v>
      </c>
      <c r="BL288" s="35" t="s">
        <v>395</v>
      </c>
      <c r="BM288" s="35" t="s">
        <v>512</v>
      </c>
      <c r="BN288" s="35" t="s">
        <v>397</v>
      </c>
      <c r="BO288" s="35" t="s">
        <v>513</v>
      </c>
      <c r="CM288" s="35" t="s">
        <v>953</v>
      </c>
      <c r="CN288" s="35" t="s">
        <v>401</v>
      </c>
      <c r="CO288" s="35" t="s">
        <v>552</v>
      </c>
      <c r="CP288" s="35" t="s">
        <v>9440</v>
      </c>
      <c r="CU288" s="35" t="s">
        <v>9441</v>
      </c>
      <c r="CV288" s="35" t="s">
        <v>519</v>
      </c>
      <c r="CW288" s="35" t="s">
        <v>451</v>
      </c>
      <c r="CX288" s="35" t="s">
        <v>9442</v>
      </c>
      <c r="CY288" s="35" t="s">
        <v>733</v>
      </c>
      <c r="DA288" s="35" t="s">
        <v>453</v>
      </c>
      <c r="DB288" s="35" t="s">
        <v>9443</v>
      </c>
      <c r="DC288" s="35" t="s">
        <v>408</v>
      </c>
      <c r="DH288" s="35" t="s">
        <v>561</v>
      </c>
      <c r="DI288" s="35" t="s">
        <v>410</v>
      </c>
      <c r="DJ288" s="35" t="s">
        <v>963</v>
      </c>
      <c r="DK288" s="35" t="s">
        <v>460</v>
      </c>
      <c r="DL288" s="35" t="s">
        <v>6335</v>
      </c>
      <c r="EU288" s="35" t="s">
        <v>526</v>
      </c>
      <c r="EV288" s="35" t="s">
        <v>479</v>
      </c>
      <c r="EW288" s="35" t="s">
        <v>580</v>
      </c>
      <c r="EX288" s="35" t="s">
        <v>9444</v>
      </c>
      <c r="EY288" s="35" t="s">
        <v>9445</v>
      </c>
      <c r="EZ288" s="35" t="s">
        <v>9446</v>
      </c>
      <c r="FA288" s="35" t="s">
        <v>583</v>
      </c>
      <c r="FB288" s="35" t="s">
        <v>583</v>
      </c>
      <c r="FC288" s="35" t="s">
        <v>414</v>
      </c>
      <c r="FD288" s="35" t="s">
        <v>583</v>
      </c>
      <c r="FE288" s="35" t="s">
        <v>413</v>
      </c>
      <c r="FF288" s="35" t="s">
        <v>583</v>
      </c>
      <c r="FG288" s="35" t="s">
        <v>413</v>
      </c>
      <c r="FJ288" s="35" t="s">
        <v>414</v>
      </c>
      <c r="FM288" s="35" t="s">
        <v>484</v>
      </c>
      <c r="FN288" s="35" t="s">
        <v>413</v>
      </c>
      <c r="FP288" s="35" t="s">
        <v>485</v>
      </c>
      <c r="FQ288" s="35" t="s">
        <v>418</v>
      </c>
      <c r="FR288" s="35" t="s">
        <v>630</v>
      </c>
      <c r="FS288" s="35" t="s">
        <v>9447</v>
      </c>
      <c r="FT288" s="35" t="s">
        <v>420</v>
      </c>
      <c r="FU288" s="35" t="s">
        <v>488</v>
      </c>
      <c r="FV288" s="35" t="s">
        <v>533</v>
      </c>
      <c r="FW288" s="35" t="s">
        <v>490</v>
      </c>
      <c r="FX288" s="35" t="s">
        <v>491</v>
      </c>
      <c r="FY288" s="35" t="s">
        <v>9448</v>
      </c>
      <c r="FZ288" s="35" t="s">
        <v>535</v>
      </c>
      <c r="GC288" s="35" t="s">
        <v>455</v>
      </c>
      <c r="GD288" s="35" t="s">
        <v>11076</v>
      </c>
      <c r="GF288" s="35" t="s">
        <v>753</v>
      </c>
      <c r="GH288" s="35" t="s">
        <v>920</v>
      </c>
      <c r="GI288" s="35" t="s">
        <v>920</v>
      </c>
      <c r="GJ288" s="35" t="s">
        <v>756</v>
      </c>
      <c r="GQ288" s="35" t="s">
        <v>387</v>
      </c>
      <c r="GR288" s="35" t="s">
        <v>3208</v>
      </c>
      <c r="GU288" s="35" t="s">
        <v>5170</v>
      </c>
      <c r="GW288" s="35" t="s">
        <v>5231</v>
      </c>
      <c r="GX288" s="35" t="s">
        <v>5232</v>
      </c>
      <c r="HP288" s="35" t="s">
        <v>5236</v>
      </c>
      <c r="HQ288" s="35" t="s">
        <v>5719</v>
      </c>
      <c r="HR288" s="35" t="s">
        <v>5238</v>
      </c>
      <c r="HS288" s="35" t="s">
        <v>9449</v>
      </c>
      <c r="MK288" s="35" t="s">
        <v>6321</v>
      </c>
    </row>
    <row r="289">
      <c r="A289" s="35" t="s">
        <v>11574</v>
      </c>
      <c r="B289" s="40">
        <v>46120.45189376158</v>
      </c>
      <c r="C289" s="35" t="s">
        <v>368</v>
      </c>
      <c r="D289" s="35" t="s">
        <v>1341</v>
      </c>
      <c r="E289" s="35" t="s">
        <v>1341</v>
      </c>
      <c r="H289" s="35" t="s">
        <v>422</v>
      </c>
      <c r="I289" s="35" t="s">
        <v>1921</v>
      </c>
      <c r="J289" s="35" t="s">
        <v>668</v>
      </c>
      <c r="K289" s="35" t="s">
        <v>375</v>
      </c>
      <c r="L289" s="35" t="s">
        <v>376</v>
      </c>
      <c r="M289" s="35" t="s">
        <v>1526</v>
      </c>
      <c r="N289" s="35" t="s">
        <v>378</v>
      </c>
      <c r="O289" s="35" t="s">
        <v>377</v>
      </c>
      <c r="P289" s="35" t="s">
        <v>497</v>
      </c>
      <c r="Q289" s="35" t="s">
        <v>381</v>
      </c>
      <c r="R289" s="35" t="s">
        <v>382</v>
      </c>
      <c r="S289" s="35" t="s">
        <v>427</v>
      </c>
      <c r="T289" s="35" t="s">
        <v>384</v>
      </c>
      <c r="U289" s="35" t="s">
        <v>385</v>
      </c>
      <c r="X289" s="35" t="s">
        <v>386</v>
      </c>
      <c r="Y289" s="35" t="s">
        <v>387</v>
      </c>
      <c r="Z289" s="35" t="s">
        <v>388</v>
      </c>
      <c r="AA289" s="35" t="s">
        <v>543</v>
      </c>
      <c r="AB289" s="35" t="s">
        <v>9471</v>
      </c>
      <c r="AW289" s="35" t="s">
        <v>1242</v>
      </c>
      <c r="AX289" s="35" t="s">
        <v>675</v>
      </c>
      <c r="AY289" s="41">
        <v>4.0</v>
      </c>
      <c r="AZ289" s="41">
        <v>4.0</v>
      </c>
      <c r="BA289" s="41">
        <v>4.0</v>
      </c>
      <c r="BB289" s="41">
        <v>4.0</v>
      </c>
      <c r="BC289" s="41">
        <v>4.0</v>
      </c>
      <c r="BD289" s="35" t="s">
        <v>9472</v>
      </c>
      <c r="BF289" s="35" t="s">
        <v>902</v>
      </c>
      <c r="BG289" s="35" t="s">
        <v>1047</v>
      </c>
      <c r="BH289" s="35" t="s">
        <v>725</v>
      </c>
      <c r="BJ289" s="35" t="s">
        <v>976</v>
      </c>
      <c r="BL289" s="35" t="s">
        <v>395</v>
      </c>
      <c r="BM289" s="35" t="s">
        <v>603</v>
      </c>
      <c r="BN289" s="35" t="s">
        <v>1314</v>
      </c>
      <c r="BO289" s="35" t="s">
        <v>513</v>
      </c>
      <c r="CM289" s="35" t="s">
        <v>682</v>
      </c>
      <c r="CN289" s="35" t="s">
        <v>401</v>
      </c>
      <c r="CO289" s="35" t="s">
        <v>9473</v>
      </c>
      <c r="CP289" s="35" t="s">
        <v>9474</v>
      </c>
      <c r="CU289" s="35" t="s">
        <v>9475</v>
      </c>
      <c r="CV289" s="35" t="s">
        <v>1852</v>
      </c>
      <c r="CW289" s="35" t="s">
        <v>959</v>
      </c>
      <c r="CY289" s="35" t="s">
        <v>408</v>
      </c>
      <c r="DA289" s="35" t="s">
        <v>1962</v>
      </c>
      <c r="DC289" s="35" t="s">
        <v>408</v>
      </c>
      <c r="DH289" s="35" t="s">
        <v>990</v>
      </c>
      <c r="DI289" s="35" t="s">
        <v>410</v>
      </c>
      <c r="DJ289" s="35" t="s">
        <v>777</v>
      </c>
      <c r="DK289" s="35" t="s">
        <v>613</v>
      </c>
      <c r="EU289" s="35" t="s">
        <v>578</v>
      </c>
      <c r="EV289" s="35" t="s">
        <v>579</v>
      </c>
      <c r="EW289" s="35" t="s">
        <v>527</v>
      </c>
      <c r="EX289" s="35" t="s">
        <v>9476</v>
      </c>
      <c r="EY289" s="35" t="s">
        <v>9477</v>
      </c>
      <c r="EZ289" s="35" t="s">
        <v>9478</v>
      </c>
      <c r="FA289" s="35" t="s">
        <v>583</v>
      </c>
      <c r="FB289" s="35" t="s">
        <v>583</v>
      </c>
      <c r="FC289" s="35" t="s">
        <v>415</v>
      </c>
      <c r="FD289" s="35" t="s">
        <v>583</v>
      </c>
      <c r="FE289" s="35" t="s">
        <v>415</v>
      </c>
      <c r="FF289" s="35" t="s">
        <v>414</v>
      </c>
      <c r="FG289" s="35" t="s">
        <v>583</v>
      </c>
      <c r="FH289" s="35" t="s">
        <v>414</v>
      </c>
      <c r="FI289" s="35" t="s">
        <v>416</v>
      </c>
      <c r="FJ289" s="35" t="s">
        <v>416</v>
      </c>
      <c r="FK289" s="35" t="s">
        <v>416</v>
      </c>
      <c r="FL289" s="35" t="s">
        <v>414</v>
      </c>
      <c r="FM289" s="35" t="s">
        <v>414</v>
      </c>
      <c r="FN289" s="35" t="s">
        <v>414</v>
      </c>
      <c r="FO289" s="35" t="s">
        <v>416</v>
      </c>
      <c r="FP289" s="35" t="s">
        <v>1537</v>
      </c>
      <c r="FQ289" s="35" t="s">
        <v>2524</v>
      </c>
      <c r="FR289" s="35" t="s">
        <v>749</v>
      </c>
      <c r="FS289" s="35" t="s">
        <v>9479</v>
      </c>
      <c r="FT289" s="35" t="s">
        <v>1871</v>
      </c>
      <c r="FU289" s="35" t="s">
        <v>421</v>
      </c>
      <c r="FV289" s="35" t="s">
        <v>1235</v>
      </c>
      <c r="FW289" s="35" t="s">
        <v>2399</v>
      </c>
      <c r="FX289" s="35" t="s">
        <v>1853</v>
      </c>
      <c r="FZ289" s="35" t="s">
        <v>1854</v>
      </c>
      <c r="GA289" s="35" t="s">
        <v>9480</v>
      </c>
      <c r="GC289" s="35" t="s">
        <v>455</v>
      </c>
      <c r="GD289" s="35" t="s">
        <v>11575</v>
      </c>
      <c r="GF289" s="35" t="s">
        <v>1420</v>
      </c>
      <c r="GH289" s="35" t="s">
        <v>755</v>
      </c>
      <c r="GI289" s="35" t="s">
        <v>755</v>
      </c>
      <c r="GJ289" s="35" t="s">
        <v>946</v>
      </c>
      <c r="GP289" s="35" t="s">
        <v>3220</v>
      </c>
      <c r="GR289" s="35" t="s">
        <v>3208</v>
      </c>
      <c r="GU289" s="35" t="s">
        <v>4774</v>
      </c>
      <c r="GW289" s="35" t="s">
        <v>5260</v>
      </c>
      <c r="GX289" s="35" t="s">
        <v>5261</v>
      </c>
      <c r="HP289" s="35" t="s">
        <v>5383</v>
      </c>
      <c r="HQ289" s="35" t="s">
        <v>5302</v>
      </c>
      <c r="HR289" s="35" t="s">
        <v>5721</v>
      </c>
      <c r="HS289" s="35" t="s">
        <v>5287</v>
      </c>
      <c r="HT289" s="35" t="s">
        <v>5987</v>
      </c>
      <c r="HV289" s="35" t="s">
        <v>5917</v>
      </c>
      <c r="HW289" s="35" t="s">
        <v>5918</v>
      </c>
      <c r="HY289" s="35" t="s">
        <v>5919</v>
      </c>
      <c r="HZ289" s="35" t="s">
        <v>5919</v>
      </c>
      <c r="IA289" s="35" t="s">
        <v>5920</v>
      </c>
      <c r="IB289" s="35" t="s">
        <v>5920</v>
      </c>
      <c r="IC289" s="35" t="s">
        <v>5920</v>
      </c>
      <c r="ID289" s="35" t="s">
        <v>5919</v>
      </c>
      <c r="IE289" s="35" t="s">
        <v>5500</v>
      </c>
      <c r="IF289" s="35" t="s">
        <v>5536</v>
      </c>
      <c r="IG289" s="35" t="s">
        <v>5500</v>
      </c>
      <c r="IH289" s="35" t="s">
        <v>5537</v>
      </c>
      <c r="II289" s="35" t="s">
        <v>5537</v>
      </c>
      <c r="IJ289" s="35" t="s">
        <v>5500</v>
      </c>
      <c r="IK289" s="35" t="s">
        <v>9481</v>
      </c>
      <c r="IL289" s="35" t="s">
        <v>5924</v>
      </c>
      <c r="IM289" s="35" t="s">
        <v>9482</v>
      </c>
      <c r="IN289" s="35" t="s">
        <v>9483</v>
      </c>
      <c r="MK289" s="35" t="s">
        <v>6321</v>
      </c>
    </row>
    <row r="290">
      <c r="A290" s="35" t="s">
        <v>11576</v>
      </c>
      <c r="B290" s="40">
        <v>46121.04974232639</v>
      </c>
      <c r="C290" s="35" t="s">
        <v>368</v>
      </c>
      <c r="D290" s="35" t="s">
        <v>370</v>
      </c>
      <c r="E290" s="35" t="s">
        <v>370</v>
      </c>
      <c r="F290" s="35" t="s">
        <v>2708</v>
      </c>
      <c r="G290" s="35" t="s">
        <v>1899</v>
      </c>
      <c r="H290" s="35" t="s">
        <v>422</v>
      </c>
      <c r="I290" s="35" t="s">
        <v>423</v>
      </c>
      <c r="J290" s="35" t="s">
        <v>424</v>
      </c>
      <c r="K290" s="35" t="s">
        <v>425</v>
      </c>
      <c r="L290" s="35" t="s">
        <v>376</v>
      </c>
      <c r="M290" s="35" t="s">
        <v>426</v>
      </c>
      <c r="N290" s="35" t="s">
        <v>9484</v>
      </c>
      <c r="O290" s="35" t="s">
        <v>591</v>
      </c>
      <c r="P290" s="35" t="s">
        <v>2579</v>
      </c>
      <c r="Q290" s="35" t="s">
        <v>381</v>
      </c>
      <c r="R290" s="35" t="s">
        <v>862</v>
      </c>
      <c r="S290" s="35" t="s">
        <v>9485</v>
      </c>
      <c r="T290" s="35" t="s">
        <v>1705</v>
      </c>
      <c r="U290" s="35" t="s">
        <v>385</v>
      </c>
      <c r="X290" s="35" t="s">
        <v>3014</v>
      </c>
      <c r="AW290" s="35" t="s">
        <v>1310</v>
      </c>
      <c r="AX290" s="41">
        <v>4.0</v>
      </c>
      <c r="AY290" s="35" t="s">
        <v>675</v>
      </c>
      <c r="AZ290" s="35" t="s">
        <v>675</v>
      </c>
      <c r="BA290" s="41">
        <v>4.0</v>
      </c>
      <c r="BB290" s="35" t="s">
        <v>675</v>
      </c>
      <c r="BC290" s="35" t="s">
        <v>675</v>
      </c>
      <c r="BD290" s="35" t="s">
        <v>9486</v>
      </c>
      <c r="BE290" s="35" t="s">
        <v>9487</v>
      </c>
      <c r="BF290" s="35" t="s">
        <v>2379</v>
      </c>
      <c r="BG290" s="35" t="s">
        <v>393</v>
      </c>
      <c r="BH290" s="35" t="s">
        <v>394</v>
      </c>
      <c r="BI290" s="35" t="s">
        <v>9488</v>
      </c>
      <c r="BJ290" s="35" t="s">
        <v>976</v>
      </c>
      <c r="BL290" s="35" t="s">
        <v>395</v>
      </c>
      <c r="BM290" s="35" t="s">
        <v>904</v>
      </c>
      <c r="BN290" s="35" t="s">
        <v>1276</v>
      </c>
      <c r="BO290" s="35" t="s">
        <v>513</v>
      </c>
      <c r="CM290" s="35" t="s">
        <v>441</v>
      </c>
      <c r="CN290" s="35" t="s">
        <v>442</v>
      </c>
      <c r="CO290" s="35" t="s">
        <v>9489</v>
      </c>
      <c r="CP290" s="35" t="s">
        <v>9490</v>
      </c>
      <c r="CQ290" s="35" t="s">
        <v>685</v>
      </c>
      <c r="CR290" s="35" t="s">
        <v>956</v>
      </c>
      <c r="CS290" s="35" t="s">
        <v>447</v>
      </c>
      <c r="CT290" s="35" t="s">
        <v>805</v>
      </c>
      <c r="CU290" s="35" t="s">
        <v>9491</v>
      </c>
      <c r="CV290" s="35" t="s">
        <v>519</v>
      </c>
      <c r="CW290" s="35" t="s">
        <v>451</v>
      </c>
      <c r="CX290" s="35" t="s">
        <v>9492</v>
      </c>
      <c r="CY290" s="35" t="s">
        <v>455</v>
      </c>
      <c r="CZ290" s="35" t="s">
        <v>9493</v>
      </c>
      <c r="DA290" s="35" t="s">
        <v>1398</v>
      </c>
      <c r="DB290" s="35" t="s">
        <v>9494</v>
      </c>
      <c r="DC290" s="35" t="s">
        <v>455</v>
      </c>
      <c r="DD290" s="35" t="s">
        <v>9495</v>
      </c>
      <c r="DE290" s="35" t="s">
        <v>457</v>
      </c>
      <c r="DH290" s="35" t="s">
        <v>693</v>
      </c>
      <c r="DI290" s="35" t="s">
        <v>410</v>
      </c>
      <c r="DJ290" s="35" t="s">
        <v>459</v>
      </c>
      <c r="DK290" s="35" t="s">
        <v>613</v>
      </c>
      <c r="EU290" s="35" t="s">
        <v>478</v>
      </c>
      <c r="EV290" s="35" t="s">
        <v>479</v>
      </c>
      <c r="EW290" s="35" t="s">
        <v>580</v>
      </c>
      <c r="EX290" s="35" t="s">
        <v>9496</v>
      </c>
      <c r="EY290" s="35" t="s">
        <v>9497</v>
      </c>
      <c r="EZ290" s="35" t="s">
        <v>9498</v>
      </c>
      <c r="FA290" s="35" t="s">
        <v>413</v>
      </c>
      <c r="FB290" s="35" t="s">
        <v>413</v>
      </c>
      <c r="FC290" s="35" t="s">
        <v>413</v>
      </c>
      <c r="FD290" s="35" t="s">
        <v>413</v>
      </c>
      <c r="FE290" s="35" t="s">
        <v>413</v>
      </c>
      <c r="FF290" s="35" t="s">
        <v>413</v>
      </c>
      <c r="FG290" s="35" t="s">
        <v>484</v>
      </c>
      <c r="FH290" s="35" t="s">
        <v>484</v>
      </c>
      <c r="FI290" s="35" t="s">
        <v>484</v>
      </c>
      <c r="FJ290" s="35" t="s">
        <v>414</v>
      </c>
      <c r="FK290" s="35" t="s">
        <v>413</v>
      </c>
      <c r="FL290" s="35" t="s">
        <v>484</v>
      </c>
      <c r="FM290" s="35" t="s">
        <v>484</v>
      </c>
      <c r="FN290" s="35" t="s">
        <v>484</v>
      </c>
      <c r="FO290" s="35" t="s">
        <v>484</v>
      </c>
      <c r="FP290" s="35" t="s">
        <v>417</v>
      </c>
      <c r="FQ290" s="35" t="s">
        <v>418</v>
      </c>
      <c r="FR290" s="35" t="s">
        <v>1039</v>
      </c>
      <c r="FS290" s="35" t="s">
        <v>9499</v>
      </c>
      <c r="FT290" s="35" t="s">
        <v>420</v>
      </c>
      <c r="FU290" s="35" t="s">
        <v>488</v>
      </c>
      <c r="FV290" s="35" t="s">
        <v>489</v>
      </c>
      <c r="FW290" s="35" t="s">
        <v>490</v>
      </c>
      <c r="FX290" s="35" t="s">
        <v>491</v>
      </c>
      <c r="FY290" s="35" t="s">
        <v>9500</v>
      </c>
      <c r="FZ290" s="35" t="s">
        <v>535</v>
      </c>
      <c r="GA290" s="35" t="s">
        <v>9501</v>
      </c>
      <c r="GB290" s="35" t="s">
        <v>9502</v>
      </c>
      <c r="GC290" s="35" t="s">
        <v>408</v>
      </c>
      <c r="GH290" s="35" t="s">
        <v>920</v>
      </c>
      <c r="GI290" s="35" t="s">
        <v>920</v>
      </c>
      <c r="GJ290" s="35" t="s">
        <v>756</v>
      </c>
      <c r="GR290" s="35" t="s">
        <v>3208</v>
      </c>
      <c r="GU290" s="35" t="s">
        <v>4774</v>
      </c>
      <c r="GW290" s="35" t="s">
        <v>5231</v>
      </c>
      <c r="GX290" s="35" t="s">
        <v>484</v>
      </c>
      <c r="HD290" s="35" t="s">
        <v>5297</v>
      </c>
      <c r="HE290" s="35" t="s">
        <v>5282</v>
      </c>
      <c r="HF290" s="35" t="s">
        <v>5320</v>
      </c>
      <c r="HG290" s="35" t="s">
        <v>5899</v>
      </c>
      <c r="HP290" s="35" t="s">
        <v>5383</v>
      </c>
      <c r="HQ290" s="35" t="s">
        <v>5264</v>
      </c>
      <c r="HR290" s="35" t="s">
        <v>5238</v>
      </c>
      <c r="HS290" s="35" t="s">
        <v>9503</v>
      </c>
      <c r="HX290" s="35" t="s">
        <v>9504</v>
      </c>
      <c r="MK290" s="35" t="s">
        <v>6321</v>
      </c>
    </row>
    <row r="291">
      <c r="A291" s="35" t="s">
        <v>11577</v>
      </c>
      <c r="B291" s="40">
        <v>46121.93295483796</v>
      </c>
      <c r="C291" s="35" t="s">
        <v>368</v>
      </c>
      <c r="D291" s="35" t="s">
        <v>9532</v>
      </c>
      <c r="E291" s="35" t="s">
        <v>370</v>
      </c>
      <c r="G291" s="35" t="s">
        <v>1001</v>
      </c>
      <c r="H291" s="35" t="s">
        <v>372</v>
      </c>
      <c r="I291" s="35" t="s">
        <v>373</v>
      </c>
      <c r="J291" s="35" t="s">
        <v>638</v>
      </c>
      <c r="K291" s="35" t="s">
        <v>375</v>
      </c>
      <c r="L291" s="35" t="s">
        <v>1383</v>
      </c>
      <c r="M291" s="35" t="s">
        <v>793</v>
      </c>
      <c r="N291" s="35" t="s">
        <v>639</v>
      </c>
      <c r="O291" s="35" t="s">
        <v>591</v>
      </c>
      <c r="P291" s="35" t="s">
        <v>719</v>
      </c>
      <c r="Q291" s="35" t="s">
        <v>592</v>
      </c>
      <c r="R291" s="35" t="s">
        <v>862</v>
      </c>
      <c r="S291" s="35" t="s">
        <v>500</v>
      </c>
      <c r="T291" s="35" t="s">
        <v>384</v>
      </c>
      <c r="U291" s="35" t="s">
        <v>385</v>
      </c>
      <c r="X291" s="35" t="s">
        <v>386</v>
      </c>
      <c r="Y291" s="35" t="s">
        <v>387</v>
      </c>
      <c r="AA291" s="35" t="s">
        <v>502</v>
      </c>
      <c r="AW291" s="35" t="s">
        <v>1242</v>
      </c>
      <c r="AX291" s="35" t="s">
        <v>675</v>
      </c>
      <c r="AY291" s="35" t="s">
        <v>675</v>
      </c>
      <c r="AZ291" s="41">
        <v>4.0</v>
      </c>
      <c r="BA291" s="35" t="s">
        <v>391</v>
      </c>
      <c r="BB291" s="41">
        <v>2.0</v>
      </c>
      <c r="BC291" s="35" t="s">
        <v>391</v>
      </c>
      <c r="BD291" s="35" t="s">
        <v>9533</v>
      </c>
      <c r="BF291" s="35" t="s">
        <v>902</v>
      </c>
      <c r="BG291" s="35" t="s">
        <v>1047</v>
      </c>
      <c r="BH291" s="35" t="s">
        <v>678</v>
      </c>
      <c r="BJ291" s="35" t="s">
        <v>976</v>
      </c>
      <c r="BL291" s="35" t="s">
        <v>681</v>
      </c>
      <c r="BM291" s="35" t="s">
        <v>904</v>
      </c>
      <c r="BN291" s="35" t="s">
        <v>1314</v>
      </c>
      <c r="BO291" s="35" t="s">
        <v>513</v>
      </c>
      <c r="CM291" s="35" t="s">
        <v>441</v>
      </c>
      <c r="CN291" s="35" t="s">
        <v>604</v>
      </c>
      <c r="CO291" s="35" t="s">
        <v>9534</v>
      </c>
      <c r="CP291" s="35" t="s">
        <v>9535</v>
      </c>
      <c r="CQ291" s="35" t="s">
        <v>979</v>
      </c>
      <c r="CR291" s="35" t="s">
        <v>9536</v>
      </c>
      <c r="CS291" s="35" t="s">
        <v>447</v>
      </c>
      <c r="CT291" s="35" t="s">
        <v>9537</v>
      </c>
      <c r="CU291" s="35" t="s">
        <v>9538</v>
      </c>
      <c r="CV291" s="35" t="s">
        <v>519</v>
      </c>
      <c r="CW291" s="35" t="s">
        <v>451</v>
      </c>
      <c r="CX291" s="35" t="s">
        <v>9539</v>
      </c>
      <c r="CY291" s="35" t="s">
        <v>408</v>
      </c>
      <c r="DA291" s="35" t="s">
        <v>453</v>
      </c>
      <c r="DB291" s="35" t="s">
        <v>9540</v>
      </c>
      <c r="DC291" s="35" t="s">
        <v>408</v>
      </c>
      <c r="DE291" s="35" t="s">
        <v>988</v>
      </c>
      <c r="DG291" s="35" t="s">
        <v>9541</v>
      </c>
      <c r="DH291" s="35" t="s">
        <v>524</v>
      </c>
      <c r="DI291" s="35" t="s">
        <v>410</v>
      </c>
      <c r="DJ291" s="35" t="s">
        <v>459</v>
      </c>
      <c r="DK291" s="35" t="s">
        <v>613</v>
      </c>
      <c r="EU291" s="35" t="s">
        <v>526</v>
      </c>
      <c r="EV291" s="35" t="s">
        <v>479</v>
      </c>
      <c r="EW291" s="35" t="s">
        <v>527</v>
      </c>
      <c r="EX291" s="35" t="s">
        <v>9542</v>
      </c>
      <c r="EY291" s="35" t="s">
        <v>9543</v>
      </c>
      <c r="EZ291" s="35" t="s">
        <v>9544</v>
      </c>
      <c r="FA291" s="35" t="s">
        <v>583</v>
      </c>
      <c r="FB291" s="35" t="s">
        <v>583</v>
      </c>
      <c r="FC291" s="35" t="s">
        <v>414</v>
      </c>
      <c r="FD291" s="35" t="s">
        <v>414</v>
      </c>
      <c r="FE291" s="35" t="s">
        <v>416</v>
      </c>
      <c r="FF291" s="35" t="s">
        <v>414</v>
      </c>
      <c r="FG291" s="35" t="s">
        <v>583</v>
      </c>
      <c r="FH291" s="35" t="s">
        <v>415</v>
      </c>
      <c r="FI291" s="35" t="s">
        <v>414</v>
      </c>
      <c r="FJ291" s="35" t="s">
        <v>415</v>
      </c>
      <c r="FK291" s="35" t="s">
        <v>414</v>
      </c>
      <c r="FL291" s="35" t="s">
        <v>415</v>
      </c>
      <c r="FM291" s="35" t="s">
        <v>414</v>
      </c>
      <c r="FN291" s="35" t="s">
        <v>416</v>
      </c>
      <c r="FO291" s="35" t="s">
        <v>583</v>
      </c>
      <c r="FP291" s="35" t="s">
        <v>417</v>
      </c>
      <c r="FQ291" s="35" t="s">
        <v>418</v>
      </c>
      <c r="FR291" s="35" t="s">
        <v>419</v>
      </c>
      <c r="FT291" s="35" t="s">
        <v>420</v>
      </c>
      <c r="FU291" s="35" t="s">
        <v>488</v>
      </c>
      <c r="FV291" s="35" t="s">
        <v>489</v>
      </c>
      <c r="FW291" s="35" t="s">
        <v>490</v>
      </c>
      <c r="FX291" s="35" t="s">
        <v>491</v>
      </c>
      <c r="FZ291" s="35" t="s">
        <v>535</v>
      </c>
      <c r="GB291" s="35" t="s">
        <v>9545</v>
      </c>
      <c r="GC291" s="35" t="s">
        <v>455</v>
      </c>
      <c r="GD291" s="35" t="s">
        <v>11578</v>
      </c>
      <c r="GF291" s="35" t="s">
        <v>753</v>
      </c>
      <c r="GH291" s="35" t="s">
        <v>755</v>
      </c>
      <c r="GI291" s="35" t="s">
        <v>755</v>
      </c>
      <c r="GJ291" s="35" t="s">
        <v>946</v>
      </c>
      <c r="GR291" s="35" t="s">
        <v>3208</v>
      </c>
      <c r="GU291" s="35" t="s">
        <v>4774</v>
      </c>
      <c r="GW291" s="35" t="s">
        <v>484</v>
      </c>
      <c r="GX291" s="35" t="s">
        <v>484</v>
      </c>
      <c r="HD291" s="35" t="s">
        <v>5297</v>
      </c>
      <c r="HE291" s="35" t="s">
        <v>5282</v>
      </c>
      <c r="HF291" s="35" t="s">
        <v>5492</v>
      </c>
      <c r="HG291" s="35" t="s">
        <v>5284</v>
      </c>
      <c r="HP291" s="35" t="s">
        <v>5236</v>
      </c>
      <c r="HQ291" s="35" t="s">
        <v>5264</v>
      </c>
      <c r="HR291" s="35" t="s">
        <v>5238</v>
      </c>
      <c r="HS291" s="35" t="s">
        <v>5321</v>
      </c>
      <c r="MK291" s="35" t="s">
        <v>6321</v>
      </c>
    </row>
    <row r="292">
      <c r="A292" s="35" t="s">
        <v>11579</v>
      </c>
      <c r="B292" s="40">
        <v>46122.46081304398</v>
      </c>
      <c r="C292" s="35" t="s">
        <v>368</v>
      </c>
      <c r="D292" s="35" t="s">
        <v>370</v>
      </c>
      <c r="E292" s="35" t="s">
        <v>370</v>
      </c>
      <c r="F292" s="35" t="s">
        <v>3955</v>
      </c>
      <c r="G292" s="35" t="s">
        <v>3955</v>
      </c>
      <c r="H292" s="35" t="s">
        <v>422</v>
      </c>
      <c r="I292" s="35" t="s">
        <v>637</v>
      </c>
      <c r="J292" s="35" t="s">
        <v>374</v>
      </c>
      <c r="K292" s="35" t="s">
        <v>758</v>
      </c>
      <c r="L292" s="35" t="s">
        <v>376</v>
      </c>
      <c r="M292" s="35" t="s">
        <v>379</v>
      </c>
      <c r="N292" s="35" t="s">
        <v>9546</v>
      </c>
      <c r="O292" s="35" t="s">
        <v>377</v>
      </c>
      <c r="P292" s="35" t="s">
        <v>497</v>
      </c>
      <c r="Q292" s="35" t="s">
        <v>381</v>
      </c>
      <c r="R292" s="35" t="s">
        <v>818</v>
      </c>
      <c r="S292" s="35" t="s">
        <v>427</v>
      </c>
      <c r="T292" s="35" t="s">
        <v>384</v>
      </c>
      <c r="U292" s="35" t="s">
        <v>385</v>
      </c>
      <c r="X292" s="35" t="s">
        <v>3014</v>
      </c>
      <c r="AW292" s="35" t="s">
        <v>504</v>
      </c>
      <c r="AX292" s="41">
        <v>4.0</v>
      </c>
      <c r="AY292" s="35" t="s">
        <v>429</v>
      </c>
      <c r="AZ292" s="35" t="s">
        <v>429</v>
      </c>
      <c r="BA292" s="35" t="s">
        <v>429</v>
      </c>
      <c r="BB292" s="35" t="s">
        <v>429</v>
      </c>
      <c r="BC292" s="35" t="s">
        <v>429</v>
      </c>
      <c r="BD292" s="35" t="s">
        <v>9547</v>
      </c>
      <c r="BE292" s="35" t="s">
        <v>9548</v>
      </c>
      <c r="BF292" s="35" t="s">
        <v>432</v>
      </c>
      <c r="BG292" s="35" t="s">
        <v>433</v>
      </c>
      <c r="BH292" s="35" t="s">
        <v>765</v>
      </c>
      <c r="BI292" s="35" t="s">
        <v>9549</v>
      </c>
      <c r="BJ292" s="35" t="s">
        <v>509</v>
      </c>
      <c r="BL292" s="35" t="s">
        <v>681</v>
      </c>
      <c r="BM292" s="35" t="s">
        <v>512</v>
      </c>
      <c r="BN292" s="35" t="s">
        <v>439</v>
      </c>
      <c r="BO292" s="35" t="s">
        <v>513</v>
      </c>
      <c r="CM292" s="35" t="s">
        <v>441</v>
      </c>
      <c r="CN292" s="35" t="s">
        <v>401</v>
      </c>
      <c r="CO292" s="35" t="s">
        <v>1313</v>
      </c>
      <c r="CP292" s="35" t="s">
        <v>9550</v>
      </c>
      <c r="CQ292" s="35" t="s">
        <v>403</v>
      </c>
      <c r="CR292" s="35" t="s">
        <v>1136</v>
      </c>
      <c r="CS292" s="35" t="s">
        <v>447</v>
      </c>
      <c r="CT292" s="35" t="s">
        <v>9551</v>
      </c>
      <c r="CV292" s="35" t="s">
        <v>450</v>
      </c>
      <c r="CW292" s="35" t="s">
        <v>451</v>
      </c>
      <c r="CX292" s="35" t="s">
        <v>9552</v>
      </c>
      <c r="CY292" s="35" t="s">
        <v>408</v>
      </c>
      <c r="DA292" s="35" t="s">
        <v>453</v>
      </c>
      <c r="DB292" s="35" t="s">
        <v>9553</v>
      </c>
      <c r="DC292" s="35" t="s">
        <v>455</v>
      </c>
      <c r="DD292" s="35" t="s">
        <v>9554</v>
      </c>
      <c r="DE292" s="35" t="s">
        <v>662</v>
      </c>
      <c r="DH292" s="35" t="s">
        <v>561</v>
      </c>
      <c r="DI292" s="35" t="s">
        <v>410</v>
      </c>
      <c r="DJ292" s="35" t="s">
        <v>459</v>
      </c>
      <c r="DK292" s="35" t="s">
        <v>562</v>
      </c>
      <c r="DL292" s="35" t="s">
        <v>6335</v>
      </c>
      <c r="EU292" s="35" t="s">
        <v>526</v>
      </c>
      <c r="EV292" s="35" t="s">
        <v>479</v>
      </c>
      <c r="EW292" s="35" t="s">
        <v>1262</v>
      </c>
      <c r="EY292" s="35" t="s">
        <v>9555</v>
      </c>
      <c r="EZ292" s="35" t="s">
        <v>9556</v>
      </c>
      <c r="FA292" s="35" t="s">
        <v>583</v>
      </c>
      <c r="FB292" s="35" t="s">
        <v>583</v>
      </c>
      <c r="FC292" s="35" t="s">
        <v>583</v>
      </c>
      <c r="FD292" s="35" t="s">
        <v>583</v>
      </c>
      <c r="FE292" s="35" t="s">
        <v>415</v>
      </c>
      <c r="FF292" s="35" t="s">
        <v>583</v>
      </c>
      <c r="FG292" s="35" t="s">
        <v>583</v>
      </c>
      <c r="FH292" s="35" t="s">
        <v>416</v>
      </c>
      <c r="FI292" s="35" t="s">
        <v>414</v>
      </c>
      <c r="FJ292" s="35" t="s">
        <v>583</v>
      </c>
      <c r="FK292" s="35" t="s">
        <v>583</v>
      </c>
      <c r="FL292" s="35" t="s">
        <v>484</v>
      </c>
      <c r="FM292" s="35" t="s">
        <v>484</v>
      </c>
      <c r="FN292" s="35" t="s">
        <v>484</v>
      </c>
      <c r="FO292" s="35" t="s">
        <v>484</v>
      </c>
      <c r="FP292" s="35" t="s">
        <v>417</v>
      </c>
      <c r="FQ292" s="35" t="s">
        <v>418</v>
      </c>
      <c r="FR292" s="35" t="s">
        <v>419</v>
      </c>
      <c r="FT292" s="35" t="s">
        <v>420</v>
      </c>
      <c r="FU292" s="35" t="s">
        <v>488</v>
      </c>
      <c r="FV292" s="35" t="s">
        <v>533</v>
      </c>
      <c r="FW292" s="35" t="s">
        <v>490</v>
      </c>
      <c r="FX292" s="35" t="s">
        <v>491</v>
      </c>
      <c r="FZ292" s="35" t="s">
        <v>535</v>
      </c>
      <c r="GH292" s="35" t="s">
        <v>857</v>
      </c>
      <c r="GI292" s="35" t="s">
        <v>857</v>
      </c>
      <c r="GJ292" s="35" t="s">
        <v>790</v>
      </c>
      <c r="GU292" s="35" t="s">
        <v>4774</v>
      </c>
      <c r="GW292" s="35" t="s">
        <v>5231</v>
      </c>
      <c r="GX292" s="35" t="s">
        <v>5232</v>
      </c>
      <c r="HD292" s="35" t="s">
        <v>5297</v>
      </c>
      <c r="HE292" s="35" t="s">
        <v>5298</v>
      </c>
      <c r="HF292" s="35" t="s">
        <v>5320</v>
      </c>
      <c r="HG292" s="35" t="s">
        <v>5284</v>
      </c>
      <c r="HP292" s="35" t="s">
        <v>5236</v>
      </c>
      <c r="HQ292" s="35" t="s">
        <v>5302</v>
      </c>
      <c r="HR292" s="35" t="s">
        <v>5238</v>
      </c>
      <c r="HS292" s="35" t="s">
        <v>913</v>
      </c>
      <c r="HX292" s="35" t="s">
        <v>5499</v>
      </c>
      <c r="MK292" s="35" t="s">
        <v>6321</v>
      </c>
    </row>
    <row r="293">
      <c r="A293" s="35" t="s">
        <v>11580</v>
      </c>
      <c r="B293" s="40">
        <v>46122.943459120375</v>
      </c>
      <c r="C293" s="35" t="s">
        <v>368</v>
      </c>
      <c r="D293" s="35" t="s">
        <v>370</v>
      </c>
      <c r="E293" s="35" t="s">
        <v>370</v>
      </c>
      <c r="F293" s="35" t="s">
        <v>2195</v>
      </c>
      <c r="G293" s="35" t="s">
        <v>2195</v>
      </c>
      <c r="H293" s="35" t="s">
        <v>422</v>
      </c>
      <c r="I293" s="35" t="s">
        <v>637</v>
      </c>
      <c r="J293" s="35" t="s">
        <v>638</v>
      </c>
      <c r="K293" s="35" t="s">
        <v>425</v>
      </c>
      <c r="L293" s="35" t="s">
        <v>376</v>
      </c>
      <c r="M293" s="35" t="s">
        <v>377</v>
      </c>
      <c r="N293" s="35" t="s">
        <v>2464</v>
      </c>
      <c r="O293" s="35" t="s">
        <v>377</v>
      </c>
      <c r="P293" s="35" t="s">
        <v>1024</v>
      </c>
      <c r="Q293" s="35" t="s">
        <v>381</v>
      </c>
      <c r="R293" s="35" t="s">
        <v>382</v>
      </c>
      <c r="S293" s="35" t="s">
        <v>427</v>
      </c>
      <c r="T293" s="35" t="s">
        <v>384</v>
      </c>
      <c r="U293" s="35" t="s">
        <v>385</v>
      </c>
      <c r="X293" s="35" t="s">
        <v>3014</v>
      </c>
      <c r="AW293" s="35" t="s">
        <v>504</v>
      </c>
      <c r="AX293" s="35" t="s">
        <v>429</v>
      </c>
      <c r="AY293" s="35" t="s">
        <v>429</v>
      </c>
      <c r="AZ293" s="35" t="s">
        <v>429</v>
      </c>
      <c r="BA293" s="35" t="s">
        <v>429</v>
      </c>
      <c r="BB293" s="35" t="s">
        <v>429</v>
      </c>
      <c r="BC293" s="35" t="s">
        <v>429</v>
      </c>
      <c r="BD293" s="35" t="s">
        <v>9557</v>
      </c>
      <c r="BE293" s="35" t="s">
        <v>9558</v>
      </c>
      <c r="BF293" s="35" t="s">
        <v>392</v>
      </c>
      <c r="BG293" s="35" t="s">
        <v>433</v>
      </c>
      <c r="BH293" s="35" t="s">
        <v>678</v>
      </c>
      <c r="BI293" s="35" t="s">
        <v>9559</v>
      </c>
      <c r="BJ293" s="35" t="s">
        <v>509</v>
      </c>
      <c r="BK293" s="35" t="s">
        <v>9560</v>
      </c>
      <c r="BL293" s="35" t="s">
        <v>511</v>
      </c>
      <c r="BM293" s="35" t="s">
        <v>512</v>
      </c>
      <c r="BN293" s="35" t="s">
        <v>439</v>
      </c>
      <c r="BO293" s="35" t="s">
        <v>513</v>
      </c>
      <c r="CM293" s="35" t="s">
        <v>441</v>
      </c>
      <c r="CN293" s="35" t="s">
        <v>442</v>
      </c>
      <c r="CO293" s="35" t="s">
        <v>9561</v>
      </c>
      <c r="CP293" s="35" t="s">
        <v>9562</v>
      </c>
      <c r="CQ293" s="35" t="s">
        <v>445</v>
      </c>
      <c r="CR293" s="35" t="s">
        <v>9563</v>
      </c>
      <c r="CS293" s="35" t="s">
        <v>404</v>
      </c>
      <c r="CT293" s="35" t="s">
        <v>9564</v>
      </c>
      <c r="CU293" s="35" t="s">
        <v>9565</v>
      </c>
      <c r="CV293" s="35" t="s">
        <v>450</v>
      </c>
      <c r="CW293" s="35" t="s">
        <v>451</v>
      </c>
      <c r="CX293" s="35" t="s">
        <v>9566</v>
      </c>
      <c r="CY293" s="35" t="s">
        <v>408</v>
      </c>
      <c r="DA293" s="35" t="s">
        <v>453</v>
      </c>
      <c r="DB293" s="35" t="s">
        <v>9567</v>
      </c>
      <c r="DC293" s="35" t="s">
        <v>455</v>
      </c>
      <c r="DD293" s="35" t="s">
        <v>9568</v>
      </c>
      <c r="DE293" s="35" t="s">
        <v>406</v>
      </c>
      <c r="DF293" s="35" t="s">
        <v>407</v>
      </c>
      <c r="DG293" s="35" t="s">
        <v>9569</v>
      </c>
      <c r="DH293" s="35" t="s">
        <v>524</v>
      </c>
      <c r="DI293" s="35" t="s">
        <v>410</v>
      </c>
      <c r="DJ293" s="35" t="s">
        <v>459</v>
      </c>
      <c r="DK293" s="35" t="s">
        <v>460</v>
      </c>
      <c r="DL293" s="35" t="s">
        <v>6335</v>
      </c>
      <c r="EU293" s="35" t="s">
        <v>526</v>
      </c>
      <c r="EV293" s="35" t="s">
        <v>479</v>
      </c>
      <c r="EW293" s="35" t="s">
        <v>527</v>
      </c>
      <c r="EX293" s="35" t="s">
        <v>9570</v>
      </c>
      <c r="EY293" s="35" t="s">
        <v>9571</v>
      </c>
      <c r="EZ293" s="35" t="s">
        <v>9572</v>
      </c>
      <c r="FA293" s="35" t="s">
        <v>413</v>
      </c>
      <c r="FB293" s="35" t="s">
        <v>416</v>
      </c>
      <c r="FC293" s="35" t="s">
        <v>413</v>
      </c>
      <c r="FD293" s="35" t="s">
        <v>413</v>
      </c>
      <c r="FE293" s="35" t="s">
        <v>413</v>
      </c>
      <c r="FF293" s="35" t="s">
        <v>413</v>
      </c>
      <c r="FG293" s="35" t="s">
        <v>413</v>
      </c>
      <c r="FH293" s="35" t="s">
        <v>413</v>
      </c>
      <c r="FI293" s="35" t="s">
        <v>413</v>
      </c>
      <c r="FJ293" s="35" t="s">
        <v>583</v>
      </c>
      <c r="FK293" s="35" t="s">
        <v>413</v>
      </c>
      <c r="FL293" s="35" t="s">
        <v>414</v>
      </c>
      <c r="FM293" s="35" t="s">
        <v>414</v>
      </c>
      <c r="FN293" s="35" t="s">
        <v>414</v>
      </c>
      <c r="FO293" s="35" t="s">
        <v>414</v>
      </c>
      <c r="FP293" s="35" t="s">
        <v>417</v>
      </c>
      <c r="FQ293" s="35" t="s">
        <v>418</v>
      </c>
      <c r="FR293" s="35" t="s">
        <v>1039</v>
      </c>
      <c r="FS293" s="35" t="s">
        <v>9573</v>
      </c>
      <c r="FT293" s="35" t="s">
        <v>420</v>
      </c>
      <c r="FU293" s="35" t="s">
        <v>488</v>
      </c>
      <c r="FV293" s="35" t="s">
        <v>489</v>
      </c>
      <c r="FW293" s="35" t="s">
        <v>490</v>
      </c>
      <c r="FX293" s="35" t="s">
        <v>491</v>
      </c>
      <c r="FY293" s="35" t="s">
        <v>9574</v>
      </c>
      <c r="FZ293" s="35" t="s">
        <v>535</v>
      </c>
      <c r="GB293" s="35" t="s">
        <v>9575</v>
      </c>
      <c r="GC293" s="35" t="s">
        <v>455</v>
      </c>
      <c r="GD293" s="35" t="s">
        <v>11581</v>
      </c>
      <c r="GF293" s="35" t="s">
        <v>753</v>
      </c>
      <c r="GG293" s="35" t="s">
        <v>9576</v>
      </c>
      <c r="GH293" s="35" t="s">
        <v>755</v>
      </c>
      <c r="GI293" s="35" t="s">
        <v>755</v>
      </c>
      <c r="GJ293" s="35" t="s">
        <v>946</v>
      </c>
      <c r="GR293" s="35" t="s">
        <v>4653</v>
      </c>
      <c r="GU293" s="35" t="s">
        <v>5170</v>
      </c>
      <c r="GV293" s="35" t="s">
        <v>9577</v>
      </c>
      <c r="GW293" s="35" t="s">
        <v>5231</v>
      </c>
      <c r="GX293" s="35" t="s">
        <v>5232</v>
      </c>
      <c r="HD293" s="35" t="s">
        <v>5297</v>
      </c>
      <c r="HE293" s="35" t="s">
        <v>5349</v>
      </c>
      <c r="HF293" s="35" t="s">
        <v>5320</v>
      </c>
      <c r="HG293" s="35" t="s">
        <v>5300</v>
      </c>
      <c r="HP293" s="35" t="s">
        <v>5301</v>
      </c>
      <c r="HQ293" s="35" t="s">
        <v>5719</v>
      </c>
      <c r="HR293" s="35" t="s">
        <v>5238</v>
      </c>
      <c r="HS293" s="35" t="s">
        <v>5321</v>
      </c>
      <c r="HX293" s="35" t="s">
        <v>9578</v>
      </c>
      <c r="MK293" s="35" t="s">
        <v>6321</v>
      </c>
    </row>
    <row r="294">
      <c r="A294" s="35" t="s">
        <v>11582</v>
      </c>
      <c r="B294" s="40">
        <v>46124.27076814815</v>
      </c>
      <c r="C294" s="35" t="s">
        <v>368</v>
      </c>
      <c r="D294" s="35" t="s">
        <v>1341</v>
      </c>
      <c r="E294" s="35" t="s">
        <v>1341</v>
      </c>
      <c r="H294" s="35" t="s">
        <v>422</v>
      </c>
      <c r="I294" s="35" t="s">
        <v>539</v>
      </c>
      <c r="J294" s="35" t="s">
        <v>424</v>
      </c>
      <c r="K294" s="35" t="s">
        <v>718</v>
      </c>
      <c r="L294" s="35" t="s">
        <v>376</v>
      </c>
      <c r="S294" s="35" t="s">
        <v>427</v>
      </c>
      <c r="T294" s="35" t="s">
        <v>384</v>
      </c>
      <c r="U294" s="35" t="s">
        <v>385</v>
      </c>
      <c r="X294" s="35" t="s">
        <v>3014</v>
      </c>
      <c r="AW294" s="35" t="s">
        <v>1310</v>
      </c>
      <c r="AX294" s="35" t="s">
        <v>675</v>
      </c>
      <c r="AY294" s="41">
        <v>4.0</v>
      </c>
      <c r="AZ294" s="35" t="s">
        <v>429</v>
      </c>
      <c r="BA294" s="35" t="s">
        <v>429</v>
      </c>
      <c r="BB294" s="35" t="s">
        <v>429</v>
      </c>
      <c r="BC294" s="41">
        <v>4.0</v>
      </c>
      <c r="BD294" s="35" t="s">
        <v>9639</v>
      </c>
      <c r="BE294" s="35" t="s">
        <v>9640</v>
      </c>
      <c r="BF294" s="35" t="s">
        <v>2379</v>
      </c>
      <c r="BG294" s="35" t="s">
        <v>1095</v>
      </c>
      <c r="BH294" s="35" t="s">
        <v>765</v>
      </c>
      <c r="BJ294" s="35" t="s">
        <v>727</v>
      </c>
      <c r="BL294" s="35" t="s">
        <v>511</v>
      </c>
      <c r="BM294" s="35" t="s">
        <v>438</v>
      </c>
      <c r="BN294" s="35" t="s">
        <v>1247</v>
      </c>
      <c r="BO294" s="35" t="s">
        <v>513</v>
      </c>
      <c r="CM294" s="35" t="s">
        <v>682</v>
      </c>
      <c r="CN294" s="35" t="s">
        <v>604</v>
      </c>
      <c r="CO294" s="35" t="s">
        <v>8920</v>
      </c>
      <c r="CP294" s="35" t="s">
        <v>9641</v>
      </c>
      <c r="CV294" s="35" t="s">
        <v>982</v>
      </c>
      <c r="CW294" s="35" t="s">
        <v>959</v>
      </c>
      <c r="DH294" s="35" t="s">
        <v>990</v>
      </c>
      <c r="DJ294" s="35" t="s">
        <v>963</v>
      </c>
      <c r="FP294" s="35" t="s">
        <v>1537</v>
      </c>
      <c r="FQ294" s="35" t="s">
        <v>3218</v>
      </c>
      <c r="FR294" s="35" t="s">
        <v>419</v>
      </c>
      <c r="FT294" s="35" t="s">
        <v>1871</v>
      </c>
      <c r="FV294" s="35" t="s">
        <v>1235</v>
      </c>
      <c r="GH294" s="35" t="s">
        <v>755</v>
      </c>
      <c r="GO294" s="35" t="s">
        <v>1341</v>
      </c>
      <c r="GU294" s="35" t="s">
        <v>4774</v>
      </c>
      <c r="GW294" s="35" t="s">
        <v>5231</v>
      </c>
      <c r="HT294" s="35" t="s">
        <v>5987</v>
      </c>
      <c r="HV294" s="35" t="s">
        <v>5988</v>
      </c>
      <c r="HW294" s="35" t="s">
        <v>5918</v>
      </c>
      <c r="HY294" s="35" t="s">
        <v>5922</v>
      </c>
      <c r="HZ294" s="35" t="s">
        <v>5919</v>
      </c>
      <c r="IA294" s="35" t="s">
        <v>5921</v>
      </c>
      <c r="IB294" s="35" t="s">
        <v>6464</v>
      </c>
      <c r="IC294" s="35" t="s">
        <v>5921</v>
      </c>
      <c r="ID294" s="35" t="s">
        <v>5922</v>
      </c>
      <c r="IE294" s="35" t="s">
        <v>5536</v>
      </c>
      <c r="IF294" s="35" t="s">
        <v>5989</v>
      </c>
      <c r="IG294" s="35" t="s">
        <v>5536</v>
      </c>
      <c r="IH294" s="35" t="s">
        <v>6522</v>
      </c>
      <c r="II294" s="35" t="s">
        <v>6522</v>
      </c>
      <c r="IJ294" s="35" t="s">
        <v>5500</v>
      </c>
      <c r="IL294" s="35" t="s">
        <v>7126</v>
      </c>
      <c r="MK294" s="35" t="s">
        <v>6321</v>
      </c>
    </row>
    <row r="295">
      <c r="A295" s="35" t="s">
        <v>11583</v>
      </c>
      <c r="B295" s="40">
        <v>46124.78037094907</v>
      </c>
      <c r="C295" s="35" t="s">
        <v>368</v>
      </c>
      <c r="D295" s="35" t="s">
        <v>370</v>
      </c>
      <c r="E295" s="35" t="s">
        <v>370</v>
      </c>
      <c r="F295" s="35" t="s">
        <v>371</v>
      </c>
      <c r="G295" s="35" t="s">
        <v>371</v>
      </c>
      <c r="H295" s="35" t="s">
        <v>422</v>
      </c>
      <c r="I295" s="35" t="s">
        <v>1921</v>
      </c>
      <c r="J295" s="35" t="s">
        <v>668</v>
      </c>
      <c r="K295" s="35" t="s">
        <v>425</v>
      </c>
      <c r="L295" s="35" t="s">
        <v>376</v>
      </c>
      <c r="M295" s="35" t="s">
        <v>426</v>
      </c>
      <c r="N295" s="35" t="s">
        <v>378</v>
      </c>
      <c r="O295" s="35" t="s">
        <v>426</v>
      </c>
      <c r="P295" s="35" t="s">
        <v>9642</v>
      </c>
      <c r="Q295" s="35" t="s">
        <v>592</v>
      </c>
      <c r="R295" s="35" t="s">
        <v>499</v>
      </c>
      <c r="S295" s="35" t="s">
        <v>641</v>
      </c>
      <c r="T295" s="35" t="s">
        <v>384</v>
      </c>
      <c r="U295" s="35" t="s">
        <v>385</v>
      </c>
      <c r="X295" s="35" t="s">
        <v>386</v>
      </c>
      <c r="Y295" s="35" t="s">
        <v>387</v>
      </c>
      <c r="Z295" s="35" t="s">
        <v>1824</v>
      </c>
      <c r="AA295" s="35" t="s">
        <v>543</v>
      </c>
      <c r="AW295" s="35" t="s">
        <v>390</v>
      </c>
      <c r="AX295" s="35" t="s">
        <v>391</v>
      </c>
      <c r="AY295" s="35" t="s">
        <v>391</v>
      </c>
      <c r="AZ295" s="41">
        <v>2.0</v>
      </c>
      <c r="BA295" s="41">
        <v>2.0</v>
      </c>
      <c r="BB295" s="35" t="s">
        <v>429</v>
      </c>
      <c r="BC295" s="41">
        <v>2.0</v>
      </c>
      <c r="BF295" s="35" t="s">
        <v>2379</v>
      </c>
      <c r="BG295" s="35" t="s">
        <v>1095</v>
      </c>
      <c r="BH295" s="35" t="s">
        <v>678</v>
      </c>
      <c r="BJ295" s="35" t="s">
        <v>727</v>
      </c>
      <c r="BL295" s="35" t="s">
        <v>681</v>
      </c>
      <c r="BM295" s="35" t="s">
        <v>512</v>
      </c>
      <c r="BN295" s="35" t="s">
        <v>1276</v>
      </c>
      <c r="BO295" s="35" t="s">
        <v>513</v>
      </c>
      <c r="CM295" s="35" t="s">
        <v>441</v>
      </c>
      <c r="CN295" s="35" t="s">
        <v>401</v>
      </c>
      <c r="CO295" s="35" t="s">
        <v>1313</v>
      </c>
      <c r="CP295" s="35" t="s">
        <v>9643</v>
      </c>
      <c r="CQ295" s="35" t="s">
        <v>1008</v>
      </c>
      <c r="CR295" s="35" t="s">
        <v>1467</v>
      </c>
      <c r="CS295" s="35" t="s">
        <v>447</v>
      </c>
      <c r="CT295" s="35" t="s">
        <v>4693</v>
      </c>
      <c r="CV295" s="35" t="s">
        <v>450</v>
      </c>
      <c r="CW295" s="35" t="s">
        <v>451</v>
      </c>
      <c r="CX295" s="35" t="s">
        <v>9644</v>
      </c>
      <c r="CY295" s="35" t="s">
        <v>408</v>
      </c>
      <c r="DA295" s="35" t="s">
        <v>985</v>
      </c>
      <c r="DC295" s="35" t="s">
        <v>408</v>
      </c>
      <c r="DE295" s="35" t="s">
        <v>988</v>
      </c>
      <c r="DF295" s="35" t="s">
        <v>407</v>
      </c>
      <c r="DH295" s="35" t="s">
        <v>524</v>
      </c>
      <c r="DI295" s="35" t="s">
        <v>410</v>
      </c>
      <c r="DJ295" s="35" t="s">
        <v>963</v>
      </c>
      <c r="DK295" s="35" t="s">
        <v>562</v>
      </c>
      <c r="DL295" s="35" t="s">
        <v>6603</v>
      </c>
      <c r="DM295" s="35" t="s">
        <v>9645</v>
      </c>
      <c r="EU295" s="35" t="s">
        <v>478</v>
      </c>
      <c r="EV295" s="35" t="s">
        <v>479</v>
      </c>
      <c r="EW295" s="35" t="s">
        <v>480</v>
      </c>
      <c r="EX295" s="35" t="s">
        <v>9646</v>
      </c>
      <c r="FA295" s="35" t="s">
        <v>413</v>
      </c>
      <c r="FB295" s="35" t="s">
        <v>413</v>
      </c>
      <c r="FC295" s="35" t="s">
        <v>413</v>
      </c>
      <c r="FD295" s="35" t="s">
        <v>413</v>
      </c>
      <c r="FE295" s="35" t="s">
        <v>413</v>
      </c>
      <c r="FF295" s="35" t="s">
        <v>413</v>
      </c>
      <c r="FG295" s="35" t="s">
        <v>413</v>
      </c>
      <c r="FH295" s="35" t="s">
        <v>413</v>
      </c>
      <c r="FI295" s="35" t="s">
        <v>413</v>
      </c>
      <c r="FJ295" s="35" t="s">
        <v>413</v>
      </c>
      <c r="FK295" s="35" t="s">
        <v>413</v>
      </c>
      <c r="FL295" s="35" t="s">
        <v>413</v>
      </c>
      <c r="FM295" s="35" t="s">
        <v>413</v>
      </c>
      <c r="FN295" s="35" t="s">
        <v>413</v>
      </c>
      <c r="FO295" s="35" t="s">
        <v>413</v>
      </c>
      <c r="FP295" s="35" t="s">
        <v>417</v>
      </c>
      <c r="FQ295" s="35" t="s">
        <v>418</v>
      </c>
      <c r="FR295" s="35" t="s">
        <v>419</v>
      </c>
      <c r="FT295" s="35" t="s">
        <v>420</v>
      </c>
      <c r="FU295" s="35" t="s">
        <v>488</v>
      </c>
      <c r="FV295" s="35" t="s">
        <v>918</v>
      </c>
      <c r="FW295" s="35" t="s">
        <v>490</v>
      </c>
      <c r="FX295" s="35" t="s">
        <v>491</v>
      </c>
      <c r="FZ295" s="35" t="s">
        <v>535</v>
      </c>
      <c r="GA295" s="35" t="s">
        <v>9647</v>
      </c>
      <c r="GC295" s="35" t="s">
        <v>455</v>
      </c>
      <c r="GD295" s="35" t="s">
        <v>11584</v>
      </c>
      <c r="GF295" s="35" t="s">
        <v>753</v>
      </c>
      <c r="GH295" s="35" t="s">
        <v>857</v>
      </c>
      <c r="GI295" s="35" t="s">
        <v>857</v>
      </c>
      <c r="GJ295" s="35" t="s">
        <v>790</v>
      </c>
      <c r="GR295" s="35" t="s">
        <v>6251</v>
      </c>
      <c r="GU295" s="35" t="s">
        <v>5318</v>
      </c>
      <c r="GW295" s="35" t="s">
        <v>5231</v>
      </c>
      <c r="GX295" s="35" t="s">
        <v>5232</v>
      </c>
      <c r="HD295" s="35" t="s">
        <v>5297</v>
      </c>
      <c r="HE295" s="35" t="s">
        <v>5349</v>
      </c>
      <c r="HF295" s="35" t="s">
        <v>5320</v>
      </c>
      <c r="HG295" s="35" t="s">
        <v>5300</v>
      </c>
      <c r="HP295" s="35" t="s">
        <v>5301</v>
      </c>
      <c r="HQ295" s="35" t="s">
        <v>5264</v>
      </c>
      <c r="HR295" s="35" t="s">
        <v>5238</v>
      </c>
      <c r="HS295" s="35" t="s">
        <v>9648</v>
      </c>
      <c r="HX295" s="35" t="s">
        <v>5501</v>
      </c>
      <c r="MK295" s="35" t="s">
        <v>6321</v>
      </c>
    </row>
    <row r="296">
      <c r="A296" s="35" t="s">
        <v>11585</v>
      </c>
      <c r="B296" s="40">
        <v>46125.61132210648</v>
      </c>
      <c r="C296" s="35" t="s">
        <v>368</v>
      </c>
      <c r="D296" s="35" t="s">
        <v>538</v>
      </c>
      <c r="E296" s="35" t="s">
        <v>538</v>
      </c>
      <c r="H296" s="35" t="s">
        <v>636</v>
      </c>
      <c r="I296" s="35" t="s">
        <v>637</v>
      </c>
      <c r="J296" s="35" t="s">
        <v>638</v>
      </c>
      <c r="K296" s="35" t="s">
        <v>540</v>
      </c>
      <c r="L296" s="35" t="s">
        <v>376</v>
      </c>
      <c r="M296" s="35" t="s">
        <v>377</v>
      </c>
      <c r="N296" s="35" t="s">
        <v>541</v>
      </c>
      <c r="O296" s="35" t="s">
        <v>793</v>
      </c>
      <c r="P296" s="35" t="s">
        <v>639</v>
      </c>
      <c r="Q296" s="35" t="s">
        <v>592</v>
      </c>
      <c r="R296" s="35" t="s">
        <v>1004</v>
      </c>
      <c r="S296" s="35" t="s">
        <v>500</v>
      </c>
      <c r="T296" s="35" t="s">
        <v>384</v>
      </c>
      <c r="U296" s="35" t="s">
        <v>385</v>
      </c>
      <c r="X296" s="35" t="s">
        <v>3231</v>
      </c>
      <c r="AW296" s="35" t="s">
        <v>1242</v>
      </c>
      <c r="AX296" s="35" t="s">
        <v>675</v>
      </c>
      <c r="AY296" s="35" t="s">
        <v>675</v>
      </c>
      <c r="AZ296" s="41">
        <v>4.0</v>
      </c>
      <c r="BA296" s="35" t="s">
        <v>391</v>
      </c>
      <c r="BB296" s="35" t="s">
        <v>429</v>
      </c>
      <c r="BC296" s="35" t="s">
        <v>675</v>
      </c>
      <c r="BD296" s="35" t="s">
        <v>9649</v>
      </c>
      <c r="BE296" s="35" t="s">
        <v>9650</v>
      </c>
      <c r="BF296" s="35" t="s">
        <v>2379</v>
      </c>
      <c r="BG296" s="35" t="s">
        <v>1245</v>
      </c>
      <c r="BH296" s="35" t="s">
        <v>678</v>
      </c>
      <c r="BI296" s="35" t="s">
        <v>9651</v>
      </c>
      <c r="BJ296" s="35" t="s">
        <v>976</v>
      </c>
      <c r="BK296" s="35" t="s">
        <v>9652</v>
      </c>
      <c r="BL296" s="35" t="s">
        <v>681</v>
      </c>
      <c r="BM296" s="35" t="s">
        <v>603</v>
      </c>
      <c r="BN296" s="35" t="s">
        <v>1314</v>
      </c>
      <c r="BO296" s="35" t="s">
        <v>513</v>
      </c>
      <c r="CM296" s="35" t="s">
        <v>441</v>
      </c>
      <c r="CN296" s="35" t="s">
        <v>604</v>
      </c>
      <c r="CO296" s="35" t="s">
        <v>9653</v>
      </c>
      <c r="CP296" s="35" t="s">
        <v>9654</v>
      </c>
      <c r="CQ296" s="35" t="s">
        <v>445</v>
      </c>
      <c r="CR296" s="35" t="s">
        <v>9655</v>
      </c>
      <c r="CS296" s="35" t="s">
        <v>555</v>
      </c>
      <c r="CT296" s="35" t="s">
        <v>9656</v>
      </c>
      <c r="CU296" s="35" t="s">
        <v>9657</v>
      </c>
      <c r="CV296" s="35" t="s">
        <v>3167</v>
      </c>
      <c r="CW296" s="35" t="s">
        <v>1931</v>
      </c>
      <c r="CX296" s="35" t="s">
        <v>9658</v>
      </c>
      <c r="CY296" s="35" t="s">
        <v>408</v>
      </c>
      <c r="DA296" s="35" t="s">
        <v>453</v>
      </c>
      <c r="DB296" s="35" t="s">
        <v>9659</v>
      </c>
      <c r="DC296" s="35" t="s">
        <v>408</v>
      </c>
      <c r="DE296" s="35" t="s">
        <v>457</v>
      </c>
      <c r="DG296" s="35" t="s">
        <v>9660</v>
      </c>
      <c r="DH296" s="35" t="s">
        <v>693</v>
      </c>
      <c r="DI296" s="35" t="s">
        <v>833</v>
      </c>
      <c r="DJ296" s="35" t="s">
        <v>459</v>
      </c>
      <c r="DK296" s="35" t="s">
        <v>562</v>
      </c>
      <c r="DL296" s="35" t="s">
        <v>6335</v>
      </c>
      <c r="EU296" s="35" t="s">
        <v>2747</v>
      </c>
      <c r="EV296" s="35" t="s">
        <v>1037</v>
      </c>
      <c r="EW296" s="35" t="s">
        <v>1534</v>
      </c>
      <c r="EX296" s="35" t="s">
        <v>9661</v>
      </c>
      <c r="EY296" s="35" t="s">
        <v>9662</v>
      </c>
      <c r="EZ296" s="35" t="s">
        <v>9663</v>
      </c>
      <c r="FA296" s="35" t="s">
        <v>583</v>
      </c>
      <c r="FB296" s="35" t="s">
        <v>583</v>
      </c>
      <c r="FC296" s="35" t="s">
        <v>583</v>
      </c>
      <c r="FD296" s="35" t="s">
        <v>583</v>
      </c>
      <c r="FE296" s="35" t="s">
        <v>413</v>
      </c>
      <c r="FF296" s="35" t="s">
        <v>583</v>
      </c>
      <c r="FG296" s="35" t="s">
        <v>583</v>
      </c>
      <c r="FH296" s="35" t="s">
        <v>583</v>
      </c>
      <c r="FI296" s="35" t="s">
        <v>583</v>
      </c>
      <c r="FJ296" s="35" t="s">
        <v>583</v>
      </c>
      <c r="FK296" s="35" t="s">
        <v>415</v>
      </c>
      <c r="FL296" s="35" t="s">
        <v>414</v>
      </c>
      <c r="FM296" s="35" t="s">
        <v>414</v>
      </c>
      <c r="FN296" s="35" t="s">
        <v>583</v>
      </c>
      <c r="FO296" s="35" t="s">
        <v>583</v>
      </c>
      <c r="FP296" s="35" t="s">
        <v>1537</v>
      </c>
      <c r="FQ296" s="35" t="s">
        <v>486</v>
      </c>
      <c r="FR296" s="35" t="s">
        <v>419</v>
      </c>
      <c r="FS296" s="35" t="s">
        <v>9664</v>
      </c>
      <c r="FT296" s="35" t="s">
        <v>1871</v>
      </c>
      <c r="FU296" s="35" t="s">
        <v>1462</v>
      </c>
      <c r="FW296" s="35" t="s">
        <v>2136</v>
      </c>
      <c r="FX296" s="35" t="s">
        <v>1853</v>
      </c>
      <c r="FY296" s="35" t="s">
        <v>9665</v>
      </c>
      <c r="FZ296" s="35" t="s">
        <v>1854</v>
      </c>
      <c r="GC296" s="35" t="s">
        <v>455</v>
      </c>
      <c r="GD296" s="35" t="s">
        <v>11586</v>
      </c>
      <c r="GF296" s="35" t="s">
        <v>944</v>
      </c>
      <c r="GG296" s="35" t="s">
        <v>9666</v>
      </c>
      <c r="GH296" s="35" t="s">
        <v>755</v>
      </c>
      <c r="GI296" s="35" t="s">
        <v>755</v>
      </c>
      <c r="GJ296" s="35" t="s">
        <v>817</v>
      </c>
      <c r="GQ296" s="35" t="s">
        <v>9667</v>
      </c>
      <c r="GR296" s="35" t="s">
        <v>3306</v>
      </c>
      <c r="GU296" s="35" t="s">
        <v>4774</v>
      </c>
      <c r="GW296" s="35" t="s">
        <v>5231</v>
      </c>
      <c r="GX296" s="35" t="s">
        <v>5232</v>
      </c>
      <c r="HD296" s="35" t="s">
        <v>5281</v>
      </c>
      <c r="HE296" s="35" t="s">
        <v>5382</v>
      </c>
      <c r="HF296" s="35" t="s">
        <v>5299</v>
      </c>
      <c r="HG296" s="35" t="s">
        <v>5284</v>
      </c>
      <c r="HP296" s="35" t="s">
        <v>5285</v>
      </c>
      <c r="HQ296" s="35" t="s">
        <v>5302</v>
      </c>
      <c r="HR296" s="35" t="s">
        <v>5721</v>
      </c>
      <c r="HS296" s="35" t="s">
        <v>5287</v>
      </c>
      <c r="HX296" s="35" t="s">
        <v>6789</v>
      </c>
      <c r="MK296" s="35" t="s">
        <v>6321</v>
      </c>
    </row>
    <row r="297">
      <c r="A297" s="35" t="s">
        <v>11587</v>
      </c>
      <c r="B297" s="40">
        <v>46129.64641299768</v>
      </c>
      <c r="C297" s="35" t="s">
        <v>368</v>
      </c>
      <c r="D297" s="35" t="s">
        <v>370</v>
      </c>
      <c r="E297" s="35" t="s">
        <v>370</v>
      </c>
      <c r="F297" s="35" t="s">
        <v>371</v>
      </c>
      <c r="G297" s="35" t="s">
        <v>2400</v>
      </c>
      <c r="H297" s="35" t="s">
        <v>422</v>
      </c>
      <c r="I297" s="35" t="s">
        <v>1921</v>
      </c>
      <c r="J297" s="35" t="s">
        <v>668</v>
      </c>
      <c r="K297" s="35" t="s">
        <v>425</v>
      </c>
      <c r="L297" s="35" t="s">
        <v>376</v>
      </c>
      <c r="M297" s="35" t="s">
        <v>591</v>
      </c>
      <c r="N297" s="35" t="s">
        <v>378</v>
      </c>
      <c r="O297" s="35" t="s">
        <v>379</v>
      </c>
      <c r="P297" s="35" t="s">
        <v>497</v>
      </c>
      <c r="Q297" s="35" t="s">
        <v>381</v>
      </c>
      <c r="R297" s="35" t="s">
        <v>382</v>
      </c>
      <c r="S297" s="35" t="s">
        <v>427</v>
      </c>
      <c r="T297" s="35" t="s">
        <v>384</v>
      </c>
      <c r="U297" s="35" t="s">
        <v>385</v>
      </c>
      <c r="X297" s="35" t="s">
        <v>3014</v>
      </c>
      <c r="AW297" s="35" t="s">
        <v>597</v>
      </c>
      <c r="AX297" s="41">
        <v>4.0</v>
      </c>
      <c r="AY297" s="35" t="s">
        <v>391</v>
      </c>
      <c r="AZ297" s="35" t="s">
        <v>391</v>
      </c>
      <c r="BA297" s="35" t="s">
        <v>675</v>
      </c>
      <c r="BB297" s="41">
        <v>4.0</v>
      </c>
      <c r="BC297" s="41">
        <v>4.0</v>
      </c>
      <c r="BF297" s="35" t="s">
        <v>902</v>
      </c>
      <c r="BG297" s="35" t="s">
        <v>393</v>
      </c>
      <c r="BH297" s="35" t="s">
        <v>725</v>
      </c>
      <c r="BJ297" s="35" t="s">
        <v>435</v>
      </c>
      <c r="BL297" s="35" t="s">
        <v>395</v>
      </c>
      <c r="BM297" s="35" t="s">
        <v>438</v>
      </c>
      <c r="BN297" s="35" t="s">
        <v>397</v>
      </c>
      <c r="BO297" s="35" t="s">
        <v>513</v>
      </c>
      <c r="CM297" s="35" t="s">
        <v>682</v>
      </c>
      <c r="CN297" s="35" t="s">
        <v>551</v>
      </c>
      <c r="CV297" s="35" t="s">
        <v>1863</v>
      </c>
      <c r="CW297" s="35" t="s">
        <v>959</v>
      </c>
      <c r="CY297" s="35" t="s">
        <v>455</v>
      </c>
      <c r="DA297" s="35" t="s">
        <v>1962</v>
      </c>
      <c r="DC297" s="35" t="s">
        <v>408</v>
      </c>
      <c r="DH297" s="35" t="s">
        <v>990</v>
      </c>
      <c r="DI297" s="35" t="s">
        <v>1220</v>
      </c>
      <c r="DJ297" s="35" t="s">
        <v>963</v>
      </c>
      <c r="DK297" s="35" t="s">
        <v>613</v>
      </c>
      <c r="EU297" s="35" t="s">
        <v>478</v>
      </c>
      <c r="EV297" s="35" t="s">
        <v>887</v>
      </c>
      <c r="EW297" s="35" t="s">
        <v>580</v>
      </c>
      <c r="FA297" s="35" t="s">
        <v>583</v>
      </c>
      <c r="FB297" s="35" t="s">
        <v>583</v>
      </c>
      <c r="FD297" s="35" t="s">
        <v>583</v>
      </c>
      <c r="FE297" s="35" t="s">
        <v>414</v>
      </c>
      <c r="FF297" s="35" t="s">
        <v>583</v>
      </c>
      <c r="FG297" s="35" t="s">
        <v>415</v>
      </c>
      <c r="FH297" s="35" t="s">
        <v>415</v>
      </c>
      <c r="FI297" s="35" t="s">
        <v>415</v>
      </c>
      <c r="FJ297" s="35" t="s">
        <v>583</v>
      </c>
      <c r="FK297" s="35" t="s">
        <v>583</v>
      </c>
      <c r="FL297" s="35" t="s">
        <v>415</v>
      </c>
      <c r="FM297" s="35" t="s">
        <v>415</v>
      </c>
      <c r="FN297" s="35" t="s">
        <v>583</v>
      </c>
      <c r="FO297" s="35" t="s">
        <v>415</v>
      </c>
      <c r="FP297" s="35" t="s">
        <v>1537</v>
      </c>
      <c r="FQ297" s="35" t="s">
        <v>2524</v>
      </c>
      <c r="FR297" s="35" t="s">
        <v>419</v>
      </c>
      <c r="FT297" s="35" t="s">
        <v>1871</v>
      </c>
      <c r="FU297" s="35" t="s">
        <v>2750</v>
      </c>
      <c r="FV297" s="35" t="s">
        <v>489</v>
      </c>
      <c r="FX297" s="35" t="s">
        <v>1853</v>
      </c>
      <c r="FZ297" s="35" t="s">
        <v>1337</v>
      </c>
      <c r="GC297" s="35" t="s">
        <v>408</v>
      </c>
      <c r="GH297" s="35" t="s">
        <v>788</v>
      </c>
      <c r="GI297" s="35" t="s">
        <v>789</v>
      </c>
      <c r="GJ297" s="35" t="s">
        <v>921</v>
      </c>
      <c r="GR297" s="35" t="s">
        <v>3208</v>
      </c>
      <c r="GW297" s="35" t="s">
        <v>5231</v>
      </c>
      <c r="GX297" s="35" t="s">
        <v>5232</v>
      </c>
      <c r="HP297" s="35" t="s">
        <v>5236</v>
      </c>
      <c r="HQ297" s="35" t="s">
        <v>5237</v>
      </c>
      <c r="HR297" s="35" t="s">
        <v>5801</v>
      </c>
      <c r="HS297" s="35" t="s">
        <v>5239</v>
      </c>
      <c r="HT297" s="35" t="s">
        <v>5987</v>
      </c>
      <c r="HV297" s="35" t="s">
        <v>5917</v>
      </c>
      <c r="HW297" s="35" t="s">
        <v>5918</v>
      </c>
      <c r="HY297" s="35" t="s">
        <v>5919</v>
      </c>
      <c r="HZ297" s="35" t="s">
        <v>5920</v>
      </c>
      <c r="IA297" s="35" t="s">
        <v>5921</v>
      </c>
      <c r="IB297" s="35" t="s">
        <v>5920</v>
      </c>
      <c r="IC297" s="35" t="s">
        <v>5921</v>
      </c>
      <c r="ID297" s="35" t="s">
        <v>6464</v>
      </c>
      <c r="IE297" s="35" t="s">
        <v>5536</v>
      </c>
      <c r="IF297" s="35" t="s">
        <v>5536</v>
      </c>
      <c r="IG297" s="35" t="s">
        <v>5536</v>
      </c>
      <c r="IH297" s="35" t="s">
        <v>5537</v>
      </c>
      <c r="II297" s="35" t="s">
        <v>5536</v>
      </c>
      <c r="IJ297" s="35" t="s">
        <v>5500</v>
      </c>
      <c r="IL297" s="35" t="s">
        <v>9712</v>
      </c>
      <c r="MK297" s="35" t="s">
        <v>6321</v>
      </c>
    </row>
    <row r="298">
      <c r="A298" s="35" t="s">
        <v>11588</v>
      </c>
      <c r="B298" s="40">
        <v>46131.52759640046</v>
      </c>
      <c r="C298" s="35" t="s">
        <v>368</v>
      </c>
      <c r="D298" s="35" t="s">
        <v>1201</v>
      </c>
      <c r="E298" s="35" t="s">
        <v>1201</v>
      </c>
      <c r="H298" s="35" t="s">
        <v>1783</v>
      </c>
      <c r="I298" s="35" t="s">
        <v>373</v>
      </c>
      <c r="J298" s="35" t="s">
        <v>374</v>
      </c>
      <c r="K298" s="35" t="s">
        <v>669</v>
      </c>
      <c r="L298" s="35" t="s">
        <v>376</v>
      </c>
      <c r="M298" s="35" t="s">
        <v>670</v>
      </c>
      <c r="N298" s="35" t="s">
        <v>860</v>
      </c>
      <c r="O298" s="35" t="s">
        <v>793</v>
      </c>
      <c r="P298" s="35" t="s">
        <v>720</v>
      </c>
      <c r="Q298" s="35" t="s">
        <v>1504</v>
      </c>
      <c r="R298" s="35" t="s">
        <v>499</v>
      </c>
      <c r="S298" s="35" t="s">
        <v>427</v>
      </c>
      <c r="T298" s="35" t="s">
        <v>384</v>
      </c>
      <c r="U298" s="35" t="s">
        <v>385</v>
      </c>
      <c r="X298" s="35" t="s">
        <v>3231</v>
      </c>
      <c r="AW298" s="35" t="s">
        <v>1310</v>
      </c>
      <c r="AX298" s="35" t="s">
        <v>429</v>
      </c>
      <c r="AY298" s="41">
        <v>2.0</v>
      </c>
      <c r="AZ298" s="41">
        <v>2.0</v>
      </c>
      <c r="BA298" s="41">
        <v>2.0</v>
      </c>
      <c r="BB298" s="35" t="s">
        <v>429</v>
      </c>
      <c r="BC298" s="35" t="s">
        <v>429</v>
      </c>
      <c r="BF298" s="35" t="s">
        <v>392</v>
      </c>
      <c r="BG298" s="35" t="s">
        <v>1095</v>
      </c>
      <c r="BH298" s="35" t="s">
        <v>678</v>
      </c>
      <c r="BJ298" s="35" t="s">
        <v>435</v>
      </c>
      <c r="BL298" s="35" t="s">
        <v>511</v>
      </c>
      <c r="BM298" s="35" t="s">
        <v>603</v>
      </c>
      <c r="BN298" s="35" t="s">
        <v>1314</v>
      </c>
      <c r="BO298" s="35" t="s">
        <v>513</v>
      </c>
      <c r="CM298" s="35" t="s">
        <v>953</v>
      </c>
      <c r="CN298" s="35" t="s">
        <v>604</v>
      </c>
      <c r="CV298" s="35" t="s">
        <v>519</v>
      </c>
      <c r="CW298" s="35" t="s">
        <v>409</v>
      </c>
      <c r="CY298" s="35" t="s">
        <v>455</v>
      </c>
      <c r="DA298" s="35" t="s">
        <v>1398</v>
      </c>
      <c r="DC298" s="35" t="s">
        <v>455</v>
      </c>
      <c r="DH298" s="35" t="s">
        <v>693</v>
      </c>
      <c r="DI298" s="35" t="s">
        <v>1220</v>
      </c>
      <c r="DJ298" s="35" t="s">
        <v>459</v>
      </c>
      <c r="DK298" s="35" t="s">
        <v>1148</v>
      </c>
      <c r="DL298" s="35" t="s">
        <v>6335</v>
      </c>
      <c r="EU298" s="35" t="s">
        <v>2747</v>
      </c>
      <c r="EV298" s="35" t="s">
        <v>887</v>
      </c>
      <c r="EW298" s="35" t="s">
        <v>1262</v>
      </c>
      <c r="FP298" s="35" t="s">
        <v>1537</v>
      </c>
      <c r="FQ298" s="35" t="s">
        <v>486</v>
      </c>
      <c r="FR298" s="35" t="s">
        <v>419</v>
      </c>
      <c r="FT298" s="35" t="s">
        <v>1871</v>
      </c>
      <c r="FU298" s="35" t="s">
        <v>1462</v>
      </c>
      <c r="FV298" s="35" t="s">
        <v>489</v>
      </c>
      <c r="FW298" s="35" t="s">
        <v>2399</v>
      </c>
      <c r="FX298" s="35" t="s">
        <v>1853</v>
      </c>
      <c r="FZ298" s="35" t="s">
        <v>1854</v>
      </c>
      <c r="GC298" s="35" t="s">
        <v>408</v>
      </c>
      <c r="GH298" s="35" t="s">
        <v>755</v>
      </c>
      <c r="GI298" s="35" t="s">
        <v>1000</v>
      </c>
      <c r="GJ298" s="35" t="s">
        <v>946</v>
      </c>
      <c r="GO298" s="35" t="s">
        <v>6520</v>
      </c>
      <c r="GP298" s="35" t="s">
        <v>6520</v>
      </c>
      <c r="GQ298" s="35" t="s">
        <v>387</v>
      </c>
      <c r="GR298" s="35" t="s">
        <v>3208</v>
      </c>
      <c r="GU298" s="35" t="s">
        <v>4774</v>
      </c>
      <c r="GW298" s="35" t="s">
        <v>5231</v>
      </c>
      <c r="GX298" s="35" t="s">
        <v>5232</v>
      </c>
      <c r="HP298" s="35" t="s">
        <v>5236</v>
      </c>
      <c r="HQ298" s="35" t="s">
        <v>5237</v>
      </c>
      <c r="HR298" s="35" t="s">
        <v>5721</v>
      </c>
      <c r="HS298" s="35" t="s">
        <v>5287</v>
      </c>
      <c r="HT298" s="35" t="s">
        <v>5987</v>
      </c>
      <c r="HV298" s="35" t="s">
        <v>5917</v>
      </c>
      <c r="HW298" s="35" t="s">
        <v>6521</v>
      </c>
      <c r="HY298" s="35" t="s">
        <v>5921</v>
      </c>
      <c r="HZ298" s="35" t="s">
        <v>5921</v>
      </c>
      <c r="IA298" s="35" t="s">
        <v>5921</v>
      </c>
      <c r="IB298" s="35" t="s">
        <v>5921</v>
      </c>
      <c r="IC298" s="35" t="s">
        <v>5921</v>
      </c>
      <c r="ID298" s="35" t="s">
        <v>5921</v>
      </c>
      <c r="IE298" s="35" t="s">
        <v>5536</v>
      </c>
      <c r="IF298" s="35" t="s">
        <v>5989</v>
      </c>
      <c r="IG298" s="35" t="s">
        <v>5989</v>
      </c>
      <c r="IH298" s="35" t="s">
        <v>5989</v>
      </c>
      <c r="II298" s="35" t="s">
        <v>5989</v>
      </c>
      <c r="IJ298" s="35" t="s">
        <v>5536</v>
      </c>
      <c r="IL298" s="35" t="s">
        <v>6523</v>
      </c>
      <c r="MK298" s="35" t="s">
        <v>6321</v>
      </c>
    </row>
    <row r="299">
      <c r="A299" s="35" t="s">
        <v>11589</v>
      </c>
      <c r="B299" s="40">
        <v>46133.186501759265</v>
      </c>
      <c r="C299" s="35" t="s">
        <v>368</v>
      </c>
      <c r="D299" s="35" t="s">
        <v>4958</v>
      </c>
      <c r="E299" s="35" t="s">
        <v>4958</v>
      </c>
      <c r="H299" s="35" t="s">
        <v>422</v>
      </c>
      <c r="I299" s="35" t="s">
        <v>373</v>
      </c>
      <c r="J299" s="35" t="s">
        <v>374</v>
      </c>
      <c r="K299" s="35" t="s">
        <v>718</v>
      </c>
      <c r="L299" s="35" t="s">
        <v>376</v>
      </c>
      <c r="M299" s="35" t="s">
        <v>379</v>
      </c>
      <c r="N299" s="35" t="s">
        <v>720</v>
      </c>
      <c r="O299" s="35" t="s">
        <v>379</v>
      </c>
      <c r="P299" s="35" t="s">
        <v>497</v>
      </c>
      <c r="Q299" s="35" t="s">
        <v>592</v>
      </c>
      <c r="R299" s="35" t="s">
        <v>382</v>
      </c>
      <c r="S299" s="35" t="s">
        <v>427</v>
      </c>
      <c r="T299" s="35" t="s">
        <v>384</v>
      </c>
      <c r="U299" s="35" t="s">
        <v>385</v>
      </c>
      <c r="X299" s="35" t="s">
        <v>386</v>
      </c>
      <c r="Y299" s="35" t="s">
        <v>387</v>
      </c>
      <c r="Z299" s="35" t="s">
        <v>6822</v>
      </c>
      <c r="AA299" s="35" t="s">
        <v>389</v>
      </c>
      <c r="AW299" s="35" t="s">
        <v>504</v>
      </c>
      <c r="AX299" s="41">
        <v>2.0</v>
      </c>
      <c r="AY299" s="41">
        <v>2.0</v>
      </c>
      <c r="AZ299" s="35" t="s">
        <v>391</v>
      </c>
      <c r="BA299" s="41">
        <v>2.0</v>
      </c>
      <c r="BB299" s="41">
        <v>2.0</v>
      </c>
      <c r="BC299" s="35" t="s">
        <v>429</v>
      </c>
      <c r="BD299" s="35" t="s">
        <v>9740</v>
      </c>
      <c r="BE299" s="35" t="s">
        <v>9741</v>
      </c>
      <c r="BF299" s="35" t="s">
        <v>392</v>
      </c>
      <c r="BG299" s="35" t="s">
        <v>433</v>
      </c>
      <c r="BH299" s="35" t="s">
        <v>434</v>
      </c>
      <c r="BI299" s="35" t="s">
        <v>9742</v>
      </c>
      <c r="BJ299" s="35" t="s">
        <v>509</v>
      </c>
      <c r="BK299" s="35" t="s">
        <v>9743</v>
      </c>
      <c r="BL299" s="35" t="s">
        <v>602</v>
      </c>
      <c r="BM299" s="35" t="s">
        <v>603</v>
      </c>
      <c r="BN299" s="35" t="s">
        <v>439</v>
      </c>
      <c r="BO299" s="35" t="s">
        <v>513</v>
      </c>
      <c r="CM299" s="35" t="s">
        <v>550</v>
      </c>
      <c r="CN299" s="35" t="s">
        <v>401</v>
      </c>
      <c r="CO299" s="35" t="s">
        <v>9744</v>
      </c>
      <c r="CP299" s="35" t="s">
        <v>9745</v>
      </c>
      <c r="CQ299" s="35" t="s">
        <v>685</v>
      </c>
      <c r="CR299" s="35" t="s">
        <v>5701</v>
      </c>
      <c r="CS299" s="35" t="s">
        <v>804</v>
      </c>
      <c r="CT299" s="35" t="s">
        <v>8716</v>
      </c>
      <c r="CU299" s="35" t="s">
        <v>9746</v>
      </c>
      <c r="CV299" s="35" t="s">
        <v>450</v>
      </c>
      <c r="CW299" s="35" t="s">
        <v>451</v>
      </c>
      <c r="CX299" s="35" t="s">
        <v>9747</v>
      </c>
      <c r="CY299" s="35" t="s">
        <v>408</v>
      </c>
      <c r="DA299" s="35" t="s">
        <v>453</v>
      </c>
      <c r="DB299" s="35" t="s">
        <v>9748</v>
      </c>
      <c r="DC299" s="35" t="s">
        <v>455</v>
      </c>
      <c r="DD299" s="35" t="s">
        <v>9749</v>
      </c>
      <c r="DE299" s="35" t="s">
        <v>457</v>
      </c>
      <c r="DG299" s="35" t="s">
        <v>9750</v>
      </c>
      <c r="DH299" s="35" t="s">
        <v>561</v>
      </c>
      <c r="DI299" s="35" t="s">
        <v>410</v>
      </c>
      <c r="DJ299" s="35" t="s">
        <v>963</v>
      </c>
      <c r="DK299" s="35" t="s">
        <v>613</v>
      </c>
      <c r="EU299" s="35" t="s">
        <v>526</v>
      </c>
      <c r="EV299" s="35" t="s">
        <v>579</v>
      </c>
      <c r="EW299" s="35" t="s">
        <v>480</v>
      </c>
      <c r="EX299" s="35" t="s">
        <v>9751</v>
      </c>
      <c r="EY299" s="35" t="s">
        <v>9752</v>
      </c>
      <c r="EZ299" s="35" t="s">
        <v>9753</v>
      </c>
      <c r="FA299" s="35" t="s">
        <v>413</v>
      </c>
      <c r="FB299" s="35" t="s">
        <v>414</v>
      </c>
      <c r="FC299" s="35" t="s">
        <v>413</v>
      </c>
      <c r="FD299" s="35" t="s">
        <v>413</v>
      </c>
      <c r="FE299" s="35" t="s">
        <v>413</v>
      </c>
      <c r="FF299" s="35" t="s">
        <v>583</v>
      </c>
      <c r="FG299" s="35" t="s">
        <v>413</v>
      </c>
      <c r="FH299" s="35" t="s">
        <v>484</v>
      </c>
      <c r="FI299" s="35" t="s">
        <v>413</v>
      </c>
      <c r="FJ299" s="35" t="s">
        <v>413</v>
      </c>
      <c r="FK299" s="35" t="s">
        <v>413</v>
      </c>
      <c r="FL299" s="35" t="s">
        <v>415</v>
      </c>
      <c r="FM299" s="35" t="s">
        <v>415</v>
      </c>
      <c r="FN299" s="35" t="s">
        <v>413</v>
      </c>
      <c r="FO299" s="35" t="s">
        <v>583</v>
      </c>
      <c r="FP299" s="35" t="s">
        <v>417</v>
      </c>
      <c r="FQ299" s="35" t="s">
        <v>418</v>
      </c>
      <c r="FR299" s="35" t="s">
        <v>749</v>
      </c>
      <c r="FT299" s="35" t="s">
        <v>420</v>
      </c>
      <c r="FU299" s="35" t="s">
        <v>488</v>
      </c>
      <c r="FV299" s="35" t="s">
        <v>1235</v>
      </c>
      <c r="FW299" s="35" t="s">
        <v>490</v>
      </c>
      <c r="FX299" s="35" t="s">
        <v>491</v>
      </c>
      <c r="FY299" s="35" t="s">
        <v>9754</v>
      </c>
      <c r="FZ299" s="35" t="s">
        <v>535</v>
      </c>
      <c r="GA299" s="35" t="s">
        <v>9755</v>
      </c>
      <c r="GC299" s="35" t="s">
        <v>455</v>
      </c>
      <c r="GE299" s="35" t="s">
        <v>9756</v>
      </c>
      <c r="GF299" s="35" t="s">
        <v>753</v>
      </c>
      <c r="GG299" s="35" t="s">
        <v>9757</v>
      </c>
      <c r="GH299" s="35" t="s">
        <v>755</v>
      </c>
      <c r="GI299" s="35" t="s">
        <v>755</v>
      </c>
      <c r="GJ299" s="35" t="s">
        <v>946</v>
      </c>
      <c r="GO299" s="35" t="s">
        <v>9758</v>
      </c>
      <c r="GP299" s="35" t="s">
        <v>9758</v>
      </c>
      <c r="GR299" s="35" t="s">
        <v>3208</v>
      </c>
      <c r="GU299" s="35" t="s">
        <v>4774</v>
      </c>
      <c r="GW299" s="35" t="s">
        <v>5231</v>
      </c>
      <c r="GX299" s="35" t="s">
        <v>5232</v>
      </c>
      <c r="HD299" s="35" t="s">
        <v>5281</v>
      </c>
      <c r="HE299" s="35" t="s">
        <v>5282</v>
      </c>
      <c r="HF299" s="35" t="s">
        <v>5718</v>
      </c>
      <c r="HG299" s="35" t="s">
        <v>5899</v>
      </c>
      <c r="HP299" s="35" t="s">
        <v>5285</v>
      </c>
      <c r="HQ299" s="35" t="s">
        <v>5264</v>
      </c>
      <c r="HR299" s="35" t="s">
        <v>5238</v>
      </c>
      <c r="HS299" s="35" t="s">
        <v>5321</v>
      </c>
      <c r="HX299" s="35" t="s">
        <v>5597</v>
      </c>
      <c r="MK299" s="35" t="s">
        <v>6321</v>
      </c>
    </row>
    <row r="300">
      <c r="A300" s="35" t="s">
        <v>11590</v>
      </c>
      <c r="B300" s="40">
        <v>46134.22396824074</v>
      </c>
      <c r="C300" s="35" t="s">
        <v>368</v>
      </c>
      <c r="D300" s="35" t="s">
        <v>370</v>
      </c>
      <c r="E300" s="35" t="s">
        <v>370</v>
      </c>
      <c r="F300" s="35" t="s">
        <v>1480</v>
      </c>
      <c r="G300" s="35" t="s">
        <v>1480</v>
      </c>
      <c r="H300" s="35" t="s">
        <v>422</v>
      </c>
      <c r="I300" s="35" t="s">
        <v>373</v>
      </c>
      <c r="J300" s="35" t="s">
        <v>374</v>
      </c>
      <c r="K300" s="35" t="s">
        <v>375</v>
      </c>
      <c r="L300" s="35" t="s">
        <v>376</v>
      </c>
      <c r="M300" s="35" t="s">
        <v>426</v>
      </c>
      <c r="N300" s="35" t="s">
        <v>9759</v>
      </c>
      <c r="O300" s="35" t="s">
        <v>379</v>
      </c>
      <c r="P300" s="35" t="s">
        <v>497</v>
      </c>
      <c r="Q300" s="35" t="s">
        <v>1760</v>
      </c>
      <c r="R300" s="35" t="s">
        <v>382</v>
      </c>
      <c r="S300" s="35" t="s">
        <v>9760</v>
      </c>
      <c r="T300" s="35" t="s">
        <v>384</v>
      </c>
      <c r="U300" s="35" t="s">
        <v>385</v>
      </c>
      <c r="X300" s="35" t="s">
        <v>3014</v>
      </c>
      <c r="AW300" s="35" t="s">
        <v>1310</v>
      </c>
      <c r="AX300" s="41">
        <v>4.0</v>
      </c>
      <c r="AY300" s="35" t="s">
        <v>675</v>
      </c>
      <c r="AZ300" s="35" t="s">
        <v>675</v>
      </c>
      <c r="BA300" s="35" t="s">
        <v>675</v>
      </c>
      <c r="BB300" s="35" t="s">
        <v>675</v>
      </c>
      <c r="BC300" s="41">
        <v>4.0</v>
      </c>
      <c r="BD300" s="35" t="s">
        <v>9761</v>
      </c>
      <c r="BE300" s="35" t="s">
        <v>9762</v>
      </c>
      <c r="BF300" s="35" t="s">
        <v>902</v>
      </c>
      <c r="BG300" s="35" t="s">
        <v>393</v>
      </c>
      <c r="BH300" s="35" t="s">
        <v>765</v>
      </c>
      <c r="BI300" s="35" t="s">
        <v>9763</v>
      </c>
      <c r="BJ300" s="35" t="s">
        <v>976</v>
      </c>
      <c r="BL300" s="35" t="s">
        <v>602</v>
      </c>
      <c r="BM300" s="35" t="s">
        <v>904</v>
      </c>
      <c r="BN300" s="35" t="s">
        <v>397</v>
      </c>
      <c r="BO300" s="35" t="s">
        <v>513</v>
      </c>
      <c r="CM300" s="35" t="s">
        <v>441</v>
      </c>
      <c r="CN300" s="35" t="s">
        <v>401</v>
      </c>
      <c r="CO300" s="35" t="s">
        <v>9764</v>
      </c>
      <c r="CP300" s="35" t="s">
        <v>9765</v>
      </c>
      <c r="CQ300" s="35" t="s">
        <v>685</v>
      </c>
      <c r="CR300" s="35" t="s">
        <v>3703</v>
      </c>
      <c r="CS300" s="35" t="s">
        <v>447</v>
      </c>
      <c r="CT300" s="35" t="s">
        <v>770</v>
      </c>
      <c r="CU300" s="35" t="s">
        <v>9766</v>
      </c>
      <c r="CV300" s="35" t="s">
        <v>1852</v>
      </c>
      <c r="CW300" s="35" t="s">
        <v>409</v>
      </c>
      <c r="CX300" s="35" t="s">
        <v>9767</v>
      </c>
      <c r="CY300" s="35" t="s">
        <v>408</v>
      </c>
      <c r="DA300" s="35" t="s">
        <v>985</v>
      </c>
      <c r="DB300" s="35" t="s">
        <v>9768</v>
      </c>
      <c r="DC300" s="35" t="s">
        <v>408</v>
      </c>
      <c r="DE300" s="35" t="s">
        <v>988</v>
      </c>
      <c r="DG300" s="35" t="s">
        <v>9769</v>
      </c>
      <c r="DH300" s="35" t="s">
        <v>776</v>
      </c>
      <c r="DI300" s="35" t="s">
        <v>410</v>
      </c>
      <c r="DJ300" s="35" t="s">
        <v>963</v>
      </c>
      <c r="DK300" s="35" t="s">
        <v>562</v>
      </c>
      <c r="DL300" s="35" t="s">
        <v>6603</v>
      </c>
      <c r="DM300" s="35" t="s">
        <v>9770</v>
      </c>
      <c r="EU300" s="35" t="s">
        <v>578</v>
      </c>
      <c r="EV300" s="35" t="s">
        <v>479</v>
      </c>
      <c r="EW300" s="35" t="s">
        <v>527</v>
      </c>
      <c r="EX300" s="35" t="s">
        <v>9771</v>
      </c>
      <c r="EY300" s="35" t="s">
        <v>9772</v>
      </c>
      <c r="EZ300" s="35" t="s">
        <v>9773</v>
      </c>
      <c r="FA300" s="35" t="s">
        <v>583</v>
      </c>
      <c r="FB300" s="35" t="s">
        <v>583</v>
      </c>
      <c r="FC300" s="35" t="s">
        <v>416</v>
      </c>
      <c r="FD300" s="35" t="s">
        <v>583</v>
      </c>
      <c r="FE300" s="35" t="s">
        <v>415</v>
      </c>
      <c r="FF300" s="35" t="s">
        <v>583</v>
      </c>
      <c r="FG300" s="35" t="s">
        <v>414</v>
      </c>
      <c r="FH300" s="35" t="s">
        <v>416</v>
      </c>
      <c r="FI300" s="35" t="s">
        <v>583</v>
      </c>
      <c r="FJ300" s="35" t="s">
        <v>583</v>
      </c>
      <c r="FK300" s="35" t="s">
        <v>583</v>
      </c>
      <c r="FL300" s="35" t="s">
        <v>583</v>
      </c>
      <c r="FM300" s="35" t="s">
        <v>583</v>
      </c>
      <c r="FN300" s="35" t="s">
        <v>416</v>
      </c>
      <c r="FO300" s="35" t="s">
        <v>583</v>
      </c>
      <c r="FP300" s="35" t="s">
        <v>850</v>
      </c>
      <c r="FQ300" s="35" t="s">
        <v>486</v>
      </c>
      <c r="FR300" s="35" t="s">
        <v>630</v>
      </c>
      <c r="FS300" s="35" t="s">
        <v>9774</v>
      </c>
      <c r="FT300" s="35" t="s">
        <v>1076</v>
      </c>
      <c r="FU300" s="35" t="s">
        <v>1462</v>
      </c>
      <c r="FV300" s="35" t="s">
        <v>533</v>
      </c>
      <c r="FW300" s="35" t="s">
        <v>490</v>
      </c>
      <c r="FX300" s="35" t="s">
        <v>491</v>
      </c>
      <c r="FY300" s="35" t="s">
        <v>9775</v>
      </c>
      <c r="FZ300" s="35" t="s">
        <v>493</v>
      </c>
      <c r="GA300" s="35" t="s">
        <v>9776</v>
      </c>
      <c r="GB300" s="35" t="s">
        <v>9777</v>
      </c>
      <c r="GC300" s="35" t="s">
        <v>455</v>
      </c>
      <c r="GD300" s="35" t="s">
        <v>11591</v>
      </c>
      <c r="GE300" s="35" t="s">
        <v>11592</v>
      </c>
      <c r="GF300" s="35" t="s">
        <v>753</v>
      </c>
      <c r="GG300" s="35" t="s">
        <v>455</v>
      </c>
      <c r="GH300" s="35" t="s">
        <v>755</v>
      </c>
      <c r="GI300" s="35" t="s">
        <v>755</v>
      </c>
      <c r="GJ300" s="35" t="s">
        <v>817</v>
      </c>
      <c r="GR300" s="35" t="s">
        <v>3208</v>
      </c>
      <c r="GU300" s="35" t="s">
        <v>4774</v>
      </c>
      <c r="GW300" s="35" t="s">
        <v>5231</v>
      </c>
      <c r="GX300" s="35" t="s">
        <v>5232</v>
      </c>
      <c r="HD300" s="35" t="s">
        <v>5281</v>
      </c>
      <c r="HE300" s="35" t="s">
        <v>5349</v>
      </c>
      <c r="HF300" s="35" t="s">
        <v>5718</v>
      </c>
      <c r="HG300" s="35" t="s">
        <v>5899</v>
      </c>
      <c r="HP300" s="35" t="s">
        <v>5236</v>
      </c>
      <c r="HQ300" s="35" t="s">
        <v>5264</v>
      </c>
      <c r="HR300" s="35" t="s">
        <v>5238</v>
      </c>
      <c r="HS300" s="35" t="s">
        <v>5321</v>
      </c>
      <c r="HX300" s="35" t="s">
        <v>9778</v>
      </c>
      <c r="MK300" s="35" t="s">
        <v>6321</v>
      </c>
    </row>
    <row r="301">
      <c r="A301" s="35" t="s">
        <v>11593</v>
      </c>
      <c r="B301" s="40">
        <v>46139.226470995374</v>
      </c>
      <c r="C301" s="35" t="s">
        <v>368</v>
      </c>
      <c r="D301" s="35" t="s">
        <v>894</v>
      </c>
      <c r="E301" s="35" t="s">
        <v>894</v>
      </c>
      <c r="H301" s="35" t="s">
        <v>422</v>
      </c>
      <c r="I301" s="35" t="s">
        <v>373</v>
      </c>
      <c r="J301" s="35" t="s">
        <v>374</v>
      </c>
      <c r="K301" s="35" t="s">
        <v>590</v>
      </c>
      <c r="L301" s="35" t="s">
        <v>376</v>
      </c>
      <c r="M301" s="35" t="s">
        <v>379</v>
      </c>
      <c r="N301" s="35" t="s">
        <v>639</v>
      </c>
      <c r="O301" s="35" t="s">
        <v>377</v>
      </c>
      <c r="P301" s="35" t="s">
        <v>497</v>
      </c>
      <c r="Q301" s="35" t="s">
        <v>381</v>
      </c>
      <c r="R301" s="35" t="s">
        <v>818</v>
      </c>
      <c r="S301" s="35" t="s">
        <v>949</v>
      </c>
      <c r="T301" s="35" t="s">
        <v>384</v>
      </c>
      <c r="U301" s="35" t="s">
        <v>385</v>
      </c>
      <c r="V301" s="35" t="s">
        <v>1045</v>
      </c>
      <c r="W301" s="35" t="s">
        <v>1025</v>
      </c>
      <c r="X301" s="35" t="s">
        <v>3231</v>
      </c>
      <c r="AW301" s="35" t="s">
        <v>1242</v>
      </c>
      <c r="AX301" s="41">
        <v>4.0</v>
      </c>
      <c r="AY301" s="35" t="s">
        <v>391</v>
      </c>
      <c r="AZ301" s="41">
        <v>2.0</v>
      </c>
      <c r="BA301" s="41">
        <v>2.0</v>
      </c>
      <c r="BB301" s="35" t="s">
        <v>429</v>
      </c>
      <c r="BC301" s="35" t="s">
        <v>391</v>
      </c>
      <c r="BF301" s="35" t="s">
        <v>432</v>
      </c>
      <c r="BG301" s="35" t="s">
        <v>1095</v>
      </c>
      <c r="BH301" s="35" t="s">
        <v>765</v>
      </c>
      <c r="BI301" s="35" t="s">
        <v>9798</v>
      </c>
      <c r="BJ301" s="35" t="s">
        <v>976</v>
      </c>
      <c r="BL301" s="35" t="s">
        <v>395</v>
      </c>
      <c r="BM301" s="35" t="s">
        <v>603</v>
      </c>
      <c r="BN301" s="35" t="s">
        <v>1247</v>
      </c>
      <c r="BO301" s="35" t="s">
        <v>513</v>
      </c>
      <c r="CM301" s="35" t="s">
        <v>550</v>
      </c>
      <c r="CN301" s="35" t="s">
        <v>604</v>
      </c>
      <c r="CO301" s="35" t="s">
        <v>9799</v>
      </c>
      <c r="CP301" s="35" t="s">
        <v>9800</v>
      </c>
      <c r="CQ301" s="35" t="s">
        <v>685</v>
      </c>
      <c r="CR301" s="35" t="s">
        <v>5701</v>
      </c>
      <c r="CS301" s="35" t="s">
        <v>804</v>
      </c>
      <c r="CT301" s="35" t="s">
        <v>1346</v>
      </c>
      <c r="CU301" s="35" t="s">
        <v>9801</v>
      </c>
      <c r="CV301" s="35" t="s">
        <v>3167</v>
      </c>
      <c r="CW301" s="35" t="s">
        <v>409</v>
      </c>
      <c r="CX301" s="35" t="s">
        <v>9802</v>
      </c>
      <c r="CY301" s="35" t="s">
        <v>408</v>
      </c>
      <c r="DA301" s="35" t="s">
        <v>985</v>
      </c>
      <c r="DB301" s="35" t="s">
        <v>9803</v>
      </c>
      <c r="DC301" s="35" t="s">
        <v>408</v>
      </c>
      <c r="DE301" s="35" t="s">
        <v>406</v>
      </c>
      <c r="DF301" s="35" t="s">
        <v>407</v>
      </c>
      <c r="DH301" s="35" t="s">
        <v>776</v>
      </c>
      <c r="DI301" s="35" t="s">
        <v>833</v>
      </c>
      <c r="DJ301" s="35" t="s">
        <v>963</v>
      </c>
      <c r="DK301" s="35" t="s">
        <v>613</v>
      </c>
      <c r="EU301" s="35" t="s">
        <v>2747</v>
      </c>
      <c r="EV301" s="35" t="s">
        <v>579</v>
      </c>
      <c r="EW301" s="35" t="s">
        <v>778</v>
      </c>
      <c r="EX301" s="35" t="s">
        <v>9804</v>
      </c>
      <c r="EY301" s="35" t="s">
        <v>9805</v>
      </c>
      <c r="EZ301" s="35" t="s">
        <v>9806</v>
      </c>
      <c r="FA301" s="35" t="s">
        <v>413</v>
      </c>
      <c r="FB301" s="35" t="s">
        <v>415</v>
      </c>
      <c r="FC301" s="35" t="s">
        <v>413</v>
      </c>
      <c r="FD301" s="35" t="s">
        <v>413</v>
      </c>
      <c r="FE301" s="35" t="s">
        <v>413</v>
      </c>
      <c r="FF301" s="35" t="s">
        <v>415</v>
      </c>
      <c r="FG301" s="35" t="s">
        <v>413</v>
      </c>
      <c r="FH301" s="35" t="s">
        <v>484</v>
      </c>
      <c r="FI301" s="35" t="s">
        <v>413</v>
      </c>
      <c r="FJ301" s="35" t="s">
        <v>413</v>
      </c>
      <c r="FK301" s="35" t="s">
        <v>413</v>
      </c>
      <c r="FL301" s="35" t="s">
        <v>413</v>
      </c>
      <c r="FM301" s="35" t="s">
        <v>484</v>
      </c>
      <c r="FN301" s="35" t="s">
        <v>484</v>
      </c>
      <c r="FO301" s="35" t="s">
        <v>414</v>
      </c>
      <c r="FP301" s="35" t="s">
        <v>1537</v>
      </c>
      <c r="FQ301" s="35" t="s">
        <v>418</v>
      </c>
      <c r="FR301" s="35" t="s">
        <v>531</v>
      </c>
      <c r="FT301" s="35" t="s">
        <v>1871</v>
      </c>
      <c r="FU301" s="35" t="s">
        <v>488</v>
      </c>
      <c r="FV301" s="35" t="s">
        <v>1235</v>
      </c>
      <c r="FW301" s="35" t="s">
        <v>2399</v>
      </c>
      <c r="FX301" s="35" t="s">
        <v>1853</v>
      </c>
      <c r="FZ301" s="35" t="s">
        <v>1020</v>
      </c>
      <c r="GC301" s="35" t="s">
        <v>408</v>
      </c>
      <c r="GH301" s="35" t="s">
        <v>755</v>
      </c>
      <c r="GI301" s="35" t="s">
        <v>1000</v>
      </c>
      <c r="GJ301" s="35" t="s">
        <v>946</v>
      </c>
      <c r="GQ301" s="35" t="s">
        <v>387</v>
      </c>
      <c r="GU301" s="35" t="s">
        <v>4774</v>
      </c>
      <c r="GW301" s="35" t="s">
        <v>5231</v>
      </c>
      <c r="GX301" s="35" t="s">
        <v>5232</v>
      </c>
      <c r="HD301" s="35" t="s">
        <v>5281</v>
      </c>
      <c r="HE301" s="35" t="s">
        <v>5282</v>
      </c>
      <c r="HF301" s="35" t="s">
        <v>484</v>
      </c>
      <c r="HG301" s="35" t="s">
        <v>5300</v>
      </c>
      <c r="HP301" s="35" t="s">
        <v>5301</v>
      </c>
      <c r="HQ301" s="35" t="s">
        <v>5264</v>
      </c>
      <c r="HR301" s="35" t="s">
        <v>5721</v>
      </c>
      <c r="HS301" s="35" t="s">
        <v>5239</v>
      </c>
      <c r="HX301" s="35" t="s">
        <v>5597</v>
      </c>
      <c r="MK301" s="35" t="s">
        <v>6321</v>
      </c>
    </row>
    <row r="302">
      <c r="A302" s="35" t="s">
        <v>11594</v>
      </c>
      <c r="B302" s="40">
        <v>46143.65511586805</v>
      </c>
      <c r="C302" s="35" t="s">
        <v>368</v>
      </c>
      <c r="D302" s="35" t="s">
        <v>3570</v>
      </c>
      <c r="E302" s="35" t="s">
        <v>3570</v>
      </c>
      <c r="H302" s="35" t="s">
        <v>1269</v>
      </c>
      <c r="I302" s="35" t="s">
        <v>1203</v>
      </c>
      <c r="J302" s="35" t="s">
        <v>638</v>
      </c>
      <c r="K302" s="35" t="s">
        <v>590</v>
      </c>
      <c r="L302" s="35" t="s">
        <v>376</v>
      </c>
      <c r="M302" s="35" t="s">
        <v>591</v>
      </c>
      <c r="N302" s="35" t="s">
        <v>541</v>
      </c>
      <c r="O302" s="35" t="s">
        <v>426</v>
      </c>
      <c r="P302" s="35" t="s">
        <v>378</v>
      </c>
      <c r="Q302" s="35" t="s">
        <v>592</v>
      </c>
      <c r="R302" s="35" t="s">
        <v>862</v>
      </c>
      <c r="S302" s="35" t="s">
        <v>9807</v>
      </c>
      <c r="T302" s="35" t="s">
        <v>384</v>
      </c>
      <c r="U302" s="35" t="s">
        <v>385</v>
      </c>
      <c r="X302" s="35" t="s">
        <v>3014</v>
      </c>
      <c r="AW302" s="35" t="s">
        <v>390</v>
      </c>
      <c r="AX302" s="41">
        <v>2.0</v>
      </c>
      <c r="AY302" s="35" t="s">
        <v>391</v>
      </c>
      <c r="AZ302" s="41">
        <v>4.0</v>
      </c>
      <c r="BA302" s="41">
        <v>2.0</v>
      </c>
      <c r="BB302" s="41">
        <v>2.0</v>
      </c>
      <c r="BC302" s="35" t="s">
        <v>391</v>
      </c>
      <c r="BD302" s="35" t="s">
        <v>9808</v>
      </c>
      <c r="BE302" s="35" t="s">
        <v>9809</v>
      </c>
      <c r="BF302" s="35" t="s">
        <v>2259</v>
      </c>
      <c r="BG302" s="35" t="s">
        <v>433</v>
      </c>
      <c r="BH302" s="35" t="s">
        <v>394</v>
      </c>
      <c r="BJ302" s="35" t="s">
        <v>824</v>
      </c>
      <c r="BL302" s="35" t="s">
        <v>437</v>
      </c>
      <c r="BM302" s="35" t="s">
        <v>396</v>
      </c>
      <c r="BN302" s="35" t="s">
        <v>549</v>
      </c>
      <c r="BO302" s="35" t="s">
        <v>513</v>
      </c>
      <c r="CM302" s="35" t="s">
        <v>550</v>
      </c>
      <c r="CN302" s="35" t="s">
        <v>604</v>
      </c>
      <c r="CO302" s="35" t="s">
        <v>9810</v>
      </c>
      <c r="CP302" s="35" t="s">
        <v>9811</v>
      </c>
      <c r="CQ302" s="35" t="s">
        <v>1008</v>
      </c>
      <c r="CR302" s="35" t="s">
        <v>9812</v>
      </c>
      <c r="CS302" s="35" t="s">
        <v>555</v>
      </c>
      <c r="CT302" s="35" t="s">
        <v>9813</v>
      </c>
      <c r="CU302" s="35" t="s">
        <v>9814</v>
      </c>
      <c r="CV302" s="35" t="s">
        <v>450</v>
      </c>
      <c r="CW302" s="35" t="s">
        <v>451</v>
      </c>
      <c r="CX302" s="35" t="s">
        <v>9815</v>
      </c>
      <c r="CY302" s="35" t="s">
        <v>408</v>
      </c>
      <c r="DA302" s="35" t="s">
        <v>985</v>
      </c>
      <c r="DC302" s="35" t="s">
        <v>408</v>
      </c>
      <c r="DE302" s="35" t="s">
        <v>662</v>
      </c>
      <c r="DF302" s="35" t="s">
        <v>407</v>
      </c>
      <c r="DG302" s="35" t="s">
        <v>9816</v>
      </c>
      <c r="DH302" s="35" t="s">
        <v>561</v>
      </c>
      <c r="DI302" s="35" t="s">
        <v>410</v>
      </c>
      <c r="DJ302" s="35" t="s">
        <v>963</v>
      </c>
      <c r="DK302" s="35" t="s">
        <v>460</v>
      </c>
      <c r="DL302" s="35" t="s">
        <v>6319</v>
      </c>
      <c r="EU302" s="35" t="s">
        <v>526</v>
      </c>
      <c r="EV302" s="35" t="s">
        <v>579</v>
      </c>
      <c r="EW302" s="35" t="s">
        <v>480</v>
      </c>
      <c r="FA302" s="35" t="s">
        <v>413</v>
      </c>
      <c r="FB302" s="35" t="s">
        <v>415</v>
      </c>
      <c r="FC302" s="35" t="s">
        <v>413</v>
      </c>
      <c r="FD302" s="35" t="s">
        <v>413</v>
      </c>
      <c r="FE302" s="35" t="s">
        <v>413</v>
      </c>
      <c r="FF302" s="35" t="s">
        <v>414</v>
      </c>
      <c r="FG302" s="35" t="s">
        <v>583</v>
      </c>
      <c r="FH302" s="35" t="s">
        <v>415</v>
      </c>
      <c r="FI302" s="35" t="s">
        <v>414</v>
      </c>
      <c r="FJ302" s="35" t="s">
        <v>416</v>
      </c>
      <c r="FK302" s="35" t="s">
        <v>414</v>
      </c>
      <c r="FL302" s="35" t="s">
        <v>484</v>
      </c>
      <c r="FM302" s="35" t="s">
        <v>583</v>
      </c>
      <c r="FN302" s="35" t="s">
        <v>413</v>
      </c>
      <c r="FO302" s="35" t="s">
        <v>414</v>
      </c>
      <c r="FP302" s="35" t="s">
        <v>485</v>
      </c>
      <c r="FQ302" s="35" t="s">
        <v>486</v>
      </c>
      <c r="FR302" s="35" t="s">
        <v>419</v>
      </c>
      <c r="FT302" s="35" t="s">
        <v>420</v>
      </c>
      <c r="FU302" s="35" t="s">
        <v>1462</v>
      </c>
      <c r="FV302" s="35" t="s">
        <v>1235</v>
      </c>
      <c r="FW302" s="35" t="s">
        <v>490</v>
      </c>
      <c r="FX302" s="35" t="s">
        <v>491</v>
      </c>
      <c r="FY302" s="35" t="s">
        <v>9817</v>
      </c>
      <c r="FZ302" s="35" t="s">
        <v>535</v>
      </c>
      <c r="GA302" s="35" t="s">
        <v>9818</v>
      </c>
      <c r="GB302" s="35" t="s">
        <v>9819</v>
      </c>
      <c r="GC302" s="35" t="s">
        <v>408</v>
      </c>
      <c r="GH302" s="35" t="s">
        <v>1000</v>
      </c>
      <c r="GI302" s="35" t="s">
        <v>755</v>
      </c>
      <c r="GJ302" s="35" t="s">
        <v>946</v>
      </c>
      <c r="GO302" s="35" t="s">
        <v>9820</v>
      </c>
      <c r="GP302" s="35" t="s">
        <v>9821</v>
      </c>
      <c r="GR302" s="35" t="s">
        <v>3208</v>
      </c>
      <c r="GU302" s="35" t="s">
        <v>4774</v>
      </c>
      <c r="GW302" s="35" t="s">
        <v>5231</v>
      </c>
      <c r="GX302" s="35" t="s">
        <v>484</v>
      </c>
      <c r="HD302" s="35" t="s">
        <v>5281</v>
      </c>
      <c r="HE302" s="35" t="s">
        <v>5282</v>
      </c>
      <c r="HF302" s="35" t="s">
        <v>484</v>
      </c>
      <c r="HG302" s="35" t="s">
        <v>5300</v>
      </c>
      <c r="HP302" s="35" t="s">
        <v>5285</v>
      </c>
      <c r="HQ302" s="35" t="s">
        <v>5719</v>
      </c>
      <c r="HR302" s="35" t="s">
        <v>5238</v>
      </c>
      <c r="HS302" s="35" t="s">
        <v>5321</v>
      </c>
      <c r="HX302" s="35" t="s">
        <v>5597</v>
      </c>
      <c r="MK302" s="35" t="s">
        <v>6321</v>
      </c>
    </row>
    <row r="303">
      <c r="A303" s="35" t="s">
        <v>11595</v>
      </c>
      <c r="B303" s="40">
        <v>46146.24480885417</v>
      </c>
      <c r="C303" s="35" t="s">
        <v>368</v>
      </c>
      <c r="D303" s="35" t="s">
        <v>1341</v>
      </c>
      <c r="E303" s="35" t="s">
        <v>1341</v>
      </c>
      <c r="H303" s="35" t="s">
        <v>422</v>
      </c>
      <c r="I303" s="35" t="s">
        <v>637</v>
      </c>
      <c r="J303" s="35" t="s">
        <v>638</v>
      </c>
      <c r="K303" s="35" t="s">
        <v>590</v>
      </c>
      <c r="L303" s="35" t="s">
        <v>376</v>
      </c>
      <c r="M303" s="35" t="s">
        <v>377</v>
      </c>
      <c r="N303" s="35" t="s">
        <v>497</v>
      </c>
      <c r="O303" s="35" t="s">
        <v>377</v>
      </c>
      <c r="P303" s="35" t="s">
        <v>380</v>
      </c>
      <c r="Q303" s="35" t="s">
        <v>381</v>
      </c>
      <c r="R303" s="35" t="s">
        <v>862</v>
      </c>
      <c r="S303" s="35" t="s">
        <v>2360</v>
      </c>
      <c r="T303" s="35" t="s">
        <v>1785</v>
      </c>
      <c r="U303" s="35" t="s">
        <v>385</v>
      </c>
      <c r="X303" s="35" t="s">
        <v>386</v>
      </c>
      <c r="Y303" s="35" t="s">
        <v>387</v>
      </c>
      <c r="Z303" s="35" t="s">
        <v>1444</v>
      </c>
      <c r="AA303" s="35" t="s">
        <v>543</v>
      </c>
      <c r="AW303" s="35" t="s">
        <v>504</v>
      </c>
      <c r="AX303" s="35" t="s">
        <v>429</v>
      </c>
      <c r="AY303" s="35" t="s">
        <v>429</v>
      </c>
      <c r="AZ303" s="35" t="s">
        <v>429</v>
      </c>
      <c r="BA303" s="35" t="s">
        <v>429</v>
      </c>
      <c r="BB303" s="35" t="s">
        <v>429</v>
      </c>
      <c r="BC303" s="35" t="s">
        <v>429</v>
      </c>
      <c r="BF303" s="35" t="s">
        <v>392</v>
      </c>
      <c r="BH303" s="35" t="s">
        <v>678</v>
      </c>
      <c r="BJ303" s="35" t="s">
        <v>435</v>
      </c>
      <c r="BL303" s="35" t="s">
        <v>511</v>
      </c>
      <c r="BM303" s="35" t="s">
        <v>603</v>
      </c>
      <c r="BN303" s="35" t="s">
        <v>439</v>
      </c>
      <c r="BO303" s="35" t="s">
        <v>513</v>
      </c>
      <c r="CM303" s="35" t="s">
        <v>550</v>
      </c>
      <c r="CN303" s="35" t="s">
        <v>682</v>
      </c>
      <c r="CO303" s="35" t="s">
        <v>9822</v>
      </c>
      <c r="CP303" s="35" t="s">
        <v>9823</v>
      </c>
      <c r="CQ303" s="35" t="s">
        <v>685</v>
      </c>
      <c r="CR303" s="35" t="s">
        <v>9824</v>
      </c>
      <c r="CS303" s="35" t="s">
        <v>804</v>
      </c>
      <c r="CT303" s="35" t="s">
        <v>1346</v>
      </c>
      <c r="CU303" s="35" t="s">
        <v>9825</v>
      </c>
      <c r="CV303" s="35" t="s">
        <v>450</v>
      </c>
      <c r="CW303" s="35" t="s">
        <v>451</v>
      </c>
      <c r="CX303" s="35" t="s">
        <v>9826</v>
      </c>
      <c r="CY303" s="35" t="s">
        <v>733</v>
      </c>
      <c r="CZ303" s="35" t="s">
        <v>9827</v>
      </c>
      <c r="DA303" s="35" t="s">
        <v>453</v>
      </c>
      <c r="DB303" s="35" t="s">
        <v>9828</v>
      </c>
      <c r="DC303" s="35" t="s">
        <v>455</v>
      </c>
      <c r="DD303" s="35" t="s">
        <v>9829</v>
      </c>
      <c r="DE303" s="35" t="s">
        <v>406</v>
      </c>
      <c r="DF303" s="35" t="s">
        <v>1867</v>
      </c>
      <c r="DG303" s="35" t="s">
        <v>9830</v>
      </c>
      <c r="DH303" s="35" t="s">
        <v>561</v>
      </c>
      <c r="DI303" s="35" t="s">
        <v>410</v>
      </c>
      <c r="DJ303" s="35" t="s">
        <v>963</v>
      </c>
      <c r="DK303" s="35" t="s">
        <v>613</v>
      </c>
      <c r="EU303" s="35" t="s">
        <v>478</v>
      </c>
      <c r="EV303" s="35" t="s">
        <v>1037</v>
      </c>
      <c r="EW303" s="35" t="s">
        <v>580</v>
      </c>
      <c r="EY303" s="35" t="s">
        <v>9831</v>
      </c>
      <c r="FA303" s="35" t="s">
        <v>413</v>
      </c>
      <c r="FB303" s="35" t="s">
        <v>413</v>
      </c>
      <c r="FC303" s="35" t="s">
        <v>413</v>
      </c>
      <c r="FD303" s="35" t="s">
        <v>413</v>
      </c>
      <c r="FE303" s="35" t="s">
        <v>413</v>
      </c>
      <c r="FF303" s="35" t="s">
        <v>413</v>
      </c>
      <c r="FG303" s="35" t="s">
        <v>413</v>
      </c>
      <c r="FH303" s="35" t="s">
        <v>413</v>
      </c>
      <c r="FI303" s="35" t="s">
        <v>415</v>
      </c>
      <c r="FJ303" s="35" t="s">
        <v>413</v>
      </c>
      <c r="FK303" s="35" t="s">
        <v>413</v>
      </c>
      <c r="FL303" s="35" t="s">
        <v>413</v>
      </c>
      <c r="FM303" s="35" t="s">
        <v>413</v>
      </c>
      <c r="FN303" s="35" t="s">
        <v>413</v>
      </c>
      <c r="FO303" s="35" t="s">
        <v>583</v>
      </c>
      <c r="FP303" s="35" t="s">
        <v>485</v>
      </c>
      <c r="FQ303" s="35" t="s">
        <v>418</v>
      </c>
      <c r="FR303" s="35" t="s">
        <v>1039</v>
      </c>
      <c r="FT303" s="35" t="s">
        <v>420</v>
      </c>
      <c r="FU303" s="35" t="s">
        <v>488</v>
      </c>
      <c r="FW303" s="35" t="s">
        <v>490</v>
      </c>
      <c r="FX303" s="35" t="s">
        <v>491</v>
      </c>
      <c r="FY303" s="35" t="s">
        <v>9832</v>
      </c>
      <c r="FZ303" s="35" t="s">
        <v>535</v>
      </c>
      <c r="GC303" s="35" t="s">
        <v>408</v>
      </c>
      <c r="GH303" s="35" t="s">
        <v>857</v>
      </c>
      <c r="GR303" s="35" t="s">
        <v>9833</v>
      </c>
      <c r="GU303" s="35" t="s">
        <v>4774</v>
      </c>
      <c r="GW303" s="35" t="s">
        <v>5231</v>
      </c>
      <c r="GX303" s="35" t="s">
        <v>5261</v>
      </c>
      <c r="HD303" s="35" t="s">
        <v>484</v>
      </c>
      <c r="HE303" s="35" t="s">
        <v>5349</v>
      </c>
      <c r="HF303" s="35" t="s">
        <v>5718</v>
      </c>
      <c r="HG303" s="35" t="s">
        <v>5300</v>
      </c>
      <c r="HR303" s="35" t="s">
        <v>5238</v>
      </c>
      <c r="HS303" s="35" t="s">
        <v>913</v>
      </c>
      <c r="HX303" s="35" t="s">
        <v>5597</v>
      </c>
      <c r="MK303" s="35" t="s">
        <v>6321</v>
      </c>
    </row>
    <row r="304">
      <c r="A304" s="35" t="s">
        <v>11596</v>
      </c>
      <c r="B304" s="40">
        <v>46150.09750815972</v>
      </c>
      <c r="C304" s="35" t="s">
        <v>368</v>
      </c>
      <c r="D304" s="35" t="s">
        <v>370</v>
      </c>
      <c r="E304" s="35" t="s">
        <v>370</v>
      </c>
      <c r="F304" s="35" t="s">
        <v>2359</v>
      </c>
      <c r="G304" s="35" t="s">
        <v>2359</v>
      </c>
      <c r="H304" s="35" t="s">
        <v>2295</v>
      </c>
      <c r="I304" s="35" t="s">
        <v>373</v>
      </c>
      <c r="J304" s="35" t="s">
        <v>638</v>
      </c>
      <c r="K304" s="35" t="s">
        <v>375</v>
      </c>
      <c r="L304" s="35" t="s">
        <v>2560</v>
      </c>
      <c r="M304" s="35" t="s">
        <v>426</v>
      </c>
      <c r="N304" s="35" t="s">
        <v>9834</v>
      </c>
      <c r="O304" s="35" t="s">
        <v>1526</v>
      </c>
      <c r="P304" s="35" t="s">
        <v>1024</v>
      </c>
      <c r="Q304" s="35" t="s">
        <v>381</v>
      </c>
      <c r="R304" s="35" t="s">
        <v>382</v>
      </c>
      <c r="S304" s="35" t="s">
        <v>949</v>
      </c>
      <c r="T304" s="35" t="s">
        <v>384</v>
      </c>
      <c r="U304" s="35" t="s">
        <v>385</v>
      </c>
      <c r="X304" s="35" t="s">
        <v>386</v>
      </c>
      <c r="Y304" s="35" t="s">
        <v>387</v>
      </c>
      <c r="Z304" s="35" t="s">
        <v>897</v>
      </c>
      <c r="AA304" s="35" t="s">
        <v>543</v>
      </c>
      <c r="AB304" s="35" t="s">
        <v>408</v>
      </c>
      <c r="AW304" s="35" t="s">
        <v>390</v>
      </c>
      <c r="AX304" s="35" t="s">
        <v>391</v>
      </c>
      <c r="AY304" s="35" t="s">
        <v>391</v>
      </c>
      <c r="AZ304" s="35" t="s">
        <v>391</v>
      </c>
      <c r="BA304" s="41">
        <v>2.0</v>
      </c>
      <c r="BB304" s="35" t="s">
        <v>391</v>
      </c>
      <c r="BC304" s="35" t="s">
        <v>391</v>
      </c>
      <c r="BD304" s="35" t="s">
        <v>9835</v>
      </c>
      <c r="BE304" s="35" t="s">
        <v>9836</v>
      </c>
      <c r="BF304" s="35" t="s">
        <v>432</v>
      </c>
      <c r="BG304" s="35" t="s">
        <v>393</v>
      </c>
      <c r="BH304" s="35" t="s">
        <v>678</v>
      </c>
      <c r="BL304" s="35" t="s">
        <v>681</v>
      </c>
      <c r="BM304" s="35" t="s">
        <v>438</v>
      </c>
      <c r="BN304" s="35" t="s">
        <v>397</v>
      </c>
      <c r="BO304" s="35" t="s">
        <v>513</v>
      </c>
      <c r="CM304" s="35" t="s">
        <v>550</v>
      </c>
      <c r="CN304" s="35" t="s">
        <v>682</v>
      </c>
      <c r="CP304" s="35" t="s">
        <v>9837</v>
      </c>
      <c r="CQ304" s="35" t="s">
        <v>1008</v>
      </c>
      <c r="CR304" s="35" t="s">
        <v>9838</v>
      </c>
      <c r="CS304" s="35" t="s">
        <v>804</v>
      </c>
      <c r="CT304" s="35" t="s">
        <v>9839</v>
      </c>
      <c r="CU304" s="35" t="s">
        <v>9840</v>
      </c>
      <c r="CV304" s="35" t="s">
        <v>519</v>
      </c>
      <c r="CW304" s="35" t="s">
        <v>451</v>
      </c>
      <c r="CX304" s="35" t="s">
        <v>9841</v>
      </c>
      <c r="CY304" s="35" t="s">
        <v>733</v>
      </c>
      <c r="DA304" s="35" t="s">
        <v>453</v>
      </c>
      <c r="DB304" s="35" t="s">
        <v>9842</v>
      </c>
      <c r="DC304" s="35" t="s">
        <v>913</v>
      </c>
      <c r="DE304" s="35" t="s">
        <v>988</v>
      </c>
      <c r="DG304" s="35" t="s">
        <v>9843</v>
      </c>
      <c r="DH304" s="35" t="s">
        <v>561</v>
      </c>
      <c r="DI304" s="35" t="s">
        <v>410</v>
      </c>
      <c r="DJ304" s="35" t="s">
        <v>777</v>
      </c>
      <c r="DK304" s="35" t="s">
        <v>613</v>
      </c>
      <c r="EU304" s="35" t="s">
        <v>526</v>
      </c>
      <c r="EV304" s="35" t="s">
        <v>1037</v>
      </c>
      <c r="EW304" s="35" t="s">
        <v>580</v>
      </c>
      <c r="FA304" s="35" t="s">
        <v>413</v>
      </c>
      <c r="FB304" s="35" t="s">
        <v>415</v>
      </c>
      <c r="FC304" s="35" t="s">
        <v>413</v>
      </c>
      <c r="FD304" s="35" t="s">
        <v>413</v>
      </c>
      <c r="FE304" s="35" t="s">
        <v>413</v>
      </c>
      <c r="FF304" s="35" t="s">
        <v>415</v>
      </c>
      <c r="FG304" s="35" t="s">
        <v>415</v>
      </c>
      <c r="FH304" s="35" t="s">
        <v>484</v>
      </c>
      <c r="FI304" s="35" t="s">
        <v>484</v>
      </c>
      <c r="FJ304" s="35" t="s">
        <v>415</v>
      </c>
      <c r="FK304" s="35" t="s">
        <v>415</v>
      </c>
      <c r="FL304" s="35" t="s">
        <v>484</v>
      </c>
      <c r="FM304" s="35" t="s">
        <v>484</v>
      </c>
      <c r="FN304" s="35" t="s">
        <v>484</v>
      </c>
      <c r="FO304" s="35" t="s">
        <v>484</v>
      </c>
      <c r="FP304" s="35" t="s">
        <v>850</v>
      </c>
      <c r="FQ304" s="35" t="s">
        <v>418</v>
      </c>
      <c r="FR304" s="35" t="s">
        <v>712</v>
      </c>
      <c r="FS304" s="35" t="s">
        <v>9844</v>
      </c>
      <c r="FT304" s="35" t="s">
        <v>420</v>
      </c>
      <c r="FU304" s="35" t="s">
        <v>488</v>
      </c>
      <c r="FV304" s="35" t="s">
        <v>918</v>
      </c>
      <c r="FW304" s="35" t="s">
        <v>490</v>
      </c>
      <c r="FX304" s="35" t="s">
        <v>491</v>
      </c>
      <c r="FZ304" s="35" t="s">
        <v>535</v>
      </c>
      <c r="GH304" s="35" t="s">
        <v>920</v>
      </c>
      <c r="GI304" s="35" t="s">
        <v>920</v>
      </c>
      <c r="GJ304" s="35" t="s">
        <v>921</v>
      </c>
      <c r="GR304" s="35" t="s">
        <v>3273</v>
      </c>
      <c r="GU304" s="35" t="s">
        <v>4774</v>
      </c>
      <c r="GW304" s="35" t="s">
        <v>5231</v>
      </c>
      <c r="GX304" s="35" t="s">
        <v>484</v>
      </c>
      <c r="HD304" s="35" t="s">
        <v>5297</v>
      </c>
      <c r="HE304" s="35" t="s">
        <v>5349</v>
      </c>
      <c r="HF304" s="35" t="s">
        <v>5320</v>
      </c>
      <c r="HG304" s="35" t="s">
        <v>5284</v>
      </c>
      <c r="HP304" s="35" t="s">
        <v>5236</v>
      </c>
      <c r="HQ304" s="35" t="s">
        <v>5371</v>
      </c>
      <c r="HR304" s="35" t="s">
        <v>5238</v>
      </c>
      <c r="HS304" s="35" t="s">
        <v>5321</v>
      </c>
      <c r="HX304" s="35" t="s">
        <v>5578</v>
      </c>
      <c r="MK304" s="35" t="s">
        <v>6321</v>
      </c>
    </row>
    <row r="305">
      <c r="A305" s="35" t="s">
        <v>11597</v>
      </c>
      <c r="B305" s="40">
        <v>46159.019054930555</v>
      </c>
      <c r="C305" s="35" t="s">
        <v>368</v>
      </c>
      <c r="D305" s="35" t="s">
        <v>5694</v>
      </c>
      <c r="E305" s="35" t="s">
        <v>5694</v>
      </c>
      <c r="H305" s="35" t="s">
        <v>422</v>
      </c>
      <c r="I305" s="35" t="s">
        <v>373</v>
      </c>
      <c r="J305" s="35" t="s">
        <v>638</v>
      </c>
      <c r="K305" s="35" t="s">
        <v>718</v>
      </c>
      <c r="L305" s="35" t="s">
        <v>376</v>
      </c>
      <c r="M305" s="35" t="s">
        <v>426</v>
      </c>
      <c r="N305" s="35" t="s">
        <v>639</v>
      </c>
      <c r="O305" s="35" t="s">
        <v>793</v>
      </c>
      <c r="P305" s="35" t="s">
        <v>719</v>
      </c>
      <c r="Q305" s="35" t="s">
        <v>498</v>
      </c>
      <c r="R305" s="35" t="s">
        <v>499</v>
      </c>
      <c r="S305" s="35" t="s">
        <v>427</v>
      </c>
      <c r="T305" s="35" t="s">
        <v>384</v>
      </c>
      <c r="U305" s="35" t="s">
        <v>385</v>
      </c>
      <c r="X305" s="35" t="s">
        <v>386</v>
      </c>
      <c r="Y305" s="35" t="s">
        <v>387</v>
      </c>
      <c r="Z305" s="35" t="s">
        <v>594</v>
      </c>
      <c r="AA305" s="35" t="s">
        <v>543</v>
      </c>
      <c r="AW305" s="35" t="s">
        <v>1310</v>
      </c>
      <c r="AX305" s="41">
        <v>4.0</v>
      </c>
      <c r="AZ305" s="35" t="s">
        <v>391</v>
      </c>
      <c r="BA305" s="35" t="s">
        <v>391</v>
      </c>
      <c r="BB305" s="35" t="s">
        <v>429</v>
      </c>
      <c r="BC305" s="35" t="s">
        <v>391</v>
      </c>
      <c r="BF305" s="35" t="s">
        <v>902</v>
      </c>
      <c r="BG305" s="35" t="s">
        <v>1245</v>
      </c>
      <c r="BH305" s="35" t="s">
        <v>394</v>
      </c>
      <c r="BJ305" s="35" t="s">
        <v>976</v>
      </c>
      <c r="BL305" s="35" t="s">
        <v>437</v>
      </c>
      <c r="BM305" s="35" t="s">
        <v>603</v>
      </c>
      <c r="BN305" s="35" t="s">
        <v>1247</v>
      </c>
      <c r="BO305" s="35" t="s">
        <v>513</v>
      </c>
      <c r="CM305" s="35" t="s">
        <v>953</v>
      </c>
      <c r="CN305" s="35" t="s">
        <v>401</v>
      </c>
      <c r="CP305" s="35" t="s">
        <v>408</v>
      </c>
      <c r="CV305" s="35" t="s">
        <v>982</v>
      </c>
      <c r="CW305" s="35" t="s">
        <v>959</v>
      </c>
      <c r="CY305" s="35" t="s">
        <v>408</v>
      </c>
      <c r="DA305" s="35" t="s">
        <v>1962</v>
      </c>
      <c r="DC305" s="35" t="s">
        <v>408</v>
      </c>
      <c r="DH305" s="35" t="s">
        <v>990</v>
      </c>
      <c r="DI305" s="35" t="s">
        <v>410</v>
      </c>
      <c r="DJ305" s="35" t="s">
        <v>963</v>
      </c>
      <c r="DK305" s="35" t="s">
        <v>460</v>
      </c>
      <c r="DL305" s="35" t="s">
        <v>6603</v>
      </c>
      <c r="EU305" s="35" t="s">
        <v>578</v>
      </c>
      <c r="EV305" s="35" t="s">
        <v>579</v>
      </c>
      <c r="EW305" s="35" t="s">
        <v>1534</v>
      </c>
      <c r="FA305" s="35" t="s">
        <v>414</v>
      </c>
      <c r="FB305" s="35" t="s">
        <v>414</v>
      </c>
      <c r="FC305" s="35" t="s">
        <v>414</v>
      </c>
      <c r="FD305" s="35" t="s">
        <v>414</v>
      </c>
      <c r="FE305" s="35" t="s">
        <v>414</v>
      </c>
      <c r="FF305" s="35" t="s">
        <v>414</v>
      </c>
      <c r="FG305" s="35" t="s">
        <v>414</v>
      </c>
      <c r="FJ305" s="35" t="s">
        <v>413</v>
      </c>
      <c r="FK305" s="35" t="s">
        <v>484</v>
      </c>
      <c r="FL305" s="35" t="s">
        <v>415</v>
      </c>
      <c r="FM305" s="35" t="s">
        <v>416</v>
      </c>
      <c r="FN305" s="35" t="s">
        <v>416</v>
      </c>
      <c r="FO305" s="35" t="s">
        <v>414</v>
      </c>
      <c r="FP305" s="35" t="s">
        <v>1074</v>
      </c>
      <c r="FQ305" s="35" t="s">
        <v>486</v>
      </c>
      <c r="FR305" s="35" t="s">
        <v>419</v>
      </c>
      <c r="FT305" s="35" t="s">
        <v>1871</v>
      </c>
      <c r="FU305" s="35" t="s">
        <v>421</v>
      </c>
      <c r="FV305" s="35" t="s">
        <v>585</v>
      </c>
      <c r="FW305" s="35" t="s">
        <v>2399</v>
      </c>
      <c r="FX305" s="35" t="s">
        <v>491</v>
      </c>
      <c r="FZ305" s="35" t="s">
        <v>1337</v>
      </c>
      <c r="GH305" s="35" t="s">
        <v>755</v>
      </c>
      <c r="GI305" s="35" t="s">
        <v>755</v>
      </c>
      <c r="GJ305" s="35" t="s">
        <v>946</v>
      </c>
      <c r="GR305" s="35" t="s">
        <v>3208</v>
      </c>
      <c r="GU305" s="35" t="s">
        <v>4741</v>
      </c>
      <c r="GW305" s="35" t="s">
        <v>5260</v>
      </c>
      <c r="GX305" s="35" t="s">
        <v>5261</v>
      </c>
      <c r="HP305" s="35" t="s">
        <v>5383</v>
      </c>
      <c r="HQ305" s="35" t="s">
        <v>5264</v>
      </c>
      <c r="HR305" s="35" t="s">
        <v>5286</v>
      </c>
      <c r="HS305" s="35" t="s">
        <v>5287</v>
      </c>
      <c r="HT305" s="35" t="s">
        <v>5916</v>
      </c>
      <c r="HV305" s="35" t="s">
        <v>5988</v>
      </c>
      <c r="HW305" s="35" t="s">
        <v>8922</v>
      </c>
      <c r="HY305" s="35" t="s">
        <v>5919</v>
      </c>
      <c r="HZ305" s="35" t="s">
        <v>5919</v>
      </c>
      <c r="IA305" s="35" t="s">
        <v>5920</v>
      </c>
      <c r="IB305" s="35" t="s">
        <v>5920</v>
      </c>
      <c r="IC305" s="35" t="s">
        <v>5920</v>
      </c>
      <c r="ID305" s="35" t="s">
        <v>5922</v>
      </c>
      <c r="IE305" s="35" t="s">
        <v>5536</v>
      </c>
      <c r="IF305" s="35" t="s">
        <v>5536</v>
      </c>
      <c r="IG305" s="35" t="s">
        <v>5536</v>
      </c>
      <c r="IH305" s="35" t="s">
        <v>5989</v>
      </c>
      <c r="II305" s="35" t="s">
        <v>5537</v>
      </c>
      <c r="IJ305" s="35" t="s">
        <v>5500</v>
      </c>
      <c r="IL305" s="35" t="s">
        <v>5924</v>
      </c>
      <c r="MK305" s="35" t="s">
        <v>6321</v>
      </c>
    </row>
    <row r="306">
      <c r="A306" s="35" t="s">
        <v>11598</v>
      </c>
      <c r="B306" s="40">
        <v>46163.04970236111</v>
      </c>
      <c r="C306" s="35" t="s">
        <v>368</v>
      </c>
      <c r="D306" s="35" t="s">
        <v>1341</v>
      </c>
      <c r="E306" s="35" t="s">
        <v>1341</v>
      </c>
      <c r="H306" s="35" t="s">
        <v>422</v>
      </c>
      <c r="I306" s="35" t="s">
        <v>496</v>
      </c>
      <c r="J306" s="35" t="s">
        <v>374</v>
      </c>
      <c r="K306" s="35" t="s">
        <v>758</v>
      </c>
      <c r="L306" s="35" t="s">
        <v>376</v>
      </c>
      <c r="M306" s="35" t="s">
        <v>377</v>
      </c>
      <c r="N306" s="35" t="s">
        <v>9845</v>
      </c>
      <c r="O306" s="35" t="s">
        <v>793</v>
      </c>
      <c r="P306" s="35" t="s">
        <v>378</v>
      </c>
      <c r="Q306" s="35" t="s">
        <v>381</v>
      </c>
      <c r="R306" s="35" t="s">
        <v>499</v>
      </c>
      <c r="S306" s="35" t="s">
        <v>427</v>
      </c>
      <c r="T306" s="35" t="s">
        <v>384</v>
      </c>
      <c r="U306" s="35" t="s">
        <v>385</v>
      </c>
      <c r="X306" s="35" t="s">
        <v>593</v>
      </c>
      <c r="Y306" s="35" t="s">
        <v>6089</v>
      </c>
      <c r="AW306" s="35" t="s">
        <v>1242</v>
      </c>
      <c r="AX306" s="35" t="s">
        <v>391</v>
      </c>
      <c r="AY306" s="35" t="s">
        <v>429</v>
      </c>
      <c r="AZ306" s="41">
        <v>4.0</v>
      </c>
      <c r="BA306" s="41">
        <v>4.0</v>
      </c>
      <c r="BB306" s="41">
        <v>4.0</v>
      </c>
      <c r="BD306" s="35" t="s">
        <v>1855</v>
      </c>
      <c r="BE306" s="35" t="s">
        <v>3585</v>
      </c>
      <c r="BF306" s="35" t="s">
        <v>3114</v>
      </c>
      <c r="BG306" s="35" t="s">
        <v>433</v>
      </c>
      <c r="BH306" s="35" t="s">
        <v>678</v>
      </c>
      <c r="BI306" s="35" t="s">
        <v>552</v>
      </c>
      <c r="BJ306" s="35" t="s">
        <v>509</v>
      </c>
      <c r="BK306" s="35" t="s">
        <v>455</v>
      </c>
      <c r="BL306" s="35" t="s">
        <v>602</v>
      </c>
      <c r="BM306" s="35" t="s">
        <v>904</v>
      </c>
      <c r="BN306" s="35" t="s">
        <v>1314</v>
      </c>
      <c r="BO306" s="35" t="s">
        <v>513</v>
      </c>
      <c r="CM306" s="35" t="s">
        <v>550</v>
      </c>
      <c r="CN306" s="35" t="s">
        <v>442</v>
      </c>
      <c r="CO306" s="35" t="s">
        <v>552</v>
      </c>
      <c r="CP306" s="35" t="s">
        <v>552</v>
      </c>
      <c r="DI306" s="35" t="s">
        <v>410</v>
      </c>
      <c r="GO306" s="35" t="s">
        <v>9846</v>
      </c>
      <c r="GP306" s="35" t="s">
        <v>9847</v>
      </c>
      <c r="GW306" s="35" t="s">
        <v>5231</v>
      </c>
      <c r="GX306" s="35" t="s">
        <v>5261</v>
      </c>
      <c r="MK306" s="35" t="s">
        <v>6321</v>
      </c>
    </row>
    <row r="307">
      <c r="A307" s="35" t="s">
        <v>11599</v>
      </c>
      <c r="B307" s="40">
        <v>46176.16395915509</v>
      </c>
      <c r="C307" s="35" t="s">
        <v>368</v>
      </c>
      <c r="D307" s="35" t="s">
        <v>538</v>
      </c>
      <c r="E307" s="35" t="s">
        <v>538</v>
      </c>
      <c r="H307" s="35" t="s">
        <v>422</v>
      </c>
      <c r="I307" s="35" t="s">
        <v>373</v>
      </c>
      <c r="J307" s="35" t="s">
        <v>374</v>
      </c>
      <c r="K307" s="35" t="s">
        <v>375</v>
      </c>
      <c r="L307" s="35" t="s">
        <v>376</v>
      </c>
      <c r="M307" s="35" t="s">
        <v>793</v>
      </c>
      <c r="N307" s="35" t="s">
        <v>9867</v>
      </c>
      <c r="O307" s="35" t="s">
        <v>793</v>
      </c>
      <c r="P307" s="35" t="s">
        <v>9868</v>
      </c>
      <c r="Q307" s="35" t="s">
        <v>498</v>
      </c>
      <c r="R307" s="35" t="s">
        <v>862</v>
      </c>
      <c r="S307" s="35" t="s">
        <v>427</v>
      </c>
      <c r="T307" s="35" t="s">
        <v>384</v>
      </c>
      <c r="U307" s="35" t="s">
        <v>385</v>
      </c>
      <c r="X307" s="35" t="s">
        <v>3014</v>
      </c>
      <c r="AW307" s="35" t="s">
        <v>1242</v>
      </c>
      <c r="AX307" s="35" t="s">
        <v>675</v>
      </c>
      <c r="AY307" s="35" t="s">
        <v>675</v>
      </c>
      <c r="AZ307" s="35" t="s">
        <v>675</v>
      </c>
      <c r="BA307" s="41">
        <v>4.0</v>
      </c>
      <c r="BB307" s="35" t="s">
        <v>675</v>
      </c>
      <c r="BC307" s="41">
        <v>4.0</v>
      </c>
      <c r="BD307" s="35" t="s">
        <v>9869</v>
      </c>
      <c r="BE307" s="35" t="s">
        <v>9870</v>
      </c>
      <c r="BF307" s="35" t="s">
        <v>902</v>
      </c>
      <c r="BG307" s="35" t="s">
        <v>1095</v>
      </c>
      <c r="BH307" s="35" t="s">
        <v>434</v>
      </c>
      <c r="BI307" s="35" t="s">
        <v>9871</v>
      </c>
      <c r="BJ307" s="35" t="s">
        <v>976</v>
      </c>
      <c r="BL307" s="35" t="s">
        <v>681</v>
      </c>
      <c r="BM307" s="35" t="s">
        <v>603</v>
      </c>
      <c r="BN307" s="35" t="s">
        <v>1314</v>
      </c>
      <c r="BO307" s="35" t="s">
        <v>513</v>
      </c>
      <c r="CM307" s="35" t="s">
        <v>682</v>
      </c>
      <c r="CN307" s="35" t="s">
        <v>442</v>
      </c>
      <c r="CO307" s="35" t="s">
        <v>9872</v>
      </c>
      <c r="CP307" s="35" t="s">
        <v>552</v>
      </c>
      <c r="CU307" s="35" t="s">
        <v>9873</v>
      </c>
      <c r="CV307" s="35" t="s">
        <v>1852</v>
      </c>
      <c r="CW307" s="35" t="s">
        <v>959</v>
      </c>
      <c r="CX307" s="35" t="s">
        <v>9874</v>
      </c>
      <c r="CY307" s="35" t="s">
        <v>408</v>
      </c>
      <c r="DA307" s="35" t="s">
        <v>1962</v>
      </c>
      <c r="DC307" s="35" t="s">
        <v>408</v>
      </c>
      <c r="DH307" s="35" t="s">
        <v>990</v>
      </c>
      <c r="DI307" s="35" t="s">
        <v>833</v>
      </c>
      <c r="DJ307" s="35" t="s">
        <v>777</v>
      </c>
      <c r="DK307" s="35" t="s">
        <v>460</v>
      </c>
      <c r="DL307" s="35" t="s">
        <v>1434</v>
      </c>
      <c r="EU307" s="35" t="s">
        <v>578</v>
      </c>
      <c r="EV307" s="35" t="s">
        <v>1127</v>
      </c>
      <c r="EW307" s="35" t="s">
        <v>527</v>
      </c>
      <c r="EY307" s="35" t="s">
        <v>9875</v>
      </c>
      <c r="EZ307" s="35" t="s">
        <v>9876</v>
      </c>
      <c r="FA307" s="35" t="s">
        <v>583</v>
      </c>
      <c r="FB307" s="35" t="s">
        <v>583</v>
      </c>
      <c r="FC307" s="35" t="s">
        <v>415</v>
      </c>
      <c r="FD307" s="35" t="s">
        <v>583</v>
      </c>
      <c r="FE307" s="35" t="s">
        <v>415</v>
      </c>
      <c r="FF307" s="35" t="s">
        <v>583</v>
      </c>
      <c r="FG307" s="35" t="s">
        <v>583</v>
      </c>
      <c r="FH307" s="35" t="s">
        <v>583</v>
      </c>
      <c r="FI307" s="35" t="s">
        <v>416</v>
      </c>
      <c r="FJ307" s="35" t="s">
        <v>415</v>
      </c>
      <c r="FK307" s="35" t="s">
        <v>414</v>
      </c>
      <c r="FL307" s="35" t="s">
        <v>583</v>
      </c>
      <c r="FM307" s="35" t="s">
        <v>583</v>
      </c>
      <c r="FN307" s="35" t="s">
        <v>414</v>
      </c>
      <c r="FO307" s="35" t="s">
        <v>414</v>
      </c>
      <c r="FP307" s="35" t="s">
        <v>1537</v>
      </c>
      <c r="FQ307" s="35" t="s">
        <v>1200</v>
      </c>
      <c r="FR307" s="35" t="s">
        <v>749</v>
      </c>
      <c r="FS307" s="35" t="s">
        <v>9877</v>
      </c>
      <c r="FT307" s="35" t="s">
        <v>1871</v>
      </c>
      <c r="FU307" s="35" t="s">
        <v>421</v>
      </c>
      <c r="FV307" s="35" t="s">
        <v>918</v>
      </c>
      <c r="FW307" s="35" t="s">
        <v>2399</v>
      </c>
      <c r="FX307" s="35" t="s">
        <v>1853</v>
      </c>
      <c r="FY307" s="35" t="s">
        <v>9878</v>
      </c>
      <c r="FZ307" s="35" t="s">
        <v>1020</v>
      </c>
      <c r="GC307" s="35" t="s">
        <v>408</v>
      </c>
      <c r="GH307" s="35" t="s">
        <v>920</v>
      </c>
      <c r="GI307" s="35" t="s">
        <v>920</v>
      </c>
      <c r="GJ307" s="35" t="s">
        <v>817</v>
      </c>
      <c r="GO307" s="35" t="s">
        <v>4478</v>
      </c>
      <c r="GP307" s="35" t="s">
        <v>4478</v>
      </c>
      <c r="GR307" s="35" t="s">
        <v>3208</v>
      </c>
      <c r="GU307" s="35" t="s">
        <v>4774</v>
      </c>
      <c r="GW307" s="35" t="s">
        <v>5231</v>
      </c>
      <c r="GX307" s="35" t="s">
        <v>484</v>
      </c>
      <c r="HP307" s="35" t="s">
        <v>5383</v>
      </c>
      <c r="HQ307" s="35" t="s">
        <v>5302</v>
      </c>
      <c r="HR307" s="35" t="s">
        <v>5721</v>
      </c>
      <c r="HS307" s="35" t="s">
        <v>913</v>
      </c>
      <c r="HT307" s="35" t="s">
        <v>5916</v>
      </c>
      <c r="HV307" s="35" t="s">
        <v>5988</v>
      </c>
      <c r="HW307" s="35" t="s">
        <v>5918</v>
      </c>
      <c r="HY307" s="35" t="s">
        <v>5919</v>
      </c>
      <c r="HZ307" s="35" t="s">
        <v>5920</v>
      </c>
      <c r="IA307" s="35" t="s">
        <v>5921</v>
      </c>
      <c r="IB307" s="35" t="s">
        <v>5921</v>
      </c>
      <c r="IC307" s="35" t="s">
        <v>5921</v>
      </c>
      <c r="ID307" s="35" t="s">
        <v>5919</v>
      </c>
      <c r="IE307" s="35" t="s">
        <v>5500</v>
      </c>
      <c r="IF307" s="35" t="s">
        <v>5500</v>
      </c>
      <c r="IG307" s="35" t="s">
        <v>5500</v>
      </c>
      <c r="IH307" s="35" t="s">
        <v>5500</v>
      </c>
      <c r="II307" s="35" t="s">
        <v>5536</v>
      </c>
      <c r="IJ307" s="35" t="s">
        <v>5500</v>
      </c>
      <c r="IK307" s="35" t="s">
        <v>9879</v>
      </c>
      <c r="IL307" s="35" t="s">
        <v>5924</v>
      </c>
      <c r="IM307" s="35" t="s">
        <v>9880</v>
      </c>
      <c r="IN307" s="35" t="s">
        <v>9881</v>
      </c>
      <c r="MK307" s="35" t="s">
        <v>6321</v>
      </c>
    </row>
    <row r="308">
      <c r="A308" s="35" t="s">
        <v>11600</v>
      </c>
      <c r="B308" s="40">
        <v>46181.86271541667</v>
      </c>
      <c r="C308" s="35" t="s">
        <v>368</v>
      </c>
      <c r="D308" s="35" t="s">
        <v>370</v>
      </c>
      <c r="E308" s="35" t="s">
        <v>370</v>
      </c>
      <c r="F308" s="35" t="s">
        <v>757</v>
      </c>
      <c r="G308" s="35" t="s">
        <v>1480</v>
      </c>
      <c r="H308" s="35" t="s">
        <v>422</v>
      </c>
      <c r="I308" s="35" t="s">
        <v>496</v>
      </c>
      <c r="J308" s="35" t="s">
        <v>374</v>
      </c>
      <c r="K308" s="35" t="s">
        <v>540</v>
      </c>
      <c r="L308" s="35" t="s">
        <v>376</v>
      </c>
      <c r="M308" s="35" t="s">
        <v>591</v>
      </c>
      <c r="N308" s="35" t="s">
        <v>860</v>
      </c>
      <c r="O308" s="35" t="s">
        <v>591</v>
      </c>
      <c r="P308" s="35" t="s">
        <v>639</v>
      </c>
      <c r="Q308" s="35" t="s">
        <v>498</v>
      </c>
      <c r="R308" s="35" t="s">
        <v>382</v>
      </c>
      <c r="S308" s="35" t="s">
        <v>641</v>
      </c>
      <c r="T308" s="35" t="s">
        <v>384</v>
      </c>
      <c r="U308" s="35" t="s">
        <v>385</v>
      </c>
      <c r="X308" s="35" t="s">
        <v>386</v>
      </c>
      <c r="Y308" s="35" t="s">
        <v>387</v>
      </c>
      <c r="Z308" s="35" t="s">
        <v>594</v>
      </c>
      <c r="AA308" s="35" t="s">
        <v>502</v>
      </c>
      <c r="AB308" s="35" t="s">
        <v>408</v>
      </c>
      <c r="AC308" s="35" t="s">
        <v>9913</v>
      </c>
      <c r="AW308" s="35" t="s">
        <v>1310</v>
      </c>
      <c r="AX308" s="35" t="s">
        <v>675</v>
      </c>
      <c r="AY308" s="35" t="s">
        <v>675</v>
      </c>
      <c r="AZ308" s="35" t="s">
        <v>391</v>
      </c>
      <c r="BA308" s="35" t="s">
        <v>675</v>
      </c>
      <c r="BB308" s="41">
        <v>2.0</v>
      </c>
      <c r="BC308" s="35" t="s">
        <v>391</v>
      </c>
      <c r="BE308" s="35" t="s">
        <v>9914</v>
      </c>
      <c r="BF308" s="35" t="s">
        <v>432</v>
      </c>
      <c r="BG308" s="35" t="s">
        <v>1095</v>
      </c>
      <c r="BH308" s="35" t="s">
        <v>434</v>
      </c>
      <c r="BI308" s="35" t="s">
        <v>9915</v>
      </c>
      <c r="BJ308" s="35" t="s">
        <v>435</v>
      </c>
      <c r="BK308" s="35" t="s">
        <v>9916</v>
      </c>
      <c r="BL308" s="35" t="s">
        <v>395</v>
      </c>
      <c r="BM308" s="35" t="s">
        <v>438</v>
      </c>
      <c r="BN308" s="35" t="s">
        <v>1247</v>
      </c>
      <c r="BO308" s="35" t="s">
        <v>513</v>
      </c>
      <c r="CM308" s="35" t="s">
        <v>441</v>
      </c>
      <c r="CN308" s="35" t="s">
        <v>604</v>
      </c>
      <c r="CO308" s="35" t="s">
        <v>9917</v>
      </c>
      <c r="CP308" s="35" t="s">
        <v>9918</v>
      </c>
      <c r="CQ308" s="35" t="s">
        <v>403</v>
      </c>
      <c r="CR308" s="35" t="s">
        <v>9919</v>
      </c>
      <c r="CS308" s="35" t="s">
        <v>447</v>
      </c>
      <c r="CT308" s="35" t="s">
        <v>9920</v>
      </c>
      <c r="CU308" s="35" t="s">
        <v>9921</v>
      </c>
      <c r="CV308" s="35" t="s">
        <v>1863</v>
      </c>
      <c r="CW308" s="35" t="s">
        <v>451</v>
      </c>
      <c r="CX308" s="35" t="s">
        <v>9922</v>
      </c>
      <c r="CY308" s="35" t="s">
        <v>408</v>
      </c>
      <c r="DA308" s="35" t="s">
        <v>453</v>
      </c>
      <c r="DB308" s="35" t="s">
        <v>9923</v>
      </c>
      <c r="DC308" s="35" t="s">
        <v>455</v>
      </c>
      <c r="DD308" s="35" t="s">
        <v>9924</v>
      </c>
      <c r="DE308" s="35" t="s">
        <v>662</v>
      </c>
      <c r="DF308" s="35" t="s">
        <v>691</v>
      </c>
      <c r="DG308" s="35" t="s">
        <v>9925</v>
      </c>
      <c r="DH308" s="35" t="s">
        <v>4899</v>
      </c>
      <c r="DI308" s="35" t="s">
        <v>410</v>
      </c>
      <c r="DJ308" s="35" t="s">
        <v>459</v>
      </c>
      <c r="DK308" s="35" t="s">
        <v>460</v>
      </c>
      <c r="DL308" s="35" t="s">
        <v>6335</v>
      </c>
      <c r="EU308" s="35" t="s">
        <v>526</v>
      </c>
      <c r="EV308" s="35" t="s">
        <v>479</v>
      </c>
      <c r="EW308" s="35" t="s">
        <v>527</v>
      </c>
      <c r="EX308" s="35" t="s">
        <v>9926</v>
      </c>
      <c r="EY308" s="35" t="s">
        <v>9927</v>
      </c>
      <c r="EZ308" s="35" t="s">
        <v>9928</v>
      </c>
      <c r="FA308" s="35" t="s">
        <v>415</v>
      </c>
      <c r="FB308" s="35" t="s">
        <v>414</v>
      </c>
      <c r="FC308" s="35" t="s">
        <v>414</v>
      </c>
      <c r="FD308" s="35" t="s">
        <v>583</v>
      </c>
      <c r="FE308" s="35" t="s">
        <v>413</v>
      </c>
      <c r="FF308" s="35" t="s">
        <v>484</v>
      </c>
      <c r="FG308" s="35" t="s">
        <v>415</v>
      </c>
      <c r="FH308" s="35" t="s">
        <v>415</v>
      </c>
      <c r="FI308" s="35" t="s">
        <v>415</v>
      </c>
      <c r="FJ308" s="35" t="s">
        <v>583</v>
      </c>
      <c r="FK308" s="35" t="s">
        <v>583</v>
      </c>
      <c r="FL308" s="35" t="s">
        <v>414</v>
      </c>
      <c r="FM308" s="35" t="s">
        <v>583</v>
      </c>
      <c r="FN308" s="35" t="s">
        <v>415</v>
      </c>
      <c r="FO308" s="35" t="s">
        <v>414</v>
      </c>
      <c r="FP308" s="35" t="s">
        <v>850</v>
      </c>
      <c r="FQ308" s="35" t="s">
        <v>418</v>
      </c>
      <c r="FR308" s="35" t="s">
        <v>630</v>
      </c>
      <c r="FS308" s="35" t="s">
        <v>9929</v>
      </c>
      <c r="FT308" s="35" t="s">
        <v>420</v>
      </c>
      <c r="FU308" s="35" t="s">
        <v>488</v>
      </c>
      <c r="FV308" s="35" t="s">
        <v>533</v>
      </c>
      <c r="FW308" s="35" t="s">
        <v>490</v>
      </c>
      <c r="FX308" s="35" t="s">
        <v>491</v>
      </c>
      <c r="FY308" s="35" t="s">
        <v>9930</v>
      </c>
      <c r="FZ308" s="35" t="s">
        <v>535</v>
      </c>
      <c r="GB308" s="35" t="s">
        <v>9931</v>
      </c>
      <c r="GC308" s="35" t="s">
        <v>455</v>
      </c>
      <c r="GD308" s="35" t="s">
        <v>11601</v>
      </c>
      <c r="GF308" s="35" t="s">
        <v>855</v>
      </c>
      <c r="GG308" s="35" t="s">
        <v>9932</v>
      </c>
      <c r="GH308" s="35" t="s">
        <v>788</v>
      </c>
      <c r="GI308" s="35" t="s">
        <v>1000</v>
      </c>
      <c r="GJ308" s="35" t="s">
        <v>817</v>
      </c>
      <c r="GR308" s="35" t="s">
        <v>9933</v>
      </c>
      <c r="GU308" s="35" t="s">
        <v>5081</v>
      </c>
      <c r="GV308" s="35" t="s">
        <v>4660</v>
      </c>
      <c r="GW308" s="35" t="s">
        <v>5231</v>
      </c>
      <c r="GX308" s="35" t="s">
        <v>5232</v>
      </c>
      <c r="HD308" s="35" t="s">
        <v>5297</v>
      </c>
      <c r="HE308" s="35" t="s">
        <v>5282</v>
      </c>
      <c r="HF308" s="35" t="s">
        <v>484</v>
      </c>
      <c r="HG308" s="35" t="s">
        <v>5768</v>
      </c>
      <c r="HP308" s="35" t="s">
        <v>5236</v>
      </c>
      <c r="HQ308" s="35" t="s">
        <v>5264</v>
      </c>
      <c r="HR308" s="35" t="s">
        <v>5238</v>
      </c>
      <c r="HS308" s="35" t="s">
        <v>5239</v>
      </c>
      <c r="MK308" s="35" t="s">
        <v>6321</v>
      </c>
    </row>
    <row r="309">
      <c r="A309" s="35" t="s">
        <v>11602</v>
      </c>
      <c r="B309" s="40">
        <v>46187.82425446759</v>
      </c>
      <c r="C309" s="35" t="s">
        <v>368</v>
      </c>
      <c r="D309" s="35" t="s">
        <v>370</v>
      </c>
      <c r="E309" s="35" t="s">
        <v>370</v>
      </c>
      <c r="F309" s="35" t="s">
        <v>1441</v>
      </c>
      <c r="G309" s="35" t="s">
        <v>1421</v>
      </c>
      <c r="H309" s="35" t="s">
        <v>422</v>
      </c>
      <c r="I309" s="35" t="s">
        <v>1921</v>
      </c>
      <c r="J309" s="35" t="s">
        <v>668</v>
      </c>
      <c r="K309" s="35" t="s">
        <v>375</v>
      </c>
      <c r="L309" s="35" t="s">
        <v>376</v>
      </c>
      <c r="M309" s="35" t="s">
        <v>426</v>
      </c>
      <c r="N309" s="35" t="s">
        <v>378</v>
      </c>
      <c r="O309" s="35" t="s">
        <v>379</v>
      </c>
      <c r="P309" s="35" t="s">
        <v>719</v>
      </c>
      <c r="Q309" s="35" t="s">
        <v>1504</v>
      </c>
      <c r="R309" s="35" t="s">
        <v>499</v>
      </c>
      <c r="S309" s="35" t="s">
        <v>500</v>
      </c>
      <c r="T309" s="35" t="s">
        <v>384</v>
      </c>
      <c r="U309" s="35" t="s">
        <v>385</v>
      </c>
      <c r="X309" s="35" t="s">
        <v>593</v>
      </c>
      <c r="Y309" s="35" t="s">
        <v>387</v>
      </c>
      <c r="Z309" s="35" t="s">
        <v>2115</v>
      </c>
      <c r="AA309" s="35" t="s">
        <v>543</v>
      </c>
      <c r="AB309" s="35" t="s">
        <v>2675</v>
      </c>
      <c r="AC309" s="35" t="s">
        <v>9959</v>
      </c>
      <c r="AW309" s="35" t="s">
        <v>1242</v>
      </c>
      <c r="AX309" s="35" t="s">
        <v>675</v>
      </c>
      <c r="AY309" s="41">
        <v>4.0</v>
      </c>
      <c r="AZ309" s="35" t="s">
        <v>391</v>
      </c>
      <c r="BA309" s="35" t="s">
        <v>391</v>
      </c>
      <c r="BB309" s="35" t="s">
        <v>391</v>
      </c>
      <c r="BC309" s="35" t="s">
        <v>391</v>
      </c>
      <c r="BD309" s="35" t="s">
        <v>9960</v>
      </c>
      <c r="BE309" s="35" t="s">
        <v>9961</v>
      </c>
      <c r="BF309" s="35" t="s">
        <v>392</v>
      </c>
      <c r="BG309" s="35" t="s">
        <v>1095</v>
      </c>
      <c r="BH309" s="35" t="s">
        <v>678</v>
      </c>
      <c r="BI309" s="35" t="s">
        <v>1313</v>
      </c>
      <c r="BJ309" s="35" t="s">
        <v>727</v>
      </c>
      <c r="BL309" s="35" t="s">
        <v>602</v>
      </c>
      <c r="BM309" s="35" t="s">
        <v>512</v>
      </c>
      <c r="BN309" s="35" t="s">
        <v>1314</v>
      </c>
      <c r="BO309" s="35" t="s">
        <v>513</v>
      </c>
      <c r="CM309" s="35" t="s">
        <v>441</v>
      </c>
      <c r="CN309" s="35" t="s">
        <v>401</v>
      </c>
      <c r="CO309" s="35" t="s">
        <v>9962</v>
      </c>
      <c r="CP309" s="35" t="s">
        <v>9963</v>
      </c>
      <c r="CQ309" s="35" t="s">
        <v>1008</v>
      </c>
      <c r="CR309" s="35" t="s">
        <v>9964</v>
      </c>
      <c r="CS309" s="35" t="s">
        <v>555</v>
      </c>
      <c r="CT309" s="35" t="s">
        <v>9965</v>
      </c>
      <c r="CU309" s="35" t="s">
        <v>9966</v>
      </c>
      <c r="CV309" s="35" t="s">
        <v>1852</v>
      </c>
      <c r="CW309" s="35" t="s">
        <v>451</v>
      </c>
      <c r="CX309" s="35" t="s">
        <v>9967</v>
      </c>
      <c r="CY309" s="35" t="s">
        <v>408</v>
      </c>
      <c r="DA309" s="35" t="s">
        <v>1962</v>
      </c>
      <c r="DC309" s="35" t="s">
        <v>408</v>
      </c>
      <c r="DE309" s="35" t="s">
        <v>457</v>
      </c>
      <c r="DG309" s="35" t="s">
        <v>9968</v>
      </c>
      <c r="DH309" s="35" t="s">
        <v>561</v>
      </c>
      <c r="DI309" s="35" t="s">
        <v>410</v>
      </c>
      <c r="DJ309" s="35" t="s">
        <v>963</v>
      </c>
      <c r="DK309" s="35" t="s">
        <v>613</v>
      </c>
      <c r="EU309" s="35" t="s">
        <v>478</v>
      </c>
      <c r="EV309" s="35" t="s">
        <v>479</v>
      </c>
      <c r="EW309" s="35" t="s">
        <v>480</v>
      </c>
      <c r="EX309" s="35" t="s">
        <v>9969</v>
      </c>
      <c r="EY309" s="35" t="s">
        <v>9970</v>
      </c>
      <c r="EZ309" s="35" t="s">
        <v>9971</v>
      </c>
      <c r="FA309" s="35" t="s">
        <v>414</v>
      </c>
      <c r="FB309" s="35" t="s">
        <v>583</v>
      </c>
      <c r="FC309" s="35" t="s">
        <v>413</v>
      </c>
      <c r="FD309" s="35" t="s">
        <v>583</v>
      </c>
      <c r="FE309" s="35" t="s">
        <v>413</v>
      </c>
      <c r="FF309" s="35" t="s">
        <v>583</v>
      </c>
      <c r="FG309" s="35" t="s">
        <v>415</v>
      </c>
      <c r="FH309" s="35" t="s">
        <v>414</v>
      </c>
      <c r="FI309" s="35" t="s">
        <v>416</v>
      </c>
      <c r="FJ309" s="35" t="s">
        <v>414</v>
      </c>
      <c r="FK309" s="35" t="s">
        <v>415</v>
      </c>
      <c r="FL309" s="35" t="s">
        <v>583</v>
      </c>
      <c r="FM309" s="35" t="s">
        <v>583</v>
      </c>
      <c r="FN309" s="35" t="s">
        <v>416</v>
      </c>
      <c r="FO309" s="35" t="s">
        <v>414</v>
      </c>
      <c r="FP309" s="35" t="s">
        <v>1537</v>
      </c>
      <c r="FQ309" s="35" t="s">
        <v>418</v>
      </c>
      <c r="FR309" s="35" t="s">
        <v>630</v>
      </c>
      <c r="FS309" s="35" t="s">
        <v>9972</v>
      </c>
      <c r="FT309" s="35" t="s">
        <v>1076</v>
      </c>
      <c r="FU309" s="35" t="s">
        <v>488</v>
      </c>
      <c r="FV309" s="35" t="s">
        <v>533</v>
      </c>
      <c r="FW309" s="35" t="s">
        <v>490</v>
      </c>
      <c r="FX309" s="35" t="s">
        <v>491</v>
      </c>
      <c r="FY309" s="35" t="s">
        <v>9973</v>
      </c>
      <c r="FZ309" s="35" t="s">
        <v>1020</v>
      </c>
      <c r="GA309" s="35" t="s">
        <v>9974</v>
      </c>
      <c r="GB309" s="35" t="s">
        <v>1313</v>
      </c>
      <c r="GC309" s="35" t="s">
        <v>455</v>
      </c>
      <c r="GD309" s="35" t="s">
        <v>11603</v>
      </c>
      <c r="GF309" s="35" t="s">
        <v>1420</v>
      </c>
      <c r="GG309" s="35" t="s">
        <v>9975</v>
      </c>
      <c r="GH309" s="35" t="s">
        <v>755</v>
      </c>
      <c r="GI309" s="35" t="s">
        <v>755</v>
      </c>
      <c r="GJ309" s="35" t="s">
        <v>946</v>
      </c>
      <c r="GR309" s="35" t="s">
        <v>3306</v>
      </c>
      <c r="GU309" s="35" t="s">
        <v>4774</v>
      </c>
      <c r="GW309" s="35" t="s">
        <v>5231</v>
      </c>
      <c r="GX309" s="35" t="s">
        <v>5232</v>
      </c>
      <c r="HD309" s="35" t="s">
        <v>5297</v>
      </c>
      <c r="HE309" s="35" t="s">
        <v>5282</v>
      </c>
      <c r="HF309" s="35" t="s">
        <v>5492</v>
      </c>
      <c r="HG309" s="35" t="s">
        <v>5284</v>
      </c>
      <c r="HP309" s="35" t="s">
        <v>5236</v>
      </c>
      <c r="HQ309" s="35" t="s">
        <v>5237</v>
      </c>
      <c r="HR309" s="35" t="s">
        <v>5238</v>
      </c>
      <c r="HS309" s="35" t="s">
        <v>5347</v>
      </c>
      <c r="HX309" s="35" t="s">
        <v>5628</v>
      </c>
      <c r="MK309" s="35" t="s">
        <v>6321</v>
      </c>
    </row>
  </sheetData>
  <hyperlinks>
    <hyperlink r:id="rId1" ref="GE25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A6"/>
    <outlinePr summaryBelow="0" summaryRight="0"/>
  </sheetPr>
  <sheetViews>
    <sheetView workbookViewId="0"/>
  </sheetViews>
  <sheetFormatPr customHeight="1" defaultColWidth="12.63" defaultRowHeight="15.75"/>
  <cols>
    <col hidden="1" min="42" max="42" width="12.63"/>
    <col hidden="1" min="46" max="48" width="12.63"/>
    <col hidden="1" min="68" max="90" width="12.63"/>
    <col hidden="1" min="135" max="150" width="12.63"/>
    <col hidden="1" min="193" max="195" width="12.63"/>
    <col hidden="1" min="201" max="202" width="12.63"/>
    <col hidden="1" min="205" max="205" width="12.63"/>
  </cols>
  <sheetData>
    <row r="1" ht="164.25" customHeight="1">
      <c r="A1" s="45" t="s">
        <v>10408</v>
      </c>
      <c r="B1" s="46" t="s">
        <v>0</v>
      </c>
      <c r="C1" s="46" t="s">
        <v>1</v>
      </c>
      <c r="D1" s="46" t="s">
        <v>2</v>
      </c>
      <c r="E1" s="46" t="s">
        <v>3</v>
      </c>
      <c r="F1" s="46" t="s">
        <v>4</v>
      </c>
      <c r="G1" s="46" t="s">
        <v>5</v>
      </c>
      <c r="H1" s="46" t="s">
        <v>6</v>
      </c>
      <c r="I1" s="46" t="s">
        <v>7</v>
      </c>
      <c r="J1" s="46" t="s">
        <v>8</v>
      </c>
      <c r="K1" s="46" t="s">
        <v>9</v>
      </c>
      <c r="L1" s="46" t="s">
        <v>10</v>
      </c>
      <c r="M1" s="46" t="s">
        <v>11</v>
      </c>
      <c r="N1" s="46" t="s">
        <v>12</v>
      </c>
      <c r="O1" s="46" t="s">
        <v>13</v>
      </c>
      <c r="P1" s="46" t="s">
        <v>14</v>
      </c>
      <c r="Q1" s="46" t="s">
        <v>15</v>
      </c>
      <c r="R1" s="46" t="s">
        <v>16</v>
      </c>
      <c r="S1" s="46" t="s">
        <v>17</v>
      </c>
      <c r="T1" s="46" t="s">
        <v>18</v>
      </c>
      <c r="U1" s="46" t="s">
        <v>19</v>
      </c>
      <c r="V1" s="46" t="s">
        <v>20</v>
      </c>
      <c r="W1" s="46" t="s">
        <v>21</v>
      </c>
      <c r="X1" s="46" t="s">
        <v>22</v>
      </c>
      <c r="Y1" s="46" t="s">
        <v>23</v>
      </c>
      <c r="Z1" s="46" t="s">
        <v>10001</v>
      </c>
      <c r="AA1" s="46" t="s">
        <v>10003</v>
      </c>
      <c r="AB1" s="46" t="s">
        <v>10409</v>
      </c>
      <c r="AC1" s="46" t="s">
        <v>10007</v>
      </c>
      <c r="AD1" s="46" t="s">
        <v>10009</v>
      </c>
      <c r="AE1" s="46" t="s">
        <v>10011</v>
      </c>
      <c r="AF1" s="46" t="s">
        <v>10410</v>
      </c>
      <c r="AG1" s="46" t="s">
        <v>10411</v>
      </c>
      <c r="AH1" s="46" t="s">
        <v>10017</v>
      </c>
      <c r="AI1" s="46" t="s">
        <v>10019</v>
      </c>
      <c r="AJ1" s="46" t="s">
        <v>10021</v>
      </c>
      <c r="AK1" s="46" t="s">
        <v>10023</v>
      </c>
      <c r="AL1" s="46" t="s">
        <v>10025</v>
      </c>
      <c r="AM1" s="46" t="s">
        <v>10027</v>
      </c>
      <c r="AN1" s="46" t="s">
        <v>10029</v>
      </c>
      <c r="AO1" s="46" t="s">
        <v>10412</v>
      </c>
      <c r="AP1" s="46" t="s">
        <v>10413</v>
      </c>
      <c r="AQ1" s="46" t="s">
        <v>10035</v>
      </c>
      <c r="AR1" s="46" t="s">
        <v>10037</v>
      </c>
      <c r="AS1" s="46" t="s">
        <v>10039</v>
      </c>
      <c r="AT1" s="46" t="s">
        <v>10041</v>
      </c>
      <c r="AU1" s="46" t="s">
        <v>10043</v>
      </c>
      <c r="AV1" s="46" t="s">
        <v>10414</v>
      </c>
      <c r="AW1" s="46" t="s">
        <v>47</v>
      </c>
      <c r="AX1" s="46" t="s">
        <v>48</v>
      </c>
      <c r="AY1" s="46" t="s">
        <v>49</v>
      </c>
      <c r="AZ1" s="46" t="s">
        <v>50</v>
      </c>
      <c r="BA1" s="46" t="s">
        <v>51</v>
      </c>
      <c r="BB1" s="46" t="s">
        <v>52</v>
      </c>
      <c r="BC1" s="46" t="s">
        <v>53</v>
      </c>
      <c r="BD1" s="46" t="s">
        <v>54</v>
      </c>
      <c r="BE1" s="46" t="s">
        <v>55</v>
      </c>
      <c r="BF1" s="46" t="s">
        <v>56</v>
      </c>
      <c r="BG1" s="46" t="s">
        <v>57</v>
      </c>
      <c r="BH1" s="46" t="s">
        <v>58</v>
      </c>
      <c r="BI1" s="46" t="s">
        <v>59</v>
      </c>
      <c r="BJ1" s="46" t="s">
        <v>60</v>
      </c>
      <c r="BK1" s="46" t="s">
        <v>61</v>
      </c>
      <c r="BL1" s="46" t="s">
        <v>62</v>
      </c>
      <c r="BM1" s="46" t="s">
        <v>63</v>
      </c>
      <c r="BN1" s="46" t="s">
        <v>64</v>
      </c>
      <c r="BO1" s="46" t="s">
        <v>10065</v>
      </c>
      <c r="BP1" s="46" t="s">
        <v>66</v>
      </c>
      <c r="BQ1" s="46" t="s">
        <v>67</v>
      </c>
      <c r="BR1" s="46" t="s">
        <v>68</v>
      </c>
      <c r="BS1" s="46" t="s">
        <v>69</v>
      </c>
      <c r="BT1" s="46" t="s">
        <v>70</v>
      </c>
      <c r="BU1" s="46" t="s">
        <v>71</v>
      </c>
      <c r="BV1" s="46" t="s">
        <v>72</v>
      </c>
      <c r="BW1" s="46" t="s">
        <v>73</v>
      </c>
      <c r="BX1" s="46" t="s">
        <v>74</v>
      </c>
      <c r="BY1" s="46" t="s">
        <v>75</v>
      </c>
      <c r="BZ1" s="46" t="s">
        <v>76</v>
      </c>
      <c r="CA1" s="46" t="s">
        <v>77</v>
      </c>
      <c r="CB1" s="46" t="s">
        <v>78</v>
      </c>
      <c r="CC1" s="46" t="s">
        <v>79</v>
      </c>
      <c r="CD1" s="46" t="s">
        <v>80</v>
      </c>
      <c r="CE1" s="46" t="s">
        <v>81</v>
      </c>
      <c r="CF1" s="46" t="s">
        <v>82</v>
      </c>
      <c r="CG1" s="46" t="s">
        <v>83</v>
      </c>
      <c r="CH1" s="46" t="s">
        <v>84</v>
      </c>
      <c r="CI1" s="46" t="s">
        <v>85</v>
      </c>
      <c r="CJ1" s="46" t="s">
        <v>86</v>
      </c>
      <c r="CK1" s="46" t="s">
        <v>87</v>
      </c>
      <c r="CL1" s="46" t="s">
        <v>10093</v>
      </c>
      <c r="CM1" s="46" t="s">
        <v>89</v>
      </c>
      <c r="CN1" s="46" t="s">
        <v>90</v>
      </c>
      <c r="CO1" s="46" t="s">
        <v>91</v>
      </c>
      <c r="CP1" s="46" t="s">
        <v>92</v>
      </c>
      <c r="CQ1" s="46" t="s">
        <v>93</v>
      </c>
      <c r="CR1" s="46" t="s">
        <v>94</v>
      </c>
      <c r="CS1" s="46" t="s">
        <v>95</v>
      </c>
      <c r="CT1" s="46" t="s">
        <v>96</v>
      </c>
      <c r="CU1" s="46" t="s">
        <v>97</v>
      </c>
      <c r="CV1" s="46" t="s">
        <v>98</v>
      </c>
      <c r="CW1" s="46" t="s">
        <v>99</v>
      </c>
      <c r="CX1" s="46" t="s">
        <v>100</v>
      </c>
      <c r="CY1" s="46" t="s">
        <v>101</v>
      </c>
      <c r="CZ1" s="46" t="s">
        <v>102</v>
      </c>
      <c r="DA1" s="46" t="s">
        <v>10415</v>
      </c>
      <c r="DB1" s="46" t="s">
        <v>104</v>
      </c>
      <c r="DC1" s="46" t="s">
        <v>105</v>
      </c>
      <c r="DD1" s="46" t="s">
        <v>106</v>
      </c>
      <c r="DE1" s="46" t="s">
        <v>107</v>
      </c>
      <c r="DF1" s="46" t="s">
        <v>108</v>
      </c>
      <c r="DG1" s="46" t="s">
        <v>109</v>
      </c>
      <c r="DH1" s="46" t="s">
        <v>110</v>
      </c>
      <c r="DI1" s="46" t="s">
        <v>111</v>
      </c>
      <c r="DJ1" s="46" t="s">
        <v>10122</v>
      </c>
      <c r="DK1" s="46" t="s">
        <v>113</v>
      </c>
      <c r="DL1" s="46" t="s">
        <v>10125</v>
      </c>
      <c r="DM1" s="46" t="s">
        <v>10416</v>
      </c>
      <c r="DN1" s="46" t="s">
        <v>116</v>
      </c>
      <c r="DO1" s="46" t="s">
        <v>117</v>
      </c>
      <c r="DP1" s="46" t="s">
        <v>118</v>
      </c>
      <c r="DQ1" s="46" t="s">
        <v>119</v>
      </c>
      <c r="DR1" s="46" t="s">
        <v>120</v>
      </c>
      <c r="DS1" s="46" t="s">
        <v>121</v>
      </c>
      <c r="DT1" s="46" t="s">
        <v>122</v>
      </c>
      <c r="DU1" s="46" t="s">
        <v>123</v>
      </c>
      <c r="DV1" s="46" t="s">
        <v>10417</v>
      </c>
      <c r="DW1" s="46" t="s">
        <v>125</v>
      </c>
      <c r="DX1" s="46" t="s">
        <v>126</v>
      </c>
      <c r="DY1" s="46" t="s">
        <v>127</v>
      </c>
      <c r="DZ1" s="46" t="s">
        <v>128</v>
      </c>
      <c r="EA1" s="46" t="s">
        <v>129</v>
      </c>
      <c r="EB1" s="46" t="s">
        <v>130</v>
      </c>
      <c r="EC1" s="46" t="s">
        <v>10145</v>
      </c>
      <c r="ED1" s="46" t="s">
        <v>132</v>
      </c>
      <c r="EE1" s="46" t="s">
        <v>133</v>
      </c>
      <c r="EF1" s="46" t="s">
        <v>254</v>
      </c>
      <c r="EG1" s="46" t="s">
        <v>10418</v>
      </c>
      <c r="EH1" s="46" t="s">
        <v>10419</v>
      </c>
      <c r="EI1" s="46" t="s">
        <v>10420</v>
      </c>
      <c r="EJ1" s="46" t="s">
        <v>10421</v>
      </c>
      <c r="EK1" s="46" t="s">
        <v>10422</v>
      </c>
      <c r="EL1" s="46" t="s">
        <v>256</v>
      </c>
      <c r="EM1" s="46" t="s">
        <v>257</v>
      </c>
      <c r="EN1" s="46" t="s">
        <v>258</v>
      </c>
      <c r="EO1" s="46" t="s">
        <v>259</v>
      </c>
      <c r="EP1" s="46" t="s">
        <v>260</v>
      </c>
      <c r="EQ1" s="46" t="s">
        <v>261</v>
      </c>
      <c r="ER1" s="46" t="s">
        <v>146</v>
      </c>
      <c r="ES1" s="46" t="s">
        <v>147</v>
      </c>
      <c r="ET1" s="46" t="s">
        <v>148</v>
      </c>
      <c r="EU1" s="46" t="s">
        <v>149</v>
      </c>
      <c r="EV1" s="46" t="s">
        <v>150</v>
      </c>
      <c r="EW1" s="46" t="s">
        <v>151</v>
      </c>
      <c r="EX1" s="46" t="s">
        <v>152</v>
      </c>
      <c r="EY1" s="46" t="s">
        <v>153</v>
      </c>
      <c r="EZ1" s="46" t="s">
        <v>154</v>
      </c>
      <c r="FA1" s="46" t="s">
        <v>155</v>
      </c>
      <c r="FB1" s="46" t="s">
        <v>156</v>
      </c>
      <c r="FC1" s="46" t="s">
        <v>157</v>
      </c>
      <c r="FD1" s="46" t="s">
        <v>158</v>
      </c>
      <c r="FE1" s="46" t="s">
        <v>159</v>
      </c>
      <c r="FF1" s="46" t="s">
        <v>160</v>
      </c>
      <c r="FG1" s="46" t="s">
        <v>161</v>
      </c>
      <c r="FH1" s="46" t="s">
        <v>162</v>
      </c>
      <c r="FI1" s="46" t="s">
        <v>163</v>
      </c>
      <c r="FJ1" s="46" t="s">
        <v>164</v>
      </c>
      <c r="FK1" s="46" t="s">
        <v>165</v>
      </c>
      <c r="FL1" s="46" t="s">
        <v>166</v>
      </c>
      <c r="FM1" s="46" t="s">
        <v>167</v>
      </c>
      <c r="FN1" s="46" t="s">
        <v>168</v>
      </c>
      <c r="FO1" s="46" t="s">
        <v>169</v>
      </c>
      <c r="FP1" s="46" t="s">
        <v>170</v>
      </c>
      <c r="FQ1" s="46" t="s">
        <v>171</v>
      </c>
      <c r="FR1" s="46" t="s">
        <v>10188</v>
      </c>
      <c r="FS1" s="46" t="s">
        <v>173</v>
      </c>
      <c r="FT1" s="46" t="s">
        <v>174</v>
      </c>
      <c r="FU1" s="46" t="s">
        <v>175</v>
      </c>
      <c r="FV1" s="46" t="s">
        <v>176</v>
      </c>
      <c r="FW1" s="46" t="s">
        <v>177</v>
      </c>
      <c r="FX1" s="46" t="s">
        <v>178</v>
      </c>
      <c r="FY1" s="46" t="s">
        <v>179</v>
      </c>
      <c r="FZ1" s="46" t="s">
        <v>180</v>
      </c>
      <c r="GA1" s="46" t="s">
        <v>181</v>
      </c>
      <c r="GB1" s="46" t="s">
        <v>182</v>
      </c>
      <c r="GC1" s="46" t="s">
        <v>10423</v>
      </c>
      <c r="GD1" s="46" t="s">
        <v>184</v>
      </c>
      <c r="GE1" s="46" t="s">
        <v>185</v>
      </c>
      <c r="GF1" s="45" t="s">
        <v>186</v>
      </c>
      <c r="GG1" s="45" t="s">
        <v>187</v>
      </c>
      <c r="GH1" s="45" t="s">
        <v>10205</v>
      </c>
      <c r="GI1" s="45" t="s">
        <v>10207</v>
      </c>
      <c r="GJ1" s="45" t="s">
        <v>10209</v>
      </c>
      <c r="GK1" s="45" t="s">
        <v>191</v>
      </c>
      <c r="GL1" s="45" t="s">
        <v>10212</v>
      </c>
      <c r="GM1" s="45" t="s">
        <v>10214</v>
      </c>
      <c r="GN1" s="45" t="s">
        <v>10424</v>
      </c>
      <c r="GO1" s="45" t="s">
        <v>195</v>
      </c>
      <c r="GP1" s="45" t="s">
        <v>196</v>
      </c>
      <c r="GQ1" s="45" t="s">
        <v>197</v>
      </c>
      <c r="GR1" s="45" t="s">
        <v>198</v>
      </c>
      <c r="GS1" s="45" t="s">
        <v>199</v>
      </c>
      <c r="GT1" s="45" t="s">
        <v>200</v>
      </c>
      <c r="GU1" s="45" t="s">
        <v>201</v>
      </c>
      <c r="GV1" s="45" t="s">
        <v>202</v>
      </c>
      <c r="GW1" s="47"/>
      <c r="GX1" s="47"/>
      <c r="GY1" s="47"/>
      <c r="GZ1" s="47"/>
      <c r="HA1" s="47"/>
      <c r="HB1" s="47"/>
      <c r="HC1" s="47"/>
      <c r="HD1" s="47"/>
      <c r="HE1" s="47"/>
      <c r="HF1" s="47"/>
      <c r="HG1" s="47"/>
      <c r="HH1" s="47"/>
      <c r="HI1" s="47"/>
      <c r="HJ1" s="47"/>
      <c r="HK1" s="47"/>
      <c r="HL1" s="47"/>
      <c r="HM1" s="47"/>
      <c r="HN1" s="47"/>
      <c r="HO1" s="47"/>
      <c r="HP1" s="47"/>
      <c r="HQ1" s="47"/>
      <c r="HR1" s="47"/>
      <c r="HS1" s="47"/>
      <c r="HT1" s="47"/>
      <c r="HU1" s="47"/>
      <c r="HV1" s="47"/>
      <c r="HW1" s="47"/>
      <c r="HX1" s="47"/>
      <c r="HY1" s="47"/>
      <c r="HZ1" s="47"/>
      <c r="IA1" s="47"/>
      <c r="IB1" s="47"/>
      <c r="IC1" s="47"/>
      <c r="ID1" s="47"/>
      <c r="IE1" s="47"/>
      <c r="IF1" s="47"/>
      <c r="IG1" s="47"/>
      <c r="IH1" s="47"/>
      <c r="II1" s="47"/>
      <c r="IJ1" s="47"/>
      <c r="IK1" s="47"/>
      <c r="IL1" s="47"/>
      <c r="IM1" s="47"/>
      <c r="IN1" s="47"/>
      <c r="IO1" s="47"/>
      <c r="IP1" s="47"/>
      <c r="IQ1" s="47"/>
      <c r="IR1" s="47"/>
      <c r="IS1" s="47"/>
      <c r="IT1" s="47"/>
      <c r="IU1" s="47"/>
      <c r="IV1" s="47"/>
      <c r="IW1" s="47"/>
      <c r="IX1" s="47"/>
      <c r="IY1" s="47"/>
      <c r="IZ1" s="47"/>
      <c r="JA1" s="47"/>
      <c r="JB1" s="47"/>
      <c r="JC1" s="47"/>
      <c r="JD1" s="47"/>
      <c r="JE1" s="47"/>
      <c r="JF1" s="47"/>
      <c r="JG1" s="47"/>
      <c r="JH1" s="47"/>
      <c r="JI1" s="47"/>
      <c r="JJ1" s="47"/>
      <c r="JK1" s="47"/>
      <c r="JL1" s="47"/>
      <c r="JM1" s="47"/>
      <c r="JN1" s="47"/>
      <c r="JO1" s="47"/>
      <c r="JP1" s="47"/>
      <c r="JQ1" s="47"/>
      <c r="JR1" s="47"/>
      <c r="JS1" s="47"/>
      <c r="JT1" s="47"/>
      <c r="JU1" s="47"/>
      <c r="JV1" s="47"/>
      <c r="JW1" s="47"/>
      <c r="JX1" s="47"/>
      <c r="JY1" s="47"/>
      <c r="JZ1" s="47"/>
      <c r="KA1" s="47"/>
      <c r="KB1" s="47"/>
      <c r="KC1" s="47"/>
      <c r="KD1" s="47"/>
      <c r="KE1" s="47"/>
      <c r="KF1" s="47"/>
      <c r="KG1" s="47"/>
      <c r="KH1" s="47"/>
      <c r="KI1" s="47"/>
      <c r="KJ1" s="47"/>
      <c r="KK1" s="47"/>
      <c r="KL1" s="47"/>
      <c r="KM1" s="47"/>
      <c r="KN1" s="47"/>
      <c r="KO1" s="47"/>
      <c r="KP1" s="47"/>
      <c r="KQ1" s="47"/>
      <c r="KR1" s="47"/>
      <c r="KS1" s="47"/>
      <c r="KT1" s="47"/>
      <c r="KU1" s="47"/>
      <c r="KV1" s="47"/>
      <c r="KW1" s="47"/>
      <c r="KX1" s="47"/>
      <c r="KY1" s="47"/>
      <c r="KZ1" s="47"/>
      <c r="LA1" s="47"/>
      <c r="LB1" s="47"/>
      <c r="LC1" s="47"/>
      <c r="LD1" s="47"/>
      <c r="LE1" s="47"/>
      <c r="LF1" s="47"/>
      <c r="LG1" s="47"/>
      <c r="LH1" s="47"/>
      <c r="LI1" s="47"/>
      <c r="LJ1" s="47"/>
      <c r="LK1" s="47"/>
      <c r="LL1" s="47"/>
      <c r="LM1" s="47"/>
      <c r="LN1" s="47"/>
      <c r="LO1" s="47"/>
      <c r="LP1" s="47"/>
      <c r="LQ1" s="47"/>
      <c r="LR1" s="47"/>
      <c r="LS1" s="47"/>
      <c r="LT1" s="47"/>
      <c r="LU1" s="47"/>
      <c r="LV1" s="47"/>
      <c r="LW1" s="47"/>
      <c r="LX1" s="47"/>
      <c r="LY1" s="47"/>
      <c r="LZ1" s="47"/>
      <c r="MA1" s="47"/>
      <c r="MB1" s="47"/>
      <c r="MC1" s="47"/>
      <c r="MD1" s="47"/>
      <c r="ME1" s="47"/>
      <c r="MF1" s="47"/>
      <c r="MG1" s="47"/>
      <c r="MH1" s="47"/>
      <c r="MI1" s="47"/>
      <c r="MJ1" s="47"/>
      <c r="MK1" s="47"/>
      <c r="ML1" s="47"/>
      <c r="MM1" s="47"/>
      <c r="MN1" s="47"/>
      <c r="MO1" s="47"/>
      <c r="MP1" s="47"/>
      <c r="MQ1" s="47"/>
      <c r="MR1" s="47"/>
      <c r="MS1" s="47"/>
      <c r="MT1" s="47"/>
      <c r="MU1" s="47"/>
      <c r="MV1" s="47"/>
      <c r="MW1" s="47"/>
      <c r="MX1" s="47"/>
      <c r="MY1" s="47"/>
      <c r="MZ1" s="47"/>
      <c r="NA1" s="47"/>
      <c r="NB1" s="47"/>
      <c r="NC1" s="47"/>
      <c r="ND1" s="47"/>
      <c r="NE1" s="47"/>
    </row>
    <row r="2">
      <c r="A2" s="40"/>
      <c r="B2" s="40">
        <v>45825.04676695602</v>
      </c>
      <c r="C2" s="35" t="s">
        <v>368</v>
      </c>
      <c r="D2" s="35" t="s">
        <v>370</v>
      </c>
      <c r="F2" s="35" t="s">
        <v>371</v>
      </c>
      <c r="H2" s="35" t="s">
        <v>422</v>
      </c>
      <c r="I2" s="35" t="s">
        <v>423</v>
      </c>
      <c r="J2" s="35" t="s">
        <v>424</v>
      </c>
      <c r="K2" s="35" t="s">
        <v>425</v>
      </c>
      <c r="L2" s="35" t="s">
        <v>376</v>
      </c>
      <c r="M2" s="35" t="s">
        <v>426</v>
      </c>
      <c r="N2" s="35" t="s">
        <v>378</v>
      </c>
      <c r="O2" s="35" t="s">
        <v>377</v>
      </c>
      <c r="P2" s="35" t="s">
        <v>380</v>
      </c>
      <c r="Q2" s="35" t="s">
        <v>381</v>
      </c>
      <c r="R2" s="35" t="s">
        <v>382</v>
      </c>
      <c r="S2" s="35" t="s">
        <v>427</v>
      </c>
      <c r="T2" s="35" t="s">
        <v>384</v>
      </c>
      <c r="U2" s="35" t="s">
        <v>385</v>
      </c>
      <c r="X2" s="35" t="s">
        <v>428</v>
      </c>
      <c r="AW2" s="35" t="s">
        <v>390</v>
      </c>
      <c r="AX2" s="41">
        <v>2.0</v>
      </c>
      <c r="AY2" s="41">
        <v>2.0</v>
      </c>
      <c r="AZ2" s="35" t="s">
        <v>429</v>
      </c>
      <c r="BA2" s="41">
        <v>2.0</v>
      </c>
      <c r="BB2" s="41">
        <v>2.0</v>
      </c>
      <c r="BC2" s="41">
        <v>2.0</v>
      </c>
      <c r="BD2" s="35" t="s">
        <v>430</v>
      </c>
      <c r="BE2" s="35" t="s">
        <v>431</v>
      </c>
      <c r="BF2" s="35" t="s">
        <v>432</v>
      </c>
      <c r="BG2" s="35" t="s">
        <v>433</v>
      </c>
      <c r="BH2" s="35" t="s">
        <v>434</v>
      </c>
      <c r="BJ2" s="35" t="s">
        <v>435</v>
      </c>
      <c r="BK2" s="35" t="s">
        <v>436</v>
      </c>
      <c r="BL2" s="35" t="s">
        <v>437</v>
      </c>
      <c r="BM2" s="35" t="s">
        <v>438</v>
      </c>
      <c r="BN2" s="35" t="s">
        <v>439</v>
      </c>
      <c r="BO2" s="35" t="s">
        <v>440</v>
      </c>
      <c r="CM2" s="35" t="s">
        <v>441</v>
      </c>
      <c r="CN2" s="35" t="s">
        <v>442</v>
      </c>
      <c r="CO2" s="35" t="s">
        <v>443</v>
      </c>
      <c r="CP2" s="35" t="s">
        <v>11604</v>
      </c>
      <c r="CQ2" s="35" t="s">
        <v>445</v>
      </c>
      <c r="CR2" s="35" t="s">
        <v>446</v>
      </c>
      <c r="CS2" s="35" t="s">
        <v>447</v>
      </c>
      <c r="CT2" s="35" t="s">
        <v>448</v>
      </c>
      <c r="CU2" s="35" t="s">
        <v>449</v>
      </c>
      <c r="CV2" s="35" t="s">
        <v>450</v>
      </c>
      <c r="CW2" s="35" t="s">
        <v>451</v>
      </c>
      <c r="CX2" s="35" t="s">
        <v>452</v>
      </c>
      <c r="CY2" s="35" t="s">
        <v>408</v>
      </c>
      <c r="DA2" s="35" t="s">
        <v>453</v>
      </c>
      <c r="DB2" s="35" t="s">
        <v>454</v>
      </c>
      <c r="DC2" s="35" t="s">
        <v>455</v>
      </c>
      <c r="DD2" s="35" t="s">
        <v>456</v>
      </c>
      <c r="DE2" s="35" t="s">
        <v>457</v>
      </c>
      <c r="DG2" s="35" t="s">
        <v>458</v>
      </c>
      <c r="DI2" s="35" t="s">
        <v>410</v>
      </c>
      <c r="DJ2" s="35" t="s">
        <v>459</v>
      </c>
      <c r="DK2" s="35" t="s">
        <v>460</v>
      </c>
      <c r="DL2" s="35" t="s">
        <v>461</v>
      </c>
      <c r="DN2" s="35" t="s">
        <v>462</v>
      </c>
      <c r="DO2" s="35" t="s">
        <v>463</v>
      </c>
      <c r="DP2" s="35" t="s">
        <v>464</v>
      </c>
      <c r="DQ2" s="35" t="s">
        <v>465</v>
      </c>
      <c r="DR2" s="35" t="s">
        <v>466</v>
      </c>
      <c r="DS2" s="35" t="s">
        <v>467</v>
      </c>
      <c r="DT2" s="35" t="s">
        <v>468</v>
      </c>
      <c r="DU2" s="35" t="s">
        <v>469</v>
      </c>
      <c r="DV2" s="35" t="s">
        <v>470</v>
      </c>
      <c r="DW2" s="35" t="s">
        <v>471</v>
      </c>
      <c r="DX2" s="35" t="s">
        <v>396</v>
      </c>
      <c r="DY2" s="35" t="s">
        <v>11605</v>
      </c>
      <c r="DZ2" s="35" t="s">
        <v>11606</v>
      </c>
      <c r="EA2" s="35" t="s">
        <v>474</v>
      </c>
      <c r="EB2" s="35" t="s">
        <v>475</v>
      </c>
      <c r="EC2" s="35" t="s">
        <v>476</v>
      </c>
      <c r="ED2" s="35" t="s">
        <v>477</v>
      </c>
      <c r="EU2" s="35" t="s">
        <v>478</v>
      </c>
      <c r="EV2" s="35" t="s">
        <v>479</v>
      </c>
      <c r="EW2" s="35" t="s">
        <v>480</v>
      </c>
      <c r="EX2" s="35" t="s">
        <v>481</v>
      </c>
      <c r="EY2" s="35" t="s">
        <v>482</v>
      </c>
      <c r="EZ2" s="35" t="s">
        <v>483</v>
      </c>
      <c r="FA2" s="35" t="s">
        <v>414</v>
      </c>
      <c r="FB2" s="35" t="s">
        <v>414</v>
      </c>
      <c r="FC2" s="35" t="s">
        <v>414</v>
      </c>
      <c r="FD2" s="35" t="s">
        <v>414</v>
      </c>
      <c r="FE2" s="35" t="s">
        <v>414</v>
      </c>
      <c r="FF2" s="35" t="s">
        <v>414</v>
      </c>
      <c r="FG2" s="35" t="s">
        <v>414</v>
      </c>
      <c r="FH2" s="35" t="s">
        <v>414</v>
      </c>
      <c r="FI2" s="35" t="s">
        <v>484</v>
      </c>
      <c r="FJ2" s="35" t="s">
        <v>414</v>
      </c>
      <c r="FK2" s="35" t="s">
        <v>414</v>
      </c>
      <c r="FL2" s="35" t="s">
        <v>484</v>
      </c>
      <c r="FM2" s="35" t="s">
        <v>414</v>
      </c>
      <c r="FN2" s="35" t="s">
        <v>484</v>
      </c>
      <c r="FO2" s="35" t="s">
        <v>484</v>
      </c>
      <c r="FP2" s="35" t="s">
        <v>485</v>
      </c>
      <c r="FQ2" s="35" t="s">
        <v>486</v>
      </c>
      <c r="FR2" s="35" t="s">
        <v>419</v>
      </c>
      <c r="FS2" s="35" t="s">
        <v>487</v>
      </c>
      <c r="FT2" s="35" t="s">
        <v>420</v>
      </c>
      <c r="FU2" s="35" t="s">
        <v>488</v>
      </c>
      <c r="FV2" s="35" t="s">
        <v>489</v>
      </c>
      <c r="FW2" s="35" t="s">
        <v>490</v>
      </c>
      <c r="FX2" s="35" t="s">
        <v>491</v>
      </c>
      <c r="FY2" s="35" t="s">
        <v>492</v>
      </c>
      <c r="FZ2" s="35" t="s">
        <v>493</v>
      </c>
      <c r="GA2" s="35" t="s">
        <v>494</v>
      </c>
      <c r="GC2" s="35" t="s">
        <v>408</v>
      </c>
    </row>
    <row r="3">
      <c r="A3" s="40"/>
      <c r="B3" s="40">
        <v>45825.103313796295</v>
      </c>
      <c r="C3" s="35" t="s">
        <v>368</v>
      </c>
      <c r="D3" s="35" t="s">
        <v>538</v>
      </c>
      <c r="E3" s="35" t="s">
        <v>538</v>
      </c>
      <c r="H3" s="35" t="s">
        <v>422</v>
      </c>
      <c r="I3" s="35" t="s">
        <v>539</v>
      </c>
      <c r="J3" s="35" t="s">
        <v>424</v>
      </c>
      <c r="K3" s="35" t="s">
        <v>540</v>
      </c>
      <c r="L3" s="35" t="s">
        <v>376</v>
      </c>
      <c r="M3" s="35" t="s">
        <v>379</v>
      </c>
      <c r="N3" s="35" t="s">
        <v>541</v>
      </c>
      <c r="O3" s="35" t="s">
        <v>377</v>
      </c>
      <c r="P3" s="35" t="s">
        <v>497</v>
      </c>
      <c r="Q3" s="35" t="s">
        <v>381</v>
      </c>
      <c r="R3" s="35" t="s">
        <v>499</v>
      </c>
      <c r="S3" s="35" t="s">
        <v>427</v>
      </c>
      <c r="T3" s="35" t="s">
        <v>384</v>
      </c>
      <c r="U3" s="35" t="s">
        <v>385</v>
      </c>
      <c r="X3" s="35" t="s">
        <v>386</v>
      </c>
      <c r="Y3" s="35" t="s">
        <v>387</v>
      </c>
      <c r="Z3" s="35" t="s">
        <v>542</v>
      </c>
      <c r="AA3" s="35" t="s">
        <v>543</v>
      </c>
      <c r="AB3" s="35" t="s">
        <v>408</v>
      </c>
      <c r="AC3" s="35" t="s">
        <v>11607</v>
      </c>
      <c r="AW3" s="35" t="s">
        <v>390</v>
      </c>
      <c r="AX3" s="35" t="s">
        <v>391</v>
      </c>
      <c r="AY3" s="41">
        <v>2.0</v>
      </c>
      <c r="AZ3" s="35" t="s">
        <v>391</v>
      </c>
      <c r="BA3" s="35" t="s">
        <v>429</v>
      </c>
      <c r="BB3" s="35" t="s">
        <v>391</v>
      </c>
      <c r="BC3" s="35" t="s">
        <v>429</v>
      </c>
      <c r="BD3" s="35" t="s">
        <v>545</v>
      </c>
      <c r="BE3" s="35" t="s">
        <v>11608</v>
      </c>
      <c r="BF3" s="35" t="s">
        <v>392</v>
      </c>
      <c r="BG3" s="35" t="s">
        <v>433</v>
      </c>
      <c r="BH3" s="35" t="s">
        <v>434</v>
      </c>
      <c r="BI3" s="35" t="s">
        <v>547</v>
      </c>
      <c r="BJ3" s="35" t="s">
        <v>509</v>
      </c>
      <c r="BK3" s="35" t="s">
        <v>548</v>
      </c>
      <c r="BL3" s="35" t="s">
        <v>437</v>
      </c>
      <c r="BM3" s="35" t="s">
        <v>438</v>
      </c>
      <c r="BN3" s="35" t="s">
        <v>549</v>
      </c>
      <c r="BO3" s="35" t="s">
        <v>440</v>
      </c>
      <c r="CM3" s="35" t="s">
        <v>550</v>
      </c>
      <c r="CN3" s="35" t="s">
        <v>551</v>
      </c>
      <c r="CO3" s="35" t="s">
        <v>552</v>
      </c>
      <c r="CP3" s="35" t="s">
        <v>553</v>
      </c>
      <c r="CR3" s="35" t="s">
        <v>554</v>
      </c>
      <c r="CS3" s="35" t="s">
        <v>555</v>
      </c>
      <c r="CT3" s="35" t="s">
        <v>556</v>
      </c>
      <c r="CU3" s="35" t="s">
        <v>557</v>
      </c>
      <c r="CV3" s="35" t="s">
        <v>450</v>
      </c>
      <c r="CW3" s="35" t="s">
        <v>451</v>
      </c>
      <c r="CX3" s="35" t="s">
        <v>558</v>
      </c>
      <c r="CY3" s="35" t="s">
        <v>408</v>
      </c>
      <c r="DA3" s="35" t="s">
        <v>453</v>
      </c>
      <c r="DB3" s="35" t="s">
        <v>559</v>
      </c>
      <c r="DC3" s="35" t="s">
        <v>455</v>
      </c>
      <c r="DE3" s="35" t="s">
        <v>457</v>
      </c>
      <c r="DG3" s="35" t="s">
        <v>560</v>
      </c>
      <c r="DH3" s="35" t="s">
        <v>561</v>
      </c>
      <c r="DI3" s="35" t="s">
        <v>410</v>
      </c>
      <c r="DJ3" s="35" t="s">
        <v>459</v>
      </c>
      <c r="DK3" s="35" t="s">
        <v>562</v>
      </c>
      <c r="DL3" s="35" t="s">
        <v>563</v>
      </c>
      <c r="DM3" s="35" t="s">
        <v>564</v>
      </c>
      <c r="DN3" s="35" t="s">
        <v>565</v>
      </c>
      <c r="DO3" s="35" t="s">
        <v>566</v>
      </c>
      <c r="DP3" s="35" t="s">
        <v>567</v>
      </c>
      <c r="DQ3" s="35" t="s">
        <v>11609</v>
      </c>
      <c r="DR3" s="35" t="s">
        <v>466</v>
      </c>
      <c r="DS3" s="35" t="s">
        <v>569</v>
      </c>
      <c r="DT3" s="35" t="s">
        <v>468</v>
      </c>
      <c r="DU3" s="35" t="s">
        <v>570</v>
      </c>
      <c r="DV3" s="35" t="s">
        <v>571</v>
      </c>
      <c r="DW3" s="35" t="s">
        <v>11610</v>
      </c>
      <c r="DX3" s="35" t="s">
        <v>573</v>
      </c>
      <c r="DY3" s="35" t="s">
        <v>574</v>
      </c>
      <c r="DZ3" s="35" t="s">
        <v>575</v>
      </c>
      <c r="EA3" s="35" t="s">
        <v>576</v>
      </c>
      <c r="EB3" s="35" t="s">
        <v>475</v>
      </c>
      <c r="EC3" s="35" t="s">
        <v>476</v>
      </c>
      <c r="ED3" s="35" t="s">
        <v>577</v>
      </c>
      <c r="EU3" s="35" t="s">
        <v>578</v>
      </c>
      <c r="EV3" s="35" t="s">
        <v>579</v>
      </c>
      <c r="EW3" s="35" t="s">
        <v>580</v>
      </c>
      <c r="EY3" s="35" t="s">
        <v>11611</v>
      </c>
      <c r="EZ3" s="35" t="s">
        <v>11612</v>
      </c>
      <c r="FA3" s="35" t="s">
        <v>415</v>
      </c>
      <c r="FB3" s="35" t="s">
        <v>583</v>
      </c>
      <c r="FC3" s="35" t="s">
        <v>413</v>
      </c>
      <c r="FD3" s="35" t="s">
        <v>415</v>
      </c>
      <c r="FE3" s="35" t="s">
        <v>416</v>
      </c>
      <c r="FF3" s="35" t="s">
        <v>583</v>
      </c>
      <c r="FG3" s="35" t="s">
        <v>415</v>
      </c>
      <c r="FH3" s="35" t="s">
        <v>413</v>
      </c>
      <c r="FI3" s="35" t="s">
        <v>414</v>
      </c>
      <c r="FJ3" s="35" t="s">
        <v>413</v>
      </c>
      <c r="FK3" s="35" t="s">
        <v>416</v>
      </c>
      <c r="FL3" s="35" t="s">
        <v>413</v>
      </c>
      <c r="FM3" s="35" t="s">
        <v>415</v>
      </c>
      <c r="FN3" s="35" t="s">
        <v>413</v>
      </c>
      <c r="FO3" s="35" t="s">
        <v>414</v>
      </c>
      <c r="FP3" s="35" t="s">
        <v>485</v>
      </c>
      <c r="FQ3" s="35" t="s">
        <v>418</v>
      </c>
      <c r="FR3" s="35" t="s">
        <v>419</v>
      </c>
      <c r="FS3" s="35" t="s">
        <v>11613</v>
      </c>
      <c r="FT3" s="35" t="s">
        <v>420</v>
      </c>
      <c r="FV3" s="35" t="s">
        <v>585</v>
      </c>
      <c r="FW3" s="35" t="s">
        <v>490</v>
      </c>
      <c r="FX3" s="35" t="s">
        <v>491</v>
      </c>
      <c r="FY3" s="35" t="s">
        <v>586</v>
      </c>
      <c r="FZ3" s="35" t="s">
        <v>535</v>
      </c>
      <c r="GB3" s="35" t="s">
        <v>587</v>
      </c>
      <c r="GC3" s="35" t="s">
        <v>455</v>
      </c>
      <c r="GE3" s="35" t="s">
        <v>588</v>
      </c>
    </row>
    <row r="4">
      <c r="A4" s="40"/>
      <c r="B4" s="40">
        <v>45825.22351165509</v>
      </c>
      <c r="C4" s="35" t="s">
        <v>368</v>
      </c>
      <c r="D4" s="35" t="s">
        <v>370</v>
      </c>
      <c r="F4" s="35" t="s">
        <v>589</v>
      </c>
      <c r="H4" s="35" t="s">
        <v>422</v>
      </c>
      <c r="I4" s="35" t="s">
        <v>373</v>
      </c>
      <c r="J4" s="35" t="s">
        <v>374</v>
      </c>
      <c r="K4" s="35" t="s">
        <v>590</v>
      </c>
      <c r="L4" s="35" t="s">
        <v>376</v>
      </c>
      <c r="M4" s="35" t="s">
        <v>426</v>
      </c>
      <c r="N4" s="35" t="s">
        <v>378</v>
      </c>
      <c r="O4" s="35" t="s">
        <v>591</v>
      </c>
      <c r="P4" s="35" t="s">
        <v>497</v>
      </c>
      <c r="Q4" s="35" t="s">
        <v>592</v>
      </c>
      <c r="R4" s="35" t="s">
        <v>499</v>
      </c>
      <c r="S4" s="35" t="s">
        <v>427</v>
      </c>
      <c r="T4" s="35" t="s">
        <v>384</v>
      </c>
      <c r="U4" s="35" t="s">
        <v>385</v>
      </c>
      <c r="X4" s="35" t="s">
        <v>593</v>
      </c>
      <c r="Y4" s="35" t="s">
        <v>387</v>
      </c>
      <c r="Z4" s="35" t="s">
        <v>594</v>
      </c>
      <c r="AA4" s="35" t="s">
        <v>502</v>
      </c>
      <c r="AB4" s="35" t="s">
        <v>595</v>
      </c>
      <c r="AC4" s="35" t="s">
        <v>596</v>
      </c>
      <c r="AW4" s="35" t="s">
        <v>597</v>
      </c>
      <c r="AX4" s="41">
        <v>4.0</v>
      </c>
      <c r="AY4" s="35" t="s">
        <v>391</v>
      </c>
      <c r="AZ4" s="41">
        <v>2.0</v>
      </c>
      <c r="BA4" s="35" t="s">
        <v>391</v>
      </c>
      <c r="BB4" s="41">
        <v>4.0</v>
      </c>
      <c r="BC4" s="35" t="s">
        <v>391</v>
      </c>
      <c r="BD4" s="35" t="s">
        <v>598</v>
      </c>
      <c r="BE4" s="35" t="s">
        <v>11614</v>
      </c>
      <c r="BF4" s="35" t="s">
        <v>392</v>
      </c>
      <c r="BG4" s="35" t="s">
        <v>393</v>
      </c>
      <c r="BH4" s="35" t="s">
        <v>394</v>
      </c>
      <c r="BI4" s="35" t="s">
        <v>600</v>
      </c>
      <c r="BJ4" s="35" t="s">
        <v>435</v>
      </c>
      <c r="BK4" s="35" t="s">
        <v>601</v>
      </c>
      <c r="BL4" s="35" t="s">
        <v>602</v>
      </c>
      <c r="BM4" s="35" t="s">
        <v>603</v>
      </c>
      <c r="BN4" s="35" t="s">
        <v>549</v>
      </c>
      <c r="BO4" s="35" t="s">
        <v>440</v>
      </c>
      <c r="CM4" s="35" t="s">
        <v>441</v>
      </c>
      <c r="CN4" s="35" t="s">
        <v>604</v>
      </c>
      <c r="CO4" s="35" t="s">
        <v>605</v>
      </c>
      <c r="CP4" s="35" t="s">
        <v>606</v>
      </c>
      <c r="CQ4" s="35" t="s">
        <v>445</v>
      </c>
      <c r="CR4" s="35" t="s">
        <v>607</v>
      </c>
      <c r="CS4" s="35" t="s">
        <v>447</v>
      </c>
      <c r="CT4" s="35" t="s">
        <v>608</v>
      </c>
      <c r="CU4" s="35" t="s">
        <v>609</v>
      </c>
      <c r="CV4" s="35" t="s">
        <v>519</v>
      </c>
      <c r="CW4" s="35" t="s">
        <v>451</v>
      </c>
      <c r="CX4" s="35" t="s">
        <v>610</v>
      </c>
      <c r="CY4" s="35" t="s">
        <v>408</v>
      </c>
      <c r="DA4" s="35" t="s">
        <v>453</v>
      </c>
      <c r="DB4" s="35" t="s">
        <v>611</v>
      </c>
      <c r="DC4" s="35" t="s">
        <v>408</v>
      </c>
      <c r="DE4" s="35" t="s">
        <v>457</v>
      </c>
      <c r="DG4" s="35" t="s">
        <v>612</v>
      </c>
      <c r="DH4" s="35" t="s">
        <v>524</v>
      </c>
      <c r="DI4" s="35" t="s">
        <v>410</v>
      </c>
      <c r="DJ4" s="35" t="s">
        <v>459</v>
      </c>
      <c r="DK4" s="35" t="s">
        <v>613</v>
      </c>
      <c r="DN4" s="35" t="s">
        <v>614</v>
      </c>
      <c r="DO4" s="35" t="s">
        <v>615</v>
      </c>
      <c r="DP4" s="35" t="s">
        <v>464</v>
      </c>
      <c r="DQ4" s="35" t="s">
        <v>616</v>
      </c>
      <c r="DR4" s="35" t="s">
        <v>466</v>
      </c>
      <c r="DS4" s="35" t="s">
        <v>617</v>
      </c>
      <c r="DT4" s="35" t="s">
        <v>618</v>
      </c>
      <c r="DU4" s="35" t="s">
        <v>619</v>
      </c>
      <c r="DV4" s="35" t="s">
        <v>620</v>
      </c>
      <c r="DW4" s="35" t="s">
        <v>621</v>
      </c>
      <c r="DX4" s="35" t="s">
        <v>622</v>
      </c>
      <c r="DY4" s="35" t="s">
        <v>623</v>
      </c>
      <c r="DZ4" s="35" t="s">
        <v>624</v>
      </c>
      <c r="EA4" s="35" t="s">
        <v>625</v>
      </c>
      <c r="EB4" s="35" t="s">
        <v>475</v>
      </c>
      <c r="EC4" s="35" t="s">
        <v>626</v>
      </c>
      <c r="EU4" s="35" t="s">
        <v>526</v>
      </c>
      <c r="EV4" s="35" t="s">
        <v>479</v>
      </c>
      <c r="EW4" s="35" t="s">
        <v>527</v>
      </c>
      <c r="EX4" s="35" t="s">
        <v>627</v>
      </c>
      <c r="EY4" s="35" t="s">
        <v>628</v>
      </c>
      <c r="EZ4" s="35" t="s">
        <v>629</v>
      </c>
      <c r="FA4" s="35" t="s">
        <v>414</v>
      </c>
      <c r="FB4" s="35" t="s">
        <v>414</v>
      </c>
      <c r="FC4" s="35" t="s">
        <v>416</v>
      </c>
      <c r="FD4" s="35" t="s">
        <v>414</v>
      </c>
      <c r="FE4" s="35" t="s">
        <v>414</v>
      </c>
      <c r="FF4" s="35" t="s">
        <v>414</v>
      </c>
      <c r="FG4" s="35" t="s">
        <v>414</v>
      </c>
      <c r="FH4" s="35" t="s">
        <v>416</v>
      </c>
      <c r="FI4" s="35" t="s">
        <v>414</v>
      </c>
      <c r="FJ4" s="35" t="s">
        <v>583</v>
      </c>
      <c r="FK4" s="35" t="s">
        <v>583</v>
      </c>
      <c r="FL4" s="35" t="s">
        <v>583</v>
      </c>
      <c r="FM4" s="35" t="s">
        <v>583</v>
      </c>
      <c r="FN4" s="35" t="s">
        <v>416</v>
      </c>
      <c r="FO4" s="35" t="s">
        <v>583</v>
      </c>
      <c r="FP4" s="35" t="s">
        <v>485</v>
      </c>
      <c r="FQ4" s="35" t="s">
        <v>418</v>
      </c>
      <c r="FR4" s="35" t="s">
        <v>630</v>
      </c>
      <c r="FS4" s="35" t="s">
        <v>631</v>
      </c>
      <c r="FT4" s="35" t="s">
        <v>420</v>
      </c>
      <c r="FU4" s="35" t="s">
        <v>488</v>
      </c>
      <c r="FV4" s="35" t="s">
        <v>533</v>
      </c>
      <c r="FW4" s="35" t="s">
        <v>490</v>
      </c>
      <c r="FX4" s="35" t="s">
        <v>491</v>
      </c>
      <c r="FY4" s="35" t="s">
        <v>632</v>
      </c>
      <c r="FZ4" s="35" t="s">
        <v>535</v>
      </c>
      <c r="GA4" s="35" t="s">
        <v>633</v>
      </c>
      <c r="GC4" s="35" t="s">
        <v>455</v>
      </c>
      <c r="GD4" s="35" t="s">
        <v>11615</v>
      </c>
    </row>
    <row r="5">
      <c r="A5" s="40"/>
      <c r="B5" s="40">
        <v>45825.4346852662</v>
      </c>
      <c r="C5" s="35" t="s">
        <v>368</v>
      </c>
      <c r="D5" s="35" t="s">
        <v>370</v>
      </c>
      <c r="F5" s="35" t="s">
        <v>667</v>
      </c>
      <c r="H5" s="35" t="s">
        <v>422</v>
      </c>
      <c r="I5" s="35" t="s">
        <v>423</v>
      </c>
      <c r="J5" s="35" t="s">
        <v>668</v>
      </c>
      <c r="K5" s="35" t="s">
        <v>669</v>
      </c>
      <c r="L5" s="35" t="s">
        <v>376</v>
      </c>
      <c r="M5" s="35" t="s">
        <v>426</v>
      </c>
      <c r="N5" s="35" t="s">
        <v>378</v>
      </c>
      <c r="O5" s="35" t="s">
        <v>670</v>
      </c>
      <c r="P5" s="35" t="s">
        <v>671</v>
      </c>
      <c r="Q5" s="35" t="s">
        <v>498</v>
      </c>
      <c r="R5" s="35" t="s">
        <v>499</v>
      </c>
      <c r="S5" s="35" t="s">
        <v>427</v>
      </c>
      <c r="T5" s="35" t="s">
        <v>384</v>
      </c>
      <c r="U5" s="35" t="s">
        <v>385</v>
      </c>
      <c r="X5" s="35" t="s">
        <v>386</v>
      </c>
      <c r="Y5" s="35" t="s">
        <v>387</v>
      </c>
      <c r="Z5" s="35" t="s">
        <v>388</v>
      </c>
      <c r="AA5" s="35" t="s">
        <v>672</v>
      </c>
      <c r="AB5" s="35" t="s">
        <v>11616</v>
      </c>
      <c r="AC5" s="35" t="s">
        <v>11617</v>
      </c>
      <c r="AW5" s="35" t="s">
        <v>390</v>
      </c>
      <c r="AX5" s="35" t="s">
        <v>391</v>
      </c>
      <c r="AY5" s="35" t="s">
        <v>391</v>
      </c>
      <c r="AZ5" s="35" t="s">
        <v>675</v>
      </c>
      <c r="BA5" s="41">
        <v>4.0</v>
      </c>
      <c r="BB5" s="35" t="s">
        <v>429</v>
      </c>
      <c r="BC5" s="41">
        <v>4.0</v>
      </c>
      <c r="BD5" s="35" t="s">
        <v>676</v>
      </c>
      <c r="BE5" s="35" t="s">
        <v>11618</v>
      </c>
      <c r="BF5" s="35" t="s">
        <v>432</v>
      </c>
      <c r="BG5" s="35" t="s">
        <v>393</v>
      </c>
      <c r="BH5" s="35" t="s">
        <v>678</v>
      </c>
      <c r="BI5" s="35" t="s">
        <v>11619</v>
      </c>
      <c r="BJ5" s="35" t="s">
        <v>509</v>
      </c>
      <c r="BK5" s="35" t="s">
        <v>680</v>
      </c>
      <c r="BL5" s="35" t="s">
        <v>681</v>
      </c>
      <c r="BM5" s="35" t="s">
        <v>512</v>
      </c>
      <c r="BN5" s="35" t="s">
        <v>549</v>
      </c>
      <c r="BO5" s="35" t="s">
        <v>440</v>
      </c>
      <c r="CM5" s="35" t="s">
        <v>441</v>
      </c>
      <c r="CN5" s="35" t="s">
        <v>682</v>
      </c>
      <c r="CO5" s="35" t="s">
        <v>683</v>
      </c>
      <c r="CP5" s="35" t="s">
        <v>684</v>
      </c>
      <c r="CQ5" s="35" t="s">
        <v>685</v>
      </c>
      <c r="CR5" s="35" t="s">
        <v>686</v>
      </c>
      <c r="CS5" s="35" t="s">
        <v>447</v>
      </c>
      <c r="CT5" s="35" t="s">
        <v>687</v>
      </c>
      <c r="CU5" s="35" t="s">
        <v>11620</v>
      </c>
      <c r="CV5" s="35" t="s">
        <v>519</v>
      </c>
      <c r="CW5" s="35" t="s">
        <v>451</v>
      </c>
      <c r="CX5" s="35" t="s">
        <v>689</v>
      </c>
      <c r="CY5" s="35" t="s">
        <v>408</v>
      </c>
      <c r="DA5" s="35" t="s">
        <v>453</v>
      </c>
      <c r="DB5" s="35" t="s">
        <v>11621</v>
      </c>
      <c r="DC5" s="35" t="s">
        <v>408</v>
      </c>
      <c r="DE5" s="35" t="s">
        <v>406</v>
      </c>
      <c r="DF5" s="35" t="s">
        <v>691</v>
      </c>
      <c r="DG5" s="35" t="s">
        <v>11622</v>
      </c>
      <c r="DH5" s="35" t="s">
        <v>693</v>
      </c>
      <c r="DI5" s="35" t="s">
        <v>694</v>
      </c>
      <c r="DJ5" s="35" t="s">
        <v>459</v>
      </c>
      <c r="DK5" s="35" t="s">
        <v>695</v>
      </c>
      <c r="DL5" s="35" t="s">
        <v>461</v>
      </c>
      <c r="DN5" s="35" t="s">
        <v>696</v>
      </c>
      <c r="DO5" s="35" t="s">
        <v>697</v>
      </c>
      <c r="DP5" s="35" t="s">
        <v>698</v>
      </c>
      <c r="DQ5" s="35" t="s">
        <v>699</v>
      </c>
      <c r="DR5" s="35" t="s">
        <v>700</v>
      </c>
      <c r="DS5" s="35" t="s">
        <v>11623</v>
      </c>
      <c r="DT5" s="35" t="s">
        <v>702</v>
      </c>
      <c r="DU5" s="35" t="s">
        <v>703</v>
      </c>
      <c r="DV5" s="35" t="s">
        <v>704</v>
      </c>
      <c r="DW5" s="35" t="s">
        <v>704</v>
      </c>
      <c r="DX5" s="35" t="s">
        <v>396</v>
      </c>
      <c r="DY5" s="35" t="s">
        <v>11624</v>
      </c>
      <c r="DZ5" s="35" t="s">
        <v>11625</v>
      </c>
      <c r="EA5" s="35" t="s">
        <v>11626</v>
      </c>
      <c r="EB5" s="35" t="s">
        <v>475</v>
      </c>
      <c r="EC5" s="35" t="s">
        <v>476</v>
      </c>
      <c r="ED5" s="35" t="s">
        <v>708</v>
      </c>
      <c r="EU5" s="35" t="s">
        <v>526</v>
      </c>
      <c r="EV5" s="35" t="s">
        <v>479</v>
      </c>
      <c r="EW5" s="35" t="s">
        <v>480</v>
      </c>
      <c r="EX5" s="35" t="s">
        <v>709</v>
      </c>
      <c r="EY5" s="35" t="s">
        <v>11627</v>
      </c>
      <c r="EZ5" s="35" t="s">
        <v>711</v>
      </c>
      <c r="FA5" s="35" t="s">
        <v>583</v>
      </c>
      <c r="FB5" s="35" t="s">
        <v>583</v>
      </c>
      <c r="FC5" s="35" t="s">
        <v>583</v>
      </c>
      <c r="FD5" s="35" t="s">
        <v>583</v>
      </c>
      <c r="FE5" s="35" t="s">
        <v>415</v>
      </c>
      <c r="FF5" s="35" t="s">
        <v>583</v>
      </c>
      <c r="FG5" s="35" t="s">
        <v>583</v>
      </c>
      <c r="FH5" s="35" t="s">
        <v>583</v>
      </c>
      <c r="FI5" s="35" t="s">
        <v>413</v>
      </c>
      <c r="FJ5" s="35" t="s">
        <v>583</v>
      </c>
      <c r="FK5" s="35" t="s">
        <v>583</v>
      </c>
      <c r="FL5" s="35" t="s">
        <v>583</v>
      </c>
      <c r="FM5" s="35" t="s">
        <v>583</v>
      </c>
      <c r="FN5" s="35" t="s">
        <v>583</v>
      </c>
      <c r="FO5" s="35" t="s">
        <v>413</v>
      </c>
      <c r="FP5" s="35" t="s">
        <v>417</v>
      </c>
      <c r="FQ5" s="35" t="s">
        <v>418</v>
      </c>
      <c r="FR5" s="35" t="s">
        <v>712</v>
      </c>
      <c r="FS5" s="35" t="s">
        <v>713</v>
      </c>
      <c r="FT5" s="35" t="s">
        <v>420</v>
      </c>
      <c r="FU5" s="35" t="s">
        <v>488</v>
      </c>
      <c r="FV5" s="35" t="s">
        <v>533</v>
      </c>
      <c r="FW5" s="35" t="s">
        <v>490</v>
      </c>
      <c r="FX5" s="35" t="s">
        <v>491</v>
      </c>
      <c r="FY5" s="35" t="s">
        <v>714</v>
      </c>
      <c r="FZ5" s="35" t="s">
        <v>535</v>
      </c>
      <c r="GA5" s="35" t="s">
        <v>715</v>
      </c>
      <c r="GB5" s="35" t="s">
        <v>11628</v>
      </c>
      <c r="GC5" s="35" t="s">
        <v>455</v>
      </c>
      <c r="GE5" s="35" t="s">
        <v>717</v>
      </c>
    </row>
    <row r="6">
      <c r="A6" s="40"/>
      <c r="B6" s="40">
        <v>45826.77728232639</v>
      </c>
      <c r="C6" s="35" t="s">
        <v>368</v>
      </c>
      <c r="D6" s="35" t="s">
        <v>370</v>
      </c>
      <c r="F6" s="35" t="s">
        <v>589</v>
      </c>
      <c r="H6" s="35" t="s">
        <v>422</v>
      </c>
      <c r="I6" s="35" t="s">
        <v>496</v>
      </c>
      <c r="J6" s="35" t="s">
        <v>424</v>
      </c>
      <c r="K6" s="35" t="s">
        <v>718</v>
      </c>
      <c r="L6" s="35" t="s">
        <v>376</v>
      </c>
      <c r="M6" s="35" t="s">
        <v>591</v>
      </c>
      <c r="N6" s="35" t="s">
        <v>719</v>
      </c>
      <c r="O6" s="35" t="s">
        <v>670</v>
      </c>
      <c r="P6" s="35" t="s">
        <v>720</v>
      </c>
      <c r="Q6" s="35" t="s">
        <v>592</v>
      </c>
      <c r="R6" s="35" t="s">
        <v>499</v>
      </c>
      <c r="S6" s="35" t="s">
        <v>427</v>
      </c>
      <c r="T6" s="35" t="s">
        <v>384</v>
      </c>
      <c r="U6" s="35" t="s">
        <v>385</v>
      </c>
      <c r="X6" s="35" t="s">
        <v>593</v>
      </c>
      <c r="Y6" s="35" t="s">
        <v>387</v>
      </c>
      <c r="Z6" s="35" t="s">
        <v>388</v>
      </c>
      <c r="AA6" s="35" t="s">
        <v>502</v>
      </c>
      <c r="AB6" s="35" t="s">
        <v>11629</v>
      </c>
      <c r="AC6" s="35" t="s">
        <v>11630</v>
      </c>
      <c r="AW6" s="35" t="s">
        <v>597</v>
      </c>
      <c r="AX6" s="41">
        <v>2.0</v>
      </c>
      <c r="AY6" s="41">
        <v>2.0</v>
      </c>
      <c r="AZ6" s="41">
        <v>4.0</v>
      </c>
      <c r="BA6" s="41">
        <v>2.0</v>
      </c>
      <c r="BB6" s="35" t="s">
        <v>391</v>
      </c>
      <c r="BC6" s="41">
        <v>2.0</v>
      </c>
      <c r="BD6" s="35" t="s">
        <v>723</v>
      </c>
      <c r="BE6" s="35" t="s">
        <v>11631</v>
      </c>
      <c r="BF6" s="35" t="s">
        <v>392</v>
      </c>
      <c r="BG6" s="35" t="s">
        <v>433</v>
      </c>
      <c r="BH6" s="35" t="s">
        <v>725</v>
      </c>
      <c r="BI6" s="35" t="s">
        <v>11632</v>
      </c>
      <c r="BJ6" s="35" t="s">
        <v>727</v>
      </c>
      <c r="BL6" s="35" t="s">
        <v>395</v>
      </c>
      <c r="BM6" s="35" t="s">
        <v>512</v>
      </c>
      <c r="BN6" s="35" t="s">
        <v>397</v>
      </c>
      <c r="BO6" s="35" t="s">
        <v>440</v>
      </c>
      <c r="CM6" s="35" t="s">
        <v>441</v>
      </c>
      <c r="CN6" s="35" t="s">
        <v>442</v>
      </c>
      <c r="CO6" s="35" t="s">
        <v>11633</v>
      </c>
      <c r="CP6" s="35" t="s">
        <v>11634</v>
      </c>
      <c r="CQ6" s="35" t="s">
        <v>445</v>
      </c>
      <c r="CR6" s="35" t="s">
        <v>730</v>
      </c>
      <c r="CS6" s="35" t="s">
        <v>447</v>
      </c>
      <c r="CT6" s="35" t="s">
        <v>448</v>
      </c>
      <c r="CU6" s="35" t="s">
        <v>11635</v>
      </c>
      <c r="CV6" s="35" t="s">
        <v>519</v>
      </c>
      <c r="CW6" s="35" t="s">
        <v>451</v>
      </c>
      <c r="CX6" s="35" t="s">
        <v>732</v>
      </c>
      <c r="CY6" s="35" t="s">
        <v>733</v>
      </c>
      <c r="DA6" s="35" t="s">
        <v>453</v>
      </c>
      <c r="DB6" s="35" t="s">
        <v>11636</v>
      </c>
      <c r="DC6" s="35" t="s">
        <v>408</v>
      </c>
      <c r="DE6" s="35" t="s">
        <v>406</v>
      </c>
      <c r="DF6" s="35" t="s">
        <v>691</v>
      </c>
      <c r="DG6" s="35" t="s">
        <v>11637</v>
      </c>
      <c r="DH6" s="35" t="s">
        <v>524</v>
      </c>
      <c r="DI6" s="35" t="s">
        <v>410</v>
      </c>
      <c r="DJ6" s="35" t="s">
        <v>459</v>
      </c>
      <c r="DK6" s="35" t="s">
        <v>613</v>
      </c>
      <c r="DN6" s="35" t="s">
        <v>736</v>
      </c>
      <c r="DO6" s="35" t="s">
        <v>737</v>
      </c>
      <c r="DP6" s="35" t="s">
        <v>567</v>
      </c>
      <c r="DQ6" s="35" t="s">
        <v>738</v>
      </c>
      <c r="DR6" s="35" t="s">
        <v>466</v>
      </c>
      <c r="DS6" s="35" t="s">
        <v>11638</v>
      </c>
      <c r="DT6" s="35" t="s">
        <v>468</v>
      </c>
      <c r="DU6" s="35" t="s">
        <v>740</v>
      </c>
      <c r="DV6" s="35" t="s">
        <v>11639</v>
      </c>
      <c r="DW6" s="35" t="s">
        <v>742</v>
      </c>
      <c r="DX6" s="35" t="s">
        <v>396</v>
      </c>
      <c r="DY6" s="35" t="s">
        <v>743</v>
      </c>
      <c r="DZ6" s="35" t="s">
        <v>11640</v>
      </c>
      <c r="EA6" s="35" t="s">
        <v>11641</v>
      </c>
      <c r="EB6" s="35" t="s">
        <v>475</v>
      </c>
      <c r="EC6" s="35" t="s">
        <v>626</v>
      </c>
      <c r="ED6" s="35" t="s">
        <v>11642</v>
      </c>
      <c r="EU6" s="35" t="s">
        <v>526</v>
      </c>
      <c r="EV6" s="35" t="s">
        <v>479</v>
      </c>
      <c r="EW6" s="35" t="s">
        <v>480</v>
      </c>
      <c r="EY6" s="35" t="s">
        <v>747</v>
      </c>
      <c r="EZ6" s="35" t="s">
        <v>11643</v>
      </c>
      <c r="FA6" s="35" t="s">
        <v>414</v>
      </c>
      <c r="FB6" s="35" t="s">
        <v>583</v>
      </c>
      <c r="FC6" s="35" t="s">
        <v>583</v>
      </c>
      <c r="FD6" s="35" t="s">
        <v>583</v>
      </c>
      <c r="FE6" s="35" t="s">
        <v>415</v>
      </c>
      <c r="FF6" s="35" t="s">
        <v>583</v>
      </c>
      <c r="FG6" s="35" t="s">
        <v>414</v>
      </c>
      <c r="FH6" s="35" t="s">
        <v>484</v>
      </c>
      <c r="FI6" s="35" t="s">
        <v>484</v>
      </c>
      <c r="FJ6" s="35" t="s">
        <v>583</v>
      </c>
      <c r="FK6" s="35" t="s">
        <v>583</v>
      </c>
      <c r="FL6" s="35" t="s">
        <v>484</v>
      </c>
      <c r="FM6" s="35" t="s">
        <v>484</v>
      </c>
      <c r="FN6" s="35" t="s">
        <v>484</v>
      </c>
      <c r="FO6" s="35" t="s">
        <v>484</v>
      </c>
      <c r="FP6" s="35" t="s">
        <v>417</v>
      </c>
      <c r="FQ6" s="35" t="s">
        <v>418</v>
      </c>
      <c r="FR6" s="35" t="s">
        <v>749</v>
      </c>
      <c r="FS6" s="35" t="s">
        <v>11644</v>
      </c>
      <c r="FT6" s="35" t="s">
        <v>420</v>
      </c>
      <c r="FU6" s="35" t="s">
        <v>488</v>
      </c>
      <c r="FV6" s="35" t="s">
        <v>489</v>
      </c>
      <c r="FW6" s="35" t="s">
        <v>490</v>
      </c>
      <c r="FX6" s="35" t="s">
        <v>491</v>
      </c>
      <c r="FY6" s="35" t="s">
        <v>11645</v>
      </c>
      <c r="FZ6" s="35" t="s">
        <v>535</v>
      </c>
      <c r="GB6" s="35" t="s">
        <v>11646</v>
      </c>
      <c r="GC6" s="35" t="s">
        <v>455</v>
      </c>
      <c r="GD6" s="35" t="s">
        <v>11647</v>
      </c>
      <c r="GF6" s="35" t="s">
        <v>753</v>
      </c>
      <c r="GG6" s="35" t="s">
        <v>7790</v>
      </c>
      <c r="GH6" s="35" t="s">
        <v>755</v>
      </c>
      <c r="GI6" s="35" t="s">
        <v>755</v>
      </c>
      <c r="GJ6" s="35" t="s">
        <v>756</v>
      </c>
    </row>
    <row r="7">
      <c r="A7" s="40"/>
      <c r="B7" s="40">
        <v>45826.879537835644</v>
      </c>
      <c r="C7" s="35" t="s">
        <v>368</v>
      </c>
      <c r="D7" s="35" t="s">
        <v>370</v>
      </c>
      <c r="F7" s="35" t="s">
        <v>791</v>
      </c>
      <c r="H7" s="35" t="s">
        <v>422</v>
      </c>
      <c r="I7" s="35" t="s">
        <v>637</v>
      </c>
      <c r="J7" s="35" t="s">
        <v>638</v>
      </c>
      <c r="K7" s="35" t="s">
        <v>375</v>
      </c>
      <c r="L7" s="35" t="s">
        <v>376</v>
      </c>
      <c r="M7" s="35" t="s">
        <v>426</v>
      </c>
      <c r="N7" s="35" t="s">
        <v>720</v>
      </c>
      <c r="O7" s="35" t="s">
        <v>426</v>
      </c>
      <c r="P7" s="35" t="s">
        <v>719</v>
      </c>
      <c r="Q7" s="35" t="s">
        <v>498</v>
      </c>
      <c r="R7" s="35" t="s">
        <v>818</v>
      </c>
      <c r="S7" s="35" t="s">
        <v>427</v>
      </c>
      <c r="T7" s="35" t="s">
        <v>384</v>
      </c>
      <c r="U7" s="35" t="s">
        <v>385</v>
      </c>
      <c r="X7" s="35" t="s">
        <v>386</v>
      </c>
      <c r="Y7" s="35" t="s">
        <v>387</v>
      </c>
      <c r="Z7" s="35" t="s">
        <v>388</v>
      </c>
      <c r="AA7" s="35" t="s">
        <v>543</v>
      </c>
      <c r="AB7" s="35" t="s">
        <v>819</v>
      </c>
      <c r="AC7" s="35" t="s">
        <v>820</v>
      </c>
      <c r="AW7" s="35" t="s">
        <v>390</v>
      </c>
      <c r="AX7" s="35" t="s">
        <v>391</v>
      </c>
      <c r="AY7" s="41">
        <v>2.0</v>
      </c>
      <c r="AZ7" s="41">
        <v>4.0</v>
      </c>
      <c r="BA7" s="41">
        <v>2.0</v>
      </c>
      <c r="BB7" s="35" t="s">
        <v>429</v>
      </c>
      <c r="BC7" s="41">
        <v>2.0</v>
      </c>
      <c r="BD7" s="35" t="s">
        <v>821</v>
      </c>
      <c r="BE7" s="35" t="s">
        <v>822</v>
      </c>
      <c r="BF7" s="35" t="s">
        <v>392</v>
      </c>
      <c r="BG7" s="35" t="s">
        <v>433</v>
      </c>
      <c r="BH7" s="35" t="s">
        <v>678</v>
      </c>
      <c r="BI7" s="35" t="s">
        <v>823</v>
      </c>
      <c r="BJ7" s="35" t="s">
        <v>824</v>
      </c>
      <c r="BL7" s="35" t="s">
        <v>437</v>
      </c>
      <c r="BM7" s="35" t="s">
        <v>396</v>
      </c>
      <c r="BN7" s="35" t="s">
        <v>549</v>
      </c>
      <c r="BO7" s="35" t="s">
        <v>440</v>
      </c>
      <c r="CM7" s="35" t="s">
        <v>441</v>
      </c>
      <c r="CN7" s="35" t="s">
        <v>682</v>
      </c>
      <c r="CO7" s="35" t="s">
        <v>825</v>
      </c>
      <c r="CP7" s="35" t="s">
        <v>826</v>
      </c>
      <c r="CQ7" s="35" t="s">
        <v>445</v>
      </c>
      <c r="CR7" s="35" t="s">
        <v>827</v>
      </c>
      <c r="CS7" s="35" t="s">
        <v>828</v>
      </c>
      <c r="CT7" s="35" t="s">
        <v>805</v>
      </c>
      <c r="CU7" s="35" t="s">
        <v>829</v>
      </c>
      <c r="CV7" s="35" t="s">
        <v>519</v>
      </c>
      <c r="CW7" s="35" t="s">
        <v>451</v>
      </c>
      <c r="CX7" s="35" t="s">
        <v>830</v>
      </c>
      <c r="CY7" s="35" t="s">
        <v>408</v>
      </c>
      <c r="DA7" s="35" t="s">
        <v>453</v>
      </c>
      <c r="DB7" s="35" t="s">
        <v>831</v>
      </c>
      <c r="DC7" s="35" t="s">
        <v>408</v>
      </c>
      <c r="DE7" s="35" t="s">
        <v>457</v>
      </c>
      <c r="DG7" s="35" t="s">
        <v>832</v>
      </c>
      <c r="DH7" s="35" t="s">
        <v>524</v>
      </c>
      <c r="DI7" s="35" t="s">
        <v>833</v>
      </c>
      <c r="DJ7" s="35" t="s">
        <v>459</v>
      </c>
      <c r="DK7" s="35" t="s">
        <v>613</v>
      </c>
      <c r="DN7" s="35" t="s">
        <v>834</v>
      </c>
      <c r="DO7" s="35" t="s">
        <v>835</v>
      </c>
      <c r="DP7" s="35" t="s">
        <v>567</v>
      </c>
      <c r="DQ7" s="35" t="s">
        <v>836</v>
      </c>
      <c r="DR7" s="35" t="s">
        <v>837</v>
      </c>
      <c r="DS7" s="35" t="s">
        <v>838</v>
      </c>
      <c r="DT7" s="35" t="s">
        <v>839</v>
      </c>
      <c r="DU7" s="35" t="s">
        <v>570</v>
      </c>
      <c r="DV7" s="35" t="s">
        <v>840</v>
      </c>
      <c r="DW7" s="35" t="s">
        <v>841</v>
      </c>
      <c r="DX7" s="35" t="s">
        <v>573</v>
      </c>
      <c r="DY7" s="35" t="s">
        <v>842</v>
      </c>
      <c r="DZ7" s="35" t="s">
        <v>843</v>
      </c>
      <c r="EA7" s="35" t="s">
        <v>844</v>
      </c>
      <c r="EB7" s="35" t="s">
        <v>475</v>
      </c>
      <c r="EC7" s="35" t="s">
        <v>845</v>
      </c>
      <c r="ED7" s="35" t="s">
        <v>846</v>
      </c>
      <c r="EU7" s="35" t="s">
        <v>578</v>
      </c>
      <c r="EV7" s="35" t="s">
        <v>479</v>
      </c>
      <c r="EW7" s="35" t="s">
        <v>480</v>
      </c>
      <c r="EX7" s="35" t="s">
        <v>847</v>
      </c>
      <c r="EY7" s="35" t="s">
        <v>848</v>
      </c>
      <c r="EZ7" s="35" t="s">
        <v>849</v>
      </c>
      <c r="FA7" s="35" t="s">
        <v>583</v>
      </c>
      <c r="FB7" s="35" t="s">
        <v>583</v>
      </c>
      <c r="FC7" s="35" t="s">
        <v>484</v>
      </c>
      <c r="FD7" s="35" t="s">
        <v>414</v>
      </c>
      <c r="FE7" s="35" t="s">
        <v>415</v>
      </c>
      <c r="FF7" s="35" t="s">
        <v>583</v>
      </c>
      <c r="FG7" s="35" t="s">
        <v>414</v>
      </c>
      <c r="FH7" s="35" t="s">
        <v>583</v>
      </c>
      <c r="FI7" s="35" t="s">
        <v>416</v>
      </c>
      <c r="FJ7" s="35" t="s">
        <v>414</v>
      </c>
      <c r="FK7" s="35" t="s">
        <v>583</v>
      </c>
      <c r="FL7" s="35" t="s">
        <v>414</v>
      </c>
      <c r="FM7" s="35" t="s">
        <v>583</v>
      </c>
      <c r="FN7" s="35" t="s">
        <v>484</v>
      </c>
      <c r="FO7" s="35" t="s">
        <v>484</v>
      </c>
      <c r="FP7" s="35" t="s">
        <v>850</v>
      </c>
      <c r="FQ7" s="35" t="s">
        <v>486</v>
      </c>
      <c r="FR7" s="35" t="s">
        <v>749</v>
      </c>
      <c r="FS7" s="35" t="s">
        <v>851</v>
      </c>
      <c r="FT7" s="35" t="s">
        <v>420</v>
      </c>
      <c r="FU7" s="35" t="s">
        <v>488</v>
      </c>
      <c r="FV7" s="35" t="s">
        <v>489</v>
      </c>
      <c r="FW7" s="35" t="s">
        <v>490</v>
      </c>
      <c r="FX7" s="35" t="s">
        <v>491</v>
      </c>
      <c r="FY7" s="35" t="s">
        <v>852</v>
      </c>
      <c r="FZ7" s="35" t="s">
        <v>535</v>
      </c>
      <c r="GA7" s="35" t="s">
        <v>853</v>
      </c>
      <c r="GC7" s="35" t="s">
        <v>455</v>
      </c>
      <c r="GE7" s="35" t="s">
        <v>854</v>
      </c>
      <c r="GF7" s="35" t="s">
        <v>855</v>
      </c>
      <c r="GG7" s="35" t="s">
        <v>856</v>
      </c>
      <c r="GH7" s="35" t="s">
        <v>857</v>
      </c>
      <c r="GI7" s="35" t="s">
        <v>857</v>
      </c>
      <c r="GJ7" s="35" t="s">
        <v>858</v>
      </c>
    </row>
    <row r="8">
      <c r="A8" s="40"/>
      <c r="B8" s="40">
        <v>45826.879848993056</v>
      </c>
      <c r="C8" s="35" t="s">
        <v>368</v>
      </c>
      <c r="D8" s="35" t="s">
        <v>370</v>
      </c>
      <c r="F8" s="35" t="s">
        <v>859</v>
      </c>
      <c r="H8" s="35" t="s">
        <v>422</v>
      </c>
      <c r="I8" s="35" t="s">
        <v>637</v>
      </c>
      <c r="J8" s="35" t="s">
        <v>638</v>
      </c>
      <c r="K8" s="35" t="s">
        <v>425</v>
      </c>
      <c r="L8" s="35" t="s">
        <v>376</v>
      </c>
      <c r="M8" s="35" t="s">
        <v>793</v>
      </c>
      <c r="N8" s="35" t="s">
        <v>860</v>
      </c>
      <c r="O8" s="35" t="s">
        <v>426</v>
      </c>
      <c r="P8" s="35" t="s">
        <v>861</v>
      </c>
      <c r="Q8" s="35" t="s">
        <v>592</v>
      </c>
      <c r="R8" s="35" t="s">
        <v>862</v>
      </c>
      <c r="S8" s="35" t="s">
        <v>863</v>
      </c>
      <c r="T8" s="35" t="s">
        <v>384</v>
      </c>
      <c r="U8" s="35" t="s">
        <v>385</v>
      </c>
      <c r="X8" s="35" t="s">
        <v>428</v>
      </c>
      <c r="AW8" s="35" t="s">
        <v>390</v>
      </c>
      <c r="AX8" s="35" t="s">
        <v>429</v>
      </c>
      <c r="AY8" s="41">
        <v>2.0</v>
      </c>
      <c r="AZ8" s="41">
        <v>2.0</v>
      </c>
      <c r="BA8" s="35" t="s">
        <v>391</v>
      </c>
      <c r="BB8" s="41">
        <v>2.0</v>
      </c>
      <c r="BC8" s="35" t="s">
        <v>429</v>
      </c>
      <c r="BD8" s="35" t="s">
        <v>11648</v>
      </c>
      <c r="BE8" s="35" t="s">
        <v>865</v>
      </c>
      <c r="BF8" s="35" t="s">
        <v>392</v>
      </c>
      <c r="BG8" s="35" t="s">
        <v>433</v>
      </c>
      <c r="BH8" s="35" t="s">
        <v>394</v>
      </c>
      <c r="BI8" s="35" t="s">
        <v>866</v>
      </c>
      <c r="BJ8" s="35" t="s">
        <v>509</v>
      </c>
      <c r="BK8" s="35" t="s">
        <v>867</v>
      </c>
      <c r="BL8" s="35" t="s">
        <v>602</v>
      </c>
      <c r="BM8" s="35" t="s">
        <v>603</v>
      </c>
      <c r="BN8" s="35" t="s">
        <v>549</v>
      </c>
      <c r="BO8" s="35" t="s">
        <v>440</v>
      </c>
      <c r="CM8" s="35" t="s">
        <v>441</v>
      </c>
      <c r="CN8" s="35" t="s">
        <v>401</v>
      </c>
      <c r="CO8" s="35" t="s">
        <v>868</v>
      </c>
      <c r="CP8" s="35" t="s">
        <v>869</v>
      </c>
      <c r="CQ8" s="35" t="s">
        <v>445</v>
      </c>
      <c r="CR8" s="35" t="s">
        <v>870</v>
      </c>
      <c r="CS8" s="35" t="s">
        <v>828</v>
      </c>
      <c r="CT8" s="35" t="s">
        <v>871</v>
      </c>
      <c r="CU8" s="35" t="s">
        <v>872</v>
      </c>
      <c r="CV8" s="35" t="s">
        <v>519</v>
      </c>
      <c r="CW8" s="35" t="s">
        <v>451</v>
      </c>
      <c r="CX8" s="35" t="s">
        <v>873</v>
      </c>
      <c r="CY8" s="35" t="s">
        <v>408</v>
      </c>
      <c r="DA8" s="35" t="s">
        <v>453</v>
      </c>
      <c r="DB8" s="35" t="s">
        <v>874</v>
      </c>
      <c r="DC8" s="35" t="s">
        <v>455</v>
      </c>
      <c r="DD8" s="35" t="s">
        <v>875</v>
      </c>
      <c r="DE8" s="35" t="s">
        <v>457</v>
      </c>
      <c r="DG8" s="35" t="s">
        <v>876</v>
      </c>
      <c r="DH8" s="35" t="s">
        <v>524</v>
      </c>
      <c r="DI8" s="35" t="s">
        <v>410</v>
      </c>
      <c r="DJ8" s="35" t="s">
        <v>459</v>
      </c>
      <c r="DK8" s="35" t="s">
        <v>460</v>
      </c>
      <c r="DL8" s="35" t="s">
        <v>461</v>
      </c>
      <c r="DN8" s="35" t="s">
        <v>877</v>
      </c>
      <c r="DO8" s="35" t="s">
        <v>878</v>
      </c>
      <c r="DP8" s="35" t="s">
        <v>464</v>
      </c>
      <c r="DQ8" s="35" t="s">
        <v>879</v>
      </c>
      <c r="DR8" s="35" t="s">
        <v>837</v>
      </c>
      <c r="DS8" s="35" t="s">
        <v>880</v>
      </c>
      <c r="DT8" s="35" t="s">
        <v>839</v>
      </c>
      <c r="DU8" s="35" t="s">
        <v>703</v>
      </c>
      <c r="DV8" s="35" t="s">
        <v>881</v>
      </c>
      <c r="DW8" s="35" t="s">
        <v>882</v>
      </c>
      <c r="DX8" s="35" t="s">
        <v>396</v>
      </c>
      <c r="DY8" s="35" t="s">
        <v>883</v>
      </c>
      <c r="DZ8" s="35" t="s">
        <v>884</v>
      </c>
      <c r="EA8" s="35" t="s">
        <v>885</v>
      </c>
      <c r="EB8" s="35" t="s">
        <v>475</v>
      </c>
      <c r="EC8" s="35" t="s">
        <v>845</v>
      </c>
      <c r="ED8" s="35" t="s">
        <v>886</v>
      </c>
      <c r="EU8" s="35" t="s">
        <v>526</v>
      </c>
      <c r="EV8" s="35" t="s">
        <v>887</v>
      </c>
      <c r="EW8" s="35" t="s">
        <v>480</v>
      </c>
      <c r="EX8" s="35" t="s">
        <v>888</v>
      </c>
      <c r="EY8" s="35" t="s">
        <v>889</v>
      </c>
      <c r="EZ8" s="35" t="s">
        <v>890</v>
      </c>
      <c r="FA8" s="35" t="s">
        <v>583</v>
      </c>
      <c r="FB8" s="35" t="s">
        <v>583</v>
      </c>
      <c r="FC8" s="35" t="s">
        <v>583</v>
      </c>
      <c r="FD8" s="35" t="s">
        <v>583</v>
      </c>
      <c r="FE8" s="35" t="s">
        <v>415</v>
      </c>
      <c r="FF8" s="35" t="s">
        <v>583</v>
      </c>
      <c r="FG8" s="35" t="s">
        <v>415</v>
      </c>
      <c r="FH8" s="35" t="s">
        <v>583</v>
      </c>
      <c r="FI8" s="35" t="s">
        <v>415</v>
      </c>
      <c r="FJ8" s="35" t="s">
        <v>583</v>
      </c>
      <c r="FK8" s="35" t="s">
        <v>583</v>
      </c>
      <c r="FL8" s="35" t="s">
        <v>415</v>
      </c>
      <c r="FM8" s="35" t="s">
        <v>415</v>
      </c>
      <c r="FN8" s="35" t="s">
        <v>415</v>
      </c>
      <c r="FO8" s="35" t="s">
        <v>415</v>
      </c>
      <c r="FP8" s="35" t="s">
        <v>417</v>
      </c>
      <c r="FQ8" s="35" t="s">
        <v>418</v>
      </c>
      <c r="FR8" s="35" t="s">
        <v>712</v>
      </c>
      <c r="FS8" s="35" t="s">
        <v>891</v>
      </c>
      <c r="FT8" s="35" t="s">
        <v>420</v>
      </c>
      <c r="FU8" s="35" t="s">
        <v>488</v>
      </c>
      <c r="FV8" s="35" t="s">
        <v>533</v>
      </c>
      <c r="FW8" s="35" t="s">
        <v>490</v>
      </c>
      <c r="FX8" s="35" t="s">
        <v>491</v>
      </c>
      <c r="FY8" s="35" t="s">
        <v>892</v>
      </c>
      <c r="FZ8" s="35" t="s">
        <v>535</v>
      </c>
      <c r="GA8" s="35" t="s">
        <v>893</v>
      </c>
      <c r="GC8" s="35" t="s">
        <v>455</v>
      </c>
      <c r="GD8" s="35" t="s">
        <v>11649</v>
      </c>
      <c r="GF8" s="35" t="s">
        <v>753</v>
      </c>
      <c r="GG8" s="35" t="s">
        <v>754</v>
      </c>
      <c r="GH8" s="35" t="s">
        <v>857</v>
      </c>
      <c r="GI8" s="35" t="s">
        <v>857</v>
      </c>
      <c r="GJ8" s="35" t="s">
        <v>790</v>
      </c>
    </row>
    <row r="9">
      <c r="A9" s="40"/>
      <c r="B9" s="40">
        <v>45826.981307662034</v>
      </c>
      <c r="D9" s="35" t="s">
        <v>369</v>
      </c>
      <c r="E9" s="35" t="s">
        <v>894</v>
      </c>
      <c r="H9" s="35" t="s">
        <v>422</v>
      </c>
      <c r="I9" s="35" t="s">
        <v>496</v>
      </c>
      <c r="J9" s="35" t="s">
        <v>374</v>
      </c>
      <c r="K9" s="35" t="s">
        <v>375</v>
      </c>
      <c r="L9" s="35" t="s">
        <v>376</v>
      </c>
      <c r="M9" s="35" t="s">
        <v>591</v>
      </c>
      <c r="N9" s="35" t="s">
        <v>639</v>
      </c>
      <c r="O9" s="35" t="s">
        <v>591</v>
      </c>
      <c r="P9" s="35" t="s">
        <v>719</v>
      </c>
      <c r="Q9" s="35" t="s">
        <v>592</v>
      </c>
      <c r="R9" s="35" t="s">
        <v>499</v>
      </c>
      <c r="S9" s="35" t="s">
        <v>427</v>
      </c>
      <c r="T9" s="35" t="s">
        <v>384</v>
      </c>
      <c r="U9" s="35" t="s">
        <v>385</v>
      </c>
      <c r="W9" s="35" t="s">
        <v>1045</v>
      </c>
      <c r="X9" s="35" t="s">
        <v>428</v>
      </c>
      <c r="AW9" s="35" t="s">
        <v>597</v>
      </c>
      <c r="AX9" s="41">
        <v>4.0</v>
      </c>
      <c r="AY9" s="35" t="s">
        <v>391</v>
      </c>
      <c r="AZ9" s="35" t="s">
        <v>391</v>
      </c>
      <c r="BA9" s="35" t="s">
        <v>391</v>
      </c>
      <c r="BB9" s="35" t="s">
        <v>391</v>
      </c>
      <c r="BC9" s="35" t="s">
        <v>391</v>
      </c>
      <c r="BD9" s="35" t="s">
        <v>1046</v>
      </c>
      <c r="BF9" s="35" t="s">
        <v>432</v>
      </c>
      <c r="BG9" s="35" t="s">
        <v>1047</v>
      </c>
      <c r="BH9" s="35" t="s">
        <v>434</v>
      </c>
      <c r="BI9" s="35" t="s">
        <v>1048</v>
      </c>
      <c r="BJ9" s="35" t="s">
        <v>435</v>
      </c>
      <c r="BL9" s="35" t="s">
        <v>437</v>
      </c>
      <c r="BM9" s="35" t="s">
        <v>904</v>
      </c>
      <c r="BN9" s="35" t="s">
        <v>549</v>
      </c>
      <c r="BO9" s="35" t="s">
        <v>440</v>
      </c>
      <c r="CM9" s="35" t="s">
        <v>441</v>
      </c>
      <c r="CN9" s="35" t="s">
        <v>442</v>
      </c>
      <c r="CO9" s="35" t="s">
        <v>1049</v>
      </c>
      <c r="CP9" s="35" t="s">
        <v>1050</v>
      </c>
      <c r="CQ9" s="35" t="s">
        <v>1008</v>
      </c>
      <c r="CR9" s="35" t="s">
        <v>1051</v>
      </c>
      <c r="CS9" s="35" t="s">
        <v>804</v>
      </c>
      <c r="CT9" s="35" t="s">
        <v>1052</v>
      </c>
      <c r="CU9" s="35" t="s">
        <v>1053</v>
      </c>
      <c r="CV9" s="35" t="s">
        <v>450</v>
      </c>
      <c r="CW9" s="35" t="s">
        <v>451</v>
      </c>
      <c r="CX9" s="35" t="s">
        <v>1054</v>
      </c>
      <c r="CY9" s="35" t="s">
        <v>455</v>
      </c>
      <c r="CZ9" s="35" t="s">
        <v>1055</v>
      </c>
      <c r="DA9" s="35" t="s">
        <v>985</v>
      </c>
      <c r="DB9" s="35" t="s">
        <v>1056</v>
      </c>
      <c r="DC9" s="35" t="s">
        <v>455</v>
      </c>
      <c r="DD9" s="35" t="s">
        <v>1057</v>
      </c>
      <c r="DE9" s="35" t="s">
        <v>406</v>
      </c>
      <c r="DF9" s="35" t="s">
        <v>1058</v>
      </c>
      <c r="DG9" s="35" t="s">
        <v>1059</v>
      </c>
      <c r="DH9" s="35" t="s">
        <v>524</v>
      </c>
      <c r="DI9" s="35" t="s">
        <v>410</v>
      </c>
      <c r="DJ9" s="35" t="s">
        <v>459</v>
      </c>
      <c r="DK9" s="35" t="s">
        <v>460</v>
      </c>
      <c r="DL9" s="35" t="s">
        <v>563</v>
      </c>
      <c r="DM9" s="35" t="s">
        <v>1060</v>
      </c>
      <c r="DN9" s="35" t="s">
        <v>1061</v>
      </c>
      <c r="DO9" s="35" t="s">
        <v>1062</v>
      </c>
      <c r="DP9" s="35" t="s">
        <v>1063</v>
      </c>
      <c r="DQ9" s="35" t="s">
        <v>1064</v>
      </c>
      <c r="DR9" s="35" t="s">
        <v>700</v>
      </c>
      <c r="DS9" s="35" t="s">
        <v>1065</v>
      </c>
      <c r="DT9" s="35" t="s">
        <v>702</v>
      </c>
      <c r="DU9" s="35" t="s">
        <v>570</v>
      </c>
      <c r="DV9" s="35" t="s">
        <v>1066</v>
      </c>
      <c r="DW9" s="35" t="s">
        <v>1067</v>
      </c>
      <c r="DX9" s="35" t="s">
        <v>622</v>
      </c>
      <c r="DY9" s="35" t="s">
        <v>1068</v>
      </c>
      <c r="DZ9" s="35" t="s">
        <v>1069</v>
      </c>
      <c r="EA9" s="35" t="s">
        <v>1070</v>
      </c>
      <c r="EB9" s="35" t="s">
        <v>475</v>
      </c>
      <c r="EC9" s="35" t="s">
        <v>626</v>
      </c>
      <c r="EU9" s="35" t="s">
        <v>578</v>
      </c>
      <c r="EV9" s="35" t="s">
        <v>887</v>
      </c>
      <c r="EW9" s="35" t="s">
        <v>480</v>
      </c>
      <c r="EX9" s="35" t="s">
        <v>1071</v>
      </c>
      <c r="EY9" s="35" t="s">
        <v>1072</v>
      </c>
      <c r="EZ9" s="35" t="s">
        <v>1073</v>
      </c>
      <c r="FA9" s="35" t="s">
        <v>583</v>
      </c>
      <c r="FB9" s="35" t="s">
        <v>583</v>
      </c>
      <c r="FC9" s="35" t="s">
        <v>416</v>
      </c>
      <c r="FD9" s="35" t="s">
        <v>583</v>
      </c>
      <c r="FE9" s="35" t="s">
        <v>413</v>
      </c>
      <c r="FF9" s="35" t="s">
        <v>583</v>
      </c>
      <c r="FG9" s="35" t="s">
        <v>583</v>
      </c>
      <c r="FH9" s="35" t="s">
        <v>583</v>
      </c>
      <c r="FI9" s="35" t="s">
        <v>415</v>
      </c>
      <c r="FJ9" s="35" t="s">
        <v>414</v>
      </c>
      <c r="FK9" s="35" t="s">
        <v>583</v>
      </c>
      <c r="FL9" s="35" t="s">
        <v>414</v>
      </c>
      <c r="FM9" s="35" t="s">
        <v>583</v>
      </c>
      <c r="FN9" s="35" t="s">
        <v>416</v>
      </c>
      <c r="FO9" s="35" t="s">
        <v>583</v>
      </c>
      <c r="FP9" s="35" t="s">
        <v>1074</v>
      </c>
      <c r="FQ9" s="35" t="s">
        <v>418</v>
      </c>
      <c r="FR9" s="35" t="s">
        <v>419</v>
      </c>
      <c r="FS9" s="35" t="s">
        <v>1075</v>
      </c>
      <c r="FT9" s="35" t="s">
        <v>1076</v>
      </c>
      <c r="FU9" s="35" t="s">
        <v>488</v>
      </c>
      <c r="FV9" s="35" t="s">
        <v>918</v>
      </c>
      <c r="FW9" s="35" t="s">
        <v>490</v>
      </c>
      <c r="FX9" s="35" t="s">
        <v>491</v>
      </c>
      <c r="FY9" s="35" t="s">
        <v>1077</v>
      </c>
      <c r="FZ9" s="35" t="s">
        <v>493</v>
      </c>
      <c r="GB9" s="35" t="s">
        <v>11650</v>
      </c>
      <c r="GC9" s="35" t="s">
        <v>408</v>
      </c>
      <c r="GH9" s="35" t="s">
        <v>755</v>
      </c>
      <c r="GI9" s="35" t="s">
        <v>755</v>
      </c>
      <c r="GJ9" s="35" t="s">
        <v>946</v>
      </c>
      <c r="GN9" s="35" t="s">
        <v>1079</v>
      </c>
    </row>
    <row r="10">
      <c r="A10" s="40"/>
      <c r="B10" s="40">
        <v>45827.03329590277</v>
      </c>
      <c r="C10" s="35" t="s">
        <v>368</v>
      </c>
      <c r="D10" s="35" t="s">
        <v>1092</v>
      </c>
      <c r="E10" s="35" t="s">
        <v>1092</v>
      </c>
      <c r="H10" s="35" t="s">
        <v>1093</v>
      </c>
      <c r="I10" s="35" t="s">
        <v>373</v>
      </c>
      <c r="J10" s="35" t="s">
        <v>374</v>
      </c>
      <c r="K10" s="35" t="s">
        <v>718</v>
      </c>
      <c r="L10" s="35" t="s">
        <v>376</v>
      </c>
      <c r="M10" s="35" t="s">
        <v>591</v>
      </c>
      <c r="N10" s="35" t="s">
        <v>378</v>
      </c>
      <c r="O10" s="35" t="s">
        <v>591</v>
      </c>
      <c r="P10" s="35" t="s">
        <v>639</v>
      </c>
      <c r="Q10" s="35" t="s">
        <v>498</v>
      </c>
      <c r="R10" s="35" t="s">
        <v>382</v>
      </c>
      <c r="S10" s="35" t="s">
        <v>500</v>
      </c>
      <c r="T10" s="35" t="s">
        <v>384</v>
      </c>
      <c r="U10" s="35" t="s">
        <v>385</v>
      </c>
      <c r="X10" s="35" t="s">
        <v>428</v>
      </c>
      <c r="AW10" s="35" t="s">
        <v>390</v>
      </c>
      <c r="AX10" s="35" t="s">
        <v>391</v>
      </c>
      <c r="AY10" s="35" t="s">
        <v>391</v>
      </c>
      <c r="AZ10" s="41">
        <v>2.0</v>
      </c>
      <c r="BA10" s="41">
        <v>2.0</v>
      </c>
      <c r="BB10" s="41">
        <v>2.0</v>
      </c>
      <c r="BC10" s="41">
        <v>2.0</v>
      </c>
      <c r="BF10" s="35" t="s">
        <v>1094</v>
      </c>
      <c r="BG10" s="35" t="s">
        <v>1095</v>
      </c>
      <c r="BH10" s="35" t="s">
        <v>725</v>
      </c>
      <c r="BL10" s="35" t="s">
        <v>437</v>
      </c>
      <c r="BN10" s="35" t="s">
        <v>549</v>
      </c>
      <c r="BO10" s="35" t="s">
        <v>440</v>
      </c>
      <c r="CM10" s="35" t="s">
        <v>550</v>
      </c>
      <c r="CN10" s="35" t="s">
        <v>551</v>
      </c>
      <c r="CQ10" s="35" t="s">
        <v>445</v>
      </c>
      <c r="CR10" s="35" t="s">
        <v>1096</v>
      </c>
      <c r="CS10" s="35" t="s">
        <v>555</v>
      </c>
      <c r="CT10" s="35" t="s">
        <v>1097</v>
      </c>
      <c r="CV10" s="35" t="s">
        <v>450</v>
      </c>
      <c r="CW10" s="35" t="s">
        <v>959</v>
      </c>
      <c r="CY10" s="35" t="s">
        <v>408</v>
      </c>
      <c r="DA10" s="35" t="s">
        <v>453</v>
      </c>
      <c r="DC10" s="35" t="s">
        <v>455</v>
      </c>
      <c r="DE10" s="35" t="s">
        <v>406</v>
      </c>
      <c r="DF10" s="35" t="s">
        <v>407</v>
      </c>
      <c r="DH10" s="35" t="s">
        <v>524</v>
      </c>
      <c r="DI10" s="35" t="s">
        <v>410</v>
      </c>
      <c r="DJ10" s="35" t="s">
        <v>459</v>
      </c>
      <c r="DK10" s="35" t="s">
        <v>613</v>
      </c>
      <c r="DN10" s="35" t="s">
        <v>1098</v>
      </c>
      <c r="DO10" s="35" t="s">
        <v>1099</v>
      </c>
      <c r="DP10" s="35" t="s">
        <v>567</v>
      </c>
      <c r="DQ10" s="35" t="s">
        <v>1100</v>
      </c>
      <c r="DR10" s="35" t="s">
        <v>837</v>
      </c>
      <c r="DT10" s="35" t="s">
        <v>618</v>
      </c>
      <c r="DU10" s="35" t="s">
        <v>740</v>
      </c>
      <c r="DX10" s="35" t="s">
        <v>573</v>
      </c>
      <c r="EB10" s="35" t="s">
        <v>475</v>
      </c>
      <c r="EC10" s="35" t="s">
        <v>626</v>
      </c>
      <c r="EU10" s="35" t="s">
        <v>526</v>
      </c>
      <c r="EV10" s="35" t="s">
        <v>579</v>
      </c>
      <c r="EW10" s="35" t="s">
        <v>527</v>
      </c>
      <c r="FA10" s="35" t="s">
        <v>413</v>
      </c>
      <c r="FB10" s="35" t="s">
        <v>414</v>
      </c>
      <c r="FC10" s="35" t="s">
        <v>413</v>
      </c>
      <c r="FD10" s="35" t="s">
        <v>413</v>
      </c>
      <c r="FE10" s="35" t="s">
        <v>413</v>
      </c>
      <c r="FF10" s="35" t="s">
        <v>415</v>
      </c>
      <c r="FG10" s="35" t="s">
        <v>583</v>
      </c>
      <c r="FH10" s="35" t="s">
        <v>413</v>
      </c>
      <c r="FI10" s="35" t="s">
        <v>583</v>
      </c>
      <c r="FJ10" s="35" t="s">
        <v>416</v>
      </c>
      <c r="FK10" s="35" t="s">
        <v>415</v>
      </c>
      <c r="FL10" s="35" t="s">
        <v>413</v>
      </c>
      <c r="FM10" s="35" t="s">
        <v>413</v>
      </c>
      <c r="FN10" s="35" t="s">
        <v>413</v>
      </c>
      <c r="FO10" s="35" t="s">
        <v>583</v>
      </c>
      <c r="FP10" s="35" t="s">
        <v>485</v>
      </c>
      <c r="FQ10" s="35" t="s">
        <v>486</v>
      </c>
      <c r="FR10" s="35" t="s">
        <v>712</v>
      </c>
      <c r="FT10" s="35" t="s">
        <v>420</v>
      </c>
      <c r="FU10" s="35" t="s">
        <v>488</v>
      </c>
      <c r="FV10" s="35" t="s">
        <v>918</v>
      </c>
      <c r="FW10" s="35" t="s">
        <v>1101</v>
      </c>
      <c r="FX10" s="35" t="s">
        <v>491</v>
      </c>
      <c r="FZ10" s="35" t="s">
        <v>493</v>
      </c>
      <c r="GC10" s="35" t="s">
        <v>408</v>
      </c>
      <c r="GH10" s="35" t="s">
        <v>755</v>
      </c>
      <c r="GI10" s="35" t="s">
        <v>755</v>
      </c>
      <c r="GJ10" s="35" t="s">
        <v>946</v>
      </c>
      <c r="GN10" s="35" t="s">
        <v>1079</v>
      </c>
    </row>
    <row r="11">
      <c r="A11" s="40"/>
      <c r="B11" s="40">
        <v>45827.04287230324</v>
      </c>
      <c r="C11" s="35" t="s">
        <v>368</v>
      </c>
      <c r="D11" s="35" t="s">
        <v>370</v>
      </c>
      <c r="F11" s="35" t="s">
        <v>371</v>
      </c>
      <c r="H11" s="35" t="s">
        <v>1102</v>
      </c>
      <c r="I11" s="35" t="s">
        <v>373</v>
      </c>
      <c r="J11" s="35" t="s">
        <v>638</v>
      </c>
      <c r="K11" s="35" t="s">
        <v>425</v>
      </c>
      <c r="L11" s="35" t="s">
        <v>376</v>
      </c>
      <c r="M11" s="35" t="s">
        <v>426</v>
      </c>
      <c r="N11" s="35" t="s">
        <v>1103</v>
      </c>
      <c r="O11" s="35" t="s">
        <v>426</v>
      </c>
      <c r="P11" s="35" t="s">
        <v>1104</v>
      </c>
      <c r="Q11" s="35" t="s">
        <v>498</v>
      </c>
      <c r="R11" s="35" t="s">
        <v>862</v>
      </c>
      <c r="S11" s="35" t="s">
        <v>949</v>
      </c>
      <c r="T11" s="35" t="s">
        <v>384</v>
      </c>
      <c r="U11" s="35" t="s">
        <v>385</v>
      </c>
      <c r="X11" s="35" t="s">
        <v>760</v>
      </c>
      <c r="Y11" s="35" t="s">
        <v>387</v>
      </c>
      <c r="Z11" s="35" t="s">
        <v>388</v>
      </c>
      <c r="AA11" s="35" t="s">
        <v>543</v>
      </c>
      <c r="AB11" s="35" t="s">
        <v>408</v>
      </c>
      <c r="AC11" s="35" t="s">
        <v>1105</v>
      </c>
      <c r="AW11" s="35" t="s">
        <v>597</v>
      </c>
      <c r="AX11" s="35" t="s">
        <v>391</v>
      </c>
      <c r="AY11" s="35" t="s">
        <v>391</v>
      </c>
      <c r="AZ11" s="41">
        <v>2.0</v>
      </c>
      <c r="BA11" s="35" t="s">
        <v>429</v>
      </c>
      <c r="BB11" s="41">
        <v>4.0</v>
      </c>
      <c r="BC11" s="41">
        <v>2.0</v>
      </c>
      <c r="BD11" s="35" t="s">
        <v>11651</v>
      </c>
      <c r="BE11" s="35" t="s">
        <v>1107</v>
      </c>
      <c r="BF11" s="35" t="s">
        <v>902</v>
      </c>
      <c r="BG11" s="35" t="s">
        <v>393</v>
      </c>
      <c r="BH11" s="35" t="s">
        <v>725</v>
      </c>
      <c r="BI11" s="35" t="s">
        <v>1108</v>
      </c>
      <c r="BJ11" s="35" t="s">
        <v>509</v>
      </c>
      <c r="BK11" s="35" t="s">
        <v>1109</v>
      </c>
      <c r="BL11" s="35" t="s">
        <v>602</v>
      </c>
      <c r="BM11" s="35" t="s">
        <v>438</v>
      </c>
      <c r="BN11" s="35" t="s">
        <v>549</v>
      </c>
      <c r="BO11" s="35" t="s">
        <v>440</v>
      </c>
      <c r="CM11" s="35" t="s">
        <v>441</v>
      </c>
      <c r="CN11" s="35" t="s">
        <v>604</v>
      </c>
      <c r="CO11" s="35" t="s">
        <v>11652</v>
      </c>
      <c r="CP11" s="35" t="s">
        <v>11653</v>
      </c>
      <c r="CQ11" s="35" t="s">
        <v>979</v>
      </c>
      <c r="CR11" s="35" t="s">
        <v>1112</v>
      </c>
      <c r="CS11" s="35" t="s">
        <v>804</v>
      </c>
      <c r="CT11" s="35" t="s">
        <v>1113</v>
      </c>
      <c r="CU11" s="35" t="s">
        <v>11654</v>
      </c>
      <c r="CV11" s="35" t="s">
        <v>519</v>
      </c>
      <c r="CW11" s="35" t="s">
        <v>451</v>
      </c>
      <c r="CX11" s="35" t="s">
        <v>1115</v>
      </c>
      <c r="CY11" s="35" t="s">
        <v>408</v>
      </c>
      <c r="DA11" s="35" t="s">
        <v>453</v>
      </c>
      <c r="DB11" s="35" t="s">
        <v>11655</v>
      </c>
      <c r="DC11" s="35" t="s">
        <v>455</v>
      </c>
      <c r="DD11" s="35" t="s">
        <v>11656</v>
      </c>
      <c r="DE11" s="35" t="s">
        <v>662</v>
      </c>
      <c r="DG11" s="35" t="s">
        <v>11657</v>
      </c>
      <c r="DH11" s="35" t="s">
        <v>561</v>
      </c>
      <c r="DI11" s="35" t="s">
        <v>410</v>
      </c>
      <c r="DJ11" s="35" t="s">
        <v>459</v>
      </c>
      <c r="DK11" s="35" t="s">
        <v>460</v>
      </c>
      <c r="DL11" s="35" t="s">
        <v>461</v>
      </c>
      <c r="DN11" s="35" t="s">
        <v>11658</v>
      </c>
      <c r="DO11" s="35" t="s">
        <v>11659</v>
      </c>
      <c r="DP11" s="35" t="s">
        <v>567</v>
      </c>
      <c r="DR11" s="35" t="s">
        <v>700</v>
      </c>
      <c r="DS11" s="35" t="s">
        <v>1121</v>
      </c>
      <c r="DT11" s="35" t="s">
        <v>618</v>
      </c>
      <c r="DV11" s="35" t="s">
        <v>742</v>
      </c>
      <c r="DW11" s="35" t="s">
        <v>11660</v>
      </c>
      <c r="DX11" s="35" t="s">
        <v>573</v>
      </c>
      <c r="DY11" s="35" t="s">
        <v>11661</v>
      </c>
      <c r="DZ11" s="35" t="s">
        <v>1124</v>
      </c>
      <c r="EA11" s="35" t="s">
        <v>1125</v>
      </c>
      <c r="EB11" s="35" t="s">
        <v>475</v>
      </c>
      <c r="EC11" s="35" t="s">
        <v>845</v>
      </c>
      <c r="ED11" s="35" t="s">
        <v>11662</v>
      </c>
      <c r="EU11" s="35" t="s">
        <v>526</v>
      </c>
      <c r="EV11" s="35" t="s">
        <v>1127</v>
      </c>
      <c r="EW11" s="35" t="s">
        <v>527</v>
      </c>
      <c r="EX11" s="35" t="s">
        <v>1128</v>
      </c>
      <c r="EY11" s="35" t="s">
        <v>1129</v>
      </c>
      <c r="EZ11" s="35" t="s">
        <v>1130</v>
      </c>
      <c r="FA11" s="35" t="s">
        <v>413</v>
      </c>
      <c r="FB11" s="35" t="s">
        <v>416</v>
      </c>
      <c r="FC11" s="35" t="s">
        <v>413</v>
      </c>
      <c r="FD11" s="35" t="s">
        <v>413</v>
      </c>
      <c r="FE11" s="35" t="s">
        <v>413</v>
      </c>
      <c r="FF11" s="35" t="s">
        <v>415</v>
      </c>
      <c r="FG11" s="35" t="s">
        <v>413</v>
      </c>
      <c r="FH11" s="35" t="s">
        <v>416</v>
      </c>
      <c r="FI11" s="35" t="s">
        <v>583</v>
      </c>
      <c r="FJ11" s="35" t="s">
        <v>416</v>
      </c>
      <c r="FK11" s="35" t="s">
        <v>416</v>
      </c>
      <c r="FL11" s="35" t="s">
        <v>416</v>
      </c>
      <c r="FM11" s="35" t="s">
        <v>415</v>
      </c>
      <c r="FN11" s="35" t="s">
        <v>415</v>
      </c>
      <c r="FO11" s="35" t="s">
        <v>583</v>
      </c>
      <c r="FP11" s="35" t="s">
        <v>485</v>
      </c>
      <c r="FQ11" s="35" t="s">
        <v>418</v>
      </c>
      <c r="FR11" s="35" t="s">
        <v>531</v>
      </c>
      <c r="FS11" s="35" t="s">
        <v>1131</v>
      </c>
      <c r="FT11" s="35" t="s">
        <v>420</v>
      </c>
      <c r="FU11" s="35" t="s">
        <v>488</v>
      </c>
      <c r="FV11" s="35" t="s">
        <v>489</v>
      </c>
      <c r="FW11" s="35" t="s">
        <v>490</v>
      </c>
      <c r="FX11" s="35" t="s">
        <v>491</v>
      </c>
      <c r="FY11" s="35" t="s">
        <v>1132</v>
      </c>
      <c r="FZ11" s="35" t="s">
        <v>493</v>
      </c>
      <c r="GA11" s="35" t="s">
        <v>1133</v>
      </c>
      <c r="GC11" s="35" t="s">
        <v>455</v>
      </c>
      <c r="GD11" s="35" t="s">
        <v>11663</v>
      </c>
      <c r="GF11" s="35" t="s">
        <v>753</v>
      </c>
      <c r="GG11" s="35" t="s">
        <v>11664</v>
      </c>
      <c r="GH11" s="35" t="s">
        <v>755</v>
      </c>
      <c r="GI11" s="35" t="s">
        <v>755</v>
      </c>
      <c r="GJ11" s="35" t="s">
        <v>817</v>
      </c>
      <c r="GN11" s="35" t="s">
        <v>1079</v>
      </c>
    </row>
    <row r="12">
      <c r="A12" s="40"/>
      <c r="B12" s="40">
        <v>45827.10245875</v>
      </c>
      <c r="C12" s="35" t="s">
        <v>368</v>
      </c>
      <c r="D12" s="35" t="s">
        <v>1139</v>
      </c>
      <c r="E12" s="35" t="s">
        <v>1139</v>
      </c>
      <c r="H12" s="35" t="s">
        <v>1140</v>
      </c>
      <c r="I12" s="35" t="s">
        <v>637</v>
      </c>
      <c r="J12" s="35" t="s">
        <v>638</v>
      </c>
      <c r="K12" s="35" t="s">
        <v>590</v>
      </c>
      <c r="L12" s="35" t="s">
        <v>376</v>
      </c>
      <c r="M12" s="35" t="s">
        <v>591</v>
      </c>
      <c r="N12" s="35" t="s">
        <v>639</v>
      </c>
      <c r="O12" s="35" t="s">
        <v>591</v>
      </c>
      <c r="P12" s="35" t="s">
        <v>671</v>
      </c>
      <c r="Q12" s="35" t="s">
        <v>592</v>
      </c>
      <c r="R12" s="35" t="s">
        <v>862</v>
      </c>
      <c r="S12" s="35" t="s">
        <v>500</v>
      </c>
      <c r="T12" s="35" t="s">
        <v>384</v>
      </c>
      <c r="U12" s="35" t="s">
        <v>385</v>
      </c>
      <c r="X12" s="35" t="s">
        <v>593</v>
      </c>
      <c r="Y12" s="35" t="s">
        <v>642</v>
      </c>
      <c r="AM12" s="35" t="s">
        <v>1141</v>
      </c>
      <c r="AN12" s="35" t="s">
        <v>1142</v>
      </c>
      <c r="AO12" s="35" t="s">
        <v>1143</v>
      </c>
      <c r="AQ12" s="35" t="s">
        <v>1144</v>
      </c>
      <c r="AR12" s="41">
        <v>5.0</v>
      </c>
      <c r="AS12" s="35" t="s">
        <v>1145</v>
      </c>
      <c r="AW12" s="35" t="s">
        <v>390</v>
      </c>
      <c r="AX12" s="35" t="s">
        <v>391</v>
      </c>
      <c r="AY12" s="35" t="s">
        <v>391</v>
      </c>
      <c r="AZ12" s="41">
        <v>2.0</v>
      </c>
      <c r="BA12" s="35" t="s">
        <v>391</v>
      </c>
      <c r="BB12" s="41">
        <v>4.0</v>
      </c>
      <c r="BC12" s="35" t="s">
        <v>391</v>
      </c>
      <c r="BF12" s="35" t="s">
        <v>432</v>
      </c>
      <c r="BG12" s="35" t="s">
        <v>433</v>
      </c>
      <c r="BH12" s="35" t="s">
        <v>765</v>
      </c>
      <c r="BJ12" s="35" t="s">
        <v>824</v>
      </c>
      <c r="BL12" s="35" t="s">
        <v>437</v>
      </c>
      <c r="BM12" s="35" t="s">
        <v>396</v>
      </c>
      <c r="BN12" s="35" t="s">
        <v>549</v>
      </c>
      <c r="BO12" s="35" t="s">
        <v>440</v>
      </c>
      <c r="CM12" s="35" t="s">
        <v>441</v>
      </c>
      <c r="CN12" s="35" t="s">
        <v>401</v>
      </c>
      <c r="CQ12" s="35" t="s">
        <v>403</v>
      </c>
      <c r="CR12" s="35" t="s">
        <v>1146</v>
      </c>
      <c r="CS12" s="35" t="s">
        <v>447</v>
      </c>
      <c r="CT12" s="35" t="s">
        <v>1147</v>
      </c>
      <c r="CV12" s="35" t="s">
        <v>519</v>
      </c>
      <c r="CW12" s="35" t="s">
        <v>451</v>
      </c>
      <c r="CY12" s="35" t="s">
        <v>408</v>
      </c>
      <c r="DA12" s="35" t="s">
        <v>453</v>
      </c>
      <c r="DC12" s="35" t="s">
        <v>408</v>
      </c>
      <c r="DE12" s="35" t="s">
        <v>406</v>
      </c>
      <c r="DF12" s="35" t="s">
        <v>407</v>
      </c>
      <c r="DH12" s="35" t="s">
        <v>524</v>
      </c>
      <c r="DI12" s="35" t="s">
        <v>410</v>
      </c>
      <c r="DJ12" s="35" t="s">
        <v>459</v>
      </c>
      <c r="DK12" s="35" t="s">
        <v>1148</v>
      </c>
      <c r="DL12" s="35" t="s">
        <v>461</v>
      </c>
      <c r="DN12" s="35" t="s">
        <v>1149</v>
      </c>
      <c r="DO12" s="35" t="s">
        <v>1150</v>
      </c>
      <c r="DP12" s="35" t="s">
        <v>464</v>
      </c>
      <c r="DQ12" s="35" t="s">
        <v>11665</v>
      </c>
      <c r="DR12" s="35" t="s">
        <v>1152</v>
      </c>
      <c r="DT12" s="35" t="s">
        <v>839</v>
      </c>
      <c r="DU12" s="35" t="s">
        <v>570</v>
      </c>
      <c r="DX12" s="35" t="s">
        <v>622</v>
      </c>
      <c r="EB12" s="35" t="s">
        <v>475</v>
      </c>
      <c r="EC12" s="35" t="s">
        <v>845</v>
      </c>
      <c r="EU12" s="35" t="s">
        <v>526</v>
      </c>
      <c r="EV12" s="35" t="s">
        <v>479</v>
      </c>
      <c r="EW12" s="35" t="s">
        <v>663</v>
      </c>
      <c r="FA12" s="35" t="s">
        <v>414</v>
      </c>
      <c r="FB12" s="35" t="s">
        <v>414</v>
      </c>
      <c r="FC12" s="35" t="s">
        <v>413</v>
      </c>
      <c r="FD12" s="35" t="s">
        <v>413</v>
      </c>
      <c r="FE12" s="35" t="s">
        <v>413</v>
      </c>
      <c r="FF12" s="35" t="s">
        <v>414</v>
      </c>
      <c r="FG12" s="35" t="s">
        <v>415</v>
      </c>
      <c r="FH12" s="35" t="s">
        <v>416</v>
      </c>
      <c r="FI12" s="35" t="s">
        <v>414</v>
      </c>
      <c r="FJ12" s="35" t="s">
        <v>583</v>
      </c>
      <c r="FK12" s="35" t="s">
        <v>413</v>
      </c>
      <c r="FL12" s="35" t="s">
        <v>415</v>
      </c>
      <c r="FM12" s="35" t="s">
        <v>415</v>
      </c>
      <c r="FN12" s="35" t="s">
        <v>416</v>
      </c>
      <c r="FO12" s="35" t="s">
        <v>415</v>
      </c>
      <c r="FP12" s="35" t="s">
        <v>1074</v>
      </c>
      <c r="FQ12" s="35" t="s">
        <v>418</v>
      </c>
      <c r="FR12" s="35" t="s">
        <v>419</v>
      </c>
      <c r="FT12" s="35" t="s">
        <v>420</v>
      </c>
      <c r="FU12" s="35" t="s">
        <v>488</v>
      </c>
      <c r="FV12" s="35" t="s">
        <v>489</v>
      </c>
      <c r="FW12" s="35" t="s">
        <v>490</v>
      </c>
      <c r="FX12" s="35" t="s">
        <v>491</v>
      </c>
      <c r="FZ12" s="35" t="s">
        <v>535</v>
      </c>
      <c r="GC12" s="35" t="s">
        <v>408</v>
      </c>
      <c r="GH12" s="35" t="s">
        <v>755</v>
      </c>
      <c r="GI12" s="35" t="s">
        <v>755</v>
      </c>
      <c r="GJ12" s="35" t="s">
        <v>946</v>
      </c>
      <c r="GN12" s="35" t="s">
        <v>1079</v>
      </c>
    </row>
    <row r="13">
      <c r="A13" s="40"/>
      <c r="B13" s="40">
        <v>45827.1310891551</v>
      </c>
      <c r="C13" s="35" t="s">
        <v>368</v>
      </c>
      <c r="D13" s="35" t="s">
        <v>370</v>
      </c>
      <c r="F13" s="35" t="s">
        <v>922</v>
      </c>
      <c r="H13" s="35" t="s">
        <v>1153</v>
      </c>
      <c r="I13" s="35" t="s">
        <v>637</v>
      </c>
      <c r="J13" s="35" t="s">
        <v>638</v>
      </c>
      <c r="K13" s="35" t="s">
        <v>425</v>
      </c>
      <c r="L13" s="35" t="s">
        <v>376</v>
      </c>
      <c r="M13" s="35" t="s">
        <v>591</v>
      </c>
      <c r="N13" s="35" t="s">
        <v>1154</v>
      </c>
      <c r="O13" s="35" t="s">
        <v>379</v>
      </c>
      <c r="P13" s="35" t="s">
        <v>1155</v>
      </c>
      <c r="Q13" s="35" t="s">
        <v>381</v>
      </c>
      <c r="R13" s="35" t="s">
        <v>1156</v>
      </c>
      <c r="S13" s="35" t="s">
        <v>500</v>
      </c>
      <c r="T13" s="35" t="s">
        <v>384</v>
      </c>
      <c r="U13" s="35" t="s">
        <v>385</v>
      </c>
      <c r="X13" s="35" t="s">
        <v>593</v>
      </c>
      <c r="Y13" s="35" t="s">
        <v>387</v>
      </c>
      <c r="Z13" s="35" t="s">
        <v>1157</v>
      </c>
      <c r="AA13" s="35" t="s">
        <v>502</v>
      </c>
      <c r="AB13" s="35" t="s">
        <v>1158</v>
      </c>
      <c r="AC13" s="35" t="s">
        <v>1159</v>
      </c>
      <c r="AW13" s="35" t="s">
        <v>504</v>
      </c>
      <c r="AX13" s="35" t="s">
        <v>429</v>
      </c>
      <c r="AY13" s="35" t="s">
        <v>429</v>
      </c>
      <c r="AZ13" s="35" t="s">
        <v>429</v>
      </c>
      <c r="BA13" s="35" t="s">
        <v>429</v>
      </c>
      <c r="BB13" s="41">
        <v>2.0</v>
      </c>
      <c r="BC13" s="35" t="s">
        <v>429</v>
      </c>
      <c r="BD13" s="35" t="s">
        <v>1160</v>
      </c>
      <c r="BE13" s="35" t="s">
        <v>1161</v>
      </c>
      <c r="BF13" s="35" t="s">
        <v>392</v>
      </c>
      <c r="BG13" s="35" t="s">
        <v>433</v>
      </c>
      <c r="BH13" s="35" t="s">
        <v>765</v>
      </c>
      <c r="BI13" s="35" t="s">
        <v>1162</v>
      </c>
      <c r="BJ13" s="35" t="s">
        <v>824</v>
      </c>
      <c r="BL13" s="35" t="s">
        <v>511</v>
      </c>
      <c r="BM13" s="35" t="s">
        <v>512</v>
      </c>
      <c r="BN13" s="35" t="s">
        <v>439</v>
      </c>
      <c r="BO13" s="35" t="s">
        <v>440</v>
      </c>
      <c r="CM13" s="35" t="s">
        <v>441</v>
      </c>
      <c r="CN13" s="35" t="s">
        <v>401</v>
      </c>
      <c r="CO13" s="35" t="s">
        <v>1163</v>
      </c>
      <c r="CP13" s="35" t="s">
        <v>11666</v>
      </c>
      <c r="CQ13" s="35" t="s">
        <v>685</v>
      </c>
      <c r="CR13" s="35" t="s">
        <v>1165</v>
      </c>
      <c r="CS13" s="35" t="s">
        <v>447</v>
      </c>
      <c r="CT13" s="35" t="s">
        <v>1166</v>
      </c>
      <c r="CU13" s="35" t="s">
        <v>11667</v>
      </c>
      <c r="CV13" s="35" t="s">
        <v>450</v>
      </c>
      <c r="CW13" s="35" t="s">
        <v>451</v>
      </c>
      <c r="CX13" s="35" t="s">
        <v>11668</v>
      </c>
      <c r="CY13" s="35" t="s">
        <v>733</v>
      </c>
      <c r="CZ13" s="35" t="s">
        <v>1169</v>
      </c>
      <c r="DA13" s="35" t="s">
        <v>453</v>
      </c>
      <c r="DB13" s="35" t="s">
        <v>1170</v>
      </c>
      <c r="DC13" s="35" t="s">
        <v>455</v>
      </c>
      <c r="DD13" s="35" t="s">
        <v>1171</v>
      </c>
      <c r="DE13" s="35" t="s">
        <v>662</v>
      </c>
      <c r="DG13" s="35" t="s">
        <v>1172</v>
      </c>
      <c r="DH13" s="35" t="s">
        <v>524</v>
      </c>
      <c r="DI13" s="35" t="s">
        <v>410</v>
      </c>
      <c r="DJ13" s="35" t="s">
        <v>459</v>
      </c>
      <c r="DK13" s="35" t="s">
        <v>460</v>
      </c>
      <c r="DL13" s="35" t="s">
        <v>461</v>
      </c>
      <c r="DN13" s="35" t="s">
        <v>1173</v>
      </c>
      <c r="DO13" s="35" t="s">
        <v>1174</v>
      </c>
      <c r="DP13" s="35" t="s">
        <v>464</v>
      </c>
      <c r="DQ13" s="35" t="s">
        <v>1175</v>
      </c>
      <c r="DR13" s="35" t="s">
        <v>1176</v>
      </c>
      <c r="DS13" s="35" t="s">
        <v>1177</v>
      </c>
      <c r="DT13" s="35" t="s">
        <v>839</v>
      </c>
      <c r="DU13" s="35" t="s">
        <v>703</v>
      </c>
      <c r="DV13" s="35" t="s">
        <v>1178</v>
      </c>
      <c r="DW13" s="35" t="s">
        <v>1179</v>
      </c>
      <c r="DX13" s="35" t="s">
        <v>622</v>
      </c>
      <c r="DY13" s="35" t="s">
        <v>1180</v>
      </c>
      <c r="DZ13" s="35" t="s">
        <v>1181</v>
      </c>
      <c r="EA13" s="35" t="s">
        <v>1182</v>
      </c>
      <c r="EB13" s="35" t="s">
        <v>475</v>
      </c>
      <c r="EC13" s="35" t="s">
        <v>1183</v>
      </c>
      <c r="ED13" s="35" t="s">
        <v>1184</v>
      </c>
      <c r="EU13" s="35" t="s">
        <v>526</v>
      </c>
      <c r="EV13" s="35" t="s">
        <v>887</v>
      </c>
      <c r="EW13" s="35" t="s">
        <v>527</v>
      </c>
      <c r="EX13" s="35" t="s">
        <v>1185</v>
      </c>
      <c r="EY13" s="35" t="s">
        <v>1186</v>
      </c>
      <c r="EZ13" s="35" t="s">
        <v>1187</v>
      </c>
      <c r="FA13" s="35" t="s">
        <v>414</v>
      </c>
      <c r="FB13" s="35" t="s">
        <v>414</v>
      </c>
      <c r="FC13" s="35" t="s">
        <v>413</v>
      </c>
      <c r="FD13" s="35" t="s">
        <v>414</v>
      </c>
      <c r="FE13" s="35" t="s">
        <v>413</v>
      </c>
      <c r="FF13" s="35" t="s">
        <v>583</v>
      </c>
      <c r="FG13" s="35" t="s">
        <v>414</v>
      </c>
      <c r="FH13" s="35" t="s">
        <v>413</v>
      </c>
      <c r="FI13" s="35" t="s">
        <v>583</v>
      </c>
      <c r="FJ13" s="35" t="s">
        <v>414</v>
      </c>
      <c r="FK13" s="35" t="s">
        <v>416</v>
      </c>
      <c r="FL13" s="35" t="s">
        <v>583</v>
      </c>
      <c r="FM13" s="35" t="s">
        <v>583</v>
      </c>
      <c r="FN13" s="35" t="s">
        <v>413</v>
      </c>
      <c r="FO13" s="35" t="s">
        <v>583</v>
      </c>
      <c r="FP13" s="35" t="s">
        <v>485</v>
      </c>
      <c r="FQ13" s="35" t="s">
        <v>418</v>
      </c>
      <c r="FR13" s="35" t="s">
        <v>419</v>
      </c>
      <c r="FS13" s="35" t="s">
        <v>1188</v>
      </c>
      <c r="FT13" s="35" t="s">
        <v>1189</v>
      </c>
      <c r="FU13" s="35" t="s">
        <v>488</v>
      </c>
      <c r="FV13" s="35" t="s">
        <v>489</v>
      </c>
      <c r="FW13" s="35" t="s">
        <v>1101</v>
      </c>
      <c r="FX13" s="35" t="s">
        <v>491</v>
      </c>
      <c r="FY13" s="35" t="s">
        <v>1190</v>
      </c>
      <c r="FZ13" s="35" t="s">
        <v>535</v>
      </c>
      <c r="GA13" s="35" t="s">
        <v>1191</v>
      </c>
      <c r="GB13" s="35" t="s">
        <v>1192</v>
      </c>
      <c r="GC13" s="35" t="s">
        <v>455</v>
      </c>
      <c r="GD13" s="35" t="s">
        <v>11669</v>
      </c>
      <c r="GE13" s="35" t="s">
        <v>11670</v>
      </c>
      <c r="GF13" s="35" t="s">
        <v>753</v>
      </c>
      <c r="GG13" s="35" t="s">
        <v>1193</v>
      </c>
      <c r="GH13" s="35" t="s">
        <v>755</v>
      </c>
      <c r="GI13" s="35" t="s">
        <v>755</v>
      </c>
      <c r="GJ13" s="35" t="s">
        <v>946</v>
      </c>
      <c r="GN13" s="35" t="s">
        <v>1079</v>
      </c>
    </row>
    <row r="14">
      <c r="A14" s="40"/>
      <c r="B14" s="40">
        <v>45827.154774386574</v>
      </c>
      <c r="C14" s="35" t="s">
        <v>368</v>
      </c>
      <c r="D14" s="35" t="s">
        <v>1201</v>
      </c>
      <c r="E14" s="35" t="s">
        <v>1201</v>
      </c>
      <c r="F14" s="35" t="s">
        <v>1202</v>
      </c>
      <c r="H14" s="35" t="s">
        <v>422</v>
      </c>
      <c r="I14" s="35" t="s">
        <v>1203</v>
      </c>
      <c r="J14" s="35" t="s">
        <v>638</v>
      </c>
      <c r="K14" s="35" t="s">
        <v>1204</v>
      </c>
      <c r="L14" s="35" t="s">
        <v>376</v>
      </c>
      <c r="M14" s="35" t="s">
        <v>379</v>
      </c>
      <c r="N14" s="35" t="s">
        <v>1205</v>
      </c>
      <c r="O14" s="35" t="s">
        <v>379</v>
      </c>
      <c r="P14" s="35" t="s">
        <v>497</v>
      </c>
      <c r="Q14" s="35" t="s">
        <v>592</v>
      </c>
      <c r="R14" s="35" t="s">
        <v>382</v>
      </c>
      <c r="S14" s="35" t="s">
        <v>949</v>
      </c>
      <c r="T14" s="35" t="s">
        <v>384</v>
      </c>
      <c r="U14" s="35" t="s">
        <v>385</v>
      </c>
      <c r="X14" s="35" t="s">
        <v>386</v>
      </c>
      <c r="Y14" s="35" t="s">
        <v>387</v>
      </c>
      <c r="Z14" s="35" t="s">
        <v>542</v>
      </c>
      <c r="AA14" s="35" t="s">
        <v>543</v>
      </c>
      <c r="AB14" s="35" t="s">
        <v>1206</v>
      </c>
      <c r="AC14" s="35" t="s">
        <v>1207</v>
      </c>
      <c r="AW14" s="35" t="s">
        <v>390</v>
      </c>
      <c r="AX14" s="35" t="s">
        <v>391</v>
      </c>
      <c r="AY14" s="35" t="s">
        <v>391</v>
      </c>
      <c r="AZ14" s="35" t="s">
        <v>391</v>
      </c>
      <c r="BA14" s="35" t="s">
        <v>391</v>
      </c>
      <c r="BB14" s="35" t="s">
        <v>391</v>
      </c>
      <c r="BC14" s="35" t="s">
        <v>391</v>
      </c>
      <c r="BD14" s="35" t="s">
        <v>1208</v>
      </c>
      <c r="BE14" s="35" t="s">
        <v>1209</v>
      </c>
      <c r="BF14" s="35" t="s">
        <v>392</v>
      </c>
      <c r="BG14" s="35" t="s">
        <v>1047</v>
      </c>
      <c r="BH14" s="35" t="s">
        <v>725</v>
      </c>
      <c r="BI14" s="35" t="s">
        <v>1210</v>
      </c>
      <c r="BJ14" s="35" t="s">
        <v>824</v>
      </c>
      <c r="BK14" s="35" t="s">
        <v>1211</v>
      </c>
      <c r="BL14" s="35" t="s">
        <v>437</v>
      </c>
      <c r="BM14" s="35" t="s">
        <v>396</v>
      </c>
      <c r="BN14" s="35" t="s">
        <v>549</v>
      </c>
      <c r="BO14" s="35" t="s">
        <v>440</v>
      </c>
      <c r="CM14" s="35" t="s">
        <v>441</v>
      </c>
      <c r="CN14" s="35" t="s">
        <v>604</v>
      </c>
      <c r="CO14" s="35" t="s">
        <v>1212</v>
      </c>
      <c r="CP14" s="35" t="s">
        <v>1213</v>
      </c>
      <c r="CQ14" s="35" t="s">
        <v>445</v>
      </c>
      <c r="CR14" s="35" t="s">
        <v>1214</v>
      </c>
      <c r="CS14" s="35" t="s">
        <v>404</v>
      </c>
      <c r="CT14" s="35" t="s">
        <v>1215</v>
      </c>
      <c r="CU14" s="35" t="s">
        <v>1216</v>
      </c>
      <c r="CV14" s="35" t="s">
        <v>450</v>
      </c>
      <c r="CW14" s="35" t="s">
        <v>451</v>
      </c>
      <c r="CX14" s="35" t="s">
        <v>1217</v>
      </c>
      <c r="CY14" s="35" t="s">
        <v>408</v>
      </c>
      <c r="CZ14" s="35" t="s">
        <v>1211</v>
      </c>
      <c r="DA14" s="35" t="s">
        <v>453</v>
      </c>
      <c r="DB14" s="35" t="s">
        <v>1218</v>
      </c>
      <c r="DC14" s="35" t="s">
        <v>408</v>
      </c>
      <c r="DD14" s="35" t="s">
        <v>1211</v>
      </c>
      <c r="DE14" s="35" t="s">
        <v>988</v>
      </c>
      <c r="DF14" s="35" t="s">
        <v>407</v>
      </c>
      <c r="DG14" s="35" t="s">
        <v>1219</v>
      </c>
      <c r="DH14" s="35" t="s">
        <v>524</v>
      </c>
      <c r="DI14" s="35" t="s">
        <v>1220</v>
      </c>
      <c r="DJ14" s="35" t="s">
        <v>459</v>
      </c>
      <c r="DK14" s="35" t="s">
        <v>460</v>
      </c>
      <c r="DL14" s="35" t="s">
        <v>461</v>
      </c>
      <c r="DN14" s="35" t="s">
        <v>1221</v>
      </c>
      <c r="DO14" s="35" t="s">
        <v>1222</v>
      </c>
      <c r="DP14" s="35" t="s">
        <v>464</v>
      </c>
      <c r="DQ14" s="35" t="s">
        <v>1223</v>
      </c>
      <c r="DR14" s="35" t="s">
        <v>1176</v>
      </c>
      <c r="DS14" s="35" t="s">
        <v>1224</v>
      </c>
      <c r="DT14" s="35" t="s">
        <v>618</v>
      </c>
      <c r="DU14" s="35" t="s">
        <v>703</v>
      </c>
      <c r="DV14" s="35" t="s">
        <v>1225</v>
      </c>
      <c r="DW14" s="35" t="s">
        <v>1226</v>
      </c>
      <c r="DX14" s="35" t="s">
        <v>573</v>
      </c>
      <c r="DY14" s="35" t="s">
        <v>1227</v>
      </c>
      <c r="DZ14" s="35" t="s">
        <v>1228</v>
      </c>
      <c r="EA14" s="35" t="s">
        <v>1229</v>
      </c>
      <c r="EB14" s="35" t="s">
        <v>475</v>
      </c>
      <c r="EC14" s="35" t="s">
        <v>845</v>
      </c>
      <c r="ED14" s="35" t="s">
        <v>1230</v>
      </c>
      <c r="EU14" s="35" t="s">
        <v>578</v>
      </c>
      <c r="EV14" s="35" t="s">
        <v>1037</v>
      </c>
      <c r="EW14" s="35" t="s">
        <v>480</v>
      </c>
      <c r="EX14" s="35" t="s">
        <v>1231</v>
      </c>
      <c r="EY14" s="35" t="s">
        <v>1232</v>
      </c>
      <c r="EZ14" s="35" t="s">
        <v>1233</v>
      </c>
      <c r="FA14" s="35" t="s">
        <v>414</v>
      </c>
      <c r="FB14" s="35" t="s">
        <v>414</v>
      </c>
      <c r="FC14" s="35" t="s">
        <v>413</v>
      </c>
      <c r="FD14" s="35" t="s">
        <v>413</v>
      </c>
      <c r="FE14" s="35" t="s">
        <v>413</v>
      </c>
      <c r="FF14" s="35" t="s">
        <v>414</v>
      </c>
      <c r="FG14" s="35" t="s">
        <v>416</v>
      </c>
      <c r="FH14" s="35" t="s">
        <v>413</v>
      </c>
      <c r="FI14" s="35" t="s">
        <v>413</v>
      </c>
      <c r="FJ14" s="35" t="s">
        <v>416</v>
      </c>
      <c r="FK14" s="35" t="s">
        <v>416</v>
      </c>
      <c r="FL14" s="35" t="s">
        <v>415</v>
      </c>
      <c r="FM14" s="35" t="s">
        <v>415</v>
      </c>
      <c r="FN14" s="35" t="s">
        <v>416</v>
      </c>
      <c r="FO14" s="35" t="s">
        <v>414</v>
      </c>
      <c r="FP14" s="35" t="s">
        <v>1074</v>
      </c>
      <c r="FQ14" s="35" t="s">
        <v>418</v>
      </c>
      <c r="FR14" s="35" t="s">
        <v>712</v>
      </c>
      <c r="FS14" s="35" t="s">
        <v>1234</v>
      </c>
      <c r="FT14" s="35" t="s">
        <v>420</v>
      </c>
      <c r="FU14" s="35" t="s">
        <v>488</v>
      </c>
      <c r="FV14" s="35" t="s">
        <v>1235</v>
      </c>
      <c r="FW14" s="35" t="s">
        <v>490</v>
      </c>
      <c r="FX14" s="35" t="s">
        <v>491</v>
      </c>
      <c r="FY14" s="35" t="s">
        <v>1236</v>
      </c>
      <c r="FZ14" s="35" t="s">
        <v>535</v>
      </c>
      <c r="GA14" s="35" t="s">
        <v>1237</v>
      </c>
      <c r="GB14" s="35" t="s">
        <v>1238</v>
      </c>
      <c r="GC14" s="35" t="s">
        <v>455</v>
      </c>
      <c r="GD14" s="35" t="s">
        <v>11671</v>
      </c>
      <c r="GE14" s="35" t="s">
        <v>11672</v>
      </c>
      <c r="GF14" s="35" t="s">
        <v>753</v>
      </c>
      <c r="GG14" s="35" t="s">
        <v>1239</v>
      </c>
      <c r="GH14" s="35" t="s">
        <v>857</v>
      </c>
      <c r="GI14" s="35" t="s">
        <v>857</v>
      </c>
      <c r="GJ14" s="35" t="s">
        <v>946</v>
      </c>
      <c r="GN14" s="35" t="s">
        <v>1079</v>
      </c>
    </row>
    <row r="15">
      <c r="A15" s="40"/>
      <c r="B15" s="40">
        <v>45827.22959027778</v>
      </c>
      <c r="C15" s="35" t="s">
        <v>368</v>
      </c>
      <c r="D15" s="35" t="s">
        <v>1267</v>
      </c>
      <c r="E15" s="35" t="s">
        <v>1268</v>
      </c>
      <c r="H15" s="35" t="s">
        <v>1269</v>
      </c>
      <c r="I15" s="35" t="s">
        <v>373</v>
      </c>
      <c r="J15" s="35" t="s">
        <v>374</v>
      </c>
      <c r="K15" s="35" t="s">
        <v>669</v>
      </c>
      <c r="L15" s="35" t="s">
        <v>376</v>
      </c>
      <c r="M15" s="35" t="s">
        <v>670</v>
      </c>
      <c r="N15" s="35" t="s">
        <v>1270</v>
      </c>
      <c r="O15" s="35" t="s">
        <v>591</v>
      </c>
      <c r="P15" s="35" t="s">
        <v>11673</v>
      </c>
      <c r="Q15" s="35" t="s">
        <v>498</v>
      </c>
      <c r="R15" s="35" t="s">
        <v>862</v>
      </c>
      <c r="S15" s="35" t="s">
        <v>500</v>
      </c>
      <c r="T15" s="35" t="s">
        <v>384</v>
      </c>
      <c r="U15" s="35" t="s">
        <v>385</v>
      </c>
      <c r="X15" s="35" t="s">
        <v>428</v>
      </c>
      <c r="AW15" s="35" t="s">
        <v>504</v>
      </c>
      <c r="AX15" s="35" t="s">
        <v>429</v>
      </c>
      <c r="AY15" s="35" t="s">
        <v>429</v>
      </c>
      <c r="AZ15" s="35" t="s">
        <v>429</v>
      </c>
      <c r="BA15" s="35" t="s">
        <v>429</v>
      </c>
      <c r="BB15" s="35" t="s">
        <v>429</v>
      </c>
      <c r="BC15" s="35" t="s">
        <v>429</v>
      </c>
      <c r="BD15" s="35" t="s">
        <v>11674</v>
      </c>
      <c r="BE15" s="35" t="s">
        <v>11675</v>
      </c>
      <c r="BF15" s="35" t="s">
        <v>392</v>
      </c>
      <c r="BG15" s="35" t="s">
        <v>433</v>
      </c>
      <c r="BH15" s="35" t="s">
        <v>678</v>
      </c>
      <c r="BI15" s="35" t="s">
        <v>11676</v>
      </c>
      <c r="BJ15" s="35" t="s">
        <v>509</v>
      </c>
      <c r="BK15" s="35" t="s">
        <v>11677</v>
      </c>
      <c r="BL15" s="35" t="s">
        <v>511</v>
      </c>
      <c r="BM15" s="35" t="s">
        <v>904</v>
      </c>
      <c r="BN15" s="35" t="s">
        <v>1276</v>
      </c>
      <c r="BO15" s="35" t="s">
        <v>440</v>
      </c>
      <c r="CM15" s="35" t="s">
        <v>550</v>
      </c>
      <c r="CN15" s="35" t="s">
        <v>442</v>
      </c>
      <c r="CO15" s="35" t="s">
        <v>11678</v>
      </c>
      <c r="CP15" s="35" t="s">
        <v>11679</v>
      </c>
      <c r="CQ15" s="35" t="s">
        <v>445</v>
      </c>
      <c r="CR15" s="35" t="s">
        <v>11680</v>
      </c>
      <c r="CS15" s="35" t="s">
        <v>804</v>
      </c>
      <c r="CT15" s="35" t="s">
        <v>1280</v>
      </c>
      <c r="CU15" s="35" t="s">
        <v>11681</v>
      </c>
      <c r="CV15" s="35" t="s">
        <v>450</v>
      </c>
      <c r="CW15" s="35" t="s">
        <v>451</v>
      </c>
      <c r="CX15" s="35" t="s">
        <v>11682</v>
      </c>
      <c r="CY15" s="35" t="s">
        <v>455</v>
      </c>
      <c r="CZ15" s="35" t="s">
        <v>1283</v>
      </c>
      <c r="DA15" s="35" t="s">
        <v>453</v>
      </c>
      <c r="DB15" s="35" t="s">
        <v>11683</v>
      </c>
      <c r="DC15" s="35" t="s">
        <v>455</v>
      </c>
      <c r="DD15" s="35" t="s">
        <v>11684</v>
      </c>
      <c r="DE15" s="35" t="s">
        <v>457</v>
      </c>
      <c r="DG15" s="35" t="s">
        <v>11685</v>
      </c>
      <c r="DH15" s="35" t="s">
        <v>561</v>
      </c>
      <c r="DI15" s="35" t="s">
        <v>410</v>
      </c>
      <c r="DJ15" s="35" t="s">
        <v>963</v>
      </c>
      <c r="DK15" s="35" t="s">
        <v>460</v>
      </c>
      <c r="DL15" s="35" t="s">
        <v>563</v>
      </c>
      <c r="DM15" s="35" t="s">
        <v>11686</v>
      </c>
      <c r="DN15" s="35" t="s">
        <v>1288</v>
      </c>
      <c r="DO15" s="35" t="s">
        <v>1289</v>
      </c>
      <c r="DP15" s="35" t="s">
        <v>567</v>
      </c>
      <c r="DQ15" s="35" t="s">
        <v>1290</v>
      </c>
      <c r="DR15" s="35" t="s">
        <v>1291</v>
      </c>
      <c r="DS15" s="35" t="s">
        <v>11687</v>
      </c>
      <c r="DT15" s="35" t="s">
        <v>468</v>
      </c>
      <c r="DU15" s="35" t="s">
        <v>703</v>
      </c>
      <c r="DV15" s="35" t="s">
        <v>11688</v>
      </c>
      <c r="DW15" s="35" t="s">
        <v>408</v>
      </c>
      <c r="DX15" s="35" t="s">
        <v>573</v>
      </c>
      <c r="DY15" s="35" t="s">
        <v>11689</v>
      </c>
      <c r="DZ15" s="35" t="s">
        <v>11690</v>
      </c>
      <c r="EA15" s="35" t="s">
        <v>11691</v>
      </c>
      <c r="EB15" s="35" t="s">
        <v>475</v>
      </c>
      <c r="EC15" s="35" t="s">
        <v>845</v>
      </c>
      <c r="ED15" s="35" t="s">
        <v>11692</v>
      </c>
      <c r="EU15" s="35" t="s">
        <v>526</v>
      </c>
      <c r="EV15" s="35" t="s">
        <v>579</v>
      </c>
      <c r="EW15" s="35" t="s">
        <v>527</v>
      </c>
      <c r="EX15" s="35" t="s">
        <v>11693</v>
      </c>
      <c r="EY15" s="35" t="s">
        <v>11694</v>
      </c>
      <c r="EZ15" s="35" t="s">
        <v>11695</v>
      </c>
      <c r="FA15" s="35" t="s">
        <v>415</v>
      </c>
      <c r="FB15" s="35" t="s">
        <v>415</v>
      </c>
      <c r="FC15" s="35" t="s">
        <v>415</v>
      </c>
      <c r="FD15" s="35" t="s">
        <v>415</v>
      </c>
      <c r="FE15" s="35" t="s">
        <v>415</v>
      </c>
      <c r="FF15" s="35" t="s">
        <v>415</v>
      </c>
      <c r="FG15" s="35" t="s">
        <v>415</v>
      </c>
      <c r="FH15" s="35" t="s">
        <v>415</v>
      </c>
      <c r="FI15" s="35" t="s">
        <v>415</v>
      </c>
      <c r="FJ15" s="35" t="s">
        <v>415</v>
      </c>
      <c r="FK15" s="35" t="s">
        <v>415</v>
      </c>
      <c r="FL15" s="35" t="s">
        <v>415</v>
      </c>
      <c r="FM15" s="35" t="s">
        <v>415</v>
      </c>
      <c r="FN15" s="35" t="s">
        <v>415</v>
      </c>
      <c r="FO15" s="35" t="s">
        <v>415</v>
      </c>
      <c r="FP15" s="35" t="s">
        <v>417</v>
      </c>
      <c r="FQ15" s="35" t="s">
        <v>418</v>
      </c>
      <c r="FR15" s="35" t="s">
        <v>749</v>
      </c>
      <c r="FS15" s="35" t="s">
        <v>11696</v>
      </c>
      <c r="FT15" s="35" t="s">
        <v>420</v>
      </c>
      <c r="FU15" s="35" t="s">
        <v>488</v>
      </c>
      <c r="FV15" s="35" t="s">
        <v>585</v>
      </c>
      <c r="FW15" s="35" t="s">
        <v>490</v>
      </c>
      <c r="FX15" s="35" t="s">
        <v>491</v>
      </c>
      <c r="FY15" s="35" t="s">
        <v>11697</v>
      </c>
      <c r="FZ15" s="35" t="s">
        <v>535</v>
      </c>
      <c r="GA15" s="35" t="s">
        <v>11698</v>
      </c>
      <c r="GB15" s="35" t="s">
        <v>11699</v>
      </c>
      <c r="GC15" s="35" t="s">
        <v>455</v>
      </c>
      <c r="GE15" s="35" t="s">
        <v>1305</v>
      </c>
      <c r="GF15" s="35" t="s">
        <v>944</v>
      </c>
      <c r="GG15" s="35" t="s">
        <v>11700</v>
      </c>
      <c r="GH15" s="35" t="s">
        <v>755</v>
      </c>
      <c r="GI15" s="35" t="s">
        <v>755</v>
      </c>
      <c r="GJ15" s="35" t="s">
        <v>946</v>
      </c>
      <c r="GN15" s="35" t="s">
        <v>1079</v>
      </c>
    </row>
    <row r="16">
      <c r="A16" s="40"/>
      <c r="B16" s="40">
        <v>45827.23603613426</v>
      </c>
      <c r="C16" s="35" t="s">
        <v>368</v>
      </c>
      <c r="D16" s="35" t="s">
        <v>370</v>
      </c>
      <c r="F16" s="35" t="s">
        <v>757</v>
      </c>
      <c r="H16" s="35" t="s">
        <v>422</v>
      </c>
      <c r="I16" s="35" t="s">
        <v>1307</v>
      </c>
      <c r="J16" s="35" t="s">
        <v>668</v>
      </c>
      <c r="K16" s="35" t="s">
        <v>540</v>
      </c>
      <c r="L16" s="35" t="s">
        <v>376</v>
      </c>
      <c r="M16" s="35" t="s">
        <v>379</v>
      </c>
      <c r="N16" s="35" t="s">
        <v>720</v>
      </c>
      <c r="O16" s="35" t="s">
        <v>377</v>
      </c>
      <c r="P16" s="35" t="s">
        <v>497</v>
      </c>
      <c r="Q16" s="35" t="s">
        <v>498</v>
      </c>
      <c r="R16" s="35" t="s">
        <v>382</v>
      </c>
      <c r="S16" s="35" t="s">
        <v>427</v>
      </c>
      <c r="T16" s="35" t="s">
        <v>384</v>
      </c>
      <c r="U16" s="35" t="s">
        <v>385</v>
      </c>
      <c r="X16" s="35" t="s">
        <v>593</v>
      </c>
      <c r="Y16" s="35" t="s">
        <v>387</v>
      </c>
      <c r="Z16" s="35" t="s">
        <v>761</v>
      </c>
      <c r="AA16" s="35" t="s">
        <v>543</v>
      </c>
      <c r="AB16" s="35" t="s">
        <v>1308</v>
      </c>
      <c r="AC16" s="35" t="s">
        <v>1309</v>
      </c>
      <c r="AW16" s="35" t="s">
        <v>1310</v>
      </c>
      <c r="AX16" s="35" t="s">
        <v>675</v>
      </c>
      <c r="AY16" s="41">
        <v>4.0</v>
      </c>
      <c r="AZ16" s="41">
        <v>4.0</v>
      </c>
      <c r="BA16" s="41">
        <v>4.0</v>
      </c>
      <c r="BB16" s="35" t="s">
        <v>675</v>
      </c>
      <c r="BC16" s="35" t="s">
        <v>675</v>
      </c>
      <c r="BD16" s="35" t="s">
        <v>1311</v>
      </c>
      <c r="BE16" s="35" t="s">
        <v>1312</v>
      </c>
      <c r="BF16" s="35" t="s">
        <v>902</v>
      </c>
      <c r="BG16" s="35" t="s">
        <v>1245</v>
      </c>
      <c r="BH16" s="35" t="s">
        <v>394</v>
      </c>
      <c r="BI16" s="35" t="s">
        <v>1313</v>
      </c>
      <c r="BJ16" s="35" t="s">
        <v>976</v>
      </c>
      <c r="BL16" s="35" t="s">
        <v>511</v>
      </c>
      <c r="BM16" s="35" t="s">
        <v>603</v>
      </c>
      <c r="BN16" s="35" t="s">
        <v>1314</v>
      </c>
      <c r="BO16" s="35" t="s">
        <v>440</v>
      </c>
      <c r="CM16" s="35" t="s">
        <v>550</v>
      </c>
      <c r="CN16" s="35" t="s">
        <v>682</v>
      </c>
      <c r="CO16" s="35" t="s">
        <v>1315</v>
      </c>
      <c r="CP16" s="35" t="s">
        <v>11701</v>
      </c>
      <c r="CQ16" s="35" t="s">
        <v>685</v>
      </c>
      <c r="CR16" s="35" t="s">
        <v>516</v>
      </c>
      <c r="CS16" s="35" t="s">
        <v>404</v>
      </c>
      <c r="CT16" s="35" t="s">
        <v>871</v>
      </c>
      <c r="CU16" s="35" t="s">
        <v>11702</v>
      </c>
      <c r="CV16" s="35" t="s">
        <v>450</v>
      </c>
      <c r="CW16" s="35" t="s">
        <v>451</v>
      </c>
      <c r="CX16" s="35" t="s">
        <v>1318</v>
      </c>
      <c r="CY16" s="35" t="s">
        <v>455</v>
      </c>
      <c r="CZ16" s="35" t="s">
        <v>1319</v>
      </c>
      <c r="DA16" s="35" t="s">
        <v>453</v>
      </c>
      <c r="DB16" s="35" t="s">
        <v>1320</v>
      </c>
      <c r="DC16" s="35" t="s">
        <v>408</v>
      </c>
      <c r="DE16" s="35" t="s">
        <v>662</v>
      </c>
      <c r="DG16" s="35" t="s">
        <v>1321</v>
      </c>
      <c r="DH16" s="35" t="s">
        <v>990</v>
      </c>
      <c r="DI16" s="35" t="s">
        <v>410</v>
      </c>
      <c r="DJ16" s="35" t="s">
        <v>963</v>
      </c>
      <c r="DK16" s="35" t="s">
        <v>613</v>
      </c>
      <c r="DN16" s="35" t="s">
        <v>462</v>
      </c>
      <c r="DO16" s="35" t="s">
        <v>1322</v>
      </c>
      <c r="DP16" s="35" t="s">
        <v>1063</v>
      </c>
      <c r="DQ16" s="35" t="s">
        <v>1323</v>
      </c>
      <c r="DR16" s="35" t="s">
        <v>1324</v>
      </c>
      <c r="DS16" s="35" t="s">
        <v>1325</v>
      </c>
      <c r="DT16" s="35" t="s">
        <v>839</v>
      </c>
      <c r="DU16" s="35" t="s">
        <v>619</v>
      </c>
      <c r="DV16" s="35" t="s">
        <v>1326</v>
      </c>
      <c r="DW16" s="35" t="s">
        <v>1327</v>
      </c>
      <c r="DX16" s="35" t="s">
        <v>1328</v>
      </c>
      <c r="DY16" s="35" t="s">
        <v>1329</v>
      </c>
      <c r="DZ16" s="35" t="s">
        <v>1330</v>
      </c>
      <c r="EA16" s="35" t="s">
        <v>1331</v>
      </c>
      <c r="EB16" s="35" t="s">
        <v>475</v>
      </c>
      <c r="EC16" s="35" t="s">
        <v>845</v>
      </c>
      <c r="ED16" s="35" t="s">
        <v>408</v>
      </c>
      <c r="EU16" s="35" t="s">
        <v>526</v>
      </c>
      <c r="EV16" s="35" t="s">
        <v>479</v>
      </c>
      <c r="EW16" s="35" t="s">
        <v>480</v>
      </c>
      <c r="EX16" s="35" t="s">
        <v>1332</v>
      </c>
      <c r="EY16" s="35" t="s">
        <v>11703</v>
      </c>
      <c r="EZ16" s="35" t="s">
        <v>1334</v>
      </c>
      <c r="FA16" s="35" t="s">
        <v>583</v>
      </c>
      <c r="FB16" s="35" t="s">
        <v>583</v>
      </c>
      <c r="FC16" s="35" t="s">
        <v>484</v>
      </c>
      <c r="FD16" s="35" t="s">
        <v>414</v>
      </c>
      <c r="FE16" s="35" t="s">
        <v>413</v>
      </c>
      <c r="FF16" s="35" t="s">
        <v>583</v>
      </c>
      <c r="FG16" s="35" t="s">
        <v>484</v>
      </c>
      <c r="FH16" s="35" t="s">
        <v>583</v>
      </c>
      <c r="FI16" s="35" t="s">
        <v>413</v>
      </c>
      <c r="FJ16" s="35" t="s">
        <v>583</v>
      </c>
      <c r="FK16" s="35" t="s">
        <v>415</v>
      </c>
      <c r="FL16" s="35" t="s">
        <v>583</v>
      </c>
      <c r="FM16" s="35" t="s">
        <v>583</v>
      </c>
      <c r="FN16" s="35" t="s">
        <v>583</v>
      </c>
      <c r="FO16" s="35" t="s">
        <v>484</v>
      </c>
      <c r="FP16" s="35" t="s">
        <v>850</v>
      </c>
      <c r="FQ16" s="35" t="s">
        <v>418</v>
      </c>
      <c r="FR16" s="35" t="s">
        <v>712</v>
      </c>
      <c r="FS16" s="35" t="s">
        <v>1335</v>
      </c>
      <c r="FT16" s="35" t="s">
        <v>420</v>
      </c>
      <c r="FU16" s="35" t="s">
        <v>488</v>
      </c>
      <c r="FV16" s="35" t="s">
        <v>489</v>
      </c>
      <c r="FW16" s="35" t="s">
        <v>490</v>
      </c>
      <c r="FX16" s="35" t="s">
        <v>491</v>
      </c>
      <c r="FY16" s="35" t="s">
        <v>1336</v>
      </c>
      <c r="FZ16" s="35" t="s">
        <v>1337</v>
      </c>
      <c r="GB16" s="35" t="s">
        <v>11704</v>
      </c>
      <c r="GC16" s="35" t="s">
        <v>455</v>
      </c>
      <c r="GD16" s="35" t="s">
        <v>11705</v>
      </c>
      <c r="GF16" s="35" t="s">
        <v>1339</v>
      </c>
      <c r="GG16" s="35" t="s">
        <v>11706</v>
      </c>
      <c r="GH16" s="35" t="s">
        <v>1000</v>
      </c>
      <c r="GI16" s="35" t="s">
        <v>1000</v>
      </c>
      <c r="GJ16" s="35" t="s">
        <v>756</v>
      </c>
      <c r="GN16" s="35" t="s">
        <v>1079</v>
      </c>
    </row>
    <row r="17">
      <c r="A17" s="40"/>
      <c r="B17" s="40">
        <v>45827.238532777774</v>
      </c>
      <c r="C17" s="35" t="s">
        <v>368</v>
      </c>
      <c r="D17" s="35" t="s">
        <v>1341</v>
      </c>
      <c r="E17" s="35" t="s">
        <v>1341</v>
      </c>
      <c r="H17" s="35" t="s">
        <v>422</v>
      </c>
      <c r="I17" s="35" t="s">
        <v>637</v>
      </c>
      <c r="J17" s="35" t="s">
        <v>638</v>
      </c>
      <c r="K17" s="35" t="s">
        <v>590</v>
      </c>
      <c r="L17" s="35" t="s">
        <v>376</v>
      </c>
      <c r="M17" s="35" t="s">
        <v>396</v>
      </c>
      <c r="O17" s="35" t="s">
        <v>396</v>
      </c>
      <c r="Q17" s="35" t="s">
        <v>592</v>
      </c>
      <c r="R17" s="35" t="s">
        <v>1342</v>
      </c>
      <c r="S17" s="35" t="s">
        <v>427</v>
      </c>
      <c r="T17" s="35" t="s">
        <v>384</v>
      </c>
      <c r="U17" s="35" t="s">
        <v>385</v>
      </c>
      <c r="X17" s="35" t="s">
        <v>428</v>
      </c>
      <c r="AW17" s="35" t="s">
        <v>390</v>
      </c>
      <c r="AX17" s="41">
        <v>4.0</v>
      </c>
      <c r="AY17" s="41">
        <v>2.0</v>
      </c>
      <c r="AZ17" s="35" t="s">
        <v>675</v>
      </c>
      <c r="BB17" s="35" t="s">
        <v>675</v>
      </c>
      <c r="BC17" s="35" t="s">
        <v>391</v>
      </c>
      <c r="BF17" s="35" t="s">
        <v>432</v>
      </c>
      <c r="BG17" s="35" t="s">
        <v>433</v>
      </c>
      <c r="BH17" s="35" t="s">
        <v>394</v>
      </c>
      <c r="BI17" s="35" t="s">
        <v>1343</v>
      </c>
      <c r="BJ17" s="35" t="s">
        <v>824</v>
      </c>
      <c r="BL17" s="35" t="s">
        <v>395</v>
      </c>
      <c r="BM17" s="35" t="s">
        <v>396</v>
      </c>
      <c r="BN17" s="35" t="s">
        <v>397</v>
      </c>
      <c r="BO17" s="35" t="s">
        <v>440</v>
      </c>
      <c r="CM17" s="35" t="s">
        <v>441</v>
      </c>
      <c r="CN17" s="35" t="s">
        <v>442</v>
      </c>
      <c r="CO17" s="35" t="s">
        <v>1344</v>
      </c>
      <c r="CP17" s="35" t="s">
        <v>1345</v>
      </c>
      <c r="CQ17" s="35" t="s">
        <v>445</v>
      </c>
      <c r="CR17" s="35" t="s">
        <v>956</v>
      </c>
      <c r="CS17" s="35" t="s">
        <v>828</v>
      </c>
      <c r="CT17" s="35" t="s">
        <v>1346</v>
      </c>
      <c r="CU17" s="35" t="s">
        <v>1347</v>
      </c>
      <c r="CV17" s="35" t="s">
        <v>450</v>
      </c>
      <c r="CW17" s="35" t="s">
        <v>451</v>
      </c>
      <c r="CX17" s="35" t="s">
        <v>1348</v>
      </c>
      <c r="CY17" s="35" t="s">
        <v>455</v>
      </c>
      <c r="CZ17" s="35" t="s">
        <v>1349</v>
      </c>
      <c r="DA17" s="35" t="s">
        <v>453</v>
      </c>
      <c r="DC17" s="35" t="s">
        <v>408</v>
      </c>
      <c r="DE17" s="35" t="s">
        <v>457</v>
      </c>
      <c r="DI17" s="35" t="s">
        <v>833</v>
      </c>
      <c r="DJ17" s="35" t="s">
        <v>963</v>
      </c>
      <c r="DK17" s="35" t="s">
        <v>613</v>
      </c>
      <c r="DN17" s="35" t="s">
        <v>1350</v>
      </c>
      <c r="DO17" s="35" t="s">
        <v>1351</v>
      </c>
      <c r="DP17" s="35" t="s">
        <v>464</v>
      </c>
      <c r="DQ17" s="35" t="s">
        <v>1352</v>
      </c>
      <c r="DR17" s="35" t="s">
        <v>700</v>
      </c>
      <c r="DS17" s="35" t="s">
        <v>1353</v>
      </c>
      <c r="DT17" s="35" t="s">
        <v>839</v>
      </c>
      <c r="DU17" s="35" t="s">
        <v>570</v>
      </c>
      <c r="DW17" s="35" t="s">
        <v>1354</v>
      </c>
      <c r="DX17" s="35" t="s">
        <v>1328</v>
      </c>
      <c r="DY17" s="35" t="s">
        <v>1355</v>
      </c>
      <c r="EA17" s="35" t="s">
        <v>1356</v>
      </c>
      <c r="EB17" s="35" t="s">
        <v>475</v>
      </c>
      <c r="EC17" s="35" t="s">
        <v>626</v>
      </c>
      <c r="ED17" s="35" t="s">
        <v>1357</v>
      </c>
      <c r="EU17" s="35" t="s">
        <v>526</v>
      </c>
      <c r="EV17" s="35" t="s">
        <v>579</v>
      </c>
      <c r="EW17" s="35" t="s">
        <v>778</v>
      </c>
      <c r="FA17" s="35" t="s">
        <v>415</v>
      </c>
      <c r="FB17" s="35" t="s">
        <v>414</v>
      </c>
      <c r="FC17" s="35" t="s">
        <v>413</v>
      </c>
      <c r="FD17" s="35" t="s">
        <v>416</v>
      </c>
      <c r="FE17" s="35" t="s">
        <v>413</v>
      </c>
      <c r="FF17" s="35" t="s">
        <v>583</v>
      </c>
      <c r="FG17" s="35" t="s">
        <v>415</v>
      </c>
      <c r="FH17" s="35" t="s">
        <v>413</v>
      </c>
      <c r="FI17" s="35" t="s">
        <v>415</v>
      </c>
      <c r="FJ17" s="35" t="s">
        <v>413</v>
      </c>
      <c r="FK17" s="35" t="s">
        <v>415</v>
      </c>
      <c r="FL17" s="35" t="s">
        <v>415</v>
      </c>
      <c r="FM17" s="35" t="s">
        <v>415</v>
      </c>
      <c r="FN17" s="35" t="s">
        <v>413</v>
      </c>
      <c r="FO17" s="35" t="s">
        <v>414</v>
      </c>
      <c r="FP17" s="35" t="s">
        <v>850</v>
      </c>
      <c r="FQ17" s="35" t="s">
        <v>418</v>
      </c>
      <c r="FR17" s="35" t="s">
        <v>1039</v>
      </c>
      <c r="FT17" s="35" t="s">
        <v>420</v>
      </c>
      <c r="FU17" s="35" t="s">
        <v>488</v>
      </c>
      <c r="FV17" s="35" t="s">
        <v>1235</v>
      </c>
      <c r="FW17" s="35" t="s">
        <v>490</v>
      </c>
      <c r="FX17" s="35" t="s">
        <v>491</v>
      </c>
      <c r="FY17" s="35" t="s">
        <v>1358</v>
      </c>
      <c r="FZ17" s="35" t="s">
        <v>535</v>
      </c>
      <c r="GA17" s="35" t="s">
        <v>1359</v>
      </c>
      <c r="GC17" s="35" t="s">
        <v>455</v>
      </c>
      <c r="GD17" s="35" t="s">
        <v>11707</v>
      </c>
      <c r="GE17" s="35" t="s">
        <v>11708</v>
      </c>
      <c r="GF17" s="35" t="s">
        <v>1339</v>
      </c>
      <c r="GG17" s="35" t="s">
        <v>467</v>
      </c>
      <c r="GH17" s="35" t="s">
        <v>857</v>
      </c>
      <c r="GI17" s="35" t="s">
        <v>857</v>
      </c>
      <c r="GJ17" s="35" t="s">
        <v>817</v>
      </c>
      <c r="GN17" s="35" t="s">
        <v>1079</v>
      </c>
    </row>
    <row r="18">
      <c r="A18" s="40"/>
      <c r="B18" s="40">
        <v>45827.245649062505</v>
      </c>
      <c r="C18" s="35" t="s">
        <v>368</v>
      </c>
      <c r="D18" s="35" t="s">
        <v>370</v>
      </c>
      <c r="F18" s="35" t="s">
        <v>371</v>
      </c>
      <c r="H18" s="35" t="s">
        <v>422</v>
      </c>
      <c r="I18" s="35" t="s">
        <v>373</v>
      </c>
      <c r="J18" s="35" t="s">
        <v>374</v>
      </c>
      <c r="K18" s="35" t="s">
        <v>718</v>
      </c>
      <c r="L18" s="35" t="s">
        <v>376</v>
      </c>
      <c r="M18" s="35" t="s">
        <v>793</v>
      </c>
      <c r="N18" s="35" t="s">
        <v>1360</v>
      </c>
      <c r="O18" s="35" t="s">
        <v>426</v>
      </c>
      <c r="P18" s="35" t="s">
        <v>720</v>
      </c>
      <c r="Q18" s="35" t="s">
        <v>498</v>
      </c>
      <c r="R18" s="35" t="s">
        <v>499</v>
      </c>
      <c r="S18" s="35" t="s">
        <v>427</v>
      </c>
      <c r="T18" s="35" t="s">
        <v>384</v>
      </c>
      <c r="U18" s="35" t="s">
        <v>385</v>
      </c>
      <c r="X18" s="35" t="s">
        <v>593</v>
      </c>
      <c r="Y18" s="35" t="s">
        <v>387</v>
      </c>
      <c r="Z18" s="35" t="s">
        <v>388</v>
      </c>
      <c r="AA18" s="35" t="s">
        <v>389</v>
      </c>
      <c r="AB18" s="35" t="s">
        <v>1361</v>
      </c>
      <c r="AW18" s="35" t="s">
        <v>504</v>
      </c>
      <c r="AX18" s="41">
        <v>2.0</v>
      </c>
      <c r="AY18" s="41">
        <v>2.0</v>
      </c>
      <c r="AZ18" s="41">
        <v>2.0</v>
      </c>
      <c r="BA18" s="41">
        <v>2.0</v>
      </c>
      <c r="BB18" s="41">
        <v>2.0</v>
      </c>
      <c r="BC18" s="41">
        <v>2.0</v>
      </c>
      <c r="BF18" s="35" t="s">
        <v>392</v>
      </c>
      <c r="BG18" s="35" t="s">
        <v>433</v>
      </c>
      <c r="BH18" s="35" t="s">
        <v>434</v>
      </c>
      <c r="BI18" s="35" t="s">
        <v>11709</v>
      </c>
      <c r="BJ18" s="35" t="s">
        <v>509</v>
      </c>
      <c r="BL18" s="35" t="s">
        <v>511</v>
      </c>
      <c r="BM18" s="35" t="s">
        <v>512</v>
      </c>
      <c r="BN18" s="35" t="s">
        <v>439</v>
      </c>
      <c r="BO18" s="35" t="s">
        <v>440</v>
      </c>
      <c r="CM18" s="35" t="s">
        <v>441</v>
      </c>
      <c r="CN18" s="35" t="s">
        <v>604</v>
      </c>
      <c r="CO18" s="35" t="s">
        <v>552</v>
      </c>
      <c r="CP18" s="35" t="s">
        <v>1363</v>
      </c>
      <c r="CQ18" s="35" t="s">
        <v>445</v>
      </c>
      <c r="CR18" s="35" t="s">
        <v>1364</v>
      </c>
      <c r="CS18" s="35" t="s">
        <v>447</v>
      </c>
      <c r="CT18" s="35" t="s">
        <v>1137</v>
      </c>
      <c r="CU18" s="35" t="s">
        <v>1365</v>
      </c>
      <c r="CV18" s="35" t="s">
        <v>519</v>
      </c>
      <c r="CW18" s="35" t="s">
        <v>451</v>
      </c>
      <c r="CX18" s="35" t="s">
        <v>11710</v>
      </c>
      <c r="CY18" s="35" t="s">
        <v>408</v>
      </c>
      <c r="DA18" s="35" t="s">
        <v>453</v>
      </c>
      <c r="DB18" s="35" t="s">
        <v>1367</v>
      </c>
      <c r="DC18" s="35" t="s">
        <v>455</v>
      </c>
      <c r="DE18" s="35" t="s">
        <v>406</v>
      </c>
      <c r="DF18" s="35" t="s">
        <v>1368</v>
      </c>
      <c r="DG18" s="35" t="s">
        <v>1369</v>
      </c>
      <c r="DH18" s="35" t="s">
        <v>561</v>
      </c>
      <c r="DI18" s="35" t="s">
        <v>410</v>
      </c>
      <c r="DJ18" s="35" t="s">
        <v>459</v>
      </c>
      <c r="DK18" s="35" t="s">
        <v>613</v>
      </c>
      <c r="DN18" s="35" t="s">
        <v>1370</v>
      </c>
      <c r="DO18" s="35" t="s">
        <v>1371</v>
      </c>
      <c r="DP18" s="35" t="s">
        <v>1063</v>
      </c>
      <c r="DQ18" s="35" t="s">
        <v>1372</v>
      </c>
      <c r="DR18" s="35" t="s">
        <v>700</v>
      </c>
      <c r="DS18" s="35" t="s">
        <v>1373</v>
      </c>
      <c r="DT18" s="35" t="s">
        <v>702</v>
      </c>
      <c r="DU18" s="35" t="s">
        <v>703</v>
      </c>
      <c r="DV18" s="35" t="s">
        <v>1374</v>
      </c>
      <c r="DW18" s="35" t="s">
        <v>1375</v>
      </c>
      <c r="DX18" s="35" t="s">
        <v>1328</v>
      </c>
      <c r="DY18" s="35" t="s">
        <v>1376</v>
      </c>
      <c r="DZ18" s="35" t="s">
        <v>1377</v>
      </c>
      <c r="EA18" s="35" t="s">
        <v>11711</v>
      </c>
      <c r="EB18" s="35" t="s">
        <v>475</v>
      </c>
      <c r="EC18" s="35" t="s">
        <v>845</v>
      </c>
      <c r="EU18" s="35" t="s">
        <v>526</v>
      </c>
      <c r="EV18" s="35" t="s">
        <v>579</v>
      </c>
      <c r="EW18" s="35" t="s">
        <v>1262</v>
      </c>
      <c r="EY18" s="35" t="s">
        <v>1379</v>
      </c>
      <c r="EZ18" s="35" t="s">
        <v>1380</v>
      </c>
      <c r="FA18" s="35" t="s">
        <v>416</v>
      </c>
      <c r="FB18" s="35" t="s">
        <v>416</v>
      </c>
      <c r="FC18" s="35" t="s">
        <v>583</v>
      </c>
      <c r="FD18" s="35" t="s">
        <v>416</v>
      </c>
      <c r="FE18" s="35" t="s">
        <v>415</v>
      </c>
      <c r="FF18" s="35" t="s">
        <v>416</v>
      </c>
      <c r="FG18" s="35" t="s">
        <v>415</v>
      </c>
      <c r="FH18" s="35" t="s">
        <v>414</v>
      </c>
      <c r="FI18" s="35" t="s">
        <v>416</v>
      </c>
      <c r="FJ18" s="35" t="s">
        <v>415</v>
      </c>
      <c r="FK18" s="35" t="s">
        <v>415</v>
      </c>
      <c r="FL18" s="35" t="s">
        <v>415</v>
      </c>
      <c r="FM18" s="35" t="s">
        <v>415</v>
      </c>
      <c r="FN18" s="35" t="s">
        <v>414</v>
      </c>
      <c r="FO18" s="35" t="s">
        <v>416</v>
      </c>
      <c r="FP18" s="35" t="s">
        <v>417</v>
      </c>
      <c r="FQ18" s="35" t="s">
        <v>418</v>
      </c>
      <c r="FR18" s="35" t="s">
        <v>419</v>
      </c>
      <c r="FT18" s="35" t="s">
        <v>420</v>
      </c>
      <c r="FU18" s="35" t="s">
        <v>488</v>
      </c>
      <c r="FV18" s="35" t="s">
        <v>918</v>
      </c>
      <c r="FW18" s="35" t="s">
        <v>490</v>
      </c>
      <c r="FX18" s="35" t="s">
        <v>491</v>
      </c>
      <c r="FY18" s="35" t="s">
        <v>1381</v>
      </c>
      <c r="FZ18" s="35" t="s">
        <v>535</v>
      </c>
      <c r="GC18" s="35" t="s">
        <v>455</v>
      </c>
      <c r="GD18" s="35" t="s">
        <v>11712</v>
      </c>
      <c r="GF18" s="35" t="s">
        <v>753</v>
      </c>
      <c r="GH18" s="35" t="s">
        <v>755</v>
      </c>
      <c r="GI18" s="35" t="s">
        <v>755</v>
      </c>
      <c r="GJ18" s="35" t="s">
        <v>817</v>
      </c>
      <c r="GN18" s="35" t="s">
        <v>1079</v>
      </c>
    </row>
    <row r="19">
      <c r="A19" s="40"/>
      <c r="B19" s="40">
        <v>45827.372200185186</v>
      </c>
      <c r="C19" s="35" t="s">
        <v>368</v>
      </c>
      <c r="D19" s="35" t="s">
        <v>370</v>
      </c>
      <c r="F19" s="35" t="s">
        <v>1382</v>
      </c>
      <c r="H19" s="35" t="s">
        <v>422</v>
      </c>
      <c r="I19" s="35" t="s">
        <v>373</v>
      </c>
      <c r="J19" s="35" t="s">
        <v>374</v>
      </c>
      <c r="K19" s="35" t="s">
        <v>425</v>
      </c>
      <c r="L19" s="35" t="s">
        <v>1383</v>
      </c>
      <c r="M19" s="35" t="s">
        <v>379</v>
      </c>
      <c r="N19" s="35" t="s">
        <v>1384</v>
      </c>
      <c r="O19" s="35" t="s">
        <v>426</v>
      </c>
      <c r="P19" s="35" t="s">
        <v>1385</v>
      </c>
      <c r="Q19" s="35" t="s">
        <v>381</v>
      </c>
      <c r="R19" s="35" t="s">
        <v>1156</v>
      </c>
      <c r="S19" s="35" t="s">
        <v>795</v>
      </c>
      <c r="T19" s="35" t="s">
        <v>384</v>
      </c>
      <c r="U19" s="35" t="s">
        <v>385</v>
      </c>
      <c r="X19" s="35" t="s">
        <v>593</v>
      </c>
      <c r="Y19" s="35" t="s">
        <v>387</v>
      </c>
      <c r="Z19" s="35" t="s">
        <v>594</v>
      </c>
      <c r="AA19" s="35" t="s">
        <v>502</v>
      </c>
      <c r="AB19" s="35" t="s">
        <v>1386</v>
      </c>
      <c r="AC19" s="35" t="s">
        <v>11713</v>
      </c>
      <c r="AW19" s="35" t="s">
        <v>1310</v>
      </c>
      <c r="AX19" s="41">
        <v>4.0</v>
      </c>
      <c r="AY19" s="35" t="s">
        <v>391</v>
      </c>
      <c r="AZ19" s="35" t="s">
        <v>675</v>
      </c>
      <c r="BA19" s="41">
        <v>4.0</v>
      </c>
      <c r="BB19" s="35" t="s">
        <v>391</v>
      </c>
      <c r="BC19" s="41">
        <v>4.0</v>
      </c>
      <c r="BD19" s="35" t="s">
        <v>1388</v>
      </c>
      <c r="BE19" s="35" t="s">
        <v>1389</v>
      </c>
      <c r="BF19" s="35" t="s">
        <v>392</v>
      </c>
      <c r="BG19" s="35" t="s">
        <v>393</v>
      </c>
      <c r="BH19" s="35" t="s">
        <v>725</v>
      </c>
      <c r="BI19" s="35" t="s">
        <v>1390</v>
      </c>
      <c r="BJ19" s="35" t="s">
        <v>509</v>
      </c>
      <c r="BK19" s="35" t="s">
        <v>1391</v>
      </c>
      <c r="BL19" s="35" t="s">
        <v>437</v>
      </c>
      <c r="BM19" s="35" t="s">
        <v>904</v>
      </c>
      <c r="BN19" s="35" t="s">
        <v>397</v>
      </c>
      <c r="BO19" s="35" t="s">
        <v>440</v>
      </c>
      <c r="CM19" s="35" t="s">
        <v>441</v>
      </c>
      <c r="CN19" s="35" t="s">
        <v>442</v>
      </c>
      <c r="CO19" s="35" t="s">
        <v>1392</v>
      </c>
      <c r="CP19" s="35" t="s">
        <v>11714</v>
      </c>
      <c r="CQ19" s="35" t="s">
        <v>403</v>
      </c>
      <c r="CR19" s="35" t="s">
        <v>1394</v>
      </c>
      <c r="CS19" s="35" t="s">
        <v>404</v>
      </c>
      <c r="CT19" s="35" t="s">
        <v>1395</v>
      </c>
      <c r="CU19" s="35" t="s">
        <v>1396</v>
      </c>
      <c r="CV19" s="35" t="s">
        <v>519</v>
      </c>
      <c r="CW19" s="35" t="s">
        <v>451</v>
      </c>
      <c r="CX19" s="35" t="s">
        <v>11715</v>
      </c>
      <c r="CY19" s="35" t="s">
        <v>408</v>
      </c>
      <c r="DA19" s="35" t="s">
        <v>1398</v>
      </c>
      <c r="DB19" s="35" t="s">
        <v>1399</v>
      </c>
      <c r="DC19" s="35" t="s">
        <v>913</v>
      </c>
      <c r="DE19" s="35" t="s">
        <v>1400</v>
      </c>
      <c r="DG19" s="35" t="s">
        <v>1401</v>
      </c>
      <c r="DH19" s="35" t="s">
        <v>524</v>
      </c>
      <c r="DI19" s="35" t="s">
        <v>410</v>
      </c>
      <c r="DJ19" s="35" t="s">
        <v>1402</v>
      </c>
      <c r="DK19" s="35" t="s">
        <v>1403</v>
      </c>
      <c r="DL19" s="35" t="s">
        <v>461</v>
      </c>
      <c r="DN19" s="35" t="s">
        <v>1404</v>
      </c>
      <c r="DO19" s="35" t="s">
        <v>1405</v>
      </c>
      <c r="DP19" s="35" t="s">
        <v>567</v>
      </c>
      <c r="DQ19" s="35" t="s">
        <v>1406</v>
      </c>
      <c r="DR19" s="35" t="s">
        <v>700</v>
      </c>
      <c r="DS19" s="35" t="s">
        <v>1407</v>
      </c>
      <c r="DT19" s="35" t="s">
        <v>839</v>
      </c>
      <c r="DU19" s="35" t="s">
        <v>703</v>
      </c>
      <c r="DV19" s="35" t="s">
        <v>1408</v>
      </c>
      <c r="DW19" s="35" t="s">
        <v>1409</v>
      </c>
      <c r="DX19" s="35" t="s">
        <v>622</v>
      </c>
      <c r="DY19" s="35" t="s">
        <v>1410</v>
      </c>
      <c r="DZ19" s="35" t="s">
        <v>1411</v>
      </c>
      <c r="EA19" s="35" t="s">
        <v>1412</v>
      </c>
      <c r="EB19" s="35" t="s">
        <v>1413</v>
      </c>
      <c r="EC19" s="35" t="s">
        <v>845</v>
      </c>
      <c r="EU19" s="35" t="s">
        <v>578</v>
      </c>
      <c r="EV19" s="35" t="s">
        <v>887</v>
      </c>
      <c r="EW19" s="35" t="s">
        <v>527</v>
      </c>
      <c r="EX19" s="35" t="s">
        <v>1414</v>
      </c>
      <c r="EY19" s="35" t="s">
        <v>1415</v>
      </c>
      <c r="EZ19" s="35" t="s">
        <v>1416</v>
      </c>
      <c r="FA19" s="35" t="s">
        <v>415</v>
      </c>
      <c r="FB19" s="35" t="s">
        <v>415</v>
      </c>
      <c r="FC19" s="35" t="s">
        <v>414</v>
      </c>
      <c r="FD19" s="35" t="s">
        <v>583</v>
      </c>
      <c r="FE19" s="35" t="s">
        <v>414</v>
      </c>
      <c r="FF19" s="35" t="s">
        <v>583</v>
      </c>
      <c r="FG19" s="35" t="s">
        <v>583</v>
      </c>
      <c r="FH19" s="35" t="s">
        <v>413</v>
      </c>
      <c r="FI19" s="35" t="s">
        <v>583</v>
      </c>
      <c r="FJ19" s="35" t="s">
        <v>583</v>
      </c>
      <c r="FK19" s="35" t="s">
        <v>583</v>
      </c>
      <c r="FL19" s="35" t="s">
        <v>415</v>
      </c>
      <c r="FM19" s="35" t="s">
        <v>415</v>
      </c>
      <c r="FN19" s="35" t="s">
        <v>415</v>
      </c>
      <c r="FO19" s="35" t="s">
        <v>415</v>
      </c>
      <c r="FP19" s="35" t="s">
        <v>850</v>
      </c>
      <c r="FQ19" s="35" t="s">
        <v>486</v>
      </c>
      <c r="FR19" s="35" t="s">
        <v>419</v>
      </c>
      <c r="FS19" s="35" t="s">
        <v>1417</v>
      </c>
      <c r="FT19" s="35" t="s">
        <v>420</v>
      </c>
      <c r="FU19" s="35" t="s">
        <v>488</v>
      </c>
      <c r="FV19" s="35" t="s">
        <v>533</v>
      </c>
      <c r="FW19" s="35" t="s">
        <v>490</v>
      </c>
      <c r="FX19" s="35" t="s">
        <v>491</v>
      </c>
      <c r="FY19" s="35" t="s">
        <v>1418</v>
      </c>
      <c r="FZ19" s="35" t="s">
        <v>493</v>
      </c>
      <c r="GA19" s="35" t="s">
        <v>1419</v>
      </c>
      <c r="GC19" s="35" t="s">
        <v>455</v>
      </c>
      <c r="GD19" s="35" t="s">
        <v>11716</v>
      </c>
      <c r="GF19" s="35" t="s">
        <v>1420</v>
      </c>
      <c r="GH19" s="35" t="s">
        <v>1000</v>
      </c>
      <c r="GI19" s="35" t="s">
        <v>1000</v>
      </c>
      <c r="GJ19" s="35" t="s">
        <v>817</v>
      </c>
      <c r="GN19" s="35" t="s">
        <v>1079</v>
      </c>
    </row>
    <row r="20">
      <c r="A20" s="40"/>
      <c r="B20" s="40">
        <v>45827.40643686343</v>
      </c>
      <c r="C20" s="35" t="s">
        <v>368</v>
      </c>
      <c r="D20" s="35" t="s">
        <v>370</v>
      </c>
      <c r="F20" s="35" t="s">
        <v>1480</v>
      </c>
      <c r="H20" s="35" t="s">
        <v>422</v>
      </c>
      <c r="I20" s="35" t="s">
        <v>373</v>
      </c>
      <c r="J20" s="35" t="s">
        <v>374</v>
      </c>
      <c r="K20" s="35" t="s">
        <v>718</v>
      </c>
      <c r="L20" s="35" t="s">
        <v>376</v>
      </c>
      <c r="M20" s="35" t="s">
        <v>793</v>
      </c>
      <c r="N20" s="35" t="s">
        <v>639</v>
      </c>
      <c r="O20" s="35" t="s">
        <v>426</v>
      </c>
      <c r="P20" s="35" t="s">
        <v>719</v>
      </c>
      <c r="Q20" s="35" t="s">
        <v>592</v>
      </c>
      <c r="R20" s="35" t="s">
        <v>499</v>
      </c>
      <c r="S20" s="35" t="s">
        <v>500</v>
      </c>
      <c r="T20" s="35" t="s">
        <v>384</v>
      </c>
      <c r="U20" s="35" t="s">
        <v>385</v>
      </c>
      <c r="X20" s="35" t="s">
        <v>593</v>
      </c>
      <c r="Y20" s="35" t="s">
        <v>387</v>
      </c>
      <c r="Z20" s="35" t="s">
        <v>388</v>
      </c>
      <c r="AA20" s="35" t="s">
        <v>502</v>
      </c>
      <c r="AB20" s="35" t="s">
        <v>1481</v>
      </c>
      <c r="AW20" s="35" t="s">
        <v>597</v>
      </c>
      <c r="AX20" s="35" t="s">
        <v>391</v>
      </c>
      <c r="AY20" s="35" t="s">
        <v>391</v>
      </c>
      <c r="AZ20" s="41">
        <v>2.0</v>
      </c>
      <c r="BA20" s="41">
        <v>2.0</v>
      </c>
      <c r="BB20" s="35" t="s">
        <v>391</v>
      </c>
      <c r="BC20" s="35" t="s">
        <v>391</v>
      </c>
      <c r="BD20" s="35" t="s">
        <v>1482</v>
      </c>
      <c r="BE20" s="35" t="s">
        <v>11717</v>
      </c>
      <c r="BF20" s="35" t="s">
        <v>432</v>
      </c>
      <c r="BG20" s="35" t="s">
        <v>433</v>
      </c>
      <c r="BH20" s="35" t="s">
        <v>765</v>
      </c>
      <c r="BI20" s="35" t="s">
        <v>1484</v>
      </c>
      <c r="BJ20" s="35" t="s">
        <v>435</v>
      </c>
      <c r="BL20" s="35" t="s">
        <v>437</v>
      </c>
      <c r="BM20" s="35" t="s">
        <v>438</v>
      </c>
      <c r="BN20" s="35" t="s">
        <v>549</v>
      </c>
      <c r="BO20" s="35" t="s">
        <v>440</v>
      </c>
      <c r="CM20" s="35" t="s">
        <v>441</v>
      </c>
      <c r="CN20" s="35" t="s">
        <v>604</v>
      </c>
      <c r="CO20" s="35" t="s">
        <v>1485</v>
      </c>
      <c r="CP20" s="35" t="s">
        <v>1486</v>
      </c>
      <c r="CQ20" s="35" t="s">
        <v>445</v>
      </c>
      <c r="CR20" s="35" t="s">
        <v>1487</v>
      </c>
      <c r="CS20" s="35" t="s">
        <v>447</v>
      </c>
      <c r="CT20" s="35" t="s">
        <v>909</v>
      </c>
      <c r="CU20" s="35" t="s">
        <v>1488</v>
      </c>
      <c r="CV20" s="35" t="s">
        <v>450</v>
      </c>
      <c r="CW20" s="35" t="s">
        <v>451</v>
      </c>
      <c r="CX20" s="35" t="s">
        <v>1489</v>
      </c>
      <c r="CY20" s="35" t="s">
        <v>408</v>
      </c>
      <c r="DA20" s="35" t="s">
        <v>453</v>
      </c>
      <c r="DB20" s="35" t="s">
        <v>1490</v>
      </c>
      <c r="DC20" s="35" t="s">
        <v>455</v>
      </c>
      <c r="DD20" s="35" t="s">
        <v>1491</v>
      </c>
      <c r="DE20" s="35" t="s">
        <v>406</v>
      </c>
      <c r="DF20" s="35" t="s">
        <v>691</v>
      </c>
      <c r="DH20" s="35" t="s">
        <v>524</v>
      </c>
      <c r="DI20" s="35" t="s">
        <v>410</v>
      </c>
      <c r="DJ20" s="35" t="s">
        <v>459</v>
      </c>
      <c r="DK20" s="35" t="s">
        <v>460</v>
      </c>
      <c r="DL20" s="35" t="s">
        <v>461</v>
      </c>
      <c r="DN20" s="35" t="s">
        <v>1492</v>
      </c>
      <c r="DO20" s="35" t="s">
        <v>1493</v>
      </c>
      <c r="DP20" s="35" t="s">
        <v>567</v>
      </c>
      <c r="DQ20" s="35" t="s">
        <v>1494</v>
      </c>
      <c r="DR20" s="35" t="s">
        <v>1152</v>
      </c>
      <c r="DS20" s="35" t="s">
        <v>1495</v>
      </c>
      <c r="DT20" s="35" t="s">
        <v>468</v>
      </c>
      <c r="DU20" s="35" t="s">
        <v>703</v>
      </c>
      <c r="DV20" s="35" t="s">
        <v>11718</v>
      </c>
      <c r="DW20" s="35" t="s">
        <v>742</v>
      </c>
      <c r="DX20" s="35" t="s">
        <v>1328</v>
      </c>
      <c r="DY20" s="35" t="s">
        <v>1497</v>
      </c>
      <c r="DZ20" s="35" t="s">
        <v>1498</v>
      </c>
      <c r="EA20" s="35" t="s">
        <v>1499</v>
      </c>
      <c r="EB20" s="35" t="s">
        <v>475</v>
      </c>
      <c r="EC20" s="35" t="s">
        <v>626</v>
      </c>
      <c r="EU20" s="35" t="s">
        <v>526</v>
      </c>
      <c r="EV20" s="35" t="s">
        <v>479</v>
      </c>
      <c r="EW20" s="35" t="s">
        <v>480</v>
      </c>
      <c r="EY20" s="35" t="s">
        <v>11719</v>
      </c>
      <c r="EZ20" s="35" t="s">
        <v>1501</v>
      </c>
      <c r="FA20" s="35" t="s">
        <v>583</v>
      </c>
      <c r="FB20" s="35" t="s">
        <v>583</v>
      </c>
      <c r="FC20" s="35" t="s">
        <v>414</v>
      </c>
      <c r="FD20" s="35" t="s">
        <v>583</v>
      </c>
      <c r="FE20" s="35" t="s">
        <v>416</v>
      </c>
      <c r="FF20" s="35" t="s">
        <v>583</v>
      </c>
      <c r="FG20" s="35" t="s">
        <v>583</v>
      </c>
      <c r="FH20" s="35" t="s">
        <v>413</v>
      </c>
      <c r="FI20" s="35" t="s">
        <v>484</v>
      </c>
      <c r="FJ20" s="35" t="s">
        <v>484</v>
      </c>
      <c r="FK20" s="35" t="s">
        <v>484</v>
      </c>
      <c r="FL20" s="35" t="s">
        <v>415</v>
      </c>
      <c r="FM20" s="35" t="s">
        <v>415</v>
      </c>
      <c r="FN20" s="35" t="s">
        <v>413</v>
      </c>
      <c r="FO20" s="35" t="s">
        <v>484</v>
      </c>
      <c r="FP20" s="35" t="s">
        <v>1074</v>
      </c>
      <c r="FQ20" s="35" t="s">
        <v>418</v>
      </c>
      <c r="FR20" s="35" t="s">
        <v>419</v>
      </c>
      <c r="FT20" s="35" t="s">
        <v>420</v>
      </c>
      <c r="FU20" s="35" t="s">
        <v>488</v>
      </c>
      <c r="FV20" s="35" t="s">
        <v>533</v>
      </c>
      <c r="FW20" s="35" t="s">
        <v>490</v>
      </c>
      <c r="FX20" s="35" t="s">
        <v>491</v>
      </c>
      <c r="FY20" s="35" t="s">
        <v>1502</v>
      </c>
      <c r="FZ20" s="35" t="s">
        <v>535</v>
      </c>
      <c r="GC20" s="35" t="s">
        <v>408</v>
      </c>
      <c r="GH20" s="35" t="s">
        <v>755</v>
      </c>
      <c r="GI20" s="35" t="s">
        <v>755</v>
      </c>
      <c r="GJ20" s="35" t="s">
        <v>946</v>
      </c>
      <c r="GN20" s="35" t="s">
        <v>1079</v>
      </c>
    </row>
    <row r="21">
      <c r="A21" s="40"/>
      <c r="B21" s="40">
        <v>45827.434389699076</v>
      </c>
      <c r="C21" s="35" t="s">
        <v>368</v>
      </c>
      <c r="D21" s="35" t="s">
        <v>370</v>
      </c>
      <c r="F21" s="35" t="s">
        <v>1421</v>
      </c>
      <c r="H21" s="35" t="s">
        <v>422</v>
      </c>
      <c r="I21" s="35" t="s">
        <v>637</v>
      </c>
      <c r="J21" s="35" t="s">
        <v>638</v>
      </c>
      <c r="K21" s="35" t="s">
        <v>375</v>
      </c>
      <c r="L21" s="35" t="s">
        <v>376</v>
      </c>
      <c r="M21" s="35" t="s">
        <v>793</v>
      </c>
      <c r="N21" s="35" t="s">
        <v>639</v>
      </c>
      <c r="O21" s="35" t="s">
        <v>426</v>
      </c>
      <c r="P21" s="35" t="s">
        <v>719</v>
      </c>
      <c r="Q21" s="35" t="s">
        <v>592</v>
      </c>
      <c r="R21" s="35" t="s">
        <v>862</v>
      </c>
      <c r="S21" s="35" t="s">
        <v>1197</v>
      </c>
      <c r="T21" s="35" t="s">
        <v>384</v>
      </c>
      <c r="U21" s="35" t="s">
        <v>385</v>
      </c>
      <c r="X21" s="35" t="s">
        <v>760</v>
      </c>
      <c r="Y21" s="35" t="s">
        <v>387</v>
      </c>
      <c r="Z21" s="35" t="s">
        <v>388</v>
      </c>
      <c r="AA21" s="35" t="s">
        <v>502</v>
      </c>
      <c r="AW21" s="35" t="s">
        <v>390</v>
      </c>
      <c r="AX21" s="35" t="s">
        <v>675</v>
      </c>
      <c r="AY21" s="41">
        <v>4.0</v>
      </c>
      <c r="AZ21" s="41">
        <v>4.0</v>
      </c>
      <c r="BA21" s="35" t="s">
        <v>675</v>
      </c>
      <c r="BB21" s="35" t="s">
        <v>675</v>
      </c>
      <c r="BC21" s="41">
        <v>4.0</v>
      </c>
      <c r="BD21" s="35" t="s">
        <v>11720</v>
      </c>
      <c r="BE21" s="35" t="s">
        <v>1540</v>
      </c>
      <c r="BF21" s="35" t="s">
        <v>432</v>
      </c>
      <c r="BG21" s="35" t="s">
        <v>1095</v>
      </c>
      <c r="BH21" s="35" t="s">
        <v>434</v>
      </c>
      <c r="BI21" s="35" t="s">
        <v>1541</v>
      </c>
      <c r="BJ21" s="35" t="s">
        <v>976</v>
      </c>
      <c r="BL21" s="35" t="s">
        <v>602</v>
      </c>
      <c r="BM21" s="35" t="s">
        <v>438</v>
      </c>
      <c r="BN21" s="35" t="s">
        <v>397</v>
      </c>
      <c r="BO21" s="35" t="s">
        <v>440</v>
      </c>
      <c r="CM21" s="35" t="s">
        <v>441</v>
      </c>
      <c r="CN21" s="35" t="s">
        <v>604</v>
      </c>
      <c r="CO21" s="35" t="s">
        <v>11721</v>
      </c>
      <c r="CP21" s="35" t="s">
        <v>11722</v>
      </c>
      <c r="CQ21" s="35" t="s">
        <v>403</v>
      </c>
      <c r="CR21" s="35" t="s">
        <v>1544</v>
      </c>
      <c r="CS21" s="35" t="s">
        <v>804</v>
      </c>
      <c r="CT21" s="35" t="s">
        <v>1545</v>
      </c>
      <c r="CU21" s="35" t="s">
        <v>1546</v>
      </c>
      <c r="CV21" s="35" t="s">
        <v>519</v>
      </c>
      <c r="CW21" s="35" t="s">
        <v>451</v>
      </c>
      <c r="CX21" s="35" t="s">
        <v>1547</v>
      </c>
      <c r="CY21" s="35" t="s">
        <v>408</v>
      </c>
      <c r="DA21" s="35" t="s">
        <v>453</v>
      </c>
      <c r="DB21" s="41">
        <v>12.0</v>
      </c>
      <c r="DC21" s="35" t="s">
        <v>455</v>
      </c>
      <c r="DD21" s="35" t="s">
        <v>1548</v>
      </c>
      <c r="DE21" s="35" t="s">
        <v>406</v>
      </c>
      <c r="DF21" s="35" t="s">
        <v>407</v>
      </c>
      <c r="DG21" s="35" t="s">
        <v>11723</v>
      </c>
      <c r="DH21" s="35" t="s">
        <v>524</v>
      </c>
      <c r="DI21" s="35" t="s">
        <v>410</v>
      </c>
      <c r="DJ21" s="35" t="s">
        <v>459</v>
      </c>
      <c r="DK21" s="35" t="s">
        <v>613</v>
      </c>
      <c r="DN21" s="35" t="s">
        <v>1550</v>
      </c>
      <c r="DO21" s="35" t="s">
        <v>1551</v>
      </c>
      <c r="DP21" s="35" t="s">
        <v>464</v>
      </c>
      <c r="DQ21" s="35" t="s">
        <v>11724</v>
      </c>
      <c r="DR21" s="35" t="s">
        <v>1553</v>
      </c>
      <c r="DS21" s="35" t="s">
        <v>11725</v>
      </c>
      <c r="DT21" s="35" t="s">
        <v>702</v>
      </c>
      <c r="DU21" s="35" t="s">
        <v>619</v>
      </c>
      <c r="DV21" s="35" t="s">
        <v>1555</v>
      </c>
      <c r="DW21" s="35" t="s">
        <v>11726</v>
      </c>
      <c r="DX21" s="35" t="s">
        <v>1328</v>
      </c>
      <c r="DY21" s="35" t="s">
        <v>11727</v>
      </c>
      <c r="DZ21" s="35" t="s">
        <v>1558</v>
      </c>
      <c r="EA21" s="35" t="s">
        <v>11728</v>
      </c>
      <c r="EB21" s="35" t="s">
        <v>475</v>
      </c>
      <c r="EC21" s="35" t="s">
        <v>626</v>
      </c>
      <c r="ED21" s="35" t="s">
        <v>11729</v>
      </c>
      <c r="EU21" s="35" t="s">
        <v>526</v>
      </c>
      <c r="EV21" s="35" t="s">
        <v>479</v>
      </c>
      <c r="EW21" s="35" t="s">
        <v>527</v>
      </c>
      <c r="FA21" s="35" t="s">
        <v>415</v>
      </c>
      <c r="FB21" s="35" t="s">
        <v>415</v>
      </c>
      <c r="FC21" s="35" t="s">
        <v>413</v>
      </c>
      <c r="FD21" s="35" t="s">
        <v>413</v>
      </c>
      <c r="FE21" s="35" t="s">
        <v>413</v>
      </c>
      <c r="FF21" s="35" t="s">
        <v>415</v>
      </c>
      <c r="FG21" s="35" t="s">
        <v>415</v>
      </c>
      <c r="FH21" s="35" t="s">
        <v>413</v>
      </c>
      <c r="FI21" s="35" t="s">
        <v>583</v>
      </c>
      <c r="FJ21" s="35" t="s">
        <v>414</v>
      </c>
      <c r="FK21" s="35" t="s">
        <v>416</v>
      </c>
      <c r="FL21" s="35" t="s">
        <v>413</v>
      </c>
      <c r="FM21" s="35" t="s">
        <v>413</v>
      </c>
      <c r="FN21" s="35" t="s">
        <v>413</v>
      </c>
      <c r="FO21" s="35" t="s">
        <v>416</v>
      </c>
      <c r="FP21" s="35" t="s">
        <v>417</v>
      </c>
      <c r="FQ21" s="35" t="s">
        <v>418</v>
      </c>
      <c r="FR21" s="35" t="s">
        <v>1039</v>
      </c>
      <c r="FT21" s="35" t="s">
        <v>420</v>
      </c>
      <c r="FU21" s="35" t="s">
        <v>488</v>
      </c>
      <c r="FV21" s="35" t="s">
        <v>918</v>
      </c>
      <c r="FW21" s="35" t="s">
        <v>490</v>
      </c>
      <c r="FX21" s="35" t="s">
        <v>491</v>
      </c>
      <c r="FY21" s="35" t="s">
        <v>11730</v>
      </c>
      <c r="FZ21" s="35" t="s">
        <v>493</v>
      </c>
      <c r="GC21" s="35" t="s">
        <v>455</v>
      </c>
      <c r="GD21" s="35" t="s">
        <v>11731</v>
      </c>
      <c r="GF21" s="35" t="s">
        <v>753</v>
      </c>
      <c r="GH21" s="35" t="s">
        <v>755</v>
      </c>
      <c r="GI21" s="35" t="s">
        <v>755</v>
      </c>
      <c r="GJ21" s="35" t="s">
        <v>946</v>
      </c>
      <c r="GN21" s="35" t="s">
        <v>1079</v>
      </c>
    </row>
    <row r="22">
      <c r="A22" s="40"/>
      <c r="B22" s="40">
        <v>45827.45617319444</v>
      </c>
      <c r="C22" s="35" t="s">
        <v>368</v>
      </c>
      <c r="D22" s="35" t="s">
        <v>370</v>
      </c>
      <c r="F22" s="35" t="s">
        <v>1562</v>
      </c>
      <c r="H22" s="35" t="s">
        <v>422</v>
      </c>
      <c r="I22" s="35" t="s">
        <v>496</v>
      </c>
      <c r="J22" s="35" t="s">
        <v>374</v>
      </c>
      <c r="K22" s="35" t="s">
        <v>718</v>
      </c>
      <c r="L22" s="35" t="s">
        <v>376</v>
      </c>
      <c r="M22" s="35" t="s">
        <v>591</v>
      </c>
      <c r="N22" s="35" t="s">
        <v>719</v>
      </c>
      <c r="O22" s="35" t="s">
        <v>793</v>
      </c>
      <c r="P22" s="35" t="s">
        <v>719</v>
      </c>
      <c r="Q22" s="35" t="s">
        <v>592</v>
      </c>
      <c r="R22" s="35" t="s">
        <v>759</v>
      </c>
      <c r="S22" s="35" t="s">
        <v>427</v>
      </c>
      <c r="T22" s="35" t="s">
        <v>384</v>
      </c>
      <c r="U22" s="35" t="s">
        <v>385</v>
      </c>
      <c r="X22" s="35" t="s">
        <v>428</v>
      </c>
      <c r="AW22" s="35" t="s">
        <v>1310</v>
      </c>
      <c r="AX22" s="41">
        <v>4.0</v>
      </c>
      <c r="AY22" s="35" t="s">
        <v>391</v>
      </c>
      <c r="AZ22" s="35" t="s">
        <v>391</v>
      </c>
      <c r="BA22" s="41">
        <v>4.0</v>
      </c>
      <c r="BB22" s="35" t="s">
        <v>675</v>
      </c>
      <c r="BC22" s="41">
        <v>4.0</v>
      </c>
      <c r="BD22" s="35" t="s">
        <v>1563</v>
      </c>
      <c r="BE22" s="35" t="s">
        <v>1564</v>
      </c>
      <c r="BF22" s="35" t="s">
        <v>432</v>
      </c>
      <c r="BG22" s="35" t="s">
        <v>1095</v>
      </c>
      <c r="BH22" s="35" t="s">
        <v>394</v>
      </c>
      <c r="BI22" s="35" t="s">
        <v>1565</v>
      </c>
      <c r="BJ22" s="35" t="s">
        <v>727</v>
      </c>
      <c r="BL22" s="35" t="s">
        <v>681</v>
      </c>
      <c r="BM22" s="35" t="s">
        <v>438</v>
      </c>
      <c r="BN22" s="35" t="s">
        <v>1247</v>
      </c>
      <c r="BO22" s="35" t="s">
        <v>440</v>
      </c>
      <c r="CM22" s="35" t="s">
        <v>441</v>
      </c>
      <c r="CN22" s="35" t="s">
        <v>442</v>
      </c>
      <c r="CO22" s="35" t="s">
        <v>1566</v>
      </c>
      <c r="CP22" s="35" t="s">
        <v>1567</v>
      </c>
      <c r="CQ22" s="35" t="s">
        <v>445</v>
      </c>
      <c r="CR22" s="35" t="s">
        <v>1568</v>
      </c>
      <c r="CS22" s="35" t="s">
        <v>447</v>
      </c>
      <c r="CT22" s="35" t="s">
        <v>1569</v>
      </c>
      <c r="CU22" s="35" t="s">
        <v>1570</v>
      </c>
      <c r="CV22" s="35" t="s">
        <v>450</v>
      </c>
      <c r="CW22" s="35" t="s">
        <v>451</v>
      </c>
      <c r="CX22" s="35" t="s">
        <v>1571</v>
      </c>
      <c r="CY22" s="35" t="s">
        <v>408</v>
      </c>
      <c r="DA22" s="35" t="s">
        <v>453</v>
      </c>
      <c r="DB22" s="35" t="s">
        <v>1572</v>
      </c>
      <c r="DC22" s="35" t="s">
        <v>455</v>
      </c>
      <c r="DD22" s="35" t="s">
        <v>1573</v>
      </c>
      <c r="DE22" s="35" t="s">
        <v>662</v>
      </c>
      <c r="DG22" s="35" t="s">
        <v>1574</v>
      </c>
      <c r="DH22" s="35" t="s">
        <v>561</v>
      </c>
      <c r="DI22" s="35" t="s">
        <v>410</v>
      </c>
      <c r="DJ22" s="35" t="s">
        <v>459</v>
      </c>
      <c r="DK22" s="35" t="s">
        <v>460</v>
      </c>
      <c r="DL22" s="35" t="s">
        <v>461</v>
      </c>
      <c r="DN22" s="35" t="s">
        <v>1575</v>
      </c>
      <c r="DO22" s="35" t="s">
        <v>1576</v>
      </c>
      <c r="DP22" s="35" t="s">
        <v>567</v>
      </c>
      <c r="DQ22" s="35" t="s">
        <v>1577</v>
      </c>
      <c r="DR22" s="35" t="s">
        <v>1578</v>
      </c>
      <c r="DS22" s="35" t="s">
        <v>1579</v>
      </c>
      <c r="DT22" s="35" t="s">
        <v>618</v>
      </c>
      <c r="DU22" s="35" t="s">
        <v>1580</v>
      </c>
      <c r="DV22" s="35" t="s">
        <v>1581</v>
      </c>
      <c r="DW22" s="35" t="s">
        <v>1582</v>
      </c>
      <c r="DX22" s="35" t="s">
        <v>1328</v>
      </c>
      <c r="DY22" s="35" t="s">
        <v>1583</v>
      </c>
      <c r="DZ22" s="35" t="s">
        <v>1584</v>
      </c>
      <c r="EA22" s="35" t="s">
        <v>1585</v>
      </c>
      <c r="EB22" s="35" t="s">
        <v>475</v>
      </c>
      <c r="EC22" s="35" t="s">
        <v>845</v>
      </c>
      <c r="EU22" s="35" t="s">
        <v>526</v>
      </c>
      <c r="EV22" s="35" t="s">
        <v>887</v>
      </c>
      <c r="EW22" s="35" t="s">
        <v>480</v>
      </c>
      <c r="EX22" s="35" t="s">
        <v>1586</v>
      </c>
      <c r="EY22" s="35" t="s">
        <v>1587</v>
      </c>
      <c r="EZ22" s="35" t="s">
        <v>1588</v>
      </c>
      <c r="FA22" s="35" t="s">
        <v>484</v>
      </c>
      <c r="FB22" s="35" t="s">
        <v>414</v>
      </c>
      <c r="FC22" s="35" t="s">
        <v>484</v>
      </c>
      <c r="FD22" s="35" t="s">
        <v>484</v>
      </c>
      <c r="FE22" s="35" t="s">
        <v>484</v>
      </c>
      <c r="FF22" s="35" t="s">
        <v>414</v>
      </c>
      <c r="FG22" s="35" t="s">
        <v>484</v>
      </c>
      <c r="FH22" s="35" t="s">
        <v>484</v>
      </c>
      <c r="FI22" s="35" t="s">
        <v>484</v>
      </c>
      <c r="FJ22" s="35" t="s">
        <v>484</v>
      </c>
      <c r="FK22" s="35" t="s">
        <v>484</v>
      </c>
      <c r="FL22" s="35" t="s">
        <v>484</v>
      </c>
      <c r="FM22" s="35" t="s">
        <v>484</v>
      </c>
      <c r="FN22" s="35" t="s">
        <v>416</v>
      </c>
      <c r="FO22" s="35" t="s">
        <v>583</v>
      </c>
      <c r="FP22" s="35" t="s">
        <v>417</v>
      </c>
      <c r="FQ22" s="35" t="s">
        <v>418</v>
      </c>
      <c r="FR22" s="35" t="s">
        <v>712</v>
      </c>
      <c r="FS22" s="35" t="s">
        <v>1589</v>
      </c>
      <c r="FT22" s="35" t="s">
        <v>420</v>
      </c>
      <c r="FU22" s="35" t="s">
        <v>488</v>
      </c>
      <c r="FV22" s="35" t="s">
        <v>489</v>
      </c>
      <c r="FW22" s="35" t="s">
        <v>490</v>
      </c>
      <c r="FX22" s="35" t="s">
        <v>491</v>
      </c>
      <c r="FY22" s="35" t="s">
        <v>1590</v>
      </c>
      <c r="FZ22" s="35" t="s">
        <v>493</v>
      </c>
      <c r="GB22" s="35" t="s">
        <v>1591</v>
      </c>
      <c r="GC22" s="35" t="s">
        <v>455</v>
      </c>
      <c r="GD22" s="35" t="s">
        <v>11732</v>
      </c>
      <c r="GF22" s="35" t="s">
        <v>855</v>
      </c>
      <c r="GH22" s="35" t="s">
        <v>857</v>
      </c>
      <c r="GI22" s="35" t="s">
        <v>1000</v>
      </c>
      <c r="GJ22" s="35" t="s">
        <v>817</v>
      </c>
      <c r="GN22" s="35" t="s">
        <v>1079</v>
      </c>
    </row>
    <row r="23">
      <c r="A23" s="40"/>
      <c r="B23" s="40">
        <v>45827.47113355324</v>
      </c>
      <c r="C23" s="35" t="s">
        <v>368</v>
      </c>
      <c r="D23" s="35" t="s">
        <v>370</v>
      </c>
      <c r="F23" s="35" t="s">
        <v>1592</v>
      </c>
      <c r="H23" s="35" t="s">
        <v>422</v>
      </c>
      <c r="I23" s="35" t="s">
        <v>373</v>
      </c>
      <c r="J23" s="35" t="s">
        <v>374</v>
      </c>
      <c r="K23" s="35" t="s">
        <v>375</v>
      </c>
      <c r="L23" s="35" t="s">
        <v>376</v>
      </c>
      <c r="M23" s="35" t="s">
        <v>426</v>
      </c>
      <c r="N23" s="35" t="s">
        <v>1593</v>
      </c>
      <c r="O23" s="35" t="s">
        <v>426</v>
      </c>
      <c r="P23" s="35" t="s">
        <v>719</v>
      </c>
      <c r="Q23" s="35" t="s">
        <v>498</v>
      </c>
      <c r="R23" s="35" t="s">
        <v>862</v>
      </c>
      <c r="S23" s="35" t="s">
        <v>1594</v>
      </c>
      <c r="T23" s="35" t="s">
        <v>384</v>
      </c>
      <c r="U23" s="35" t="s">
        <v>385</v>
      </c>
      <c r="X23" s="35" t="s">
        <v>386</v>
      </c>
      <c r="Y23" s="35" t="s">
        <v>387</v>
      </c>
      <c r="Z23" s="35" t="s">
        <v>1595</v>
      </c>
      <c r="AA23" s="35" t="s">
        <v>543</v>
      </c>
      <c r="AB23" s="35" t="s">
        <v>408</v>
      </c>
      <c r="AW23" s="35" t="s">
        <v>504</v>
      </c>
      <c r="AX23" s="41">
        <v>2.0</v>
      </c>
      <c r="AY23" s="35" t="s">
        <v>429</v>
      </c>
      <c r="AZ23" s="35" t="s">
        <v>391</v>
      </c>
      <c r="BA23" s="41">
        <v>2.0</v>
      </c>
      <c r="BB23" s="35" t="s">
        <v>429</v>
      </c>
      <c r="BC23" s="35" t="s">
        <v>429</v>
      </c>
      <c r="BD23" s="35" t="s">
        <v>1596</v>
      </c>
      <c r="BE23" s="35" t="s">
        <v>11733</v>
      </c>
      <c r="BF23" s="35" t="s">
        <v>392</v>
      </c>
      <c r="BG23" s="35" t="s">
        <v>433</v>
      </c>
      <c r="BH23" s="35" t="s">
        <v>678</v>
      </c>
      <c r="BI23" s="35" t="s">
        <v>11734</v>
      </c>
      <c r="BJ23" s="35" t="s">
        <v>509</v>
      </c>
      <c r="BK23" s="35" t="s">
        <v>11735</v>
      </c>
      <c r="BL23" s="35" t="s">
        <v>437</v>
      </c>
      <c r="BM23" s="35" t="s">
        <v>512</v>
      </c>
      <c r="BN23" s="35" t="s">
        <v>439</v>
      </c>
      <c r="BO23" s="35" t="s">
        <v>440</v>
      </c>
      <c r="CM23" s="35" t="s">
        <v>441</v>
      </c>
      <c r="CN23" s="35" t="s">
        <v>442</v>
      </c>
      <c r="CO23" s="35" t="s">
        <v>1600</v>
      </c>
      <c r="CP23" s="35" t="s">
        <v>11736</v>
      </c>
      <c r="CQ23" s="35" t="s">
        <v>685</v>
      </c>
      <c r="CR23" s="35" t="s">
        <v>1602</v>
      </c>
      <c r="CS23" s="35" t="s">
        <v>447</v>
      </c>
      <c r="CT23" s="35" t="s">
        <v>448</v>
      </c>
      <c r="CU23" s="35" t="s">
        <v>1603</v>
      </c>
      <c r="CV23" s="35" t="s">
        <v>450</v>
      </c>
      <c r="CW23" s="35" t="s">
        <v>451</v>
      </c>
      <c r="CX23" s="35" t="s">
        <v>9083</v>
      </c>
      <c r="CY23" s="35" t="s">
        <v>455</v>
      </c>
      <c r="CZ23" s="35" t="s">
        <v>11737</v>
      </c>
      <c r="DA23" s="35" t="s">
        <v>453</v>
      </c>
      <c r="DB23" s="35" t="s">
        <v>1606</v>
      </c>
      <c r="DC23" s="35" t="s">
        <v>455</v>
      </c>
      <c r="DD23" s="35" t="s">
        <v>1607</v>
      </c>
      <c r="DE23" s="35" t="s">
        <v>406</v>
      </c>
      <c r="DF23" s="35" t="s">
        <v>407</v>
      </c>
      <c r="DG23" s="35" t="s">
        <v>1608</v>
      </c>
      <c r="DH23" s="35" t="s">
        <v>524</v>
      </c>
      <c r="DI23" s="35" t="s">
        <v>410</v>
      </c>
      <c r="DJ23" s="35" t="s">
        <v>459</v>
      </c>
      <c r="DK23" s="35" t="s">
        <v>613</v>
      </c>
      <c r="DN23" s="35" t="s">
        <v>1609</v>
      </c>
      <c r="DO23" s="35" t="s">
        <v>1610</v>
      </c>
      <c r="DP23" s="35" t="s">
        <v>1063</v>
      </c>
      <c r="DQ23" s="35" t="s">
        <v>1611</v>
      </c>
      <c r="DR23" s="35" t="s">
        <v>1578</v>
      </c>
      <c r="DS23" s="35" t="s">
        <v>11738</v>
      </c>
      <c r="DT23" s="35" t="s">
        <v>468</v>
      </c>
      <c r="DU23" s="35" t="s">
        <v>703</v>
      </c>
      <c r="DV23" s="35" t="s">
        <v>1613</v>
      </c>
      <c r="DW23" s="35" t="s">
        <v>1614</v>
      </c>
      <c r="DX23" s="35" t="s">
        <v>573</v>
      </c>
      <c r="DY23" s="35" t="s">
        <v>1615</v>
      </c>
      <c r="DZ23" s="35" t="s">
        <v>11739</v>
      </c>
      <c r="EA23" s="35" t="s">
        <v>1617</v>
      </c>
      <c r="EB23" s="35" t="s">
        <v>475</v>
      </c>
      <c r="EC23" s="35" t="s">
        <v>845</v>
      </c>
      <c r="ED23" s="35" t="s">
        <v>1618</v>
      </c>
      <c r="EU23" s="35" t="s">
        <v>526</v>
      </c>
      <c r="EV23" s="35" t="s">
        <v>479</v>
      </c>
      <c r="EW23" s="35" t="s">
        <v>480</v>
      </c>
      <c r="EY23" s="35" t="s">
        <v>1619</v>
      </c>
      <c r="EZ23" s="35" t="s">
        <v>1620</v>
      </c>
      <c r="FA23" s="35" t="s">
        <v>414</v>
      </c>
      <c r="FB23" s="35" t="s">
        <v>414</v>
      </c>
      <c r="FC23" s="35" t="s">
        <v>414</v>
      </c>
      <c r="FD23" s="35" t="s">
        <v>414</v>
      </c>
      <c r="FE23" s="35" t="s">
        <v>414</v>
      </c>
      <c r="FF23" s="35" t="s">
        <v>414</v>
      </c>
      <c r="FG23" s="35" t="s">
        <v>414</v>
      </c>
      <c r="FH23" s="35" t="s">
        <v>416</v>
      </c>
      <c r="FI23" s="35" t="s">
        <v>414</v>
      </c>
      <c r="FJ23" s="35" t="s">
        <v>414</v>
      </c>
      <c r="FK23" s="35" t="s">
        <v>415</v>
      </c>
      <c r="FL23" s="35" t="s">
        <v>415</v>
      </c>
      <c r="FM23" s="35" t="s">
        <v>415</v>
      </c>
      <c r="FN23" s="35" t="s">
        <v>415</v>
      </c>
      <c r="FO23" s="35" t="s">
        <v>415</v>
      </c>
      <c r="FP23" s="35" t="s">
        <v>417</v>
      </c>
      <c r="FQ23" s="35" t="s">
        <v>418</v>
      </c>
      <c r="FR23" s="35" t="s">
        <v>712</v>
      </c>
      <c r="FS23" s="35" t="s">
        <v>1621</v>
      </c>
      <c r="FT23" s="35" t="s">
        <v>420</v>
      </c>
      <c r="FU23" s="35" t="s">
        <v>1462</v>
      </c>
      <c r="FV23" s="35" t="s">
        <v>489</v>
      </c>
      <c r="FW23" s="35" t="s">
        <v>490</v>
      </c>
      <c r="FX23" s="35" t="s">
        <v>491</v>
      </c>
      <c r="FY23" s="35" t="s">
        <v>11740</v>
      </c>
      <c r="FZ23" s="35" t="s">
        <v>493</v>
      </c>
      <c r="GC23" s="35" t="s">
        <v>455</v>
      </c>
      <c r="GD23" s="35" t="s">
        <v>11741</v>
      </c>
      <c r="GF23" s="35" t="s">
        <v>753</v>
      </c>
      <c r="GH23" s="35" t="s">
        <v>857</v>
      </c>
      <c r="GI23" s="35" t="s">
        <v>857</v>
      </c>
      <c r="GJ23" s="35" t="s">
        <v>790</v>
      </c>
      <c r="GN23" s="35" t="s">
        <v>1079</v>
      </c>
    </row>
    <row r="24">
      <c r="A24" s="40"/>
      <c r="B24" s="40">
        <v>45827.504890868055</v>
      </c>
      <c r="C24" s="35" t="s">
        <v>368</v>
      </c>
      <c r="D24" s="35" t="s">
        <v>894</v>
      </c>
      <c r="E24" s="35" t="s">
        <v>894</v>
      </c>
      <c r="H24" s="35" t="s">
        <v>422</v>
      </c>
      <c r="I24" s="35" t="s">
        <v>637</v>
      </c>
      <c r="J24" s="35" t="s">
        <v>638</v>
      </c>
      <c r="K24" s="35" t="s">
        <v>1623</v>
      </c>
      <c r="L24" s="35" t="s">
        <v>376</v>
      </c>
      <c r="M24" s="35" t="s">
        <v>670</v>
      </c>
      <c r="N24" s="35" t="s">
        <v>720</v>
      </c>
      <c r="O24" s="35" t="s">
        <v>379</v>
      </c>
      <c r="P24" s="35" t="s">
        <v>1624</v>
      </c>
      <c r="Q24" s="35" t="s">
        <v>592</v>
      </c>
      <c r="R24" s="35" t="s">
        <v>382</v>
      </c>
      <c r="S24" s="35" t="s">
        <v>427</v>
      </c>
      <c r="T24" s="35" t="s">
        <v>384</v>
      </c>
      <c r="U24" s="35" t="s">
        <v>385</v>
      </c>
      <c r="V24" s="35" t="s">
        <v>1025</v>
      </c>
      <c r="W24" s="35" t="s">
        <v>1025</v>
      </c>
      <c r="X24" s="35" t="s">
        <v>428</v>
      </c>
      <c r="AW24" s="35" t="s">
        <v>1310</v>
      </c>
      <c r="AX24" s="35" t="s">
        <v>391</v>
      </c>
      <c r="AY24" s="35" t="s">
        <v>391</v>
      </c>
      <c r="AZ24" s="35" t="s">
        <v>391</v>
      </c>
      <c r="BA24" s="41">
        <v>2.0</v>
      </c>
      <c r="BB24" s="41">
        <v>4.0</v>
      </c>
      <c r="BC24" s="41">
        <v>4.0</v>
      </c>
      <c r="BF24" s="35" t="s">
        <v>392</v>
      </c>
      <c r="BG24" s="35" t="s">
        <v>393</v>
      </c>
      <c r="BH24" s="35" t="s">
        <v>434</v>
      </c>
      <c r="BJ24" s="35" t="s">
        <v>435</v>
      </c>
      <c r="BL24" s="35" t="s">
        <v>681</v>
      </c>
      <c r="BM24" s="35" t="s">
        <v>603</v>
      </c>
      <c r="BN24" s="35" t="s">
        <v>1247</v>
      </c>
      <c r="BO24" s="35" t="s">
        <v>440</v>
      </c>
      <c r="CM24" s="35" t="s">
        <v>441</v>
      </c>
      <c r="CN24" s="35" t="s">
        <v>401</v>
      </c>
      <c r="CO24" s="35" t="s">
        <v>552</v>
      </c>
      <c r="CP24" s="35" t="s">
        <v>1625</v>
      </c>
      <c r="CQ24" s="35" t="s">
        <v>685</v>
      </c>
      <c r="CR24" s="35" t="s">
        <v>956</v>
      </c>
      <c r="CS24" s="35" t="s">
        <v>404</v>
      </c>
      <c r="CT24" s="35" t="s">
        <v>1626</v>
      </c>
      <c r="CU24" s="35" t="s">
        <v>1627</v>
      </c>
      <c r="CV24" s="35" t="s">
        <v>519</v>
      </c>
      <c r="CW24" s="35" t="s">
        <v>451</v>
      </c>
      <c r="CX24" s="35" t="s">
        <v>11742</v>
      </c>
      <c r="CY24" s="35" t="s">
        <v>408</v>
      </c>
      <c r="DA24" s="35" t="s">
        <v>985</v>
      </c>
      <c r="DC24" s="35" t="s">
        <v>455</v>
      </c>
      <c r="DD24" s="35" t="s">
        <v>1629</v>
      </c>
      <c r="DE24" s="35" t="s">
        <v>406</v>
      </c>
      <c r="DF24" s="35" t="s">
        <v>407</v>
      </c>
      <c r="DH24" s="35" t="s">
        <v>524</v>
      </c>
      <c r="DJ24" s="35" t="s">
        <v>459</v>
      </c>
      <c r="DK24" s="35" t="s">
        <v>613</v>
      </c>
      <c r="DN24" s="35" t="s">
        <v>1630</v>
      </c>
      <c r="DO24" s="35" t="s">
        <v>1631</v>
      </c>
      <c r="DP24" s="35" t="s">
        <v>567</v>
      </c>
      <c r="DQ24" s="35" t="s">
        <v>11743</v>
      </c>
      <c r="DR24" s="35" t="s">
        <v>700</v>
      </c>
      <c r="DS24" s="35" t="s">
        <v>1633</v>
      </c>
      <c r="DT24" s="35" t="s">
        <v>618</v>
      </c>
      <c r="DU24" s="35" t="s">
        <v>570</v>
      </c>
      <c r="DV24" s="35" t="s">
        <v>1634</v>
      </c>
      <c r="DW24" s="35" t="s">
        <v>11744</v>
      </c>
      <c r="DX24" s="35" t="s">
        <v>622</v>
      </c>
      <c r="DY24" s="35" t="s">
        <v>1636</v>
      </c>
      <c r="DZ24" s="35" t="s">
        <v>11745</v>
      </c>
      <c r="EB24" s="35" t="s">
        <v>475</v>
      </c>
      <c r="EC24" s="35" t="s">
        <v>845</v>
      </c>
      <c r="EU24" s="35" t="s">
        <v>578</v>
      </c>
      <c r="EV24" s="35" t="s">
        <v>1037</v>
      </c>
      <c r="EW24" s="35" t="s">
        <v>480</v>
      </c>
      <c r="FA24" s="35" t="s">
        <v>413</v>
      </c>
      <c r="FB24" s="35" t="s">
        <v>415</v>
      </c>
      <c r="FC24" s="35" t="s">
        <v>413</v>
      </c>
      <c r="FD24" s="35" t="s">
        <v>413</v>
      </c>
      <c r="FE24" s="35" t="s">
        <v>413</v>
      </c>
      <c r="FF24" s="35" t="s">
        <v>415</v>
      </c>
      <c r="FG24" s="35" t="s">
        <v>413</v>
      </c>
      <c r="FH24" s="35" t="s">
        <v>413</v>
      </c>
      <c r="FI24" s="35" t="s">
        <v>583</v>
      </c>
      <c r="FJ24" s="35" t="s">
        <v>415</v>
      </c>
      <c r="FK24" s="35" t="s">
        <v>415</v>
      </c>
      <c r="FL24" s="35" t="s">
        <v>416</v>
      </c>
      <c r="FM24" s="35" t="s">
        <v>415</v>
      </c>
      <c r="FN24" s="35" t="s">
        <v>416</v>
      </c>
      <c r="FO24" s="35" t="s">
        <v>415</v>
      </c>
      <c r="FP24" s="35" t="s">
        <v>485</v>
      </c>
      <c r="FQ24" s="35" t="s">
        <v>418</v>
      </c>
      <c r="FR24" s="35" t="s">
        <v>749</v>
      </c>
      <c r="FT24" s="35" t="s">
        <v>420</v>
      </c>
      <c r="FU24" s="35" t="s">
        <v>488</v>
      </c>
      <c r="FV24" s="35" t="s">
        <v>918</v>
      </c>
      <c r="FW24" s="35" t="s">
        <v>490</v>
      </c>
      <c r="FX24" s="35" t="s">
        <v>491</v>
      </c>
      <c r="FZ24" s="35" t="s">
        <v>493</v>
      </c>
      <c r="GC24" s="35" t="s">
        <v>455</v>
      </c>
      <c r="GD24" s="35" t="s">
        <v>11746</v>
      </c>
      <c r="GF24" s="35" t="s">
        <v>753</v>
      </c>
      <c r="GH24" s="35" t="s">
        <v>1000</v>
      </c>
      <c r="GI24" s="35" t="s">
        <v>1000</v>
      </c>
      <c r="GJ24" s="35" t="s">
        <v>756</v>
      </c>
      <c r="GN24" s="35" t="s">
        <v>1079</v>
      </c>
    </row>
    <row r="25">
      <c r="A25" s="40"/>
      <c r="B25" s="40">
        <v>45827.75078829861</v>
      </c>
      <c r="C25" s="35" t="s">
        <v>368</v>
      </c>
      <c r="D25" s="35" t="s">
        <v>370</v>
      </c>
      <c r="F25" s="35" t="s">
        <v>1798</v>
      </c>
      <c r="H25" s="35" t="s">
        <v>422</v>
      </c>
      <c r="I25" s="35" t="s">
        <v>637</v>
      </c>
      <c r="J25" s="35" t="s">
        <v>638</v>
      </c>
      <c r="K25" s="35" t="s">
        <v>375</v>
      </c>
      <c r="L25" s="35" t="s">
        <v>376</v>
      </c>
      <c r="M25" s="35" t="s">
        <v>377</v>
      </c>
      <c r="N25" s="35" t="s">
        <v>1690</v>
      </c>
      <c r="O25" s="35" t="s">
        <v>426</v>
      </c>
      <c r="P25" s="35" t="s">
        <v>1799</v>
      </c>
      <c r="Q25" s="35" t="s">
        <v>381</v>
      </c>
      <c r="R25" s="35" t="s">
        <v>1156</v>
      </c>
      <c r="S25" s="35" t="s">
        <v>1800</v>
      </c>
      <c r="T25" s="35" t="s">
        <v>384</v>
      </c>
      <c r="U25" s="35" t="s">
        <v>385</v>
      </c>
      <c r="X25" s="35" t="s">
        <v>593</v>
      </c>
      <c r="Y25" s="35" t="s">
        <v>387</v>
      </c>
      <c r="Z25" s="35" t="s">
        <v>388</v>
      </c>
      <c r="AA25" s="35" t="s">
        <v>543</v>
      </c>
      <c r="AW25" s="35" t="s">
        <v>390</v>
      </c>
      <c r="AX25" s="35" t="s">
        <v>429</v>
      </c>
      <c r="AY25" s="35" t="s">
        <v>429</v>
      </c>
      <c r="AZ25" s="35" t="s">
        <v>429</v>
      </c>
      <c r="BA25" s="41">
        <v>2.0</v>
      </c>
      <c r="BB25" s="35" t="s">
        <v>429</v>
      </c>
      <c r="BC25" s="35" t="s">
        <v>429</v>
      </c>
      <c r="BD25" s="35" t="s">
        <v>11747</v>
      </c>
      <c r="BE25" s="35" t="s">
        <v>1802</v>
      </c>
      <c r="BF25" s="35" t="s">
        <v>432</v>
      </c>
      <c r="BG25" s="35" t="s">
        <v>433</v>
      </c>
      <c r="BH25" s="35" t="s">
        <v>678</v>
      </c>
      <c r="BI25" s="35" t="s">
        <v>1803</v>
      </c>
      <c r="BJ25" s="35" t="s">
        <v>824</v>
      </c>
      <c r="BL25" s="35" t="s">
        <v>437</v>
      </c>
      <c r="BM25" s="35" t="s">
        <v>396</v>
      </c>
      <c r="BN25" s="35" t="s">
        <v>549</v>
      </c>
      <c r="BO25" s="35" t="s">
        <v>440</v>
      </c>
      <c r="CM25" s="35" t="s">
        <v>441</v>
      </c>
      <c r="CN25" s="35" t="s">
        <v>604</v>
      </c>
      <c r="CO25" s="35" t="s">
        <v>1804</v>
      </c>
      <c r="CP25" s="35" t="s">
        <v>1805</v>
      </c>
      <c r="CQ25" s="35" t="s">
        <v>979</v>
      </c>
      <c r="CR25" s="35" t="s">
        <v>1806</v>
      </c>
      <c r="CS25" s="35" t="s">
        <v>447</v>
      </c>
      <c r="CT25" s="35" t="s">
        <v>1807</v>
      </c>
      <c r="CU25" s="35" t="s">
        <v>11748</v>
      </c>
      <c r="CV25" s="35" t="s">
        <v>450</v>
      </c>
      <c r="CW25" s="35" t="s">
        <v>451</v>
      </c>
      <c r="CX25" s="35" t="s">
        <v>1809</v>
      </c>
      <c r="CY25" s="35" t="s">
        <v>408</v>
      </c>
      <c r="DA25" s="35" t="s">
        <v>453</v>
      </c>
      <c r="DC25" s="35" t="s">
        <v>913</v>
      </c>
      <c r="DE25" s="35" t="s">
        <v>406</v>
      </c>
      <c r="DF25" s="35" t="s">
        <v>407</v>
      </c>
      <c r="DG25" s="35" t="s">
        <v>1810</v>
      </c>
      <c r="DH25" s="35" t="s">
        <v>561</v>
      </c>
      <c r="DI25" s="35" t="s">
        <v>410</v>
      </c>
      <c r="DJ25" s="35" t="s">
        <v>459</v>
      </c>
      <c r="DK25" s="35" t="s">
        <v>460</v>
      </c>
      <c r="DL25" s="35" t="s">
        <v>461</v>
      </c>
      <c r="DN25" s="35" t="s">
        <v>1811</v>
      </c>
      <c r="DO25" s="35" t="s">
        <v>1812</v>
      </c>
      <c r="DP25" s="35" t="s">
        <v>464</v>
      </c>
      <c r="DQ25" s="35" t="s">
        <v>1813</v>
      </c>
      <c r="DR25" s="35" t="s">
        <v>700</v>
      </c>
      <c r="DS25" s="35" t="s">
        <v>1814</v>
      </c>
      <c r="DT25" s="35" t="s">
        <v>618</v>
      </c>
      <c r="DU25" s="35" t="s">
        <v>570</v>
      </c>
      <c r="DV25" s="35" t="s">
        <v>11749</v>
      </c>
      <c r="DW25" s="35" t="s">
        <v>1816</v>
      </c>
      <c r="DX25" s="35" t="s">
        <v>622</v>
      </c>
      <c r="DY25" s="35" t="s">
        <v>1817</v>
      </c>
      <c r="DZ25" s="35" t="s">
        <v>1818</v>
      </c>
      <c r="EB25" s="35" t="s">
        <v>475</v>
      </c>
      <c r="EC25" s="35" t="s">
        <v>626</v>
      </c>
      <c r="EU25" s="35" t="s">
        <v>526</v>
      </c>
      <c r="EV25" s="35" t="s">
        <v>579</v>
      </c>
      <c r="FA25" s="35" t="s">
        <v>413</v>
      </c>
      <c r="FB25" s="35" t="s">
        <v>415</v>
      </c>
      <c r="FC25" s="35" t="s">
        <v>413</v>
      </c>
      <c r="FD25" s="35" t="s">
        <v>413</v>
      </c>
      <c r="FE25" s="35" t="s">
        <v>413</v>
      </c>
      <c r="FF25" s="35" t="s">
        <v>415</v>
      </c>
      <c r="FG25" s="35" t="s">
        <v>413</v>
      </c>
      <c r="FH25" s="35" t="s">
        <v>413</v>
      </c>
      <c r="FI25" s="35" t="s">
        <v>413</v>
      </c>
      <c r="FJ25" s="35" t="s">
        <v>413</v>
      </c>
      <c r="FK25" s="35" t="s">
        <v>413</v>
      </c>
      <c r="FL25" s="35" t="s">
        <v>413</v>
      </c>
      <c r="FM25" s="35" t="s">
        <v>583</v>
      </c>
      <c r="FN25" s="35" t="s">
        <v>413</v>
      </c>
      <c r="FO25" s="35" t="s">
        <v>583</v>
      </c>
      <c r="FP25" s="35" t="s">
        <v>417</v>
      </c>
      <c r="FQ25" s="35" t="s">
        <v>418</v>
      </c>
      <c r="FR25" s="35" t="s">
        <v>531</v>
      </c>
      <c r="FS25" s="35" t="s">
        <v>1819</v>
      </c>
      <c r="FT25" s="35" t="s">
        <v>420</v>
      </c>
      <c r="FU25" s="35" t="s">
        <v>488</v>
      </c>
      <c r="FV25" s="35" t="s">
        <v>918</v>
      </c>
      <c r="FW25" s="35" t="s">
        <v>490</v>
      </c>
      <c r="FX25" s="35" t="s">
        <v>491</v>
      </c>
      <c r="FY25" s="35" t="s">
        <v>1820</v>
      </c>
      <c r="FZ25" s="35" t="s">
        <v>535</v>
      </c>
      <c r="GA25" s="35" t="s">
        <v>1821</v>
      </c>
      <c r="GC25" s="35" t="s">
        <v>455</v>
      </c>
      <c r="GD25" s="35" t="s">
        <v>11750</v>
      </c>
      <c r="GF25" s="35" t="s">
        <v>753</v>
      </c>
      <c r="GH25" s="35" t="s">
        <v>788</v>
      </c>
      <c r="GI25" s="35" t="s">
        <v>755</v>
      </c>
      <c r="GJ25" s="35" t="s">
        <v>817</v>
      </c>
      <c r="GN25" s="35" t="s">
        <v>1079</v>
      </c>
    </row>
    <row r="26">
      <c r="A26" s="40"/>
      <c r="B26" s="40">
        <v>45827.77508074074</v>
      </c>
      <c r="C26" s="35" t="s">
        <v>368</v>
      </c>
      <c r="D26" s="35" t="s">
        <v>370</v>
      </c>
      <c r="F26" s="35" t="s">
        <v>1875</v>
      </c>
      <c r="H26" s="35" t="s">
        <v>422</v>
      </c>
      <c r="I26" s="35" t="s">
        <v>1203</v>
      </c>
      <c r="J26" s="35" t="s">
        <v>638</v>
      </c>
      <c r="K26" s="35" t="s">
        <v>1204</v>
      </c>
      <c r="L26" s="35" t="s">
        <v>376</v>
      </c>
      <c r="M26" s="35" t="s">
        <v>426</v>
      </c>
      <c r="N26" s="35" t="s">
        <v>378</v>
      </c>
      <c r="O26" s="35" t="s">
        <v>379</v>
      </c>
      <c r="P26" s="35" t="s">
        <v>719</v>
      </c>
      <c r="Q26" s="35" t="s">
        <v>381</v>
      </c>
      <c r="R26" s="35" t="s">
        <v>1156</v>
      </c>
      <c r="S26" s="35" t="s">
        <v>949</v>
      </c>
      <c r="T26" s="35" t="s">
        <v>1512</v>
      </c>
      <c r="U26" s="35" t="s">
        <v>385</v>
      </c>
      <c r="X26" s="35" t="s">
        <v>428</v>
      </c>
      <c r="AW26" s="35" t="s">
        <v>390</v>
      </c>
      <c r="AX26" s="35" t="s">
        <v>391</v>
      </c>
      <c r="AY26" s="41">
        <v>2.0</v>
      </c>
      <c r="AZ26" s="35" t="s">
        <v>391</v>
      </c>
      <c r="BA26" s="35" t="s">
        <v>429</v>
      </c>
      <c r="BB26" s="35" t="s">
        <v>391</v>
      </c>
      <c r="BC26" s="35" t="s">
        <v>391</v>
      </c>
      <c r="BD26" s="35" t="s">
        <v>1876</v>
      </c>
      <c r="BE26" s="35" t="s">
        <v>1877</v>
      </c>
      <c r="BF26" s="35" t="s">
        <v>432</v>
      </c>
      <c r="BG26" s="35" t="s">
        <v>433</v>
      </c>
      <c r="BH26" s="35" t="s">
        <v>394</v>
      </c>
      <c r="BI26" s="35" t="s">
        <v>1878</v>
      </c>
      <c r="BJ26" s="35" t="s">
        <v>824</v>
      </c>
      <c r="BL26" s="35" t="s">
        <v>681</v>
      </c>
      <c r="BM26" s="35" t="s">
        <v>396</v>
      </c>
      <c r="BN26" s="35" t="s">
        <v>549</v>
      </c>
      <c r="BO26" s="35" t="s">
        <v>440</v>
      </c>
      <c r="CM26" s="35" t="s">
        <v>441</v>
      </c>
      <c r="CN26" s="35" t="s">
        <v>604</v>
      </c>
      <c r="CO26" s="35" t="s">
        <v>1879</v>
      </c>
      <c r="CP26" s="35" t="s">
        <v>1880</v>
      </c>
      <c r="CQ26" s="35" t="s">
        <v>1008</v>
      </c>
      <c r="CR26" s="35" t="s">
        <v>956</v>
      </c>
      <c r="CS26" s="35" t="s">
        <v>804</v>
      </c>
      <c r="CT26" s="35" t="s">
        <v>1881</v>
      </c>
      <c r="CU26" s="35" t="s">
        <v>1882</v>
      </c>
      <c r="CV26" s="35" t="s">
        <v>450</v>
      </c>
      <c r="CW26" s="35" t="s">
        <v>451</v>
      </c>
      <c r="CX26" s="35" t="s">
        <v>1883</v>
      </c>
      <c r="CY26" s="35" t="s">
        <v>408</v>
      </c>
      <c r="DA26" s="35" t="s">
        <v>453</v>
      </c>
      <c r="DB26" s="35" t="s">
        <v>1884</v>
      </c>
      <c r="DC26" s="35" t="s">
        <v>408</v>
      </c>
      <c r="DE26" s="35" t="s">
        <v>457</v>
      </c>
      <c r="DG26" s="35" t="s">
        <v>1885</v>
      </c>
      <c r="DH26" s="35" t="s">
        <v>524</v>
      </c>
      <c r="DI26" s="35" t="s">
        <v>410</v>
      </c>
      <c r="DJ26" s="35" t="s">
        <v>459</v>
      </c>
      <c r="DK26" s="35" t="s">
        <v>613</v>
      </c>
      <c r="DN26" s="35" t="s">
        <v>1492</v>
      </c>
      <c r="DO26" s="35" t="s">
        <v>1886</v>
      </c>
      <c r="DP26" s="35" t="s">
        <v>464</v>
      </c>
      <c r="DQ26" s="35" t="s">
        <v>1887</v>
      </c>
      <c r="DR26" s="35" t="s">
        <v>700</v>
      </c>
      <c r="DS26" s="35" t="s">
        <v>1888</v>
      </c>
      <c r="DT26" s="35" t="s">
        <v>839</v>
      </c>
      <c r="DU26" s="35" t="s">
        <v>703</v>
      </c>
      <c r="DV26" s="35" t="s">
        <v>1889</v>
      </c>
      <c r="DW26" s="35" t="s">
        <v>1890</v>
      </c>
      <c r="DX26" s="35" t="s">
        <v>573</v>
      </c>
      <c r="DY26" s="35" t="s">
        <v>11751</v>
      </c>
      <c r="DZ26" s="35" t="s">
        <v>1892</v>
      </c>
      <c r="EA26" s="35" t="s">
        <v>1893</v>
      </c>
      <c r="EB26" s="35" t="s">
        <v>1413</v>
      </c>
      <c r="EC26" s="35" t="s">
        <v>626</v>
      </c>
      <c r="EU26" s="35" t="s">
        <v>526</v>
      </c>
      <c r="EV26" s="35" t="s">
        <v>887</v>
      </c>
      <c r="EW26" s="35" t="s">
        <v>527</v>
      </c>
      <c r="EY26" s="35" t="s">
        <v>1894</v>
      </c>
      <c r="EZ26" s="35" t="s">
        <v>1895</v>
      </c>
      <c r="FA26" s="35" t="s">
        <v>583</v>
      </c>
      <c r="FB26" s="35" t="s">
        <v>583</v>
      </c>
      <c r="FC26" s="35" t="s">
        <v>415</v>
      </c>
      <c r="FD26" s="35" t="s">
        <v>583</v>
      </c>
      <c r="FE26" s="35" t="s">
        <v>583</v>
      </c>
      <c r="FF26" s="35" t="s">
        <v>583</v>
      </c>
      <c r="FG26" s="35" t="s">
        <v>414</v>
      </c>
      <c r="FH26" s="35" t="s">
        <v>415</v>
      </c>
      <c r="FI26" s="35" t="s">
        <v>415</v>
      </c>
      <c r="FJ26" s="35" t="s">
        <v>414</v>
      </c>
      <c r="FK26" s="35" t="s">
        <v>414</v>
      </c>
      <c r="FL26" s="35" t="s">
        <v>414</v>
      </c>
      <c r="FM26" s="35" t="s">
        <v>414</v>
      </c>
      <c r="FN26" s="35" t="s">
        <v>414</v>
      </c>
      <c r="FO26" s="35" t="s">
        <v>583</v>
      </c>
      <c r="FP26" s="35" t="s">
        <v>417</v>
      </c>
      <c r="FQ26" s="35" t="s">
        <v>418</v>
      </c>
      <c r="FR26" s="35" t="s">
        <v>419</v>
      </c>
      <c r="FS26" s="35" t="s">
        <v>1896</v>
      </c>
      <c r="FT26" s="35" t="s">
        <v>420</v>
      </c>
      <c r="FU26" s="35" t="s">
        <v>488</v>
      </c>
      <c r="FV26" s="35" t="s">
        <v>489</v>
      </c>
      <c r="FW26" s="35" t="s">
        <v>490</v>
      </c>
      <c r="FX26" s="35" t="s">
        <v>491</v>
      </c>
      <c r="FY26" s="35" t="s">
        <v>11752</v>
      </c>
      <c r="FZ26" s="35" t="s">
        <v>1020</v>
      </c>
      <c r="GA26" s="35" t="s">
        <v>1898</v>
      </c>
      <c r="GC26" s="35" t="s">
        <v>408</v>
      </c>
      <c r="GH26" s="35" t="s">
        <v>857</v>
      </c>
      <c r="GI26" s="35" t="s">
        <v>857</v>
      </c>
      <c r="GJ26" s="35" t="s">
        <v>790</v>
      </c>
      <c r="GN26" s="35" t="s">
        <v>1079</v>
      </c>
    </row>
    <row r="27">
      <c r="A27" s="40"/>
      <c r="B27" s="40">
        <v>45827.834250127315</v>
      </c>
      <c r="C27" s="35" t="s">
        <v>368</v>
      </c>
      <c r="D27" s="35" t="s">
        <v>370</v>
      </c>
      <c r="F27" s="35" t="s">
        <v>1480</v>
      </c>
      <c r="X27" s="35" t="s">
        <v>386</v>
      </c>
      <c r="Y27" s="35" t="s">
        <v>387</v>
      </c>
      <c r="Z27" s="35" t="s">
        <v>1966</v>
      </c>
      <c r="AA27" s="35" t="s">
        <v>543</v>
      </c>
      <c r="AB27" s="35" t="s">
        <v>408</v>
      </c>
      <c r="AC27" s="35" t="s">
        <v>11753</v>
      </c>
      <c r="BO27" s="35" t="s">
        <v>440</v>
      </c>
      <c r="CM27" s="35" t="s">
        <v>441</v>
      </c>
      <c r="CN27" s="35" t="s">
        <v>401</v>
      </c>
      <c r="CO27" s="35" t="s">
        <v>11754</v>
      </c>
      <c r="CP27" s="35" t="s">
        <v>11755</v>
      </c>
      <c r="CQ27" s="35" t="s">
        <v>685</v>
      </c>
      <c r="CR27" s="35" t="s">
        <v>1970</v>
      </c>
      <c r="CS27" s="35" t="s">
        <v>447</v>
      </c>
      <c r="CT27" s="35" t="s">
        <v>1971</v>
      </c>
      <c r="CU27" s="35" t="s">
        <v>1972</v>
      </c>
      <c r="CV27" s="35" t="s">
        <v>450</v>
      </c>
      <c r="CW27" s="35" t="s">
        <v>451</v>
      </c>
      <c r="CX27" s="35" t="s">
        <v>11756</v>
      </c>
      <c r="CY27" s="35" t="s">
        <v>408</v>
      </c>
      <c r="CZ27" s="35" t="s">
        <v>1211</v>
      </c>
      <c r="DA27" s="35" t="s">
        <v>453</v>
      </c>
      <c r="DB27" s="35" t="s">
        <v>11757</v>
      </c>
      <c r="DC27" s="35" t="s">
        <v>455</v>
      </c>
      <c r="DD27" s="35" t="s">
        <v>1975</v>
      </c>
      <c r="DE27" s="35" t="s">
        <v>457</v>
      </c>
      <c r="DG27" s="35" t="s">
        <v>11758</v>
      </c>
      <c r="DH27" s="35" t="s">
        <v>561</v>
      </c>
      <c r="DI27" s="35" t="s">
        <v>410</v>
      </c>
      <c r="DJ27" s="35" t="s">
        <v>1402</v>
      </c>
      <c r="DK27" s="35" t="s">
        <v>562</v>
      </c>
      <c r="DL27" s="35" t="s">
        <v>563</v>
      </c>
      <c r="EU27" s="35" t="s">
        <v>526</v>
      </c>
      <c r="EV27" s="35" t="s">
        <v>1037</v>
      </c>
      <c r="EW27" s="35" t="s">
        <v>480</v>
      </c>
      <c r="EY27" s="35" t="s">
        <v>11759</v>
      </c>
      <c r="EZ27" s="35" t="s">
        <v>11760</v>
      </c>
      <c r="FA27" s="35" t="s">
        <v>415</v>
      </c>
      <c r="FB27" s="35" t="s">
        <v>414</v>
      </c>
      <c r="FC27" s="35" t="s">
        <v>416</v>
      </c>
      <c r="FD27" s="35" t="s">
        <v>583</v>
      </c>
      <c r="FE27" s="35" t="s">
        <v>415</v>
      </c>
      <c r="FF27" s="35" t="s">
        <v>583</v>
      </c>
      <c r="FG27" s="35" t="s">
        <v>414</v>
      </c>
      <c r="FH27" s="35" t="s">
        <v>413</v>
      </c>
      <c r="FI27" s="35" t="s">
        <v>583</v>
      </c>
      <c r="FJ27" s="35" t="s">
        <v>414</v>
      </c>
      <c r="FK27" s="35" t="s">
        <v>414</v>
      </c>
      <c r="FL27" s="35" t="s">
        <v>413</v>
      </c>
      <c r="FM27" s="35" t="s">
        <v>414</v>
      </c>
      <c r="FN27" s="35" t="s">
        <v>413</v>
      </c>
      <c r="FO27" s="35" t="s">
        <v>484</v>
      </c>
      <c r="FP27" s="35" t="s">
        <v>417</v>
      </c>
      <c r="FQ27" s="35" t="s">
        <v>418</v>
      </c>
      <c r="FR27" s="35" t="s">
        <v>712</v>
      </c>
      <c r="FS27" s="35" t="s">
        <v>11761</v>
      </c>
      <c r="FT27" s="35" t="s">
        <v>420</v>
      </c>
      <c r="FU27" s="35" t="s">
        <v>488</v>
      </c>
      <c r="FV27" s="35" t="s">
        <v>489</v>
      </c>
      <c r="FW27" s="35" t="s">
        <v>490</v>
      </c>
      <c r="FX27" s="35" t="s">
        <v>491</v>
      </c>
      <c r="FY27" s="35" t="s">
        <v>1980</v>
      </c>
      <c r="FZ27" s="35" t="s">
        <v>535</v>
      </c>
      <c r="GA27" s="35" t="s">
        <v>11762</v>
      </c>
      <c r="GB27" s="35" t="s">
        <v>11763</v>
      </c>
      <c r="GC27" s="35" t="s">
        <v>455</v>
      </c>
      <c r="GD27" s="35" t="s">
        <v>11764</v>
      </c>
      <c r="GF27" s="35" t="s">
        <v>944</v>
      </c>
      <c r="GG27" s="35" t="s">
        <v>11765</v>
      </c>
      <c r="GH27" s="35" t="s">
        <v>1000</v>
      </c>
      <c r="GI27" s="35" t="s">
        <v>755</v>
      </c>
      <c r="GJ27" s="35" t="s">
        <v>946</v>
      </c>
    </row>
    <row r="28">
      <c r="A28" s="40"/>
      <c r="B28" s="40">
        <v>45827.86713875</v>
      </c>
      <c r="C28" s="35" t="s">
        <v>368</v>
      </c>
      <c r="D28" s="35" t="s">
        <v>2025</v>
      </c>
      <c r="E28" s="35" t="s">
        <v>1201</v>
      </c>
      <c r="X28" s="35" t="s">
        <v>593</v>
      </c>
      <c r="Y28" s="35" t="s">
        <v>387</v>
      </c>
      <c r="Z28" s="35" t="s">
        <v>2026</v>
      </c>
      <c r="AA28" s="35" t="s">
        <v>543</v>
      </c>
      <c r="AB28" s="35" t="s">
        <v>2027</v>
      </c>
      <c r="AC28" s="35" t="s">
        <v>11766</v>
      </c>
      <c r="BO28" s="35" t="s">
        <v>440</v>
      </c>
      <c r="CM28" s="35" t="s">
        <v>441</v>
      </c>
      <c r="CN28" s="35" t="s">
        <v>442</v>
      </c>
      <c r="CO28" s="35" t="s">
        <v>2029</v>
      </c>
      <c r="CP28" s="35" t="s">
        <v>11767</v>
      </c>
      <c r="CQ28" s="35" t="s">
        <v>979</v>
      </c>
      <c r="CR28" s="35" t="s">
        <v>2031</v>
      </c>
      <c r="CS28" s="35" t="s">
        <v>404</v>
      </c>
      <c r="CT28" s="35" t="s">
        <v>1137</v>
      </c>
      <c r="CU28" s="35" t="s">
        <v>2032</v>
      </c>
      <c r="CV28" s="35" t="s">
        <v>450</v>
      </c>
      <c r="CW28" s="35" t="s">
        <v>451</v>
      </c>
      <c r="CX28" s="35" t="s">
        <v>2033</v>
      </c>
      <c r="CY28" s="35" t="s">
        <v>408</v>
      </c>
      <c r="DA28" s="35" t="s">
        <v>985</v>
      </c>
      <c r="DB28" s="35" t="s">
        <v>2034</v>
      </c>
      <c r="DC28" s="35" t="s">
        <v>455</v>
      </c>
      <c r="DD28" s="35" t="s">
        <v>2035</v>
      </c>
      <c r="DE28" s="35" t="s">
        <v>988</v>
      </c>
      <c r="DH28" s="35" t="s">
        <v>524</v>
      </c>
      <c r="DI28" s="35" t="s">
        <v>410</v>
      </c>
      <c r="DJ28" s="35" t="s">
        <v>963</v>
      </c>
      <c r="DK28" s="35" t="s">
        <v>613</v>
      </c>
      <c r="DN28" s="35" t="s">
        <v>2036</v>
      </c>
      <c r="DO28" s="35" t="s">
        <v>2037</v>
      </c>
      <c r="DP28" s="35" t="s">
        <v>567</v>
      </c>
      <c r="DQ28" s="35" t="s">
        <v>2038</v>
      </c>
      <c r="DR28" s="35" t="s">
        <v>1291</v>
      </c>
      <c r="DS28" s="35" t="s">
        <v>2039</v>
      </c>
      <c r="DT28" s="35" t="s">
        <v>839</v>
      </c>
      <c r="DU28" s="35" t="s">
        <v>619</v>
      </c>
      <c r="DV28" s="35" t="s">
        <v>2040</v>
      </c>
      <c r="DW28" s="35" t="s">
        <v>2041</v>
      </c>
      <c r="DX28" s="35" t="s">
        <v>573</v>
      </c>
      <c r="DY28" s="35" t="s">
        <v>2042</v>
      </c>
      <c r="DZ28" s="35" t="s">
        <v>2043</v>
      </c>
      <c r="EA28" s="35" t="s">
        <v>11768</v>
      </c>
      <c r="EB28" s="35" t="s">
        <v>475</v>
      </c>
      <c r="EC28" s="35" t="s">
        <v>626</v>
      </c>
      <c r="ED28" s="35" t="s">
        <v>2045</v>
      </c>
      <c r="EU28" s="35" t="s">
        <v>578</v>
      </c>
      <c r="EV28" s="35" t="s">
        <v>579</v>
      </c>
      <c r="EW28" s="35" t="s">
        <v>778</v>
      </c>
      <c r="EX28" s="35" t="s">
        <v>11769</v>
      </c>
      <c r="EY28" s="35" t="s">
        <v>2047</v>
      </c>
      <c r="EZ28" s="35" t="s">
        <v>2048</v>
      </c>
      <c r="FA28" s="35" t="s">
        <v>415</v>
      </c>
      <c r="FB28" s="35" t="s">
        <v>414</v>
      </c>
      <c r="FC28" s="35" t="s">
        <v>413</v>
      </c>
      <c r="FD28" s="35" t="s">
        <v>416</v>
      </c>
      <c r="FE28" s="35" t="s">
        <v>413</v>
      </c>
      <c r="FF28" s="35" t="s">
        <v>414</v>
      </c>
      <c r="FG28" s="35" t="s">
        <v>415</v>
      </c>
      <c r="FH28" s="35" t="s">
        <v>413</v>
      </c>
      <c r="FI28" s="35" t="s">
        <v>415</v>
      </c>
      <c r="FJ28" s="35" t="s">
        <v>416</v>
      </c>
      <c r="FK28" s="35" t="s">
        <v>415</v>
      </c>
      <c r="FL28" s="35" t="s">
        <v>416</v>
      </c>
      <c r="FM28" s="35" t="s">
        <v>416</v>
      </c>
      <c r="FN28" s="35" t="s">
        <v>416</v>
      </c>
      <c r="FO28" s="35" t="s">
        <v>416</v>
      </c>
      <c r="FP28" s="35" t="s">
        <v>485</v>
      </c>
      <c r="FQ28" s="35" t="s">
        <v>418</v>
      </c>
      <c r="FR28" s="35" t="s">
        <v>1039</v>
      </c>
      <c r="FS28" s="35" t="s">
        <v>2049</v>
      </c>
      <c r="FT28" s="35" t="s">
        <v>420</v>
      </c>
      <c r="FU28" s="35" t="s">
        <v>488</v>
      </c>
      <c r="FV28" s="35" t="s">
        <v>585</v>
      </c>
      <c r="FW28" s="35" t="s">
        <v>490</v>
      </c>
      <c r="FX28" s="35" t="s">
        <v>491</v>
      </c>
      <c r="FY28" s="35" t="s">
        <v>2050</v>
      </c>
      <c r="FZ28" s="35" t="s">
        <v>493</v>
      </c>
      <c r="GA28" s="35" t="s">
        <v>2051</v>
      </c>
      <c r="GC28" s="35" t="s">
        <v>455</v>
      </c>
      <c r="GD28" s="35" t="s">
        <v>11770</v>
      </c>
      <c r="GF28" s="35" t="s">
        <v>855</v>
      </c>
      <c r="GG28" s="35" t="s">
        <v>2052</v>
      </c>
      <c r="GH28" s="35" t="s">
        <v>755</v>
      </c>
      <c r="GI28" s="35" t="s">
        <v>755</v>
      </c>
      <c r="GJ28" s="35" t="s">
        <v>946</v>
      </c>
      <c r="GN28" s="35" t="s">
        <v>1079</v>
      </c>
    </row>
    <row r="29">
      <c r="A29" s="40"/>
      <c r="B29" s="40">
        <v>45827.86729285879</v>
      </c>
      <c r="C29" s="35" t="s">
        <v>368</v>
      </c>
      <c r="D29" s="35" t="s">
        <v>370</v>
      </c>
      <c r="F29" s="35" t="s">
        <v>1001</v>
      </c>
      <c r="H29" s="35" t="s">
        <v>422</v>
      </c>
      <c r="I29" s="35" t="s">
        <v>373</v>
      </c>
      <c r="J29" s="35" t="s">
        <v>374</v>
      </c>
      <c r="K29" s="35" t="s">
        <v>375</v>
      </c>
      <c r="L29" s="35" t="s">
        <v>376</v>
      </c>
      <c r="M29" s="35" t="s">
        <v>591</v>
      </c>
      <c r="N29" s="35" t="s">
        <v>860</v>
      </c>
      <c r="O29" s="35" t="s">
        <v>591</v>
      </c>
      <c r="P29" s="35" t="s">
        <v>2053</v>
      </c>
      <c r="Q29" s="35" t="s">
        <v>498</v>
      </c>
      <c r="R29" s="35" t="s">
        <v>1004</v>
      </c>
      <c r="S29" s="35" t="s">
        <v>2054</v>
      </c>
      <c r="T29" s="35" t="s">
        <v>384</v>
      </c>
      <c r="U29" s="35" t="s">
        <v>385</v>
      </c>
      <c r="X29" s="35" t="s">
        <v>386</v>
      </c>
      <c r="Y29" s="35" t="s">
        <v>1706</v>
      </c>
      <c r="AD29" s="35" t="s">
        <v>2055</v>
      </c>
      <c r="AE29" s="35" t="s">
        <v>1938</v>
      </c>
      <c r="AF29" s="35" t="s">
        <v>455</v>
      </c>
      <c r="AG29" s="35" t="s">
        <v>2056</v>
      </c>
      <c r="AH29" s="41">
        <v>1.0</v>
      </c>
      <c r="AI29" s="35" t="s">
        <v>1639</v>
      </c>
      <c r="AJ29" s="35" t="s">
        <v>2057</v>
      </c>
      <c r="AK29" s="35" t="s">
        <v>2058</v>
      </c>
      <c r="AL29" s="35" t="s">
        <v>396</v>
      </c>
      <c r="AW29" s="35" t="s">
        <v>1310</v>
      </c>
      <c r="AX29" s="41">
        <v>4.0</v>
      </c>
      <c r="AY29" s="35" t="s">
        <v>391</v>
      </c>
      <c r="AZ29" s="35" t="s">
        <v>675</v>
      </c>
      <c r="BA29" s="41">
        <v>4.0</v>
      </c>
      <c r="BB29" s="35" t="s">
        <v>675</v>
      </c>
      <c r="BC29" s="41">
        <v>4.0</v>
      </c>
      <c r="BD29" s="35" t="s">
        <v>2059</v>
      </c>
      <c r="BE29" s="35" t="s">
        <v>2060</v>
      </c>
      <c r="BF29" s="35" t="s">
        <v>432</v>
      </c>
      <c r="BG29" s="35" t="s">
        <v>393</v>
      </c>
      <c r="BH29" s="35" t="s">
        <v>394</v>
      </c>
      <c r="BI29" s="35" t="s">
        <v>2061</v>
      </c>
      <c r="BJ29" s="35" t="s">
        <v>824</v>
      </c>
      <c r="BK29" s="35" t="s">
        <v>1211</v>
      </c>
      <c r="BL29" s="35" t="s">
        <v>395</v>
      </c>
      <c r="BM29" s="35" t="s">
        <v>904</v>
      </c>
      <c r="BN29" s="35" t="s">
        <v>1247</v>
      </c>
      <c r="BO29" s="35" t="s">
        <v>440</v>
      </c>
      <c r="CM29" s="35" t="s">
        <v>441</v>
      </c>
      <c r="CN29" s="35" t="s">
        <v>604</v>
      </c>
      <c r="CO29" s="35" t="s">
        <v>2062</v>
      </c>
      <c r="CP29" s="35" t="s">
        <v>2063</v>
      </c>
      <c r="CQ29" s="35" t="s">
        <v>445</v>
      </c>
      <c r="CR29" s="35" t="s">
        <v>2064</v>
      </c>
      <c r="CS29" s="35" t="s">
        <v>447</v>
      </c>
      <c r="CT29" s="35" t="s">
        <v>1147</v>
      </c>
      <c r="CU29" s="35" t="s">
        <v>2065</v>
      </c>
      <c r="CV29" s="35" t="s">
        <v>1863</v>
      </c>
      <c r="CW29" s="35" t="s">
        <v>451</v>
      </c>
      <c r="CX29" s="35" t="s">
        <v>2066</v>
      </c>
      <c r="CY29" s="35" t="s">
        <v>408</v>
      </c>
      <c r="CZ29" s="35" t="s">
        <v>1211</v>
      </c>
      <c r="DA29" s="35" t="s">
        <v>1398</v>
      </c>
      <c r="DB29" s="35" t="s">
        <v>2067</v>
      </c>
      <c r="DC29" s="35" t="s">
        <v>408</v>
      </c>
      <c r="DD29" s="35" t="s">
        <v>1211</v>
      </c>
      <c r="DE29" s="35" t="s">
        <v>988</v>
      </c>
      <c r="DF29" s="35" t="s">
        <v>407</v>
      </c>
      <c r="DG29" s="35" t="s">
        <v>2068</v>
      </c>
      <c r="DH29" s="35" t="s">
        <v>524</v>
      </c>
      <c r="DI29" s="35" t="s">
        <v>410</v>
      </c>
      <c r="DJ29" s="35" t="s">
        <v>459</v>
      </c>
      <c r="DK29" s="35" t="s">
        <v>613</v>
      </c>
      <c r="DN29" s="35" t="s">
        <v>2069</v>
      </c>
      <c r="DO29" s="35" t="s">
        <v>2070</v>
      </c>
      <c r="DP29" s="35" t="s">
        <v>464</v>
      </c>
      <c r="DQ29" s="35" t="s">
        <v>2071</v>
      </c>
      <c r="DR29" s="35" t="s">
        <v>1324</v>
      </c>
      <c r="DS29" s="35" t="s">
        <v>2072</v>
      </c>
      <c r="DU29" s="35" t="s">
        <v>1580</v>
      </c>
      <c r="DV29" s="35" t="s">
        <v>2073</v>
      </c>
      <c r="DW29" s="35" t="s">
        <v>2074</v>
      </c>
      <c r="DX29" s="35" t="s">
        <v>1328</v>
      </c>
      <c r="DY29" s="35" t="s">
        <v>2075</v>
      </c>
      <c r="DZ29" s="35" t="s">
        <v>2076</v>
      </c>
      <c r="EA29" s="35" t="s">
        <v>2077</v>
      </c>
      <c r="EB29" s="35" t="s">
        <v>1413</v>
      </c>
      <c r="EC29" s="35" t="s">
        <v>626</v>
      </c>
      <c r="ED29" s="35" t="s">
        <v>2078</v>
      </c>
      <c r="EU29" s="35" t="s">
        <v>478</v>
      </c>
      <c r="EV29" s="35" t="s">
        <v>479</v>
      </c>
      <c r="EW29" s="35" t="s">
        <v>1534</v>
      </c>
      <c r="EX29" s="35" t="s">
        <v>2079</v>
      </c>
      <c r="EY29" s="35" t="s">
        <v>11771</v>
      </c>
      <c r="EZ29" s="35" t="s">
        <v>2081</v>
      </c>
      <c r="FA29" s="35" t="s">
        <v>414</v>
      </c>
      <c r="FB29" s="35" t="s">
        <v>583</v>
      </c>
      <c r="FC29" s="35" t="s">
        <v>413</v>
      </c>
      <c r="FD29" s="35" t="s">
        <v>414</v>
      </c>
      <c r="FE29" s="35" t="s">
        <v>416</v>
      </c>
      <c r="FF29" s="35" t="s">
        <v>583</v>
      </c>
      <c r="FG29" s="35" t="s">
        <v>415</v>
      </c>
      <c r="FH29" s="35" t="s">
        <v>413</v>
      </c>
      <c r="FI29" s="35" t="s">
        <v>583</v>
      </c>
      <c r="FJ29" s="35" t="s">
        <v>583</v>
      </c>
      <c r="FK29" s="35" t="s">
        <v>414</v>
      </c>
      <c r="FL29" s="35" t="s">
        <v>415</v>
      </c>
      <c r="FM29" s="35" t="s">
        <v>415</v>
      </c>
      <c r="FN29" s="35" t="s">
        <v>416</v>
      </c>
      <c r="FO29" s="35" t="s">
        <v>414</v>
      </c>
      <c r="FP29" s="35" t="s">
        <v>485</v>
      </c>
      <c r="FQ29" s="35" t="s">
        <v>418</v>
      </c>
      <c r="FR29" s="35" t="s">
        <v>712</v>
      </c>
      <c r="FS29" s="35" t="s">
        <v>2082</v>
      </c>
      <c r="FT29" s="35" t="s">
        <v>420</v>
      </c>
      <c r="FU29" s="35" t="s">
        <v>1462</v>
      </c>
      <c r="FV29" s="35" t="s">
        <v>489</v>
      </c>
      <c r="FW29" s="35" t="s">
        <v>490</v>
      </c>
      <c r="FX29" s="35" t="s">
        <v>491</v>
      </c>
      <c r="FY29" s="35" t="s">
        <v>2083</v>
      </c>
      <c r="FZ29" s="35" t="s">
        <v>535</v>
      </c>
      <c r="GA29" s="35" t="s">
        <v>2084</v>
      </c>
      <c r="GB29" s="35" t="s">
        <v>2085</v>
      </c>
      <c r="GC29" s="35" t="s">
        <v>455</v>
      </c>
      <c r="GE29" s="35" t="s">
        <v>2086</v>
      </c>
      <c r="GF29" s="35" t="s">
        <v>1339</v>
      </c>
      <c r="GG29" s="35" t="s">
        <v>2087</v>
      </c>
      <c r="GH29" s="35" t="s">
        <v>1000</v>
      </c>
      <c r="GI29" s="35" t="s">
        <v>1000</v>
      </c>
      <c r="GJ29" s="35" t="s">
        <v>946</v>
      </c>
      <c r="GN29" s="35" t="s">
        <v>1079</v>
      </c>
    </row>
    <row r="30">
      <c r="A30" s="40"/>
      <c r="B30" s="40">
        <v>45828.01005491898</v>
      </c>
      <c r="C30" s="35" t="s">
        <v>368</v>
      </c>
      <c r="D30" s="35" t="s">
        <v>370</v>
      </c>
      <c r="F30" s="35" t="s">
        <v>2294</v>
      </c>
      <c r="H30" s="35" t="s">
        <v>2295</v>
      </c>
      <c r="I30" s="35" t="s">
        <v>373</v>
      </c>
      <c r="J30" s="35" t="s">
        <v>638</v>
      </c>
      <c r="K30" s="35" t="s">
        <v>425</v>
      </c>
      <c r="L30" s="35" t="s">
        <v>376</v>
      </c>
      <c r="M30" s="35" t="s">
        <v>591</v>
      </c>
      <c r="N30" s="35" t="s">
        <v>860</v>
      </c>
      <c r="O30" s="35" t="s">
        <v>426</v>
      </c>
      <c r="P30" s="35" t="s">
        <v>497</v>
      </c>
      <c r="Q30" s="35" t="s">
        <v>498</v>
      </c>
      <c r="R30" s="35" t="s">
        <v>499</v>
      </c>
      <c r="S30" s="35" t="s">
        <v>427</v>
      </c>
      <c r="T30" s="35" t="s">
        <v>384</v>
      </c>
      <c r="U30" s="35" t="s">
        <v>385</v>
      </c>
      <c r="X30" s="35" t="s">
        <v>386</v>
      </c>
      <c r="Y30" s="35" t="s">
        <v>387</v>
      </c>
      <c r="Z30" s="35" t="s">
        <v>897</v>
      </c>
      <c r="AA30" s="35" t="s">
        <v>502</v>
      </c>
      <c r="AB30" s="35" t="s">
        <v>408</v>
      </c>
      <c r="AC30" s="35" t="s">
        <v>11772</v>
      </c>
      <c r="AW30" s="35" t="s">
        <v>390</v>
      </c>
      <c r="AX30" s="35" t="s">
        <v>391</v>
      </c>
      <c r="AY30" s="35" t="s">
        <v>391</v>
      </c>
      <c r="AZ30" s="35" t="s">
        <v>391</v>
      </c>
      <c r="BA30" s="35" t="s">
        <v>429</v>
      </c>
      <c r="BB30" s="35" t="s">
        <v>391</v>
      </c>
      <c r="BC30" s="41">
        <v>2.0</v>
      </c>
      <c r="BD30" s="35" t="s">
        <v>11773</v>
      </c>
      <c r="BE30" s="35" t="s">
        <v>11774</v>
      </c>
      <c r="BF30" s="35" t="s">
        <v>432</v>
      </c>
      <c r="BG30" s="35" t="s">
        <v>433</v>
      </c>
      <c r="BH30" s="35" t="s">
        <v>678</v>
      </c>
      <c r="BJ30" s="35" t="s">
        <v>976</v>
      </c>
      <c r="BL30" s="35" t="s">
        <v>681</v>
      </c>
      <c r="BM30" s="35" t="s">
        <v>396</v>
      </c>
      <c r="BN30" s="35" t="s">
        <v>397</v>
      </c>
      <c r="BO30" s="35" t="s">
        <v>440</v>
      </c>
      <c r="DJ30" s="35" t="s">
        <v>777</v>
      </c>
      <c r="DK30" s="35" t="s">
        <v>613</v>
      </c>
      <c r="DN30" s="35" t="s">
        <v>2299</v>
      </c>
      <c r="DO30" s="35" t="s">
        <v>2300</v>
      </c>
      <c r="DP30" s="35" t="s">
        <v>567</v>
      </c>
      <c r="DQ30" s="35" t="s">
        <v>2301</v>
      </c>
      <c r="DR30" s="35" t="s">
        <v>1152</v>
      </c>
      <c r="DT30" s="35" t="s">
        <v>702</v>
      </c>
      <c r="DV30" s="35" t="s">
        <v>11775</v>
      </c>
      <c r="DW30" s="35" t="s">
        <v>11776</v>
      </c>
      <c r="DX30" s="35" t="s">
        <v>573</v>
      </c>
      <c r="DY30" s="35" t="s">
        <v>2304</v>
      </c>
      <c r="DZ30" s="35" t="s">
        <v>11777</v>
      </c>
      <c r="EA30" s="35" t="s">
        <v>11778</v>
      </c>
      <c r="EB30" s="35" t="s">
        <v>1413</v>
      </c>
      <c r="EC30" s="35" t="s">
        <v>845</v>
      </c>
      <c r="EU30" s="35" t="s">
        <v>526</v>
      </c>
      <c r="EV30" s="35" t="s">
        <v>887</v>
      </c>
      <c r="EW30" s="35" t="s">
        <v>580</v>
      </c>
      <c r="EX30" s="35" t="s">
        <v>11779</v>
      </c>
      <c r="FA30" s="35" t="s">
        <v>413</v>
      </c>
      <c r="FB30" s="35" t="s">
        <v>413</v>
      </c>
      <c r="FC30" s="35" t="s">
        <v>413</v>
      </c>
      <c r="FD30" s="35" t="s">
        <v>413</v>
      </c>
      <c r="FE30" s="35" t="s">
        <v>413</v>
      </c>
      <c r="FF30" s="35" t="s">
        <v>413</v>
      </c>
      <c r="FG30" s="35" t="s">
        <v>413</v>
      </c>
      <c r="FH30" s="35" t="s">
        <v>413</v>
      </c>
      <c r="FI30" s="35" t="s">
        <v>413</v>
      </c>
      <c r="FJ30" s="35" t="s">
        <v>583</v>
      </c>
      <c r="FK30" s="35" t="s">
        <v>415</v>
      </c>
      <c r="FL30" s="35" t="s">
        <v>413</v>
      </c>
      <c r="FM30" s="35" t="s">
        <v>413</v>
      </c>
      <c r="FN30" s="35" t="s">
        <v>415</v>
      </c>
      <c r="FO30" s="35" t="s">
        <v>415</v>
      </c>
      <c r="FP30" s="35" t="s">
        <v>485</v>
      </c>
      <c r="FQ30" s="35" t="s">
        <v>486</v>
      </c>
      <c r="FR30" s="35" t="s">
        <v>712</v>
      </c>
      <c r="FS30" s="35" t="s">
        <v>11780</v>
      </c>
      <c r="FT30" s="35" t="s">
        <v>420</v>
      </c>
      <c r="FU30" s="35" t="s">
        <v>488</v>
      </c>
      <c r="FV30" s="35" t="s">
        <v>489</v>
      </c>
      <c r="FW30" s="35" t="s">
        <v>490</v>
      </c>
      <c r="FX30" s="35" t="s">
        <v>491</v>
      </c>
      <c r="FY30" s="35" t="s">
        <v>11781</v>
      </c>
      <c r="FZ30" s="35" t="s">
        <v>493</v>
      </c>
      <c r="GA30" s="35" t="s">
        <v>11782</v>
      </c>
      <c r="GB30" s="35" t="s">
        <v>11783</v>
      </c>
      <c r="GC30" s="35" t="s">
        <v>455</v>
      </c>
      <c r="GD30" s="35" t="s">
        <v>11784</v>
      </c>
      <c r="GF30" s="35" t="s">
        <v>786</v>
      </c>
      <c r="GG30" s="35" t="s">
        <v>10504</v>
      </c>
      <c r="GN30" s="35" t="s">
        <v>2312</v>
      </c>
    </row>
    <row r="31">
      <c r="A31" s="40"/>
      <c r="B31" s="40">
        <v>45828.35833436342</v>
      </c>
      <c r="C31" s="35" t="s">
        <v>368</v>
      </c>
      <c r="D31" s="35" t="s">
        <v>370</v>
      </c>
      <c r="F31" s="35" t="s">
        <v>2559</v>
      </c>
      <c r="H31" s="35" t="s">
        <v>422</v>
      </c>
      <c r="I31" s="35" t="s">
        <v>496</v>
      </c>
      <c r="J31" s="35" t="s">
        <v>374</v>
      </c>
      <c r="K31" s="35" t="s">
        <v>425</v>
      </c>
      <c r="L31" s="35" t="s">
        <v>2560</v>
      </c>
      <c r="M31" s="35" t="s">
        <v>793</v>
      </c>
      <c r="N31" s="35" t="s">
        <v>860</v>
      </c>
      <c r="O31" s="35" t="s">
        <v>591</v>
      </c>
      <c r="P31" s="35" t="s">
        <v>541</v>
      </c>
      <c r="Q31" s="35" t="s">
        <v>498</v>
      </c>
      <c r="R31" s="35" t="s">
        <v>499</v>
      </c>
      <c r="S31" s="35" t="s">
        <v>949</v>
      </c>
      <c r="T31" s="35" t="s">
        <v>384</v>
      </c>
      <c r="U31" s="35" t="s">
        <v>385</v>
      </c>
      <c r="X31" s="35" t="s">
        <v>593</v>
      </c>
      <c r="Y31" s="35" t="s">
        <v>387</v>
      </c>
      <c r="Z31" s="35" t="s">
        <v>388</v>
      </c>
      <c r="AA31" s="35" t="s">
        <v>502</v>
      </c>
      <c r="AB31" s="35" t="s">
        <v>408</v>
      </c>
      <c r="AW31" s="35" t="s">
        <v>597</v>
      </c>
      <c r="AX31" s="35" t="s">
        <v>391</v>
      </c>
      <c r="AY31" s="41">
        <v>2.0</v>
      </c>
      <c r="AZ31" s="35" t="s">
        <v>391</v>
      </c>
      <c r="BA31" s="41">
        <v>2.0</v>
      </c>
      <c r="BB31" s="35" t="s">
        <v>391</v>
      </c>
      <c r="BC31" s="41">
        <v>2.0</v>
      </c>
      <c r="BD31" s="35" t="s">
        <v>2561</v>
      </c>
      <c r="BE31" s="35" t="s">
        <v>2562</v>
      </c>
      <c r="BF31" s="35" t="s">
        <v>2259</v>
      </c>
      <c r="BG31" s="35" t="s">
        <v>1047</v>
      </c>
      <c r="BH31" s="35" t="s">
        <v>725</v>
      </c>
      <c r="BJ31" s="35" t="s">
        <v>435</v>
      </c>
      <c r="BL31" s="35" t="s">
        <v>437</v>
      </c>
      <c r="BM31" s="35" t="s">
        <v>438</v>
      </c>
      <c r="BN31" s="35" t="s">
        <v>549</v>
      </c>
      <c r="BO31" s="35" t="s">
        <v>440</v>
      </c>
      <c r="CM31" s="35" t="s">
        <v>550</v>
      </c>
      <c r="CN31" s="35" t="s">
        <v>604</v>
      </c>
      <c r="CO31" s="35" t="s">
        <v>552</v>
      </c>
      <c r="CQ31" s="35" t="s">
        <v>403</v>
      </c>
      <c r="CR31" s="35" t="s">
        <v>2563</v>
      </c>
      <c r="CS31" s="35" t="s">
        <v>447</v>
      </c>
      <c r="CT31" s="35" t="s">
        <v>2564</v>
      </c>
      <c r="CU31" s="35" t="s">
        <v>2565</v>
      </c>
      <c r="CV31" s="35" t="s">
        <v>450</v>
      </c>
      <c r="CW31" s="35" t="s">
        <v>451</v>
      </c>
      <c r="CX31" s="35" t="s">
        <v>11785</v>
      </c>
      <c r="CY31" s="35" t="s">
        <v>408</v>
      </c>
      <c r="DA31" s="35" t="s">
        <v>985</v>
      </c>
      <c r="DB31" s="35" t="s">
        <v>11786</v>
      </c>
      <c r="DC31" s="35" t="s">
        <v>408</v>
      </c>
      <c r="DE31" s="35" t="s">
        <v>406</v>
      </c>
      <c r="DF31" s="35" t="s">
        <v>407</v>
      </c>
      <c r="DH31" s="35" t="s">
        <v>524</v>
      </c>
      <c r="DI31" s="35" t="s">
        <v>833</v>
      </c>
      <c r="DJ31" s="35" t="s">
        <v>777</v>
      </c>
      <c r="DK31" s="35" t="s">
        <v>613</v>
      </c>
      <c r="DN31" s="35" t="s">
        <v>2568</v>
      </c>
      <c r="DO31" s="35" t="s">
        <v>2569</v>
      </c>
      <c r="DP31" s="35" t="s">
        <v>464</v>
      </c>
      <c r="DQ31" s="35" t="s">
        <v>11787</v>
      </c>
      <c r="DR31" s="35" t="s">
        <v>1553</v>
      </c>
      <c r="DS31" s="35" t="s">
        <v>408</v>
      </c>
      <c r="DT31" s="35" t="s">
        <v>839</v>
      </c>
      <c r="DU31" s="35" t="s">
        <v>740</v>
      </c>
      <c r="DV31" s="35" t="s">
        <v>2571</v>
      </c>
      <c r="DW31" s="35" t="s">
        <v>2572</v>
      </c>
      <c r="DX31" s="35" t="s">
        <v>396</v>
      </c>
      <c r="DY31" s="35" t="s">
        <v>11788</v>
      </c>
      <c r="DZ31" s="35" t="s">
        <v>11789</v>
      </c>
      <c r="EB31" s="35" t="s">
        <v>1413</v>
      </c>
      <c r="EC31" s="35" t="s">
        <v>845</v>
      </c>
      <c r="EU31" s="35" t="s">
        <v>578</v>
      </c>
      <c r="EV31" s="35" t="s">
        <v>1127</v>
      </c>
      <c r="EW31" s="35" t="s">
        <v>1262</v>
      </c>
      <c r="EY31" s="35" t="s">
        <v>11790</v>
      </c>
      <c r="EZ31" s="35" t="s">
        <v>11791</v>
      </c>
      <c r="FA31" s="35" t="s">
        <v>416</v>
      </c>
      <c r="FB31" s="35" t="s">
        <v>415</v>
      </c>
      <c r="FC31" s="35" t="s">
        <v>413</v>
      </c>
      <c r="FD31" s="35" t="s">
        <v>414</v>
      </c>
      <c r="FE31" s="35" t="s">
        <v>415</v>
      </c>
      <c r="FF31" s="35" t="s">
        <v>583</v>
      </c>
      <c r="FG31" s="35" t="s">
        <v>583</v>
      </c>
      <c r="FH31" s="35" t="s">
        <v>413</v>
      </c>
      <c r="FI31" s="35" t="s">
        <v>415</v>
      </c>
      <c r="FJ31" s="35" t="s">
        <v>583</v>
      </c>
      <c r="FK31" s="35" t="s">
        <v>415</v>
      </c>
      <c r="FL31" s="35" t="s">
        <v>414</v>
      </c>
      <c r="FM31" s="35" t="s">
        <v>414</v>
      </c>
      <c r="FN31" s="35" t="s">
        <v>413</v>
      </c>
      <c r="FO31" s="35" t="s">
        <v>415</v>
      </c>
      <c r="FP31" s="35" t="s">
        <v>850</v>
      </c>
      <c r="FQ31" s="35" t="s">
        <v>486</v>
      </c>
      <c r="FR31" s="35" t="s">
        <v>419</v>
      </c>
      <c r="FS31" s="35" t="s">
        <v>11252</v>
      </c>
      <c r="FT31" s="35" t="s">
        <v>420</v>
      </c>
      <c r="FU31" s="35" t="s">
        <v>488</v>
      </c>
      <c r="FV31" s="35" t="s">
        <v>489</v>
      </c>
      <c r="FW31" s="35" t="s">
        <v>490</v>
      </c>
      <c r="FX31" s="35" t="s">
        <v>491</v>
      </c>
      <c r="FZ31" s="35" t="s">
        <v>535</v>
      </c>
      <c r="GC31" s="35" t="s">
        <v>455</v>
      </c>
      <c r="GD31" s="35" t="s">
        <v>11792</v>
      </c>
      <c r="GE31" s="35" t="s">
        <v>11793</v>
      </c>
      <c r="GF31" s="35" t="s">
        <v>944</v>
      </c>
      <c r="GH31" s="35" t="s">
        <v>1000</v>
      </c>
      <c r="GI31" s="35" t="s">
        <v>1000</v>
      </c>
      <c r="GJ31" s="35" t="s">
        <v>756</v>
      </c>
      <c r="GN31" s="35" t="s">
        <v>1079</v>
      </c>
    </row>
    <row r="32">
      <c r="A32" s="40"/>
      <c r="B32" s="40">
        <v>45828.4853855324</v>
      </c>
      <c r="C32" s="35" t="s">
        <v>368</v>
      </c>
      <c r="D32" s="35" t="s">
        <v>370</v>
      </c>
      <c r="F32" s="35" t="s">
        <v>371</v>
      </c>
      <c r="H32" s="35" t="s">
        <v>372</v>
      </c>
      <c r="I32" s="35" t="s">
        <v>373</v>
      </c>
      <c r="J32" s="35" t="s">
        <v>374</v>
      </c>
      <c r="K32" s="35" t="s">
        <v>718</v>
      </c>
      <c r="L32" s="35" t="s">
        <v>376</v>
      </c>
      <c r="M32" s="35" t="s">
        <v>426</v>
      </c>
      <c r="N32" s="35" t="s">
        <v>639</v>
      </c>
      <c r="O32" s="35" t="s">
        <v>591</v>
      </c>
      <c r="P32" s="35" t="s">
        <v>639</v>
      </c>
      <c r="Q32" s="35" t="s">
        <v>381</v>
      </c>
      <c r="R32" s="35" t="s">
        <v>382</v>
      </c>
      <c r="S32" s="35" t="s">
        <v>11794</v>
      </c>
      <c r="T32" s="35" t="s">
        <v>1443</v>
      </c>
      <c r="U32" s="35" t="s">
        <v>385</v>
      </c>
      <c r="X32" s="35" t="s">
        <v>760</v>
      </c>
      <c r="Y32" s="35" t="s">
        <v>387</v>
      </c>
      <c r="Z32" s="35" t="s">
        <v>594</v>
      </c>
      <c r="AA32" s="35" t="s">
        <v>543</v>
      </c>
      <c r="AB32" s="35" t="s">
        <v>2675</v>
      </c>
      <c r="AC32" s="35" t="s">
        <v>11795</v>
      </c>
      <c r="AW32" s="35" t="s">
        <v>597</v>
      </c>
      <c r="AX32" s="35" t="s">
        <v>391</v>
      </c>
      <c r="AY32" s="35" t="s">
        <v>391</v>
      </c>
      <c r="AZ32" s="35" t="s">
        <v>391</v>
      </c>
      <c r="BA32" s="35" t="s">
        <v>391</v>
      </c>
      <c r="BB32" s="35" t="s">
        <v>391</v>
      </c>
      <c r="BC32" s="35" t="s">
        <v>391</v>
      </c>
      <c r="BD32" s="35" t="s">
        <v>11796</v>
      </c>
      <c r="BE32" s="35" t="s">
        <v>2678</v>
      </c>
      <c r="BF32" s="35" t="s">
        <v>2259</v>
      </c>
      <c r="BG32" s="35" t="s">
        <v>433</v>
      </c>
      <c r="BH32" s="35" t="s">
        <v>394</v>
      </c>
      <c r="BI32" s="35" t="s">
        <v>11797</v>
      </c>
      <c r="BJ32" s="35" t="s">
        <v>509</v>
      </c>
      <c r="BK32" s="35" t="s">
        <v>2680</v>
      </c>
      <c r="BL32" s="35" t="s">
        <v>602</v>
      </c>
      <c r="BM32" s="35" t="s">
        <v>438</v>
      </c>
      <c r="BN32" s="35" t="s">
        <v>549</v>
      </c>
      <c r="BO32" s="35" t="s">
        <v>440</v>
      </c>
      <c r="CM32" s="35" t="s">
        <v>441</v>
      </c>
      <c r="CN32" s="35" t="s">
        <v>401</v>
      </c>
      <c r="CO32" s="35" t="s">
        <v>2681</v>
      </c>
      <c r="CP32" s="35" t="s">
        <v>2682</v>
      </c>
      <c r="CQ32" s="35" t="s">
        <v>685</v>
      </c>
      <c r="CR32" s="35" t="s">
        <v>2683</v>
      </c>
      <c r="CS32" s="35" t="s">
        <v>447</v>
      </c>
      <c r="CT32" s="35" t="s">
        <v>2684</v>
      </c>
      <c r="CU32" s="35" t="s">
        <v>2685</v>
      </c>
      <c r="CV32" s="35" t="s">
        <v>450</v>
      </c>
      <c r="CW32" s="35" t="s">
        <v>451</v>
      </c>
      <c r="CX32" s="35" t="s">
        <v>11798</v>
      </c>
      <c r="CY32" s="35" t="s">
        <v>408</v>
      </c>
      <c r="DA32" s="35" t="s">
        <v>453</v>
      </c>
      <c r="DB32" s="35" t="s">
        <v>2687</v>
      </c>
      <c r="DC32" s="35" t="s">
        <v>455</v>
      </c>
      <c r="DD32" s="35" t="s">
        <v>11799</v>
      </c>
      <c r="DE32" s="35" t="s">
        <v>406</v>
      </c>
      <c r="DF32" s="35" t="s">
        <v>407</v>
      </c>
      <c r="DG32" s="35" t="s">
        <v>2689</v>
      </c>
      <c r="DH32" s="35" t="s">
        <v>524</v>
      </c>
      <c r="DI32" s="35" t="s">
        <v>410</v>
      </c>
      <c r="DJ32" s="35" t="s">
        <v>963</v>
      </c>
      <c r="DK32" s="35" t="s">
        <v>613</v>
      </c>
      <c r="DN32" s="35" t="s">
        <v>2690</v>
      </c>
      <c r="DO32" s="35" t="s">
        <v>2691</v>
      </c>
      <c r="DP32" s="35" t="s">
        <v>567</v>
      </c>
      <c r="DQ32" s="35" t="s">
        <v>11800</v>
      </c>
      <c r="DR32" s="35" t="s">
        <v>1553</v>
      </c>
      <c r="DS32" s="35" t="s">
        <v>11801</v>
      </c>
      <c r="DT32" s="35" t="s">
        <v>839</v>
      </c>
      <c r="DU32" s="35" t="s">
        <v>703</v>
      </c>
      <c r="DV32" s="35" t="s">
        <v>2694</v>
      </c>
      <c r="DW32" s="35" t="s">
        <v>2695</v>
      </c>
      <c r="DX32" s="35" t="s">
        <v>1328</v>
      </c>
      <c r="DY32" s="35" t="s">
        <v>11802</v>
      </c>
      <c r="DZ32" s="35" t="s">
        <v>11803</v>
      </c>
      <c r="EA32" s="35" t="s">
        <v>11804</v>
      </c>
      <c r="EB32" s="35" t="s">
        <v>475</v>
      </c>
      <c r="EC32" s="35" t="s">
        <v>626</v>
      </c>
      <c r="ED32" s="35" t="s">
        <v>11805</v>
      </c>
      <c r="EU32" s="35" t="s">
        <v>526</v>
      </c>
      <c r="EV32" s="35" t="s">
        <v>579</v>
      </c>
      <c r="EW32" s="35" t="s">
        <v>778</v>
      </c>
      <c r="EX32" s="35" t="s">
        <v>11806</v>
      </c>
      <c r="EY32" s="35" t="s">
        <v>2701</v>
      </c>
      <c r="EZ32" s="35" t="s">
        <v>2702</v>
      </c>
      <c r="FA32" s="35" t="s">
        <v>415</v>
      </c>
      <c r="FB32" s="35" t="s">
        <v>415</v>
      </c>
      <c r="FC32" s="35" t="s">
        <v>415</v>
      </c>
      <c r="FD32" s="35" t="s">
        <v>415</v>
      </c>
      <c r="FE32" s="35" t="s">
        <v>413</v>
      </c>
      <c r="FF32" s="35" t="s">
        <v>415</v>
      </c>
      <c r="FG32" s="35" t="s">
        <v>415</v>
      </c>
      <c r="FH32" s="35" t="s">
        <v>415</v>
      </c>
      <c r="FI32" s="35" t="s">
        <v>415</v>
      </c>
      <c r="FJ32" s="35" t="s">
        <v>415</v>
      </c>
      <c r="FK32" s="35" t="s">
        <v>414</v>
      </c>
      <c r="FL32" s="35" t="s">
        <v>415</v>
      </c>
      <c r="FM32" s="35" t="s">
        <v>414</v>
      </c>
      <c r="FN32" s="35" t="s">
        <v>415</v>
      </c>
      <c r="FO32" s="35" t="s">
        <v>415</v>
      </c>
      <c r="FP32" s="35" t="s">
        <v>417</v>
      </c>
      <c r="FQ32" s="35" t="s">
        <v>418</v>
      </c>
      <c r="FR32" s="35" t="s">
        <v>749</v>
      </c>
      <c r="FS32" s="35" t="s">
        <v>2703</v>
      </c>
      <c r="FT32" s="35" t="s">
        <v>420</v>
      </c>
      <c r="FU32" s="35" t="s">
        <v>488</v>
      </c>
      <c r="FV32" s="35" t="s">
        <v>918</v>
      </c>
      <c r="FW32" s="35" t="s">
        <v>490</v>
      </c>
      <c r="FX32" s="35" t="s">
        <v>491</v>
      </c>
      <c r="FY32" s="35" t="s">
        <v>11807</v>
      </c>
      <c r="FZ32" s="35" t="s">
        <v>535</v>
      </c>
      <c r="GA32" s="35" t="s">
        <v>2705</v>
      </c>
      <c r="GB32" s="35" t="s">
        <v>2706</v>
      </c>
      <c r="GC32" s="35" t="s">
        <v>455</v>
      </c>
      <c r="GD32" s="35" t="s">
        <v>11808</v>
      </c>
      <c r="GE32" s="35" t="s">
        <v>11809</v>
      </c>
      <c r="GF32" s="35" t="s">
        <v>753</v>
      </c>
      <c r="GG32" s="35" t="s">
        <v>2707</v>
      </c>
      <c r="GH32" s="35" t="s">
        <v>857</v>
      </c>
      <c r="GI32" s="35" t="s">
        <v>857</v>
      </c>
      <c r="GJ32" s="35" t="s">
        <v>817</v>
      </c>
      <c r="GN32" s="35" t="s">
        <v>1079</v>
      </c>
    </row>
    <row r="33">
      <c r="A33" s="40"/>
      <c r="B33" s="40">
        <v>45828.78532109954</v>
      </c>
      <c r="C33" s="35" t="s">
        <v>368</v>
      </c>
      <c r="D33" s="35" t="s">
        <v>370</v>
      </c>
      <c r="F33" s="35" t="s">
        <v>1480</v>
      </c>
      <c r="H33" s="35" t="s">
        <v>422</v>
      </c>
      <c r="I33" s="35" t="s">
        <v>423</v>
      </c>
      <c r="J33" s="35" t="s">
        <v>668</v>
      </c>
      <c r="K33" s="35" t="s">
        <v>375</v>
      </c>
      <c r="L33" s="35" t="s">
        <v>376</v>
      </c>
      <c r="M33" s="35" t="s">
        <v>426</v>
      </c>
      <c r="N33" s="35" t="s">
        <v>2464</v>
      </c>
      <c r="O33" s="35" t="s">
        <v>426</v>
      </c>
      <c r="P33" s="35" t="s">
        <v>2464</v>
      </c>
      <c r="Q33" s="35" t="s">
        <v>381</v>
      </c>
      <c r="R33" s="35" t="s">
        <v>1156</v>
      </c>
      <c r="S33" s="35" t="s">
        <v>500</v>
      </c>
      <c r="T33" s="35" t="s">
        <v>384</v>
      </c>
      <c r="U33" s="35" t="s">
        <v>385</v>
      </c>
      <c r="X33" s="35" t="s">
        <v>428</v>
      </c>
      <c r="AW33" s="35" t="s">
        <v>1310</v>
      </c>
      <c r="AX33" s="35" t="s">
        <v>675</v>
      </c>
      <c r="AY33" s="35" t="s">
        <v>675</v>
      </c>
      <c r="AZ33" s="35" t="s">
        <v>675</v>
      </c>
      <c r="BA33" s="35" t="s">
        <v>675</v>
      </c>
      <c r="BB33" s="35" t="s">
        <v>675</v>
      </c>
      <c r="BC33" s="35" t="s">
        <v>675</v>
      </c>
      <c r="BD33" s="35" t="s">
        <v>11810</v>
      </c>
      <c r="BE33" s="35" t="s">
        <v>11811</v>
      </c>
      <c r="BF33" s="35" t="s">
        <v>432</v>
      </c>
      <c r="BG33" s="35" t="s">
        <v>1095</v>
      </c>
      <c r="BH33" s="35" t="s">
        <v>765</v>
      </c>
      <c r="BI33" s="35" t="s">
        <v>11812</v>
      </c>
      <c r="BJ33" s="35" t="s">
        <v>976</v>
      </c>
      <c r="BL33" s="35" t="s">
        <v>395</v>
      </c>
      <c r="BM33" s="35" t="s">
        <v>904</v>
      </c>
      <c r="BN33" s="35" t="s">
        <v>1247</v>
      </c>
      <c r="BO33" s="35" t="s">
        <v>440</v>
      </c>
      <c r="CM33" s="35" t="s">
        <v>441</v>
      </c>
      <c r="CN33" s="35" t="s">
        <v>604</v>
      </c>
      <c r="CO33" s="35" t="s">
        <v>11813</v>
      </c>
      <c r="CP33" s="35" t="s">
        <v>2882</v>
      </c>
      <c r="CQ33" s="35" t="s">
        <v>685</v>
      </c>
      <c r="CR33" s="35" t="s">
        <v>2883</v>
      </c>
      <c r="CS33" s="35" t="s">
        <v>447</v>
      </c>
      <c r="CT33" s="35" t="s">
        <v>687</v>
      </c>
      <c r="CU33" s="35" t="s">
        <v>2884</v>
      </c>
      <c r="CV33" s="35" t="s">
        <v>450</v>
      </c>
      <c r="CW33" s="35" t="s">
        <v>451</v>
      </c>
      <c r="CX33" s="35" t="s">
        <v>2885</v>
      </c>
      <c r="CY33" s="35" t="s">
        <v>455</v>
      </c>
      <c r="CZ33" s="35" t="s">
        <v>11814</v>
      </c>
      <c r="DA33" s="35" t="s">
        <v>453</v>
      </c>
      <c r="DB33" s="35" t="s">
        <v>11815</v>
      </c>
      <c r="DC33" s="35" t="s">
        <v>455</v>
      </c>
      <c r="DD33" s="35" t="s">
        <v>2888</v>
      </c>
      <c r="DE33" s="35" t="s">
        <v>988</v>
      </c>
      <c r="DG33" s="35" t="s">
        <v>11816</v>
      </c>
      <c r="DH33" s="35" t="s">
        <v>524</v>
      </c>
      <c r="DI33" s="35" t="s">
        <v>410</v>
      </c>
      <c r="DJ33" s="35" t="s">
        <v>459</v>
      </c>
      <c r="DK33" s="35" t="s">
        <v>460</v>
      </c>
      <c r="DL33" s="35" t="s">
        <v>461</v>
      </c>
      <c r="DN33" s="35" t="s">
        <v>2890</v>
      </c>
      <c r="DO33" s="35" t="s">
        <v>2891</v>
      </c>
      <c r="DP33" s="35" t="s">
        <v>1063</v>
      </c>
      <c r="DQ33" s="35" t="s">
        <v>11817</v>
      </c>
      <c r="DR33" s="35" t="s">
        <v>1578</v>
      </c>
      <c r="DS33" s="35" t="s">
        <v>2893</v>
      </c>
      <c r="DT33" s="35" t="s">
        <v>468</v>
      </c>
      <c r="DU33" s="35" t="s">
        <v>619</v>
      </c>
      <c r="DV33" s="35" t="s">
        <v>11818</v>
      </c>
      <c r="DW33" s="35" t="s">
        <v>11819</v>
      </c>
      <c r="DX33" s="35" t="s">
        <v>1328</v>
      </c>
      <c r="DY33" s="35" t="s">
        <v>2896</v>
      </c>
      <c r="DZ33" s="35" t="s">
        <v>2897</v>
      </c>
      <c r="EA33" s="35" t="s">
        <v>11820</v>
      </c>
      <c r="EB33" s="35" t="s">
        <v>475</v>
      </c>
      <c r="EC33" s="35" t="s">
        <v>845</v>
      </c>
      <c r="ED33" s="35" t="s">
        <v>11821</v>
      </c>
      <c r="EU33" s="35" t="s">
        <v>526</v>
      </c>
      <c r="EV33" s="35" t="s">
        <v>479</v>
      </c>
      <c r="EW33" s="35" t="s">
        <v>480</v>
      </c>
      <c r="EX33" s="35" t="s">
        <v>11822</v>
      </c>
      <c r="EY33" s="35" t="s">
        <v>2901</v>
      </c>
      <c r="EZ33" s="35" t="s">
        <v>2902</v>
      </c>
      <c r="FA33" s="35" t="s">
        <v>583</v>
      </c>
      <c r="FB33" s="35" t="s">
        <v>583</v>
      </c>
      <c r="FC33" s="35" t="s">
        <v>415</v>
      </c>
      <c r="FD33" s="35" t="s">
        <v>414</v>
      </c>
      <c r="FE33" s="35" t="s">
        <v>413</v>
      </c>
      <c r="FF33" s="35" t="s">
        <v>583</v>
      </c>
      <c r="FG33" s="35" t="s">
        <v>415</v>
      </c>
      <c r="FH33" s="35" t="s">
        <v>416</v>
      </c>
      <c r="FI33" s="35" t="s">
        <v>583</v>
      </c>
      <c r="FJ33" s="35" t="s">
        <v>583</v>
      </c>
      <c r="FK33" s="35" t="s">
        <v>583</v>
      </c>
      <c r="FL33" s="35" t="s">
        <v>484</v>
      </c>
      <c r="FM33" s="35" t="s">
        <v>484</v>
      </c>
      <c r="FN33" s="35" t="s">
        <v>484</v>
      </c>
      <c r="FO33" s="35" t="s">
        <v>484</v>
      </c>
      <c r="FP33" s="35" t="s">
        <v>417</v>
      </c>
      <c r="FQ33" s="35" t="s">
        <v>418</v>
      </c>
      <c r="FR33" s="35" t="s">
        <v>419</v>
      </c>
      <c r="FS33" s="35" t="s">
        <v>2903</v>
      </c>
      <c r="FT33" s="35" t="s">
        <v>420</v>
      </c>
      <c r="FU33" s="35" t="s">
        <v>488</v>
      </c>
      <c r="FV33" s="35" t="s">
        <v>585</v>
      </c>
      <c r="FW33" s="35" t="s">
        <v>490</v>
      </c>
      <c r="FX33" s="35" t="s">
        <v>491</v>
      </c>
      <c r="FY33" s="35" t="s">
        <v>11823</v>
      </c>
      <c r="FZ33" s="35" t="s">
        <v>535</v>
      </c>
      <c r="GA33" s="35" t="s">
        <v>2905</v>
      </c>
      <c r="GB33" s="35" t="s">
        <v>2906</v>
      </c>
      <c r="GC33" s="35" t="s">
        <v>455</v>
      </c>
      <c r="GD33" s="35" t="s">
        <v>11824</v>
      </c>
      <c r="GE33" s="35" t="s">
        <v>11825</v>
      </c>
      <c r="GF33" s="35" t="s">
        <v>1339</v>
      </c>
      <c r="GG33" s="35" t="s">
        <v>11826</v>
      </c>
      <c r="GH33" s="35" t="s">
        <v>755</v>
      </c>
      <c r="GI33" s="35" t="s">
        <v>755</v>
      </c>
      <c r="GJ33" s="35" t="s">
        <v>946</v>
      </c>
      <c r="GN33" s="35" t="s">
        <v>1079</v>
      </c>
    </row>
    <row r="34">
      <c r="A34" s="40"/>
      <c r="B34" s="40">
        <v>45828.92868631944</v>
      </c>
      <c r="C34" s="35" t="s">
        <v>368</v>
      </c>
      <c r="D34" s="35" t="s">
        <v>370</v>
      </c>
      <c r="F34" s="35" t="s">
        <v>1562</v>
      </c>
      <c r="H34" s="35" t="s">
        <v>422</v>
      </c>
      <c r="I34" s="35" t="s">
        <v>423</v>
      </c>
      <c r="J34" s="35" t="s">
        <v>424</v>
      </c>
      <c r="K34" s="35" t="s">
        <v>540</v>
      </c>
      <c r="L34" s="35" t="s">
        <v>376</v>
      </c>
      <c r="M34" s="35" t="s">
        <v>426</v>
      </c>
      <c r="N34" s="35" t="s">
        <v>541</v>
      </c>
      <c r="O34" s="35" t="s">
        <v>591</v>
      </c>
      <c r="P34" s="35" t="s">
        <v>671</v>
      </c>
      <c r="Q34" s="35" t="s">
        <v>498</v>
      </c>
      <c r="R34" s="35" t="s">
        <v>499</v>
      </c>
      <c r="S34" s="35" t="s">
        <v>427</v>
      </c>
      <c r="T34" s="35" t="s">
        <v>384</v>
      </c>
      <c r="U34" s="35" t="s">
        <v>385</v>
      </c>
      <c r="X34" s="35" t="s">
        <v>593</v>
      </c>
      <c r="Y34" s="35" t="s">
        <v>387</v>
      </c>
      <c r="Z34" s="35" t="s">
        <v>388</v>
      </c>
      <c r="AA34" s="35" t="s">
        <v>502</v>
      </c>
      <c r="AB34" s="35" t="s">
        <v>408</v>
      </c>
      <c r="AW34" s="35" t="s">
        <v>390</v>
      </c>
      <c r="AX34" s="35" t="s">
        <v>675</v>
      </c>
      <c r="AY34" s="35" t="s">
        <v>391</v>
      </c>
      <c r="AZ34" s="35" t="s">
        <v>391</v>
      </c>
      <c r="BA34" s="35" t="s">
        <v>391</v>
      </c>
      <c r="BB34" s="35" t="s">
        <v>391</v>
      </c>
      <c r="BC34" s="35" t="s">
        <v>391</v>
      </c>
      <c r="BH34" s="35" t="s">
        <v>678</v>
      </c>
      <c r="BJ34" s="35" t="s">
        <v>976</v>
      </c>
      <c r="BL34" s="35" t="s">
        <v>681</v>
      </c>
      <c r="BM34" s="35" t="s">
        <v>512</v>
      </c>
      <c r="BN34" s="35" t="s">
        <v>549</v>
      </c>
      <c r="BO34" s="35" t="s">
        <v>440</v>
      </c>
      <c r="CM34" s="35" t="s">
        <v>441</v>
      </c>
      <c r="CN34" s="35" t="s">
        <v>682</v>
      </c>
      <c r="CO34" s="35" t="s">
        <v>11827</v>
      </c>
      <c r="CP34" s="35" t="s">
        <v>2952</v>
      </c>
      <c r="CQ34" s="35" t="s">
        <v>685</v>
      </c>
      <c r="CR34" s="35" t="s">
        <v>1136</v>
      </c>
      <c r="CS34" s="35" t="s">
        <v>447</v>
      </c>
      <c r="CT34" s="35" t="s">
        <v>2520</v>
      </c>
      <c r="CV34" s="35" t="s">
        <v>450</v>
      </c>
      <c r="CY34" s="35" t="s">
        <v>408</v>
      </c>
      <c r="DA34" s="35" t="s">
        <v>453</v>
      </c>
      <c r="DC34" s="35" t="s">
        <v>455</v>
      </c>
      <c r="DD34" s="35" t="s">
        <v>2953</v>
      </c>
      <c r="DE34" s="35" t="s">
        <v>406</v>
      </c>
      <c r="DF34" s="35" t="s">
        <v>1368</v>
      </c>
      <c r="DG34" s="35" t="s">
        <v>2954</v>
      </c>
      <c r="DH34" s="35" t="s">
        <v>524</v>
      </c>
      <c r="DI34" s="35" t="s">
        <v>410</v>
      </c>
      <c r="DJ34" s="35" t="s">
        <v>459</v>
      </c>
      <c r="DK34" s="35" t="s">
        <v>460</v>
      </c>
      <c r="DL34" s="35" t="s">
        <v>461</v>
      </c>
      <c r="DN34" s="35" t="s">
        <v>2890</v>
      </c>
      <c r="DO34" s="35" t="s">
        <v>2955</v>
      </c>
      <c r="DP34" s="35" t="s">
        <v>2956</v>
      </c>
      <c r="DR34" s="35" t="s">
        <v>1578</v>
      </c>
      <c r="DT34" s="35" t="s">
        <v>468</v>
      </c>
      <c r="DU34" s="35" t="s">
        <v>740</v>
      </c>
      <c r="DX34" s="35" t="s">
        <v>622</v>
      </c>
      <c r="DY34" s="35" t="s">
        <v>2957</v>
      </c>
      <c r="DZ34" s="35" t="s">
        <v>11828</v>
      </c>
      <c r="EA34" s="35" t="s">
        <v>2959</v>
      </c>
      <c r="EB34" s="35" t="s">
        <v>2960</v>
      </c>
      <c r="EC34" s="35" t="s">
        <v>626</v>
      </c>
      <c r="ED34" s="35" t="s">
        <v>2961</v>
      </c>
      <c r="EU34" s="35" t="s">
        <v>526</v>
      </c>
      <c r="EV34" s="35" t="s">
        <v>479</v>
      </c>
      <c r="EW34" s="35" t="s">
        <v>663</v>
      </c>
      <c r="EY34" s="35" t="s">
        <v>2962</v>
      </c>
      <c r="EZ34" s="35" t="s">
        <v>2963</v>
      </c>
      <c r="FA34" s="35" t="s">
        <v>583</v>
      </c>
      <c r="FB34" s="35" t="s">
        <v>583</v>
      </c>
      <c r="FC34" s="35" t="s">
        <v>583</v>
      </c>
      <c r="FD34" s="35" t="s">
        <v>583</v>
      </c>
      <c r="FE34" s="35" t="s">
        <v>484</v>
      </c>
      <c r="FF34" s="35" t="s">
        <v>583</v>
      </c>
      <c r="FG34" s="35" t="s">
        <v>583</v>
      </c>
      <c r="FH34" s="35" t="s">
        <v>413</v>
      </c>
      <c r="FI34" s="35" t="s">
        <v>413</v>
      </c>
      <c r="FJ34" s="35" t="s">
        <v>583</v>
      </c>
      <c r="FK34" s="35" t="s">
        <v>583</v>
      </c>
      <c r="FM34" s="35" t="s">
        <v>583</v>
      </c>
      <c r="FN34" s="35" t="s">
        <v>413</v>
      </c>
      <c r="FO34" s="35" t="s">
        <v>583</v>
      </c>
      <c r="FP34" s="35" t="s">
        <v>417</v>
      </c>
      <c r="FQ34" s="35" t="s">
        <v>418</v>
      </c>
      <c r="FR34" s="35" t="s">
        <v>419</v>
      </c>
      <c r="FS34" s="35" t="s">
        <v>2964</v>
      </c>
      <c r="FT34" s="35" t="s">
        <v>420</v>
      </c>
      <c r="FU34" s="35" t="s">
        <v>488</v>
      </c>
      <c r="FV34" s="35" t="s">
        <v>533</v>
      </c>
      <c r="FW34" s="35" t="s">
        <v>490</v>
      </c>
      <c r="FX34" s="35" t="s">
        <v>491</v>
      </c>
      <c r="FY34" s="35" t="s">
        <v>2965</v>
      </c>
      <c r="FZ34" s="35" t="s">
        <v>535</v>
      </c>
      <c r="GC34" s="35" t="s">
        <v>408</v>
      </c>
      <c r="GH34" s="35" t="s">
        <v>755</v>
      </c>
      <c r="GI34" s="35" t="s">
        <v>755</v>
      </c>
      <c r="GJ34" s="35" t="s">
        <v>946</v>
      </c>
      <c r="GN34" s="35" t="s">
        <v>1079</v>
      </c>
    </row>
    <row r="35">
      <c r="A35" s="40"/>
      <c r="B35" s="40">
        <v>45829.310797962964</v>
      </c>
      <c r="C35" s="35" t="s">
        <v>368</v>
      </c>
      <c r="D35" s="35" t="s">
        <v>370</v>
      </c>
      <c r="F35" s="35" t="s">
        <v>1464</v>
      </c>
      <c r="H35" s="35" t="s">
        <v>422</v>
      </c>
      <c r="I35" s="35" t="s">
        <v>3045</v>
      </c>
      <c r="J35" s="35" t="s">
        <v>668</v>
      </c>
      <c r="K35" s="35" t="s">
        <v>425</v>
      </c>
      <c r="L35" s="35" t="s">
        <v>376</v>
      </c>
      <c r="M35" s="35" t="s">
        <v>591</v>
      </c>
      <c r="N35" s="35" t="s">
        <v>378</v>
      </c>
      <c r="O35" s="35" t="s">
        <v>591</v>
      </c>
      <c r="P35" s="35" t="s">
        <v>719</v>
      </c>
      <c r="Q35" s="35" t="s">
        <v>592</v>
      </c>
      <c r="R35" s="35" t="s">
        <v>1156</v>
      </c>
      <c r="S35" s="35" t="s">
        <v>427</v>
      </c>
      <c r="T35" s="35" t="s">
        <v>384</v>
      </c>
      <c r="U35" s="35" t="s">
        <v>385</v>
      </c>
      <c r="X35" s="35" t="s">
        <v>386</v>
      </c>
      <c r="Y35" s="35" t="s">
        <v>387</v>
      </c>
      <c r="Z35" s="35" t="s">
        <v>1824</v>
      </c>
      <c r="AA35" s="35" t="s">
        <v>543</v>
      </c>
      <c r="AB35" s="35" t="s">
        <v>3046</v>
      </c>
      <c r="AC35" s="35" t="s">
        <v>3047</v>
      </c>
      <c r="AW35" s="35" t="s">
        <v>1310</v>
      </c>
      <c r="AX35" s="35" t="s">
        <v>429</v>
      </c>
      <c r="AY35" s="35" t="s">
        <v>429</v>
      </c>
      <c r="AZ35" s="35" t="s">
        <v>429</v>
      </c>
      <c r="BA35" s="35" t="s">
        <v>675</v>
      </c>
      <c r="BB35" s="41">
        <v>4.0</v>
      </c>
      <c r="BC35" s="41">
        <v>4.0</v>
      </c>
      <c r="BD35" s="35" t="s">
        <v>3048</v>
      </c>
      <c r="BE35" s="35" t="s">
        <v>11829</v>
      </c>
      <c r="BF35" s="35" t="s">
        <v>1094</v>
      </c>
      <c r="BG35" s="35" t="s">
        <v>433</v>
      </c>
      <c r="BH35" s="35" t="s">
        <v>394</v>
      </c>
      <c r="BI35" s="35" t="s">
        <v>3050</v>
      </c>
      <c r="BJ35" s="35" t="s">
        <v>976</v>
      </c>
      <c r="BL35" s="35" t="s">
        <v>511</v>
      </c>
      <c r="BM35" s="35" t="s">
        <v>396</v>
      </c>
      <c r="BN35" s="35" t="s">
        <v>1247</v>
      </c>
      <c r="BO35" s="35" t="s">
        <v>440</v>
      </c>
      <c r="CM35" s="35" t="s">
        <v>441</v>
      </c>
      <c r="CN35" s="35" t="s">
        <v>604</v>
      </c>
      <c r="CO35" s="35" t="s">
        <v>3051</v>
      </c>
      <c r="CP35" s="35" t="s">
        <v>3052</v>
      </c>
      <c r="CQ35" s="35" t="s">
        <v>979</v>
      </c>
      <c r="CR35" s="35" t="s">
        <v>3053</v>
      </c>
      <c r="CS35" s="35" t="s">
        <v>404</v>
      </c>
      <c r="CT35" s="35" t="s">
        <v>3054</v>
      </c>
      <c r="CU35" s="35" t="s">
        <v>3055</v>
      </c>
      <c r="CV35" s="35" t="s">
        <v>519</v>
      </c>
      <c r="CW35" s="35" t="s">
        <v>451</v>
      </c>
      <c r="CX35" s="35" t="s">
        <v>3056</v>
      </c>
      <c r="CY35" s="35" t="s">
        <v>408</v>
      </c>
      <c r="DA35" s="35" t="s">
        <v>453</v>
      </c>
      <c r="DB35" s="35" t="s">
        <v>3057</v>
      </c>
      <c r="DC35" s="35" t="s">
        <v>408</v>
      </c>
      <c r="DE35" s="35" t="s">
        <v>988</v>
      </c>
      <c r="DG35" s="35" t="s">
        <v>3058</v>
      </c>
      <c r="DH35" s="35" t="s">
        <v>561</v>
      </c>
      <c r="DI35" s="35" t="s">
        <v>410</v>
      </c>
      <c r="DJ35" s="35" t="s">
        <v>459</v>
      </c>
      <c r="DK35" s="35" t="s">
        <v>460</v>
      </c>
      <c r="DL35" s="35" t="s">
        <v>461</v>
      </c>
      <c r="DN35" s="35" t="s">
        <v>2890</v>
      </c>
      <c r="DO35" s="35" t="s">
        <v>3059</v>
      </c>
      <c r="DP35" s="35" t="s">
        <v>2956</v>
      </c>
      <c r="DQ35" s="35" t="s">
        <v>3060</v>
      </c>
      <c r="DR35" s="35" t="s">
        <v>466</v>
      </c>
      <c r="DS35" s="35" t="s">
        <v>11830</v>
      </c>
      <c r="DT35" s="35" t="s">
        <v>702</v>
      </c>
      <c r="DU35" s="35" t="s">
        <v>1580</v>
      </c>
      <c r="DV35" s="35" t="s">
        <v>3062</v>
      </c>
      <c r="DW35" s="35" t="s">
        <v>3063</v>
      </c>
      <c r="DX35" s="35" t="s">
        <v>1328</v>
      </c>
      <c r="DY35" s="35" t="s">
        <v>11831</v>
      </c>
      <c r="DZ35" s="35" t="s">
        <v>3065</v>
      </c>
      <c r="EA35" s="35" t="s">
        <v>11832</v>
      </c>
      <c r="EB35" s="35" t="s">
        <v>475</v>
      </c>
      <c r="EC35" s="35" t="s">
        <v>476</v>
      </c>
      <c r="ED35" s="35" t="s">
        <v>3067</v>
      </c>
      <c r="EU35" s="35" t="s">
        <v>526</v>
      </c>
      <c r="EV35" s="35" t="s">
        <v>1037</v>
      </c>
      <c r="EW35" s="35" t="s">
        <v>480</v>
      </c>
      <c r="FA35" s="35" t="s">
        <v>413</v>
      </c>
      <c r="FB35" s="35" t="s">
        <v>413</v>
      </c>
      <c r="FC35" s="35" t="s">
        <v>413</v>
      </c>
      <c r="FD35" s="35" t="s">
        <v>413</v>
      </c>
      <c r="FE35" s="35" t="s">
        <v>413</v>
      </c>
      <c r="FF35" s="35" t="s">
        <v>413</v>
      </c>
      <c r="FG35" s="35" t="s">
        <v>413</v>
      </c>
      <c r="FH35" s="35" t="s">
        <v>413</v>
      </c>
      <c r="FI35" s="35" t="s">
        <v>413</v>
      </c>
      <c r="FJ35" s="35" t="s">
        <v>583</v>
      </c>
      <c r="FK35" s="35" t="s">
        <v>416</v>
      </c>
      <c r="FL35" s="35" t="s">
        <v>413</v>
      </c>
      <c r="FM35" s="35" t="s">
        <v>484</v>
      </c>
      <c r="FN35" s="35" t="s">
        <v>413</v>
      </c>
      <c r="FO35" s="35" t="s">
        <v>414</v>
      </c>
      <c r="FP35" s="35" t="s">
        <v>417</v>
      </c>
      <c r="FR35" s="35" t="s">
        <v>712</v>
      </c>
      <c r="FT35" s="35" t="s">
        <v>420</v>
      </c>
      <c r="FU35" s="35" t="s">
        <v>488</v>
      </c>
      <c r="FV35" s="35" t="s">
        <v>489</v>
      </c>
      <c r="FW35" s="35" t="s">
        <v>490</v>
      </c>
      <c r="FZ35" s="35" t="s">
        <v>535</v>
      </c>
      <c r="GB35" s="35" t="s">
        <v>3068</v>
      </c>
      <c r="GC35" s="35" t="s">
        <v>408</v>
      </c>
      <c r="GH35" s="35" t="s">
        <v>857</v>
      </c>
      <c r="GI35" s="35" t="s">
        <v>857</v>
      </c>
      <c r="GJ35" s="35" t="s">
        <v>790</v>
      </c>
      <c r="GN35" s="35" t="s">
        <v>1079</v>
      </c>
    </row>
    <row r="36">
      <c r="A36" s="40"/>
      <c r="B36" s="40">
        <v>45829.42277583333</v>
      </c>
      <c r="C36" s="35" t="s">
        <v>368</v>
      </c>
      <c r="D36" s="35" t="s">
        <v>370</v>
      </c>
      <c r="F36" s="35" t="s">
        <v>3082</v>
      </c>
      <c r="H36" s="35" t="s">
        <v>422</v>
      </c>
      <c r="I36" s="35" t="s">
        <v>1921</v>
      </c>
      <c r="J36" s="35" t="s">
        <v>668</v>
      </c>
      <c r="K36" s="35" t="s">
        <v>590</v>
      </c>
      <c r="L36" s="35" t="s">
        <v>376</v>
      </c>
      <c r="M36" s="35" t="s">
        <v>379</v>
      </c>
      <c r="N36" s="35" t="s">
        <v>380</v>
      </c>
      <c r="O36" s="35" t="s">
        <v>379</v>
      </c>
      <c r="P36" s="35" t="s">
        <v>11833</v>
      </c>
      <c r="Q36" s="35" t="s">
        <v>1760</v>
      </c>
      <c r="R36" s="35" t="s">
        <v>818</v>
      </c>
      <c r="S36" s="35" t="s">
        <v>427</v>
      </c>
      <c r="T36" s="35" t="s">
        <v>384</v>
      </c>
      <c r="U36" s="35" t="s">
        <v>385</v>
      </c>
      <c r="X36" s="35" t="s">
        <v>3014</v>
      </c>
      <c r="AW36" s="35" t="s">
        <v>390</v>
      </c>
      <c r="AX36" s="35" t="s">
        <v>675</v>
      </c>
      <c r="AY36" s="41">
        <v>4.0</v>
      </c>
      <c r="AZ36" s="41">
        <v>4.0</v>
      </c>
      <c r="BA36" s="41">
        <v>4.0</v>
      </c>
      <c r="BB36" s="35" t="s">
        <v>675</v>
      </c>
      <c r="BC36" s="35" t="s">
        <v>675</v>
      </c>
      <c r="BD36" s="35" t="s">
        <v>11834</v>
      </c>
      <c r="BE36" s="35" t="s">
        <v>11835</v>
      </c>
      <c r="BF36" s="35" t="s">
        <v>432</v>
      </c>
      <c r="BG36" s="35" t="s">
        <v>1047</v>
      </c>
      <c r="BH36" s="35" t="s">
        <v>678</v>
      </c>
      <c r="BI36" s="35" t="s">
        <v>11836</v>
      </c>
      <c r="BJ36" s="35" t="s">
        <v>509</v>
      </c>
      <c r="BK36" s="35" t="s">
        <v>11837</v>
      </c>
      <c r="BL36" s="35" t="s">
        <v>437</v>
      </c>
      <c r="BM36" s="35" t="s">
        <v>438</v>
      </c>
      <c r="BN36" s="35" t="s">
        <v>1247</v>
      </c>
      <c r="BO36" s="35" t="s">
        <v>440</v>
      </c>
      <c r="CM36" s="35" t="s">
        <v>441</v>
      </c>
      <c r="CN36" s="35" t="s">
        <v>401</v>
      </c>
      <c r="CO36" s="35" t="s">
        <v>11838</v>
      </c>
      <c r="CP36" s="35" t="s">
        <v>11839</v>
      </c>
      <c r="CQ36" s="35" t="s">
        <v>445</v>
      </c>
      <c r="CR36" s="35" t="s">
        <v>3090</v>
      </c>
      <c r="CS36" s="35" t="s">
        <v>828</v>
      </c>
      <c r="CT36" s="35" t="s">
        <v>3091</v>
      </c>
      <c r="CU36" s="35" t="s">
        <v>11840</v>
      </c>
      <c r="CV36" s="35" t="s">
        <v>982</v>
      </c>
      <c r="CW36" s="35" t="s">
        <v>451</v>
      </c>
      <c r="CX36" s="35" t="s">
        <v>3093</v>
      </c>
      <c r="CY36" s="35" t="s">
        <v>408</v>
      </c>
      <c r="DA36" s="35" t="s">
        <v>985</v>
      </c>
      <c r="DB36" s="35" t="s">
        <v>11841</v>
      </c>
      <c r="DC36" s="35" t="s">
        <v>408</v>
      </c>
      <c r="DE36" s="35" t="s">
        <v>406</v>
      </c>
      <c r="DF36" s="35" t="s">
        <v>1867</v>
      </c>
      <c r="DG36" s="35" t="s">
        <v>7895</v>
      </c>
      <c r="DH36" s="35" t="s">
        <v>524</v>
      </c>
      <c r="DI36" s="35" t="s">
        <v>833</v>
      </c>
      <c r="DJ36" s="35" t="s">
        <v>459</v>
      </c>
      <c r="DK36" s="35" t="s">
        <v>562</v>
      </c>
      <c r="DL36" s="35" t="s">
        <v>525</v>
      </c>
      <c r="DN36" s="35" t="s">
        <v>3096</v>
      </c>
      <c r="DO36" s="35" t="s">
        <v>3097</v>
      </c>
      <c r="DP36" s="35" t="s">
        <v>3098</v>
      </c>
      <c r="DQ36" s="35" t="s">
        <v>11842</v>
      </c>
      <c r="DR36" s="35" t="s">
        <v>1176</v>
      </c>
      <c r="DS36" s="35" t="s">
        <v>11843</v>
      </c>
      <c r="DT36" s="35" t="s">
        <v>618</v>
      </c>
      <c r="DU36" s="35" t="s">
        <v>570</v>
      </c>
      <c r="DV36" s="35" t="s">
        <v>11844</v>
      </c>
      <c r="DW36" s="35" t="s">
        <v>11845</v>
      </c>
      <c r="DX36" s="35" t="s">
        <v>573</v>
      </c>
      <c r="DY36" s="35" t="s">
        <v>11846</v>
      </c>
      <c r="DZ36" s="35" t="s">
        <v>11847</v>
      </c>
      <c r="EA36" s="35" t="s">
        <v>11848</v>
      </c>
      <c r="EB36" s="35" t="s">
        <v>1413</v>
      </c>
      <c r="EC36" s="35" t="s">
        <v>845</v>
      </c>
      <c r="ED36" s="35" t="s">
        <v>11849</v>
      </c>
      <c r="EU36" s="35" t="s">
        <v>478</v>
      </c>
      <c r="EV36" s="35" t="s">
        <v>479</v>
      </c>
      <c r="EW36" s="35" t="s">
        <v>480</v>
      </c>
      <c r="EY36" s="35" t="s">
        <v>5744</v>
      </c>
      <c r="EZ36" s="35" t="s">
        <v>5744</v>
      </c>
      <c r="FA36" s="35" t="s">
        <v>415</v>
      </c>
      <c r="FB36" s="35" t="s">
        <v>414</v>
      </c>
      <c r="FC36" s="35" t="s">
        <v>413</v>
      </c>
      <c r="FD36" s="35" t="s">
        <v>583</v>
      </c>
      <c r="FE36" s="35" t="s">
        <v>413</v>
      </c>
      <c r="FF36" s="35" t="s">
        <v>583</v>
      </c>
      <c r="FG36" s="35" t="s">
        <v>415</v>
      </c>
      <c r="FH36" s="35" t="s">
        <v>413</v>
      </c>
      <c r="FI36" s="35" t="s">
        <v>583</v>
      </c>
      <c r="FJ36" s="35" t="s">
        <v>583</v>
      </c>
      <c r="FK36" s="35" t="s">
        <v>414</v>
      </c>
      <c r="FL36" s="35" t="s">
        <v>415</v>
      </c>
      <c r="FM36" s="35" t="s">
        <v>415</v>
      </c>
      <c r="FN36" s="35" t="s">
        <v>415</v>
      </c>
      <c r="FO36" s="35" t="s">
        <v>415</v>
      </c>
      <c r="FP36" s="35" t="s">
        <v>850</v>
      </c>
      <c r="FQ36" s="35" t="s">
        <v>418</v>
      </c>
      <c r="FR36" s="35" t="s">
        <v>419</v>
      </c>
      <c r="FT36" s="35" t="s">
        <v>995</v>
      </c>
      <c r="FU36" s="35" t="s">
        <v>488</v>
      </c>
      <c r="FV36" s="35" t="s">
        <v>918</v>
      </c>
      <c r="FW36" s="35" t="s">
        <v>490</v>
      </c>
      <c r="FX36" s="35" t="s">
        <v>491</v>
      </c>
      <c r="FY36" s="35" t="s">
        <v>11850</v>
      </c>
      <c r="FZ36" s="35" t="s">
        <v>535</v>
      </c>
      <c r="GA36" s="35" t="s">
        <v>11851</v>
      </c>
      <c r="GB36" s="35" t="s">
        <v>11852</v>
      </c>
      <c r="GC36" s="35" t="s">
        <v>455</v>
      </c>
      <c r="GD36" s="35" t="s">
        <v>11853</v>
      </c>
      <c r="GE36" s="35" t="s">
        <v>11854</v>
      </c>
      <c r="GF36" s="35" t="s">
        <v>753</v>
      </c>
      <c r="GG36" s="35" t="s">
        <v>11855</v>
      </c>
      <c r="GH36" s="35" t="s">
        <v>1000</v>
      </c>
      <c r="GI36" s="35" t="s">
        <v>1000</v>
      </c>
      <c r="GJ36" s="35" t="s">
        <v>817</v>
      </c>
      <c r="GN36" s="35" t="s">
        <v>1079</v>
      </c>
    </row>
    <row r="37">
      <c r="A37" s="40"/>
      <c r="B37" s="40">
        <v>45829.585866458336</v>
      </c>
      <c r="C37" s="35" t="s">
        <v>368</v>
      </c>
      <c r="D37" s="35" t="s">
        <v>370</v>
      </c>
      <c r="F37" s="35" t="s">
        <v>1441</v>
      </c>
      <c r="H37" s="35" t="s">
        <v>422</v>
      </c>
      <c r="I37" s="35" t="s">
        <v>496</v>
      </c>
      <c r="J37" s="35" t="s">
        <v>374</v>
      </c>
      <c r="K37" s="35" t="s">
        <v>375</v>
      </c>
      <c r="L37" s="35" t="s">
        <v>376</v>
      </c>
      <c r="M37" s="35" t="s">
        <v>793</v>
      </c>
      <c r="N37" s="35" t="s">
        <v>3109</v>
      </c>
      <c r="O37" s="35" t="s">
        <v>591</v>
      </c>
      <c r="P37" s="35" t="s">
        <v>380</v>
      </c>
      <c r="Q37" s="35" t="s">
        <v>592</v>
      </c>
      <c r="R37" s="35" t="s">
        <v>499</v>
      </c>
      <c r="S37" s="35" t="s">
        <v>949</v>
      </c>
      <c r="T37" s="35" t="s">
        <v>384</v>
      </c>
      <c r="U37" s="35" t="s">
        <v>385</v>
      </c>
      <c r="X37" s="35" t="s">
        <v>593</v>
      </c>
      <c r="Y37" s="35" t="s">
        <v>387</v>
      </c>
      <c r="Z37" s="35" t="s">
        <v>388</v>
      </c>
      <c r="AA37" s="35" t="s">
        <v>543</v>
      </c>
      <c r="AB37" s="35" t="s">
        <v>11856</v>
      </c>
      <c r="AC37" s="35" t="s">
        <v>3111</v>
      </c>
      <c r="AW37" s="35" t="s">
        <v>1310</v>
      </c>
      <c r="AX37" s="35" t="s">
        <v>675</v>
      </c>
      <c r="AY37" s="35" t="s">
        <v>675</v>
      </c>
      <c r="AZ37" s="35" t="s">
        <v>675</v>
      </c>
      <c r="BA37" s="35" t="s">
        <v>675</v>
      </c>
      <c r="BB37" s="35" t="s">
        <v>675</v>
      </c>
      <c r="BC37" s="35" t="s">
        <v>675</v>
      </c>
      <c r="BD37" s="35" t="s">
        <v>11857</v>
      </c>
      <c r="BE37" s="35" t="s">
        <v>11858</v>
      </c>
      <c r="BF37" s="35" t="s">
        <v>3114</v>
      </c>
      <c r="BG37" s="35" t="s">
        <v>1095</v>
      </c>
      <c r="BH37" s="35" t="s">
        <v>725</v>
      </c>
      <c r="BI37" s="35" t="s">
        <v>11859</v>
      </c>
      <c r="BJ37" s="35" t="s">
        <v>976</v>
      </c>
      <c r="BK37" s="35" t="s">
        <v>3116</v>
      </c>
      <c r="BL37" s="35" t="s">
        <v>437</v>
      </c>
      <c r="BM37" s="35" t="s">
        <v>904</v>
      </c>
      <c r="BN37" s="35" t="s">
        <v>1314</v>
      </c>
      <c r="BO37" s="35" t="s">
        <v>440</v>
      </c>
      <c r="CM37" s="35" t="s">
        <v>441</v>
      </c>
      <c r="CN37" s="35" t="s">
        <v>604</v>
      </c>
      <c r="CO37" s="35" t="s">
        <v>3117</v>
      </c>
      <c r="CP37" s="35" t="s">
        <v>11860</v>
      </c>
      <c r="CQ37" s="35" t="s">
        <v>445</v>
      </c>
      <c r="CR37" s="35" t="s">
        <v>3119</v>
      </c>
      <c r="CS37" s="35" t="s">
        <v>447</v>
      </c>
      <c r="CT37" s="35" t="s">
        <v>3120</v>
      </c>
      <c r="CU37" s="35" t="s">
        <v>11861</v>
      </c>
      <c r="CV37" s="35" t="s">
        <v>450</v>
      </c>
      <c r="CW37" s="35" t="s">
        <v>451</v>
      </c>
      <c r="CX37" s="35" t="s">
        <v>11862</v>
      </c>
      <c r="CY37" s="35" t="s">
        <v>455</v>
      </c>
      <c r="CZ37" s="35" t="s">
        <v>11863</v>
      </c>
      <c r="DA37" s="35" t="s">
        <v>453</v>
      </c>
      <c r="DB37" s="35" t="s">
        <v>11864</v>
      </c>
      <c r="DC37" s="35" t="s">
        <v>455</v>
      </c>
      <c r="DD37" s="35" t="s">
        <v>11865</v>
      </c>
      <c r="DE37" s="35" t="s">
        <v>662</v>
      </c>
      <c r="DG37" s="35" t="s">
        <v>11866</v>
      </c>
      <c r="DH37" s="35" t="s">
        <v>524</v>
      </c>
      <c r="DI37" s="35" t="s">
        <v>410</v>
      </c>
      <c r="DJ37" s="35" t="s">
        <v>459</v>
      </c>
      <c r="DK37" s="35" t="s">
        <v>562</v>
      </c>
      <c r="DL37" s="35" t="s">
        <v>461</v>
      </c>
      <c r="DN37" s="35" t="s">
        <v>3127</v>
      </c>
      <c r="DO37" s="35" t="s">
        <v>3128</v>
      </c>
      <c r="DP37" s="35" t="s">
        <v>464</v>
      </c>
      <c r="DQ37" s="35" t="s">
        <v>11867</v>
      </c>
      <c r="DR37" s="35" t="s">
        <v>466</v>
      </c>
      <c r="DS37" s="35" t="s">
        <v>11868</v>
      </c>
      <c r="DT37" s="35" t="s">
        <v>839</v>
      </c>
      <c r="DU37" s="35" t="s">
        <v>1580</v>
      </c>
      <c r="DV37" s="35" t="s">
        <v>11869</v>
      </c>
      <c r="DW37" s="35" t="s">
        <v>11870</v>
      </c>
      <c r="DX37" s="35" t="s">
        <v>622</v>
      </c>
      <c r="DY37" s="35" t="s">
        <v>11871</v>
      </c>
      <c r="DZ37" s="35" t="s">
        <v>11872</v>
      </c>
      <c r="EA37" s="35" t="s">
        <v>11873</v>
      </c>
      <c r="EB37" s="35" t="s">
        <v>475</v>
      </c>
      <c r="EC37" s="35" t="s">
        <v>845</v>
      </c>
      <c r="ED37" s="35" t="s">
        <v>3136</v>
      </c>
      <c r="EU37" s="35" t="s">
        <v>526</v>
      </c>
      <c r="EV37" s="35" t="s">
        <v>479</v>
      </c>
      <c r="EW37" s="35" t="s">
        <v>527</v>
      </c>
      <c r="EX37" s="35" t="s">
        <v>3137</v>
      </c>
      <c r="EY37" s="35" t="s">
        <v>3138</v>
      </c>
      <c r="EZ37" s="35" t="s">
        <v>3139</v>
      </c>
      <c r="FA37" s="35" t="s">
        <v>583</v>
      </c>
      <c r="FB37" s="35" t="s">
        <v>583</v>
      </c>
      <c r="FC37" s="35" t="s">
        <v>583</v>
      </c>
      <c r="FD37" s="35" t="s">
        <v>583</v>
      </c>
      <c r="FE37" s="35" t="s">
        <v>415</v>
      </c>
      <c r="FF37" s="35" t="s">
        <v>583</v>
      </c>
      <c r="FG37" s="35" t="s">
        <v>583</v>
      </c>
      <c r="FH37" s="35" t="s">
        <v>413</v>
      </c>
      <c r="FI37" s="35" t="s">
        <v>583</v>
      </c>
      <c r="FJ37" s="35" t="s">
        <v>583</v>
      </c>
      <c r="FK37" s="35" t="s">
        <v>583</v>
      </c>
      <c r="FL37" s="35" t="s">
        <v>413</v>
      </c>
      <c r="FM37" s="35" t="s">
        <v>583</v>
      </c>
      <c r="FN37" s="35" t="s">
        <v>413</v>
      </c>
      <c r="FO37" s="35" t="s">
        <v>583</v>
      </c>
      <c r="FP37" s="35" t="s">
        <v>417</v>
      </c>
      <c r="FQ37" s="35" t="s">
        <v>418</v>
      </c>
      <c r="FR37" s="35" t="s">
        <v>630</v>
      </c>
      <c r="FS37" s="35" t="s">
        <v>3140</v>
      </c>
      <c r="FT37" s="35" t="s">
        <v>420</v>
      </c>
      <c r="FU37" s="35" t="s">
        <v>488</v>
      </c>
      <c r="FV37" s="35" t="s">
        <v>533</v>
      </c>
      <c r="FW37" s="35" t="s">
        <v>490</v>
      </c>
      <c r="FX37" s="35" t="s">
        <v>491</v>
      </c>
      <c r="FY37" s="35" t="s">
        <v>3141</v>
      </c>
      <c r="FZ37" s="35" t="s">
        <v>535</v>
      </c>
      <c r="GA37" s="35" t="s">
        <v>11874</v>
      </c>
      <c r="GB37" s="35" t="s">
        <v>11875</v>
      </c>
      <c r="GC37" s="35" t="s">
        <v>455</v>
      </c>
      <c r="GD37" s="35" t="s">
        <v>11876</v>
      </c>
      <c r="GF37" s="35" t="s">
        <v>1339</v>
      </c>
      <c r="GG37" s="35" t="s">
        <v>11877</v>
      </c>
      <c r="GH37" s="35" t="s">
        <v>755</v>
      </c>
      <c r="GI37" s="35" t="s">
        <v>755</v>
      </c>
      <c r="GJ37" s="35" t="s">
        <v>817</v>
      </c>
      <c r="GN37" s="35" t="s">
        <v>1079</v>
      </c>
    </row>
    <row r="38">
      <c r="A38" s="40"/>
      <c r="B38" s="40">
        <v>45829.64056644676</v>
      </c>
      <c r="C38" s="35" t="s">
        <v>368</v>
      </c>
      <c r="D38" s="35" t="s">
        <v>370</v>
      </c>
      <c r="F38" s="35" t="s">
        <v>1510</v>
      </c>
      <c r="H38" s="35" t="s">
        <v>422</v>
      </c>
      <c r="I38" s="35" t="s">
        <v>539</v>
      </c>
      <c r="J38" s="35" t="s">
        <v>424</v>
      </c>
      <c r="K38" s="35" t="s">
        <v>718</v>
      </c>
      <c r="L38" s="35" t="s">
        <v>376</v>
      </c>
      <c r="M38" s="35" t="s">
        <v>793</v>
      </c>
      <c r="N38" s="35" t="s">
        <v>639</v>
      </c>
      <c r="O38" s="35" t="s">
        <v>670</v>
      </c>
      <c r="P38" s="35" t="s">
        <v>1024</v>
      </c>
      <c r="Q38" s="35" t="s">
        <v>1760</v>
      </c>
      <c r="R38" s="35" t="s">
        <v>1342</v>
      </c>
      <c r="S38" s="35" t="s">
        <v>427</v>
      </c>
      <c r="T38" s="35" t="s">
        <v>384</v>
      </c>
      <c r="U38" s="35" t="s">
        <v>385</v>
      </c>
      <c r="X38" s="35" t="s">
        <v>593</v>
      </c>
      <c r="Y38" s="35" t="s">
        <v>1706</v>
      </c>
      <c r="AD38" s="35" t="s">
        <v>3166</v>
      </c>
      <c r="AE38" s="35" t="s">
        <v>1938</v>
      </c>
      <c r="AF38" s="35" t="s">
        <v>1143</v>
      </c>
      <c r="AH38" s="41">
        <v>1.0</v>
      </c>
      <c r="AI38" s="35" t="s">
        <v>1145</v>
      </c>
      <c r="AL38" s="35" t="s">
        <v>396</v>
      </c>
      <c r="AW38" s="35" t="s">
        <v>504</v>
      </c>
      <c r="AX38" s="41">
        <v>2.0</v>
      </c>
      <c r="AY38" s="35" t="s">
        <v>429</v>
      </c>
      <c r="AZ38" s="41">
        <v>2.0</v>
      </c>
      <c r="BA38" s="35" t="s">
        <v>429</v>
      </c>
      <c r="BB38" s="41">
        <v>2.0</v>
      </c>
      <c r="BC38" s="41">
        <v>2.0</v>
      </c>
      <c r="BF38" s="35" t="s">
        <v>392</v>
      </c>
      <c r="BG38" s="35" t="s">
        <v>393</v>
      </c>
      <c r="BH38" s="35" t="s">
        <v>678</v>
      </c>
      <c r="BJ38" s="35" t="s">
        <v>727</v>
      </c>
      <c r="BL38" s="35" t="s">
        <v>395</v>
      </c>
      <c r="BN38" s="35" t="s">
        <v>439</v>
      </c>
      <c r="BO38" s="35" t="s">
        <v>440</v>
      </c>
      <c r="CM38" s="35" t="s">
        <v>953</v>
      </c>
      <c r="CN38" s="35" t="s">
        <v>604</v>
      </c>
      <c r="CQ38" s="35" t="s">
        <v>445</v>
      </c>
      <c r="CR38" s="35" t="s">
        <v>2064</v>
      </c>
      <c r="CS38" s="35" t="s">
        <v>404</v>
      </c>
      <c r="CT38" s="35" t="s">
        <v>1147</v>
      </c>
      <c r="CV38" s="35" t="s">
        <v>3167</v>
      </c>
      <c r="CW38" s="35" t="s">
        <v>451</v>
      </c>
      <c r="CY38" s="35" t="s">
        <v>455</v>
      </c>
      <c r="DA38" s="35" t="s">
        <v>453</v>
      </c>
      <c r="DC38" s="35" t="s">
        <v>455</v>
      </c>
      <c r="DD38" s="35" t="s">
        <v>3168</v>
      </c>
      <c r="DE38" s="35" t="s">
        <v>988</v>
      </c>
      <c r="DH38" s="35" t="s">
        <v>524</v>
      </c>
      <c r="DI38" s="35" t="s">
        <v>410</v>
      </c>
      <c r="DJ38" s="35" t="s">
        <v>459</v>
      </c>
      <c r="DK38" s="35" t="s">
        <v>1148</v>
      </c>
      <c r="DL38" s="35" t="s">
        <v>461</v>
      </c>
      <c r="DN38" s="35" t="s">
        <v>3169</v>
      </c>
      <c r="DO38" s="35" t="s">
        <v>3170</v>
      </c>
      <c r="DP38" s="35" t="s">
        <v>2956</v>
      </c>
      <c r="DR38" s="35" t="s">
        <v>700</v>
      </c>
      <c r="DT38" s="35" t="s">
        <v>468</v>
      </c>
      <c r="DU38" s="35" t="s">
        <v>3171</v>
      </c>
      <c r="DX38" s="35" t="s">
        <v>573</v>
      </c>
      <c r="EB38" s="35" t="s">
        <v>2960</v>
      </c>
      <c r="EC38" s="35" t="s">
        <v>626</v>
      </c>
      <c r="EU38" s="35" t="s">
        <v>478</v>
      </c>
      <c r="EV38" s="35" t="s">
        <v>1127</v>
      </c>
      <c r="EW38" s="35" t="s">
        <v>1534</v>
      </c>
      <c r="FA38" s="35" t="s">
        <v>415</v>
      </c>
      <c r="FB38" s="35" t="s">
        <v>415</v>
      </c>
      <c r="FC38" s="35" t="s">
        <v>413</v>
      </c>
      <c r="FD38" s="35" t="s">
        <v>413</v>
      </c>
      <c r="FE38" s="35" t="s">
        <v>413</v>
      </c>
      <c r="FF38" s="35" t="s">
        <v>415</v>
      </c>
      <c r="FG38" s="35" t="s">
        <v>413</v>
      </c>
      <c r="FH38" s="35" t="s">
        <v>413</v>
      </c>
      <c r="FI38" s="35" t="s">
        <v>415</v>
      </c>
      <c r="FJ38" s="35" t="s">
        <v>416</v>
      </c>
      <c r="FK38" s="35" t="s">
        <v>413</v>
      </c>
      <c r="FL38" s="35" t="s">
        <v>415</v>
      </c>
      <c r="FM38" s="35" t="s">
        <v>415</v>
      </c>
      <c r="FN38" s="35" t="s">
        <v>415</v>
      </c>
      <c r="FO38" s="35" t="s">
        <v>415</v>
      </c>
      <c r="FP38" s="35" t="s">
        <v>850</v>
      </c>
      <c r="FQ38" s="35" t="s">
        <v>418</v>
      </c>
      <c r="FR38" s="35" t="s">
        <v>419</v>
      </c>
      <c r="FT38" s="35" t="s">
        <v>420</v>
      </c>
      <c r="FU38" s="35" t="s">
        <v>1462</v>
      </c>
      <c r="FV38" s="35" t="s">
        <v>533</v>
      </c>
      <c r="FW38" s="35" t="s">
        <v>490</v>
      </c>
      <c r="FX38" s="35" t="s">
        <v>491</v>
      </c>
      <c r="FZ38" s="35" t="s">
        <v>535</v>
      </c>
      <c r="GC38" s="35" t="s">
        <v>408</v>
      </c>
      <c r="GH38" s="35" t="s">
        <v>755</v>
      </c>
      <c r="GI38" s="35" t="s">
        <v>755</v>
      </c>
      <c r="GJ38" s="35" t="s">
        <v>817</v>
      </c>
      <c r="GN38" s="35" t="s">
        <v>1079</v>
      </c>
    </row>
    <row r="39">
      <c r="A39" s="40"/>
      <c r="B39" s="40">
        <v>45830.397428067125</v>
      </c>
      <c r="C39" s="35" t="s">
        <v>368</v>
      </c>
      <c r="D39" s="35" t="s">
        <v>370</v>
      </c>
      <c r="F39" s="35" t="s">
        <v>667</v>
      </c>
      <c r="H39" s="35" t="s">
        <v>422</v>
      </c>
      <c r="I39" s="35" t="s">
        <v>1307</v>
      </c>
      <c r="J39" s="35" t="s">
        <v>668</v>
      </c>
      <c r="K39" s="35" t="s">
        <v>375</v>
      </c>
      <c r="L39" s="35" t="s">
        <v>376</v>
      </c>
      <c r="M39" s="35" t="s">
        <v>379</v>
      </c>
      <c r="N39" s="35" t="s">
        <v>541</v>
      </c>
      <c r="O39" s="35" t="s">
        <v>379</v>
      </c>
      <c r="P39" s="35" t="s">
        <v>497</v>
      </c>
      <c r="Q39" s="35" t="s">
        <v>381</v>
      </c>
      <c r="R39" s="35" t="s">
        <v>499</v>
      </c>
      <c r="S39" s="35" t="s">
        <v>949</v>
      </c>
      <c r="T39" s="35" t="s">
        <v>384</v>
      </c>
      <c r="U39" s="35" t="s">
        <v>385</v>
      </c>
      <c r="X39" s="35" t="s">
        <v>386</v>
      </c>
      <c r="Y39" s="35" t="s">
        <v>387</v>
      </c>
      <c r="Z39" s="35" t="s">
        <v>388</v>
      </c>
      <c r="AA39" s="35" t="s">
        <v>543</v>
      </c>
      <c r="AB39" s="35" t="s">
        <v>11878</v>
      </c>
      <c r="AC39" s="35" t="s">
        <v>11879</v>
      </c>
      <c r="AW39" s="35" t="s">
        <v>597</v>
      </c>
      <c r="AX39" s="41">
        <v>2.0</v>
      </c>
      <c r="AY39" s="41">
        <v>2.0</v>
      </c>
      <c r="AZ39" s="41">
        <v>2.0</v>
      </c>
      <c r="BA39" s="41">
        <v>2.0</v>
      </c>
      <c r="BB39" s="41">
        <v>2.0</v>
      </c>
      <c r="BC39" s="41">
        <v>2.0</v>
      </c>
      <c r="BD39" s="35" t="s">
        <v>3276</v>
      </c>
      <c r="BE39" s="35" t="s">
        <v>11880</v>
      </c>
      <c r="BF39" s="35" t="s">
        <v>392</v>
      </c>
      <c r="BG39" s="35" t="s">
        <v>1047</v>
      </c>
      <c r="BH39" s="35" t="s">
        <v>678</v>
      </c>
      <c r="BI39" s="35" t="s">
        <v>3278</v>
      </c>
      <c r="BJ39" s="35" t="s">
        <v>509</v>
      </c>
      <c r="BK39" s="35" t="s">
        <v>3279</v>
      </c>
      <c r="BL39" s="35" t="s">
        <v>437</v>
      </c>
      <c r="BM39" s="35" t="s">
        <v>904</v>
      </c>
      <c r="BN39" s="35" t="s">
        <v>1247</v>
      </c>
      <c r="BO39" s="35" t="s">
        <v>440</v>
      </c>
      <c r="CM39" s="35" t="s">
        <v>550</v>
      </c>
      <c r="CN39" s="35" t="s">
        <v>604</v>
      </c>
      <c r="CO39" s="35" t="s">
        <v>11881</v>
      </c>
      <c r="CP39" s="35" t="s">
        <v>11882</v>
      </c>
      <c r="CQ39" s="35" t="s">
        <v>445</v>
      </c>
      <c r="CR39" s="35" t="s">
        <v>3282</v>
      </c>
      <c r="CS39" s="35" t="s">
        <v>804</v>
      </c>
      <c r="CT39" s="35" t="s">
        <v>3283</v>
      </c>
      <c r="CU39" s="35" t="s">
        <v>11883</v>
      </c>
      <c r="CV39" s="35" t="s">
        <v>519</v>
      </c>
      <c r="CW39" s="35" t="s">
        <v>451</v>
      </c>
      <c r="CX39" s="35" t="s">
        <v>3285</v>
      </c>
      <c r="CY39" s="35" t="s">
        <v>408</v>
      </c>
      <c r="DA39" s="35" t="s">
        <v>453</v>
      </c>
      <c r="DB39" s="35" t="s">
        <v>11884</v>
      </c>
      <c r="DC39" s="35" t="s">
        <v>455</v>
      </c>
      <c r="DD39" s="35" t="s">
        <v>3287</v>
      </c>
      <c r="DE39" s="35" t="s">
        <v>988</v>
      </c>
      <c r="DG39" s="35" t="s">
        <v>3288</v>
      </c>
      <c r="DH39" s="35" t="s">
        <v>561</v>
      </c>
      <c r="DI39" s="35" t="s">
        <v>410</v>
      </c>
      <c r="DJ39" s="35" t="s">
        <v>963</v>
      </c>
      <c r="DK39" s="35" t="s">
        <v>460</v>
      </c>
      <c r="DL39" s="35" t="s">
        <v>461</v>
      </c>
      <c r="DN39" s="35" t="s">
        <v>2890</v>
      </c>
      <c r="DO39" s="35" t="s">
        <v>3289</v>
      </c>
      <c r="DP39" s="35" t="s">
        <v>1063</v>
      </c>
      <c r="DQ39" s="35" t="s">
        <v>3290</v>
      </c>
      <c r="DR39" s="35" t="s">
        <v>1578</v>
      </c>
      <c r="DS39" s="35" t="s">
        <v>11885</v>
      </c>
      <c r="DT39" s="35" t="s">
        <v>618</v>
      </c>
      <c r="DU39" s="35" t="s">
        <v>740</v>
      </c>
      <c r="DV39" s="35" t="s">
        <v>3292</v>
      </c>
      <c r="DW39" s="35" t="s">
        <v>3293</v>
      </c>
      <c r="DX39" s="35" t="s">
        <v>622</v>
      </c>
      <c r="DY39" s="35" t="s">
        <v>3294</v>
      </c>
      <c r="DZ39" s="35" t="s">
        <v>3295</v>
      </c>
      <c r="EA39" s="35" t="s">
        <v>11886</v>
      </c>
      <c r="EB39" s="35" t="s">
        <v>475</v>
      </c>
      <c r="EC39" s="35" t="s">
        <v>476</v>
      </c>
      <c r="ED39" s="35" t="s">
        <v>3297</v>
      </c>
      <c r="EU39" s="35" t="s">
        <v>526</v>
      </c>
      <c r="EV39" s="35" t="s">
        <v>1037</v>
      </c>
      <c r="EW39" s="35" t="s">
        <v>527</v>
      </c>
      <c r="EX39" s="35" t="s">
        <v>3298</v>
      </c>
      <c r="EY39" s="35" t="s">
        <v>3299</v>
      </c>
      <c r="EZ39" s="35" t="s">
        <v>3300</v>
      </c>
      <c r="FA39" s="35" t="s">
        <v>415</v>
      </c>
      <c r="FB39" s="35" t="s">
        <v>415</v>
      </c>
      <c r="FC39" s="35" t="s">
        <v>413</v>
      </c>
      <c r="FD39" s="35" t="s">
        <v>413</v>
      </c>
      <c r="FE39" s="35" t="s">
        <v>413</v>
      </c>
      <c r="FF39" s="35" t="s">
        <v>414</v>
      </c>
      <c r="FG39" s="35" t="s">
        <v>413</v>
      </c>
      <c r="FH39" s="35" t="s">
        <v>413</v>
      </c>
      <c r="FI39" s="35" t="s">
        <v>413</v>
      </c>
      <c r="FJ39" s="35" t="s">
        <v>583</v>
      </c>
      <c r="FK39" s="35" t="s">
        <v>413</v>
      </c>
      <c r="FL39" s="35" t="s">
        <v>415</v>
      </c>
      <c r="FM39" s="35" t="s">
        <v>415</v>
      </c>
      <c r="FN39" s="35" t="s">
        <v>416</v>
      </c>
      <c r="FO39" s="35" t="s">
        <v>583</v>
      </c>
      <c r="FP39" s="35" t="s">
        <v>850</v>
      </c>
      <c r="FQ39" s="35" t="s">
        <v>418</v>
      </c>
      <c r="FR39" s="35" t="s">
        <v>419</v>
      </c>
      <c r="FS39" s="35" t="s">
        <v>3301</v>
      </c>
      <c r="FT39" s="35" t="s">
        <v>420</v>
      </c>
      <c r="FU39" s="35" t="s">
        <v>488</v>
      </c>
      <c r="FV39" s="35" t="s">
        <v>533</v>
      </c>
      <c r="FW39" s="35" t="s">
        <v>490</v>
      </c>
      <c r="FX39" s="35" t="s">
        <v>491</v>
      </c>
      <c r="FY39" s="35" t="s">
        <v>11887</v>
      </c>
      <c r="FZ39" s="35" t="s">
        <v>535</v>
      </c>
      <c r="GA39" s="35" t="s">
        <v>11888</v>
      </c>
      <c r="GB39" s="35" t="s">
        <v>11889</v>
      </c>
      <c r="GC39" s="35" t="s">
        <v>455</v>
      </c>
      <c r="GD39" s="35" t="s">
        <v>11890</v>
      </c>
      <c r="GE39" s="35" t="s">
        <v>11891</v>
      </c>
      <c r="GF39" s="35" t="s">
        <v>855</v>
      </c>
      <c r="GG39" s="35" t="s">
        <v>11892</v>
      </c>
      <c r="GH39" s="35" t="s">
        <v>755</v>
      </c>
      <c r="GI39" s="35" t="s">
        <v>755</v>
      </c>
      <c r="GJ39" s="35" t="s">
        <v>756</v>
      </c>
      <c r="GN39" s="35" t="s">
        <v>1079</v>
      </c>
      <c r="GR39" s="35" t="s">
        <v>3306</v>
      </c>
    </row>
    <row r="40">
      <c r="A40" s="40"/>
      <c r="B40" s="40">
        <v>45830.745157337966</v>
      </c>
      <c r="C40" s="35" t="s">
        <v>368</v>
      </c>
      <c r="D40" s="35" t="s">
        <v>370</v>
      </c>
      <c r="F40" s="35" t="s">
        <v>589</v>
      </c>
      <c r="H40" s="35" t="s">
        <v>422</v>
      </c>
      <c r="I40" s="35" t="s">
        <v>539</v>
      </c>
      <c r="J40" s="35" t="s">
        <v>1022</v>
      </c>
      <c r="K40" s="35" t="s">
        <v>375</v>
      </c>
      <c r="L40" s="35" t="s">
        <v>376</v>
      </c>
      <c r="M40" s="35" t="s">
        <v>426</v>
      </c>
      <c r="N40" s="35" t="s">
        <v>2464</v>
      </c>
      <c r="O40" s="35" t="s">
        <v>379</v>
      </c>
      <c r="P40" s="35" t="s">
        <v>380</v>
      </c>
      <c r="Q40" s="35" t="s">
        <v>1760</v>
      </c>
      <c r="R40" s="35" t="s">
        <v>499</v>
      </c>
      <c r="S40" s="35" t="s">
        <v>500</v>
      </c>
      <c r="T40" s="35" t="s">
        <v>384</v>
      </c>
      <c r="U40" s="35" t="s">
        <v>385</v>
      </c>
      <c r="X40" s="35" t="s">
        <v>386</v>
      </c>
      <c r="Y40" s="35" t="s">
        <v>387</v>
      </c>
      <c r="Z40" s="35" t="s">
        <v>897</v>
      </c>
      <c r="AA40" s="35" t="s">
        <v>543</v>
      </c>
      <c r="AB40" s="35" t="s">
        <v>3425</v>
      </c>
      <c r="AW40" s="35" t="s">
        <v>597</v>
      </c>
      <c r="AX40" s="41">
        <v>4.0</v>
      </c>
      <c r="AY40" s="41">
        <v>4.0</v>
      </c>
      <c r="AZ40" s="41">
        <v>4.0</v>
      </c>
      <c r="BA40" s="41">
        <v>2.0</v>
      </c>
      <c r="BB40" s="35" t="s">
        <v>391</v>
      </c>
      <c r="BC40" s="41">
        <v>4.0</v>
      </c>
      <c r="BD40" s="35" t="s">
        <v>3426</v>
      </c>
      <c r="BE40" s="35" t="s">
        <v>3427</v>
      </c>
      <c r="BF40" s="35" t="s">
        <v>432</v>
      </c>
      <c r="BG40" s="35" t="s">
        <v>1095</v>
      </c>
      <c r="BH40" s="35" t="s">
        <v>434</v>
      </c>
      <c r="BI40" s="35" t="s">
        <v>11893</v>
      </c>
      <c r="BJ40" s="35" t="s">
        <v>727</v>
      </c>
      <c r="BL40" s="35" t="s">
        <v>602</v>
      </c>
      <c r="BM40" s="35" t="s">
        <v>904</v>
      </c>
      <c r="BN40" s="35" t="s">
        <v>1276</v>
      </c>
      <c r="BO40" s="35" t="s">
        <v>440</v>
      </c>
      <c r="CM40" s="35" t="s">
        <v>441</v>
      </c>
      <c r="CN40" s="35" t="s">
        <v>682</v>
      </c>
      <c r="CO40" s="35" t="s">
        <v>11894</v>
      </c>
      <c r="CP40" s="35" t="s">
        <v>11895</v>
      </c>
      <c r="CQ40" s="35" t="s">
        <v>403</v>
      </c>
      <c r="CR40" s="35" t="s">
        <v>1136</v>
      </c>
      <c r="CS40" s="35" t="s">
        <v>447</v>
      </c>
      <c r="CT40" s="35" t="s">
        <v>3430</v>
      </c>
      <c r="CU40" s="35" t="s">
        <v>11896</v>
      </c>
      <c r="CV40" s="35" t="s">
        <v>450</v>
      </c>
      <c r="CW40" s="35" t="s">
        <v>451</v>
      </c>
      <c r="CX40" s="35" t="s">
        <v>3432</v>
      </c>
      <c r="CY40" s="35" t="s">
        <v>408</v>
      </c>
      <c r="DA40" s="35" t="s">
        <v>453</v>
      </c>
      <c r="DB40" s="35" t="s">
        <v>11897</v>
      </c>
      <c r="DC40" s="35" t="s">
        <v>455</v>
      </c>
      <c r="DD40" s="35" t="s">
        <v>11898</v>
      </c>
      <c r="DE40" s="35" t="s">
        <v>406</v>
      </c>
      <c r="DF40" s="35" t="s">
        <v>407</v>
      </c>
      <c r="DG40" s="35" t="s">
        <v>11899</v>
      </c>
      <c r="DH40" s="35" t="s">
        <v>524</v>
      </c>
      <c r="DI40" s="35" t="s">
        <v>410</v>
      </c>
      <c r="DJ40" s="35" t="s">
        <v>459</v>
      </c>
      <c r="DK40" s="35" t="s">
        <v>613</v>
      </c>
      <c r="DN40" s="35" t="s">
        <v>3436</v>
      </c>
      <c r="DO40" s="35" t="s">
        <v>3437</v>
      </c>
      <c r="DP40" s="35" t="s">
        <v>2956</v>
      </c>
      <c r="DQ40" s="35" t="s">
        <v>11900</v>
      </c>
      <c r="DR40" s="35" t="s">
        <v>1176</v>
      </c>
      <c r="DS40" s="35" t="s">
        <v>3439</v>
      </c>
      <c r="DT40" s="35" t="s">
        <v>618</v>
      </c>
      <c r="DU40" s="35" t="s">
        <v>570</v>
      </c>
      <c r="DV40" s="35" t="s">
        <v>11901</v>
      </c>
      <c r="DW40" s="35" t="s">
        <v>733</v>
      </c>
      <c r="DX40" s="35" t="s">
        <v>396</v>
      </c>
      <c r="DY40" s="35" t="s">
        <v>11902</v>
      </c>
      <c r="DZ40" s="35" t="s">
        <v>11903</v>
      </c>
      <c r="EA40" s="35" t="s">
        <v>3443</v>
      </c>
      <c r="EB40" s="35" t="s">
        <v>475</v>
      </c>
      <c r="EC40" s="35" t="s">
        <v>845</v>
      </c>
      <c r="ED40" s="35" t="s">
        <v>3444</v>
      </c>
      <c r="EU40" s="35" t="s">
        <v>478</v>
      </c>
      <c r="EV40" s="35" t="s">
        <v>479</v>
      </c>
      <c r="EW40" s="35" t="s">
        <v>778</v>
      </c>
      <c r="EX40" s="35" t="s">
        <v>3445</v>
      </c>
      <c r="EY40" s="35" t="s">
        <v>3446</v>
      </c>
      <c r="EZ40" s="35" t="s">
        <v>11904</v>
      </c>
      <c r="FA40" s="35" t="s">
        <v>583</v>
      </c>
      <c r="FB40" s="35" t="s">
        <v>583</v>
      </c>
      <c r="FC40" s="35" t="s">
        <v>416</v>
      </c>
      <c r="FD40" s="35" t="s">
        <v>583</v>
      </c>
      <c r="FE40" s="35" t="s">
        <v>413</v>
      </c>
      <c r="FF40" s="35" t="s">
        <v>583</v>
      </c>
      <c r="FG40" s="35" t="s">
        <v>484</v>
      </c>
      <c r="FH40" s="35" t="s">
        <v>413</v>
      </c>
      <c r="FI40" s="35" t="s">
        <v>583</v>
      </c>
      <c r="FJ40" s="35" t="s">
        <v>583</v>
      </c>
      <c r="FK40" s="35" t="s">
        <v>416</v>
      </c>
      <c r="FL40" s="35" t="s">
        <v>484</v>
      </c>
      <c r="FM40" s="35" t="s">
        <v>484</v>
      </c>
      <c r="FN40" s="35" t="s">
        <v>413</v>
      </c>
      <c r="FO40" s="35" t="s">
        <v>583</v>
      </c>
      <c r="FP40" s="35" t="s">
        <v>3396</v>
      </c>
      <c r="FQ40" s="35" t="s">
        <v>486</v>
      </c>
      <c r="FS40" s="35" t="s">
        <v>11905</v>
      </c>
      <c r="FT40" s="35" t="s">
        <v>420</v>
      </c>
      <c r="FV40" s="35" t="s">
        <v>533</v>
      </c>
      <c r="FW40" s="35" t="s">
        <v>490</v>
      </c>
      <c r="FX40" s="35" t="s">
        <v>491</v>
      </c>
      <c r="FY40" s="35" t="s">
        <v>11906</v>
      </c>
      <c r="FZ40" s="35" t="s">
        <v>1337</v>
      </c>
      <c r="GA40" s="35" t="s">
        <v>11907</v>
      </c>
      <c r="GB40" s="35" t="s">
        <v>11908</v>
      </c>
      <c r="GC40" s="35" t="s">
        <v>455</v>
      </c>
      <c r="GD40" s="35" t="s">
        <v>11909</v>
      </c>
      <c r="GF40" s="35" t="s">
        <v>753</v>
      </c>
      <c r="GG40" s="35" t="s">
        <v>3337</v>
      </c>
      <c r="GH40" s="35" t="s">
        <v>1000</v>
      </c>
      <c r="GI40" s="35" t="s">
        <v>1000</v>
      </c>
      <c r="GJ40" s="35" t="s">
        <v>756</v>
      </c>
      <c r="GN40" s="35" t="s">
        <v>1079</v>
      </c>
      <c r="GR40" s="42" t="s">
        <v>3452</v>
      </c>
    </row>
    <row r="41">
      <c r="A41" s="40"/>
      <c r="B41" s="40">
        <v>45830.77002224537</v>
      </c>
      <c r="C41" s="35" t="s">
        <v>368</v>
      </c>
      <c r="D41" s="35" t="s">
        <v>370</v>
      </c>
      <c r="F41" s="35" t="s">
        <v>1001</v>
      </c>
      <c r="H41" s="35" t="s">
        <v>422</v>
      </c>
      <c r="I41" s="35" t="s">
        <v>637</v>
      </c>
      <c r="J41" s="35" t="s">
        <v>638</v>
      </c>
      <c r="K41" s="35" t="s">
        <v>1204</v>
      </c>
      <c r="L41" s="35" t="s">
        <v>376</v>
      </c>
      <c r="M41" s="35" t="s">
        <v>379</v>
      </c>
      <c r="N41" s="35" t="s">
        <v>1690</v>
      </c>
      <c r="O41" s="35" t="s">
        <v>379</v>
      </c>
      <c r="P41" s="35" t="s">
        <v>497</v>
      </c>
      <c r="Q41" s="35" t="s">
        <v>592</v>
      </c>
      <c r="R41" s="35" t="s">
        <v>759</v>
      </c>
      <c r="S41" s="35" t="s">
        <v>1704</v>
      </c>
      <c r="T41" s="35" t="s">
        <v>384</v>
      </c>
      <c r="U41" s="35" t="s">
        <v>385</v>
      </c>
      <c r="AW41" s="35" t="s">
        <v>504</v>
      </c>
      <c r="AX41" s="41">
        <v>4.0</v>
      </c>
      <c r="AY41" s="35" t="s">
        <v>391</v>
      </c>
      <c r="AZ41" s="35" t="s">
        <v>391</v>
      </c>
      <c r="BA41" s="41">
        <v>2.0</v>
      </c>
      <c r="BB41" s="35" t="s">
        <v>391</v>
      </c>
      <c r="BC41" s="35" t="s">
        <v>391</v>
      </c>
      <c r="BF41" s="35" t="s">
        <v>432</v>
      </c>
      <c r="BH41" s="35" t="s">
        <v>394</v>
      </c>
      <c r="BJ41" s="35" t="s">
        <v>824</v>
      </c>
      <c r="BL41" s="35" t="s">
        <v>681</v>
      </c>
      <c r="BM41" s="35" t="s">
        <v>396</v>
      </c>
      <c r="BN41" s="35" t="s">
        <v>549</v>
      </c>
      <c r="BO41" s="35" t="s">
        <v>440</v>
      </c>
      <c r="DJ41" s="35" t="s">
        <v>459</v>
      </c>
      <c r="DK41" s="35" t="s">
        <v>613</v>
      </c>
      <c r="DN41" s="35" t="s">
        <v>2890</v>
      </c>
      <c r="DO41" s="35" t="s">
        <v>3469</v>
      </c>
      <c r="DP41" s="35" t="s">
        <v>464</v>
      </c>
      <c r="DQ41" s="35" t="s">
        <v>3470</v>
      </c>
      <c r="DR41" s="35" t="s">
        <v>1176</v>
      </c>
      <c r="DS41" s="35" t="s">
        <v>408</v>
      </c>
      <c r="DT41" s="35" t="s">
        <v>839</v>
      </c>
      <c r="DU41" s="35" t="s">
        <v>570</v>
      </c>
      <c r="DV41" s="35" t="s">
        <v>3471</v>
      </c>
      <c r="DW41" s="35" t="s">
        <v>3471</v>
      </c>
      <c r="DX41" s="35" t="s">
        <v>573</v>
      </c>
      <c r="DZ41" s="35" t="s">
        <v>11910</v>
      </c>
      <c r="EA41" s="35" t="s">
        <v>11911</v>
      </c>
      <c r="EB41" s="35" t="s">
        <v>2960</v>
      </c>
      <c r="EC41" s="35" t="s">
        <v>3474</v>
      </c>
      <c r="EU41" s="35" t="s">
        <v>478</v>
      </c>
      <c r="EV41" s="35" t="s">
        <v>479</v>
      </c>
      <c r="EW41" s="35" t="s">
        <v>778</v>
      </c>
      <c r="EX41" s="35" t="s">
        <v>3475</v>
      </c>
      <c r="FP41" s="35" t="s">
        <v>485</v>
      </c>
      <c r="FQ41" s="35" t="s">
        <v>486</v>
      </c>
      <c r="FR41" s="35" t="s">
        <v>712</v>
      </c>
      <c r="FT41" s="35" t="s">
        <v>420</v>
      </c>
      <c r="FU41" s="35" t="s">
        <v>488</v>
      </c>
      <c r="FV41" s="35" t="s">
        <v>489</v>
      </c>
      <c r="FW41" s="35" t="s">
        <v>490</v>
      </c>
      <c r="FX41" s="35" t="s">
        <v>491</v>
      </c>
      <c r="FZ41" s="35" t="s">
        <v>535</v>
      </c>
      <c r="GC41" s="35" t="s">
        <v>408</v>
      </c>
      <c r="GN41" s="35" t="s">
        <v>2312</v>
      </c>
      <c r="GR41" s="35" t="s">
        <v>3208</v>
      </c>
    </row>
    <row r="42">
      <c r="A42" s="40"/>
      <c r="B42" s="40">
        <v>45830.97040641204</v>
      </c>
      <c r="C42" s="35" t="s">
        <v>368</v>
      </c>
      <c r="D42" s="35" t="s">
        <v>1201</v>
      </c>
      <c r="E42" s="35" t="s">
        <v>1201</v>
      </c>
      <c r="H42" s="35" t="s">
        <v>422</v>
      </c>
      <c r="I42" s="35" t="s">
        <v>423</v>
      </c>
      <c r="J42" s="35" t="s">
        <v>668</v>
      </c>
      <c r="K42" s="35" t="s">
        <v>1240</v>
      </c>
      <c r="L42" s="35" t="s">
        <v>376</v>
      </c>
      <c r="M42" s="35" t="s">
        <v>379</v>
      </c>
      <c r="N42" s="35" t="s">
        <v>720</v>
      </c>
      <c r="O42" s="35" t="s">
        <v>377</v>
      </c>
      <c r="P42" s="35" t="s">
        <v>497</v>
      </c>
      <c r="Q42" s="35" t="s">
        <v>381</v>
      </c>
      <c r="R42" s="35" t="s">
        <v>499</v>
      </c>
      <c r="S42" s="35" t="s">
        <v>427</v>
      </c>
      <c r="T42" s="35" t="s">
        <v>384</v>
      </c>
      <c r="U42" s="35" t="s">
        <v>385</v>
      </c>
      <c r="X42" s="35" t="s">
        <v>3014</v>
      </c>
      <c r="AW42" s="35" t="s">
        <v>1310</v>
      </c>
      <c r="AX42" s="35" t="s">
        <v>391</v>
      </c>
      <c r="AY42" s="35" t="s">
        <v>391</v>
      </c>
      <c r="AZ42" s="35" t="s">
        <v>391</v>
      </c>
      <c r="BA42" s="35" t="s">
        <v>391</v>
      </c>
      <c r="BB42" s="41">
        <v>4.0</v>
      </c>
      <c r="BC42" s="35" t="s">
        <v>391</v>
      </c>
      <c r="BD42" s="35" t="s">
        <v>11912</v>
      </c>
      <c r="BE42" s="35" t="s">
        <v>3482</v>
      </c>
      <c r="BF42" s="35" t="s">
        <v>392</v>
      </c>
      <c r="BG42" s="35" t="s">
        <v>393</v>
      </c>
      <c r="BH42" s="35" t="s">
        <v>678</v>
      </c>
      <c r="BI42" s="35" t="s">
        <v>11913</v>
      </c>
      <c r="BJ42" s="35" t="s">
        <v>435</v>
      </c>
      <c r="BK42" s="35" t="s">
        <v>11914</v>
      </c>
      <c r="BL42" s="35" t="s">
        <v>511</v>
      </c>
      <c r="BM42" s="35" t="s">
        <v>438</v>
      </c>
      <c r="BN42" s="35" t="s">
        <v>1247</v>
      </c>
      <c r="BO42" s="35" t="s">
        <v>440</v>
      </c>
      <c r="CM42" s="35" t="s">
        <v>550</v>
      </c>
      <c r="CN42" s="35" t="s">
        <v>442</v>
      </c>
      <c r="CO42" s="35" t="s">
        <v>3485</v>
      </c>
      <c r="CP42" s="35" t="s">
        <v>3486</v>
      </c>
      <c r="CQ42" s="35" t="s">
        <v>685</v>
      </c>
      <c r="CR42" s="35" t="s">
        <v>3487</v>
      </c>
      <c r="CS42" s="35" t="s">
        <v>447</v>
      </c>
      <c r="CT42" s="35" t="s">
        <v>3488</v>
      </c>
      <c r="CU42" s="35" t="s">
        <v>3489</v>
      </c>
      <c r="CV42" s="35" t="s">
        <v>519</v>
      </c>
      <c r="CW42" s="35" t="s">
        <v>451</v>
      </c>
      <c r="CX42" s="35" t="s">
        <v>3490</v>
      </c>
      <c r="CY42" s="35" t="s">
        <v>408</v>
      </c>
      <c r="DA42" s="35" t="s">
        <v>453</v>
      </c>
      <c r="DB42" s="35" t="s">
        <v>3491</v>
      </c>
      <c r="DC42" s="35" t="s">
        <v>455</v>
      </c>
      <c r="DD42" s="35" t="s">
        <v>3492</v>
      </c>
      <c r="DE42" s="35" t="s">
        <v>406</v>
      </c>
      <c r="DF42" s="35" t="s">
        <v>407</v>
      </c>
      <c r="DG42" s="35" t="s">
        <v>3493</v>
      </c>
      <c r="DH42" s="35" t="s">
        <v>524</v>
      </c>
      <c r="DI42" s="35" t="s">
        <v>410</v>
      </c>
      <c r="DJ42" s="35" t="s">
        <v>963</v>
      </c>
      <c r="DK42" s="35" t="s">
        <v>562</v>
      </c>
      <c r="DL42" s="35" t="s">
        <v>461</v>
      </c>
      <c r="DN42" s="35" t="s">
        <v>3494</v>
      </c>
      <c r="DO42" s="35" t="s">
        <v>3495</v>
      </c>
      <c r="DP42" s="35" t="s">
        <v>3496</v>
      </c>
      <c r="DQ42" s="35" t="s">
        <v>3497</v>
      </c>
      <c r="DR42" s="35" t="s">
        <v>466</v>
      </c>
      <c r="DS42" s="35" t="s">
        <v>11915</v>
      </c>
      <c r="DT42" s="35" t="s">
        <v>839</v>
      </c>
      <c r="DU42" s="35" t="s">
        <v>1580</v>
      </c>
      <c r="DV42" s="35" t="s">
        <v>3499</v>
      </c>
      <c r="DW42" s="35" t="s">
        <v>3500</v>
      </c>
      <c r="DX42" s="35" t="s">
        <v>573</v>
      </c>
      <c r="DY42" s="35" t="s">
        <v>3501</v>
      </c>
      <c r="DZ42" s="35" t="s">
        <v>3502</v>
      </c>
      <c r="EA42" s="35" t="s">
        <v>3503</v>
      </c>
      <c r="EB42" s="35" t="s">
        <v>475</v>
      </c>
      <c r="EC42" s="35" t="s">
        <v>626</v>
      </c>
      <c r="EU42" s="35" t="s">
        <v>526</v>
      </c>
      <c r="EV42" s="35" t="s">
        <v>479</v>
      </c>
      <c r="EW42" s="35" t="s">
        <v>480</v>
      </c>
      <c r="EY42" s="35" t="s">
        <v>11916</v>
      </c>
      <c r="EZ42" s="35" t="s">
        <v>11917</v>
      </c>
      <c r="FA42" s="35" t="s">
        <v>415</v>
      </c>
      <c r="FB42" s="35" t="s">
        <v>415</v>
      </c>
      <c r="FC42" s="35" t="s">
        <v>413</v>
      </c>
      <c r="FD42" s="35" t="s">
        <v>413</v>
      </c>
      <c r="FE42" s="35" t="s">
        <v>413</v>
      </c>
      <c r="FF42" s="35" t="s">
        <v>415</v>
      </c>
      <c r="FG42" s="35" t="s">
        <v>413</v>
      </c>
      <c r="FH42" s="35" t="s">
        <v>413</v>
      </c>
      <c r="FI42" s="35" t="s">
        <v>414</v>
      </c>
      <c r="FJ42" s="35" t="s">
        <v>415</v>
      </c>
      <c r="FK42" s="35" t="s">
        <v>415</v>
      </c>
      <c r="FL42" s="35" t="s">
        <v>415</v>
      </c>
      <c r="FM42" s="35" t="s">
        <v>415</v>
      </c>
      <c r="FN42" s="35" t="s">
        <v>415</v>
      </c>
      <c r="FO42" s="35" t="s">
        <v>415</v>
      </c>
      <c r="FP42" s="35" t="s">
        <v>485</v>
      </c>
      <c r="FQ42" s="35" t="s">
        <v>418</v>
      </c>
      <c r="FR42" s="35" t="s">
        <v>749</v>
      </c>
      <c r="FT42" s="35" t="s">
        <v>420</v>
      </c>
      <c r="FU42" s="35" t="s">
        <v>488</v>
      </c>
      <c r="FV42" s="35" t="s">
        <v>918</v>
      </c>
      <c r="FW42" s="35" t="s">
        <v>490</v>
      </c>
      <c r="FX42" s="35" t="s">
        <v>491</v>
      </c>
      <c r="FY42" s="35" t="s">
        <v>11918</v>
      </c>
      <c r="FZ42" s="35" t="s">
        <v>535</v>
      </c>
      <c r="GA42" s="35" t="s">
        <v>3507</v>
      </c>
      <c r="GB42" s="35" t="s">
        <v>3508</v>
      </c>
      <c r="GC42" s="35" t="s">
        <v>455</v>
      </c>
      <c r="GD42" s="35" t="s">
        <v>11919</v>
      </c>
      <c r="GF42" s="35" t="s">
        <v>753</v>
      </c>
      <c r="GH42" s="35" t="s">
        <v>755</v>
      </c>
      <c r="GI42" s="35" t="s">
        <v>755</v>
      </c>
      <c r="GJ42" s="35" t="s">
        <v>946</v>
      </c>
      <c r="GN42" s="35" t="s">
        <v>1079</v>
      </c>
      <c r="GO42" s="35" t="s">
        <v>11920</v>
      </c>
      <c r="GP42" s="35" t="s">
        <v>11920</v>
      </c>
      <c r="GR42" s="35" t="s">
        <v>3208</v>
      </c>
    </row>
    <row r="43">
      <c r="A43" s="40"/>
      <c r="B43" s="40">
        <v>45831.2901250463</v>
      </c>
      <c r="C43" s="35" t="s">
        <v>368</v>
      </c>
      <c r="D43" s="35" t="s">
        <v>370</v>
      </c>
      <c r="F43" s="35" t="s">
        <v>2359</v>
      </c>
      <c r="H43" s="35" t="s">
        <v>3595</v>
      </c>
      <c r="I43" s="35" t="s">
        <v>373</v>
      </c>
      <c r="J43" s="35" t="s">
        <v>374</v>
      </c>
      <c r="K43" s="35" t="s">
        <v>375</v>
      </c>
      <c r="L43" s="35" t="s">
        <v>376</v>
      </c>
      <c r="M43" s="35" t="s">
        <v>591</v>
      </c>
      <c r="N43" s="35" t="s">
        <v>2196</v>
      </c>
      <c r="O43" s="35" t="s">
        <v>377</v>
      </c>
      <c r="P43" s="35" t="s">
        <v>497</v>
      </c>
      <c r="Q43" s="35" t="s">
        <v>381</v>
      </c>
      <c r="R43" s="35" t="s">
        <v>499</v>
      </c>
      <c r="S43" s="35" t="s">
        <v>500</v>
      </c>
      <c r="T43" s="35" t="s">
        <v>384</v>
      </c>
      <c r="U43" s="35" t="s">
        <v>385</v>
      </c>
      <c r="X43" s="35" t="s">
        <v>3231</v>
      </c>
      <c r="AW43" s="35" t="s">
        <v>597</v>
      </c>
      <c r="AX43" s="41">
        <v>2.0</v>
      </c>
      <c r="AY43" s="35" t="s">
        <v>429</v>
      </c>
      <c r="AZ43" s="35" t="s">
        <v>391</v>
      </c>
      <c r="BA43" s="41">
        <v>2.0</v>
      </c>
      <c r="BB43" s="41">
        <v>2.0</v>
      </c>
      <c r="BC43" s="41">
        <v>2.0</v>
      </c>
      <c r="BD43" s="35" t="s">
        <v>11921</v>
      </c>
      <c r="BE43" s="35" t="s">
        <v>11922</v>
      </c>
      <c r="BF43" s="35" t="s">
        <v>392</v>
      </c>
      <c r="BG43" s="35" t="s">
        <v>433</v>
      </c>
      <c r="BH43" s="35" t="s">
        <v>434</v>
      </c>
      <c r="BI43" s="35" t="s">
        <v>11923</v>
      </c>
      <c r="BJ43" s="35" t="s">
        <v>509</v>
      </c>
      <c r="BK43" s="35" t="s">
        <v>11924</v>
      </c>
      <c r="BL43" s="35" t="s">
        <v>437</v>
      </c>
      <c r="BM43" s="35" t="s">
        <v>512</v>
      </c>
      <c r="BN43" s="35" t="s">
        <v>549</v>
      </c>
      <c r="BO43" s="35" t="s">
        <v>440</v>
      </c>
      <c r="CM43" s="35" t="s">
        <v>441</v>
      </c>
      <c r="CN43" s="35" t="s">
        <v>442</v>
      </c>
      <c r="CO43" s="35" t="s">
        <v>11925</v>
      </c>
      <c r="CP43" s="35" t="s">
        <v>11926</v>
      </c>
      <c r="CQ43" s="35" t="s">
        <v>445</v>
      </c>
      <c r="CR43" s="35" t="s">
        <v>3602</v>
      </c>
      <c r="CS43" s="35" t="s">
        <v>447</v>
      </c>
      <c r="CT43" s="35" t="s">
        <v>1147</v>
      </c>
      <c r="CU43" s="35" t="s">
        <v>11927</v>
      </c>
      <c r="CV43" s="35" t="s">
        <v>450</v>
      </c>
      <c r="CW43" s="35" t="s">
        <v>451</v>
      </c>
      <c r="CX43" s="35" t="s">
        <v>11928</v>
      </c>
      <c r="CY43" s="35" t="s">
        <v>408</v>
      </c>
      <c r="DA43" s="35" t="s">
        <v>985</v>
      </c>
      <c r="DB43" s="35" t="s">
        <v>11929</v>
      </c>
      <c r="DC43" s="35" t="s">
        <v>408</v>
      </c>
      <c r="DE43" s="35" t="s">
        <v>988</v>
      </c>
      <c r="DG43" s="35" t="s">
        <v>11930</v>
      </c>
      <c r="DH43" s="35" t="s">
        <v>524</v>
      </c>
      <c r="DI43" s="35" t="s">
        <v>410</v>
      </c>
      <c r="DJ43" s="35" t="s">
        <v>459</v>
      </c>
      <c r="DK43" s="35" t="s">
        <v>460</v>
      </c>
      <c r="DL43" s="35" t="s">
        <v>461</v>
      </c>
      <c r="DN43" s="35" t="s">
        <v>3607</v>
      </c>
      <c r="DO43" s="35" t="s">
        <v>3608</v>
      </c>
      <c r="DP43" s="35" t="s">
        <v>1063</v>
      </c>
      <c r="DQ43" s="35" t="s">
        <v>3609</v>
      </c>
      <c r="DR43" s="35" t="s">
        <v>1176</v>
      </c>
      <c r="DS43" s="35" t="s">
        <v>11931</v>
      </c>
      <c r="DT43" s="35" t="s">
        <v>839</v>
      </c>
      <c r="DU43" s="35" t="s">
        <v>3611</v>
      </c>
      <c r="DV43" s="35" t="s">
        <v>11932</v>
      </c>
      <c r="DW43" s="35" t="s">
        <v>11933</v>
      </c>
      <c r="DX43" s="35" t="s">
        <v>573</v>
      </c>
      <c r="DY43" s="35" t="s">
        <v>11934</v>
      </c>
      <c r="DZ43" s="35" t="s">
        <v>11935</v>
      </c>
      <c r="EA43" s="35" t="s">
        <v>11936</v>
      </c>
      <c r="EB43" s="35" t="s">
        <v>475</v>
      </c>
      <c r="EC43" s="35" t="s">
        <v>845</v>
      </c>
      <c r="ED43" s="35" t="s">
        <v>11937</v>
      </c>
      <c r="EU43" s="35" t="s">
        <v>526</v>
      </c>
      <c r="EV43" s="35" t="s">
        <v>479</v>
      </c>
      <c r="EW43" s="35" t="s">
        <v>527</v>
      </c>
      <c r="EX43" s="35" t="s">
        <v>11938</v>
      </c>
      <c r="EY43" s="35" t="s">
        <v>11939</v>
      </c>
      <c r="EZ43" s="35" t="s">
        <v>11940</v>
      </c>
      <c r="FA43" s="35" t="s">
        <v>583</v>
      </c>
      <c r="FB43" s="35" t="s">
        <v>583</v>
      </c>
      <c r="FC43" s="35" t="s">
        <v>414</v>
      </c>
      <c r="FD43" s="35" t="s">
        <v>583</v>
      </c>
      <c r="FE43" s="35" t="s">
        <v>413</v>
      </c>
      <c r="FF43" s="35" t="s">
        <v>583</v>
      </c>
      <c r="FG43" s="35" t="s">
        <v>583</v>
      </c>
      <c r="FH43" s="35" t="s">
        <v>416</v>
      </c>
      <c r="FI43" s="35" t="s">
        <v>583</v>
      </c>
      <c r="FJ43" s="35" t="s">
        <v>583</v>
      </c>
      <c r="FK43" s="35" t="s">
        <v>583</v>
      </c>
      <c r="FL43" s="35" t="s">
        <v>583</v>
      </c>
      <c r="FM43" s="35" t="s">
        <v>583</v>
      </c>
      <c r="FN43" s="35" t="s">
        <v>416</v>
      </c>
      <c r="FO43" s="35" t="s">
        <v>583</v>
      </c>
      <c r="FP43" s="35" t="s">
        <v>417</v>
      </c>
      <c r="FQ43" s="35" t="s">
        <v>486</v>
      </c>
      <c r="FR43" s="35" t="s">
        <v>630</v>
      </c>
      <c r="FS43" s="35" t="s">
        <v>11941</v>
      </c>
      <c r="FT43" s="35" t="s">
        <v>420</v>
      </c>
      <c r="FU43" s="35" t="s">
        <v>488</v>
      </c>
      <c r="FV43" s="35" t="s">
        <v>533</v>
      </c>
      <c r="FW43" s="35" t="s">
        <v>490</v>
      </c>
      <c r="FX43" s="35" t="s">
        <v>491</v>
      </c>
      <c r="FY43" s="35" t="s">
        <v>11942</v>
      </c>
      <c r="GA43" s="35" t="s">
        <v>11943</v>
      </c>
      <c r="GC43" s="35" t="s">
        <v>455</v>
      </c>
      <c r="GD43" s="35" t="s">
        <v>11944</v>
      </c>
      <c r="GE43" s="35" t="s">
        <v>11945</v>
      </c>
      <c r="GF43" s="35" t="s">
        <v>944</v>
      </c>
      <c r="GH43" s="35" t="s">
        <v>755</v>
      </c>
      <c r="GI43" s="35" t="s">
        <v>755</v>
      </c>
      <c r="GJ43" s="35" t="s">
        <v>946</v>
      </c>
      <c r="GN43" s="35" t="s">
        <v>1079</v>
      </c>
      <c r="GQ43" s="35" t="s">
        <v>1706</v>
      </c>
      <c r="GR43" s="35" t="s">
        <v>3208</v>
      </c>
    </row>
    <row r="44">
      <c r="A44" s="40"/>
      <c r="B44" s="40">
        <v>45831.31184445602</v>
      </c>
      <c r="C44" s="35" t="s">
        <v>368</v>
      </c>
      <c r="D44" s="35" t="s">
        <v>370</v>
      </c>
      <c r="F44" s="35" t="s">
        <v>1480</v>
      </c>
      <c r="H44" s="35" t="s">
        <v>422</v>
      </c>
      <c r="I44" s="35" t="s">
        <v>373</v>
      </c>
      <c r="J44" s="35" t="s">
        <v>374</v>
      </c>
      <c r="K44" s="35" t="s">
        <v>590</v>
      </c>
      <c r="L44" s="35" t="s">
        <v>376</v>
      </c>
      <c r="M44" s="35" t="s">
        <v>379</v>
      </c>
      <c r="N44" s="35" t="s">
        <v>639</v>
      </c>
      <c r="O44" s="35" t="s">
        <v>426</v>
      </c>
      <c r="P44" s="35" t="s">
        <v>378</v>
      </c>
      <c r="Q44" s="35" t="s">
        <v>381</v>
      </c>
      <c r="R44" s="35" t="s">
        <v>862</v>
      </c>
      <c r="S44" s="35" t="s">
        <v>500</v>
      </c>
      <c r="T44" s="35" t="s">
        <v>3624</v>
      </c>
      <c r="U44" s="35" t="s">
        <v>385</v>
      </c>
      <c r="X44" s="35" t="s">
        <v>3014</v>
      </c>
      <c r="AW44" s="35" t="s">
        <v>504</v>
      </c>
      <c r="AX44" s="35" t="s">
        <v>391</v>
      </c>
      <c r="AY44" s="41">
        <v>2.0</v>
      </c>
      <c r="AZ44" s="41">
        <v>2.0</v>
      </c>
      <c r="BA44" s="41">
        <v>2.0</v>
      </c>
      <c r="BB44" s="35" t="s">
        <v>391</v>
      </c>
      <c r="BC44" s="41">
        <v>2.0</v>
      </c>
      <c r="BD44" s="35" t="s">
        <v>11946</v>
      </c>
      <c r="BE44" s="35" t="s">
        <v>11947</v>
      </c>
      <c r="BF44" s="35" t="s">
        <v>902</v>
      </c>
      <c r="BG44" s="35" t="s">
        <v>433</v>
      </c>
      <c r="BH44" s="35" t="s">
        <v>434</v>
      </c>
      <c r="BJ44" s="35" t="s">
        <v>509</v>
      </c>
      <c r="BK44" s="35" t="s">
        <v>11948</v>
      </c>
      <c r="BL44" s="35" t="s">
        <v>395</v>
      </c>
      <c r="BM44" s="35" t="s">
        <v>603</v>
      </c>
      <c r="BN44" s="35" t="s">
        <v>549</v>
      </c>
      <c r="BO44" s="35" t="s">
        <v>440</v>
      </c>
      <c r="CM44" s="35" t="s">
        <v>441</v>
      </c>
      <c r="CN44" s="35" t="s">
        <v>604</v>
      </c>
      <c r="CO44" s="35" t="s">
        <v>1600</v>
      </c>
      <c r="CP44" s="35" t="s">
        <v>11949</v>
      </c>
      <c r="CQ44" s="35" t="s">
        <v>403</v>
      </c>
      <c r="CR44" s="35" t="s">
        <v>3629</v>
      </c>
      <c r="CS44" s="35" t="s">
        <v>447</v>
      </c>
      <c r="CT44" s="35" t="s">
        <v>957</v>
      </c>
      <c r="CU44" s="35" t="s">
        <v>11950</v>
      </c>
      <c r="CV44" s="35" t="s">
        <v>450</v>
      </c>
      <c r="CW44" s="35" t="s">
        <v>451</v>
      </c>
      <c r="CX44" s="35" t="s">
        <v>3631</v>
      </c>
      <c r="CY44" s="35" t="s">
        <v>408</v>
      </c>
      <c r="DA44" s="35" t="s">
        <v>453</v>
      </c>
      <c r="DB44" s="35" t="s">
        <v>11951</v>
      </c>
      <c r="DC44" s="35" t="s">
        <v>913</v>
      </c>
      <c r="DE44" s="35" t="s">
        <v>457</v>
      </c>
      <c r="DG44" s="35" t="s">
        <v>11952</v>
      </c>
      <c r="DH44" s="35" t="s">
        <v>524</v>
      </c>
      <c r="DI44" s="35" t="s">
        <v>410</v>
      </c>
      <c r="DJ44" s="35" t="s">
        <v>459</v>
      </c>
      <c r="DK44" s="35" t="s">
        <v>562</v>
      </c>
      <c r="DL44" s="35" t="s">
        <v>461</v>
      </c>
      <c r="DN44" s="35" t="s">
        <v>3634</v>
      </c>
      <c r="DO44" s="35" t="s">
        <v>3635</v>
      </c>
      <c r="DP44" s="35" t="s">
        <v>1063</v>
      </c>
      <c r="DQ44" s="35" t="s">
        <v>11953</v>
      </c>
      <c r="DR44" s="35" t="s">
        <v>837</v>
      </c>
      <c r="DS44" s="35" t="s">
        <v>11954</v>
      </c>
      <c r="DT44" s="35" t="s">
        <v>618</v>
      </c>
      <c r="DV44" s="35" t="s">
        <v>11955</v>
      </c>
      <c r="DW44" s="35" t="s">
        <v>11956</v>
      </c>
      <c r="DX44" s="35" t="s">
        <v>573</v>
      </c>
      <c r="DY44" s="35" t="s">
        <v>3640</v>
      </c>
      <c r="DZ44" s="35" t="s">
        <v>11957</v>
      </c>
      <c r="EA44" s="35" t="s">
        <v>11958</v>
      </c>
      <c r="EB44" s="35" t="s">
        <v>475</v>
      </c>
      <c r="EC44" s="35" t="s">
        <v>626</v>
      </c>
      <c r="EU44" s="35" t="s">
        <v>478</v>
      </c>
      <c r="EV44" s="35" t="s">
        <v>479</v>
      </c>
      <c r="EW44" s="35" t="s">
        <v>527</v>
      </c>
      <c r="EX44" s="35" t="s">
        <v>11959</v>
      </c>
      <c r="EY44" s="35" t="s">
        <v>11960</v>
      </c>
      <c r="EZ44" s="35" t="s">
        <v>11961</v>
      </c>
      <c r="FA44" s="35" t="s">
        <v>413</v>
      </c>
      <c r="FB44" s="35" t="s">
        <v>415</v>
      </c>
      <c r="FC44" s="35" t="s">
        <v>413</v>
      </c>
      <c r="FD44" s="35" t="s">
        <v>416</v>
      </c>
      <c r="FE44" s="35" t="s">
        <v>413</v>
      </c>
      <c r="FF44" s="35" t="s">
        <v>415</v>
      </c>
      <c r="FG44" s="35" t="s">
        <v>416</v>
      </c>
      <c r="FH44" s="35" t="s">
        <v>415</v>
      </c>
      <c r="FI44" s="35" t="s">
        <v>415</v>
      </c>
      <c r="FJ44" s="35" t="s">
        <v>414</v>
      </c>
      <c r="FK44" s="35" t="s">
        <v>415</v>
      </c>
      <c r="FL44" s="35" t="s">
        <v>416</v>
      </c>
      <c r="FM44" s="35" t="s">
        <v>415</v>
      </c>
      <c r="FN44" s="35" t="s">
        <v>416</v>
      </c>
      <c r="FO44" s="35" t="s">
        <v>414</v>
      </c>
      <c r="FP44" s="35" t="s">
        <v>417</v>
      </c>
      <c r="FQ44" s="35" t="s">
        <v>418</v>
      </c>
      <c r="FR44" s="35" t="s">
        <v>749</v>
      </c>
      <c r="FS44" s="35" t="s">
        <v>11962</v>
      </c>
      <c r="FT44" s="35" t="s">
        <v>420</v>
      </c>
      <c r="FU44" s="35" t="s">
        <v>488</v>
      </c>
      <c r="FV44" s="35" t="s">
        <v>489</v>
      </c>
      <c r="FW44" s="35" t="s">
        <v>490</v>
      </c>
      <c r="FX44" s="35" t="s">
        <v>491</v>
      </c>
      <c r="FY44" s="35" t="s">
        <v>11963</v>
      </c>
      <c r="FZ44" s="35" t="s">
        <v>535</v>
      </c>
      <c r="GC44" s="35" t="s">
        <v>455</v>
      </c>
      <c r="GD44" s="35" t="s">
        <v>11964</v>
      </c>
      <c r="GF44" s="35" t="s">
        <v>1339</v>
      </c>
      <c r="GG44" s="35" t="s">
        <v>3648</v>
      </c>
      <c r="GH44" s="35" t="s">
        <v>755</v>
      </c>
      <c r="GI44" s="35" t="s">
        <v>755</v>
      </c>
      <c r="GJ44" s="35" t="s">
        <v>946</v>
      </c>
      <c r="GN44" s="35" t="s">
        <v>1079</v>
      </c>
      <c r="GR44" s="35" t="s">
        <v>3273</v>
      </c>
    </row>
    <row r="45">
      <c r="A45" s="40"/>
      <c r="B45" s="40">
        <v>45831.337022465275</v>
      </c>
      <c r="C45" s="35" t="s">
        <v>368</v>
      </c>
      <c r="D45" s="35" t="s">
        <v>370</v>
      </c>
      <c r="F45" s="35" t="s">
        <v>922</v>
      </c>
      <c r="H45" s="35" t="s">
        <v>422</v>
      </c>
      <c r="I45" s="35" t="s">
        <v>1203</v>
      </c>
      <c r="J45" s="35" t="s">
        <v>638</v>
      </c>
      <c r="K45" s="35" t="s">
        <v>425</v>
      </c>
      <c r="L45" s="35" t="s">
        <v>376</v>
      </c>
      <c r="M45" s="35" t="s">
        <v>591</v>
      </c>
      <c r="N45" s="35" t="s">
        <v>3649</v>
      </c>
      <c r="O45" s="35" t="s">
        <v>670</v>
      </c>
      <c r="P45" s="35" t="s">
        <v>720</v>
      </c>
      <c r="Q45" s="35" t="s">
        <v>592</v>
      </c>
      <c r="R45" s="35" t="s">
        <v>499</v>
      </c>
      <c r="S45" s="35" t="s">
        <v>500</v>
      </c>
      <c r="T45" s="35" t="s">
        <v>384</v>
      </c>
      <c r="U45" s="35" t="s">
        <v>385</v>
      </c>
      <c r="X45" s="35" t="s">
        <v>593</v>
      </c>
      <c r="AW45" s="35" t="s">
        <v>390</v>
      </c>
      <c r="AX45" s="41">
        <v>2.0</v>
      </c>
      <c r="AY45" s="35" t="s">
        <v>429</v>
      </c>
      <c r="AZ45" s="35" t="s">
        <v>391</v>
      </c>
      <c r="BA45" s="35" t="s">
        <v>429</v>
      </c>
      <c r="BB45" s="35" t="s">
        <v>429</v>
      </c>
      <c r="BC45" s="35" t="s">
        <v>429</v>
      </c>
      <c r="BD45" s="35" t="s">
        <v>3650</v>
      </c>
      <c r="BE45" s="35" t="s">
        <v>3651</v>
      </c>
      <c r="BF45" s="35" t="s">
        <v>392</v>
      </c>
      <c r="BG45" s="35" t="s">
        <v>433</v>
      </c>
      <c r="BH45" s="35" t="s">
        <v>765</v>
      </c>
      <c r="BJ45" s="35" t="s">
        <v>824</v>
      </c>
      <c r="BL45" s="35" t="s">
        <v>437</v>
      </c>
      <c r="BM45" s="35" t="s">
        <v>396</v>
      </c>
      <c r="BN45" s="35" t="s">
        <v>549</v>
      </c>
      <c r="BO45" s="35" t="s">
        <v>440</v>
      </c>
      <c r="CM45" s="35" t="s">
        <v>441</v>
      </c>
      <c r="CN45" s="35" t="s">
        <v>401</v>
      </c>
      <c r="CO45" s="35" t="s">
        <v>3652</v>
      </c>
      <c r="CP45" s="35" t="s">
        <v>3653</v>
      </c>
      <c r="CQ45" s="35" t="s">
        <v>979</v>
      </c>
      <c r="CR45" s="35" t="s">
        <v>2317</v>
      </c>
      <c r="CS45" s="35" t="s">
        <v>447</v>
      </c>
      <c r="CT45" s="35" t="s">
        <v>1454</v>
      </c>
      <c r="CU45" s="35" t="s">
        <v>3654</v>
      </c>
      <c r="CV45" s="35" t="s">
        <v>519</v>
      </c>
      <c r="CW45" s="35" t="s">
        <v>451</v>
      </c>
      <c r="CX45" s="35" t="s">
        <v>3655</v>
      </c>
      <c r="CY45" s="35" t="s">
        <v>408</v>
      </c>
      <c r="DA45" s="35" t="s">
        <v>453</v>
      </c>
      <c r="DB45" s="35" t="s">
        <v>3656</v>
      </c>
      <c r="DC45" s="35" t="s">
        <v>455</v>
      </c>
      <c r="DD45" s="35" t="s">
        <v>3657</v>
      </c>
      <c r="DE45" s="35" t="s">
        <v>457</v>
      </c>
      <c r="DG45" s="35" t="s">
        <v>3658</v>
      </c>
      <c r="DH45" s="35" t="s">
        <v>524</v>
      </c>
      <c r="DI45" s="35" t="s">
        <v>694</v>
      </c>
      <c r="DJ45" s="35" t="s">
        <v>459</v>
      </c>
      <c r="DK45" s="35" t="s">
        <v>613</v>
      </c>
      <c r="DN45" s="35" t="s">
        <v>3659</v>
      </c>
      <c r="DO45" s="35" t="s">
        <v>3660</v>
      </c>
      <c r="DP45" s="35" t="s">
        <v>464</v>
      </c>
      <c r="DQ45" s="35" t="s">
        <v>3661</v>
      </c>
      <c r="DR45" s="35" t="s">
        <v>700</v>
      </c>
      <c r="DS45" s="35" t="s">
        <v>3662</v>
      </c>
      <c r="DT45" s="35" t="s">
        <v>618</v>
      </c>
      <c r="DU45" s="35" t="s">
        <v>570</v>
      </c>
      <c r="DV45" s="35" t="s">
        <v>3663</v>
      </c>
      <c r="DW45" s="35" t="s">
        <v>3664</v>
      </c>
      <c r="DX45" s="35" t="s">
        <v>573</v>
      </c>
      <c r="DY45" s="35" t="s">
        <v>3665</v>
      </c>
      <c r="DZ45" s="35" t="s">
        <v>3666</v>
      </c>
      <c r="EA45" s="35" t="s">
        <v>3667</v>
      </c>
      <c r="EB45" s="35" t="s">
        <v>475</v>
      </c>
      <c r="EC45" s="35" t="s">
        <v>845</v>
      </c>
      <c r="ED45" s="35" t="s">
        <v>3668</v>
      </c>
      <c r="EU45" s="35" t="s">
        <v>526</v>
      </c>
      <c r="EV45" s="35" t="s">
        <v>1037</v>
      </c>
      <c r="EW45" s="35" t="s">
        <v>480</v>
      </c>
      <c r="FA45" s="35" t="s">
        <v>415</v>
      </c>
      <c r="FB45" s="35" t="s">
        <v>415</v>
      </c>
      <c r="FC45" s="35" t="s">
        <v>413</v>
      </c>
      <c r="FD45" s="35" t="s">
        <v>413</v>
      </c>
      <c r="FE45" s="35" t="s">
        <v>413</v>
      </c>
      <c r="FF45" s="35" t="s">
        <v>415</v>
      </c>
      <c r="FG45" s="35" t="s">
        <v>413</v>
      </c>
      <c r="FH45" s="35" t="s">
        <v>413</v>
      </c>
      <c r="FI45" s="35" t="s">
        <v>583</v>
      </c>
      <c r="FJ45" s="35" t="s">
        <v>415</v>
      </c>
      <c r="FK45" s="35" t="s">
        <v>416</v>
      </c>
      <c r="FL45" s="35" t="s">
        <v>415</v>
      </c>
      <c r="FM45" s="35" t="s">
        <v>415</v>
      </c>
      <c r="FN45" s="35" t="s">
        <v>413</v>
      </c>
      <c r="FO45" s="35" t="s">
        <v>583</v>
      </c>
      <c r="FP45" s="35" t="s">
        <v>485</v>
      </c>
      <c r="FQ45" s="35" t="s">
        <v>418</v>
      </c>
      <c r="FR45" s="35" t="s">
        <v>712</v>
      </c>
      <c r="FT45" s="35" t="s">
        <v>420</v>
      </c>
      <c r="FU45" s="35" t="s">
        <v>1462</v>
      </c>
      <c r="FV45" s="35" t="s">
        <v>489</v>
      </c>
      <c r="FW45" s="35" t="s">
        <v>490</v>
      </c>
      <c r="FX45" s="35" t="s">
        <v>491</v>
      </c>
      <c r="FY45" s="35" t="s">
        <v>3669</v>
      </c>
      <c r="FZ45" s="35" t="s">
        <v>493</v>
      </c>
      <c r="GB45" s="35" t="s">
        <v>3670</v>
      </c>
      <c r="GC45" s="35" t="s">
        <v>455</v>
      </c>
      <c r="GD45" s="35" t="s">
        <v>11965</v>
      </c>
      <c r="GF45" s="35" t="s">
        <v>753</v>
      </c>
      <c r="GG45" s="35" t="s">
        <v>3671</v>
      </c>
      <c r="GH45" s="35" t="s">
        <v>857</v>
      </c>
      <c r="GI45" s="35" t="s">
        <v>857</v>
      </c>
      <c r="GJ45" s="35" t="s">
        <v>790</v>
      </c>
      <c r="GN45" s="35" t="s">
        <v>1079</v>
      </c>
      <c r="GR45" s="35" t="s">
        <v>3351</v>
      </c>
    </row>
    <row r="46">
      <c r="A46" s="40"/>
      <c r="B46" s="40">
        <v>45831.46863284722</v>
      </c>
      <c r="C46" s="35" t="s">
        <v>368</v>
      </c>
      <c r="D46" s="35" t="s">
        <v>370</v>
      </c>
      <c r="F46" s="35" t="s">
        <v>1875</v>
      </c>
      <c r="H46" s="35" t="s">
        <v>422</v>
      </c>
      <c r="I46" s="35" t="s">
        <v>496</v>
      </c>
      <c r="J46" s="35" t="s">
        <v>374</v>
      </c>
      <c r="K46" s="35" t="s">
        <v>375</v>
      </c>
      <c r="L46" s="35" t="s">
        <v>376</v>
      </c>
      <c r="M46" s="35" t="s">
        <v>379</v>
      </c>
      <c r="N46" s="35" t="s">
        <v>541</v>
      </c>
      <c r="O46" s="35" t="s">
        <v>591</v>
      </c>
      <c r="P46" s="35" t="s">
        <v>671</v>
      </c>
      <c r="Q46" s="35" t="s">
        <v>498</v>
      </c>
      <c r="R46" s="35" t="s">
        <v>1156</v>
      </c>
      <c r="S46" s="35" t="s">
        <v>427</v>
      </c>
      <c r="T46" s="35" t="s">
        <v>384</v>
      </c>
      <c r="U46" s="35" t="s">
        <v>385</v>
      </c>
      <c r="X46" s="35" t="s">
        <v>593</v>
      </c>
      <c r="Y46" s="35" t="s">
        <v>387</v>
      </c>
      <c r="Z46" s="35" t="s">
        <v>1444</v>
      </c>
      <c r="AA46" s="35" t="s">
        <v>502</v>
      </c>
      <c r="AB46" s="35" t="s">
        <v>3694</v>
      </c>
      <c r="AC46" s="35" t="s">
        <v>11966</v>
      </c>
      <c r="AW46" s="35" t="s">
        <v>504</v>
      </c>
      <c r="AX46" s="41">
        <v>2.0</v>
      </c>
      <c r="AY46" s="41">
        <v>2.0</v>
      </c>
      <c r="AZ46" s="35" t="s">
        <v>391</v>
      </c>
      <c r="BA46" s="41">
        <v>2.0</v>
      </c>
      <c r="BB46" s="35" t="s">
        <v>429</v>
      </c>
      <c r="BC46" s="35" t="s">
        <v>429</v>
      </c>
      <c r="BD46" s="35" t="s">
        <v>11967</v>
      </c>
      <c r="BE46" s="35" t="s">
        <v>11968</v>
      </c>
      <c r="BF46" s="35" t="s">
        <v>432</v>
      </c>
      <c r="BG46" s="35" t="s">
        <v>433</v>
      </c>
      <c r="BH46" s="35" t="s">
        <v>765</v>
      </c>
      <c r="BI46" s="35" t="s">
        <v>11969</v>
      </c>
      <c r="BJ46" s="35" t="s">
        <v>509</v>
      </c>
      <c r="BK46" s="35" t="s">
        <v>11970</v>
      </c>
      <c r="BL46" s="35" t="s">
        <v>3700</v>
      </c>
      <c r="BM46" s="35" t="s">
        <v>512</v>
      </c>
      <c r="BN46" s="35" t="s">
        <v>439</v>
      </c>
      <c r="BO46" s="35" t="s">
        <v>440</v>
      </c>
      <c r="CM46" s="35" t="s">
        <v>441</v>
      </c>
      <c r="CN46" s="35" t="s">
        <v>401</v>
      </c>
      <c r="CO46" s="35" t="s">
        <v>11971</v>
      </c>
      <c r="CP46" s="35" t="s">
        <v>11972</v>
      </c>
      <c r="CQ46" s="35" t="s">
        <v>445</v>
      </c>
      <c r="CR46" s="35" t="s">
        <v>3703</v>
      </c>
      <c r="CS46" s="35" t="s">
        <v>447</v>
      </c>
      <c r="CT46" s="35" t="s">
        <v>3704</v>
      </c>
      <c r="CU46" s="35" t="s">
        <v>11973</v>
      </c>
      <c r="CV46" s="35" t="s">
        <v>450</v>
      </c>
      <c r="CW46" s="35" t="s">
        <v>451</v>
      </c>
      <c r="CX46" s="35" t="s">
        <v>11974</v>
      </c>
      <c r="CY46" s="35" t="s">
        <v>455</v>
      </c>
      <c r="CZ46" s="35" t="s">
        <v>11975</v>
      </c>
      <c r="DA46" s="35" t="s">
        <v>453</v>
      </c>
      <c r="DB46" s="35" t="s">
        <v>11976</v>
      </c>
      <c r="DC46" s="35" t="s">
        <v>455</v>
      </c>
      <c r="DD46" s="35" t="s">
        <v>11977</v>
      </c>
      <c r="DE46" s="35" t="s">
        <v>406</v>
      </c>
      <c r="DF46" s="35" t="s">
        <v>407</v>
      </c>
      <c r="DG46" s="35" t="s">
        <v>11978</v>
      </c>
      <c r="DH46" s="35" t="s">
        <v>524</v>
      </c>
      <c r="DI46" s="35" t="s">
        <v>410</v>
      </c>
      <c r="DJ46" s="35" t="s">
        <v>459</v>
      </c>
      <c r="DK46" s="35" t="s">
        <v>460</v>
      </c>
      <c r="DL46" s="35" t="s">
        <v>461</v>
      </c>
      <c r="DN46" s="35" t="s">
        <v>3711</v>
      </c>
      <c r="DO46" s="35" t="s">
        <v>3712</v>
      </c>
      <c r="DP46" s="35" t="s">
        <v>567</v>
      </c>
      <c r="DQ46" s="35" t="s">
        <v>11979</v>
      </c>
      <c r="DR46" s="35" t="s">
        <v>466</v>
      </c>
      <c r="DS46" s="35" t="s">
        <v>11980</v>
      </c>
      <c r="DT46" s="35" t="s">
        <v>468</v>
      </c>
      <c r="DU46" s="35" t="s">
        <v>570</v>
      </c>
      <c r="DV46" s="35" t="s">
        <v>11981</v>
      </c>
      <c r="DW46" s="35" t="s">
        <v>11982</v>
      </c>
      <c r="DX46" s="35" t="s">
        <v>622</v>
      </c>
      <c r="DY46" s="35" t="s">
        <v>11983</v>
      </c>
      <c r="DZ46" s="35" t="s">
        <v>11984</v>
      </c>
      <c r="EA46" s="35" t="s">
        <v>11985</v>
      </c>
      <c r="EB46" s="35" t="s">
        <v>475</v>
      </c>
      <c r="ED46" s="35" t="s">
        <v>11986</v>
      </c>
      <c r="EU46" s="35" t="s">
        <v>526</v>
      </c>
      <c r="EV46" s="35" t="s">
        <v>479</v>
      </c>
      <c r="EW46" s="35" t="s">
        <v>527</v>
      </c>
      <c r="EX46" s="35" t="s">
        <v>11987</v>
      </c>
      <c r="EY46" s="35" t="s">
        <v>11988</v>
      </c>
      <c r="EZ46" s="35" t="s">
        <v>11989</v>
      </c>
      <c r="FA46" s="35" t="s">
        <v>583</v>
      </c>
      <c r="FB46" s="35" t="s">
        <v>583</v>
      </c>
      <c r="FC46" s="35" t="s">
        <v>415</v>
      </c>
      <c r="FD46" s="35" t="s">
        <v>583</v>
      </c>
      <c r="FE46" s="35" t="s">
        <v>416</v>
      </c>
      <c r="FF46" s="35" t="s">
        <v>583</v>
      </c>
      <c r="FG46" s="35" t="s">
        <v>415</v>
      </c>
      <c r="FH46" s="35" t="s">
        <v>583</v>
      </c>
      <c r="FI46" s="35" t="s">
        <v>416</v>
      </c>
      <c r="FJ46" s="35" t="s">
        <v>583</v>
      </c>
      <c r="FK46" s="35" t="s">
        <v>583</v>
      </c>
      <c r="FL46" s="35" t="s">
        <v>583</v>
      </c>
      <c r="FM46" s="35" t="s">
        <v>583</v>
      </c>
      <c r="FN46" s="35" t="s">
        <v>416</v>
      </c>
      <c r="FO46" s="35" t="s">
        <v>583</v>
      </c>
      <c r="FP46" s="35" t="s">
        <v>417</v>
      </c>
      <c r="FQ46" s="35" t="s">
        <v>486</v>
      </c>
      <c r="FR46" s="35" t="s">
        <v>630</v>
      </c>
      <c r="FS46" s="35" t="s">
        <v>11990</v>
      </c>
      <c r="FT46" s="35" t="s">
        <v>420</v>
      </c>
      <c r="FU46" s="35" t="s">
        <v>1462</v>
      </c>
      <c r="FV46" s="35" t="s">
        <v>533</v>
      </c>
      <c r="FW46" s="35" t="s">
        <v>490</v>
      </c>
      <c r="FX46" s="35" t="s">
        <v>491</v>
      </c>
      <c r="FY46" s="35" t="s">
        <v>11991</v>
      </c>
      <c r="FZ46" s="35" t="s">
        <v>493</v>
      </c>
      <c r="GC46" s="35" t="s">
        <v>455</v>
      </c>
      <c r="GD46" s="35" t="s">
        <v>11992</v>
      </c>
      <c r="GF46" s="35" t="s">
        <v>753</v>
      </c>
      <c r="GH46" s="35" t="s">
        <v>1000</v>
      </c>
      <c r="GI46" s="35" t="s">
        <v>1000</v>
      </c>
      <c r="GJ46" s="35" t="s">
        <v>946</v>
      </c>
      <c r="GN46" s="35" t="s">
        <v>1079</v>
      </c>
      <c r="GR46" s="35" t="s">
        <v>3273</v>
      </c>
    </row>
    <row r="47">
      <c r="A47" s="40"/>
      <c r="B47" s="40">
        <v>45831.47309501158</v>
      </c>
      <c r="C47" s="35" t="s">
        <v>368</v>
      </c>
      <c r="D47" s="35" t="s">
        <v>894</v>
      </c>
      <c r="E47" s="35" t="s">
        <v>894</v>
      </c>
      <c r="H47" s="35" t="s">
        <v>2295</v>
      </c>
      <c r="I47" s="35" t="s">
        <v>373</v>
      </c>
      <c r="J47" s="35" t="s">
        <v>374</v>
      </c>
      <c r="K47" s="35" t="s">
        <v>425</v>
      </c>
      <c r="L47" s="35" t="s">
        <v>376</v>
      </c>
      <c r="M47" s="35" t="s">
        <v>379</v>
      </c>
      <c r="N47" s="35" t="s">
        <v>3726</v>
      </c>
      <c r="O47" s="35" t="s">
        <v>379</v>
      </c>
      <c r="P47" s="35" t="s">
        <v>3727</v>
      </c>
      <c r="Q47" s="35" t="s">
        <v>381</v>
      </c>
      <c r="R47" s="35" t="s">
        <v>499</v>
      </c>
      <c r="S47" s="35" t="s">
        <v>641</v>
      </c>
      <c r="T47" s="35" t="s">
        <v>3728</v>
      </c>
      <c r="U47" s="35" t="s">
        <v>385</v>
      </c>
      <c r="V47" s="35" t="s">
        <v>896</v>
      </c>
      <c r="W47" s="35" t="s">
        <v>896</v>
      </c>
      <c r="X47" s="35" t="s">
        <v>386</v>
      </c>
      <c r="Y47" s="35" t="s">
        <v>387</v>
      </c>
      <c r="Z47" s="35" t="s">
        <v>388</v>
      </c>
      <c r="AA47" s="35" t="s">
        <v>543</v>
      </c>
      <c r="AB47" s="35" t="s">
        <v>3729</v>
      </c>
      <c r="AW47" s="35" t="s">
        <v>390</v>
      </c>
      <c r="AX47" s="35" t="s">
        <v>391</v>
      </c>
      <c r="AY47" s="41">
        <v>2.0</v>
      </c>
      <c r="AZ47" s="35" t="s">
        <v>429</v>
      </c>
      <c r="BA47" s="35" t="s">
        <v>391</v>
      </c>
      <c r="BB47" s="41">
        <v>2.0</v>
      </c>
      <c r="BC47" s="41">
        <v>2.0</v>
      </c>
      <c r="BD47" s="35" t="s">
        <v>3730</v>
      </c>
      <c r="BE47" s="35" t="s">
        <v>3731</v>
      </c>
      <c r="BF47" s="35" t="s">
        <v>432</v>
      </c>
      <c r="BG47" s="35" t="s">
        <v>433</v>
      </c>
      <c r="BH47" s="35" t="s">
        <v>678</v>
      </c>
      <c r="BI47" s="35" t="s">
        <v>3732</v>
      </c>
      <c r="BJ47" s="35" t="s">
        <v>824</v>
      </c>
      <c r="BL47" s="35" t="s">
        <v>437</v>
      </c>
      <c r="BM47" s="35" t="s">
        <v>396</v>
      </c>
      <c r="BN47" s="35" t="s">
        <v>549</v>
      </c>
      <c r="BO47" s="35" t="s">
        <v>440</v>
      </c>
      <c r="CM47" s="35" t="s">
        <v>441</v>
      </c>
      <c r="CN47" s="35" t="s">
        <v>401</v>
      </c>
      <c r="CO47" s="35" t="s">
        <v>3733</v>
      </c>
      <c r="CP47" s="35" t="s">
        <v>3734</v>
      </c>
      <c r="CQ47" s="35" t="s">
        <v>445</v>
      </c>
      <c r="CR47" s="35" t="s">
        <v>3735</v>
      </c>
      <c r="CS47" s="35" t="s">
        <v>804</v>
      </c>
      <c r="CT47" s="35" t="s">
        <v>3736</v>
      </c>
      <c r="CU47" s="35" t="s">
        <v>11993</v>
      </c>
      <c r="CV47" s="35" t="s">
        <v>519</v>
      </c>
      <c r="CW47" s="35" t="s">
        <v>451</v>
      </c>
      <c r="CX47" s="35" t="s">
        <v>3738</v>
      </c>
      <c r="CY47" s="35" t="s">
        <v>408</v>
      </c>
      <c r="DA47" s="35" t="s">
        <v>985</v>
      </c>
      <c r="DB47" s="35" t="s">
        <v>3739</v>
      </c>
      <c r="DC47" s="35" t="s">
        <v>455</v>
      </c>
      <c r="DD47" s="35" t="s">
        <v>3740</v>
      </c>
      <c r="DE47" s="35" t="s">
        <v>457</v>
      </c>
      <c r="DG47" s="35" t="s">
        <v>3741</v>
      </c>
      <c r="DH47" s="35" t="s">
        <v>524</v>
      </c>
      <c r="DI47" s="35" t="s">
        <v>410</v>
      </c>
      <c r="DJ47" s="35" t="s">
        <v>459</v>
      </c>
      <c r="DK47" s="35" t="s">
        <v>460</v>
      </c>
      <c r="DL47" s="35" t="s">
        <v>461</v>
      </c>
      <c r="DN47" s="35" t="s">
        <v>3742</v>
      </c>
      <c r="DO47" s="35" t="s">
        <v>3743</v>
      </c>
      <c r="DP47" s="35" t="s">
        <v>567</v>
      </c>
      <c r="DQ47" s="35" t="s">
        <v>3744</v>
      </c>
      <c r="DR47" s="35" t="s">
        <v>700</v>
      </c>
      <c r="DS47" s="35" t="s">
        <v>3745</v>
      </c>
      <c r="DT47" s="35" t="s">
        <v>702</v>
      </c>
      <c r="DU47" s="35" t="s">
        <v>3611</v>
      </c>
      <c r="DV47" s="35" t="s">
        <v>3746</v>
      </c>
      <c r="DW47" s="35" t="s">
        <v>3747</v>
      </c>
      <c r="DX47" s="35" t="s">
        <v>622</v>
      </c>
      <c r="DY47" s="35" t="s">
        <v>3748</v>
      </c>
      <c r="DZ47" s="35" t="s">
        <v>3749</v>
      </c>
      <c r="EA47" s="35" t="s">
        <v>3750</v>
      </c>
      <c r="EB47" s="35" t="s">
        <v>475</v>
      </c>
      <c r="EC47" s="35" t="s">
        <v>626</v>
      </c>
      <c r="EU47" s="35" t="s">
        <v>526</v>
      </c>
      <c r="EV47" s="35" t="s">
        <v>479</v>
      </c>
      <c r="EW47" s="35" t="s">
        <v>663</v>
      </c>
      <c r="EY47" s="35" t="s">
        <v>3751</v>
      </c>
      <c r="EZ47" s="35" t="s">
        <v>3752</v>
      </c>
      <c r="FA47" s="35" t="s">
        <v>583</v>
      </c>
      <c r="FB47" s="35" t="s">
        <v>583</v>
      </c>
      <c r="FC47" s="35" t="s">
        <v>414</v>
      </c>
      <c r="FD47" s="35" t="s">
        <v>583</v>
      </c>
      <c r="FE47" s="35" t="s">
        <v>415</v>
      </c>
      <c r="FF47" s="35" t="s">
        <v>583</v>
      </c>
      <c r="FG47" s="35" t="s">
        <v>415</v>
      </c>
      <c r="FH47" s="35" t="s">
        <v>583</v>
      </c>
      <c r="FI47" s="35" t="s">
        <v>583</v>
      </c>
      <c r="FJ47" s="35" t="s">
        <v>583</v>
      </c>
      <c r="FK47" s="35" t="s">
        <v>414</v>
      </c>
      <c r="FL47" s="35" t="s">
        <v>583</v>
      </c>
      <c r="FM47" s="35" t="s">
        <v>414</v>
      </c>
      <c r="FN47" s="35" t="s">
        <v>414</v>
      </c>
      <c r="FO47" s="35" t="s">
        <v>414</v>
      </c>
      <c r="FP47" s="35" t="s">
        <v>485</v>
      </c>
      <c r="FQ47" s="35" t="s">
        <v>418</v>
      </c>
      <c r="FR47" s="35" t="s">
        <v>419</v>
      </c>
      <c r="FS47" s="35" t="s">
        <v>3753</v>
      </c>
      <c r="FT47" s="35" t="s">
        <v>420</v>
      </c>
      <c r="FU47" s="35" t="s">
        <v>488</v>
      </c>
      <c r="FV47" s="35" t="s">
        <v>585</v>
      </c>
      <c r="FW47" s="35" t="s">
        <v>490</v>
      </c>
      <c r="FX47" s="35" t="s">
        <v>491</v>
      </c>
      <c r="FY47" s="35" t="s">
        <v>3754</v>
      </c>
      <c r="FZ47" s="35" t="s">
        <v>493</v>
      </c>
      <c r="GB47" s="35" t="s">
        <v>3755</v>
      </c>
      <c r="GC47" s="35" t="s">
        <v>455</v>
      </c>
      <c r="GD47" s="35" t="s">
        <v>11994</v>
      </c>
      <c r="GF47" s="35" t="s">
        <v>944</v>
      </c>
      <c r="GG47" s="35" t="s">
        <v>3756</v>
      </c>
      <c r="GH47" s="35" t="s">
        <v>755</v>
      </c>
      <c r="GI47" s="35" t="s">
        <v>755</v>
      </c>
      <c r="GJ47" s="35" t="s">
        <v>817</v>
      </c>
      <c r="GN47" s="35" t="s">
        <v>1079</v>
      </c>
      <c r="GR47" s="35" t="s">
        <v>3757</v>
      </c>
    </row>
    <row r="48">
      <c r="A48" s="40"/>
      <c r="B48" s="40">
        <v>45831.70324116898</v>
      </c>
      <c r="C48" s="35" t="s">
        <v>368</v>
      </c>
      <c r="D48" s="35" t="s">
        <v>370</v>
      </c>
      <c r="F48" s="35" t="s">
        <v>371</v>
      </c>
      <c r="H48" s="35" t="s">
        <v>3595</v>
      </c>
      <c r="I48" s="35" t="s">
        <v>637</v>
      </c>
      <c r="J48" s="35" t="s">
        <v>638</v>
      </c>
      <c r="K48" s="35" t="s">
        <v>425</v>
      </c>
      <c r="L48" s="35" t="s">
        <v>376</v>
      </c>
      <c r="M48" s="35" t="s">
        <v>379</v>
      </c>
      <c r="N48" s="35" t="s">
        <v>639</v>
      </c>
      <c r="O48" s="35" t="s">
        <v>591</v>
      </c>
      <c r="P48" s="35" t="s">
        <v>3797</v>
      </c>
      <c r="Q48" s="35" t="s">
        <v>381</v>
      </c>
      <c r="R48" s="35" t="s">
        <v>499</v>
      </c>
      <c r="S48" s="35" t="s">
        <v>795</v>
      </c>
      <c r="T48" s="35" t="s">
        <v>3798</v>
      </c>
      <c r="U48" s="35" t="s">
        <v>385</v>
      </c>
      <c r="X48" s="35" t="s">
        <v>593</v>
      </c>
      <c r="Y48" s="35" t="s">
        <v>387</v>
      </c>
      <c r="Z48" s="35" t="s">
        <v>897</v>
      </c>
      <c r="AA48" s="35" t="s">
        <v>543</v>
      </c>
      <c r="AB48" s="35" t="s">
        <v>3799</v>
      </c>
      <c r="AW48" s="35" t="s">
        <v>597</v>
      </c>
      <c r="AX48" s="35" t="s">
        <v>391</v>
      </c>
      <c r="AY48" s="41">
        <v>4.0</v>
      </c>
      <c r="AZ48" s="35" t="s">
        <v>391</v>
      </c>
      <c r="BA48" s="35" t="s">
        <v>675</v>
      </c>
      <c r="BB48" s="41">
        <v>4.0</v>
      </c>
      <c r="BC48" s="35" t="s">
        <v>391</v>
      </c>
      <c r="BD48" s="35" t="s">
        <v>11995</v>
      </c>
      <c r="BE48" s="35" t="s">
        <v>3801</v>
      </c>
      <c r="BF48" s="35" t="s">
        <v>432</v>
      </c>
      <c r="BG48" s="35" t="s">
        <v>393</v>
      </c>
      <c r="BH48" s="35" t="s">
        <v>678</v>
      </c>
      <c r="BI48" s="35" t="s">
        <v>11996</v>
      </c>
      <c r="BJ48" s="35" t="s">
        <v>824</v>
      </c>
      <c r="BL48" s="35" t="s">
        <v>395</v>
      </c>
      <c r="BM48" s="35" t="s">
        <v>438</v>
      </c>
      <c r="BN48" s="35" t="s">
        <v>1247</v>
      </c>
      <c r="BO48" s="35" t="s">
        <v>440</v>
      </c>
      <c r="CM48" s="35" t="s">
        <v>441</v>
      </c>
      <c r="CN48" s="35" t="s">
        <v>442</v>
      </c>
      <c r="CO48" s="35" t="s">
        <v>11997</v>
      </c>
      <c r="CP48" s="35" t="s">
        <v>3804</v>
      </c>
      <c r="CQ48" s="35" t="s">
        <v>685</v>
      </c>
      <c r="CR48" s="35" t="s">
        <v>3805</v>
      </c>
      <c r="CS48" s="35" t="s">
        <v>447</v>
      </c>
      <c r="CT48" s="35" t="s">
        <v>1454</v>
      </c>
      <c r="CU48" s="35" t="s">
        <v>3806</v>
      </c>
      <c r="CV48" s="35" t="s">
        <v>519</v>
      </c>
      <c r="CW48" s="35" t="s">
        <v>451</v>
      </c>
      <c r="CX48" s="35" t="s">
        <v>3807</v>
      </c>
      <c r="CY48" s="35" t="s">
        <v>408</v>
      </c>
      <c r="DA48" s="35" t="s">
        <v>985</v>
      </c>
      <c r="DB48" s="35" t="s">
        <v>3808</v>
      </c>
      <c r="DC48" s="35" t="s">
        <v>408</v>
      </c>
      <c r="DE48" s="35" t="s">
        <v>1400</v>
      </c>
      <c r="DF48" s="35" t="s">
        <v>1368</v>
      </c>
      <c r="DG48" s="35" t="s">
        <v>11998</v>
      </c>
      <c r="DH48" s="35" t="s">
        <v>561</v>
      </c>
      <c r="DI48" s="35" t="s">
        <v>1220</v>
      </c>
      <c r="DJ48" s="35" t="s">
        <v>459</v>
      </c>
      <c r="DK48" s="35" t="s">
        <v>613</v>
      </c>
      <c r="DN48" s="35" t="s">
        <v>3810</v>
      </c>
      <c r="DO48" s="35" t="s">
        <v>3811</v>
      </c>
      <c r="DP48" s="35" t="s">
        <v>464</v>
      </c>
      <c r="DQ48" s="35" t="s">
        <v>11999</v>
      </c>
      <c r="DR48" s="35" t="s">
        <v>837</v>
      </c>
      <c r="DS48" s="35" t="s">
        <v>12000</v>
      </c>
      <c r="DT48" s="35" t="s">
        <v>839</v>
      </c>
      <c r="DU48" s="35" t="s">
        <v>3611</v>
      </c>
      <c r="DV48" s="35" t="s">
        <v>3814</v>
      </c>
      <c r="DW48" s="35" t="s">
        <v>12001</v>
      </c>
      <c r="DX48" s="35" t="s">
        <v>573</v>
      </c>
      <c r="DY48" s="35" t="s">
        <v>3816</v>
      </c>
      <c r="DZ48" s="35" t="s">
        <v>3817</v>
      </c>
      <c r="EA48" s="35" t="s">
        <v>12002</v>
      </c>
      <c r="EB48" s="35" t="s">
        <v>475</v>
      </c>
      <c r="EC48" s="35" t="s">
        <v>626</v>
      </c>
      <c r="ED48" s="35" t="s">
        <v>3819</v>
      </c>
      <c r="EU48" s="35" t="s">
        <v>578</v>
      </c>
      <c r="EV48" s="35" t="s">
        <v>887</v>
      </c>
      <c r="EW48" s="35" t="s">
        <v>1534</v>
      </c>
      <c r="EX48" s="35" t="s">
        <v>3820</v>
      </c>
      <c r="EY48" s="35" t="s">
        <v>3821</v>
      </c>
      <c r="EZ48" s="35" t="s">
        <v>3822</v>
      </c>
      <c r="FA48" s="35" t="s">
        <v>415</v>
      </c>
      <c r="FB48" s="35" t="s">
        <v>414</v>
      </c>
      <c r="FC48" s="35" t="s">
        <v>413</v>
      </c>
      <c r="FD48" s="35" t="s">
        <v>415</v>
      </c>
      <c r="FE48" s="35" t="s">
        <v>416</v>
      </c>
      <c r="FF48" s="35" t="s">
        <v>414</v>
      </c>
      <c r="FG48" s="35" t="s">
        <v>415</v>
      </c>
      <c r="FH48" s="35" t="s">
        <v>415</v>
      </c>
      <c r="FI48" s="35" t="s">
        <v>413</v>
      </c>
      <c r="FJ48" s="35" t="s">
        <v>415</v>
      </c>
      <c r="FK48" s="35" t="s">
        <v>415</v>
      </c>
      <c r="FL48" s="35" t="s">
        <v>415</v>
      </c>
      <c r="FM48" s="35" t="s">
        <v>415</v>
      </c>
      <c r="FN48" s="35" t="s">
        <v>416</v>
      </c>
      <c r="FO48" s="35" t="s">
        <v>414</v>
      </c>
      <c r="FP48" s="35" t="s">
        <v>417</v>
      </c>
      <c r="FQ48" s="35" t="s">
        <v>418</v>
      </c>
      <c r="FR48" s="35" t="s">
        <v>712</v>
      </c>
      <c r="FS48" s="35" t="s">
        <v>3823</v>
      </c>
      <c r="FT48" s="35" t="s">
        <v>420</v>
      </c>
      <c r="FU48" s="35" t="s">
        <v>488</v>
      </c>
      <c r="FV48" s="35" t="s">
        <v>489</v>
      </c>
      <c r="FW48" s="35" t="s">
        <v>490</v>
      </c>
      <c r="FX48" s="35" t="s">
        <v>491</v>
      </c>
      <c r="FY48" s="35" t="s">
        <v>3824</v>
      </c>
      <c r="FZ48" s="35" t="s">
        <v>493</v>
      </c>
      <c r="GA48" s="35" t="s">
        <v>3825</v>
      </c>
      <c r="GC48" s="35" t="s">
        <v>455</v>
      </c>
      <c r="GD48" s="35" t="s">
        <v>12003</v>
      </c>
      <c r="GE48" s="35" t="s">
        <v>12004</v>
      </c>
      <c r="GF48" s="35" t="s">
        <v>753</v>
      </c>
      <c r="GH48" s="35" t="s">
        <v>788</v>
      </c>
      <c r="GI48" s="35" t="s">
        <v>755</v>
      </c>
      <c r="GJ48" s="35" t="s">
        <v>817</v>
      </c>
      <c r="GN48" s="35" t="s">
        <v>1079</v>
      </c>
      <c r="GR48" s="35" t="s">
        <v>3208</v>
      </c>
    </row>
    <row r="49">
      <c r="A49" s="40"/>
      <c r="B49" s="40">
        <v>45831.93652824074</v>
      </c>
      <c r="C49" s="35" t="s">
        <v>368</v>
      </c>
      <c r="D49" s="35" t="s">
        <v>370</v>
      </c>
      <c r="F49" s="35" t="s">
        <v>1382</v>
      </c>
      <c r="H49" s="35" t="s">
        <v>3883</v>
      </c>
      <c r="I49" s="35" t="s">
        <v>637</v>
      </c>
      <c r="J49" s="35" t="s">
        <v>638</v>
      </c>
      <c r="K49" s="35" t="s">
        <v>425</v>
      </c>
      <c r="L49" s="35" t="s">
        <v>376</v>
      </c>
      <c r="M49" s="35" t="s">
        <v>377</v>
      </c>
      <c r="N49" s="35" t="s">
        <v>2464</v>
      </c>
      <c r="O49" s="35" t="s">
        <v>591</v>
      </c>
      <c r="P49" s="35" t="s">
        <v>3884</v>
      </c>
      <c r="Q49" s="35" t="s">
        <v>1760</v>
      </c>
      <c r="R49" s="35" t="s">
        <v>1156</v>
      </c>
      <c r="S49" s="35" t="s">
        <v>3885</v>
      </c>
      <c r="T49" s="35" t="s">
        <v>3886</v>
      </c>
      <c r="U49" s="35" t="s">
        <v>385</v>
      </c>
      <c r="X49" s="35" t="s">
        <v>593</v>
      </c>
      <c r="Y49" s="35" t="s">
        <v>387</v>
      </c>
      <c r="Z49" s="35" t="s">
        <v>594</v>
      </c>
      <c r="AA49" s="35" t="s">
        <v>502</v>
      </c>
      <c r="AB49" s="35" t="s">
        <v>3887</v>
      </c>
      <c r="AC49" s="35" t="s">
        <v>3888</v>
      </c>
      <c r="AW49" s="35" t="s">
        <v>504</v>
      </c>
      <c r="AX49" s="35" t="s">
        <v>429</v>
      </c>
      <c r="AY49" s="35" t="s">
        <v>429</v>
      </c>
      <c r="AZ49" s="35" t="s">
        <v>429</v>
      </c>
      <c r="BA49" s="35" t="s">
        <v>429</v>
      </c>
      <c r="BB49" s="35" t="s">
        <v>429</v>
      </c>
      <c r="BC49" s="35" t="s">
        <v>429</v>
      </c>
      <c r="BD49" s="35" t="s">
        <v>3889</v>
      </c>
      <c r="BE49" s="35" t="s">
        <v>3890</v>
      </c>
      <c r="BF49" s="35" t="s">
        <v>392</v>
      </c>
      <c r="BG49" s="35" t="s">
        <v>433</v>
      </c>
      <c r="BH49" s="35" t="s">
        <v>678</v>
      </c>
      <c r="BI49" s="35" t="s">
        <v>3891</v>
      </c>
      <c r="BJ49" s="35" t="s">
        <v>509</v>
      </c>
      <c r="BK49" s="35" t="s">
        <v>3892</v>
      </c>
      <c r="BL49" s="35" t="s">
        <v>511</v>
      </c>
      <c r="BM49" s="35" t="s">
        <v>512</v>
      </c>
      <c r="BN49" s="35" t="s">
        <v>439</v>
      </c>
      <c r="BO49" s="35" t="s">
        <v>440</v>
      </c>
      <c r="CM49" s="35" t="s">
        <v>441</v>
      </c>
      <c r="CN49" s="35" t="s">
        <v>604</v>
      </c>
      <c r="CO49" s="35" t="s">
        <v>12005</v>
      </c>
      <c r="CP49" s="35" t="s">
        <v>12006</v>
      </c>
      <c r="CQ49" s="35" t="s">
        <v>1008</v>
      </c>
      <c r="CR49" s="35" t="s">
        <v>3895</v>
      </c>
      <c r="CS49" s="35" t="s">
        <v>804</v>
      </c>
      <c r="CT49" s="35" t="s">
        <v>3896</v>
      </c>
      <c r="CU49" s="35" t="s">
        <v>913</v>
      </c>
      <c r="CV49" s="35" t="s">
        <v>450</v>
      </c>
      <c r="CW49" s="35" t="s">
        <v>451</v>
      </c>
      <c r="CX49" s="35" t="s">
        <v>3897</v>
      </c>
      <c r="CY49" s="35" t="s">
        <v>733</v>
      </c>
      <c r="DA49" s="35" t="s">
        <v>453</v>
      </c>
      <c r="DB49" s="35" t="s">
        <v>12007</v>
      </c>
      <c r="DC49" s="35" t="s">
        <v>455</v>
      </c>
      <c r="DD49" s="35" t="s">
        <v>3899</v>
      </c>
      <c r="DE49" s="35" t="s">
        <v>457</v>
      </c>
      <c r="DG49" s="35" t="s">
        <v>3900</v>
      </c>
      <c r="DH49" s="35" t="s">
        <v>524</v>
      </c>
      <c r="DI49" s="35" t="s">
        <v>410</v>
      </c>
      <c r="DJ49" s="35" t="s">
        <v>459</v>
      </c>
      <c r="DK49" s="35" t="s">
        <v>613</v>
      </c>
      <c r="DN49" s="35" t="s">
        <v>3901</v>
      </c>
      <c r="DO49" s="35" t="s">
        <v>3902</v>
      </c>
      <c r="DP49" s="35" t="s">
        <v>464</v>
      </c>
      <c r="DQ49" s="35" t="s">
        <v>12008</v>
      </c>
      <c r="DR49" s="35" t="s">
        <v>1553</v>
      </c>
      <c r="DS49" s="35" t="s">
        <v>12009</v>
      </c>
      <c r="DT49" s="35" t="s">
        <v>468</v>
      </c>
      <c r="DU49" s="35" t="s">
        <v>3611</v>
      </c>
      <c r="DV49" s="35" t="s">
        <v>3905</v>
      </c>
      <c r="DW49" s="35" t="s">
        <v>3906</v>
      </c>
      <c r="DX49" s="35" t="s">
        <v>622</v>
      </c>
      <c r="DY49" s="35" t="s">
        <v>3907</v>
      </c>
      <c r="DZ49" s="35" t="s">
        <v>3908</v>
      </c>
      <c r="EA49" s="35" t="s">
        <v>3909</v>
      </c>
      <c r="EB49" s="35" t="s">
        <v>475</v>
      </c>
      <c r="EC49" s="35" t="s">
        <v>845</v>
      </c>
      <c r="ED49" s="35" t="s">
        <v>3910</v>
      </c>
      <c r="EU49" s="35" t="s">
        <v>478</v>
      </c>
      <c r="EV49" s="35" t="s">
        <v>479</v>
      </c>
      <c r="EW49" s="35" t="s">
        <v>778</v>
      </c>
      <c r="EX49" s="35" t="s">
        <v>3911</v>
      </c>
      <c r="EY49" s="35" t="s">
        <v>12010</v>
      </c>
      <c r="EZ49" s="35" t="s">
        <v>3913</v>
      </c>
      <c r="FA49" s="35" t="s">
        <v>583</v>
      </c>
      <c r="FB49" s="35" t="s">
        <v>583</v>
      </c>
      <c r="FC49" s="35" t="s">
        <v>583</v>
      </c>
      <c r="FD49" s="35" t="s">
        <v>583</v>
      </c>
      <c r="FE49" s="35" t="s">
        <v>583</v>
      </c>
      <c r="FF49" s="35" t="s">
        <v>583</v>
      </c>
      <c r="FG49" s="35" t="s">
        <v>583</v>
      </c>
      <c r="FH49" s="35" t="s">
        <v>413</v>
      </c>
      <c r="FI49" s="35" t="s">
        <v>583</v>
      </c>
      <c r="FJ49" s="35" t="s">
        <v>583</v>
      </c>
      <c r="FK49" s="35" t="s">
        <v>583</v>
      </c>
      <c r="FL49" s="35" t="s">
        <v>583</v>
      </c>
      <c r="FM49" s="35" t="s">
        <v>583</v>
      </c>
      <c r="FN49" s="35" t="s">
        <v>413</v>
      </c>
      <c r="FO49" s="35" t="s">
        <v>583</v>
      </c>
      <c r="FP49" s="35" t="s">
        <v>417</v>
      </c>
      <c r="FQ49" s="35" t="s">
        <v>418</v>
      </c>
      <c r="FR49" s="35" t="s">
        <v>712</v>
      </c>
      <c r="FS49" s="35" t="s">
        <v>3914</v>
      </c>
      <c r="FT49" s="35" t="s">
        <v>420</v>
      </c>
      <c r="FU49" s="35" t="s">
        <v>488</v>
      </c>
      <c r="FV49" s="35" t="s">
        <v>533</v>
      </c>
      <c r="FW49" s="35" t="s">
        <v>490</v>
      </c>
      <c r="FX49" s="35" t="s">
        <v>491</v>
      </c>
      <c r="FY49" s="35" t="s">
        <v>12011</v>
      </c>
      <c r="FZ49" s="35" t="s">
        <v>535</v>
      </c>
      <c r="GA49" s="35" t="s">
        <v>3916</v>
      </c>
      <c r="GB49" s="35" t="s">
        <v>408</v>
      </c>
      <c r="GC49" s="35" t="s">
        <v>455</v>
      </c>
      <c r="GD49" s="35" t="s">
        <v>12012</v>
      </c>
      <c r="GE49" s="35" t="s">
        <v>12013</v>
      </c>
      <c r="GF49" s="35" t="s">
        <v>753</v>
      </c>
      <c r="GG49" s="35" t="s">
        <v>3917</v>
      </c>
      <c r="GH49" s="35" t="s">
        <v>755</v>
      </c>
      <c r="GI49" s="35" t="s">
        <v>755</v>
      </c>
      <c r="GJ49" s="35" t="s">
        <v>946</v>
      </c>
      <c r="GN49" s="35" t="s">
        <v>1079</v>
      </c>
      <c r="GR49" s="35" t="s">
        <v>3918</v>
      </c>
    </row>
    <row r="50">
      <c r="A50" s="40"/>
      <c r="B50" s="40">
        <v>45832.532238541666</v>
      </c>
      <c r="C50" s="35" t="s">
        <v>368</v>
      </c>
      <c r="D50" s="35" t="s">
        <v>370</v>
      </c>
      <c r="F50" s="35" t="s">
        <v>371</v>
      </c>
      <c r="H50" s="35" t="s">
        <v>1002</v>
      </c>
      <c r="I50" s="35" t="s">
        <v>496</v>
      </c>
      <c r="J50" s="35" t="s">
        <v>374</v>
      </c>
      <c r="K50" s="35" t="s">
        <v>669</v>
      </c>
      <c r="L50" s="35" t="s">
        <v>376</v>
      </c>
      <c r="M50" s="35" t="s">
        <v>591</v>
      </c>
      <c r="N50" s="35" t="s">
        <v>719</v>
      </c>
      <c r="O50" s="35" t="s">
        <v>426</v>
      </c>
      <c r="P50" s="35" t="s">
        <v>380</v>
      </c>
      <c r="Q50" s="35" t="s">
        <v>381</v>
      </c>
      <c r="R50" s="35" t="s">
        <v>818</v>
      </c>
      <c r="S50" s="35" t="s">
        <v>500</v>
      </c>
      <c r="T50" s="35" t="s">
        <v>384</v>
      </c>
      <c r="U50" s="35" t="s">
        <v>385</v>
      </c>
      <c r="X50" s="35" t="s">
        <v>593</v>
      </c>
      <c r="Y50" s="35" t="s">
        <v>387</v>
      </c>
      <c r="Z50" s="35" t="s">
        <v>388</v>
      </c>
      <c r="AA50" s="35" t="s">
        <v>543</v>
      </c>
      <c r="AB50" s="35" t="s">
        <v>12014</v>
      </c>
      <c r="AW50" s="35" t="s">
        <v>1310</v>
      </c>
      <c r="AX50" s="35" t="s">
        <v>675</v>
      </c>
      <c r="AY50" s="35" t="s">
        <v>675</v>
      </c>
      <c r="AZ50" s="35" t="s">
        <v>675</v>
      </c>
      <c r="BA50" s="35" t="s">
        <v>675</v>
      </c>
      <c r="BB50" s="35" t="s">
        <v>675</v>
      </c>
      <c r="BC50" s="35" t="s">
        <v>675</v>
      </c>
      <c r="BD50" s="35" t="s">
        <v>12015</v>
      </c>
      <c r="BE50" s="35" t="s">
        <v>12016</v>
      </c>
      <c r="BF50" s="35" t="s">
        <v>3114</v>
      </c>
      <c r="BG50" s="35" t="s">
        <v>1245</v>
      </c>
      <c r="BH50" s="35" t="s">
        <v>725</v>
      </c>
      <c r="BI50" s="35" t="s">
        <v>12017</v>
      </c>
      <c r="BJ50" s="35" t="s">
        <v>435</v>
      </c>
      <c r="BK50" s="35" t="s">
        <v>12018</v>
      </c>
      <c r="BL50" s="35" t="s">
        <v>681</v>
      </c>
      <c r="BM50" s="35" t="s">
        <v>603</v>
      </c>
      <c r="BN50" s="35" t="s">
        <v>1247</v>
      </c>
      <c r="BO50" s="35" t="s">
        <v>440</v>
      </c>
      <c r="CM50" s="35" t="s">
        <v>441</v>
      </c>
      <c r="CN50" s="35" t="s">
        <v>442</v>
      </c>
      <c r="CO50" s="35" t="s">
        <v>12019</v>
      </c>
      <c r="CP50" s="35" t="s">
        <v>12020</v>
      </c>
      <c r="CQ50" s="35" t="s">
        <v>403</v>
      </c>
      <c r="CR50" s="35" t="s">
        <v>4003</v>
      </c>
      <c r="CS50" s="35" t="s">
        <v>447</v>
      </c>
      <c r="CT50" s="35" t="s">
        <v>4004</v>
      </c>
      <c r="CU50" s="35" t="s">
        <v>12021</v>
      </c>
      <c r="CV50" s="35" t="s">
        <v>519</v>
      </c>
      <c r="CW50" s="35" t="s">
        <v>451</v>
      </c>
      <c r="CX50" s="35" t="s">
        <v>12022</v>
      </c>
      <c r="CY50" s="35" t="s">
        <v>733</v>
      </c>
      <c r="DA50" s="35" t="s">
        <v>453</v>
      </c>
      <c r="DB50" s="35" t="s">
        <v>12023</v>
      </c>
      <c r="DC50" s="35" t="s">
        <v>455</v>
      </c>
      <c r="DD50" s="35" t="s">
        <v>12024</v>
      </c>
      <c r="DE50" s="35" t="s">
        <v>406</v>
      </c>
      <c r="DF50" s="35" t="s">
        <v>407</v>
      </c>
      <c r="DG50" s="35" t="s">
        <v>12025</v>
      </c>
      <c r="DH50" s="35" t="s">
        <v>561</v>
      </c>
      <c r="DI50" s="35" t="s">
        <v>410</v>
      </c>
      <c r="DJ50" s="35" t="s">
        <v>963</v>
      </c>
      <c r="DK50" s="35" t="s">
        <v>460</v>
      </c>
      <c r="DL50" s="35" t="s">
        <v>525</v>
      </c>
      <c r="DN50" s="35" t="s">
        <v>3901</v>
      </c>
      <c r="DO50" s="35" t="s">
        <v>4010</v>
      </c>
      <c r="DP50" s="35" t="s">
        <v>567</v>
      </c>
      <c r="DQ50" s="35" t="s">
        <v>12026</v>
      </c>
      <c r="DR50" s="35" t="s">
        <v>466</v>
      </c>
      <c r="DS50" s="35" t="s">
        <v>12027</v>
      </c>
      <c r="DT50" s="35" t="s">
        <v>839</v>
      </c>
      <c r="DU50" s="35" t="s">
        <v>740</v>
      </c>
      <c r="DV50" s="35" t="s">
        <v>12028</v>
      </c>
      <c r="DW50" s="35" t="s">
        <v>12029</v>
      </c>
      <c r="DX50" s="35" t="s">
        <v>1328</v>
      </c>
      <c r="DY50" s="35" t="s">
        <v>12030</v>
      </c>
      <c r="DZ50" s="35" t="s">
        <v>12031</v>
      </c>
      <c r="EA50" s="35" t="s">
        <v>12032</v>
      </c>
      <c r="EB50" s="35" t="s">
        <v>475</v>
      </c>
      <c r="EC50" s="35" t="s">
        <v>626</v>
      </c>
      <c r="EU50" s="35" t="s">
        <v>526</v>
      </c>
      <c r="EV50" s="35" t="s">
        <v>887</v>
      </c>
      <c r="EW50" s="35" t="s">
        <v>778</v>
      </c>
      <c r="EX50" s="35" t="s">
        <v>12033</v>
      </c>
      <c r="EZ50" s="35" t="s">
        <v>12034</v>
      </c>
      <c r="FA50" s="35" t="s">
        <v>413</v>
      </c>
      <c r="FB50" s="35" t="s">
        <v>413</v>
      </c>
      <c r="FC50" s="35" t="s">
        <v>413</v>
      </c>
      <c r="FD50" s="35" t="s">
        <v>413</v>
      </c>
      <c r="FE50" s="35" t="s">
        <v>413</v>
      </c>
      <c r="FF50" s="35" t="s">
        <v>413</v>
      </c>
      <c r="FG50" s="35" t="s">
        <v>413</v>
      </c>
      <c r="FH50" s="35" t="s">
        <v>413</v>
      </c>
      <c r="FI50" s="35" t="s">
        <v>416</v>
      </c>
      <c r="FJ50" s="35" t="s">
        <v>413</v>
      </c>
      <c r="FK50" s="35" t="s">
        <v>416</v>
      </c>
      <c r="FL50" s="35" t="s">
        <v>413</v>
      </c>
      <c r="FM50" s="35" t="s">
        <v>413</v>
      </c>
      <c r="FN50" s="35" t="s">
        <v>413</v>
      </c>
      <c r="FO50" s="35" t="s">
        <v>416</v>
      </c>
      <c r="FP50" s="35" t="s">
        <v>850</v>
      </c>
      <c r="FZ50" s="35" t="s">
        <v>535</v>
      </c>
      <c r="GC50" s="35" t="s">
        <v>455</v>
      </c>
      <c r="GD50" s="35" t="s">
        <v>12035</v>
      </c>
      <c r="GE50" s="35" t="s">
        <v>12036</v>
      </c>
      <c r="GF50" s="35" t="s">
        <v>753</v>
      </c>
      <c r="GG50" s="35" t="s">
        <v>12037</v>
      </c>
      <c r="GH50" s="35" t="s">
        <v>755</v>
      </c>
      <c r="GI50" s="35" t="s">
        <v>755</v>
      </c>
      <c r="GJ50" s="35" t="s">
        <v>946</v>
      </c>
      <c r="GN50" s="35" t="s">
        <v>1079</v>
      </c>
      <c r="GR50" s="35" t="s">
        <v>3208</v>
      </c>
    </row>
    <row r="51">
      <c r="A51" s="40"/>
      <c r="B51" s="40">
        <v>45833.341107002314</v>
      </c>
      <c r="C51" s="35" t="s">
        <v>368</v>
      </c>
      <c r="D51" s="35" t="s">
        <v>4085</v>
      </c>
      <c r="E51" s="35" t="s">
        <v>1201</v>
      </c>
      <c r="H51" s="35" t="s">
        <v>422</v>
      </c>
      <c r="I51" s="35" t="s">
        <v>539</v>
      </c>
      <c r="J51" s="35" t="s">
        <v>424</v>
      </c>
      <c r="K51" s="35" t="s">
        <v>1240</v>
      </c>
      <c r="L51" s="35" t="s">
        <v>376</v>
      </c>
      <c r="M51" s="35" t="s">
        <v>377</v>
      </c>
      <c r="N51" s="35" t="s">
        <v>2464</v>
      </c>
      <c r="O51" s="35" t="s">
        <v>377</v>
      </c>
      <c r="P51" s="35" t="s">
        <v>2464</v>
      </c>
      <c r="Q51" s="35" t="s">
        <v>381</v>
      </c>
      <c r="R51" s="35" t="s">
        <v>499</v>
      </c>
      <c r="S51" s="35" t="s">
        <v>427</v>
      </c>
      <c r="T51" s="35" t="s">
        <v>384</v>
      </c>
      <c r="U51" s="35" t="s">
        <v>385</v>
      </c>
      <c r="X51" s="35" t="s">
        <v>386</v>
      </c>
      <c r="Y51" s="35" t="s">
        <v>387</v>
      </c>
      <c r="AA51" s="35" t="s">
        <v>543</v>
      </c>
      <c r="AB51" s="35" t="s">
        <v>408</v>
      </c>
      <c r="AW51" s="35" t="s">
        <v>390</v>
      </c>
      <c r="AX51" s="41">
        <v>2.0</v>
      </c>
      <c r="AY51" s="41">
        <v>2.0</v>
      </c>
      <c r="AZ51" s="41">
        <v>2.0</v>
      </c>
      <c r="BA51" s="35" t="s">
        <v>429</v>
      </c>
      <c r="BB51" s="41">
        <v>2.0</v>
      </c>
      <c r="BC51" s="41">
        <v>2.0</v>
      </c>
      <c r="BD51" s="35" t="s">
        <v>12038</v>
      </c>
      <c r="BE51" s="35" t="s">
        <v>12039</v>
      </c>
      <c r="BF51" s="35" t="s">
        <v>392</v>
      </c>
      <c r="BG51" s="35" t="s">
        <v>433</v>
      </c>
      <c r="BH51" s="35" t="s">
        <v>678</v>
      </c>
      <c r="BI51" s="35" t="s">
        <v>12040</v>
      </c>
      <c r="BJ51" s="35" t="s">
        <v>509</v>
      </c>
      <c r="BK51" s="35" t="s">
        <v>12041</v>
      </c>
      <c r="BL51" s="35" t="s">
        <v>511</v>
      </c>
      <c r="BM51" s="35" t="s">
        <v>512</v>
      </c>
      <c r="BN51" s="35" t="s">
        <v>549</v>
      </c>
      <c r="BO51" s="35" t="s">
        <v>440</v>
      </c>
      <c r="CM51" s="35" t="s">
        <v>441</v>
      </c>
      <c r="CN51" s="35" t="s">
        <v>442</v>
      </c>
      <c r="CO51" s="35" t="s">
        <v>12042</v>
      </c>
      <c r="CP51" s="35" t="s">
        <v>4091</v>
      </c>
      <c r="CQ51" s="35" t="s">
        <v>403</v>
      </c>
      <c r="CR51" s="35" t="s">
        <v>12043</v>
      </c>
      <c r="CS51" s="35" t="s">
        <v>555</v>
      </c>
      <c r="CT51" s="35" t="s">
        <v>1569</v>
      </c>
      <c r="CU51" s="35" t="s">
        <v>12044</v>
      </c>
      <c r="CV51" s="35" t="s">
        <v>450</v>
      </c>
      <c r="CW51" s="35" t="s">
        <v>451</v>
      </c>
      <c r="CX51" s="35" t="s">
        <v>12045</v>
      </c>
      <c r="CY51" s="35" t="s">
        <v>408</v>
      </c>
      <c r="DA51" s="35" t="s">
        <v>453</v>
      </c>
      <c r="DB51" s="35" t="s">
        <v>12046</v>
      </c>
      <c r="DC51" s="35" t="s">
        <v>455</v>
      </c>
      <c r="DD51" s="35" t="s">
        <v>12047</v>
      </c>
      <c r="DE51" s="35" t="s">
        <v>988</v>
      </c>
      <c r="DG51" s="35" t="s">
        <v>12048</v>
      </c>
      <c r="DH51" s="35" t="s">
        <v>561</v>
      </c>
      <c r="DI51" s="35" t="s">
        <v>410</v>
      </c>
      <c r="DJ51" s="35" t="s">
        <v>459</v>
      </c>
      <c r="DK51" s="35" t="s">
        <v>562</v>
      </c>
      <c r="DL51" s="35" t="s">
        <v>461</v>
      </c>
      <c r="DN51" s="35" t="s">
        <v>4098</v>
      </c>
      <c r="DO51" s="35" t="s">
        <v>4099</v>
      </c>
      <c r="DP51" s="35" t="s">
        <v>2956</v>
      </c>
      <c r="DQ51" s="35" t="s">
        <v>12049</v>
      </c>
      <c r="DR51" s="35" t="s">
        <v>466</v>
      </c>
      <c r="DS51" s="35" t="s">
        <v>12050</v>
      </c>
      <c r="DT51" s="35" t="s">
        <v>468</v>
      </c>
      <c r="DU51" s="35" t="s">
        <v>570</v>
      </c>
      <c r="DV51" s="35" t="s">
        <v>12051</v>
      </c>
      <c r="DW51" s="35" t="s">
        <v>12052</v>
      </c>
      <c r="DX51" s="35" t="s">
        <v>1328</v>
      </c>
      <c r="DY51" s="35" t="s">
        <v>12053</v>
      </c>
      <c r="DZ51" s="35" t="s">
        <v>12054</v>
      </c>
      <c r="EA51" s="35" t="s">
        <v>12055</v>
      </c>
      <c r="EB51" s="35" t="s">
        <v>475</v>
      </c>
      <c r="EC51" s="35" t="s">
        <v>626</v>
      </c>
      <c r="ED51" s="35" t="s">
        <v>12056</v>
      </c>
      <c r="EU51" s="35" t="s">
        <v>526</v>
      </c>
      <c r="EV51" s="35" t="s">
        <v>579</v>
      </c>
      <c r="EW51" s="35" t="s">
        <v>1262</v>
      </c>
      <c r="EX51" s="35" t="s">
        <v>12057</v>
      </c>
      <c r="EY51" s="35" t="s">
        <v>12058</v>
      </c>
      <c r="EZ51" s="35" t="s">
        <v>12059</v>
      </c>
      <c r="FA51" s="35" t="s">
        <v>413</v>
      </c>
      <c r="FB51" s="35" t="s">
        <v>415</v>
      </c>
      <c r="FC51" s="35" t="s">
        <v>413</v>
      </c>
      <c r="FD51" s="35" t="s">
        <v>413</v>
      </c>
      <c r="FE51" s="35" t="s">
        <v>413</v>
      </c>
      <c r="FF51" s="35" t="s">
        <v>415</v>
      </c>
      <c r="FG51" s="35" t="s">
        <v>416</v>
      </c>
      <c r="FH51" s="35" t="s">
        <v>416</v>
      </c>
      <c r="FI51" s="35" t="s">
        <v>583</v>
      </c>
      <c r="FJ51" s="35" t="s">
        <v>413</v>
      </c>
      <c r="FK51" s="35" t="s">
        <v>413</v>
      </c>
      <c r="FL51" s="35" t="s">
        <v>415</v>
      </c>
      <c r="FM51" s="35" t="s">
        <v>415</v>
      </c>
      <c r="FN51" s="35" t="s">
        <v>415</v>
      </c>
      <c r="FO51" s="35" t="s">
        <v>415</v>
      </c>
      <c r="FP51" s="35" t="s">
        <v>485</v>
      </c>
      <c r="FQ51" s="35" t="s">
        <v>418</v>
      </c>
      <c r="FR51" s="35" t="s">
        <v>1039</v>
      </c>
      <c r="FT51" s="35" t="s">
        <v>420</v>
      </c>
      <c r="FU51" s="35" t="s">
        <v>488</v>
      </c>
      <c r="FV51" s="35" t="s">
        <v>1235</v>
      </c>
      <c r="FW51" s="35" t="s">
        <v>490</v>
      </c>
      <c r="FX51" s="35" t="s">
        <v>491</v>
      </c>
      <c r="FY51" s="35" t="s">
        <v>12060</v>
      </c>
      <c r="FZ51" s="35" t="s">
        <v>493</v>
      </c>
      <c r="GB51" s="35" t="s">
        <v>12061</v>
      </c>
      <c r="GC51" s="35" t="s">
        <v>455</v>
      </c>
      <c r="GD51" s="35" t="s">
        <v>12062</v>
      </c>
      <c r="GF51" s="35" t="s">
        <v>944</v>
      </c>
      <c r="GG51" s="35" t="s">
        <v>455</v>
      </c>
      <c r="GH51" s="35" t="s">
        <v>1000</v>
      </c>
      <c r="GI51" s="35" t="s">
        <v>755</v>
      </c>
      <c r="GJ51" s="35" t="s">
        <v>817</v>
      </c>
      <c r="GN51" s="35" t="s">
        <v>1079</v>
      </c>
      <c r="GO51" s="35" t="s">
        <v>9866</v>
      </c>
      <c r="GP51" s="35" t="s">
        <v>12063</v>
      </c>
      <c r="GR51" s="35" t="s">
        <v>4113</v>
      </c>
    </row>
    <row r="52">
      <c r="A52" s="40"/>
      <c r="B52" s="40">
        <v>45835.44492405093</v>
      </c>
      <c r="C52" s="35" t="s">
        <v>368</v>
      </c>
      <c r="D52" s="35" t="s">
        <v>370</v>
      </c>
      <c r="E52" s="35" t="s">
        <v>370</v>
      </c>
      <c r="F52" s="35" t="s">
        <v>791</v>
      </c>
      <c r="G52" s="35" t="s">
        <v>791</v>
      </c>
      <c r="H52" s="35" t="s">
        <v>422</v>
      </c>
      <c r="I52" s="35" t="s">
        <v>373</v>
      </c>
      <c r="J52" s="35" t="s">
        <v>638</v>
      </c>
      <c r="K52" s="35" t="s">
        <v>375</v>
      </c>
      <c r="L52" s="35" t="s">
        <v>376</v>
      </c>
      <c r="M52" s="35" t="s">
        <v>426</v>
      </c>
      <c r="N52" s="35" t="s">
        <v>378</v>
      </c>
      <c r="O52" s="35" t="s">
        <v>793</v>
      </c>
      <c r="P52" s="35" t="s">
        <v>720</v>
      </c>
      <c r="Q52" s="35" t="s">
        <v>498</v>
      </c>
      <c r="R52" s="35" t="s">
        <v>862</v>
      </c>
      <c r="S52" s="35" t="s">
        <v>500</v>
      </c>
      <c r="T52" s="35" t="s">
        <v>1443</v>
      </c>
      <c r="U52" s="35" t="s">
        <v>385</v>
      </c>
      <c r="X52" s="35" t="s">
        <v>386</v>
      </c>
      <c r="Y52" s="35" t="s">
        <v>387</v>
      </c>
      <c r="Z52" s="35" t="s">
        <v>388</v>
      </c>
      <c r="AA52" s="35" t="s">
        <v>543</v>
      </c>
      <c r="AB52" s="35" t="s">
        <v>4311</v>
      </c>
      <c r="AC52" s="35" t="s">
        <v>4312</v>
      </c>
      <c r="AW52" s="35" t="s">
        <v>390</v>
      </c>
      <c r="AX52" s="35" t="s">
        <v>391</v>
      </c>
      <c r="AY52" s="41">
        <v>4.0</v>
      </c>
      <c r="AZ52" s="41">
        <v>4.0</v>
      </c>
      <c r="BA52" s="35" t="s">
        <v>429</v>
      </c>
      <c r="BB52" s="35" t="s">
        <v>429</v>
      </c>
      <c r="BC52" s="35" t="s">
        <v>429</v>
      </c>
      <c r="BD52" s="35" t="s">
        <v>4313</v>
      </c>
      <c r="BE52" s="35" t="s">
        <v>4314</v>
      </c>
      <c r="BF52" s="35" t="s">
        <v>902</v>
      </c>
      <c r="BG52" s="35" t="s">
        <v>433</v>
      </c>
      <c r="BH52" s="35" t="s">
        <v>678</v>
      </c>
      <c r="BI52" s="35" t="s">
        <v>4315</v>
      </c>
      <c r="BJ52" s="35" t="s">
        <v>824</v>
      </c>
      <c r="BL52" s="35" t="s">
        <v>437</v>
      </c>
      <c r="BM52" s="35" t="s">
        <v>396</v>
      </c>
      <c r="BN52" s="35" t="s">
        <v>439</v>
      </c>
      <c r="BO52" s="35" t="s">
        <v>440</v>
      </c>
      <c r="CM52" s="35" t="s">
        <v>441</v>
      </c>
      <c r="CN52" s="35" t="s">
        <v>604</v>
      </c>
      <c r="CO52" s="35" t="s">
        <v>4316</v>
      </c>
      <c r="CP52" s="35" t="s">
        <v>4317</v>
      </c>
      <c r="CQ52" s="35" t="s">
        <v>979</v>
      </c>
      <c r="CR52" s="35" t="s">
        <v>4318</v>
      </c>
      <c r="CS52" s="35" t="s">
        <v>404</v>
      </c>
      <c r="CT52" s="35" t="s">
        <v>4319</v>
      </c>
      <c r="CU52" s="35" t="s">
        <v>4320</v>
      </c>
      <c r="CV52" s="35" t="s">
        <v>450</v>
      </c>
      <c r="CW52" s="35" t="s">
        <v>451</v>
      </c>
      <c r="CX52" s="35" t="s">
        <v>4321</v>
      </c>
      <c r="CY52" s="35" t="s">
        <v>408</v>
      </c>
      <c r="DA52" s="35" t="s">
        <v>453</v>
      </c>
      <c r="DB52" s="35" t="s">
        <v>4322</v>
      </c>
      <c r="DC52" s="35" t="s">
        <v>455</v>
      </c>
      <c r="DD52" s="35" t="s">
        <v>4323</v>
      </c>
      <c r="DE52" s="35" t="s">
        <v>457</v>
      </c>
      <c r="DG52" s="35" t="s">
        <v>4324</v>
      </c>
      <c r="DH52" s="35" t="s">
        <v>561</v>
      </c>
      <c r="DI52" s="35" t="s">
        <v>410</v>
      </c>
      <c r="DJ52" s="35" t="s">
        <v>459</v>
      </c>
      <c r="DK52" s="35" t="s">
        <v>613</v>
      </c>
      <c r="DN52" s="35" t="s">
        <v>4325</v>
      </c>
      <c r="DO52" s="35" t="s">
        <v>4326</v>
      </c>
      <c r="DP52" s="35" t="s">
        <v>567</v>
      </c>
      <c r="DQ52" s="35" t="s">
        <v>4327</v>
      </c>
      <c r="DR52" s="35" t="s">
        <v>837</v>
      </c>
      <c r="DS52" s="35" t="s">
        <v>4328</v>
      </c>
      <c r="DT52" s="35" t="s">
        <v>839</v>
      </c>
      <c r="DU52" s="35" t="s">
        <v>703</v>
      </c>
      <c r="DV52" s="35" t="s">
        <v>4329</v>
      </c>
      <c r="DW52" s="35" t="s">
        <v>4330</v>
      </c>
      <c r="DX52" s="35" t="s">
        <v>573</v>
      </c>
      <c r="DY52" s="35" t="s">
        <v>4331</v>
      </c>
      <c r="DZ52" s="35" t="s">
        <v>4332</v>
      </c>
      <c r="EA52" s="35" t="s">
        <v>4333</v>
      </c>
      <c r="EB52" s="35" t="s">
        <v>475</v>
      </c>
      <c r="EC52" s="35" t="s">
        <v>845</v>
      </c>
      <c r="ED52" s="35" t="s">
        <v>4334</v>
      </c>
      <c r="EU52" s="35" t="s">
        <v>578</v>
      </c>
      <c r="EV52" s="35" t="s">
        <v>887</v>
      </c>
      <c r="EW52" s="35" t="s">
        <v>480</v>
      </c>
      <c r="EX52" s="35" t="s">
        <v>4335</v>
      </c>
      <c r="EY52" s="35" t="s">
        <v>4336</v>
      </c>
      <c r="EZ52" s="35" t="s">
        <v>4337</v>
      </c>
      <c r="FA52" s="35" t="s">
        <v>583</v>
      </c>
      <c r="FB52" s="35" t="s">
        <v>583</v>
      </c>
      <c r="FC52" s="35" t="s">
        <v>416</v>
      </c>
      <c r="FD52" s="35" t="s">
        <v>415</v>
      </c>
      <c r="FE52" s="35" t="s">
        <v>416</v>
      </c>
      <c r="FF52" s="35" t="s">
        <v>583</v>
      </c>
      <c r="FG52" s="35" t="s">
        <v>583</v>
      </c>
      <c r="FH52" s="35" t="s">
        <v>413</v>
      </c>
      <c r="FI52" s="35" t="s">
        <v>583</v>
      </c>
      <c r="FJ52" s="35" t="s">
        <v>414</v>
      </c>
      <c r="FK52" s="35" t="s">
        <v>414</v>
      </c>
      <c r="FL52" s="35" t="s">
        <v>583</v>
      </c>
      <c r="FM52" s="35" t="s">
        <v>583</v>
      </c>
      <c r="FN52" s="35" t="s">
        <v>413</v>
      </c>
      <c r="FO52" s="35" t="s">
        <v>583</v>
      </c>
      <c r="FP52" s="35" t="s">
        <v>417</v>
      </c>
      <c r="FQ52" s="35" t="s">
        <v>418</v>
      </c>
      <c r="FR52" s="35" t="s">
        <v>419</v>
      </c>
      <c r="FS52" s="35" t="s">
        <v>4338</v>
      </c>
      <c r="FT52" s="35" t="s">
        <v>420</v>
      </c>
      <c r="FU52" s="35" t="s">
        <v>488</v>
      </c>
      <c r="FV52" s="35" t="s">
        <v>489</v>
      </c>
      <c r="FW52" s="35" t="s">
        <v>490</v>
      </c>
      <c r="FX52" s="35" t="s">
        <v>491</v>
      </c>
      <c r="FY52" s="35" t="s">
        <v>4339</v>
      </c>
      <c r="FZ52" s="35" t="s">
        <v>493</v>
      </c>
      <c r="GB52" s="35" t="s">
        <v>4340</v>
      </c>
      <c r="GC52" s="35" t="s">
        <v>455</v>
      </c>
      <c r="GD52" s="35" t="s">
        <v>12064</v>
      </c>
      <c r="GF52" s="35" t="s">
        <v>944</v>
      </c>
      <c r="GG52" s="35" t="s">
        <v>4341</v>
      </c>
      <c r="GH52" s="35" t="s">
        <v>857</v>
      </c>
      <c r="GI52" s="35" t="s">
        <v>857</v>
      </c>
      <c r="GJ52" s="35" t="s">
        <v>946</v>
      </c>
      <c r="GN52" s="35" t="s">
        <v>1079</v>
      </c>
      <c r="GR52" s="35" t="s">
        <v>3273</v>
      </c>
    </row>
    <row r="53">
      <c r="A53" s="40"/>
      <c r="B53" s="40">
        <v>45836.08061851852</v>
      </c>
      <c r="C53" s="35" t="s">
        <v>368</v>
      </c>
      <c r="D53" s="35" t="s">
        <v>370</v>
      </c>
      <c r="E53" s="35" t="s">
        <v>370</v>
      </c>
      <c r="F53" s="35" t="s">
        <v>3955</v>
      </c>
      <c r="G53" s="35" t="s">
        <v>2620</v>
      </c>
      <c r="H53" s="35" t="s">
        <v>1102</v>
      </c>
      <c r="I53" s="35" t="s">
        <v>373</v>
      </c>
      <c r="J53" s="35" t="s">
        <v>374</v>
      </c>
      <c r="K53" s="35" t="s">
        <v>590</v>
      </c>
      <c r="L53" s="35" t="s">
        <v>376</v>
      </c>
      <c r="M53" s="35" t="s">
        <v>379</v>
      </c>
      <c r="N53" s="35" t="s">
        <v>640</v>
      </c>
      <c r="O53" s="35" t="s">
        <v>379</v>
      </c>
      <c r="P53" s="35" t="s">
        <v>640</v>
      </c>
      <c r="Q53" s="35" t="s">
        <v>592</v>
      </c>
      <c r="R53" s="35" t="s">
        <v>382</v>
      </c>
      <c r="S53" s="35" t="s">
        <v>1704</v>
      </c>
      <c r="T53" s="35" t="s">
        <v>4383</v>
      </c>
      <c r="U53" s="35" t="s">
        <v>385</v>
      </c>
      <c r="X53" s="35" t="s">
        <v>3014</v>
      </c>
      <c r="AW53" s="35" t="s">
        <v>597</v>
      </c>
      <c r="AX53" s="35" t="s">
        <v>391</v>
      </c>
      <c r="AY53" s="41">
        <v>2.0</v>
      </c>
      <c r="AZ53" s="35" t="s">
        <v>429</v>
      </c>
      <c r="BA53" s="41">
        <v>2.0</v>
      </c>
      <c r="BB53" s="41">
        <v>4.0</v>
      </c>
      <c r="BC53" s="35" t="s">
        <v>391</v>
      </c>
      <c r="BD53" s="35" t="s">
        <v>4384</v>
      </c>
      <c r="BE53" s="35" t="s">
        <v>4385</v>
      </c>
      <c r="BF53" s="35" t="s">
        <v>432</v>
      </c>
      <c r="BG53" s="35" t="s">
        <v>433</v>
      </c>
      <c r="BH53" s="35" t="s">
        <v>765</v>
      </c>
      <c r="BJ53" s="35" t="s">
        <v>824</v>
      </c>
      <c r="BL53" s="35" t="s">
        <v>437</v>
      </c>
      <c r="BM53" s="35" t="s">
        <v>396</v>
      </c>
      <c r="BN53" s="35" t="s">
        <v>549</v>
      </c>
      <c r="BO53" s="35" t="s">
        <v>440</v>
      </c>
      <c r="CM53" s="35" t="s">
        <v>441</v>
      </c>
      <c r="CN53" s="35" t="s">
        <v>401</v>
      </c>
      <c r="CO53" s="35" t="s">
        <v>4386</v>
      </c>
      <c r="CP53" s="35" t="s">
        <v>4387</v>
      </c>
      <c r="CQ53" s="35" t="s">
        <v>403</v>
      </c>
      <c r="CR53" s="35" t="s">
        <v>4388</v>
      </c>
      <c r="CS53" s="35" t="s">
        <v>804</v>
      </c>
      <c r="CT53" s="35" t="s">
        <v>4389</v>
      </c>
      <c r="CU53" s="35" t="s">
        <v>4390</v>
      </c>
      <c r="CV53" s="35" t="s">
        <v>450</v>
      </c>
      <c r="CW53" s="35" t="s">
        <v>409</v>
      </c>
      <c r="CX53" s="35" t="s">
        <v>4391</v>
      </c>
      <c r="CY53" s="35" t="s">
        <v>733</v>
      </c>
      <c r="DA53" s="35" t="s">
        <v>985</v>
      </c>
      <c r="DB53" s="35" t="s">
        <v>4392</v>
      </c>
      <c r="DC53" s="35" t="s">
        <v>913</v>
      </c>
      <c r="DE53" s="35" t="s">
        <v>988</v>
      </c>
      <c r="DG53" s="35" t="s">
        <v>4393</v>
      </c>
      <c r="DH53" s="35" t="s">
        <v>524</v>
      </c>
      <c r="DI53" s="35" t="s">
        <v>1964</v>
      </c>
      <c r="DJ53" s="35" t="s">
        <v>459</v>
      </c>
      <c r="DK53" s="35" t="s">
        <v>460</v>
      </c>
      <c r="DL53" s="35" t="s">
        <v>1434</v>
      </c>
      <c r="DN53" s="35" t="s">
        <v>4394</v>
      </c>
      <c r="DO53" s="35" t="s">
        <v>4395</v>
      </c>
      <c r="DP53" s="35" t="s">
        <v>567</v>
      </c>
      <c r="DQ53" s="35" t="s">
        <v>4396</v>
      </c>
      <c r="DR53" s="35" t="s">
        <v>837</v>
      </c>
      <c r="DS53" s="35" t="s">
        <v>12065</v>
      </c>
      <c r="DT53" s="35" t="s">
        <v>618</v>
      </c>
      <c r="DU53" s="35" t="s">
        <v>570</v>
      </c>
      <c r="DV53" s="35" t="s">
        <v>4398</v>
      </c>
      <c r="DW53" s="35" t="s">
        <v>4399</v>
      </c>
      <c r="DX53" s="35" t="s">
        <v>622</v>
      </c>
      <c r="DY53" s="35" t="s">
        <v>4400</v>
      </c>
      <c r="DZ53" s="35" t="s">
        <v>4401</v>
      </c>
      <c r="EA53" s="35" t="s">
        <v>4402</v>
      </c>
      <c r="EB53" s="35" t="s">
        <v>2960</v>
      </c>
      <c r="EC53" s="35" t="s">
        <v>1183</v>
      </c>
      <c r="EU53" s="35" t="s">
        <v>2747</v>
      </c>
      <c r="EV53" s="35" t="s">
        <v>1037</v>
      </c>
      <c r="EW53" s="35" t="s">
        <v>480</v>
      </c>
      <c r="EY53" s="35" t="s">
        <v>4403</v>
      </c>
      <c r="EZ53" s="35" t="s">
        <v>4404</v>
      </c>
      <c r="FA53" s="35" t="s">
        <v>414</v>
      </c>
      <c r="FB53" s="35" t="s">
        <v>583</v>
      </c>
      <c r="FC53" s="35" t="s">
        <v>414</v>
      </c>
      <c r="FD53" s="35" t="s">
        <v>414</v>
      </c>
      <c r="FE53" s="35" t="s">
        <v>484</v>
      </c>
      <c r="FF53" s="35" t="s">
        <v>414</v>
      </c>
      <c r="FG53" s="35" t="s">
        <v>484</v>
      </c>
      <c r="FH53" s="35" t="s">
        <v>484</v>
      </c>
      <c r="FI53" s="35" t="s">
        <v>484</v>
      </c>
      <c r="FJ53" s="35" t="s">
        <v>414</v>
      </c>
      <c r="FK53" s="35" t="s">
        <v>583</v>
      </c>
      <c r="FL53" s="35" t="s">
        <v>484</v>
      </c>
      <c r="FM53" s="35" t="s">
        <v>484</v>
      </c>
      <c r="FN53" s="35" t="s">
        <v>484</v>
      </c>
      <c r="FO53" s="35" t="s">
        <v>484</v>
      </c>
      <c r="FP53" s="35" t="s">
        <v>417</v>
      </c>
      <c r="FQ53" s="35" t="s">
        <v>2524</v>
      </c>
      <c r="FR53" s="35" t="s">
        <v>630</v>
      </c>
      <c r="FS53" s="35" t="s">
        <v>4405</v>
      </c>
      <c r="FT53" s="35" t="s">
        <v>995</v>
      </c>
      <c r="FU53" s="35" t="s">
        <v>488</v>
      </c>
      <c r="FV53" s="35" t="s">
        <v>489</v>
      </c>
      <c r="FW53" s="35" t="s">
        <v>490</v>
      </c>
      <c r="FX53" s="35" t="s">
        <v>491</v>
      </c>
      <c r="FY53" s="35" t="s">
        <v>4406</v>
      </c>
      <c r="FZ53" s="35" t="s">
        <v>493</v>
      </c>
      <c r="GC53" s="35" t="s">
        <v>408</v>
      </c>
      <c r="GH53" s="35" t="s">
        <v>789</v>
      </c>
      <c r="GI53" s="35" t="s">
        <v>789</v>
      </c>
      <c r="GJ53" s="35" t="s">
        <v>790</v>
      </c>
      <c r="GN53" s="35" t="s">
        <v>1079</v>
      </c>
      <c r="GR53" s="35" t="s">
        <v>3208</v>
      </c>
    </row>
    <row r="54">
      <c r="A54" s="40"/>
      <c r="B54" s="40">
        <v>45836.46845483796</v>
      </c>
      <c r="C54" s="35" t="s">
        <v>368</v>
      </c>
      <c r="D54" s="35" t="s">
        <v>894</v>
      </c>
      <c r="E54" s="35" t="s">
        <v>894</v>
      </c>
      <c r="H54" s="35" t="s">
        <v>422</v>
      </c>
      <c r="I54" s="35" t="s">
        <v>373</v>
      </c>
      <c r="J54" s="35" t="s">
        <v>374</v>
      </c>
      <c r="K54" s="35" t="s">
        <v>425</v>
      </c>
      <c r="L54" s="35" t="s">
        <v>376</v>
      </c>
      <c r="M54" s="35" t="s">
        <v>670</v>
      </c>
      <c r="N54" s="35" t="s">
        <v>639</v>
      </c>
      <c r="O54" s="35" t="s">
        <v>670</v>
      </c>
      <c r="P54" s="35" t="s">
        <v>671</v>
      </c>
      <c r="Q54" s="35" t="s">
        <v>592</v>
      </c>
      <c r="R54" s="35" t="s">
        <v>862</v>
      </c>
      <c r="S54" s="35" t="s">
        <v>427</v>
      </c>
      <c r="T54" s="35" t="s">
        <v>384</v>
      </c>
      <c r="U54" s="35" t="s">
        <v>385</v>
      </c>
      <c r="V54" s="35" t="s">
        <v>1241</v>
      </c>
      <c r="W54" s="35" t="s">
        <v>1241</v>
      </c>
      <c r="X54" s="35" t="s">
        <v>3231</v>
      </c>
      <c r="AW54" s="35" t="s">
        <v>1310</v>
      </c>
      <c r="AX54" s="41">
        <v>2.0</v>
      </c>
      <c r="AY54" s="35" t="s">
        <v>429</v>
      </c>
      <c r="AZ54" s="41">
        <v>4.0</v>
      </c>
      <c r="BA54" s="41">
        <v>4.0</v>
      </c>
      <c r="BB54" s="41">
        <v>4.0</v>
      </c>
      <c r="BC54" s="35" t="s">
        <v>391</v>
      </c>
      <c r="BF54" s="35" t="s">
        <v>432</v>
      </c>
      <c r="BG54" s="35" t="s">
        <v>433</v>
      </c>
      <c r="BH54" s="35" t="s">
        <v>394</v>
      </c>
      <c r="BJ54" s="35" t="s">
        <v>824</v>
      </c>
      <c r="BL54" s="35" t="s">
        <v>602</v>
      </c>
      <c r="BN54" s="35" t="s">
        <v>1247</v>
      </c>
      <c r="BO54" s="35" t="s">
        <v>440</v>
      </c>
      <c r="CM54" s="35" t="s">
        <v>441</v>
      </c>
      <c r="CN54" s="35" t="s">
        <v>604</v>
      </c>
      <c r="CO54" s="35" t="s">
        <v>12066</v>
      </c>
      <c r="CP54" s="35" t="s">
        <v>12067</v>
      </c>
      <c r="CQ54" s="35" t="s">
        <v>685</v>
      </c>
      <c r="CR54" s="35" t="s">
        <v>1467</v>
      </c>
      <c r="CS54" s="35" t="s">
        <v>447</v>
      </c>
      <c r="CT54" s="35" t="s">
        <v>448</v>
      </c>
      <c r="CU54" s="35" t="s">
        <v>4439</v>
      </c>
      <c r="CV54" s="35" t="s">
        <v>1961</v>
      </c>
      <c r="CW54" s="35" t="s">
        <v>451</v>
      </c>
      <c r="CX54" s="35" t="s">
        <v>4440</v>
      </c>
      <c r="CY54" s="35" t="s">
        <v>408</v>
      </c>
      <c r="DA54" s="35" t="s">
        <v>453</v>
      </c>
      <c r="DB54" s="35" t="s">
        <v>12068</v>
      </c>
      <c r="DC54" s="35" t="s">
        <v>408</v>
      </c>
      <c r="DE54" s="35" t="s">
        <v>988</v>
      </c>
      <c r="DG54" s="35" t="s">
        <v>4442</v>
      </c>
      <c r="DH54" s="35" t="s">
        <v>561</v>
      </c>
      <c r="DI54" s="35" t="s">
        <v>410</v>
      </c>
      <c r="DJ54" s="35" t="s">
        <v>459</v>
      </c>
      <c r="DK54" s="35" t="s">
        <v>460</v>
      </c>
      <c r="DL54" s="35" t="s">
        <v>461</v>
      </c>
      <c r="DN54" s="35" t="s">
        <v>4443</v>
      </c>
      <c r="DO54" s="35" t="s">
        <v>4444</v>
      </c>
      <c r="DP54" s="35" t="s">
        <v>464</v>
      </c>
      <c r="DQ54" s="35" t="s">
        <v>4445</v>
      </c>
      <c r="DR54" s="35" t="s">
        <v>1578</v>
      </c>
      <c r="DS54" s="35" t="s">
        <v>4446</v>
      </c>
      <c r="DT54" s="35" t="s">
        <v>839</v>
      </c>
      <c r="DU54" s="35" t="s">
        <v>619</v>
      </c>
      <c r="DV54" s="35" t="s">
        <v>4447</v>
      </c>
      <c r="DW54" s="35" t="s">
        <v>12069</v>
      </c>
      <c r="DX54" s="35" t="s">
        <v>573</v>
      </c>
      <c r="DY54" s="35" t="s">
        <v>12070</v>
      </c>
      <c r="EA54" s="35" t="s">
        <v>4450</v>
      </c>
      <c r="EB54" s="35" t="s">
        <v>475</v>
      </c>
      <c r="EC54" s="35" t="s">
        <v>626</v>
      </c>
      <c r="ED54" s="35" t="s">
        <v>4451</v>
      </c>
      <c r="EU54" s="35" t="s">
        <v>526</v>
      </c>
      <c r="EV54" s="35" t="s">
        <v>479</v>
      </c>
      <c r="EW54" s="35" t="s">
        <v>480</v>
      </c>
      <c r="EY54" s="35" t="s">
        <v>4452</v>
      </c>
      <c r="EZ54" s="35" t="s">
        <v>4453</v>
      </c>
      <c r="FA54" s="35" t="s">
        <v>583</v>
      </c>
      <c r="FB54" s="35" t="s">
        <v>583</v>
      </c>
      <c r="FC54" s="35" t="s">
        <v>583</v>
      </c>
      <c r="FD54" s="35" t="s">
        <v>583</v>
      </c>
      <c r="FE54" s="35" t="s">
        <v>415</v>
      </c>
      <c r="FF54" s="35" t="s">
        <v>583</v>
      </c>
      <c r="FG54" s="35" t="s">
        <v>583</v>
      </c>
      <c r="FH54" s="35" t="s">
        <v>415</v>
      </c>
      <c r="FI54" s="35" t="s">
        <v>415</v>
      </c>
      <c r="FJ54" s="35" t="s">
        <v>583</v>
      </c>
      <c r="FK54" s="35" t="s">
        <v>583</v>
      </c>
      <c r="FL54" s="35" t="s">
        <v>415</v>
      </c>
      <c r="FM54" s="35" t="s">
        <v>415</v>
      </c>
      <c r="FN54" s="35" t="s">
        <v>413</v>
      </c>
      <c r="FO54" s="35" t="s">
        <v>415</v>
      </c>
      <c r="FP54" s="35" t="s">
        <v>417</v>
      </c>
      <c r="FQ54" s="35" t="s">
        <v>418</v>
      </c>
      <c r="FR54" s="35" t="s">
        <v>419</v>
      </c>
      <c r="FT54" s="35" t="s">
        <v>995</v>
      </c>
      <c r="FU54" s="35" t="s">
        <v>488</v>
      </c>
      <c r="FV54" s="35" t="s">
        <v>533</v>
      </c>
      <c r="FW54" s="35" t="s">
        <v>490</v>
      </c>
      <c r="FX54" s="35" t="s">
        <v>491</v>
      </c>
      <c r="FY54" s="35" t="s">
        <v>4454</v>
      </c>
      <c r="FZ54" s="35" t="s">
        <v>535</v>
      </c>
      <c r="GA54" s="35" t="s">
        <v>4455</v>
      </c>
      <c r="GC54" s="35" t="s">
        <v>455</v>
      </c>
      <c r="GD54" s="35" t="s">
        <v>12071</v>
      </c>
      <c r="GF54" s="35" t="s">
        <v>753</v>
      </c>
      <c r="GG54" s="35" t="s">
        <v>4456</v>
      </c>
      <c r="GH54" s="35" t="s">
        <v>755</v>
      </c>
      <c r="GI54" s="35" t="s">
        <v>755</v>
      </c>
      <c r="GJ54" s="35" t="s">
        <v>946</v>
      </c>
      <c r="GN54" s="35" t="s">
        <v>1079</v>
      </c>
      <c r="GQ54" s="35" t="s">
        <v>387</v>
      </c>
      <c r="GR54" s="35" t="s">
        <v>3208</v>
      </c>
    </row>
    <row r="55">
      <c r="A55" s="40"/>
      <c r="B55" s="40">
        <v>45837.65933071759</v>
      </c>
      <c r="C55" s="35" t="s">
        <v>368</v>
      </c>
      <c r="D55" s="35" t="s">
        <v>370</v>
      </c>
      <c r="E55" s="35" t="s">
        <v>370</v>
      </c>
      <c r="F55" s="35" t="s">
        <v>1421</v>
      </c>
      <c r="G55" s="35" t="s">
        <v>1421</v>
      </c>
      <c r="H55" s="35" t="s">
        <v>3187</v>
      </c>
      <c r="I55" s="35" t="s">
        <v>373</v>
      </c>
      <c r="J55" s="35" t="s">
        <v>374</v>
      </c>
      <c r="K55" s="35" t="s">
        <v>590</v>
      </c>
      <c r="L55" s="35" t="s">
        <v>376</v>
      </c>
      <c r="M55" s="35" t="s">
        <v>379</v>
      </c>
      <c r="N55" s="35" t="s">
        <v>378</v>
      </c>
      <c r="O55" s="35" t="s">
        <v>379</v>
      </c>
      <c r="P55" s="35" t="s">
        <v>380</v>
      </c>
      <c r="Q55" s="35" t="s">
        <v>498</v>
      </c>
      <c r="R55" s="35" t="s">
        <v>862</v>
      </c>
      <c r="S55" s="35" t="s">
        <v>2360</v>
      </c>
      <c r="T55" s="35" t="s">
        <v>1512</v>
      </c>
      <c r="U55" s="35" t="s">
        <v>385</v>
      </c>
      <c r="X55" s="35" t="s">
        <v>3014</v>
      </c>
      <c r="AW55" s="35" t="s">
        <v>1242</v>
      </c>
      <c r="AX55" s="35" t="s">
        <v>675</v>
      </c>
      <c r="AY55" s="35" t="s">
        <v>675</v>
      </c>
      <c r="AZ55" s="41">
        <v>4.0</v>
      </c>
      <c r="BA55" s="35" t="s">
        <v>675</v>
      </c>
      <c r="BB55" s="35" t="s">
        <v>675</v>
      </c>
      <c r="BC55" s="35" t="s">
        <v>675</v>
      </c>
      <c r="BD55" s="35" t="s">
        <v>2220</v>
      </c>
      <c r="BE55" s="35" t="s">
        <v>4615</v>
      </c>
      <c r="BF55" s="35" t="s">
        <v>2379</v>
      </c>
      <c r="BG55" s="35" t="s">
        <v>1047</v>
      </c>
      <c r="BH55" s="35" t="s">
        <v>434</v>
      </c>
      <c r="BI55" s="35" t="s">
        <v>4616</v>
      </c>
      <c r="BJ55" s="35" t="s">
        <v>976</v>
      </c>
      <c r="BL55" s="35" t="s">
        <v>602</v>
      </c>
      <c r="BM55" s="35" t="s">
        <v>904</v>
      </c>
      <c r="BN55" s="35" t="s">
        <v>1314</v>
      </c>
      <c r="BO55" s="35" t="s">
        <v>440</v>
      </c>
      <c r="CM55" s="35" t="s">
        <v>441</v>
      </c>
      <c r="CN55" s="35" t="s">
        <v>442</v>
      </c>
      <c r="CO55" s="35" t="s">
        <v>4617</v>
      </c>
      <c r="CP55" s="35" t="s">
        <v>12072</v>
      </c>
      <c r="CQ55" s="35" t="s">
        <v>685</v>
      </c>
      <c r="CR55" s="35" t="s">
        <v>956</v>
      </c>
      <c r="CS55" s="35" t="s">
        <v>804</v>
      </c>
      <c r="CT55" s="35" t="s">
        <v>1626</v>
      </c>
      <c r="CU55" s="35" t="s">
        <v>4619</v>
      </c>
      <c r="CV55" s="35" t="s">
        <v>1863</v>
      </c>
      <c r="CW55" s="35" t="s">
        <v>1931</v>
      </c>
      <c r="CX55" s="35" t="s">
        <v>4620</v>
      </c>
      <c r="CY55" s="35" t="s">
        <v>408</v>
      </c>
      <c r="DA55" s="35" t="s">
        <v>453</v>
      </c>
      <c r="DB55" s="35" t="s">
        <v>12073</v>
      </c>
      <c r="DC55" s="35" t="s">
        <v>408</v>
      </c>
      <c r="DE55" s="35" t="s">
        <v>406</v>
      </c>
      <c r="DF55" s="35" t="s">
        <v>407</v>
      </c>
      <c r="DG55" s="35" t="s">
        <v>4622</v>
      </c>
      <c r="DH55" s="35" t="s">
        <v>524</v>
      </c>
      <c r="DI55" s="35" t="s">
        <v>1220</v>
      </c>
      <c r="DJ55" s="35" t="s">
        <v>459</v>
      </c>
      <c r="DK55" s="35" t="s">
        <v>613</v>
      </c>
      <c r="DN55" s="35" t="s">
        <v>4623</v>
      </c>
      <c r="DO55" s="35" t="s">
        <v>4624</v>
      </c>
      <c r="DP55" s="35" t="s">
        <v>464</v>
      </c>
      <c r="DQ55" s="35" t="s">
        <v>4625</v>
      </c>
      <c r="DR55" s="35" t="s">
        <v>466</v>
      </c>
      <c r="DS55" s="35" t="s">
        <v>4626</v>
      </c>
      <c r="DT55" s="35" t="s">
        <v>618</v>
      </c>
      <c r="DU55" s="35" t="s">
        <v>619</v>
      </c>
      <c r="DV55" s="35" t="s">
        <v>4627</v>
      </c>
      <c r="DW55" s="35" t="s">
        <v>4628</v>
      </c>
      <c r="DX55" s="35" t="s">
        <v>1328</v>
      </c>
      <c r="DY55" s="35" t="s">
        <v>4629</v>
      </c>
      <c r="DZ55" s="35" t="s">
        <v>4630</v>
      </c>
      <c r="EA55" s="35" t="s">
        <v>12074</v>
      </c>
      <c r="EB55" s="35" t="s">
        <v>475</v>
      </c>
      <c r="EC55" s="35" t="s">
        <v>476</v>
      </c>
      <c r="ED55" s="35" t="s">
        <v>4632</v>
      </c>
      <c r="EU55" s="35" t="s">
        <v>526</v>
      </c>
      <c r="EV55" s="35" t="s">
        <v>479</v>
      </c>
      <c r="EW55" s="35" t="s">
        <v>480</v>
      </c>
      <c r="EY55" s="35" t="s">
        <v>12075</v>
      </c>
      <c r="EZ55" s="35" t="s">
        <v>12076</v>
      </c>
      <c r="FA55" s="35" t="s">
        <v>413</v>
      </c>
      <c r="FB55" s="35" t="s">
        <v>416</v>
      </c>
      <c r="FC55" s="35" t="s">
        <v>413</v>
      </c>
      <c r="FD55" s="35" t="s">
        <v>413</v>
      </c>
      <c r="FE55" s="35" t="s">
        <v>413</v>
      </c>
      <c r="FF55" s="35" t="s">
        <v>484</v>
      </c>
      <c r="FG55" s="35" t="s">
        <v>484</v>
      </c>
      <c r="FH55" s="35" t="s">
        <v>413</v>
      </c>
      <c r="FI55" s="35" t="s">
        <v>484</v>
      </c>
      <c r="FJ55" s="35" t="s">
        <v>414</v>
      </c>
      <c r="FK55" s="35" t="s">
        <v>416</v>
      </c>
      <c r="FL55" s="35" t="s">
        <v>414</v>
      </c>
      <c r="FM55" s="35" t="s">
        <v>414</v>
      </c>
      <c r="FN55" s="35" t="s">
        <v>413</v>
      </c>
      <c r="FO55" s="35" t="s">
        <v>484</v>
      </c>
      <c r="FP55" s="35" t="s">
        <v>417</v>
      </c>
      <c r="FQ55" s="35" t="s">
        <v>418</v>
      </c>
      <c r="FR55" s="35" t="s">
        <v>1039</v>
      </c>
      <c r="FS55" s="35" t="s">
        <v>12077</v>
      </c>
      <c r="FT55" s="35" t="s">
        <v>420</v>
      </c>
      <c r="FU55" s="35" t="s">
        <v>488</v>
      </c>
      <c r="FV55" s="35" t="s">
        <v>489</v>
      </c>
      <c r="FW55" s="35" t="s">
        <v>490</v>
      </c>
      <c r="FX55" s="35" t="s">
        <v>491</v>
      </c>
      <c r="FY55" s="35" t="s">
        <v>4636</v>
      </c>
      <c r="FZ55" s="35" t="s">
        <v>535</v>
      </c>
      <c r="GC55" s="35" t="s">
        <v>455</v>
      </c>
      <c r="GD55" s="35" t="s">
        <v>12078</v>
      </c>
      <c r="GF55" s="35" t="s">
        <v>753</v>
      </c>
      <c r="GG55" s="35" t="s">
        <v>12079</v>
      </c>
      <c r="GH55" s="35" t="s">
        <v>857</v>
      </c>
      <c r="GI55" s="35" t="s">
        <v>857</v>
      </c>
      <c r="GJ55" s="35" t="s">
        <v>858</v>
      </c>
      <c r="GN55" s="35" t="s">
        <v>1079</v>
      </c>
      <c r="GR55" s="35" t="s">
        <v>3351</v>
      </c>
    </row>
    <row r="56">
      <c r="A56" s="40"/>
      <c r="B56" s="40">
        <v>45838.70387729167</v>
      </c>
      <c r="C56" s="35" t="s">
        <v>368</v>
      </c>
      <c r="D56" s="35" t="s">
        <v>370</v>
      </c>
      <c r="E56" s="35" t="s">
        <v>370</v>
      </c>
      <c r="F56" s="35" t="s">
        <v>2376</v>
      </c>
      <c r="G56" s="35" t="s">
        <v>667</v>
      </c>
      <c r="H56" s="35" t="s">
        <v>422</v>
      </c>
      <c r="I56" s="35" t="s">
        <v>1203</v>
      </c>
      <c r="J56" s="35" t="s">
        <v>638</v>
      </c>
      <c r="K56" s="35" t="s">
        <v>590</v>
      </c>
      <c r="L56" s="35" t="s">
        <v>376</v>
      </c>
      <c r="M56" s="35" t="s">
        <v>591</v>
      </c>
      <c r="N56" s="35" t="s">
        <v>720</v>
      </c>
      <c r="O56" s="35" t="s">
        <v>426</v>
      </c>
      <c r="P56" s="35" t="s">
        <v>380</v>
      </c>
      <c r="Q56" s="35" t="s">
        <v>498</v>
      </c>
      <c r="R56" s="35" t="s">
        <v>382</v>
      </c>
      <c r="S56" s="35" t="s">
        <v>500</v>
      </c>
      <c r="T56" s="35" t="s">
        <v>384</v>
      </c>
      <c r="U56" s="35" t="s">
        <v>385</v>
      </c>
      <c r="X56" s="35" t="s">
        <v>3014</v>
      </c>
      <c r="AW56" s="35" t="s">
        <v>1310</v>
      </c>
      <c r="AX56" s="41">
        <v>4.0</v>
      </c>
      <c r="AY56" s="41">
        <v>2.0</v>
      </c>
      <c r="AZ56" s="35" t="s">
        <v>391</v>
      </c>
      <c r="BA56" s="35" t="s">
        <v>429</v>
      </c>
      <c r="BB56" s="35" t="s">
        <v>429</v>
      </c>
      <c r="BC56" s="41">
        <v>2.0</v>
      </c>
      <c r="BD56" s="35" t="s">
        <v>4654</v>
      </c>
      <c r="BE56" s="35" t="s">
        <v>4655</v>
      </c>
      <c r="BF56" s="35" t="s">
        <v>432</v>
      </c>
      <c r="BG56" s="35" t="s">
        <v>393</v>
      </c>
      <c r="BH56" s="35" t="s">
        <v>725</v>
      </c>
      <c r="BI56" s="35" t="s">
        <v>4656</v>
      </c>
      <c r="BJ56" s="35" t="s">
        <v>824</v>
      </c>
      <c r="BL56" s="35" t="s">
        <v>681</v>
      </c>
      <c r="BM56" s="35" t="s">
        <v>396</v>
      </c>
      <c r="BN56" s="35" t="s">
        <v>549</v>
      </c>
      <c r="BO56" s="35" t="s">
        <v>440</v>
      </c>
      <c r="CY56" s="35" t="s">
        <v>408</v>
      </c>
      <c r="DA56" s="35" t="s">
        <v>985</v>
      </c>
      <c r="DC56" s="35" t="s">
        <v>408</v>
      </c>
      <c r="DE56" s="35" t="s">
        <v>988</v>
      </c>
      <c r="DF56" s="35" t="s">
        <v>407</v>
      </c>
      <c r="DH56" s="35" t="s">
        <v>561</v>
      </c>
      <c r="DI56" s="35" t="s">
        <v>410</v>
      </c>
      <c r="DJ56" s="35" t="s">
        <v>777</v>
      </c>
      <c r="DK56" s="35" t="s">
        <v>613</v>
      </c>
      <c r="DN56" s="35" t="s">
        <v>4657</v>
      </c>
      <c r="DO56" s="35" t="s">
        <v>4658</v>
      </c>
      <c r="DP56" s="35" t="s">
        <v>464</v>
      </c>
      <c r="DQ56" s="35" t="s">
        <v>4659</v>
      </c>
      <c r="DR56" s="35" t="s">
        <v>1176</v>
      </c>
      <c r="DS56" s="35" t="s">
        <v>4660</v>
      </c>
      <c r="DT56" s="35" t="s">
        <v>839</v>
      </c>
      <c r="DU56" s="35" t="s">
        <v>3611</v>
      </c>
      <c r="DV56" s="35" t="s">
        <v>4661</v>
      </c>
      <c r="DW56" s="35" t="s">
        <v>4661</v>
      </c>
      <c r="DX56" s="35" t="s">
        <v>396</v>
      </c>
      <c r="DY56" s="35" t="s">
        <v>4662</v>
      </c>
      <c r="EA56" s="35" t="s">
        <v>4663</v>
      </c>
      <c r="EB56" s="35" t="s">
        <v>475</v>
      </c>
      <c r="EC56" s="35" t="s">
        <v>626</v>
      </c>
      <c r="EU56" s="35" t="s">
        <v>526</v>
      </c>
      <c r="EV56" s="35" t="s">
        <v>479</v>
      </c>
      <c r="EW56" s="35" t="s">
        <v>1262</v>
      </c>
      <c r="EY56" s="35" t="s">
        <v>4664</v>
      </c>
      <c r="EZ56" s="35" t="s">
        <v>4665</v>
      </c>
      <c r="FA56" s="35" t="s">
        <v>415</v>
      </c>
      <c r="FB56" s="35" t="s">
        <v>583</v>
      </c>
      <c r="FC56" s="35" t="s">
        <v>413</v>
      </c>
      <c r="FD56" s="35" t="s">
        <v>413</v>
      </c>
      <c r="FE56" s="35" t="s">
        <v>413</v>
      </c>
      <c r="FF56" s="35" t="s">
        <v>583</v>
      </c>
      <c r="FG56" s="35" t="s">
        <v>415</v>
      </c>
      <c r="FH56" s="35" t="s">
        <v>413</v>
      </c>
      <c r="FI56" s="35" t="s">
        <v>583</v>
      </c>
      <c r="FJ56" s="35" t="s">
        <v>583</v>
      </c>
      <c r="FK56" s="35" t="s">
        <v>415</v>
      </c>
      <c r="FL56" s="35" t="s">
        <v>484</v>
      </c>
      <c r="FM56" s="35" t="s">
        <v>484</v>
      </c>
      <c r="FN56" s="35" t="s">
        <v>416</v>
      </c>
      <c r="FO56" s="35" t="s">
        <v>414</v>
      </c>
      <c r="FP56" s="35" t="s">
        <v>1074</v>
      </c>
      <c r="FQ56" s="35" t="s">
        <v>418</v>
      </c>
      <c r="FS56" s="35" t="s">
        <v>4666</v>
      </c>
      <c r="FT56" s="35" t="s">
        <v>420</v>
      </c>
      <c r="FU56" s="35" t="s">
        <v>488</v>
      </c>
      <c r="FV56" s="35" t="s">
        <v>533</v>
      </c>
      <c r="FW56" s="35" t="s">
        <v>490</v>
      </c>
      <c r="FX56" s="35" t="s">
        <v>491</v>
      </c>
      <c r="FY56" s="35" t="s">
        <v>4667</v>
      </c>
      <c r="FZ56" s="35" t="s">
        <v>535</v>
      </c>
      <c r="GC56" s="35" t="s">
        <v>408</v>
      </c>
      <c r="GH56" s="35" t="s">
        <v>755</v>
      </c>
      <c r="GI56" s="35" t="s">
        <v>755</v>
      </c>
      <c r="GJ56" s="35" t="s">
        <v>946</v>
      </c>
      <c r="GN56" s="35" t="s">
        <v>1079</v>
      </c>
      <c r="GR56" s="35" t="s">
        <v>3208</v>
      </c>
    </row>
    <row r="57">
      <c r="A57" s="40"/>
      <c r="B57" s="40">
        <v>45840.28386831019</v>
      </c>
      <c r="C57" s="35" t="s">
        <v>368</v>
      </c>
      <c r="D57" s="35" t="s">
        <v>4707</v>
      </c>
      <c r="E57" s="35" t="s">
        <v>4707</v>
      </c>
      <c r="H57" s="35" t="s">
        <v>372</v>
      </c>
      <c r="I57" s="35" t="s">
        <v>373</v>
      </c>
      <c r="J57" s="35" t="s">
        <v>374</v>
      </c>
      <c r="K57" s="35" t="s">
        <v>375</v>
      </c>
      <c r="L57" s="35" t="s">
        <v>376</v>
      </c>
      <c r="M57" s="35" t="s">
        <v>591</v>
      </c>
      <c r="N57" s="35" t="s">
        <v>639</v>
      </c>
      <c r="O57" s="35" t="s">
        <v>670</v>
      </c>
      <c r="P57" s="35" t="s">
        <v>719</v>
      </c>
      <c r="Q57" s="35" t="s">
        <v>1504</v>
      </c>
      <c r="R57" s="35" t="s">
        <v>499</v>
      </c>
      <c r="S57" s="35" t="s">
        <v>1197</v>
      </c>
      <c r="T57" s="35" t="s">
        <v>384</v>
      </c>
      <c r="U57" s="35" t="s">
        <v>385</v>
      </c>
      <c r="X57" s="35" t="s">
        <v>386</v>
      </c>
      <c r="Y57" s="35" t="s">
        <v>387</v>
      </c>
      <c r="Z57" s="35" t="s">
        <v>388</v>
      </c>
      <c r="AA57" s="35" t="s">
        <v>389</v>
      </c>
      <c r="AB57" s="35" t="s">
        <v>2675</v>
      </c>
      <c r="AC57" s="35" t="s">
        <v>2675</v>
      </c>
      <c r="AW57" s="35" t="s">
        <v>597</v>
      </c>
      <c r="AX57" s="35" t="s">
        <v>675</v>
      </c>
      <c r="AY57" s="41">
        <v>4.0</v>
      </c>
      <c r="AZ57" s="41">
        <v>4.0</v>
      </c>
      <c r="BA57" s="35" t="s">
        <v>391</v>
      </c>
      <c r="BB57" s="35" t="s">
        <v>391</v>
      </c>
      <c r="BC57" s="35" t="s">
        <v>391</v>
      </c>
      <c r="BD57" s="35" t="s">
        <v>4708</v>
      </c>
      <c r="BE57" s="35" t="s">
        <v>4709</v>
      </c>
      <c r="BF57" s="35" t="s">
        <v>432</v>
      </c>
      <c r="BG57" s="35" t="s">
        <v>433</v>
      </c>
      <c r="BH57" s="35" t="s">
        <v>678</v>
      </c>
      <c r="BJ57" s="35" t="s">
        <v>435</v>
      </c>
      <c r="BK57" s="35" t="s">
        <v>4710</v>
      </c>
      <c r="BL57" s="35" t="s">
        <v>437</v>
      </c>
      <c r="BM57" s="35" t="s">
        <v>904</v>
      </c>
      <c r="BN57" s="35" t="s">
        <v>397</v>
      </c>
      <c r="BO57" s="35" t="s">
        <v>440</v>
      </c>
      <c r="CM57" s="35" t="s">
        <v>550</v>
      </c>
      <c r="CN57" s="35" t="s">
        <v>401</v>
      </c>
      <c r="CO57" s="35" t="s">
        <v>4711</v>
      </c>
      <c r="CP57" s="35" t="s">
        <v>4712</v>
      </c>
      <c r="CQ57" s="35" t="s">
        <v>685</v>
      </c>
      <c r="CR57" s="35" t="s">
        <v>4713</v>
      </c>
      <c r="CS57" s="35" t="s">
        <v>804</v>
      </c>
      <c r="CT57" s="35" t="s">
        <v>4714</v>
      </c>
      <c r="CU57" s="35" t="s">
        <v>4715</v>
      </c>
      <c r="CV57" s="35" t="s">
        <v>519</v>
      </c>
      <c r="CW57" s="35" t="s">
        <v>451</v>
      </c>
      <c r="CX57" s="35" t="s">
        <v>4716</v>
      </c>
      <c r="CY57" s="35" t="s">
        <v>408</v>
      </c>
      <c r="DA57" s="35" t="s">
        <v>985</v>
      </c>
      <c r="DB57" s="35" t="s">
        <v>4717</v>
      </c>
      <c r="DC57" s="35" t="s">
        <v>408</v>
      </c>
      <c r="DE57" s="35" t="s">
        <v>988</v>
      </c>
      <c r="DG57" s="35" t="s">
        <v>4718</v>
      </c>
      <c r="DH57" s="35" t="s">
        <v>524</v>
      </c>
      <c r="DI57" s="35" t="s">
        <v>410</v>
      </c>
      <c r="DJ57" s="35" t="s">
        <v>963</v>
      </c>
      <c r="DK57" s="35" t="s">
        <v>562</v>
      </c>
      <c r="DL57" s="35" t="s">
        <v>563</v>
      </c>
      <c r="DM57" s="35" t="s">
        <v>4719</v>
      </c>
      <c r="DN57" s="35" t="s">
        <v>4720</v>
      </c>
      <c r="DO57" s="35" t="s">
        <v>4721</v>
      </c>
      <c r="DP57" s="35" t="s">
        <v>567</v>
      </c>
      <c r="DQ57" s="35" t="s">
        <v>4722</v>
      </c>
      <c r="DR57" s="35" t="s">
        <v>837</v>
      </c>
      <c r="DS57" s="35" t="s">
        <v>4723</v>
      </c>
      <c r="DT57" s="35" t="s">
        <v>618</v>
      </c>
      <c r="DU57" s="35" t="s">
        <v>619</v>
      </c>
      <c r="DV57" s="35" t="s">
        <v>4724</v>
      </c>
      <c r="DW57" s="35" t="s">
        <v>4725</v>
      </c>
      <c r="DX57" s="35" t="s">
        <v>622</v>
      </c>
      <c r="DY57" s="35" t="s">
        <v>4726</v>
      </c>
      <c r="DZ57" s="35" t="s">
        <v>4727</v>
      </c>
      <c r="EA57" s="35" t="s">
        <v>12080</v>
      </c>
      <c r="EB57" s="35" t="s">
        <v>475</v>
      </c>
      <c r="EC57" s="35" t="s">
        <v>845</v>
      </c>
      <c r="ED57" s="35" t="s">
        <v>4729</v>
      </c>
      <c r="EU57" s="35" t="s">
        <v>526</v>
      </c>
      <c r="EV57" s="35" t="s">
        <v>579</v>
      </c>
      <c r="EW57" s="35" t="s">
        <v>480</v>
      </c>
      <c r="EX57" s="35" t="s">
        <v>4730</v>
      </c>
      <c r="EY57" s="35" t="s">
        <v>4731</v>
      </c>
      <c r="EZ57" s="35" t="s">
        <v>4731</v>
      </c>
      <c r="FA57" s="35" t="s">
        <v>416</v>
      </c>
      <c r="FB57" s="35" t="s">
        <v>415</v>
      </c>
      <c r="FC57" s="35" t="s">
        <v>413</v>
      </c>
      <c r="FD57" s="35" t="s">
        <v>413</v>
      </c>
      <c r="FE57" s="35" t="s">
        <v>413</v>
      </c>
      <c r="FF57" s="35" t="s">
        <v>414</v>
      </c>
      <c r="FG57" s="35" t="s">
        <v>416</v>
      </c>
      <c r="FH57" s="35" t="s">
        <v>413</v>
      </c>
      <c r="FI57" s="35" t="s">
        <v>415</v>
      </c>
      <c r="FJ57" s="35" t="s">
        <v>413</v>
      </c>
      <c r="FK57" s="35" t="s">
        <v>416</v>
      </c>
      <c r="FL57" s="35" t="s">
        <v>415</v>
      </c>
      <c r="FM57" s="35" t="s">
        <v>415</v>
      </c>
      <c r="FN57" s="35" t="s">
        <v>415</v>
      </c>
      <c r="FO57" s="35" t="s">
        <v>415</v>
      </c>
      <c r="FP57" s="35" t="s">
        <v>485</v>
      </c>
      <c r="FQ57" s="35" t="s">
        <v>418</v>
      </c>
      <c r="FR57" s="35" t="s">
        <v>1039</v>
      </c>
      <c r="FT57" s="35" t="s">
        <v>420</v>
      </c>
      <c r="FU57" s="35" t="s">
        <v>2750</v>
      </c>
      <c r="FV57" s="35" t="s">
        <v>1235</v>
      </c>
      <c r="FW57" s="35" t="s">
        <v>490</v>
      </c>
      <c r="FX57" s="35" t="s">
        <v>491</v>
      </c>
      <c r="FY57" s="35" t="s">
        <v>4732</v>
      </c>
      <c r="FZ57" s="35" t="s">
        <v>535</v>
      </c>
      <c r="GA57" s="35" t="s">
        <v>4733</v>
      </c>
      <c r="GC57" s="35" t="s">
        <v>455</v>
      </c>
      <c r="GD57" s="35" t="s">
        <v>12081</v>
      </c>
      <c r="GF57" s="35" t="s">
        <v>944</v>
      </c>
      <c r="GG57" s="35" t="s">
        <v>4734</v>
      </c>
      <c r="GH57" s="35" t="s">
        <v>755</v>
      </c>
      <c r="GI57" s="35" t="s">
        <v>755</v>
      </c>
      <c r="GJ57" s="35" t="s">
        <v>946</v>
      </c>
      <c r="GN57" s="35" t="s">
        <v>1079</v>
      </c>
      <c r="GR57" s="35" t="s">
        <v>3208</v>
      </c>
    </row>
    <row r="58">
      <c r="A58" s="40"/>
      <c r="B58" s="40">
        <v>45842.01290361111</v>
      </c>
      <c r="C58" s="35" t="s">
        <v>368</v>
      </c>
      <c r="D58" s="35" t="s">
        <v>370</v>
      </c>
      <c r="E58" s="35" t="s">
        <v>370</v>
      </c>
      <c r="F58" s="35" t="s">
        <v>2114</v>
      </c>
      <c r="G58" s="35" t="s">
        <v>2114</v>
      </c>
      <c r="H58" s="35" t="s">
        <v>422</v>
      </c>
      <c r="I58" s="35" t="s">
        <v>539</v>
      </c>
      <c r="J58" s="35" t="s">
        <v>424</v>
      </c>
      <c r="K58" s="35" t="s">
        <v>425</v>
      </c>
      <c r="L58" s="35" t="s">
        <v>376</v>
      </c>
      <c r="M58" s="35" t="s">
        <v>591</v>
      </c>
      <c r="N58" s="35" t="s">
        <v>639</v>
      </c>
      <c r="O58" s="35" t="s">
        <v>793</v>
      </c>
      <c r="P58" s="35" t="s">
        <v>639</v>
      </c>
      <c r="Q58" s="35" t="s">
        <v>498</v>
      </c>
      <c r="R58" s="35" t="s">
        <v>862</v>
      </c>
      <c r="S58" s="35" t="s">
        <v>949</v>
      </c>
      <c r="T58" s="35" t="s">
        <v>4742</v>
      </c>
      <c r="U58" s="35" t="s">
        <v>385</v>
      </c>
      <c r="X58" s="35" t="s">
        <v>386</v>
      </c>
      <c r="Y58" s="35" t="s">
        <v>387</v>
      </c>
      <c r="Z58" s="35" t="s">
        <v>897</v>
      </c>
      <c r="AA58" s="35" t="s">
        <v>543</v>
      </c>
      <c r="AB58" s="35" t="s">
        <v>4743</v>
      </c>
      <c r="AC58" s="35" t="s">
        <v>4744</v>
      </c>
      <c r="AW58" s="35" t="s">
        <v>597</v>
      </c>
      <c r="AX58" s="41">
        <v>2.0</v>
      </c>
      <c r="AY58" s="41">
        <v>2.0</v>
      </c>
      <c r="AZ58" s="35" t="s">
        <v>391</v>
      </c>
      <c r="BA58" s="41">
        <v>2.0</v>
      </c>
      <c r="BB58" s="35" t="s">
        <v>391</v>
      </c>
      <c r="BC58" s="41">
        <v>2.0</v>
      </c>
      <c r="BD58" s="35" t="s">
        <v>4745</v>
      </c>
      <c r="BE58" s="35" t="s">
        <v>4746</v>
      </c>
      <c r="BF58" s="35" t="s">
        <v>392</v>
      </c>
      <c r="BG58" s="35" t="s">
        <v>433</v>
      </c>
      <c r="BH58" s="35" t="s">
        <v>434</v>
      </c>
      <c r="BI58" s="35" t="s">
        <v>12082</v>
      </c>
      <c r="BJ58" s="35" t="s">
        <v>435</v>
      </c>
      <c r="BK58" s="35" t="s">
        <v>12083</v>
      </c>
      <c r="BL58" s="35" t="s">
        <v>437</v>
      </c>
      <c r="BM58" s="35" t="s">
        <v>603</v>
      </c>
      <c r="BN58" s="35" t="s">
        <v>549</v>
      </c>
      <c r="BO58" s="35" t="s">
        <v>440</v>
      </c>
      <c r="CM58" s="35" t="s">
        <v>441</v>
      </c>
      <c r="CN58" s="35" t="s">
        <v>401</v>
      </c>
      <c r="CO58" s="35" t="s">
        <v>12084</v>
      </c>
      <c r="CP58" s="35" t="s">
        <v>4750</v>
      </c>
      <c r="CQ58" s="35" t="s">
        <v>685</v>
      </c>
      <c r="CR58" s="35" t="s">
        <v>4751</v>
      </c>
      <c r="CS58" s="35" t="s">
        <v>447</v>
      </c>
      <c r="CT58" s="35" t="s">
        <v>2684</v>
      </c>
      <c r="CU58" s="35" t="s">
        <v>4752</v>
      </c>
      <c r="CV58" s="35" t="s">
        <v>519</v>
      </c>
      <c r="CW58" s="35" t="s">
        <v>451</v>
      </c>
      <c r="CX58" s="35" t="s">
        <v>4753</v>
      </c>
      <c r="CY58" s="35" t="s">
        <v>408</v>
      </c>
      <c r="DA58" s="35" t="s">
        <v>985</v>
      </c>
      <c r="DB58" s="35" t="s">
        <v>4754</v>
      </c>
      <c r="DC58" s="35" t="s">
        <v>408</v>
      </c>
      <c r="DD58" s="35" t="s">
        <v>4755</v>
      </c>
      <c r="DE58" s="35" t="s">
        <v>988</v>
      </c>
      <c r="DF58" s="35" t="s">
        <v>691</v>
      </c>
      <c r="DG58" s="35" t="s">
        <v>12085</v>
      </c>
      <c r="DH58" s="35" t="s">
        <v>561</v>
      </c>
      <c r="DI58" s="35" t="s">
        <v>1220</v>
      </c>
      <c r="DJ58" s="35" t="s">
        <v>963</v>
      </c>
      <c r="DK58" s="35" t="s">
        <v>613</v>
      </c>
      <c r="DN58" s="35" t="s">
        <v>4757</v>
      </c>
      <c r="DO58" s="35" t="s">
        <v>4758</v>
      </c>
      <c r="DP58" s="35" t="s">
        <v>3496</v>
      </c>
      <c r="DQ58" s="35" t="s">
        <v>4759</v>
      </c>
      <c r="DR58" s="35" t="s">
        <v>1176</v>
      </c>
      <c r="DS58" s="35" t="s">
        <v>4760</v>
      </c>
      <c r="DT58" s="35" t="s">
        <v>839</v>
      </c>
      <c r="DU58" s="35" t="s">
        <v>703</v>
      </c>
      <c r="DV58" s="35" t="s">
        <v>4761</v>
      </c>
      <c r="DW58" s="35" t="s">
        <v>4762</v>
      </c>
      <c r="DX58" s="35" t="s">
        <v>573</v>
      </c>
      <c r="DY58" s="35" t="s">
        <v>12086</v>
      </c>
      <c r="DZ58" s="35" t="s">
        <v>4764</v>
      </c>
      <c r="EA58" s="35" t="s">
        <v>4765</v>
      </c>
      <c r="EB58" s="35" t="s">
        <v>1413</v>
      </c>
      <c r="EC58" s="35" t="s">
        <v>476</v>
      </c>
      <c r="ED58" s="35" t="s">
        <v>4766</v>
      </c>
      <c r="EU58" s="35" t="s">
        <v>478</v>
      </c>
      <c r="EV58" s="35" t="s">
        <v>479</v>
      </c>
      <c r="EW58" s="35" t="s">
        <v>480</v>
      </c>
      <c r="EX58" s="35" t="s">
        <v>4767</v>
      </c>
      <c r="EY58" s="35" t="s">
        <v>4768</v>
      </c>
      <c r="EZ58" s="35" t="s">
        <v>12087</v>
      </c>
      <c r="FA58" s="35" t="s">
        <v>414</v>
      </c>
      <c r="FB58" s="35" t="s">
        <v>414</v>
      </c>
      <c r="FC58" s="35" t="s">
        <v>414</v>
      </c>
      <c r="FD58" s="35" t="s">
        <v>414</v>
      </c>
      <c r="FE58" s="35" t="s">
        <v>416</v>
      </c>
      <c r="FF58" s="35" t="s">
        <v>414</v>
      </c>
      <c r="FG58" s="35" t="s">
        <v>415</v>
      </c>
      <c r="FH58" s="35" t="s">
        <v>416</v>
      </c>
      <c r="FI58" s="35" t="s">
        <v>414</v>
      </c>
      <c r="FJ58" s="35" t="s">
        <v>414</v>
      </c>
      <c r="FK58" s="35" t="s">
        <v>414</v>
      </c>
      <c r="FL58" s="35" t="s">
        <v>484</v>
      </c>
      <c r="FM58" s="35" t="s">
        <v>414</v>
      </c>
      <c r="FN58" s="35" t="s">
        <v>416</v>
      </c>
      <c r="FO58" s="35" t="s">
        <v>414</v>
      </c>
      <c r="FP58" s="35" t="s">
        <v>850</v>
      </c>
      <c r="FQ58" s="35" t="s">
        <v>418</v>
      </c>
      <c r="FR58" s="35" t="s">
        <v>749</v>
      </c>
      <c r="FS58" s="35" t="s">
        <v>12088</v>
      </c>
      <c r="FT58" s="35" t="s">
        <v>1189</v>
      </c>
      <c r="FU58" s="35" t="s">
        <v>488</v>
      </c>
      <c r="FV58" s="35" t="s">
        <v>489</v>
      </c>
      <c r="FW58" s="35" t="s">
        <v>490</v>
      </c>
      <c r="FX58" s="35" t="s">
        <v>491</v>
      </c>
      <c r="FY58" s="35" t="s">
        <v>12089</v>
      </c>
      <c r="FZ58" s="35" t="s">
        <v>535</v>
      </c>
      <c r="GA58" s="35" t="s">
        <v>12090</v>
      </c>
      <c r="GB58" s="35" t="s">
        <v>12091</v>
      </c>
      <c r="GC58" s="35" t="s">
        <v>455</v>
      </c>
      <c r="GD58" s="35" t="s">
        <v>12092</v>
      </c>
      <c r="GF58" s="35" t="s">
        <v>855</v>
      </c>
      <c r="GH58" s="35" t="s">
        <v>789</v>
      </c>
      <c r="GI58" s="35" t="s">
        <v>920</v>
      </c>
      <c r="GJ58" s="35" t="s">
        <v>858</v>
      </c>
      <c r="GN58" s="35" t="s">
        <v>1079</v>
      </c>
      <c r="GR58" s="35" t="s">
        <v>3208</v>
      </c>
      <c r="GU58" s="35" t="s">
        <v>4774</v>
      </c>
      <c r="GV58" s="35" t="s">
        <v>4775</v>
      </c>
    </row>
    <row r="59">
      <c r="A59" s="40"/>
      <c r="B59" s="40">
        <v>45825.04676695602</v>
      </c>
      <c r="C59" s="35" t="s">
        <v>368</v>
      </c>
      <c r="D59" s="35" t="s">
        <v>370</v>
      </c>
      <c r="F59" s="35" t="s">
        <v>371</v>
      </c>
      <c r="H59" s="35" t="s">
        <v>422</v>
      </c>
      <c r="I59" s="35" t="s">
        <v>423</v>
      </c>
      <c r="J59" s="35" t="s">
        <v>424</v>
      </c>
      <c r="K59" s="35" t="s">
        <v>425</v>
      </c>
      <c r="L59" s="35" t="s">
        <v>376</v>
      </c>
      <c r="M59" s="35" t="s">
        <v>426</v>
      </c>
      <c r="N59" s="35" t="s">
        <v>378</v>
      </c>
      <c r="O59" s="35" t="s">
        <v>377</v>
      </c>
      <c r="P59" s="35" t="s">
        <v>380</v>
      </c>
      <c r="Q59" s="35" t="s">
        <v>381</v>
      </c>
      <c r="R59" s="35" t="s">
        <v>382</v>
      </c>
      <c r="S59" s="35" t="s">
        <v>427</v>
      </c>
      <c r="T59" s="35" t="s">
        <v>384</v>
      </c>
      <c r="U59" s="35" t="s">
        <v>385</v>
      </c>
      <c r="X59" s="35" t="s">
        <v>428</v>
      </c>
      <c r="AW59" s="35" t="s">
        <v>390</v>
      </c>
      <c r="AX59" s="41">
        <v>2.0</v>
      </c>
      <c r="AY59" s="41">
        <v>2.0</v>
      </c>
      <c r="AZ59" s="35" t="s">
        <v>429</v>
      </c>
      <c r="BA59" s="41">
        <v>2.0</v>
      </c>
      <c r="BB59" s="41">
        <v>2.0</v>
      </c>
      <c r="BC59" s="41">
        <v>2.0</v>
      </c>
      <c r="BD59" s="35" t="s">
        <v>430</v>
      </c>
      <c r="BE59" s="35" t="s">
        <v>431</v>
      </c>
      <c r="BF59" s="35" t="s">
        <v>432</v>
      </c>
      <c r="BG59" s="35" t="s">
        <v>433</v>
      </c>
      <c r="BH59" s="35" t="s">
        <v>434</v>
      </c>
      <c r="BJ59" s="35" t="s">
        <v>435</v>
      </c>
      <c r="BK59" s="35" t="s">
        <v>436</v>
      </c>
      <c r="BL59" s="35" t="s">
        <v>437</v>
      </c>
      <c r="BM59" s="35" t="s">
        <v>438</v>
      </c>
      <c r="BN59" s="35" t="s">
        <v>439</v>
      </c>
      <c r="BO59" s="35" t="s">
        <v>440</v>
      </c>
      <c r="CM59" s="35" t="s">
        <v>441</v>
      </c>
      <c r="CN59" s="35" t="s">
        <v>442</v>
      </c>
      <c r="CO59" s="35" t="s">
        <v>443</v>
      </c>
      <c r="CP59" s="35" t="s">
        <v>11604</v>
      </c>
      <c r="CQ59" s="35" t="s">
        <v>445</v>
      </c>
      <c r="CR59" s="35" t="s">
        <v>446</v>
      </c>
      <c r="CS59" s="35" t="s">
        <v>447</v>
      </c>
      <c r="CT59" s="35" t="s">
        <v>448</v>
      </c>
      <c r="CU59" s="35" t="s">
        <v>449</v>
      </c>
      <c r="CV59" s="35" t="s">
        <v>450</v>
      </c>
      <c r="CW59" s="35" t="s">
        <v>451</v>
      </c>
      <c r="CX59" s="35" t="s">
        <v>452</v>
      </c>
      <c r="CY59" s="35" t="s">
        <v>408</v>
      </c>
      <c r="DA59" s="35" t="s">
        <v>453</v>
      </c>
      <c r="DB59" s="35" t="s">
        <v>454</v>
      </c>
      <c r="DC59" s="35" t="s">
        <v>455</v>
      </c>
      <c r="DD59" s="35" t="s">
        <v>456</v>
      </c>
      <c r="DE59" s="35" t="s">
        <v>457</v>
      </c>
      <c r="DG59" s="35" t="s">
        <v>458</v>
      </c>
      <c r="DI59" s="35" t="s">
        <v>410</v>
      </c>
      <c r="DJ59" s="35" t="s">
        <v>459</v>
      </c>
      <c r="DK59" s="35" t="s">
        <v>460</v>
      </c>
      <c r="DL59" s="35" t="s">
        <v>461</v>
      </c>
      <c r="DN59" s="35" t="s">
        <v>462</v>
      </c>
      <c r="DO59" s="35" t="s">
        <v>463</v>
      </c>
      <c r="DP59" s="35" t="s">
        <v>464</v>
      </c>
      <c r="DQ59" s="35" t="s">
        <v>465</v>
      </c>
      <c r="DR59" s="35" t="s">
        <v>466</v>
      </c>
      <c r="DS59" s="35" t="s">
        <v>467</v>
      </c>
      <c r="DT59" s="35" t="s">
        <v>468</v>
      </c>
      <c r="DU59" s="35" t="s">
        <v>469</v>
      </c>
      <c r="DV59" s="35" t="s">
        <v>470</v>
      </c>
      <c r="DW59" s="35" t="s">
        <v>471</v>
      </c>
      <c r="DX59" s="35" t="s">
        <v>396</v>
      </c>
      <c r="DY59" s="35" t="s">
        <v>11605</v>
      </c>
      <c r="DZ59" s="35" t="s">
        <v>11606</v>
      </c>
      <c r="EA59" s="35" t="s">
        <v>474</v>
      </c>
      <c r="EB59" s="35" t="s">
        <v>475</v>
      </c>
      <c r="EC59" s="35" t="s">
        <v>476</v>
      </c>
      <c r="ED59" s="35" t="s">
        <v>477</v>
      </c>
      <c r="EU59" s="35" t="s">
        <v>478</v>
      </c>
      <c r="EV59" s="35" t="s">
        <v>479</v>
      </c>
      <c r="EW59" s="35" t="s">
        <v>480</v>
      </c>
      <c r="EX59" s="35" t="s">
        <v>481</v>
      </c>
      <c r="EY59" s="35" t="s">
        <v>482</v>
      </c>
      <c r="EZ59" s="35" t="s">
        <v>483</v>
      </c>
      <c r="FA59" s="35" t="s">
        <v>414</v>
      </c>
      <c r="FB59" s="35" t="s">
        <v>414</v>
      </c>
      <c r="FC59" s="35" t="s">
        <v>414</v>
      </c>
      <c r="FD59" s="35" t="s">
        <v>414</v>
      </c>
      <c r="FE59" s="35" t="s">
        <v>414</v>
      </c>
      <c r="FF59" s="35" t="s">
        <v>414</v>
      </c>
      <c r="FG59" s="35" t="s">
        <v>414</v>
      </c>
      <c r="FH59" s="35" t="s">
        <v>414</v>
      </c>
      <c r="FI59" s="35" t="s">
        <v>484</v>
      </c>
      <c r="FJ59" s="35" t="s">
        <v>414</v>
      </c>
      <c r="FK59" s="35" t="s">
        <v>414</v>
      </c>
      <c r="FL59" s="35" t="s">
        <v>484</v>
      </c>
      <c r="FM59" s="35" t="s">
        <v>414</v>
      </c>
      <c r="FN59" s="35" t="s">
        <v>484</v>
      </c>
      <c r="FO59" s="35" t="s">
        <v>484</v>
      </c>
      <c r="FP59" s="35" t="s">
        <v>485</v>
      </c>
      <c r="FQ59" s="35" t="s">
        <v>486</v>
      </c>
      <c r="FR59" s="35" t="s">
        <v>419</v>
      </c>
      <c r="FS59" s="35" t="s">
        <v>487</v>
      </c>
      <c r="FT59" s="35" t="s">
        <v>420</v>
      </c>
      <c r="FU59" s="35" t="s">
        <v>488</v>
      </c>
      <c r="FV59" s="35" t="s">
        <v>489</v>
      </c>
      <c r="FW59" s="35" t="s">
        <v>490</v>
      </c>
      <c r="FX59" s="35" t="s">
        <v>491</v>
      </c>
      <c r="FY59" s="35" t="s">
        <v>492</v>
      </c>
      <c r="FZ59" s="35" t="s">
        <v>493</v>
      </c>
      <c r="GA59" s="35" t="s">
        <v>494</v>
      </c>
      <c r="GC59" s="35" t="s">
        <v>408</v>
      </c>
    </row>
    <row r="60">
      <c r="A60" s="40"/>
      <c r="B60" s="40">
        <v>45825.103313796295</v>
      </c>
      <c r="C60" s="35" t="s">
        <v>368</v>
      </c>
      <c r="D60" s="35" t="s">
        <v>538</v>
      </c>
      <c r="E60" s="35" t="s">
        <v>538</v>
      </c>
      <c r="H60" s="35" t="s">
        <v>422</v>
      </c>
      <c r="I60" s="35" t="s">
        <v>539</v>
      </c>
      <c r="J60" s="35" t="s">
        <v>424</v>
      </c>
      <c r="K60" s="35" t="s">
        <v>540</v>
      </c>
      <c r="L60" s="35" t="s">
        <v>376</v>
      </c>
      <c r="M60" s="35" t="s">
        <v>379</v>
      </c>
      <c r="N60" s="35" t="s">
        <v>541</v>
      </c>
      <c r="O60" s="35" t="s">
        <v>377</v>
      </c>
      <c r="P60" s="35" t="s">
        <v>497</v>
      </c>
      <c r="Q60" s="35" t="s">
        <v>381</v>
      </c>
      <c r="R60" s="35" t="s">
        <v>499</v>
      </c>
      <c r="S60" s="35" t="s">
        <v>427</v>
      </c>
      <c r="T60" s="35" t="s">
        <v>384</v>
      </c>
      <c r="U60" s="35" t="s">
        <v>385</v>
      </c>
      <c r="X60" s="35" t="s">
        <v>386</v>
      </c>
      <c r="Y60" s="35" t="s">
        <v>387</v>
      </c>
      <c r="Z60" s="35" t="s">
        <v>542</v>
      </c>
      <c r="AA60" s="35" t="s">
        <v>543</v>
      </c>
      <c r="AB60" s="35" t="s">
        <v>408</v>
      </c>
      <c r="AC60" s="35" t="s">
        <v>11607</v>
      </c>
      <c r="AW60" s="35" t="s">
        <v>390</v>
      </c>
      <c r="AX60" s="35" t="s">
        <v>391</v>
      </c>
      <c r="AY60" s="41">
        <v>2.0</v>
      </c>
      <c r="AZ60" s="35" t="s">
        <v>391</v>
      </c>
      <c r="BA60" s="35" t="s">
        <v>429</v>
      </c>
      <c r="BB60" s="35" t="s">
        <v>391</v>
      </c>
      <c r="BC60" s="35" t="s">
        <v>429</v>
      </c>
      <c r="BD60" s="35" t="s">
        <v>545</v>
      </c>
      <c r="BE60" s="35" t="s">
        <v>11608</v>
      </c>
      <c r="BF60" s="35" t="s">
        <v>392</v>
      </c>
      <c r="BG60" s="35" t="s">
        <v>433</v>
      </c>
      <c r="BH60" s="35" t="s">
        <v>434</v>
      </c>
      <c r="BI60" s="35" t="s">
        <v>547</v>
      </c>
      <c r="BJ60" s="35" t="s">
        <v>509</v>
      </c>
      <c r="BK60" s="35" t="s">
        <v>548</v>
      </c>
      <c r="BL60" s="35" t="s">
        <v>437</v>
      </c>
      <c r="BM60" s="35" t="s">
        <v>438</v>
      </c>
      <c r="BN60" s="35" t="s">
        <v>549</v>
      </c>
      <c r="BO60" s="35" t="s">
        <v>440</v>
      </c>
      <c r="CM60" s="35" t="s">
        <v>550</v>
      </c>
      <c r="CN60" s="35" t="s">
        <v>551</v>
      </c>
      <c r="CO60" s="35" t="s">
        <v>552</v>
      </c>
      <c r="CP60" s="35" t="s">
        <v>553</v>
      </c>
      <c r="CR60" s="35" t="s">
        <v>554</v>
      </c>
      <c r="CS60" s="35" t="s">
        <v>555</v>
      </c>
      <c r="CT60" s="35" t="s">
        <v>556</v>
      </c>
      <c r="CU60" s="35" t="s">
        <v>557</v>
      </c>
      <c r="CV60" s="35" t="s">
        <v>450</v>
      </c>
      <c r="CW60" s="35" t="s">
        <v>451</v>
      </c>
      <c r="CX60" s="35" t="s">
        <v>558</v>
      </c>
      <c r="CY60" s="35" t="s">
        <v>408</v>
      </c>
      <c r="DA60" s="35" t="s">
        <v>453</v>
      </c>
      <c r="DB60" s="35" t="s">
        <v>559</v>
      </c>
      <c r="DC60" s="35" t="s">
        <v>455</v>
      </c>
      <c r="DE60" s="35" t="s">
        <v>457</v>
      </c>
      <c r="DG60" s="35" t="s">
        <v>560</v>
      </c>
      <c r="DH60" s="35" t="s">
        <v>561</v>
      </c>
      <c r="DI60" s="35" t="s">
        <v>410</v>
      </c>
      <c r="DJ60" s="35" t="s">
        <v>459</v>
      </c>
      <c r="DK60" s="35" t="s">
        <v>562</v>
      </c>
      <c r="DL60" s="35" t="s">
        <v>563</v>
      </c>
      <c r="DM60" s="35" t="s">
        <v>564</v>
      </c>
      <c r="DN60" s="35" t="s">
        <v>565</v>
      </c>
      <c r="DO60" s="35" t="s">
        <v>566</v>
      </c>
      <c r="DP60" s="35" t="s">
        <v>567</v>
      </c>
      <c r="DQ60" s="35" t="s">
        <v>11609</v>
      </c>
      <c r="DR60" s="35" t="s">
        <v>466</v>
      </c>
      <c r="DS60" s="35" t="s">
        <v>569</v>
      </c>
      <c r="DT60" s="35" t="s">
        <v>468</v>
      </c>
      <c r="DU60" s="35" t="s">
        <v>570</v>
      </c>
      <c r="DV60" s="35" t="s">
        <v>571</v>
      </c>
      <c r="DW60" s="35" t="s">
        <v>11610</v>
      </c>
      <c r="DX60" s="35" t="s">
        <v>573</v>
      </c>
      <c r="DY60" s="35" t="s">
        <v>574</v>
      </c>
      <c r="DZ60" s="35" t="s">
        <v>575</v>
      </c>
      <c r="EA60" s="35" t="s">
        <v>576</v>
      </c>
      <c r="EB60" s="35" t="s">
        <v>475</v>
      </c>
      <c r="EC60" s="35" t="s">
        <v>476</v>
      </c>
      <c r="ED60" s="35" t="s">
        <v>577</v>
      </c>
      <c r="EU60" s="35" t="s">
        <v>578</v>
      </c>
      <c r="EV60" s="35" t="s">
        <v>579</v>
      </c>
      <c r="EW60" s="35" t="s">
        <v>580</v>
      </c>
      <c r="EY60" s="35" t="s">
        <v>11611</v>
      </c>
      <c r="EZ60" s="35" t="s">
        <v>11612</v>
      </c>
      <c r="FA60" s="35" t="s">
        <v>415</v>
      </c>
      <c r="FB60" s="35" t="s">
        <v>583</v>
      </c>
      <c r="FC60" s="35" t="s">
        <v>413</v>
      </c>
      <c r="FD60" s="35" t="s">
        <v>415</v>
      </c>
      <c r="FE60" s="35" t="s">
        <v>416</v>
      </c>
      <c r="FF60" s="35" t="s">
        <v>583</v>
      </c>
      <c r="FG60" s="35" t="s">
        <v>415</v>
      </c>
      <c r="FH60" s="35" t="s">
        <v>413</v>
      </c>
      <c r="FI60" s="35" t="s">
        <v>414</v>
      </c>
      <c r="FJ60" s="35" t="s">
        <v>413</v>
      </c>
      <c r="FK60" s="35" t="s">
        <v>416</v>
      </c>
      <c r="FL60" s="35" t="s">
        <v>413</v>
      </c>
      <c r="FM60" s="35" t="s">
        <v>415</v>
      </c>
      <c r="FN60" s="35" t="s">
        <v>413</v>
      </c>
      <c r="FO60" s="35" t="s">
        <v>414</v>
      </c>
      <c r="FP60" s="35" t="s">
        <v>485</v>
      </c>
      <c r="FQ60" s="35" t="s">
        <v>418</v>
      </c>
      <c r="FR60" s="35" t="s">
        <v>419</v>
      </c>
      <c r="FS60" s="35" t="s">
        <v>11613</v>
      </c>
      <c r="FT60" s="35" t="s">
        <v>420</v>
      </c>
      <c r="FV60" s="35" t="s">
        <v>585</v>
      </c>
      <c r="FW60" s="35" t="s">
        <v>490</v>
      </c>
      <c r="FX60" s="35" t="s">
        <v>491</v>
      </c>
      <c r="FY60" s="35" t="s">
        <v>586</v>
      </c>
      <c r="FZ60" s="35" t="s">
        <v>535</v>
      </c>
      <c r="GB60" s="35" t="s">
        <v>587</v>
      </c>
      <c r="GC60" s="35" t="s">
        <v>455</v>
      </c>
      <c r="GE60" s="35" t="s">
        <v>588</v>
      </c>
    </row>
    <row r="61">
      <c r="A61" s="40"/>
      <c r="B61" s="40">
        <v>45825.22351165509</v>
      </c>
      <c r="C61" s="35" t="s">
        <v>368</v>
      </c>
      <c r="D61" s="35" t="s">
        <v>370</v>
      </c>
      <c r="F61" s="35" t="s">
        <v>589</v>
      </c>
      <c r="H61" s="35" t="s">
        <v>422</v>
      </c>
      <c r="I61" s="35" t="s">
        <v>373</v>
      </c>
      <c r="J61" s="35" t="s">
        <v>374</v>
      </c>
      <c r="K61" s="35" t="s">
        <v>590</v>
      </c>
      <c r="L61" s="35" t="s">
        <v>376</v>
      </c>
      <c r="M61" s="35" t="s">
        <v>426</v>
      </c>
      <c r="N61" s="35" t="s">
        <v>378</v>
      </c>
      <c r="O61" s="35" t="s">
        <v>591</v>
      </c>
      <c r="P61" s="35" t="s">
        <v>497</v>
      </c>
      <c r="Q61" s="35" t="s">
        <v>592</v>
      </c>
      <c r="R61" s="35" t="s">
        <v>499</v>
      </c>
      <c r="S61" s="35" t="s">
        <v>427</v>
      </c>
      <c r="T61" s="35" t="s">
        <v>384</v>
      </c>
      <c r="U61" s="35" t="s">
        <v>385</v>
      </c>
      <c r="X61" s="35" t="s">
        <v>593</v>
      </c>
      <c r="Y61" s="35" t="s">
        <v>387</v>
      </c>
      <c r="Z61" s="35" t="s">
        <v>594</v>
      </c>
      <c r="AA61" s="35" t="s">
        <v>502</v>
      </c>
      <c r="AB61" s="35" t="s">
        <v>595</v>
      </c>
      <c r="AC61" s="35" t="s">
        <v>596</v>
      </c>
      <c r="AW61" s="35" t="s">
        <v>597</v>
      </c>
      <c r="AX61" s="41">
        <v>4.0</v>
      </c>
      <c r="AY61" s="35" t="s">
        <v>391</v>
      </c>
      <c r="AZ61" s="41">
        <v>2.0</v>
      </c>
      <c r="BA61" s="35" t="s">
        <v>391</v>
      </c>
      <c r="BB61" s="41">
        <v>4.0</v>
      </c>
      <c r="BC61" s="35" t="s">
        <v>391</v>
      </c>
      <c r="BD61" s="35" t="s">
        <v>598</v>
      </c>
      <c r="BE61" s="35" t="s">
        <v>11614</v>
      </c>
      <c r="BF61" s="35" t="s">
        <v>392</v>
      </c>
      <c r="BG61" s="35" t="s">
        <v>393</v>
      </c>
      <c r="BH61" s="35" t="s">
        <v>394</v>
      </c>
      <c r="BI61" s="35" t="s">
        <v>600</v>
      </c>
      <c r="BJ61" s="35" t="s">
        <v>435</v>
      </c>
      <c r="BK61" s="35" t="s">
        <v>601</v>
      </c>
      <c r="BL61" s="35" t="s">
        <v>602</v>
      </c>
      <c r="BM61" s="35" t="s">
        <v>603</v>
      </c>
      <c r="BN61" s="35" t="s">
        <v>549</v>
      </c>
      <c r="BO61" s="35" t="s">
        <v>440</v>
      </c>
      <c r="CM61" s="35" t="s">
        <v>441</v>
      </c>
      <c r="CN61" s="35" t="s">
        <v>604</v>
      </c>
      <c r="CO61" s="35" t="s">
        <v>605</v>
      </c>
      <c r="CP61" s="35" t="s">
        <v>606</v>
      </c>
      <c r="CQ61" s="35" t="s">
        <v>445</v>
      </c>
      <c r="CR61" s="35" t="s">
        <v>607</v>
      </c>
      <c r="CS61" s="35" t="s">
        <v>447</v>
      </c>
      <c r="CT61" s="35" t="s">
        <v>608</v>
      </c>
      <c r="CU61" s="35" t="s">
        <v>609</v>
      </c>
      <c r="CV61" s="35" t="s">
        <v>519</v>
      </c>
      <c r="CW61" s="35" t="s">
        <v>451</v>
      </c>
      <c r="CX61" s="35" t="s">
        <v>610</v>
      </c>
      <c r="CY61" s="35" t="s">
        <v>408</v>
      </c>
      <c r="DA61" s="35" t="s">
        <v>453</v>
      </c>
      <c r="DB61" s="35" t="s">
        <v>611</v>
      </c>
      <c r="DC61" s="35" t="s">
        <v>408</v>
      </c>
      <c r="DE61" s="35" t="s">
        <v>457</v>
      </c>
      <c r="DG61" s="35" t="s">
        <v>612</v>
      </c>
      <c r="DH61" s="35" t="s">
        <v>524</v>
      </c>
      <c r="DI61" s="35" t="s">
        <v>410</v>
      </c>
      <c r="DJ61" s="35" t="s">
        <v>459</v>
      </c>
      <c r="DK61" s="35" t="s">
        <v>613</v>
      </c>
      <c r="DN61" s="35" t="s">
        <v>614</v>
      </c>
      <c r="DO61" s="35" t="s">
        <v>615</v>
      </c>
      <c r="DP61" s="35" t="s">
        <v>464</v>
      </c>
      <c r="DQ61" s="35" t="s">
        <v>616</v>
      </c>
      <c r="DR61" s="35" t="s">
        <v>466</v>
      </c>
      <c r="DS61" s="35" t="s">
        <v>617</v>
      </c>
      <c r="DT61" s="35" t="s">
        <v>618</v>
      </c>
      <c r="DU61" s="35" t="s">
        <v>619</v>
      </c>
      <c r="DV61" s="35" t="s">
        <v>620</v>
      </c>
      <c r="DW61" s="35" t="s">
        <v>621</v>
      </c>
      <c r="DX61" s="35" t="s">
        <v>622</v>
      </c>
      <c r="DY61" s="35" t="s">
        <v>623</v>
      </c>
      <c r="DZ61" s="35" t="s">
        <v>624</v>
      </c>
      <c r="EA61" s="35" t="s">
        <v>625</v>
      </c>
      <c r="EB61" s="35" t="s">
        <v>475</v>
      </c>
      <c r="EC61" s="35" t="s">
        <v>626</v>
      </c>
      <c r="EU61" s="35" t="s">
        <v>526</v>
      </c>
      <c r="EV61" s="35" t="s">
        <v>479</v>
      </c>
      <c r="EW61" s="35" t="s">
        <v>527</v>
      </c>
      <c r="EX61" s="35" t="s">
        <v>627</v>
      </c>
      <c r="EY61" s="35" t="s">
        <v>628</v>
      </c>
      <c r="EZ61" s="35" t="s">
        <v>629</v>
      </c>
      <c r="FA61" s="35" t="s">
        <v>414</v>
      </c>
      <c r="FB61" s="35" t="s">
        <v>414</v>
      </c>
      <c r="FC61" s="35" t="s">
        <v>416</v>
      </c>
      <c r="FD61" s="35" t="s">
        <v>414</v>
      </c>
      <c r="FE61" s="35" t="s">
        <v>414</v>
      </c>
      <c r="FF61" s="35" t="s">
        <v>414</v>
      </c>
      <c r="FG61" s="35" t="s">
        <v>414</v>
      </c>
      <c r="FH61" s="35" t="s">
        <v>416</v>
      </c>
      <c r="FI61" s="35" t="s">
        <v>414</v>
      </c>
      <c r="FJ61" s="35" t="s">
        <v>583</v>
      </c>
      <c r="FK61" s="35" t="s">
        <v>583</v>
      </c>
      <c r="FL61" s="35" t="s">
        <v>583</v>
      </c>
      <c r="FM61" s="35" t="s">
        <v>583</v>
      </c>
      <c r="FN61" s="35" t="s">
        <v>416</v>
      </c>
      <c r="FO61" s="35" t="s">
        <v>583</v>
      </c>
      <c r="FP61" s="35" t="s">
        <v>485</v>
      </c>
      <c r="FQ61" s="35" t="s">
        <v>418</v>
      </c>
      <c r="FR61" s="35" t="s">
        <v>630</v>
      </c>
      <c r="FS61" s="35" t="s">
        <v>631</v>
      </c>
      <c r="FT61" s="35" t="s">
        <v>420</v>
      </c>
      <c r="FU61" s="35" t="s">
        <v>488</v>
      </c>
      <c r="FV61" s="35" t="s">
        <v>533</v>
      </c>
      <c r="FW61" s="35" t="s">
        <v>490</v>
      </c>
      <c r="FX61" s="35" t="s">
        <v>491</v>
      </c>
      <c r="FY61" s="35" t="s">
        <v>632</v>
      </c>
      <c r="FZ61" s="35" t="s">
        <v>535</v>
      </c>
      <c r="GA61" s="35" t="s">
        <v>633</v>
      </c>
      <c r="GC61" s="35" t="s">
        <v>455</v>
      </c>
      <c r="GD61" s="35" t="s">
        <v>11615</v>
      </c>
    </row>
    <row r="62">
      <c r="A62" s="40"/>
      <c r="B62" s="40">
        <v>45825.4346852662</v>
      </c>
      <c r="C62" s="35" t="s">
        <v>368</v>
      </c>
      <c r="D62" s="35" t="s">
        <v>370</v>
      </c>
      <c r="F62" s="35" t="s">
        <v>667</v>
      </c>
      <c r="H62" s="35" t="s">
        <v>422</v>
      </c>
      <c r="I62" s="35" t="s">
        <v>423</v>
      </c>
      <c r="J62" s="35" t="s">
        <v>668</v>
      </c>
      <c r="K62" s="35" t="s">
        <v>669</v>
      </c>
      <c r="L62" s="35" t="s">
        <v>376</v>
      </c>
      <c r="M62" s="35" t="s">
        <v>426</v>
      </c>
      <c r="N62" s="35" t="s">
        <v>378</v>
      </c>
      <c r="O62" s="35" t="s">
        <v>670</v>
      </c>
      <c r="P62" s="35" t="s">
        <v>671</v>
      </c>
      <c r="Q62" s="35" t="s">
        <v>498</v>
      </c>
      <c r="R62" s="35" t="s">
        <v>499</v>
      </c>
      <c r="S62" s="35" t="s">
        <v>427</v>
      </c>
      <c r="T62" s="35" t="s">
        <v>384</v>
      </c>
      <c r="U62" s="35" t="s">
        <v>385</v>
      </c>
      <c r="X62" s="35" t="s">
        <v>386</v>
      </c>
      <c r="Y62" s="35" t="s">
        <v>387</v>
      </c>
      <c r="Z62" s="35" t="s">
        <v>388</v>
      </c>
      <c r="AA62" s="35" t="s">
        <v>672</v>
      </c>
      <c r="AB62" s="35" t="s">
        <v>11616</v>
      </c>
      <c r="AC62" s="35" t="s">
        <v>11617</v>
      </c>
      <c r="AW62" s="35" t="s">
        <v>390</v>
      </c>
      <c r="AX62" s="35" t="s">
        <v>391</v>
      </c>
      <c r="AY62" s="35" t="s">
        <v>391</v>
      </c>
      <c r="AZ62" s="35" t="s">
        <v>675</v>
      </c>
      <c r="BA62" s="41">
        <v>4.0</v>
      </c>
      <c r="BB62" s="35" t="s">
        <v>429</v>
      </c>
      <c r="BC62" s="41">
        <v>4.0</v>
      </c>
      <c r="BD62" s="35" t="s">
        <v>676</v>
      </c>
      <c r="BE62" s="35" t="s">
        <v>11618</v>
      </c>
      <c r="BF62" s="35" t="s">
        <v>432</v>
      </c>
      <c r="BG62" s="35" t="s">
        <v>393</v>
      </c>
      <c r="BH62" s="35" t="s">
        <v>678</v>
      </c>
      <c r="BI62" s="35" t="s">
        <v>11619</v>
      </c>
      <c r="BJ62" s="35" t="s">
        <v>509</v>
      </c>
      <c r="BK62" s="35" t="s">
        <v>680</v>
      </c>
      <c r="BL62" s="35" t="s">
        <v>681</v>
      </c>
      <c r="BM62" s="35" t="s">
        <v>512</v>
      </c>
      <c r="BN62" s="35" t="s">
        <v>549</v>
      </c>
      <c r="BO62" s="35" t="s">
        <v>440</v>
      </c>
      <c r="CM62" s="35" t="s">
        <v>441</v>
      </c>
      <c r="CN62" s="35" t="s">
        <v>682</v>
      </c>
      <c r="CO62" s="35" t="s">
        <v>683</v>
      </c>
      <c r="CP62" s="35" t="s">
        <v>684</v>
      </c>
      <c r="CQ62" s="35" t="s">
        <v>685</v>
      </c>
      <c r="CR62" s="35" t="s">
        <v>686</v>
      </c>
      <c r="CS62" s="35" t="s">
        <v>447</v>
      </c>
      <c r="CT62" s="35" t="s">
        <v>687</v>
      </c>
      <c r="CU62" s="35" t="s">
        <v>11620</v>
      </c>
      <c r="CV62" s="35" t="s">
        <v>519</v>
      </c>
      <c r="CW62" s="35" t="s">
        <v>451</v>
      </c>
      <c r="CX62" s="35" t="s">
        <v>689</v>
      </c>
      <c r="CY62" s="35" t="s">
        <v>408</v>
      </c>
      <c r="DA62" s="35" t="s">
        <v>453</v>
      </c>
      <c r="DB62" s="35" t="s">
        <v>11621</v>
      </c>
      <c r="DC62" s="35" t="s">
        <v>408</v>
      </c>
      <c r="DE62" s="35" t="s">
        <v>406</v>
      </c>
      <c r="DF62" s="35" t="s">
        <v>691</v>
      </c>
      <c r="DG62" s="35" t="s">
        <v>11622</v>
      </c>
      <c r="DH62" s="35" t="s">
        <v>693</v>
      </c>
      <c r="DI62" s="35" t="s">
        <v>694</v>
      </c>
      <c r="DJ62" s="35" t="s">
        <v>459</v>
      </c>
      <c r="DK62" s="35" t="s">
        <v>695</v>
      </c>
      <c r="DL62" s="35" t="s">
        <v>461</v>
      </c>
      <c r="DN62" s="35" t="s">
        <v>696</v>
      </c>
      <c r="DO62" s="35" t="s">
        <v>697</v>
      </c>
      <c r="DP62" s="35" t="s">
        <v>698</v>
      </c>
      <c r="DQ62" s="35" t="s">
        <v>699</v>
      </c>
      <c r="DR62" s="35" t="s">
        <v>700</v>
      </c>
      <c r="DS62" s="35" t="s">
        <v>11623</v>
      </c>
      <c r="DT62" s="35" t="s">
        <v>702</v>
      </c>
      <c r="DU62" s="35" t="s">
        <v>703</v>
      </c>
      <c r="DV62" s="35" t="s">
        <v>704</v>
      </c>
      <c r="DW62" s="35" t="s">
        <v>704</v>
      </c>
      <c r="DX62" s="35" t="s">
        <v>396</v>
      </c>
      <c r="DY62" s="35" t="s">
        <v>11624</v>
      </c>
      <c r="DZ62" s="35" t="s">
        <v>11625</v>
      </c>
      <c r="EA62" s="35" t="s">
        <v>11626</v>
      </c>
      <c r="EB62" s="35" t="s">
        <v>475</v>
      </c>
      <c r="EC62" s="35" t="s">
        <v>476</v>
      </c>
      <c r="ED62" s="35" t="s">
        <v>708</v>
      </c>
      <c r="EU62" s="35" t="s">
        <v>526</v>
      </c>
      <c r="EV62" s="35" t="s">
        <v>479</v>
      </c>
      <c r="EW62" s="35" t="s">
        <v>480</v>
      </c>
      <c r="EX62" s="35" t="s">
        <v>709</v>
      </c>
      <c r="EY62" s="35" t="s">
        <v>11627</v>
      </c>
      <c r="EZ62" s="35" t="s">
        <v>711</v>
      </c>
      <c r="FA62" s="35" t="s">
        <v>583</v>
      </c>
      <c r="FB62" s="35" t="s">
        <v>583</v>
      </c>
      <c r="FC62" s="35" t="s">
        <v>583</v>
      </c>
      <c r="FD62" s="35" t="s">
        <v>583</v>
      </c>
      <c r="FE62" s="35" t="s">
        <v>415</v>
      </c>
      <c r="FF62" s="35" t="s">
        <v>583</v>
      </c>
      <c r="FG62" s="35" t="s">
        <v>583</v>
      </c>
      <c r="FH62" s="35" t="s">
        <v>583</v>
      </c>
      <c r="FI62" s="35" t="s">
        <v>413</v>
      </c>
      <c r="FJ62" s="35" t="s">
        <v>583</v>
      </c>
      <c r="FK62" s="35" t="s">
        <v>583</v>
      </c>
      <c r="FL62" s="35" t="s">
        <v>583</v>
      </c>
      <c r="FM62" s="35" t="s">
        <v>583</v>
      </c>
      <c r="FN62" s="35" t="s">
        <v>583</v>
      </c>
      <c r="FO62" s="35" t="s">
        <v>413</v>
      </c>
      <c r="FP62" s="35" t="s">
        <v>417</v>
      </c>
      <c r="FQ62" s="35" t="s">
        <v>418</v>
      </c>
      <c r="FR62" s="35" t="s">
        <v>712</v>
      </c>
      <c r="FS62" s="35" t="s">
        <v>713</v>
      </c>
      <c r="FT62" s="35" t="s">
        <v>420</v>
      </c>
      <c r="FU62" s="35" t="s">
        <v>488</v>
      </c>
      <c r="FV62" s="35" t="s">
        <v>533</v>
      </c>
      <c r="FW62" s="35" t="s">
        <v>490</v>
      </c>
      <c r="FX62" s="35" t="s">
        <v>491</v>
      </c>
      <c r="FY62" s="35" t="s">
        <v>714</v>
      </c>
      <c r="FZ62" s="35" t="s">
        <v>535</v>
      </c>
      <c r="GA62" s="35" t="s">
        <v>715</v>
      </c>
      <c r="GB62" s="35" t="s">
        <v>11628</v>
      </c>
      <c r="GC62" s="35" t="s">
        <v>455</v>
      </c>
      <c r="GE62" s="35" t="s">
        <v>717</v>
      </c>
    </row>
    <row r="63">
      <c r="A63" s="40"/>
      <c r="B63" s="40">
        <v>45826.77728232639</v>
      </c>
      <c r="C63" s="35" t="s">
        <v>368</v>
      </c>
      <c r="D63" s="35" t="s">
        <v>370</v>
      </c>
      <c r="F63" s="35" t="s">
        <v>589</v>
      </c>
      <c r="H63" s="35" t="s">
        <v>422</v>
      </c>
      <c r="I63" s="35" t="s">
        <v>496</v>
      </c>
      <c r="J63" s="35" t="s">
        <v>424</v>
      </c>
      <c r="K63" s="35" t="s">
        <v>718</v>
      </c>
      <c r="L63" s="35" t="s">
        <v>376</v>
      </c>
      <c r="M63" s="35" t="s">
        <v>591</v>
      </c>
      <c r="N63" s="35" t="s">
        <v>719</v>
      </c>
      <c r="O63" s="35" t="s">
        <v>670</v>
      </c>
      <c r="P63" s="35" t="s">
        <v>720</v>
      </c>
      <c r="Q63" s="35" t="s">
        <v>592</v>
      </c>
      <c r="R63" s="35" t="s">
        <v>499</v>
      </c>
      <c r="S63" s="35" t="s">
        <v>427</v>
      </c>
      <c r="T63" s="35" t="s">
        <v>384</v>
      </c>
      <c r="U63" s="35" t="s">
        <v>385</v>
      </c>
      <c r="X63" s="35" t="s">
        <v>593</v>
      </c>
      <c r="Y63" s="35" t="s">
        <v>387</v>
      </c>
      <c r="Z63" s="35" t="s">
        <v>388</v>
      </c>
      <c r="AA63" s="35" t="s">
        <v>502</v>
      </c>
      <c r="AB63" s="35" t="s">
        <v>11629</v>
      </c>
      <c r="AC63" s="35" t="s">
        <v>11630</v>
      </c>
      <c r="AW63" s="35" t="s">
        <v>597</v>
      </c>
      <c r="AX63" s="41">
        <v>2.0</v>
      </c>
      <c r="AY63" s="41">
        <v>2.0</v>
      </c>
      <c r="AZ63" s="41">
        <v>4.0</v>
      </c>
      <c r="BA63" s="41">
        <v>2.0</v>
      </c>
      <c r="BB63" s="35" t="s">
        <v>391</v>
      </c>
      <c r="BC63" s="41">
        <v>2.0</v>
      </c>
      <c r="BD63" s="35" t="s">
        <v>723</v>
      </c>
      <c r="BE63" s="35" t="s">
        <v>11631</v>
      </c>
      <c r="BF63" s="35" t="s">
        <v>392</v>
      </c>
      <c r="BG63" s="35" t="s">
        <v>433</v>
      </c>
      <c r="BH63" s="35" t="s">
        <v>725</v>
      </c>
      <c r="BI63" s="35" t="s">
        <v>11632</v>
      </c>
      <c r="BJ63" s="35" t="s">
        <v>727</v>
      </c>
      <c r="BL63" s="35" t="s">
        <v>395</v>
      </c>
      <c r="BM63" s="35" t="s">
        <v>512</v>
      </c>
      <c r="BN63" s="35" t="s">
        <v>397</v>
      </c>
      <c r="BO63" s="35" t="s">
        <v>440</v>
      </c>
      <c r="CM63" s="35" t="s">
        <v>441</v>
      </c>
      <c r="CN63" s="35" t="s">
        <v>442</v>
      </c>
      <c r="CO63" s="35" t="s">
        <v>11633</v>
      </c>
      <c r="CP63" s="35" t="s">
        <v>11634</v>
      </c>
      <c r="CQ63" s="35" t="s">
        <v>445</v>
      </c>
      <c r="CR63" s="35" t="s">
        <v>730</v>
      </c>
      <c r="CS63" s="35" t="s">
        <v>447</v>
      </c>
      <c r="CT63" s="35" t="s">
        <v>448</v>
      </c>
      <c r="CU63" s="35" t="s">
        <v>11635</v>
      </c>
      <c r="CV63" s="35" t="s">
        <v>519</v>
      </c>
      <c r="CW63" s="35" t="s">
        <v>451</v>
      </c>
      <c r="CX63" s="35" t="s">
        <v>732</v>
      </c>
      <c r="CY63" s="35" t="s">
        <v>733</v>
      </c>
      <c r="DA63" s="35" t="s">
        <v>453</v>
      </c>
      <c r="DB63" s="35" t="s">
        <v>11636</v>
      </c>
      <c r="DC63" s="35" t="s">
        <v>408</v>
      </c>
      <c r="DE63" s="35" t="s">
        <v>406</v>
      </c>
      <c r="DF63" s="35" t="s">
        <v>691</v>
      </c>
      <c r="DG63" s="35" t="s">
        <v>11637</v>
      </c>
      <c r="DH63" s="35" t="s">
        <v>524</v>
      </c>
      <c r="DI63" s="35" t="s">
        <v>410</v>
      </c>
      <c r="DJ63" s="35" t="s">
        <v>459</v>
      </c>
      <c r="DK63" s="35" t="s">
        <v>613</v>
      </c>
      <c r="DN63" s="35" t="s">
        <v>736</v>
      </c>
      <c r="DO63" s="35" t="s">
        <v>737</v>
      </c>
      <c r="DP63" s="35" t="s">
        <v>567</v>
      </c>
      <c r="DQ63" s="35" t="s">
        <v>738</v>
      </c>
      <c r="DR63" s="35" t="s">
        <v>466</v>
      </c>
      <c r="DS63" s="35" t="s">
        <v>11638</v>
      </c>
      <c r="DT63" s="35" t="s">
        <v>468</v>
      </c>
      <c r="DU63" s="35" t="s">
        <v>740</v>
      </c>
      <c r="DV63" s="35" t="s">
        <v>11639</v>
      </c>
      <c r="DW63" s="35" t="s">
        <v>742</v>
      </c>
      <c r="DX63" s="35" t="s">
        <v>396</v>
      </c>
      <c r="DY63" s="35" t="s">
        <v>743</v>
      </c>
      <c r="DZ63" s="35" t="s">
        <v>11640</v>
      </c>
      <c r="EA63" s="35" t="s">
        <v>11641</v>
      </c>
      <c r="EB63" s="35" t="s">
        <v>475</v>
      </c>
      <c r="EC63" s="35" t="s">
        <v>626</v>
      </c>
      <c r="ED63" s="35" t="s">
        <v>11642</v>
      </c>
      <c r="EU63" s="35" t="s">
        <v>526</v>
      </c>
      <c r="EV63" s="35" t="s">
        <v>479</v>
      </c>
      <c r="EW63" s="35" t="s">
        <v>480</v>
      </c>
      <c r="EY63" s="35" t="s">
        <v>747</v>
      </c>
      <c r="EZ63" s="35" t="s">
        <v>11643</v>
      </c>
      <c r="FA63" s="35" t="s">
        <v>414</v>
      </c>
      <c r="FB63" s="35" t="s">
        <v>583</v>
      </c>
      <c r="FC63" s="35" t="s">
        <v>583</v>
      </c>
      <c r="FD63" s="35" t="s">
        <v>583</v>
      </c>
      <c r="FE63" s="35" t="s">
        <v>415</v>
      </c>
      <c r="FF63" s="35" t="s">
        <v>583</v>
      </c>
      <c r="FG63" s="35" t="s">
        <v>414</v>
      </c>
      <c r="FH63" s="35" t="s">
        <v>484</v>
      </c>
      <c r="FI63" s="35" t="s">
        <v>484</v>
      </c>
      <c r="FJ63" s="35" t="s">
        <v>583</v>
      </c>
      <c r="FK63" s="35" t="s">
        <v>583</v>
      </c>
      <c r="FL63" s="35" t="s">
        <v>484</v>
      </c>
      <c r="FM63" s="35" t="s">
        <v>484</v>
      </c>
      <c r="FN63" s="35" t="s">
        <v>484</v>
      </c>
      <c r="FO63" s="35" t="s">
        <v>484</v>
      </c>
      <c r="FP63" s="35" t="s">
        <v>417</v>
      </c>
      <c r="FQ63" s="35" t="s">
        <v>418</v>
      </c>
      <c r="FR63" s="35" t="s">
        <v>749</v>
      </c>
      <c r="FS63" s="35" t="s">
        <v>11644</v>
      </c>
      <c r="FT63" s="35" t="s">
        <v>420</v>
      </c>
      <c r="FU63" s="35" t="s">
        <v>488</v>
      </c>
      <c r="FV63" s="35" t="s">
        <v>489</v>
      </c>
      <c r="FW63" s="35" t="s">
        <v>490</v>
      </c>
      <c r="FX63" s="35" t="s">
        <v>491</v>
      </c>
      <c r="FY63" s="35" t="s">
        <v>11645</v>
      </c>
      <c r="FZ63" s="35" t="s">
        <v>535</v>
      </c>
      <c r="GB63" s="35" t="s">
        <v>11646</v>
      </c>
      <c r="GC63" s="35" t="s">
        <v>455</v>
      </c>
      <c r="GD63" s="35" t="s">
        <v>11647</v>
      </c>
      <c r="GF63" s="35" t="s">
        <v>753</v>
      </c>
      <c r="GG63" s="35" t="s">
        <v>7790</v>
      </c>
      <c r="GH63" s="35" t="s">
        <v>755</v>
      </c>
      <c r="GI63" s="35" t="s">
        <v>755</v>
      </c>
      <c r="GJ63" s="35" t="s">
        <v>756</v>
      </c>
    </row>
    <row r="64">
      <c r="A64" s="40"/>
      <c r="B64" s="40">
        <v>45826.879537835644</v>
      </c>
      <c r="C64" s="35" t="s">
        <v>368</v>
      </c>
      <c r="D64" s="35" t="s">
        <v>370</v>
      </c>
      <c r="F64" s="35" t="s">
        <v>791</v>
      </c>
      <c r="H64" s="35" t="s">
        <v>422</v>
      </c>
      <c r="I64" s="35" t="s">
        <v>637</v>
      </c>
      <c r="J64" s="35" t="s">
        <v>638</v>
      </c>
      <c r="K64" s="35" t="s">
        <v>375</v>
      </c>
      <c r="L64" s="35" t="s">
        <v>376</v>
      </c>
      <c r="M64" s="35" t="s">
        <v>426</v>
      </c>
      <c r="N64" s="35" t="s">
        <v>720</v>
      </c>
      <c r="O64" s="35" t="s">
        <v>426</v>
      </c>
      <c r="P64" s="35" t="s">
        <v>719</v>
      </c>
      <c r="Q64" s="35" t="s">
        <v>498</v>
      </c>
      <c r="R64" s="35" t="s">
        <v>818</v>
      </c>
      <c r="S64" s="35" t="s">
        <v>427</v>
      </c>
      <c r="T64" s="35" t="s">
        <v>384</v>
      </c>
      <c r="U64" s="35" t="s">
        <v>385</v>
      </c>
      <c r="X64" s="35" t="s">
        <v>386</v>
      </c>
      <c r="Y64" s="35" t="s">
        <v>387</v>
      </c>
      <c r="Z64" s="35" t="s">
        <v>388</v>
      </c>
      <c r="AA64" s="35" t="s">
        <v>543</v>
      </c>
      <c r="AB64" s="35" t="s">
        <v>819</v>
      </c>
      <c r="AC64" s="35" t="s">
        <v>820</v>
      </c>
      <c r="AW64" s="35" t="s">
        <v>390</v>
      </c>
      <c r="AX64" s="35" t="s">
        <v>391</v>
      </c>
      <c r="AY64" s="41">
        <v>2.0</v>
      </c>
      <c r="AZ64" s="41">
        <v>4.0</v>
      </c>
      <c r="BA64" s="41">
        <v>2.0</v>
      </c>
      <c r="BB64" s="35" t="s">
        <v>429</v>
      </c>
      <c r="BC64" s="41">
        <v>2.0</v>
      </c>
      <c r="BD64" s="35" t="s">
        <v>821</v>
      </c>
      <c r="BE64" s="35" t="s">
        <v>822</v>
      </c>
      <c r="BF64" s="35" t="s">
        <v>392</v>
      </c>
      <c r="BG64" s="35" t="s">
        <v>433</v>
      </c>
      <c r="BH64" s="35" t="s">
        <v>678</v>
      </c>
      <c r="BI64" s="35" t="s">
        <v>823</v>
      </c>
      <c r="BJ64" s="35" t="s">
        <v>824</v>
      </c>
      <c r="BL64" s="35" t="s">
        <v>437</v>
      </c>
      <c r="BM64" s="35" t="s">
        <v>396</v>
      </c>
      <c r="BN64" s="35" t="s">
        <v>549</v>
      </c>
      <c r="BO64" s="35" t="s">
        <v>440</v>
      </c>
      <c r="CM64" s="35" t="s">
        <v>441</v>
      </c>
      <c r="CN64" s="35" t="s">
        <v>682</v>
      </c>
      <c r="CO64" s="35" t="s">
        <v>825</v>
      </c>
      <c r="CP64" s="35" t="s">
        <v>826</v>
      </c>
      <c r="CQ64" s="35" t="s">
        <v>445</v>
      </c>
      <c r="CR64" s="35" t="s">
        <v>827</v>
      </c>
      <c r="CS64" s="35" t="s">
        <v>828</v>
      </c>
      <c r="CT64" s="35" t="s">
        <v>805</v>
      </c>
      <c r="CU64" s="35" t="s">
        <v>829</v>
      </c>
      <c r="CV64" s="35" t="s">
        <v>519</v>
      </c>
      <c r="CW64" s="35" t="s">
        <v>451</v>
      </c>
      <c r="CX64" s="35" t="s">
        <v>830</v>
      </c>
      <c r="CY64" s="35" t="s">
        <v>408</v>
      </c>
      <c r="DA64" s="35" t="s">
        <v>453</v>
      </c>
      <c r="DB64" s="35" t="s">
        <v>831</v>
      </c>
      <c r="DC64" s="35" t="s">
        <v>408</v>
      </c>
      <c r="DE64" s="35" t="s">
        <v>457</v>
      </c>
      <c r="DG64" s="35" t="s">
        <v>832</v>
      </c>
      <c r="DH64" s="35" t="s">
        <v>524</v>
      </c>
      <c r="DI64" s="35" t="s">
        <v>833</v>
      </c>
      <c r="DJ64" s="35" t="s">
        <v>459</v>
      </c>
      <c r="DK64" s="35" t="s">
        <v>613</v>
      </c>
      <c r="DN64" s="35" t="s">
        <v>834</v>
      </c>
      <c r="DO64" s="35" t="s">
        <v>835</v>
      </c>
      <c r="DP64" s="35" t="s">
        <v>567</v>
      </c>
      <c r="DQ64" s="35" t="s">
        <v>836</v>
      </c>
      <c r="DR64" s="35" t="s">
        <v>837</v>
      </c>
      <c r="DS64" s="35" t="s">
        <v>838</v>
      </c>
      <c r="DT64" s="35" t="s">
        <v>839</v>
      </c>
      <c r="DU64" s="35" t="s">
        <v>570</v>
      </c>
      <c r="DV64" s="35" t="s">
        <v>840</v>
      </c>
      <c r="DW64" s="35" t="s">
        <v>841</v>
      </c>
      <c r="DX64" s="35" t="s">
        <v>573</v>
      </c>
      <c r="DY64" s="35" t="s">
        <v>842</v>
      </c>
      <c r="DZ64" s="35" t="s">
        <v>843</v>
      </c>
      <c r="EA64" s="35" t="s">
        <v>844</v>
      </c>
      <c r="EB64" s="35" t="s">
        <v>475</v>
      </c>
      <c r="EC64" s="35" t="s">
        <v>845</v>
      </c>
      <c r="ED64" s="35" t="s">
        <v>846</v>
      </c>
      <c r="EU64" s="35" t="s">
        <v>578</v>
      </c>
      <c r="EV64" s="35" t="s">
        <v>479</v>
      </c>
      <c r="EW64" s="35" t="s">
        <v>480</v>
      </c>
      <c r="EX64" s="35" t="s">
        <v>847</v>
      </c>
      <c r="EY64" s="35" t="s">
        <v>848</v>
      </c>
      <c r="EZ64" s="35" t="s">
        <v>849</v>
      </c>
      <c r="FA64" s="35" t="s">
        <v>583</v>
      </c>
      <c r="FB64" s="35" t="s">
        <v>583</v>
      </c>
      <c r="FC64" s="35" t="s">
        <v>484</v>
      </c>
      <c r="FD64" s="35" t="s">
        <v>414</v>
      </c>
      <c r="FE64" s="35" t="s">
        <v>415</v>
      </c>
      <c r="FF64" s="35" t="s">
        <v>583</v>
      </c>
      <c r="FG64" s="35" t="s">
        <v>414</v>
      </c>
      <c r="FH64" s="35" t="s">
        <v>583</v>
      </c>
      <c r="FI64" s="35" t="s">
        <v>416</v>
      </c>
      <c r="FJ64" s="35" t="s">
        <v>414</v>
      </c>
      <c r="FK64" s="35" t="s">
        <v>583</v>
      </c>
      <c r="FL64" s="35" t="s">
        <v>414</v>
      </c>
      <c r="FM64" s="35" t="s">
        <v>583</v>
      </c>
      <c r="FN64" s="35" t="s">
        <v>484</v>
      </c>
      <c r="FO64" s="35" t="s">
        <v>484</v>
      </c>
      <c r="FP64" s="35" t="s">
        <v>850</v>
      </c>
      <c r="FQ64" s="35" t="s">
        <v>486</v>
      </c>
      <c r="FR64" s="35" t="s">
        <v>749</v>
      </c>
      <c r="FS64" s="35" t="s">
        <v>851</v>
      </c>
      <c r="FT64" s="35" t="s">
        <v>420</v>
      </c>
      <c r="FU64" s="35" t="s">
        <v>488</v>
      </c>
      <c r="FV64" s="35" t="s">
        <v>489</v>
      </c>
      <c r="FW64" s="35" t="s">
        <v>490</v>
      </c>
      <c r="FX64" s="35" t="s">
        <v>491</v>
      </c>
      <c r="FY64" s="35" t="s">
        <v>852</v>
      </c>
      <c r="FZ64" s="35" t="s">
        <v>535</v>
      </c>
      <c r="GA64" s="35" t="s">
        <v>853</v>
      </c>
      <c r="GC64" s="35" t="s">
        <v>455</v>
      </c>
      <c r="GE64" s="35" t="s">
        <v>854</v>
      </c>
      <c r="GF64" s="35" t="s">
        <v>855</v>
      </c>
      <c r="GG64" s="35" t="s">
        <v>856</v>
      </c>
      <c r="GH64" s="35" t="s">
        <v>857</v>
      </c>
      <c r="GI64" s="35" t="s">
        <v>857</v>
      </c>
      <c r="GJ64" s="35" t="s">
        <v>858</v>
      </c>
    </row>
    <row r="65">
      <c r="A65" s="40"/>
      <c r="B65" s="40">
        <v>45826.879848993056</v>
      </c>
      <c r="C65" s="35" t="s">
        <v>368</v>
      </c>
      <c r="D65" s="35" t="s">
        <v>370</v>
      </c>
      <c r="F65" s="35" t="s">
        <v>859</v>
      </c>
      <c r="H65" s="35" t="s">
        <v>422</v>
      </c>
      <c r="I65" s="35" t="s">
        <v>637</v>
      </c>
      <c r="J65" s="35" t="s">
        <v>638</v>
      </c>
      <c r="K65" s="35" t="s">
        <v>425</v>
      </c>
      <c r="L65" s="35" t="s">
        <v>376</v>
      </c>
      <c r="M65" s="35" t="s">
        <v>793</v>
      </c>
      <c r="N65" s="35" t="s">
        <v>860</v>
      </c>
      <c r="O65" s="35" t="s">
        <v>426</v>
      </c>
      <c r="P65" s="35" t="s">
        <v>861</v>
      </c>
      <c r="Q65" s="35" t="s">
        <v>592</v>
      </c>
      <c r="R65" s="35" t="s">
        <v>862</v>
      </c>
      <c r="S65" s="35" t="s">
        <v>863</v>
      </c>
      <c r="T65" s="35" t="s">
        <v>384</v>
      </c>
      <c r="U65" s="35" t="s">
        <v>385</v>
      </c>
      <c r="X65" s="35" t="s">
        <v>428</v>
      </c>
      <c r="AW65" s="35" t="s">
        <v>390</v>
      </c>
      <c r="AX65" s="35" t="s">
        <v>429</v>
      </c>
      <c r="AY65" s="41">
        <v>2.0</v>
      </c>
      <c r="AZ65" s="41">
        <v>2.0</v>
      </c>
      <c r="BA65" s="35" t="s">
        <v>391</v>
      </c>
      <c r="BB65" s="41">
        <v>2.0</v>
      </c>
      <c r="BC65" s="35" t="s">
        <v>429</v>
      </c>
      <c r="BD65" s="35" t="s">
        <v>11648</v>
      </c>
      <c r="BE65" s="35" t="s">
        <v>865</v>
      </c>
      <c r="BF65" s="35" t="s">
        <v>392</v>
      </c>
      <c r="BG65" s="35" t="s">
        <v>433</v>
      </c>
      <c r="BH65" s="35" t="s">
        <v>394</v>
      </c>
      <c r="BI65" s="35" t="s">
        <v>866</v>
      </c>
      <c r="BJ65" s="35" t="s">
        <v>509</v>
      </c>
      <c r="BK65" s="35" t="s">
        <v>867</v>
      </c>
      <c r="BL65" s="35" t="s">
        <v>602</v>
      </c>
      <c r="BM65" s="35" t="s">
        <v>603</v>
      </c>
      <c r="BN65" s="35" t="s">
        <v>549</v>
      </c>
      <c r="BO65" s="35" t="s">
        <v>440</v>
      </c>
      <c r="CM65" s="35" t="s">
        <v>441</v>
      </c>
      <c r="CN65" s="35" t="s">
        <v>401</v>
      </c>
      <c r="CO65" s="35" t="s">
        <v>868</v>
      </c>
      <c r="CP65" s="35" t="s">
        <v>869</v>
      </c>
      <c r="CQ65" s="35" t="s">
        <v>445</v>
      </c>
      <c r="CR65" s="35" t="s">
        <v>870</v>
      </c>
      <c r="CS65" s="35" t="s">
        <v>828</v>
      </c>
      <c r="CT65" s="35" t="s">
        <v>871</v>
      </c>
      <c r="CU65" s="35" t="s">
        <v>872</v>
      </c>
      <c r="CV65" s="35" t="s">
        <v>519</v>
      </c>
      <c r="CW65" s="35" t="s">
        <v>451</v>
      </c>
      <c r="CX65" s="35" t="s">
        <v>873</v>
      </c>
      <c r="CY65" s="35" t="s">
        <v>408</v>
      </c>
      <c r="DA65" s="35" t="s">
        <v>453</v>
      </c>
      <c r="DB65" s="35" t="s">
        <v>874</v>
      </c>
      <c r="DC65" s="35" t="s">
        <v>455</v>
      </c>
      <c r="DD65" s="35" t="s">
        <v>875</v>
      </c>
      <c r="DE65" s="35" t="s">
        <v>457</v>
      </c>
      <c r="DG65" s="35" t="s">
        <v>876</v>
      </c>
      <c r="DH65" s="35" t="s">
        <v>524</v>
      </c>
      <c r="DI65" s="35" t="s">
        <v>410</v>
      </c>
      <c r="DJ65" s="35" t="s">
        <v>459</v>
      </c>
      <c r="DK65" s="35" t="s">
        <v>460</v>
      </c>
      <c r="DL65" s="35" t="s">
        <v>461</v>
      </c>
      <c r="DN65" s="35" t="s">
        <v>877</v>
      </c>
      <c r="DO65" s="35" t="s">
        <v>878</v>
      </c>
      <c r="DP65" s="35" t="s">
        <v>464</v>
      </c>
      <c r="DQ65" s="35" t="s">
        <v>879</v>
      </c>
      <c r="DR65" s="35" t="s">
        <v>837</v>
      </c>
      <c r="DS65" s="35" t="s">
        <v>880</v>
      </c>
      <c r="DT65" s="35" t="s">
        <v>839</v>
      </c>
      <c r="DU65" s="35" t="s">
        <v>703</v>
      </c>
      <c r="DV65" s="35" t="s">
        <v>881</v>
      </c>
      <c r="DW65" s="35" t="s">
        <v>882</v>
      </c>
      <c r="DX65" s="35" t="s">
        <v>396</v>
      </c>
      <c r="DY65" s="35" t="s">
        <v>883</v>
      </c>
      <c r="DZ65" s="35" t="s">
        <v>884</v>
      </c>
      <c r="EA65" s="35" t="s">
        <v>885</v>
      </c>
      <c r="EB65" s="35" t="s">
        <v>475</v>
      </c>
      <c r="EC65" s="35" t="s">
        <v>845</v>
      </c>
      <c r="ED65" s="35" t="s">
        <v>886</v>
      </c>
      <c r="EU65" s="35" t="s">
        <v>526</v>
      </c>
      <c r="EV65" s="35" t="s">
        <v>887</v>
      </c>
      <c r="EW65" s="35" t="s">
        <v>480</v>
      </c>
      <c r="EX65" s="35" t="s">
        <v>888</v>
      </c>
      <c r="EY65" s="35" t="s">
        <v>889</v>
      </c>
      <c r="EZ65" s="35" t="s">
        <v>890</v>
      </c>
      <c r="FA65" s="35" t="s">
        <v>583</v>
      </c>
      <c r="FB65" s="35" t="s">
        <v>583</v>
      </c>
      <c r="FC65" s="35" t="s">
        <v>583</v>
      </c>
      <c r="FD65" s="35" t="s">
        <v>583</v>
      </c>
      <c r="FE65" s="35" t="s">
        <v>415</v>
      </c>
      <c r="FF65" s="35" t="s">
        <v>583</v>
      </c>
      <c r="FG65" s="35" t="s">
        <v>415</v>
      </c>
      <c r="FH65" s="35" t="s">
        <v>583</v>
      </c>
      <c r="FI65" s="35" t="s">
        <v>415</v>
      </c>
      <c r="FJ65" s="35" t="s">
        <v>583</v>
      </c>
      <c r="FK65" s="35" t="s">
        <v>583</v>
      </c>
      <c r="FL65" s="35" t="s">
        <v>415</v>
      </c>
      <c r="FM65" s="35" t="s">
        <v>415</v>
      </c>
      <c r="FN65" s="35" t="s">
        <v>415</v>
      </c>
      <c r="FO65" s="35" t="s">
        <v>415</v>
      </c>
      <c r="FP65" s="35" t="s">
        <v>417</v>
      </c>
      <c r="FQ65" s="35" t="s">
        <v>418</v>
      </c>
      <c r="FR65" s="35" t="s">
        <v>712</v>
      </c>
      <c r="FS65" s="35" t="s">
        <v>891</v>
      </c>
      <c r="FT65" s="35" t="s">
        <v>420</v>
      </c>
      <c r="FU65" s="35" t="s">
        <v>488</v>
      </c>
      <c r="FV65" s="35" t="s">
        <v>533</v>
      </c>
      <c r="FW65" s="35" t="s">
        <v>490</v>
      </c>
      <c r="FX65" s="35" t="s">
        <v>491</v>
      </c>
      <c r="FY65" s="35" t="s">
        <v>892</v>
      </c>
      <c r="FZ65" s="35" t="s">
        <v>535</v>
      </c>
      <c r="GA65" s="35" t="s">
        <v>893</v>
      </c>
      <c r="GC65" s="35" t="s">
        <v>455</v>
      </c>
      <c r="GD65" s="35" t="s">
        <v>11649</v>
      </c>
      <c r="GF65" s="35" t="s">
        <v>753</v>
      </c>
      <c r="GG65" s="35" t="s">
        <v>754</v>
      </c>
      <c r="GH65" s="35" t="s">
        <v>857</v>
      </c>
      <c r="GI65" s="35" t="s">
        <v>857</v>
      </c>
      <c r="GJ65" s="35" t="s">
        <v>790</v>
      </c>
    </row>
    <row r="66">
      <c r="A66" s="40"/>
      <c r="B66" s="40">
        <v>45826.981307662034</v>
      </c>
      <c r="D66" s="35" t="s">
        <v>369</v>
      </c>
      <c r="E66" s="35" t="s">
        <v>894</v>
      </c>
      <c r="H66" s="35" t="s">
        <v>422</v>
      </c>
      <c r="I66" s="35" t="s">
        <v>496</v>
      </c>
      <c r="J66" s="35" t="s">
        <v>374</v>
      </c>
      <c r="K66" s="35" t="s">
        <v>375</v>
      </c>
      <c r="L66" s="35" t="s">
        <v>376</v>
      </c>
      <c r="M66" s="35" t="s">
        <v>591</v>
      </c>
      <c r="N66" s="35" t="s">
        <v>639</v>
      </c>
      <c r="O66" s="35" t="s">
        <v>591</v>
      </c>
      <c r="P66" s="35" t="s">
        <v>719</v>
      </c>
      <c r="Q66" s="35" t="s">
        <v>592</v>
      </c>
      <c r="R66" s="35" t="s">
        <v>499</v>
      </c>
      <c r="S66" s="35" t="s">
        <v>427</v>
      </c>
      <c r="T66" s="35" t="s">
        <v>384</v>
      </c>
      <c r="U66" s="35" t="s">
        <v>385</v>
      </c>
      <c r="W66" s="35" t="s">
        <v>1045</v>
      </c>
      <c r="X66" s="35" t="s">
        <v>428</v>
      </c>
      <c r="AW66" s="35" t="s">
        <v>597</v>
      </c>
      <c r="AX66" s="41">
        <v>4.0</v>
      </c>
      <c r="AY66" s="35" t="s">
        <v>391</v>
      </c>
      <c r="AZ66" s="35" t="s">
        <v>391</v>
      </c>
      <c r="BA66" s="35" t="s">
        <v>391</v>
      </c>
      <c r="BB66" s="35" t="s">
        <v>391</v>
      </c>
      <c r="BC66" s="35" t="s">
        <v>391</v>
      </c>
      <c r="BD66" s="35" t="s">
        <v>1046</v>
      </c>
      <c r="BF66" s="35" t="s">
        <v>432</v>
      </c>
      <c r="BG66" s="35" t="s">
        <v>1047</v>
      </c>
      <c r="BH66" s="35" t="s">
        <v>434</v>
      </c>
      <c r="BI66" s="35" t="s">
        <v>1048</v>
      </c>
      <c r="BJ66" s="35" t="s">
        <v>435</v>
      </c>
      <c r="BL66" s="35" t="s">
        <v>437</v>
      </c>
      <c r="BM66" s="35" t="s">
        <v>904</v>
      </c>
      <c r="BN66" s="35" t="s">
        <v>549</v>
      </c>
      <c r="BO66" s="35" t="s">
        <v>440</v>
      </c>
      <c r="CM66" s="35" t="s">
        <v>441</v>
      </c>
      <c r="CN66" s="35" t="s">
        <v>442</v>
      </c>
      <c r="CO66" s="35" t="s">
        <v>1049</v>
      </c>
      <c r="CP66" s="35" t="s">
        <v>1050</v>
      </c>
      <c r="CQ66" s="35" t="s">
        <v>1008</v>
      </c>
      <c r="CR66" s="35" t="s">
        <v>1051</v>
      </c>
      <c r="CS66" s="35" t="s">
        <v>804</v>
      </c>
      <c r="CT66" s="35" t="s">
        <v>1052</v>
      </c>
      <c r="CU66" s="35" t="s">
        <v>1053</v>
      </c>
      <c r="CV66" s="35" t="s">
        <v>450</v>
      </c>
      <c r="CW66" s="35" t="s">
        <v>451</v>
      </c>
      <c r="CX66" s="35" t="s">
        <v>1054</v>
      </c>
      <c r="CY66" s="35" t="s">
        <v>455</v>
      </c>
      <c r="CZ66" s="35" t="s">
        <v>1055</v>
      </c>
      <c r="DA66" s="35" t="s">
        <v>985</v>
      </c>
      <c r="DB66" s="35" t="s">
        <v>1056</v>
      </c>
      <c r="DC66" s="35" t="s">
        <v>455</v>
      </c>
      <c r="DD66" s="35" t="s">
        <v>1057</v>
      </c>
      <c r="DE66" s="35" t="s">
        <v>406</v>
      </c>
      <c r="DF66" s="35" t="s">
        <v>1058</v>
      </c>
      <c r="DG66" s="35" t="s">
        <v>1059</v>
      </c>
      <c r="DH66" s="35" t="s">
        <v>524</v>
      </c>
      <c r="DI66" s="35" t="s">
        <v>410</v>
      </c>
      <c r="DJ66" s="35" t="s">
        <v>459</v>
      </c>
      <c r="DK66" s="35" t="s">
        <v>460</v>
      </c>
      <c r="DL66" s="35" t="s">
        <v>563</v>
      </c>
      <c r="DM66" s="35" t="s">
        <v>1060</v>
      </c>
      <c r="DN66" s="35" t="s">
        <v>1061</v>
      </c>
      <c r="DO66" s="35" t="s">
        <v>1062</v>
      </c>
      <c r="DP66" s="35" t="s">
        <v>1063</v>
      </c>
      <c r="DQ66" s="35" t="s">
        <v>1064</v>
      </c>
      <c r="DR66" s="35" t="s">
        <v>700</v>
      </c>
      <c r="DS66" s="35" t="s">
        <v>1065</v>
      </c>
      <c r="DT66" s="35" t="s">
        <v>702</v>
      </c>
      <c r="DU66" s="35" t="s">
        <v>570</v>
      </c>
      <c r="DV66" s="35" t="s">
        <v>1066</v>
      </c>
      <c r="DW66" s="35" t="s">
        <v>1067</v>
      </c>
      <c r="DX66" s="35" t="s">
        <v>622</v>
      </c>
      <c r="DY66" s="35" t="s">
        <v>1068</v>
      </c>
      <c r="DZ66" s="35" t="s">
        <v>1069</v>
      </c>
      <c r="EA66" s="35" t="s">
        <v>1070</v>
      </c>
      <c r="EB66" s="35" t="s">
        <v>475</v>
      </c>
      <c r="EC66" s="35" t="s">
        <v>626</v>
      </c>
      <c r="EU66" s="35" t="s">
        <v>578</v>
      </c>
      <c r="EV66" s="35" t="s">
        <v>887</v>
      </c>
      <c r="EW66" s="35" t="s">
        <v>480</v>
      </c>
      <c r="EX66" s="35" t="s">
        <v>1071</v>
      </c>
      <c r="EY66" s="35" t="s">
        <v>1072</v>
      </c>
      <c r="EZ66" s="35" t="s">
        <v>1073</v>
      </c>
      <c r="FA66" s="35" t="s">
        <v>583</v>
      </c>
      <c r="FB66" s="35" t="s">
        <v>583</v>
      </c>
      <c r="FC66" s="35" t="s">
        <v>416</v>
      </c>
      <c r="FD66" s="35" t="s">
        <v>583</v>
      </c>
      <c r="FE66" s="35" t="s">
        <v>413</v>
      </c>
      <c r="FF66" s="35" t="s">
        <v>583</v>
      </c>
      <c r="FG66" s="35" t="s">
        <v>583</v>
      </c>
      <c r="FH66" s="35" t="s">
        <v>583</v>
      </c>
      <c r="FI66" s="35" t="s">
        <v>415</v>
      </c>
      <c r="FJ66" s="35" t="s">
        <v>414</v>
      </c>
      <c r="FK66" s="35" t="s">
        <v>583</v>
      </c>
      <c r="FL66" s="35" t="s">
        <v>414</v>
      </c>
      <c r="FM66" s="35" t="s">
        <v>583</v>
      </c>
      <c r="FN66" s="35" t="s">
        <v>416</v>
      </c>
      <c r="FO66" s="35" t="s">
        <v>583</v>
      </c>
      <c r="FP66" s="35" t="s">
        <v>1074</v>
      </c>
      <c r="FQ66" s="35" t="s">
        <v>418</v>
      </c>
      <c r="FR66" s="35" t="s">
        <v>419</v>
      </c>
      <c r="FS66" s="35" t="s">
        <v>1075</v>
      </c>
      <c r="FT66" s="35" t="s">
        <v>1076</v>
      </c>
      <c r="FU66" s="35" t="s">
        <v>488</v>
      </c>
      <c r="FV66" s="35" t="s">
        <v>918</v>
      </c>
      <c r="FW66" s="35" t="s">
        <v>490</v>
      </c>
      <c r="FX66" s="35" t="s">
        <v>491</v>
      </c>
      <c r="FY66" s="35" t="s">
        <v>1077</v>
      </c>
      <c r="FZ66" s="35" t="s">
        <v>493</v>
      </c>
      <c r="GB66" s="35" t="s">
        <v>11650</v>
      </c>
      <c r="GC66" s="35" t="s">
        <v>408</v>
      </c>
      <c r="GH66" s="35" t="s">
        <v>755</v>
      </c>
      <c r="GI66" s="35" t="s">
        <v>755</v>
      </c>
      <c r="GJ66" s="35" t="s">
        <v>946</v>
      </c>
      <c r="GN66" s="35" t="s">
        <v>1079</v>
      </c>
    </row>
    <row r="67">
      <c r="A67" s="40"/>
      <c r="B67" s="40">
        <v>45827.03329590277</v>
      </c>
      <c r="C67" s="35" t="s">
        <v>368</v>
      </c>
      <c r="D67" s="35" t="s">
        <v>1092</v>
      </c>
      <c r="E67" s="35" t="s">
        <v>1092</v>
      </c>
      <c r="H67" s="35" t="s">
        <v>1093</v>
      </c>
      <c r="I67" s="35" t="s">
        <v>373</v>
      </c>
      <c r="J67" s="35" t="s">
        <v>374</v>
      </c>
      <c r="K67" s="35" t="s">
        <v>718</v>
      </c>
      <c r="L67" s="35" t="s">
        <v>376</v>
      </c>
      <c r="M67" s="35" t="s">
        <v>591</v>
      </c>
      <c r="N67" s="35" t="s">
        <v>378</v>
      </c>
      <c r="O67" s="35" t="s">
        <v>591</v>
      </c>
      <c r="P67" s="35" t="s">
        <v>639</v>
      </c>
      <c r="Q67" s="35" t="s">
        <v>498</v>
      </c>
      <c r="R67" s="35" t="s">
        <v>382</v>
      </c>
      <c r="S67" s="35" t="s">
        <v>500</v>
      </c>
      <c r="T67" s="35" t="s">
        <v>384</v>
      </c>
      <c r="U67" s="35" t="s">
        <v>385</v>
      </c>
      <c r="X67" s="35" t="s">
        <v>428</v>
      </c>
      <c r="AW67" s="35" t="s">
        <v>390</v>
      </c>
      <c r="AX67" s="35" t="s">
        <v>391</v>
      </c>
      <c r="AY67" s="35" t="s">
        <v>391</v>
      </c>
      <c r="AZ67" s="41">
        <v>2.0</v>
      </c>
      <c r="BA67" s="41">
        <v>2.0</v>
      </c>
      <c r="BB67" s="41">
        <v>2.0</v>
      </c>
      <c r="BC67" s="41">
        <v>2.0</v>
      </c>
      <c r="BF67" s="35" t="s">
        <v>1094</v>
      </c>
      <c r="BG67" s="35" t="s">
        <v>1095</v>
      </c>
      <c r="BH67" s="35" t="s">
        <v>725</v>
      </c>
      <c r="BL67" s="35" t="s">
        <v>437</v>
      </c>
      <c r="BN67" s="35" t="s">
        <v>549</v>
      </c>
      <c r="BO67" s="35" t="s">
        <v>440</v>
      </c>
      <c r="CM67" s="35" t="s">
        <v>550</v>
      </c>
      <c r="CN67" s="35" t="s">
        <v>551</v>
      </c>
      <c r="CQ67" s="35" t="s">
        <v>445</v>
      </c>
      <c r="CR67" s="35" t="s">
        <v>1096</v>
      </c>
      <c r="CS67" s="35" t="s">
        <v>555</v>
      </c>
      <c r="CT67" s="35" t="s">
        <v>1097</v>
      </c>
      <c r="CV67" s="35" t="s">
        <v>450</v>
      </c>
      <c r="CW67" s="35" t="s">
        <v>959</v>
      </c>
      <c r="CY67" s="35" t="s">
        <v>408</v>
      </c>
      <c r="DA67" s="35" t="s">
        <v>453</v>
      </c>
      <c r="DC67" s="35" t="s">
        <v>455</v>
      </c>
      <c r="DE67" s="35" t="s">
        <v>406</v>
      </c>
      <c r="DF67" s="35" t="s">
        <v>407</v>
      </c>
      <c r="DH67" s="35" t="s">
        <v>524</v>
      </c>
      <c r="DI67" s="35" t="s">
        <v>410</v>
      </c>
      <c r="DJ67" s="35" t="s">
        <v>459</v>
      </c>
      <c r="DK67" s="35" t="s">
        <v>613</v>
      </c>
      <c r="DN67" s="35" t="s">
        <v>1098</v>
      </c>
      <c r="DO67" s="35" t="s">
        <v>1099</v>
      </c>
      <c r="DP67" s="35" t="s">
        <v>567</v>
      </c>
      <c r="DQ67" s="35" t="s">
        <v>1100</v>
      </c>
      <c r="DR67" s="35" t="s">
        <v>837</v>
      </c>
      <c r="DT67" s="35" t="s">
        <v>618</v>
      </c>
      <c r="DU67" s="35" t="s">
        <v>740</v>
      </c>
      <c r="DX67" s="35" t="s">
        <v>573</v>
      </c>
      <c r="EB67" s="35" t="s">
        <v>475</v>
      </c>
      <c r="EC67" s="35" t="s">
        <v>626</v>
      </c>
      <c r="EU67" s="35" t="s">
        <v>526</v>
      </c>
      <c r="EV67" s="35" t="s">
        <v>579</v>
      </c>
      <c r="EW67" s="35" t="s">
        <v>527</v>
      </c>
      <c r="FA67" s="35" t="s">
        <v>413</v>
      </c>
      <c r="FB67" s="35" t="s">
        <v>414</v>
      </c>
      <c r="FC67" s="35" t="s">
        <v>413</v>
      </c>
      <c r="FD67" s="35" t="s">
        <v>413</v>
      </c>
      <c r="FE67" s="35" t="s">
        <v>413</v>
      </c>
      <c r="FF67" s="35" t="s">
        <v>415</v>
      </c>
      <c r="FG67" s="35" t="s">
        <v>583</v>
      </c>
      <c r="FH67" s="35" t="s">
        <v>413</v>
      </c>
      <c r="FI67" s="35" t="s">
        <v>583</v>
      </c>
      <c r="FJ67" s="35" t="s">
        <v>416</v>
      </c>
      <c r="FK67" s="35" t="s">
        <v>415</v>
      </c>
      <c r="FL67" s="35" t="s">
        <v>413</v>
      </c>
      <c r="FM67" s="35" t="s">
        <v>413</v>
      </c>
      <c r="FN67" s="35" t="s">
        <v>413</v>
      </c>
      <c r="FO67" s="35" t="s">
        <v>583</v>
      </c>
      <c r="FP67" s="35" t="s">
        <v>485</v>
      </c>
      <c r="FQ67" s="35" t="s">
        <v>486</v>
      </c>
      <c r="FR67" s="35" t="s">
        <v>712</v>
      </c>
      <c r="FT67" s="35" t="s">
        <v>420</v>
      </c>
      <c r="FU67" s="35" t="s">
        <v>488</v>
      </c>
      <c r="FV67" s="35" t="s">
        <v>918</v>
      </c>
      <c r="FW67" s="35" t="s">
        <v>1101</v>
      </c>
      <c r="FX67" s="35" t="s">
        <v>491</v>
      </c>
      <c r="FZ67" s="35" t="s">
        <v>493</v>
      </c>
      <c r="GC67" s="35" t="s">
        <v>408</v>
      </c>
      <c r="GH67" s="35" t="s">
        <v>755</v>
      </c>
      <c r="GI67" s="35" t="s">
        <v>755</v>
      </c>
      <c r="GJ67" s="35" t="s">
        <v>946</v>
      </c>
      <c r="GN67" s="35" t="s">
        <v>1079</v>
      </c>
    </row>
    <row r="68">
      <c r="A68" s="40"/>
      <c r="B68" s="40">
        <v>45827.04287230324</v>
      </c>
      <c r="C68" s="35" t="s">
        <v>368</v>
      </c>
      <c r="D68" s="35" t="s">
        <v>370</v>
      </c>
      <c r="F68" s="35" t="s">
        <v>371</v>
      </c>
      <c r="H68" s="35" t="s">
        <v>1102</v>
      </c>
      <c r="I68" s="35" t="s">
        <v>373</v>
      </c>
      <c r="J68" s="35" t="s">
        <v>638</v>
      </c>
      <c r="K68" s="35" t="s">
        <v>425</v>
      </c>
      <c r="L68" s="35" t="s">
        <v>376</v>
      </c>
      <c r="M68" s="35" t="s">
        <v>426</v>
      </c>
      <c r="N68" s="35" t="s">
        <v>1103</v>
      </c>
      <c r="O68" s="35" t="s">
        <v>426</v>
      </c>
      <c r="P68" s="35" t="s">
        <v>1104</v>
      </c>
      <c r="Q68" s="35" t="s">
        <v>498</v>
      </c>
      <c r="R68" s="35" t="s">
        <v>862</v>
      </c>
      <c r="S68" s="35" t="s">
        <v>949</v>
      </c>
      <c r="T68" s="35" t="s">
        <v>384</v>
      </c>
      <c r="U68" s="35" t="s">
        <v>385</v>
      </c>
      <c r="X68" s="35" t="s">
        <v>760</v>
      </c>
      <c r="Y68" s="35" t="s">
        <v>387</v>
      </c>
      <c r="Z68" s="35" t="s">
        <v>388</v>
      </c>
      <c r="AA68" s="35" t="s">
        <v>543</v>
      </c>
      <c r="AB68" s="35" t="s">
        <v>408</v>
      </c>
      <c r="AC68" s="35" t="s">
        <v>1105</v>
      </c>
      <c r="AW68" s="35" t="s">
        <v>597</v>
      </c>
      <c r="AX68" s="35" t="s">
        <v>391</v>
      </c>
      <c r="AY68" s="35" t="s">
        <v>391</v>
      </c>
      <c r="AZ68" s="41">
        <v>2.0</v>
      </c>
      <c r="BA68" s="35" t="s">
        <v>429</v>
      </c>
      <c r="BB68" s="41">
        <v>4.0</v>
      </c>
      <c r="BC68" s="41">
        <v>2.0</v>
      </c>
      <c r="BD68" s="35" t="s">
        <v>11651</v>
      </c>
      <c r="BE68" s="35" t="s">
        <v>1107</v>
      </c>
      <c r="BF68" s="35" t="s">
        <v>902</v>
      </c>
      <c r="BG68" s="35" t="s">
        <v>393</v>
      </c>
      <c r="BH68" s="35" t="s">
        <v>725</v>
      </c>
      <c r="BI68" s="35" t="s">
        <v>1108</v>
      </c>
      <c r="BJ68" s="35" t="s">
        <v>509</v>
      </c>
      <c r="BK68" s="35" t="s">
        <v>1109</v>
      </c>
      <c r="BL68" s="35" t="s">
        <v>602</v>
      </c>
      <c r="BM68" s="35" t="s">
        <v>438</v>
      </c>
      <c r="BN68" s="35" t="s">
        <v>549</v>
      </c>
      <c r="BO68" s="35" t="s">
        <v>440</v>
      </c>
      <c r="CM68" s="35" t="s">
        <v>441</v>
      </c>
      <c r="CN68" s="35" t="s">
        <v>604</v>
      </c>
      <c r="CO68" s="35" t="s">
        <v>11652</v>
      </c>
      <c r="CP68" s="35" t="s">
        <v>11653</v>
      </c>
      <c r="CQ68" s="35" t="s">
        <v>979</v>
      </c>
      <c r="CR68" s="35" t="s">
        <v>1112</v>
      </c>
      <c r="CS68" s="35" t="s">
        <v>804</v>
      </c>
      <c r="CT68" s="35" t="s">
        <v>1113</v>
      </c>
      <c r="CU68" s="35" t="s">
        <v>11654</v>
      </c>
      <c r="CV68" s="35" t="s">
        <v>519</v>
      </c>
      <c r="CW68" s="35" t="s">
        <v>451</v>
      </c>
      <c r="CX68" s="35" t="s">
        <v>1115</v>
      </c>
      <c r="CY68" s="35" t="s">
        <v>408</v>
      </c>
      <c r="DA68" s="35" t="s">
        <v>453</v>
      </c>
      <c r="DB68" s="35" t="s">
        <v>11655</v>
      </c>
      <c r="DC68" s="35" t="s">
        <v>455</v>
      </c>
      <c r="DD68" s="35" t="s">
        <v>11656</v>
      </c>
      <c r="DE68" s="35" t="s">
        <v>662</v>
      </c>
      <c r="DG68" s="35" t="s">
        <v>11657</v>
      </c>
      <c r="DH68" s="35" t="s">
        <v>561</v>
      </c>
      <c r="DI68" s="35" t="s">
        <v>410</v>
      </c>
      <c r="DJ68" s="35" t="s">
        <v>459</v>
      </c>
      <c r="DK68" s="35" t="s">
        <v>460</v>
      </c>
      <c r="DL68" s="35" t="s">
        <v>461</v>
      </c>
      <c r="DN68" s="35" t="s">
        <v>11658</v>
      </c>
      <c r="DO68" s="35" t="s">
        <v>11659</v>
      </c>
      <c r="DP68" s="35" t="s">
        <v>567</v>
      </c>
      <c r="DR68" s="35" t="s">
        <v>700</v>
      </c>
      <c r="DS68" s="35" t="s">
        <v>1121</v>
      </c>
      <c r="DT68" s="35" t="s">
        <v>618</v>
      </c>
      <c r="DV68" s="35" t="s">
        <v>742</v>
      </c>
      <c r="DW68" s="35" t="s">
        <v>11660</v>
      </c>
      <c r="DX68" s="35" t="s">
        <v>573</v>
      </c>
      <c r="DY68" s="35" t="s">
        <v>11661</v>
      </c>
      <c r="DZ68" s="35" t="s">
        <v>1124</v>
      </c>
      <c r="EA68" s="35" t="s">
        <v>1125</v>
      </c>
      <c r="EB68" s="35" t="s">
        <v>475</v>
      </c>
      <c r="EC68" s="35" t="s">
        <v>845</v>
      </c>
      <c r="ED68" s="35" t="s">
        <v>11662</v>
      </c>
      <c r="EU68" s="35" t="s">
        <v>526</v>
      </c>
      <c r="EV68" s="35" t="s">
        <v>1127</v>
      </c>
      <c r="EW68" s="35" t="s">
        <v>527</v>
      </c>
      <c r="EX68" s="35" t="s">
        <v>1128</v>
      </c>
      <c r="EY68" s="35" t="s">
        <v>1129</v>
      </c>
      <c r="EZ68" s="35" t="s">
        <v>1130</v>
      </c>
      <c r="FA68" s="35" t="s">
        <v>413</v>
      </c>
      <c r="FB68" s="35" t="s">
        <v>416</v>
      </c>
      <c r="FC68" s="35" t="s">
        <v>413</v>
      </c>
      <c r="FD68" s="35" t="s">
        <v>413</v>
      </c>
      <c r="FE68" s="35" t="s">
        <v>413</v>
      </c>
      <c r="FF68" s="35" t="s">
        <v>415</v>
      </c>
      <c r="FG68" s="35" t="s">
        <v>413</v>
      </c>
      <c r="FH68" s="35" t="s">
        <v>416</v>
      </c>
      <c r="FI68" s="35" t="s">
        <v>583</v>
      </c>
      <c r="FJ68" s="35" t="s">
        <v>416</v>
      </c>
      <c r="FK68" s="35" t="s">
        <v>416</v>
      </c>
      <c r="FL68" s="35" t="s">
        <v>416</v>
      </c>
      <c r="FM68" s="35" t="s">
        <v>415</v>
      </c>
      <c r="FN68" s="35" t="s">
        <v>415</v>
      </c>
      <c r="FO68" s="35" t="s">
        <v>583</v>
      </c>
      <c r="FP68" s="35" t="s">
        <v>485</v>
      </c>
      <c r="FQ68" s="35" t="s">
        <v>418</v>
      </c>
      <c r="FR68" s="35" t="s">
        <v>531</v>
      </c>
      <c r="FS68" s="35" t="s">
        <v>1131</v>
      </c>
      <c r="FT68" s="35" t="s">
        <v>420</v>
      </c>
      <c r="FU68" s="35" t="s">
        <v>488</v>
      </c>
      <c r="FV68" s="35" t="s">
        <v>489</v>
      </c>
      <c r="FW68" s="35" t="s">
        <v>490</v>
      </c>
      <c r="FX68" s="35" t="s">
        <v>491</v>
      </c>
      <c r="FY68" s="35" t="s">
        <v>1132</v>
      </c>
      <c r="FZ68" s="35" t="s">
        <v>493</v>
      </c>
      <c r="GA68" s="35" t="s">
        <v>1133</v>
      </c>
      <c r="GC68" s="35" t="s">
        <v>455</v>
      </c>
      <c r="GD68" s="35" t="s">
        <v>11663</v>
      </c>
      <c r="GF68" s="35" t="s">
        <v>753</v>
      </c>
      <c r="GG68" s="35" t="s">
        <v>11664</v>
      </c>
      <c r="GH68" s="35" t="s">
        <v>755</v>
      </c>
      <c r="GI68" s="35" t="s">
        <v>755</v>
      </c>
      <c r="GJ68" s="35" t="s">
        <v>817</v>
      </c>
      <c r="GN68" s="35" t="s">
        <v>1079</v>
      </c>
    </row>
    <row r="69">
      <c r="A69" s="40"/>
      <c r="B69" s="40">
        <v>45827.10245875</v>
      </c>
      <c r="C69" s="35" t="s">
        <v>368</v>
      </c>
      <c r="D69" s="35" t="s">
        <v>1139</v>
      </c>
      <c r="E69" s="35" t="s">
        <v>1139</v>
      </c>
      <c r="H69" s="35" t="s">
        <v>1140</v>
      </c>
      <c r="I69" s="35" t="s">
        <v>637</v>
      </c>
      <c r="J69" s="35" t="s">
        <v>638</v>
      </c>
      <c r="K69" s="35" t="s">
        <v>590</v>
      </c>
      <c r="L69" s="35" t="s">
        <v>376</v>
      </c>
      <c r="M69" s="35" t="s">
        <v>591</v>
      </c>
      <c r="N69" s="35" t="s">
        <v>639</v>
      </c>
      <c r="O69" s="35" t="s">
        <v>591</v>
      </c>
      <c r="P69" s="35" t="s">
        <v>671</v>
      </c>
      <c r="Q69" s="35" t="s">
        <v>592</v>
      </c>
      <c r="R69" s="35" t="s">
        <v>862</v>
      </c>
      <c r="S69" s="35" t="s">
        <v>500</v>
      </c>
      <c r="T69" s="35" t="s">
        <v>384</v>
      </c>
      <c r="U69" s="35" t="s">
        <v>385</v>
      </c>
      <c r="X69" s="35" t="s">
        <v>593</v>
      </c>
      <c r="Y69" s="35" t="s">
        <v>642</v>
      </c>
      <c r="AM69" s="35" t="s">
        <v>1141</v>
      </c>
      <c r="AN69" s="35" t="s">
        <v>1142</v>
      </c>
      <c r="AO69" s="35" t="s">
        <v>1143</v>
      </c>
      <c r="AQ69" s="35" t="s">
        <v>1144</v>
      </c>
      <c r="AR69" s="41">
        <v>5.0</v>
      </c>
      <c r="AS69" s="35" t="s">
        <v>1145</v>
      </c>
      <c r="AW69" s="35" t="s">
        <v>390</v>
      </c>
      <c r="AX69" s="35" t="s">
        <v>391</v>
      </c>
      <c r="AY69" s="35" t="s">
        <v>391</v>
      </c>
      <c r="AZ69" s="41">
        <v>2.0</v>
      </c>
      <c r="BA69" s="35" t="s">
        <v>391</v>
      </c>
      <c r="BB69" s="41">
        <v>4.0</v>
      </c>
      <c r="BC69" s="35" t="s">
        <v>391</v>
      </c>
      <c r="BF69" s="35" t="s">
        <v>432</v>
      </c>
      <c r="BG69" s="35" t="s">
        <v>433</v>
      </c>
      <c r="BH69" s="35" t="s">
        <v>765</v>
      </c>
      <c r="BJ69" s="35" t="s">
        <v>824</v>
      </c>
      <c r="BL69" s="35" t="s">
        <v>437</v>
      </c>
      <c r="BM69" s="35" t="s">
        <v>396</v>
      </c>
      <c r="BN69" s="35" t="s">
        <v>549</v>
      </c>
      <c r="BO69" s="35" t="s">
        <v>440</v>
      </c>
      <c r="CM69" s="35" t="s">
        <v>441</v>
      </c>
      <c r="CN69" s="35" t="s">
        <v>401</v>
      </c>
      <c r="CQ69" s="35" t="s">
        <v>403</v>
      </c>
      <c r="CR69" s="35" t="s">
        <v>1146</v>
      </c>
      <c r="CS69" s="35" t="s">
        <v>447</v>
      </c>
      <c r="CT69" s="35" t="s">
        <v>1147</v>
      </c>
      <c r="CV69" s="35" t="s">
        <v>519</v>
      </c>
      <c r="CW69" s="35" t="s">
        <v>451</v>
      </c>
      <c r="CY69" s="35" t="s">
        <v>408</v>
      </c>
      <c r="DA69" s="35" t="s">
        <v>453</v>
      </c>
      <c r="DC69" s="35" t="s">
        <v>408</v>
      </c>
      <c r="DE69" s="35" t="s">
        <v>406</v>
      </c>
      <c r="DF69" s="35" t="s">
        <v>407</v>
      </c>
      <c r="DH69" s="35" t="s">
        <v>524</v>
      </c>
      <c r="DI69" s="35" t="s">
        <v>410</v>
      </c>
      <c r="DJ69" s="35" t="s">
        <v>459</v>
      </c>
      <c r="DK69" s="35" t="s">
        <v>1148</v>
      </c>
      <c r="DL69" s="35" t="s">
        <v>461</v>
      </c>
      <c r="DN69" s="35" t="s">
        <v>1149</v>
      </c>
      <c r="DO69" s="35" t="s">
        <v>1150</v>
      </c>
      <c r="DP69" s="35" t="s">
        <v>464</v>
      </c>
      <c r="DQ69" s="35" t="s">
        <v>11665</v>
      </c>
      <c r="DR69" s="35" t="s">
        <v>1152</v>
      </c>
      <c r="DT69" s="35" t="s">
        <v>839</v>
      </c>
      <c r="DU69" s="35" t="s">
        <v>570</v>
      </c>
      <c r="DX69" s="35" t="s">
        <v>622</v>
      </c>
      <c r="EB69" s="35" t="s">
        <v>475</v>
      </c>
      <c r="EC69" s="35" t="s">
        <v>845</v>
      </c>
      <c r="EU69" s="35" t="s">
        <v>526</v>
      </c>
      <c r="EV69" s="35" t="s">
        <v>479</v>
      </c>
      <c r="EW69" s="35" t="s">
        <v>663</v>
      </c>
      <c r="FA69" s="35" t="s">
        <v>414</v>
      </c>
      <c r="FB69" s="35" t="s">
        <v>414</v>
      </c>
      <c r="FC69" s="35" t="s">
        <v>413</v>
      </c>
      <c r="FD69" s="35" t="s">
        <v>413</v>
      </c>
      <c r="FE69" s="35" t="s">
        <v>413</v>
      </c>
      <c r="FF69" s="35" t="s">
        <v>414</v>
      </c>
      <c r="FG69" s="35" t="s">
        <v>415</v>
      </c>
      <c r="FH69" s="35" t="s">
        <v>416</v>
      </c>
      <c r="FI69" s="35" t="s">
        <v>414</v>
      </c>
      <c r="FJ69" s="35" t="s">
        <v>583</v>
      </c>
      <c r="FK69" s="35" t="s">
        <v>413</v>
      </c>
      <c r="FL69" s="35" t="s">
        <v>415</v>
      </c>
      <c r="FM69" s="35" t="s">
        <v>415</v>
      </c>
      <c r="FN69" s="35" t="s">
        <v>416</v>
      </c>
      <c r="FO69" s="35" t="s">
        <v>415</v>
      </c>
      <c r="FP69" s="35" t="s">
        <v>1074</v>
      </c>
      <c r="FQ69" s="35" t="s">
        <v>418</v>
      </c>
      <c r="FR69" s="35" t="s">
        <v>419</v>
      </c>
      <c r="FT69" s="35" t="s">
        <v>420</v>
      </c>
      <c r="FU69" s="35" t="s">
        <v>488</v>
      </c>
      <c r="FV69" s="35" t="s">
        <v>489</v>
      </c>
      <c r="FW69" s="35" t="s">
        <v>490</v>
      </c>
      <c r="FX69" s="35" t="s">
        <v>491</v>
      </c>
      <c r="FZ69" s="35" t="s">
        <v>535</v>
      </c>
      <c r="GC69" s="35" t="s">
        <v>408</v>
      </c>
      <c r="GH69" s="35" t="s">
        <v>755</v>
      </c>
      <c r="GI69" s="35" t="s">
        <v>755</v>
      </c>
      <c r="GJ69" s="35" t="s">
        <v>946</v>
      </c>
      <c r="GN69" s="35" t="s">
        <v>1079</v>
      </c>
    </row>
    <row r="70">
      <c r="A70" s="40"/>
      <c r="B70" s="40">
        <v>45827.1310891551</v>
      </c>
      <c r="C70" s="35" t="s">
        <v>368</v>
      </c>
      <c r="D70" s="35" t="s">
        <v>370</v>
      </c>
      <c r="F70" s="35" t="s">
        <v>922</v>
      </c>
      <c r="H70" s="35" t="s">
        <v>1153</v>
      </c>
      <c r="I70" s="35" t="s">
        <v>637</v>
      </c>
      <c r="J70" s="35" t="s">
        <v>638</v>
      </c>
      <c r="K70" s="35" t="s">
        <v>425</v>
      </c>
      <c r="L70" s="35" t="s">
        <v>376</v>
      </c>
      <c r="M70" s="35" t="s">
        <v>591</v>
      </c>
      <c r="N70" s="35" t="s">
        <v>1154</v>
      </c>
      <c r="O70" s="35" t="s">
        <v>379</v>
      </c>
      <c r="P70" s="35" t="s">
        <v>1155</v>
      </c>
      <c r="Q70" s="35" t="s">
        <v>381</v>
      </c>
      <c r="R70" s="35" t="s">
        <v>1156</v>
      </c>
      <c r="S70" s="35" t="s">
        <v>500</v>
      </c>
      <c r="T70" s="35" t="s">
        <v>384</v>
      </c>
      <c r="U70" s="35" t="s">
        <v>385</v>
      </c>
      <c r="X70" s="35" t="s">
        <v>593</v>
      </c>
      <c r="Y70" s="35" t="s">
        <v>387</v>
      </c>
      <c r="Z70" s="35" t="s">
        <v>1157</v>
      </c>
      <c r="AA70" s="35" t="s">
        <v>502</v>
      </c>
      <c r="AB70" s="35" t="s">
        <v>1158</v>
      </c>
      <c r="AC70" s="35" t="s">
        <v>1159</v>
      </c>
      <c r="AW70" s="35" t="s">
        <v>504</v>
      </c>
      <c r="AX70" s="35" t="s">
        <v>429</v>
      </c>
      <c r="AY70" s="35" t="s">
        <v>429</v>
      </c>
      <c r="AZ70" s="35" t="s">
        <v>429</v>
      </c>
      <c r="BA70" s="35" t="s">
        <v>429</v>
      </c>
      <c r="BB70" s="41">
        <v>2.0</v>
      </c>
      <c r="BC70" s="35" t="s">
        <v>429</v>
      </c>
      <c r="BD70" s="35" t="s">
        <v>1160</v>
      </c>
      <c r="BE70" s="35" t="s">
        <v>1161</v>
      </c>
      <c r="BF70" s="35" t="s">
        <v>392</v>
      </c>
      <c r="BG70" s="35" t="s">
        <v>433</v>
      </c>
      <c r="BH70" s="35" t="s">
        <v>765</v>
      </c>
      <c r="BI70" s="35" t="s">
        <v>1162</v>
      </c>
      <c r="BJ70" s="35" t="s">
        <v>824</v>
      </c>
      <c r="BL70" s="35" t="s">
        <v>511</v>
      </c>
      <c r="BM70" s="35" t="s">
        <v>512</v>
      </c>
      <c r="BN70" s="35" t="s">
        <v>439</v>
      </c>
      <c r="BO70" s="35" t="s">
        <v>440</v>
      </c>
      <c r="CM70" s="35" t="s">
        <v>441</v>
      </c>
      <c r="CN70" s="35" t="s">
        <v>401</v>
      </c>
      <c r="CO70" s="35" t="s">
        <v>1163</v>
      </c>
      <c r="CP70" s="35" t="s">
        <v>11666</v>
      </c>
      <c r="CQ70" s="35" t="s">
        <v>685</v>
      </c>
      <c r="CR70" s="35" t="s">
        <v>1165</v>
      </c>
      <c r="CS70" s="35" t="s">
        <v>447</v>
      </c>
      <c r="CT70" s="35" t="s">
        <v>1166</v>
      </c>
      <c r="CU70" s="35" t="s">
        <v>11667</v>
      </c>
      <c r="CV70" s="35" t="s">
        <v>450</v>
      </c>
      <c r="CW70" s="35" t="s">
        <v>451</v>
      </c>
      <c r="CX70" s="35" t="s">
        <v>11668</v>
      </c>
      <c r="CY70" s="35" t="s">
        <v>733</v>
      </c>
      <c r="CZ70" s="35" t="s">
        <v>1169</v>
      </c>
      <c r="DA70" s="35" t="s">
        <v>453</v>
      </c>
      <c r="DB70" s="35" t="s">
        <v>1170</v>
      </c>
      <c r="DC70" s="35" t="s">
        <v>455</v>
      </c>
      <c r="DD70" s="35" t="s">
        <v>1171</v>
      </c>
      <c r="DE70" s="35" t="s">
        <v>662</v>
      </c>
      <c r="DG70" s="35" t="s">
        <v>1172</v>
      </c>
      <c r="DH70" s="35" t="s">
        <v>524</v>
      </c>
      <c r="DI70" s="35" t="s">
        <v>410</v>
      </c>
      <c r="DJ70" s="35" t="s">
        <v>459</v>
      </c>
      <c r="DK70" s="35" t="s">
        <v>460</v>
      </c>
      <c r="DL70" s="35" t="s">
        <v>461</v>
      </c>
      <c r="DN70" s="35" t="s">
        <v>1173</v>
      </c>
      <c r="DO70" s="35" t="s">
        <v>1174</v>
      </c>
      <c r="DP70" s="35" t="s">
        <v>464</v>
      </c>
      <c r="DQ70" s="35" t="s">
        <v>1175</v>
      </c>
      <c r="DR70" s="35" t="s">
        <v>1176</v>
      </c>
      <c r="DS70" s="35" t="s">
        <v>1177</v>
      </c>
      <c r="DT70" s="35" t="s">
        <v>839</v>
      </c>
      <c r="DU70" s="35" t="s">
        <v>703</v>
      </c>
      <c r="DV70" s="35" t="s">
        <v>1178</v>
      </c>
      <c r="DW70" s="35" t="s">
        <v>1179</v>
      </c>
      <c r="DX70" s="35" t="s">
        <v>622</v>
      </c>
      <c r="DY70" s="35" t="s">
        <v>1180</v>
      </c>
      <c r="DZ70" s="35" t="s">
        <v>1181</v>
      </c>
      <c r="EA70" s="35" t="s">
        <v>1182</v>
      </c>
      <c r="EB70" s="35" t="s">
        <v>475</v>
      </c>
      <c r="EC70" s="35" t="s">
        <v>1183</v>
      </c>
      <c r="ED70" s="35" t="s">
        <v>1184</v>
      </c>
      <c r="EU70" s="35" t="s">
        <v>526</v>
      </c>
      <c r="EV70" s="35" t="s">
        <v>887</v>
      </c>
      <c r="EW70" s="35" t="s">
        <v>527</v>
      </c>
      <c r="EX70" s="35" t="s">
        <v>1185</v>
      </c>
      <c r="EY70" s="35" t="s">
        <v>1186</v>
      </c>
      <c r="EZ70" s="35" t="s">
        <v>1187</v>
      </c>
      <c r="FA70" s="35" t="s">
        <v>414</v>
      </c>
      <c r="FB70" s="35" t="s">
        <v>414</v>
      </c>
      <c r="FC70" s="35" t="s">
        <v>413</v>
      </c>
      <c r="FD70" s="35" t="s">
        <v>414</v>
      </c>
      <c r="FE70" s="35" t="s">
        <v>413</v>
      </c>
      <c r="FF70" s="35" t="s">
        <v>583</v>
      </c>
      <c r="FG70" s="35" t="s">
        <v>414</v>
      </c>
      <c r="FH70" s="35" t="s">
        <v>413</v>
      </c>
      <c r="FI70" s="35" t="s">
        <v>583</v>
      </c>
      <c r="FJ70" s="35" t="s">
        <v>414</v>
      </c>
      <c r="FK70" s="35" t="s">
        <v>416</v>
      </c>
      <c r="FL70" s="35" t="s">
        <v>583</v>
      </c>
      <c r="FM70" s="35" t="s">
        <v>583</v>
      </c>
      <c r="FN70" s="35" t="s">
        <v>413</v>
      </c>
      <c r="FO70" s="35" t="s">
        <v>583</v>
      </c>
      <c r="FP70" s="35" t="s">
        <v>485</v>
      </c>
      <c r="FQ70" s="35" t="s">
        <v>418</v>
      </c>
      <c r="FR70" s="35" t="s">
        <v>419</v>
      </c>
      <c r="FS70" s="35" t="s">
        <v>1188</v>
      </c>
      <c r="FT70" s="35" t="s">
        <v>1189</v>
      </c>
      <c r="FU70" s="35" t="s">
        <v>488</v>
      </c>
      <c r="FV70" s="35" t="s">
        <v>489</v>
      </c>
      <c r="FW70" s="35" t="s">
        <v>1101</v>
      </c>
      <c r="FX70" s="35" t="s">
        <v>491</v>
      </c>
      <c r="FY70" s="35" t="s">
        <v>1190</v>
      </c>
      <c r="FZ70" s="35" t="s">
        <v>535</v>
      </c>
      <c r="GA70" s="35" t="s">
        <v>1191</v>
      </c>
      <c r="GB70" s="35" t="s">
        <v>1192</v>
      </c>
      <c r="GC70" s="35" t="s">
        <v>455</v>
      </c>
      <c r="GD70" s="35" t="s">
        <v>11669</v>
      </c>
      <c r="GE70" s="35" t="s">
        <v>11670</v>
      </c>
      <c r="GF70" s="35" t="s">
        <v>753</v>
      </c>
      <c r="GG70" s="35" t="s">
        <v>1193</v>
      </c>
      <c r="GH70" s="35" t="s">
        <v>755</v>
      </c>
      <c r="GI70" s="35" t="s">
        <v>755</v>
      </c>
      <c r="GJ70" s="35" t="s">
        <v>946</v>
      </c>
      <c r="GN70" s="35" t="s">
        <v>1079</v>
      </c>
    </row>
    <row r="71">
      <c r="A71" s="40"/>
      <c r="B71" s="40">
        <v>45827.154774386574</v>
      </c>
      <c r="C71" s="35" t="s">
        <v>368</v>
      </c>
      <c r="D71" s="35" t="s">
        <v>1201</v>
      </c>
      <c r="E71" s="35" t="s">
        <v>1201</v>
      </c>
      <c r="F71" s="35" t="s">
        <v>1202</v>
      </c>
      <c r="H71" s="35" t="s">
        <v>422</v>
      </c>
      <c r="I71" s="35" t="s">
        <v>1203</v>
      </c>
      <c r="J71" s="35" t="s">
        <v>638</v>
      </c>
      <c r="K71" s="35" t="s">
        <v>1204</v>
      </c>
      <c r="L71" s="35" t="s">
        <v>376</v>
      </c>
      <c r="M71" s="35" t="s">
        <v>379</v>
      </c>
      <c r="N71" s="35" t="s">
        <v>1205</v>
      </c>
      <c r="O71" s="35" t="s">
        <v>379</v>
      </c>
      <c r="P71" s="35" t="s">
        <v>497</v>
      </c>
      <c r="Q71" s="35" t="s">
        <v>592</v>
      </c>
      <c r="R71" s="35" t="s">
        <v>382</v>
      </c>
      <c r="S71" s="35" t="s">
        <v>949</v>
      </c>
      <c r="T71" s="35" t="s">
        <v>384</v>
      </c>
      <c r="U71" s="35" t="s">
        <v>385</v>
      </c>
      <c r="X71" s="35" t="s">
        <v>386</v>
      </c>
      <c r="Y71" s="35" t="s">
        <v>387</v>
      </c>
      <c r="Z71" s="35" t="s">
        <v>542</v>
      </c>
      <c r="AA71" s="35" t="s">
        <v>543</v>
      </c>
      <c r="AB71" s="35" t="s">
        <v>1206</v>
      </c>
      <c r="AC71" s="35" t="s">
        <v>1207</v>
      </c>
      <c r="AW71" s="35" t="s">
        <v>390</v>
      </c>
      <c r="AX71" s="35" t="s">
        <v>391</v>
      </c>
      <c r="AY71" s="35" t="s">
        <v>391</v>
      </c>
      <c r="AZ71" s="35" t="s">
        <v>391</v>
      </c>
      <c r="BA71" s="35" t="s">
        <v>391</v>
      </c>
      <c r="BB71" s="35" t="s">
        <v>391</v>
      </c>
      <c r="BC71" s="35" t="s">
        <v>391</v>
      </c>
      <c r="BD71" s="35" t="s">
        <v>1208</v>
      </c>
      <c r="BE71" s="35" t="s">
        <v>1209</v>
      </c>
      <c r="BF71" s="35" t="s">
        <v>392</v>
      </c>
      <c r="BG71" s="35" t="s">
        <v>1047</v>
      </c>
      <c r="BH71" s="35" t="s">
        <v>725</v>
      </c>
      <c r="BI71" s="35" t="s">
        <v>1210</v>
      </c>
      <c r="BJ71" s="35" t="s">
        <v>824</v>
      </c>
      <c r="BK71" s="35" t="s">
        <v>1211</v>
      </c>
      <c r="BL71" s="35" t="s">
        <v>437</v>
      </c>
      <c r="BM71" s="35" t="s">
        <v>396</v>
      </c>
      <c r="BN71" s="35" t="s">
        <v>549</v>
      </c>
      <c r="BO71" s="35" t="s">
        <v>440</v>
      </c>
      <c r="CM71" s="35" t="s">
        <v>441</v>
      </c>
      <c r="CN71" s="35" t="s">
        <v>604</v>
      </c>
      <c r="CO71" s="35" t="s">
        <v>1212</v>
      </c>
      <c r="CP71" s="35" t="s">
        <v>1213</v>
      </c>
      <c r="CQ71" s="35" t="s">
        <v>445</v>
      </c>
      <c r="CR71" s="35" t="s">
        <v>1214</v>
      </c>
      <c r="CS71" s="35" t="s">
        <v>404</v>
      </c>
      <c r="CT71" s="35" t="s">
        <v>1215</v>
      </c>
      <c r="CU71" s="35" t="s">
        <v>1216</v>
      </c>
      <c r="CV71" s="35" t="s">
        <v>450</v>
      </c>
      <c r="CW71" s="35" t="s">
        <v>451</v>
      </c>
      <c r="CX71" s="35" t="s">
        <v>1217</v>
      </c>
      <c r="CY71" s="35" t="s">
        <v>408</v>
      </c>
      <c r="CZ71" s="35" t="s">
        <v>1211</v>
      </c>
      <c r="DA71" s="35" t="s">
        <v>453</v>
      </c>
      <c r="DB71" s="35" t="s">
        <v>1218</v>
      </c>
      <c r="DC71" s="35" t="s">
        <v>408</v>
      </c>
      <c r="DD71" s="35" t="s">
        <v>1211</v>
      </c>
      <c r="DE71" s="35" t="s">
        <v>988</v>
      </c>
      <c r="DF71" s="35" t="s">
        <v>407</v>
      </c>
      <c r="DG71" s="35" t="s">
        <v>1219</v>
      </c>
      <c r="DH71" s="35" t="s">
        <v>524</v>
      </c>
      <c r="DI71" s="35" t="s">
        <v>1220</v>
      </c>
      <c r="DJ71" s="35" t="s">
        <v>459</v>
      </c>
      <c r="DK71" s="35" t="s">
        <v>460</v>
      </c>
      <c r="DL71" s="35" t="s">
        <v>461</v>
      </c>
      <c r="DN71" s="35" t="s">
        <v>1221</v>
      </c>
      <c r="DO71" s="35" t="s">
        <v>1222</v>
      </c>
      <c r="DP71" s="35" t="s">
        <v>464</v>
      </c>
      <c r="DQ71" s="35" t="s">
        <v>1223</v>
      </c>
      <c r="DR71" s="35" t="s">
        <v>1176</v>
      </c>
      <c r="DS71" s="35" t="s">
        <v>1224</v>
      </c>
      <c r="DT71" s="35" t="s">
        <v>618</v>
      </c>
      <c r="DU71" s="35" t="s">
        <v>703</v>
      </c>
      <c r="DV71" s="35" t="s">
        <v>1225</v>
      </c>
      <c r="DW71" s="35" t="s">
        <v>1226</v>
      </c>
      <c r="DX71" s="35" t="s">
        <v>573</v>
      </c>
      <c r="DY71" s="35" t="s">
        <v>1227</v>
      </c>
      <c r="DZ71" s="35" t="s">
        <v>1228</v>
      </c>
      <c r="EA71" s="35" t="s">
        <v>1229</v>
      </c>
      <c r="EB71" s="35" t="s">
        <v>475</v>
      </c>
      <c r="EC71" s="35" t="s">
        <v>845</v>
      </c>
      <c r="ED71" s="35" t="s">
        <v>1230</v>
      </c>
      <c r="EU71" s="35" t="s">
        <v>578</v>
      </c>
      <c r="EV71" s="35" t="s">
        <v>1037</v>
      </c>
      <c r="EW71" s="35" t="s">
        <v>480</v>
      </c>
      <c r="EX71" s="35" t="s">
        <v>1231</v>
      </c>
      <c r="EY71" s="35" t="s">
        <v>1232</v>
      </c>
      <c r="EZ71" s="35" t="s">
        <v>1233</v>
      </c>
      <c r="FA71" s="35" t="s">
        <v>414</v>
      </c>
      <c r="FB71" s="35" t="s">
        <v>414</v>
      </c>
      <c r="FC71" s="35" t="s">
        <v>413</v>
      </c>
      <c r="FD71" s="35" t="s">
        <v>413</v>
      </c>
      <c r="FE71" s="35" t="s">
        <v>413</v>
      </c>
      <c r="FF71" s="35" t="s">
        <v>414</v>
      </c>
      <c r="FG71" s="35" t="s">
        <v>416</v>
      </c>
      <c r="FH71" s="35" t="s">
        <v>413</v>
      </c>
      <c r="FI71" s="35" t="s">
        <v>413</v>
      </c>
      <c r="FJ71" s="35" t="s">
        <v>416</v>
      </c>
      <c r="FK71" s="35" t="s">
        <v>416</v>
      </c>
      <c r="FL71" s="35" t="s">
        <v>415</v>
      </c>
      <c r="FM71" s="35" t="s">
        <v>415</v>
      </c>
      <c r="FN71" s="35" t="s">
        <v>416</v>
      </c>
      <c r="FO71" s="35" t="s">
        <v>414</v>
      </c>
      <c r="FP71" s="35" t="s">
        <v>1074</v>
      </c>
      <c r="FQ71" s="35" t="s">
        <v>418</v>
      </c>
      <c r="FR71" s="35" t="s">
        <v>712</v>
      </c>
      <c r="FS71" s="35" t="s">
        <v>1234</v>
      </c>
      <c r="FT71" s="35" t="s">
        <v>420</v>
      </c>
      <c r="FU71" s="35" t="s">
        <v>488</v>
      </c>
      <c r="FV71" s="35" t="s">
        <v>1235</v>
      </c>
      <c r="FW71" s="35" t="s">
        <v>490</v>
      </c>
      <c r="FX71" s="35" t="s">
        <v>491</v>
      </c>
      <c r="FY71" s="35" t="s">
        <v>1236</v>
      </c>
      <c r="FZ71" s="35" t="s">
        <v>535</v>
      </c>
      <c r="GA71" s="35" t="s">
        <v>1237</v>
      </c>
      <c r="GB71" s="35" t="s">
        <v>1238</v>
      </c>
      <c r="GC71" s="35" t="s">
        <v>455</v>
      </c>
      <c r="GD71" s="35" t="s">
        <v>11671</v>
      </c>
      <c r="GE71" s="35" t="s">
        <v>11672</v>
      </c>
      <c r="GF71" s="35" t="s">
        <v>753</v>
      </c>
      <c r="GG71" s="35" t="s">
        <v>1239</v>
      </c>
      <c r="GH71" s="35" t="s">
        <v>857</v>
      </c>
      <c r="GI71" s="35" t="s">
        <v>857</v>
      </c>
      <c r="GJ71" s="35" t="s">
        <v>946</v>
      </c>
      <c r="GN71" s="35" t="s">
        <v>1079</v>
      </c>
    </row>
    <row r="72">
      <c r="A72" s="40"/>
      <c r="B72" s="40">
        <v>45827.22959027778</v>
      </c>
      <c r="C72" s="35" t="s">
        <v>368</v>
      </c>
      <c r="D72" s="35" t="s">
        <v>1267</v>
      </c>
      <c r="E72" s="35" t="s">
        <v>1268</v>
      </c>
      <c r="H72" s="35" t="s">
        <v>1269</v>
      </c>
      <c r="I72" s="35" t="s">
        <v>373</v>
      </c>
      <c r="J72" s="35" t="s">
        <v>374</v>
      </c>
      <c r="K72" s="35" t="s">
        <v>669</v>
      </c>
      <c r="L72" s="35" t="s">
        <v>376</v>
      </c>
      <c r="M72" s="35" t="s">
        <v>670</v>
      </c>
      <c r="N72" s="35" t="s">
        <v>1270</v>
      </c>
      <c r="O72" s="35" t="s">
        <v>591</v>
      </c>
      <c r="P72" s="35" t="s">
        <v>11673</v>
      </c>
      <c r="Q72" s="35" t="s">
        <v>498</v>
      </c>
      <c r="R72" s="35" t="s">
        <v>862</v>
      </c>
      <c r="S72" s="35" t="s">
        <v>500</v>
      </c>
      <c r="T72" s="35" t="s">
        <v>384</v>
      </c>
      <c r="U72" s="35" t="s">
        <v>385</v>
      </c>
      <c r="X72" s="35" t="s">
        <v>428</v>
      </c>
      <c r="AW72" s="35" t="s">
        <v>504</v>
      </c>
      <c r="AX72" s="35" t="s">
        <v>429</v>
      </c>
      <c r="AY72" s="35" t="s">
        <v>429</v>
      </c>
      <c r="AZ72" s="35" t="s">
        <v>429</v>
      </c>
      <c r="BA72" s="35" t="s">
        <v>429</v>
      </c>
      <c r="BB72" s="35" t="s">
        <v>429</v>
      </c>
      <c r="BC72" s="35" t="s">
        <v>429</v>
      </c>
      <c r="BD72" s="35" t="s">
        <v>11674</v>
      </c>
      <c r="BE72" s="35" t="s">
        <v>11675</v>
      </c>
      <c r="BF72" s="35" t="s">
        <v>392</v>
      </c>
      <c r="BG72" s="35" t="s">
        <v>433</v>
      </c>
      <c r="BH72" s="35" t="s">
        <v>678</v>
      </c>
      <c r="BI72" s="35" t="s">
        <v>11676</v>
      </c>
      <c r="BJ72" s="35" t="s">
        <v>509</v>
      </c>
      <c r="BK72" s="35" t="s">
        <v>11677</v>
      </c>
      <c r="BL72" s="35" t="s">
        <v>511</v>
      </c>
      <c r="BM72" s="35" t="s">
        <v>904</v>
      </c>
      <c r="BN72" s="35" t="s">
        <v>1276</v>
      </c>
      <c r="BO72" s="35" t="s">
        <v>440</v>
      </c>
      <c r="CM72" s="35" t="s">
        <v>550</v>
      </c>
      <c r="CN72" s="35" t="s">
        <v>442</v>
      </c>
      <c r="CO72" s="35" t="s">
        <v>11678</v>
      </c>
      <c r="CP72" s="35" t="s">
        <v>11679</v>
      </c>
      <c r="CQ72" s="35" t="s">
        <v>445</v>
      </c>
      <c r="CR72" s="35" t="s">
        <v>11680</v>
      </c>
      <c r="CS72" s="35" t="s">
        <v>804</v>
      </c>
      <c r="CT72" s="35" t="s">
        <v>1280</v>
      </c>
      <c r="CU72" s="35" t="s">
        <v>11681</v>
      </c>
      <c r="CV72" s="35" t="s">
        <v>450</v>
      </c>
      <c r="CW72" s="35" t="s">
        <v>451</v>
      </c>
      <c r="CX72" s="35" t="s">
        <v>11682</v>
      </c>
      <c r="CY72" s="35" t="s">
        <v>455</v>
      </c>
      <c r="CZ72" s="35" t="s">
        <v>1283</v>
      </c>
      <c r="DA72" s="35" t="s">
        <v>453</v>
      </c>
      <c r="DB72" s="35" t="s">
        <v>11683</v>
      </c>
      <c r="DC72" s="35" t="s">
        <v>455</v>
      </c>
      <c r="DD72" s="35" t="s">
        <v>11684</v>
      </c>
      <c r="DE72" s="35" t="s">
        <v>457</v>
      </c>
      <c r="DG72" s="35" t="s">
        <v>11685</v>
      </c>
      <c r="DH72" s="35" t="s">
        <v>561</v>
      </c>
      <c r="DI72" s="35" t="s">
        <v>410</v>
      </c>
      <c r="DJ72" s="35" t="s">
        <v>963</v>
      </c>
      <c r="DK72" s="35" t="s">
        <v>460</v>
      </c>
      <c r="DL72" s="35" t="s">
        <v>563</v>
      </c>
      <c r="DM72" s="35" t="s">
        <v>11686</v>
      </c>
      <c r="DN72" s="35" t="s">
        <v>1288</v>
      </c>
      <c r="DO72" s="35" t="s">
        <v>1289</v>
      </c>
      <c r="DP72" s="35" t="s">
        <v>567</v>
      </c>
      <c r="DQ72" s="35" t="s">
        <v>1290</v>
      </c>
      <c r="DR72" s="35" t="s">
        <v>1291</v>
      </c>
      <c r="DS72" s="35" t="s">
        <v>11687</v>
      </c>
      <c r="DT72" s="35" t="s">
        <v>468</v>
      </c>
      <c r="DU72" s="35" t="s">
        <v>703</v>
      </c>
      <c r="DV72" s="35" t="s">
        <v>11688</v>
      </c>
      <c r="DW72" s="35" t="s">
        <v>408</v>
      </c>
      <c r="DX72" s="35" t="s">
        <v>573</v>
      </c>
      <c r="DY72" s="35" t="s">
        <v>11689</v>
      </c>
      <c r="DZ72" s="35" t="s">
        <v>11690</v>
      </c>
      <c r="EA72" s="35" t="s">
        <v>11691</v>
      </c>
      <c r="EB72" s="35" t="s">
        <v>475</v>
      </c>
      <c r="EC72" s="35" t="s">
        <v>845</v>
      </c>
      <c r="ED72" s="35" t="s">
        <v>11692</v>
      </c>
      <c r="EU72" s="35" t="s">
        <v>526</v>
      </c>
      <c r="EV72" s="35" t="s">
        <v>579</v>
      </c>
      <c r="EW72" s="35" t="s">
        <v>527</v>
      </c>
      <c r="EX72" s="35" t="s">
        <v>11693</v>
      </c>
      <c r="EY72" s="35" t="s">
        <v>11694</v>
      </c>
      <c r="EZ72" s="35" t="s">
        <v>11695</v>
      </c>
      <c r="FA72" s="35" t="s">
        <v>415</v>
      </c>
      <c r="FB72" s="35" t="s">
        <v>415</v>
      </c>
      <c r="FC72" s="35" t="s">
        <v>415</v>
      </c>
      <c r="FD72" s="35" t="s">
        <v>415</v>
      </c>
      <c r="FE72" s="35" t="s">
        <v>415</v>
      </c>
      <c r="FF72" s="35" t="s">
        <v>415</v>
      </c>
      <c r="FG72" s="35" t="s">
        <v>415</v>
      </c>
      <c r="FH72" s="35" t="s">
        <v>415</v>
      </c>
      <c r="FI72" s="35" t="s">
        <v>415</v>
      </c>
      <c r="FJ72" s="35" t="s">
        <v>415</v>
      </c>
      <c r="FK72" s="35" t="s">
        <v>415</v>
      </c>
      <c r="FL72" s="35" t="s">
        <v>415</v>
      </c>
      <c r="FM72" s="35" t="s">
        <v>415</v>
      </c>
      <c r="FN72" s="35" t="s">
        <v>415</v>
      </c>
      <c r="FO72" s="35" t="s">
        <v>415</v>
      </c>
      <c r="FP72" s="35" t="s">
        <v>417</v>
      </c>
      <c r="FQ72" s="35" t="s">
        <v>418</v>
      </c>
      <c r="FR72" s="35" t="s">
        <v>749</v>
      </c>
      <c r="FS72" s="35" t="s">
        <v>11696</v>
      </c>
      <c r="FT72" s="35" t="s">
        <v>420</v>
      </c>
      <c r="FU72" s="35" t="s">
        <v>488</v>
      </c>
      <c r="FV72" s="35" t="s">
        <v>585</v>
      </c>
      <c r="FW72" s="35" t="s">
        <v>490</v>
      </c>
      <c r="FX72" s="35" t="s">
        <v>491</v>
      </c>
      <c r="FY72" s="35" t="s">
        <v>11697</v>
      </c>
      <c r="FZ72" s="35" t="s">
        <v>535</v>
      </c>
      <c r="GA72" s="35" t="s">
        <v>11698</v>
      </c>
      <c r="GB72" s="35" t="s">
        <v>11699</v>
      </c>
      <c r="GC72" s="35" t="s">
        <v>455</v>
      </c>
      <c r="GE72" s="35" t="s">
        <v>1305</v>
      </c>
      <c r="GF72" s="35" t="s">
        <v>944</v>
      </c>
      <c r="GG72" s="35" t="s">
        <v>11700</v>
      </c>
      <c r="GH72" s="35" t="s">
        <v>755</v>
      </c>
      <c r="GI72" s="35" t="s">
        <v>755</v>
      </c>
      <c r="GJ72" s="35" t="s">
        <v>946</v>
      </c>
      <c r="GN72" s="35" t="s">
        <v>1079</v>
      </c>
    </row>
    <row r="73">
      <c r="A73" s="40"/>
      <c r="B73" s="40">
        <v>45827.23603613426</v>
      </c>
      <c r="C73" s="35" t="s">
        <v>368</v>
      </c>
      <c r="D73" s="35" t="s">
        <v>370</v>
      </c>
      <c r="F73" s="35" t="s">
        <v>757</v>
      </c>
      <c r="H73" s="35" t="s">
        <v>422</v>
      </c>
      <c r="I73" s="35" t="s">
        <v>1307</v>
      </c>
      <c r="J73" s="35" t="s">
        <v>668</v>
      </c>
      <c r="K73" s="35" t="s">
        <v>540</v>
      </c>
      <c r="L73" s="35" t="s">
        <v>376</v>
      </c>
      <c r="M73" s="35" t="s">
        <v>379</v>
      </c>
      <c r="N73" s="35" t="s">
        <v>720</v>
      </c>
      <c r="O73" s="35" t="s">
        <v>377</v>
      </c>
      <c r="P73" s="35" t="s">
        <v>497</v>
      </c>
      <c r="Q73" s="35" t="s">
        <v>498</v>
      </c>
      <c r="R73" s="35" t="s">
        <v>382</v>
      </c>
      <c r="S73" s="35" t="s">
        <v>427</v>
      </c>
      <c r="T73" s="35" t="s">
        <v>384</v>
      </c>
      <c r="U73" s="35" t="s">
        <v>385</v>
      </c>
      <c r="X73" s="35" t="s">
        <v>593</v>
      </c>
      <c r="Y73" s="35" t="s">
        <v>387</v>
      </c>
      <c r="Z73" s="35" t="s">
        <v>761</v>
      </c>
      <c r="AA73" s="35" t="s">
        <v>543</v>
      </c>
      <c r="AB73" s="35" t="s">
        <v>1308</v>
      </c>
      <c r="AC73" s="35" t="s">
        <v>1309</v>
      </c>
      <c r="AW73" s="35" t="s">
        <v>1310</v>
      </c>
      <c r="AX73" s="35" t="s">
        <v>675</v>
      </c>
      <c r="AY73" s="41">
        <v>4.0</v>
      </c>
      <c r="AZ73" s="41">
        <v>4.0</v>
      </c>
      <c r="BA73" s="41">
        <v>4.0</v>
      </c>
      <c r="BB73" s="35" t="s">
        <v>675</v>
      </c>
      <c r="BC73" s="35" t="s">
        <v>675</v>
      </c>
      <c r="BD73" s="35" t="s">
        <v>1311</v>
      </c>
      <c r="BE73" s="35" t="s">
        <v>1312</v>
      </c>
      <c r="BF73" s="35" t="s">
        <v>902</v>
      </c>
      <c r="BG73" s="35" t="s">
        <v>1245</v>
      </c>
      <c r="BH73" s="35" t="s">
        <v>394</v>
      </c>
      <c r="BI73" s="35" t="s">
        <v>1313</v>
      </c>
      <c r="BJ73" s="35" t="s">
        <v>976</v>
      </c>
      <c r="BL73" s="35" t="s">
        <v>511</v>
      </c>
      <c r="BM73" s="35" t="s">
        <v>603</v>
      </c>
      <c r="BN73" s="35" t="s">
        <v>1314</v>
      </c>
      <c r="BO73" s="35" t="s">
        <v>440</v>
      </c>
      <c r="CM73" s="35" t="s">
        <v>550</v>
      </c>
      <c r="CN73" s="35" t="s">
        <v>682</v>
      </c>
      <c r="CO73" s="35" t="s">
        <v>1315</v>
      </c>
      <c r="CP73" s="35" t="s">
        <v>11701</v>
      </c>
      <c r="CQ73" s="35" t="s">
        <v>685</v>
      </c>
      <c r="CR73" s="35" t="s">
        <v>516</v>
      </c>
      <c r="CS73" s="35" t="s">
        <v>404</v>
      </c>
      <c r="CT73" s="35" t="s">
        <v>871</v>
      </c>
      <c r="CU73" s="35" t="s">
        <v>11702</v>
      </c>
      <c r="CV73" s="35" t="s">
        <v>450</v>
      </c>
      <c r="CW73" s="35" t="s">
        <v>451</v>
      </c>
      <c r="CX73" s="35" t="s">
        <v>1318</v>
      </c>
      <c r="CY73" s="35" t="s">
        <v>455</v>
      </c>
      <c r="CZ73" s="35" t="s">
        <v>1319</v>
      </c>
      <c r="DA73" s="35" t="s">
        <v>453</v>
      </c>
      <c r="DB73" s="35" t="s">
        <v>1320</v>
      </c>
      <c r="DC73" s="35" t="s">
        <v>408</v>
      </c>
      <c r="DE73" s="35" t="s">
        <v>662</v>
      </c>
      <c r="DG73" s="35" t="s">
        <v>1321</v>
      </c>
      <c r="DH73" s="35" t="s">
        <v>990</v>
      </c>
      <c r="DI73" s="35" t="s">
        <v>410</v>
      </c>
      <c r="DJ73" s="35" t="s">
        <v>963</v>
      </c>
      <c r="DK73" s="35" t="s">
        <v>613</v>
      </c>
      <c r="DN73" s="35" t="s">
        <v>462</v>
      </c>
      <c r="DO73" s="35" t="s">
        <v>1322</v>
      </c>
      <c r="DP73" s="35" t="s">
        <v>1063</v>
      </c>
      <c r="DQ73" s="35" t="s">
        <v>1323</v>
      </c>
      <c r="DR73" s="35" t="s">
        <v>1324</v>
      </c>
      <c r="DS73" s="35" t="s">
        <v>1325</v>
      </c>
      <c r="DT73" s="35" t="s">
        <v>839</v>
      </c>
      <c r="DU73" s="35" t="s">
        <v>619</v>
      </c>
      <c r="DV73" s="35" t="s">
        <v>1326</v>
      </c>
      <c r="DW73" s="35" t="s">
        <v>1327</v>
      </c>
      <c r="DX73" s="35" t="s">
        <v>1328</v>
      </c>
      <c r="DY73" s="35" t="s">
        <v>1329</v>
      </c>
      <c r="DZ73" s="35" t="s">
        <v>1330</v>
      </c>
      <c r="EA73" s="35" t="s">
        <v>1331</v>
      </c>
      <c r="EB73" s="35" t="s">
        <v>475</v>
      </c>
      <c r="EC73" s="35" t="s">
        <v>845</v>
      </c>
      <c r="ED73" s="35" t="s">
        <v>408</v>
      </c>
      <c r="EU73" s="35" t="s">
        <v>526</v>
      </c>
      <c r="EV73" s="35" t="s">
        <v>479</v>
      </c>
      <c r="EW73" s="35" t="s">
        <v>480</v>
      </c>
      <c r="EX73" s="35" t="s">
        <v>1332</v>
      </c>
      <c r="EY73" s="35" t="s">
        <v>11703</v>
      </c>
      <c r="EZ73" s="35" t="s">
        <v>1334</v>
      </c>
      <c r="FA73" s="35" t="s">
        <v>583</v>
      </c>
      <c r="FB73" s="35" t="s">
        <v>583</v>
      </c>
      <c r="FC73" s="35" t="s">
        <v>484</v>
      </c>
      <c r="FD73" s="35" t="s">
        <v>414</v>
      </c>
      <c r="FE73" s="35" t="s">
        <v>413</v>
      </c>
      <c r="FF73" s="35" t="s">
        <v>583</v>
      </c>
      <c r="FG73" s="35" t="s">
        <v>484</v>
      </c>
      <c r="FH73" s="35" t="s">
        <v>583</v>
      </c>
      <c r="FI73" s="35" t="s">
        <v>413</v>
      </c>
      <c r="FJ73" s="35" t="s">
        <v>583</v>
      </c>
      <c r="FK73" s="35" t="s">
        <v>415</v>
      </c>
      <c r="FL73" s="35" t="s">
        <v>583</v>
      </c>
      <c r="FM73" s="35" t="s">
        <v>583</v>
      </c>
      <c r="FN73" s="35" t="s">
        <v>583</v>
      </c>
      <c r="FO73" s="35" t="s">
        <v>484</v>
      </c>
      <c r="FP73" s="35" t="s">
        <v>850</v>
      </c>
      <c r="FQ73" s="35" t="s">
        <v>418</v>
      </c>
      <c r="FR73" s="35" t="s">
        <v>712</v>
      </c>
      <c r="FS73" s="35" t="s">
        <v>1335</v>
      </c>
      <c r="FT73" s="35" t="s">
        <v>420</v>
      </c>
      <c r="FU73" s="35" t="s">
        <v>488</v>
      </c>
      <c r="FV73" s="35" t="s">
        <v>489</v>
      </c>
      <c r="FW73" s="35" t="s">
        <v>490</v>
      </c>
      <c r="FX73" s="35" t="s">
        <v>491</v>
      </c>
      <c r="FY73" s="35" t="s">
        <v>1336</v>
      </c>
      <c r="FZ73" s="35" t="s">
        <v>1337</v>
      </c>
      <c r="GB73" s="35" t="s">
        <v>11704</v>
      </c>
      <c r="GC73" s="35" t="s">
        <v>455</v>
      </c>
      <c r="GD73" s="35" t="s">
        <v>11705</v>
      </c>
      <c r="GF73" s="35" t="s">
        <v>1339</v>
      </c>
      <c r="GG73" s="35" t="s">
        <v>11706</v>
      </c>
      <c r="GH73" s="35" t="s">
        <v>1000</v>
      </c>
      <c r="GI73" s="35" t="s">
        <v>1000</v>
      </c>
      <c r="GJ73" s="35" t="s">
        <v>756</v>
      </c>
      <c r="GN73" s="35" t="s">
        <v>1079</v>
      </c>
    </row>
    <row r="74">
      <c r="A74" s="40"/>
      <c r="B74" s="40">
        <v>45827.238532777774</v>
      </c>
      <c r="C74" s="35" t="s">
        <v>368</v>
      </c>
      <c r="D74" s="35" t="s">
        <v>1341</v>
      </c>
      <c r="E74" s="35" t="s">
        <v>1341</v>
      </c>
      <c r="H74" s="35" t="s">
        <v>422</v>
      </c>
      <c r="I74" s="35" t="s">
        <v>637</v>
      </c>
      <c r="J74" s="35" t="s">
        <v>638</v>
      </c>
      <c r="K74" s="35" t="s">
        <v>590</v>
      </c>
      <c r="L74" s="35" t="s">
        <v>376</v>
      </c>
      <c r="M74" s="35" t="s">
        <v>396</v>
      </c>
      <c r="O74" s="35" t="s">
        <v>396</v>
      </c>
      <c r="Q74" s="35" t="s">
        <v>592</v>
      </c>
      <c r="R74" s="35" t="s">
        <v>1342</v>
      </c>
      <c r="S74" s="35" t="s">
        <v>427</v>
      </c>
      <c r="T74" s="35" t="s">
        <v>384</v>
      </c>
      <c r="U74" s="35" t="s">
        <v>385</v>
      </c>
      <c r="X74" s="35" t="s">
        <v>428</v>
      </c>
      <c r="AW74" s="35" t="s">
        <v>390</v>
      </c>
      <c r="AX74" s="41">
        <v>4.0</v>
      </c>
      <c r="AY74" s="41">
        <v>2.0</v>
      </c>
      <c r="AZ74" s="35" t="s">
        <v>675</v>
      </c>
      <c r="BB74" s="35" t="s">
        <v>675</v>
      </c>
      <c r="BC74" s="35" t="s">
        <v>391</v>
      </c>
      <c r="BF74" s="35" t="s">
        <v>432</v>
      </c>
      <c r="BG74" s="35" t="s">
        <v>433</v>
      </c>
      <c r="BH74" s="35" t="s">
        <v>394</v>
      </c>
      <c r="BI74" s="35" t="s">
        <v>1343</v>
      </c>
      <c r="BJ74" s="35" t="s">
        <v>824</v>
      </c>
      <c r="BL74" s="35" t="s">
        <v>395</v>
      </c>
      <c r="BM74" s="35" t="s">
        <v>396</v>
      </c>
      <c r="BN74" s="35" t="s">
        <v>397</v>
      </c>
      <c r="BO74" s="35" t="s">
        <v>440</v>
      </c>
      <c r="CM74" s="35" t="s">
        <v>441</v>
      </c>
      <c r="CN74" s="35" t="s">
        <v>442</v>
      </c>
      <c r="CO74" s="35" t="s">
        <v>1344</v>
      </c>
      <c r="CP74" s="35" t="s">
        <v>1345</v>
      </c>
      <c r="CQ74" s="35" t="s">
        <v>445</v>
      </c>
      <c r="CR74" s="35" t="s">
        <v>956</v>
      </c>
      <c r="CS74" s="35" t="s">
        <v>828</v>
      </c>
      <c r="CT74" s="35" t="s">
        <v>1346</v>
      </c>
      <c r="CU74" s="35" t="s">
        <v>1347</v>
      </c>
      <c r="CV74" s="35" t="s">
        <v>450</v>
      </c>
      <c r="CW74" s="35" t="s">
        <v>451</v>
      </c>
      <c r="CX74" s="35" t="s">
        <v>1348</v>
      </c>
      <c r="CY74" s="35" t="s">
        <v>455</v>
      </c>
      <c r="CZ74" s="35" t="s">
        <v>1349</v>
      </c>
      <c r="DA74" s="35" t="s">
        <v>453</v>
      </c>
      <c r="DC74" s="35" t="s">
        <v>408</v>
      </c>
      <c r="DE74" s="35" t="s">
        <v>457</v>
      </c>
      <c r="DI74" s="35" t="s">
        <v>833</v>
      </c>
      <c r="DJ74" s="35" t="s">
        <v>963</v>
      </c>
      <c r="DK74" s="35" t="s">
        <v>613</v>
      </c>
      <c r="DN74" s="35" t="s">
        <v>1350</v>
      </c>
      <c r="DO74" s="35" t="s">
        <v>1351</v>
      </c>
      <c r="DP74" s="35" t="s">
        <v>464</v>
      </c>
      <c r="DQ74" s="35" t="s">
        <v>1352</v>
      </c>
      <c r="DR74" s="35" t="s">
        <v>700</v>
      </c>
      <c r="DS74" s="35" t="s">
        <v>1353</v>
      </c>
      <c r="DT74" s="35" t="s">
        <v>839</v>
      </c>
      <c r="DU74" s="35" t="s">
        <v>570</v>
      </c>
      <c r="DW74" s="35" t="s">
        <v>1354</v>
      </c>
      <c r="DX74" s="35" t="s">
        <v>1328</v>
      </c>
      <c r="DY74" s="35" t="s">
        <v>1355</v>
      </c>
      <c r="EA74" s="35" t="s">
        <v>1356</v>
      </c>
      <c r="EB74" s="35" t="s">
        <v>475</v>
      </c>
      <c r="EC74" s="35" t="s">
        <v>626</v>
      </c>
      <c r="ED74" s="35" t="s">
        <v>1357</v>
      </c>
      <c r="EU74" s="35" t="s">
        <v>526</v>
      </c>
      <c r="EV74" s="35" t="s">
        <v>579</v>
      </c>
      <c r="EW74" s="35" t="s">
        <v>778</v>
      </c>
      <c r="FA74" s="35" t="s">
        <v>415</v>
      </c>
      <c r="FB74" s="35" t="s">
        <v>414</v>
      </c>
      <c r="FC74" s="35" t="s">
        <v>413</v>
      </c>
      <c r="FD74" s="35" t="s">
        <v>416</v>
      </c>
      <c r="FE74" s="35" t="s">
        <v>413</v>
      </c>
      <c r="FF74" s="35" t="s">
        <v>583</v>
      </c>
      <c r="FG74" s="35" t="s">
        <v>415</v>
      </c>
      <c r="FH74" s="35" t="s">
        <v>413</v>
      </c>
      <c r="FI74" s="35" t="s">
        <v>415</v>
      </c>
      <c r="FJ74" s="35" t="s">
        <v>413</v>
      </c>
      <c r="FK74" s="35" t="s">
        <v>415</v>
      </c>
      <c r="FL74" s="35" t="s">
        <v>415</v>
      </c>
      <c r="FM74" s="35" t="s">
        <v>415</v>
      </c>
      <c r="FN74" s="35" t="s">
        <v>413</v>
      </c>
      <c r="FO74" s="35" t="s">
        <v>414</v>
      </c>
      <c r="FP74" s="35" t="s">
        <v>850</v>
      </c>
      <c r="FQ74" s="35" t="s">
        <v>418</v>
      </c>
      <c r="FR74" s="35" t="s">
        <v>1039</v>
      </c>
      <c r="FT74" s="35" t="s">
        <v>420</v>
      </c>
      <c r="FU74" s="35" t="s">
        <v>488</v>
      </c>
      <c r="FV74" s="35" t="s">
        <v>1235</v>
      </c>
      <c r="FW74" s="35" t="s">
        <v>490</v>
      </c>
      <c r="FX74" s="35" t="s">
        <v>491</v>
      </c>
      <c r="FY74" s="35" t="s">
        <v>1358</v>
      </c>
      <c r="FZ74" s="35" t="s">
        <v>535</v>
      </c>
      <c r="GA74" s="35" t="s">
        <v>1359</v>
      </c>
      <c r="GC74" s="35" t="s">
        <v>455</v>
      </c>
      <c r="GD74" s="35" t="s">
        <v>11707</v>
      </c>
      <c r="GE74" s="35" t="s">
        <v>11708</v>
      </c>
      <c r="GF74" s="35" t="s">
        <v>1339</v>
      </c>
      <c r="GG74" s="35" t="s">
        <v>467</v>
      </c>
      <c r="GH74" s="35" t="s">
        <v>857</v>
      </c>
      <c r="GI74" s="35" t="s">
        <v>857</v>
      </c>
      <c r="GJ74" s="35" t="s">
        <v>817</v>
      </c>
      <c r="GN74" s="35" t="s">
        <v>1079</v>
      </c>
    </row>
    <row r="75">
      <c r="A75" s="40"/>
      <c r="B75" s="40">
        <v>45827.245649062505</v>
      </c>
      <c r="C75" s="35" t="s">
        <v>368</v>
      </c>
      <c r="D75" s="35" t="s">
        <v>370</v>
      </c>
      <c r="F75" s="35" t="s">
        <v>371</v>
      </c>
      <c r="H75" s="35" t="s">
        <v>422</v>
      </c>
      <c r="I75" s="35" t="s">
        <v>373</v>
      </c>
      <c r="J75" s="35" t="s">
        <v>374</v>
      </c>
      <c r="K75" s="35" t="s">
        <v>718</v>
      </c>
      <c r="L75" s="35" t="s">
        <v>376</v>
      </c>
      <c r="M75" s="35" t="s">
        <v>793</v>
      </c>
      <c r="N75" s="35" t="s">
        <v>1360</v>
      </c>
      <c r="O75" s="35" t="s">
        <v>426</v>
      </c>
      <c r="P75" s="35" t="s">
        <v>720</v>
      </c>
      <c r="Q75" s="35" t="s">
        <v>498</v>
      </c>
      <c r="R75" s="35" t="s">
        <v>499</v>
      </c>
      <c r="S75" s="35" t="s">
        <v>427</v>
      </c>
      <c r="T75" s="35" t="s">
        <v>384</v>
      </c>
      <c r="U75" s="35" t="s">
        <v>385</v>
      </c>
      <c r="X75" s="35" t="s">
        <v>593</v>
      </c>
      <c r="Y75" s="35" t="s">
        <v>387</v>
      </c>
      <c r="Z75" s="35" t="s">
        <v>388</v>
      </c>
      <c r="AA75" s="35" t="s">
        <v>389</v>
      </c>
      <c r="AB75" s="35" t="s">
        <v>1361</v>
      </c>
      <c r="AW75" s="35" t="s">
        <v>504</v>
      </c>
      <c r="AX75" s="41">
        <v>2.0</v>
      </c>
      <c r="AY75" s="41">
        <v>2.0</v>
      </c>
      <c r="AZ75" s="41">
        <v>2.0</v>
      </c>
      <c r="BA75" s="41">
        <v>2.0</v>
      </c>
      <c r="BB75" s="41">
        <v>2.0</v>
      </c>
      <c r="BC75" s="41">
        <v>2.0</v>
      </c>
      <c r="BF75" s="35" t="s">
        <v>392</v>
      </c>
      <c r="BG75" s="35" t="s">
        <v>433</v>
      </c>
      <c r="BH75" s="35" t="s">
        <v>434</v>
      </c>
      <c r="BI75" s="35" t="s">
        <v>11709</v>
      </c>
      <c r="BJ75" s="35" t="s">
        <v>509</v>
      </c>
      <c r="BL75" s="35" t="s">
        <v>511</v>
      </c>
      <c r="BM75" s="35" t="s">
        <v>512</v>
      </c>
      <c r="BN75" s="35" t="s">
        <v>439</v>
      </c>
      <c r="BO75" s="35" t="s">
        <v>440</v>
      </c>
      <c r="CM75" s="35" t="s">
        <v>441</v>
      </c>
      <c r="CN75" s="35" t="s">
        <v>604</v>
      </c>
      <c r="CO75" s="35" t="s">
        <v>552</v>
      </c>
      <c r="CP75" s="35" t="s">
        <v>1363</v>
      </c>
      <c r="CQ75" s="35" t="s">
        <v>445</v>
      </c>
      <c r="CR75" s="35" t="s">
        <v>1364</v>
      </c>
      <c r="CS75" s="35" t="s">
        <v>447</v>
      </c>
      <c r="CT75" s="35" t="s">
        <v>1137</v>
      </c>
      <c r="CU75" s="35" t="s">
        <v>1365</v>
      </c>
      <c r="CV75" s="35" t="s">
        <v>519</v>
      </c>
      <c r="CW75" s="35" t="s">
        <v>451</v>
      </c>
      <c r="CX75" s="35" t="s">
        <v>11710</v>
      </c>
      <c r="CY75" s="35" t="s">
        <v>408</v>
      </c>
      <c r="DA75" s="35" t="s">
        <v>453</v>
      </c>
      <c r="DB75" s="35" t="s">
        <v>1367</v>
      </c>
      <c r="DC75" s="35" t="s">
        <v>455</v>
      </c>
      <c r="DE75" s="35" t="s">
        <v>406</v>
      </c>
      <c r="DF75" s="35" t="s">
        <v>1368</v>
      </c>
      <c r="DG75" s="35" t="s">
        <v>1369</v>
      </c>
      <c r="DH75" s="35" t="s">
        <v>561</v>
      </c>
      <c r="DI75" s="35" t="s">
        <v>410</v>
      </c>
      <c r="DJ75" s="35" t="s">
        <v>459</v>
      </c>
      <c r="DK75" s="35" t="s">
        <v>613</v>
      </c>
      <c r="DN75" s="35" t="s">
        <v>1370</v>
      </c>
      <c r="DO75" s="35" t="s">
        <v>1371</v>
      </c>
      <c r="DP75" s="35" t="s">
        <v>1063</v>
      </c>
      <c r="DQ75" s="35" t="s">
        <v>1372</v>
      </c>
      <c r="DR75" s="35" t="s">
        <v>700</v>
      </c>
      <c r="DS75" s="35" t="s">
        <v>1373</v>
      </c>
      <c r="DT75" s="35" t="s">
        <v>702</v>
      </c>
      <c r="DU75" s="35" t="s">
        <v>703</v>
      </c>
      <c r="DV75" s="35" t="s">
        <v>1374</v>
      </c>
      <c r="DW75" s="35" t="s">
        <v>1375</v>
      </c>
      <c r="DX75" s="35" t="s">
        <v>1328</v>
      </c>
      <c r="DY75" s="35" t="s">
        <v>1376</v>
      </c>
      <c r="DZ75" s="35" t="s">
        <v>1377</v>
      </c>
      <c r="EA75" s="35" t="s">
        <v>11711</v>
      </c>
      <c r="EB75" s="35" t="s">
        <v>475</v>
      </c>
      <c r="EC75" s="35" t="s">
        <v>845</v>
      </c>
      <c r="EU75" s="35" t="s">
        <v>526</v>
      </c>
      <c r="EV75" s="35" t="s">
        <v>579</v>
      </c>
      <c r="EW75" s="35" t="s">
        <v>1262</v>
      </c>
      <c r="EY75" s="35" t="s">
        <v>1379</v>
      </c>
      <c r="EZ75" s="35" t="s">
        <v>1380</v>
      </c>
      <c r="FA75" s="35" t="s">
        <v>416</v>
      </c>
      <c r="FB75" s="35" t="s">
        <v>416</v>
      </c>
      <c r="FC75" s="35" t="s">
        <v>583</v>
      </c>
      <c r="FD75" s="35" t="s">
        <v>416</v>
      </c>
      <c r="FE75" s="35" t="s">
        <v>415</v>
      </c>
      <c r="FF75" s="35" t="s">
        <v>416</v>
      </c>
      <c r="FG75" s="35" t="s">
        <v>415</v>
      </c>
      <c r="FH75" s="35" t="s">
        <v>414</v>
      </c>
      <c r="FI75" s="35" t="s">
        <v>416</v>
      </c>
      <c r="FJ75" s="35" t="s">
        <v>415</v>
      </c>
      <c r="FK75" s="35" t="s">
        <v>415</v>
      </c>
      <c r="FL75" s="35" t="s">
        <v>415</v>
      </c>
      <c r="FM75" s="35" t="s">
        <v>415</v>
      </c>
      <c r="FN75" s="35" t="s">
        <v>414</v>
      </c>
      <c r="FO75" s="35" t="s">
        <v>416</v>
      </c>
      <c r="FP75" s="35" t="s">
        <v>417</v>
      </c>
      <c r="FQ75" s="35" t="s">
        <v>418</v>
      </c>
      <c r="FR75" s="35" t="s">
        <v>419</v>
      </c>
      <c r="FT75" s="35" t="s">
        <v>420</v>
      </c>
      <c r="FU75" s="35" t="s">
        <v>488</v>
      </c>
      <c r="FV75" s="35" t="s">
        <v>918</v>
      </c>
      <c r="FW75" s="35" t="s">
        <v>490</v>
      </c>
      <c r="FX75" s="35" t="s">
        <v>491</v>
      </c>
      <c r="FY75" s="35" t="s">
        <v>1381</v>
      </c>
      <c r="FZ75" s="35" t="s">
        <v>535</v>
      </c>
      <c r="GC75" s="35" t="s">
        <v>455</v>
      </c>
      <c r="GD75" s="35" t="s">
        <v>11712</v>
      </c>
      <c r="GF75" s="35" t="s">
        <v>753</v>
      </c>
      <c r="GH75" s="35" t="s">
        <v>755</v>
      </c>
      <c r="GI75" s="35" t="s">
        <v>755</v>
      </c>
      <c r="GJ75" s="35" t="s">
        <v>817</v>
      </c>
      <c r="GN75" s="35" t="s">
        <v>1079</v>
      </c>
    </row>
    <row r="76">
      <c r="A76" s="40"/>
      <c r="B76" s="40">
        <v>45827.372200185186</v>
      </c>
      <c r="C76" s="35" t="s">
        <v>368</v>
      </c>
      <c r="D76" s="35" t="s">
        <v>370</v>
      </c>
      <c r="F76" s="35" t="s">
        <v>1382</v>
      </c>
      <c r="H76" s="35" t="s">
        <v>422</v>
      </c>
      <c r="I76" s="35" t="s">
        <v>373</v>
      </c>
      <c r="J76" s="35" t="s">
        <v>374</v>
      </c>
      <c r="K76" s="35" t="s">
        <v>425</v>
      </c>
      <c r="L76" s="35" t="s">
        <v>1383</v>
      </c>
      <c r="M76" s="35" t="s">
        <v>379</v>
      </c>
      <c r="N76" s="35" t="s">
        <v>1384</v>
      </c>
      <c r="O76" s="35" t="s">
        <v>426</v>
      </c>
      <c r="P76" s="35" t="s">
        <v>1385</v>
      </c>
      <c r="Q76" s="35" t="s">
        <v>381</v>
      </c>
      <c r="R76" s="35" t="s">
        <v>1156</v>
      </c>
      <c r="S76" s="35" t="s">
        <v>795</v>
      </c>
      <c r="T76" s="35" t="s">
        <v>384</v>
      </c>
      <c r="U76" s="35" t="s">
        <v>385</v>
      </c>
      <c r="X76" s="35" t="s">
        <v>593</v>
      </c>
      <c r="Y76" s="35" t="s">
        <v>387</v>
      </c>
      <c r="Z76" s="35" t="s">
        <v>594</v>
      </c>
      <c r="AA76" s="35" t="s">
        <v>502</v>
      </c>
      <c r="AB76" s="35" t="s">
        <v>1386</v>
      </c>
      <c r="AC76" s="35" t="s">
        <v>11713</v>
      </c>
      <c r="AW76" s="35" t="s">
        <v>1310</v>
      </c>
      <c r="AX76" s="41">
        <v>4.0</v>
      </c>
      <c r="AY76" s="35" t="s">
        <v>391</v>
      </c>
      <c r="AZ76" s="35" t="s">
        <v>675</v>
      </c>
      <c r="BA76" s="41">
        <v>4.0</v>
      </c>
      <c r="BB76" s="35" t="s">
        <v>391</v>
      </c>
      <c r="BC76" s="41">
        <v>4.0</v>
      </c>
      <c r="BD76" s="35" t="s">
        <v>1388</v>
      </c>
      <c r="BE76" s="35" t="s">
        <v>1389</v>
      </c>
      <c r="BF76" s="35" t="s">
        <v>392</v>
      </c>
      <c r="BG76" s="35" t="s">
        <v>393</v>
      </c>
      <c r="BH76" s="35" t="s">
        <v>725</v>
      </c>
      <c r="BI76" s="35" t="s">
        <v>1390</v>
      </c>
      <c r="BJ76" s="35" t="s">
        <v>509</v>
      </c>
      <c r="BK76" s="35" t="s">
        <v>1391</v>
      </c>
      <c r="BL76" s="35" t="s">
        <v>437</v>
      </c>
      <c r="BM76" s="35" t="s">
        <v>904</v>
      </c>
      <c r="BN76" s="35" t="s">
        <v>397</v>
      </c>
      <c r="BO76" s="35" t="s">
        <v>440</v>
      </c>
      <c r="CM76" s="35" t="s">
        <v>441</v>
      </c>
      <c r="CN76" s="35" t="s">
        <v>442</v>
      </c>
      <c r="CO76" s="35" t="s">
        <v>1392</v>
      </c>
      <c r="CP76" s="35" t="s">
        <v>11714</v>
      </c>
      <c r="CQ76" s="35" t="s">
        <v>403</v>
      </c>
      <c r="CR76" s="35" t="s">
        <v>1394</v>
      </c>
      <c r="CS76" s="35" t="s">
        <v>404</v>
      </c>
      <c r="CT76" s="35" t="s">
        <v>1395</v>
      </c>
      <c r="CU76" s="35" t="s">
        <v>1396</v>
      </c>
      <c r="CV76" s="35" t="s">
        <v>519</v>
      </c>
      <c r="CW76" s="35" t="s">
        <v>451</v>
      </c>
      <c r="CX76" s="35" t="s">
        <v>11715</v>
      </c>
      <c r="CY76" s="35" t="s">
        <v>408</v>
      </c>
      <c r="DA76" s="35" t="s">
        <v>1398</v>
      </c>
      <c r="DB76" s="35" t="s">
        <v>1399</v>
      </c>
      <c r="DC76" s="35" t="s">
        <v>913</v>
      </c>
      <c r="DE76" s="35" t="s">
        <v>1400</v>
      </c>
      <c r="DG76" s="35" t="s">
        <v>1401</v>
      </c>
      <c r="DH76" s="35" t="s">
        <v>524</v>
      </c>
      <c r="DI76" s="35" t="s">
        <v>410</v>
      </c>
      <c r="DJ76" s="35" t="s">
        <v>1402</v>
      </c>
      <c r="DK76" s="35" t="s">
        <v>1403</v>
      </c>
      <c r="DL76" s="35" t="s">
        <v>461</v>
      </c>
      <c r="DN76" s="35" t="s">
        <v>1404</v>
      </c>
      <c r="DO76" s="35" t="s">
        <v>1405</v>
      </c>
      <c r="DP76" s="35" t="s">
        <v>567</v>
      </c>
      <c r="DQ76" s="35" t="s">
        <v>1406</v>
      </c>
      <c r="DR76" s="35" t="s">
        <v>700</v>
      </c>
      <c r="DS76" s="35" t="s">
        <v>1407</v>
      </c>
      <c r="DT76" s="35" t="s">
        <v>839</v>
      </c>
      <c r="DU76" s="35" t="s">
        <v>703</v>
      </c>
      <c r="DV76" s="35" t="s">
        <v>1408</v>
      </c>
      <c r="DW76" s="35" t="s">
        <v>1409</v>
      </c>
      <c r="DX76" s="35" t="s">
        <v>622</v>
      </c>
      <c r="DY76" s="35" t="s">
        <v>1410</v>
      </c>
      <c r="DZ76" s="35" t="s">
        <v>1411</v>
      </c>
      <c r="EA76" s="35" t="s">
        <v>1412</v>
      </c>
      <c r="EB76" s="35" t="s">
        <v>1413</v>
      </c>
      <c r="EC76" s="35" t="s">
        <v>845</v>
      </c>
      <c r="EU76" s="35" t="s">
        <v>578</v>
      </c>
      <c r="EV76" s="35" t="s">
        <v>887</v>
      </c>
      <c r="EW76" s="35" t="s">
        <v>527</v>
      </c>
      <c r="EX76" s="35" t="s">
        <v>1414</v>
      </c>
      <c r="EY76" s="35" t="s">
        <v>1415</v>
      </c>
      <c r="EZ76" s="35" t="s">
        <v>1416</v>
      </c>
      <c r="FA76" s="35" t="s">
        <v>415</v>
      </c>
      <c r="FB76" s="35" t="s">
        <v>415</v>
      </c>
      <c r="FC76" s="35" t="s">
        <v>414</v>
      </c>
      <c r="FD76" s="35" t="s">
        <v>583</v>
      </c>
      <c r="FE76" s="35" t="s">
        <v>414</v>
      </c>
      <c r="FF76" s="35" t="s">
        <v>583</v>
      </c>
      <c r="FG76" s="35" t="s">
        <v>583</v>
      </c>
      <c r="FH76" s="35" t="s">
        <v>413</v>
      </c>
      <c r="FI76" s="35" t="s">
        <v>583</v>
      </c>
      <c r="FJ76" s="35" t="s">
        <v>583</v>
      </c>
      <c r="FK76" s="35" t="s">
        <v>583</v>
      </c>
      <c r="FL76" s="35" t="s">
        <v>415</v>
      </c>
      <c r="FM76" s="35" t="s">
        <v>415</v>
      </c>
      <c r="FN76" s="35" t="s">
        <v>415</v>
      </c>
      <c r="FO76" s="35" t="s">
        <v>415</v>
      </c>
      <c r="FP76" s="35" t="s">
        <v>850</v>
      </c>
      <c r="FQ76" s="35" t="s">
        <v>486</v>
      </c>
      <c r="FR76" s="35" t="s">
        <v>419</v>
      </c>
      <c r="FS76" s="35" t="s">
        <v>1417</v>
      </c>
      <c r="FT76" s="35" t="s">
        <v>420</v>
      </c>
      <c r="FU76" s="35" t="s">
        <v>488</v>
      </c>
      <c r="FV76" s="35" t="s">
        <v>533</v>
      </c>
      <c r="FW76" s="35" t="s">
        <v>490</v>
      </c>
      <c r="FX76" s="35" t="s">
        <v>491</v>
      </c>
      <c r="FY76" s="35" t="s">
        <v>1418</v>
      </c>
      <c r="FZ76" s="35" t="s">
        <v>493</v>
      </c>
      <c r="GA76" s="35" t="s">
        <v>1419</v>
      </c>
      <c r="GC76" s="35" t="s">
        <v>455</v>
      </c>
      <c r="GD76" s="35" t="s">
        <v>11716</v>
      </c>
      <c r="GF76" s="35" t="s">
        <v>1420</v>
      </c>
      <c r="GH76" s="35" t="s">
        <v>1000</v>
      </c>
      <c r="GI76" s="35" t="s">
        <v>1000</v>
      </c>
      <c r="GJ76" s="35" t="s">
        <v>817</v>
      </c>
      <c r="GN76" s="35" t="s">
        <v>1079</v>
      </c>
    </row>
    <row r="77">
      <c r="A77" s="40"/>
      <c r="B77" s="40">
        <v>45827.40643686343</v>
      </c>
      <c r="C77" s="35" t="s">
        <v>368</v>
      </c>
      <c r="D77" s="35" t="s">
        <v>370</v>
      </c>
      <c r="F77" s="35" t="s">
        <v>1480</v>
      </c>
      <c r="H77" s="35" t="s">
        <v>422</v>
      </c>
      <c r="I77" s="35" t="s">
        <v>373</v>
      </c>
      <c r="J77" s="35" t="s">
        <v>374</v>
      </c>
      <c r="K77" s="35" t="s">
        <v>718</v>
      </c>
      <c r="L77" s="35" t="s">
        <v>376</v>
      </c>
      <c r="M77" s="35" t="s">
        <v>793</v>
      </c>
      <c r="N77" s="35" t="s">
        <v>639</v>
      </c>
      <c r="O77" s="35" t="s">
        <v>426</v>
      </c>
      <c r="P77" s="35" t="s">
        <v>719</v>
      </c>
      <c r="Q77" s="35" t="s">
        <v>592</v>
      </c>
      <c r="R77" s="35" t="s">
        <v>499</v>
      </c>
      <c r="S77" s="35" t="s">
        <v>500</v>
      </c>
      <c r="T77" s="35" t="s">
        <v>384</v>
      </c>
      <c r="U77" s="35" t="s">
        <v>385</v>
      </c>
      <c r="X77" s="35" t="s">
        <v>593</v>
      </c>
      <c r="Y77" s="35" t="s">
        <v>387</v>
      </c>
      <c r="Z77" s="35" t="s">
        <v>388</v>
      </c>
      <c r="AA77" s="35" t="s">
        <v>502</v>
      </c>
      <c r="AB77" s="35" t="s">
        <v>1481</v>
      </c>
      <c r="AW77" s="35" t="s">
        <v>597</v>
      </c>
      <c r="AX77" s="35" t="s">
        <v>391</v>
      </c>
      <c r="AY77" s="35" t="s">
        <v>391</v>
      </c>
      <c r="AZ77" s="41">
        <v>2.0</v>
      </c>
      <c r="BA77" s="41">
        <v>2.0</v>
      </c>
      <c r="BB77" s="35" t="s">
        <v>391</v>
      </c>
      <c r="BC77" s="35" t="s">
        <v>391</v>
      </c>
      <c r="BD77" s="35" t="s">
        <v>1482</v>
      </c>
      <c r="BE77" s="35" t="s">
        <v>11717</v>
      </c>
      <c r="BF77" s="35" t="s">
        <v>432</v>
      </c>
      <c r="BG77" s="35" t="s">
        <v>433</v>
      </c>
      <c r="BH77" s="35" t="s">
        <v>765</v>
      </c>
      <c r="BI77" s="35" t="s">
        <v>1484</v>
      </c>
      <c r="BJ77" s="35" t="s">
        <v>435</v>
      </c>
      <c r="BL77" s="35" t="s">
        <v>437</v>
      </c>
      <c r="BM77" s="35" t="s">
        <v>438</v>
      </c>
      <c r="BN77" s="35" t="s">
        <v>549</v>
      </c>
      <c r="BO77" s="35" t="s">
        <v>440</v>
      </c>
      <c r="CM77" s="35" t="s">
        <v>441</v>
      </c>
      <c r="CN77" s="35" t="s">
        <v>604</v>
      </c>
      <c r="CO77" s="35" t="s">
        <v>1485</v>
      </c>
      <c r="CP77" s="35" t="s">
        <v>1486</v>
      </c>
      <c r="CQ77" s="35" t="s">
        <v>445</v>
      </c>
      <c r="CR77" s="35" t="s">
        <v>1487</v>
      </c>
      <c r="CS77" s="35" t="s">
        <v>447</v>
      </c>
      <c r="CT77" s="35" t="s">
        <v>909</v>
      </c>
      <c r="CU77" s="35" t="s">
        <v>1488</v>
      </c>
      <c r="CV77" s="35" t="s">
        <v>450</v>
      </c>
      <c r="CW77" s="35" t="s">
        <v>451</v>
      </c>
      <c r="CX77" s="35" t="s">
        <v>1489</v>
      </c>
      <c r="CY77" s="35" t="s">
        <v>408</v>
      </c>
      <c r="DA77" s="35" t="s">
        <v>453</v>
      </c>
      <c r="DB77" s="35" t="s">
        <v>1490</v>
      </c>
      <c r="DC77" s="35" t="s">
        <v>455</v>
      </c>
      <c r="DD77" s="35" t="s">
        <v>1491</v>
      </c>
      <c r="DE77" s="35" t="s">
        <v>406</v>
      </c>
      <c r="DF77" s="35" t="s">
        <v>691</v>
      </c>
      <c r="DH77" s="35" t="s">
        <v>524</v>
      </c>
      <c r="DI77" s="35" t="s">
        <v>410</v>
      </c>
      <c r="DJ77" s="35" t="s">
        <v>459</v>
      </c>
      <c r="DK77" s="35" t="s">
        <v>460</v>
      </c>
      <c r="DL77" s="35" t="s">
        <v>461</v>
      </c>
      <c r="DN77" s="35" t="s">
        <v>1492</v>
      </c>
      <c r="DO77" s="35" t="s">
        <v>1493</v>
      </c>
      <c r="DP77" s="35" t="s">
        <v>567</v>
      </c>
      <c r="DQ77" s="35" t="s">
        <v>1494</v>
      </c>
      <c r="DR77" s="35" t="s">
        <v>1152</v>
      </c>
      <c r="DS77" s="35" t="s">
        <v>1495</v>
      </c>
      <c r="DT77" s="35" t="s">
        <v>468</v>
      </c>
      <c r="DU77" s="35" t="s">
        <v>703</v>
      </c>
      <c r="DV77" s="35" t="s">
        <v>11718</v>
      </c>
      <c r="DW77" s="35" t="s">
        <v>742</v>
      </c>
      <c r="DX77" s="35" t="s">
        <v>1328</v>
      </c>
      <c r="DY77" s="35" t="s">
        <v>1497</v>
      </c>
      <c r="DZ77" s="35" t="s">
        <v>1498</v>
      </c>
      <c r="EA77" s="35" t="s">
        <v>1499</v>
      </c>
      <c r="EB77" s="35" t="s">
        <v>475</v>
      </c>
      <c r="EC77" s="35" t="s">
        <v>626</v>
      </c>
      <c r="EU77" s="35" t="s">
        <v>526</v>
      </c>
      <c r="EV77" s="35" t="s">
        <v>479</v>
      </c>
      <c r="EW77" s="35" t="s">
        <v>480</v>
      </c>
      <c r="EY77" s="35" t="s">
        <v>11719</v>
      </c>
      <c r="EZ77" s="35" t="s">
        <v>1501</v>
      </c>
      <c r="FA77" s="35" t="s">
        <v>583</v>
      </c>
      <c r="FB77" s="35" t="s">
        <v>583</v>
      </c>
      <c r="FC77" s="35" t="s">
        <v>414</v>
      </c>
      <c r="FD77" s="35" t="s">
        <v>583</v>
      </c>
      <c r="FE77" s="35" t="s">
        <v>416</v>
      </c>
      <c r="FF77" s="35" t="s">
        <v>583</v>
      </c>
      <c r="FG77" s="35" t="s">
        <v>583</v>
      </c>
      <c r="FH77" s="35" t="s">
        <v>413</v>
      </c>
      <c r="FI77" s="35" t="s">
        <v>484</v>
      </c>
      <c r="FJ77" s="35" t="s">
        <v>484</v>
      </c>
      <c r="FK77" s="35" t="s">
        <v>484</v>
      </c>
      <c r="FL77" s="35" t="s">
        <v>415</v>
      </c>
      <c r="FM77" s="35" t="s">
        <v>415</v>
      </c>
      <c r="FN77" s="35" t="s">
        <v>413</v>
      </c>
      <c r="FO77" s="35" t="s">
        <v>484</v>
      </c>
      <c r="FP77" s="35" t="s">
        <v>1074</v>
      </c>
      <c r="FQ77" s="35" t="s">
        <v>418</v>
      </c>
      <c r="FR77" s="35" t="s">
        <v>419</v>
      </c>
      <c r="FT77" s="35" t="s">
        <v>420</v>
      </c>
      <c r="FU77" s="35" t="s">
        <v>488</v>
      </c>
      <c r="FV77" s="35" t="s">
        <v>533</v>
      </c>
      <c r="FW77" s="35" t="s">
        <v>490</v>
      </c>
      <c r="FX77" s="35" t="s">
        <v>491</v>
      </c>
      <c r="FY77" s="35" t="s">
        <v>1502</v>
      </c>
      <c r="FZ77" s="35" t="s">
        <v>535</v>
      </c>
      <c r="GC77" s="35" t="s">
        <v>408</v>
      </c>
      <c r="GH77" s="35" t="s">
        <v>755</v>
      </c>
      <c r="GI77" s="35" t="s">
        <v>755</v>
      </c>
      <c r="GJ77" s="35" t="s">
        <v>946</v>
      </c>
      <c r="GN77" s="35" t="s">
        <v>1079</v>
      </c>
    </row>
    <row r="78">
      <c r="A78" s="40"/>
      <c r="B78" s="40">
        <v>45827.434389699076</v>
      </c>
      <c r="C78" s="35" t="s">
        <v>368</v>
      </c>
      <c r="D78" s="35" t="s">
        <v>370</v>
      </c>
      <c r="F78" s="35" t="s">
        <v>1421</v>
      </c>
      <c r="H78" s="35" t="s">
        <v>422</v>
      </c>
      <c r="I78" s="35" t="s">
        <v>637</v>
      </c>
      <c r="J78" s="35" t="s">
        <v>638</v>
      </c>
      <c r="K78" s="35" t="s">
        <v>375</v>
      </c>
      <c r="L78" s="35" t="s">
        <v>376</v>
      </c>
      <c r="M78" s="35" t="s">
        <v>793</v>
      </c>
      <c r="N78" s="35" t="s">
        <v>639</v>
      </c>
      <c r="O78" s="35" t="s">
        <v>426</v>
      </c>
      <c r="P78" s="35" t="s">
        <v>719</v>
      </c>
      <c r="Q78" s="35" t="s">
        <v>592</v>
      </c>
      <c r="R78" s="35" t="s">
        <v>862</v>
      </c>
      <c r="S78" s="35" t="s">
        <v>1197</v>
      </c>
      <c r="T78" s="35" t="s">
        <v>384</v>
      </c>
      <c r="U78" s="35" t="s">
        <v>385</v>
      </c>
      <c r="X78" s="35" t="s">
        <v>760</v>
      </c>
      <c r="Y78" s="35" t="s">
        <v>387</v>
      </c>
      <c r="Z78" s="35" t="s">
        <v>388</v>
      </c>
      <c r="AA78" s="35" t="s">
        <v>502</v>
      </c>
      <c r="AW78" s="35" t="s">
        <v>390</v>
      </c>
      <c r="AX78" s="35" t="s">
        <v>675</v>
      </c>
      <c r="AY78" s="41">
        <v>4.0</v>
      </c>
      <c r="AZ78" s="41">
        <v>4.0</v>
      </c>
      <c r="BA78" s="35" t="s">
        <v>675</v>
      </c>
      <c r="BB78" s="35" t="s">
        <v>675</v>
      </c>
      <c r="BC78" s="41">
        <v>4.0</v>
      </c>
      <c r="BD78" s="35" t="s">
        <v>11720</v>
      </c>
      <c r="BE78" s="35" t="s">
        <v>1540</v>
      </c>
      <c r="BF78" s="35" t="s">
        <v>432</v>
      </c>
      <c r="BG78" s="35" t="s">
        <v>1095</v>
      </c>
      <c r="BH78" s="35" t="s">
        <v>434</v>
      </c>
      <c r="BI78" s="35" t="s">
        <v>1541</v>
      </c>
      <c r="BJ78" s="35" t="s">
        <v>976</v>
      </c>
      <c r="BL78" s="35" t="s">
        <v>602</v>
      </c>
      <c r="BM78" s="35" t="s">
        <v>438</v>
      </c>
      <c r="BN78" s="35" t="s">
        <v>397</v>
      </c>
      <c r="BO78" s="35" t="s">
        <v>440</v>
      </c>
      <c r="CM78" s="35" t="s">
        <v>441</v>
      </c>
      <c r="CN78" s="35" t="s">
        <v>604</v>
      </c>
      <c r="CO78" s="35" t="s">
        <v>11721</v>
      </c>
      <c r="CP78" s="35" t="s">
        <v>11722</v>
      </c>
      <c r="CQ78" s="35" t="s">
        <v>403</v>
      </c>
      <c r="CR78" s="35" t="s">
        <v>1544</v>
      </c>
      <c r="CS78" s="35" t="s">
        <v>804</v>
      </c>
      <c r="CT78" s="35" t="s">
        <v>1545</v>
      </c>
      <c r="CU78" s="35" t="s">
        <v>1546</v>
      </c>
      <c r="CV78" s="35" t="s">
        <v>519</v>
      </c>
      <c r="CW78" s="35" t="s">
        <v>451</v>
      </c>
      <c r="CX78" s="35" t="s">
        <v>1547</v>
      </c>
      <c r="CY78" s="35" t="s">
        <v>408</v>
      </c>
      <c r="DA78" s="35" t="s">
        <v>453</v>
      </c>
      <c r="DB78" s="41">
        <v>12.0</v>
      </c>
      <c r="DC78" s="35" t="s">
        <v>455</v>
      </c>
      <c r="DD78" s="35" t="s">
        <v>1548</v>
      </c>
      <c r="DE78" s="35" t="s">
        <v>406</v>
      </c>
      <c r="DF78" s="35" t="s">
        <v>407</v>
      </c>
      <c r="DG78" s="35" t="s">
        <v>11723</v>
      </c>
      <c r="DH78" s="35" t="s">
        <v>524</v>
      </c>
      <c r="DI78" s="35" t="s">
        <v>410</v>
      </c>
      <c r="DJ78" s="35" t="s">
        <v>459</v>
      </c>
      <c r="DK78" s="35" t="s">
        <v>613</v>
      </c>
      <c r="DN78" s="35" t="s">
        <v>1550</v>
      </c>
      <c r="DO78" s="35" t="s">
        <v>1551</v>
      </c>
      <c r="DP78" s="35" t="s">
        <v>464</v>
      </c>
      <c r="DQ78" s="35" t="s">
        <v>11724</v>
      </c>
      <c r="DR78" s="35" t="s">
        <v>1553</v>
      </c>
      <c r="DS78" s="35" t="s">
        <v>11725</v>
      </c>
      <c r="DT78" s="35" t="s">
        <v>702</v>
      </c>
      <c r="DU78" s="35" t="s">
        <v>619</v>
      </c>
      <c r="DV78" s="35" t="s">
        <v>1555</v>
      </c>
      <c r="DW78" s="35" t="s">
        <v>11726</v>
      </c>
      <c r="DX78" s="35" t="s">
        <v>1328</v>
      </c>
      <c r="DY78" s="35" t="s">
        <v>11727</v>
      </c>
      <c r="DZ78" s="35" t="s">
        <v>1558</v>
      </c>
      <c r="EA78" s="35" t="s">
        <v>11728</v>
      </c>
      <c r="EB78" s="35" t="s">
        <v>475</v>
      </c>
      <c r="EC78" s="35" t="s">
        <v>626</v>
      </c>
      <c r="ED78" s="35" t="s">
        <v>11729</v>
      </c>
      <c r="EU78" s="35" t="s">
        <v>526</v>
      </c>
      <c r="EV78" s="35" t="s">
        <v>479</v>
      </c>
      <c r="EW78" s="35" t="s">
        <v>527</v>
      </c>
      <c r="FA78" s="35" t="s">
        <v>415</v>
      </c>
      <c r="FB78" s="35" t="s">
        <v>415</v>
      </c>
      <c r="FC78" s="35" t="s">
        <v>413</v>
      </c>
      <c r="FD78" s="35" t="s">
        <v>413</v>
      </c>
      <c r="FE78" s="35" t="s">
        <v>413</v>
      </c>
      <c r="FF78" s="35" t="s">
        <v>415</v>
      </c>
      <c r="FG78" s="35" t="s">
        <v>415</v>
      </c>
      <c r="FH78" s="35" t="s">
        <v>413</v>
      </c>
      <c r="FI78" s="35" t="s">
        <v>583</v>
      </c>
      <c r="FJ78" s="35" t="s">
        <v>414</v>
      </c>
      <c r="FK78" s="35" t="s">
        <v>416</v>
      </c>
      <c r="FL78" s="35" t="s">
        <v>413</v>
      </c>
      <c r="FM78" s="35" t="s">
        <v>413</v>
      </c>
      <c r="FN78" s="35" t="s">
        <v>413</v>
      </c>
      <c r="FO78" s="35" t="s">
        <v>416</v>
      </c>
      <c r="FP78" s="35" t="s">
        <v>417</v>
      </c>
      <c r="FQ78" s="35" t="s">
        <v>418</v>
      </c>
      <c r="FR78" s="35" t="s">
        <v>1039</v>
      </c>
      <c r="FT78" s="35" t="s">
        <v>420</v>
      </c>
      <c r="FU78" s="35" t="s">
        <v>488</v>
      </c>
      <c r="FV78" s="35" t="s">
        <v>918</v>
      </c>
      <c r="FW78" s="35" t="s">
        <v>490</v>
      </c>
      <c r="FX78" s="35" t="s">
        <v>491</v>
      </c>
      <c r="FY78" s="35" t="s">
        <v>11730</v>
      </c>
      <c r="FZ78" s="35" t="s">
        <v>493</v>
      </c>
      <c r="GC78" s="35" t="s">
        <v>455</v>
      </c>
      <c r="GD78" s="35" t="s">
        <v>11731</v>
      </c>
      <c r="GF78" s="35" t="s">
        <v>753</v>
      </c>
      <c r="GH78" s="35" t="s">
        <v>755</v>
      </c>
      <c r="GI78" s="35" t="s">
        <v>755</v>
      </c>
      <c r="GJ78" s="35" t="s">
        <v>946</v>
      </c>
      <c r="GN78" s="35" t="s">
        <v>1079</v>
      </c>
    </row>
    <row r="79">
      <c r="A79" s="40"/>
      <c r="B79" s="40">
        <v>45827.45617319444</v>
      </c>
      <c r="C79" s="35" t="s">
        <v>368</v>
      </c>
      <c r="D79" s="35" t="s">
        <v>370</v>
      </c>
      <c r="F79" s="35" t="s">
        <v>1562</v>
      </c>
      <c r="H79" s="35" t="s">
        <v>422</v>
      </c>
      <c r="I79" s="35" t="s">
        <v>496</v>
      </c>
      <c r="J79" s="35" t="s">
        <v>374</v>
      </c>
      <c r="K79" s="35" t="s">
        <v>718</v>
      </c>
      <c r="L79" s="35" t="s">
        <v>376</v>
      </c>
      <c r="M79" s="35" t="s">
        <v>591</v>
      </c>
      <c r="N79" s="35" t="s">
        <v>719</v>
      </c>
      <c r="O79" s="35" t="s">
        <v>793</v>
      </c>
      <c r="P79" s="35" t="s">
        <v>719</v>
      </c>
      <c r="Q79" s="35" t="s">
        <v>592</v>
      </c>
      <c r="R79" s="35" t="s">
        <v>759</v>
      </c>
      <c r="S79" s="35" t="s">
        <v>427</v>
      </c>
      <c r="T79" s="35" t="s">
        <v>384</v>
      </c>
      <c r="U79" s="35" t="s">
        <v>385</v>
      </c>
      <c r="X79" s="35" t="s">
        <v>428</v>
      </c>
      <c r="AW79" s="35" t="s">
        <v>1310</v>
      </c>
      <c r="AX79" s="41">
        <v>4.0</v>
      </c>
      <c r="AY79" s="35" t="s">
        <v>391</v>
      </c>
      <c r="AZ79" s="35" t="s">
        <v>391</v>
      </c>
      <c r="BA79" s="41">
        <v>4.0</v>
      </c>
      <c r="BB79" s="35" t="s">
        <v>675</v>
      </c>
      <c r="BC79" s="41">
        <v>4.0</v>
      </c>
      <c r="BD79" s="35" t="s">
        <v>1563</v>
      </c>
      <c r="BE79" s="35" t="s">
        <v>1564</v>
      </c>
      <c r="BF79" s="35" t="s">
        <v>432</v>
      </c>
      <c r="BG79" s="35" t="s">
        <v>1095</v>
      </c>
      <c r="BH79" s="35" t="s">
        <v>394</v>
      </c>
      <c r="BI79" s="35" t="s">
        <v>1565</v>
      </c>
      <c r="BJ79" s="35" t="s">
        <v>727</v>
      </c>
      <c r="BL79" s="35" t="s">
        <v>681</v>
      </c>
      <c r="BM79" s="35" t="s">
        <v>438</v>
      </c>
      <c r="BN79" s="35" t="s">
        <v>1247</v>
      </c>
      <c r="BO79" s="35" t="s">
        <v>440</v>
      </c>
      <c r="CM79" s="35" t="s">
        <v>441</v>
      </c>
      <c r="CN79" s="35" t="s">
        <v>442</v>
      </c>
      <c r="CO79" s="35" t="s">
        <v>1566</v>
      </c>
      <c r="CP79" s="35" t="s">
        <v>1567</v>
      </c>
      <c r="CQ79" s="35" t="s">
        <v>445</v>
      </c>
      <c r="CR79" s="35" t="s">
        <v>1568</v>
      </c>
      <c r="CS79" s="35" t="s">
        <v>447</v>
      </c>
      <c r="CT79" s="35" t="s">
        <v>1569</v>
      </c>
      <c r="CU79" s="35" t="s">
        <v>1570</v>
      </c>
      <c r="CV79" s="35" t="s">
        <v>450</v>
      </c>
      <c r="CW79" s="35" t="s">
        <v>451</v>
      </c>
      <c r="CX79" s="35" t="s">
        <v>1571</v>
      </c>
      <c r="CY79" s="35" t="s">
        <v>408</v>
      </c>
      <c r="DA79" s="35" t="s">
        <v>453</v>
      </c>
      <c r="DB79" s="35" t="s">
        <v>1572</v>
      </c>
      <c r="DC79" s="35" t="s">
        <v>455</v>
      </c>
      <c r="DD79" s="35" t="s">
        <v>1573</v>
      </c>
      <c r="DE79" s="35" t="s">
        <v>662</v>
      </c>
      <c r="DG79" s="35" t="s">
        <v>1574</v>
      </c>
      <c r="DH79" s="35" t="s">
        <v>561</v>
      </c>
      <c r="DI79" s="35" t="s">
        <v>410</v>
      </c>
      <c r="DJ79" s="35" t="s">
        <v>459</v>
      </c>
      <c r="DK79" s="35" t="s">
        <v>460</v>
      </c>
      <c r="DL79" s="35" t="s">
        <v>461</v>
      </c>
      <c r="DN79" s="35" t="s">
        <v>1575</v>
      </c>
      <c r="DO79" s="35" t="s">
        <v>1576</v>
      </c>
      <c r="DP79" s="35" t="s">
        <v>567</v>
      </c>
      <c r="DQ79" s="35" t="s">
        <v>1577</v>
      </c>
      <c r="DR79" s="35" t="s">
        <v>1578</v>
      </c>
      <c r="DS79" s="35" t="s">
        <v>1579</v>
      </c>
      <c r="DT79" s="35" t="s">
        <v>618</v>
      </c>
      <c r="DU79" s="35" t="s">
        <v>1580</v>
      </c>
      <c r="DV79" s="35" t="s">
        <v>1581</v>
      </c>
      <c r="DW79" s="35" t="s">
        <v>1582</v>
      </c>
      <c r="DX79" s="35" t="s">
        <v>1328</v>
      </c>
      <c r="DY79" s="35" t="s">
        <v>1583</v>
      </c>
      <c r="DZ79" s="35" t="s">
        <v>1584</v>
      </c>
      <c r="EA79" s="35" t="s">
        <v>1585</v>
      </c>
      <c r="EB79" s="35" t="s">
        <v>475</v>
      </c>
      <c r="EC79" s="35" t="s">
        <v>845</v>
      </c>
      <c r="EU79" s="35" t="s">
        <v>526</v>
      </c>
      <c r="EV79" s="35" t="s">
        <v>887</v>
      </c>
      <c r="EW79" s="35" t="s">
        <v>480</v>
      </c>
      <c r="EX79" s="35" t="s">
        <v>1586</v>
      </c>
      <c r="EY79" s="35" t="s">
        <v>1587</v>
      </c>
      <c r="EZ79" s="35" t="s">
        <v>1588</v>
      </c>
      <c r="FA79" s="35" t="s">
        <v>484</v>
      </c>
      <c r="FB79" s="35" t="s">
        <v>414</v>
      </c>
      <c r="FC79" s="35" t="s">
        <v>484</v>
      </c>
      <c r="FD79" s="35" t="s">
        <v>484</v>
      </c>
      <c r="FE79" s="35" t="s">
        <v>484</v>
      </c>
      <c r="FF79" s="35" t="s">
        <v>414</v>
      </c>
      <c r="FG79" s="35" t="s">
        <v>484</v>
      </c>
      <c r="FH79" s="35" t="s">
        <v>484</v>
      </c>
      <c r="FI79" s="35" t="s">
        <v>484</v>
      </c>
      <c r="FJ79" s="35" t="s">
        <v>484</v>
      </c>
      <c r="FK79" s="35" t="s">
        <v>484</v>
      </c>
      <c r="FL79" s="35" t="s">
        <v>484</v>
      </c>
      <c r="FM79" s="35" t="s">
        <v>484</v>
      </c>
      <c r="FN79" s="35" t="s">
        <v>416</v>
      </c>
      <c r="FO79" s="35" t="s">
        <v>583</v>
      </c>
      <c r="FP79" s="35" t="s">
        <v>417</v>
      </c>
      <c r="FQ79" s="35" t="s">
        <v>418</v>
      </c>
      <c r="FR79" s="35" t="s">
        <v>712</v>
      </c>
      <c r="FS79" s="35" t="s">
        <v>1589</v>
      </c>
      <c r="FT79" s="35" t="s">
        <v>420</v>
      </c>
      <c r="FU79" s="35" t="s">
        <v>488</v>
      </c>
      <c r="FV79" s="35" t="s">
        <v>489</v>
      </c>
      <c r="FW79" s="35" t="s">
        <v>490</v>
      </c>
      <c r="FX79" s="35" t="s">
        <v>491</v>
      </c>
      <c r="FY79" s="35" t="s">
        <v>1590</v>
      </c>
      <c r="FZ79" s="35" t="s">
        <v>493</v>
      </c>
      <c r="GB79" s="35" t="s">
        <v>1591</v>
      </c>
      <c r="GC79" s="35" t="s">
        <v>455</v>
      </c>
      <c r="GD79" s="35" t="s">
        <v>11732</v>
      </c>
      <c r="GF79" s="35" t="s">
        <v>855</v>
      </c>
      <c r="GH79" s="35" t="s">
        <v>857</v>
      </c>
      <c r="GI79" s="35" t="s">
        <v>1000</v>
      </c>
      <c r="GJ79" s="35" t="s">
        <v>817</v>
      </c>
      <c r="GN79" s="35" t="s">
        <v>1079</v>
      </c>
    </row>
    <row r="80">
      <c r="A80" s="40"/>
      <c r="B80" s="40">
        <v>45827.47113355324</v>
      </c>
      <c r="C80" s="35" t="s">
        <v>368</v>
      </c>
      <c r="D80" s="35" t="s">
        <v>370</v>
      </c>
      <c r="F80" s="35" t="s">
        <v>1592</v>
      </c>
      <c r="H80" s="35" t="s">
        <v>422</v>
      </c>
      <c r="I80" s="35" t="s">
        <v>373</v>
      </c>
      <c r="J80" s="35" t="s">
        <v>374</v>
      </c>
      <c r="K80" s="35" t="s">
        <v>375</v>
      </c>
      <c r="L80" s="35" t="s">
        <v>376</v>
      </c>
      <c r="M80" s="35" t="s">
        <v>426</v>
      </c>
      <c r="N80" s="35" t="s">
        <v>1593</v>
      </c>
      <c r="O80" s="35" t="s">
        <v>426</v>
      </c>
      <c r="P80" s="35" t="s">
        <v>719</v>
      </c>
      <c r="Q80" s="35" t="s">
        <v>498</v>
      </c>
      <c r="R80" s="35" t="s">
        <v>862</v>
      </c>
      <c r="S80" s="35" t="s">
        <v>1594</v>
      </c>
      <c r="T80" s="35" t="s">
        <v>384</v>
      </c>
      <c r="U80" s="35" t="s">
        <v>385</v>
      </c>
      <c r="X80" s="35" t="s">
        <v>386</v>
      </c>
      <c r="Y80" s="35" t="s">
        <v>387</v>
      </c>
      <c r="Z80" s="35" t="s">
        <v>1595</v>
      </c>
      <c r="AA80" s="35" t="s">
        <v>543</v>
      </c>
      <c r="AB80" s="35" t="s">
        <v>408</v>
      </c>
      <c r="AW80" s="35" t="s">
        <v>504</v>
      </c>
      <c r="AX80" s="41">
        <v>2.0</v>
      </c>
      <c r="AY80" s="35" t="s">
        <v>429</v>
      </c>
      <c r="AZ80" s="35" t="s">
        <v>391</v>
      </c>
      <c r="BA80" s="41">
        <v>2.0</v>
      </c>
      <c r="BB80" s="35" t="s">
        <v>429</v>
      </c>
      <c r="BC80" s="35" t="s">
        <v>429</v>
      </c>
      <c r="BD80" s="35" t="s">
        <v>1596</v>
      </c>
      <c r="BE80" s="35" t="s">
        <v>11733</v>
      </c>
      <c r="BF80" s="35" t="s">
        <v>392</v>
      </c>
      <c r="BG80" s="35" t="s">
        <v>433</v>
      </c>
      <c r="BH80" s="35" t="s">
        <v>678</v>
      </c>
      <c r="BI80" s="35" t="s">
        <v>11734</v>
      </c>
      <c r="BJ80" s="35" t="s">
        <v>509</v>
      </c>
      <c r="BK80" s="35" t="s">
        <v>11735</v>
      </c>
      <c r="BL80" s="35" t="s">
        <v>437</v>
      </c>
      <c r="BM80" s="35" t="s">
        <v>512</v>
      </c>
      <c r="BN80" s="35" t="s">
        <v>439</v>
      </c>
      <c r="BO80" s="35" t="s">
        <v>440</v>
      </c>
      <c r="CM80" s="35" t="s">
        <v>441</v>
      </c>
      <c r="CN80" s="35" t="s">
        <v>442</v>
      </c>
      <c r="CO80" s="35" t="s">
        <v>1600</v>
      </c>
      <c r="CP80" s="35" t="s">
        <v>11736</v>
      </c>
      <c r="CQ80" s="35" t="s">
        <v>685</v>
      </c>
      <c r="CR80" s="35" t="s">
        <v>1602</v>
      </c>
      <c r="CS80" s="35" t="s">
        <v>447</v>
      </c>
      <c r="CT80" s="35" t="s">
        <v>448</v>
      </c>
      <c r="CU80" s="35" t="s">
        <v>1603</v>
      </c>
      <c r="CV80" s="35" t="s">
        <v>450</v>
      </c>
      <c r="CW80" s="35" t="s">
        <v>451</v>
      </c>
      <c r="CX80" s="35" t="s">
        <v>9083</v>
      </c>
      <c r="CY80" s="35" t="s">
        <v>455</v>
      </c>
      <c r="CZ80" s="35" t="s">
        <v>11737</v>
      </c>
      <c r="DA80" s="35" t="s">
        <v>453</v>
      </c>
      <c r="DB80" s="35" t="s">
        <v>1606</v>
      </c>
      <c r="DC80" s="35" t="s">
        <v>455</v>
      </c>
      <c r="DD80" s="35" t="s">
        <v>1607</v>
      </c>
      <c r="DE80" s="35" t="s">
        <v>406</v>
      </c>
      <c r="DF80" s="35" t="s">
        <v>407</v>
      </c>
      <c r="DG80" s="35" t="s">
        <v>1608</v>
      </c>
      <c r="DH80" s="35" t="s">
        <v>524</v>
      </c>
      <c r="DI80" s="35" t="s">
        <v>410</v>
      </c>
      <c r="DJ80" s="35" t="s">
        <v>459</v>
      </c>
      <c r="DK80" s="35" t="s">
        <v>613</v>
      </c>
      <c r="DN80" s="35" t="s">
        <v>1609</v>
      </c>
      <c r="DO80" s="35" t="s">
        <v>1610</v>
      </c>
      <c r="DP80" s="35" t="s">
        <v>1063</v>
      </c>
      <c r="DQ80" s="35" t="s">
        <v>1611</v>
      </c>
      <c r="DR80" s="35" t="s">
        <v>1578</v>
      </c>
      <c r="DS80" s="35" t="s">
        <v>11738</v>
      </c>
      <c r="DT80" s="35" t="s">
        <v>468</v>
      </c>
      <c r="DU80" s="35" t="s">
        <v>703</v>
      </c>
      <c r="DV80" s="35" t="s">
        <v>1613</v>
      </c>
      <c r="DW80" s="35" t="s">
        <v>1614</v>
      </c>
      <c r="DX80" s="35" t="s">
        <v>573</v>
      </c>
      <c r="DY80" s="35" t="s">
        <v>1615</v>
      </c>
      <c r="DZ80" s="35" t="s">
        <v>11739</v>
      </c>
      <c r="EA80" s="35" t="s">
        <v>1617</v>
      </c>
      <c r="EB80" s="35" t="s">
        <v>475</v>
      </c>
      <c r="EC80" s="35" t="s">
        <v>845</v>
      </c>
      <c r="ED80" s="35" t="s">
        <v>1618</v>
      </c>
      <c r="EU80" s="35" t="s">
        <v>526</v>
      </c>
      <c r="EV80" s="35" t="s">
        <v>479</v>
      </c>
      <c r="EW80" s="35" t="s">
        <v>480</v>
      </c>
      <c r="EY80" s="35" t="s">
        <v>1619</v>
      </c>
      <c r="EZ80" s="35" t="s">
        <v>1620</v>
      </c>
      <c r="FA80" s="35" t="s">
        <v>414</v>
      </c>
      <c r="FB80" s="35" t="s">
        <v>414</v>
      </c>
      <c r="FC80" s="35" t="s">
        <v>414</v>
      </c>
      <c r="FD80" s="35" t="s">
        <v>414</v>
      </c>
      <c r="FE80" s="35" t="s">
        <v>414</v>
      </c>
      <c r="FF80" s="35" t="s">
        <v>414</v>
      </c>
      <c r="FG80" s="35" t="s">
        <v>414</v>
      </c>
      <c r="FH80" s="35" t="s">
        <v>416</v>
      </c>
      <c r="FI80" s="35" t="s">
        <v>414</v>
      </c>
      <c r="FJ80" s="35" t="s">
        <v>414</v>
      </c>
      <c r="FK80" s="35" t="s">
        <v>415</v>
      </c>
      <c r="FL80" s="35" t="s">
        <v>415</v>
      </c>
      <c r="FM80" s="35" t="s">
        <v>415</v>
      </c>
      <c r="FN80" s="35" t="s">
        <v>415</v>
      </c>
      <c r="FO80" s="35" t="s">
        <v>415</v>
      </c>
      <c r="FP80" s="35" t="s">
        <v>417</v>
      </c>
      <c r="FQ80" s="35" t="s">
        <v>418</v>
      </c>
      <c r="FR80" s="35" t="s">
        <v>712</v>
      </c>
      <c r="FS80" s="35" t="s">
        <v>1621</v>
      </c>
      <c r="FT80" s="35" t="s">
        <v>420</v>
      </c>
      <c r="FU80" s="35" t="s">
        <v>1462</v>
      </c>
      <c r="FV80" s="35" t="s">
        <v>489</v>
      </c>
      <c r="FW80" s="35" t="s">
        <v>490</v>
      </c>
      <c r="FX80" s="35" t="s">
        <v>491</v>
      </c>
      <c r="FY80" s="35" t="s">
        <v>11740</v>
      </c>
      <c r="FZ80" s="35" t="s">
        <v>493</v>
      </c>
      <c r="GC80" s="35" t="s">
        <v>455</v>
      </c>
      <c r="GD80" s="35" t="s">
        <v>11741</v>
      </c>
      <c r="GF80" s="35" t="s">
        <v>753</v>
      </c>
      <c r="GH80" s="35" t="s">
        <v>857</v>
      </c>
      <c r="GI80" s="35" t="s">
        <v>857</v>
      </c>
      <c r="GJ80" s="35" t="s">
        <v>790</v>
      </c>
      <c r="GN80" s="35" t="s">
        <v>1079</v>
      </c>
    </row>
    <row r="81">
      <c r="A81" s="40"/>
      <c r="B81" s="40">
        <v>45827.504890868055</v>
      </c>
      <c r="C81" s="35" t="s">
        <v>368</v>
      </c>
      <c r="D81" s="35" t="s">
        <v>894</v>
      </c>
      <c r="E81" s="35" t="s">
        <v>894</v>
      </c>
      <c r="H81" s="35" t="s">
        <v>422</v>
      </c>
      <c r="I81" s="35" t="s">
        <v>637</v>
      </c>
      <c r="J81" s="35" t="s">
        <v>638</v>
      </c>
      <c r="K81" s="35" t="s">
        <v>1623</v>
      </c>
      <c r="L81" s="35" t="s">
        <v>376</v>
      </c>
      <c r="M81" s="35" t="s">
        <v>670</v>
      </c>
      <c r="N81" s="35" t="s">
        <v>720</v>
      </c>
      <c r="O81" s="35" t="s">
        <v>379</v>
      </c>
      <c r="P81" s="35" t="s">
        <v>1624</v>
      </c>
      <c r="Q81" s="35" t="s">
        <v>592</v>
      </c>
      <c r="R81" s="35" t="s">
        <v>382</v>
      </c>
      <c r="S81" s="35" t="s">
        <v>427</v>
      </c>
      <c r="T81" s="35" t="s">
        <v>384</v>
      </c>
      <c r="U81" s="35" t="s">
        <v>385</v>
      </c>
      <c r="V81" s="35" t="s">
        <v>1025</v>
      </c>
      <c r="W81" s="35" t="s">
        <v>1025</v>
      </c>
      <c r="X81" s="35" t="s">
        <v>428</v>
      </c>
      <c r="AW81" s="35" t="s">
        <v>1310</v>
      </c>
      <c r="AX81" s="35" t="s">
        <v>391</v>
      </c>
      <c r="AY81" s="35" t="s">
        <v>391</v>
      </c>
      <c r="AZ81" s="35" t="s">
        <v>391</v>
      </c>
      <c r="BA81" s="41">
        <v>2.0</v>
      </c>
      <c r="BB81" s="41">
        <v>4.0</v>
      </c>
      <c r="BC81" s="41">
        <v>4.0</v>
      </c>
      <c r="BF81" s="35" t="s">
        <v>392</v>
      </c>
      <c r="BG81" s="35" t="s">
        <v>393</v>
      </c>
      <c r="BH81" s="35" t="s">
        <v>434</v>
      </c>
      <c r="BJ81" s="35" t="s">
        <v>435</v>
      </c>
      <c r="BL81" s="35" t="s">
        <v>681</v>
      </c>
      <c r="BM81" s="35" t="s">
        <v>603</v>
      </c>
      <c r="BN81" s="35" t="s">
        <v>1247</v>
      </c>
      <c r="BO81" s="35" t="s">
        <v>440</v>
      </c>
      <c r="CM81" s="35" t="s">
        <v>441</v>
      </c>
      <c r="CN81" s="35" t="s">
        <v>401</v>
      </c>
      <c r="CO81" s="35" t="s">
        <v>552</v>
      </c>
      <c r="CP81" s="35" t="s">
        <v>1625</v>
      </c>
      <c r="CQ81" s="35" t="s">
        <v>685</v>
      </c>
      <c r="CR81" s="35" t="s">
        <v>956</v>
      </c>
      <c r="CS81" s="35" t="s">
        <v>404</v>
      </c>
      <c r="CT81" s="35" t="s">
        <v>1626</v>
      </c>
      <c r="CU81" s="35" t="s">
        <v>1627</v>
      </c>
      <c r="CV81" s="35" t="s">
        <v>519</v>
      </c>
      <c r="CW81" s="35" t="s">
        <v>451</v>
      </c>
      <c r="CX81" s="35" t="s">
        <v>11742</v>
      </c>
      <c r="CY81" s="35" t="s">
        <v>408</v>
      </c>
      <c r="DA81" s="35" t="s">
        <v>985</v>
      </c>
      <c r="DC81" s="35" t="s">
        <v>455</v>
      </c>
      <c r="DD81" s="35" t="s">
        <v>1629</v>
      </c>
      <c r="DE81" s="35" t="s">
        <v>406</v>
      </c>
      <c r="DF81" s="35" t="s">
        <v>407</v>
      </c>
      <c r="DH81" s="35" t="s">
        <v>524</v>
      </c>
      <c r="DJ81" s="35" t="s">
        <v>459</v>
      </c>
      <c r="DK81" s="35" t="s">
        <v>613</v>
      </c>
      <c r="DN81" s="35" t="s">
        <v>1630</v>
      </c>
      <c r="DO81" s="35" t="s">
        <v>1631</v>
      </c>
      <c r="DP81" s="35" t="s">
        <v>567</v>
      </c>
      <c r="DQ81" s="35" t="s">
        <v>11743</v>
      </c>
      <c r="DR81" s="35" t="s">
        <v>700</v>
      </c>
      <c r="DS81" s="35" t="s">
        <v>1633</v>
      </c>
      <c r="DT81" s="35" t="s">
        <v>618</v>
      </c>
      <c r="DU81" s="35" t="s">
        <v>570</v>
      </c>
      <c r="DV81" s="35" t="s">
        <v>1634</v>
      </c>
      <c r="DW81" s="35" t="s">
        <v>11744</v>
      </c>
      <c r="DX81" s="35" t="s">
        <v>622</v>
      </c>
      <c r="DY81" s="35" t="s">
        <v>1636</v>
      </c>
      <c r="DZ81" s="35" t="s">
        <v>11745</v>
      </c>
      <c r="EB81" s="35" t="s">
        <v>475</v>
      </c>
      <c r="EC81" s="35" t="s">
        <v>845</v>
      </c>
      <c r="EU81" s="35" t="s">
        <v>578</v>
      </c>
      <c r="EV81" s="35" t="s">
        <v>1037</v>
      </c>
      <c r="EW81" s="35" t="s">
        <v>480</v>
      </c>
      <c r="FA81" s="35" t="s">
        <v>413</v>
      </c>
      <c r="FB81" s="35" t="s">
        <v>415</v>
      </c>
      <c r="FC81" s="35" t="s">
        <v>413</v>
      </c>
      <c r="FD81" s="35" t="s">
        <v>413</v>
      </c>
      <c r="FE81" s="35" t="s">
        <v>413</v>
      </c>
      <c r="FF81" s="35" t="s">
        <v>415</v>
      </c>
      <c r="FG81" s="35" t="s">
        <v>413</v>
      </c>
      <c r="FH81" s="35" t="s">
        <v>413</v>
      </c>
      <c r="FI81" s="35" t="s">
        <v>583</v>
      </c>
      <c r="FJ81" s="35" t="s">
        <v>415</v>
      </c>
      <c r="FK81" s="35" t="s">
        <v>415</v>
      </c>
      <c r="FL81" s="35" t="s">
        <v>416</v>
      </c>
      <c r="FM81" s="35" t="s">
        <v>415</v>
      </c>
      <c r="FN81" s="35" t="s">
        <v>416</v>
      </c>
      <c r="FO81" s="35" t="s">
        <v>415</v>
      </c>
      <c r="FP81" s="35" t="s">
        <v>485</v>
      </c>
      <c r="FQ81" s="35" t="s">
        <v>418</v>
      </c>
      <c r="FR81" s="35" t="s">
        <v>749</v>
      </c>
      <c r="FT81" s="35" t="s">
        <v>420</v>
      </c>
      <c r="FU81" s="35" t="s">
        <v>488</v>
      </c>
      <c r="FV81" s="35" t="s">
        <v>918</v>
      </c>
      <c r="FW81" s="35" t="s">
        <v>490</v>
      </c>
      <c r="FX81" s="35" t="s">
        <v>491</v>
      </c>
      <c r="FZ81" s="35" t="s">
        <v>493</v>
      </c>
      <c r="GC81" s="35" t="s">
        <v>455</v>
      </c>
      <c r="GD81" s="35" t="s">
        <v>11746</v>
      </c>
      <c r="GF81" s="35" t="s">
        <v>753</v>
      </c>
      <c r="GH81" s="35" t="s">
        <v>1000</v>
      </c>
      <c r="GI81" s="35" t="s">
        <v>1000</v>
      </c>
      <c r="GJ81" s="35" t="s">
        <v>756</v>
      </c>
      <c r="GN81" s="35" t="s">
        <v>1079</v>
      </c>
    </row>
    <row r="82">
      <c r="A82" s="40"/>
      <c r="B82" s="40">
        <v>45827.75078829861</v>
      </c>
      <c r="C82" s="35" t="s">
        <v>368</v>
      </c>
      <c r="D82" s="35" t="s">
        <v>370</v>
      </c>
      <c r="F82" s="35" t="s">
        <v>1798</v>
      </c>
      <c r="H82" s="35" t="s">
        <v>422</v>
      </c>
      <c r="I82" s="35" t="s">
        <v>637</v>
      </c>
      <c r="J82" s="35" t="s">
        <v>638</v>
      </c>
      <c r="K82" s="35" t="s">
        <v>375</v>
      </c>
      <c r="L82" s="35" t="s">
        <v>376</v>
      </c>
      <c r="M82" s="35" t="s">
        <v>377</v>
      </c>
      <c r="N82" s="35" t="s">
        <v>1690</v>
      </c>
      <c r="O82" s="35" t="s">
        <v>426</v>
      </c>
      <c r="P82" s="35" t="s">
        <v>1799</v>
      </c>
      <c r="Q82" s="35" t="s">
        <v>381</v>
      </c>
      <c r="R82" s="35" t="s">
        <v>1156</v>
      </c>
      <c r="S82" s="35" t="s">
        <v>1800</v>
      </c>
      <c r="T82" s="35" t="s">
        <v>384</v>
      </c>
      <c r="U82" s="35" t="s">
        <v>385</v>
      </c>
      <c r="X82" s="35" t="s">
        <v>593</v>
      </c>
      <c r="Y82" s="35" t="s">
        <v>387</v>
      </c>
      <c r="Z82" s="35" t="s">
        <v>388</v>
      </c>
      <c r="AA82" s="35" t="s">
        <v>543</v>
      </c>
      <c r="AW82" s="35" t="s">
        <v>390</v>
      </c>
      <c r="AX82" s="35" t="s">
        <v>429</v>
      </c>
      <c r="AY82" s="35" t="s">
        <v>429</v>
      </c>
      <c r="AZ82" s="35" t="s">
        <v>429</v>
      </c>
      <c r="BA82" s="41">
        <v>2.0</v>
      </c>
      <c r="BB82" s="35" t="s">
        <v>429</v>
      </c>
      <c r="BC82" s="35" t="s">
        <v>429</v>
      </c>
      <c r="BD82" s="35" t="s">
        <v>11747</v>
      </c>
      <c r="BE82" s="35" t="s">
        <v>1802</v>
      </c>
      <c r="BF82" s="35" t="s">
        <v>432</v>
      </c>
      <c r="BG82" s="35" t="s">
        <v>433</v>
      </c>
      <c r="BH82" s="35" t="s">
        <v>678</v>
      </c>
      <c r="BI82" s="35" t="s">
        <v>1803</v>
      </c>
      <c r="BJ82" s="35" t="s">
        <v>824</v>
      </c>
      <c r="BL82" s="35" t="s">
        <v>437</v>
      </c>
      <c r="BM82" s="35" t="s">
        <v>396</v>
      </c>
      <c r="BN82" s="35" t="s">
        <v>549</v>
      </c>
      <c r="BO82" s="35" t="s">
        <v>440</v>
      </c>
      <c r="CM82" s="35" t="s">
        <v>441</v>
      </c>
      <c r="CN82" s="35" t="s">
        <v>604</v>
      </c>
      <c r="CO82" s="35" t="s">
        <v>1804</v>
      </c>
      <c r="CP82" s="35" t="s">
        <v>1805</v>
      </c>
      <c r="CQ82" s="35" t="s">
        <v>979</v>
      </c>
      <c r="CR82" s="35" t="s">
        <v>1806</v>
      </c>
      <c r="CS82" s="35" t="s">
        <v>447</v>
      </c>
      <c r="CT82" s="35" t="s">
        <v>1807</v>
      </c>
      <c r="CU82" s="35" t="s">
        <v>11748</v>
      </c>
      <c r="CV82" s="35" t="s">
        <v>450</v>
      </c>
      <c r="CW82" s="35" t="s">
        <v>451</v>
      </c>
      <c r="CX82" s="35" t="s">
        <v>1809</v>
      </c>
      <c r="CY82" s="35" t="s">
        <v>408</v>
      </c>
      <c r="DA82" s="35" t="s">
        <v>453</v>
      </c>
      <c r="DC82" s="35" t="s">
        <v>913</v>
      </c>
      <c r="DE82" s="35" t="s">
        <v>406</v>
      </c>
      <c r="DF82" s="35" t="s">
        <v>407</v>
      </c>
      <c r="DG82" s="35" t="s">
        <v>1810</v>
      </c>
      <c r="DH82" s="35" t="s">
        <v>561</v>
      </c>
      <c r="DI82" s="35" t="s">
        <v>410</v>
      </c>
      <c r="DJ82" s="35" t="s">
        <v>459</v>
      </c>
      <c r="DK82" s="35" t="s">
        <v>460</v>
      </c>
      <c r="DL82" s="35" t="s">
        <v>461</v>
      </c>
      <c r="DN82" s="35" t="s">
        <v>1811</v>
      </c>
      <c r="DO82" s="35" t="s">
        <v>1812</v>
      </c>
      <c r="DP82" s="35" t="s">
        <v>464</v>
      </c>
      <c r="DQ82" s="35" t="s">
        <v>1813</v>
      </c>
      <c r="DR82" s="35" t="s">
        <v>700</v>
      </c>
      <c r="DS82" s="35" t="s">
        <v>1814</v>
      </c>
      <c r="DT82" s="35" t="s">
        <v>618</v>
      </c>
      <c r="DU82" s="35" t="s">
        <v>570</v>
      </c>
      <c r="DV82" s="35" t="s">
        <v>11749</v>
      </c>
      <c r="DW82" s="35" t="s">
        <v>1816</v>
      </c>
      <c r="DX82" s="35" t="s">
        <v>622</v>
      </c>
      <c r="DY82" s="35" t="s">
        <v>1817</v>
      </c>
      <c r="DZ82" s="35" t="s">
        <v>1818</v>
      </c>
      <c r="EB82" s="35" t="s">
        <v>475</v>
      </c>
      <c r="EC82" s="35" t="s">
        <v>626</v>
      </c>
      <c r="EU82" s="35" t="s">
        <v>526</v>
      </c>
      <c r="EV82" s="35" t="s">
        <v>579</v>
      </c>
      <c r="FA82" s="35" t="s">
        <v>413</v>
      </c>
      <c r="FB82" s="35" t="s">
        <v>415</v>
      </c>
      <c r="FC82" s="35" t="s">
        <v>413</v>
      </c>
      <c r="FD82" s="35" t="s">
        <v>413</v>
      </c>
      <c r="FE82" s="35" t="s">
        <v>413</v>
      </c>
      <c r="FF82" s="35" t="s">
        <v>415</v>
      </c>
      <c r="FG82" s="35" t="s">
        <v>413</v>
      </c>
      <c r="FH82" s="35" t="s">
        <v>413</v>
      </c>
      <c r="FI82" s="35" t="s">
        <v>413</v>
      </c>
      <c r="FJ82" s="35" t="s">
        <v>413</v>
      </c>
      <c r="FK82" s="35" t="s">
        <v>413</v>
      </c>
      <c r="FL82" s="35" t="s">
        <v>413</v>
      </c>
      <c r="FM82" s="35" t="s">
        <v>583</v>
      </c>
      <c r="FN82" s="35" t="s">
        <v>413</v>
      </c>
      <c r="FO82" s="35" t="s">
        <v>583</v>
      </c>
      <c r="FP82" s="35" t="s">
        <v>417</v>
      </c>
      <c r="FQ82" s="35" t="s">
        <v>418</v>
      </c>
      <c r="FR82" s="35" t="s">
        <v>531</v>
      </c>
      <c r="FS82" s="35" t="s">
        <v>1819</v>
      </c>
      <c r="FT82" s="35" t="s">
        <v>420</v>
      </c>
      <c r="FU82" s="35" t="s">
        <v>488</v>
      </c>
      <c r="FV82" s="35" t="s">
        <v>918</v>
      </c>
      <c r="FW82" s="35" t="s">
        <v>490</v>
      </c>
      <c r="FX82" s="35" t="s">
        <v>491</v>
      </c>
      <c r="FY82" s="35" t="s">
        <v>1820</v>
      </c>
      <c r="FZ82" s="35" t="s">
        <v>535</v>
      </c>
      <c r="GA82" s="35" t="s">
        <v>1821</v>
      </c>
      <c r="GC82" s="35" t="s">
        <v>455</v>
      </c>
      <c r="GD82" s="35" t="s">
        <v>11750</v>
      </c>
      <c r="GF82" s="35" t="s">
        <v>753</v>
      </c>
      <c r="GH82" s="35" t="s">
        <v>788</v>
      </c>
      <c r="GI82" s="35" t="s">
        <v>755</v>
      </c>
      <c r="GJ82" s="35" t="s">
        <v>817</v>
      </c>
      <c r="GN82" s="35" t="s">
        <v>1079</v>
      </c>
    </row>
    <row r="83">
      <c r="A83" s="40"/>
      <c r="B83" s="40">
        <v>45827.77508074074</v>
      </c>
      <c r="C83" s="35" t="s">
        <v>368</v>
      </c>
      <c r="D83" s="35" t="s">
        <v>370</v>
      </c>
      <c r="F83" s="35" t="s">
        <v>1875</v>
      </c>
      <c r="H83" s="35" t="s">
        <v>422</v>
      </c>
      <c r="I83" s="35" t="s">
        <v>1203</v>
      </c>
      <c r="J83" s="35" t="s">
        <v>638</v>
      </c>
      <c r="K83" s="35" t="s">
        <v>1204</v>
      </c>
      <c r="L83" s="35" t="s">
        <v>376</v>
      </c>
      <c r="M83" s="35" t="s">
        <v>426</v>
      </c>
      <c r="N83" s="35" t="s">
        <v>378</v>
      </c>
      <c r="O83" s="35" t="s">
        <v>379</v>
      </c>
      <c r="P83" s="35" t="s">
        <v>719</v>
      </c>
      <c r="Q83" s="35" t="s">
        <v>381</v>
      </c>
      <c r="R83" s="35" t="s">
        <v>1156</v>
      </c>
      <c r="S83" s="35" t="s">
        <v>949</v>
      </c>
      <c r="T83" s="35" t="s">
        <v>1512</v>
      </c>
      <c r="U83" s="35" t="s">
        <v>385</v>
      </c>
      <c r="X83" s="35" t="s">
        <v>428</v>
      </c>
      <c r="AW83" s="35" t="s">
        <v>390</v>
      </c>
      <c r="AX83" s="35" t="s">
        <v>391</v>
      </c>
      <c r="AY83" s="41">
        <v>2.0</v>
      </c>
      <c r="AZ83" s="35" t="s">
        <v>391</v>
      </c>
      <c r="BA83" s="35" t="s">
        <v>429</v>
      </c>
      <c r="BB83" s="35" t="s">
        <v>391</v>
      </c>
      <c r="BC83" s="35" t="s">
        <v>391</v>
      </c>
      <c r="BD83" s="35" t="s">
        <v>1876</v>
      </c>
      <c r="BE83" s="35" t="s">
        <v>1877</v>
      </c>
      <c r="BF83" s="35" t="s">
        <v>432</v>
      </c>
      <c r="BG83" s="35" t="s">
        <v>433</v>
      </c>
      <c r="BH83" s="35" t="s">
        <v>394</v>
      </c>
      <c r="BI83" s="35" t="s">
        <v>1878</v>
      </c>
      <c r="BJ83" s="35" t="s">
        <v>824</v>
      </c>
      <c r="BL83" s="35" t="s">
        <v>681</v>
      </c>
      <c r="BM83" s="35" t="s">
        <v>396</v>
      </c>
      <c r="BN83" s="35" t="s">
        <v>549</v>
      </c>
      <c r="BO83" s="35" t="s">
        <v>440</v>
      </c>
      <c r="CM83" s="35" t="s">
        <v>441</v>
      </c>
      <c r="CN83" s="35" t="s">
        <v>604</v>
      </c>
      <c r="CO83" s="35" t="s">
        <v>1879</v>
      </c>
      <c r="CP83" s="35" t="s">
        <v>1880</v>
      </c>
      <c r="CQ83" s="35" t="s">
        <v>1008</v>
      </c>
      <c r="CR83" s="35" t="s">
        <v>956</v>
      </c>
      <c r="CS83" s="35" t="s">
        <v>804</v>
      </c>
      <c r="CT83" s="35" t="s">
        <v>1881</v>
      </c>
      <c r="CU83" s="35" t="s">
        <v>1882</v>
      </c>
      <c r="CV83" s="35" t="s">
        <v>450</v>
      </c>
      <c r="CW83" s="35" t="s">
        <v>451</v>
      </c>
      <c r="CX83" s="35" t="s">
        <v>1883</v>
      </c>
      <c r="CY83" s="35" t="s">
        <v>408</v>
      </c>
      <c r="DA83" s="35" t="s">
        <v>453</v>
      </c>
      <c r="DB83" s="35" t="s">
        <v>1884</v>
      </c>
      <c r="DC83" s="35" t="s">
        <v>408</v>
      </c>
      <c r="DE83" s="35" t="s">
        <v>457</v>
      </c>
      <c r="DG83" s="35" t="s">
        <v>1885</v>
      </c>
      <c r="DH83" s="35" t="s">
        <v>524</v>
      </c>
      <c r="DI83" s="35" t="s">
        <v>410</v>
      </c>
      <c r="DJ83" s="35" t="s">
        <v>459</v>
      </c>
      <c r="DK83" s="35" t="s">
        <v>613</v>
      </c>
      <c r="DN83" s="35" t="s">
        <v>1492</v>
      </c>
      <c r="DO83" s="35" t="s">
        <v>1886</v>
      </c>
      <c r="DP83" s="35" t="s">
        <v>464</v>
      </c>
      <c r="DQ83" s="35" t="s">
        <v>1887</v>
      </c>
      <c r="DR83" s="35" t="s">
        <v>700</v>
      </c>
      <c r="DS83" s="35" t="s">
        <v>1888</v>
      </c>
      <c r="DT83" s="35" t="s">
        <v>839</v>
      </c>
      <c r="DU83" s="35" t="s">
        <v>703</v>
      </c>
      <c r="DV83" s="35" t="s">
        <v>1889</v>
      </c>
      <c r="DW83" s="35" t="s">
        <v>1890</v>
      </c>
      <c r="DX83" s="35" t="s">
        <v>573</v>
      </c>
      <c r="DY83" s="35" t="s">
        <v>11751</v>
      </c>
      <c r="DZ83" s="35" t="s">
        <v>1892</v>
      </c>
      <c r="EA83" s="35" t="s">
        <v>1893</v>
      </c>
      <c r="EB83" s="35" t="s">
        <v>1413</v>
      </c>
      <c r="EC83" s="35" t="s">
        <v>626</v>
      </c>
      <c r="EU83" s="35" t="s">
        <v>526</v>
      </c>
      <c r="EV83" s="35" t="s">
        <v>887</v>
      </c>
      <c r="EW83" s="35" t="s">
        <v>527</v>
      </c>
      <c r="EY83" s="35" t="s">
        <v>1894</v>
      </c>
      <c r="EZ83" s="35" t="s">
        <v>1895</v>
      </c>
      <c r="FA83" s="35" t="s">
        <v>583</v>
      </c>
      <c r="FB83" s="35" t="s">
        <v>583</v>
      </c>
      <c r="FC83" s="35" t="s">
        <v>415</v>
      </c>
      <c r="FD83" s="35" t="s">
        <v>583</v>
      </c>
      <c r="FE83" s="35" t="s">
        <v>583</v>
      </c>
      <c r="FF83" s="35" t="s">
        <v>583</v>
      </c>
      <c r="FG83" s="35" t="s">
        <v>414</v>
      </c>
      <c r="FH83" s="35" t="s">
        <v>415</v>
      </c>
      <c r="FI83" s="35" t="s">
        <v>415</v>
      </c>
      <c r="FJ83" s="35" t="s">
        <v>414</v>
      </c>
      <c r="FK83" s="35" t="s">
        <v>414</v>
      </c>
      <c r="FL83" s="35" t="s">
        <v>414</v>
      </c>
      <c r="FM83" s="35" t="s">
        <v>414</v>
      </c>
      <c r="FN83" s="35" t="s">
        <v>414</v>
      </c>
      <c r="FO83" s="35" t="s">
        <v>583</v>
      </c>
      <c r="FP83" s="35" t="s">
        <v>417</v>
      </c>
      <c r="FQ83" s="35" t="s">
        <v>418</v>
      </c>
      <c r="FR83" s="35" t="s">
        <v>419</v>
      </c>
      <c r="FS83" s="35" t="s">
        <v>1896</v>
      </c>
      <c r="FT83" s="35" t="s">
        <v>420</v>
      </c>
      <c r="FU83" s="35" t="s">
        <v>488</v>
      </c>
      <c r="FV83" s="35" t="s">
        <v>489</v>
      </c>
      <c r="FW83" s="35" t="s">
        <v>490</v>
      </c>
      <c r="FX83" s="35" t="s">
        <v>491</v>
      </c>
      <c r="FY83" s="35" t="s">
        <v>11752</v>
      </c>
      <c r="FZ83" s="35" t="s">
        <v>1020</v>
      </c>
      <c r="GA83" s="35" t="s">
        <v>1898</v>
      </c>
      <c r="GC83" s="35" t="s">
        <v>408</v>
      </c>
      <c r="GH83" s="35" t="s">
        <v>857</v>
      </c>
      <c r="GI83" s="35" t="s">
        <v>857</v>
      </c>
      <c r="GJ83" s="35" t="s">
        <v>790</v>
      </c>
      <c r="GN83" s="35" t="s">
        <v>1079</v>
      </c>
    </row>
    <row r="84">
      <c r="A84" s="40"/>
      <c r="B84" s="40">
        <v>45827.834250127315</v>
      </c>
      <c r="C84" s="35" t="s">
        <v>368</v>
      </c>
      <c r="D84" s="35" t="s">
        <v>370</v>
      </c>
      <c r="F84" s="35" t="s">
        <v>1480</v>
      </c>
      <c r="X84" s="35" t="s">
        <v>386</v>
      </c>
      <c r="Y84" s="35" t="s">
        <v>387</v>
      </c>
      <c r="Z84" s="35" t="s">
        <v>1966</v>
      </c>
      <c r="AA84" s="35" t="s">
        <v>543</v>
      </c>
      <c r="AB84" s="35" t="s">
        <v>408</v>
      </c>
      <c r="AC84" s="35" t="s">
        <v>11753</v>
      </c>
      <c r="BO84" s="35" t="s">
        <v>440</v>
      </c>
      <c r="CM84" s="35" t="s">
        <v>441</v>
      </c>
      <c r="CN84" s="35" t="s">
        <v>401</v>
      </c>
      <c r="CO84" s="35" t="s">
        <v>11754</v>
      </c>
      <c r="CP84" s="35" t="s">
        <v>11755</v>
      </c>
      <c r="CQ84" s="35" t="s">
        <v>685</v>
      </c>
      <c r="CR84" s="35" t="s">
        <v>1970</v>
      </c>
      <c r="CS84" s="35" t="s">
        <v>447</v>
      </c>
      <c r="CT84" s="35" t="s">
        <v>1971</v>
      </c>
      <c r="CU84" s="35" t="s">
        <v>1972</v>
      </c>
      <c r="CV84" s="35" t="s">
        <v>450</v>
      </c>
      <c r="CW84" s="35" t="s">
        <v>451</v>
      </c>
      <c r="CX84" s="35" t="s">
        <v>11756</v>
      </c>
      <c r="CY84" s="35" t="s">
        <v>408</v>
      </c>
      <c r="CZ84" s="35" t="s">
        <v>1211</v>
      </c>
      <c r="DA84" s="35" t="s">
        <v>453</v>
      </c>
      <c r="DB84" s="35" t="s">
        <v>11757</v>
      </c>
      <c r="DC84" s="35" t="s">
        <v>455</v>
      </c>
      <c r="DD84" s="35" t="s">
        <v>1975</v>
      </c>
      <c r="DE84" s="35" t="s">
        <v>457</v>
      </c>
      <c r="DG84" s="35" t="s">
        <v>11758</v>
      </c>
      <c r="DH84" s="35" t="s">
        <v>561</v>
      </c>
      <c r="DI84" s="35" t="s">
        <v>410</v>
      </c>
      <c r="DJ84" s="35" t="s">
        <v>1402</v>
      </c>
      <c r="DK84" s="35" t="s">
        <v>562</v>
      </c>
      <c r="DL84" s="35" t="s">
        <v>563</v>
      </c>
      <c r="EU84" s="35" t="s">
        <v>526</v>
      </c>
      <c r="EV84" s="35" t="s">
        <v>1037</v>
      </c>
      <c r="EW84" s="35" t="s">
        <v>480</v>
      </c>
      <c r="EY84" s="35" t="s">
        <v>11759</v>
      </c>
      <c r="EZ84" s="35" t="s">
        <v>11760</v>
      </c>
      <c r="FA84" s="35" t="s">
        <v>415</v>
      </c>
      <c r="FB84" s="35" t="s">
        <v>414</v>
      </c>
      <c r="FC84" s="35" t="s">
        <v>416</v>
      </c>
      <c r="FD84" s="35" t="s">
        <v>583</v>
      </c>
      <c r="FE84" s="35" t="s">
        <v>415</v>
      </c>
      <c r="FF84" s="35" t="s">
        <v>583</v>
      </c>
      <c r="FG84" s="35" t="s">
        <v>414</v>
      </c>
      <c r="FH84" s="35" t="s">
        <v>413</v>
      </c>
      <c r="FI84" s="35" t="s">
        <v>583</v>
      </c>
      <c r="FJ84" s="35" t="s">
        <v>414</v>
      </c>
      <c r="FK84" s="35" t="s">
        <v>414</v>
      </c>
      <c r="FL84" s="35" t="s">
        <v>413</v>
      </c>
      <c r="FM84" s="35" t="s">
        <v>414</v>
      </c>
      <c r="FN84" s="35" t="s">
        <v>413</v>
      </c>
      <c r="FO84" s="35" t="s">
        <v>484</v>
      </c>
      <c r="FP84" s="35" t="s">
        <v>417</v>
      </c>
      <c r="FQ84" s="35" t="s">
        <v>418</v>
      </c>
      <c r="FR84" s="35" t="s">
        <v>712</v>
      </c>
      <c r="FS84" s="35" t="s">
        <v>11761</v>
      </c>
      <c r="FT84" s="35" t="s">
        <v>420</v>
      </c>
      <c r="FU84" s="35" t="s">
        <v>488</v>
      </c>
      <c r="FV84" s="35" t="s">
        <v>489</v>
      </c>
      <c r="FW84" s="35" t="s">
        <v>490</v>
      </c>
      <c r="FX84" s="35" t="s">
        <v>491</v>
      </c>
      <c r="FY84" s="35" t="s">
        <v>1980</v>
      </c>
      <c r="FZ84" s="35" t="s">
        <v>535</v>
      </c>
      <c r="GA84" s="35" t="s">
        <v>11762</v>
      </c>
      <c r="GB84" s="35" t="s">
        <v>11763</v>
      </c>
      <c r="GC84" s="35" t="s">
        <v>455</v>
      </c>
      <c r="GD84" s="35" t="s">
        <v>11764</v>
      </c>
      <c r="GF84" s="35" t="s">
        <v>944</v>
      </c>
      <c r="GG84" s="35" t="s">
        <v>11765</v>
      </c>
      <c r="GH84" s="35" t="s">
        <v>1000</v>
      </c>
      <c r="GI84" s="35" t="s">
        <v>755</v>
      </c>
      <c r="GJ84" s="35" t="s">
        <v>946</v>
      </c>
    </row>
    <row r="85">
      <c r="A85" s="40"/>
      <c r="B85" s="40">
        <v>45827.86713875</v>
      </c>
      <c r="C85" s="35" t="s">
        <v>368</v>
      </c>
      <c r="D85" s="35" t="s">
        <v>2025</v>
      </c>
      <c r="E85" s="35" t="s">
        <v>1201</v>
      </c>
      <c r="X85" s="35" t="s">
        <v>593</v>
      </c>
      <c r="Y85" s="35" t="s">
        <v>387</v>
      </c>
      <c r="Z85" s="35" t="s">
        <v>2026</v>
      </c>
      <c r="AA85" s="35" t="s">
        <v>543</v>
      </c>
      <c r="AB85" s="35" t="s">
        <v>2027</v>
      </c>
      <c r="AC85" s="35" t="s">
        <v>11766</v>
      </c>
      <c r="BO85" s="35" t="s">
        <v>440</v>
      </c>
      <c r="CM85" s="35" t="s">
        <v>441</v>
      </c>
      <c r="CN85" s="35" t="s">
        <v>442</v>
      </c>
      <c r="CO85" s="35" t="s">
        <v>2029</v>
      </c>
      <c r="CP85" s="35" t="s">
        <v>11767</v>
      </c>
      <c r="CQ85" s="35" t="s">
        <v>979</v>
      </c>
      <c r="CR85" s="35" t="s">
        <v>2031</v>
      </c>
      <c r="CS85" s="35" t="s">
        <v>404</v>
      </c>
      <c r="CT85" s="35" t="s">
        <v>1137</v>
      </c>
      <c r="CU85" s="35" t="s">
        <v>2032</v>
      </c>
      <c r="CV85" s="35" t="s">
        <v>450</v>
      </c>
      <c r="CW85" s="35" t="s">
        <v>451</v>
      </c>
      <c r="CX85" s="35" t="s">
        <v>2033</v>
      </c>
      <c r="CY85" s="35" t="s">
        <v>408</v>
      </c>
      <c r="DA85" s="35" t="s">
        <v>985</v>
      </c>
      <c r="DB85" s="35" t="s">
        <v>2034</v>
      </c>
      <c r="DC85" s="35" t="s">
        <v>455</v>
      </c>
      <c r="DD85" s="35" t="s">
        <v>2035</v>
      </c>
      <c r="DE85" s="35" t="s">
        <v>988</v>
      </c>
      <c r="DH85" s="35" t="s">
        <v>524</v>
      </c>
      <c r="DI85" s="35" t="s">
        <v>410</v>
      </c>
      <c r="DJ85" s="35" t="s">
        <v>963</v>
      </c>
      <c r="DK85" s="35" t="s">
        <v>613</v>
      </c>
      <c r="DN85" s="35" t="s">
        <v>2036</v>
      </c>
      <c r="DO85" s="35" t="s">
        <v>2037</v>
      </c>
      <c r="DP85" s="35" t="s">
        <v>567</v>
      </c>
      <c r="DQ85" s="35" t="s">
        <v>2038</v>
      </c>
      <c r="DR85" s="35" t="s">
        <v>1291</v>
      </c>
      <c r="DS85" s="35" t="s">
        <v>2039</v>
      </c>
      <c r="DT85" s="35" t="s">
        <v>839</v>
      </c>
      <c r="DU85" s="35" t="s">
        <v>619</v>
      </c>
      <c r="DV85" s="35" t="s">
        <v>2040</v>
      </c>
      <c r="DW85" s="35" t="s">
        <v>2041</v>
      </c>
      <c r="DX85" s="35" t="s">
        <v>573</v>
      </c>
      <c r="DY85" s="35" t="s">
        <v>2042</v>
      </c>
      <c r="DZ85" s="35" t="s">
        <v>2043</v>
      </c>
      <c r="EA85" s="35" t="s">
        <v>11768</v>
      </c>
      <c r="EB85" s="35" t="s">
        <v>475</v>
      </c>
      <c r="EC85" s="35" t="s">
        <v>626</v>
      </c>
      <c r="ED85" s="35" t="s">
        <v>2045</v>
      </c>
      <c r="EU85" s="35" t="s">
        <v>578</v>
      </c>
      <c r="EV85" s="35" t="s">
        <v>579</v>
      </c>
      <c r="EW85" s="35" t="s">
        <v>778</v>
      </c>
      <c r="EX85" s="35" t="s">
        <v>11769</v>
      </c>
      <c r="EY85" s="35" t="s">
        <v>2047</v>
      </c>
      <c r="EZ85" s="35" t="s">
        <v>2048</v>
      </c>
      <c r="FA85" s="35" t="s">
        <v>415</v>
      </c>
      <c r="FB85" s="35" t="s">
        <v>414</v>
      </c>
      <c r="FC85" s="35" t="s">
        <v>413</v>
      </c>
      <c r="FD85" s="35" t="s">
        <v>416</v>
      </c>
      <c r="FE85" s="35" t="s">
        <v>413</v>
      </c>
      <c r="FF85" s="35" t="s">
        <v>414</v>
      </c>
      <c r="FG85" s="35" t="s">
        <v>415</v>
      </c>
      <c r="FH85" s="35" t="s">
        <v>413</v>
      </c>
      <c r="FI85" s="35" t="s">
        <v>415</v>
      </c>
      <c r="FJ85" s="35" t="s">
        <v>416</v>
      </c>
      <c r="FK85" s="35" t="s">
        <v>415</v>
      </c>
      <c r="FL85" s="35" t="s">
        <v>416</v>
      </c>
      <c r="FM85" s="35" t="s">
        <v>416</v>
      </c>
      <c r="FN85" s="35" t="s">
        <v>416</v>
      </c>
      <c r="FO85" s="35" t="s">
        <v>416</v>
      </c>
      <c r="FP85" s="35" t="s">
        <v>485</v>
      </c>
      <c r="FQ85" s="35" t="s">
        <v>418</v>
      </c>
      <c r="FR85" s="35" t="s">
        <v>1039</v>
      </c>
      <c r="FS85" s="35" t="s">
        <v>2049</v>
      </c>
      <c r="FT85" s="35" t="s">
        <v>420</v>
      </c>
      <c r="FU85" s="35" t="s">
        <v>488</v>
      </c>
      <c r="FV85" s="35" t="s">
        <v>585</v>
      </c>
      <c r="FW85" s="35" t="s">
        <v>490</v>
      </c>
      <c r="FX85" s="35" t="s">
        <v>491</v>
      </c>
      <c r="FY85" s="35" t="s">
        <v>2050</v>
      </c>
      <c r="FZ85" s="35" t="s">
        <v>493</v>
      </c>
      <c r="GA85" s="35" t="s">
        <v>2051</v>
      </c>
      <c r="GC85" s="35" t="s">
        <v>455</v>
      </c>
      <c r="GD85" s="35" t="s">
        <v>11770</v>
      </c>
      <c r="GF85" s="35" t="s">
        <v>855</v>
      </c>
      <c r="GG85" s="35" t="s">
        <v>2052</v>
      </c>
      <c r="GH85" s="35" t="s">
        <v>755</v>
      </c>
      <c r="GI85" s="35" t="s">
        <v>755</v>
      </c>
      <c r="GJ85" s="35" t="s">
        <v>946</v>
      </c>
      <c r="GN85" s="35" t="s">
        <v>1079</v>
      </c>
    </row>
    <row r="86">
      <c r="A86" s="40"/>
      <c r="B86" s="40">
        <v>45827.86729285879</v>
      </c>
      <c r="C86" s="35" t="s">
        <v>368</v>
      </c>
      <c r="D86" s="35" t="s">
        <v>370</v>
      </c>
      <c r="F86" s="35" t="s">
        <v>1001</v>
      </c>
      <c r="H86" s="35" t="s">
        <v>422</v>
      </c>
      <c r="I86" s="35" t="s">
        <v>373</v>
      </c>
      <c r="J86" s="35" t="s">
        <v>374</v>
      </c>
      <c r="K86" s="35" t="s">
        <v>375</v>
      </c>
      <c r="L86" s="35" t="s">
        <v>376</v>
      </c>
      <c r="M86" s="35" t="s">
        <v>591</v>
      </c>
      <c r="N86" s="35" t="s">
        <v>860</v>
      </c>
      <c r="O86" s="35" t="s">
        <v>591</v>
      </c>
      <c r="P86" s="35" t="s">
        <v>2053</v>
      </c>
      <c r="Q86" s="35" t="s">
        <v>498</v>
      </c>
      <c r="R86" s="35" t="s">
        <v>1004</v>
      </c>
      <c r="S86" s="35" t="s">
        <v>2054</v>
      </c>
      <c r="T86" s="35" t="s">
        <v>384</v>
      </c>
      <c r="U86" s="35" t="s">
        <v>385</v>
      </c>
      <c r="X86" s="35" t="s">
        <v>386</v>
      </c>
      <c r="Y86" s="35" t="s">
        <v>1706</v>
      </c>
      <c r="AD86" s="35" t="s">
        <v>2055</v>
      </c>
      <c r="AE86" s="35" t="s">
        <v>1938</v>
      </c>
      <c r="AF86" s="35" t="s">
        <v>455</v>
      </c>
      <c r="AG86" s="35" t="s">
        <v>2056</v>
      </c>
      <c r="AH86" s="41">
        <v>1.0</v>
      </c>
      <c r="AI86" s="35" t="s">
        <v>1639</v>
      </c>
      <c r="AJ86" s="35" t="s">
        <v>2057</v>
      </c>
      <c r="AK86" s="35" t="s">
        <v>2058</v>
      </c>
      <c r="AL86" s="35" t="s">
        <v>396</v>
      </c>
      <c r="AW86" s="35" t="s">
        <v>1310</v>
      </c>
      <c r="AX86" s="41">
        <v>4.0</v>
      </c>
      <c r="AY86" s="35" t="s">
        <v>391</v>
      </c>
      <c r="AZ86" s="35" t="s">
        <v>675</v>
      </c>
      <c r="BA86" s="41">
        <v>4.0</v>
      </c>
      <c r="BB86" s="35" t="s">
        <v>675</v>
      </c>
      <c r="BC86" s="41">
        <v>4.0</v>
      </c>
      <c r="BD86" s="35" t="s">
        <v>2059</v>
      </c>
      <c r="BE86" s="35" t="s">
        <v>2060</v>
      </c>
      <c r="BF86" s="35" t="s">
        <v>432</v>
      </c>
      <c r="BG86" s="35" t="s">
        <v>393</v>
      </c>
      <c r="BH86" s="35" t="s">
        <v>394</v>
      </c>
      <c r="BI86" s="35" t="s">
        <v>2061</v>
      </c>
      <c r="BJ86" s="35" t="s">
        <v>824</v>
      </c>
      <c r="BK86" s="35" t="s">
        <v>1211</v>
      </c>
      <c r="BL86" s="35" t="s">
        <v>395</v>
      </c>
      <c r="BM86" s="35" t="s">
        <v>904</v>
      </c>
      <c r="BN86" s="35" t="s">
        <v>1247</v>
      </c>
      <c r="BO86" s="35" t="s">
        <v>440</v>
      </c>
      <c r="CM86" s="35" t="s">
        <v>441</v>
      </c>
      <c r="CN86" s="35" t="s">
        <v>604</v>
      </c>
      <c r="CO86" s="35" t="s">
        <v>2062</v>
      </c>
      <c r="CP86" s="35" t="s">
        <v>2063</v>
      </c>
      <c r="CQ86" s="35" t="s">
        <v>445</v>
      </c>
      <c r="CR86" s="35" t="s">
        <v>2064</v>
      </c>
      <c r="CS86" s="35" t="s">
        <v>447</v>
      </c>
      <c r="CT86" s="35" t="s">
        <v>1147</v>
      </c>
      <c r="CU86" s="35" t="s">
        <v>2065</v>
      </c>
      <c r="CV86" s="35" t="s">
        <v>1863</v>
      </c>
      <c r="CW86" s="35" t="s">
        <v>451</v>
      </c>
      <c r="CX86" s="35" t="s">
        <v>2066</v>
      </c>
      <c r="CY86" s="35" t="s">
        <v>408</v>
      </c>
      <c r="CZ86" s="35" t="s">
        <v>1211</v>
      </c>
      <c r="DA86" s="35" t="s">
        <v>1398</v>
      </c>
      <c r="DB86" s="35" t="s">
        <v>2067</v>
      </c>
      <c r="DC86" s="35" t="s">
        <v>408</v>
      </c>
      <c r="DD86" s="35" t="s">
        <v>1211</v>
      </c>
      <c r="DE86" s="35" t="s">
        <v>988</v>
      </c>
      <c r="DF86" s="35" t="s">
        <v>407</v>
      </c>
      <c r="DG86" s="35" t="s">
        <v>2068</v>
      </c>
      <c r="DH86" s="35" t="s">
        <v>524</v>
      </c>
      <c r="DI86" s="35" t="s">
        <v>410</v>
      </c>
      <c r="DJ86" s="35" t="s">
        <v>459</v>
      </c>
      <c r="DK86" s="35" t="s">
        <v>613</v>
      </c>
      <c r="DN86" s="35" t="s">
        <v>2069</v>
      </c>
      <c r="DO86" s="35" t="s">
        <v>2070</v>
      </c>
      <c r="DP86" s="35" t="s">
        <v>464</v>
      </c>
      <c r="DQ86" s="35" t="s">
        <v>2071</v>
      </c>
      <c r="DR86" s="35" t="s">
        <v>1324</v>
      </c>
      <c r="DS86" s="35" t="s">
        <v>2072</v>
      </c>
      <c r="DU86" s="35" t="s">
        <v>1580</v>
      </c>
      <c r="DV86" s="35" t="s">
        <v>2073</v>
      </c>
      <c r="DW86" s="35" t="s">
        <v>2074</v>
      </c>
      <c r="DX86" s="35" t="s">
        <v>1328</v>
      </c>
      <c r="DY86" s="35" t="s">
        <v>2075</v>
      </c>
      <c r="DZ86" s="35" t="s">
        <v>2076</v>
      </c>
      <c r="EA86" s="35" t="s">
        <v>2077</v>
      </c>
      <c r="EB86" s="35" t="s">
        <v>1413</v>
      </c>
      <c r="EC86" s="35" t="s">
        <v>626</v>
      </c>
      <c r="ED86" s="35" t="s">
        <v>2078</v>
      </c>
      <c r="EU86" s="35" t="s">
        <v>478</v>
      </c>
      <c r="EV86" s="35" t="s">
        <v>479</v>
      </c>
      <c r="EW86" s="35" t="s">
        <v>1534</v>
      </c>
      <c r="EX86" s="35" t="s">
        <v>2079</v>
      </c>
      <c r="EY86" s="35" t="s">
        <v>11771</v>
      </c>
      <c r="EZ86" s="35" t="s">
        <v>2081</v>
      </c>
      <c r="FA86" s="35" t="s">
        <v>414</v>
      </c>
      <c r="FB86" s="35" t="s">
        <v>583</v>
      </c>
      <c r="FC86" s="35" t="s">
        <v>413</v>
      </c>
      <c r="FD86" s="35" t="s">
        <v>414</v>
      </c>
      <c r="FE86" s="35" t="s">
        <v>416</v>
      </c>
      <c r="FF86" s="35" t="s">
        <v>583</v>
      </c>
      <c r="FG86" s="35" t="s">
        <v>415</v>
      </c>
      <c r="FH86" s="35" t="s">
        <v>413</v>
      </c>
      <c r="FI86" s="35" t="s">
        <v>583</v>
      </c>
      <c r="FJ86" s="35" t="s">
        <v>583</v>
      </c>
      <c r="FK86" s="35" t="s">
        <v>414</v>
      </c>
      <c r="FL86" s="35" t="s">
        <v>415</v>
      </c>
      <c r="FM86" s="35" t="s">
        <v>415</v>
      </c>
      <c r="FN86" s="35" t="s">
        <v>416</v>
      </c>
      <c r="FO86" s="35" t="s">
        <v>414</v>
      </c>
      <c r="FP86" s="35" t="s">
        <v>485</v>
      </c>
      <c r="FQ86" s="35" t="s">
        <v>418</v>
      </c>
      <c r="FR86" s="35" t="s">
        <v>712</v>
      </c>
      <c r="FS86" s="35" t="s">
        <v>2082</v>
      </c>
      <c r="FT86" s="35" t="s">
        <v>420</v>
      </c>
      <c r="FU86" s="35" t="s">
        <v>1462</v>
      </c>
      <c r="FV86" s="35" t="s">
        <v>489</v>
      </c>
      <c r="FW86" s="35" t="s">
        <v>490</v>
      </c>
      <c r="FX86" s="35" t="s">
        <v>491</v>
      </c>
      <c r="FY86" s="35" t="s">
        <v>2083</v>
      </c>
      <c r="FZ86" s="35" t="s">
        <v>535</v>
      </c>
      <c r="GA86" s="35" t="s">
        <v>2084</v>
      </c>
      <c r="GB86" s="35" t="s">
        <v>2085</v>
      </c>
      <c r="GC86" s="35" t="s">
        <v>455</v>
      </c>
      <c r="GE86" s="35" t="s">
        <v>2086</v>
      </c>
      <c r="GF86" s="35" t="s">
        <v>1339</v>
      </c>
      <c r="GG86" s="35" t="s">
        <v>2087</v>
      </c>
      <c r="GH86" s="35" t="s">
        <v>1000</v>
      </c>
      <c r="GI86" s="35" t="s">
        <v>1000</v>
      </c>
      <c r="GJ86" s="35" t="s">
        <v>946</v>
      </c>
      <c r="GN86" s="35" t="s">
        <v>1079</v>
      </c>
    </row>
    <row r="87">
      <c r="A87" s="40"/>
      <c r="B87" s="40">
        <v>45828.01005491898</v>
      </c>
      <c r="C87" s="35" t="s">
        <v>368</v>
      </c>
      <c r="D87" s="35" t="s">
        <v>370</v>
      </c>
      <c r="F87" s="35" t="s">
        <v>2294</v>
      </c>
      <c r="H87" s="35" t="s">
        <v>2295</v>
      </c>
      <c r="I87" s="35" t="s">
        <v>373</v>
      </c>
      <c r="J87" s="35" t="s">
        <v>638</v>
      </c>
      <c r="K87" s="35" t="s">
        <v>425</v>
      </c>
      <c r="L87" s="35" t="s">
        <v>376</v>
      </c>
      <c r="M87" s="35" t="s">
        <v>591</v>
      </c>
      <c r="N87" s="35" t="s">
        <v>860</v>
      </c>
      <c r="O87" s="35" t="s">
        <v>426</v>
      </c>
      <c r="P87" s="35" t="s">
        <v>497</v>
      </c>
      <c r="Q87" s="35" t="s">
        <v>498</v>
      </c>
      <c r="R87" s="35" t="s">
        <v>499</v>
      </c>
      <c r="S87" s="35" t="s">
        <v>427</v>
      </c>
      <c r="T87" s="35" t="s">
        <v>384</v>
      </c>
      <c r="U87" s="35" t="s">
        <v>385</v>
      </c>
      <c r="X87" s="35" t="s">
        <v>386</v>
      </c>
      <c r="Y87" s="35" t="s">
        <v>387</v>
      </c>
      <c r="Z87" s="35" t="s">
        <v>897</v>
      </c>
      <c r="AA87" s="35" t="s">
        <v>502</v>
      </c>
      <c r="AB87" s="35" t="s">
        <v>408</v>
      </c>
      <c r="AC87" s="35" t="s">
        <v>11772</v>
      </c>
      <c r="AW87" s="35" t="s">
        <v>390</v>
      </c>
      <c r="AX87" s="35" t="s">
        <v>391</v>
      </c>
      <c r="AY87" s="35" t="s">
        <v>391</v>
      </c>
      <c r="AZ87" s="35" t="s">
        <v>391</v>
      </c>
      <c r="BA87" s="35" t="s">
        <v>429</v>
      </c>
      <c r="BB87" s="35" t="s">
        <v>391</v>
      </c>
      <c r="BC87" s="41">
        <v>2.0</v>
      </c>
      <c r="BD87" s="35" t="s">
        <v>11773</v>
      </c>
      <c r="BE87" s="35" t="s">
        <v>11774</v>
      </c>
      <c r="BF87" s="35" t="s">
        <v>432</v>
      </c>
      <c r="BG87" s="35" t="s">
        <v>433</v>
      </c>
      <c r="BH87" s="35" t="s">
        <v>678</v>
      </c>
      <c r="BJ87" s="35" t="s">
        <v>976</v>
      </c>
      <c r="BL87" s="35" t="s">
        <v>681</v>
      </c>
      <c r="BM87" s="35" t="s">
        <v>396</v>
      </c>
      <c r="BN87" s="35" t="s">
        <v>397</v>
      </c>
      <c r="BO87" s="35" t="s">
        <v>440</v>
      </c>
      <c r="DJ87" s="35" t="s">
        <v>777</v>
      </c>
      <c r="DK87" s="35" t="s">
        <v>613</v>
      </c>
      <c r="DN87" s="35" t="s">
        <v>2299</v>
      </c>
      <c r="DO87" s="35" t="s">
        <v>2300</v>
      </c>
      <c r="DP87" s="35" t="s">
        <v>567</v>
      </c>
      <c r="DQ87" s="35" t="s">
        <v>2301</v>
      </c>
      <c r="DR87" s="35" t="s">
        <v>1152</v>
      </c>
      <c r="DT87" s="35" t="s">
        <v>702</v>
      </c>
      <c r="DV87" s="35" t="s">
        <v>11775</v>
      </c>
      <c r="DW87" s="35" t="s">
        <v>11776</v>
      </c>
      <c r="DX87" s="35" t="s">
        <v>573</v>
      </c>
      <c r="DY87" s="35" t="s">
        <v>2304</v>
      </c>
      <c r="DZ87" s="35" t="s">
        <v>11777</v>
      </c>
      <c r="EA87" s="35" t="s">
        <v>11778</v>
      </c>
      <c r="EB87" s="35" t="s">
        <v>1413</v>
      </c>
      <c r="EC87" s="35" t="s">
        <v>845</v>
      </c>
      <c r="EU87" s="35" t="s">
        <v>526</v>
      </c>
      <c r="EV87" s="35" t="s">
        <v>887</v>
      </c>
      <c r="EW87" s="35" t="s">
        <v>580</v>
      </c>
      <c r="EX87" s="35" t="s">
        <v>11779</v>
      </c>
      <c r="FA87" s="35" t="s">
        <v>413</v>
      </c>
      <c r="FB87" s="35" t="s">
        <v>413</v>
      </c>
      <c r="FC87" s="35" t="s">
        <v>413</v>
      </c>
      <c r="FD87" s="35" t="s">
        <v>413</v>
      </c>
      <c r="FE87" s="35" t="s">
        <v>413</v>
      </c>
      <c r="FF87" s="35" t="s">
        <v>413</v>
      </c>
      <c r="FG87" s="35" t="s">
        <v>413</v>
      </c>
      <c r="FH87" s="35" t="s">
        <v>413</v>
      </c>
      <c r="FI87" s="35" t="s">
        <v>413</v>
      </c>
      <c r="FJ87" s="35" t="s">
        <v>583</v>
      </c>
      <c r="FK87" s="35" t="s">
        <v>415</v>
      </c>
      <c r="FL87" s="35" t="s">
        <v>413</v>
      </c>
      <c r="FM87" s="35" t="s">
        <v>413</v>
      </c>
      <c r="FN87" s="35" t="s">
        <v>415</v>
      </c>
      <c r="FO87" s="35" t="s">
        <v>415</v>
      </c>
      <c r="FP87" s="35" t="s">
        <v>485</v>
      </c>
      <c r="FQ87" s="35" t="s">
        <v>486</v>
      </c>
      <c r="FR87" s="35" t="s">
        <v>712</v>
      </c>
      <c r="FS87" s="35" t="s">
        <v>11780</v>
      </c>
      <c r="FT87" s="35" t="s">
        <v>420</v>
      </c>
      <c r="FU87" s="35" t="s">
        <v>488</v>
      </c>
      <c r="FV87" s="35" t="s">
        <v>489</v>
      </c>
      <c r="FW87" s="35" t="s">
        <v>490</v>
      </c>
      <c r="FX87" s="35" t="s">
        <v>491</v>
      </c>
      <c r="FY87" s="35" t="s">
        <v>11781</v>
      </c>
      <c r="FZ87" s="35" t="s">
        <v>493</v>
      </c>
      <c r="GA87" s="35" t="s">
        <v>11782</v>
      </c>
      <c r="GB87" s="35" t="s">
        <v>11783</v>
      </c>
      <c r="GC87" s="35" t="s">
        <v>455</v>
      </c>
      <c r="GD87" s="35" t="s">
        <v>11784</v>
      </c>
      <c r="GF87" s="35" t="s">
        <v>786</v>
      </c>
      <c r="GG87" s="35" t="s">
        <v>10504</v>
      </c>
      <c r="GN87" s="35" t="s">
        <v>2312</v>
      </c>
    </row>
    <row r="88">
      <c r="A88" s="40"/>
      <c r="B88" s="40">
        <v>45828.35833436342</v>
      </c>
      <c r="C88" s="35" t="s">
        <v>368</v>
      </c>
      <c r="D88" s="35" t="s">
        <v>370</v>
      </c>
      <c r="F88" s="35" t="s">
        <v>2559</v>
      </c>
      <c r="H88" s="35" t="s">
        <v>422</v>
      </c>
      <c r="I88" s="35" t="s">
        <v>496</v>
      </c>
      <c r="J88" s="35" t="s">
        <v>374</v>
      </c>
      <c r="K88" s="35" t="s">
        <v>425</v>
      </c>
      <c r="L88" s="35" t="s">
        <v>2560</v>
      </c>
      <c r="M88" s="35" t="s">
        <v>793</v>
      </c>
      <c r="N88" s="35" t="s">
        <v>860</v>
      </c>
      <c r="O88" s="35" t="s">
        <v>591</v>
      </c>
      <c r="P88" s="35" t="s">
        <v>541</v>
      </c>
      <c r="Q88" s="35" t="s">
        <v>498</v>
      </c>
      <c r="R88" s="35" t="s">
        <v>499</v>
      </c>
      <c r="S88" s="35" t="s">
        <v>949</v>
      </c>
      <c r="T88" s="35" t="s">
        <v>384</v>
      </c>
      <c r="U88" s="35" t="s">
        <v>385</v>
      </c>
      <c r="X88" s="35" t="s">
        <v>593</v>
      </c>
      <c r="Y88" s="35" t="s">
        <v>387</v>
      </c>
      <c r="Z88" s="35" t="s">
        <v>388</v>
      </c>
      <c r="AA88" s="35" t="s">
        <v>502</v>
      </c>
      <c r="AB88" s="35" t="s">
        <v>408</v>
      </c>
      <c r="AW88" s="35" t="s">
        <v>597</v>
      </c>
      <c r="AX88" s="35" t="s">
        <v>391</v>
      </c>
      <c r="AY88" s="41">
        <v>2.0</v>
      </c>
      <c r="AZ88" s="35" t="s">
        <v>391</v>
      </c>
      <c r="BA88" s="41">
        <v>2.0</v>
      </c>
      <c r="BB88" s="35" t="s">
        <v>391</v>
      </c>
      <c r="BC88" s="41">
        <v>2.0</v>
      </c>
      <c r="BD88" s="35" t="s">
        <v>2561</v>
      </c>
      <c r="BE88" s="35" t="s">
        <v>2562</v>
      </c>
      <c r="BF88" s="35" t="s">
        <v>2259</v>
      </c>
      <c r="BG88" s="35" t="s">
        <v>1047</v>
      </c>
      <c r="BH88" s="35" t="s">
        <v>725</v>
      </c>
      <c r="BJ88" s="35" t="s">
        <v>435</v>
      </c>
      <c r="BL88" s="35" t="s">
        <v>437</v>
      </c>
      <c r="BM88" s="35" t="s">
        <v>438</v>
      </c>
      <c r="BN88" s="35" t="s">
        <v>549</v>
      </c>
      <c r="BO88" s="35" t="s">
        <v>440</v>
      </c>
      <c r="CM88" s="35" t="s">
        <v>550</v>
      </c>
      <c r="CN88" s="35" t="s">
        <v>604</v>
      </c>
      <c r="CO88" s="35" t="s">
        <v>552</v>
      </c>
      <c r="CQ88" s="35" t="s">
        <v>403</v>
      </c>
      <c r="CR88" s="35" t="s">
        <v>2563</v>
      </c>
      <c r="CS88" s="35" t="s">
        <v>447</v>
      </c>
      <c r="CT88" s="35" t="s">
        <v>2564</v>
      </c>
      <c r="CU88" s="35" t="s">
        <v>2565</v>
      </c>
      <c r="CV88" s="35" t="s">
        <v>450</v>
      </c>
      <c r="CW88" s="35" t="s">
        <v>451</v>
      </c>
      <c r="CX88" s="35" t="s">
        <v>11785</v>
      </c>
      <c r="CY88" s="35" t="s">
        <v>408</v>
      </c>
      <c r="DA88" s="35" t="s">
        <v>985</v>
      </c>
      <c r="DB88" s="35" t="s">
        <v>11786</v>
      </c>
      <c r="DC88" s="35" t="s">
        <v>408</v>
      </c>
      <c r="DE88" s="35" t="s">
        <v>406</v>
      </c>
      <c r="DF88" s="35" t="s">
        <v>407</v>
      </c>
      <c r="DH88" s="35" t="s">
        <v>524</v>
      </c>
      <c r="DI88" s="35" t="s">
        <v>833</v>
      </c>
      <c r="DJ88" s="35" t="s">
        <v>777</v>
      </c>
      <c r="DK88" s="35" t="s">
        <v>613</v>
      </c>
      <c r="DN88" s="35" t="s">
        <v>2568</v>
      </c>
      <c r="DO88" s="35" t="s">
        <v>2569</v>
      </c>
      <c r="DP88" s="35" t="s">
        <v>464</v>
      </c>
      <c r="DQ88" s="35" t="s">
        <v>11787</v>
      </c>
      <c r="DR88" s="35" t="s">
        <v>1553</v>
      </c>
      <c r="DS88" s="35" t="s">
        <v>408</v>
      </c>
      <c r="DT88" s="35" t="s">
        <v>839</v>
      </c>
      <c r="DU88" s="35" t="s">
        <v>740</v>
      </c>
      <c r="DV88" s="35" t="s">
        <v>2571</v>
      </c>
      <c r="DW88" s="35" t="s">
        <v>2572</v>
      </c>
      <c r="DX88" s="35" t="s">
        <v>396</v>
      </c>
      <c r="DY88" s="35" t="s">
        <v>11788</v>
      </c>
      <c r="DZ88" s="35" t="s">
        <v>11789</v>
      </c>
      <c r="EB88" s="35" t="s">
        <v>1413</v>
      </c>
      <c r="EC88" s="35" t="s">
        <v>845</v>
      </c>
      <c r="EU88" s="35" t="s">
        <v>578</v>
      </c>
      <c r="EV88" s="35" t="s">
        <v>1127</v>
      </c>
      <c r="EW88" s="35" t="s">
        <v>1262</v>
      </c>
      <c r="EY88" s="35" t="s">
        <v>11790</v>
      </c>
      <c r="EZ88" s="35" t="s">
        <v>11791</v>
      </c>
      <c r="FA88" s="35" t="s">
        <v>416</v>
      </c>
      <c r="FB88" s="35" t="s">
        <v>415</v>
      </c>
      <c r="FC88" s="35" t="s">
        <v>413</v>
      </c>
      <c r="FD88" s="35" t="s">
        <v>414</v>
      </c>
      <c r="FE88" s="35" t="s">
        <v>415</v>
      </c>
      <c r="FF88" s="35" t="s">
        <v>583</v>
      </c>
      <c r="FG88" s="35" t="s">
        <v>583</v>
      </c>
      <c r="FH88" s="35" t="s">
        <v>413</v>
      </c>
      <c r="FI88" s="35" t="s">
        <v>415</v>
      </c>
      <c r="FJ88" s="35" t="s">
        <v>583</v>
      </c>
      <c r="FK88" s="35" t="s">
        <v>415</v>
      </c>
      <c r="FL88" s="35" t="s">
        <v>414</v>
      </c>
      <c r="FM88" s="35" t="s">
        <v>414</v>
      </c>
      <c r="FN88" s="35" t="s">
        <v>413</v>
      </c>
      <c r="FO88" s="35" t="s">
        <v>415</v>
      </c>
      <c r="FP88" s="35" t="s">
        <v>850</v>
      </c>
      <c r="FQ88" s="35" t="s">
        <v>486</v>
      </c>
      <c r="FR88" s="35" t="s">
        <v>419</v>
      </c>
      <c r="FS88" s="35" t="s">
        <v>11252</v>
      </c>
      <c r="FT88" s="35" t="s">
        <v>420</v>
      </c>
      <c r="FU88" s="35" t="s">
        <v>488</v>
      </c>
      <c r="FV88" s="35" t="s">
        <v>489</v>
      </c>
      <c r="FW88" s="35" t="s">
        <v>490</v>
      </c>
      <c r="FX88" s="35" t="s">
        <v>491</v>
      </c>
      <c r="FZ88" s="35" t="s">
        <v>535</v>
      </c>
      <c r="GC88" s="35" t="s">
        <v>455</v>
      </c>
      <c r="GD88" s="35" t="s">
        <v>11792</v>
      </c>
      <c r="GE88" s="35" t="s">
        <v>11793</v>
      </c>
      <c r="GF88" s="35" t="s">
        <v>944</v>
      </c>
      <c r="GH88" s="35" t="s">
        <v>1000</v>
      </c>
      <c r="GI88" s="35" t="s">
        <v>1000</v>
      </c>
      <c r="GJ88" s="35" t="s">
        <v>756</v>
      </c>
      <c r="GN88" s="35" t="s">
        <v>1079</v>
      </c>
    </row>
    <row r="89">
      <c r="A89" s="40"/>
      <c r="B89" s="40">
        <v>45828.4853855324</v>
      </c>
      <c r="C89" s="35" t="s">
        <v>368</v>
      </c>
      <c r="D89" s="35" t="s">
        <v>370</v>
      </c>
      <c r="F89" s="35" t="s">
        <v>371</v>
      </c>
      <c r="H89" s="35" t="s">
        <v>372</v>
      </c>
      <c r="I89" s="35" t="s">
        <v>373</v>
      </c>
      <c r="J89" s="35" t="s">
        <v>374</v>
      </c>
      <c r="K89" s="35" t="s">
        <v>718</v>
      </c>
      <c r="L89" s="35" t="s">
        <v>376</v>
      </c>
      <c r="M89" s="35" t="s">
        <v>426</v>
      </c>
      <c r="N89" s="35" t="s">
        <v>639</v>
      </c>
      <c r="O89" s="35" t="s">
        <v>591</v>
      </c>
      <c r="P89" s="35" t="s">
        <v>639</v>
      </c>
      <c r="Q89" s="35" t="s">
        <v>381</v>
      </c>
      <c r="R89" s="35" t="s">
        <v>382</v>
      </c>
      <c r="S89" s="35" t="s">
        <v>11794</v>
      </c>
      <c r="T89" s="35" t="s">
        <v>1443</v>
      </c>
      <c r="U89" s="35" t="s">
        <v>385</v>
      </c>
      <c r="X89" s="35" t="s">
        <v>760</v>
      </c>
      <c r="Y89" s="35" t="s">
        <v>387</v>
      </c>
      <c r="Z89" s="35" t="s">
        <v>594</v>
      </c>
      <c r="AA89" s="35" t="s">
        <v>543</v>
      </c>
      <c r="AB89" s="35" t="s">
        <v>2675</v>
      </c>
      <c r="AC89" s="35" t="s">
        <v>11795</v>
      </c>
      <c r="AW89" s="35" t="s">
        <v>597</v>
      </c>
      <c r="AX89" s="35" t="s">
        <v>391</v>
      </c>
      <c r="AY89" s="35" t="s">
        <v>391</v>
      </c>
      <c r="AZ89" s="35" t="s">
        <v>391</v>
      </c>
      <c r="BA89" s="35" t="s">
        <v>391</v>
      </c>
      <c r="BB89" s="35" t="s">
        <v>391</v>
      </c>
      <c r="BC89" s="35" t="s">
        <v>391</v>
      </c>
      <c r="BD89" s="35" t="s">
        <v>11796</v>
      </c>
      <c r="BE89" s="35" t="s">
        <v>2678</v>
      </c>
      <c r="BF89" s="35" t="s">
        <v>2259</v>
      </c>
      <c r="BG89" s="35" t="s">
        <v>433</v>
      </c>
      <c r="BH89" s="35" t="s">
        <v>394</v>
      </c>
      <c r="BI89" s="35" t="s">
        <v>11797</v>
      </c>
      <c r="BJ89" s="35" t="s">
        <v>509</v>
      </c>
      <c r="BK89" s="35" t="s">
        <v>2680</v>
      </c>
      <c r="BL89" s="35" t="s">
        <v>602</v>
      </c>
      <c r="BM89" s="35" t="s">
        <v>438</v>
      </c>
      <c r="BN89" s="35" t="s">
        <v>549</v>
      </c>
      <c r="BO89" s="35" t="s">
        <v>440</v>
      </c>
      <c r="CM89" s="35" t="s">
        <v>441</v>
      </c>
      <c r="CN89" s="35" t="s">
        <v>401</v>
      </c>
      <c r="CO89" s="35" t="s">
        <v>2681</v>
      </c>
      <c r="CP89" s="35" t="s">
        <v>2682</v>
      </c>
      <c r="CQ89" s="35" t="s">
        <v>685</v>
      </c>
      <c r="CR89" s="35" t="s">
        <v>2683</v>
      </c>
      <c r="CS89" s="35" t="s">
        <v>447</v>
      </c>
      <c r="CT89" s="35" t="s">
        <v>2684</v>
      </c>
      <c r="CU89" s="35" t="s">
        <v>2685</v>
      </c>
      <c r="CV89" s="35" t="s">
        <v>450</v>
      </c>
      <c r="CW89" s="35" t="s">
        <v>451</v>
      </c>
      <c r="CX89" s="35" t="s">
        <v>11798</v>
      </c>
      <c r="CY89" s="35" t="s">
        <v>408</v>
      </c>
      <c r="DA89" s="35" t="s">
        <v>453</v>
      </c>
      <c r="DB89" s="35" t="s">
        <v>2687</v>
      </c>
      <c r="DC89" s="35" t="s">
        <v>455</v>
      </c>
      <c r="DD89" s="35" t="s">
        <v>11799</v>
      </c>
      <c r="DE89" s="35" t="s">
        <v>406</v>
      </c>
      <c r="DF89" s="35" t="s">
        <v>407</v>
      </c>
      <c r="DG89" s="35" t="s">
        <v>2689</v>
      </c>
      <c r="DH89" s="35" t="s">
        <v>524</v>
      </c>
      <c r="DI89" s="35" t="s">
        <v>410</v>
      </c>
      <c r="DJ89" s="35" t="s">
        <v>963</v>
      </c>
      <c r="DK89" s="35" t="s">
        <v>613</v>
      </c>
      <c r="DN89" s="35" t="s">
        <v>2690</v>
      </c>
      <c r="DO89" s="35" t="s">
        <v>2691</v>
      </c>
      <c r="DP89" s="35" t="s">
        <v>567</v>
      </c>
      <c r="DQ89" s="35" t="s">
        <v>11800</v>
      </c>
      <c r="DR89" s="35" t="s">
        <v>1553</v>
      </c>
      <c r="DS89" s="35" t="s">
        <v>11801</v>
      </c>
      <c r="DT89" s="35" t="s">
        <v>839</v>
      </c>
      <c r="DU89" s="35" t="s">
        <v>703</v>
      </c>
      <c r="DV89" s="35" t="s">
        <v>2694</v>
      </c>
      <c r="DW89" s="35" t="s">
        <v>2695</v>
      </c>
      <c r="DX89" s="35" t="s">
        <v>1328</v>
      </c>
      <c r="DY89" s="35" t="s">
        <v>11802</v>
      </c>
      <c r="DZ89" s="35" t="s">
        <v>11803</v>
      </c>
      <c r="EA89" s="35" t="s">
        <v>11804</v>
      </c>
      <c r="EB89" s="35" t="s">
        <v>475</v>
      </c>
      <c r="EC89" s="35" t="s">
        <v>626</v>
      </c>
      <c r="ED89" s="35" t="s">
        <v>11805</v>
      </c>
      <c r="EU89" s="35" t="s">
        <v>526</v>
      </c>
      <c r="EV89" s="35" t="s">
        <v>579</v>
      </c>
      <c r="EW89" s="35" t="s">
        <v>778</v>
      </c>
      <c r="EX89" s="35" t="s">
        <v>11806</v>
      </c>
      <c r="EY89" s="35" t="s">
        <v>2701</v>
      </c>
      <c r="EZ89" s="35" t="s">
        <v>2702</v>
      </c>
      <c r="FA89" s="35" t="s">
        <v>415</v>
      </c>
      <c r="FB89" s="35" t="s">
        <v>415</v>
      </c>
      <c r="FC89" s="35" t="s">
        <v>415</v>
      </c>
      <c r="FD89" s="35" t="s">
        <v>415</v>
      </c>
      <c r="FE89" s="35" t="s">
        <v>413</v>
      </c>
      <c r="FF89" s="35" t="s">
        <v>415</v>
      </c>
      <c r="FG89" s="35" t="s">
        <v>415</v>
      </c>
      <c r="FH89" s="35" t="s">
        <v>415</v>
      </c>
      <c r="FI89" s="35" t="s">
        <v>415</v>
      </c>
      <c r="FJ89" s="35" t="s">
        <v>415</v>
      </c>
      <c r="FK89" s="35" t="s">
        <v>414</v>
      </c>
      <c r="FL89" s="35" t="s">
        <v>415</v>
      </c>
      <c r="FM89" s="35" t="s">
        <v>414</v>
      </c>
      <c r="FN89" s="35" t="s">
        <v>415</v>
      </c>
      <c r="FO89" s="35" t="s">
        <v>415</v>
      </c>
      <c r="FP89" s="35" t="s">
        <v>417</v>
      </c>
      <c r="FQ89" s="35" t="s">
        <v>418</v>
      </c>
      <c r="FR89" s="35" t="s">
        <v>749</v>
      </c>
      <c r="FS89" s="35" t="s">
        <v>2703</v>
      </c>
      <c r="FT89" s="35" t="s">
        <v>420</v>
      </c>
      <c r="FU89" s="35" t="s">
        <v>488</v>
      </c>
      <c r="FV89" s="35" t="s">
        <v>918</v>
      </c>
      <c r="FW89" s="35" t="s">
        <v>490</v>
      </c>
      <c r="FX89" s="35" t="s">
        <v>491</v>
      </c>
      <c r="FY89" s="35" t="s">
        <v>11807</v>
      </c>
      <c r="FZ89" s="35" t="s">
        <v>535</v>
      </c>
      <c r="GA89" s="35" t="s">
        <v>2705</v>
      </c>
      <c r="GB89" s="35" t="s">
        <v>2706</v>
      </c>
      <c r="GC89" s="35" t="s">
        <v>455</v>
      </c>
      <c r="GD89" s="35" t="s">
        <v>11808</v>
      </c>
      <c r="GE89" s="35" t="s">
        <v>11809</v>
      </c>
      <c r="GF89" s="35" t="s">
        <v>753</v>
      </c>
      <c r="GG89" s="35" t="s">
        <v>2707</v>
      </c>
      <c r="GH89" s="35" t="s">
        <v>857</v>
      </c>
      <c r="GI89" s="35" t="s">
        <v>857</v>
      </c>
      <c r="GJ89" s="35" t="s">
        <v>817</v>
      </c>
      <c r="GN89" s="35" t="s">
        <v>1079</v>
      </c>
    </row>
    <row r="90">
      <c r="A90" s="40"/>
      <c r="B90" s="40">
        <v>45828.78532109954</v>
      </c>
      <c r="C90" s="35" t="s">
        <v>368</v>
      </c>
      <c r="D90" s="35" t="s">
        <v>370</v>
      </c>
      <c r="F90" s="35" t="s">
        <v>1480</v>
      </c>
      <c r="H90" s="35" t="s">
        <v>422</v>
      </c>
      <c r="I90" s="35" t="s">
        <v>423</v>
      </c>
      <c r="J90" s="35" t="s">
        <v>668</v>
      </c>
      <c r="K90" s="35" t="s">
        <v>375</v>
      </c>
      <c r="L90" s="35" t="s">
        <v>376</v>
      </c>
      <c r="M90" s="35" t="s">
        <v>426</v>
      </c>
      <c r="N90" s="35" t="s">
        <v>2464</v>
      </c>
      <c r="O90" s="35" t="s">
        <v>426</v>
      </c>
      <c r="P90" s="35" t="s">
        <v>2464</v>
      </c>
      <c r="Q90" s="35" t="s">
        <v>381</v>
      </c>
      <c r="R90" s="35" t="s">
        <v>1156</v>
      </c>
      <c r="S90" s="35" t="s">
        <v>500</v>
      </c>
      <c r="T90" s="35" t="s">
        <v>384</v>
      </c>
      <c r="U90" s="35" t="s">
        <v>385</v>
      </c>
      <c r="X90" s="35" t="s">
        <v>428</v>
      </c>
      <c r="AW90" s="35" t="s">
        <v>1310</v>
      </c>
      <c r="AX90" s="35" t="s">
        <v>675</v>
      </c>
      <c r="AY90" s="35" t="s">
        <v>675</v>
      </c>
      <c r="AZ90" s="35" t="s">
        <v>675</v>
      </c>
      <c r="BA90" s="35" t="s">
        <v>675</v>
      </c>
      <c r="BB90" s="35" t="s">
        <v>675</v>
      </c>
      <c r="BC90" s="35" t="s">
        <v>675</v>
      </c>
      <c r="BD90" s="35" t="s">
        <v>11810</v>
      </c>
      <c r="BE90" s="35" t="s">
        <v>11811</v>
      </c>
      <c r="BF90" s="35" t="s">
        <v>432</v>
      </c>
      <c r="BG90" s="35" t="s">
        <v>1095</v>
      </c>
      <c r="BH90" s="35" t="s">
        <v>765</v>
      </c>
      <c r="BI90" s="35" t="s">
        <v>11812</v>
      </c>
      <c r="BJ90" s="35" t="s">
        <v>976</v>
      </c>
      <c r="BL90" s="35" t="s">
        <v>395</v>
      </c>
      <c r="BM90" s="35" t="s">
        <v>904</v>
      </c>
      <c r="BN90" s="35" t="s">
        <v>1247</v>
      </c>
      <c r="BO90" s="35" t="s">
        <v>440</v>
      </c>
      <c r="CM90" s="35" t="s">
        <v>441</v>
      </c>
      <c r="CN90" s="35" t="s">
        <v>604</v>
      </c>
      <c r="CO90" s="35" t="s">
        <v>11813</v>
      </c>
      <c r="CP90" s="35" t="s">
        <v>2882</v>
      </c>
      <c r="CQ90" s="35" t="s">
        <v>685</v>
      </c>
      <c r="CR90" s="35" t="s">
        <v>2883</v>
      </c>
      <c r="CS90" s="35" t="s">
        <v>447</v>
      </c>
      <c r="CT90" s="35" t="s">
        <v>687</v>
      </c>
      <c r="CU90" s="35" t="s">
        <v>2884</v>
      </c>
      <c r="CV90" s="35" t="s">
        <v>450</v>
      </c>
      <c r="CW90" s="35" t="s">
        <v>451</v>
      </c>
      <c r="CX90" s="35" t="s">
        <v>2885</v>
      </c>
      <c r="CY90" s="35" t="s">
        <v>455</v>
      </c>
      <c r="CZ90" s="35" t="s">
        <v>11814</v>
      </c>
      <c r="DA90" s="35" t="s">
        <v>453</v>
      </c>
      <c r="DB90" s="35" t="s">
        <v>11815</v>
      </c>
      <c r="DC90" s="35" t="s">
        <v>455</v>
      </c>
      <c r="DD90" s="35" t="s">
        <v>2888</v>
      </c>
      <c r="DE90" s="35" t="s">
        <v>988</v>
      </c>
      <c r="DG90" s="35" t="s">
        <v>11816</v>
      </c>
      <c r="DH90" s="35" t="s">
        <v>524</v>
      </c>
      <c r="DI90" s="35" t="s">
        <v>410</v>
      </c>
      <c r="DJ90" s="35" t="s">
        <v>459</v>
      </c>
      <c r="DK90" s="35" t="s">
        <v>460</v>
      </c>
      <c r="DL90" s="35" t="s">
        <v>461</v>
      </c>
      <c r="DN90" s="35" t="s">
        <v>2890</v>
      </c>
      <c r="DO90" s="35" t="s">
        <v>2891</v>
      </c>
      <c r="DP90" s="35" t="s">
        <v>1063</v>
      </c>
      <c r="DQ90" s="35" t="s">
        <v>11817</v>
      </c>
      <c r="DR90" s="35" t="s">
        <v>1578</v>
      </c>
      <c r="DS90" s="35" t="s">
        <v>2893</v>
      </c>
      <c r="DT90" s="35" t="s">
        <v>468</v>
      </c>
      <c r="DU90" s="35" t="s">
        <v>619</v>
      </c>
      <c r="DV90" s="35" t="s">
        <v>11818</v>
      </c>
      <c r="DW90" s="35" t="s">
        <v>11819</v>
      </c>
      <c r="DX90" s="35" t="s">
        <v>1328</v>
      </c>
      <c r="DY90" s="35" t="s">
        <v>2896</v>
      </c>
      <c r="DZ90" s="35" t="s">
        <v>2897</v>
      </c>
      <c r="EA90" s="35" t="s">
        <v>11820</v>
      </c>
      <c r="EB90" s="35" t="s">
        <v>475</v>
      </c>
      <c r="EC90" s="35" t="s">
        <v>845</v>
      </c>
      <c r="ED90" s="35" t="s">
        <v>11821</v>
      </c>
      <c r="EU90" s="35" t="s">
        <v>526</v>
      </c>
      <c r="EV90" s="35" t="s">
        <v>479</v>
      </c>
      <c r="EW90" s="35" t="s">
        <v>480</v>
      </c>
      <c r="EX90" s="35" t="s">
        <v>11822</v>
      </c>
      <c r="EY90" s="35" t="s">
        <v>2901</v>
      </c>
      <c r="EZ90" s="35" t="s">
        <v>2902</v>
      </c>
      <c r="FA90" s="35" t="s">
        <v>583</v>
      </c>
      <c r="FB90" s="35" t="s">
        <v>583</v>
      </c>
      <c r="FC90" s="35" t="s">
        <v>415</v>
      </c>
      <c r="FD90" s="35" t="s">
        <v>414</v>
      </c>
      <c r="FE90" s="35" t="s">
        <v>413</v>
      </c>
      <c r="FF90" s="35" t="s">
        <v>583</v>
      </c>
      <c r="FG90" s="35" t="s">
        <v>415</v>
      </c>
      <c r="FH90" s="35" t="s">
        <v>416</v>
      </c>
      <c r="FI90" s="35" t="s">
        <v>583</v>
      </c>
      <c r="FJ90" s="35" t="s">
        <v>583</v>
      </c>
      <c r="FK90" s="35" t="s">
        <v>583</v>
      </c>
      <c r="FL90" s="35" t="s">
        <v>484</v>
      </c>
      <c r="FM90" s="35" t="s">
        <v>484</v>
      </c>
      <c r="FN90" s="35" t="s">
        <v>484</v>
      </c>
      <c r="FO90" s="35" t="s">
        <v>484</v>
      </c>
      <c r="FP90" s="35" t="s">
        <v>417</v>
      </c>
      <c r="FQ90" s="35" t="s">
        <v>418</v>
      </c>
      <c r="FR90" s="35" t="s">
        <v>419</v>
      </c>
      <c r="FS90" s="35" t="s">
        <v>2903</v>
      </c>
      <c r="FT90" s="35" t="s">
        <v>420</v>
      </c>
      <c r="FU90" s="35" t="s">
        <v>488</v>
      </c>
      <c r="FV90" s="35" t="s">
        <v>585</v>
      </c>
      <c r="FW90" s="35" t="s">
        <v>490</v>
      </c>
      <c r="FX90" s="35" t="s">
        <v>491</v>
      </c>
      <c r="FY90" s="35" t="s">
        <v>11823</v>
      </c>
      <c r="FZ90" s="35" t="s">
        <v>535</v>
      </c>
      <c r="GA90" s="35" t="s">
        <v>2905</v>
      </c>
      <c r="GB90" s="35" t="s">
        <v>2906</v>
      </c>
      <c r="GC90" s="35" t="s">
        <v>455</v>
      </c>
      <c r="GD90" s="35" t="s">
        <v>11824</v>
      </c>
      <c r="GE90" s="35" t="s">
        <v>11825</v>
      </c>
      <c r="GF90" s="35" t="s">
        <v>1339</v>
      </c>
      <c r="GG90" s="35" t="s">
        <v>11826</v>
      </c>
      <c r="GH90" s="35" t="s">
        <v>755</v>
      </c>
      <c r="GI90" s="35" t="s">
        <v>755</v>
      </c>
      <c r="GJ90" s="35" t="s">
        <v>946</v>
      </c>
      <c r="GN90" s="35" t="s">
        <v>1079</v>
      </c>
    </row>
    <row r="91">
      <c r="A91" s="40"/>
      <c r="B91" s="40">
        <v>45828.92868631944</v>
      </c>
      <c r="C91" s="35" t="s">
        <v>368</v>
      </c>
      <c r="D91" s="35" t="s">
        <v>370</v>
      </c>
      <c r="F91" s="35" t="s">
        <v>1562</v>
      </c>
      <c r="H91" s="35" t="s">
        <v>422</v>
      </c>
      <c r="I91" s="35" t="s">
        <v>423</v>
      </c>
      <c r="J91" s="35" t="s">
        <v>424</v>
      </c>
      <c r="K91" s="35" t="s">
        <v>540</v>
      </c>
      <c r="L91" s="35" t="s">
        <v>376</v>
      </c>
      <c r="M91" s="35" t="s">
        <v>426</v>
      </c>
      <c r="N91" s="35" t="s">
        <v>541</v>
      </c>
      <c r="O91" s="35" t="s">
        <v>591</v>
      </c>
      <c r="P91" s="35" t="s">
        <v>671</v>
      </c>
      <c r="Q91" s="35" t="s">
        <v>498</v>
      </c>
      <c r="R91" s="35" t="s">
        <v>499</v>
      </c>
      <c r="S91" s="35" t="s">
        <v>427</v>
      </c>
      <c r="T91" s="35" t="s">
        <v>384</v>
      </c>
      <c r="U91" s="35" t="s">
        <v>385</v>
      </c>
      <c r="X91" s="35" t="s">
        <v>593</v>
      </c>
      <c r="Y91" s="35" t="s">
        <v>387</v>
      </c>
      <c r="Z91" s="35" t="s">
        <v>388</v>
      </c>
      <c r="AA91" s="35" t="s">
        <v>502</v>
      </c>
      <c r="AB91" s="35" t="s">
        <v>408</v>
      </c>
      <c r="AW91" s="35" t="s">
        <v>390</v>
      </c>
      <c r="AX91" s="35" t="s">
        <v>675</v>
      </c>
      <c r="AY91" s="35" t="s">
        <v>391</v>
      </c>
      <c r="AZ91" s="35" t="s">
        <v>391</v>
      </c>
      <c r="BA91" s="35" t="s">
        <v>391</v>
      </c>
      <c r="BB91" s="35" t="s">
        <v>391</v>
      </c>
      <c r="BC91" s="35" t="s">
        <v>391</v>
      </c>
      <c r="BH91" s="35" t="s">
        <v>678</v>
      </c>
      <c r="BJ91" s="35" t="s">
        <v>976</v>
      </c>
      <c r="BL91" s="35" t="s">
        <v>681</v>
      </c>
      <c r="BM91" s="35" t="s">
        <v>512</v>
      </c>
      <c r="BN91" s="35" t="s">
        <v>549</v>
      </c>
      <c r="BO91" s="35" t="s">
        <v>440</v>
      </c>
      <c r="CM91" s="35" t="s">
        <v>441</v>
      </c>
      <c r="CN91" s="35" t="s">
        <v>682</v>
      </c>
      <c r="CO91" s="35" t="s">
        <v>11827</v>
      </c>
      <c r="CP91" s="35" t="s">
        <v>2952</v>
      </c>
      <c r="CQ91" s="35" t="s">
        <v>685</v>
      </c>
      <c r="CR91" s="35" t="s">
        <v>1136</v>
      </c>
      <c r="CS91" s="35" t="s">
        <v>447</v>
      </c>
      <c r="CT91" s="35" t="s">
        <v>2520</v>
      </c>
      <c r="CV91" s="35" t="s">
        <v>450</v>
      </c>
      <c r="CY91" s="35" t="s">
        <v>408</v>
      </c>
      <c r="DA91" s="35" t="s">
        <v>453</v>
      </c>
      <c r="DC91" s="35" t="s">
        <v>455</v>
      </c>
      <c r="DD91" s="35" t="s">
        <v>2953</v>
      </c>
      <c r="DE91" s="35" t="s">
        <v>406</v>
      </c>
      <c r="DF91" s="35" t="s">
        <v>1368</v>
      </c>
      <c r="DG91" s="35" t="s">
        <v>2954</v>
      </c>
      <c r="DH91" s="35" t="s">
        <v>524</v>
      </c>
      <c r="DI91" s="35" t="s">
        <v>410</v>
      </c>
      <c r="DJ91" s="35" t="s">
        <v>459</v>
      </c>
      <c r="DK91" s="35" t="s">
        <v>460</v>
      </c>
      <c r="DL91" s="35" t="s">
        <v>461</v>
      </c>
      <c r="DN91" s="35" t="s">
        <v>2890</v>
      </c>
      <c r="DO91" s="35" t="s">
        <v>2955</v>
      </c>
      <c r="DP91" s="35" t="s">
        <v>2956</v>
      </c>
      <c r="DR91" s="35" t="s">
        <v>1578</v>
      </c>
      <c r="DT91" s="35" t="s">
        <v>468</v>
      </c>
      <c r="DU91" s="35" t="s">
        <v>740</v>
      </c>
      <c r="DX91" s="35" t="s">
        <v>622</v>
      </c>
      <c r="DY91" s="35" t="s">
        <v>2957</v>
      </c>
      <c r="DZ91" s="35" t="s">
        <v>11828</v>
      </c>
      <c r="EA91" s="35" t="s">
        <v>2959</v>
      </c>
      <c r="EB91" s="35" t="s">
        <v>2960</v>
      </c>
      <c r="EC91" s="35" t="s">
        <v>626</v>
      </c>
      <c r="ED91" s="35" t="s">
        <v>2961</v>
      </c>
      <c r="EU91" s="35" t="s">
        <v>526</v>
      </c>
      <c r="EV91" s="35" t="s">
        <v>479</v>
      </c>
      <c r="EW91" s="35" t="s">
        <v>663</v>
      </c>
      <c r="EY91" s="35" t="s">
        <v>2962</v>
      </c>
      <c r="EZ91" s="35" t="s">
        <v>2963</v>
      </c>
      <c r="FA91" s="35" t="s">
        <v>583</v>
      </c>
      <c r="FB91" s="35" t="s">
        <v>583</v>
      </c>
      <c r="FC91" s="35" t="s">
        <v>583</v>
      </c>
      <c r="FD91" s="35" t="s">
        <v>583</v>
      </c>
      <c r="FE91" s="35" t="s">
        <v>484</v>
      </c>
      <c r="FF91" s="35" t="s">
        <v>583</v>
      </c>
      <c r="FG91" s="35" t="s">
        <v>583</v>
      </c>
      <c r="FH91" s="35" t="s">
        <v>413</v>
      </c>
      <c r="FI91" s="35" t="s">
        <v>413</v>
      </c>
      <c r="FJ91" s="35" t="s">
        <v>583</v>
      </c>
      <c r="FK91" s="35" t="s">
        <v>583</v>
      </c>
      <c r="FM91" s="35" t="s">
        <v>583</v>
      </c>
      <c r="FN91" s="35" t="s">
        <v>413</v>
      </c>
      <c r="FO91" s="35" t="s">
        <v>583</v>
      </c>
      <c r="FP91" s="35" t="s">
        <v>417</v>
      </c>
      <c r="FQ91" s="35" t="s">
        <v>418</v>
      </c>
      <c r="FR91" s="35" t="s">
        <v>419</v>
      </c>
      <c r="FS91" s="35" t="s">
        <v>2964</v>
      </c>
      <c r="FT91" s="35" t="s">
        <v>420</v>
      </c>
      <c r="FU91" s="35" t="s">
        <v>488</v>
      </c>
      <c r="FV91" s="35" t="s">
        <v>533</v>
      </c>
      <c r="FW91" s="35" t="s">
        <v>490</v>
      </c>
      <c r="FX91" s="35" t="s">
        <v>491</v>
      </c>
      <c r="FY91" s="35" t="s">
        <v>2965</v>
      </c>
      <c r="FZ91" s="35" t="s">
        <v>535</v>
      </c>
      <c r="GC91" s="35" t="s">
        <v>408</v>
      </c>
      <c r="GH91" s="35" t="s">
        <v>755</v>
      </c>
      <c r="GI91" s="35" t="s">
        <v>755</v>
      </c>
      <c r="GJ91" s="35" t="s">
        <v>946</v>
      </c>
      <c r="GN91" s="35" t="s">
        <v>1079</v>
      </c>
    </row>
    <row r="92">
      <c r="A92" s="40"/>
      <c r="B92" s="40">
        <v>45829.310797962964</v>
      </c>
      <c r="C92" s="35" t="s">
        <v>368</v>
      </c>
      <c r="D92" s="35" t="s">
        <v>370</v>
      </c>
      <c r="F92" s="35" t="s">
        <v>1464</v>
      </c>
      <c r="H92" s="35" t="s">
        <v>422</v>
      </c>
      <c r="I92" s="35" t="s">
        <v>3045</v>
      </c>
      <c r="J92" s="35" t="s">
        <v>668</v>
      </c>
      <c r="K92" s="35" t="s">
        <v>425</v>
      </c>
      <c r="L92" s="35" t="s">
        <v>376</v>
      </c>
      <c r="M92" s="35" t="s">
        <v>591</v>
      </c>
      <c r="N92" s="35" t="s">
        <v>378</v>
      </c>
      <c r="O92" s="35" t="s">
        <v>591</v>
      </c>
      <c r="P92" s="35" t="s">
        <v>719</v>
      </c>
      <c r="Q92" s="35" t="s">
        <v>592</v>
      </c>
      <c r="R92" s="35" t="s">
        <v>1156</v>
      </c>
      <c r="S92" s="35" t="s">
        <v>427</v>
      </c>
      <c r="T92" s="35" t="s">
        <v>384</v>
      </c>
      <c r="U92" s="35" t="s">
        <v>385</v>
      </c>
      <c r="X92" s="35" t="s">
        <v>386</v>
      </c>
      <c r="Y92" s="35" t="s">
        <v>387</v>
      </c>
      <c r="Z92" s="35" t="s">
        <v>1824</v>
      </c>
      <c r="AA92" s="35" t="s">
        <v>543</v>
      </c>
      <c r="AB92" s="35" t="s">
        <v>3046</v>
      </c>
      <c r="AC92" s="35" t="s">
        <v>3047</v>
      </c>
      <c r="AW92" s="35" t="s">
        <v>1310</v>
      </c>
      <c r="AX92" s="35" t="s">
        <v>429</v>
      </c>
      <c r="AY92" s="35" t="s">
        <v>429</v>
      </c>
      <c r="AZ92" s="35" t="s">
        <v>429</v>
      </c>
      <c r="BA92" s="35" t="s">
        <v>675</v>
      </c>
      <c r="BB92" s="41">
        <v>4.0</v>
      </c>
      <c r="BC92" s="41">
        <v>4.0</v>
      </c>
      <c r="BD92" s="35" t="s">
        <v>3048</v>
      </c>
      <c r="BE92" s="35" t="s">
        <v>11829</v>
      </c>
      <c r="BF92" s="35" t="s">
        <v>1094</v>
      </c>
      <c r="BG92" s="35" t="s">
        <v>433</v>
      </c>
      <c r="BH92" s="35" t="s">
        <v>394</v>
      </c>
      <c r="BI92" s="35" t="s">
        <v>3050</v>
      </c>
      <c r="BJ92" s="35" t="s">
        <v>976</v>
      </c>
      <c r="BL92" s="35" t="s">
        <v>511</v>
      </c>
      <c r="BM92" s="35" t="s">
        <v>396</v>
      </c>
      <c r="BN92" s="35" t="s">
        <v>1247</v>
      </c>
      <c r="BO92" s="35" t="s">
        <v>440</v>
      </c>
      <c r="CM92" s="35" t="s">
        <v>441</v>
      </c>
      <c r="CN92" s="35" t="s">
        <v>604</v>
      </c>
      <c r="CO92" s="35" t="s">
        <v>3051</v>
      </c>
      <c r="CP92" s="35" t="s">
        <v>3052</v>
      </c>
      <c r="CQ92" s="35" t="s">
        <v>979</v>
      </c>
      <c r="CR92" s="35" t="s">
        <v>3053</v>
      </c>
      <c r="CS92" s="35" t="s">
        <v>404</v>
      </c>
      <c r="CT92" s="35" t="s">
        <v>3054</v>
      </c>
      <c r="CU92" s="35" t="s">
        <v>3055</v>
      </c>
      <c r="CV92" s="35" t="s">
        <v>519</v>
      </c>
      <c r="CW92" s="35" t="s">
        <v>451</v>
      </c>
      <c r="CX92" s="35" t="s">
        <v>3056</v>
      </c>
      <c r="CY92" s="35" t="s">
        <v>408</v>
      </c>
      <c r="DA92" s="35" t="s">
        <v>453</v>
      </c>
      <c r="DB92" s="35" t="s">
        <v>3057</v>
      </c>
      <c r="DC92" s="35" t="s">
        <v>408</v>
      </c>
      <c r="DE92" s="35" t="s">
        <v>988</v>
      </c>
      <c r="DG92" s="35" t="s">
        <v>3058</v>
      </c>
      <c r="DH92" s="35" t="s">
        <v>561</v>
      </c>
      <c r="DI92" s="35" t="s">
        <v>410</v>
      </c>
      <c r="DJ92" s="35" t="s">
        <v>459</v>
      </c>
      <c r="DK92" s="35" t="s">
        <v>460</v>
      </c>
      <c r="DL92" s="35" t="s">
        <v>461</v>
      </c>
      <c r="DN92" s="35" t="s">
        <v>2890</v>
      </c>
      <c r="DO92" s="35" t="s">
        <v>3059</v>
      </c>
      <c r="DP92" s="35" t="s">
        <v>2956</v>
      </c>
      <c r="DQ92" s="35" t="s">
        <v>3060</v>
      </c>
      <c r="DR92" s="35" t="s">
        <v>466</v>
      </c>
      <c r="DS92" s="35" t="s">
        <v>11830</v>
      </c>
      <c r="DT92" s="35" t="s">
        <v>702</v>
      </c>
      <c r="DU92" s="35" t="s">
        <v>1580</v>
      </c>
      <c r="DV92" s="35" t="s">
        <v>3062</v>
      </c>
      <c r="DW92" s="35" t="s">
        <v>3063</v>
      </c>
      <c r="DX92" s="35" t="s">
        <v>1328</v>
      </c>
      <c r="DY92" s="35" t="s">
        <v>11831</v>
      </c>
      <c r="DZ92" s="35" t="s">
        <v>3065</v>
      </c>
      <c r="EA92" s="35" t="s">
        <v>11832</v>
      </c>
      <c r="EB92" s="35" t="s">
        <v>475</v>
      </c>
      <c r="EC92" s="35" t="s">
        <v>476</v>
      </c>
      <c r="ED92" s="35" t="s">
        <v>3067</v>
      </c>
      <c r="EU92" s="35" t="s">
        <v>526</v>
      </c>
      <c r="EV92" s="35" t="s">
        <v>1037</v>
      </c>
      <c r="EW92" s="35" t="s">
        <v>480</v>
      </c>
      <c r="FA92" s="35" t="s">
        <v>413</v>
      </c>
      <c r="FB92" s="35" t="s">
        <v>413</v>
      </c>
      <c r="FC92" s="35" t="s">
        <v>413</v>
      </c>
      <c r="FD92" s="35" t="s">
        <v>413</v>
      </c>
      <c r="FE92" s="35" t="s">
        <v>413</v>
      </c>
      <c r="FF92" s="35" t="s">
        <v>413</v>
      </c>
      <c r="FG92" s="35" t="s">
        <v>413</v>
      </c>
      <c r="FH92" s="35" t="s">
        <v>413</v>
      </c>
      <c r="FI92" s="35" t="s">
        <v>413</v>
      </c>
      <c r="FJ92" s="35" t="s">
        <v>583</v>
      </c>
      <c r="FK92" s="35" t="s">
        <v>416</v>
      </c>
      <c r="FL92" s="35" t="s">
        <v>413</v>
      </c>
      <c r="FM92" s="35" t="s">
        <v>484</v>
      </c>
      <c r="FN92" s="35" t="s">
        <v>413</v>
      </c>
      <c r="FO92" s="35" t="s">
        <v>414</v>
      </c>
      <c r="FP92" s="35" t="s">
        <v>417</v>
      </c>
      <c r="FR92" s="35" t="s">
        <v>712</v>
      </c>
      <c r="FT92" s="35" t="s">
        <v>420</v>
      </c>
      <c r="FU92" s="35" t="s">
        <v>488</v>
      </c>
      <c r="FV92" s="35" t="s">
        <v>489</v>
      </c>
      <c r="FW92" s="35" t="s">
        <v>490</v>
      </c>
      <c r="FZ92" s="35" t="s">
        <v>535</v>
      </c>
      <c r="GB92" s="35" t="s">
        <v>3068</v>
      </c>
      <c r="GC92" s="35" t="s">
        <v>408</v>
      </c>
      <c r="GH92" s="35" t="s">
        <v>857</v>
      </c>
      <c r="GI92" s="35" t="s">
        <v>857</v>
      </c>
      <c r="GJ92" s="35" t="s">
        <v>790</v>
      </c>
      <c r="GN92" s="35" t="s">
        <v>1079</v>
      </c>
    </row>
    <row r="93">
      <c r="A93" s="40"/>
      <c r="B93" s="40">
        <v>45829.42277583333</v>
      </c>
      <c r="C93" s="35" t="s">
        <v>368</v>
      </c>
      <c r="D93" s="35" t="s">
        <v>370</v>
      </c>
      <c r="F93" s="35" t="s">
        <v>3082</v>
      </c>
      <c r="H93" s="35" t="s">
        <v>422</v>
      </c>
      <c r="I93" s="35" t="s">
        <v>1921</v>
      </c>
      <c r="J93" s="35" t="s">
        <v>668</v>
      </c>
      <c r="K93" s="35" t="s">
        <v>590</v>
      </c>
      <c r="L93" s="35" t="s">
        <v>376</v>
      </c>
      <c r="M93" s="35" t="s">
        <v>379</v>
      </c>
      <c r="N93" s="35" t="s">
        <v>380</v>
      </c>
      <c r="O93" s="35" t="s">
        <v>379</v>
      </c>
      <c r="P93" s="35" t="s">
        <v>11833</v>
      </c>
      <c r="Q93" s="35" t="s">
        <v>1760</v>
      </c>
      <c r="R93" s="35" t="s">
        <v>818</v>
      </c>
      <c r="S93" s="35" t="s">
        <v>427</v>
      </c>
      <c r="T93" s="35" t="s">
        <v>384</v>
      </c>
      <c r="U93" s="35" t="s">
        <v>385</v>
      </c>
      <c r="X93" s="35" t="s">
        <v>3014</v>
      </c>
      <c r="AW93" s="35" t="s">
        <v>390</v>
      </c>
      <c r="AX93" s="35" t="s">
        <v>675</v>
      </c>
      <c r="AY93" s="41">
        <v>4.0</v>
      </c>
      <c r="AZ93" s="41">
        <v>4.0</v>
      </c>
      <c r="BA93" s="41">
        <v>4.0</v>
      </c>
      <c r="BB93" s="35" t="s">
        <v>675</v>
      </c>
      <c r="BC93" s="35" t="s">
        <v>675</v>
      </c>
      <c r="BD93" s="35" t="s">
        <v>11834</v>
      </c>
      <c r="BE93" s="35" t="s">
        <v>11835</v>
      </c>
      <c r="BF93" s="35" t="s">
        <v>432</v>
      </c>
      <c r="BG93" s="35" t="s">
        <v>1047</v>
      </c>
      <c r="BH93" s="35" t="s">
        <v>678</v>
      </c>
      <c r="BI93" s="35" t="s">
        <v>11836</v>
      </c>
      <c r="BJ93" s="35" t="s">
        <v>509</v>
      </c>
      <c r="BK93" s="35" t="s">
        <v>11837</v>
      </c>
      <c r="BL93" s="35" t="s">
        <v>437</v>
      </c>
      <c r="BM93" s="35" t="s">
        <v>438</v>
      </c>
      <c r="BN93" s="35" t="s">
        <v>1247</v>
      </c>
      <c r="BO93" s="35" t="s">
        <v>440</v>
      </c>
      <c r="CM93" s="35" t="s">
        <v>441</v>
      </c>
      <c r="CN93" s="35" t="s">
        <v>401</v>
      </c>
      <c r="CO93" s="35" t="s">
        <v>11838</v>
      </c>
      <c r="CP93" s="35" t="s">
        <v>11839</v>
      </c>
      <c r="CQ93" s="35" t="s">
        <v>445</v>
      </c>
      <c r="CR93" s="35" t="s">
        <v>3090</v>
      </c>
      <c r="CS93" s="35" t="s">
        <v>828</v>
      </c>
      <c r="CT93" s="35" t="s">
        <v>3091</v>
      </c>
      <c r="CU93" s="35" t="s">
        <v>11840</v>
      </c>
      <c r="CV93" s="35" t="s">
        <v>982</v>
      </c>
      <c r="CW93" s="35" t="s">
        <v>451</v>
      </c>
      <c r="CX93" s="35" t="s">
        <v>3093</v>
      </c>
      <c r="CY93" s="35" t="s">
        <v>408</v>
      </c>
      <c r="DA93" s="35" t="s">
        <v>985</v>
      </c>
      <c r="DB93" s="35" t="s">
        <v>11841</v>
      </c>
      <c r="DC93" s="35" t="s">
        <v>408</v>
      </c>
      <c r="DE93" s="35" t="s">
        <v>406</v>
      </c>
      <c r="DF93" s="35" t="s">
        <v>1867</v>
      </c>
      <c r="DG93" s="35" t="s">
        <v>7895</v>
      </c>
      <c r="DH93" s="35" t="s">
        <v>524</v>
      </c>
      <c r="DI93" s="35" t="s">
        <v>833</v>
      </c>
      <c r="DJ93" s="35" t="s">
        <v>459</v>
      </c>
      <c r="DK93" s="35" t="s">
        <v>562</v>
      </c>
      <c r="DL93" s="35" t="s">
        <v>525</v>
      </c>
      <c r="DN93" s="35" t="s">
        <v>3096</v>
      </c>
      <c r="DO93" s="35" t="s">
        <v>3097</v>
      </c>
      <c r="DP93" s="35" t="s">
        <v>3098</v>
      </c>
      <c r="DQ93" s="35" t="s">
        <v>11842</v>
      </c>
      <c r="DR93" s="35" t="s">
        <v>1176</v>
      </c>
      <c r="DS93" s="35" t="s">
        <v>11843</v>
      </c>
      <c r="DT93" s="35" t="s">
        <v>618</v>
      </c>
      <c r="DU93" s="35" t="s">
        <v>570</v>
      </c>
      <c r="DV93" s="35" t="s">
        <v>11844</v>
      </c>
      <c r="DW93" s="35" t="s">
        <v>11845</v>
      </c>
      <c r="DX93" s="35" t="s">
        <v>573</v>
      </c>
      <c r="DY93" s="35" t="s">
        <v>11846</v>
      </c>
      <c r="DZ93" s="35" t="s">
        <v>11847</v>
      </c>
      <c r="EA93" s="35" t="s">
        <v>11848</v>
      </c>
      <c r="EB93" s="35" t="s">
        <v>1413</v>
      </c>
      <c r="EC93" s="35" t="s">
        <v>845</v>
      </c>
      <c r="ED93" s="35" t="s">
        <v>11849</v>
      </c>
      <c r="EU93" s="35" t="s">
        <v>478</v>
      </c>
      <c r="EV93" s="35" t="s">
        <v>479</v>
      </c>
      <c r="EW93" s="35" t="s">
        <v>480</v>
      </c>
      <c r="EY93" s="35" t="s">
        <v>5744</v>
      </c>
      <c r="EZ93" s="35" t="s">
        <v>5744</v>
      </c>
      <c r="FA93" s="35" t="s">
        <v>415</v>
      </c>
      <c r="FB93" s="35" t="s">
        <v>414</v>
      </c>
      <c r="FC93" s="35" t="s">
        <v>413</v>
      </c>
      <c r="FD93" s="35" t="s">
        <v>583</v>
      </c>
      <c r="FE93" s="35" t="s">
        <v>413</v>
      </c>
      <c r="FF93" s="35" t="s">
        <v>583</v>
      </c>
      <c r="FG93" s="35" t="s">
        <v>415</v>
      </c>
      <c r="FH93" s="35" t="s">
        <v>413</v>
      </c>
      <c r="FI93" s="35" t="s">
        <v>583</v>
      </c>
      <c r="FJ93" s="35" t="s">
        <v>583</v>
      </c>
      <c r="FK93" s="35" t="s">
        <v>414</v>
      </c>
      <c r="FL93" s="35" t="s">
        <v>415</v>
      </c>
      <c r="FM93" s="35" t="s">
        <v>415</v>
      </c>
      <c r="FN93" s="35" t="s">
        <v>415</v>
      </c>
      <c r="FO93" s="35" t="s">
        <v>415</v>
      </c>
      <c r="FP93" s="35" t="s">
        <v>850</v>
      </c>
      <c r="FQ93" s="35" t="s">
        <v>418</v>
      </c>
      <c r="FR93" s="35" t="s">
        <v>419</v>
      </c>
      <c r="FT93" s="35" t="s">
        <v>995</v>
      </c>
      <c r="FU93" s="35" t="s">
        <v>488</v>
      </c>
      <c r="FV93" s="35" t="s">
        <v>918</v>
      </c>
      <c r="FW93" s="35" t="s">
        <v>490</v>
      </c>
      <c r="FX93" s="35" t="s">
        <v>491</v>
      </c>
      <c r="FY93" s="35" t="s">
        <v>11850</v>
      </c>
      <c r="FZ93" s="35" t="s">
        <v>535</v>
      </c>
      <c r="GA93" s="35" t="s">
        <v>11851</v>
      </c>
      <c r="GB93" s="35" t="s">
        <v>11852</v>
      </c>
      <c r="GC93" s="35" t="s">
        <v>455</v>
      </c>
      <c r="GD93" s="35" t="s">
        <v>11853</v>
      </c>
      <c r="GE93" s="35" t="s">
        <v>11854</v>
      </c>
      <c r="GF93" s="35" t="s">
        <v>753</v>
      </c>
      <c r="GG93" s="35" t="s">
        <v>11855</v>
      </c>
      <c r="GH93" s="35" t="s">
        <v>1000</v>
      </c>
      <c r="GI93" s="35" t="s">
        <v>1000</v>
      </c>
      <c r="GJ93" s="35" t="s">
        <v>817</v>
      </c>
      <c r="GN93" s="35" t="s">
        <v>1079</v>
      </c>
    </row>
    <row r="94">
      <c r="A94" s="40"/>
      <c r="B94" s="40">
        <v>45829.585866458336</v>
      </c>
      <c r="C94" s="35" t="s">
        <v>368</v>
      </c>
      <c r="D94" s="35" t="s">
        <v>370</v>
      </c>
      <c r="F94" s="35" t="s">
        <v>1441</v>
      </c>
      <c r="H94" s="35" t="s">
        <v>422</v>
      </c>
      <c r="I94" s="35" t="s">
        <v>496</v>
      </c>
      <c r="J94" s="35" t="s">
        <v>374</v>
      </c>
      <c r="K94" s="35" t="s">
        <v>375</v>
      </c>
      <c r="L94" s="35" t="s">
        <v>376</v>
      </c>
      <c r="M94" s="35" t="s">
        <v>793</v>
      </c>
      <c r="N94" s="35" t="s">
        <v>3109</v>
      </c>
      <c r="O94" s="35" t="s">
        <v>591</v>
      </c>
      <c r="P94" s="35" t="s">
        <v>380</v>
      </c>
      <c r="Q94" s="35" t="s">
        <v>592</v>
      </c>
      <c r="R94" s="35" t="s">
        <v>499</v>
      </c>
      <c r="S94" s="35" t="s">
        <v>949</v>
      </c>
      <c r="T94" s="35" t="s">
        <v>384</v>
      </c>
      <c r="U94" s="35" t="s">
        <v>385</v>
      </c>
      <c r="X94" s="35" t="s">
        <v>593</v>
      </c>
      <c r="Y94" s="35" t="s">
        <v>387</v>
      </c>
      <c r="Z94" s="35" t="s">
        <v>388</v>
      </c>
      <c r="AA94" s="35" t="s">
        <v>543</v>
      </c>
      <c r="AB94" s="35" t="s">
        <v>11856</v>
      </c>
      <c r="AC94" s="35" t="s">
        <v>3111</v>
      </c>
      <c r="AW94" s="35" t="s">
        <v>1310</v>
      </c>
      <c r="AX94" s="35" t="s">
        <v>675</v>
      </c>
      <c r="AY94" s="35" t="s">
        <v>675</v>
      </c>
      <c r="AZ94" s="35" t="s">
        <v>675</v>
      </c>
      <c r="BA94" s="35" t="s">
        <v>675</v>
      </c>
      <c r="BB94" s="35" t="s">
        <v>675</v>
      </c>
      <c r="BC94" s="35" t="s">
        <v>675</v>
      </c>
      <c r="BD94" s="35" t="s">
        <v>11857</v>
      </c>
      <c r="BE94" s="35" t="s">
        <v>11858</v>
      </c>
      <c r="BF94" s="35" t="s">
        <v>3114</v>
      </c>
      <c r="BG94" s="35" t="s">
        <v>1095</v>
      </c>
      <c r="BH94" s="35" t="s">
        <v>725</v>
      </c>
      <c r="BI94" s="35" t="s">
        <v>11859</v>
      </c>
      <c r="BJ94" s="35" t="s">
        <v>976</v>
      </c>
      <c r="BK94" s="35" t="s">
        <v>3116</v>
      </c>
      <c r="BL94" s="35" t="s">
        <v>437</v>
      </c>
      <c r="BM94" s="35" t="s">
        <v>904</v>
      </c>
      <c r="BN94" s="35" t="s">
        <v>1314</v>
      </c>
      <c r="BO94" s="35" t="s">
        <v>440</v>
      </c>
      <c r="CM94" s="35" t="s">
        <v>441</v>
      </c>
      <c r="CN94" s="35" t="s">
        <v>604</v>
      </c>
      <c r="CO94" s="35" t="s">
        <v>3117</v>
      </c>
      <c r="CP94" s="35" t="s">
        <v>11860</v>
      </c>
      <c r="CQ94" s="35" t="s">
        <v>445</v>
      </c>
      <c r="CR94" s="35" t="s">
        <v>3119</v>
      </c>
      <c r="CS94" s="35" t="s">
        <v>447</v>
      </c>
      <c r="CT94" s="35" t="s">
        <v>3120</v>
      </c>
      <c r="CU94" s="35" t="s">
        <v>11861</v>
      </c>
      <c r="CV94" s="35" t="s">
        <v>450</v>
      </c>
      <c r="CW94" s="35" t="s">
        <v>451</v>
      </c>
      <c r="CX94" s="35" t="s">
        <v>11862</v>
      </c>
      <c r="CY94" s="35" t="s">
        <v>455</v>
      </c>
      <c r="CZ94" s="35" t="s">
        <v>11863</v>
      </c>
      <c r="DA94" s="35" t="s">
        <v>453</v>
      </c>
      <c r="DB94" s="35" t="s">
        <v>11864</v>
      </c>
      <c r="DC94" s="35" t="s">
        <v>455</v>
      </c>
      <c r="DD94" s="35" t="s">
        <v>11865</v>
      </c>
      <c r="DE94" s="35" t="s">
        <v>662</v>
      </c>
      <c r="DG94" s="35" t="s">
        <v>11866</v>
      </c>
      <c r="DH94" s="35" t="s">
        <v>524</v>
      </c>
      <c r="DI94" s="35" t="s">
        <v>410</v>
      </c>
      <c r="DJ94" s="35" t="s">
        <v>459</v>
      </c>
      <c r="DK94" s="35" t="s">
        <v>562</v>
      </c>
      <c r="DL94" s="35" t="s">
        <v>461</v>
      </c>
      <c r="DN94" s="35" t="s">
        <v>3127</v>
      </c>
      <c r="DO94" s="35" t="s">
        <v>3128</v>
      </c>
      <c r="DP94" s="35" t="s">
        <v>464</v>
      </c>
      <c r="DQ94" s="35" t="s">
        <v>11867</v>
      </c>
      <c r="DR94" s="35" t="s">
        <v>466</v>
      </c>
      <c r="DS94" s="35" t="s">
        <v>11868</v>
      </c>
      <c r="DT94" s="35" t="s">
        <v>839</v>
      </c>
      <c r="DU94" s="35" t="s">
        <v>1580</v>
      </c>
      <c r="DV94" s="35" t="s">
        <v>11869</v>
      </c>
      <c r="DW94" s="35" t="s">
        <v>11870</v>
      </c>
      <c r="DX94" s="35" t="s">
        <v>622</v>
      </c>
      <c r="DY94" s="35" t="s">
        <v>11871</v>
      </c>
      <c r="DZ94" s="35" t="s">
        <v>11872</v>
      </c>
      <c r="EA94" s="35" t="s">
        <v>11873</v>
      </c>
      <c r="EB94" s="35" t="s">
        <v>475</v>
      </c>
      <c r="EC94" s="35" t="s">
        <v>845</v>
      </c>
      <c r="ED94" s="35" t="s">
        <v>3136</v>
      </c>
      <c r="EU94" s="35" t="s">
        <v>526</v>
      </c>
      <c r="EV94" s="35" t="s">
        <v>479</v>
      </c>
      <c r="EW94" s="35" t="s">
        <v>527</v>
      </c>
      <c r="EX94" s="35" t="s">
        <v>3137</v>
      </c>
      <c r="EY94" s="35" t="s">
        <v>3138</v>
      </c>
      <c r="EZ94" s="35" t="s">
        <v>3139</v>
      </c>
      <c r="FA94" s="35" t="s">
        <v>583</v>
      </c>
      <c r="FB94" s="35" t="s">
        <v>583</v>
      </c>
      <c r="FC94" s="35" t="s">
        <v>583</v>
      </c>
      <c r="FD94" s="35" t="s">
        <v>583</v>
      </c>
      <c r="FE94" s="35" t="s">
        <v>415</v>
      </c>
      <c r="FF94" s="35" t="s">
        <v>583</v>
      </c>
      <c r="FG94" s="35" t="s">
        <v>583</v>
      </c>
      <c r="FH94" s="35" t="s">
        <v>413</v>
      </c>
      <c r="FI94" s="35" t="s">
        <v>583</v>
      </c>
      <c r="FJ94" s="35" t="s">
        <v>583</v>
      </c>
      <c r="FK94" s="35" t="s">
        <v>583</v>
      </c>
      <c r="FL94" s="35" t="s">
        <v>413</v>
      </c>
      <c r="FM94" s="35" t="s">
        <v>583</v>
      </c>
      <c r="FN94" s="35" t="s">
        <v>413</v>
      </c>
      <c r="FO94" s="35" t="s">
        <v>583</v>
      </c>
      <c r="FP94" s="35" t="s">
        <v>417</v>
      </c>
      <c r="FQ94" s="35" t="s">
        <v>418</v>
      </c>
      <c r="FR94" s="35" t="s">
        <v>630</v>
      </c>
      <c r="FS94" s="35" t="s">
        <v>3140</v>
      </c>
      <c r="FT94" s="35" t="s">
        <v>420</v>
      </c>
      <c r="FU94" s="35" t="s">
        <v>488</v>
      </c>
      <c r="FV94" s="35" t="s">
        <v>533</v>
      </c>
      <c r="FW94" s="35" t="s">
        <v>490</v>
      </c>
      <c r="FX94" s="35" t="s">
        <v>491</v>
      </c>
      <c r="FY94" s="35" t="s">
        <v>3141</v>
      </c>
      <c r="FZ94" s="35" t="s">
        <v>535</v>
      </c>
      <c r="GA94" s="35" t="s">
        <v>11874</v>
      </c>
      <c r="GB94" s="35" t="s">
        <v>11875</v>
      </c>
      <c r="GC94" s="35" t="s">
        <v>455</v>
      </c>
      <c r="GD94" s="35" t="s">
        <v>11876</v>
      </c>
      <c r="GF94" s="35" t="s">
        <v>1339</v>
      </c>
      <c r="GG94" s="35" t="s">
        <v>11877</v>
      </c>
      <c r="GH94" s="35" t="s">
        <v>755</v>
      </c>
      <c r="GI94" s="35" t="s">
        <v>755</v>
      </c>
      <c r="GJ94" s="35" t="s">
        <v>817</v>
      </c>
      <c r="GN94" s="35" t="s">
        <v>1079</v>
      </c>
    </row>
    <row r="95">
      <c r="A95" s="40"/>
      <c r="B95" s="40">
        <v>45829.64056644676</v>
      </c>
      <c r="C95" s="35" t="s">
        <v>368</v>
      </c>
      <c r="D95" s="35" t="s">
        <v>370</v>
      </c>
      <c r="F95" s="35" t="s">
        <v>1510</v>
      </c>
      <c r="H95" s="35" t="s">
        <v>422</v>
      </c>
      <c r="I95" s="35" t="s">
        <v>539</v>
      </c>
      <c r="J95" s="35" t="s">
        <v>424</v>
      </c>
      <c r="K95" s="35" t="s">
        <v>718</v>
      </c>
      <c r="L95" s="35" t="s">
        <v>376</v>
      </c>
      <c r="M95" s="35" t="s">
        <v>793</v>
      </c>
      <c r="N95" s="35" t="s">
        <v>639</v>
      </c>
      <c r="O95" s="35" t="s">
        <v>670</v>
      </c>
      <c r="P95" s="35" t="s">
        <v>1024</v>
      </c>
      <c r="Q95" s="35" t="s">
        <v>1760</v>
      </c>
      <c r="R95" s="35" t="s">
        <v>1342</v>
      </c>
      <c r="S95" s="35" t="s">
        <v>427</v>
      </c>
      <c r="T95" s="35" t="s">
        <v>384</v>
      </c>
      <c r="U95" s="35" t="s">
        <v>385</v>
      </c>
      <c r="X95" s="35" t="s">
        <v>593</v>
      </c>
      <c r="Y95" s="35" t="s">
        <v>1706</v>
      </c>
      <c r="AD95" s="35" t="s">
        <v>3166</v>
      </c>
      <c r="AE95" s="35" t="s">
        <v>1938</v>
      </c>
      <c r="AF95" s="35" t="s">
        <v>1143</v>
      </c>
      <c r="AH95" s="41">
        <v>1.0</v>
      </c>
      <c r="AI95" s="35" t="s">
        <v>1145</v>
      </c>
      <c r="AL95" s="35" t="s">
        <v>396</v>
      </c>
      <c r="AW95" s="35" t="s">
        <v>504</v>
      </c>
      <c r="AX95" s="41">
        <v>2.0</v>
      </c>
      <c r="AY95" s="35" t="s">
        <v>429</v>
      </c>
      <c r="AZ95" s="41">
        <v>2.0</v>
      </c>
      <c r="BA95" s="35" t="s">
        <v>429</v>
      </c>
      <c r="BB95" s="41">
        <v>2.0</v>
      </c>
      <c r="BC95" s="41">
        <v>2.0</v>
      </c>
      <c r="BF95" s="35" t="s">
        <v>392</v>
      </c>
      <c r="BG95" s="35" t="s">
        <v>393</v>
      </c>
      <c r="BH95" s="35" t="s">
        <v>678</v>
      </c>
      <c r="BJ95" s="35" t="s">
        <v>727</v>
      </c>
      <c r="BL95" s="35" t="s">
        <v>395</v>
      </c>
      <c r="BN95" s="35" t="s">
        <v>439</v>
      </c>
      <c r="BO95" s="35" t="s">
        <v>440</v>
      </c>
      <c r="CM95" s="35" t="s">
        <v>953</v>
      </c>
      <c r="CN95" s="35" t="s">
        <v>604</v>
      </c>
      <c r="CQ95" s="35" t="s">
        <v>445</v>
      </c>
      <c r="CR95" s="35" t="s">
        <v>2064</v>
      </c>
      <c r="CS95" s="35" t="s">
        <v>404</v>
      </c>
      <c r="CT95" s="35" t="s">
        <v>1147</v>
      </c>
      <c r="CV95" s="35" t="s">
        <v>3167</v>
      </c>
      <c r="CW95" s="35" t="s">
        <v>451</v>
      </c>
      <c r="CY95" s="35" t="s">
        <v>455</v>
      </c>
      <c r="DA95" s="35" t="s">
        <v>453</v>
      </c>
      <c r="DC95" s="35" t="s">
        <v>455</v>
      </c>
      <c r="DD95" s="35" t="s">
        <v>3168</v>
      </c>
      <c r="DE95" s="35" t="s">
        <v>988</v>
      </c>
      <c r="DH95" s="35" t="s">
        <v>524</v>
      </c>
      <c r="DI95" s="35" t="s">
        <v>410</v>
      </c>
      <c r="DJ95" s="35" t="s">
        <v>459</v>
      </c>
      <c r="DK95" s="35" t="s">
        <v>1148</v>
      </c>
      <c r="DL95" s="35" t="s">
        <v>461</v>
      </c>
      <c r="DN95" s="35" t="s">
        <v>3169</v>
      </c>
      <c r="DO95" s="35" t="s">
        <v>3170</v>
      </c>
      <c r="DP95" s="35" t="s">
        <v>2956</v>
      </c>
      <c r="DR95" s="35" t="s">
        <v>700</v>
      </c>
      <c r="DT95" s="35" t="s">
        <v>468</v>
      </c>
      <c r="DU95" s="35" t="s">
        <v>3171</v>
      </c>
      <c r="DX95" s="35" t="s">
        <v>573</v>
      </c>
      <c r="EB95" s="35" t="s">
        <v>2960</v>
      </c>
      <c r="EC95" s="35" t="s">
        <v>626</v>
      </c>
      <c r="EU95" s="35" t="s">
        <v>478</v>
      </c>
      <c r="EV95" s="35" t="s">
        <v>1127</v>
      </c>
      <c r="EW95" s="35" t="s">
        <v>1534</v>
      </c>
      <c r="FA95" s="35" t="s">
        <v>415</v>
      </c>
      <c r="FB95" s="35" t="s">
        <v>415</v>
      </c>
      <c r="FC95" s="35" t="s">
        <v>413</v>
      </c>
      <c r="FD95" s="35" t="s">
        <v>413</v>
      </c>
      <c r="FE95" s="35" t="s">
        <v>413</v>
      </c>
      <c r="FF95" s="35" t="s">
        <v>415</v>
      </c>
      <c r="FG95" s="35" t="s">
        <v>413</v>
      </c>
      <c r="FH95" s="35" t="s">
        <v>413</v>
      </c>
      <c r="FI95" s="35" t="s">
        <v>415</v>
      </c>
      <c r="FJ95" s="35" t="s">
        <v>416</v>
      </c>
      <c r="FK95" s="35" t="s">
        <v>413</v>
      </c>
      <c r="FL95" s="35" t="s">
        <v>415</v>
      </c>
      <c r="FM95" s="35" t="s">
        <v>415</v>
      </c>
      <c r="FN95" s="35" t="s">
        <v>415</v>
      </c>
      <c r="FO95" s="35" t="s">
        <v>415</v>
      </c>
      <c r="FP95" s="35" t="s">
        <v>850</v>
      </c>
      <c r="FQ95" s="35" t="s">
        <v>418</v>
      </c>
      <c r="FR95" s="35" t="s">
        <v>419</v>
      </c>
      <c r="FT95" s="35" t="s">
        <v>420</v>
      </c>
      <c r="FU95" s="35" t="s">
        <v>1462</v>
      </c>
      <c r="FV95" s="35" t="s">
        <v>533</v>
      </c>
      <c r="FW95" s="35" t="s">
        <v>490</v>
      </c>
      <c r="FX95" s="35" t="s">
        <v>491</v>
      </c>
      <c r="FZ95" s="35" t="s">
        <v>535</v>
      </c>
      <c r="GC95" s="35" t="s">
        <v>408</v>
      </c>
      <c r="GH95" s="35" t="s">
        <v>755</v>
      </c>
      <c r="GI95" s="35" t="s">
        <v>755</v>
      </c>
      <c r="GJ95" s="35" t="s">
        <v>817</v>
      </c>
      <c r="GN95" s="35" t="s">
        <v>1079</v>
      </c>
    </row>
    <row r="96">
      <c r="A96" s="40"/>
      <c r="B96" s="40">
        <v>45830.397428067125</v>
      </c>
      <c r="C96" s="35" t="s">
        <v>368</v>
      </c>
      <c r="D96" s="35" t="s">
        <v>370</v>
      </c>
      <c r="F96" s="35" t="s">
        <v>667</v>
      </c>
      <c r="H96" s="35" t="s">
        <v>422</v>
      </c>
      <c r="I96" s="35" t="s">
        <v>1307</v>
      </c>
      <c r="J96" s="35" t="s">
        <v>668</v>
      </c>
      <c r="K96" s="35" t="s">
        <v>375</v>
      </c>
      <c r="L96" s="35" t="s">
        <v>376</v>
      </c>
      <c r="M96" s="35" t="s">
        <v>379</v>
      </c>
      <c r="N96" s="35" t="s">
        <v>541</v>
      </c>
      <c r="O96" s="35" t="s">
        <v>379</v>
      </c>
      <c r="P96" s="35" t="s">
        <v>497</v>
      </c>
      <c r="Q96" s="35" t="s">
        <v>381</v>
      </c>
      <c r="R96" s="35" t="s">
        <v>499</v>
      </c>
      <c r="S96" s="35" t="s">
        <v>949</v>
      </c>
      <c r="T96" s="35" t="s">
        <v>384</v>
      </c>
      <c r="U96" s="35" t="s">
        <v>385</v>
      </c>
      <c r="X96" s="35" t="s">
        <v>386</v>
      </c>
      <c r="Y96" s="35" t="s">
        <v>387</v>
      </c>
      <c r="Z96" s="35" t="s">
        <v>388</v>
      </c>
      <c r="AA96" s="35" t="s">
        <v>543</v>
      </c>
      <c r="AB96" s="35" t="s">
        <v>11878</v>
      </c>
      <c r="AC96" s="35" t="s">
        <v>11879</v>
      </c>
      <c r="AW96" s="35" t="s">
        <v>597</v>
      </c>
      <c r="AX96" s="41">
        <v>2.0</v>
      </c>
      <c r="AY96" s="41">
        <v>2.0</v>
      </c>
      <c r="AZ96" s="41">
        <v>2.0</v>
      </c>
      <c r="BA96" s="41">
        <v>2.0</v>
      </c>
      <c r="BB96" s="41">
        <v>2.0</v>
      </c>
      <c r="BC96" s="41">
        <v>2.0</v>
      </c>
      <c r="BD96" s="35" t="s">
        <v>3276</v>
      </c>
      <c r="BE96" s="35" t="s">
        <v>11880</v>
      </c>
      <c r="BF96" s="35" t="s">
        <v>392</v>
      </c>
      <c r="BG96" s="35" t="s">
        <v>1047</v>
      </c>
      <c r="BH96" s="35" t="s">
        <v>678</v>
      </c>
      <c r="BI96" s="35" t="s">
        <v>3278</v>
      </c>
      <c r="BJ96" s="35" t="s">
        <v>509</v>
      </c>
      <c r="BK96" s="35" t="s">
        <v>3279</v>
      </c>
      <c r="BL96" s="35" t="s">
        <v>437</v>
      </c>
      <c r="BM96" s="35" t="s">
        <v>904</v>
      </c>
      <c r="BN96" s="35" t="s">
        <v>1247</v>
      </c>
      <c r="BO96" s="35" t="s">
        <v>440</v>
      </c>
      <c r="CM96" s="35" t="s">
        <v>550</v>
      </c>
      <c r="CN96" s="35" t="s">
        <v>604</v>
      </c>
      <c r="CO96" s="35" t="s">
        <v>11881</v>
      </c>
      <c r="CP96" s="35" t="s">
        <v>11882</v>
      </c>
      <c r="CQ96" s="35" t="s">
        <v>445</v>
      </c>
      <c r="CR96" s="35" t="s">
        <v>3282</v>
      </c>
      <c r="CS96" s="35" t="s">
        <v>804</v>
      </c>
      <c r="CT96" s="35" t="s">
        <v>3283</v>
      </c>
      <c r="CU96" s="35" t="s">
        <v>11883</v>
      </c>
      <c r="CV96" s="35" t="s">
        <v>519</v>
      </c>
      <c r="CW96" s="35" t="s">
        <v>451</v>
      </c>
      <c r="CX96" s="35" t="s">
        <v>3285</v>
      </c>
      <c r="CY96" s="35" t="s">
        <v>408</v>
      </c>
      <c r="DA96" s="35" t="s">
        <v>453</v>
      </c>
      <c r="DB96" s="35" t="s">
        <v>11884</v>
      </c>
      <c r="DC96" s="35" t="s">
        <v>455</v>
      </c>
      <c r="DD96" s="35" t="s">
        <v>3287</v>
      </c>
      <c r="DE96" s="35" t="s">
        <v>988</v>
      </c>
      <c r="DG96" s="35" t="s">
        <v>3288</v>
      </c>
      <c r="DH96" s="35" t="s">
        <v>561</v>
      </c>
      <c r="DI96" s="35" t="s">
        <v>410</v>
      </c>
      <c r="DJ96" s="35" t="s">
        <v>963</v>
      </c>
      <c r="DK96" s="35" t="s">
        <v>460</v>
      </c>
      <c r="DL96" s="35" t="s">
        <v>461</v>
      </c>
      <c r="DN96" s="35" t="s">
        <v>2890</v>
      </c>
      <c r="DO96" s="35" t="s">
        <v>3289</v>
      </c>
      <c r="DP96" s="35" t="s">
        <v>1063</v>
      </c>
      <c r="DQ96" s="35" t="s">
        <v>3290</v>
      </c>
      <c r="DR96" s="35" t="s">
        <v>1578</v>
      </c>
      <c r="DS96" s="35" t="s">
        <v>11885</v>
      </c>
      <c r="DT96" s="35" t="s">
        <v>618</v>
      </c>
      <c r="DU96" s="35" t="s">
        <v>740</v>
      </c>
      <c r="DV96" s="35" t="s">
        <v>3292</v>
      </c>
      <c r="DW96" s="35" t="s">
        <v>3293</v>
      </c>
      <c r="DX96" s="35" t="s">
        <v>622</v>
      </c>
      <c r="DY96" s="35" t="s">
        <v>3294</v>
      </c>
      <c r="DZ96" s="35" t="s">
        <v>3295</v>
      </c>
      <c r="EA96" s="35" t="s">
        <v>11886</v>
      </c>
      <c r="EB96" s="35" t="s">
        <v>475</v>
      </c>
      <c r="EC96" s="35" t="s">
        <v>476</v>
      </c>
      <c r="ED96" s="35" t="s">
        <v>3297</v>
      </c>
      <c r="EU96" s="35" t="s">
        <v>526</v>
      </c>
      <c r="EV96" s="35" t="s">
        <v>1037</v>
      </c>
      <c r="EW96" s="35" t="s">
        <v>527</v>
      </c>
      <c r="EX96" s="35" t="s">
        <v>3298</v>
      </c>
      <c r="EY96" s="35" t="s">
        <v>3299</v>
      </c>
      <c r="EZ96" s="35" t="s">
        <v>3300</v>
      </c>
      <c r="FA96" s="35" t="s">
        <v>415</v>
      </c>
      <c r="FB96" s="35" t="s">
        <v>415</v>
      </c>
      <c r="FC96" s="35" t="s">
        <v>413</v>
      </c>
      <c r="FD96" s="35" t="s">
        <v>413</v>
      </c>
      <c r="FE96" s="35" t="s">
        <v>413</v>
      </c>
      <c r="FF96" s="35" t="s">
        <v>414</v>
      </c>
      <c r="FG96" s="35" t="s">
        <v>413</v>
      </c>
      <c r="FH96" s="35" t="s">
        <v>413</v>
      </c>
      <c r="FI96" s="35" t="s">
        <v>413</v>
      </c>
      <c r="FJ96" s="35" t="s">
        <v>583</v>
      </c>
      <c r="FK96" s="35" t="s">
        <v>413</v>
      </c>
      <c r="FL96" s="35" t="s">
        <v>415</v>
      </c>
      <c r="FM96" s="35" t="s">
        <v>415</v>
      </c>
      <c r="FN96" s="35" t="s">
        <v>416</v>
      </c>
      <c r="FO96" s="35" t="s">
        <v>583</v>
      </c>
      <c r="FP96" s="35" t="s">
        <v>850</v>
      </c>
      <c r="FQ96" s="35" t="s">
        <v>418</v>
      </c>
      <c r="FR96" s="35" t="s">
        <v>419</v>
      </c>
      <c r="FS96" s="35" t="s">
        <v>3301</v>
      </c>
      <c r="FT96" s="35" t="s">
        <v>420</v>
      </c>
      <c r="FU96" s="35" t="s">
        <v>488</v>
      </c>
      <c r="FV96" s="35" t="s">
        <v>533</v>
      </c>
      <c r="FW96" s="35" t="s">
        <v>490</v>
      </c>
      <c r="FX96" s="35" t="s">
        <v>491</v>
      </c>
      <c r="FY96" s="35" t="s">
        <v>11887</v>
      </c>
      <c r="FZ96" s="35" t="s">
        <v>535</v>
      </c>
      <c r="GA96" s="35" t="s">
        <v>11888</v>
      </c>
      <c r="GB96" s="35" t="s">
        <v>11889</v>
      </c>
      <c r="GC96" s="35" t="s">
        <v>455</v>
      </c>
      <c r="GD96" s="35" t="s">
        <v>11890</v>
      </c>
      <c r="GE96" s="35" t="s">
        <v>11891</v>
      </c>
      <c r="GF96" s="35" t="s">
        <v>855</v>
      </c>
      <c r="GG96" s="35" t="s">
        <v>11892</v>
      </c>
      <c r="GH96" s="35" t="s">
        <v>755</v>
      </c>
      <c r="GI96" s="35" t="s">
        <v>755</v>
      </c>
      <c r="GJ96" s="35" t="s">
        <v>756</v>
      </c>
      <c r="GN96" s="35" t="s">
        <v>1079</v>
      </c>
      <c r="GR96" s="35" t="s">
        <v>3306</v>
      </c>
    </row>
    <row r="97">
      <c r="A97" s="40"/>
      <c r="B97" s="40">
        <v>45830.745157337966</v>
      </c>
      <c r="C97" s="35" t="s">
        <v>368</v>
      </c>
      <c r="D97" s="35" t="s">
        <v>370</v>
      </c>
      <c r="F97" s="35" t="s">
        <v>589</v>
      </c>
      <c r="H97" s="35" t="s">
        <v>422</v>
      </c>
      <c r="I97" s="35" t="s">
        <v>539</v>
      </c>
      <c r="J97" s="35" t="s">
        <v>1022</v>
      </c>
      <c r="K97" s="35" t="s">
        <v>375</v>
      </c>
      <c r="L97" s="35" t="s">
        <v>376</v>
      </c>
      <c r="M97" s="35" t="s">
        <v>426</v>
      </c>
      <c r="N97" s="35" t="s">
        <v>2464</v>
      </c>
      <c r="O97" s="35" t="s">
        <v>379</v>
      </c>
      <c r="P97" s="35" t="s">
        <v>380</v>
      </c>
      <c r="Q97" s="35" t="s">
        <v>1760</v>
      </c>
      <c r="R97" s="35" t="s">
        <v>499</v>
      </c>
      <c r="S97" s="35" t="s">
        <v>500</v>
      </c>
      <c r="T97" s="35" t="s">
        <v>384</v>
      </c>
      <c r="U97" s="35" t="s">
        <v>385</v>
      </c>
      <c r="X97" s="35" t="s">
        <v>386</v>
      </c>
      <c r="Y97" s="35" t="s">
        <v>387</v>
      </c>
      <c r="Z97" s="35" t="s">
        <v>897</v>
      </c>
      <c r="AA97" s="35" t="s">
        <v>543</v>
      </c>
      <c r="AB97" s="35" t="s">
        <v>3425</v>
      </c>
      <c r="AW97" s="35" t="s">
        <v>597</v>
      </c>
      <c r="AX97" s="41">
        <v>4.0</v>
      </c>
      <c r="AY97" s="41">
        <v>4.0</v>
      </c>
      <c r="AZ97" s="41">
        <v>4.0</v>
      </c>
      <c r="BA97" s="41">
        <v>2.0</v>
      </c>
      <c r="BB97" s="35" t="s">
        <v>391</v>
      </c>
      <c r="BC97" s="41">
        <v>4.0</v>
      </c>
      <c r="BD97" s="35" t="s">
        <v>3426</v>
      </c>
      <c r="BE97" s="35" t="s">
        <v>3427</v>
      </c>
      <c r="BF97" s="35" t="s">
        <v>432</v>
      </c>
      <c r="BG97" s="35" t="s">
        <v>1095</v>
      </c>
      <c r="BH97" s="35" t="s">
        <v>434</v>
      </c>
      <c r="BI97" s="35" t="s">
        <v>11893</v>
      </c>
      <c r="BJ97" s="35" t="s">
        <v>727</v>
      </c>
      <c r="BL97" s="35" t="s">
        <v>602</v>
      </c>
      <c r="BM97" s="35" t="s">
        <v>904</v>
      </c>
      <c r="BN97" s="35" t="s">
        <v>1276</v>
      </c>
      <c r="BO97" s="35" t="s">
        <v>440</v>
      </c>
      <c r="CM97" s="35" t="s">
        <v>441</v>
      </c>
      <c r="CN97" s="35" t="s">
        <v>682</v>
      </c>
      <c r="CO97" s="35" t="s">
        <v>11894</v>
      </c>
      <c r="CP97" s="35" t="s">
        <v>11895</v>
      </c>
      <c r="CQ97" s="35" t="s">
        <v>403</v>
      </c>
      <c r="CR97" s="35" t="s">
        <v>1136</v>
      </c>
      <c r="CS97" s="35" t="s">
        <v>447</v>
      </c>
      <c r="CT97" s="35" t="s">
        <v>3430</v>
      </c>
      <c r="CU97" s="35" t="s">
        <v>11896</v>
      </c>
      <c r="CV97" s="35" t="s">
        <v>450</v>
      </c>
      <c r="CW97" s="35" t="s">
        <v>451</v>
      </c>
      <c r="CX97" s="35" t="s">
        <v>3432</v>
      </c>
      <c r="CY97" s="35" t="s">
        <v>408</v>
      </c>
      <c r="DA97" s="35" t="s">
        <v>453</v>
      </c>
      <c r="DB97" s="35" t="s">
        <v>11897</v>
      </c>
      <c r="DC97" s="35" t="s">
        <v>455</v>
      </c>
      <c r="DD97" s="35" t="s">
        <v>11898</v>
      </c>
      <c r="DE97" s="35" t="s">
        <v>406</v>
      </c>
      <c r="DF97" s="35" t="s">
        <v>407</v>
      </c>
      <c r="DG97" s="35" t="s">
        <v>11899</v>
      </c>
      <c r="DH97" s="35" t="s">
        <v>524</v>
      </c>
      <c r="DI97" s="35" t="s">
        <v>410</v>
      </c>
      <c r="DJ97" s="35" t="s">
        <v>459</v>
      </c>
      <c r="DK97" s="35" t="s">
        <v>613</v>
      </c>
      <c r="DN97" s="35" t="s">
        <v>3436</v>
      </c>
      <c r="DO97" s="35" t="s">
        <v>3437</v>
      </c>
      <c r="DP97" s="35" t="s">
        <v>2956</v>
      </c>
      <c r="DQ97" s="35" t="s">
        <v>11900</v>
      </c>
      <c r="DR97" s="35" t="s">
        <v>1176</v>
      </c>
      <c r="DS97" s="35" t="s">
        <v>3439</v>
      </c>
      <c r="DT97" s="35" t="s">
        <v>618</v>
      </c>
      <c r="DU97" s="35" t="s">
        <v>570</v>
      </c>
      <c r="DV97" s="35" t="s">
        <v>11901</v>
      </c>
      <c r="DW97" s="35" t="s">
        <v>733</v>
      </c>
      <c r="DX97" s="35" t="s">
        <v>396</v>
      </c>
      <c r="DY97" s="35" t="s">
        <v>11902</v>
      </c>
      <c r="DZ97" s="35" t="s">
        <v>11903</v>
      </c>
      <c r="EA97" s="35" t="s">
        <v>3443</v>
      </c>
      <c r="EB97" s="35" t="s">
        <v>475</v>
      </c>
      <c r="EC97" s="35" t="s">
        <v>845</v>
      </c>
      <c r="ED97" s="35" t="s">
        <v>3444</v>
      </c>
      <c r="EU97" s="35" t="s">
        <v>478</v>
      </c>
      <c r="EV97" s="35" t="s">
        <v>479</v>
      </c>
      <c r="EW97" s="35" t="s">
        <v>778</v>
      </c>
      <c r="EX97" s="35" t="s">
        <v>3445</v>
      </c>
      <c r="EY97" s="35" t="s">
        <v>3446</v>
      </c>
      <c r="EZ97" s="35" t="s">
        <v>11904</v>
      </c>
      <c r="FA97" s="35" t="s">
        <v>583</v>
      </c>
      <c r="FB97" s="35" t="s">
        <v>583</v>
      </c>
      <c r="FC97" s="35" t="s">
        <v>416</v>
      </c>
      <c r="FD97" s="35" t="s">
        <v>583</v>
      </c>
      <c r="FE97" s="35" t="s">
        <v>413</v>
      </c>
      <c r="FF97" s="35" t="s">
        <v>583</v>
      </c>
      <c r="FG97" s="35" t="s">
        <v>484</v>
      </c>
      <c r="FH97" s="35" t="s">
        <v>413</v>
      </c>
      <c r="FI97" s="35" t="s">
        <v>583</v>
      </c>
      <c r="FJ97" s="35" t="s">
        <v>583</v>
      </c>
      <c r="FK97" s="35" t="s">
        <v>416</v>
      </c>
      <c r="FL97" s="35" t="s">
        <v>484</v>
      </c>
      <c r="FM97" s="35" t="s">
        <v>484</v>
      </c>
      <c r="FN97" s="35" t="s">
        <v>413</v>
      </c>
      <c r="FO97" s="35" t="s">
        <v>583</v>
      </c>
      <c r="FP97" s="35" t="s">
        <v>3396</v>
      </c>
      <c r="FQ97" s="35" t="s">
        <v>486</v>
      </c>
      <c r="FS97" s="35" t="s">
        <v>11905</v>
      </c>
      <c r="FT97" s="35" t="s">
        <v>420</v>
      </c>
      <c r="FV97" s="35" t="s">
        <v>533</v>
      </c>
      <c r="FW97" s="35" t="s">
        <v>490</v>
      </c>
      <c r="FX97" s="35" t="s">
        <v>491</v>
      </c>
      <c r="FY97" s="35" t="s">
        <v>11906</v>
      </c>
      <c r="FZ97" s="35" t="s">
        <v>1337</v>
      </c>
      <c r="GA97" s="35" t="s">
        <v>11907</v>
      </c>
      <c r="GB97" s="35" t="s">
        <v>11908</v>
      </c>
      <c r="GC97" s="35" t="s">
        <v>455</v>
      </c>
      <c r="GD97" s="35" t="s">
        <v>11909</v>
      </c>
      <c r="GF97" s="35" t="s">
        <v>753</v>
      </c>
      <c r="GG97" s="35" t="s">
        <v>3337</v>
      </c>
      <c r="GH97" s="35" t="s">
        <v>1000</v>
      </c>
      <c r="GI97" s="35" t="s">
        <v>1000</v>
      </c>
      <c r="GJ97" s="35" t="s">
        <v>756</v>
      </c>
      <c r="GN97" s="35" t="s">
        <v>1079</v>
      </c>
      <c r="GR97" s="42" t="s">
        <v>3452</v>
      </c>
    </row>
    <row r="98">
      <c r="A98" s="40"/>
      <c r="B98" s="40">
        <v>45830.77002224537</v>
      </c>
      <c r="C98" s="35" t="s">
        <v>368</v>
      </c>
      <c r="D98" s="35" t="s">
        <v>370</v>
      </c>
      <c r="F98" s="35" t="s">
        <v>1001</v>
      </c>
      <c r="H98" s="35" t="s">
        <v>422</v>
      </c>
      <c r="I98" s="35" t="s">
        <v>637</v>
      </c>
      <c r="J98" s="35" t="s">
        <v>638</v>
      </c>
      <c r="K98" s="35" t="s">
        <v>1204</v>
      </c>
      <c r="L98" s="35" t="s">
        <v>376</v>
      </c>
      <c r="M98" s="35" t="s">
        <v>379</v>
      </c>
      <c r="N98" s="35" t="s">
        <v>1690</v>
      </c>
      <c r="O98" s="35" t="s">
        <v>379</v>
      </c>
      <c r="P98" s="35" t="s">
        <v>497</v>
      </c>
      <c r="Q98" s="35" t="s">
        <v>592</v>
      </c>
      <c r="R98" s="35" t="s">
        <v>759</v>
      </c>
      <c r="S98" s="35" t="s">
        <v>1704</v>
      </c>
      <c r="T98" s="35" t="s">
        <v>384</v>
      </c>
      <c r="U98" s="35" t="s">
        <v>385</v>
      </c>
      <c r="AW98" s="35" t="s">
        <v>504</v>
      </c>
      <c r="AX98" s="41">
        <v>4.0</v>
      </c>
      <c r="AY98" s="35" t="s">
        <v>391</v>
      </c>
      <c r="AZ98" s="35" t="s">
        <v>391</v>
      </c>
      <c r="BA98" s="41">
        <v>2.0</v>
      </c>
      <c r="BB98" s="35" t="s">
        <v>391</v>
      </c>
      <c r="BC98" s="35" t="s">
        <v>391</v>
      </c>
      <c r="BF98" s="35" t="s">
        <v>432</v>
      </c>
      <c r="BH98" s="35" t="s">
        <v>394</v>
      </c>
      <c r="BJ98" s="35" t="s">
        <v>824</v>
      </c>
      <c r="BL98" s="35" t="s">
        <v>681</v>
      </c>
      <c r="BM98" s="35" t="s">
        <v>396</v>
      </c>
      <c r="BN98" s="35" t="s">
        <v>549</v>
      </c>
      <c r="BO98" s="35" t="s">
        <v>440</v>
      </c>
      <c r="DJ98" s="35" t="s">
        <v>459</v>
      </c>
      <c r="DK98" s="35" t="s">
        <v>613</v>
      </c>
      <c r="DN98" s="35" t="s">
        <v>2890</v>
      </c>
      <c r="DO98" s="35" t="s">
        <v>3469</v>
      </c>
      <c r="DP98" s="35" t="s">
        <v>464</v>
      </c>
      <c r="DQ98" s="35" t="s">
        <v>3470</v>
      </c>
      <c r="DR98" s="35" t="s">
        <v>1176</v>
      </c>
      <c r="DS98" s="35" t="s">
        <v>408</v>
      </c>
      <c r="DT98" s="35" t="s">
        <v>839</v>
      </c>
      <c r="DU98" s="35" t="s">
        <v>570</v>
      </c>
      <c r="DV98" s="35" t="s">
        <v>3471</v>
      </c>
      <c r="DW98" s="35" t="s">
        <v>3471</v>
      </c>
      <c r="DX98" s="35" t="s">
        <v>573</v>
      </c>
      <c r="DZ98" s="35" t="s">
        <v>11910</v>
      </c>
      <c r="EA98" s="35" t="s">
        <v>11911</v>
      </c>
      <c r="EB98" s="35" t="s">
        <v>2960</v>
      </c>
      <c r="EC98" s="35" t="s">
        <v>3474</v>
      </c>
      <c r="EU98" s="35" t="s">
        <v>478</v>
      </c>
      <c r="EV98" s="35" t="s">
        <v>479</v>
      </c>
      <c r="EW98" s="35" t="s">
        <v>778</v>
      </c>
      <c r="EX98" s="35" t="s">
        <v>3475</v>
      </c>
      <c r="FP98" s="35" t="s">
        <v>485</v>
      </c>
      <c r="FQ98" s="35" t="s">
        <v>486</v>
      </c>
      <c r="FR98" s="35" t="s">
        <v>712</v>
      </c>
      <c r="FT98" s="35" t="s">
        <v>420</v>
      </c>
      <c r="FU98" s="35" t="s">
        <v>488</v>
      </c>
      <c r="FV98" s="35" t="s">
        <v>489</v>
      </c>
      <c r="FW98" s="35" t="s">
        <v>490</v>
      </c>
      <c r="FX98" s="35" t="s">
        <v>491</v>
      </c>
      <c r="FZ98" s="35" t="s">
        <v>535</v>
      </c>
      <c r="GC98" s="35" t="s">
        <v>408</v>
      </c>
      <c r="GN98" s="35" t="s">
        <v>2312</v>
      </c>
      <c r="GR98" s="35" t="s">
        <v>3208</v>
      </c>
    </row>
    <row r="99">
      <c r="A99" s="40"/>
      <c r="B99" s="40">
        <v>45830.97040641204</v>
      </c>
      <c r="C99" s="35" t="s">
        <v>368</v>
      </c>
      <c r="D99" s="35" t="s">
        <v>1201</v>
      </c>
      <c r="E99" s="35" t="s">
        <v>1201</v>
      </c>
      <c r="H99" s="35" t="s">
        <v>422</v>
      </c>
      <c r="I99" s="35" t="s">
        <v>423</v>
      </c>
      <c r="J99" s="35" t="s">
        <v>668</v>
      </c>
      <c r="K99" s="35" t="s">
        <v>1240</v>
      </c>
      <c r="L99" s="35" t="s">
        <v>376</v>
      </c>
      <c r="M99" s="35" t="s">
        <v>379</v>
      </c>
      <c r="N99" s="35" t="s">
        <v>720</v>
      </c>
      <c r="O99" s="35" t="s">
        <v>377</v>
      </c>
      <c r="P99" s="35" t="s">
        <v>497</v>
      </c>
      <c r="Q99" s="35" t="s">
        <v>381</v>
      </c>
      <c r="R99" s="35" t="s">
        <v>499</v>
      </c>
      <c r="S99" s="35" t="s">
        <v>427</v>
      </c>
      <c r="T99" s="35" t="s">
        <v>384</v>
      </c>
      <c r="U99" s="35" t="s">
        <v>385</v>
      </c>
      <c r="X99" s="35" t="s">
        <v>3014</v>
      </c>
      <c r="AW99" s="35" t="s">
        <v>1310</v>
      </c>
      <c r="AX99" s="35" t="s">
        <v>391</v>
      </c>
      <c r="AY99" s="35" t="s">
        <v>391</v>
      </c>
      <c r="AZ99" s="35" t="s">
        <v>391</v>
      </c>
      <c r="BA99" s="35" t="s">
        <v>391</v>
      </c>
      <c r="BB99" s="41">
        <v>4.0</v>
      </c>
      <c r="BC99" s="35" t="s">
        <v>391</v>
      </c>
      <c r="BD99" s="35" t="s">
        <v>11912</v>
      </c>
      <c r="BE99" s="35" t="s">
        <v>3482</v>
      </c>
      <c r="BF99" s="35" t="s">
        <v>392</v>
      </c>
      <c r="BG99" s="35" t="s">
        <v>393</v>
      </c>
      <c r="BH99" s="35" t="s">
        <v>678</v>
      </c>
      <c r="BI99" s="35" t="s">
        <v>11913</v>
      </c>
      <c r="BJ99" s="35" t="s">
        <v>435</v>
      </c>
      <c r="BK99" s="35" t="s">
        <v>11914</v>
      </c>
      <c r="BL99" s="35" t="s">
        <v>511</v>
      </c>
      <c r="BM99" s="35" t="s">
        <v>438</v>
      </c>
      <c r="BN99" s="35" t="s">
        <v>1247</v>
      </c>
      <c r="BO99" s="35" t="s">
        <v>440</v>
      </c>
      <c r="CM99" s="35" t="s">
        <v>550</v>
      </c>
      <c r="CN99" s="35" t="s">
        <v>442</v>
      </c>
      <c r="CO99" s="35" t="s">
        <v>3485</v>
      </c>
      <c r="CP99" s="35" t="s">
        <v>3486</v>
      </c>
      <c r="CQ99" s="35" t="s">
        <v>685</v>
      </c>
      <c r="CR99" s="35" t="s">
        <v>3487</v>
      </c>
      <c r="CS99" s="35" t="s">
        <v>447</v>
      </c>
      <c r="CT99" s="35" t="s">
        <v>3488</v>
      </c>
      <c r="CU99" s="35" t="s">
        <v>3489</v>
      </c>
      <c r="CV99" s="35" t="s">
        <v>519</v>
      </c>
      <c r="CW99" s="35" t="s">
        <v>451</v>
      </c>
      <c r="CX99" s="35" t="s">
        <v>3490</v>
      </c>
      <c r="CY99" s="35" t="s">
        <v>408</v>
      </c>
      <c r="DA99" s="35" t="s">
        <v>453</v>
      </c>
      <c r="DB99" s="35" t="s">
        <v>3491</v>
      </c>
      <c r="DC99" s="35" t="s">
        <v>455</v>
      </c>
      <c r="DD99" s="35" t="s">
        <v>3492</v>
      </c>
      <c r="DE99" s="35" t="s">
        <v>406</v>
      </c>
      <c r="DF99" s="35" t="s">
        <v>407</v>
      </c>
      <c r="DG99" s="35" t="s">
        <v>3493</v>
      </c>
      <c r="DH99" s="35" t="s">
        <v>524</v>
      </c>
      <c r="DI99" s="35" t="s">
        <v>410</v>
      </c>
      <c r="DJ99" s="35" t="s">
        <v>963</v>
      </c>
      <c r="DK99" s="35" t="s">
        <v>562</v>
      </c>
      <c r="DL99" s="35" t="s">
        <v>461</v>
      </c>
      <c r="DN99" s="35" t="s">
        <v>3494</v>
      </c>
      <c r="DO99" s="35" t="s">
        <v>3495</v>
      </c>
      <c r="DP99" s="35" t="s">
        <v>3496</v>
      </c>
      <c r="DQ99" s="35" t="s">
        <v>3497</v>
      </c>
      <c r="DR99" s="35" t="s">
        <v>466</v>
      </c>
      <c r="DS99" s="35" t="s">
        <v>11915</v>
      </c>
      <c r="DT99" s="35" t="s">
        <v>839</v>
      </c>
      <c r="DU99" s="35" t="s">
        <v>1580</v>
      </c>
      <c r="DV99" s="35" t="s">
        <v>3499</v>
      </c>
      <c r="DW99" s="35" t="s">
        <v>3500</v>
      </c>
      <c r="DX99" s="35" t="s">
        <v>573</v>
      </c>
      <c r="DY99" s="35" t="s">
        <v>3501</v>
      </c>
      <c r="DZ99" s="35" t="s">
        <v>3502</v>
      </c>
      <c r="EA99" s="35" t="s">
        <v>3503</v>
      </c>
      <c r="EB99" s="35" t="s">
        <v>475</v>
      </c>
      <c r="EC99" s="35" t="s">
        <v>626</v>
      </c>
      <c r="EU99" s="35" t="s">
        <v>526</v>
      </c>
      <c r="EV99" s="35" t="s">
        <v>479</v>
      </c>
      <c r="EW99" s="35" t="s">
        <v>480</v>
      </c>
      <c r="EY99" s="35" t="s">
        <v>11916</v>
      </c>
      <c r="EZ99" s="35" t="s">
        <v>11917</v>
      </c>
      <c r="FA99" s="35" t="s">
        <v>415</v>
      </c>
      <c r="FB99" s="35" t="s">
        <v>415</v>
      </c>
      <c r="FC99" s="35" t="s">
        <v>413</v>
      </c>
      <c r="FD99" s="35" t="s">
        <v>413</v>
      </c>
      <c r="FE99" s="35" t="s">
        <v>413</v>
      </c>
      <c r="FF99" s="35" t="s">
        <v>415</v>
      </c>
      <c r="FG99" s="35" t="s">
        <v>413</v>
      </c>
      <c r="FH99" s="35" t="s">
        <v>413</v>
      </c>
      <c r="FI99" s="35" t="s">
        <v>414</v>
      </c>
      <c r="FJ99" s="35" t="s">
        <v>415</v>
      </c>
      <c r="FK99" s="35" t="s">
        <v>415</v>
      </c>
      <c r="FL99" s="35" t="s">
        <v>415</v>
      </c>
      <c r="FM99" s="35" t="s">
        <v>415</v>
      </c>
      <c r="FN99" s="35" t="s">
        <v>415</v>
      </c>
      <c r="FO99" s="35" t="s">
        <v>415</v>
      </c>
      <c r="FP99" s="35" t="s">
        <v>485</v>
      </c>
      <c r="FQ99" s="35" t="s">
        <v>418</v>
      </c>
      <c r="FR99" s="35" t="s">
        <v>749</v>
      </c>
      <c r="FT99" s="35" t="s">
        <v>420</v>
      </c>
      <c r="FU99" s="35" t="s">
        <v>488</v>
      </c>
      <c r="FV99" s="35" t="s">
        <v>918</v>
      </c>
      <c r="FW99" s="35" t="s">
        <v>490</v>
      </c>
      <c r="FX99" s="35" t="s">
        <v>491</v>
      </c>
      <c r="FY99" s="35" t="s">
        <v>11918</v>
      </c>
      <c r="FZ99" s="35" t="s">
        <v>535</v>
      </c>
      <c r="GA99" s="35" t="s">
        <v>3507</v>
      </c>
      <c r="GB99" s="35" t="s">
        <v>3508</v>
      </c>
      <c r="GC99" s="35" t="s">
        <v>455</v>
      </c>
      <c r="GD99" s="35" t="s">
        <v>11919</v>
      </c>
      <c r="GF99" s="35" t="s">
        <v>753</v>
      </c>
      <c r="GH99" s="35" t="s">
        <v>755</v>
      </c>
      <c r="GI99" s="35" t="s">
        <v>755</v>
      </c>
      <c r="GJ99" s="35" t="s">
        <v>946</v>
      </c>
      <c r="GN99" s="35" t="s">
        <v>1079</v>
      </c>
      <c r="GO99" s="35" t="s">
        <v>11920</v>
      </c>
      <c r="GP99" s="35" t="s">
        <v>11920</v>
      </c>
      <c r="GR99" s="35" t="s">
        <v>3208</v>
      </c>
    </row>
    <row r="100">
      <c r="A100" s="40"/>
      <c r="B100" s="40">
        <v>45831.2901250463</v>
      </c>
      <c r="C100" s="35" t="s">
        <v>368</v>
      </c>
      <c r="D100" s="35" t="s">
        <v>370</v>
      </c>
      <c r="F100" s="35" t="s">
        <v>2359</v>
      </c>
      <c r="H100" s="35" t="s">
        <v>3595</v>
      </c>
      <c r="I100" s="35" t="s">
        <v>373</v>
      </c>
      <c r="J100" s="35" t="s">
        <v>374</v>
      </c>
      <c r="K100" s="35" t="s">
        <v>375</v>
      </c>
      <c r="L100" s="35" t="s">
        <v>376</v>
      </c>
      <c r="M100" s="35" t="s">
        <v>591</v>
      </c>
      <c r="N100" s="35" t="s">
        <v>2196</v>
      </c>
      <c r="O100" s="35" t="s">
        <v>377</v>
      </c>
      <c r="P100" s="35" t="s">
        <v>497</v>
      </c>
      <c r="Q100" s="35" t="s">
        <v>381</v>
      </c>
      <c r="R100" s="35" t="s">
        <v>499</v>
      </c>
      <c r="S100" s="35" t="s">
        <v>500</v>
      </c>
      <c r="T100" s="35" t="s">
        <v>384</v>
      </c>
      <c r="U100" s="35" t="s">
        <v>385</v>
      </c>
      <c r="X100" s="35" t="s">
        <v>3231</v>
      </c>
      <c r="AW100" s="35" t="s">
        <v>597</v>
      </c>
      <c r="AX100" s="41">
        <v>2.0</v>
      </c>
      <c r="AY100" s="35" t="s">
        <v>429</v>
      </c>
      <c r="AZ100" s="35" t="s">
        <v>391</v>
      </c>
      <c r="BA100" s="41">
        <v>2.0</v>
      </c>
      <c r="BB100" s="41">
        <v>2.0</v>
      </c>
      <c r="BC100" s="41">
        <v>2.0</v>
      </c>
      <c r="BD100" s="35" t="s">
        <v>11921</v>
      </c>
      <c r="BE100" s="35" t="s">
        <v>11922</v>
      </c>
      <c r="BF100" s="35" t="s">
        <v>392</v>
      </c>
      <c r="BG100" s="35" t="s">
        <v>433</v>
      </c>
      <c r="BH100" s="35" t="s">
        <v>434</v>
      </c>
      <c r="BI100" s="35" t="s">
        <v>11923</v>
      </c>
      <c r="BJ100" s="35" t="s">
        <v>509</v>
      </c>
      <c r="BK100" s="35" t="s">
        <v>11924</v>
      </c>
      <c r="BL100" s="35" t="s">
        <v>437</v>
      </c>
      <c r="BM100" s="35" t="s">
        <v>512</v>
      </c>
      <c r="BN100" s="35" t="s">
        <v>549</v>
      </c>
      <c r="BO100" s="35" t="s">
        <v>440</v>
      </c>
      <c r="CM100" s="35" t="s">
        <v>441</v>
      </c>
      <c r="CN100" s="35" t="s">
        <v>442</v>
      </c>
      <c r="CO100" s="35" t="s">
        <v>11925</v>
      </c>
      <c r="CP100" s="35" t="s">
        <v>11926</v>
      </c>
      <c r="CQ100" s="35" t="s">
        <v>445</v>
      </c>
      <c r="CR100" s="35" t="s">
        <v>3602</v>
      </c>
      <c r="CS100" s="35" t="s">
        <v>447</v>
      </c>
      <c r="CT100" s="35" t="s">
        <v>1147</v>
      </c>
      <c r="CU100" s="35" t="s">
        <v>11927</v>
      </c>
      <c r="CV100" s="35" t="s">
        <v>450</v>
      </c>
      <c r="CW100" s="35" t="s">
        <v>451</v>
      </c>
      <c r="CX100" s="35" t="s">
        <v>11928</v>
      </c>
      <c r="CY100" s="35" t="s">
        <v>408</v>
      </c>
      <c r="DA100" s="35" t="s">
        <v>985</v>
      </c>
      <c r="DB100" s="35" t="s">
        <v>11929</v>
      </c>
      <c r="DC100" s="35" t="s">
        <v>408</v>
      </c>
      <c r="DE100" s="35" t="s">
        <v>988</v>
      </c>
      <c r="DG100" s="35" t="s">
        <v>11930</v>
      </c>
      <c r="DH100" s="35" t="s">
        <v>524</v>
      </c>
      <c r="DI100" s="35" t="s">
        <v>410</v>
      </c>
      <c r="DJ100" s="35" t="s">
        <v>459</v>
      </c>
      <c r="DK100" s="35" t="s">
        <v>460</v>
      </c>
      <c r="DL100" s="35" t="s">
        <v>461</v>
      </c>
      <c r="DN100" s="35" t="s">
        <v>3607</v>
      </c>
      <c r="DO100" s="35" t="s">
        <v>3608</v>
      </c>
      <c r="DP100" s="35" t="s">
        <v>1063</v>
      </c>
      <c r="DQ100" s="35" t="s">
        <v>3609</v>
      </c>
      <c r="DR100" s="35" t="s">
        <v>1176</v>
      </c>
      <c r="DS100" s="35" t="s">
        <v>11931</v>
      </c>
      <c r="DT100" s="35" t="s">
        <v>839</v>
      </c>
      <c r="DU100" s="35" t="s">
        <v>3611</v>
      </c>
      <c r="DV100" s="35" t="s">
        <v>11932</v>
      </c>
      <c r="DW100" s="35" t="s">
        <v>11933</v>
      </c>
      <c r="DX100" s="35" t="s">
        <v>573</v>
      </c>
      <c r="DY100" s="35" t="s">
        <v>11934</v>
      </c>
      <c r="DZ100" s="35" t="s">
        <v>11935</v>
      </c>
      <c r="EA100" s="35" t="s">
        <v>11936</v>
      </c>
      <c r="EB100" s="35" t="s">
        <v>475</v>
      </c>
      <c r="EC100" s="35" t="s">
        <v>845</v>
      </c>
      <c r="ED100" s="35" t="s">
        <v>11937</v>
      </c>
      <c r="EU100" s="35" t="s">
        <v>526</v>
      </c>
      <c r="EV100" s="35" t="s">
        <v>479</v>
      </c>
      <c r="EW100" s="35" t="s">
        <v>527</v>
      </c>
      <c r="EX100" s="35" t="s">
        <v>11938</v>
      </c>
      <c r="EY100" s="35" t="s">
        <v>11939</v>
      </c>
      <c r="EZ100" s="35" t="s">
        <v>11940</v>
      </c>
      <c r="FA100" s="35" t="s">
        <v>583</v>
      </c>
      <c r="FB100" s="35" t="s">
        <v>583</v>
      </c>
      <c r="FC100" s="35" t="s">
        <v>414</v>
      </c>
      <c r="FD100" s="35" t="s">
        <v>583</v>
      </c>
      <c r="FE100" s="35" t="s">
        <v>413</v>
      </c>
      <c r="FF100" s="35" t="s">
        <v>583</v>
      </c>
      <c r="FG100" s="35" t="s">
        <v>583</v>
      </c>
      <c r="FH100" s="35" t="s">
        <v>416</v>
      </c>
      <c r="FI100" s="35" t="s">
        <v>583</v>
      </c>
      <c r="FJ100" s="35" t="s">
        <v>583</v>
      </c>
      <c r="FK100" s="35" t="s">
        <v>583</v>
      </c>
      <c r="FL100" s="35" t="s">
        <v>583</v>
      </c>
      <c r="FM100" s="35" t="s">
        <v>583</v>
      </c>
      <c r="FN100" s="35" t="s">
        <v>416</v>
      </c>
      <c r="FO100" s="35" t="s">
        <v>583</v>
      </c>
      <c r="FP100" s="35" t="s">
        <v>417</v>
      </c>
      <c r="FQ100" s="35" t="s">
        <v>486</v>
      </c>
      <c r="FR100" s="35" t="s">
        <v>630</v>
      </c>
      <c r="FS100" s="35" t="s">
        <v>11941</v>
      </c>
      <c r="FT100" s="35" t="s">
        <v>420</v>
      </c>
      <c r="FU100" s="35" t="s">
        <v>488</v>
      </c>
      <c r="FV100" s="35" t="s">
        <v>533</v>
      </c>
      <c r="FW100" s="35" t="s">
        <v>490</v>
      </c>
      <c r="FX100" s="35" t="s">
        <v>491</v>
      </c>
      <c r="FY100" s="35" t="s">
        <v>11942</v>
      </c>
      <c r="GA100" s="35" t="s">
        <v>11943</v>
      </c>
      <c r="GC100" s="35" t="s">
        <v>455</v>
      </c>
      <c r="GD100" s="35" t="s">
        <v>11944</v>
      </c>
      <c r="GE100" s="35" t="s">
        <v>11945</v>
      </c>
      <c r="GF100" s="35" t="s">
        <v>944</v>
      </c>
      <c r="GH100" s="35" t="s">
        <v>755</v>
      </c>
      <c r="GI100" s="35" t="s">
        <v>755</v>
      </c>
      <c r="GJ100" s="35" t="s">
        <v>946</v>
      </c>
      <c r="GN100" s="35" t="s">
        <v>1079</v>
      </c>
      <c r="GQ100" s="35" t="s">
        <v>1706</v>
      </c>
      <c r="GR100" s="35" t="s">
        <v>3208</v>
      </c>
    </row>
    <row r="101">
      <c r="A101" s="40"/>
      <c r="B101" s="40">
        <v>45831.31184445602</v>
      </c>
      <c r="C101" s="35" t="s">
        <v>368</v>
      </c>
      <c r="D101" s="35" t="s">
        <v>370</v>
      </c>
      <c r="F101" s="35" t="s">
        <v>1480</v>
      </c>
      <c r="H101" s="35" t="s">
        <v>422</v>
      </c>
      <c r="I101" s="35" t="s">
        <v>373</v>
      </c>
      <c r="J101" s="35" t="s">
        <v>374</v>
      </c>
      <c r="K101" s="35" t="s">
        <v>590</v>
      </c>
      <c r="L101" s="35" t="s">
        <v>376</v>
      </c>
      <c r="M101" s="35" t="s">
        <v>379</v>
      </c>
      <c r="N101" s="35" t="s">
        <v>639</v>
      </c>
      <c r="O101" s="35" t="s">
        <v>426</v>
      </c>
      <c r="P101" s="35" t="s">
        <v>378</v>
      </c>
      <c r="Q101" s="35" t="s">
        <v>381</v>
      </c>
      <c r="R101" s="35" t="s">
        <v>862</v>
      </c>
      <c r="S101" s="35" t="s">
        <v>500</v>
      </c>
      <c r="T101" s="35" t="s">
        <v>3624</v>
      </c>
      <c r="U101" s="35" t="s">
        <v>385</v>
      </c>
      <c r="X101" s="35" t="s">
        <v>3014</v>
      </c>
      <c r="AW101" s="35" t="s">
        <v>504</v>
      </c>
      <c r="AX101" s="35" t="s">
        <v>391</v>
      </c>
      <c r="AY101" s="41">
        <v>2.0</v>
      </c>
      <c r="AZ101" s="41">
        <v>2.0</v>
      </c>
      <c r="BA101" s="41">
        <v>2.0</v>
      </c>
      <c r="BB101" s="35" t="s">
        <v>391</v>
      </c>
      <c r="BC101" s="41">
        <v>2.0</v>
      </c>
      <c r="BD101" s="35" t="s">
        <v>11946</v>
      </c>
      <c r="BE101" s="35" t="s">
        <v>11947</v>
      </c>
      <c r="BF101" s="35" t="s">
        <v>902</v>
      </c>
      <c r="BG101" s="35" t="s">
        <v>433</v>
      </c>
      <c r="BH101" s="35" t="s">
        <v>434</v>
      </c>
      <c r="BJ101" s="35" t="s">
        <v>509</v>
      </c>
      <c r="BK101" s="35" t="s">
        <v>11948</v>
      </c>
      <c r="BL101" s="35" t="s">
        <v>395</v>
      </c>
      <c r="BM101" s="35" t="s">
        <v>603</v>
      </c>
      <c r="BN101" s="35" t="s">
        <v>549</v>
      </c>
      <c r="BO101" s="35" t="s">
        <v>440</v>
      </c>
      <c r="CM101" s="35" t="s">
        <v>441</v>
      </c>
      <c r="CN101" s="35" t="s">
        <v>604</v>
      </c>
      <c r="CO101" s="35" t="s">
        <v>1600</v>
      </c>
      <c r="CP101" s="35" t="s">
        <v>11949</v>
      </c>
      <c r="CQ101" s="35" t="s">
        <v>403</v>
      </c>
      <c r="CR101" s="35" t="s">
        <v>3629</v>
      </c>
      <c r="CS101" s="35" t="s">
        <v>447</v>
      </c>
      <c r="CT101" s="35" t="s">
        <v>957</v>
      </c>
      <c r="CU101" s="35" t="s">
        <v>11950</v>
      </c>
      <c r="CV101" s="35" t="s">
        <v>450</v>
      </c>
      <c r="CW101" s="35" t="s">
        <v>451</v>
      </c>
      <c r="CX101" s="35" t="s">
        <v>3631</v>
      </c>
      <c r="CY101" s="35" t="s">
        <v>408</v>
      </c>
      <c r="DA101" s="35" t="s">
        <v>453</v>
      </c>
      <c r="DB101" s="35" t="s">
        <v>11951</v>
      </c>
      <c r="DC101" s="35" t="s">
        <v>913</v>
      </c>
      <c r="DE101" s="35" t="s">
        <v>457</v>
      </c>
      <c r="DG101" s="35" t="s">
        <v>11952</v>
      </c>
      <c r="DH101" s="35" t="s">
        <v>524</v>
      </c>
      <c r="DI101" s="35" t="s">
        <v>410</v>
      </c>
      <c r="DJ101" s="35" t="s">
        <v>459</v>
      </c>
      <c r="DK101" s="35" t="s">
        <v>562</v>
      </c>
      <c r="DL101" s="35" t="s">
        <v>461</v>
      </c>
      <c r="DN101" s="35" t="s">
        <v>3634</v>
      </c>
      <c r="DO101" s="35" t="s">
        <v>3635</v>
      </c>
      <c r="DP101" s="35" t="s">
        <v>1063</v>
      </c>
      <c r="DQ101" s="35" t="s">
        <v>11953</v>
      </c>
      <c r="DR101" s="35" t="s">
        <v>837</v>
      </c>
      <c r="DS101" s="35" t="s">
        <v>11954</v>
      </c>
      <c r="DT101" s="35" t="s">
        <v>618</v>
      </c>
      <c r="DV101" s="35" t="s">
        <v>11955</v>
      </c>
      <c r="DW101" s="35" t="s">
        <v>11956</v>
      </c>
      <c r="DX101" s="35" t="s">
        <v>573</v>
      </c>
      <c r="DY101" s="35" t="s">
        <v>3640</v>
      </c>
      <c r="DZ101" s="35" t="s">
        <v>11957</v>
      </c>
      <c r="EA101" s="35" t="s">
        <v>11958</v>
      </c>
      <c r="EB101" s="35" t="s">
        <v>475</v>
      </c>
      <c r="EC101" s="35" t="s">
        <v>626</v>
      </c>
      <c r="EU101" s="35" t="s">
        <v>478</v>
      </c>
      <c r="EV101" s="35" t="s">
        <v>479</v>
      </c>
      <c r="EW101" s="35" t="s">
        <v>527</v>
      </c>
      <c r="EX101" s="35" t="s">
        <v>11959</v>
      </c>
      <c r="EY101" s="35" t="s">
        <v>11960</v>
      </c>
      <c r="EZ101" s="35" t="s">
        <v>11961</v>
      </c>
      <c r="FA101" s="35" t="s">
        <v>413</v>
      </c>
      <c r="FB101" s="35" t="s">
        <v>415</v>
      </c>
      <c r="FC101" s="35" t="s">
        <v>413</v>
      </c>
      <c r="FD101" s="35" t="s">
        <v>416</v>
      </c>
      <c r="FE101" s="35" t="s">
        <v>413</v>
      </c>
      <c r="FF101" s="35" t="s">
        <v>415</v>
      </c>
      <c r="FG101" s="35" t="s">
        <v>416</v>
      </c>
      <c r="FH101" s="35" t="s">
        <v>415</v>
      </c>
      <c r="FI101" s="35" t="s">
        <v>415</v>
      </c>
      <c r="FJ101" s="35" t="s">
        <v>414</v>
      </c>
      <c r="FK101" s="35" t="s">
        <v>415</v>
      </c>
      <c r="FL101" s="35" t="s">
        <v>416</v>
      </c>
      <c r="FM101" s="35" t="s">
        <v>415</v>
      </c>
      <c r="FN101" s="35" t="s">
        <v>416</v>
      </c>
      <c r="FO101" s="35" t="s">
        <v>414</v>
      </c>
      <c r="FP101" s="35" t="s">
        <v>417</v>
      </c>
      <c r="FQ101" s="35" t="s">
        <v>418</v>
      </c>
      <c r="FR101" s="35" t="s">
        <v>749</v>
      </c>
      <c r="FS101" s="35" t="s">
        <v>11962</v>
      </c>
      <c r="FT101" s="35" t="s">
        <v>420</v>
      </c>
      <c r="FU101" s="35" t="s">
        <v>488</v>
      </c>
      <c r="FV101" s="35" t="s">
        <v>489</v>
      </c>
      <c r="FW101" s="35" t="s">
        <v>490</v>
      </c>
      <c r="FX101" s="35" t="s">
        <v>491</v>
      </c>
      <c r="FY101" s="35" t="s">
        <v>11963</v>
      </c>
      <c r="FZ101" s="35" t="s">
        <v>535</v>
      </c>
      <c r="GC101" s="35" t="s">
        <v>455</v>
      </c>
      <c r="GD101" s="35" t="s">
        <v>11964</v>
      </c>
      <c r="GF101" s="35" t="s">
        <v>1339</v>
      </c>
      <c r="GG101" s="35" t="s">
        <v>3648</v>
      </c>
      <c r="GH101" s="35" t="s">
        <v>755</v>
      </c>
      <c r="GI101" s="35" t="s">
        <v>755</v>
      </c>
      <c r="GJ101" s="35" t="s">
        <v>946</v>
      </c>
      <c r="GN101" s="35" t="s">
        <v>1079</v>
      </c>
      <c r="GR101" s="35" t="s">
        <v>3273</v>
      </c>
    </row>
    <row r="102">
      <c r="A102" s="40"/>
      <c r="B102" s="40">
        <v>45831.337022465275</v>
      </c>
      <c r="C102" s="35" t="s">
        <v>368</v>
      </c>
      <c r="D102" s="35" t="s">
        <v>370</v>
      </c>
      <c r="F102" s="35" t="s">
        <v>922</v>
      </c>
      <c r="H102" s="35" t="s">
        <v>422</v>
      </c>
      <c r="I102" s="35" t="s">
        <v>1203</v>
      </c>
      <c r="J102" s="35" t="s">
        <v>638</v>
      </c>
      <c r="K102" s="35" t="s">
        <v>425</v>
      </c>
      <c r="L102" s="35" t="s">
        <v>376</v>
      </c>
      <c r="M102" s="35" t="s">
        <v>591</v>
      </c>
      <c r="N102" s="35" t="s">
        <v>3649</v>
      </c>
      <c r="O102" s="35" t="s">
        <v>670</v>
      </c>
      <c r="P102" s="35" t="s">
        <v>720</v>
      </c>
      <c r="Q102" s="35" t="s">
        <v>592</v>
      </c>
      <c r="R102" s="35" t="s">
        <v>499</v>
      </c>
      <c r="S102" s="35" t="s">
        <v>500</v>
      </c>
      <c r="T102" s="35" t="s">
        <v>384</v>
      </c>
      <c r="U102" s="35" t="s">
        <v>385</v>
      </c>
      <c r="X102" s="35" t="s">
        <v>593</v>
      </c>
      <c r="AW102" s="35" t="s">
        <v>390</v>
      </c>
      <c r="AX102" s="41">
        <v>2.0</v>
      </c>
      <c r="AY102" s="35" t="s">
        <v>429</v>
      </c>
      <c r="AZ102" s="35" t="s">
        <v>391</v>
      </c>
      <c r="BA102" s="35" t="s">
        <v>429</v>
      </c>
      <c r="BB102" s="35" t="s">
        <v>429</v>
      </c>
      <c r="BC102" s="35" t="s">
        <v>429</v>
      </c>
      <c r="BD102" s="35" t="s">
        <v>3650</v>
      </c>
      <c r="BE102" s="35" t="s">
        <v>3651</v>
      </c>
      <c r="BF102" s="35" t="s">
        <v>392</v>
      </c>
      <c r="BG102" s="35" t="s">
        <v>433</v>
      </c>
      <c r="BH102" s="35" t="s">
        <v>765</v>
      </c>
      <c r="BJ102" s="35" t="s">
        <v>824</v>
      </c>
      <c r="BL102" s="35" t="s">
        <v>437</v>
      </c>
      <c r="BM102" s="35" t="s">
        <v>396</v>
      </c>
      <c r="BN102" s="35" t="s">
        <v>549</v>
      </c>
      <c r="BO102" s="35" t="s">
        <v>440</v>
      </c>
      <c r="CM102" s="35" t="s">
        <v>441</v>
      </c>
      <c r="CN102" s="35" t="s">
        <v>401</v>
      </c>
      <c r="CO102" s="35" t="s">
        <v>3652</v>
      </c>
      <c r="CP102" s="35" t="s">
        <v>3653</v>
      </c>
      <c r="CQ102" s="35" t="s">
        <v>979</v>
      </c>
      <c r="CR102" s="35" t="s">
        <v>2317</v>
      </c>
      <c r="CS102" s="35" t="s">
        <v>447</v>
      </c>
      <c r="CT102" s="35" t="s">
        <v>1454</v>
      </c>
      <c r="CU102" s="35" t="s">
        <v>3654</v>
      </c>
      <c r="CV102" s="35" t="s">
        <v>519</v>
      </c>
      <c r="CW102" s="35" t="s">
        <v>451</v>
      </c>
      <c r="CX102" s="35" t="s">
        <v>3655</v>
      </c>
      <c r="CY102" s="35" t="s">
        <v>408</v>
      </c>
      <c r="DA102" s="35" t="s">
        <v>453</v>
      </c>
      <c r="DB102" s="35" t="s">
        <v>3656</v>
      </c>
      <c r="DC102" s="35" t="s">
        <v>455</v>
      </c>
      <c r="DD102" s="35" t="s">
        <v>3657</v>
      </c>
      <c r="DE102" s="35" t="s">
        <v>457</v>
      </c>
      <c r="DG102" s="35" t="s">
        <v>3658</v>
      </c>
      <c r="DH102" s="35" t="s">
        <v>524</v>
      </c>
      <c r="DI102" s="35" t="s">
        <v>694</v>
      </c>
      <c r="DJ102" s="35" t="s">
        <v>459</v>
      </c>
      <c r="DK102" s="35" t="s">
        <v>613</v>
      </c>
      <c r="DN102" s="35" t="s">
        <v>3659</v>
      </c>
      <c r="DO102" s="35" t="s">
        <v>3660</v>
      </c>
      <c r="DP102" s="35" t="s">
        <v>464</v>
      </c>
      <c r="DQ102" s="35" t="s">
        <v>3661</v>
      </c>
      <c r="DR102" s="35" t="s">
        <v>700</v>
      </c>
      <c r="DS102" s="35" t="s">
        <v>3662</v>
      </c>
      <c r="DT102" s="35" t="s">
        <v>618</v>
      </c>
      <c r="DU102" s="35" t="s">
        <v>570</v>
      </c>
      <c r="DV102" s="35" t="s">
        <v>3663</v>
      </c>
      <c r="DW102" s="35" t="s">
        <v>3664</v>
      </c>
      <c r="DX102" s="35" t="s">
        <v>573</v>
      </c>
      <c r="DY102" s="35" t="s">
        <v>3665</v>
      </c>
      <c r="DZ102" s="35" t="s">
        <v>3666</v>
      </c>
      <c r="EA102" s="35" t="s">
        <v>3667</v>
      </c>
      <c r="EB102" s="35" t="s">
        <v>475</v>
      </c>
      <c r="EC102" s="35" t="s">
        <v>845</v>
      </c>
      <c r="ED102" s="35" t="s">
        <v>3668</v>
      </c>
      <c r="EU102" s="35" t="s">
        <v>526</v>
      </c>
      <c r="EV102" s="35" t="s">
        <v>1037</v>
      </c>
      <c r="EW102" s="35" t="s">
        <v>480</v>
      </c>
      <c r="FA102" s="35" t="s">
        <v>415</v>
      </c>
      <c r="FB102" s="35" t="s">
        <v>415</v>
      </c>
      <c r="FC102" s="35" t="s">
        <v>413</v>
      </c>
      <c r="FD102" s="35" t="s">
        <v>413</v>
      </c>
      <c r="FE102" s="35" t="s">
        <v>413</v>
      </c>
      <c r="FF102" s="35" t="s">
        <v>415</v>
      </c>
      <c r="FG102" s="35" t="s">
        <v>413</v>
      </c>
      <c r="FH102" s="35" t="s">
        <v>413</v>
      </c>
      <c r="FI102" s="35" t="s">
        <v>583</v>
      </c>
      <c r="FJ102" s="35" t="s">
        <v>415</v>
      </c>
      <c r="FK102" s="35" t="s">
        <v>416</v>
      </c>
      <c r="FL102" s="35" t="s">
        <v>415</v>
      </c>
      <c r="FM102" s="35" t="s">
        <v>415</v>
      </c>
      <c r="FN102" s="35" t="s">
        <v>413</v>
      </c>
      <c r="FO102" s="35" t="s">
        <v>583</v>
      </c>
      <c r="FP102" s="35" t="s">
        <v>485</v>
      </c>
      <c r="FQ102" s="35" t="s">
        <v>418</v>
      </c>
      <c r="FR102" s="35" t="s">
        <v>712</v>
      </c>
      <c r="FT102" s="35" t="s">
        <v>420</v>
      </c>
      <c r="FU102" s="35" t="s">
        <v>1462</v>
      </c>
      <c r="FV102" s="35" t="s">
        <v>489</v>
      </c>
      <c r="FW102" s="35" t="s">
        <v>490</v>
      </c>
      <c r="FX102" s="35" t="s">
        <v>491</v>
      </c>
      <c r="FY102" s="35" t="s">
        <v>3669</v>
      </c>
      <c r="FZ102" s="35" t="s">
        <v>493</v>
      </c>
      <c r="GB102" s="35" t="s">
        <v>3670</v>
      </c>
      <c r="GC102" s="35" t="s">
        <v>455</v>
      </c>
      <c r="GD102" s="35" t="s">
        <v>11965</v>
      </c>
      <c r="GF102" s="35" t="s">
        <v>753</v>
      </c>
      <c r="GG102" s="35" t="s">
        <v>3671</v>
      </c>
      <c r="GH102" s="35" t="s">
        <v>857</v>
      </c>
      <c r="GI102" s="35" t="s">
        <v>857</v>
      </c>
      <c r="GJ102" s="35" t="s">
        <v>790</v>
      </c>
      <c r="GN102" s="35" t="s">
        <v>1079</v>
      </c>
      <c r="GR102" s="35" t="s">
        <v>3351</v>
      </c>
    </row>
    <row r="103">
      <c r="A103" s="40"/>
      <c r="B103" s="40">
        <v>45831.46863284722</v>
      </c>
      <c r="C103" s="35" t="s">
        <v>368</v>
      </c>
      <c r="D103" s="35" t="s">
        <v>370</v>
      </c>
      <c r="F103" s="35" t="s">
        <v>1875</v>
      </c>
      <c r="H103" s="35" t="s">
        <v>422</v>
      </c>
      <c r="I103" s="35" t="s">
        <v>496</v>
      </c>
      <c r="J103" s="35" t="s">
        <v>374</v>
      </c>
      <c r="K103" s="35" t="s">
        <v>375</v>
      </c>
      <c r="L103" s="35" t="s">
        <v>376</v>
      </c>
      <c r="M103" s="35" t="s">
        <v>379</v>
      </c>
      <c r="N103" s="35" t="s">
        <v>541</v>
      </c>
      <c r="O103" s="35" t="s">
        <v>591</v>
      </c>
      <c r="P103" s="35" t="s">
        <v>671</v>
      </c>
      <c r="Q103" s="35" t="s">
        <v>498</v>
      </c>
      <c r="R103" s="35" t="s">
        <v>1156</v>
      </c>
      <c r="S103" s="35" t="s">
        <v>427</v>
      </c>
      <c r="T103" s="35" t="s">
        <v>384</v>
      </c>
      <c r="U103" s="35" t="s">
        <v>385</v>
      </c>
      <c r="X103" s="35" t="s">
        <v>593</v>
      </c>
      <c r="Y103" s="35" t="s">
        <v>387</v>
      </c>
      <c r="Z103" s="35" t="s">
        <v>1444</v>
      </c>
      <c r="AA103" s="35" t="s">
        <v>502</v>
      </c>
      <c r="AB103" s="35" t="s">
        <v>3694</v>
      </c>
      <c r="AC103" s="35" t="s">
        <v>11966</v>
      </c>
      <c r="AW103" s="35" t="s">
        <v>504</v>
      </c>
      <c r="AX103" s="41">
        <v>2.0</v>
      </c>
      <c r="AY103" s="41">
        <v>2.0</v>
      </c>
      <c r="AZ103" s="35" t="s">
        <v>391</v>
      </c>
      <c r="BA103" s="41">
        <v>2.0</v>
      </c>
      <c r="BB103" s="35" t="s">
        <v>429</v>
      </c>
      <c r="BC103" s="35" t="s">
        <v>429</v>
      </c>
      <c r="BD103" s="35" t="s">
        <v>11967</v>
      </c>
      <c r="BE103" s="35" t="s">
        <v>11968</v>
      </c>
      <c r="BF103" s="35" t="s">
        <v>432</v>
      </c>
      <c r="BG103" s="35" t="s">
        <v>433</v>
      </c>
      <c r="BH103" s="35" t="s">
        <v>765</v>
      </c>
      <c r="BI103" s="35" t="s">
        <v>11969</v>
      </c>
      <c r="BJ103" s="35" t="s">
        <v>509</v>
      </c>
      <c r="BK103" s="35" t="s">
        <v>11970</v>
      </c>
      <c r="BL103" s="35" t="s">
        <v>3700</v>
      </c>
      <c r="BM103" s="35" t="s">
        <v>512</v>
      </c>
      <c r="BN103" s="35" t="s">
        <v>439</v>
      </c>
      <c r="BO103" s="35" t="s">
        <v>440</v>
      </c>
      <c r="CM103" s="35" t="s">
        <v>441</v>
      </c>
      <c r="CN103" s="35" t="s">
        <v>401</v>
      </c>
      <c r="CO103" s="35" t="s">
        <v>11971</v>
      </c>
      <c r="CP103" s="35" t="s">
        <v>11972</v>
      </c>
      <c r="CQ103" s="35" t="s">
        <v>445</v>
      </c>
      <c r="CR103" s="35" t="s">
        <v>3703</v>
      </c>
      <c r="CS103" s="35" t="s">
        <v>447</v>
      </c>
      <c r="CT103" s="35" t="s">
        <v>3704</v>
      </c>
      <c r="CU103" s="35" t="s">
        <v>11973</v>
      </c>
      <c r="CV103" s="35" t="s">
        <v>450</v>
      </c>
      <c r="CW103" s="35" t="s">
        <v>451</v>
      </c>
      <c r="CX103" s="35" t="s">
        <v>11974</v>
      </c>
      <c r="CY103" s="35" t="s">
        <v>455</v>
      </c>
      <c r="CZ103" s="35" t="s">
        <v>11975</v>
      </c>
      <c r="DA103" s="35" t="s">
        <v>453</v>
      </c>
      <c r="DB103" s="35" t="s">
        <v>11976</v>
      </c>
      <c r="DC103" s="35" t="s">
        <v>455</v>
      </c>
      <c r="DD103" s="35" t="s">
        <v>11977</v>
      </c>
      <c r="DE103" s="35" t="s">
        <v>406</v>
      </c>
      <c r="DF103" s="35" t="s">
        <v>407</v>
      </c>
      <c r="DG103" s="35" t="s">
        <v>11978</v>
      </c>
      <c r="DH103" s="35" t="s">
        <v>524</v>
      </c>
      <c r="DI103" s="35" t="s">
        <v>410</v>
      </c>
      <c r="DJ103" s="35" t="s">
        <v>459</v>
      </c>
      <c r="DK103" s="35" t="s">
        <v>460</v>
      </c>
      <c r="DL103" s="35" t="s">
        <v>461</v>
      </c>
      <c r="DN103" s="35" t="s">
        <v>3711</v>
      </c>
      <c r="DO103" s="35" t="s">
        <v>3712</v>
      </c>
      <c r="DP103" s="35" t="s">
        <v>567</v>
      </c>
      <c r="DQ103" s="35" t="s">
        <v>11979</v>
      </c>
      <c r="DR103" s="35" t="s">
        <v>466</v>
      </c>
      <c r="DS103" s="35" t="s">
        <v>11980</v>
      </c>
      <c r="DT103" s="35" t="s">
        <v>468</v>
      </c>
      <c r="DU103" s="35" t="s">
        <v>570</v>
      </c>
      <c r="DV103" s="35" t="s">
        <v>11981</v>
      </c>
      <c r="DW103" s="35" t="s">
        <v>11982</v>
      </c>
      <c r="DX103" s="35" t="s">
        <v>622</v>
      </c>
      <c r="DY103" s="35" t="s">
        <v>11983</v>
      </c>
      <c r="DZ103" s="35" t="s">
        <v>11984</v>
      </c>
      <c r="EA103" s="35" t="s">
        <v>11985</v>
      </c>
      <c r="EB103" s="35" t="s">
        <v>475</v>
      </c>
      <c r="ED103" s="35" t="s">
        <v>11986</v>
      </c>
      <c r="EU103" s="35" t="s">
        <v>526</v>
      </c>
      <c r="EV103" s="35" t="s">
        <v>479</v>
      </c>
      <c r="EW103" s="35" t="s">
        <v>527</v>
      </c>
      <c r="EX103" s="35" t="s">
        <v>11987</v>
      </c>
      <c r="EY103" s="35" t="s">
        <v>11988</v>
      </c>
      <c r="EZ103" s="35" t="s">
        <v>11989</v>
      </c>
      <c r="FA103" s="35" t="s">
        <v>583</v>
      </c>
      <c r="FB103" s="35" t="s">
        <v>583</v>
      </c>
      <c r="FC103" s="35" t="s">
        <v>415</v>
      </c>
      <c r="FD103" s="35" t="s">
        <v>583</v>
      </c>
      <c r="FE103" s="35" t="s">
        <v>416</v>
      </c>
      <c r="FF103" s="35" t="s">
        <v>583</v>
      </c>
      <c r="FG103" s="35" t="s">
        <v>415</v>
      </c>
      <c r="FH103" s="35" t="s">
        <v>583</v>
      </c>
      <c r="FI103" s="35" t="s">
        <v>416</v>
      </c>
      <c r="FJ103" s="35" t="s">
        <v>583</v>
      </c>
      <c r="FK103" s="35" t="s">
        <v>583</v>
      </c>
      <c r="FL103" s="35" t="s">
        <v>583</v>
      </c>
      <c r="FM103" s="35" t="s">
        <v>583</v>
      </c>
      <c r="FN103" s="35" t="s">
        <v>416</v>
      </c>
      <c r="FO103" s="35" t="s">
        <v>583</v>
      </c>
      <c r="FP103" s="35" t="s">
        <v>417</v>
      </c>
      <c r="FQ103" s="35" t="s">
        <v>486</v>
      </c>
      <c r="FR103" s="35" t="s">
        <v>630</v>
      </c>
      <c r="FS103" s="35" t="s">
        <v>11990</v>
      </c>
      <c r="FT103" s="35" t="s">
        <v>420</v>
      </c>
      <c r="FU103" s="35" t="s">
        <v>1462</v>
      </c>
      <c r="FV103" s="35" t="s">
        <v>533</v>
      </c>
      <c r="FW103" s="35" t="s">
        <v>490</v>
      </c>
      <c r="FX103" s="35" t="s">
        <v>491</v>
      </c>
      <c r="FY103" s="35" t="s">
        <v>11991</v>
      </c>
      <c r="FZ103" s="35" t="s">
        <v>493</v>
      </c>
      <c r="GC103" s="35" t="s">
        <v>455</v>
      </c>
      <c r="GD103" s="35" t="s">
        <v>11992</v>
      </c>
      <c r="GF103" s="35" t="s">
        <v>753</v>
      </c>
      <c r="GH103" s="35" t="s">
        <v>1000</v>
      </c>
      <c r="GI103" s="35" t="s">
        <v>1000</v>
      </c>
      <c r="GJ103" s="35" t="s">
        <v>946</v>
      </c>
      <c r="GN103" s="35" t="s">
        <v>1079</v>
      </c>
      <c r="GR103" s="35" t="s">
        <v>3273</v>
      </c>
    </row>
    <row r="104">
      <c r="A104" s="40"/>
      <c r="B104" s="40">
        <v>45831.47309501158</v>
      </c>
      <c r="C104" s="35" t="s">
        <v>368</v>
      </c>
      <c r="D104" s="35" t="s">
        <v>894</v>
      </c>
      <c r="E104" s="35" t="s">
        <v>894</v>
      </c>
      <c r="H104" s="35" t="s">
        <v>2295</v>
      </c>
      <c r="I104" s="35" t="s">
        <v>373</v>
      </c>
      <c r="J104" s="35" t="s">
        <v>374</v>
      </c>
      <c r="K104" s="35" t="s">
        <v>425</v>
      </c>
      <c r="L104" s="35" t="s">
        <v>376</v>
      </c>
      <c r="M104" s="35" t="s">
        <v>379</v>
      </c>
      <c r="N104" s="35" t="s">
        <v>3726</v>
      </c>
      <c r="O104" s="35" t="s">
        <v>379</v>
      </c>
      <c r="P104" s="35" t="s">
        <v>3727</v>
      </c>
      <c r="Q104" s="35" t="s">
        <v>381</v>
      </c>
      <c r="R104" s="35" t="s">
        <v>499</v>
      </c>
      <c r="S104" s="35" t="s">
        <v>641</v>
      </c>
      <c r="T104" s="35" t="s">
        <v>3728</v>
      </c>
      <c r="U104" s="35" t="s">
        <v>385</v>
      </c>
      <c r="V104" s="35" t="s">
        <v>896</v>
      </c>
      <c r="W104" s="35" t="s">
        <v>896</v>
      </c>
      <c r="X104" s="35" t="s">
        <v>386</v>
      </c>
      <c r="Y104" s="35" t="s">
        <v>387</v>
      </c>
      <c r="Z104" s="35" t="s">
        <v>388</v>
      </c>
      <c r="AA104" s="35" t="s">
        <v>543</v>
      </c>
      <c r="AB104" s="35" t="s">
        <v>3729</v>
      </c>
      <c r="AW104" s="35" t="s">
        <v>390</v>
      </c>
      <c r="AX104" s="35" t="s">
        <v>391</v>
      </c>
      <c r="AY104" s="41">
        <v>2.0</v>
      </c>
      <c r="AZ104" s="35" t="s">
        <v>429</v>
      </c>
      <c r="BA104" s="35" t="s">
        <v>391</v>
      </c>
      <c r="BB104" s="41">
        <v>2.0</v>
      </c>
      <c r="BC104" s="41">
        <v>2.0</v>
      </c>
      <c r="BD104" s="35" t="s">
        <v>3730</v>
      </c>
      <c r="BE104" s="35" t="s">
        <v>3731</v>
      </c>
      <c r="BF104" s="35" t="s">
        <v>432</v>
      </c>
      <c r="BG104" s="35" t="s">
        <v>433</v>
      </c>
      <c r="BH104" s="35" t="s">
        <v>678</v>
      </c>
      <c r="BI104" s="35" t="s">
        <v>3732</v>
      </c>
      <c r="BJ104" s="35" t="s">
        <v>824</v>
      </c>
      <c r="BL104" s="35" t="s">
        <v>437</v>
      </c>
      <c r="BM104" s="35" t="s">
        <v>396</v>
      </c>
      <c r="BN104" s="35" t="s">
        <v>549</v>
      </c>
      <c r="BO104" s="35" t="s">
        <v>440</v>
      </c>
      <c r="CM104" s="35" t="s">
        <v>441</v>
      </c>
      <c r="CN104" s="35" t="s">
        <v>401</v>
      </c>
      <c r="CO104" s="35" t="s">
        <v>3733</v>
      </c>
      <c r="CP104" s="35" t="s">
        <v>3734</v>
      </c>
      <c r="CQ104" s="35" t="s">
        <v>445</v>
      </c>
      <c r="CR104" s="35" t="s">
        <v>3735</v>
      </c>
      <c r="CS104" s="35" t="s">
        <v>804</v>
      </c>
      <c r="CT104" s="35" t="s">
        <v>3736</v>
      </c>
      <c r="CU104" s="35" t="s">
        <v>11993</v>
      </c>
      <c r="CV104" s="35" t="s">
        <v>519</v>
      </c>
      <c r="CW104" s="35" t="s">
        <v>451</v>
      </c>
      <c r="CX104" s="35" t="s">
        <v>3738</v>
      </c>
      <c r="CY104" s="35" t="s">
        <v>408</v>
      </c>
      <c r="DA104" s="35" t="s">
        <v>985</v>
      </c>
      <c r="DB104" s="35" t="s">
        <v>3739</v>
      </c>
      <c r="DC104" s="35" t="s">
        <v>455</v>
      </c>
      <c r="DD104" s="35" t="s">
        <v>3740</v>
      </c>
      <c r="DE104" s="35" t="s">
        <v>457</v>
      </c>
      <c r="DG104" s="35" t="s">
        <v>3741</v>
      </c>
      <c r="DH104" s="35" t="s">
        <v>524</v>
      </c>
      <c r="DI104" s="35" t="s">
        <v>410</v>
      </c>
      <c r="DJ104" s="35" t="s">
        <v>459</v>
      </c>
      <c r="DK104" s="35" t="s">
        <v>460</v>
      </c>
      <c r="DL104" s="35" t="s">
        <v>461</v>
      </c>
      <c r="DN104" s="35" t="s">
        <v>3742</v>
      </c>
      <c r="DO104" s="35" t="s">
        <v>3743</v>
      </c>
      <c r="DP104" s="35" t="s">
        <v>567</v>
      </c>
      <c r="DQ104" s="35" t="s">
        <v>3744</v>
      </c>
      <c r="DR104" s="35" t="s">
        <v>700</v>
      </c>
      <c r="DS104" s="35" t="s">
        <v>3745</v>
      </c>
      <c r="DT104" s="35" t="s">
        <v>702</v>
      </c>
      <c r="DU104" s="35" t="s">
        <v>3611</v>
      </c>
      <c r="DV104" s="35" t="s">
        <v>3746</v>
      </c>
      <c r="DW104" s="35" t="s">
        <v>3747</v>
      </c>
      <c r="DX104" s="35" t="s">
        <v>622</v>
      </c>
      <c r="DY104" s="35" t="s">
        <v>3748</v>
      </c>
      <c r="DZ104" s="35" t="s">
        <v>3749</v>
      </c>
      <c r="EA104" s="35" t="s">
        <v>3750</v>
      </c>
      <c r="EB104" s="35" t="s">
        <v>475</v>
      </c>
      <c r="EC104" s="35" t="s">
        <v>626</v>
      </c>
      <c r="EU104" s="35" t="s">
        <v>526</v>
      </c>
      <c r="EV104" s="35" t="s">
        <v>479</v>
      </c>
      <c r="EW104" s="35" t="s">
        <v>663</v>
      </c>
      <c r="EY104" s="35" t="s">
        <v>3751</v>
      </c>
      <c r="EZ104" s="35" t="s">
        <v>3752</v>
      </c>
      <c r="FA104" s="35" t="s">
        <v>583</v>
      </c>
      <c r="FB104" s="35" t="s">
        <v>583</v>
      </c>
      <c r="FC104" s="35" t="s">
        <v>414</v>
      </c>
      <c r="FD104" s="35" t="s">
        <v>583</v>
      </c>
      <c r="FE104" s="35" t="s">
        <v>415</v>
      </c>
      <c r="FF104" s="35" t="s">
        <v>583</v>
      </c>
      <c r="FG104" s="35" t="s">
        <v>415</v>
      </c>
      <c r="FH104" s="35" t="s">
        <v>583</v>
      </c>
      <c r="FI104" s="35" t="s">
        <v>583</v>
      </c>
      <c r="FJ104" s="35" t="s">
        <v>583</v>
      </c>
      <c r="FK104" s="35" t="s">
        <v>414</v>
      </c>
      <c r="FL104" s="35" t="s">
        <v>583</v>
      </c>
      <c r="FM104" s="35" t="s">
        <v>414</v>
      </c>
      <c r="FN104" s="35" t="s">
        <v>414</v>
      </c>
      <c r="FO104" s="35" t="s">
        <v>414</v>
      </c>
      <c r="FP104" s="35" t="s">
        <v>485</v>
      </c>
      <c r="FQ104" s="35" t="s">
        <v>418</v>
      </c>
      <c r="FR104" s="35" t="s">
        <v>419</v>
      </c>
      <c r="FS104" s="35" t="s">
        <v>3753</v>
      </c>
      <c r="FT104" s="35" t="s">
        <v>420</v>
      </c>
      <c r="FU104" s="35" t="s">
        <v>488</v>
      </c>
      <c r="FV104" s="35" t="s">
        <v>585</v>
      </c>
      <c r="FW104" s="35" t="s">
        <v>490</v>
      </c>
      <c r="FX104" s="35" t="s">
        <v>491</v>
      </c>
      <c r="FY104" s="35" t="s">
        <v>3754</v>
      </c>
      <c r="FZ104" s="35" t="s">
        <v>493</v>
      </c>
      <c r="GB104" s="35" t="s">
        <v>3755</v>
      </c>
      <c r="GC104" s="35" t="s">
        <v>455</v>
      </c>
      <c r="GD104" s="35" t="s">
        <v>11994</v>
      </c>
      <c r="GF104" s="35" t="s">
        <v>944</v>
      </c>
      <c r="GG104" s="35" t="s">
        <v>3756</v>
      </c>
      <c r="GH104" s="35" t="s">
        <v>755</v>
      </c>
      <c r="GI104" s="35" t="s">
        <v>755</v>
      </c>
      <c r="GJ104" s="35" t="s">
        <v>817</v>
      </c>
      <c r="GN104" s="35" t="s">
        <v>1079</v>
      </c>
      <c r="GR104" s="35" t="s">
        <v>3757</v>
      </c>
    </row>
    <row r="105">
      <c r="A105" s="40"/>
      <c r="B105" s="40">
        <v>45831.70324116898</v>
      </c>
      <c r="C105" s="35" t="s">
        <v>368</v>
      </c>
      <c r="D105" s="35" t="s">
        <v>370</v>
      </c>
      <c r="F105" s="35" t="s">
        <v>371</v>
      </c>
      <c r="H105" s="35" t="s">
        <v>3595</v>
      </c>
      <c r="I105" s="35" t="s">
        <v>637</v>
      </c>
      <c r="J105" s="35" t="s">
        <v>638</v>
      </c>
      <c r="K105" s="35" t="s">
        <v>425</v>
      </c>
      <c r="L105" s="35" t="s">
        <v>376</v>
      </c>
      <c r="M105" s="35" t="s">
        <v>379</v>
      </c>
      <c r="N105" s="35" t="s">
        <v>639</v>
      </c>
      <c r="O105" s="35" t="s">
        <v>591</v>
      </c>
      <c r="P105" s="35" t="s">
        <v>3797</v>
      </c>
      <c r="Q105" s="35" t="s">
        <v>381</v>
      </c>
      <c r="R105" s="35" t="s">
        <v>499</v>
      </c>
      <c r="S105" s="35" t="s">
        <v>795</v>
      </c>
      <c r="T105" s="35" t="s">
        <v>3798</v>
      </c>
      <c r="U105" s="35" t="s">
        <v>385</v>
      </c>
      <c r="X105" s="35" t="s">
        <v>593</v>
      </c>
      <c r="Y105" s="35" t="s">
        <v>387</v>
      </c>
      <c r="Z105" s="35" t="s">
        <v>897</v>
      </c>
      <c r="AA105" s="35" t="s">
        <v>543</v>
      </c>
      <c r="AB105" s="35" t="s">
        <v>3799</v>
      </c>
      <c r="AW105" s="35" t="s">
        <v>597</v>
      </c>
      <c r="AX105" s="35" t="s">
        <v>391</v>
      </c>
      <c r="AY105" s="41">
        <v>4.0</v>
      </c>
      <c r="AZ105" s="35" t="s">
        <v>391</v>
      </c>
      <c r="BA105" s="35" t="s">
        <v>675</v>
      </c>
      <c r="BB105" s="41">
        <v>4.0</v>
      </c>
      <c r="BC105" s="35" t="s">
        <v>391</v>
      </c>
      <c r="BD105" s="35" t="s">
        <v>11995</v>
      </c>
      <c r="BE105" s="35" t="s">
        <v>3801</v>
      </c>
      <c r="BF105" s="35" t="s">
        <v>432</v>
      </c>
      <c r="BG105" s="35" t="s">
        <v>393</v>
      </c>
      <c r="BH105" s="35" t="s">
        <v>678</v>
      </c>
      <c r="BI105" s="35" t="s">
        <v>11996</v>
      </c>
      <c r="BJ105" s="35" t="s">
        <v>824</v>
      </c>
      <c r="BL105" s="35" t="s">
        <v>395</v>
      </c>
      <c r="BM105" s="35" t="s">
        <v>438</v>
      </c>
      <c r="BN105" s="35" t="s">
        <v>1247</v>
      </c>
      <c r="BO105" s="35" t="s">
        <v>440</v>
      </c>
      <c r="CM105" s="35" t="s">
        <v>441</v>
      </c>
      <c r="CN105" s="35" t="s">
        <v>442</v>
      </c>
      <c r="CO105" s="35" t="s">
        <v>11997</v>
      </c>
      <c r="CP105" s="35" t="s">
        <v>3804</v>
      </c>
      <c r="CQ105" s="35" t="s">
        <v>685</v>
      </c>
      <c r="CR105" s="35" t="s">
        <v>3805</v>
      </c>
      <c r="CS105" s="35" t="s">
        <v>447</v>
      </c>
      <c r="CT105" s="35" t="s">
        <v>1454</v>
      </c>
      <c r="CU105" s="35" t="s">
        <v>3806</v>
      </c>
      <c r="CV105" s="35" t="s">
        <v>519</v>
      </c>
      <c r="CW105" s="35" t="s">
        <v>451</v>
      </c>
      <c r="CX105" s="35" t="s">
        <v>3807</v>
      </c>
      <c r="CY105" s="35" t="s">
        <v>408</v>
      </c>
      <c r="DA105" s="35" t="s">
        <v>985</v>
      </c>
      <c r="DB105" s="35" t="s">
        <v>3808</v>
      </c>
      <c r="DC105" s="35" t="s">
        <v>408</v>
      </c>
      <c r="DE105" s="35" t="s">
        <v>1400</v>
      </c>
      <c r="DF105" s="35" t="s">
        <v>1368</v>
      </c>
      <c r="DG105" s="35" t="s">
        <v>11998</v>
      </c>
      <c r="DH105" s="35" t="s">
        <v>561</v>
      </c>
      <c r="DI105" s="35" t="s">
        <v>1220</v>
      </c>
      <c r="DJ105" s="35" t="s">
        <v>459</v>
      </c>
      <c r="DK105" s="35" t="s">
        <v>613</v>
      </c>
      <c r="DN105" s="35" t="s">
        <v>3810</v>
      </c>
      <c r="DO105" s="35" t="s">
        <v>3811</v>
      </c>
      <c r="DP105" s="35" t="s">
        <v>464</v>
      </c>
      <c r="DQ105" s="35" t="s">
        <v>11999</v>
      </c>
      <c r="DR105" s="35" t="s">
        <v>837</v>
      </c>
      <c r="DS105" s="35" t="s">
        <v>12000</v>
      </c>
      <c r="DT105" s="35" t="s">
        <v>839</v>
      </c>
      <c r="DU105" s="35" t="s">
        <v>3611</v>
      </c>
      <c r="DV105" s="35" t="s">
        <v>3814</v>
      </c>
      <c r="DW105" s="35" t="s">
        <v>12001</v>
      </c>
      <c r="DX105" s="35" t="s">
        <v>573</v>
      </c>
      <c r="DY105" s="35" t="s">
        <v>3816</v>
      </c>
      <c r="DZ105" s="35" t="s">
        <v>3817</v>
      </c>
      <c r="EA105" s="35" t="s">
        <v>12002</v>
      </c>
      <c r="EB105" s="35" t="s">
        <v>475</v>
      </c>
      <c r="EC105" s="35" t="s">
        <v>626</v>
      </c>
      <c r="ED105" s="35" t="s">
        <v>3819</v>
      </c>
      <c r="EU105" s="35" t="s">
        <v>578</v>
      </c>
      <c r="EV105" s="35" t="s">
        <v>887</v>
      </c>
      <c r="EW105" s="35" t="s">
        <v>1534</v>
      </c>
      <c r="EX105" s="35" t="s">
        <v>3820</v>
      </c>
      <c r="EY105" s="35" t="s">
        <v>3821</v>
      </c>
      <c r="EZ105" s="35" t="s">
        <v>3822</v>
      </c>
      <c r="FA105" s="35" t="s">
        <v>415</v>
      </c>
      <c r="FB105" s="35" t="s">
        <v>414</v>
      </c>
      <c r="FC105" s="35" t="s">
        <v>413</v>
      </c>
      <c r="FD105" s="35" t="s">
        <v>415</v>
      </c>
      <c r="FE105" s="35" t="s">
        <v>416</v>
      </c>
      <c r="FF105" s="35" t="s">
        <v>414</v>
      </c>
      <c r="FG105" s="35" t="s">
        <v>415</v>
      </c>
      <c r="FH105" s="35" t="s">
        <v>415</v>
      </c>
      <c r="FI105" s="35" t="s">
        <v>413</v>
      </c>
      <c r="FJ105" s="35" t="s">
        <v>415</v>
      </c>
      <c r="FK105" s="35" t="s">
        <v>415</v>
      </c>
      <c r="FL105" s="35" t="s">
        <v>415</v>
      </c>
      <c r="FM105" s="35" t="s">
        <v>415</v>
      </c>
      <c r="FN105" s="35" t="s">
        <v>416</v>
      </c>
      <c r="FO105" s="35" t="s">
        <v>414</v>
      </c>
      <c r="FP105" s="35" t="s">
        <v>417</v>
      </c>
      <c r="FQ105" s="35" t="s">
        <v>418</v>
      </c>
      <c r="FR105" s="35" t="s">
        <v>712</v>
      </c>
      <c r="FS105" s="35" t="s">
        <v>3823</v>
      </c>
      <c r="FT105" s="35" t="s">
        <v>420</v>
      </c>
      <c r="FU105" s="35" t="s">
        <v>488</v>
      </c>
      <c r="FV105" s="35" t="s">
        <v>489</v>
      </c>
      <c r="FW105" s="35" t="s">
        <v>490</v>
      </c>
      <c r="FX105" s="35" t="s">
        <v>491</v>
      </c>
      <c r="FY105" s="35" t="s">
        <v>3824</v>
      </c>
      <c r="FZ105" s="35" t="s">
        <v>493</v>
      </c>
      <c r="GA105" s="35" t="s">
        <v>3825</v>
      </c>
      <c r="GC105" s="35" t="s">
        <v>455</v>
      </c>
      <c r="GD105" s="35" t="s">
        <v>12003</v>
      </c>
      <c r="GE105" s="35" t="s">
        <v>12004</v>
      </c>
      <c r="GF105" s="35" t="s">
        <v>753</v>
      </c>
      <c r="GH105" s="35" t="s">
        <v>788</v>
      </c>
      <c r="GI105" s="35" t="s">
        <v>755</v>
      </c>
      <c r="GJ105" s="35" t="s">
        <v>817</v>
      </c>
      <c r="GN105" s="35" t="s">
        <v>1079</v>
      </c>
      <c r="GR105" s="35" t="s">
        <v>3208</v>
      </c>
    </row>
    <row r="106">
      <c r="A106" s="40"/>
      <c r="B106" s="40">
        <v>45831.93652824074</v>
      </c>
      <c r="C106" s="35" t="s">
        <v>368</v>
      </c>
      <c r="D106" s="35" t="s">
        <v>370</v>
      </c>
      <c r="F106" s="35" t="s">
        <v>1382</v>
      </c>
      <c r="H106" s="35" t="s">
        <v>3883</v>
      </c>
      <c r="I106" s="35" t="s">
        <v>637</v>
      </c>
      <c r="J106" s="35" t="s">
        <v>638</v>
      </c>
      <c r="K106" s="35" t="s">
        <v>425</v>
      </c>
      <c r="L106" s="35" t="s">
        <v>376</v>
      </c>
      <c r="M106" s="35" t="s">
        <v>377</v>
      </c>
      <c r="N106" s="35" t="s">
        <v>2464</v>
      </c>
      <c r="O106" s="35" t="s">
        <v>591</v>
      </c>
      <c r="P106" s="35" t="s">
        <v>3884</v>
      </c>
      <c r="Q106" s="35" t="s">
        <v>1760</v>
      </c>
      <c r="R106" s="35" t="s">
        <v>1156</v>
      </c>
      <c r="S106" s="35" t="s">
        <v>3885</v>
      </c>
      <c r="T106" s="35" t="s">
        <v>3886</v>
      </c>
      <c r="U106" s="35" t="s">
        <v>385</v>
      </c>
      <c r="X106" s="35" t="s">
        <v>593</v>
      </c>
      <c r="Y106" s="35" t="s">
        <v>387</v>
      </c>
      <c r="Z106" s="35" t="s">
        <v>594</v>
      </c>
      <c r="AA106" s="35" t="s">
        <v>502</v>
      </c>
      <c r="AB106" s="35" t="s">
        <v>3887</v>
      </c>
      <c r="AC106" s="35" t="s">
        <v>3888</v>
      </c>
      <c r="AW106" s="35" t="s">
        <v>504</v>
      </c>
      <c r="AX106" s="35" t="s">
        <v>429</v>
      </c>
      <c r="AY106" s="35" t="s">
        <v>429</v>
      </c>
      <c r="AZ106" s="35" t="s">
        <v>429</v>
      </c>
      <c r="BA106" s="35" t="s">
        <v>429</v>
      </c>
      <c r="BB106" s="35" t="s">
        <v>429</v>
      </c>
      <c r="BC106" s="35" t="s">
        <v>429</v>
      </c>
      <c r="BD106" s="35" t="s">
        <v>3889</v>
      </c>
      <c r="BE106" s="35" t="s">
        <v>3890</v>
      </c>
      <c r="BF106" s="35" t="s">
        <v>392</v>
      </c>
      <c r="BG106" s="35" t="s">
        <v>433</v>
      </c>
      <c r="BH106" s="35" t="s">
        <v>678</v>
      </c>
      <c r="BI106" s="35" t="s">
        <v>3891</v>
      </c>
      <c r="BJ106" s="35" t="s">
        <v>509</v>
      </c>
      <c r="BK106" s="35" t="s">
        <v>3892</v>
      </c>
      <c r="BL106" s="35" t="s">
        <v>511</v>
      </c>
      <c r="BM106" s="35" t="s">
        <v>512</v>
      </c>
      <c r="BN106" s="35" t="s">
        <v>439</v>
      </c>
      <c r="BO106" s="35" t="s">
        <v>440</v>
      </c>
      <c r="CM106" s="35" t="s">
        <v>441</v>
      </c>
      <c r="CN106" s="35" t="s">
        <v>604</v>
      </c>
      <c r="CO106" s="35" t="s">
        <v>12005</v>
      </c>
      <c r="CP106" s="35" t="s">
        <v>12006</v>
      </c>
      <c r="CQ106" s="35" t="s">
        <v>1008</v>
      </c>
      <c r="CR106" s="35" t="s">
        <v>3895</v>
      </c>
      <c r="CS106" s="35" t="s">
        <v>804</v>
      </c>
      <c r="CT106" s="35" t="s">
        <v>3896</v>
      </c>
      <c r="CU106" s="35" t="s">
        <v>913</v>
      </c>
      <c r="CV106" s="35" t="s">
        <v>450</v>
      </c>
      <c r="CW106" s="35" t="s">
        <v>451</v>
      </c>
      <c r="CX106" s="35" t="s">
        <v>3897</v>
      </c>
      <c r="CY106" s="35" t="s">
        <v>733</v>
      </c>
      <c r="DA106" s="35" t="s">
        <v>453</v>
      </c>
      <c r="DB106" s="35" t="s">
        <v>12007</v>
      </c>
      <c r="DC106" s="35" t="s">
        <v>455</v>
      </c>
      <c r="DD106" s="35" t="s">
        <v>3899</v>
      </c>
      <c r="DE106" s="35" t="s">
        <v>457</v>
      </c>
      <c r="DG106" s="35" t="s">
        <v>3900</v>
      </c>
      <c r="DH106" s="35" t="s">
        <v>524</v>
      </c>
      <c r="DI106" s="35" t="s">
        <v>410</v>
      </c>
      <c r="DJ106" s="35" t="s">
        <v>459</v>
      </c>
      <c r="DK106" s="35" t="s">
        <v>613</v>
      </c>
      <c r="DN106" s="35" t="s">
        <v>3901</v>
      </c>
      <c r="DO106" s="35" t="s">
        <v>3902</v>
      </c>
      <c r="DP106" s="35" t="s">
        <v>464</v>
      </c>
      <c r="DQ106" s="35" t="s">
        <v>12008</v>
      </c>
      <c r="DR106" s="35" t="s">
        <v>1553</v>
      </c>
      <c r="DS106" s="35" t="s">
        <v>12009</v>
      </c>
      <c r="DT106" s="35" t="s">
        <v>468</v>
      </c>
      <c r="DU106" s="35" t="s">
        <v>3611</v>
      </c>
      <c r="DV106" s="35" t="s">
        <v>3905</v>
      </c>
      <c r="DW106" s="35" t="s">
        <v>3906</v>
      </c>
      <c r="DX106" s="35" t="s">
        <v>622</v>
      </c>
      <c r="DY106" s="35" t="s">
        <v>3907</v>
      </c>
      <c r="DZ106" s="35" t="s">
        <v>3908</v>
      </c>
      <c r="EA106" s="35" t="s">
        <v>3909</v>
      </c>
      <c r="EB106" s="35" t="s">
        <v>475</v>
      </c>
      <c r="EC106" s="35" t="s">
        <v>845</v>
      </c>
      <c r="ED106" s="35" t="s">
        <v>3910</v>
      </c>
      <c r="EU106" s="35" t="s">
        <v>478</v>
      </c>
      <c r="EV106" s="35" t="s">
        <v>479</v>
      </c>
      <c r="EW106" s="35" t="s">
        <v>778</v>
      </c>
      <c r="EX106" s="35" t="s">
        <v>3911</v>
      </c>
      <c r="EY106" s="35" t="s">
        <v>12010</v>
      </c>
      <c r="EZ106" s="35" t="s">
        <v>3913</v>
      </c>
      <c r="FA106" s="35" t="s">
        <v>583</v>
      </c>
      <c r="FB106" s="35" t="s">
        <v>583</v>
      </c>
      <c r="FC106" s="35" t="s">
        <v>583</v>
      </c>
      <c r="FD106" s="35" t="s">
        <v>583</v>
      </c>
      <c r="FE106" s="35" t="s">
        <v>583</v>
      </c>
      <c r="FF106" s="35" t="s">
        <v>583</v>
      </c>
      <c r="FG106" s="35" t="s">
        <v>583</v>
      </c>
      <c r="FH106" s="35" t="s">
        <v>413</v>
      </c>
      <c r="FI106" s="35" t="s">
        <v>583</v>
      </c>
      <c r="FJ106" s="35" t="s">
        <v>583</v>
      </c>
      <c r="FK106" s="35" t="s">
        <v>583</v>
      </c>
      <c r="FL106" s="35" t="s">
        <v>583</v>
      </c>
      <c r="FM106" s="35" t="s">
        <v>583</v>
      </c>
      <c r="FN106" s="35" t="s">
        <v>413</v>
      </c>
      <c r="FO106" s="35" t="s">
        <v>583</v>
      </c>
      <c r="FP106" s="35" t="s">
        <v>417</v>
      </c>
      <c r="FQ106" s="35" t="s">
        <v>418</v>
      </c>
      <c r="FR106" s="35" t="s">
        <v>712</v>
      </c>
      <c r="FS106" s="35" t="s">
        <v>3914</v>
      </c>
      <c r="FT106" s="35" t="s">
        <v>420</v>
      </c>
      <c r="FU106" s="35" t="s">
        <v>488</v>
      </c>
      <c r="FV106" s="35" t="s">
        <v>533</v>
      </c>
      <c r="FW106" s="35" t="s">
        <v>490</v>
      </c>
      <c r="FX106" s="35" t="s">
        <v>491</v>
      </c>
      <c r="FY106" s="35" t="s">
        <v>12011</v>
      </c>
      <c r="FZ106" s="35" t="s">
        <v>535</v>
      </c>
      <c r="GA106" s="35" t="s">
        <v>3916</v>
      </c>
      <c r="GB106" s="35" t="s">
        <v>408</v>
      </c>
      <c r="GC106" s="35" t="s">
        <v>455</v>
      </c>
      <c r="GD106" s="35" t="s">
        <v>12012</v>
      </c>
      <c r="GE106" s="35" t="s">
        <v>12013</v>
      </c>
      <c r="GF106" s="35" t="s">
        <v>753</v>
      </c>
      <c r="GG106" s="35" t="s">
        <v>3917</v>
      </c>
      <c r="GH106" s="35" t="s">
        <v>755</v>
      </c>
      <c r="GI106" s="35" t="s">
        <v>755</v>
      </c>
      <c r="GJ106" s="35" t="s">
        <v>946</v>
      </c>
      <c r="GN106" s="35" t="s">
        <v>1079</v>
      </c>
      <c r="GR106" s="35" t="s">
        <v>3918</v>
      </c>
    </row>
    <row r="107">
      <c r="A107" s="40"/>
      <c r="B107" s="40">
        <v>45832.532238541666</v>
      </c>
      <c r="C107" s="35" t="s">
        <v>368</v>
      </c>
      <c r="D107" s="35" t="s">
        <v>370</v>
      </c>
      <c r="F107" s="35" t="s">
        <v>371</v>
      </c>
      <c r="H107" s="35" t="s">
        <v>1002</v>
      </c>
      <c r="I107" s="35" t="s">
        <v>496</v>
      </c>
      <c r="J107" s="35" t="s">
        <v>374</v>
      </c>
      <c r="K107" s="35" t="s">
        <v>669</v>
      </c>
      <c r="L107" s="35" t="s">
        <v>376</v>
      </c>
      <c r="M107" s="35" t="s">
        <v>591</v>
      </c>
      <c r="N107" s="35" t="s">
        <v>719</v>
      </c>
      <c r="O107" s="35" t="s">
        <v>426</v>
      </c>
      <c r="P107" s="35" t="s">
        <v>380</v>
      </c>
      <c r="Q107" s="35" t="s">
        <v>381</v>
      </c>
      <c r="R107" s="35" t="s">
        <v>818</v>
      </c>
      <c r="S107" s="35" t="s">
        <v>500</v>
      </c>
      <c r="T107" s="35" t="s">
        <v>384</v>
      </c>
      <c r="U107" s="35" t="s">
        <v>385</v>
      </c>
      <c r="X107" s="35" t="s">
        <v>593</v>
      </c>
      <c r="Y107" s="35" t="s">
        <v>387</v>
      </c>
      <c r="Z107" s="35" t="s">
        <v>388</v>
      </c>
      <c r="AA107" s="35" t="s">
        <v>543</v>
      </c>
      <c r="AB107" s="35" t="s">
        <v>12014</v>
      </c>
      <c r="AW107" s="35" t="s">
        <v>1310</v>
      </c>
      <c r="AX107" s="35" t="s">
        <v>675</v>
      </c>
      <c r="AY107" s="35" t="s">
        <v>675</v>
      </c>
      <c r="AZ107" s="35" t="s">
        <v>675</v>
      </c>
      <c r="BA107" s="35" t="s">
        <v>675</v>
      </c>
      <c r="BB107" s="35" t="s">
        <v>675</v>
      </c>
      <c r="BC107" s="35" t="s">
        <v>675</v>
      </c>
      <c r="BD107" s="35" t="s">
        <v>12015</v>
      </c>
      <c r="BE107" s="35" t="s">
        <v>12016</v>
      </c>
      <c r="BF107" s="35" t="s">
        <v>3114</v>
      </c>
      <c r="BG107" s="35" t="s">
        <v>1245</v>
      </c>
      <c r="BH107" s="35" t="s">
        <v>725</v>
      </c>
      <c r="BI107" s="35" t="s">
        <v>12017</v>
      </c>
      <c r="BJ107" s="35" t="s">
        <v>435</v>
      </c>
      <c r="BK107" s="35" t="s">
        <v>12018</v>
      </c>
      <c r="BL107" s="35" t="s">
        <v>681</v>
      </c>
      <c r="BM107" s="35" t="s">
        <v>603</v>
      </c>
      <c r="BN107" s="35" t="s">
        <v>1247</v>
      </c>
      <c r="BO107" s="35" t="s">
        <v>440</v>
      </c>
      <c r="CM107" s="35" t="s">
        <v>441</v>
      </c>
      <c r="CN107" s="35" t="s">
        <v>442</v>
      </c>
      <c r="CO107" s="35" t="s">
        <v>12019</v>
      </c>
      <c r="CP107" s="35" t="s">
        <v>12020</v>
      </c>
      <c r="CQ107" s="35" t="s">
        <v>403</v>
      </c>
      <c r="CR107" s="35" t="s">
        <v>4003</v>
      </c>
      <c r="CS107" s="35" t="s">
        <v>447</v>
      </c>
      <c r="CT107" s="35" t="s">
        <v>4004</v>
      </c>
      <c r="CU107" s="35" t="s">
        <v>12021</v>
      </c>
      <c r="CV107" s="35" t="s">
        <v>519</v>
      </c>
      <c r="CW107" s="35" t="s">
        <v>451</v>
      </c>
      <c r="CX107" s="35" t="s">
        <v>12022</v>
      </c>
      <c r="CY107" s="35" t="s">
        <v>733</v>
      </c>
      <c r="DA107" s="35" t="s">
        <v>453</v>
      </c>
      <c r="DB107" s="35" t="s">
        <v>12023</v>
      </c>
      <c r="DC107" s="35" t="s">
        <v>455</v>
      </c>
      <c r="DD107" s="35" t="s">
        <v>12024</v>
      </c>
      <c r="DE107" s="35" t="s">
        <v>406</v>
      </c>
      <c r="DF107" s="35" t="s">
        <v>407</v>
      </c>
      <c r="DG107" s="35" t="s">
        <v>12025</v>
      </c>
      <c r="DH107" s="35" t="s">
        <v>561</v>
      </c>
      <c r="DI107" s="35" t="s">
        <v>410</v>
      </c>
      <c r="DJ107" s="35" t="s">
        <v>963</v>
      </c>
      <c r="DK107" s="35" t="s">
        <v>460</v>
      </c>
      <c r="DL107" s="35" t="s">
        <v>525</v>
      </c>
      <c r="DN107" s="35" t="s">
        <v>3901</v>
      </c>
      <c r="DO107" s="35" t="s">
        <v>4010</v>
      </c>
      <c r="DP107" s="35" t="s">
        <v>567</v>
      </c>
      <c r="DQ107" s="35" t="s">
        <v>12026</v>
      </c>
      <c r="DR107" s="35" t="s">
        <v>466</v>
      </c>
      <c r="DS107" s="35" t="s">
        <v>12027</v>
      </c>
      <c r="DT107" s="35" t="s">
        <v>839</v>
      </c>
      <c r="DU107" s="35" t="s">
        <v>740</v>
      </c>
      <c r="DV107" s="35" t="s">
        <v>12028</v>
      </c>
      <c r="DW107" s="35" t="s">
        <v>12029</v>
      </c>
      <c r="DX107" s="35" t="s">
        <v>1328</v>
      </c>
      <c r="DY107" s="35" t="s">
        <v>12030</v>
      </c>
      <c r="DZ107" s="35" t="s">
        <v>12031</v>
      </c>
      <c r="EA107" s="35" t="s">
        <v>12032</v>
      </c>
      <c r="EB107" s="35" t="s">
        <v>475</v>
      </c>
      <c r="EC107" s="35" t="s">
        <v>626</v>
      </c>
      <c r="EU107" s="35" t="s">
        <v>526</v>
      </c>
      <c r="EV107" s="35" t="s">
        <v>887</v>
      </c>
      <c r="EW107" s="35" t="s">
        <v>778</v>
      </c>
      <c r="EX107" s="35" t="s">
        <v>12033</v>
      </c>
      <c r="EZ107" s="35" t="s">
        <v>12034</v>
      </c>
      <c r="FA107" s="35" t="s">
        <v>413</v>
      </c>
      <c r="FB107" s="35" t="s">
        <v>413</v>
      </c>
      <c r="FC107" s="35" t="s">
        <v>413</v>
      </c>
      <c r="FD107" s="35" t="s">
        <v>413</v>
      </c>
      <c r="FE107" s="35" t="s">
        <v>413</v>
      </c>
      <c r="FF107" s="35" t="s">
        <v>413</v>
      </c>
      <c r="FG107" s="35" t="s">
        <v>413</v>
      </c>
      <c r="FH107" s="35" t="s">
        <v>413</v>
      </c>
      <c r="FI107" s="35" t="s">
        <v>416</v>
      </c>
      <c r="FJ107" s="35" t="s">
        <v>413</v>
      </c>
      <c r="FK107" s="35" t="s">
        <v>416</v>
      </c>
      <c r="FL107" s="35" t="s">
        <v>413</v>
      </c>
      <c r="FM107" s="35" t="s">
        <v>413</v>
      </c>
      <c r="FN107" s="35" t="s">
        <v>413</v>
      </c>
      <c r="FO107" s="35" t="s">
        <v>416</v>
      </c>
      <c r="FP107" s="35" t="s">
        <v>850</v>
      </c>
      <c r="FZ107" s="35" t="s">
        <v>535</v>
      </c>
      <c r="GC107" s="35" t="s">
        <v>455</v>
      </c>
      <c r="GD107" s="35" t="s">
        <v>12035</v>
      </c>
      <c r="GE107" s="35" t="s">
        <v>12036</v>
      </c>
      <c r="GF107" s="35" t="s">
        <v>753</v>
      </c>
      <c r="GG107" s="35" t="s">
        <v>12037</v>
      </c>
      <c r="GH107" s="35" t="s">
        <v>755</v>
      </c>
      <c r="GI107" s="35" t="s">
        <v>755</v>
      </c>
      <c r="GJ107" s="35" t="s">
        <v>946</v>
      </c>
      <c r="GN107" s="35" t="s">
        <v>1079</v>
      </c>
      <c r="GR107" s="35" t="s">
        <v>3208</v>
      </c>
    </row>
    <row r="108">
      <c r="A108" s="40"/>
      <c r="B108" s="40">
        <v>45833.341107002314</v>
      </c>
      <c r="C108" s="35" t="s">
        <v>368</v>
      </c>
      <c r="D108" s="35" t="s">
        <v>4085</v>
      </c>
      <c r="E108" s="35" t="s">
        <v>1201</v>
      </c>
      <c r="H108" s="35" t="s">
        <v>422</v>
      </c>
      <c r="I108" s="35" t="s">
        <v>539</v>
      </c>
      <c r="J108" s="35" t="s">
        <v>424</v>
      </c>
      <c r="K108" s="35" t="s">
        <v>1240</v>
      </c>
      <c r="L108" s="35" t="s">
        <v>376</v>
      </c>
      <c r="M108" s="35" t="s">
        <v>377</v>
      </c>
      <c r="N108" s="35" t="s">
        <v>2464</v>
      </c>
      <c r="O108" s="35" t="s">
        <v>377</v>
      </c>
      <c r="P108" s="35" t="s">
        <v>2464</v>
      </c>
      <c r="Q108" s="35" t="s">
        <v>381</v>
      </c>
      <c r="R108" s="35" t="s">
        <v>499</v>
      </c>
      <c r="S108" s="35" t="s">
        <v>427</v>
      </c>
      <c r="T108" s="35" t="s">
        <v>384</v>
      </c>
      <c r="U108" s="35" t="s">
        <v>385</v>
      </c>
      <c r="X108" s="35" t="s">
        <v>386</v>
      </c>
      <c r="Y108" s="35" t="s">
        <v>387</v>
      </c>
      <c r="AA108" s="35" t="s">
        <v>543</v>
      </c>
      <c r="AB108" s="35" t="s">
        <v>408</v>
      </c>
      <c r="AW108" s="35" t="s">
        <v>390</v>
      </c>
      <c r="AX108" s="41">
        <v>2.0</v>
      </c>
      <c r="AY108" s="41">
        <v>2.0</v>
      </c>
      <c r="AZ108" s="41">
        <v>2.0</v>
      </c>
      <c r="BA108" s="35" t="s">
        <v>429</v>
      </c>
      <c r="BB108" s="41">
        <v>2.0</v>
      </c>
      <c r="BC108" s="41">
        <v>2.0</v>
      </c>
      <c r="BD108" s="35" t="s">
        <v>12038</v>
      </c>
      <c r="BE108" s="35" t="s">
        <v>12039</v>
      </c>
      <c r="BF108" s="35" t="s">
        <v>392</v>
      </c>
      <c r="BG108" s="35" t="s">
        <v>433</v>
      </c>
      <c r="BH108" s="35" t="s">
        <v>678</v>
      </c>
      <c r="BI108" s="35" t="s">
        <v>12040</v>
      </c>
      <c r="BJ108" s="35" t="s">
        <v>509</v>
      </c>
      <c r="BK108" s="35" t="s">
        <v>12041</v>
      </c>
      <c r="BL108" s="35" t="s">
        <v>511</v>
      </c>
      <c r="BM108" s="35" t="s">
        <v>512</v>
      </c>
      <c r="BN108" s="35" t="s">
        <v>549</v>
      </c>
      <c r="BO108" s="35" t="s">
        <v>440</v>
      </c>
      <c r="CM108" s="35" t="s">
        <v>441</v>
      </c>
      <c r="CN108" s="35" t="s">
        <v>442</v>
      </c>
      <c r="CO108" s="35" t="s">
        <v>12042</v>
      </c>
      <c r="CP108" s="35" t="s">
        <v>4091</v>
      </c>
      <c r="CQ108" s="35" t="s">
        <v>403</v>
      </c>
      <c r="CR108" s="35" t="s">
        <v>12043</v>
      </c>
      <c r="CS108" s="35" t="s">
        <v>555</v>
      </c>
      <c r="CT108" s="35" t="s">
        <v>1569</v>
      </c>
      <c r="CU108" s="35" t="s">
        <v>12044</v>
      </c>
      <c r="CV108" s="35" t="s">
        <v>450</v>
      </c>
      <c r="CW108" s="35" t="s">
        <v>451</v>
      </c>
      <c r="CX108" s="35" t="s">
        <v>12045</v>
      </c>
      <c r="CY108" s="35" t="s">
        <v>408</v>
      </c>
      <c r="DA108" s="35" t="s">
        <v>453</v>
      </c>
      <c r="DB108" s="35" t="s">
        <v>12046</v>
      </c>
      <c r="DC108" s="35" t="s">
        <v>455</v>
      </c>
      <c r="DD108" s="35" t="s">
        <v>12047</v>
      </c>
      <c r="DE108" s="35" t="s">
        <v>988</v>
      </c>
      <c r="DG108" s="35" t="s">
        <v>12048</v>
      </c>
      <c r="DH108" s="35" t="s">
        <v>561</v>
      </c>
      <c r="DI108" s="35" t="s">
        <v>410</v>
      </c>
      <c r="DJ108" s="35" t="s">
        <v>459</v>
      </c>
      <c r="DK108" s="35" t="s">
        <v>562</v>
      </c>
      <c r="DL108" s="35" t="s">
        <v>461</v>
      </c>
      <c r="DN108" s="35" t="s">
        <v>4098</v>
      </c>
      <c r="DO108" s="35" t="s">
        <v>4099</v>
      </c>
      <c r="DP108" s="35" t="s">
        <v>2956</v>
      </c>
      <c r="DQ108" s="35" t="s">
        <v>12049</v>
      </c>
      <c r="DR108" s="35" t="s">
        <v>466</v>
      </c>
      <c r="DS108" s="35" t="s">
        <v>12050</v>
      </c>
      <c r="DT108" s="35" t="s">
        <v>468</v>
      </c>
      <c r="DU108" s="35" t="s">
        <v>570</v>
      </c>
      <c r="DV108" s="35" t="s">
        <v>12051</v>
      </c>
      <c r="DW108" s="35" t="s">
        <v>12052</v>
      </c>
      <c r="DX108" s="35" t="s">
        <v>1328</v>
      </c>
      <c r="DY108" s="35" t="s">
        <v>12053</v>
      </c>
      <c r="DZ108" s="35" t="s">
        <v>12054</v>
      </c>
      <c r="EA108" s="35" t="s">
        <v>12055</v>
      </c>
      <c r="EB108" s="35" t="s">
        <v>475</v>
      </c>
      <c r="EC108" s="35" t="s">
        <v>626</v>
      </c>
      <c r="ED108" s="35" t="s">
        <v>12056</v>
      </c>
      <c r="EU108" s="35" t="s">
        <v>526</v>
      </c>
      <c r="EV108" s="35" t="s">
        <v>579</v>
      </c>
      <c r="EW108" s="35" t="s">
        <v>1262</v>
      </c>
      <c r="EX108" s="35" t="s">
        <v>12057</v>
      </c>
      <c r="EY108" s="35" t="s">
        <v>12058</v>
      </c>
      <c r="EZ108" s="35" t="s">
        <v>12059</v>
      </c>
      <c r="FA108" s="35" t="s">
        <v>413</v>
      </c>
      <c r="FB108" s="35" t="s">
        <v>415</v>
      </c>
      <c r="FC108" s="35" t="s">
        <v>413</v>
      </c>
      <c r="FD108" s="35" t="s">
        <v>413</v>
      </c>
      <c r="FE108" s="35" t="s">
        <v>413</v>
      </c>
      <c r="FF108" s="35" t="s">
        <v>415</v>
      </c>
      <c r="FG108" s="35" t="s">
        <v>416</v>
      </c>
      <c r="FH108" s="35" t="s">
        <v>416</v>
      </c>
      <c r="FI108" s="35" t="s">
        <v>583</v>
      </c>
      <c r="FJ108" s="35" t="s">
        <v>413</v>
      </c>
      <c r="FK108" s="35" t="s">
        <v>413</v>
      </c>
      <c r="FL108" s="35" t="s">
        <v>415</v>
      </c>
      <c r="FM108" s="35" t="s">
        <v>415</v>
      </c>
      <c r="FN108" s="35" t="s">
        <v>415</v>
      </c>
      <c r="FO108" s="35" t="s">
        <v>415</v>
      </c>
      <c r="FP108" s="35" t="s">
        <v>485</v>
      </c>
      <c r="FQ108" s="35" t="s">
        <v>418</v>
      </c>
      <c r="FR108" s="35" t="s">
        <v>1039</v>
      </c>
      <c r="FT108" s="35" t="s">
        <v>420</v>
      </c>
      <c r="FU108" s="35" t="s">
        <v>488</v>
      </c>
      <c r="FV108" s="35" t="s">
        <v>1235</v>
      </c>
      <c r="FW108" s="35" t="s">
        <v>490</v>
      </c>
      <c r="FX108" s="35" t="s">
        <v>491</v>
      </c>
      <c r="FY108" s="35" t="s">
        <v>12060</v>
      </c>
      <c r="FZ108" s="35" t="s">
        <v>493</v>
      </c>
      <c r="GB108" s="35" t="s">
        <v>12061</v>
      </c>
      <c r="GC108" s="35" t="s">
        <v>455</v>
      </c>
      <c r="GD108" s="35" t="s">
        <v>12062</v>
      </c>
      <c r="GF108" s="35" t="s">
        <v>944</v>
      </c>
      <c r="GG108" s="35" t="s">
        <v>455</v>
      </c>
      <c r="GH108" s="35" t="s">
        <v>1000</v>
      </c>
      <c r="GI108" s="35" t="s">
        <v>755</v>
      </c>
      <c r="GJ108" s="35" t="s">
        <v>817</v>
      </c>
      <c r="GN108" s="35" t="s">
        <v>1079</v>
      </c>
      <c r="GO108" s="35" t="s">
        <v>9866</v>
      </c>
      <c r="GP108" s="35" t="s">
        <v>12063</v>
      </c>
      <c r="GR108" s="35" t="s">
        <v>4113</v>
      </c>
    </row>
    <row r="109">
      <c r="A109" s="40"/>
      <c r="B109" s="40">
        <v>45835.44492405093</v>
      </c>
      <c r="C109" s="35" t="s">
        <v>368</v>
      </c>
      <c r="D109" s="35" t="s">
        <v>370</v>
      </c>
      <c r="E109" s="35" t="s">
        <v>370</v>
      </c>
      <c r="F109" s="35" t="s">
        <v>791</v>
      </c>
      <c r="G109" s="35" t="s">
        <v>791</v>
      </c>
      <c r="H109" s="35" t="s">
        <v>422</v>
      </c>
      <c r="I109" s="35" t="s">
        <v>373</v>
      </c>
      <c r="J109" s="35" t="s">
        <v>638</v>
      </c>
      <c r="K109" s="35" t="s">
        <v>375</v>
      </c>
      <c r="L109" s="35" t="s">
        <v>376</v>
      </c>
      <c r="M109" s="35" t="s">
        <v>426</v>
      </c>
      <c r="N109" s="35" t="s">
        <v>378</v>
      </c>
      <c r="O109" s="35" t="s">
        <v>793</v>
      </c>
      <c r="P109" s="35" t="s">
        <v>720</v>
      </c>
      <c r="Q109" s="35" t="s">
        <v>498</v>
      </c>
      <c r="R109" s="35" t="s">
        <v>862</v>
      </c>
      <c r="S109" s="35" t="s">
        <v>500</v>
      </c>
      <c r="T109" s="35" t="s">
        <v>1443</v>
      </c>
      <c r="U109" s="35" t="s">
        <v>385</v>
      </c>
      <c r="X109" s="35" t="s">
        <v>386</v>
      </c>
      <c r="Y109" s="35" t="s">
        <v>387</v>
      </c>
      <c r="Z109" s="35" t="s">
        <v>388</v>
      </c>
      <c r="AA109" s="35" t="s">
        <v>543</v>
      </c>
      <c r="AB109" s="35" t="s">
        <v>4311</v>
      </c>
      <c r="AC109" s="35" t="s">
        <v>4312</v>
      </c>
      <c r="AW109" s="35" t="s">
        <v>390</v>
      </c>
      <c r="AX109" s="35" t="s">
        <v>391</v>
      </c>
      <c r="AY109" s="41">
        <v>4.0</v>
      </c>
      <c r="AZ109" s="41">
        <v>4.0</v>
      </c>
      <c r="BA109" s="35" t="s">
        <v>429</v>
      </c>
      <c r="BB109" s="35" t="s">
        <v>429</v>
      </c>
      <c r="BC109" s="35" t="s">
        <v>429</v>
      </c>
      <c r="BD109" s="35" t="s">
        <v>4313</v>
      </c>
      <c r="BE109" s="35" t="s">
        <v>4314</v>
      </c>
      <c r="BF109" s="35" t="s">
        <v>902</v>
      </c>
      <c r="BG109" s="35" t="s">
        <v>433</v>
      </c>
      <c r="BH109" s="35" t="s">
        <v>678</v>
      </c>
      <c r="BI109" s="35" t="s">
        <v>4315</v>
      </c>
      <c r="BJ109" s="35" t="s">
        <v>824</v>
      </c>
      <c r="BL109" s="35" t="s">
        <v>437</v>
      </c>
      <c r="BM109" s="35" t="s">
        <v>396</v>
      </c>
      <c r="BN109" s="35" t="s">
        <v>439</v>
      </c>
      <c r="BO109" s="35" t="s">
        <v>440</v>
      </c>
      <c r="CM109" s="35" t="s">
        <v>441</v>
      </c>
      <c r="CN109" s="35" t="s">
        <v>604</v>
      </c>
      <c r="CO109" s="35" t="s">
        <v>4316</v>
      </c>
      <c r="CP109" s="35" t="s">
        <v>4317</v>
      </c>
      <c r="CQ109" s="35" t="s">
        <v>979</v>
      </c>
      <c r="CR109" s="35" t="s">
        <v>4318</v>
      </c>
      <c r="CS109" s="35" t="s">
        <v>404</v>
      </c>
      <c r="CT109" s="35" t="s">
        <v>4319</v>
      </c>
      <c r="CU109" s="35" t="s">
        <v>4320</v>
      </c>
      <c r="CV109" s="35" t="s">
        <v>450</v>
      </c>
      <c r="CW109" s="35" t="s">
        <v>451</v>
      </c>
      <c r="CX109" s="35" t="s">
        <v>4321</v>
      </c>
      <c r="CY109" s="35" t="s">
        <v>408</v>
      </c>
      <c r="DA109" s="35" t="s">
        <v>453</v>
      </c>
      <c r="DB109" s="35" t="s">
        <v>4322</v>
      </c>
      <c r="DC109" s="35" t="s">
        <v>455</v>
      </c>
      <c r="DD109" s="35" t="s">
        <v>4323</v>
      </c>
      <c r="DE109" s="35" t="s">
        <v>457</v>
      </c>
      <c r="DG109" s="35" t="s">
        <v>4324</v>
      </c>
      <c r="DH109" s="35" t="s">
        <v>561</v>
      </c>
      <c r="DI109" s="35" t="s">
        <v>410</v>
      </c>
      <c r="DJ109" s="35" t="s">
        <v>459</v>
      </c>
      <c r="DK109" s="35" t="s">
        <v>613</v>
      </c>
      <c r="DN109" s="35" t="s">
        <v>4325</v>
      </c>
      <c r="DO109" s="35" t="s">
        <v>4326</v>
      </c>
      <c r="DP109" s="35" t="s">
        <v>567</v>
      </c>
      <c r="DQ109" s="35" t="s">
        <v>4327</v>
      </c>
      <c r="DR109" s="35" t="s">
        <v>837</v>
      </c>
      <c r="DS109" s="35" t="s">
        <v>4328</v>
      </c>
      <c r="DT109" s="35" t="s">
        <v>839</v>
      </c>
      <c r="DU109" s="35" t="s">
        <v>703</v>
      </c>
      <c r="DV109" s="35" t="s">
        <v>4329</v>
      </c>
      <c r="DW109" s="35" t="s">
        <v>4330</v>
      </c>
      <c r="DX109" s="35" t="s">
        <v>573</v>
      </c>
      <c r="DY109" s="35" t="s">
        <v>4331</v>
      </c>
      <c r="DZ109" s="35" t="s">
        <v>4332</v>
      </c>
      <c r="EA109" s="35" t="s">
        <v>4333</v>
      </c>
      <c r="EB109" s="35" t="s">
        <v>475</v>
      </c>
      <c r="EC109" s="35" t="s">
        <v>845</v>
      </c>
      <c r="ED109" s="35" t="s">
        <v>4334</v>
      </c>
      <c r="EU109" s="35" t="s">
        <v>578</v>
      </c>
      <c r="EV109" s="35" t="s">
        <v>887</v>
      </c>
      <c r="EW109" s="35" t="s">
        <v>480</v>
      </c>
      <c r="EX109" s="35" t="s">
        <v>4335</v>
      </c>
      <c r="EY109" s="35" t="s">
        <v>4336</v>
      </c>
      <c r="EZ109" s="35" t="s">
        <v>4337</v>
      </c>
      <c r="FA109" s="35" t="s">
        <v>583</v>
      </c>
      <c r="FB109" s="35" t="s">
        <v>583</v>
      </c>
      <c r="FC109" s="35" t="s">
        <v>416</v>
      </c>
      <c r="FD109" s="35" t="s">
        <v>415</v>
      </c>
      <c r="FE109" s="35" t="s">
        <v>416</v>
      </c>
      <c r="FF109" s="35" t="s">
        <v>583</v>
      </c>
      <c r="FG109" s="35" t="s">
        <v>583</v>
      </c>
      <c r="FH109" s="35" t="s">
        <v>413</v>
      </c>
      <c r="FI109" s="35" t="s">
        <v>583</v>
      </c>
      <c r="FJ109" s="35" t="s">
        <v>414</v>
      </c>
      <c r="FK109" s="35" t="s">
        <v>414</v>
      </c>
      <c r="FL109" s="35" t="s">
        <v>583</v>
      </c>
      <c r="FM109" s="35" t="s">
        <v>583</v>
      </c>
      <c r="FN109" s="35" t="s">
        <v>413</v>
      </c>
      <c r="FO109" s="35" t="s">
        <v>583</v>
      </c>
      <c r="FP109" s="35" t="s">
        <v>417</v>
      </c>
      <c r="FQ109" s="35" t="s">
        <v>418</v>
      </c>
      <c r="FR109" s="35" t="s">
        <v>419</v>
      </c>
      <c r="FS109" s="35" t="s">
        <v>4338</v>
      </c>
      <c r="FT109" s="35" t="s">
        <v>420</v>
      </c>
      <c r="FU109" s="35" t="s">
        <v>488</v>
      </c>
      <c r="FV109" s="35" t="s">
        <v>489</v>
      </c>
      <c r="FW109" s="35" t="s">
        <v>490</v>
      </c>
      <c r="FX109" s="35" t="s">
        <v>491</v>
      </c>
      <c r="FY109" s="35" t="s">
        <v>4339</v>
      </c>
      <c r="FZ109" s="35" t="s">
        <v>493</v>
      </c>
      <c r="GB109" s="35" t="s">
        <v>4340</v>
      </c>
      <c r="GC109" s="35" t="s">
        <v>455</v>
      </c>
      <c r="GD109" s="35" t="s">
        <v>12064</v>
      </c>
      <c r="GF109" s="35" t="s">
        <v>944</v>
      </c>
      <c r="GG109" s="35" t="s">
        <v>4341</v>
      </c>
      <c r="GH109" s="35" t="s">
        <v>857</v>
      </c>
      <c r="GI109" s="35" t="s">
        <v>857</v>
      </c>
      <c r="GJ109" s="35" t="s">
        <v>946</v>
      </c>
      <c r="GN109" s="35" t="s">
        <v>1079</v>
      </c>
      <c r="GR109" s="35" t="s">
        <v>3273</v>
      </c>
    </row>
    <row r="110">
      <c r="A110" s="40"/>
      <c r="B110" s="40">
        <v>45836.08061851852</v>
      </c>
      <c r="C110" s="35" t="s">
        <v>368</v>
      </c>
      <c r="D110" s="35" t="s">
        <v>370</v>
      </c>
      <c r="E110" s="35" t="s">
        <v>370</v>
      </c>
      <c r="F110" s="35" t="s">
        <v>3955</v>
      </c>
      <c r="G110" s="35" t="s">
        <v>2620</v>
      </c>
      <c r="H110" s="35" t="s">
        <v>1102</v>
      </c>
      <c r="I110" s="35" t="s">
        <v>373</v>
      </c>
      <c r="J110" s="35" t="s">
        <v>374</v>
      </c>
      <c r="K110" s="35" t="s">
        <v>590</v>
      </c>
      <c r="L110" s="35" t="s">
        <v>376</v>
      </c>
      <c r="M110" s="35" t="s">
        <v>379</v>
      </c>
      <c r="N110" s="35" t="s">
        <v>640</v>
      </c>
      <c r="O110" s="35" t="s">
        <v>379</v>
      </c>
      <c r="P110" s="35" t="s">
        <v>640</v>
      </c>
      <c r="Q110" s="35" t="s">
        <v>592</v>
      </c>
      <c r="R110" s="35" t="s">
        <v>382</v>
      </c>
      <c r="S110" s="35" t="s">
        <v>1704</v>
      </c>
      <c r="T110" s="35" t="s">
        <v>4383</v>
      </c>
      <c r="U110" s="35" t="s">
        <v>385</v>
      </c>
      <c r="X110" s="35" t="s">
        <v>3014</v>
      </c>
      <c r="AW110" s="35" t="s">
        <v>597</v>
      </c>
      <c r="AX110" s="35" t="s">
        <v>391</v>
      </c>
      <c r="AY110" s="41">
        <v>2.0</v>
      </c>
      <c r="AZ110" s="35" t="s">
        <v>429</v>
      </c>
      <c r="BA110" s="41">
        <v>2.0</v>
      </c>
      <c r="BB110" s="41">
        <v>4.0</v>
      </c>
      <c r="BC110" s="35" t="s">
        <v>391</v>
      </c>
      <c r="BD110" s="35" t="s">
        <v>4384</v>
      </c>
      <c r="BE110" s="35" t="s">
        <v>4385</v>
      </c>
      <c r="BF110" s="35" t="s">
        <v>432</v>
      </c>
      <c r="BG110" s="35" t="s">
        <v>433</v>
      </c>
      <c r="BH110" s="35" t="s">
        <v>765</v>
      </c>
      <c r="BJ110" s="35" t="s">
        <v>824</v>
      </c>
      <c r="BL110" s="35" t="s">
        <v>437</v>
      </c>
      <c r="BM110" s="35" t="s">
        <v>396</v>
      </c>
      <c r="BN110" s="35" t="s">
        <v>549</v>
      </c>
      <c r="BO110" s="35" t="s">
        <v>440</v>
      </c>
      <c r="CM110" s="35" t="s">
        <v>441</v>
      </c>
      <c r="CN110" s="35" t="s">
        <v>401</v>
      </c>
      <c r="CO110" s="35" t="s">
        <v>4386</v>
      </c>
      <c r="CP110" s="35" t="s">
        <v>4387</v>
      </c>
      <c r="CQ110" s="35" t="s">
        <v>403</v>
      </c>
      <c r="CR110" s="35" t="s">
        <v>4388</v>
      </c>
      <c r="CS110" s="35" t="s">
        <v>804</v>
      </c>
      <c r="CT110" s="35" t="s">
        <v>4389</v>
      </c>
      <c r="CU110" s="35" t="s">
        <v>4390</v>
      </c>
      <c r="CV110" s="35" t="s">
        <v>450</v>
      </c>
      <c r="CW110" s="35" t="s">
        <v>409</v>
      </c>
      <c r="CX110" s="35" t="s">
        <v>4391</v>
      </c>
      <c r="CY110" s="35" t="s">
        <v>733</v>
      </c>
      <c r="DA110" s="35" t="s">
        <v>985</v>
      </c>
      <c r="DB110" s="35" t="s">
        <v>4392</v>
      </c>
      <c r="DC110" s="35" t="s">
        <v>913</v>
      </c>
      <c r="DE110" s="35" t="s">
        <v>988</v>
      </c>
      <c r="DG110" s="35" t="s">
        <v>4393</v>
      </c>
      <c r="DH110" s="35" t="s">
        <v>524</v>
      </c>
      <c r="DI110" s="35" t="s">
        <v>1964</v>
      </c>
      <c r="DJ110" s="35" t="s">
        <v>459</v>
      </c>
      <c r="DK110" s="35" t="s">
        <v>460</v>
      </c>
      <c r="DL110" s="35" t="s">
        <v>1434</v>
      </c>
      <c r="DN110" s="35" t="s">
        <v>4394</v>
      </c>
      <c r="DO110" s="35" t="s">
        <v>4395</v>
      </c>
      <c r="DP110" s="35" t="s">
        <v>567</v>
      </c>
      <c r="DQ110" s="35" t="s">
        <v>4396</v>
      </c>
      <c r="DR110" s="35" t="s">
        <v>837</v>
      </c>
      <c r="DS110" s="35" t="s">
        <v>12065</v>
      </c>
      <c r="DT110" s="35" t="s">
        <v>618</v>
      </c>
      <c r="DU110" s="35" t="s">
        <v>570</v>
      </c>
      <c r="DV110" s="35" t="s">
        <v>4398</v>
      </c>
      <c r="DW110" s="35" t="s">
        <v>4399</v>
      </c>
      <c r="DX110" s="35" t="s">
        <v>622</v>
      </c>
      <c r="DY110" s="35" t="s">
        <v>4400</v>
      </c>
      <c r="DZ110" s="35" t="s">
        <v>4401</v>
      </c>
      <c r="EA110" s="35" t="s">
        <v>4402</v>
      </c>
      <c r="EB110" s="35" t="s">
        <v>2960</v>
      </c>
      <c r="EC110" s="35" t="s">
        <v>1183</v>
      </c>
      <c r="EU110" s="35" t="s">
        <v>2747</v>
      </c>
      <c r="EV110" s="35" t="s">
        <v>1037</v>
      </c>
      <c r="EW110" s="35" t="s">
        <v>480</v>
      </c>
      <c r="EY110" s="35" t="s">
        <v>4403</v>
      </c>
      <c r="EZ110" s="35" t="s">
        <v>4404</v>
      </c>
      <c r="FA110" s="35" t="s">
        <v>414</v>
      </c>
      <c r="FB110" s="35" t="s">
        <v>583</v>
      </c>
      <c r="FC110" s="35" t="s">
        <v>414</v>
      </c>
      <c r="FD110" s="35" t="s">
        <v>414</v>
      </c>
      <c r="FE110" s="35" t="s">
        <v>484</v>
      </c>
      <c r="FF110" s="35" t="s">
        <v>414</v>
      </c>
      <c r="FG110" s="35" t="s">
        <v>484</v>
      </c>
      <c r="FH110" s="35" t="s">
        <v>484</v>
      </c>
      <c r="FI110" s="35" t="s">
        <v>484</v>
      </c>
      <c r="FJ110" s="35" t="s">
        <v>414</v>
      </c>
      <c r="FK110" s="35" t="s">
        <v>583</v>
      </c>
      <c r="FL110" s="35" t="s">
        <v>484</v>
      </c>
      <c r="FM110" s="35" t="s">
        <v>484</v>
      </c>
      <c r="FN110" s="35" t="s">
        <v>484</v>
      </c>
      <c r="FO110" s="35" t="s">
        <v>484</v>
      </c>
      <c r="FP110" s="35" t="s">
        <v>417</v>
      </c>
      <c r="FQ110" s="35" t="s">
        <v>2524</v>
      </c>
      <c r="FR110" s="35" t="s">
        <v>630</v>
      </c>
      <c r="FS110" s="35" t="s">
        <v>4405</v>
      </c>
      <c r="FT110" s="35" t="s">
        <v>995</v>
      </c>
      <c r="FU110" s="35" t="s">
        <v>488</v>
      </c>
      <c r="FV110" s="35" t="s">
        <v>489</v>
      </c>
      <c r="FW110" s="35" t="s">
        <v>490</v>
      </c>
      <c r="FX110" s="35" t="s">
        <v>491</v>
      </c>
      <c r="FY110" s="35" t="s">
        <v>4406</v>
      </c>
      <c r="FZ110" s="35" t="s">
        <v>493</v>
      </c>
      <c r="GC110" s="35" t="s">
        <v>408</v>
      </c>
      <c r="GH110" s="35" t="s">
        <v>789</v>
      </c>
      <c r="GI110" s="35" t="s">
        <v>789</v>
      </c>
      <c r="GJ110" s="35" t="s">
        <v>790</v>
      </c>
      <c r="GN110" s="35" t="s">
        <v>1079</v>
      </c>
      <c r="GR110" s="35" t="s">
        <v>3208</v>
      </c>
    </row>
    <row r="111">
      <c r="A111" s="40"/>
      <c r="B111" s="40">
        <v>45836.46845483796</v>
      </c>
      <c r="C111" s="35" t="s">
        <v>368</v>
      </c>
      <c r="D111" s="35" t="s">
        <v>894</v>
      </c>
      <c r="E111" s="35" t="s">
        <v>894</v>
      </c>
      <c r="H111" s="35" t="s">
        <v>422</v>
      </c>
      <c r="I111" s="35" t="s">
        <v>373</v>
      </c>
      <c r="J111" s="35" t="s">
        <v>374</v>
      </c>
      <c r="K111" s="35" t="s">
        <v>425</v>
      </c>
      <c r="L111" s="35" t="s">
        <v>376</v>
      </c>
      <c r="M111" s="35" t="s">
        <v>670</v>
      </c>
      <c r="N111" s="35" t="s">
        <v>639</v>
      </c>
      <c r="O111" s="35" t="s">
        <v>670</v>
      </c>
      <c r="P111" s="35" t="s">
        <v>671</v>
      </c>
      <c r="Q111" s="35" t="s">
        <v>592</v>
      </c>
      <c r="R111" s="35" t="s">
        <v>862</v>
      </c>
      <c r="S111" s="35" t="s">
        <v>427</v>
      </c>
      <c r="T111" s="35" t="s">
        <v>384</v>
      </c>
      <c r="U111" s="35" t="s">
        <v>385</v>
      </c>
      <c r="V111" s="35" t="s">
        <v>1241</v>
      </c>
      <c r="W111" s="35" t="s">
        <v>1241</v>
      </c>
      <c r="X111" s="35" t="s">
        <v>3231</v>
      </c>
      <c r="AW111" s="35" t="s">
        <v>1310</v>
      </c>
      <c r="AX111" s="41">
        <v>2.0</v>
      </c>
      <c r="AY111" s="35" t="s">
        <v>429</v>
      </c>
      <c r="AZ111" s="41">
        <v>4.0</v>
      </c>
      <c r="BA111" s="41">
        <v>4.0</v>
      </c>
      <c r="BB111" s="41">
        <v>4.0</v>
      </c>
      <c r="BC111" s="35" t="s">
        <v>391</v>
      </c>
      <c r="BF111" s="35" t="s">
        <v>432</v>
      </c>
      <c r="BG111" s="35" t="s">
        <v>433</v>
      </c>
      <c r="BH111" s="35" t="s">
        <v>394</v>
      </c>
      <c r="BJ111" s="35" t="s">
        <v>824</v>
      </c>
      <c r="BL111" s="35" t="s">
        <v>602</v>
      </c>
      <c r="BN111" s="35" t="s">
        <v>1247</v>
      </c>
      <c r="BO111" s="35" t="s">
        <v>440</v>
      </c>
      <c r="CM111" s="35" t="s">
        <v>441</v>
      </c>
      <c r="CN111" s="35" t="s">
        <v>604</v>
      </c>
      <c r="CO111" s="35" t="s">
        <v>12066</v>
      </c>
      <c r="CP111" s="35" t="s">
        <v>12067</v>
      </c>
      <c r="CQ111" s="35" t="s">
        <v>685</v>
      </c>
      <c r="CR111" s="35" t="s">
        <v>1467</v>
      </c>
      <c r="CS111" s="35" t="s">
        <v>447</v>
      </c>
      <c r="CT111" s="35" t="s">
        <v>448</v>
      </c>
      <c r="CU111" s="35" t="s">
        <v>4439</v>
      </c>
      <c r="CV111" s="35" t="s">
        <v>1961</v>
      </c>
      <c r="CW111" s="35" t="s">
        <v>451</v>
      </c>
      <c r="CX111" s="35" t="s">
        <v>4440</v>
      </c>
      <c r="CY111" s="35" t="s">
        <v>408</v>
      </c>
      <c r="DA111" s="35" t="s">
        <v>453</v>
      </c>
      <c r="DB111" s="35" t="s">
        <v>12068</v>
      </c>
      <c r="DC111" s="35" t="s">
        <v>408</v>
      </c>
      <c r="DE111" s="35" t="s">
        <v>988</v>
      </c>
      <c r="DG111" s="35" t="s">
        <v>4442</v>
      </c>
      <c r="DH111" s="35" t="s">
        <v>561</v>
      </c>
      <c r="DI111" s="35" t="s">
        <v>410</v>
      </c>
      <c r="DJ111" s="35" t="s">
        <v>459</v>
      </c>
      <c r="DK111" s="35" t="s">
        <v>460</v>
      </c>
      <c r="DL111" s="35" t="s">
        <v>461</v>
      </c>
      <c r="DN111" s="35" t="s">
        <v>4443</v>
      </c>
      <c r="DO111" s="35" t="s">
        <v>4444</v>
      </c>
      <c r="DP111" s="35" t="s">
        <v>464</v>
      </c>
      <c r="DQ111" s="35" t="s">
        <v>4445</v>
      </c>
      <c r="DR111" s="35" t="s">
        <v>1578</v>
      </c>
      <c r="DS111" s="35" t="s">
        <v>4446</v>
      </c>
      <c r="DT111" s="35" t="s">
        <v>839</v>
      </c>
      <c r="DU111" s="35" t="s">
        <v>619</v>
      </c>
      <c r="DV111" s="35" t="s">
        <v>4447</v>
      </c>
      <c r="DW111" s="35" t="s">
        <v>12069</v>
      </c>
      <c r="DX111" s="35" t="s">
        <v>573</v>
      </c>
      <c r="DY111" s="35" t="s">
        <v>12070</v>
      </c>
      <c r="EA111" s="35" t="s">
        <v>4450</v>
      </c>
      <c r="EB111" s="35" t="s">
        <v>475</v>
      </c>
      <c r="EC111" s="35" t="s">
        <v>626</v>
      </c>
      <c r="ED111" s="35" t="s">
        <v>4451</v>
      </c>
      <c r="EU111" s="35" t="s">
        <v>526</v>
      </c>
      <c r="EV111" s="35" t="s">
        <v>479</v>
      </c>
      <c r="EW111" s="35" t="s">
        <v>480</v>
      </c>
      <c r="EY111" s="35" t="s">
        <v>4452</v>
      </c>
      <c r="EZ111" s="35" t="s">
        <v>4453</v>
      </c>
      <c r="FA111" s="35" t="s">
        <v>583</v>
      </c>
      <c r="FB111" s="35" t="s">
        <v>583</v>
      </c>
      <c r="FC111" s="35" t="s">
        <v>583</v>
      </c>
      <c r="FD111" s="35" t="s">
        <v>583</v>
      </c>
      <c r="FE111" s="35" t="s">
        <v>415</v>
      </c>
      <c r="FF111" s="35" t="s">
        <v>583</v>
      </c>
      <c r="FG111" s="35" t="s">
        <v>583</v>
      </c>
      <c r="FH111" s="35" t="s">
        <v>415</v>
      </c>
      <c r="FI111" s="35" t="s">
        <v>415</v>
      </c>
      <c r="FJ111" s="35" t="s">
        <v>583</v>
      </c>
      <c r="FK111" s="35" t="s">
        <v>583</v>
      </c>
      <c r="FL111" s="35" t="s">
        <v>415</v>
      </c>
      <c r="FM111" s="35" t="s">
        <v>415</v>
      </c>
      <c r="FN111" s="35" t="s">
        <v>413</v>
      </c>
      <c r="FO111" s="35" t="s">
        <v>415</v>
      </c>
      <c r="FP111" s="35" t="s">
        <v>417</v>
      </c>
      <c r="FQ111" s="35" t="s">
        <v>418</v>
      </c>
      <c r="FR111" s="35" t="s">
        <v>419</v>
      </c>
      <c r="FT111" s="35" t="s">
        <v>995</v>
      </c>
      <c r="FU111" s="35" t="s">
        <v>488</v>
      </c>
      <c r="FV111" s="35" t="s">
        <v>533</v>
      </c>
      <c r="FW111" s="35" t="s">
        <v>490</v>
      </c>
      <c r="FX111" s="35" t="s">
        <v>491</v>
      </c>
      <c r="FY111" s="35" t="s">
        <v>4454</v>
      </c>
      <c r="FZ111" s="35" t="s">
        <v>535</v>
      </c>
      <c r="GA111" s="35" t="s">
        <v>4455</v>
      </c>
      <c r="GC111" s="35" t="s">
        <v>455</v>
      </c>
      <c r="GD111" s="35" t="s">
        <v>12071</v>
      </c>
      <c r="GF111" s="35" t="s">
        <v>753</v>
      </c>
      <c r="GG111" s="35" t="s">
        <v>4456</v>
      </c>
      <c r="GH111" s="35" t="s">
        <v>755</v>
      </c>
      <c r="GI111" s="35" t="s">
        <v>755</v>
      </c>
      <c r="GJ111" s="35" t="s">
        <v>946</v>
      </c>
      <c r="GN111" s="35" t="s">
        <v>1079</v>
      </c>
      <c r="GQ111" s="35" t="s">
        <v>387</v>
      </c>
      <c r="GR111" s="35" t="s">
        <v>3208</v>
      </c>
    </row>
    <row r="112">
      <c r="A112" s="40"/>
      <c r="B112" s="40">
        <v>45837.65933071759</v>
      </c>
      <c r="C112" s="35" t="s">
        <v>368</v>
      </c>
      <c r="D112" s="35" t="s">
        <v>370</v>
      </c>
      <c r="E112" s="35" t="s">
        <v>370</v>
      </c>
      <c r="F112" s="35" t="s">
        <v>1421</v>
      </c>
      <c r="G112" s="35" t="s">
        <v>1421</v>
      </c>
      <c r="H112" s="35" t="s">
        <v>3187</v>
      </c>
      <c r="I112" s="35" t="s">
        <v>373</v>
      </c>
      <c r="J112" s="35" t="s">
        <v>374</v>
      </c>
      <c r="K112" s="35" t="s">
        <v>590</v>
      </c>
      <c r="L112" s="35" t="s">
        <v>376</v>
      </c>
      <c r="M112" s="35" t="s">
        <v>379</v>
      </c>
      <c r="N112" s="35" t="s">
        <v>378</v>
      </c>
      <c r="O112" s="35" t="s">
        <v>379</v>
      </c>
      <c r="P112" s="35" t="s">
        <v>380</v>
      </c>
      <c r="Q112" s="35" t="s">
        <v>498</v>
      </c>
      <c r="R112" s="35" t="s">
        <v>862</v>
      </c>
      <c r="S112" s="35" t="s">
        <v>2360</v>
      </c>
      <c r="T112" s="35" t="s">
        <v>1512</v>
      </c>
      <c r="U112" s="35" t="s">
        <v>385</v>
      </c>
      <c r="X112" s="35" t="s">
        <v>3014</v>
      </c>
      <c r="AW112" s="35" t="s">
        <v>1242</v>
      </c>
      <c r="AX112" s="35" t="s">
        <v>675</v>
      </c>
      <c r="AY112" s="35" t="s">
        <v>675</v>
      </c>
      <c r="AZ112" s="41">
        <v>4.0</v>
      </c>
      <c r="BA112" s="35" t="s">
        <v>675</v>
      </c>
      <c r="BB112" s="35" t="s">
        <v>675</v>
      </c>
      <c r="BC112" s="35" t="s">
        <v>675</v>
      </c>
      <c r="BD112" s="35" t="s">
        <v>2220</v>
      </c>
      <c r="BE112" s="35" t="s">
        <v>4615</v>
      </c>
      <c r="BF112" s="35" t="s">
        <v>2379</v>
      </c>
      <c r="BG112" s="35" t="s">
        <v>1047</v>
      </c>
      <c r="BH112" s="35" t="s">
        <v>434</v>
      </c>
      <c r="BI112" s="35" t="s">
        <v>4616</v>
      </c>
      <c r="BJ112" s="35" t="s">
        <v>976</v>
      </c>
      <c r="BL112" s="35" t="s">
        <v>602</v>
      </c>
      <c r="BM112" s="35" t="s">
        <v>904</v>
      </c>
      <c r="BN112" s="35" t="s">
        <v>1314</v>
      </c>
      <c r="BO112" s="35" t="s">
        <v>440</v>
      </c>
      <c r="CM112" s="35" t="s">
        <v>441</v>
      </c>
      <c r="CN112" s="35" t="s">
        <v>442</v>
      </c>
      <c r="CO112" s="35" t="s">
        <v>4617</v>
      </c>
      <c r="CP112" s="35" t="s">
        <v>12072</v>
      </c>
      <c r="CQ112" s="35" t="s">
        <v>685</v>
      </c>
      <c r="CR112" s="35" t="s">
        <v>956</v>
      </c>
      <c r="CS112" s="35" t="s">
        <v>804</v>
      </c>
      <c r="CT112" s="35" t="s">
        <v>1626</v>
      </c>
      <c r="CU112" s="35" t="s">
        <v>4619</v>
      </c>
      <c r="CV112" s="35" t="s">
        <v>1863</v>
      </c>
      <c r="CW112" s="35" t="s">
        <v>1931</v>
      </c>
      <c r="CX112" s="35" t="s">
        <v>4620</v>
      </c>
      <c r="CY112" s="35" t="s">
        <v>408</v>
      </c>
      <c r="DA112" s="35" t="s">
        <v>453</v>
      </c>
      <c r="DB112" s="35" t="s">
        <v>12073</v>
      </c>
      <c r="DC112" s="35" t="s">
        <v>408</v>
      </c>
      <c r="DE112" s="35" t="s">
        <v>406</v>
      </c>
      <c r="DF112" s="35" t="s">
        <v>407</v>
      </c>
      <c r="DG112" s="35" t="s">
        <v>4622</v>
      </c>
      <c r="DH112" s="35" t="s">
        <v>524</v>
      </c>
      <c r="DI112" s="35" t="s">
        <v>1220</v>
      </c>
      <c r="DJ112" s="35" t="s">
        <v>459</v>
      </c>
      <c r="DK112" s="35" t="s">
        <v>613</v>
      </c>
      <c r="DN112" s="35" t="s">
        <v>4623</v>
      </c>
      <c r="DO112" s="35" t="s">
        <v>4624</v>
      </c>
      <c r="DP112" s="35" t="s">
        <v>464</v>
      </c>
      <c r="DQ112" s="35" t="s">
        <v>4625</v>
      </c>
      <c r="DR112" s="35" t="s">
        <v>466</v>
      </c>
      <c r="DS112" s="35" t="s">
        <v>4626</v>
      </c>
      <c r="DT112" s="35" t="s">
        <v>618</v>
      </c>
      <c r="DU112" s="35" t="s">
        <v>619</v>
      </c>
      <c r="DV112" s="35" t="s">
        <v>4627</v>
      </c>
      <c r="DW112" s="35" t="s">
        <v>4628</v>
      </c>
      <c r="DX112" s="35" t="s">
        <v>1328</v>
      </c>
      <c r="DY112" s="35" t="s">
        <v>4629</v>
      </c>
      <c r="DZ112" s="35" t="s">
        <v>4630</v>
      </c>
      <c r="EA112" s="35" t="s">
        <v>12074</v>
      </c>
      <c r="EB112" s="35" t="s">
        <v>475</v>
      </c>
      <c r="EC112" s="35" t="s">
        <v>476</v>
      </c>
      <c r="ED112" s="35" t="s">
        <v>4632</v>
      </c>
      <c r="EU112" s="35" t="s">
        <v>526</v>
      </c>
      <c r="EV112" s="35" t="s">
        <v>479</v>
      </c>
      <c r="EW112" s="35" t="s">
        <v>480</v>
      </c>
      <c r="EY112" s="35" t="s">
        <v>12075</v>
      </c>
      <c r="EZ112" s="35" t="s">
        <v>12076</v>
      </c>
      <c r="FA112" s="35" t="s">
        <v>413</v>
      </c>
      <c r="FB112" s="35" t="s">
        <v>416</v>
      </c>
      <c r="FC112" s="35" t="s">
        <v>413</v>
      </c>
      <c r="FD112" s="35" t="s">
        <v>413</v>
      </c>
      <c r="FE112" s="35" t="s">
        <v>413</v>
      </c>
      <c r="FF112" s="35" t="s">
        <v>484</v>
      </c>
      <c r="FG112" s="35" t="s">
        <v>484</v>
      </c>
      <c r="FH112" s="35" t="s">
        <v>413</v>
      </c>
      <c r="FI112" s="35" t="s">
        <v>484</v>
      </c>
      <c r="FJ112" s="35" t="s">
        <v>414</v>
      </c>
      <c r="FK112" s="35" t="s">
        <v>416</v>
      </c>
      <c r="FL112" s="35" t="s">
        <v>414</v>
      </c>
      <c r="FM112" s="35" t="s">
        <v>414</v>
      </c>
      <c r="FN112" s="35" t="s">
        <v>413</v>
      </c>
      <c r="FO112" s="35" t="s">
        <v>484</v>
      </c>
      <c r="FP112" s="35" t="s">
        <v>417</v>
      </c>
      <c r="FQ112" s="35" t="s">
        <v>418</v>
      </c>
      <c r="FR112" s="35" t="s">
        <v>1039</v>
      </c>
      <c r="FS112" s="35" t="s">
        <v>12077</v>
      </c>
      <c r="FT112" s="35" t="s">
        <v>420</v>
      </c>
      <c r="FU112" s="35" t="s">
        <v>488</v>
      </c>
      <c r="FV112" s="35" t="s">
        <v>489</v>
      </c>
      <c r="FW112" s="35" t="s">
        <v>490</v>
      </c>
      <c r="FX112" s="35" t="s">
        <v>491</v>
      </c>
      <c r="FY112" s="35" t="s">
        <v>4636</v>
      </c>
      <c r="FZ112" s="35" t="s">
        <v>535</v>
      </c>
      <c r="GC112" s="35" t="s">
        <v>455</v>
      </c>
      <c r="GD112" s="35" t="s">
        <v>12078</v>
      </c>
      <c r="GF112" s="35" t="s">
        <v>753</v>
      </c>
      <c r="GG112" s="35" t="s">
        <v>12079</v>
      </c>
      <c r="GH112" s="35" t="s">
        <v>857</v>
      </c>
      <c r="GI112" s="35" t="s">
        <v>857</v>
      </c>
      <c r="GJ112" s="35" t="s">
        <v>858</v>
      </c>
      <c r="GN112" s="35" t="s">
        <v>1079</v>
      </c>
      <c r="GR112" s="35" t="s">
        <v>3351</v>
      </c>
    </row>
    <row r="113">
      <c r="A113" s="40"/>
      <c r="B113" s="40">
        <v>45838.70387729167</v>
      </c>
      <c r="C113" s="35" t="s">
        <v>368</v>
      </c>
      <c r="D113" s="35" t="s">
        <v>370</v>
      </c>
      <c r="E113" s="35" t="s">
        <v>370</v>
      </c>
      <c r="F113" s="35" t="s">
        <v>2376</v>
      </c>
      <c r="G113" s="35" t="s">
        <v>667</v>
      </c>
      <c r="H113" s="35" t="s">
        <v>422</v>
      </c>
      <c r="I113" s="35" t="s">
        <v>1203</v>
      </c>
      <c r="J113" s="35" t="s">
        <v>638</v>
      </c>
      <c r="K113" s="35" t="s">
        <v>590</v>
      </c>
      <c r="L113" s="35" t="s">
        <v>376</v>
      </c>
      <c r="M113" s="35" t="s">
        <v>591</v>
      </c>
      <c r="N113" s="35" t="s">
        <v>720</v>
      </c>
      <c r="O113" s="35" t="s">
        <v>426</v>
      </c>
      <c r="P113" s="35" t="s">
        <v>380</v>
      </c>
      <c r="Q113" s="35" t="s">
        <v>498</v>
      </c>
      <c r="R113" s="35" t="s">
        <v>382</v>
      </c>
      <c r="S113" s="35" t="s">
        <v>500</v>
      </c>
      <c r="T113" s="35" t="s">
        <v>384</v>
      </c>
      <c r="U113" s="35" t="s">
        <v>385</v>
      </c>
      <c r="X113" s="35" t="s">
        <v>3014</v>
      </c>
      <c r="AW113" s="35" t="s">
        <v>1310</v>
      </c>
      <c r="AX113" s="41">
        <v>4.0</v>
      </c>
      <c r="AY113" s="41">
        <v>2.0</v>
      </c>
      <c r="AZ113" s="35" t="s">
        <v>391</v>
      </c>
      <c r="BA113" s="35" t="s">
        <v>429</v>
      </c>
      <c r="BB113" s="35" t="s">
        <v>429</v>
      </c>
      <c r="BC113" s="41">
        <v>2.0</v>
      </c>
      <c r="BD113" s="35" t="s">
        <v>4654</v>
      </c>
      <c r="BE113" s="35" t="s">
        <v>4655</v>
      </c>
      <c r="BF113" s="35" t="s">
        <v>432</v>
      </c>
      <c r="BG113" s="35" t="s">
        <v>393</v>
      </c>
      <c r="BH113" s="35" t="s">
        <v>725</v>
      </c>
      <c r="BI113" s="35" t="s">
        <v>4656</v>
      </c>
      <c r="BJ113" s="35" t="s">
        <v>824</v>
      </c>
      <c r="BL113" s="35" t="s">
        <v>681</v>
      </c>
      <c r="BM113" s="35" t="s">
        <v>396</v>
      </c>
      <c r="BN113" s="35" t="s">
        <v>549</v>
      </c>
      <c r="BO113" s="35" t="s">
        <v>440</v>
      </c>
      <c r="CY113" s="35" t="s">
        <v>408</v>
      </c>
      <c r="DA113" s="35" t="s">
        <v>985</v>
      </c>
      <c r="DC113" s="35" t="s">
        <v>408</v>
      </c>
      <c r="DE113" s="35" t="s">
        <v>988</v>
      </c>
      <c r="DF113" s="35" t="s">
        <v>407</v>
      </c>
      <c r="DH113" s="35" t="s">
        <v>561</v>
      </c>
      <c r="DI113" s="35" t="s">
        <v>410</v>
      </c>
      <c r="DJ113" s="35" t="s">
        <v>777</v>
      </c>
      <c r="DK113" s="35" t="s">
        <v>613</v>
      </c>
      <c r="DN113" s="35" t="s">
        <v>4657</v>
      </c>
      <c r="DO113" s="35" t="s">
        <v>4658</v>
      </c>
      <c r="DP113" s="35" t="s">
        <v>464</v>
      </c>
      <c r="DQ113" s="35" t="s">
        <v>4659</v>
      </c>
      <c r="DR113" s="35" t="s">
        <v>1176</v>
      </c>
      <c r="DS113" s="35" t="s">
        <v>4660</v>
      </c>
      <c r="DT113" s="35" t="s">
        <v>839</v>
      </c>
      <c r="DU113" s="35" t="s">
        <v>3611</v>
      </c>
      <c r="DV113" s="35" t="s">
        <v>4661</v>
      </c>
      <c r="DW113" s="35" t="s">
        <v>4661</v>
      </c>
      <c r="DX113" s="35" t="s">
        <v>396</v>
      </c>
      <c r="DY113" s="35" t="s">
        <v>4662</v>
      </c>
      <c r="EA113" s="35" t="s">
        <v>4663</v>
      </c>
      <c r="EB113" s="35" t="s">
        <v>475</v>
      </c>
      <c r="EC113" s="35" t="s">
        <v>626</v>
      </c>
      <c r="EU113" s="35" t="s">
        <v>526</v>
      </c>
      <c r="EV113" s="35" t="s">
        <v>479</v>
      </c>
      <c r="EW113" s="35" t="s">
        <v>1262</v>
      </c>
      <c r="EY113" s="35" t="s">
        <v>4664</v>
      </c>
      <c r="EZ113" s="35" t="s">
        <v>4665</v>
      </c>
      <c r="FA113" s="35" t="s">
        <v>415</v>
      </c>
      <c r="FB113" s="35" t="s">
        <v>583</v>
      </c>
      <c r="FC113" s="35" t="s">
        <v>413</v>
      </c>
      <c r="FD113" s="35" t="s">
        <v>413</v>
      </c>
      <c r="FE113" s="35" t="s">
        <v>413</v>
      </c>
      <c r="FF113" s="35" t="s">
        <v>583</v>
      </c>
      <c r="FG113" s="35" t="s">
        <v>415</v>
      </c>
      <c r="FH113" s="35" t="s">
        <v>413</v>
      </c>
      <c r="FI113" s="35" t="s">
        <v>583</v>
      </c>
      <c r="FJ113" s="35" t="s">
        <v>583</v>
      </c>
      <c r="FK113" s="35" t="s">
        <v>415</v>
      </c>
      <c r="FL113" s="35" t="s">
        <v>484</v>
      </c>
      <c r="FM113" s="35" t="s">
        <v>484</v>
      </c>
      <c r="FN113" s="35" t="s">
        <v>416</v>
      </c>
      <c r="FO113" s="35" t="s">
        <v>414</v>
      </c>
      <c r="FP113" s="35" t="s">
        <v>1074</v>
      </c>
      <c r="FQ113" s="35" t="s">
        <v>418</v>
      </c>
      <c r="FS113" s="35" t="s">
        <v>4666</v>
      </c>
      <c r="FT113" s="35" t="s">
        <v>420</v>
      </c>
      <c r="FU113" s="35" t="s">
        <v>488</v>
      </c>
      <c r="FV113" s="35" t="s">
        <v>533</v>
      </c>
      <c r="FW113" s="35" t="s">
        <v>490</v>
      </c>
      <c r="FX113" s="35" t="s">
        <v>491</v>
      </c>
      <c r="FY113" s="35" t="s">
        <v>4667</v>
      </c>
      <c r="FZ113" s="35" t="s">
        <v>535</v>
      </c>
      <c r="GC113" s="35" t="s">
        <v>408</v>
      </c>
      <c r="GH113" s="35" t="s">
        <v>755</v>
      </c>
      <c r="GI113" s="35" t="s">
        <v>755</v>
      </c>
      <c r="GJ113" s="35" t="s">
        <v>946</v>
      </c>
      <c r="GN113" s="35" t="s">
        <v>1079</v>
      </c>
      <c r="GR113" s="35" t="s">
        <v>3208</v>
      </c>
    </row>
    <row r="114">
      <c r="A114" s="40"/>
      <c r="B114" s="40">
        <v>45840.28386831019</v>
      </c>
      <c r="C114" s="35" t="s">
        <v>368</v>
      </c>
      <c r="D114" s="35" t="s">
        <v>4707</v>
      </c>
      <c r="E114" s="35" t="s">
        <v>4707</v>
      </c>
      <c r="H114" s="35" t="s">
        <v>372</v>
      </c>
      <c r="I114" s="35" t="s">
        <v>373</v>
      </c>
      <c r="J114" s="35" t="s">
        <v>374</v>
      </c>
      <c r="K114" s="35" t="s">
        <v>375</v>
      </c>
      <c r="L114" s="35" t="s">
        <v>376</v>
      </c>
      <c r="M114" s="35" t="s">
        <v>591</v>
      </c>
      <c r="N114" s="35" t="s">
        <v>639</v>
      </c>
      <c r="O114" s="35" t="s">
        <v>670</v>
      </c>
      <c r="P114" s="35" t="s">
        <v>719</v>
      </c>
      <c r="Q114" s="35" t="s">
        <v>1504</v>
      </c>
      <c r="R114" s="35" t="s">
        <v>499</v>
      </c>
      <c r="S114" s="35" t="s">
        <v>1197</v>
      </c>
      <c r="T114" s="35" t="s">
        <v>384</v>
      </c>
      <c r="U114" s="35" t="s">
        <v>385</v>
      </c>
      <c r="X114" s="35" t="s">
        <v>386</v>
      </c>
      <c r="Y114" s="35" t="s">
        <v>387</v>
      </c>
      <c r="Z114" s="35" t="s">
        <v>388</v>
      </c>
      <c r="AA114" s="35" t="s">
        <v>389</v>
      </c>
      <c r="AB114" s="35" t="s">
        <v>2675</v>
      </c>
      <c r="AC114" s="35" t="s">
        <v>2675</v>
      </c>
      <c r="AW114" s="35" t="s">
        <v>597</v>
      </c>
      <c r="AX114" s="35" t="s">
        <v>675</v>
      </c>
      <c r="AY114" s="41">
        <v>4.0</v>
      </c>
      <c r="AZ114" s="41">
        <v>4.0</v>
      </c>
      <c r="BA114" s="35" t="s">
        <v>391</v>
      </c>
      <c r="BB114" s="35" t="s">
        <v>391</v>
      </c>
      <c r="BC114" s="35" t="s">
        <v>391</v>
      </c>
      <c r="BD114" s="35" t="s">
        <v>4708</v>
      </c>
      <c r="BE114" s="35" t="s">
        <v>4709</v>
      </c>
      <c r="BF114" s="35" t="s">
        <v>432</v>
      </c>
      <c r="BG114" s="35" t="s">
        <v>433</v>
      </c>
      <c r="BH114" s="35" t="s">
        <v>678</v>
      </c>
      <c r="BJ114" s="35" t="s">
        <v>435</v>
      </c>
      <c r="BK114" s="35" t="s">
        <v>4710</v>
      </c>
      <c r="BL114" s="35" t="s">
        <v>437</v>
      </c>
      <c r="BM114" s="35" t="s">
        <v>904</v>
      </c>
      <c r="BN114" s="35" t="s">
        <v>397</v>
      </c>
      <c r="BO114" s="35" t="s">
        <v>440</v>
      </c>
      <c r="CM114" s="35" t="s">
        <v>550</v>
      </c>
      <c r="CN114" s="35" t="s">
        <v>401</v>
      </c>
      <c r="CO114" s="35" t="s">
        <v>4711</v>
      </c>
      <c r="CP114" s="35" t="s">
        <v>4712</v>
      </c>
      <c r="CQ114" s="35" t="s">
        <v>685</v>
      </c>
      <c r="CR114" s="35" t="s">
        <v>4713</v>
      </c>
      <c r="CS114" s="35" t="s">
        <v>804</v>
      </c>
      <c r="CT114" s="35" t="s">
        <v>4714</v>
      </c>
      <c r="CU114" s="35" t="s">
        <v>4715</v>
      </c>
      <c r="CV114" s="35" t="s">
        <v>519</v>
      </c>
      <c r="CW114" s="35" t="s">
        <v>451</v>
      </c>
      <c r="CX114" s="35" t="s">
        <v>4716</v>
      </c>
      <c r="CY114" s="35" t="s">
        <v>408</v>
      </c>
      <c r="DA114" s="35" t="s">
        <v>985</v>
      </c>
      <c r="DB114" s="35" t="s">
        <v>4717</v>
      </c>
      <c r="DC114" s="35" t="s">
        <v>408</v>
      </c>
      <c r="DE114" s="35" t="s">
        <v>988</v>
      </c>
      <c r="DG114" s="35" t="s">
        <v>4718</v>
      </c>
      <c r="DH114" s="35" t="s">
        <v>524</v>
      </c>
      <c r="DI114" s="35" t="s">
        <v>410</v>
      </c>
      <c r="DJ114" s="35" t="s">
        <v>963</v>
      </c>
      <c r="DK114" s="35" t="s">
        <v>562</v>
      </c>
      <c r="DL114" s="35" t="s">
        <v>563</v>
      </c>
      <c r="DM114" s="35" t="s">
        <v>4719</v>
      </c>
      <c r="DN114" s="35" t="s">
        <v>4720</v>
      </c>
      <c r="DO114" s="35" t="s">
        <v>4721</v>
      </c>
      <c r="DP114" s="35" t="s">
        <v>567</v>
      </c>
      <c r="DQ114" s="35" t="s">
        <v>4722</v>
      </c>
      <c r="DR114" s="35" t="s">
        <v>837</v>
      </c>
      <c r="DS114" s="35" t="s">
        <v>4723</v>
      </c>
      <c r="DT114" s="35" t="s">
        <v>618</v>
      </c>
      <c r="DU114" s="35" t="s">
        <v>619</v>
      </c>
      <c r="DV114" s="35" t="s">
        <v>4724</v>
      </c>
      <c r="DW114" s="35" t="s">
        <v>4725</v>
      </c>
      <c r="DX114" s="35" t="s">
        <v>622</v>
      </c>
      <c r="DY114" s="35" t="s">
        <v>4726</v>
      </c>
      <c r="DZ114" s="35" t="s">
        <v>4727</v>
      </c>
      <c r="EA114" s="35" t="s">
        <v>12080</v>
      </c>
      <c r="EB114" s="35" t="s">
        <v>475</v>
      </c>
      <c r="EC114" s="35" t="s">
        <v>845</v>
      </c>
      <c r="ED114" s="35" t="s">
        <v>4729</v>
      </c>
      <c r="EU114" s="35" t="s">
        <v>526</v>
      </c>
      <c r="EV114" s="35" t="s">
        <v>579</v>
      </c>
      <c r="EW114" s="35" t="s">
        <v>480</v>
      </c>
      <c r="EX114" s="35" t="s">
        <v>4730</v>
      </c>
      <c r="EY114" s="35" t="s">
        <v>4731</v>
      </c>
      <c r="EZ114" s="35" t="s">
        <v>4731</v>
      </c>
      <c r="FA114" s="35" t="s">
        <v>416</v>
      </c>
      <c r="FB114" s="35" t="s">
        <v>415</v>
      </c>
      <c r="FC114" s="35" t="s">
        <v>413</v>
      </c>
      <c r="FD114" s="35" t="s">
        <v>413</v>
      </c>
      <c r="FE114" s="35" t="s">
        <v>413</v>
      </c>
      <c r="FF114" s="35" t="s">
        <v>414</v>
      </c>
      <c r="FG114" s="35" t="s">
        <v>416</v>
      </c>
      <c r="FH114" s="35" t="s">
        <v>413</v>
      </c>
      <c r="FI114" s="35" t="s">
        <v>415</v>
      </c>
      <c r="FJ114" s="35" t="s">
        <v>413</v>
      </c>
      <c r="FK114" s="35" t="s">
        <v>416</v>
      </c>
      <c r="FL114" s="35" t="s">
        <v>415</v>
      </c>
      <c r="FM114" s="35" t="s">
        <v>415</v>
      </c>
      <c r="FN114" s="35" t="s">
        <v>415</v>
      </c>
      <c r="FO114" s="35" t="s">
        <v>415</v>
      </c>
      <c r="FP114" s="35" t="s">
        <v>485</v>
      </c>
      <c r="FQ114" s="35" t="s">
        <v>418</v>
      </c>
      <c r="FR114" s="35" t="s">
        <v>1039</v>
      </c>
      <c r="FT114" s="35" t="s">
        <v>420</v>
      </c>
      <c r="FU114" s="35" t="s">
        <v>2750</v>
      </c>
      <c r="FV114" s="35" t="s">
        <v>1235</v>
      </c>
      <c r="FW114" s="35" t="s">
        <v>490</v>
      </c>
      <c r="FX114" s="35" t="s">
        <v>491</v>
      </c>
      <c r="FY114" s="35" t="s">
        <v>4732</v>
      </c>
      <c r="FZ114" s="35" t="s">
        <v>535</v>
      </c>
      <c r="GA114" s="35" t="s">
        <v>4733</v>
      </c>
      <c r="GC114" s="35" t="s">
        <v>455</v>
      </c>
      <c r="GD114" s="35" t="s">
        <v>12081</v>
      </c>
      <c r="GF114" s="35" t="s">
        <v>944</v>
      </c>
      <c r="GG114" s="35" t="s">
        <v>4734</v>
      </c>
      <c r="GH114" s="35" t="s">
        <v>755</v>
      </c>
      <c r="GI114" s="35" t="s">
        <v>755</v>
      </c>
      <c r="GJ114" s="35" t="s">
        <v>946</v>
      </c>
      <c r="GN114" s="35" t="s">
        <v>1079</v>
      </c>
      <c r="GR114" s="35" t="s">
        <v>3208</v>
      </c>
    </row>
    <row r="115">
      <c r="A115" s="40"/>
      <c r="B115" s="40">
        <v>45842.01290361111</v>
      </c>
      <c r="C115" s="35" t="s">
        <v>368</v>
      </c>
      <c r="D115" s="35" t="s">
        <v>370</v>
      </c>
      <c r="E115" s="35" t="s">
        <v>370</v>
      </c>
      <c r="F115" s="35" t="s">
        <v>2114</v>
      </c>
      <c r="G115" s="35" t="s">
        <v>2114</v>
      </c>
      <c r="H115" s="35" t="s">
        <v>422</v>
      </c>
      <c r="I115" s="35" t="s">
        <v>539</v>
      </c>
      <c r="J115" s="35" t="s">
        <v>424</v>
      </c>
      <c r="K115" s="35" t="s">
        <v>425</v>
      </c>
      <c r="L115" s="35" t="s">
        <v>376</v>
      </c>
      <c r="M115" s="35" t="s">
        <v>591</v>
      </c>
      <c r="N115" s="35" t="s">
        <v>639</v>
      </c>
      <c r="O115" s="35" t="s">
        <v>793</v>
      </c>
      <c r="P115" s="35" t="s">
        <v>639</v>
      </c>
      <c r="Q115" s="35" t="s">
        <v>498</v>
      </c>
      <c r="R115" s="35" t="s">
        <v>862</v>
      </c>
      <c r="S115" s="35" t="s">
        <v>949</v>
      </c>
      <c r="T115" s="35" t="s">
        <v>4742</v>
      </c>
      <c r="U115" s="35" t="s">
        <v>385</v>
      </c>
      <c r="X115" s="35" t="s">
        <v>386</v>
      </c>
      <c r="Y115" s="35" t="s">
        <v>387</v>
      </c>
      <c r="Z115" s="35" t="s">
        <v>897</v>
      </c>
      <c r="AA115" s="35" t="s">
        <v>543</v>
      </c>
      <c r="AB115" s="35" t="s">
        <v>4743</v>
      </c>
      <c r="AC115" s="35" t="s">
        <v>4744</v>
      </c>
      <c r="AW115" s="35" t="s">
        <v>597</v>
      </c>
      <c r="AX115" s="41">
        <v>2.0</v>
      </c>
      <c r="AY115" s="41">
        <v>2.0</v>
      </c>
      <c r="AZ115" s="35" t="s">
        <v>391</v>
      </c>
      <c r="BA115" s="41">
        <v>2.0</v>
      </c>
      <c r="BB115" s="35" t="s">
        <v>391</v>
      </c>
      <c r="BC115" s="41">
        <v>2.0</v>
      </c>
      <c r="BD115" s="35" t="s">
        <v>4745</v>
      </c>
      <c r="BE115" s="35" t="s">
        <v>4746</v>
      </c>
      <c r="BF115" s="35" t="s">
        <v>392</v>
      </c>
      <c r="BG115" s="35" t="s">
        <v>433</v>
      </c>
      <c r="BH115" s="35" t="s">
        <v>434</v>
      </c>
      <c r="BI115" s="35" t="s">
        <v>12082</v>
      </c>
      <c r="BJ115" s="35" t="s">
        <v>435</v>
      </c>
      <c r="BK115" s="35" t="s">
        <v>12083</v>
      </c>
      <c r="BL115" s="35" t="s">
        <v>437</v>
      </c>
      <c r="BM115" s="35" t="s">
        <v>603</v>
      </c>
      <c r="BN115" s="35" t="s">
        <v>549</v>
      </c>
      <c r="BO115" s="35" t="s">
        <v>440</v>
      </c>
      <c r="CM115" s="35" t="s">
        <v>441</v>
      </c>
      <c r="CN115" s="35" t="s">
        <v>401</v>
      </c>
      <c r="CO115" s="35" t="s">
        <v>12084</v>
      </c>
      <c r="CP115" s="35" t="s">
        <v>4750</v>
      </c>
      <c r="CQ115" s="35" t="s">
        <v>685</v>
      </c>
      <c r="CR115" s="35" t="s">
        <v>4751</v>
      </c>
      <c r="CS115" s="35" t="s">
        <v>447</v>
      </c>
      <c r="CT115" s="35" t="s">
        <v>2684</v>
      </c>
      <c r="CU115" s="35" t="s">
        <v>4752</v>
      </c>
      <c r="CV115" s="35" t="s">
        <v>519</v>
      </c>
      <c r="CW115" s="35" t="s">
        <v>451</v>
      </c>
      <c r="CX115" s="35" t="s">
        <v>4753</v>
      </c>
      <c r="CY115" s="35" t="s">
        <v>408</v>
      </c>
      <c r="DA115" s="35" t="s">
        <v>985</v>
      </c>
      <c r="DB115" s="35" t="s">
        <v>4754</v>
      </c>
      <c r="DC115" s="35" t="s">
        <v>408</v>
      </c>
      <c r="DD115" s="35" t="s">
        <v>4755</v>
      </c>
      <c r="DE115" s="35" t="s">
        <v>988</v>
      </c>
      <c r="DF115" s="35" t="s">
        <v>691</v>
      </c>
      <c r="DG115" s="35" t="s">
        <v>12085</v>
      </c>
      <c r="DH115" s="35" t="s">
        <v>561</v>
      </c>
      <c r="DI115" s="35" t="s">
        <v>1220</v>
      </c>
      <c r="DJ115" s="35" t="s">
        <v>963</v>
      </c>
      <c r="DK115" s="35" t="s">
        <v>613</v>
      </c>
      <c r="DN115" s="35" t="s">
        <v>4757</v>
      </c>
      <c r="DO115" s="35" t="s">
        <v>4758</v>
      </c>
      <c r="DP115" s="35" t="s">
        <v>3496</v>
      </c>
      <c r="DQ115" s="35" t="s">
        <v>4759</v>
      </c>
      <c r="DR115" s="35" t="s">
        <v>1176</v>
      </c>
      <c r="DS115" s="35" t="s">
        <v>4760</v>
      </c>
      <c r="DT115" s="35" t="s">
        <v>839</v>
      </c>
      <c r="DU115" s="35" t="s">
        <v>703</v>
      </c>
      <c r="DV115" s="35" t="s">
        <v>4761</v>
      </c>
      <c r="DW115" s="35" t="s">
        <v>4762</v>
      </c>
      <c r="DX115" s="35" t="s">
        <v>573</v>
      </c>
      <c r="DY115" s="35" t="s">
        <v>12086</v>
      </c>
      <c r="DZ115" s="35" t="s">
        <v>4764</v>
      </c>
      <c r="EA115" s="35" t="s">
        <v>4765</v>
      </c>
      <c r="EB115" s="35" t="s">
        <v>1413</v>
      </c>
      <c r="EC115" s="35" t="s">
        <v>476</v>
      </c>
      <c r="ED115" s="35" t="s">
        <v>4766</v>
      </c>
      <c r="EU115" s="35" t="s">
        <v>478</v>
      </c>
      <c r="EV115" s="35" t="s">
        <v>479</v>
      </c>
      <c r="EW115" s="35" t="s">
        <v>480</v>
      </c>
      <c r="EX115" s="35" t="s">
        <v>4767</v>
      </c>
      <c r="EY115" s="35" t="s">
        <v>4768</v>
      </c>
      <c r="EZ115" s="35" t="s">
        <v>12087</v>
      </c>
      <c r="FA115" s="35" t="s">
        <v>414</v>
      </c>
      <c r="FB115" s="35" t="s">
        <v>414</v>
      </c>
      <c r="FC115" s="35" t="s">
        <v>414</v>
      </c>
      <c r="FD115" s="35" t="s">
        <v>414</v>
      </c>
      <c r="FE115" s="35" t="s">
        <v>416</v>
      </c>
      <c r="FF115" s="35" t="s">
        <v>414</v>
      </c>
      <c r="FG115" s="35" t="s">
        <v>415</v>
      </c>
      <c r="FH115" s="35" t="s">
        <v>416</v>
      </c>
      <c r="FI115" s="35" t="s">
        <v>414</v>
      </c>
      <c r="FJ115" s="35" t="s">
        <v>414</v>
      </c>
      <c r="FK115" s="35" t="s">
        <v>414</v>
      </c>
      <c r="FL115" s="35" t="s">
        <v>484</v>
      </c>
      <c r="FM115" s="35" t="s">
        <v>414</v>
      </c>
      <c r="FN115" s="35" t="s">
        <v>416</v>
      </c>
      <c r="FO115" s="35" t="s">
        <v>414</v>
      </c>
      <c r="FP115" s="35" t="s">
        <v>850</v>
      </c>
      <c r="FQ115" s="35" t="s">
        <v>418</v>
      </c>
      <c r="FR115" s="35" t="s">
        <v>749</v>
      </c>
      <c r="FS115" s="35" t="s">
        <v>12088</v>
      </c>
      <c r="FT115" s="35" t="s">
        <v>1189</v>
      </c>
      <c r="FU115" s="35" t="s">
        <v>488</v>
      </c>
      <c r="FV115" s="35" t="s">
        <v>489</v>
      </c>
      <c r="FW115" s="35" t="s">
        <v>490</v>
      </c>
      <c r="FX115" s="35" t="s">
        <v>491</v>
      </c>
      <c r="FY115" s="35" t="s">
        <v>12089</v>
      </c>
      <c r="FZ115" s="35" t="s">
        <v>535</v>
      </c>
      <c r="GA115" s="35" t="s">
        <v>12090</v>
      </c>
      <c r="GB115" s="35" t="s">
        <v>12091</v>
      </c>
      <c r="GC115" s="35" t="s">
        <v>455</v>
      </c>
      <c r="GD115" s="35" t="s">
        <v>12092</v>
      </c>
      <c r="GF115" s="35" t="s">
        <v>855</v>
      </c>
      <c r="GH115" s="35" t="s">
        <v>789</v>
      </c>
      <c r="GI115" s="35" t="s">
        <v>920</v>
      </c>
      <c r="GJ115" s="35" t="s">
        <v>858</v>
      </c>
      <c r="GN115" s="35" t="s">
        <v>1079</v>
      </c>
      <c r="GR115" s="35" t="s">
        <v>3208</v>
      </c>
      <c r="GU115" s="35" t="s">
        <v>4774</v>
      </c>
      <c r="GV115" s="35" t="s">
        <v>4775</v>
      </c>
    </row>
    <row r="116">
      <c r="A116" s="40"/>
      <c r="B116" s="40">
        <v>45853.917537939815</v>
      </c>
      <c r="C116" s="35" t="s">
        <v>368</v>
      </c>
      <c r="D116" s="35" t="s">
        <v>370</v>
      </c>
      <c r="E116" s="35" t="s">
        <v>370</v>
      </c>
      <c r="F116" s="35" t="s">
        <v>1510</v>
      </c>
      <c r="G116" s="35" t="s">
        <v>1421</v>
      </c>
      <c r="H116" s="35" t="s">
        <v>5083</v>
      </c>
      <c r="I116" s="35" t="s">
        <v>373</v>
      </c>
      <c r="J116" s="35" t="s">
        <v>374</v>
      </c>
      <c r="K116" s="35" t="s">
        <v>375</v>
      </c>
      <c r="L116" s="35" t="s">
        <v>376</v>
      </c>
      <c r="M116" s="35" t="s">
        <v>793</v>
      </c>
      <c r="N116" s="35" t="s">
        <v>720</v>
      </c>
      <c r="O116" s="35" t="s">
        <v>793</v>
      </c>
      <c r="P116" s="35" t="s">
        <v>719</v>
      </c>
      <c r="Q116" s="35" t="s">
        <v>592</v>
      </c>
      <c r="R116" s="35" t="s">
        <v>499</v>
      </c>
      <c r="S116" s="35" t="s">
        <v>500</v>
      </c>
      <c r="T116" s="35" t="s">
        <v>384</v>
      </c>
      <c r="U116" s="35" t="s">
        <v>385</v>
      </c>
      <c r="X116" s="35" t="s">
        <v>386</v>
      </c>
      <c r="Y116" s="35" t="s">
        <v>387</v>
      </c>
      <c r="Z116" s="35" t="s">
        <v>897</v>
      </c>
      <c r="AA116" s="35" t="s">
        <v>543</v>
      </c>
      <c r="AB116" s="35" t="s">
        <v>5084</v>
      </c>
      <c r="AC116" s="35" t="s">
        <v>5085</v>
      </c>
      <c r="AW116" s="35" t="s">
        <v>390</v>
      </c>
      <c r="AX116" s="35" t="s">
        <v>391</v>
      </c>
      <c r="AY116" s="35" t="s">
        <v>429</v>
      </c>
      <c r="AZ116" s="41">
        <v>2.0</v>
      </c>
      <c r="BA116" s="35" t="s">
        <v>429</v>
      </c>
      <c r="BB116" s="35" t="s">
        <v>391</v>
      </c>
      <c r="BC116" s="35" t="s">
        <v>391</v>
      </c>
      <c r="BD116" s="35" t="s">
        <v>5086</v>
      </c>
      <c r="BE116" s="35" t="s">
        <v>5087</v>
      </c>
      <c r="BF116" s="35" t="s">
        <v>392</v>
      </c>
      <c r="BG116" s="35" t="s">
        <v>433</v>
      </c>
      <c r="BH116" s="35" t="s">
        <v>394</v>
      </c>
      <c r="BI116" s="35" t="s">
        <v>5088</v>
      </c>
      <c r="BJ116" s="35" t="s">
        <v>976</v>
      </c>
      <c r="BK116" s="35" t="s">
        <v>1211</v>
      </c>
      <c r="BL116" s="35" t="s">
        <v>602</v>
      </c>
      <c r="BM116" s="35" t="s">
        <v>603</v>
      </c>
      <c r="BN116" s="35" t="s">
        <v>397</v>
      </c>
      <c r="BO116" s="35" t="s">
        <v>440</v>
      </c>
      <c r="CM116" s="35" t="s">
        <v>441</v>
      </c>
      <c r="CN116" s="35" t="s">
        <v>551</v>
      </c>
      <c r="CO116" s="35" t="s">
        <v>5089</v>
      </c>
      <c r="CP116" s="35" t="s">
        <v>5090</v>
      </c>
      <c r="CQ116" s="35" t="s">
        <v>445</v>
      </c>
      <c r="CR116" s="35" t="s">
        <v>5091</v>
      </c>
      <c r="CS116" s="35" t="s">
        <v>404</v>
      </c>
      <c r="CT116" s="35" t="s">
        <v>5092</v>
      </c>
      <c r="CU116" s="35" t="s">
        <v>5093</v>
      </c>
      <c r="CV116" s="35" t="s">
        <v>450</v>
      </c>
      <c r="CW116" s="35" t="s">
        <v>451</v>
      </c>
      <c r="CX116" s="35" t="s">
        <v>5094</v>
      </c>
      <c r="CY116" s="35" t="s">
        <v>408</v>
      </c>
      <c r="CZ116" s="35" t="s">
        <v>1211</v>
      </c>
      <c r="DA116" s="35" t="s">
        <v>453</v>
      </c>
      <c r="DB116" s="35" t="s">
        <v>5095</v>
      </c>
      <c r="DC116" s="35" t="s">
        <v>455</v>
      </c>
      <c r="DD116" s="35" t="s">
        <v>5096</v>
      </c>
      <c r="DE116" s="35" t="s">
        <v>457</v>
      </c>
      <c r="DG116" s="35" t="s">
        <v>5097</v>
      </c>
      <c r="DH116" s="35" t="s">
        <v>561</v>
      </c>
      <c r="DI116" s="35" t="s">
        <v>410</v>
      </c>
      <c r="DJ116" s="35" t="s">
        <v>459</v>
      </c>
      <c r="DK116" s="35" t="s">
        <v>613</v>
      </c>
      <c r="DN116" s="35" t="s">
        <v>5098</v>
      </c>
      <c r="DO116" s="35" t="s">
        <v>5099</v>
      </c>
      <c r="DP116" s="35" t="s">
        <v>567</v>
      </c>
      <c r="DQ116" s="35" t="s">
        <v>5100</v>
      </c>
      <c r="DR116" s="35" t="s">
        <v>466</v>
      </c>
      <c r="DS116" s="35" t="s">
        <v>5101</v>
      </c>
      <c r="DT116" s="35" t="s">
        <v>702</v>
      </c>
      <c r="DU116" s="35" t="s">
        <v>469</v>
      </c>
      <c r="DV116" s="35" t="s">
        <v>5102</v>
      </c>
      <c r="DW116" s="35" t="s">
        <v>5103</v>
      </c>
      <c r="DX116" s="35" t="s">
        <v>573</v>
      </c>
      <c r="DY116" s="35" t="s">
        <v>5104</v>
      </c>
      <c r="DZ116" s="35" t="s">
        <v>12093</v>
      </c>
      <c r="EA116" s="35" t="s">
        <v>5106</v>
      </c>
      <c r="EB116" s="35" t="s">
        <v>475</v>
      </c>
      <c r="EC116" s="35" t="s">
        <v>626</v>
      </c>
      <c r="ED116" s="35" t="s">
        <v>5107</v>
      </c>
      <c r="EU116" s="35" t="s">
        <v>478</v>
      </c>
      <c r="EV116" s="35" t="s">
        <v>479</v>
      </c>
      <c r="EW116" s="35" t="s">
        <v>527</v>
      </c>
      <c r="EX116" s="35" t="s">
        <v>5108</v>
      </c>
      <c r="EY116" s="35" t="s">
        <v>5109</v>
      </c>
      <c r="EZ116" s="35" t="s">
        <v>5110</v>
      </c>
      <c r="FA116" s="35" t="s">
        <v>414</v>
      </c>
      <c r="FB116" s="35" t="s">
        <v>583</v>
      </c>
      <c r="FC116" s="35" t="s">
        <v>413</v>
      </c>
      <c r="FD116" s="35" t="s">
        <v>414</v>
      </c>
      <c r="FE116" s="35" t="s">
        <v>413</v>
      </c>
      <c r="FF116" s="35" t="s">
        <v>414</v>
      </c>
      <c r="FG116" s="35" t="s">
        <v>484</v>
      </c>
      <c r="FH116" s="35" t="s">
        <v>413</v>
      </c>
      <c r="FI116" s="35" t="s">
        <v>484</v>
      </c>
      <c r="FJ116" s="35" t="s">
        <v>414</v>
      </c>
      <c r="FK116" s="35" t="s">
        <v>415</v>
      </c>
      <c r="FL116" s="35" t="s">
        <v>484</v>
      </c>
      <c r="FM116" s="35" t="s">
        <v>484</v>
      </c>
      <c r="FN116" s="35" t="s">
        <v>413</v>
      </c>
      <c r="FO116" s="35" t="s">
        <v>484</v>
      </c>
      <c r="FP116" s="35" t="s">
        <v>417</v>
      </c>
      <c r="FQ116" s="35" t="s">
        <v>418</v>
      </c>
      <c r="FR116" s="35" t="s">
        <v>419</v>
      </c>
      <c r="FS116" s="35" t="s">
        <v>12094</v>
      </c>
      <c r="FT116" s="35" t="s">
        <v>420</v>
      </c>
      <c r="FU116" s="35" t="s">
        <v>488</v>
      </c>
      <c r="FV116" s="35" t="s">
        <v>918</v>
      </c>
      <c r="FW116" s="35" t="s">
        <v>490</v>
      </c>
      <c r="FX116" s="35" t="s">
        <v>491</v>
      </c>
      <c r="FY116" s="35" t="s">
        <v>5112</v>
      </c>
      <c r="FZ116" s="35" t="s">
        <v>493</v>
      </c>
      <c r="GA116" s="35" t="s">
        <v>5113</v>
      </c>
      <c r="GB116" s="35" t="s">
        <v>5114</v>
      </c>
      <c r="GC116" s="35" t="s">
        <v>455</v>
      </c>
      <c r="GD116" s="35" t="s">
        <v>12095</v>
      </c>
      <c r="GF116" s="35" t="s">
        <v>1339</v>
      </c>
      <c r="GG116" s="35" t="s">
        <v>5115</v>
      </c>
      <c r="GH116" s="35" t="s">
        <v>755</v>
      </c>
      <c r="GI116" s="35" t="s">
        <v>755</v>
      </c>
      <c r="GJ116" s="35" t="s">
        <v>946</v>
      </c>
      <c r="GN116" s="35" t="s">
        <v>1079</v>
      </c>
      <c r="GR116" s="35" t="s">
        <v>3937</v>
      </c>
      <c r="GU116" s="35" t="s">
        <v>4774</v>
      </c>
      <c r="GV116" s="35" t="s">
        <v>1211</v>
      </c>
    </row>
    <row r="117">
      <c r="A117" s="35" t="s">
        <v>12096</v>
      </c>
      <c r="B117" s="40">
        <v>45866.35659802084</v>
      </c>
      <c r="C117" s="35" t="s">
        <v>368</v>
      </c>
      <c r="D117" s="35" t="s">
        <v>370</v>
      </c>
      <c r="E117" s="35" t="s">
        <v>370</v>
      </c>
      <c r="F117" s="35" t="s">
        <v>1480</v>
      </c>
      <c r="G117" s="35" t="s">
        <v>1421</v>
      </c>
      <c r="H117" s="35" t="s">
        <v>422</v>
      </c>
      <c r="I117" s="35" t="s">
        <v>373</v>
      </c>
      <c r="J117" s="35" t="s">
        <v>638</v>
      </c>
      <c r="K117" s="35" t="s">
        <v>425</v>
      </c>
      <c r="L117" s="35" t="s">
        <v>376</v>
      </c>
      <c r="M117" s="35" t="s">
        <v>426</v>
      </c>
      <c r="N117" s="35" t="s">
        <v>2539</v>
      </c>
      <c r="O117" s="35" t="s">
        <v>591</v>
      </c>
      <c r="P117" s="35" t="s">
        <v>2464</v>
      </c>
      <c r="Q117" s="35" t="s">
        <v>1760</v>
      </c>
      <c r="R117" s="35" t="s">
        <v>1156</v>
      </c>
      <c r="S117" s="35" t="s">
        <v>500</v>
      </c>
      <c r="T117" s="35" t="s">
        <v>384</v>
      </c>
      <c r="U117" s="35" t="s">
        <v>385</v>
      </c>
      <c r="X117" s="35" t="s">
        <v>593</v>
      </c>
      <c r="Y117" s="35" t="s">
        <v>387</v>
      </c>
      <c r="Z117" s="35" t="s">
        <v>388</v>
      </c>
      <c r="AA117" s="35" t="s">
        <v>543</v>
      </c>
      <c r="AB117" s="35" t="s">
        <v>408</v>
      </c>
      <c r="AC117" s="35" t="s">
        <v>5322</v>
      </c>
      <c r="AW117" s="35" t="s">
        <v>390</v>
      </c>
      <c r="AX117" s="35" t="s">
        <v>391</v>
      </c>
      <c r="AY117" s="41">
        <v>4.0</v>
      </c>
      <c r="AZ117" s="41">
        <v>2.0</v>
      </c>
      <c r="BA117" s="35" t="s">
        <v>429</v>
      </c>
      <c r="BB117" s="35" t="s">
        <v>429</v>
      </c>
      <c r="BC117" s="41">
        <v>2.0</v>
      </c>
      <c r="BD117" s="35" t="s">
        <v>5323</v>
      </c>
      <c r="BE117" s="35" t="s">
        <v>5324</v>
      </c>
      <c r="BF117" s="35" t="s">
        <v>432</v>
      </c>
      <c r="BG117" s="35" t="s">
        <v>433</v>
      </c>
      <c r="BH117" s="35" t="s">
        <v>678</v>
      </c>
      <c r="BI117" s="35" t="s">
        <v>5325</v>
      </c>
      <c r="BJ117" s="35" t="s">
        <v>509</v>
      </c>
      <c r="BK117" s="35" t="s">
        <v>5326</v>
      </c>
      <c r="BL117" s="35" t="s">
        <v>511</v>
      </c>
      <c r="BM117" s="35" t="s">
        <v>438</v>
      </c>
      <c r="BN117" s="35" t="s">
        <v>439</v>
      </c>
      <c r="BO117" s="35" t="s">
        <v>440</v>
      </c>
      <c r="CY117" s="35" t="s">
        <v>408</v>
      </c>
      <c r="DA117" s="35" t="s">
        <v>453</v>
      </c>
      <c r="DB117" s="35" t="s">
        <v>5327</v>
      </c>
      <c r="DC117" s="35" t="s">
        <v>408</v>
      </c>
      <c r="DE117" s="35" t="s">
        <v>406</v>
      </c>
      <c r="DF117" s="35" t="s">
        <v>407</v>
      </c>
      <c r="DG117" s="35" t="s">
        <v>5328</v>
      </c>
      <c r="DH117" s="35" t="s">
        <v>524</v>
      </c>
      <c r="DI117" s="35" t="s">
        <v>410</v>
      </c>
      <c r="DJ117" s="35" t="s">
        <v>459</v>
      </c>
      <c r="DK117" s="35" t="s">
        <v>613</v>
      </c>
      <c r="DN117" s="35" t="s">
        <v>5329</v>
      </c>
      <c r="DO117" s="35" t="s">
        <v>5330</v>
      </c>
      <c r="DP117" s="35" t="s">
        <v>464</v>
      </c>
      <c r="DQ117" s="35" t="s">
        <v>5331</v>
      </c>
      <c r="DR117" s="35" t="s">
        <v>466</v>
      </c>
      <c r="DS117" s="35" t="s">
        <v>5332</v>
      </c>
      <c r="DT117" s="35" t="s">
        <v>702</v>
      </c>
      <c r="DU117" s="35" t="s">
        <v>570</v>
      </c>
      <c r="DV117" s="35" t="s">
        <v>5333</v>
      </c>
      <c r="DW117" s="35" t="s">
        <v>5334</v>
      </c>
      <c r="DX117" s="35" t="s">
        <v>622</v>
      </c>
      <c r="DY117" s="35" t="s">
        <v>1131</v>
      </c>
      <c r="DZ117" s="35" t="s">
        <v>5335</v>
      </c>
      <c r="EA117" s="35" t="s">
        <v>5336</v>
      </c>
      <c r="EB117" s="35" t="s">
        <v>475</v>
      </c>
      <c r="EC117" s="35" t="s">
        <v>5337</v>
      </c>
      <c r="ED117" s="35" t="s">
        <v>5338</v>
      </c>
      <c r="EU117" s="35" t="s">
        <v>526</v>
      </c>
      <c r="EV117" s="35" t="s">
        <v>479</v>
      </c>
      <c r="EW117" s="35" t="s">
        <v>480</v>
      </c>
      <c r="EY117" s="35" t="s">
        <v>5339</v>
      </c>
      <c r="EZ117" s="35" t="s">
        <v>2829</v>
      </c>
      <c r="FA117" s="35" t="s">
        <v>414</v>
      </c>
      <c r="FB117" s="35" t="s">
        <v>414</v>
      </c>
      <c r="FC117" s="35" t="s">
        <v>413</v>
      </c>
      <c r="FD117" s="35" t="s">
        <v>413</v>
      </c>
      <c r="FE117" s="35" t="s">
        <v>413</v>
      </c>
      <c r="FF117" s="35" t="s">
        <v>583</v>
      </c>
      <c r="FG117" s="35" t="s">
        <v>413</v>
      </c>
      <c r="FH117" s="35" t="s">
        <v>415</v>
      </c>
      <c r="FI117" s="35" t="s">
        <v>484</v>
      </c>
      <c r="FJ117" s="35" t="s">
        <v>583</v>
      </c>
      <c r="FK117" s="35" t="s">
        <v>414</v>
      </c>
      <c r="FL117" s="35" t="s">
        <v>414</v>
      </c>
      <c r="FM117" s="35" t="s">
        <v>416</v>
      </c>
      <c r="FN117" s="35" t="s">
        <v>416</v>
      </c>
      <c r="FO117" s="35" t="s">
        <v>583</v>
      </c>
      <c r="FP117" s="35" t="s">
        <v>1537</v>
      </c>
      <c r="FQ117" s="35" t="s">
        <v>418</v>
      </c>
      <c r="FR117" s="35" t="s">
        <v>630</v>
      </c>
      <c r="FT117" s="35" t="s">
        <v>420</v>
      </c>
      <c r="FU117" s="35" t="s">
        <v>488</v>
      </c>
      <c r="FV117" s="35" t="s">
        <v>533</v>
      </c>
      <c r="FW117" s="35" t="s">
        <v>490</v>
      </c>
      <c r="FX117" s="35" t="s">
        <v>491</v>
      </c>
      <c r="FY117" s="35" t="s">
        <v>5340</v>
      </c>
      <c r="FZ117" s="35" t="s">
        <v>535</v>
      </c>
      <c r="GC117" s="35" t="s">
        <v>455</v>
      </c>
      <c r="GD117" s="35" t="s">
        <v>12097</v>
      </c>
      <c r="GE117" s="41">
        <v>7.754703297E9</v>
      </c>
      <c r="GF117" s="35" t="s">
        <v>855</v>
      </c>
      <c r="GN117" s="35" t="s">
        <v>1079</v>
      </c>
      <c r="GR117" s="35" t="s">
        <v>5341</v>
      </c>
      <c r="GW117" s="35" t="s">
        <v>5231</v>
      </c>
      <c r="GX117" s="35" t="s">
        <v>5232</v>
      </c>
      <c r="HD117" s="35" t="s">
        <v>5297</v>
      </c>
      <c r="HE117" s="35" t="s">
        <v>5282</v>
      </c>
      <c r="HF117" s="35" t="s">
        <v>5320</v>
      </c>
      <c r="HG117" s="35" t="s">
        <v>5300</v>
      </c>
      <c r="HH117" s="35" t="s">
        <v>5342</v>
      </c>
      <c r="HI117" s="35" t="s">
        <v>5343</v>
      </c>
      <c r="HJ117" s="35" t="s">
        <v>5344</v>
      </c>
      <c r="HK117" s="35" t="s">
        <v>5345</v>
      </c>
      <c r="HP117" s="35" t="s">
        <v>5346</v>
      </c>
      <c r="HQ117" s="35" t="s">
        <v>5264</v>
      </c>
      <c r="HR117" s="35" t="s">
        <v>5238</v>
      </c>
      <c r="HS117" s="35" t="s">
        <v>5347</v>
      </c>
    </row>
    <row r="118">
      <c r="A118" s="35" t="s">
        <v>12098</v>
      </c>
      <c r="B118" s="40">
        <v>45879.53425473379</v>
      </c>
      <c r="C118" s="35" t="s">
        <v>368</v>
      </c>
      <c r="D118" s="35" t="s">
        <v>370</v>
      </c>
      <c r="E118" s="35" t="s">
        <v>370</v>
      </c>
      <c r="F118" s="35" t="s">
        <v>2359</v>
      </c>
      <c r="G118" s="35" t="s">
        <v>1592</v>
      </c>
      <c r="H118" s="35" t="s">
        <v>422</v>
      </c>
      <c r="I118" s="35" t="s">
        <v>373</v>
      </c>
      <c r="J118" s="35" t="s">
        <v>374</v>
      </c>
      <c r="K118" s="35" t="s">
        <v>718</v>
      </c>
      <c r="L118" s="35" t="s">
        <v>376</v>
      </c>
      <c r="M118" s="35" t="s">
        <v>379</v>
      </c>
      <c r="N118" s="35" t="s">
        <v>497</v>
      </c>
      <c r="O118" s="35" t="s">
        <v>426</v>
      </c>
      <c r="P118" s="35" t="s">
        <v>5479</v>
      </c>
      <c r="Q118" s="35" t="s">
        <v>498</v>
      </c>
      <c r="R118" s="35" t="s">
        <v>862</v>
      </c>
      <c r="S118" s="35" t="s">
        <v>1135</v>
      </c>
      <c r="T118" s="35" t="s">
        <v>1443</v>
      </c>
      <c r="U118" s="35" t="s">
        <v>385</v>
      </c>
      <c r="X118" s="35" t="s">
        <v>3231</v>
      </c>
      <c r="AW118" s="35" t="s">
        <v>1310</v>
      </c>
      <c r="AX118" s="35" t="s">
        <v>675</v>
      </c>
      <c r="AY118" s="35" t="s">
        <v>675</v>
      </c>
      <c r="AZ118" s="35" t="s">
        <v>675</v>
      </c>
      <c r="BA118" s="35" t="s">
        <v>675</v>
      </c>
      <c r="BB118" s="35" t="s">
        <v>675</v>
      </c>
      <c r="BC118" s="35" t="s">
        <v>675</v>
      </c>
      <c r="BF118" s="35" t="s">
        <v>432</v>
      </c>
      <c r="BG118" s="35" t="s">
        <v>1245</v>
      </c>
      <c r="BH118" s="35" t="s">
        <v>394</v>
      </c>
      <c r="BJ118" s="35" t="s">
        <v>976</v>
      </c>
      <c r="BL118" s="35" t="s">
        <v>681</v>
      </c>
      <c r="BM118" s="35" t="s">
        <v>904</v>
      </c>
      <c r="BN118" s="35" t="s">
        <v>1247</v>
      </c>
      <c r="BO118" s="35" t="s">
        <v>440</v>
      </c>
      <c r="CM118" s="35" t="s">
        <v>441</v>
      </c>
      <c r="CN118" s="35" t="s">
        <v>604</v>
      </c>
      <c r="CO118" s="35" t="s">
        <v>552</v>
      </c>
      <c r="CP118" s="35" t="s">
        <v>5480</v>
      </c>
      <c r="CQ118" s="35" t="s">
        <v>979</v>
      </c>
      <c r="CR118" s="35" t="s">
        <v>3090</v>
      </c>
      <c r="CS118" s="35" t="s">
        <v>804</v>
      </c>
      <c r="CT118" s="35" t="s">
        <v>5481</v>
      </c>
      <c r="CV118" s="35" t="s">
        <v>450</v>
      </c>
      <c r="CW118" s="35" t="s">
        <v>451</v>
      </c>
      <c r="CY118" s="35" t="s">
        <v>408</v>
      </c>
      <c r="DA118" s="35" t="s">
        <v>453</v>
      </c>
      <c r="DB118" s="35" t="s">
        <v>5482</v>
      </c>
      <c r="DC118" s="35" t="s">
        <v>408</v>
      </c>
      <c r="DE118" s="35" t="s">
        <v>457</v>
      </c>
      <c r="DH118" s="35" t="s">
        <v>524</v>
      </c>
      <c r="DI118" s="35" t="s">
        <v>410</v>
      </c>
      <c r="DJ118" s="35" t="s">
        <v>459</v>
      </c>
      <c r="DK118" s="35" t="s">
        <v>460</v>
      </c>
      <c r="DL118" s="35" t="s">
        <v>461</v>
      </c>
      <c r="DN118" s="35" t="s">
        <v>5483</v>
      </c>
      <c r="DO118" s="35" t="s">
        <v>5484</v>
      </c>
      <c r="DP118" s="35" t="s">
        <v>464</v>
      </c>
      <c r="DQ118" s="35" t="s">
        <v>5485</v>
      </c>
      <c r="DR118" s="35" t="s">
        <v>1324</v>
      </c>
      <c r="DT118" s="35" t="s">
        <v>618</v>
      </c>
      <c r="DU118" s="35" t="s">
        <v>5486</v>
      </c>
      <c r="DX118" s="35" t="s">
        <v>396</v>
      </c>
      <c r="DZ118" s="35" t="s">
        <v>5487</v>
      </c>
      <c r="EA118" s="35" t="s">
        <v>5488</v>
      </c>
      <c r="EB118" s="35" t="s">
        <v>475</v>
      </c>
      <c r="EC118" s="35" t="s">
        <v>626</v>
      </c>
      <c r="EU118" s="35" t="s">
        <v>526</v>
      </c>
      <c r="EV118" s="35" t="s">
        <v>479</v>
      </c>
      <c r="EW118" s="35" t="s">
        <v>527</v>
      </c>
      <c r="EX118" s="35" t="s">
        <v>5489</v>
      </c>
      <c r="FA118" s="35" t="s">
        <v>416</v>
      </c>
      <c r="FB118" s="35" t="s">
        <v>415</v>
      </c>
      <c r="FC118" s="35" t="s">
        <v>413</v>
      </c>
      <c r="FD118" s="35" t="s">
        <v>413</v>
      </c>
      <c r="FE118" s="35" t="s">
        <v>413</v>
      </c>
      <c r="FF118" s="35" t="s">
        <v>416</v>
      </c>
      <c r="FG118" s="35" t="s">
        <v>413</v>
      </c>
      <c r="FH118" s="35" t="s">
        <v>416</v>
      </c>
      <c r="FI118" s="35" t="s">
        <v>583</v>
      </c>
      <c r="FJ118" s="35" t="s">
        <v>414</v>
      </c>
      <c r="FK118" s="35" t="s">
        <v>415</v>
      </c>
      <c r="FL118" s="35" t="s">
        <v>484</v>
      </c>
      <c r="FM118" s="35" t="s">
        <v>484</v>
      </c>
      <c r="FN118" s="35" t="s">
        <v>484</v>
      </c>
      <c r="FO118" s="35" t="s">
        <v>484</v>
      </c>
      <c r="FP118" s="35" t="s">
        <v>485</v>
      </c>
      <c r="FQ118" s="35" t="s">
        <v>418</v>
      </c>
      <c r="FR118" s="35" t="s">
        <v>419</v>
      </c>
      <c r="FS118" s="35" t="s">
        <v>5490</v>
      </c>
      <c r="FT118" s="35" t="s">
        <v>420</v>
      </c>
      <c r="FU118" s="35" t="s">
        <v>488</v>
      </c>
      <c r="FV118" s="35" t="s">
        <v>533</v>
      </c>
      <c r="FW118" s="35" t="s">
        <v>490</v>
      </c>
      <c r="FX118" s="35" t="s">
        <v>491</v>
      </c>
      <c r="FY118" s="35" t="s">
        <v>5491</v>
      </c>
      <c r="FZ118" s="35" t="s">
        <v>535</v>
      </c>
      <c r="GC118" s="35" t="s">
        <v>408</v>
      </c>
      <c r="GH118" s="35" t="s">
        <v>755</v>
      </c>
      <c r="GI118" s="35" t="s">
        <v>755</v>
      </c>
      <c r="GJ118" s="35" t="s">
        <v>817</v>
      </c>
      <c r="GN118" s="35" t="s">
        <v>1079</v>
      </c>
      <c r="GQ118" s="35" t="s">
        <v>387</v>
      </c>
      <c r="GR118" s="35" t="s">
        <v>3208</v>
      </c>
      <c r="GU118" s="35" t="s">
        <v>4774</v>
      </c>
      <c r="GW118" s="35" t="s">
        <v>5231</v>
      </c>
      <c r="GX118" s="35" t="s">
        <v>484</v>
      </c>
      <c r="HD118" s="35" t="s">
        <v>5297</v>
      </c>
      <c r="HE118" s="35" t="s">
        <v>5282</v>
      </c>
      <c r="HF118" s="35" t="s">
        <v>5492</v>
      </c>
      <c r="HG118" s="35" t="s">
        <v>5493</v>
      </c>
      <c r="HH118" s="35" t="s">
        <v>5494</v>
      </c>
      <c r="HI118" s="35" t="s">
        <v>5495</v>
      </c>
      <c r="HJ118" s="35" t="s">
        <v>5496</v>
      </c>
      <c r="HK118" s="35" t="s">
        <v>5497</v>
      </c>
      <c r="HP118" s="35" t="s">
        <v>5236</v>
      </c>
      <c r="HQ118" s="35" t="s">
        <v>5237</v>
      </c>
      <c r="HR118" s="35" t="s">
        <v>5238</v>
      </c>
      <c r="HS118" s="35" t="s">
        <v>5498</v>
      </c>
      <c r="HX118" s="35" t="s">
        <v>5499</v>
      </c>
      <c r="IO118" s="35" t="s">
        <v>5500</v>
      </c>
      <c r="IP118" s="35" t="s">
        <v>5500</v>
      </c>
      <c r="IQ118" s="35" t="s">
        <v>5500</v>
      </c>
      <c r="IR118" s="35" t="s">
        <v>5500</v>
      </c>
      <c r="IS118" s="35" t="s">
        <v>5500</v>
      </c>
      <c r="IT118" s="35" t="s">
        <v>5500</v>
      </c>
    </row>
    <row r="119">
      <c r="A119" s="35" t="s">
        <v>12099</v>
      </c>
      <c r="B119" s="40">
        <v>45880.350850821764</v>
      </c>
      <c r="C119" s="35" t="s">
        <v>368</v>
      </c>
      <c r="D119" s="35" t="s">
        <v>370</v>
      </c>
      <c r="E119" s="35" t="s">
        <v>370</v>
      </c>
      <c r="F119" s="35" t="s">
        <v>1510</v>
      </c>
      <c r="G119" s="35" t="s">
        <v>1510</v>
      </c>
      <c r="H119" s="35" t="s">
        <v>422</v>
      </c>
      <c r="I119" s="35" t="s">
        <v>496</v>
      </c>
      <c r="J119" s="35" t="s">
        <v>374</v>
      </c>
      <c r="K119" s="35" t="s">
        <v>1240</v>
      </c>
      <c r="L119" s="35" t="s">
        <v>376</v>
      </c>
      <c r="M119" s="35" t="s">
        <v>426</v>
      </c>
      <c r="N119" s="35" t="s">
        <v>720</v>
      </c>
      <c r="O119" s="35" t="s">
        <v>426</v>
      </c>
      <c r="P119" s="35" t="s">
        <v>5502</v>
      </c>
      <c r="Q119" s="35" t="s">
        <v>381</v>
      </c>
      <c r="R119" s="35" t="s">
        <v>499</v>
      </c>
      <c r="S119" s="35" t="s">
        <v>427</v>
      </c>
      <c r="T119" s="35" t="s">
        <v>384</v>
      </c>
      <c r="U119" s="35" t="s">
        <v>385</v>
      </c>
      <c r="X119" s="35" t="s">
        <v>386</v>
      </c>
      <c r="Y119" s="35" t="s">
        <v>387</v>
      </c>
      <c r="Z119" s="35" t="s">
        <v>388</v>
      </c>
      <c r="AA119" s="35" t="s">
        <v>543</v>
      </c>
      <c r="AB119" s="35" t="s">
        <v>5503</v>
      </c>
      <c r="AC119" s="35" t="s">
        <v>5504</v>
      </c>
      <c r="AW119" s="35" t="s">
        <v>504</v>
      </c>
      <c r="AX119" s="41">
        <v>2.0</v>
      </c>
      <c r="AY119" s="41">
        <v>2.0</v>
      </c>
      <c r="AZ119" s="35" t="s">
        <v>391</v>
      </c>
      <c r="BA119" s="35" t="s">
        <v>429</v>
      </c>
      <c r="BB119" s="35" t="s">
        <v>391</v>
      </c>
      <c r="BC119" s="41">
        <v>2.0</v>
      </c>
      <c r="BD119" s="35" t="s">
        <v>5505</v>
      </c>
      <c r="BE119" s="35" t="s">
        <v>5506</v>
      </c>
      <c r="BF119" s="35" t="s">
        <v>392</v>
      </c>
      <c r="BG119" s="35" t="s">
        <v>433</v>
      </c>
      <c r="BH119" s="35" t="s">
        <v>678</v>
      </c>
      <c r="BI119" s="35" t="s">
        <v>5507</v>
      </c>
      <c r="BJ119" s="35" t="s">
        <v>509</v>
      </c>
      <c r="BK119" s="35" t="s">
        <v>5508</v>
      </c>
      <c r="BL119" s="35" t="s">
        <v>395</v>
      </c>
      <c r="BM119" s="35" t="s">
        <v>438</v>
      </c>
      <c r="BN119" s="35" t="s">
        <v>439</v>
      </c>
      <c r="BO119" s="35" t="s">
        <v>440</v>
      </c>
      <c r="CM119" s="35" t="s">
        <v>441</v>
      </c>
      <c r="CN119" s="35" t="s">
        <v>604</v>
      </c>
      <c r="CO119" s="35" t="s">
        <v>552</v>
      </c>
      <c r="CP119" s="35" t="s">
        <v>5509</v>
      </c>
      <c r="CQ119" s="35" t="s">
        <v>445</v>
      </c>
      <c r="CR119" s="35" t="s">
        <v>5510</v>
      </c>
      <c r="CS119" s="35" t="s">
        <v>447</v>
      </c>
      <c r="CT119" s="35" t="s">
        <v>5511</v>
      </c>
      <c r="CU119" s="35" t="s">
        <v>5512</v>
      </c>
      <c r="CV119" s="35" t="s">
        <v>450</v>
      </c>
      <c r="CW119" s="35" t="s">
        <v>451</v>
      </c>
      <c r="CX119" s="35" t="s">
        <v>5513</v>
      </c>
      <c r="CY119" s="35" t="s">
        <v>408</v>
      </c>
      <c r="DA119" s="35" t="s">
        <v>453</v>
      </c>
      <c r="DB119" s="35" t="s">
        <v>5514</v>
      </c>
      <c r="DC119" s="35" t="s">
        <v>455</v>
      </c>
      <c r="DD119" s="35" t="s">
        <v>5515</v>
      </c>
      <c r="DE119" s="35" t="s">
        <v>457</v>
      </c>
      <c r="DG119" s="35" t="s">
        <v>5516</v>
      </c>
      <c r="DH119" s="35" t="s">
        <v>524</v>
      </c>
      <c r="DI119" s="35" t="s">
        <v>410</v>
      </c>
      <c r="DJ119" s="35" t="s">
        <v>459</v>
      </c>
      <c r="DK119" s="35" t="s">
        <v>613</v>
      </c>
      <c r="DN119" s="35" t="s">
        <v>5517</v>
      </c>
      <c r="DO119" s="35" t="s">
        <v>5518</v>
      </c>
      <c r="DP119" s="35" t="s">
        <v>1063</v>
      </c>
      <c r="DQ119" s="35" t="s">
        <v>4396</v>
      </c>
      <c r="DR119" s="35" t="s">
        <v>1578</v>
      </c>
      <c r="DS119" s="35" t="s">
        <v>5519</v>
      </c>
      <c r="DT119" s="35" t="s">
        <v>839</v>
      </c>
      <c r="DU119" s="35" t="s">
        <v>570</v>
      </c>
      <c r="DV119" s="35" t="s">
        <v>5520</v>
      </c>
      <c r="DW119" s="35" t="s">
        <v>408</v>
      </c>
      <c r="DX119" s="35" t="s">
        <v>573</v>
      </c>
      <c r="DY119" s="35" t="s">
        <v>5521</v>
      </c>
      <c r="DZ119" s="35" t="s">
        <v>5522</v>
      </c>
      <c r="EA119" s="35" t="s">
        <v>5523</v>
      </c>
      <c r="EB119" s="35" t="s">
        <v>475</v>
      </c>
      <c r="EC119" s="35" t="s">
        <v>845</v>
      </c>
      <c r="ED119" s="35" t="s">
        <v>5524</v>
      </c>
      <c r="EU119" s="35" t="s">
        <v>578</v>
      </c>
      <c r="EV119" s="35" t="s">
        <v>479</v>
      </c>
      <c r="EW119" s="35" t="s">
        <v>480</v>
      </c>
      <c r="EY119" s="35" t="s">
        <v>5525</v>
      </c>
      <c r="EZ119" s="35" t="s">
        <v>5526</v>
      </c>
      <c r="FA119" s="35" t="s">
        <v>416</v>
      </c>
      <c r="FB119" s="35" t="s">
        <v>416</v>
      </c>
      <c r="FC119" s="35" t="s">
        <v>413</v>
      </c>
      <c r="FD119" s="35" t="s">
        <v>416</v>
      </c>
      <c r="FE119" s="35" t="s">
        <v>413</v>
      </c>
      <c r="FF119" s="35" t="s">
        <v>416</v>
      </c>
      <c r="FG119" s="35" t="s">
        <v>413</v>
      </c>
      <c r="FH119" s="35" t="s">
        <v>416</v>
      </c>
      <c r="FI119" s="35" t="s">
        <v>413</v>
      </c>
      <c r="FJ119" s="35" t="s">
        <v>416</v>
      </c>
      <c r="FK119" s="35" t="s">
        <v>416</v>
      </c>
      <c r="FL119" s="35" t="s">
        <v>416</v>
      </c>
      <c r="FM119" s="35" t="s">
        <v>416</v>
      </c>
      <c r="FN119" s="35" t="s">
        <v>413</v>
      </c>
      <c r="FO119" s="35" t="s">
        <v>416</v>
      </c>
      <c r="FP119" s="35" t="s">
        <v>417</v>
      </c>
      <c r="FQ119" s="35" t="s">
        <v>486</v>
      </c>
      <c r="FR119" s="35" t="s">
        <v>712</v>
      </c>
      <c r="FS119" s="35" t="s">
        <v>5527</v>
      </c>
      <c r="FT119" s="35" t="s">
        <v>420</v>
      </c>
      <c r="FU119" s="35" t="s">
        <v>1462</v>
      </c>
      <c r="FV119" s="35" t="s">
        <v>918</v>
      </c>
      <c r="FW119" s="35" t="s">
        <v>490</v>
      </c>
      <c r="FX119" s="35" t="s">
        <v>491</v>
      </c>
      <c r="FY119" s="35" t="s">
        <v>5528</v>
      </c>
      <c r="FZ119" s="35" t="s">
        <v>535</v>
      </c>
      <c r="GA119" s="35" t="s">
        <v>5529</v>
      </c>
      <c r="GC119" s="35" t="s">
        <v>455</v>
      </c>
      <c r="GD119" s="35" t="s">
        <v>12100</v>
      </c>
      <c r="GF119" s="35" t="s">
        <v>753</v>
      </c>
      <c r="GG119" s="35" t="s">
        <v>455</v>
      </c>
      <c r="GH119" s="35" t="s">
        <v>788</v>
      </c>
      <c r="GI119" s="35" t="s">
        <v>788</v>
      </c>
      <c r="GJ119" s="35" t="s">
        <v>858</v>
      </c>
      <c r="GN119" s="35" t="s">
        <v>1079</v>
      </c>
      <c r="GR119" s="35" t="s">
        <v>5530</v>
      </c>
      <c r="GU119" s="35" t="s">
        <v>4774</v>
      </c>
      <c r="GW119" s="35" t="s">
        <v>5231</v>
      </c>
      <c r="GX119" s="35" t="s">
        <v>5232</v>
      </c>
      <c r="HD119" s="35" t="s">
        <v>5297</v>
      </c>
      <c r="HE119" s="35" t="s">
        <v>5349</v>
      </c>
      <c r="HF119" s="35" t="s">
        <v>5492</v>
      </c>
      <c r="HG119" s="35" t="s">
        <v>5284</v>
      </c>
      <c r="HH119" s="35" t="s">
        <v>5531</v>
      </c>
      <c r="HI119" s="35" t="s">
        <v>5532</v>
      </c>
      <c r="HJ119" s="35" t="s">
        <v>5533</v>
      </c>
      <c r="HK119" s="35" t="s">
        <v>5534</v>
      </c>
      <c r="HP119" s="35" t="s">
        <v>5236</v>
      </c>
      <c r="HQ119" s="35" t="s">
        <v>5264</v>
      </c>
      <c r="HR119" s="35" t="s">
        <v>5238</v>
      </c>
      <c r="HS119" s="35" t="s">
        <v>5321</v>
      </c>
      <c r="HX119" s="35" t="s">
        <v>5535</v>
      </c>
      <c r="IO119" s="35" t="s">
        <v>5536</v>
      </c>
      <c r="IP119" s="35" t="s">
        <v>5537</v>
      </c>
      <c r="IQ119" s="35" t="s">
        <v>5536</v>
      </c>
      <c r="IR119" s="35" t="s">
        <v>5500</v>
      </c>
      <c r="IS119" s="35" t="s">
        <v>5537</v>
      </c>
      <c r="IT119" s="35" t="s">
        <v>5537</v>
      </c>
    </row>
    <row r="120">
      <c r="A120" s="35" t="s">
        <v>12101</v>
      </c>
      <c r="B120" s="40">
        <v>45880.90769810185</v>
      </c>
      <c r="C120" s="35" t="s">
        <v>368</v>
      </c>
      <c r="D120" s="35" t="s">
        <v>1201</v>
      </c>
      <c r="E120" s="35" t="s">
        <v>1201</v>
      </c>
      <c r="H120" s="35" t="s">
        <v>422</v>
      </c>
      <c r="I120" s="35" t="s">
        <v>496</v>
      </c>
      <c r="J120" s="35" t="s">
        <v>2578</v>
      </c>
      <c r="K120" s="35" t="s">
        <v>425</v>
      </c>
      <c r="L120" s="35" t="s">
        <v>376</v>
      </c>
      <c r="M120" s="35" t="s">
        <v>379</v>
      </c>
      <c r="N120" s="35" t="s">
        <v>2464</v>
      </c>
      <c r="O120" s="35" t="s">
        <v>379</v>
      </c>
      <c r="P120" s="35" t="s">
        <v>497</v>
      </c>
      <c r="Q120" s="35" t="s">
        <v>592</v>
      </c>
      <c r="R120" s="35" t="s">
        <v>499</v>
      </c>
      <c r="S120" s="35" t="s">
        <v>427</v>
      </c>
      <c r="T120" s="35" t="s">
        <v>384</v>
      </c>
      <c r="U120" s="35" t="s">
        <v>385</v>
      </c>
      <c r="X120" s="35" t="s">
        <v>3014</v>
      </c>
      <c r="AW120" s="35" t="s">
        <v>390</v>
      </c>
      <c r="AX120" s="41">
        <v>2.0</v>
      </c>
      <c r="AY120" s="41">
        <v>2.0</v>
      </c>
      <c r="AZ120" s="35" t="s">
        <v>675</v>
      </c>
      <c r="BA120" s="35" t="s">
        <v>675</v>
      </c>
      <c r="BB120" s="35" t="s">
        <v>675</v>
      </c>
      <c r="BC120" s="35" t="s">
        <v>675</v>
      </c>
      <c r="BD120" s="35" t="s">
        <v>5542</v>
      </c>
      <c r="BE120" s="35" t="s">
        <v>5543</v>
      </c>
      <c r="BF120" s="35" t="s">
        <v>392</v>
      </c>
      <c r="BG120" s="35" t="s">
        <v>433</v>
      </c>
      <c r="BH120" s="35" t="s">
        <v>394</v>
      </c>
      <c r="BJ120" s="35" t="s">
        <v>509</v>
      </c>
      <c r="BK120" s="35" t="s">
        <v>5544</v>
      </c>
      <c r="BL120" s="35" t="s">
        <v>602</v>
      </c>
      <c r="BM120" s="35" t="s">
        <v>438</v>
      </c>
      <c r="BN120" s="35" t="s">
        <v>549</v>
      </c>
      <c r="BO120" s="35" t="s">
        <v>440</v>
      </c>
      <c r="CM120" s="35" t="s">
        <v>441</v>
      </c>
      <c r="CN120" s="35" t="s">
        <v>401</v>
      </c>
      <c r="CO120" s="35" t="s">
        <v>5545</v>
      </c>
      <c r="CP120" s="35" t="s">
        <v>5546</v>
      </c>
      <c r="CQ120" s="35" t="s">
        <v>979</v>
      </c>
      <c r="CR120" s="35" t="s">
        <v>5547</v>
      </c>
      <c r="CS120" s="35" t="s">
        <v>447</v>
      </c>
      <c r="CT120" s="35" t="s">
        <v>5548</v>
      </c>
      <c r="CU120" s="35" t="s">
        <v>5549</v>
      </c>
      <c r="CV120" s="35" t="s">
        <v>450</v>
      </c>
      <c r="CW120" s="35" t="s">
        <v>451</v>
      </c>
      <c r="CX120" s="35" t="s">
        <v>5550</v>
      </c>
      <c r="CY120" s="35" t="s">
        <v>408</v>
      </c>
      <c r="DA120" s="35" t="s">
        <v>453</v>
      </c>
      <c r="DB120" s="35" t="s">
        <v>5551</v>
      </c>
      <c r="DC120" s="35" t="s">
        <v>455</v>
      </c>
      <c r="DD120" s="35" t="s">
        <v>5552</v>
      </c>
      <c r="DE120" s="35" t="s">
        <v>457</v>
      </c>
      <c r="DG120" s="35" t="s">
        <v>5553</v>
      </c>
      <c r="DH120" s="35" t="s">
        <v>524</v>
      </c>
      <c r="DI120" s="35" t="s">
        <v>410</v>
      </c>
      <c r="DJ120" s="35" t="s">
        <v>459</v>
      </c>
      <c r="DK120" s="35" t="s">
        <v>562</v>
      </c>
      <c r="DL120" s="35" t="s">
        <v>461</v>
      </c>
      <c r="DN120" s="35" t="s">
        <v>5554</v>
      </c>
      <c r="DO120" s="35" t="s">
        <v>5555</v>
      </c>
      <c r="DP120" s="35" t="s">
        <v>464</v>
      </c>
      <c r="DQ120" s="35" t="s">
        <v>5556</v>
      </c>
      <c r="DR120" s="35" t="s">
        <v>466</v>
      </c>
      <c r="DS120" s="35" t="s">
        <v>5557</v>
      </c>
      <c r="DT120" s="35" t="s">
        <v>468</v>
      </c>
      <c r="DU120" s="35" t="s">
        <v>469</v>
      </c>
      <c r="DV120" s="35" t="s">
        <v>5558</v>
      </c>
      <c r="DW120" s="35" t="s">
        <v>5559</v>
      </c>
      <c r="DX120" s="35" t="s">
        <v>573</v>
      </c>
      <c r="DY120" s="35" t="s">
        <v>5560</v>
      </c>
      <c r="DZ120" s="35" t="s">
        <v>5561</v>
      </c>
      <c r="EA120" s="35" t="s">
        <v>5562</v>
      </c>
      <c r="EB120" s="35" t="s">
        <v>475</v>
      </c>
      <c r="EC120" s="35" t="s">
        <v>626</v>
      </c>
      <c r="ED120" s="35" t="s">
        <v>5563</v>
      </c>
      <c r="EU120" s="35" t="s">
        <v>526</v>
      </c>
      <c r="EV120" s="35" t="s">
        <v>887</v>
      </c>
      <c r="EW120" s="35" t="s">
        <v>527</v>
      </c>
      <c r="EX120" s="35" t="s">
        <v>5564</v>
      </c>
      <c r="EY120" s="35" t="s">
        <v>5565</v>
      </c>
      <c r="EZ120" s="35" t="s">
        <v>5566</v>
      </c>
      <c r="FA120" s="35" t="s">
        <v>583</v>
      </c>
      <c r="FB120" s="35" t="s">
        <v>583</v>
      </c>
      <c r="FC120" s="35" t="s">
        <v>583</v>
      </c>
      <c r="FD120" s="35" t="s">
        <v>583</v>
      </c>
      <c r="FE120" s="35" t="s">
        <v>583</v>
      </c>
      <c r="FF120" s="35" t="s">
        <v>583</v>
      </c>
      <c r="FG120" s="35" t="s">
        <v>583</v>
      </c>
      <c r="FH120" s="35" t="s">
        <v>583</v>
      </c>
      <c r="FI120" s="35" t="s">
        <v>583</v>
      </c>
      <c r="FJ120" s="35" t="s">
        <v>583</v>
      </c>
      <c r="FK120" s="35" t="s">
        <v>583</v>
      </c>
      <c r="FL120" s="35" t="s">
        <v>414</v>
      </c>
      <c r="FM120" s="35" t="s">
        <v>583</v>
      </c>
      <c r="FN120" s="35" t="s">
        <v>484</v>
      </c>
      <c r="FO120" s="35" t="s">
        <v>583</v>
      </c>
      <c r="FP120" s="35" t="s">
        <v>485</v>
      </c>
      <c r="FQ120" s="35" t="s">
        <v>486</v>
      </c>
      <c r="FR120" s="35" t="s">
        <v>419</v>
      </c>
      <c r="FS120" s="35" t="s">
        <v>5567</v>
      </c>
      <c r="FT120" s="35" t="s">
        <v>420</v>
      </c>
      <c r="FU120" s="35" t="s">
        <v>488</v>
      </c>
      <c r="FV120" s="35" t="s">
        <v>918</v>
      </c>
      <c r="FW120" s="35" t="s">
        <v>490</v>
      </c>
      <c r="FX120" s="35" t="s">
        <v>491</v>
      </c>
      <c r="FY120" s="35" t="s">
        <v>5568</v>
      </c>
      <c r="FZ120" s="35" t="s">
        <v>535</v>
      </c>
      <c r="GA120" s="35" t="s">
        <v>5569</v>
      </c>
      <c r="GB120" s="35" t="s">
        <v>5570</v>
      </c>
      <c r="GC120" s="35" t="s">
        <v>455</v>
      </c>
      <c r="GE120" s="35" t="s">
        <v>5571</v>
      </c>
      <c r="GF120" s="35" t="s">
        <v>753</v>
      </c>
      <c r="GG120" s="35" t="s">
        <v>5572</v>
      </c>
      <c r="GH120" s="35" t="s">
        <v>755</v>
      </c>
      <c r="GI120" s="35" t="s">
        <v>755</v>
      </c>
      <c r="GJ120" s="35" t="s">
        <v>946</v>
      </c>
      <c r="GN120" s="35" t="s">
        <v>1079</v>
      </c>
      <c r="GO120" s="35" t="s">
        <v>5573</v>
      </c>
      <c r="GP120" s="35" t="s">
        <v>5574</v>
      </c>
      <c r="GR120" s="35" t="s">
        <v>3208</v>
      </c>
      <c r="GU120" s="35" t="s">
        <v>4774</v>
      </c>
      <c r="GW120" s="35" t="s">
        <v>5231</v>
      </c>
      <c r="GX120" s="35" t="s">
        <v>5232</v>
      </c>
      <c r="HD120" s="35" t="s">
        <v>5297</v>
      </c>
      <c r="HE120" s="35" t="s">
        <v>5282</v>
      </c>
      <c r="HF120" s="35" t="s">
        <v>5320</v>
      </c>
      <c r="HH120" s="35" t="s">
        <v>5575</v>
      </c>
      <c r="HI120" s="35" t="s">
        <v>5495</v>
      </c>
      <c r="HJ120" s="35" t="s">
        <v>5576</v>
      </c>
      <c r="HK120" s="35" t="s">
        <v>5577</v>
      </c>
      <c r="HP120" s="35" t="s">
        <v>5236</v>
      </c>
      <c r="HQ120" s="35" t="s">
        <v>5237</v>
      </c>
      <c r="HR120" s="35" t="s">
        <v>5238</v>
      </c>
      <c r="HS120" s="35" t="s">
        <v>5239</v>
      </c>
      <c r="HX120" s="35" t="s">
        <v>5578</v>
      </c>
      <c r="IO120" s="35" t="s">
        <v>5500</v>
      </c>
      <c r="IP120" s="35" t="s">
        <v>5500</v>
      </c>
      <c r="IQ120" s="35" t="s">
        <v>5536</v>
      </c>
      <c r="IR120" s="35" t="s">
        <v>5500</v>
      </c>
      <c r="IS120" s="35" t="s">
        <v>5500</v>
      </c>
      <c r="IT120" s="35" t="s">
        <v>5537</v>
      </c>
    </row>
    <row r="121">
      <c r="A121" s="35" t="s">
        <v>12102</v>
      </c>
      <c r="B121" s="40">
        <v>45881.76282621528</v>
      </c>
      <c r="C121" s="35" t="s">
        <v>368</v>
      </c>
      <c r="D121" s="35" t="s">
        <v>370</v>
      </c>
      <c r="E121" s="35" t="s">
        <v>370</v>
      </c>
      <c r="F121" s="35" t="s">
        <v>1480</v>
      </c>
      <c r="G121" s="35" t="s">
        <v>1441</v>
      </c>
      <c r="H121" s="35" t="s">
        <v>422</v>
      </c>
      <c r="I121" s="35" t="s">
        <v>373</v>
      </c>
      <c r="J121" s="35" t="s">
        <v>374</v>
      </c>
      <c r="K121" s="35" t="s">
        <v>375</v>
      </c>
      <c r="L121" s="35" t="s">
        <v>376</v>
      </c>
      <c r="M121" s="35" t="s">
        <v>426</v>
      </c>
      <c r="N121" s="35" t="s">
        <v>5598</v>
      </c>
      <c r="O121" s="35" t="s">
        <v>591</v>
      </c>
      <c r="P121" s="35" t="s">
        <v>497</v>
      </c>
      <c r="Q121" s="35" t="s">
        <v>498</v>
      </c>
      <c r="R121" s="35" t="s">
        <v>862</v>
      </c>
      <c r="S121" s="35" t="s">
        <v>500</v>
      </c>
      <c r="T121" s="35" t="s">
        <v>384</v>
      </c>
      <c r="U121" s="35" t="s">
        <v>385</v>
      </c>
      <c r="X121" s="35" t="s">
        <v>3014</v>
      </c>
      <c r="AW121" s="35" t="s">
        <v>504</v>
      </c>
      <c r="AX121" s="41">
        <v>4.0</v>
      </c>
      <c r="AY121" s="35" t="s">
        <v>391</v>
      </c>
      <c r="AZ121" s="41">
        <v>4.0</v>
      </c>
      <c r="BA121" s="35" t="s">
        <v>391</v>
      </c>
      <c r="BB121" s="35" t="s">
        <v>391</v>
      </c>
      <c r="BC121" s="41">
        <v>4.0</v>
      </c>
      <c r="BD121" s="35" t="s">
        <v>5599</v>
      </c>
      <c r="BE121" s="35" t="s">
        <v>5600</v>
      </c>
      <c r="BF121" s="35" t="s">
        <v>392</v>
      </c>
      <c r="BG121" s="35" t="s">
        <v>393</v>
      </c>
      <c r="BH121" s="35" t="s">
        <v>725</v>
      </c>
      <c r="BI121" s="35" t="s">
        <v>5601</v>
      </c>
      <c r="BJ121" s="35" t="s">
        <v>976</v>
      </c>
      <c r="BL121" s="35" t="s">
        <v>681</v>
      </c>
      <c r="BM121" s="35" t="s">
        <v>512</v>
      </c>
      <c r="BN121" s="35" t="s">
        <v>439</v>
      </c>
      <c r="BO121" s="35" t="s">
        <v>440</v>
      </c>
      <c r="CM121" s="35" t="s">
        <v>441</v>
      </c>
      <c r="CN121" s="35" t="s">
        <v>604</v>
      </c>
      <c r="CO121" s="35" t="s">
        <v>5602</v>
      </c>
      <c r="CP121" s="35" t="s">
        <v>5603</v>
      </c>
      <c r="CQ121" s="35" t="s">
        <v>1008</v>
      </c>
      <c r="CR121" s="35" t="s">
        <v>4908</v>
      </c>
      <c r="CS121" s="35" t="s">
        <v>447</v>
      </c>
      <c r="CT121" s="35" t="s">
        <v>5604</v>
      </c>
      <c r="CU121" s="35" t="s">
        <v>5605</v>
      </c>
      <c r="CV121" s="35" t="s">
        <v>450</v>
      </c>
      <c r="CW121" s="35" t="s">
        <v>451</v>
      </c>
      <c r="CX121" s="35" t="s">
        <v>5606</v>
      </c>
      <c r="CY121" s="35" t="s">
        <v>408</v>
      </c>
      <c r="DA121" s="35" t="s">
        <v>453</v>
      </c>
      <c r="DB121" s="35" t="s">
        <v>5607</v>
      </c>
      <c r="DC121" s="35" t="s">
        <v>408</v>
      </c>
      <c r="DE121" s="35" t="s">
        <v>406</v>
      </c>
      <c r="DF121" s="35" t="s">
        <v>407</v>
      </c>
      <c r="DG121" s="35" t="s">
        <v>5608</v>
      </c>
      <c r="DH121" s="35" t="s">
        <v>524</v>
      </c>
      <c r="DI121" s="35" t="s">
        <v>410</v>
      </c>
      <c r="DJ121" s="35" t="s">
        <v>777</v>
      </c>
      <c r="DK121" s="35" t="s">
        <v>613</v>
      </c>
      <c r="DN121" s="35" t="s">
        <v>5609</v>
      </c>
      <c r="DO121" s="35" t="s">
        <v>1576</v>
      </c>
      <c r="DP121" s="35" t="s">
        <v>464</v>
      </c>
      <c r="DQ121" s="35" t="s">
        <v>5610</v>
      </c>
      <c r="DR121" s="35" t="s">
        <v>1553</v>
      </c>
      <c r="DS121" s="35" t="s">
        <v>5611</v>
      </c>
      <c r="DT121" s="35" t="s">
        <v>839</v>
      </c>
      <c r="DU121" s="35" t="s">
        <v>570</v>
      </c>
      <c r="DV121" s="35" t="s">
        <v>5612</v>
      </c>
      <c r="DW121" s="35" t="s">
        <v>5613</v>
      </c>
      <c r="DX121" s="35" t="s">
        <v>396</v>
      </c>
      <c r="DY121" s="35" t="s">
        <v>5614</v>
      </c>
      <c r="DZ121" s="35" t="s">
        <v>5615</v>
      </c>
      <c r="EA121" s="35" t="s">
        <v>5616</v>
      </c>
      <c r="EB121" s="35" t="s">
        <v>475</v>
      </c>
      <c r="EC121" s="35" t="s">
        <v>845</v>
      </c>
      <c r="ED121" s="35" t="s">
        <v>5617</v>
      </c>
      <c r="EU121" s="35" t="s">
        <v>578</v>
      </c>
      <c r="EV121" s="35" t="s">
        <v>479</v>
      </c>
      <c r="EW121" s="35" t="s">
        <v>480</v>
      </c>
      <c r="EX121" s="35" t="s">
        <v>5618</v>
      </c>
      <c r="EY121" s="35" t="s">
        <v>5619</v>
      </c>
      <c r="EZ121" s="35" t="s">
        <v>4493</v>
      </c>
      <c r="FA121" s="35" t="s">
        <v>416</v>
      </c>
      <c r="FB121" s="35" t="s">
        <v>415</v>
      </c>
      <c r="FC121" s="35" t="s">
        <v>413</v>
      </c>
      <c r="FD121" s="35" t="s">
        <v>413</v>
      </c>
      <c r="FE121" s="35" t="s">
        <v>413</v>
      </c>
      <c r="FF121" s="35" t="s">
        <v>415</v>
      </c>
      <c r="FG121" s="35" t="s">
        <v>415</v>
      </c>
      <c r="FH121" s="35" t="s">
        <v>413</v>
      </c>
      <c r="FI121" s="35" t="s">
        <v>583</v>
      </c>
      <c r="FJ121" s="35" t="s">
        <v>414</v>
      </c>
      <c r="FK121" s="35" t="s">
        <v>415</v>
      </c>
      <c r="FL121" s="35" t="s">
        <v>413</v>
      </c>
      <c r="FM121" s="35" t="s">
        <v>415</v>
      </c>
      <c r="FN121" s="35" t="s">
        <v>416</v>
      </c>
      <c r="FO121" s="35" t="s">
        <v>414</v>
      </c>
      <c r="FP121" s="35" t="s">
        <v>485</v>
      </c>
      <c r="FQ121" s="35" t="s">
        <v>418</v>
      </c>
      <c r="FR121" s="35" t="s">
        <v>749</v>
      </c>
      <c r="FS121" s="35" t="s">
        <v>5620</v>
      </c>
      <c r="FT121" s="35" t="s">
        <v>420</v>
      </c>
      <c r="FU121" s="35" t="s">
        <v>1462</v>
      </c>
      <c r="FV121" s="35" t="s">
        <v>489</v>
      </c>
      <c r="FW121" s="35" t="s">
        <v>490</v>
      </c>
      <c r="FX121" s="35" t="s">
        <v>491</v>
      </c>
      <c r="FY121" s="35" t="s">
        <v>5621</v>
      </c>
      <c r="FZ121" s="35" t="s">
        <v>493</v>
      </c>
      <c r="GA121" s="35" t="s">
        <v>5622</v>
      </c>
      <c r="GB121" s="35" t="s">
        <v>5623</v>
      </c>
      <c r="GC121" s="35" t="s">
        <v>455</v>
      </c>
      <c r="GD121" s="35" t="s">
        <v>12103</v>
      </c>
      <c r="GF121" s="35" t="s">
        <v>753</v>
      </c>
      <c r="GH121" s="35" t="s">
        <v>755</v>
      </c>
      <c r="GI121" s="35" t="s">
        <v>755</v>
      </c>
      <c r="GJ121" s="35" t="s">
        <v>946</v>
      </c>
      <c r="GN121" s="35" t="s">
        <v>1079</v>
      </c>
      <c r="GR121" s="35" t="s">
        <v>3273</v>
      </c>
      <c r="GU121" s="35" t="s">
        <v>4774</v>
      </c>
      <c r="GW121" s="35" t="s">
        <v>5231</v>
      </c>
      <c r="GX121" s="35" t="s">
        <v>5232</v>
      </c>
      <c r="HD121" s="35" t="s">
        <v>5297</v>
      </c>
      <c r="HE121" s="35" t="s">
        <v>5349</v>
      </c>
      <c r="HF121" s="35" t="s">
        <v>5320</v>
      </c>
      <c r="HG121" s="35" t="s">
        <v>5284</v>
      </c>
      <c r="HH121" s="35" t="s">
        <v>5624</v>
      </c>
      <c r="HI121" s="35" t="s">
        <v>5625</v>
      </c>
      <c r="HJ121" s="35" t="s">
        <v>5626</v>
      </c>
      <c r="HK121" s="35" t="s">
        <v>5627</v>
      </c>
      <c r="HP121" s="35" t="s">
        <v>5346</v>
      </c>
      <c r="HQ121" s="35" t="s">
        <v>5302</v>
      </c>
      <c r="HR121" s="35" t="s">
        <v>5238</v>
      </c>
      <c r="HS121" s="35" t="s">
        <v>5321</v>
      </c>
      <c r="HX121" s="35" t="s">
        <v>5628</v>
      </c>
      <c r="IO121" s="35" t="s">
        <v>5536</v>
      </c>
      <c r="IP121" s="35" t="s">
        <v>5536</v>
      </c>
      <c r="IQ121" s="35" t="s">
        <v>5500</v>
      </c>
      <c r="IR121" s="35" t="s">
        <v>5629</v>
      </c>
      <c r="IS121" s="35" t="s">
        <v>5536</v>
      </c>
      <c r="IT121" s="35" t="s">
        <v>5536</v>
      </c>
    </row>
    <row r="122">
      <c r="A122" s="35" t="s">
        <v>12104</v>
      </c>
      <c r="B122" s="40">
        <v>45899.51747539351</v>
      </c>
      <c r="C122" s="35" t="s">
        <v>368</v>
      </c>
      <c r="D122" s="35" t="s">
        <v>370</v>
      </c>
      <c r="E122" s="35" t="s">
        <v>370</v>
      </c>
      <c r="F122" s="35" t="s">
        <v>5866</v>
      </c>
      <c r="G122" s="35" t="s">
        <v>371</v>
      </c>
      <c r="H122" s="35" t="s">
        <v>1269</v>
      </c>
      <c r="I122" s="35" t="s">
        <v>423</v>
      </c>
      <c r="J122" s="35" t="s">
        <v>668</v>
      </c>
      <c r="K122" s="35" t="s">
        <v>375</v>
      </c>
      <c r="L122" s="35" t="s">
        <v>376</v>
      </c>
      <c r="M122" s="35" t="s">
        <v>377</v>
      </c>
      <c r="N122" s="35" t="s">
        <v>3845</v>
      </c>
      <c r="O122" s="35" t="s">
        <v>426</v>
      </c>
      <c r="P122" s="35" t="s">
        <v>5867</v>
      </c>
      <c r="Q122" s="35" t="s">
        <v>381</v>
      </c>
      <c r="R122" s="35" t="s">
        <v>1004</v>
      </c>
      <c r="S122" s="35" t="s">
        <v>500</v>
      </c>
      <c r="T122" s="35" t="s">
        <v>384</v>
      </c>
      <c r="U122" s="35" t="s">
        <v>385</v>
      </c>
      <c r="X122" s="35" t="s">
        <v>386</v>
      </c>
      <c r="Y122" s="35" t="s">
        <v>387</v>
      </c>
      <c r="Z122" s="35" t="s">
        <v>388</v>
      </c>
      <c r="AA122" s="35" t="s">
        <v>389</v>
      </c>
      <c r="AB122" s="35" t="s">
        <v>5868</v>
      </c>
      <c r="AC122" s="35" t="s">
        <v>5869</v>
      </c>
      <c r="AW122" s="35" t="s">
        <v>1242</v>
      </c>
      <c r="AX122" s="35" t="s">
        <v>675</v>
      </c>
      <c r="AY122" s="35" t="s">
        <v>675</v>
      </c>
      <c r="AZ122" s="35" t="s">
        <v>675</v>
      </c>
      <c r="BA122" s="35" t="s">
        <v>675</v>
      </c>
      <c r="BB122" s="35" t="s">
        <v>675</v>
      </c>
      <c r="BC122" s="35" t="s">
        <v>675</v>
      </c>
      <c r="BD122" s="35" t="s">
        <v>5870</v>
      </c>
      <c r="BE122" s="35" t="s">
        <v>5871</v>
      </c>
      <c r="BF122" s="35" t="s">
        <v>432</v>
      </c>
      <c r="BG122" s="35" t="s">
        <v>1245</v>
      </c>
      <c r="BH122" s="35" t="s">
        <v>434</v>
      </c>
      <c r="BI122" s="35" t="s">
        <v>5872</v>
      </c>
      <c r="BJ122" s="35" t="s">
        <v>435</v>
      </c>
      <c r="BK122" s="35" t="s">
        <v>5873</v>
      </c>
      <c r="BL122" s="35" t="s">
        <v>511</v>
      </c>
      <c r="BM122" s="35" t="s">
        <v>438</v>
      </c>
      <c r="BN122" s="35" t="s">
        <v>1314</v>
      </c>
      <c r="BO122" s="35" t="s">
        <v>440</v>
      </c>
      <c r="CM122" s="35" t="s">
        <v>441</v>
      </c>
      <c r="CN122" s="35" t="s">
        <v>682</v>
      </c>
      <c r="CO122" s="35" t="s">
        <v>5874</v>
      </c>
      <c r="CP122" s="35" t="s">
        <v>5875</v>
      </c>
      <c r="CQ122" s="35" t="s">
        <v>685</v>
      </c>
      <c r="CR122" s="35" t="s">
        <v>5876</v>
      </c>
      <c r="CS122" s="35" t="s">
        <v>404</v>
      </c>
      <c r="CT122" s="35" t="s">
        <v>1137</v>
      </c>
      <c r="CU122" s="35" t="s">
        <v>5877</v>
      </c>
      <c r="CV122" s="35" t="s">
        <v>982</v>
      </c>
      <c r="CW122" s="35" t="s">
        <v>451</v>
      </c>
      <c r="CX122" s="35" t="s">
        <v>5878</v>
      </c>
      <c r="CY122" s="35" t="s">
        <v>408</v>
      </c>
      <c r="DA122" s="35" t="s">
        <v>1398</v>
      </c>
      <c r="DB122" s="35" t="s">
        <v>5879</v>
      </c>
      <c r="DC122" s="35" t="s">
        <v>455</v>
      </c>
      <c r="DD122" s="35" t="s">
        <v>5880</v>
      </c>
      <c r="DE122" s="35" t="s">
        <v>457</v>
      </c>
      <c r="DF122" s="35" t="s">
        <v>691</v>
      </c>
      <c r="DG122" s="35" t="s">
        <v>5881</v>
      </c>
      <c r="DH122" s="35" t="s">
        <v>561</v>
      </c>
      <c r="DI122" s="35" t="s">
        <v>833</v>
      </c>
      <c r="DJ122" s="35" t="s">
        <v>963</v>
      </c>
      <c r="DK122" s="35" t="s">
        <v>1403</v>
      </c>
      <c r="DL122" s="35" t="s">
        <v>525</v>
      </c>
      <c r="DN122" s="35" t="s">
        <v>5882</v>
      </c>
      <c r="DO122" s="35" t="s">
        <v>5883</v>
      </c>
      <c r="DP122" s="35" t="s">
        <v>3496</v>
      </c>
      <c r="DQ122" s="35" t="s">
        <v>5884</v>
      </c>
      <c r="DR122" s="35" t="s">
        <v>1324</v>
      </c>
      <c r="DS122" s="35" t="s">
        <v>5885</v>
      </c>
      <c r="DT122" s="35" t="s">
        <v>618</v>
      </c>
      <c r="DU122" s="35" t="s">
        <v>1580</v>
      </c>
      <c r="DV122" s="35" t="s">
        <v>5886</v>
      </c>
      <c r="DW122" s="35" t="s">
        <v>5887</v>
      </c>
      <c r="DX122" s="35" t="s">
        <v>1328</v>
      </c>
      <c r="DY122" s="35" t="s">
        <v>5888</v>
      </c>
      <c r="DZ122" s="35" t="s">
        <v>5889</v>
      </c>
      <c r="EA122" s="35" t="s">
        <v>5890</v>
      </c>
      <c r="EB122" s="35" t="s">
        <v>475</v>
      </c>
      <c r="EC122" s="35" t="s">
        <v>626</v>
      </c>
      <c r="ED122" s="35" t="s">
        <v>5891</v>
      </c>
      <c r="EU122" s="35" t="s">
        <v>526</v>
      </c>
      <c r="EV122" s="35" t="s">
        <v>579</v>
      </c>
      <c r="EW122" s="35" t="s">
        <v>778</v>
      </c>
      <c r="EX122" s="35" t="s">
        <v>5892</v>
      </c>
      <c r="EY122" s="35" t="s">
        <v>5893</v>
      </c>
      <c r="EZ122" s="35" t="s">
        <v>5894</v>
      </c>
      <c r="FA122" s="35" t="s">
        <v>413</v>
      </c>
      <c r="FB122" s="35" t="s">
        <v>413</v>
      </c>
      <c r="FC122" s="35" t="s">
        <v>413</v>
      </c>
      <c r="FD122" s="35" t="s">
        <v>413</v>
      </c>
      <c r="FE122" s="35" t="s">
        <v>413</v>
      </c>
      <c r="FF122" s="35" t="s">
        <v>413</v>
      </c>
      <c r="FG122" s="35" t="s">
        <v>413</v>
      </c>
      <c r="FH122" s="35" t="s">
        <v>413</v>
      </c>
      <c r="FI122" s="35" t="s">
        <v>413</v>
      </c>
      <c r="FJ122" s="35" t="s">
        <v>413</v>
      </c>
      <c r="FK122" s="35" t="s">
        <v>413</v>
      </c>
      <c r="FL122" s="35" t="s">
        <v>413</v>
      </c>
      <c r="FM122" s="35" t="s">
        <v>413</v>
      </c>
      <c r="FN122" s="35" t="s">
        <v>413</v>
      </c>
      <c r="FO122" s="35" t="s">
        <v>583</v>
      </c>
      <c r="FP122" s="35" t="s">
        <v>485</v>
      </c>
      <c r="FQ122" s="35" t="s">
        <v>418</v>
      </c>
      <c r="FR122" s="35" t="s">
        <v>531</v>
      </c>
      <c r="FS122" s="35" t="s">
        <v>5895</v>
      </c>
      <c r="FT122" s="35" t="s">
        <v>420</v>
      </c>
      <c r="FU122" s="35" t="s">
        <v>1462</v>
      </c>
      <c r="FV122" s="35" t="s">
        <v>585</v>
      </c>
      <c r="FW122" s="35" t="s">
        <v>490</v>
      </c>
      <c r="FX122" s="35" t="s">
        <v>491</v>
      </c>
      <c r="FY122" s="35" t="s">
        <v>5896</v>
      </c>
      <c r="FZ122" s="35" t="s">
        <v>535</v>
      </c>
      <c r="GA122" s="35" t="s">
        <v>5897</v>
      </c>
      <c r="GC122" s="35" t="s">
        <v>455</v>
      </c>
      <c r="GD122" s="35" t="s">
        <v>12105</v>
      </c>
      <c r="GF122" s="35" t="s">
        <v>944</v>
      </c>
      <c r="GG122" s="35" t="s">
        <v>5898</v>
      </c>
      <c r="GH122" s="35" t="s">
        <v>755</v>
      </c>
      <c r="GI122" s="35" t="s">
        <v>755</v>
      </c>
      <c r="GJ122" s="35" t="s">
        <v>946</v>
      </c>
      <c r="GN122" s="35" t="s">
        <v>1079</v>
      </c>
      <c r="GR122" s="35" t="s">
        <v>3208</v>
      </c>
      <c r="GU122" s="35" t="s">
        <v>4774</v>
      </c>
      <c r="GW122" s="35" t="s">
        <v>5231</v>
      </c>
      <c r="GX122" s="35" t="s">
        <v>5232</v>
      </c>
      <c r="HD122" s="35" t="s">
        <v>5281</v>
      </c>
      <c r="HE122" s="35" t="s">
        <v>484</v>
      </c>
      <c r="HF122" s="35" t="s">
        <v>5718</v>
      </c>
      <c r="HG122" s="35" t="s">
        <v>5899</v>
      </c>
      <c r="HH122" s="35" t="s">
        <v>5900</v>
      </c>
      <c r="HI122" s="35" t="s">
        <v>5495</v>
      </c>
      <c r="HJ122" s="35" t="s">
        <v>5901</v>
      </c>
      <c r="HK122" s="35" t="s">
        <v>5902</v>
      </c>
      <c r="HP122" s="35" t="s">
        <v>5346</v>
      </c>
      <c r="HQ122" s="35" t="s">
        <v>5237</v>
      </c>
      <c r="HR122" s="35" t="s">
        <v>5238</v>
      </c>
      <c r="HS122" s="35" t="s">
        <v>5321</v>
      </c>
      <c r="HX122" s="35" t="s">
        <v>5903</v>
      </c>
      <c r="IO122" s="35" t="s">
        <v>5500</v>
      </c>
      <c r="IP122" s="35" t="s">
        <v>5500</v>
      </c>
      <c r="IQ122" s="35" t="s">
        <v>5500</v>
      </c>
      <c r="IR122" s="35" t="s">
        <v>5500</v>
      </c>
      <c r="IS122" s="35" t="s">
        <v>5500</v>
      </c>
      <c r="IT122" s="35" t="s">
        <v>5500</v>
      </c>
    </row>
    <row r="123">
      <c r="A123" s="35" t="s">
        <v>12106</v>
      </c>
      <c r="B123" s="40">
        <v>45903.70256416667</v>
      </c>
      <c r="C123" s="35" t="s">
        <v>368</v>
      </c>
      <c r="D123" s="35" t="s">
        <v>370</v>
      </c>
      <c r="E123" s="35" t="s">
        <v>370</v>
      </c>
      <c r="F123" s="35" t="s">
        <v>2114</v>
      </c>
      <c r="G123" s="35" t="s">
        <v>1421</v>
      </c>
      <c r="H123" s="35" t="s">
        <v>422</v>
      </c>
      <c r="I123" s="35" t="s">
        <v>373</v>
      </c>
      <c r="J123" s="35" t="s">
        <v>1022</v>
      </c>
      <c r="K123" s="35" t="s">
        <v>718</v>
      </c>
      <c r="L123" s="35" t="s">
        <v>376</v>
      </c>
      <c r="M123" s="35" t="s">
        <v>379</v>
      </c>
      <c r="N123" s="35" t="s">
        <v>378</v>
      </c>
      <c r="O123" s="35" t="s">
        <v>379</v>
      </c>
      <c r="P123" s="35" t="s">
        <v>719</v>
      </c>
      <c r="Q123" s="35" t="s">
        <v>381</v>
      </c>
      <c r="R123" s="35" t="s">
        <v>382</v>
      </c>
      <c r="S123" s="35" t="s">
        <v>1901</v>
      </c>
      <c r="T123" s="35" t="s">
        <v>384</v>
      </c>
      <c r="U123" s="35" t="s">
        <v>385</v>
      </c>
      <c r="X123" s="35" t="s">
        <v>386</v>
      </c>
      <c r="Y123" s="35" t="s">
        <v>387</v>
      </c>
      <c r="Z123" s="35" t="s">
        <v>388</v>
      </c>
      <c r="AA123" s="35" t="s">
        <v>672</v>
      </c>
      <c r="AB123" s="35" t="s">
        <v>408</v>
      </c>
      <c r="AC123" s="35" t="s">
        <v>6224</v>
      </c>
      <c r="AW123" s="35" t="s">
        <v>597</v>
      </c>
      <c r="AX123" s="41">
        <v>4.0</v>
      </c>
      <c r="AY123" s="41">
        <v>4.0</v>
      </c>
      <c r="AZ123" s="41">
        <v>4.0</v>
      </c>
      <c r="BA123" s="41">
        <v>4.0</v>
      </c>
      <c r="BB123" s="35" t="s">
        <v>675</v>
      </c>
      <c r="BC123" s="41">
        <v>4.0</v>
      </c>
      <c r="BD123" s="35" t="s">
        <v>6225</v>
      </c>
      <c r="BE123" s="35" t="s">
        <v>6226</v>
      </c>
      <c r="BF123" s="35" t="s">
        <v>432</v>
      </c>
      <c r="BG123" s="35" t="s">
        <v>1095</v>
      </c>
      <c r="BH123" s="35" t="s">
        <v>678</v>
      </c>
      <c r="BJ123" s="35" t="s">
        <v>435</v>
      </c>
      <c r="BK123" s="35" t="s">
        <v>6227</v>
      </c>
      <c r="BL123" s="35" t="s">
        <v>437</v>
      </c>
      <c r="BM123" s="35" t="s">
        <v>603</v>
      </c>
      <c r="BN123" s="35" t="s">
        <v>549</v>
      </c>
      <c r="BO123" s="35" t="s">
        <v>440</v>
      </c>
      <c r="CM123" s="35" t="s">
        <v>441</v>
      </c>
      <c r="CN123" s="35" t="s">
        <v>401</v>
      </c>
      <c r="CO123" s="35" t="s">
        <v>6228</v>
      </c>
      <c r="CP123" s="35" t="s">
        <v>6229</v>
      </c>
      <c r="CQ123" s="35" t="s">
        <v>403</v>
      </c>
      <c r="CR123" s="35" t="s">
        <v>1427</v>
      </c>
      <c r="CS123" s="35" t="s">
        <v>404</v>
      </c>
      <c r="CU123" s="35" t="s">
        <v>6230</v>
      </c>
      <c r="CV123" s="35" t="s">
        <v>450</v>
      </c>
      <c r="CW123" s="35" t="s">
        <v>451</v>
      </c>
      <c r="CX123" s="35" t="s">
        <v>1766</v>
      </c>
      <c r="CY123" s="35" t="s">
        <v>408</v>
      </c>
      <c r="DA123" s="35" t="s">
        <v>453</v>
      </c>
      <c r="DC123" s="35" t="s">
        <v>408</v>
      </c>
      <c r="DE123" s="35" t="s">
        <v>406</v>
      </c>
      <c r="DF123" s="35" t="s">
        <v>407</v>
      </c>
      <c r="DG123" s="35" t="s">
        <v>6231</v>
      </c>
      <c r="DH123" s="35" t="s">
        <v>524</v>
      </c>
      <c r="DI123" s="35" t="s">
        <v>1964</v>
      </c>
      <c r="DJ123" s="35" t="s">
        <v>777</v>
      </c>
      <c r="DK123" s="35" t="s">
        <v>562</v>
      </c>
      <c r="DL123" s="35" t="s">
        <v>1434</v>
      </c>
      <c r="DN123" s="35" t="s">
        <v>6232</v>
      </c>
      <c r="DO123" s="35" t="s">
        <v>6233</v>
      </c>
      <c r="DP123" s="35" t="s">
        <v>1063</v>
      </c>
      <c r="DQ123" s="35" t="s">
        <v>6234</v>
      </c>
      <c r="DR123" s="35" t="s">
        <v>837</v>
      </c>
      <c r="DS123" s="35" t="s">
        <v>6235</v>
      </c>
      <c r="DT123" s="35" t="s">
        <v>468</v>
      </c>
      <c r="DU123" s="35" t="s">
        <v>703</v>
      </c>
      <c r="DV123" s="35" t="s">
        <v>6236</v>
      </c>
      <c r="DW123" s="35" t="s">
        <v>408</v>
      </c>
      <c r="DX123" s="35" t="s">
        <v>573</v>
      </c>
      <c r="DY123" s="35" t="s">
        <v>6237</v>
      </c>
      <c r="DZ123" s="35" t="s">
        <v>6238</v>
      </c>
      <c r="EA123" s="35" t="s">
        <v>6239</v>
      </c>
      <c r="EB123" s="35" t="s">
        <v>475</v>
      </c>
      <c r="EC123" s="35" t="s">
        <v>845</v>
      </c>
      <c r="EU123" s="35" t="s">
        <v>526</v>
      </c>
      <c r="EV123" s="35" t="s">
        <v>479</v>
      </c>
      <c r="EW123" s="35" t="s">
        <v>1262</v>
      </c>
      <c r="GH123" s="35" t="s">
        <v>755</v>
      </c>
      <c r="GI123" s="35" t="s">
        <v>755</v>
      </c>
      <c r="GJ123" s="35" t="s">
        <v>946</v>
      </c>
      <c r="GN123" s="35" t="s">
        <v>1079</v>
      </c>
      <c r="GU123" s="35" t="s">
        <v>4774</v>
      </c>
      <c r="GV123" s="35" t="s">
        <v>6240</v>
      </c>
      <c r="GW123" s="35" t="s">
        <v>5231</v>
      </c>
      <c r="GX123" s="35" t="s">
        <v>484</v>
      </c>
      <c r="HD123" s="35" t="s">
        <v>484</v>
      </c>
      <c r="HE123" s="35" t="s">
        <v>484</v>
      </c>
      <c r="HF123" s="35" t="s">
        <v>484</v>
      </c>
      <c r="HG123" s="35" t="s">
        <v>5300</v>
      </c>
      <c r="HH123" s="35" t="s">
        <v>6241</v>
      </c>
      <c r="HI123" s="35" t="s">
        <v>6242</v>
      </c>
      <c r="HJ123" s="35" t="s">
        <v>6243</v>
      </c>
      <c r="HK123" s="35" t="s">
        <v>6244</v>
      </c>
      <c r="IO123" s="35" t="s">
        <v>5536</v>
      </c>
      <c r="IP123" s="35" t="s">
        <v>5536</v>
      </c>
      <c r="IQ123" s="35" t="s">
        <v>5500</v>
      </c>
      <c r="IR123" s="35" t="s">
        <v>5536</v>
      </c>
      <c r="IS123" s="35" t="s">
        <v>5537</v>
      </c>
      <c r="IT123" s="35" t="s">
        <v>5536</v>
      </c>
    </row>
    <row r="124">
      <c r="A124" s="35" t="s">
        <v>12107</v>
      </c>
      <c r="B124" s="40">
        <v>45908.396919861116</v>
      </c>
      <c r="C124" s="35" t="s">
        <v>368</v>
      </c>
      <c r="D124" s="35" t="s">
        <v>370</v>
      </c>
      <c r="E124" s="35" t="s">
        <v>4874</v>
      </c>
      <c r="F124" s="35" t="s">
        <v>371</v>
      </c>
      <c r="H124" s="35" t="s">
        <v>422</v>
      </c>
      <c r="I124" s="35" t="s">
        <v>539</v>
      </c>
      <c r="J124" s="35" t="s">
        <v>424</v>
      </c>
      <c r="K124" s="35" t="s">
        <v>718</v>
      </c>
      <c r="L124" s="35" t="s">
        <v>376</v>
      </c>
      <c r="M124" s="35" t="s">
        <v>426</v>
      </c>
      <c r="N124" s="35" t="s">
        <v>541</v>
      </c>
      <c r="O124" s="35" t="s">
        <v>670</v>
      </c>
      <c r="P124" s="35" t="s">
        <v>6275</v>
      </c>
      <c r="Q124" s="35" t="s">
        <v>498</v>
      </c>
      <c r="R124" s="35" t="s">
        <v>862</v>
      </c>
      <c r="S124" s="35" t="s">
        <v>500</v>
      </c>
      <c r="T124" s="35" t="s">
        <v>3624</v>
      </c>
      <c r="U124" s="35" t="s">
        <v>385</v>
      </c>
      <c r="X124" s="35" t="s">
        <v>593</v>
      </c>
      <c r="Y124" s="35" t="s">
        <v>387</v>
      </c>
      <c r="Z124" s="35" t="s">
        <v>1444</v>
      </c>
      <c r="AA124" s="35" t="s">
        <v>543</v>
      </c>
      <c r="AB124" s="35" t="s">
        <v>6276</v>
      </c>
      <c r="AC124" s="35" t="s">
        <v>6277</v>
      </c>
      <c r="AW124" s="35" t="s">
        <v>597</v>
      </c>
      <c r="AX124" s="35" t="s">
        <v>391</v>
      </c>
      <c r="AY124" s="41">
        <v>2.0</v>
      </c>
      <c r="AZ124" s="35" t="s">
        <v>429</v>
      </c>
      <c r="BA124" s="35" t="s">
        <v>391</v>
      </c>
      <c r="BB124" s="41">
        <v>4.0</v>
      </c>
      <c r="BC124" s="41">
        <v>4.0</v>
      </c>
      <c r="BD124" s="35" t="s">
        <v>6278</v>
      </c>
      <c r="BE124" s="35" t="s">
        <v>6279</v>
      </c>
      <c r="BF124" s="35" t="s">
        <v>432</v>
      </c>
      <c r="BG124" s="35" t="s">
        <v>433</v>
      </c>
      <c r="BH124" s="35" t="s">
        <v>765</v>
      </c>
      <c r="BJ124" s="35" t="s">
        <v>435</v>
      </c>
      <c r="BK124" s="35" t="s">
        <v>6280</v>
      </c>
      <c r="BL124" s="35" t="s">
        <v>511</v>
      </c>
      <c r="BM124" s="35" t="s">
        <v>603</v>
      </c>
      <c r="BN124" s="35" t="s">
        <v>439</v>
      </c>
      <c r="BO124" s="35" t="s">
        <v>440</v>
      </c>
      <c r="CM124" s="35" t="s">
        <v>441</v>
      </c>
      <c r="CN124" s="35" t="s">
        <v>442</v>
      </c>
      <c r="CO124" s="35" t="s">
        <v>552</v>
      </c>
      <c r="CP124" s="35" t="s">
        <v>6281</v>
      </c>
      <c r="CQ124" s="35" t="s">
        <v>685</v>
      </c>
      <c r="CR124" s="35" t="s">
        <v>956</v>
      </c>
      <c r="CS124" s="35" t="s">
        <v>447</v>
      </c>
      <c r="CT124" s="35" t="s">
        <v>871</v>
      </c>
      <c r="CU124" s="35" t="s">
        <v>6282</v>
      </c>
      <c r="CV124" s="35" t="s">
        <v>450</v>
      </c>
      <c r="CW124" s="35" t="s">
        <v>451</v>
      </c>
      <c r="CX124" s="35" t="s">
        <v>6283</v>
      </c>
      <c r="CY124" s="35" t="s">
        <v>408</v>
      </c>
      <c r="DA124" s="35" t="s">
        <v>453</v>
      </c>
      <c r="DB124" s="35" t="s">
        <v>6284</v>
      </c>
      <c r="DC124" s="35" t="s">
        <v>455</v>
      </c>
      <c r="DD124" s="35" t="s">
        <v>6285</v>
      </c>
      <c r="DE124" s="35" t="s">
        <v>988</v>
      </c>
      <c r="DG124" s="35" t="s">
        <v>6286</v>
      </c>
      <c r="DH124" s="35" t="s">
        <v>561</v>
      </c>
      <c r="DI124" s="35" t="s">
        <v>410</v>
      </c>
      <c r="DJ124" s="35" t="s">
        <v>459</v>
      </c>
      <c r="DK124" s="35" t="s">
        <v>613</v>
      </c>
      <c r="DN124" s="35" t="s">
        <v>6287</v>
      </c>
      <c r="DO124" s="35" t="s">
        <v>6288</v>
      </c>
      <c r="DP124" s="35" t="s">
        <v>464</v>
      </c>
      <c r="DQ124" s="35" t="s">
        <v>6289</v>
      </c>
      <c r="DR124" s="35" t="s">
        <v>466</v>
      </c>
      <c r="DS124" s="35" t="s">
        <v>6290</v>
      </c>
      <c r="DT124" s="35" t="s">
        <v>618</v>
      </c>
      <c r="DU124" s="35" t="s">
        <v>1580</v>
      </c>
      <c r="DV124" s="35" t="s">
        <v>6291</v>
      </c>
      <c r="DW124" s="35" t="s">
        <v>6292</v>
      </c>
      <c r="DX124" s="35" t="s">
        <v>622</v>
      </c>
      <c r="DY124" s="35" t="s">
        <v>6293</v>
      </c>
      <c r="DZ124" s="35" t="s">
        <v>6294</v>
      </c>
      <c r="EA124" s="35" t="s">
        <v>6295</v>
      </c>
      <c r="EB124" s="35" t="s">
        <v>1413</v>
      </c>
      <c r="EC124" s="35" t="s">
        <v>845</v>
      </c>
      <c r="ED124" s="35" t="s">
        <v>6296</v>
      </c>
      <c r="EU124" s="35" t="s">
        <v>578</v>
      </c>
      <c r="EV124" s="35" t="s">
        <v>579</v>
      </c>
      <c r="EW124" s="35" t="s">
        <v>480</v>
      </c>
      <c r="EY124" s="35" t="s">
        <v>6297</v>
      </c>
      <c r="EZ124" s="35" t="s">
        <v>6298</v>
      </c>
      <c r="FA124" s="35" t="s">
        <v>416</v>
      </c>
      <c r="FB124" s="35" t="s">
        <v>415</v>
      </c>
      <c r="FC124" s="35" t="s">
        <v>413</v>
      </c>
      <c r="FD124" s="35" t="s">
        <v>413</v>
      </c>
      <c r="FE124" s="35" t="s">
        <v>413</v>
      </c>
      <c r="FF124" s="35" t="s">
        <v>415</v>
      </c>
      <c r="FG124" s="35" t="s">
        <v>413</v>
      </c>
      <c r="FH124" s="35" t="s">
        <v>413</v>
      </c>
      <c r="FI124" s="35" t="s">
        <v>413</v>
      </c>
      <c r="FJ124" s="35" t="s">
        <v>413</v>
      </c>
      <c r="FK124" s="35" t="s">
        <v>413</v>
      </c>
      <c r="FL124" s="35" t="s">
        <v>413</v>
      </c>
      <c r="FM124" s="35" t="s">
        <v>413</v>
      </c>
      <c r="FN124" s="35" t="s">
        <v>413</v>
      </c>
      <c r="FO124" s="35" t="s">
        <v>413</v>
      </c>
      <c r="FP124" s="35" t="s">
        <v>485</v>
      </c>
      <c r="FQ124" s="35" t="s">
        <v>418</v>
      </c>
      <c r="FR124" s="35" t="s">
        <v>531</v>
      </c>
      <c r="FS124" s="35" t="s">
        <v>6299</v>
      </c>
      <c r="FT124" s="35" t="s">
        <v>420</v>
      </c>
      <c r="FU124" s="35" t="s">
        <v>1462</v>
      </c>
      <c r="FV124" s="35" t="s">
        <v>1235</v>
      </c>
      <c r="FW124" s="35" t="s">
        <v>490</v>
      </c>
      <c r="FX124" s="35" t="s">
        <v>491</v>
      </c>
      <c r="FY124" s="35" t="s">
        <v>6300</v>
      </c>
      <c r="FZ124" s="35" t="s">
        <v>535</v>
      </c>
      <c r="GC124" s="35" t="s">
        <v>455</v>
      </c>
      <c r="GE124" s="35" t="s">
        <v>6301</v>
      </c>
      <c r="GF124" s="35" t="s">
        <v>1339</v>
      </c>
      <c r="GH124" s="35" t="s">
        <v>755</v>
      </c>
      <c r="GI124" s="35" t="s">
        <v>755</v>
      </c>
      <c r="GJ124" s="35" t="s">
        <v>946</v>
      </c>
      <c r="GN124" s="35" t="s">
        <v>1079</v>
      </c>
      <c r="GP124" s="35" t="s">
        <v>4874</v>
      </c>
      <c r="GR124" s="35" t="s">
        <v>3208</v>
      </c>
      <c r="GU124" s="35" t="s">
        <v>4774</v>
      </c>
      <c r="GV124" s="35" t="s">
        <v>1252</v>
      </c>
      <c r="GW124" s="35" t="s">
        <v>5231</v>
      </c>
      <c r="GX124" s="35" t="s">
        <v>5232</v>
      </c>
      <c r="HD124" s="35" t="s">
        <v>6053</v>
      </c>
      <c r="HE124" s="35" t="s">
        <v>5282</v>
      </c>
      <c r="HF124" s="35" t="s">
        <v>5492</v>
      </c>
      <c r="HG124" s="35" t="s">
        <v>5899</v>
      </c>
      <c r="HH124" s="35" t="s">
        <v>6302</v>
      </c>
      <c r="HI124" s="35" t="s">
        <v>6242</v>
      </c>
      <c r="HJ124" s="35" t="s">
        <v>6303</v>
      </c>
      <c r="HK124" s="35" t="s">
        <v>6304</v>
      </c>
      <c r="HP124" s="35" t="s">
        <v>5236</v>
      </c>
      <c r="HQ124" s="35" t="s">
        <v>5719</v>
      </c>
      <c r="HR124" s="35" t="s">
        <v>5801</v>
      </c>
      <c r="HS124" s="35" t="s">
        <v>6305</v>
      </c>
      <c r="HX124" s="35" t="s">
        <v>6306</v>
      </c>
      <c r="IO124" s="35" t="s">
        <v>5536</v>
      </c>
      <c r="IP124" s="35" t="s">
        <v>5537</v>
      </c>
      <c r="IQ124" s="35" t="s">
        <v>5500</v>
      </c>
      <c r="IR124" s="35" t="s">
        <v>5629</v>
      </c>
      <c r="IS124" s="35" t="s">
        <v>5500</v>
      </c>
      <c r="IT124" s="35" t="s">
        <v>5536</v>
      </c>
    </row>
    <row r="125">
      <c r="A125" s="35" t="s">
        <v>12108</v>
      </c>
      <c r="B125" s="40">
        <v>45909.7875549537</v>
      </c>
      <c r="C125" s="35" t="s">
        <v>368</v>
      </c>
      <c r="D125" s="35" t="s">
        <v>370</v>
      </c>
      <c r="E125" s="35" t="s">
        <v>3576</v>
      </c>
      <c r="F125" s="35" t="s">
        <v>1001</v>
      </c>
      <c r="H125" s="35" t="s">
        <v>422</v>
      </c>
      <c r="I125" s="35" t="s">
        <v>496</v>
      </c>
      <c r="J125" s="35" t="s">
        <v>424</v>
      </c>
      <c r="K125" s="35" t="s">
        <v>669</v>
      </c>
      <c r="L125" s="35" t="s">
        <v>376</v>
      </c>
      <c r="M125" s="35" t="s">
        <v>793</v>
      </c>
      <c r="N125" s="35" t="s">
        <v>639</v>
      </c>
      <c r="O125" s="35" t="s">
        <v>793</v>
      </c>
      <c r="P125" s="35" t="s">
        <v>639</v>
      </c>
      <c r="Q125" s="35" t="s">
        <v>592</v>
      </c>
      <c r="R125" s="35" t="s">
        <v>382</v>
      </c>
      <c r="S125" s="35" t="s">
        <v>427</v>
      </c>
      <c r="T125" s="35" t="s">
        <v>384</v>
      </c>
      <c r="U125" s="35" t="s">
        <v>385</v>
      </c>
      <c r="X125" s="35" t="s">
        <v>386</v>
      </c>
      <c r="Y125" s="35" t="s">
        <v>387</v>
      </c>
      <c r="Z125" s="35" t="s">
        <v>388</v>
      </c>
      <c r="AA125" s="35" t="s">
        <v>389</v>
      </c>
      <c r="AB125" s="35" t="s">
        <v>6322</v>
      </c>
      <c r="AW125" s="35" t="s">
        <v>504</v>
      </c>
      <c r="AX125" s="35" t="s">
        <v>391</v>
      </c>
      <c r="AY125" s="41">
        <v>2.0</v>
      </c>
      <c r="AZ125" s="35" t="s">
        <v>391</v>
      </c>
      <c r="BA125" s="41">
        <v>2.0</v>
      </c>
      <c r="BB125" s="35" t="s">
        <v>429</v>
      </c>
      <c r="BC125" s="35" t="s">
        <v>429</v>
      </c>
      <c r="BD125" s="35" t="s">
        <v>6323</v>
      </c>
      <c r="BE125" s="35" t="s">
        <v>6324</v>
      </c>
      <c r="BF125" s="35" t="s">
        <v>432</v>
      </c>
      <c r="BG125" s="35" t="s">
        <v>433</v>
      </c>
      <c r="BH125" s="35" t="s">
        <v>725</v>
      </c>
      <c r="BJ125" s="35" t="s">
        <v>435</v>
      </c>
      <c r="BK125" s="35" t="s">
        <v>6325</v>
      </c>
      <c r="BL125" s="35" t="s">
        <v>437</v>
      </c>
      <c r="BM125" s="35" t="s">
        <v>603</v>
      </c>
      <c r="BN125" s="35" t="s">
        <v>549</v>
      </c>
      <c r="BO125" s="35" t="s">
        <v>440</v>
      </c>
      <c r="CM125" s="35" t="s">
        <v>441</v>
      </c>
      <c r="CN125" s="35" t="s">
        <v>551</v>
      </c>
      <c r="CO125" s="35" t="s">
        <v>6326</v>
      </c>
      <c r="CP125" s="35" t="s">
        <v>6327</v>
      </c>
      <c r="CQ125" s="35" t="s">
        <v>685</v>
      </c>
      <c r="CR125" s="35" t="s">
        <v>6328</v>
      </c>
      <c r="CS125" s="35" t="s">
        <v>447</v>
      </c>
      <c r="CT125" s="35" t="s">
        <v>448</v>
      </c>
      <c r="CU125" s="35" t="s">
        <v>6329</v>
      </c>
      <c r="CV125" s="35" t="s">
        <v>450</v>
      </c>
      <c r="CW125" s="35" t="s">
        <v>451</v>
      </c>
      <c r="CX125" s="35" t="s">
        <v>6330</v>
      </c>
      <c r="CY125" s="35" t="s">
        <v>455</v>
      </c>
      <c r="CZ125" s="35" t="s">
        <v>6331</v>
      </c>
      <c r="DA125" s="35" t="s">
        <v>453</v>
      </c>
      <c r="DB125" s="35" t="s">
        <v>6332</v>
      </c>
      <c r="DC125" s="35" t="s">
        <v>455</v>
      </c>
      <c r="DD125" s="35" t="s">
        <v>6333</v>
      </c>
      <c r="DE125" s="35" t="s">
        <v>457</v>
      </c>
      <c r="DG125" s="35" t="s">
        <v>6334</v>
      </c>
      <c r="DH125" s="35" t="s">
        <v>524</v>
      </c>
      <c r="DI125" s="35" t="s">
        <v>410</v>
      </c>
      <c r="DJ125" s="35" t="s">
        <v>459</v>
      </c>
      <c r="DK125" s="35" t="s">
        <v>460</v>
      </c>
      <c r="DL125" s="35" t="s">
        <v>6335</v>
      </c>
      <c r="DN125" s="35" t="s">
        <v>6336</v>
      </c>
      <c r="DO125" s="35" t="s">
        <v>6337</v>
      </c>
      <c r="DP125" s="35" t="s">
        <v>1063</v>
      </c>
      <c r="DQ125" s="35" t="s">
        <v>6338</v>
      </c>
      <c r="DR125" s="35" t="s">
        <v>466</v>
      </c>
      <c r="DS125" s="35" t="s">
        <v>6339</v>
      </c>
      <c r="DT125" s="35" t="s">
        <v>468</v>
      </c>
      <c r="DU125" s="35" t="s">
        <v>740</v>
      </c>
      <c r="DV125" s="35" t="s">
        <v>6340</v>
      </c>
      <c r="DW125" s="35" t="s">
        <v>741</v>
      </c>
      <c r="DX125" s="35" t="s">
        <v>573</v>
      </c>
      <c r="DY125" s="35" t="s">
        <v>6341</v>
      </c>
      <c r="DZ125" s="35" t="s">
        <v>6342</v>
      </c>
      <c r="EA125" s="35" t="s">
        <v>6343</v>
      </c>
      <c r="EB125" s="35" t="s">
        <v>475</v>
      </c>
      <c r="EC125" s="35" t="s">
        <v>626</v>
      </c>
      <c r="ED125" s="35" t="s">
        <v>6344</v>
      </c>
      <c r="EU125" s="35" t="s">
        <v>526</v>
      </c>
      <c r="EV125" s="35" t="s">
        <v>579</v>
      </c>
      <c r="EW125" s="35" t="s">
        <v>778</v>
      </c>
      <c r="EX125" s="35" t="s">
        <v>6345</v>
      </c>
      <c r="EY125" s="35" t="s">
        <v>6346</v>
      </c>
      <c r="EZ125" s="35" t="s">
        <v>6347</v>
      </c>
      <c r="FA125" s="35" t="s">
        <v>413</v>
      </c>
      <c r="FB125" s="35" t="s">
        <v>413</v>
      </c>
      <c r="FC125" s="35" t="s">
        <v>413</v>
      </c>
      <c r="FD125" s="35" t="s">
        <v>413</v>
      </c>
      <c r="FE125" s="35" t="s">
        <v>413</v>
      </c>
      <c r="FF125" s="35" t="s">
        <v>415</v>
      </c>
      <c r="FG125" s="35" t="s">
        <v>413</v>
      </c>
      <c r="FH125" s="35" t="s">
        <v>415</v>
      </c>
      <c r="FI125" s="35" t="s">
        <v>415</v>
      </c>
      <c r="FJ125" s="35" t="s">
        <v>413</v>
      </c>
      <c r="FK125" s="35" t="s">
        <v>413</v>
      </c>
      <c r="FL125" s="35" t="s">
        <v>415</v>
      </c>
      <c r="FM125" s="35" t="s">
        <v>415</v>
      </c>
      <c r="FN125" s="35" t="s">
        <v>415</v>
      </c>
      <c r="FO125" s="35" t="s">
        <v>415</v>
      </c>
      <c r="FP125" s="35" t="s">
        <v>485</v>
      </c>
      <c r="FQ125" s="35" t="s">
        <v>418</v>
      </c>
      <c r="FR125" s="35" t="s">
        <v>1039</v>
      </c>
      <c r="FS125" s="35" t="s">
        <v>6348</v>
      </c>
      <c r="FT125" s="35" t="s">
        <v>420</v>
      </c>
      <c r="FU125" s="35" t="s">
        <v>488</v>
      </c>
      <c r="FV125" s="35" t="s">
        <v>1235</v>
      </c>
      <c r="FW125" s="35" t="s">
        <v>490</v>
      </c>
      <c r="FX125" s="35" t="s">
        <v>491</v>
      </c>
      <c r="FY125" s="35" t="s">
        <v>6349</v>
      </c>
      <c r="FZ125" s="35" t="s">
        <v>1020</v>
      </c>
      <c r="GA125" s="35" t="s">
        <v>6350</v>
      </c>
      <c r="GC125" s="35" t="s">
        <v>408</v>
      </c>
      <c r="GH125" s="35" t="s">
        <v>755</v>
      </c>
      <c r="GI125" s="35" t="s">
        <v>755</v>
      </c>
      <c r="GJ125" s="35" t="s">
        <v>946</v>
      </c>
      <c r="GN125" s="35" t="s">
        <v>1079</v>
      </c>
      <c r="GP125" s="35" t="s">
        <v>3576</v>
      </c>
      <c r="GU125" s="35" t="s">
        <v>5170</v>
      </c>
      <c r="GV125" s="35" t="s">
        <v>4660</v>
      </c>
      <c r="GW125" s="35" t="s">
        <v>5231</v>
      </c>
      <c r="GX125" s="35" t="s">
        <v>5232</v>
      </c>
      <c r="HD125" s="35" t="s">
        <v>5281</v>
      </c>
      <c r="HE125" s="35" t="s">
        <v>5282</v>
      </c>
      <c r="HF125" s="35" t="s">
        <v>484</v>
      </c>
      <c r="HG125" s="35" t="s">
        <v>5899</v>
      </c>
      <c r="HH125" s="35" t="s">
        <v>6351</v>
      </c>
      <c r="HI125" s="35" t="s">
        <v>5495</v>
      </c>
      <c r="HJ125" s="35" t="s">
        <v>6352</v>
      </c>
      <c r="HK125" s="35" t="s">
        <v>6353</v>
      </c>
      <c r="HP125" s="35" t="s">
        <v>5236</v>
      </c>
      <c r="HQ125" s="35" t="s">
        <v>5302</v>
      </c>
      <c r="HR125" s="35" t="s">
        <v>5238</v>
      </c>
      <c r="HS125" s="35" t="s">
        <v>6354</v>
      </c>
      <c r="HX125" s="35" t="s">
        <v>6355</v>
      </c>
      <c r="IO125" s="35" t="s">
        <v>5536</v>
      </c>
      <c r="IP125" s="35" t="s">
        <v>5537</v>
      </c>
      <c r="IQ125" s="35" t="s">
        <v>5500</v>
      </c>
      <c r="IR125" s="35" t="s">
        <v>5500</v>
      </c>
      <c r="IS125" s="35" t="s">
        <v>5500</v>
      </c>
      <c r="IT125" s="35" t="s">
        <v>5536</v>
      </c>
      <c r="MK125" s="35" t="s">
        <v>6321</v>
      </c>
    </row>
    <row r="126">
      <c r="A126" s="35" t="s">
        <v>12109</v>
      </c>
      <c r="B126" s="40">
        <v>45915.3204787963</v>
      </c>
      <c r="C126" s="35" t="s">
        <v>368</v>
      </c>
      <c r="D126" s="35" t="s">
        <v>370</v>
      </c>
      <c r="E126" s="35" t="s">
        <v>370</v>
      </c>
      <c r="F126" s="35" t="s">
        <v>2559</v>
      </c>
      <c r="G126" s="35" t="s">
        <v>371</v>
      </c>
      <c r="H126" s="35" t="s">
        <v>422</v>
      </c>
      <c r="I126" s="35" t="s">
        <v>496</v>
      </c>
      <c r="J126" s="35" t="s">
        <v>1022</v>
      </c>
      <c r="K126" s="35" t="s">
        <v>425</v>
      </c>
      <c r="L126" s="35" t="s">
        <v>376</v>
      </c>
      <c r="M126" s="35" t="s">
        <v>426</v>
      </c>
      <c r="N126" s="35" t="s">
        <v>378</v>
      </c>
      <c r="O126" s="35" t="s">
        <v>793</v>
      </c>
      <c r="P126" s="35" t="s">
        <v>719</v>
      </c>
      <c r="Q126" s="35" t="s">
        <v>498</v>
      </c>
      <c r="R126" s="35" t="s">
        <v>862</v>
      </c>
      <c r="S126" s="35" t="s">
        <v>6384</v>
      </c>
      <c r="T126" s="35" t="s">
        <v>6384</v>
      </c>
      <c r="U126" s="35" t="s">
        <v>385</v>
      </c>
      <c r="X126" s="35" t="s">
        <v>593</v>
      </c>
      <c r="Y126" s="35" t="s">
        <v>387</v>
      </c>
      <c r="Z126" s="35" t="s">
        <v>1966</v>
      </c>
      <c r="AA126" s="35" t="s">
        <v>543</v>
      </c>
      <c r="AB126" s="35" t="s">
        <v>408</v>
      </c>
      <c r="AC126" s="35" t="s">
        <v>6385</v>
      </c>
      <c r="AW126" s="35" t="s">
        <v>504</v>
      </c>
      <c r="AX126" s="35" t="s">
        <v>429</v>
      </c>
      <c r="AY126" s="35" t="s">
        <v>429</v>
      </c>
      <c r="AZ126" s="41">
        <v>2.0</v>
      </c>
      <c r="BA126" s="35" t="s">
        <v>429</v>
      </c>
      <c r="BB126" s="35" t="s">
        <v>429</v>
      </c>
      <c r="BC126" s="35" t="s">
        <v>429</v>
      </c>
      <c r="BD126" s="35" t="s">
        <v>6386</v>
      </c>
      <c r="BE126" s="35" t="s">
        <v>6387</v>
      </c>
      <c r="BF126" s="35" t="s">
        <v>392</v>
      </c>
      <c r="BG126" s="35" t="s">
        <v>433</v>
      </c>
      <c r="BH126" s="35" t="s">
        <v>678</v>
      </c>
      <c r="BJ126" s="35" t="s">
        <v>976</v>
      </c>
      <c r="BL126" s="35" t="s">
        <v>395</v>
      </c>
      <c r="BM126" s="35" t="s">
        <v>603</v>
      </c>
      <c r="BN126" s="35" t="s">
        <v>439</v>
      </c>
      <c r="BO126" s="35" t="s">
        <v>440</v>
      </c>
      <c r="CM126" s="35" t="s">
        <v>441</v>
      </c>
      <c r="CN126" s="35" t="s">
        <v>401</v>
      </c>
      <c r="CO126" s="35" t="s">
        <v>552</v>
      </c>
      <c r="CP126" s="35" t="s">
        <v>6388</v>
      </c>
      <c r="CQ126" s="35" t="s">
        <v>1008</v>
      </c>
      <c r="CR126" s="35" t="s">
        <v>6389</v>
      </c>
      <c r="CS126" s="35" t="s">
        <v>447</v>
      </c>
      <c r="CT126" s="35" t="s">
        <v>1626</v>
      </c>
      <c r="CU126" s="35" t="s">
        <v>6390</v>
      </c>
      <c r="CV126" s="35" t="s">
        <v>450</v>
      </c>
      <c r="CW126" s="35" t="s">
        <v>451</v>
      </c>
      <c r="CY126" s="35" t="s">
        <v>408</v>
      </c>
      <c r="DA126" s="35" t="s">
        <v>453</v>
      </c>
      <c r="DB126" s="35" t="s">
        <v>6391</v>
      </c>
      <c r="DC126" s="35" t="s">
        <v>455</v>
      </c>
      <c r="DD126" s="35" t="s">
        <v>6392</v>
      </c>
      <c r="DE126" s="35" t="s">
        <v>988</v>
      </c>
      <c r="DG126" s="35" t="s">
        <v>6393</v>
      </c>
      <c r="DH126" s="35" t="s">
        <v>561</v>
      </c>
      <c r="DI126" s="35" t="s">
        <v>410</v>
      </c>
      <c r="DJ126" s="35" t="s">
        <v>459</v>
      </c>
      <c r="DK126" s="35" t="s">
        <v>613</v>
      </c>
      <c r="DN126" s="35" t="s">
        <v>6394</v>
      </c>
      <c r="DO126" s="35" t="s">
        <v>6395</v>
      </c>
      <c r="DP126" s="35" t="s">
        <v>464</v>
      </c>
      <c r="DQ126" s="35" t="s">
        <v>6396</v>
      </c>
      <c r="DR126" s="35" t="s">
        <v>466</v>
      </c>
      <c r="DS126" s="35" t="s">
        <v>6290</v>
      </c>
      <c r="DT126" s="35" t="s">
        <v>468</v>
      </c>
      <c r="DU126" s="35" t="s">
        <v>740</v>
      </c>
      <c r="DV126" s="35" t="s">
        <v>741</v>
      </c>
      <c r="DW126" s="35" t="s">
        <v>408</v>
      </c>
      <c r="DX126" s="35" t="s">
        <v>573</v>
      </c>
      <c r="DY126" s="35" t="s">
        <v>6397</v>
      </c>
      <c r="EB126" s="35" t="s">
        <v>475</v>
      </c>
      <c r="EC126" s="35" t="s">
        <v>626</v>
      </c>
      <c r="ED126" s="35" t="s">
        <v>6398</v>
      </c>
      <c r="EU126" s="35" t="s">
        <v>526</v>
      </c>
      <c r="EV126" s="35" t="s">
        <v>887</v>
      </c>
      <c r="EW126" s="35" t="s">
        <v>480</v>
      </c>
      <c r="FA126" s="35" t="s">
        <v>413</v>
      </c>
      <c r="FB126" s="35" t="s">
        <v>415</v>
      </c>
      <c r="FC126" s="35" t="s">
        <v>413</v>
      </c>
      <c r="FD126" s="35" t="s">
        <v>413</v>
      </c>
      <c r="FE126" s="35" t="s">
        <v>413</v>
      </c>
      <c r="FF126" s="35" t="s">
        <v>413</v>
      </c>
      <c r="FG126" s="35" t="s">
        <v>413</v>
      </c>
      <c r="FH126" s="35" t="s">
        <v>413</v>
      </c>
      <c r="FI126" s="35" t="s">
        <v>413</v>
      </c>
      <c r="FJ126" s="35" t="s">
        <v>583</v>
      </c>
      <c r="FK126" s="35" t="s">
        <v>484</v>
      </c>
      <c r="FL126" s="35" t="s">
        <v>413</v>
      </c>
      <c r="FM126" s="35" t="s">
        <v>484</v>
      </c>
      <c r="FN126" s="35" t="s">
        <v>484</v>
      </c>
      <c r="FO126" s="35" t="s">
        <v>484</v>
      </c>
      <c r="FP126" s="35" t="s">
        <v>417</v>
      </c>
      <c r="FQ126" s="35" t="s">
        <v>418</v>
      </c>
      <c r="FR126" s="35" t="s">
        <v>419</v>
      </c>
      <c r="FT126" s="35" t="s">
        <v>420</v>
      </c>
      <c r="FU126" s="35" t="s">
        <v>488</v>
      </c>
      <c r="FV126" s="35" t="s">
        <v>533</v>
      </c>
      <c r="FW126" s="35" t="s">
        <v>490</v>
      </c>
      <c r="FX126" s="35" t="s">
        <v>491</v>
      </c>
      <c r="FY126" s="35" t="s">
        <v>6399</v>
      </c>
      <c r="FZ126" s="35" t="s">
        <v>535</v>
      </c>
      <c r="GA126" s="35" t="s">
        <v>6400</v>
      </c>
      <c r="GC126" s="35" t="s">
        <v>408</v>
      </c>
      <c r="GH126" s="35" t="s">
        <v>755</v>
      </c>
      <c r="GI126" s="35" t="s">
        <v>755</v>
      </c>
      <c r="GJ126" s="35" t="s">
        <v>946</v>
      </c>
      <c r="GN126" s="35" t="s">
        <v>1079</v>
      </c>
      <c r="GR126" s="35" t="s">
        <v>3208</v>
      </c>
      <c r="GU126" s="35" t="s">
        <v>4774</v>
      </c>
      <c r="GW126" s="35" t="s">
        <v>5231</v>
      </c>
      <c r="GX126" s="35" t="s">
        <v>484</v>
      </c>
      <c r="HD126" s="35" t="s">
        <v>484</v>
      </c>
      <c r="HE126" s="35" t="s">
        <v>5349</v>
      </c>
      <c r="HF126" s="35" t="s">
        <v>5320</v>
      </c>
      <c r="HG126" s="35" t="s">
        <v>5493</v>
      </c>
      <c r="HH126" s="35" t="s">
        <v>6401</v>
      </c>
      <c r="HI126" s="35" t="s">
        <v>5495</v>
      </c>
      <c r="HJ126" s="35" t="s">
        <v>6402</v>
      </c>
      <c r="HK126" s="35" t="s">
        <v>6403</v>
      </c>
      <c r="HP126" s="35" t="s">
        <v>5236</v>
      </c>
      <c r="HQ126" s="35" t="s">
        <v>5302</v>
      </c>
      <c r="HR126" s="35" t="s">
        <v>5238</v>
      </c>
      <c r="HS126" s="35" t="s">
        <v>6404</v>
      </c>
      <c r="HX126" s="35" t="s">
        <v>6405</v>
      </c>
      <c r="IO126" s="35" t="s">
        <v>5536</v>
      </c>
      <c r="IP126" s="35" t="s">
        <v>5537</v>
      </c>
      <c r="IQ126" s="35" t="s">
        <v>5500</v>
      </c>
      <c r="IR126" s="35" t="s">
        <v>5500</v>
      </c>
      <c r="IS126" s="35" t="s">
        <v>5500</v>
      </c>
      <c r="IT126" s="35" t="s">
        <v>5500</v>
      </c>
      <c r="MK126" s="35" t="s">
        <v>6321</v>
      </c>
    </row>
    <row r="127">
      <c r="A127" s="35" t="s">
        <v>12110</v>
      </c>
      <c r="B127" s="40">
        <v>45917.67038480324</v>
      </c>
      <c r="C127" s="35" t="s">
        <v>368</v>
      </c>
      <c r="D127" s="35" t="s">
        <v>370</v>
      </c>
      <c r="E127" s="35" t="s">
        <v>370</v>
      </c>
      <c r="F127" s="35" t="s">
        <v>1562</v>
      </c>
      <c r="G127" s="35" t="s">
        <v>5384</v>
      </c>
      <c r="H127" s="35" t="s">
        <v>422</v>
      </c>
      <c r="I127" s="35" t="s">
        <v>373</v>
      </c>
      <c r="J127" s="35" t="s">
        <v>374</v>
      </c>
      <c r="K127" s="35" t="s">
        <v>375</v>
      </c>
      <c r="L127" s="35" t="s">
        <v>376</v>
      </c>
      <c r="M127" s="35" t="s">
        <v>426</v>
      </c>
      <c r="N127" s="35" t="s">
        <v>720</v>
      </c>
      <c r="O127" s="35" t="s">
        <v>426</v>
      </c>
      <c r="P127" s="35" t="s">
        <v>1024</v>
      </c>
      <c r="Q127" s="35" t="s">
        <v>498</v>
      </c>
      <c r="R127" s="35" t="s">
        <v>499</v>
      </c>
      <c r="S127" s="35" t="s">
        <v>427</v>
      </c>
      <c r="T127" s="35" t="s">
        <v>384</v>
      </c>
      <c r="U127" s="35" t="s">
        <v>385</v>
      </c>
      <c r="X127" s="35" t="s">
        <v>593</v>
      </c>
      <c r="Y127" s="35" t="s">
        <v>387</v>
      </c>
      <c r="Z127" s="35" t="s">
        <v>897</v>
      </c>
      <c r="AA127" s="35" t="s">
        <v>502</v>
      </c>
      <c r="AB127" s="35" t="s">
        <v>6406</v>
      </c>
      <c r="AW127" s="35" t="s">
        <v>1310</v>
      </c>
      <c r="AX127" s="35" t="s">
        <v>391</v>
      </c>
      <c r="AY127" s="35" t="s">
        <v>391</v>
      </c>
      <c r="AZ127" s="41">
        <v>2.0</v>
      </c>
      <c r="BA127" s="35" t="s">
        <v>429</v>
      </c>
      <c r="BB127" s="35" t="s">
        <v>429</v>
      </c>
      <c r="BC127" s="35" t="s">
        <v>429</v>
      </c>
      <c r="BD127" s="35" t="s">
        <v>6407</v>
      </c>
      <c r="BE127" s="35" t="s">
        <v>6408</v>
      </c>
      <c r="BF127" s="35" t="s">
        <v>2379</v>
      </c>
      <c r="BG127" s="35" t="s">
        <v>433</v>
      </c>
      <c r="BH127" s="35" t="s">
        <v>434</v>
      </c>
      <c r="BI127" s="35" t="s">
        <v>6409</v>
      </c>
      <c r="BJ127" s="35" t="s">
        <v>824</v>
      </c>
      <c r="BK127" s="35" t="s">
        <v>1211</v>
      </c>
      <c r="BL127" s="35" t="s">
        <v>681</v>
      </c>
      <c r="BM127" s="35" t="s">
        <v>396</v>
      </c>
      <c r="BN127" s="35" t="s">
        <v>549</v>
      </c>
      <c r="BO127" s="35" t="s">
        <v>440</v>
      </c>
      <c r="CM127" s="35" t="s">
        <v>441</v>
      </c>
      <c r="CN127" s="35" t="s">
        <v>401</v>
      </c>
      <c r="CO127" s="35" t="s">
        <v>1315</v>
      </c>
      <c r="CP127" s="35" t="s">
        <v>6410</v>
      </c>
      <c r="CQ127" s="35" t="s">
        <v>445</v>
      </c>
      <c r="CR127" s="35" t="s">
        <v>4908</v>
      </c>
      <c r="CS127" s="35" t="s">
        <v>447</v>
      </c>
      <c r="CT127" s="35" t="s">
        <v>6081</v>
      </c>
      <c r="CU127" s="35" t="s">
        <v>6411</v>
      </c>
      <c r="CV127" s="35" t="s">
        <v>450</v>
      </c>
      <c r="CW127" s="35" t="s">
        <v>451</v>
      </c>
      <c r="CX127" s="35" t="s">
        <v>6412</v>
      </c>
      <c r="CY127" s="35" t="s">
        <v>408</v>
      </c>
      <c r="DA127" s="35" t="s">
        <v>453</v>
      </c>
      <c r="DB127" s="35" t="s">
        <v>6413</v>
      </c>
      <c r="DC127" s="35" t="s">
        <v>455</v>
      </c>
      <c r="DD127" s="35" t="s">
        <v>6414</v>
      </c>
      <c r="DE127" s="35" t="s">
        <v>457</v>
      </c>
      <c r="DG127" s="35" t="s">
        <v>6415</v>
      </c>
      <c r="DH127" s="35" t="s">
        <v>524</v>
      </c>
      <c r="DI127" s="35" t="s">
        <v>410</v>
      </c>
      <c r="DJ127" s="35" t="s">
        <v>459</v>
      </c>
      <c r="DK127" s="35" t="s">
        <v>613</v>
      </c>
      <c r="DN127" s="35" t="s">
        <v>6416</v>
      </c>
      <c r="DO127" s="35" t="s">
        <v>6417</v>
      </c>
      <c r="DP127" s="35" t="s">
        <v>464</v>
      </c>
      <c r="DQ127" s="35" t="s">
        <v>6418</v>
      </c>
      <c r="DR127" s="35" t="s">
        <v>466</v>
      </c>
      <c r="DS127" s="35" t="s">
        <v>6419</v>
      </c>
      <c r="DT127" s="35" t="s">
        <v>839</v>
      </c>
      <c r="DU127" s="35" t="s">
        <v>703</v>
      </c>
      <c r="DV127" s="35" t="s">
        <v>6420</v>
      </c>
      <c r="DW127" s="35" t="s">
        <v>6421</v>
      </c>
      <c r="DX127" s="35" t="s">
        <v>622</v>
      </c>
      <c r="DY127" s="35" t="s">
        <v>6422</v>
      </c>
      <c r="DZ127" s="35" t="s">
        <v>6423</v>
      </c>
      <c r="EA127" s="35" t="s">
        <v>6424</v>
      </c>
      <c r="EB127" s="35" t="s">
        <v>475</v>
      </c>
      <c r="EC127" s="35" t="s">
        <v>626</v>
      </c>
      <c r="ED127" s="35" t="s">
        <v>6425</v>
      </c>
      <c r="EU127" s="35" t="s">
        <v>526</v>
      </c>
      <c r="EV127" s="35" t="s">
        <v>479</v>
      </c>
      <c r="EW127" s="35" t="s">
        <v>480</v>
      </c>
      <c r="EX127" s="35" t="s">
        <v>6426</v>
      </c>
      <c r="EY127" s="35" t="s">
        <v>6427</v>
      </c>
      <c r="EZ127" s="35" t="s">
        <v>6427</v>
      </c>
      <c r="FA127" s="35" t="s">
        <v>416</v>
      </c>
      <c r="FB127" s="35" t="s">
        <v>415</v>
      </c>
      <c r="FC127" s="35" t="s">
        <v>413</v>
      </c>
      <c r="FD127" s="35" t="s">
        <v>413</v>
      </c>
      <c r="FE127" s="35" t="s">
        <v>413</v>
      </c>
      <c r="FF127" s="35" t="s">
        <v>416</v>
      </c>
      <c r="FG127" s="35" t="s">
        <v>413</v>
      </c>
      <c r="FH127" s="35" t="s">
        <v>484</v>
      </c>
      <c r="FI127" s="35" t="s">
        <v>484</v>
      </c>
      <c r="FJ127" s="35" t="s">
        <v>484</v>
      </c>
      <c r="FK127" s="35" t="s">
        <v>484</v>
      </c>
      <c r="FL127" s="35" t="s">
        <v>484</v>
      </c>
      <c r="FM127" s="35" t="s">
        <v>484</v>
      </c>
      <c r="FN127" s="35" t="s">
        <v>484</v>
      </c>
      <c r="FO127" s="35" t="s">
        <v>414</v>
      </c>
      <c r="FP127" s="35" t="s">
        <v>417</v>
      </c>
      <c r="FQ127" s="35" t="s">
        <v>418</v>
      </c>
      <c r="FR127" s="35" t="s">
        <v>712</v>
      </c>
      <c r="FS127" s="35" t="s">
        <v>6428</v>
      </c>
      <c r="FT127" s="35" t="s">
        <v>420</v>
      </c>
      <c r="FU127" s="35" t="s">
        <v>488</v>
      </c>
      <c r="FV127" s="35" t="s">
        <v>533</v>
      </c>
      <c r="FW127" s="35" t="s">
        <v>490</v>
      </c>
      <c r="FX127" s="35" t="s">
        <v>491</v>
      </c>
      <c r="FY127" s="35" t="s">
        <v>6429</v>
      </c>
      <c r="FZ127" s="35" t="s">
        <v>535</v>
      </c>
      <c r="GA127" s="35" t="s">
        <v>6430</v>
      </c>
      <c r="GB127" s="35" t="s">
        <v>6431</v>
      </c>
      <c r="GC127" s="35" t="s">
        <v>455</v>
      </c>
      <c r="GD127" s="35" t="s">
        <v>12111</v>
      </c>
      <c r="GF127" s="35" t="s">
        <v>753</v>
      </c>
      <c r="GG127" s="35" t="s">
        <v>6432</v>
      </c>
      <c r="GH127" s="35" t="s">
        <v>857</v>
      </c>
      <c r="GI127" s="35" t="s">
        <v>857</v>
      </c>
      <c r="GJ127" s="35" t="s">
        <v>790</v>
      </c>
      <c r="GN127" s="35" t="s">
        <v>1079</v>
      </c>
      <c r="GR127" s="35" t="s">
        <v>6433</v>
      </c>
      <c r="GU127" s="35" t="s">
        <v>4774</v>
      </c>
      <c r="GW127" s="35" t="s">
        <v>6434</v>
      </c>
      <c r="GX127" s="35" t="s">
        <v>5232</v>
      </c>
      <c r="HD127" s="35" t="s">
        <v>484</v>
      </c>
      <c r="HE127" s="35" t="s">
        <v>5349</v>
      </c>
      <c r="HF127" s="35" t="s">
        <v>5320</v>
      </c>
      <c r="HG127" s="35" t="s">
        <v>5284</v>
      </c>
      <c r="HH127" s="35" t="s">
        <v>6435</v>
      </c>
      <c r="HI127" s="35" t="s">
        <v>5495</v>
      </c>
      <c r="HJ127" s="35" t="s">
        <v>6436</v>
      </c>
      <c r="HK127" s="35" t="s">
        <v>6437</v>
      </c>
      <c r="HP127" s="35" t="s">
        <v>5236</v>
      </c>
      <c r="HQ127" s="35" t="s">
        <v>5264</v>
      </c>
      <c r="HR127" s="35" t="s">
        <v>5238</v>
      </c>
      <c r="HS127" s="35" t="s">
        <v>5239</v>
      </c>
      <c r="HX127" s="35" t="s">
        <v>5628</v>
      </c>
      <c r="IO127" s="35" t="s">
        <v>5500</v>
      </c>
      <c r="IP127" s="35" t="s">
        <v>5500</v>
      </c>
      <c r="IQ127" s="35" t="s">
        <v>5536</v>
      </c>
      <c r="IR127" s="35" t="s">
        <v>5500</v>
      </c>
      <c r="IS127" s="35" t="s">
        <v>5500</v>
      </c>
      <c r="IT127" s="35" t="s">
        <v>5500</v>
      </c>
      <c r="MK127" s="35" t="s">
        <v>6321</v>
      </c>
    </row>
    <row r="128">
      <c r="A128" s="35" t="s">
        <v>12112</v>
      </c>
      <c r="B128" s="40">
        <v>45921.571817627315</v>
      </c>
      <c r="C128" s="35" t="s">
        <v>368</v>
      </c>
      <c r="D128" s="35" t="s">
        <v>370</v>
      </c>
      <c r="E128" s="35" t="s">
        <v>370</v>
      </c>
      <c r="F128" s="35" t="s">
        <v>1001</v>
      </c>
      <c r="G128" s="35" t="s">
        <v>1001</v>
      </c>
      <c r="H128" s="35" t="s">
        <v>422</v>
      </c>
      <c r="I128" s="35" t="s">
        <v>373</v>
      </c>
      <c r="J128" s="35" t="s">
        <v>638</v>
      </c>
      <c r="K128" s="35" t="s">
        <v>425</v>
      </c>
      <c r="L128" s="35" t="s">
        <v>376</v>
      </c>
      <c r="M128" s="35" t="s">
        <v>793</v>
      </c>
      <c r="N128" s="35" t="s">
        <v>2998</v>
      </c>
      <c r="O128" s="35" t="s">
        <v>793</v>
      </c>
      <c r="P128" s="35" t="s">
        <v>6548</v>
      </c>
      <c r="Q128" s="35" t="s">
        <v>381</v>
      </c>
      <c r="R128" s="35" t="s">
        <v>382</v>
      </c>
      <c r="S128" s="35" t="s">
        <v>6549</v>
      </c>
      <c r="T128" s="35" t="s">
        <v>3728</v>
      </c>
      <c r="U128" s="35" t="s">
        <v>385</v>
      </c>
      <c r="X128" s="35" t="s">
        <v>386</v>
      </c>
      <c r="Y128" s="35" t="s">
        <v>387</v>
      </c>
      <c r="Z128" s="35" t="s">
        <v>388</v>
      </c>
      <c r="AA128" s="35" t="s">
        <v>543</v>
      </c>
      <c r="AB128" s="35" t="s">
        <v>6550</v>
      </c>
      <c r="AW128" s="35" t="s">
        <v>597</v>
      </c>
      <c r="AX128" s="35" t="s">
        <v>391</v>
      </c>
      <c r="AY128" s="41">
        <v>2.0</v>
      </c>
      <c r="AZ128" s="41">
        <v>2.0</v>
      </c>
      <c r="BA128" s="41">
        <v>2.0</v>
      </c>
      <c r="BB128" s="41">
        <v>2.0</v>
      </c>
      <c r="BC128" s="35" t="s">
        <v>391</v>
      </c>
      <c r="BF128" s="35" t="s">
        <v>432</v>
      </c>
      <c r="BG128" s="35" t="s">
        <v>433</v>
      </c>
      <c r="BH128" s="35" t="s">
        <v>725</v>
      </c>
      <c r="BJ128" s="35" t="s">
        <v>727</v>
      </c>
      <c r="BL128" s="35" t="s">
        <v>395</v>
      </c>
      <c r="BM128" s="35" t="s">
        <v>904</v>
      </c>
      <c r="BN128" s="35" t="s">
        <v>549</v>
      </c>
      <c r="BO128" s="35" t="s">
        <v>440</v>
      </c>
      <c r="CM128" s="35" t="s">
        <v>441</v>
      </c>
      <c r="CN128" s="35" t="s">
        <v>604</v>
      </c>
      <c r="CO128" s="35" t="s">
        <v>6551</v>
      </c>
      <c r="CP128" s="35" t="s">
        <v>6552</v>
      </c>
      <c r="CQ128" s="35" t="s">
        <v>403</v>
      </c>
      <c r="CR128" s="35" t="s">
        <v>6553</v>
      </c>
      <c r="CS128" s="35" t="s">
        <v>447</v>
      </c>
      <c r="CT128" s="35" t="s">
        <v>6554</v>
      </c>
      <c r="CV128" s="35" t="s">
        <v>450</v>
      </c>
      <c r="CW128" s="35" t="s">
        <v>451</v>
      </c>
      <c r="CX128" s="35" t="s">
        <v>6555</v>
      </c>
      <c r="CY128" s="35" t="s">
        <v>408</v>
      </c>
      <c r="DA128" s="35" t="s">
        <v>453</v>
      </c>
      <c r="DB128" s="35" t="s">
        <v>6556</v>
      </c>
      <c r="DC128" s="35" t="s">
        <v>455</v>
      </c>
      <c r="DD128" s="35" t="s">
        <v>6557</v>
      </c>
      <c r="DE128" s="35" t="s">
        <v>662</v>
      </c>
      <c r="DF128" s="35" t="s">
        <v>691</v>
      </c>
      <c r="DG128" s="35" t="s">
        <v>6558</v>
      </c>
      <c r="DH128" s="35" t="s">
        <v>524</v>
      </c>
      <c r="DI128" s="35" t="s">
        <v>410</v>
      </c>
      <c r="DJ128" s="35" t="s">
        <v>459</v>
      </c>
      <c r="DK128" s="35" t="s">
        <v>460</v>
      </c>
      <c r="DL128" s="35" t="s">
        <v>6335</v>
      </c>
      <c r="DN128" s="35" t="s">
        <v>6559</v>
      </c>
      <c r="DO128" s="35" t="s">
        <v>6560</v>
      </c>
      <c r="DP128" s="35" t="s">
        <v>464</v>
      </c>
      <c r="DQ128" s="35" t="s">
        <v>6561</v>
      </c>
      <c r="DR128" s="35" t="s">
        <v>466</v>
      </c>
      <c r="DS128" s="35" t="s">
        <v>6562</v>
      </c>
      <c r="DT128" s="35" t="s">
        <v>702</v>
      </c>
      <c r="DU128" s="35" t="s">
        <v>740</v>
      </c>
      <c r="DX128" s="35" t="s">
        <v>622</v>
      </c>
      <c r="DY128" s="35" t="s">
        <v>6563</v>
      </c>
      <c r="DZ128" s="35" t="s">
        <v>6564</v>
      </c>
      <c r="EA128" s="35" t="s">
        <v>6565</v>
      </c>
      <c r="EB128" s="35" t="s">
        <v>475</v>
      </c>
      <c r="EU128" s="35" t="s">
        <v>478</v>
      </c>
      <c r="EV128" s="35" t="s">
        <v>1037</v>
      </c>
      <c r="EW128" s="35" t="s">
        <v>480</v>
      </c>
      <c r="EY128" s="35" t="s">
        <v>6566</v>
      </c>
      <c r="EZ128" s="35" t="s">
        <v>6567</v>
      </c>
      <c r="FA128" s="35" t="s">
        <v>414</v>
      </c>
      <c r="FB128" s="35" t="s">
        <v>414</v>
      </c>
      <c r="FC128" s="35" t="s">
        <v>484</v>
      </c>
      <c r="FD128" s="35" t="s">
        <v>484</v>
      </c>
      <c r="FE128" s="35" t="s">
        <v>484</v>
      </c>
      <c r="FF128" s="35" t="s">
        <v>583</v>
      </c>
      <c r="FG128" s="35" t="s">
        <v>484</v>
      </c>
      <c r="FH128" s="35" t="s">
        <v>484</v>
      </c>
      <c r="FI128" s="35" t="s">
        <v>484</v>
      </c>
      <c r="FJ128" s="35" t="s">
        <v>484</v>
      </c>
      <c r="FK128" s="35" t="s">
        <v>414</v>
      </c>
      <c r="FL128" s="35" t="s">
        <v>484</v>
      </c>
      <c r="FM128" s="35" t="s">
        <v>484</v>
      </c>
      <c r="FN128" s="35" t="s">
        <v>484</v>
      </c>
      <c r="FO128" s="35" t="s">
        <v>484</v>
      </c>
      <c r="FP128" s="35" t="s">
        <v>417</v>
      </c>
      <c r="FQ128" s="35" t="s">
        <v>418</v>
      </c>
      <c r="FR128" s="35" t="s">
        <v>419</v>
      </c>
      <c r="FT128" s="35" t="s">
        <v>420</v>
      </c>
      <c r="FU128" s="35" t="s">
        <v>488</v>
      </c>
      <c r="FV128" s="35" t="s">
        <v>489</v>
      </c>
      <c r="FW128" s="35" t="s">
        <v>490</v>
      </c>
      <c r="FX128" s="35" t="s">
        <v>491</v>
      </c>
      <c r="FY128" s="35" t="s">
        <v>6568</v>
      </c>
      <c r="FZ128" s="35" t="s">
        <v>535</v>
      </c>
      <c r="GC128" s="35" t="s">
        <v>455</v>
      </c>
      <c r="GD128" s="35" t="s">
        <v>12113</v>
      </c>
      <c r="GE128" s="35" t="s">
        <v>12114</v>
      </c>
      <c r="GF128" s="35" t="s">
        <v>1339</v>
      </c>
      <c r="GG128" s="35" t="s">
        <v>6569</v>
      </c>
      <c r="GH128" s="35" t="s">
        <v>789</v>
      </c>
      <c r="GI128" s="35" t="s">
        <v>789</v>
      </c>
      <c r="GJ128" s="35" t="s">
        <v>817</v>
      </c>
      <c r="GN128" s="35" t="s">
        <v>1079</v>
      </c>
      <c r="GR128" s="35" t="s">
        <v>3208</v>
      </c>
      <c r="GU128" s="35" t="s">
        <v>4774</v>
      </c>
      <c r="GW128" s="35" t="s">
        <v>5231</v>
      </c>
      <c r="GX128" s="35" t="s">
        <v>5232</v>
      </c>
      <c r="HD128" s="35" t="s">
        <v>5297</v>
      </c>
      <c r="HE128" s="35" t="s">
        <v>5282</v>
      </c>
      <c r="HF128" s="35" t="s">
        <v>5320</v>
      </c>
      <c r="HG128" s="35" t="s">
        <v>5493</v>
      </c>
      <c r="HH128" s="35" t="s">
        <v>6570</v>
      </c>
      <c r="HI128" s="35" t="s">
        <v>5495</v>
      </c>
      <c r="HK128" s="35" t="s">
        <v>6571</v>
      </c>
      <c r="HP128" s="35" t="s">
        <v>5346</v>
      </c>
      <c r="HQ128" s="35" t="s">
        <v>5264</v>
      </c>
      <c r="HR128" s="35" t="s">
        <v>5238</v>
      </c>
      <c r="HS128" s="35" t="s">
        <v>5321</v>
      </c>
      <c r="IO128" s="35" t="s">
        <v>5536</v>
      </c>
      <c r="IP128" s="35" t="s">
        <v>5537</v>
      </c>
      <c r="IQ128" s="35" t="s">
        <v>5500</v>
      </c>
      <c r="IR128" s="35" t="s">
        <v>5500</v>
      </c>
      <c r="IS128" s="35" t="s">
        <v>5536</v>
      </c>
      <c r="IT128" s="35" t="s">
        <v>5536</v>
      </c>
      <c r="MK128" s="35" t="s">
        <v>6321</v>
      </c>
    </row>
    <row r="129">
      <c r="A129" s="35" t="s">
        <v>12115</v>
      </c>
      <c r="B129" s="40">
        <v>45922.54085658565</v>
      </c>
      <c r="C129" s="35" t="s">
        <v>368</v>
      </c>
      <c r="D129" s="35" t="s">
        <v>370</v>
      </c>
      <c r="E129" s="35" t="s">
        <v>370</v>
      </c>
      <c r="F129" s="35" t="s">
        <v>922</v>
      </c>
      <c r="G129" s="35" t="s">
        <v>922</v>
      </c>
      <c r="H129" s="35" t="s">
        <v>422</v>
      </c>
      <c r="I129" s="35" t="s">
        <v>637</v>
      </c>
      <c r="J129" s="35" t="s">
        <v>638</v>
      </c>
      <c r="K129" s="35" t="s">
        <v>590</v>
      </c>
      <c r="L129" s="35" t="s">
        <v>376</v>
      </c>
      <c r="M129" s="35" t="s">
        <v>377</v>
      </c>
      <c r="N129" s="35" t="s">
        <v>1442</v>
      </c>
      <c r="O129" s="35" t="s">
        <v>379</v>
      </c>
      <c r="P129" s="35" t="s">
        <v>6608</v>
      </c>
      <c r="Q129" s="35" t="s">
        <v>1760</v>
      </c>
      <c r="R129" s="35" t="s">
        <v>499</v>
      </c>
      <c r="S129" s="35" t="s">
        <v>6609</v>
      </c>
      <c r="T129" s="35" t="s">
        <v>384</v>
      </c>
      <c r="U129" s="35" t="s">
        <v>385</v>
      </c>
      <c r="X129" s="35" t="s">
        <v>1023</v>
      </c>
      <c r="AW129" s="35" t="s">
        <v>504</v>
      </c>
      <c r="AX129" s="41">
        <v>2.0</v>
      </c>
      <c r="AY129" s="35" t="s">
        <v>429</v>
      </c>
      <c r="AZ129" s="41">
        <v>2.0</v>
      </c>
      <c r="BA129" s="35" t="s">
        <v>429</v>
      </c>
      <c r="BB129" s="35" t="s">
        <v>429</v>
      </c>
      <c r="BC129" s="35" t="s">
        <v>429</v>
      </c>
      <c r="BD129" s="35" t="s">
        <v>6610</v>
      </c>
      <c r="BE129" s="35" t="s">
        <v>6611</v>
      </c>
      <c r="BF129" s="35" t="s">
        <v>392</v>
      </c>
      <c r="BG129" s="35" t="s">
        <v>433</v>
      </c>
      <c r="BH129" s="35" t="s">
        <v>678</v>
      </c>
      <c r="BJ129" s="35" t="s">
        <v>509</v>
      </c>
      <c r="BK129" s="35" t="s">
        <v>6612</v>
      </c>
      <c r="BL129" s="35" t="s">
        <v>602</v>
      </c>
      <c r="BM129" s="35" t="s">
        <v>904</v>
      </c>
      <c r="BN129" s="35" t="s">
        <v>439</v>
      </c>
      <c r="BO129" s="35" t="s">
        <v>440</v>
      </c>
      <c r="DJ129" s="35" t="s">
        <v>777</v>
      </c>
      <c r="DK129" s="35" t="s">
        <v>613</v>
      </c>
      <c r="DN129" s="35" t="s">
        <v>6613</v>
      </c>
      <c r="DO129" s="35" t="s">
        <v>6614</v>
      </c>
      <c r="DP129" s="35" t="s">
        <v>464</v>
      </c>
      <c r="DQ129" s="35" t="s">
        <v>6615</v>
      </c>
      <c r="DR129" s="35" t="s">
        <v>1291</v>
      </c>
      <c r="DS129" s="35" t="s">
        <v>6616</v>
      </c>
      <c r="DT129" s="35" t="s">
        <v>6617</v>
      </c>
      <c r="DU129" s="35" t="s">
        <v>6618</v>
      </c>
      <c r="DV129" s="35" t="s">
        <v>6619</v>
      </c>
      <c r="DW129" s="35" t="s">
        <v>6620</v>
      </c>
      <c r="DX129" s="35" t="s">
        <v>622</v>
      </c>
      <c r="DY129" s="35" t="s">
        <v>6621</v>
      </c>
      <c r="DZ129" s="35" t="s">
        <v>6622</v>
      </c>
      <c r="EA129" s="35" t="s">
        <v>6623</v>
      </c>
      <c r="EB129" s="35" t="s">
        <v>475</v>
      </c>
      <c r="EC129" s="35" t="s">
        <v>845</v>
      </c>
      <c r="EU129" s="35" t="s">
        <v>526</v>
      </c>
      <c r="EV129" s="35" t="s">
        <v>479</v>
      </c>
      <c r="EW129" s="35" t="s">
        <v>663</v>
      </c>
      <c r="EY129" s="35" t="s">
        <v>6624</v>
      </c>
      <c r="EZ129" s="35" t="s">
        <v>6625</v>
      </c>
      <c r="FA129" s="35" t="s">
        <v>583</v>
      </c>
      <c r="FB129" s="35" t="s">
        <v>583</v>
      </c>
      <c r="FC129" s="35" t="s">
        <v>413</v>
      </c>
      <c r="FD129" s="35" t="s">
        <v>414</v>
      </c>
      <c r="FE129" s="35" t="s">
        <v>484</v>
      </c>
      <c r="FF129" s="35" t="s">
        <v>414</v>
      </c>
      <c r="FG129" s="35" t="s">
        <v>414</v>
      </c>
      <c r="FH129" s="35" t="s">
        <v>415</v>
      </c>
      <c r="FI129" s="35" t="s">
        <v>484</v>
      </c>
      <c r="FJ129" s="35" t="s">
        <v>414</v>
      </c>
      <c r="FK129" s="35" t="s">
        <v>415</v>
      </c>
      <c r="FL129" s="35" t="s">
        <v>414</v>
      </c>
      <c r="FM129" s="35" t="s">
        <v>414</v>
      </c>
      <c r="FN129" s="35" t="s">
        <v>484</v>
      </c>
      <c r="FO129" s="35" t="s">
        <v>414</v>
      </c>
      <c r="FP129" s="35" t="s">
        <v>485</v>
      </c>
      <c r="FQ129" s="35" t="s">
        <v>486</v>
      </c>
      <c r="FR129" s="35" t="s">
        <v>419</v>
      </c>
      <c r="FS129" s="35" t="s">
        <v>6626</v>
      </c>
      <c r="FT129" s="35" t="s">
        <v>420</v>
      </c>
      <c r="FU129" s="35" t="s">
        <v>488</v>
      </c>
      <c r="FV129" s="35" t="s">
        <v>585</v>
      </c>
      <c r="FW129" s="35" t="s">
        <v>490</v>
      </c>
      <c r="FX129" s="35" t="s">
        <v>491</v>
      </c>
      <c r="FY129" s="35" t="s">
        <v>6627</v>
      </c>
      <c r="FZ129" s="35" t="s">
        <v>535</v>
      </c>
      <c r="GA129" s="35" t="s">
        <v>6628</v>
      </c>
      <c r="GC129" s="35" t="s">
        <v>455</v>
      </c>
      <c r="GD129" s="35" t="s">
        <v>12116</v>
      </c>
      <c r="GF129" s="35" t="s">
        <v>753</v>
      </c>
      <c r="GN129" s="35" t="s">
        <v>6629</v>
      </c>
      <c r="GR129" s="35" t="s">
        <v>3208</v>
      </c>
      <c r="GW129" s="35" t="s">
        <v>5231</v>
      </c>
      <c r="GX129" s="35" t="s">
        <v>484</v>
      </c>
      <c r="HH129" s="35" t="s">
        <v>6630</v>
      </c>
      <c r="HI129" s="35" t="s">
        <v>6631</v>
      </c>
      <c r="HJ129" s="35" t="s">
        <v>6632</v>
      </c>
      <c r="HK129" s="35" t="s">
        <v>6633</v>
      </c>
      <c r="HP129" s="35" t="s">
        <v>5236</v>
      </c>
      <c r="HQ129" s="35" t="s">
        <v>5237</v>
      </c>
      <c r="HR129" s="35" t="s">
        <v>5238</v>
      </c>
      <c r="HS129" s="35" t="s">
        <v>5321</v>
      </c>
      <c r="IO129" s="35" t="s">
        <v>5536</v>
      </c>
      <c r="IP129" s="35" t="s">
        <v>5536</v>
      </c>
      <c r="IQ129" s="35" t="s">
        <v>5500</v>
      </c>
      <c r="IR129" s="35" t="s">
        <v>5500</v>
      </c>
      <c r="IS129" s="35" t="s">
        <v>5500</v>
      </c>
      <c r="IT129" s="35" t="s">
        <v>5500</v>
      </c>
      <c r="MK129" s="35" t="s">
        <v>6321</v>
      </c>
    </row>
    <row r="130">
      <c r="A130" s="35" t="s">
        <v>12117</v>
      </c>
      <c r="B130" s="40">
        <v>45924.626566273146</v>
      </c>
      <c r="C130" s="35" t="s">
        <v>368</v>
      </c>
      <c r="D130" s="35" t="s">
        <v>370</v>
      </c>
      <c r="E130" s="35" t="s">
        <v>370</v>
      </c>
      <c r="F130" s="35" t="s">
        <v>6716</v>
      </c>
      <c r="G130" s="35" t="s">
        <v>1421</v>
      </c>
      <c r="H130" s="35" t="s">
        <v>2295</v>
      </c>
      <c r="I130" s="35" t="s">
        <v>373</v>
      </c>
      <c r="J130" s="35" t="s">
        <v>374</v>
      </c>
      <c r="K130" s="35" t="s">
        <v>425</v>
      </c>
      <c r="L130" s="35" t="s">
        <v>376</v>
      </c>
      <c r="M130" s="35" t="s">
        <v>426</v>
      </c>
      <c r="N130" s="35" t="s">
        <v>720</v>
      </c>
      <c r="O130" s="35" t="s">
        <v>426</v>
      </c>
      <c r="P130" s="35" t="s">
        <v>380</v>
      </c>
      <c r="Q130" s="35" t="s">
        <v>498</v>
      </c>
      <c r="R130" s="35" t="s">
        <v>382</v>
      </c>
      <c r="S130" s="35" t="s">
        <v>949</v>
      </c>
      <c r="T130" s="35" t="s">
        <v>384</v>
      </c>
      <c r="U130" s="35" t="s">
        <v>385</v>
      </c>
      <c r="X130" s="35" t="s">
        <v>3231</v>
      </c>
      <c r="AW130" s="35" t="s">
        <v>1310</v>
      </c>
      <c r="AX130" s="41">
        <v>4.0</v>
      </c>
      <c r="AY130" s="41">
        <v>4.0</v>
      </c>
      <c r="AZ130" s="35" t="s">
        <v>391</v>
      </c>
      <c r="BA130" s="41">
        <v>2.0</v>
      </c>
      <c r="BB130" s="35" t="s">
        <v>391</v>
      </c>
      <c r="BC130" s="35" t="s">
        <v>391</v>
      </c>
      <c r="BD130" s="35" t="s">
        <v>6717</v>
      </c>
      <c r="BE130" s="35" t="s">
        <v>6718</v>
      </c>
      <c r="BF130" s="35" t="s">
        <v>902</v>
      </c>
      <c r="BG130" s="35" t="s">
        <v>393</v>
      </c>
      <c r="BH130" s="35" t="s">
        <v>678</v>
      </c>
      <c r="BI130" s="35" t="s">
        <v>6719</v>
      </c>
      <c r="BJ130" s="35" t="s">
        <v>509</v>
      </c>
      <c r="BK130" s="35" t="s">
        <v>6720</v>
      </c>
      <c r="BL130" s="35" t="s">
        <v>602</v>
      </c>
      <c r="BM130" s="35" t="s">
        <v>438</v>
      </c>
      <c r="BN130" s="35" t="s">
        <v>1247</v>
      </c>
      <c r="BO130" s="35" t="s">
        <v>440</v>
      </c>
      <c r="DJ130" s="35" t="s">
        <v>777</v>
      </c>
      <c r="DK130" s="35" t="s">
        <v>460</v>
      </c>
      <c r="DL130" s="35" t="s">
        <v>6335</v>
      </c>
      <c r="DN130" s="35" t="s">
        <v>3494</v>
      </c>
      <c r="DO130" s="35" t="s">
        <v>6721</v>
      </c>
      <c r="DP130" s="35" t="s">
        <v>567</v>
      </c>
      <c r="DQ130" s="35" t="s">
        <v>6722</v>
      </c>
      <c r="DR130" s="35" t="s">
        <v>1291</v>
      </c>
      <c r="DS130" s="35" t="s">
        <v>6723</v>
      </c>
      <c r="DT130" s="35" t="s">
        <v>702</v>
      </c>
      <c r="DU130" s="35" t="s">
        <v>570</v>
      </c>
      <c r="DV130" s="35" t="s">
        <v>6724</v>
      </c>
      <c r="DW130" s="35" t="s">
        <v>6725</v>
      </c>
      <c r="DX130" s="35" t="s">
        <v>622</v>
      </c>
      <c r="DY130" s="35" t="s">
        <v>6726</v>
      </c>
      <c r="DZ130" s="35" t="s">
        <v>6727</v>
      </c>
      <c r="EA130" s="35" t="s">
        <v>6728</v>
      </c>
      <c r="EB130" s="35" t="s">
        <v>475</v>
      </c>
      <c r="EC130" s="35" t="s">
        <v>845</v>
      </c>
      <c r="ED130" s="35" t="s">
        <v>6729</v>
      </c>
      <c r="EU130" s="35" t="s">
        <v>526</v>
      </c>
      <c r="EV130" s="35" t="s">
        <v>479</v>
      </c>
      <c r="EW130" s="35" t="s">
        <v>527</v>
      </c>
      <c r="EX130" s="35" t="s">
        <v>6730</v>
      </c>
      <c r="EY130" s="35" t="s">
        <v>5339</v>
      </c>
      <c r="EZ130" s="35" t="s">
        <v>6731</v>
      </c>
      <c r="FA130" s="35" t="s">
        <v>415</v>
      </c>
      <c r="FB130" s="35" t="s">
        <v>415</v>
      </c>
      <c r="FC130" s="35" t="s">
        <v>413</v>
      </c>
      <c r="FD130" s="35" t="s">
        <v>413</v>
      </c>
      <c r="FE130" s="35" t="s">
        <v>413</v>
      </c>
      <c r="FF130" s="35" t="s">
        <v>414</v>
      </c>
      <c r="FG130" s="35" t="s">
        <v>416</v>
      </c>
      <c r="FH130" s="35" t="s">
        <v>416</v>
      </c>
      <c r="FI130" s="35" t="s">
        <v>583</v>
      </c>
      <c r="FJ130" s="35" t="s">
        <v>583</v>
      </c>
      <c r="FK130" s="35" t="s">
        <v>415</v>
      </c>
      <c r="FL130" s="35" t="s">
        <v>415</v>
      </c>
      <c r="FM130" s="35" t="s">
        <v>415</v>
      </c>
      <c r="FN130" s="35" t="s">
        <v>416</v>
      </c>
      <c r="FO130" s="35" t="s">
        <v>414</v>
      </c>
      <c r="FP130" s="35" t="s">
        <v>850</v>
      </c>
      <c r="FQ130" s="35" t="s">
        <v>418</v>
      </c>
      <c r="FR130" s="35" t="s">
        <v>749</v>
      </c>
      <c r="FS130" s="35" t="s">
        <v>6732</v>
      </c>
      <c r="FT130" s="35" t="s">
        <v>420</v>
      </c>
      <c r="FU130" s="35" t="s">
        <v>488</v>
      </c>
      <c r="FV130" s="35" t="s">
        <v>533</v>
      </c>
      <c r="FW130" s="35" t="s">
        <v>490</v>
      </c>
      <c r="FX130" s="35" t="s">
        <v>491</v>
      </c>
      <c r="FY130" s="35" t="s">
        <v>6733</v>
      </c>
      <c r="FZ130" s="35" t="s">
        <v>493</v>
      </c>
      <c r="GA130" s="35" t="s">
        <v>6734</v>
      </c>
      <c r="GC130" s="35" t="s">
        <v>455</v>
      </c>
      <c r="GD130" s="35" t="s">
        <v>12118</v>
      </c>
      <c r="GE130" s="41">
        <v>5.01772947E9</v>
      </c>
      <c r="GF130" s="35" t="s">
        <v>1339</v>
      </c>
      <c r="GG130" s="35" t="s">
        <v>6735</v>
      </c>
      <c r="GN130" s="35" t="s">
        <v>6629</v>
      </c>
      <c r="GQ130" s="35" t="s">
        <v>387</v>
      </c>
      <c r="GR130" s="35" t="s">
        <v>6736</v>
      </c>
      <c r="GW130" s="35" t="s">
        <v>5231</v>
      </c>
      <c r="GX130" s="35" t="s">
        <v>5232</v>
      </c>
      <c r="HH130" s="35" t="s">
        <v>6737</v>
      </c>
      <c r="HI130" s="35" t="s">
        <v>6242</v>
      </c>
      <c r="HJ130" s="35" t="s">
        <v>6738</v>
      </c>
      <c r="HK130" s="35" t="s">
        <v>6739</v>
      </c>
      <c r="HP130" s="35" t="s">
        <v>5236</v>
      </c>
      <c r="HQ130" s="35" t="s">
        <v>5237</v>
      </c>
      <c r="HR130" s="35" t="s">
        <v>5238</v>
      </c>
      <c r="HS130" s="35" t="s">
        <v>5321</v>
      </c>
      <c r="IO130" s="35" t="s">
        <v>5500</v>
      </c>
      <c r="IP130" s="35" t="s">
        <v>5500</v>
      </c>
      <c r="IQ130" s="35" t="s">
        <v>5500</v>
      </c>
      <c r="IR130" s="35" t="s">
        <v>5500</v>
      </c>
      <c r="IS130" s="35" t="s">
        <v>5500</v>
      </c>
      <c r="IT130" s="35" t="s">
        <v>5500</v>
      </c>
      <c r="MK130" s="35" t="s">
        <v>6321</v>
      </c>
    </row>
    <row r="131">
      <c r="A131" s="35" t="s">
        <v>12119</v>
      </c>
      <c r="B131" s="40">
        <v>45937.01626369213</v>
      </c>
      <c r="C131" s="35" t="s">
        <v>368</v>
      </c>
      <c r="D131" s="35" t="s">
        <v>370</v>
      </c>
      <c r="E131" s="35" t="s">
        <v>370</v>
      </c>
      <c r="F131" s="35" t="s">
        <v>371</v>
      </c>
      <c r="G131" s="35" t="s">
        <v>371</v>
      </c>
      <c r="H131" s="35" t="s">
        <v>1093</v>
      </c>
      <c r="I131" s="35" t="s">
        <v>539</v>
      </c>
      <c r="J131" s="35" t="s">
        <v>2578</v>
      </c>
      <c r="K131" s="35" t="s">
        <v>540</v>
      </c>
      <c r="L131" s="35" t="s">
        <v>376</v>
      </c>
      <c r="M131" s="35" t="s">
        <v>426</v>
      </c>
      <c r="N131" s="35" t="s">
        <v>720</v>
      </c>
      <c r="O131" s="35" t="s">
        <v>591</v>
      </c>
      <c r="P131" s="35" t="s">
        <v>719</v>
      </c>
      <c r="Q131" s="35" t="s">
        <v>498</v>
      </c>
      <c r="R131" s="35" t="s">
        <v>818</v>
      </c>
      <c r="S131" s="35" t="s">
        <v>1704</v>
      </c>
      <c r="T131" s="35" t="s">
        <v>384</v>
      </c>
      <c r="U131" s="35" t="s">
        <v>385</v>
      </c>
      <c r="X131" s="35" t="s">
        <v>386</v>
      </c>
      <c r="Y131" s="35" t="s">
        <v>387</v>
      </c>
      <c r="Z131" s="35" t="s">
        <v>388</v>
      </c>
      <c r="AA131" s="35" t="s">
        <v>672</v>
      </c>
      <c r="AB131" s="35" t="s">
        <v>408</v>
      </c>
      <c r="AW131" s="35" t="s">
        <v>597</v>
      </c>
      <c r="AX131" s="35" t="s">
        <v>391</v>
      </c>
      <c r="AY131" s="35" t="s">
        <v>391</v>
      </c>
      <c r="AZ131" s="35" t="s">
        <v>391</v>
      </c>
      <c r="BA131" s="35" t="s">
        <v>391</v>
      </c>
      <c r="BB131" s="35" t="s">
        <v>429</v>
      </c>
      <c r="BC131" s="41">
        <v>2.0</v>
      </c>
      <c r="BD131" s="35" t="s">
        <v>6861</v>
      </c>
      <c r="BE131" s="35" t="s">
        <v>6862</v>
      </c>
      <c r="BF131" s="35" t="s">
        <v>392</v>
      </c>
      <c r="BG131" s="35" t="s">
        <v>393</v>
      </c>
      <c r="BH131" s="35" t="s">
        <v>765</v>
      </c>
      <c r="BI131" s="35" t="s">
        <v>6863</v>
      </c>
      <c r="BJ131" s="35" t="s">
        <v>509</v>
      </c>
      <c r="BK131" s="35" t="s">
        <v>6864</v>
      </c>
      <c r="BL131" s="35" t="s">
        <v>437</v>
      </c>
      <c r="BM131" s="35" t="s">
        <v>438</v>
      </c>
      <c r="BN131" s="35" t="s">
        <v>397</v>
      </c>
      <c r="BO131" s="35" t="s">
        <v>440</v>
      </c>
      <c r="CM131" s="35" t="s">
        <v>441</v>
      </c>
      <c r="CN131" s="35" t="s">
        <v>401</v>
      </c>
      <c r="CO131" s="35" t="s">
        <v>6865</v>
      </c>
      <c r="CP131" s="35" t="s">
        <v>6866</v>
      </c>
      <c r="CQ131" s="35" t="s">
        <v>979</v>
      </c>
      <c r="CR131" s="35" t="s">
        <v>1136</v>
      </c>
      <c r="CS131" s="35" t="s">
        <v>447</v>
      </c>
      <c r="CT131" s="35" t="s">
        <v>871</v>
      </c>
      <c r="CU131" s="35" t="s">
        <v>6867</v>
      </c>
      <c r="CV131" s="35" t="s">
        <v>450</v>
      </c>
      <c r="CW131" s="35" t="s">
        <v>451</v>
      </c>
      <c r="CX131" s="35" t="s">
        <v>6868</v>
      </c>
      <c r="CY131" s="35" t="s">
        <v>408</v>
      </c>
      <c r="DA131" s="35" t="s">
        <v>985</v>
      </c>
      <c r="DB131" s="35" t="s">
        <v>6869</v>
      </c>
      <c r="DC131" s="35" t="s">
        <v>408</v>
      </c>
      <c r="DE131" s="35" t="s">
        <v>406</v>
      </c>
      <c r="DF131" s="35" t="s">
        <v>691</v>
      </c>
      <c r="DG131" s="35" t="s">
        <v>6870</v>
      </c>
      <c r="DH131" s="35" t="s">
        <v>561</v>
      </c>
      <c r="DI131" s="35" t="s">
        <v>410</v>
      </c>
      <c r="DJ131" s="35" t="s">
        <v>459</v>
      </c>
      <c r="DK131" s="35" t="s">
        <v>460</v>
      </c>
      <c r="DL131" s="35" t="s">
        <v>6335</v>
      </c>
      <c r="DN131" s="35" t="s">
        <v>6871</v>
      </c>
      <c r="DO131" s="35" t="s">
        <v>6872</v>
      </c>
      <c r="DP131" s="35" t="s">
        <v>464</v>
      </c>
      <c r="DQ131" s="35" t="s">
        <v>6873</v>
      </c>
      <c r="DR131" s="35" t="s">
        <v>466</v>
      </c>
      <c r="DS131" s="35" t="s">
        <v>408</v>
      </c>
      <c r="DT131" s="35" t="s">
        <v>839</v>
      </c>
      <c r="DU131" s="35" t="s">
        <v>1580</v>
      </c>
      <c r="DV131" s="35" t="s">
        <v>6874</v>
      </c>
      <c r="DW131" s="35" t="s">
        <v>6875</v>
      </c>
      <c r="DX131" s="35" t="s">
        <v>573</v>
      </c>
      <c r="DY131" s="35" t="s">
        <v>6876</v>
      </c>
      <c r="DZ131" s="35" t="s">
        <v>6877</v>
      </c>
      <c r="EA131" s="35" t="s">
        <v>6878</v>
      </c>
      <c r="EB131" s="35" t="s">
        <v>475</v>
      </c>
      <c r="EC131" s="35" t="s">
        <v>626</v>
      </c>
      <c r="ED131" s="35" t="s">
        <v>6879</v>
      </c>
      <c r="EU131" s="35" t="s">
        <v>578</v>
      </c>
      <c r="EV131" s="35" t="s">
        <v>479</v>
      </c>
      <c r="EW131" s="35" t="s">
        <v>1262</v>
      </c>
      <c r="EY131" s="35" t="s">
        <v>6880</v>
      </c>
      <c r="EZ131" s="35" t="s">
        <v>6881</v>
      </c>
      <c r="FA131" s="35" t="s">
        <v>414</v>
      </c>
      <c r="FB131" s="35" t="s">
        <v>583</v>
      </c>
      <c r="FC131" s="35" t="s">
        <v>583</v>
      </c>
      <c r="FD131" s="35" t="s">
        <v>414</v>
      </c>
      <c r="FE131" s="35" t="s">
        <v>415</v>
      </c>
      <c r="FF131" s="35" t="s">
        <v>583</v>
      </c>
      <c r="FG131" s="35" t="s">
        <v>583</v>
      </c>
      <c r="FH131" s="35" t="s">
        <v>583</v>
      </c>
      <c r="FI131" s="35" t="s">
        <v>583</v>
      </c>
      <c r="FJ131" s="35" t="s">
        <v>583</v>
      </c>
      <c r="FK131" s="35" t="s">
        <v>583</v>
      </c>
      <c r="FL131" s="35" t="s">
        <v>583</v>
      </c>
      <c r="FM131" s="35" t="s">
        <v>583</v>
      </c>
      <c r="FN131" s="35" t="s">
        <v>583</v>
      </c>
      <c r="FO131" s="35" t="s">
        <v>583</v>
      </c>
      <c r="FP131" s="35" t="s">
        <v>1537</v>
      </c>
      <c r="FQ131" s="35" t="s">
        <v>1200</v>
      </c>
      <c r="FR131" s="35" t="s">
        <v>630</v>
      </c>
      <c r="FS131" s="35" t="s">
        <v>6882</v>
      </c>
      <c r="FT131" s="35" t="s">
        <v>1871</v>
      </c>
      <c r="FU131" s="35" t="s">
        <v>421</v>
      </c>
      <c r="FV131" s="35" t="s">
        <v>533</v>
      </c>
      <c r="FW131" s="35" t="s">
        <v>490</v>
      </c>
      <c r="FX131" s="35" t="s">
        <v>491</v>
      </c>
      <c r="FY131" s="35" t="s">
        <v>6883</v>
      </c>
      <c r="FZ131" s="35" t="s">
        <v>1337</v>
      </c>
      <c r="GA131" s="35" t="s">
        <v>6884</v>
      </c>
      <c r="GC131" s="35" t="s">
        <v>455</v>
      </c>
      <c r="GD131" s="35" t="s">
        <v>12120</v>
      </c>
      <c r="GF131" s="35" t="s">
        <v>944</v>
      </c>
      <c r="GG131" s="35" t="s">
        <v>6885</v>
      </c>
      <c r="GH131" s="35" t="s">
        <v>755</v>
      </c>
      <c r="GI131" s="35" t="s">
        <v>755</v>
      </c>
      <c r="GJ131" s="35" t="s">
        <v>946</v>
      </c>
      <c r="GN131" s="35" t="s">
        <v>1079</v>
      </c>
      <c r="GR131" s="35" t="s">
        <v>4653</v>
      </c>
      <c r="GU131" s="35" t="s">
        <v>4774</v>
      </c>
      <c r="GV131" s="35" t="s">
        <v>6886</v>
      </c>
      <c r="GW131" s="35" t="s">
        <v>5231</v>
      </c>
      <c r="GX131" s="35" t="s">
        <v>5232</v>
      </c>
      <c r="HD131" s="35" t="s">
        <v>5297</v>
      </c>
      <c r="HE131" s="35" t="s">
        <v>5282</v>
      </c>
      <c r="HF131" s="35" t="s">
        <v>5320</v>
      </c>
      <c r="HG131" s="35" t="s">
        <v>5284</v>
      </c>
      <c r="HH131" s="35" t="s">
        <v>6887</v>
      </c>
      <c r="HI131" s="35" t="s">
        <v>6631</v>
      </c>
      <c r="HJ131" s="35" t="s">
        <v>6888</v>
      </c>
      <c r="HK131" s="35" t="s">
        <v>6889</v>
      </c>
      <c r="HP131" s="35" t="s">
        <v>5236</v>
      </c>
      <c r="HQ131" s="35" t="s">
        <v>5264</v>
      </c>
      <c r="HR131" s="35" t="s">
        <v>5238</v>
      </c>
      <c r="HS131" s="35" t="s">
        <v>5321</v>
      </c>
      <c r="HX131" s="35" t="s">
        <v>5501</v>
      </c>
      <c r="IO131" s="35" t="s">
        <v>5537</v>
      </c>
      <c r="IP131" s="35" t="s">
        <v>5537</v>
      </c>
      <c r="IQ131" s="35" t="s">
        <v>5536</v>
      </c>
      <c r="IR131" s="35" t="s">
        <v>5537</v>
      </c>
      <c r="IS131" s="35" t="s">
        <v>5500</v>
      </c>
      <c r="IT131" s="35" t="s">
        <v>5536</v>
      </c>
      <c r="MK131" s="35" t="s">
        <v>6321</v>
      </c>
    </row>
    <row r="132">
      <c r="A132" s="35" t="s">
        <v>12121</v>
      </c>
      <c r="B132" s="40">
        <v>45940.5685471412</v>
      </c>
      <c r="C132" s="35" t="s">
        <v>368</v>
      </c>
      <c r="D132" s="35" t="s">
        <v>947</v>
      </c>
      <c r="E132" s="35" t="s">
        <v>370</v>
      </c>
      <c r="G132" s="35" t="s">
        <v>371</v>
      </c>
      <c r="H132" s="35" t="s">
        <v>422</v>
      </c>
      <c r="I132" s="35" t="s">
        <v>539</v>
      </c>
      <c r="J132" s="35" t="s">
        <v>424</v>
      </c>
      <c r="K132" s="35" t="s">
        <v>718</v>
      </c>
      <c r="L132" s="35" t="s">
        <v>376</v>
      </c>
      <c r="M132" s="35" t="s">
        <v>379</v>
      </c>
      <c r="N132" s="35" t="s">
        <v>541</v>
      </c>
      <c r="O132" s="35" t="s">
        <v>377</v>
      </c>
      <c r="P132" s="35" t="s">
        <v>497</v>
      </c>
      <c r="Q132" s="35" t="s">
        <v>592</v>
      </c>
      <c r="R132" s="35" t="s">
        <v>382</v>
      </c>
      <c r="S132" s="35" t="s">
        <v>427</v>
      </c>
      <c r="T132" s="35" t="s">
        <v>384</v>
      </c>
      <c r="U132" s="35" t="s">
        <v>385</v>
      </c>
      <c r="X132" s="35" t="s">
        <v>3014</v>
      </c>
      <c r="AW132" s="35" t="s">
        <v>390</v>
      </c>
      <c r="AX132" s="41">
        <v>2.0</v>
      </c>
      <c r="AY132" s="41">
        <v>2.0</v>
      </c>
      <c r="AZ132" s="35" t="s">
        <v>429</v>
      </c>
      <c r="BA132" s="35" t="s">
        <v>429</v>
      </c>
      <c r="BB132" s="35" t="s">
        <v>391</v>
      </c>
      <c r="BC132" s="35" t="s">
        <v>429</v>
      </c>
      <c r="BD132" s="35" t="s">
        <v>7023</v>
      </c>
      <c r="BE132" s="35" t="s">
        <v>7024</v>
      </c>
      <c r="BF132" s="35" t="s">
        <v>432</v>
      </c>
      <c r="BG132" s="35" t="s">
        <v>433</v>
      </c>
      <c r="BH132" s="35" t="s">
        <v>765</v>
      </c>
      <c r="BI132" s="35" t="s">
        <v>7025</v>
      </c>
      <c r="BJ132" s="35" t="s">
        <v>509</v>
      </c>
      <c r="BL132" s="35" t="s">
        <v>511</v>
      </c>
      <c r="BM132" s="35" t="s">
        <v>512</v>
      </c>
      <c r="BN132" s="35" t="s">
        <v>549</v>
      </c>
      <c r="BO132" s="35" t="s">
        <v>440</v>
      </c>
      <c r="CM132" s="35" t="s">
        <v>550</v>
      </c>
      <c r="CN132" s="35" t="s">
        <v>682</v>
      </c>
      <c r="CO132" s="35" t="s">
        <v>7026</v>
      </c>
      <c r="CP132" s="35" t="s">
        <v>7027</v>
      </c>
      <c r="CQ132" s="35" t="s">
        <v>685</v>
      </c>
      <c r="CR132" s="35" t="s">
        <v>956</v>
      </c>
      <c r="CS132" s="35" t="s">
        <v>804</v>
      </c>
      <c r="CT132" s="35" t="s">
        <v>7028</v>
      </c>
      <c r="CU132" s="35" t="s">
        <v>7029</v>
      </c>
      <c r="CV132" s="35" t="s">
        <v>519</v>
      </c>
      <c r="CW132" s="35" t="s">
        <v>451</v>
      </c>
      <c r="CX132" s="35" t="s">
        <v>7030</v>
      </c>
      <c r="CY132" s="35" t="s">
        <v>408</v>
      </c>
      <c r="DA132" s="35" t="s">
        <v>453</v>
      </c>
      <c r="DB132" s="35" t="s">
        <v>7031</v>
      </c>
      <c r="DC132" s="35" t="s">
        <v>455</v>
      </c>
      <c r="DD132" s="35" t="s">
        <v>7032</v>
      </c>
      <c r="DE132" s="35" t="s">
        <v>457</v>
      </c>
      <c r="DG132" s="35" t="s">
        <v>7033</v>
      </c>
      <c r="DH132" s="35" t="s">
        <v>524</v>
      </c>
      <c r="DI132" s="35" t="s">
        <v>410</v>
      </c>
      <c r="DJ132" s="35" t="s">
        <v>963</v>
      </c>
      <c r="DK132" s="35" t="s">
        <v>613</v>
      </c>
      <c r="DN132" s="35" t="s">
        <v>7034</v>
      </c>
      <c r="DO132" s="35" t="s">
        <v>7035</v>
      </c>
      <c r="DP132" s="35" t="s">
        <v>3496</v>
      </c>
      <c r="DQ132" s="35" t="s">
        <v>7036</v>
      </c>
      <c r="DR132" s="35" t="s">
        <v>837</v>
      </c>
      <c r="DS132" s="35" t="s">
        <v>7037</v>
      </c>
      <c r="DT132" s="35" t="s">
        <v>468</v>
      </c>
      <c r="DU132" s="35" t="s">
        <v>703</v>
      </c>
      <c r="DV132" s="35" t="s">
        <v>7038</v>
      </c>
      <c r="DW132" s="35" t="s">
        <v>7039</v>
      </c>
      <c r="DX132" s="35" t="s">
        <v>1328</v>
      </c>
      <c r="DY132" s="35" t="s">
        <v>7040</v>
      </c>
      <c r="DZ132" s="35" t="s">
        <v>7041</v>
      </c>
      <c r="EA132" s="35" t="s">
        <v>7042</v>
      </c>
      <c r="EB132" s="35" t="s">
        <v>475</v>
      </c>
      <c r="EC132" s="35" t="s">
        <v>845</v>
      </c>
      <c r="ED132" s="35" t="s">
        <v>7043</v>
      </c>
      <c r="EU132" s="35" t="s">
        <v>526</v>
      </c>
      <c r="EV132" s="35" t="s">
        <v>579</v>
      </c>
      <c r="EW132" s="35" t="s">
        <v>480</v>
      </c>
      <c r="EY132" s="35" t="s">
        <v>7044</v>
      </c>
      <c r="EZ132" s="35" t="s">
        <v>7045</v>
      </c>
      <c r="FA132" s="35" t="s">
        <v>583</v>
      </c>
      <c r="FB132" s="35" t="s">
        <v>583</v>
      </c>
      <c r="FC132" s="35" t="s">
        <v>413</v>
      </c>
      <c r="FD132" s="35" t="s">
        <v>583</v>
      </c>
      <c r="FE132" s="35" t="s">
        <v>413</v>
      </c>
      <c r="FF132" s="35" t="s">
        <v>484</v>
      </c>
      <c r="FG132" s="35" t="s">
        <v>414</v>
      </c>
      <c r="FH132" s="35" t="s">
        <v>414</v>
      </c>
      <c r="FI132" s="35" t="s">
        <v>414</v>
      </c>
      <c r="FJ132" s="35" t="s">
        <v>414</v>
      </c>
      <c r="FK132" s="35" t="s">
        <v>583</v>
      </c>
      <c r="FL132" s="35" t="s">
        <v>414</v>
      </c>
      <c r="FM132" s="35" t="s">
        <v>414</v>
      </c>
      <c r="FN132" s="35" t="s">
        <v>414</v>
      </c>
      <c r="FO132" s="35" t="s">
        <v>414</v>
      </c>
      <c r="FP132" s="35" t="s">
        <v>417</v>
      </c>
      <c r="FQ132" s="35" t="s">
        <v>418</v>
      </c>
      <c r="FR132" s="35" t="s">
        <v>630</v>
      </c>
      <c r="FS132" s="35" t="s">
        <v>7046</v>
      </c>
      <c r="FT132" s="35" t="s">
        <v>420</v>
      </c>
      <c r="FU132" s="35" t="s">
        <v>488</v>
      </c>
      <c r="FV132" s="35" t="s">
        <v>533</v>
      </c>
      <c r="FW132" s="35" t="s">
        <v>490</v>
      </c>
      <c r="FX132" s="35" t="s">
        <v>491</v>
      </c>
      <c r="FY132" s="35" t="s">
        <v>7047</v>
      </c>
      <c r="FZ132" s="35" t="s">
        <v>535</v>
      </c>
      <c r="GA132" s="35" t="s">
        <v>7048</v>
      </c>
      <c r="GB132" s="35" t="s">
        <v>7049</v>
      </c>
      <c r="GC132" s="35" t="s">
        <v>455</v>
      </c>
      <c r="GD132" s="35" t="s">
        <v>12122</v>
      </c>
      <c r="GF132" s="35" t="s">
        <v>1339</v>
      </c>
      <c r="GG132" s="35" t="s">
        <v>7050</v>
      </c>
      <c r="GH132" s="35" t="s">
        <v>755</v>
      </c>
      <c r="GI132" s="35" t="s">
        <v>755</v>
      </c>
      <c r="GJ132" s="35" t="s">
        <v>946</v>
      </c>
      <c r="GN132" s="35" t="s">
        <v>1079</v>
      </c>
      <c r="GR132" s="35" t="s">
        <v>3208</v>
      </c>
      <c r="GU132" s="35" t="s">
        <v>4774</v>
      </c>
      <c r="GW132" s="35" t="s">
        <v>5231</v>
      </c>
      <c r="GX132" s="35" t="s">
        <v>484</v>
      </c>
      <c r="HD132" s="35" t="s">
        <v>5281</v>
      </c>
      <c r="HE132" s="35" t="s">
        <v>5282</v>
      </c>
      <c r="HF132" s="35" t="s">
        <v>5320</v>
      </c>
      <c r="HG132" s="35" t="s">
        <v>5300</v>
      </c>
      <c r="HH132" s="35" t="s">
        <v>7051</v>
      </c>
      <c r="HI132" s="35" t="s">
        <v>5343</v>
      </c>
      <c r="HJ132" s="35" t="s">
        <v>7052</v>
      </c>
      <c r="HK132" s="35" t="s">
        <v>7053</v>
      </c>
      <c r="HP132" s="35" t="s">
        <v>5236</v>
      </c>
      <c r="HQ132" s="35" t="s">
        <v>5237</v>
      </c>
      <c r="HR132" s="35" t="s">
        <v>5238</v>
      </c>
      <c r="HS132" s="35" t="s">
        <v>5347</v>
      </c>
      <c r="HX132" s="35" t="s">
        <v>5597</v>
      </c>
      <c r="IO132" s="35" t="s">
        <v>5500</v>
      </c>
      <c r="IP132" s="35" t="s">
        <v>5500</v>
      </c>
      <c r="IQ132" s="35" t="s">
        <v>5536</v>
      </c>
      <c r="IR132" s="35" t="s">
        <v>5536</v>
      </c>
      <c r="IS132" s="35" t="s">
        <v>5537</v>
      </c>
      <c r="IT132" s="35" t="s">
        <v>5536</v>
      </c>
      <c r="MK132" s="35" t="s">
        <v>6321</v>
      </c>
    </row>
    <row r="133">
      <c r="A133" s="35" t="s">
        <v>12123</v>
      </c>
      <c r="B133" s="40">
        <v>45941.37621672454</v>
      </c>
      <c r="C133" s="35" t="s">
        <v>368</v>
      </c>
      <c r="D133" s="35" t="s">
        <v>370</v>
      </c>
      <c r="E133" s="35" t="s">
        <v>370</v>
      </c>
      <c r="F133" s="35" t="s">
        <v>2114</v>
      </c>
      <c r="G133" s="35" t="s">
        <v>6634</v>
      </c>
      <c r="H133" s="35" t="s">
        <v>422</v>
      </c>
      <c r="I133" s="35" t="s">
        <v>496</v>
      </c>
      <c r="J133" s="35" t="s">
        <v>424</v>
      </c>
      <c r="K133" s="35" t="s">
        <v>375</v>
      </c>
      <c r="L133" s="35" t="s">
        <v>1383</v>
      </c>
      <c r="M133" s="35" t="s">
        <v>670</v>
      </c>
      <c r="N133" s="35" t="s">
        <v>720</v>
      </c>
      <c r="O133" s="35" t="s">
        <v>591</v>
      </c>
      <c r="P133" s="35" t="s">
        <v>719</v>
      </c>
      <c r="Q133" s="35" t="s">
        <v>498</v>
      </c>
      <c r="R133" s="35" t="s">
        <v>499</v>
      </c>
      <c r="S133" s="35" t="s">
        <v>500</v>
      </c>
      <c r="T133" s="35" t="s">
        <v>384</v>
      </c>
      <c r="U133" s="35" t="s">
        <v>385</v>
      </c>
      <c r="X133" s="35" t="s">
        <v>593</v>
      </c>
      <c r="Y133" s="35" t="s">
        <v>387</v>
      </c>
      <c r="Z133" s="35" t="s">
        <v>897</v>
      </c>
      <c r="AA133" s="35" t="s">
        <v>672</v>
      </c>
      <c r="AB133" s="35" t="s">
        <v>7078</v>
      </c>
      <c r="AC133" s="35" t="s">
        <v>7079</v>
      </c>
      <c r="AW133" s="35" t="s">
        <v>504</v>
      </c>
      <c r="AX133" s="35" t="s">
        <v>429</v>
      </c>
      <c r="AY133" s="35" t="s">
        <v>429</v>
      </c>
      <c r="AZ133" s="35" t="s">
        <v>429</v>
      </c>
      <c r="BA133" s="35" t="s">
        <v>429</v>
      </c>
      <c r="BB133" s="35" t="s">
        <v>429</v>
      </c>
      <c r="BC133" s="35" t="s">
        <v>429</v>
      </c>
      <c r="BD133" s="35" t="s">
        <v>7080</v>
      </c>
      <c r="BE133" s="35" t="s">
        <v>7081</v>
      </c>
      <c r="BF133" s="35" t="s">
        <v>392</v>
      </c>
      <c r="BG133" s="35" t="s">
        <v>433</v>
      </c>
      <c r="BH133" s="35" t="s">
        <v>678</v>
      </c>
      <c r="BJ133" s="35" t="s">
        <v>509</v>
      </c>
      <c r="BK133" s="35" t="s">
        <v>7082</v>
      </c>
      <c r="BL133" s="35" t="s">
        <v>511</v>
      </c>
      <c r="BM133" s="35" t="s">
        <v>396</v>
      </c>
      <c r="BN133" s="35" t="s">
        <v>439</v>
      </c>
      <c r="BO133" s="35" t="s">
        <v>440</v>
      </c>
      <c r="CM133" s="35" t="s">
        <v>441</v>
      </c>
      <c r="CN133" s="35" t="s">
        <v>604</v>
      </c>
      <c r="CO133" s="35" t="s">
        <v>552</v>
      </c>
      <c r="CP133" s="35" t="s">
        <v>7083</v>
      </c>
      <c r="CQ133" s="35" t="s">
        <v>979</v>
      </c>
      <c r="CR133" s="35" t="s">
        <v>7084</v>
      </c>
      <c r="CS133" s="35" t="s">
        <v>447</v>
      </c>
      <c r="CT133" s="35" t="s">
        <v>448</v>
      </c>
      <c r="CU133" s="35" t="s">
        <v>7085</v>
      </c>
      <c r="CV133" s="35" t="s">
        <v>519</v>
      </c>
      <c r="CW133" s="35" t="s">
        <v>451</v>
      </c>
      <c r="CX133" s="35" t="s">
        <v>7086</v>
      </c>
      <c r="CY133" s="35" t="s">
        <v>408</v>
      </c>
      <c r="DA133" s="35" t="s">
        <v>453</v>
      </c>
      <c r="DB133" s="35" t="s">
        <v>7087</v>
      </c>
      <c r="DC133" s="35" t="s">
        <v>455</v>
      </c>
      <c r="DD133" s="35" t="s">
        <v>7088</v>
      </c>
      <c r="DE133" s="35" t="s">
        <v>457</v>
      </c>
      <c r="DG133" s="35" t="s">
        <v>7089</v>
      </c>
      <c r="DH133" s="35" t="s">
        <v>561</v>
      </c>
      <c r="DI133" s="35" t="s">
        <v>410</v>
      </c>
      <c r="DJ133" s="35" t="s">
        <v>459</v>
      </c>
      <c r="DK133" s="35" t="s">
        <v>460</v>
      </c>
      <c r="DL133" s="35" t="s">
        <v>6335</v>
      </c>
      <c r="DN133" s="35" t="s">
        <v>7090</v>
      </c>
      <c r="DO133" s="35" t="s">
        <v>7091</v>
      </c>
      <c r="DP133" s="35" t="s">
        <v>2956</v>
      </c>
      <c r="DQ133" s="35" t="s">
        <v>7092</v>
      </c>
      <c r="DR133" s="35" t="s">
        <v>837</v>
      </c>
      <c r="DS133" s="35" t="s">
        <v>7093</v>
      </c>
      <c r="DT133" s="35" t="s">
        <v>702</v>
      </c>
      <c r="DU133" s="35" t="s">
        <v>570</v>
      </c>
      <c r="DV133" s="35" t="s">
        <v>7094</v>
      </c>
      <c r="DW133" s="35" t="s">
        <v>3613</v>
      </c>
      <c r="DX133" s="35" t="s">
        <v>1328</v>
      </c>
      <c r="DY133" s="35" t="s">
        <v>7095</v>
      </c>
      <c r="DZ133" s="35" t="s">
        <v>7096</v>
      </c>
      <c r="EA133" s="35" t="s">
        <v>7097</v>
      </c>
      <c r="EB133" s="35" t="s">
        <v>475</v>
      </c>
      <c r="EC133" s="35" t="s">
        <v>626</v>
      </c>
      <c r="ED133" s="35" t="s">
        <v>7098</v>
      </c>
      <c r="EU133" s="35" t="s">
        <v>526</v>
      </c>
      <c r="EV133" s="35" t="s">
        <v>479</v>
      </c>
      <c r="EW133" s="35" t="s">
        <v>663</v>
      </c>
      <c r="EX133" s="35" t="s">
        <v>7099</v>
      </c>
      <c r="EY133" s="35" t="s">
        <v>7100</v>
      </c>
      <c r="EZ133" s="35" t="s">
        <v>7101</v>
      </c>
      <c r="FA133" s="35" t="s">
        <v>583</v>
      </c>
      <c r="FB133" s="35" t="s">
        <v>583</v>
      </c>
      <c r="FC133" s="35" t="s">
        <v>413</v>
      </c>
      <c r="FD133" s="35" t="s">
        <v>415</v>
      </c>
      <c r="FE133" s="35" t="s">
        <v>413</v>
      </c>
      <c r="FF133" s="35" t="s">
        <v>414</v>
      </c>
      <c r="FG133" s="35" t="s">
        <v>484</v>
      </c>
      <c r="FH133" s="35" t="s">
        <v>484</v>
      </c>
      <c r="FI133" s="35" t="s">
        <v>484</v>
      </c>
      <c r="FJ133" s="35" t="s">
        <v>583</v>
      </c>
      <c r="FK133" s="35" t="s">
        <v>583</v>
      </c>
      <c r="FL133" s="35" t="s">
        <v>484</v>
      </c>
      <c r="FM133" s="35" t="s">
        <v>484</v>
      </c>
      <c r="FN133" s="35" t="s">
        <v>484</v>
      </c>
      <c r="FO133" s="35" t="s">
        <v>583</v>
      </c>
      <c r="FP133" s="35" t="s">
        <v>417</v>
      </c>
      <c r="FQ133" s="35" t="s">
        <v>486</v>
      </c>
      <c r="FR133" s="35" t="s">
        <v>712</v>
      </c>
      <c r="FS133" s="35" t="s">
        <v>7102</v>
      </c>
      <c r="FT133" s="35" t="s">
        <v>420</v>
      </c>
      <c r="FU133" s="35" t="s">
        <v>488</v>
      </c>
      <c r="FV133" s="35" t="s">
        <v>533</v>
      </c>
      <c r="FW133" s="35" t="s">
        <v>490</v>
      </c>
      <c r="FX133" s="35" t="s">
        <v>491</v>
      </c>
      <c r="FY133" s="35" t="s">
        <v>7103</v>
      </c>
      <c r="FZ133" s="35" t="s">
        <v>535</v>
      </c>
      <c r="GA133" s="35" t="s">
        <v>7104</v>
      </c>
      <c r="GC133" s="35" t="s">
        <v>455</v>
      </c>
      <c r="GD133" s="35" t="s">
        <v>12124</v>
      </c>
      <c r="GE133" s="35" t="s">
        <v>12125</v>
      </c>
      <c r="GF133" s="35" t="s">
        <v>1339</v>
      </c>
      <c r="GG133" s="35" t="s">
        <v>7105</v>
      </c>
      <c r="GH133" s="35" t="s">
        <v>755</v>
      </c>
      <c r="GI133" s="35" t="s">
        <v>755</v>
      </c>
      <c r="GJ133" s="35" t="s">
        <v>817</v>
      </c>
      <c r="GN133" s="35" t="s">
        <v>1079</v>
      </c>
      <c r="GR133" s="35" t="s">
        <v>3273</v>
      </c>
      <c r="GU133" s="35" t="s">
        <v>5170</v>
      </c>
      <c r="GV133" s="35" t="s">
        <v>408</v>
      </c>
      <c r="GW133" s="35" t="s">
        <v>5231</v>
      </c>
      <c r="GX133" s="35" t="s">
        <v>5232</v>
      </c>
      <c r="HD133" s="35" t="s">
        <v>5297</v>
      </c>
      <c r="HE133" s="35" t="s">
        <v>5349</v>
      </c>
      <c r="HF133" s="35" t="s">
        <v>5320</v>
      </c>
      <c r="HG133" s="35" t="s">
        <v>5284</v>
      </c>
      <c r="HH133" s="35" t="s">
        <v>7106</v>
      </c>
      <c r="HI133" s="35" t="s">
        <v>5343</v>
      </c>
      <c r="HJ133" s="35" t="s">
        <v>7107</v>
      </c>
      <c r="HK133" s="35" t="s">
        <v>7108</v>
      </c>
      <c r="HP133" s="35" t="s">
        <v>5236</v>
      </c>
      <c r="HQ133" s="35" t="s">
        <v>5302</v>
      </c>
      <c r="HR133" s="35" t="s">
        <v>5238</v>
      </c>
      <c r="HS133" s="35" t="s">
        <v>5239</v>
      </c>
      <c r="HX133" s="35" t="s">
        <v>7109</v>
      </c>
      <c r="IO133" s="35" t="s">
        <v>5537</v>
      </c>
      <c r="IP133" s="35" t="s">
        <v>5537</v>
      </c>
      <c r="IQ133" s="35" t="s">
        <v>5500</v>
      </c>
      <c r="IR133" s="35" t="s">
        <v>5500</v>
      </c>
      <c r="IS133" s="35" t="s">
        <v>5536</v>
      </c>
      <c r="IT133" s="35" t="s">
        <v>5536</v>
      </c>
      <c r="MK133" s="35" t="s">
        <v>6321</v>
      </c>
    </row>
    <row r="134">
      <c r="A134" s="35" t="s">
        <v>12126</v>
      </c>
      <c r="B134" s="40">
        <v>45947.59925792824</v>
      </c>
      <c r="C134" s="35" t="s">
        <v>368</v>
      </c>
      <c r="D134" s="35" t="s">
        <v>370</v>
      </c>
      <c r="E134" s="35" t="s">
        <v>370</v>
      </c>
      <c r="F134" s="35" t="s">
        <v>1480</v>
      </c>
      <c r="G134" s="35" t="s">
        <v>1480</v>
      </c>
      <c r="H134" s="35" t="s">
        <v>422</v>
      </c>
      <c r="I134" s="35" t="s">
        <v>496</v>
      </c>
      <c r="J134" s="35" t="s">
        <v>374</v>
      </c>
      <c r="K134" s="35" t="s">
        <v>375</v>
      </c>
      <c r="L134" s="35" t="s">
        <v>376</v>
      </c>
      <c r="M134" s="35" t="s">
        <v>591</v>
      </c>
      <c r="N134" s="35" t="s">
        <v>719</v>
      </c>
      <c r="O134" s="35" t="s">
        <v>591</v>
      </c>
      <c r="P134" s="35" t="s">
        <v>671</v>
      </c>
      <c r="Q134" s="35" t="s">
        <v>1504</v>
      </c>
      <c r="R134" s="35" t="s">
        <v>1156</v>
      </c>
      <c r="S134" s="35" t="s">
        <v>427</v>
      </c>
      <c r="T134" s="35" t="s">
        <v>384</v>
      </c>
      <c r="U134" s="35" t="s">
        <v>385</v>
      </c>
      <c r="X134" s="35" t="s">
        <v>593</v>
      </c>
      <c r="Y134" s="35" t="s">
        <v>387</v>
      </c>
      <c r="Z134" s="35" t="s">
        <v>1444</v>
      </c>
      <c r="AB134" s="35" t="s">
        <v>7154</v>
      </c>
      <c r="AW134" s="35" t="s">
        <v>1310</v>
      </c>
      <c r="AX134" s="41">
        <v>4.0</v>
      </c>
      <c r="AY134" s="41">
        <v>4.0</v>
      </c>
      <c r="AZ134" s="41">
        <v>4.0</v>
      </c>
      <c r="BA134" s="41">
        <v>4.0</v>
      </c>
      <c r="BB134" s="41">
        <v>4.0</v>
      </c>
      <c r="BC134" s="41">
        <v>4.0</v>
      </c>
      <c r="BD134" s="35" t="s">
        <v>7155</v>
      </c>
      <c r="BE134" s="35" t="s">
        <v>7156</v>
      </c>
      <c r="BF134" s="35" t="s">
        <v>902</v>
      </c>
      <c r="BG134" s="35" t="s">
        <v>433</v>
      </c>
      <c r="BH134" s="35" t="s">
        <v>765</v>
      </c>
      <c r="BJ134" s="35" t="s">
        <v>509</v>
      </c>
      <c r="BL134" s="35" t="s">
        <v>395</v>
      </c>
      <c r="BM134" s="35" t="s">
        <v>438</v>
      </c>
      <c r="BN134" s="35" t="s">
        <v>1314</v>
      </c>
      <c r="BO134" s="35" t="s">
        <v>440</v>
      </c>
      <c r="CM134" s="35" t="s">
        <v>441</v>
      </c>
      <c r="CN134" s="35" t="s">
        <v>442</v>
      </c>
      <c r="CP134" s="35" t="s">
        <v>7157</v>
      </c>
      <c r="CQ134" s="35" t="s">
        <v>445</v>
      </c>
      <c r="CR134" s="35" t="s">
        <v>7158</v>
      </c>
      <c r="CS134" s="35" t="s">
        <v>447</v>
      </c>
      <c r="CT134" s="35" t="s">
        <v>1137</v>
      </c>
      <c r="CU134" s="35" t="s">
        <v>7159</v>
      </c>
      <c r="CV134" s="35" t="s">
        <v>450</v>
      </c>
      <c r="CW134" s="35" t="s">
        <v>451</v>
      </c>
      <c r="CX134" s="35" t="s">
        <v>7160</v>
      </c>
      <c r="CY134" s="35" t="s">
        <v>408</v>
      </c>
      <c r="DA134" s="35" t="s">
        <v>453</v>
      </c>
      <c r="DB134" s="35" t="s">
        <v>7161</v>
      </c>
      <c r="DC134" s="35" t="s">
        <v>455</v>
      </c>
      <c r="DD134" s="35" t="s">
        <v>7162</v>
      </c>
      <c r="DE134" s="35" t="s">
        <v>662</v>
      </c>
      <c r="DG134" s="35" t="s">
        <v>1549</v>
      </c>
      <c r="DH134" s="35" t="s">
        <v>524</v>
      </c>
      <c r="DI134" s="35" t="s">
        <v>410</v>
      </c>
      <c r="DJ134" s="35" t="s">
        <v>459</v>
      </c>
      <c r="DK134" s="35" t="s">
        <v>613</v>
      </c>
      <c r="DN134" s="35" t="s">
        <v>7163</v>
      </c>
      <c r="DO134" s="35" t="s">
        <v>7164</v>
      </c>
      <c r="DP134" s="35" t="s">
        <v>464</v>
      </c>
      <c r="DQ134" s="35" t="s">
        <v>7165</v>
      </c>
      <c r="DR134" s="35" t="s">
        <v>466</v>
      </c>
      <c r="DS134" s="35" t="s">
        <v>7166</v>
      </c>
      <c r="DT134" s="35" t="s">
        <v>6617</v>
      </c>
      <c r="DU134" s="35" t="s">
        <v>469</v>
      </c>
      <c r="DV134" s="35" t="s">
        <v>455</v>
      </c>
      <c r="DX134" s="35" t="s">
        <v>622</v>
      </c>
      <c r="EA134" s="35" t="s">
        <v>7167</v>
      </c>
      <c r="EB134" s="35" t="s">
        <v>475</v>
      </c>
      <c r="EC134" s="35" t="s">
        <v>845</v>
      </c>
      <c r="EU134" s="35" t="s">
        <v>478</v>
      </c>
      <c r="EV134" s="35" t="s">
        <v>479</v>
      </c>
      <c r="EW134" s="35" t="s">
        <v>480</v>
      </c>
      <c r="FA134" s="35" t="s">
        <v>414</v>
      </c>
      <c r="FB134" s="35" t="s">
        <v>583</v>
      </c>
      <c r="FC134" s="35" t="s">
        <v>484</v>
      </c>
      <c r="FD134" s="35" t="s">
        <v>414</v>
      </c>
      <c r="FE134" s="35" t="s">
        <v>484</v>
      </c>
      <c r="FF134" s="35" t="s">
        <v>583</v>
      </c>
      <c r="FG134" s="35" t="s">
        <v>484</v>
      </c>
      <c r="FH134" s="35" t="s">
        <v>484</v>
      </c>
      <c r="FI134" s="35" t="s">
        <v>484</v>
      </c>
      <c r="FJ134" s="35" t="s">
        <v>414</v>
      </c>
      <c r="FK134" s="35" t="s">
        <v>414</v>
      </c>
      <c r="FL134" s="35" t="s">
        <v>414</v>
      </c>
      <c r="FM134" s="35" t="s">
        <v>414</v>
      </c>
      <c r="FN134" s="35" t="s">
        <v>484</v>
      </c>
      <c r="FO134" s="35" t="s">
        <v>414</v>
      </c>
      <c r="FP134" s="35" t="s">
        <v>417</v>
      </c>
      <c r="FQ134" s="35" t="s">
        <v>418</v>
      </c>
      <c r="FR134" s="35" t="s">
        <v>419</v>
      </c>
      <c r="FS134" s="35" t="s">
        <v>4416</v>
      </c>
      <c r="FT134" s="35" t="s">
        <v>420</v>
      </c>
      <c r="FU134" s="35" t="s">
        <v>488</v>
      </c>
      <c r="FV134" s="35" t="s">
        <v>489</v>
      </c>
      <c r="FW134" s="35" t="s">
        <v>490</v>
      </c>
      <c r="FX134" s="35" t="s">
        <v>491</v>
      </c>
      <c r="FY134" s="35" t="s">
        <v>7168</v>
      </c>
      <c r="FZ134" s="35" t="s">
        <v>535</v>
      </c>
      <c r="GA134" s="35" t="s">
        <v>7169</v>
      </c>
      <c r="GB134" s="35" t="s">
        <v>7170</v>
      </c>
      <c r="GC134" s="35" t="s">
        <v>455</v>
      </c>
      <c r="GD134" s="35" t="s">
        <v>12127</v>
      </c>
      <c r="GF134" s="35" t="s">
        <v>753</v>
      </c>
      <c r="GH134" s="35" t="s">
        <v>755</v>
      </c>
      <c r="GI134" s="35" t="s">
        <v>755</v>
      </c>
      <c r="GJ134" s="35" t="s">
        <v>946</v>
      </c>
      <c r="GN134" s="35" t="s">
        <v>1079</v>
      </c>
      <c r="GR134" s="35" t="s">
        <v>3208</v>
      </c>
      <c r="GU134" s="35" t="s">
        <v>5170</v>
      </c>
      <c r="GV134" s="35" t="s">
        <v>408</v>
      </c>
      <c r="GW134" s="35" t="s">
        <v>5231</v>
      </c>
      <c r="GX134" s="35" t="s">
        <v>5232</v>
      </c>
      <c r="HD134" s="35" t="s">
        <v>5297</v>
      </c>
      <c r="HE134" s="35" t="s">
        <v>5282</v>
      </c>
      <c r="HF134" s="35" t="s">
        <v>5320</v>
      </c>
      <c r="HG134" s="35" t="s">
        <v>5284</v>
      </c>
      <c r="HH134" s="35" t="s">
        <v>7171</v>
      </c>
      <c r="HI134" s="35" t="s">
        <v>6242</v>
      </c>
      <c r="HK134" s="35" t="s">
        <v>7172</v>
      </c>
      <c r="HP134" s="35" t="s">
        <v>5236</v>
      </c>
      <c r="HQ134" s="35" t="s">
        <v>5302</v>
      </c>
      <c r="HR134" s="35" t="s">
        <v>5238</v>
      </c>
      <c r="HS134" s="35" t="s">
        <v>5321</v>
      </c>
      <c r="IO134" s="35" t="s">
        <v>5500</v>
      </c>
      <c r="IP134" s="35" t="s">
        <v>5629</v>
      </c>
      <c r="IQ134" s="35" t="s">
        <v>5500</v>
      </c>
      <c r="IR134" s="35" t="s">
        <v>5500</v>
      </c>
      <c r="IS134" s="35" t="s">
        <v>5500</v>
      </c>
      <c r="IT134" s="35" t="s">
        <v>5500</v>
      </c>
      <c r="MK134" s="35" t="s">
        <v>6321</v>
      </c>
    </row>
    <row r="135">
      <c r="A135" s="35" t="s">
        <v>12128</v>
      </c>
      <c r="B135" s="40">
        <v>45956.91186146991</v>
      </c>
      <c r="C135" s="35" t="s">
        <v>368</v>
      </c>
      <c r="D135" s="35" t="s">
        <v>370</v>
      </c>
      <c r="E135" s="35" t="s">
        <v>370</v>
      </c>
      <c r="F135" s="35" t="s">
        <v>2359</v>
      </c>
      <c r="G135" s="35" t="s">
        <v>4905</v>
      </c>
      <c r="H135" s="35" t="s">
        <v>2657</v>
      </c>
      <c r="I135" s="35" t="s">
        <v>373</v>
      </c>
      <c r="J135" s="35" t="s">
        <v>638</v>
      </c>
      <c r="K135" s="35" t="s">
        <v>718</v>
      </c>
      <c r="L135" s="35" t="s">
        <v>376</v>
      </c>
      <c r="M135" s="35" t="s">
        <v>591</v>
      </c>
      <c r="N135" s="35" t="s">
        <v>378</v>
      </c>
      <c r="O135" s="35" t="s">
        <v>591</v>
      </c>
      <c r="P135" s="35" t="s">
        <v>497</v>
      </c>
      <c r="Q135" s="35" t="s">
        <v>498</v>
      </c>
      <c r="R135" s="35" t="s">
        <v>1004</v>
      </c>
      <c r="S135" s="35" t="s">
        <v>949</v>
      </c>
      <c r="T135" s="35" t="s">
        <v>7289</v>
      </c>
      <c r="U135" s="35" t="s">
        <v>385</v>
      </c>
      <c r="X135" s="35" t="s">
        <v>3014</v>
      </c>
      <c r="AW135" s="35" t="s">
        <v>390</v>
      </c>
      <c r="AX135" s="35" t="s">
        <v>391</v>
      </c>
      <c r="AY135" s="41">
        <v>2.0</v>
      </c>
      <c r="AZ135" s="35" t="s">
        <v>391</v>
      </c>
      <c r="BA135" s="41">
        <v>2.0</v>
      </c>
      <c r="BB135" s="35" t="s">
        <v>391</v>
      </c>
      <c r="BC135" s="41">
        <v>2.0</v>
      </c>
      <c r="BD135" s="35" t="s">
        <v>7290</v>
      </c>
      <c r="BE135" s="35" t="s">
        <v>7291</v>
      </c>
      <c r="BF135" s="35" t="s">
        <v>392</v>
      </c>
      <c r="BG135" s="35" t="s">
        <v>433</v>
      </c>
      <c r="BH135" s="35" t="s">
        <v>725</v>
      </c>
      <c r="BI135" s="35" t="s">
        <v>7292</v>
      </c>
      <c r="BJ135" s="35" t="s">
        <v>824</v>
      </c>
      <c r="BL135" s="35" t="s">
        <v>511</v>
      </c>
      <c r="BM135" s="35" t="s">
        <v>396</v>
      </c>
      <c r="BN135" s="35" t="s">
        <v>439</v>
      </c>
      <c r="BO135" s="35" t="s">
        <v>440</v>
      </c>
      <c r="CM135" s="35" t="s">
        <v>441</v>
      </c>
      <c r="CN135" s="35" t="s">
        <v>401</v>
      </c>
      <c r="CO135" s="35" t="s">
        <v>552</v>
      </c>
      <c r="CP135" s="35" t="s">
        <v>7293</v>
      </c>
      <c r="CQ135" s="35" t="s">
        <v>685</v>
      </c>
      <c r="CR135" s="35" t="s">
        <v>3703</v>
      </c>
      <c r="CS135" s="35" t="s">
        <v>447</v>
      </c>
      <c r="CT135" s="35" t="s">
        <v>5348</v>
      </c>
      <c r="CU135" s="35" t="s">
        <v>7294</v>
      </c>
      <c r="CV135" s="35" t="s">
        <v>450</v>
      </c>
      <c r="CW135" s="35" t="s">
        <v>451</v>
      </c>
      <c r="CX135" s="35" t="s">
        <v>7295</v>
      </c>
      <c r="CY135" s="35" t="s">
        <v>408</v>
      </c>
      <c r="DA135" s="35" t="s">
        <v>453</v>
      </c>
      <c r="DB135" s="35" t="s">
        <v>7296</v>
      </c>
      <c r="DC135" s="35" t="s">
        <v>408</v>
      </c>
      <c r="DE135" s="35" t="s">
        <v>457</v>
      </c>
      <c r="DG135" s="35" t="s">
        <v>7297</v>
      </c>
      <c r="DH135" s="35" t="s">
        <v>561</v>
      </c>
      <c r="DI135" s="35" t="s">
        <v>1964</v>
      </c>
      <c r="DJ135" s="35" t="s">
        <v>459</v>
      </c>
      <c r="DK135" s="35" t="s">
        <v>562</v>
      </c>
      <c r="DL135" s="35" t="s">
        <v>6603</v>
      </c>
      <c r="DM135" s="35" t="s">
        <v>7298</v>
      </c>
      <c r="DN135" s="35" t="s">
        <v>7299</v>
      </c>
      <c r="DO135" s="35" t="s">
        <v>3469</v>
      </c>
      <c r="DP135" s="35" t="s">
        <v>464</v>
      </c>
      <c r="DQ135" s="35" t="s">
        <v>7300</v>
      </c>
      <c r="DR135" s="35" t="s">
        <v>1578</v>
      </c>
      <c r="DS135" s="35" t="s">
        <v>7301</v>
      </c>
      <c r="DT135" s="35" t="s">
        <v>839</v>
      </c>
      <c r="DU135" s="35" t="s">
        <v>619</v>
      </c>
      <c r="DV135" s="35" t="s">
        <v>7302</v>
      </c>
      <c r="DW135" s="35" t="s">
        <v>7303</v>
      </c>
      <c r="DX135" s="35" t="s">
        <v>1328</v>
      </c>
      <c r="DY135" s="35" t="s">
        <v>7304</v>
      </c>
      <c r="DZ135" s="35" t="s">
        <v>7305</v>
      </c>
      <c r="EA135" s="35" t="s">
        <v>7306</v>
      </c>
      <c r="EB135" s="35" t="s">
        <v>475</v>
      </c>
      <c r="EC135" s="35" t="s">
        <v>626</v>
      </c>
      <c r="ED135" s="35" t="s">
        <v>7307</v>
      </c>
      <c r="EU135" s="35" t="s">
        <v>526</v>
      </c>
      <c r="EV135" s="35" t="s">
        <v>479</v>
      </c>
      <c r="EW135" s="35" t="s">
        <v>480</v>
      </c>
      <c r="EY135" s="35" t="s">
        <v>7308</v>
      </c>
      <c r="EZ135" s="35" t="s">
        <v>7309</v>
      </c>
      <c r="FA135" s="35" t="s">
        <v>413</v>
      </c>
      <c r="FB135" s="35" t="s">
        <v>415</v>
      </c>
      <c r="FC135" s="35" t="s">
        <v>413</v>
      </c>
      <c r="FD135" s="35" t="s">
        <v>484</v>
      </c>
      <c r="FE135" s="35" t="s">
        <v>413</v>
      </c>
      <c r="FF135" s="35" t="s">
        <v>415</v>
      </c>
      <c r="FG135" s="35" t="s">
        <v>484</v>
      </c>
      <c r="FH135" s="35" t="s">
        <v>484</v>
      </c>
      <c r="FI135" s="35" t="s">
        <v>484</v>
      </c>
      <c r="FJ135" s="35" t="s">
        <v>484</v>
      </c>
      <c r="FK135" s="35" t="s">
        <v>484</v>
      </c>
      <c r="FL135" s="35" t="s">
        <v>484</v>
      </c>
      <c r="FM135" s="35" t="s">
        <v>484</v>
      </c>
      <c r="FN135" s="35" t="s">
        <v>484</v>
      </c>
      <c r="FO135" s="35" t="s">
        <v>484</v>
      </c>
      <c r="FP135" s="35" t="s">
        <v>417</v>
      </c>
      <c r="FQ135" s="35" t="s">
        <v>418</v>
      </c>
      <c r="FR135" s="35" t="s">
        <v>712</v>
      </c>
      <c r="FS135" s="35" t="s">
        <v>7310</v>
      </c>
      <c r="FT135" s="35" t="s">
        <v>420</v>
      </c>
      <c r="FU135" s="35" t="s">
        <v>488</v>
      </c>
      <c r="FV135" s="35" t="s">
        <v>489</v>
      </c>
      <c r="FW135" s="35" t="s">
        <v>490</v>
      </c>
      <c r="FX135" s="35" t="s">
        <v>491</v>
      </c>
      <c r="FY135" s="35" t="s">
        <v>7311</v>
      </c>
      <c r="FZ135" s="35" t="s">
        <v>535</v>
      </c>
      <c r="GA135" s="35" t="s">
        <v>7312</v>
      </c>
      <c r="GB135" s="35" t="s">
        <v>7313</v>
      </c>
      <c r="GC135" s="35" t="s">
        <v>455</v>
      </c>
      <c r="GD135" s="35" t="s">
        <v>12129</v>
      </c>
      <c r="GF135" s="35" t="s">
        <v>753</v>
      </c>
      <c r="GG135" s="35" t="s">
        <v>7314</v>
      </c>
      <c r="GH135" s="35" t="s">
        <v>857</v>
      </c>
      <c r="GI135" s="35" t="s">
        <v>857</v>
      </c>
      <c r="GJ135" s="35" t="s">
        <v>946</v>
      </c>
      <c r="GN135" s="35" t="s">
        <v>1079</v>
      </c>
      <c r="GR135" s="35" t="s">
        <v>3208</v>
      </c>
      <c r="GU135" s="35" t="s">
        <v>5318</v>
      </c>
      <c r="GV135" s="35" t="s">
        <v>408</v>
      </c>
      <c r="GW135" s="35" t="s">
        <v>5231</v>
      </c>
      <c r="GX135" s="35" t="s">
        <v>484</v>
      </c>
      <c r="HD135" s="35" t="s">
        <v>5297</v>
      </c>
      <c r="HE135" s="35" t="s">
        <v>5349</v>
      </c>
      <c r="HF135" s="35" t="s">
        <v>5283</v>
      </c>
      <c r="HG135" s="35" t="s">
        <v>5899</v>
      </c>
      <c r="HH135" s="35" t="s">
        <v>7315</v>
      </c>
      <c r="HI135" s="35" t="s">
        <v>6242</v>
      </c>
      <c r="HJ135" s="35" t="s">
        <v>7316</v>
      </c>
      <c r="HK135" s="35" t="s">
        <v>7317</v>
      </c>
      <c r="HP135" s="35" t="s">
        <v>5301</v>
      </c>
      <c r="HQ135" s="35" t="s">
        <v>5371</v>
      </c>
      <c r="HR135" s="35" t="s">
        <v>5238</v>
      </c>
      <c r="HS135" s="35" t="s">
        <v>913</v>
      </c>
      <c r="HX135" s="35" t="s">
        <v>6274</v>
      </c>
      <c r="IO135" s="35" t="s">
        <v>5536</v>
      </c>
      <c r="IP135" s="35" t="s">
        <v>5537</v>
      </c>
      <c r="IQ135" s="35" t="s">
        <v>5500</v>
      </c>
      <c r="IR135" s="35" t="s">
        <v>5500</v>
      </c>
      <c r="IS135" s="35" t="s">
        <v>5536</v>
      </c>
      <c r="IT135" s="35" t="s">
        <v>5536</v>
      </c>
      <c r="MK135" s="35" t="s">
        <v>6321</v>
      </c>
    </row>
    <row r="136">
      <c r="A136" s="35" t="s">
        <v>12130</v>
      </c>
      <c r="B136" s="40">
        <v>45957.66729241898</v>
      </c>
      <c r="C136" s="35" t="s">
        <v>368</v>
      </c>
      <c r="D136" s="35" t="s">
        <v>370</v>
      </c>
      <c r="E136" s="35" t="s">
        <v>370</v>
      </c>
      <c r="F136" s="35" t="s">
        <v>1480</v>
      </c>
      <c r="G136" s="35" t="s">
        <v>4170</v>
      </c>
      <c r="H136" s="35" t="s">
        <v>422</v>
      </c>
      <c r="I136" s="35" t="s">
        <v>539</v>
      </c>
      <c r="J136" s="35" t="s">
        <v>424</v>
      </c>
      <c r="K136" s="35" t="s">
        <v>375</v>
      </c>
      <c r="L136" s="35" t="s">
        <v>376</v>
      </c>
      <c r="M136" s="35" t="s">
        <v>591</v>
      </c>
      <c r="N136" s="35" t="s">
        <v>1690</v>
      </c>
      <c r="O136" s="35" t="s">
        <v>793</v>
      </c>
      <c r="P136" s="35" t="s">
        <v>719</v>
      </c>
      <c r="Q136" s="35" t="s">
        <v>498</v>
      </c>
      <c r="R136" s="35" t="s">
        <v>1156</v>
      </c>
      <c r="S136" s="35" t="s">
        <v>949</v>
      </c>
      <c r="T136" s="35" t="s">
        <v>384</v>
      </c>
      <c r="U136" s="35" t="s">
        <v>385</v>
      </c>
      <c r="X136" s="35" t="s">
        <v>593</v>
      </c>
      <c r="Y136" s="35" t="s">
        <v>387</v>
      </c>
      <c r="Z136" s="35" t="s">
        <v>4171</v>
      </c>
      <c r="AA136" s="35" t="s">
        <v>672</v>
      </c>
      <c r="AB136" s="35" t="s">
        <v>7339</v>
      </c>
      <c r="AC136" s="35" t="s">
        <v>7340</v>
      </c>
      <c r="AW136" s="35" t="s">
        <v>1310</v>
      </c>
      <c r="AX136" s="41">
        <v>2.0</v>
      </c>
      <c r="AY136" s="41">
        <v>2.0</v>
      </c>
      <c r="AZ136" s="35" t="s">
        <v>429</v>
      </c>
      <c r="BA136" s="35" t="s">
        <v>429</v>
      </c>
      <c r="BB136" s="35" t="s">
        <v>429</v>
      </c>
      <c r="BC136" s="35" t="s">
        <v>429</v>
      </c>
      <c r="BD136" s="35" t="s">
        <v>7341</v>
      </c>
      <c r="BE136" s="35" t="s">
        <v>7342</v>
      </c>
      <c r="BF136" s="35" t="s">
        <v>902</v>
      </c>
      <c r="BG136" s="35" t="s">
        <v>393</v>
      </c>
      <c r="BH136" s="35" t="s">
        <v>678</v>
      </c>
      <c r="BI136" s="35" t="s">
        <v>7343</v>
      </c>
      <c r="BJ136" s="35" t="s">
        <v>509</v>
      </c>
      <c r="BK136" s="35" t="s">
        <v>7344</v>
      </c>
      <c r="BL136" s="35" t="s">
        <v>602</v>
      </c>
      <c r="BM136" s="35" t="s">
        <v>438</v>
      </c>
      <c r="BN136" s="35" t="s">
        <v>1247</v>
      </c>
      <c r="BO136" s="35" t="s">
        <v>440</v>
      </c>
      <c r="DJ136" s="35" t="s">
        <v>459</v>
      </c>
      <c r="DK136" s="35" t="s">
        <v>1148</v>
      </c>
      <c r="DL136" s="35" t="s">
        <v>6335</v>
      </c>
      <c r="DN136" s="35" t="s">
        <v>7345</v>
      </c>
      <c r="DO136" s="35" t="s">
        <v>7346</v>
      </c>
      <c r="DP136" s="35" t="s">
        <v>567</v>
      </c>
      <c r="DQ136" s="35" t="s">
        <v>7347</v>
      </c>
      <c r="DR136" s="35" t="s">
        <v>466</v>
      </c>
      <c r="DS136" s="35" t="s">
        <v>7348</v>
      </c>
      <c r="DT136" s="35" t="s">
        <v>468</v>
      </c>
      <c r="DU136" s="35" t="s">
        <v>570</v>
      </c>
      <c r="DV136" s="35" t="s">
        <v>7349</v>
      </c>
      <c r="DW136" s="35" t="s">
        <v>7350</v>
      </c>
      <c r="DX136" s="35" t="s">
        <v>622</v>
      </c>
      <c r="DY136" s="35" t="s">
        <v>7351</v>
      </c>
      <c r="DZ136" s="35" t="s">
        <v>7352</v>
      </c>
      <c r="EA136" s="35" t="s">
        <v>7353</v>
      </c>
      <c r="EB136" s="35" t="s">
        <v>475</v>
      </c>
      <c r="EC136" s="35" t="s">
        <v>626</v>
      </c>
      <c r="EU136" s="35" t="s">
        <v>526</v>
      </c>
      <c r="EV136" s="35" t="s">
        <v>479</v>
      </c>
      <c r="EW136" s="35" t="s">
        <v>527</v>
      </c>
      <c r="EX136" s="35" t="s">
        <v>7354</v>
      </c>
      <c r="EY136" s="35" t="s">
        <v>7355</v>
      </c>
      <c r="EZ136" s="35" t="s">
        <v>7356</v>
      </c>
      <c r="FA136" s="35" t="s">
        <v>414</v>
      </c>
      <c r="FB136" s="35" t="s">
        <v>583</v>
      </c>
      <c r="FC136" s="35" t="s">
        <v>414</v>
      </c>
      <c r="FD136" s="35" t="s">
        <v>414</v>
      </c>
      <c r="FE136" s="35" t="s">
        <v>413</v>
      </c>
      <c r="FF136" s="35" t="s">
        <v>583</v>
      </c>
      <c r="FG136" s="35" t="s">
        <v>414</v>
      </c>
      <c r="FH136" s="35" t="s">
        <v>416</v>
      </c>
      <c r="FI136" s="35" t="s">
        <v>414</v>
      </c>
      <c r="FJ136" s="35" t="s">
        <v>414</v>
      </c>
      <c r="FK136" s="35" t="s">
        <v>416</v>
      </c>
      <c r="FL136" s="35" t="s">
        <v>414</v>
      </c>
      <c r="FM136" s="35" t="s">
        <v>414</v>
      </c>
      <c r="FN136" s="35" t="s">
        <v>416</v>
      </c>
      <c r="FO136" s="35" t="s">
        <v>414</v>
      </c>
      <c r="FP136" s="35" t="s">
        <v>417</v>
      </c>
      <c r="FQ136" s="35" t="s">
        <v>418</v>
      </c>
      <c r="FR136" s="35" t="s">
        <v>419</v>
      </c>
      <c r="FS136" s="35" t="s">
        <v>7357</v>
      </c>
      <c r="FT136" s="35" t="s">
        <v>420</v>
      </c>
      <c r="FU136" s="35" t="s">
        <v>1462</v>
      </c>
      <c r="FV136" s="35" t="s">
        <v>489</v>
      </c>
      <c r="FW136" s="35" t="s">
        <v>490</v>
      </c>
      <c r="FX136" s="35" t="s">
        <v>491</v>
      </c>
      <c r="FY136" s="35" t="s">
        <v>7358</v>
      </c>
      <c r="FZ136" s="35" t="s">
        <v>535</v>
      </c>
      <c r="GC136" s="35" t="s">
        <v>455</v>
      </c>
      <c r="GD136" s="35" t="s">
        <v>12131</v>
      </c>
      <c r="GE136" s="35" t="s">
        <v>12132</v>
      </c>
      <c r="GF136" s="35" t="s">
        <v>944</v>
      </c>
      <c r="GN136" s="35" t="s">
        <v>6629</v>
      </c>
      <c r="GR136" s="35" t="s">
        <v>3208</v>
      </c>
      <c r="GW136" s="35" t="s">
        <v>5231</v>
      </c>
      <c r="GX136" s="35" t="s">
        <v>484</v>
      </c>
      <c r="HH136" s="35" t="s">
        <v>7359</v>
      </c>
      <c r="HI136" s="35" t="s">
        <v>6242</v>
      </c>
      <c r="HJ136" s="35" t="s">
        <v>7360</v>
      </c>
      <c r="HK136" s="35" t="s">
        <v>7361</v>
      </c>
      <c r="HP136" s="35" t="s">
        <v>5383</v>
      </c>
      <c r="HQ136" s="35" t="s">
        <v>5237</v>
      </c>
      <c r="HR136" s="35" t="s">
        <v>5238</v>
      </c>
      <c r="HS136" s="35" t="s">
        <v>5321</v>
      </c>
      <c r="IO136" s="35" t="s">
        <v>5500</v>
      </c>
      <c r="IP136" s="35" t="s">
        <v>5500</v>
      </c>
      <c r="IQ136" s="35" t="s">
        <v>5536</v>
      </c>
      <c r="IR136" s="35" t="s">
        <v>5500</v>
      </c>
      <c r="IS136" s="35" t="s">
        <v>5536</v>
      </c>
      <c r="IT136" s="35" t="s">
        <v>5500</v>
      </c>
      <c r="MK136" s="35" t="s">
        <v>6321</v>
      </c>
    </row>
    <row r="137">
      <c r="A137" s="35" t="s">
        <v>12133</v>
      </c>
      <c r="B137" s="40">
        <v>45958.85487414352</v>
      </c>
      <c r="C137" s="35" t="s">
        <v>368</v>
      </c>
      <c r="D137" s="35" t="s">
        <v>1023</v>
      </c>
      <c r="E137" s="35" t="s">
        <v>1023</v>
      </c>
      <c r="H137" s="35" t="s">
        <v>1783</v>
      </c>
      <c r="I137" s="35" t="s">
        <v>637</v>
      </c>
      <c r="J137" s="35" t="s">
        <v>374</v>
      </c>
      <c r="K137" s="35" t="s">
        <v>425</v>
      </c>
      <c r="L137" s="35" t="s">
        <v>376</v>
      </c>
      <c r="M137" s="35" t="s">
        <v>426</v>
      </c>
      <c r="N137" s="35" t="s">
        <v>1024</v>
      </c>
      <c r="O137" s="35" t="s">
        <v>426</v>
      </c>
      <c r="P137" s="35" t="s">
        <v>1024</v>
      </c>
      <c r="Q137" s="35" t="s">
        <v>381</v>
      </c>
      <c r="R137" s="35" t="s">
        <v>818</v>
      </c>
      <c r="S137" s="35" t="s">
        <v>3976</v>
      </c>
      <c r="T137" s="35" t="s">
        <v>501</v>
      </c>
      <c r="U137" s="35" t="s">
        <v>385</v>
      </c>
      <c r="X137" s="35" t="s">
        <v>3014</v>
      </c>
      <c r="AW137" s="35" t="s">
        <v>504</v>
      </c>
      <c r="BA137" s="35" t="s">
        <v>429</v>
      </c>
      <c r="BD137" s="35" t="s">
        <v>7362</v>
      </c>
      <c r="BN137" s="35" t="s">
        <v>439</v>
      </c>
      <c r="BO137" s="35" t="s">
        <v>440</v>
      </c>
      <c r="CM137" s="35" t="s">
        <v>441</v>
      </c>
      <c r="CN137" s="35" t="s">
        <v>442</v>
      </c>
      <c r="CO137" s="35" t="s">
        <v>3117</v>
      </c>
      <c r="CP137" s="35" t="s">
        <v>7363</v>
      </c>
      <c r="CQ137" s="35" t="s">
        <v>1008</v>
      </c>
      <c r="CR137" s="35" t="s">
        <v>7364</v>
      </c>
      <c r="CS137" s="35" t="s">
        <v>828</v>
      </c>
      <c r="CT137" s="35" t="s">
        <v>1861</v>
      </c>
      <c r="CU137" s="35" t="s">
        <v>7365</v>
      </c>
      <c r="CV137" s="35" t="s">
        <v>519</v>
      </c>
      <c r="CW137" s="35" t="s">
        <v>409</v>
      </c>
      <c r="CX137" s="35" t="s">
        <v>7366</v>
      </c>
      <c r="CY137" s="35" t="s">
        <v>408</v>
      </c>
      <c r="DA137" s="35" t="s">
        <v>453</v>
      </c>
      <c r="DB137" s="35" t="s">
        <v>7367</v>
      </c>
      <c r="DC137" s="35" t="s">
        <v>408</v>
      </c>
      <c r="DE137" s="35" t="s">
        <v>406</v>
      </c>
      <c r="DG137" s="35" t="s">
        <v>7368</v>
      </c>
      <c r="DH137" s="35" t="s">
        <v>561</v>
      </c>
      <c r="DI137" s="35" t="s">
        <v>410</v>
      </c>
      <c r="DJ137" s="35" t="s">
        <v>459</v>
      </c>
      <c r="DK137" s="35" t="s">
        <v>460</v>
      </c>
      <c r="DL137" s="35" t="s">
        <v>6335</v>
      </c>
      <c r="DN137" s="35" t="s">
        <v>3169</v>
      </c>
      <c r="DO137" s="35" t="s">
        <v>7369</v>
      </c>
      <c r="DP137" s="35" t="s">
        <v>464</v>
      </c>
      <c r="DQ137" s="35" t="s">
        <v>7370</v>
      </c>
      <c r="DR137" s="35" t="s">
        <v>1553</v>
      </c>
      <c r="DS137" s="35" t="s">
        <v>2927</v>
      </c>
      <c r="DT137" s="35" t="s">
        <v>618</v>
      </c>
      <c r="DU137" s="35" t="s">
        <v>740</v>
      </c>
      <c r="DV137" s="35" t="s">
        <v>7371</v>
      </c>
      <c r="DY137" s="35" t="s">
        <v>7372</v>
      </c>
      <c r="DZ137" s="35" t="s">
        <v>7373</v>
      </c>
      <c r="EA137" s="35" t="s">
        <v>7374</v>
      </c>
      <c r="EB137" s="35" t="s">
        <v>475</v>
      </c>
      <c r="EC137" s="35" t="s">
        <v>626</v>
      </c>
      <c r="ED137" s="35" t="s">
        <v>7375</v>
      </c>
      <c r="EU137" s="35" t="s">
        <v>526</v>
      </c>
      <c r="EV137" s="35" t="s">
        <v>1037</v>
      </c>
      <c r="EW137" s="35" t="s">
        <v>580</v>
      </c>
      <c r="EY137" s="35" t="s">
        <v>7376</v>
      </c>
      <c r="EZ137" s="35" t="s">
        <v>7377</v>
      </c>
      <c r="FA137" s="35" t="s">
        <v>484</v>
      </c>
      <c r="FB137" s="35" t="s">
        <v>484</v>
      </c>
      <c r="FC137" s="35" t="s">
        <v>484</v>
      </c>
      <c r="FD137" s="35" t="s">
        <v>484</v>
      </c>
      <c r="FE137" s="35" t="s">
        <v>484</v>
      </c>
      <c r="FF137" s="35" t="s">
        <v>484</v>
      </c>
      <c r="FG137" s="35" t="s">
        <v>484</v>
      </c>
      <c r="FH137" s="35" t="s">
        <v>484</v>
      </c>
      <c r="FI137" s="35" t="s">
        <v>484</v>
      </c>
      <c r="FJ137" s="35" t="s">
        <v>484</v>
      </c>
      <c r="FK137" s="35" t="s">
        <v>484</v>
      </c>
      <c r="FL137" s="35" t="s">
        <v>484</v>
      </c>
      <c r="FM137" s="35" t="s">
        <v>484</v>
      </c>
      <c r="FN137" s="35" t="s">
        <v>484</v>
      </c>
      <c r="FO137" s="35" t="s">
        <v>484</v>
      </c>
      <c r="FP137" s="35" t="s">
        <v>850</v>
      </c>
      <c r="FQ137" s="35" t="s">
        <v>418</v>
      </c>
      <c r="FR137" s="35" t="s">
        <v>630</v>
      </c>
      <c r="FS137" s="35" t="s">
        <v>7378</v>
      </c>
      <c r="FT137" s="35" t="s">
        <v>420</v>
      </c>
      <c r="FU137" s="35" t="s">
        <v>1476</v>
      </c>
      <c r="FV137" s="35" t="s">
        <v>918</v>
      </c>
      <c r="FW137" s="35" t="s">
        <v>490</v>
      </c>
      <c r="FX137" s="35" t="s">
        <v>491</v>
      </c>
      <c r="FY137" s="35" t="s">
        <v>7379</v>
      </c>
      <c r="FZ137" s="35" t="s">
        <v>535</v>
      </c>
      <c r="GA137" s="35" t="s">
        <v>7380</v>
      </c>
      <c r="GC137" s="35" t="s">
        <v>455</v>
      </c>
      <c r="GD137" s="35" t="s">
        <v>12134</v>
      </c>
      <c r="GF137" s="35" t="s">
        <v>1339</v>
      </c>
      <c r="GH137" s="35" t="s">
        <v>857</v>
      </c>
      <c r="GI137" s="35" t="s">
        <v>857</v>
      </c>
      <c r="GJ137" s="35" t="s">
        <v>790</v>
      </c>
      <c r="GN137" s="35" t="s">
        <v>1079</v>
      </c>
      <c r="GR137" s="35" t="s">
        <v>3306</v>
      </c>
      <c r="GU137" s="35" t="s">
        <v>4774</v>
      </c>
      <c r="GW137" s="35" t="s">
        <v>5231</v>
      </c>
      <c r="GX137" s="35" t="s">
        <v>5232</v>
      </c>
      <c r="HD137" s="35" t="s">
        <v>6053</v>
      </c>
      <c r="HE137" s="35" t="s">
        <v>5349</v>
      </c>
      <c r="HF137" s="35" t="s">
        <v>5320</v>
      </c>
      <c r="HG137" s="35" t="s">
        <v>5284</v>
      </c>
      <c r="HH137" s="35" t="s">
        <v>2675</v>
      </c>
      <c r="HI137" s="35" t="s">
        <v>6631</v>
      </c>
      <c r="HJ137" s="35" t="s">
        <v>7381</v>
      </c>
      <c r="HK137" s="35" t="s">
        <v>7382</v>
      </c>
      <c r="HP137" s="35" t="s">
        <v>5301</v>
      </c>
      <c r="HQ137" s="35" t="s">
        <v>5302</v>
      </c>
      <c r="HR137" s="35" t="s">
        <v>5801</v>
      </c>
      <c r="HS137" s="35" t="s">
        <v>5321</v>
      </c>
      <c r="HX137" s="35" t="s">
        <v>7383</v>
      </c>
      <c r="IR137" s="35" t="s">
        <v>5537</v>
      </c>
      <c r="IS137" s="35" t="s">
        <v>5537</v>
      </c>
      <c r="IT137" s="35" t="s">
        <v>5537</v>
      </c>
      <c r="MK137" s="35" t="s">
        <v>6321</v>
      </c>
    </row>
    <row r="138">
      <c r="A138" s="35" t="s">
        <v>12135</v>
      </c>
      <c r="B138" s="40">
        <v>45959.82985317129</v>
      </c>
      <c r="C138" s="35" t="s">
        <v>368</v>
      </c>
      <c r="D138" s="35" t="s">
        <v>370</v>
      </c>
      <c r="E138" s="35" t="s">
        <v>370</v>
      </c>
      <c r="F138" s="35" t="s">
        <v>371</v>
      </c>
      <c r="G138" s="35" t="s">
        <v>371</v>
      </c>
      <c r="H138" s="35" t="s">
        <v>1269</v>
      </c>
      <c r="I138" s="35" t="s">
        <v>373</v>
      </c>
      <c r="J138" s="35" t="s">
        <v>374</v>
      </c>
      <c r="K138" s="35" t="s">
        <v>590</v>
      </c>
      <c r="L138" s="35" t="s">
        <v>376</v>
      </c>
      <c r="M138" s="35" t="s">
        <v>591</v>
      </c>
      <c r="N138" s="35" t="s">
        <v>1024</v>
      </c>
      <c r="O138" s="35" t="s">
        <v>426</v>
      </c>
      <c r="P138" s="35" t="s">
        <v>1270</v>
      </c>
      <c r="Q138" s="35" t="s">
        <v>1760</v>
      </c>
      <c r="R138" s="35" t="s">
        <v>499</v>
      </c>
      <c r="S138" s="35" t="s">
        <v>7412</v>
      </c>
      <c r="T138" s="35" t="s">
        <v>384</v>
      </c>
      <c r="U138" s="35" t="s">
        <v>385</v>
      </c>
      <c r="X138" s="35" t="s">
        <v>386</v>
      </c>
      <c r="Y138" s="35" t="s">
        <v>387</v>
      </c>
      <c r="Z138" s="35" t="s">
        <v>1966</v>
      </c>
      <c r="AA138" s="35" t="s">
        <v>543</v>
      </c>
      <c r="AB138" s="35" t="s">
        <v>7413</v>
      </c>
      <c r="AC138" s="35" t="s">
        <v>7414</v>
      </c>
      <c r="AW138" s="35" t="s">
        <v>1310</v>
      </c>
      <c r="AX138" s="35" t="s">
        <v>429</v>
      </c>
      <c r="AY138" s="41">
        <v>4.0</v>
      </c>
      <c r="AZ138" s="35" t="s">
        <v>429</v>
      </c>
      <c r="BA138" s="35" t="s">
        <v>675</v>
      </c>
      <c r="BB138" s="35" t="s">
        <v>675</v>
      </c>
      <c r="BC138" s="35" t="s">
        <v>391</v>
      </c>
      <c r="BD138" s="35" t="s">
        <v>7415</v>
      </c>
      <c r="BE138" s="35" t="s">
        <v>7416</v>
      </c>
      <c r="BF138" s="35" t="s">
        <v>432</v>
      </c>
      <c r="BG138" s="35" t="s">
        <v>433</v>
      </c>
      <c r="BH138" s="35" t="s">
        <v>725</v>
      </c>
      <c r="BI138" s="35" t="s">
        <v>7417</v>
      </c>
      <c r="BJ138" s="35" t="s">
        <v>509</v>
      </c>
      <c r="BK138" s="35" t="s">
        <v>7418</v>
      </c>
      <c r="BL138" s="35" t="s">
        <v>681</v>
      </c>
      <c r="BM138" s="35" t="s">
        <v>904</v>
      </c>
      <c r="BN138" s="35" t="s">
        <v>439</v>
      </c>
      <c r="BO138" s="35" t="s">
        <v>440</v>
      </c>
      <c r="CM138" s="35" t="s">
        <v>441</v>
      </c>
      <c r="CN138" s="35" t="s">
        <v>604</v>
      </c>
      <c r="CO138" s="35" t="s">
        <v>7419</v>
      </c>
      <c r="CP138" s="35" t="s">
        <v>7420</v>
      </c>
      <c r="CQ138" s="35" t="s">
        <v>979</v>
      </c>
      <c r="CR138" s="35" t="s">
        <v>7421</v>
      </c>
      <c r="CS138" s="35" t="s">
        <v>447</v>
      </c>
      <c r="CT138" s="35" t="s">
        <v>7422</v>
      </c>
      <c r="CU138" s="35" t="s">
        <v>7423</v>
      </c>
      <c r="CV138" s="35" t="s">
        <v>450</v>
      </c>
      <c r="CW138" s="35" t="s">
        <v>451</v>
      </c>
      <c r="CX138" s="35" t="s">
        <v>7424</v>
      </c>
      <c r="CY138" s="35" t="s">
        <v>408</v>
      </c>
      <c r="DA138" s="35" t="s">
        <v>453</v>
      </c>
      <c r="DB138" s="35" t="s">
        <v>7425</v>
      </c>
      <c r="DC138" s="35" t="s">
        <v>455</v>
      </c>
      <c r="DD138" s="35" t="s">
        <v>7426</v>
      </c>
      <c r="DE138" s="35" t="s">
        <v>457</v>
      </c>
      <c r="DG138" s="35" t="s">
        <v>7427</v>
      </c>
      <c r="DH138" s="35" t="s">
        <v>524</v>
      </c>
      <c r="DI138" s="35" t="s">
        <v>410</v>
      </c>
      <c r="DJ138" s="35" t="s">
        <v>459</v>
      </c>
      <c r="DK138" s="35" t="s">
        <v>613</v>
      </c>
      <c r="DN138" s="35" t="s">
        <v>7428</v>
      </c>
      <c r="DO138" s="35" t="s">
        <v>7429</v>
      </c>
      <c r="DP138" s="35" t="s">
        <v>567</v>
      </c>
      <c r="DQ138" s="35" t="s">
        <v>7430</v>
      </c>
      <c r="DR138" s="35" t="s">
        <v>1553</v>
      </c>
      <c r="DS138" s="35" t="s">
        <v>7431</v>
      </c>
      <c r="DT138" s="35" t="s">
        <v>839</v>
      </c>
      <c r="DU138" s="35" t="s">
        <v>619</v>
      </c>
      <c r="DV138" s="35" t="s">
        <v>7432</v>
      </c>
      <c r="DW138" s="35" t="s">
        <v>7433</v>
      </c>
      <c r="DX138" s="35" t="s">
        <v>573</v>
      </c>
      <c r="DY138" s="35" t="s">
        <v>7434</v>
      </c>
      <c r="DZ138" s="35" t="s">
        <v>7435</v>
      </c>
      <c r="EA138" s="35" t="s">
        <v>7436</v>
      </c>
      <c r="EB138" s="35" t="s">
        <v>475</v>
      </c>
      <c r="EC138" s="35" t="s">
        <v>626</v>
      </c>
      <c r="ED138" s="35" t="s">
        <v>7437</v>
      </c>
      <c r="EU138" s="35" t="s">
        <v>478</v>
      </c>
      <c r="EV138" s="35" t="s">
        <v>479</v>
      </c>
      <c r="EW138" s="35" t="s">
        <v>480</v>
      </c>
      <c r="EX138" s="35" t="s">
        <v>7438</v>
      </c>
      <c r="EY138" s="35" t="s">
        <v>7439</v>
      </c>
      <c r="EZ138" s="35" t="s">
        <v>7440</v>
      </c>
      <c r="FA138" s="35" t="s">
        <v>583</v>
      </c>
      <c r="FB138" s="35" t="s">
        <v>583</v>
      </c>
      <c r="FC138" s="35" t="s">
        <v>583</v>
      </c>
      <c r="FD138" s="35" t="s">
        <v>583</v>
      </c>
      <c r="FE138" s="35" t="s">
        <v>416</v>
      </c>
      <c r="FF138" s="35" t="s">
        <v>583</v>
      </c>
      <c r="FG138" s="35" t="s">
        <v>583</v>
      </c>
      <c r="FH138" s="35" t="s">
        <v>583</v>
      </c>
      <c r="FI138" s="35" t="s">
        <v>415</v>
      </c>
      <c r="FJ138" s="35" t="s">
        <v>583</v>
      </c>
      <c r="FK138" s="35" t="s">
        <v>583</v>
      </c>
      <c r="FL138" s="35" t="s">
        <v>415</v>
      </c>
      <c r="FM138" s="35" t="s">
        <v>415</v>
      </c>
      <c r="FN138" s="35" t="s">
        <v>413</v>
      </c>
      <c r="FO138" s="35" t="s">
        <v>583</v>
      </c>
      <c r="FP138" s="35" t="s">
        <v>485</v>
      </c>
      <c r="FQ138" s="35" t="s">
        <v>486</v>
      </c>
      <c r="FR138" s="35" t="s">
        <v>419</v>
      </c>
      <c r="FS138" s="35" t="s">
        <v>7441</v>
      </c>
      <c r="FT138" s="35" t="s">
        <v>420</v>
      </c>
      <c r="FU138" s="35" t="s">
        <v>488</v>
      </c>
      <c r="FV138" s="35" t="s">
        <v>533</v>
      </c>
      <c r="FW138" s="35" t="s">
        <v>490</v>
      </c>
      <c r="FX138" s="35" t="s">
        <v>491</v>
      </c>
      <c r="FY138" s="35" t="s">
        <v>7442</v>
      </c>
      <c r="FZ138" s="35" t="s">
        <v>535</v>
      </c>
      <c r="GA138" s="35" t="s">
        <v>7443</v>
      </c>
      <c r="GB138" s="35" t="s">
        <v>7444</v>
      </c>
      <c r="GC138" s="35" t="s">
        <v>455</v>
      </c>
      <c r="GD138" s="35" t="s">
        <v>12136</v>
      </c>
      <c r="GE138" s="35" t="s">
        <v>12137</v>
      </c>
      <c r="GF138" s="35" t="s">
        <v>753</v>
      </c>
      <c r="GG138" s="35" t="s">
        <v>7445</v>
      </c>
      <c r="GH138" s="35" t="s">
        <v>920</v>
      </c>
      <c r="GI138" s="35" t="s">
        <v>755</v>
      </c>
      <c r="GJ138" s="35" t="s">
        <v>946</v>
      </c>
      <c r="GN138" s="35" t="s">
        <v>1079</v>
      </c>
      <c r="GR138" s="35" t="s">
        <v>3273</v>
      </c>
      <c r="GU138" s="35" t="s">
        <v>5170</v>
      </c>
      <c r="GV138" s="35" t="s">
        <v>7446</v>
      </c>
      <c r="GW138" s="35" t="s">
        <v>5231</v>
      </c>
      <c r="GX138" s="35" t="s">
        <v>484</v>
      </c>
      <c r="HD138" s="35" t="s">
        <v>5297</v>
      </c>
      <c r="HE138" s="35" t="s">
        <v>5282</v>
      </c>
      <c r="HF138" s="35" t="s">
        <v>5492</v>
      </c>
      <c r="HG138" s="35" t="s">
        <v>5899</v>
      </c>
      <c r="HH138" s="35" t="s">
        <v>7447</v>
      </c>
      <c r="HI138" s="35" t="s">
        <v>5495</v>
      </c>
      <c r="HJ138" s="35" t="s">
        <v>7448</v>
      </c>
      <c r="HK138" s="35" t="s">
        <v>7449</v>
      </c>
      <c r="HP138" s="35" t="s">
        <v>5236</v>
      </c>
      <c r="HQ138" s="35" t="s">
        <v>5302</v>
      </c>
      <c r="HR138" s="35" t="s">
        <v>5238</v>
      </c>
      <c r="HS138" s="35" t="s">
        <v>7450</v>
      </c>
      <c r="HX138" s="35" t="s">
        <v>5578</v>
      </c>
      <c r="IO138" s="35" t="s">
        <v>5536</v>
      </c>
      <c r="IP138" s="35" t="s">
        <v>5537</v>
      </c>
      <c r="IQ138" s="35" t="s">
        <v>5536</v>
      </c>
      <c r="IR138" s="35" t="s">
        <v>5629</v>
      </c>
      <c r="IS138" s="35" t="s">
        <v>5536</v>
      </c>
      <c r="IT138" s="35" t="s">
        <v>5537</v>
      </c>
      <c r="MK138" s="35" t="s">
        <v>6321</v>
      </c>
    </row>
    <row r="139">
      <c r="A139" s="35" t="s">
        <v>12138</v>
      </c>
      <c r="B139" s="40">
        <v>45960.99731127315</v>
      </c>
      <c r="C139" s="35" t="s">
        <v>368</v>
      </c>
      <c r="D139" s="35" t="s">
        <v>370</v>
      </c>
      <c r="E139" s="35" t="s">
        <v>370</v>
      </c>
      <c r="F139" s="35" t="s">
        <v>5384</v>
      </c>
      <c r="G139" s="35" t="s">
        <v>495</v>
      </c>
      <c r="H139" s="35" t="s">
        <v>422</v>
      </c>
      <c r="I139" s="35" t="s">
        <v>373</v>
      </c>
      <c r="J139" s="35" t="s">
        <v>374</v>
      </c>
      <c r="K139" s="35" t="s">
        <v>375</v>
      </c>
      <c r="L139" s="35" t="s">
        <v>376</v>
      </c>
      <c r="M139" s="35" t="s">
        <v>591</v>
      </c>
      <c r="N139" s="35" t="s">
        <v>639</v>
      </c>
      <c r="O139" s="35" t="s">
        <v>793</v>
      </c>
      <c r="P139" s="35" t="s">
        <v>1270</v>
      </c>
      <c r="Q139" s="35" t="s">
        <v>498</v>
      </c>
      <c r="R139" s="35" t="s">
        <v>499</v>
      </c>
      <c r="S139" s="35" t="s">
        <v>500</v>
      </c>
      <c r="T139" s="35" t="s">
        <v>384</v>
      </c>
      <c r="U139" s="35" t="s">
        <v>385</v>
      </c>
      <c r="X139" s="35" t="s">
        <v>593</v>
      </c>
      <c r="Y139" s="35" t="s">
        <v>387</v>
      </c>
      <c r="Z139" s="35" t="s">
        <v>388</v>
      </c>
      <c r="AA139" s="35" t="s">
        <v>502</v>
      </c>
      <c r="AB139" s="35" t="s">
        <v>7464</v>
      </c>
      <c r="AC139" s="35" t="s">
        <v>7465</v>
      </c>
      <c r="AW139" s="35" t="s">
        <v>504</v>
      </c>
      <c r="AX139" s="35" t="s">
        <v>391</v>
      </c>
      <c r="AY139" s="35" t="s">
        <v>391</v>
      </c>
      <c r="AZ139" s="41">
        <v>2.0</v>
      </c>
      <c r="BA139" s="41">
        <v>4.0</v>
      </c>
      <c r="BB139" s="41">
        <v>2.0</v>
      </c>
      <c r="BC139" s="41">
        <v>2.0</v>
      </c>
      <c r="BD139" s="35" t="s">
        <v>7466</v>
      </c>
      <c r="BE139" s="35" t="s">
        <v>7467</v>
      </c>
      <c r="BF139" s="35" t="s">
        <v>902</v>
      </c>
      <c r="BG139" s="35" t="s">
        <v>393</v>
      </c>
      <c r="BH139" s="35" t="s">
        <v>765</v>
      </c>
      <c r="BI139" s="35" t="s">
        <v>7468</v>
      </c>
      <c r="BJ139" s="35" t="s">
        <v>824</v>
      </c>
      <c r="BK139" s="35" t="s">
        <v>1211</v>
      </c>
      <c r="BL139" s="35" t="s">
        <v>437</v>
      </c>
      <c r="BM139" s="35" t="s">
        <v>396</v>
      </c>
      <c r="BN139" s="35" t="s">
        <v>439</v>
      </c>
      <c r="BO139" s="35" t="s">
        <v>440</v>
      </c>
      <c r="CM139" s="35" t="s">
        <v>441</v>
      </c>
      <c r="CN139" s="35" t="s">
        <v>401</v>
      </c>
      <c r="CO139" s="35" t="s">
        <v>7469</v>
      </c>
      <c r="CP139" s="35" t="s">
        <v>7470</v>
      </c>
      <c r="CQ139" s="35" t="s">
        <v>1008</v>
      </c>
      <c r="CR139" s="35" t="s">
        <v>7471</v>
      </c>
      <c r="CS139" s="35" t="s">
        <v>804</v>
      </c>
      <c r="CT139" s="35" t="s">
        <v>5192</v>
      </c>
      <c r="CU139" s="35" t="s">
        <v>7472</v>
      </c>
      <c r="CV139" s="35" t="s">
        <v>519</v>
      </c>
      <c r="CW139" s="35" t="s">
        <v>451</v>
      </c>
      <c r="CX139" s="35" t="s">
        <v>7473</v>
      </c>
      <c r="CY139" s="35" t="s">
        <v>455</v>
      </c>
      <c r="CZ139" s="35" t="s">
        <v>7474</v>
      </c>
      <c r="DA139" s="35" t="s">
        <v>453</v>
      </c>
      <c r="DB139" s="35" t="s">
        <v>7475</v>
      </c>
      <c r="DC139" s="35" t="s">
        <v>455</v>
      </c>
      <c r="DD139" s="35" t="s">
        <v>7476</v>
      </c>
      <c r="DE139" s="35" t="s">
        <v>662</v>
      </c>
      <c r="DG139" s="35" t="s">
        <v>7477</v>
      </c>
      <c r="DH139" s="35" t="s">
        <v>524</v>
      </c>
      <c r="DI139" s="35" t="s">
        <v>410</v>
      </c>
      <c r="DJ139" s="35" t="s">
        <v>459</v>
      </c>
      <c r="DK139" s="35" t="s">
        <v>460</v>
      </c>
      <c r="DL139" s="35" t="s">
        <v>6335</v>
      </c>
      <c r="DN139" s="35" t="s">
        <v>7478</v>
      </c>
      <c r="DO139" s="35" t="s">
        <v>7479</v>
      </c>
      <c r="DP139" s="35" t="s">
        <v>464</v>
      </c>
      <c r="DQ139" s="35" t="s">
        <v>7480</v>
      </c>
      <c r="DR139" s="35" t="s">
        <v>466</v>
      </c>
      <c r="DS139" s="35" t="s">
        <v>7481</v>
      </c>
      <c r="DT139" s="35" t="s">
        <v>468</v>
      </c>
      <c r="DU139" s="35" t="s">
        <v>703</v>
      </c>
      <c r="DV139" s="35" t="s">
        <v>7482</v>
      </c>
      <c r="DW139" s="35" t="s">
        <v>7483</v>
      </c>
      <c r="DX139" s="35" t="s">
        <v>622</v>
      </c>
      <c r="DY139" s="35" t="s">
        <v>7484</v>
      </c>
      <c r="DZ139" s="35" t="s">
        <v>7485</v>
      </c>
      <c r="EA139" s="35" t="s">
        <v>7486</v>
      </c>
      <c r="EB139" s="35" t="s">
        <v>475</v>
      </c>
      <c r="EC139" s="35" t="s">
        <v>845</v>
      </c>
      <c r="ED139" s="35" t="s">
        <v>7487</v>
      </c>
      <c r="EU139" s="35" t="s">
        <v>526</v>
      </c>
      <c r="EV139" s="35" t="s">
        <v>479</v>
      </c>
      <c r="EW139" s="35" t="s">
        <v>527</v>
      </c>
      <c r="EX139" s="35" t="s">
        <v>7488</v>
      </c>
      <c r="EY139" s="35" t="s">
        <v>7489</v>
      </c>
      <c r="EZ139" s="35" t="s">
        <v>7490</v>
      </c>
      <c r="FA139" s="35" t="s">
        <v>414</v>
      </c>
      <c r="FB139" s="35" t="s">
        <v>414</v>
      </c>
      <c r="FC139" s="35" t="s">
        <v>415</v>
      </c>
      <c r="FD139" s="35" t="s">
        <v>414</v>
      </c>
      <c r="FE139" s="35" t="s">
        <v>415</v>
      </c>
      <c r="FF139" s="35" t="s">
        <v>414</v>
      </c>
      <c r="FG139" s="35" t="s">
        <v>414</v>
      </c>
      <c r="FH139" s="35" t="s">
        <v>415</v>
      </c>
      <c r="FI139" s="35" t="s">
        <v>415</v>
      </c>
      <c r="FJ139" s="35" t="s">
        <v>414</v>
      </c>
      <c r="FK139" s="35" t="s">
        <v>414</v>
      </c>
      <c r="FL139" s="35" t="s">
        <v>415</v>
      </c>
      <c r="FM139" s="35" t="s">
        <v>415</v>
      </c>
      <c r="FN139" s="35" t="s">
        <v>415</v>
      </c>
      <c r="FO139" s="35" t="s">
        <v>415</v>
      </c>
      <c r="FP139" s="35" t="s">
        <v>417</v>
      </c>
      <c r="FQ139" s="35" t="s">
        <v>418</v>
      </c>
      <c r="FR139" s="35" t="s">
        <v>630</v>
      </c>
      <c r="FS139" s="35" t="s">
        <v>7491</v>
      </c>
      <c r="FT139" s="35" t="s">
        <v>420</v>
      </c>
      <c r="FU139" s="35" t="s">
        <v>488</v>
      </c>
      <c r="FV139" s="35" t="s">
        <v>533</v>
      </c>
      <c r="FW139" s="35" t="s">
        <v>490</v>
      </c>
      <c r="FX139" s="35" t="s">
        <v>491</v>
      </c>
      <c r="FY139" s="35" t="s">
        <v>7492</v>
      </c>
      <c r="FZ139" s="35" t="s">
        <v>535</v>
      </c>
      <c r="GA139" s="35" t="s">
        <v>7493</v>
      </c>
      <c r="GC139" s="35" t="s">
        <v>455</v>
      </c>
      <c r="GD139" s="35" t="s">
        <v>12139</v>
      </c>
      <c r="GF139" s="35" t="s">
        <v>753</v>
      </c>
      <c r="GH139" s="35" t="s">
        <v>857</v>
      </c>
      <c r="GI139" s="35" t="s">
        <v>857</v>
      </c>
      <c r="GJ139" s="35" t="s">
        <v>790</v>
      </c>
      <c r="GN139" s="35" t="s">
        <v>1079</v>
      </c>
      <c r="GR139" s="35" t="s">
        <v>5656</v>
      </c>
      <c r="GU139" s="35" t="s">
        <v>4774</v>
      </c>
      <c r="GV139" s="35" t="s">
        <v>1211</v>
      </c>
      <c r="GW139" s="35" t="s">
        <v>5231</v>
      </c>
      <c r="GX139" s="35" t="s">
        <v>5232</v>
      </c>
      <c r="HD139" s="35" t="s">
        <v>5297</v>
      </c>
      <c r="HE139" s="35" t="s">
        <v>5282</v>
      </c>
      <c r="HF139" s="35" t="s">
        <v>5492</v>
      </c>
      <c r="HG139" s="35" t="s">
        <v>5899</v>
      </c>
      <c r="HH139" s="35" t="s">
        <v>7494</v>
      </c>
      <c r="HI139" s="35" t="s">
        <v>5343</v>
      </c>
      <c r="HJ139" s="35" t="s">
        <v>7495</v>
      </c>
      <c r="HK139" s="35" t="s">
        <v>7496</v>
      </c>
      <c r="HP139" s="35" t="s">
        <v>5236</v>
      </c>
      <c r="HQ139" s="35" t="s">
        <v>5237</v>
      </c>
      <c r="HR139" s="35" t="s">
        <v>5238</v>
      </c>
      <c r="HS139" s="35" t="s">
        <v>913</v>
      </c>
      <c r="HX139" s="35" t="s">
        <v>6274</v>
      </c>
      <c r="IO139" s="35" t="s">
        <v>5500</v>
      </c>
      <c r="IP139" s="35" t="s">
        <v>5500</v>
      </c>
      <c r="IQ139" s="35" t="s">
        <v>5536</v>
      </c>
      <c r="IR139" s="35" t="s">
        <v>5536</v>
      </c>
      <c r="IS139" s="35" t="s">
        <v>5536</v>
      </c>
      <c r="IT139" s="35" t="s">
        <v>5536</v>
      </c>
      <c r="MK139" s="35" t="s">
        <v>6321</v>
      </c>
    </row>
    <row r="140">
      <c r="A140" s="35" t="s">
        <v>12140</v>
      </c>
      <c r="B140" s="40">
        <v>45963.67673798611</v>
      </c>
      <c r="C140" s="35" t="s">
        <v>368</v>
      </c>
      <c r="D140" s="35" t="s">
        <v>370</v>
      </c>
      <c r="E140" s="35" t="s">
        <v>370</v>
      </c>
      <c r="F140" s="35" t="s">
        <v>371</v>
      </c>
      <c r="G140" s="35" t="s">
        <v>371</v>
      </c>
      <c r="H140" s="35" t="s">
        <v>422</v>
      </c>
      <c r="I140" s="35" t="s">
        <v>539</v>
      </c>
      <c r="J140" s="35" t="s">
        <v>374</v>
      </c>
      <c r="K140" s="35" t="s">
        <v>425</v>
      </c>
      <c r="L140" s="35" t="s">
        <v>376</v>
      </c>
      <c r="M140" s="35" t="s">
        <v>591</v>
      </c>
      <c r="N140" s="35" t="s">
        <v>3109</v>
      </c>
      <c r="O140" s="35" t="s">
        <v>426</v>
      </c>
      <c r="P140" s="35" t="s">
        <v>2464</v>
      </c>
      <c r="Q140" s="35" t="s">
        <v>381</v>
      </c>
      <c r="R140" s="35" t="s">
        <v>862</v>
      </c>
      <c r="S140" s="35" t="s">
        <v>427</v>
      </c>
      <c r="T140" s="35" t="s">
        <v>384</v>
      </c>
      <c r="U140" s="35" t="s">
        <v>385</v>
      </c>
      <c r="X140" s="35" t="s">
        <v>3231</v>
      </c>
      <c r="AW140" s="35" t="s">
        <v>390</v>
      </c>
      <c r="AX140" s="35" t="s">
        <v>391</v>
      </c>
      <c r="AY140" s="35" t="s">
        <v>391</v>
      </c>
      <c r="AZ140" s="35" t="s">
        <v>429</v>
      </c>
      <c r="BA140" s="35" t="s">
        <v>429</v>
      </c>
      <c r="BB140" s="35" t="s">
        <v>429</v>
      </c>
      <c r="BC140" s="41">
        <v>2.0</v>
      </c>
      <c r="BD140" s="35" t="s">
        <v>7497</v>
      </c>
      <c r="BE140" s="35" t="s">
        <v>7498</v>
      </c>
      <c r="BF140" s="35" t="s">
        <v>392</v>
      </c>
      <c r="BG140" s="35" t="s">
        <v>433</v>
      </c>
      <c r="BH140" s="35" t="s">
        <v>678</v>
      </c>
      <c r="BJ140" s="35" t="s">
        <v>435</v>
      </c>
      <c r="BK140" s="35" t="s">
        <v>7499</v>
      </c>
      <c r="BL140" s="35" t="s">
        <v>511</v>
      </c>
      <c r="BM140" s="35" t="s">
        <v>904</v>
      </c>
      <c r="BN140" s="35" t="s">
        <v>439</v>
      </c>
      <c r="BO140" s="35" t="s">
        <v>440</v>
      </c>
      <c r="CM140" s="35" t="s">
        <v>441</v>
      </c>
      <c r="CN140" s="35" t="s">
        <v>442</v>
      </c>
      <c r="CO140" s="35" t="s">
        <v>552</v>
      </c>
      <c r="CP140" s="35" t="s">
        <v>7500</v>
      </c>
      <c r="CQ140" s="35" t="s">
        <v>685</v>
      </c>
      <c r="CR140" s="35" t="s">
        <v>956</v>
      </c>
      <c r="CS140" s="35" t="s">
        <v>447</v>
      </c>
      <c r="CT140" s="35" t="s">
        <v>1881</v>
      </c>
      <c r="CU140" s="35" t="s">
        <v>7501</v>
      </c>
      <c r="CV140" s="35" t="s">
        <v>450</v>
      </c>
      <c r="CW140" s="35" t="s">
        <v>451</v>
      </c>
      <c r="CX140" s="35" t="s">
        <v>7502</v>
      </c>
      <c r="CY140" s="35" t="s">
        <v>408</v>
      </c>
      <c r="DA140" s="35" t="s">
        <v>453</v>
      </c>
      <c r="DB140" s="35" t="s">
        <v>7503</v>
      </c>
      <c r="DC140" s="35" t="s">
        <v>455</v>
      </c>
      <c r="DD140" s="35" t="s">
        <v>7504</v>
      </c>
      <c r="DE140" s="35" t="s">
        <v>406</v>
      </c>
      <c r="DF140" s="35" t="s">
        <v>407</v>
      </c>
      <c r="DG140" s="35" t="s">
        <v>7505</v>
      </c>
      <c r="DH140" s="35" t="s">
        <v>524</v>
      </c>
      <c r="DI140" s="35" t="s">
        <v>410</v>
      </c>
      <c r="DJ140" s="35" t="s">
        <v>459</v>
      </c>
      <c r="DK140" s="35" t="s">
        <v>460</v>
      </c>
      <c r="DL140" s="35" t="s">
        <v>6319</v>
      </c>
      <c r="DN140" s="35" t="s">
        <v>5483</v>
      </c>
      <c r="DO140" s="35" t="s">
        <v>7506</v>
      </c>
      <c r="DP140" s="35" t="s">
        <v>1063</v>
      </c>
      <c r="DQ140" s="35" t="s">
        <v>4445</v>
      </c>
      <c r="DR140" s="35" t="s">
        <v>1176</v>
      </c>
      <c r="DS140" s="35" t="s">
        <v>7507</v>
      </c>
      <c r="DT140" s="35" t="s">
        <v>702</v>
      </c>
      <c r="DU140" s="35" t="s">
        <v>703</v>
      </c>
      <c r="DV140" s="35" t="s">
        <v>7508</v>
      </c>
      <c r="DW140" s="35" t="s">
        <v>7509</v>
      </c>
      <c r="DX140" s="35" t="s">
        <v>573</v>
      </c>
      <c r="DY140" s="35" t="s">
        <v>7510</v>
      </c>
      <c r="DZ140" s="35" t="s">
        <v>7511</v>
      </c>
      <c r="EA140" s="35" t="s">
        <v>7512</v>
      </c>
      <c r="EB140" s="35" t="s">
        <v>475</v>
      </c>
      <c r="EC140" s="35" t="s">
        <v>845</v>
      </c>
      <c r="ED140" s="35" t="s">
        <v>7513</v>
      </c>
      <c r="EU140" s="35" t="s">
        <v>578</v>
      </c>
      <c r="EV140" s="35" t="s">
        <v>479</v>
      </c>
      <c r="EW140" s="35" t="s">
        <v>480</v>
      </c>
      <c r="EY140" s="35" t="s">
        <v>7514</v>
      </c>
      <c r="EZ140" s="35" t="s">
        <v>7515</v>
      </c>
      <c r="FA140" s="35" t="s">
        <v>413</v>
      </c>
      <c r="FB140" s="35" t="s">
        <v>413</v>
      </c>
      <c r="FC140" s="35" t="s">
        <v>413</v>
      </c>
      <c r="FD140" s="35" t="s">
        <v>413</v>
      </c>
      <c r="FE140" s="35" t="s">
        <v>413</v>
      </c>
      <c r="FF140" s="35" t="s">
        <v>415</v>
      </c>
      <c r="FG140" s="35" t="s">
        <v>415</v>
      </c>
      <c r="FH140" s="35" t="s">
        <v>415</v>
      </c>
      <c r="FI140" s="35" t="s">
        <v>415</v>
      </c>
      <c r="FJ140" s="35" t="s">
        <v>415</v>
      </c>
      <c r="FK140" s="35" t="s">
        <v>415</v>
      </c>
      <c r="FL140" s="35" t="s">
        <v>415</v>
      </c>
      <c r="FM140" s="35" t="s">
        <v>415</v>
      </c>
      <c r="FN140" s="35" t="s">
        <v>415</v>
      </c>
      <c r="FO140" s="35" t="s">
        <v>415</v>
      </c>
      <c r="FP140" s="35" t="s">
        <v>417</v>
      </c>
      <c r="FQ140" s="35" t="s">
        <v>418</v>
      </c>
      <c r="FR140" s="35" t="s">
        <v>419</v>
      </c>
      <c r="FS140" s="35" t="s">
        <v>7516</v>
      </c>
      <c r="FT140" s="35" t="s">
        <v>995</v>
      </c>
      <c r="FU140" s="35" t="s">
        <v>488</v>
      </c>
      <c r="FV140" s="35" t="s">
        <v>533</v>
      </c>
      <c r="FW140" s="35" t="s">
        <v>490</v>
      </c>
      <c r="FX140" s="35" t="s">
        <v>491</v>
      </c>
      <c r="FY140" s="35" t="s">
        <v>7517</v>
      </c>
      <c r="FZ140" s="35" t="s">
        <v>535</v>
      </c>
      <c r="GB140" s="35" t="s">
        <v>7518</v>
      </c>
      <c r="GC140" s="35" t="s">
        <v>455</v>
      </c>
      <c r="GD140" s="35" t="s">
        <v>12141</v>
      </c>
      <c r="GE140" s="41">
        <v>8.312950125E9</v>
      </c>
      <c r="GF140" s="35" t="s">
        <v>753</v>
      </c>
      <c r="GG140" s="35" t="s">
        <v>7519</v>
      </c>
      <c r="GH140" s="35" t="s">
        <v>788</v>
      </c>
      <c r="GI140" s="35" t="s">
        <v>788</v>
      </c>
      <c r="GJ140" s="35" t="s">
        <v>858</v>
      </c>
      <c r="GN140" s="35" t="s">
        <v>1079</v>
      </c>
      <c r="GQ140" s="35" t="s">
        <v>1706</v>
      </c>
      <c r="GR140" s="35" t="s">
        <v>3208</v>
      </c>
      <c r="GU140" s="35" t="s">
        <v>4774</v>
      </c>
      <c r="GW140" s="35" t="s">
        <v>5231</v>
      </c>
      <c r="GX140" s="35" t="s">
        <v>5261</v>
      </c>
      <c r="HD140" s="35" t="s">
        <v>5297</v>
      </c>
      <c r="HE140" s="35" t="s">
        <v>5349</v>
      </c>
      <c r="HF140" s="35" t="s">
        <v>5718</v>
      </c>
      <c r="HG140" s="35" t="s">
        <v>5300</v>
      </c>
      <c r="HH140" s="35" t="s">
        <v>7520</v>
      </c>
      <c r="HI140" s="35" t="s">
        <v>5625</v>
      </c>
      <c r="HJ140" s="35" t="s">
        <v>7521</v>
      </c>
      <c r="HK140" s="35" t="s">
        <v>7522</v>
      </c>
      <c r="HP140" s="35" t="s">
        <v>5236</v>
      </c>
      <c r="HQ140" s="35" t="s">
        <v>5264</v>
      </c>
      <c r="HR140" s="35" t="s">
        <v>5238</v>
      </c>
      <c r="HS140" s="35" t="s">
        <v>5321</v>
      </c>
      <c r="IO140" s="35" t="s">
        <v>5536</v>
      </c>
      <c r="IP140" s="35" t="s">
        <v>5536</v>
      </c>
      <c r="IQ140" s="35" t="s">
        <v>5536</v>
      </c>
      <c r="IR140" s="35" t="s">
        <v>5500</v>
      </c>
      <c r="IS140" s="35" t="s">
        <v>5537</v>
      </c>
      <c r="IT140" s="35" t="s">
        <v>5536</v>
      </c>
      <c r="MK140" s="35" t="s">
        <v>6321</v>
      </c>
    </row>
    <row r="141">
      <c r="A141" s="35" t="s">
        <v>12142</v>
      </c>
      <c r="B141" s="40">
        <v>45969.84953577546</v>
      </c>
      <c r="C141" s="35" t="s">
        <v>368</v>
      </c>
      <c r="D141" s="35" t="s">
        <v>370</v>
      </c>
      <c r="E141" s="35" t="s">
        <v>370</v>
      </c>
      <c r="F141" s="35" t="s">
        <v>1464</v>
      </c>
      <c r="G141" s="35" t="s">
        <v>4905</v>
      </c>
      <c r="H141" s="35" t="s">
        <v>422</v>
      </c>
      <c r="J141" s="35" t="s">
        <v>7561</v>
      </c>
      <c r="K141" s="35" t="s">
        <v>425</v>
      </c>
      <c r="L141" s="35" t="s">
        <v>376</v>
      </c>
      <c r="M141" s="35" t="s">
        <v>379</v>
      </c>
      <c r="N141" s="35" t="s">
        <v>378</v>
      </c>
      <c r="O141" s="35" t="s">
        <v>379</v>
      </c>
      <c r="P141" s="35" t="s">
        <v>2464</v>
      </c>
      <c r="Q141" s="35" t="s">
        <v>498</v>
      </c>
      <c r="R141" s="35" t="s">
        <v>818</v>
      </c>
      <c r="S141" s="35" t="s">
        <v>500</v>
      </c>
      <c r="T141" s="35" t="s">
        <v>384</v>
      </c>
      <c r="X141" s="35" t="s">
        <v>386</v>
      </c>
      <c r="Y141" s="35" t="s">
        <v>387</v>
      </c>
      <c r="Z141" s="35" t="s">
        <v>388</v>
      </c>
      <c r="AA141" s="35" t="s">
        <v>672</v>
      </c>
      <c r="AB141" s="35" t="s">
        <v>7562</v>
      </c>
      <c r="AC141" s="35" t="s">
        <v>7563</v>
      </c>
      <c r="AW141" s="35" t="s">
        <v>1310</v>
      </c>
      <c r="AX141" s="41">
        <v>4.0</v>
      </c>
      <c r="AY141" s="35" t="s">
        <v>391</v>
      </c>
      <c r="AZ141" s="35" t="s">
        <v>391</v>
      </c>
      <c r="BA141" s="35" t="s">
        <v>391</v>
      </c>
      <c r="BB141" s="41">
        <v>4.0</v>
      </c>
      <c r="BC141" s="35" t="s">
        <v>391</v>
      </c>
      <c r="BE141" s="35" t="s">
        <v>7564</v>
      </c>
      <c r="BF141" s="35" t="s">
        <v>392</v>
      </c>
      <c r="BG141" s="35" t="s">
        <v>433</v>
      </c>
      <c r="BH141" s="35" t="s">
        <v>434</v>
      </c>
      <c r="BI141" s="35" t="s">
        <v>7565</v>
      </c>
      <c r="BJ141" s="35" t="s">
        <v>824</v>
      </c>
      <c r="BK141" s="35" t="s">
        <v>7566</v>
      </c>
      <c r="BL141" s="35" t="s">
        <v>395</v>
      </c>
      <c r="BM141" s="35" t="s">
        <v>512</v>
      </c>
      <c r="BN141" s="35" t="s">
        <v>397</v>
      </c>
      <c r="BO141" s="35" t="s">
        <v>440</v>
      </c>
      <c r="CM141" s="35" t="s">
        <v>441</v>
      </c>
      <c r="CN141" s="35" t="s">
        <v>604</v>
      </c>
      <c r="CO141" s="35" t="s">
        <v>7567</v>
      </c>
      <c r="CP141" s="35" t="s">
        <v>7568</v>
      </c>
      <c r="CQ141" s="35" t="s">
        <v>445</v>
      </c>
      <c r="CR141" s="35" t="s">
        <v>7569</v>
      </c>
      <c r="CS141" s="35" t="s">
        <v>447</v>
      </c>
      <c r="CT141" s="35" t="s">
        <v>1137</v>
      </c>
      <c r="CU141" s="35" t="s">
        <v>7570</v>
      </c>
      <c r="CV141" s="35" t="s">
        <v>450</v>
      </c>
      <c r="CW141" s="35" t="s">
        <v>409</v>
      </c>
      <c r="CX141" s="35" t="s">
        <v>7571</v>
      </c>
      <c r="CY141" s="35" t="s">
        <v>408</v>
      </c>
      <c r="DA141" s="35" t="s">
        <v>453</v>
      </c>
      <c r="DB141" s="35" t="s">
        <v>7572</v>
      </c>
      <c r="DC141" s="35" t="s">
        <v>408</v>
      </c>
      <c r="DE141" s="35" t="s">
        <v>406</v>
      </c>
      <c r="DF141" s="35" t="s">
        <v>407</v>
      </c>
      <c r="DG141" s="35" t="s">
        <v>7573</v>
      </c>
      <c r="DH141" s="35" t="s">
        <v>524</v>
      </c>
      <c r="DI141" s="35" t="s">
        <v>410</v>
      </c>
      <c r="DJ141" s="35" t="s">
        <v>459</v>
      </c>
      <c r="DK141" s="35" t="s">
        <v>460</v>
      </c>
      <c r="DL141" s="35" t="s">
        <v>6335</v>
      </c>
      <c r="DN141" s="35" t="s">
        <v>7574</v>
      </c>
      <c r="DO141" s="35" t="s">
        <v>7575</v>
      </c>
      <c r="DP141" s="35" t="s">
        <v>2956</v>
      </c>
      <c r="DQ141" s="35" t="s">
        <v>7576</v>
      </c>
      <c r="DR141" s="35" t="s">
        <v>1324</v>
      </c>
      <c r="DS141" s="35" t="s">
        <v>796</v>
      </c>
      <c r="DT141" s="35" t="s">
        <v>618</v>
      </c>
      <c r="DU141" s="35" t="s">
        <v>7577</v>
      </c>
      <c r="DV141" s="35" t="s">
        <v>7578</v>
      </c>
      <c r="DX141" s="35" t="s">
        <v>573</v>
      </c>
      <c r="DY141" s="35" t="s">
        <v>7579</v>
      </c>
      <c r="DZ141" s="35" t="s">
        <v>7580</v>
      </c>
      <c r="EA141" s="35" t="s">
        <v>7581</v>
      </c>
      <c r="EB141" s="35" t="s">
        <v>475</v>
      </c>
      <c r="EC141" s="35" t="s">
        <v>626</v>
      </c>
      <c r="ED141" s="35" t="s">
        <v>7582</v>
      </c>
      <c r="EU141" s="35" t="s">
        <v>526</v>
      </c>
      <c r="EV141" s="35" t="s">
        <v>479</v>
      </c>
      <c r="EW141" s="35" t="s">
        <v>527</v>
      </c>
      <c r="EX141" s="35" t="s">
        <v>7583</v>
      </c>
      <c r="EY141" s="35" t="s">
        <v>7584</v>
      </c>
      <c r="EZ141" s="35" t="s">
        <v>7585</v>
      </c>
      <c r="FA141" s="35" t="s">
        <v>413</v>
      </c>
      <c r="FB141" s="35" t="s">
        <v>413</v>
      </c>
      <c r="FC141" s="35" t="s">
        <v>413</v>
      </c>
      <c r="FD141" s="35" t="s">
        <v>413</v>
      </c>
      <c r="FE141" s="35" t="s">
        <v>413</v>
      </c>
      <c r="FF141" s="35" t="s">
        <v>416</v>
      </c>
      <c r="FG141" s="35" t="s">
        <v>413</v>
      </c>
      <c r="FH141" s="35" t="s">
        <v>413</v>
      </c>
      <c r="FI141" s="35" t="s">
        <v>413</v>
      </c>
      <c r="FJ141" s="35" t="s">
        <v>583</v>
      </c>
      <c r="FK141" s="35" t="s">
        <v>414</v>
      </c>
      <c r="FL141" s="35" t="s">
        <v>413</v>
      </c>
      <c r="FM141" s="35" t="s">
        <v>415</v>
      </c>
      <c r="FN141" s="35" t="s">
        <v>416</v>
      </c>
      <c r="FO141" s="35" t="s">
        <v>583</v>
      </c>
      <c r="FP141" s="35" t="s">
        <v>1537</v>
      </c>
      <c r="FQ141" s="35" t="s">
        <v>418</v>
      </c>
      <c r="FR141" s="35" t="s">
        <v>712</v>
      </c>
      <c r="FS141" s="35" t="s">
        <v>7586</v>
      </c>
      <c r="FT141" s="35" t="s">
        <v>420</v>
      </c>
      <c r="FU141" s="35" t="s">
        <v>488</v>
      </c>
      <c r="FV141" s="35" t="s">
        <v>489</v>
      </c>
      <c r="FW141" s="35" t="s">
        <v>490</v>
      </c>
      <c r="FX141" s="35" t="s">
        <v>491</v>
      </c>
      <c r="FY141" s="35" t="s">
        <v>7587</v>
      </c>
      <c r="FZ141" s="35" t="s">
        <v>535</v>
      </c>
      <c r="GA141" s="35" t="s">
        <v>7588</v>
      </c>
      <c r="GC141" s="35" t="s">
        <v>455</v>
      </c>
      <c r="GD141" s="35" t="s">
        <v>12143</v>
      </c>
      <c r="GE141" s="35" t="s">
        <v>12144</v>
      </c>
      <c r="GF141" s="35" t="s">
        <v>1339</v>
      </c>
      <c r="GH141" s="35" t="s">
        <v>755</v>
      </c>
      <c r="GI141" s="35" t="s">
        <v>755</v>
      </c>
      <c r="GJ141" s="35" t="s">
        <v>946</v>
      </c>
      <c r="GN141" s="35" t="s">
        <v>1079</v>
      </c>
      <c r="GR141" s="35" t="s">
        <v>7589</v>
      </c>
      <c r="GU141" s="35" t="s">
        <v>4774</v>
      </c>
      <c r="GV141" s="35" t="s">
        <v>7590</v>
      </c>
      <c r="GW141" s="35" t="s">
        <v>5231</v>
      </c>
      <c r="GX141" s="35" t="s">
        <v>5232</v>
      </c>
      <c r="HD141" s="35" t="s">
        <v>5297</v>
      </c>
      <c r="HE141" s="35" t="s">
        <v>5349</v>
      </c>
      <c r="HF141" s="35" t="s">
        <v>5492</v>
      </c>
      <c r="HG141" s="35" t="s">
        <v>5300</v>
      </c>
      <c r="HH141" s="35" t="s">
        <v>7591</v>
      </c>
      <c r="HI141" s="35" t="s">
        <v>6631</v>
      </c>
      <c r="HJ141" s="35" t="s">
        <v>7592</v>
      </c>
      <c r="HK141" s="35" t="s">
        <v>7593</v>
      </c>
      <c r="HP141" s="35" t="s">
        <v>5236</v>
      </c>
      <c r="HQ141" s="35" t="s">
        <v>5264</v>
      </c>
      <c r="HR141" s="35" t="s">
        <v>5238</v>
      </c>
      <c r="HS141" s="35" t="s">
        <v>5347</v>
      </c>
      <c r="HX141" s="35" t="s">
        <v>5578</v>
      </c>
      <c r="IO141" s="35" t="s">
        <v>5629</v>
      </c>
      <c r="IP141" s="35" t="s">
        <v>5629</v>
      </c>
      <c r="IQ141" s="35" t="s">
        <v>5536</v>
      </c>
      <c r="IR141" s="35" t="s">
        <v>5537</v>
      </c>
      <c r="IS141" s="35" t="s">
        <v>5629</v>
      </c>
      <c r="IT141" s="35" t="s">
        <v>5500</v>
      </c>
      <c r="MK141" s="35" t="s">
        <v>6321</v>
      </c>
    </row>
    <row r="142">
      <c r="A142" s="35" t="s">
        <v>12145</v>
      </c>
      <c r="B142" s="40">
        <v>45969.8978412963</v>
      </c>
      <c r="C142" s="35" t="s">
        <v>368</v>
      </c>
      <c r="D142" s="35" t="s">
        <v>370</v>
      </c>
      <c r="E142" s="35" t="s">
        <v>370</v>
      </c>
      <c r="F142" s="35" t="s">
        <v>371</v>
      </c>
      <c r="G142" s="35" t="s">
        <v>6014</v>
      </c>
      <c r="H142" s="35" t="s">
        <v>422</v>
      </c>
      <c r="I142" s="35" t="s">
        <v>496</v>
      </c>
      <c r="J142" s="35" t="s">
        <v>374</v>
      </c>
      <c r="K142" s="35" t="s">
        <v>375</v>
      </c>
      <c r="L142" s="35" t="s">
        <v>376</v>
      </c>
      <c r="M142" s="35" t="s">
        <v>793</v>
      </c>
      <c r="N142" s="35" t="s">
        <v>719</v>
      </c>
      <c r="O142" s="35" t="s">
        <v>1526</v>
      </c>
      <c r="P142" s="35" t="s">
        <v>7594</v>
      </c>
      <c r="Q142" s="35" t="s">
        <v>498</v>
      </c>
      <c r="R142" s="35" t="s">
        <v>382</v>
      </c>
      <c r="S142" s="35" t="s">
        <v>500</v>
      </c>
      <c r="T142" s="35" t="s">
        <v>384</v>
      </c>
      <c r="U142" s="35" t="s">
        <v>385</v>
      </c>
      <c r="X142" s="35" t="s">
        <v>386</v>
      </c>
      <c r="Y142" s="35" t="s">
        <v>387</v>
      </c>
      <c r="Z142" s="35" t="s">
        <v>1966</v>
      </c>
      <c r="AA142" s="35" t="s">
        <v>672</v>
      </c>
      <c r="AB142" s="35" t="s">
        <v>7595</v>
      </c>
      <c r="AC142" s="35" t="s">
        <v>7596</v>
      </c>
      <c r="AW142" s="35" t="s">
        <v>504</v>
      </c>
      <c r="AX142" s="35" t="s">
        <v>429</v>
      </c>
      <c r="AY142" s="35" t="s">
        <v>429</v>
      </c>
      <c r="AZ142" s="35" t="s">
        <v>429</v>
      </c>
      <c r="BA142" s="41">
        <v>2.0</v>
      </c>
      <c r="BB142" s="41">
        <v>2.0</v>
      </c>
      <c r="BC142" s="41">
        <v>2.0</v>
      </c>
      <c r="BD142" s="35" t="s">
        <v>7597</v>
      </c>
      <c r="BE142" s="35" t="s">
        <v>7598</v>
      </c>
      <c r="BF142" s="35" t="s">
        <v>432</v>
      </c>
      <c r="BG142" s="35" t="s">
        <v>433</v>
      </c>
      <c r="BH142" s="35" t="s">
        <v>678</v>
      </c>
      <c r="BJ142" s="35" t="s">
        <v>509</v>
      </c>
      <c r="BK142" s="35" t="s">
        <v>7599</v>
      </c>
      <c r="BL142" s="35" t="s">
        <v>511</v>
      </c>
      <c r="BM142" s="35" t="s">
        <v>512</v>
      </c>
      <c r="BN142" s="35" t="s">
        <v>439</v>
      </c>
      <c r="BO142" s="35" t="s">
        <v>440</v>
      </c>
      <c r="CM142" s="35" t="s">
        <v>441</v>
      </c>
      <c r="CN142" s="35" t="s">
        <v>401</v>
      </c>
      <c r="CO142" s="35" t="s">
        <v>7600</v>
      </c>
      <c r="CP142" s="35" t="s">
        <v>7601</v>
      </c>
      <c r="CQ142" s="35" t="s">
        <v>1008</v>
      </c>
      <c r="CR142" s="35" t="s">
        <v>7602</v>
      </c>
      <c r="CS142" s="35" t="s">
        <v>447</v>
      </c>
      <c r="CT142" s="35" t="s">
        <v>7603</v>
      </c>
      <c r="CU142" s="35" t="s">
        <v>7604</v>
      </c>
      <c r="CV142" s="35" t="s">
        <v>450</v>
      </c>
      <c r="CW142" s="35" t="s">
        <v>451</v>
      </c>
      <c r="CX142" s="35" t="s">
        <v>7605</v>
      </c>
      <c r="CY142" s="35" t="s">
        <v>408</v>
      </c>
      <c r="CZ142" s="35" t="s">
        <v>7606</v>
      </c>
      <c r="DA142" s="35" t="s">
        <v>453</v>
      </c>
      <c r="DB142" s="35" t="s">
        <v>7607</v>
      </c>
      <c r="DC142" s="35" t="s">
        <v>455</v>
      </c>
      <c r="DD142" s="35" t="s">
        <v>7608</v>
      </c>
      <c r="DE142" s="35" t="s">
        <v>457</v>
      </c>
      <c r="DG142" s="35" t="s">
        <v>7609</v>
      </c>
      <c r="DH142" s="35" t="s">
        <v>524</v>
      </c>
      <c r="DI142" s="35" t="s">
        <v>833</v>
      </c>
      <c r="DJ142" s="35" t="s">
        <v>777</v>
      </c>
      <c r="DK142" s="35" t="s">
        <v>613</v>
      </c>
      <c r="DN142" s="35" t="s">
        <v>7610</v>
      </c>
      <c r="DO142" s="35" t="s">
        <v>7611</v>
      </c>
      <c r="DP142" s="35" t="s">
        <v>1063</v>
      </c>
      <c r="DQ142" s="35" t="s">
        <v>7612</v>
      </c>
      <c r="DR142" s="35" t="s">
        <v>837</v>
      </c>
      <c r="DS142" s="35" t="s">
        <v>7613</v>
      </c>
      <c r="DT142" s="35" t="s">
        <v>839</v>
      </c>
      <c r="DU142" s="35" t="s">
        <v>570</v>
      </c>
      <c r="DV142" s="35" t="s">
        <v>7614</v>
      </c>
      <c r="DW142" s="35" t="s">
        <v>7615</v>
      </c>
      <c r="DX142" s="35" t="s">
        <v>573</v>
      </c>
      <c r="DY142" s="35" t="s">
        <v>7616</v>
      </c>
      <c r="DZ142" s="35" t="s">
        <v>7617</v>
      </c>
      <c r="EA142" s="35" t="s">
        <v>7618</v>
      </c>
      <c r="EB142" s="35" t="s">
        <v>475</v>
      </c>
      <c r="EC142" s="35" t="s">
        <v>476</v>
      </c>
      <c r="ED142" s="35" t="s">
        <v>7619</v>
      </c>
      <c r="EU142" s="35" t="s">
        <v>526</v>
      </c>
      <c r="EV142" s="35" t="s">
        <v>887</v>
      </c>
      <c r="EW142" s="35" t="s">
        <v>527</v>
      </c>
      <c r="EX142" s="35" t="s">
        <v>7620</v>
      </c>
      <c r="EY142" s="35" t="s">
        <v>7621</v>
      </c>
      <c r="EZ142" s="35" t="s">
        <v>813</v>
      </c>
      <c r="FA142" s="35" t="s">
        <v>414</v>
      </c>
      <c r="FB142" s="35" t="s">
        <v>414</v>
      </c>
      <c r="FC142" s="35" t="s">
        <v>413</v>
      </c>
      <c r="FD142" s="35" t="s">
        <v>414</v>
      </c>
      <c r="FE142" s="35" t="s">
        <v>416</v>
      </c>
      <c r="FF142" s="35" t="s">
        <v>414</v>
      </c>
      <c r="FG142" s="35" t="s">
        <v>484</v>
      </c>
      <c r="FH142" s="35" t="s">
        <v>484</v>
      </c>
      <c r="FI142" s="35" t="s">
        <v>583</v>
      </c>
      <c r="FJ142" s="35" t="s">
        <v>414</v>
      </c>
      <c r="FK142" s="35" t="s">
        <v>414</v>
      </c>
      <c r="FL142" s="35" t="s">
        <v>484</v>
      </c>
      <c r="FM142" s="35" t="s">
        <v>484</v>
      </c>
      <c r="FN142" s="35" t="s">
        <v>416</v>
      </c>
      <c r="FO142" s="35" t="s">
        <v>583</v>
      </c>
      <c r="FP142" s="35" t="s">
        <v>485</v>
      </c>
      <c r="FQ142" s="35" t="s">
        <v>418</v>
      </c>
      <c r="FR142" s="35" t="s">
        <v>419</v>
      </c>
      <c r="FS142" s="35" t="s">
        <v>7622</v>
      </c>
      <c r="FT142" s="35" t="s">
        <v>420</v>
      </c>
      <c r="FU142" s="35" t="s">
        <v>488</v>
      </c>
      <c r="FV142" s="35" t="s">
        <v>489</v>
      </c>
      <c r="FW142" s="35" t="s">
        <v>490</v>
      </c>
      <c r="FX142" s="35" t="s">
        <v>491</v>
      </c>
      <c r="FY142" s="35" t="s">
        <v>7623</v>
      </c>
      <c r="FZ142" s="35" t="s">
        <v>535</v>
      </c>
      <c r="GA142" s="35" t="s">
        <v>7624</v>
      </c>
      <c r="GB142" s="35" t="s">
        <v>7625</v>
      </c>
      <c r="GC142" s="35" t="s">
        <v>455</v>
      </c>
      <c r="GD142" s="35" t="s">
        <v>12146</v>
      </c>
      <c r="GF142" s="35" t="s">
        <v>1339</v>
      </c>
      <c r="GG142" s="35" t="s">
        <v>7626</v>
      </c>
      <c r="GH142" s="35" t="s">
        <v>920</v>
      </c>
      <c r="GI142" s="35" t="s">
        <v>920</v>
      </c>
      <c r="GJ142" s="35" t="s">
        <v>756</v>
      </c>
      <c r="GN142" s="35" t="s">
        <v>1079</v>
      </c>
      <c r="GR142" s="35" t="s">
        <v>3208</v>
      </c>
      <c r="GU142" s="35" t="s">
        <v>4774</v>
      </c>
      <c r="GW142" s="35" t="s">
        <v>5231</v>
      </c>
      <c r="GX142" s="35" t="s">
        <v>5232</v>
      </c>
      <c r="HD142" s="35" t="s">
        <v>5297</v>
      </c>
      <c r="HE142" s="35" t="s">
        <v>5349</v>
      </c>
      <c r="HF142" s="35" t="s">
        <v>5320</v>
      </c>
      <c r="HG142" s="35" t="s">
        <v>5284</v>
      </c>
      <c r="HH142" s="35" t="s">
        <v>7627</v>
      </c>
      <c r="HI142" s="35" t="s">
        <v>7628</v>
      </c>
      <c r="HJ142" s="35" t="s">
        <v>7629</v>
      </c>
      <c r="HK142" s="35" t="s">
        <v>7630</v>
      </c>
      <c r="HP142" s="35" t="s">
        <v>5383</v>
      </c>
      <c r="HQ142" s="35" t="s">
        <v>5237</v>
      </c>
      <c r="HR142" s="35" t="s">
        <v>5238</v>
      </c>
      <c r="HS142" s="35" t="s">
        <v>5321</v>
      </c>
      <c r="HX142" s="35" t="s">
        <v>7631</v>
      </c>
      <c r="IO142" s="35" t="s">
        <v>5536</v>
      </c>
      <c r="IP142" s="35" t="s">
        <v>5537</v>
      </c>
      <c r="IQ142" s="35" t="s">
        <v>5536</v>
      </c>
      <c r="IR142" s="35" t="s">
        <v>5536</v>
      </c>
      <c r="IS142" s="35" t="s">
        <v>5536</v>
      </c>
      <c r="IT142" s="35" t="s">
        <v>5536</v>
      </c>
      <c r="MK142" s="35" t="s">
        <v>6321</v>
      </c>
    </row>
    <row r="143">
      <c r="A143" s="35" t="s">
        <v>12147</v>
      </c>
      <c r="B143" s="40">
        <v>45979.79978149306</v>
      </c>
      <c r="C143" s="35" t="s">
        <v>368</v>
      </c>
      <c r="D143" s="35" t="s">
        <v>370</v>
      </c>
      <c r="E143" s="35" t="s">
        <v>370</v>
      </c>
      <c r="F143" s="35" t="s">
        <v>1480</v>
      </c>
      <c r="G143" s="35" t="s">
        <v>1480</v>
      </c>
      <c r="H143" s="35" t="s">
        <v>422</v>
      </c>
      <c r="I143" s="35" t="s">
        <v>373</v>
      </c>
      <c r="J143" s="35" t="s">
        <v>374</v>
      </c>
      <c r="K143" s="35" t="s">
        <v>718</v>
      </c>
      <c r="L143" s="35" t="s">
        <v>376</v>
      </c>
      <c r="M143" s="35" t="s">
        <v>591</v>
      </c>
      <c r="N143" s="35" t="s">
        <v>541</v>
      </c>
      <c r="O143" s="35" t="s">
        <v>591</v>
      </c>
      <c r="P143" s="35" t="s">
        <v>2464</v>
      </c>
      <c r="Q143" s="35" t="s">
        <v>498</v>
      </c>
      <c r="R143" s="35" t="s">
        <v>382</v>
      </c>
      <c r="S143" s="35" t="s">
        <v>427</v>
      </c>
      <c r="T143" s="35" t="s">
        <v>384</v>
      </c>
      <c r="U143" s="35" t="s">
        <v>385</v>
      </c>
      <c r="X143" s="35" t="s">
        <v>3231</v>
      </c>
      <c r="AW143" s="35" t="s">
        <v>1242</v>
      </c>
      <c r="AX143" s="35" t="s">
        <v>675</v>
      </c>
      <c r="AY143" s="35" t="s">
        <v>675</v>
      </c>
      <c r="AZ143" s="35" t="s">
        <v>675</v>
      </c>
      <c r="BA143" s="35" t="s">
        <v>675</v>
      </c>
      <c r="BB143" s="35" t="s">
        <v>675</v>
      </c>
      <c r="BC143" s="35" t="s">
        <v>675</v>
      </c>
      <c r="BF143" s="35" t="s">
        <v>902</v>
      </c>
      <c r="BG143" s="35" t="s">
        <v>1245</v>
      </c>
      <c r="BH143" s="35" t="s">
        <v>394</v>
      </c>
      <c r="BJ143" s="35" t="s">
        <v>435</v>
      </c>
      <c r="BM143" s="35" t="s">
        <v>438</v>
      </c>
      <c r="BN143" s="35" t="s">
        <v>1314</v>
      </c>
      <c r="BO143" s="35" t="s">
        <v>440</v>
      </c>
      <c r="CM143" s="35" t="s">
        <v>441</v>
      </c>
      <c r="CN143" s="35" t="s">
        <v>401</v>
      </c>
      <c r="CO143" s="35" t="s">
        <v>7836</v>
      </c>
      <c r="CP143" s="35" t="s">
        <v>7837</v>
      </c>
      <c r="CQ143" s="35" t="s">
        <v>445</v>
      </c>
      <c r="CR143" s="35" t="s">
        <v>1427</v>
      </c>
      <c r="CS143" s="35" t="s">
        <v>447</v>
      </c>
      <c r="CT143" s="35" t="s">
        <v>7838</v>
      </c>
      <c r="CV143" s="35" t="s">
        <v>519</v>
      </c>
      <c r="CW143" s="35" t="s">
        <v>451</v>
      </c>
      <c r="CY143" s="35" t="s">
        <v>455</v>
      </c>
      <c r="CZ143" s="35" t="s">
        <v>7839</v>
      </c>
      <c r="DA143" s="35" t="s">
        <v>453</v>
      </c>
      <c r="DB143" s="35" t="s">
        <v>7840</v>
      </c>
      <c r="DC143" s="35" t="s">
        <v>455</v>
      </c>
      <c r="DD143" s="35" t="s">
        <v>7841</v>
      </c>
      <c r="DE143" s="35" t="s">
        <v>406</v>
      </c>
      <c r="DF143" s="35" t="s">
        <v>691</v>
      </c>
      <c r="DG143" s="35" t="s">
        <v>7842</v>
      </c>
      <c r="DH143" s="35" t="s">
        <v>524</v>
      </c>
      <c r="DI143" s="35" t="s">
        <v>410</v>
      </c>
      <c r="DJ143" s="35" t="s">
        <v>459</v>
      </c>
      <c r="DK143" s="35" t="s">
        <v>613</v>
      </c>
      <c r="DN143" s="35" t="s">
        <v>7843</v>
      </c>
      <c r="DO143" s="35" t="s">
        <v>7844</v>
      </c>
      <c r="DP143" s="35" t="s">
        <v>567</v>
      </c>
      <c r="DQ143" s="35" t="s">
        <v>7845</v>
      </c>
      <c r="DR143" s="35" t="s">
        <v>1553</v>
      </c>
      <c r="DS143" s="35" t="s">
        <v>7846</v>
      </c>
      <c r="DT143" s="35" t="s">
        <v>618</v>
      </c>
      <c r="DU143" s="35" t="s">
        <v>1580</v>
      </c>
      <c r="DV143" s="35" t="s">
        <v>7847</v>
      </c>
      <c r="DW143" s="35" t="s">
        <v>7848</v>
      </c>
      <c r="DX143" s="35" t="s">
        <v>1328</v>
      </c>
      <c r="DY143" s="35" t="s">
        <v>7849</v>
      </c>
      <c r="EA143" s="35" t="s">
        <v>7850</v>
      </c>
      <c r="EB143" s="35" t="s">
        <v>1413</v>
      </c>
      <c r="EC143" s="35" t="s">
        <v>626</v>
      </c>
      <c r="EU143" s="35" t="s">
        <v>526</v>
      </c>
      <c r="EV143" s="35" t="s">
        <v>479</v>
      </c>
      <c r="EW143" s="35" t="s">
        <v>480</v>
      </c>
      <c r="EY143" s="35" t="s">
        <v>7851</v>
      </c>
      <c r="EZ143" s="35" t="s">
        <v>7852</v>
      </c>
      <c r="FA143" s="35" t="s">
        <v>413</v>
      </c>
      <c r="FB143" s="35" t="s">
        <v>415</v>
      </c>
      <c r="FC143" s="35" t="s">
        <v>413</v>
      </c>
      <c r="FD143" s="35" t="s">
        <v>415</v>
      </c>
      <c r="FE143" s="35" t="s">
        <v>413</v>
      </c>
      <c r="FF143" s="35" t="s">
        <v>415</v>
      </c>
      <c r="FH143" s="35" t="s">
        <v>413</v>
      </c>
      <c r="FI143" s="35" t="s">
        <v>583</v>
      </c>
      <c r="FJ143" s="35" t="s">
        <v>583</v>
      </c>
      <c r="FK143" s="35" t="s">
        <v>415</v>
      </c>
      <c r="FL143" s="35" t="s">
        <v>415</v>
      </c>
      <c r="FM143" s="35" t="s">
        <v>583</v>
      </c>
      <c r="FN143" s="35" t="s">
        <v>413</v>
      </c>
      <c r="FO143" s="35" t="s">
        <v>415</v>
      </c>
      <c r="FP143" s="35" t="s">
        <v>417</v>
      </c>
      <c r="FQ143" s="35" t="s">
        <v>418</v>
      </c>
      <c r="FR143" s="35" t="s">
        <v>749</v>
      </c>
      <c r="FS143" s="35" t="s">
        <v>7853</v>
      </c>
      <c r="FT143" s="35" t="s">
        <v>420</v>
      </c>
      <c r="FU143" s="35" t="s">
        <v>488</v>
      </c>
      <c r="FV143" s="35" t="s">
        <v>533</v>
      </c>
      <c r="FW143" s="35" t="s">
        <v>490</v>
      </c>
      <c r="FX143" s="35" t="s">
        <v>491</v>
      </c>
      <c r="FY143" s="35" t="s">
        <v>7854</v>
      </c>
      <c r="FZ143" s="35" t="s">
        <v>535</v>
      </c>
      <c r="GA143" s="35" t="s">
        <v>7855</v>
      </c>
      <c r="GC143" s="35" t="s">
        <v>455</v>
      </c>
      <c r="GD143" s="35" t="s">
        <v>12148</v>
      </c>
      <c r="GF143" s="35" t="s">
        <v>944</v>
      </c>
      <c r="GH143" s="35" t="s">
        <v>755</v>
      </c>
      <c r="GI143" s="35" t="s">
        <v>1000</v>
      </c>
      <c r="GJ143" s="35" t="s">
        <v>946</v>
      </c>
      <c r="GN143" s="35" t="s">
        <v>1079</v>
      </c>
      <c r="GQ143" s="35" t="s">
        <v>387</v>
      </c>
      <c r="GR143" s="35" t="s">
        <v>3208</v>
      </c>
      <c r="GU143" s="35" t="s">
        <v>4774</v>
      </c>
      <c r="GW143" s="35" t="s">
        <v>5231</v>
      </c>
      <c r="GX143" s="35" t="s">
        <v>5232</v>
      </c>
      <c r="HD143" s="35" t="s">
        <v>5297</v>
      </c>
      <c r="HE143" s="35" t="s">
        <v>5282</v>
      </c>
      <c r="HF143" s="35" t="s">
        <v>5718</v>
      </c>
      <c r="HG143" s="35" t="s">
        <v>5493</v>
      </c>
      <c r="HH143" s="35" t="s">
        <v>7856</v>
      </c>
      <c r="HI143" s="35" t="s">
        <v>5495</v>
      </c>
      <c r="HJ143" s="35" t="s">
        <v>7857</v>
      </c>
      <c r="HK143" s="35" t="s">
        <v>7858</v>
      </c>
      <c r="HP143" s="35" t="s">
        <v>5346</v>
      </c>
      <c r="HQ143" s="35" t="s">
        <v>5237</v>
      </c>
      <c r="HR143" s="35" t="s">
        <v>5238</v>
      </c>
      <c r="HS143" s="35" t="s">
        <v>5321</v>
      </c>
      <c r="HX143" s="35" t="s">
        <v>6274</v>
      </c>
      <c r="IO143" s="35" t="s">
        <v>5500</v>
      </c>
      <c r="IP143" s="35" t="s">
        <v>5500</v>
      </c>
      <c r="IQ143" s="35" t="s">
        <v>5500</v>
      </c>
      <c r="IR143" s="35" t="s">
        <v>5500</v>
      </c>
      <c r="IS143" s="35" t="s">
        <v>5500</v>
      </c>
      <c r="IT143" s="35" t="s">
        <v>5500</v>
      </c>
      <c r="MK143" s="35" t="s">
        <v>6321</v>
      </c>
    </row>
    <row r="144">
      <c r="A144" s="35" t="s">
        <v>12149</v>
      </c>
      <c r="B144" s="40">
        <v>45980.70007561342</v>
      </c>
      <c r="C144" s="35" t="s">
        <v>368</v>
      </c>
      <c r="D144" s="35" t="s">
        <v>370</v>
      </c>
      <c r="E144" s="35" t="s">
        <v>370</v>
      </c>
      <c r="F144" s="35" t="s">
        <v>3955</v>
      </c>
      <c r="G144" s="35" t="s">
        <v>1480</v>
      </c>
      <c r="H144" s="35" t="s">
        <v>422</v>
      </c>
      <c r="I144" s="35" t="s">
        <v>373</v>
      </c>
      <c r="J144" s="35" t="s">
        <v>374</v>
      </c>
      <c r="K144" s="35" t="s">
        <v>375</v>
      </c>
      <c r="L144" s="35" t="s">
        <v>376</v>
      </c>
      <c r="M144" s="35" t="s">
        <v>793</v>
      </c>
      <c r="N144" s="35" t="s">
        <v>719</v>
      </c>
      <c r="O144" s="35" t="s">
        <v>793</v>
      </c>
      <c r="P144" s="35" t="s">
        <v>719</v>
      </c>
      <c r="Q144" s="35" t="s">
        <v>592</v>
      </c>
      <c r="R144" s="35" t="s">
        <v>382</v>
      </c>
      <c r="S144" s="35" t="s">
        <v>427</v>
      </c>
      <c r="T144" s="35" t="s">
        <v>384</v>
      </c>
      <c r="U144" s="35" t="s">
        <v>385</v>
      </c>
      <c r="X144" s="35" t="s">
        <v>1023</v>
      </c>
      <c r="AW144" s="35" t="s">
        <v>597</v>
      </c>
      <c r="AX144" s="41">
        <v>4.0</v>
      </c>
      <c r="AY144" s="41">
        <v>2.0</v>
      </c>
      <c r="AZ144" s="35" t="s">
        <v>391</v>
      </c>
      <c r="BA144" s="35" t="s">
        <v>391</v>
      </c>
      <c r="BB144" s="41">
        <v>2.0</v>
      </c>
      <c r="BC144" s="35" t="s">
        <v>391</v>
      </c>
      <c r="BD144" s="35" t="s">
        <v>7863</v>
      </c>
      <c r="BE144" s="35" t="s">
        <v>7864</v>
      </c>
      <c r="BF144" s="35" t="s">
        <v>432</v>
      </c>
      <c r="BG144" s="35" t="s">
        <v>393</v>
      </c>
      <c r="BH144" s="35" t="s">
        <v>765</v>
      </c>
      <c r="BI144" s="35" t="s">
        <v>7865</v>
      </c>
      <c r="BJ144" s="35" t="s">
        <v>509</v>
      </c>
      <c r="BK144" s="35" t="s">
        <v>7866</v>
      </c>
      <c r="BL144" s="35" t="s">
        <v>681</v>
      </c>
      <c r="BM144" s="35" t="s">
        <v>438</v>
      </c>
      <c r="BN144" s="35" t="s">
        <v>397</v>
      </c>
      <c r="BO144" s="35" t="s">
        <v>440</v>
      </c>
      <c r="CM144" s="35" t="s">
        <v>441</v>
      </c>
      <c r="CN144" s="35" t="s">
        <v>401</v>
      </c>
      <c r="CO144" s="35" t="s">
        <v>7867</v>
      </c>
      <c r="CP144" s="35" t="s">
        <v>7868</v>
      </c>
      <c r="CQ144" s="35" t="s">
        <v>403</v>
      </c>
      <c r="CR144" s="35" t="s">
        <v>1427</v>
      </c>
      <c r="CS144" s="35" t="s">
        <v>447</v>
      </c>
      <c r="CT144" s="35" t="s">
        <v>1137</v>
      </c>
      <c r="CU144" s="35" t="s">
        <v>7869</v>
      </c>
      <c r="CV144" s="35" t="s">
        <v>519</v>
      </c>
      <c r="CW144" s="35" t="s">
        <v>451</v>
      </c>
      <c r="CX144" s="35" t="s">
        <v>7870</v>
      </c>
      <c r="CY144" s="35" t="s">
        <v>408</v>
      </c>
      <c r="DA144" s="35" t="s">
        <v>453</v>
      </c>
      <c r="DB144" s="35" t="s">
        <v>7871</v>
      </c>
      <c r="DC144" s="35" t="s">
        <v>455</v>
      </c>
      <c r="DD144" s="35" t="s">
        <v>7872</v>
      </c>
      <c r="DE144" s="35" t="s">
        <v>406</v>
      </c>
      <c r="DF144" s="35" t="s">
        <v>691</v>
      </c>
      <c r="DG144" s="35" t="s">
        <v>7873</v>
      </c>
      <c r="DH144" s="35" t="s">
        <v>524</v>
      </c>
      <c r="DI144" s="35" t="s">
        <v>1964</v>
      </c>
      <c r="DJ144" s="35" t="s">
        <v>459</v>
      </c>
      <c r="DK144" s="35" t="s">
        <v>613</v>
      </c>
      <c r="DN144" s="35" t="s">
        <v>7874</v>
      </c>
      <c r="DO144" s="35" t="s">
        <v>7875</v>
      </c>
      <c r="DP144" s="35" t="s">
        <v>567</v>
      </c>
      <c r="DQ144" s="35" t="s">
        <v>7876</v>
      </c>
      <c r="DR144" s="35" t="s">
        <v>1291</v>
      </c>
      <c r="DS144" s="35" t="s">
        <v>7877</v>
      </c>
      <c r="DT144" s="35" t="s">
        <v>702</v>
      </c>
      <c r="DU144" s="35" t="s">
        <v>570</v>
      </c>
      <c r="DV144" s="35" t="s">
        <v>7878</v>
      </c>
      <c r="DW144" s="35" t="s">
        <v>7879</v>
      </c>
      <c r="DX144" s="35" t="s">
        <v>622</v>
      </c>
      <c r="DY144" s="35" t="s">
        <v>7880</v>
      </c>
      <c r="DZ144" s="35" t="s">
        <v>7881</v>
      </c>
      <c r="EA144" s="35" t="s">
        <v>7882</v>
      </c>
      <c r="EB144" s="35" t="s">
        <v>475</v>
      </c>
      <c r="EC144" s="35" t="s">
        <v>845</v>
      </c>
      <c r="ED144" s="35" t="s">
        <v>7883</v>
      </c>
      <c r="EU144" s="35" t="s">
        <v>526</v>
      </c>
      <c r="EV144" s="35" t="s">
        <v>479</v>
      </c>
      <c r="EW144" s="35" t="s">
        <v>663</v>
      </c>
      <c r="EY144" s="35" t="s">
        <v>7884</v>
      </c>
      <c r="FA144" s="35" t="s">
        <v>413</v>
      </c>
      <c r="FB144" s="35" t="s">
        <v>413</v>
      </c>
      <c r="FC144" s="35" t="s">
        <v>413</v>
      </c>
      <c r="FD144" s="35" t="s">
        <v>413</v>
      </c>
      <c r="FE144" s="35" t="s">
        <v>413</v>
      </c>
      <c r="FF144" s="35" t="s">
        <v>413</v>
      </c>
      <c r="FG144" s="35" t="s">
        <v>413</v>
      </c>
      <c r="FH144" s="35" t="s">
        <v>415</v>
      </c>
      <c r="FI144" s="35" t="s">
        <v>583</v>
      </c>
      <c r="FJ144" s="35" t="s">
        <v>583</v>
      </c>
      <c r="FK144" s="35" t="s">
        <v>484</v>
      </c>
      <c r="FL144" s="35" t="s">
        <v>484</v>
      </c>
      <c r="FM144" s="35" t="s">
        <v>484</v>
      </c>
      <c r="FN144" s="35" t="s">
        <v>484</v>
      </c>
      <c r="FO144" s="35" t="s">
        <v>484</v>
      </c>
      <c r="FP144" s="35" t="s">
        <v>417</v>
      </c>
      <c r="FQ144" s="35" t="s">
        <v>418</v>
      </c>
      <c r="FR144" s="35" t="s">
        <v>712</v>
      </c>
      <c r="FT144" s="35" t="s">
        <v>420</v>
      </c>
      <c r="FU144" s="35" t="s">
        <v>488</v>
      </c>
      <c r="FV144" s="35" t="s">
        <v>918</v>
      </c>
      <c r="FW144" s="35" t="s">
        <v>490</v>
      </c>
      <c r="FX144" s="35" t="s">
        <v>491</v>
      </c>
      <c r="FY144" s="35" t="s">
        <v>7885</v>
      </c>
      <c r="FZ144" s="35" t="s">
        <v>493</v>
      </c>
      <c r="GC144" s="35" t="s">
        <v>408</v>
      </c>
      <c r="GH144" s="35" t="s">
        <v>857</v>
      </c>
      <c r="GI144" s="35" t="s">
        <v>857</v>
      </c>
      <c r="GJ144" s="35" t="s">
        <v>756</v>
      </c>
      <c r="GN144" s="35" t="s">
        <v>1079</v>
      </c>
      <c r="GR144" s="35" t="s">
        <v>3208</v>
      </c>
      <c r="GU144" s="35" t="s">
        <v>4774</v>
      </c>
      <c r="GV144" s="35" t="s">
        <v>7886</v>
      </c>
      <c r="GW144" s="35" t="s">
        <v>5231</v>
      </c>
      <c r="GX144" s="35" t="s">
        <v>484</v>
      </c>
      <c r="HD144" s="35" t="s">
        <v>5297</v>
      </c>
      <c r="HE144" s="35" t="s">
        <v>5282</v>
      </c>
      <c r="HF144" s="35" t="s">
        <v>5492</v>
      </c>
      <c r="HG144" s="35" t="s">
        <v>5768</v>
      </c>
      <c r="HH144" s="35" t="s">
        <v>7887</v>
      </c>
      <c r="HI144" s="35" t="s">
        <v>6631</v>
      </c>
      <c r="HJ144" s="35" t="s">
        <v>7888</v>
      </c>
      <c r="HK144" s="35" t="s">
        <v>7889</v>
      </c>
      <c r="HP144" s="35" t="s">
        <v>5285</v>
      </c>
      <c r="HQ144" s="35" t="s">
        <v>5371</v>
      </c>
      <c r="HR144" s="35" t="s">
        <v>5238</v>
      </c>
      <c r="HS144" s="35" t="s">
        <v>5321</v>
      </c>
      <c r="HX144" s="35" t="s">
        <v>6859</v>
      </c>
      <c r="IO144" s="35" t="s">
        <v>5500</v>
      </c>
      <c r="IP144" s="35" t="s">
        <v>5536</v>
      </c>
      <c r="IQ144" s="35" t="s">
        <v>5536</v>
      </c>
      <c r="IR144" s="35" t="s">
        <v>5500</v>
      </c>
      <c r="IS144" s="35" t="s">
        <v>5500</v>
      </c>
      <c r="IT144" s="35" t="s">
        <v>5536</v>
      </c>
      <c r="MK144" s="35" t="s">
        <v>6321</v>
      </c>
    </row>
    <row r="145">
      <c r="A145" s="35" t="s">
        <v>12150</v>
      </c>
      <c r="B145" s="40">
        <v>45983.687067754625</v>
      </c>
      <c r="C145" s="35" t="s">
        <v>368</v>
      </c>
      <c r="D145" s="35" t="s">
        <v>370</v>
      </c>
      <c r="E145" s="35" t="s">
        <v>370</v>
      </c>
      <c r="F145" s="35" t="s">
        <v>2400</v>
      </c>
      <c r="G145" s="35" t="s">
        <v>2400</v>
      </c>
      <c r="H145" s="35" t="s">
        <v>422</v>
      </c>
      <c r="I145" s="35" t="s">
        <v>373</v>
      </c>
      <c r="J145" s="35" t="s">
        <v>374</v>
      </c>
      <c r="K145" s="35" t="s">
        <v>375</v>
      </c>
      <c r="L145" s="35" t="s">
        <v>376</v>
      </c>
      <c r="M145" s="35" t="s">
        <v>426</v>
      </c>
      <c r="N145" s="35" t="s">
        <v>541</v>
      </c>
      <c r="O145" s="35" t="s">
        <v>379</v>
      </c>
      <c r="P145" s="35" t="s">
        <v>497</v>
      </c>
      <c r="Q145" s="35" t="s">
        <v>381</v>
      </c>
      <c r="R145" s="35" t="s">
        <v>862</v>
      </c>
      <c r="S145" s="35" t="s">
        <v>949</v>
      </c>
      <c r="T145" s="35" t="s">
        <v>384</v>
      </c>
      <c r="U145" s="35" t="s">
        <v>385</v>
      </c>
      <c r="X145" s="35" t="s">
        <v>3014</v>
      </c>
      <c r="AW145" s="35" t="s">
        <v>504</v>
      </c>
      <c r="AX145" s="35" t="s">
        <v>391</v>
      </c>
      <c r="AY145" s="35" t="s">
        <v>391</v>
      </c>
      <c r="AZ145" s="35" t="s">
        <v>391</v>
      </c>
      <c r="BA145" s="35" t="s">
        <v>429</v>
      </c>
      <c r="BB145" s="35" t="s">
        <v>429</v>
      </c>
      <c r="BC145" s="41">
        <v>2.0</v>
      </c>
      <c r="BD145" s="35" t="s">
        <v>7896</v>
      </c>
      <c r="BF145" s="35" t="s">
        <v>392</v>
      </c>
      <c r="BG145" s="35" t="s">
        <v>433</v>
      </c>
      <c r="BH145" s="35" t="s">
        <v>678</v>
      </c>
      <c r="BJ145" s="35" t="s">
        <v>435</v>
      </c>
      <c r="BL145" s="35" t="s">
        <v>511</v>
      </c>
      <c r="BM145" s="35" t="s">
        <v>438</v>
      </c>
      <c r="BN145" s="35" t="s">
        <v>549</v>
      </c>
      <c r="BO145" s="35" t="s">
        <v>440</v>
      </c>
      <c r="CM145" s="35" t="s">
        <v>441</v>
      </c>
      <c r="CN145" s="35" t="s">
        <v>604</v>
      </c>
      <c r="CO145" s="35" t="s">
        <v>7897</v>
      </c>
      <c r="CP145" s="35" t="s">
        <v>7898</v>
      </c>
      <c r="CQ145" s="35" t="s">
        <v>979</v>
      </c>
      <c r="CR145" s="35" t="s">
        <v>7899</v>
      </c>
      <c r="CS145" s="35" t="s">
        <v>447</v>
      </c>
      <c r="CT145" s="35" t="s">
        <v>7900</v>
      </c>
      <c r="CU145" s="35" t="s">
        <v>7901</v>
      </c>
      <c r="CV145" s="35" t="s">
        <v>450</v>
      </c>
      <c r="CW145" s="35" t="s">
        <v>451</v>
      </c>
      <c r="CX145" s="35" t="s">
        <v>7902</v>
      </c>
      <c r="CY145" s="35" t="s">
        <v>408</v>
      </c>
      <c r="DA145" s="35" t="s">
        <v>453</v>
      </c>
      <c r="DB145" s="35" t="s">
        <v>7903</v>
      </c>
      <c r="DE145" s="35" t="s">
        <v>988</v>
      </c>
      <c r="DH145" s="35" t="s">
        <v>524</v>
      </c>
      <c r="DI145" s="35" t="s">
        <v>410</v>
      </c>
      <c r="DJ145" s="35" t="s">
        <v>459</v>
      </c>
      <c r="DK145" s="35" t="s">
        <v>460</v>
      </c>
      <c r="DL145" s="35" t="s">
        <v>6335</v>
      </c>
      <c r="DN145" s="35" t="s">
        <v>7904</v>
      </c>
      <c r="DO145" s="35" t="s">
        <v>7905</v>
      </c>
      <c r="DP145" s="35" t="s">
        <v>567</v>
      </c>
      <c r="DQ145" s="35" t="s">
        <v>7906</v>
      </c>
      <c r="DR145" s="35" t="s">
        <v>1578</v>
      </c>
      <c r="DT145" s="35" t="s">
        <v>702</v>
      </c>
      <c r="DU145" s="35" t="s">
        <v>703</v>
      </c>
      <c r="DV145" s="35" t="s">
        <v>7907</v>
      </c>
      <c r="DX145" s="35" t="s">
        <v>622</v>
      </c>
      <c r="DY145" s="35" t="s">
        <v>7908</v>
      </c>
      <c r="DZ145" s="35" t="s">
        <v>7909</v>
      </c>
      <c r="EA145" s="35" t="s">
        <v>7910</v>
      </c>
      <c r="EB145" s="35" t="s">
        <v>1413</v>
      </c>
      <c r="EC145" s="35" t="s">
        <v>1183</v>
      </c>
      <c r="EU145" s="35" t="s">
        <v>526</v>
      </c>
      <c r="EV145" s="35" t="s">
        <v>479</v>
      </c>
      <c r="EW145" s="35" t="s">
        <v>527</v>
      </c>
      <c r="EX145" s="35" t="s">
        <v>7911</v>
      </c>
      <c r="EY145" s="35" t="s">
        <v>7912</v>
      </c>
      <c r="EZ145" s="35" t="s">
        <v>12151</v>
      </c>
      <c r="FA145" s="35" t="s">
        <v>413</v>
      </c>
      <c r="FB145" s="35" t="s">
        <v>415</v>
      </c>
      <c r="FC145" s="35" t="s">
        <v>413</v>
      </c>
      <c r="FD145" s="35" t="s">
        <v>413</v>
      </c>
      <c r="FE145" s="35" t="s">
        <v>413</v>
      </c>
      <c r="FF145" s="35" t="s">
        <v>415</v>
      </c>
      <c r="FG145" s="35" t="s">
        <v>413</v>
      </c>
      <c r="FH145" s="35" t="s">
        <v>413</v>
      </c>
      <c r="FI145" s="35" t="s">
        <v>583</v>
      </c>
      <c r="FJ145" s="35" t="s">
        <v>416</v>
      </c>
      <c r="FK145" s="35" t="s">
        <v>416</v>
      </c>
      <c r="FL145" s="35" t="s">
        <v>413</v>
      </c>
      <c r="FM145" s="35" t="s">
        <v>416</v>
      </c>
      <c r="FN145" s="35" t="s">
        <v>413</v>
      </c>
      <c r="FO145" s="35" t="s">
        <v>583</v>
      </c>
      <c r="FP145" s="35" t="s">
        <v>417</v>
      </c>
      <c r="FQ145" s="35" t="s">
        <v>418</v>
      </c>
      <c r="FR145" s="35" t="s">
        <v>531</v>
      </c>
      <c r="FS145" s="35" t="s">
        <v>7914</v>
      </c>
      <c r="FT145" s="35" t="s">
        <v>420</v>
      </c>
      <c r="FU145" s="35" t="s">
        <v>488</v>
      </c>
      <c r="FV145" s="35" t="s">
        <v>489</v>
      </c>
      <c r="FW145" s="35" t="s">
        <v>490</v>
      </c>
      <c r="FX145" s="35" t="s">
        <v>491</v>
      </c>
      <c r="FY145" s="35" t="s">
        <v>12152</v>
      </c>
      <c r="FZ145" s="35" t="s">
        <v>535</v>
      </c>
      <c r="GA145" s="35" t="s">
        <v>7916</v>
      </c>
      <c r="GC145" s="35" t="s">
        <v>408</v>
      </c>
      <c r="GH145" s="35" t="s">
        <v>755</v>
      </c>
      <c r="GI145" s="35" t="s">
        <v>755</v>
      </c>
      <c r="GJ145" s="35" t="s">
        <v>946</v>
      </c>
      <c r="GN145" s="35" t="s">
        <v>1079</v>
      </c>
      <c r="GR145" s="35" t="s">
        <v>5656</v>
      </c>
      <c r="GU145" s="35" t="s">
        <v>4774</v>
      </c>
      <c r="GW145" s="35" t="s">
        <v>5231</v>
      </c>
      <c r="GX145" s="35" t="s">
        <v>5232</v>
      </c>
      <c r="HD145" s="35" t="s">
        <v>5297</v>
      </c>
      <c r="HE145" s="35" t="s">
        <v>5282</v>
      </c>
      <c r="HF145" s="35" t="s">
        <v>5320</v>
      </c>
      <c r="HG145" s="35" t="s">
        <v>5899</v>
      </c>
      <c r="HH145" s="35" t="s">
        <v>7918</v>
      </c>
      <c r="HI145" s="35" t="s">
        <v>6242</v>
      </c>
      <c r="HJ145" s="35" t="s">
        <v>7919</v>
      </c>
      <c r="HK145" s="35" t="s">
        <v>6403</v>
      </c>
      <c r="HP145" s="35" t="s">
        <v>5346</v>
      </c>
      <c r="HQ145" s="35" t="s">
        <v>5264</v>
      </c>
      <c r="HR145" s="35" t="s">
        <v>5238</v>
      </c>
      <c r="HS145" s="35" t="s">
        <v>5321</v>
      </c>
      <c r="IO145" s="35" t="s">
        <v>5536</v>
      </c>
      <c r="IP145" s="35" t="s">
        <v>5536</v>
      </c>
      <c r="IQ145" s="35" t="s">
        <v>5500</v>
      </c>
      <c r="IR145" s="35" t="s">
        <v>5500</v>
      </c>
      <c r="IS145" s="35" t="s">
        <v>5536</v>
      </c>
      <c r="IT145" s="35" t="s">
        <v>5536</v>
      </c>
      <c r="MK145" s="35" t="s">
        <v>6321</v>
      </c>
    </row>
    <row r="146">
      <c r="A146" s="35" t="s">
        <v>12153</v>
      </c>
      <c r="B146" s="40">
        <v>45983.6917247338</v>
      </c>
      <c r="C146" s="35" t="s">
        <v>368</v>
      </c>
      <c r="D146" s="35" t="s">
        <v>370</v>
      </c>
      <c r="E146" s="35" t="s">
        <v>370</v>
      </c>
      <c r="F146" s="35" t="s">
        <v>2400</v>
      </c>
      <c r="G146" s="35" t="s">
        <v>2400</v>
      </c>
      <c r="H146" s="35" t="s">
        <v>422</v>
      </c>
      <c r="I146" s="35" t="s">
        <v>373</v>
      </c>
      <c r="J146" s="35" t="s">
        <v>374</v>
      </c>
      <c r="K146" s="35" t="s">
        <v>375</v>
      </c>
      <c r="L146" s="35" t="s">
        <v>376</v>
      </c>
      <c r="M146" s="35" t="s">
        <v>426</v>
      </c>
      <c r="N146" s="35" t="s">
        <v>541</v>
      </c>
      <c r="O146" s="35" t="s">
        <v>379</v>
      </c>
      <c r="P146" s="35" t="s">
        <v>497</v>
      </c>
      <c r="Q146" s="35" t="s">
        <v>381</v>
      </c>
      <c r="R146" s="35" t="s">
        <v>862</v>
      </c>
      <c r="S146" s="35" t="s">
        <v>949</v>
      </c>
      <c r="T146" s="35" t="s">
        <v>384</v>
      </c>
      <c r="U146" s="35" t="s">
        <v>385</v>
      </c>
      <c r="X146" s="35" t="s">
        <v>3014</v>
      </c>
      <c r="AW146" s="35" t="s">
        <v>504</v>
      </c>
      <c r="AX146" s="35" t="s">
        <v>391</v>
      </c>
      <c r="AY146" s="35" t="s">
        <v>391</v>
      </c>
      <c r="AZ146" s="35" t="s">
        <v>391</v>
      </c>
      <c r="BA146" s="35" t="s">
        <v>429</v>
      </c>
      <c r="BB146" s="35" t="s">
        <v>429</v>
      </c>
      <c r="BC146" s="41">
        <v>2.0</v>
      </c>
      <c r="BD146" s="35" t="s">
        <v>7896</v>
      </c>
      <c r="BF146" s="35" t="s">
        <v>392</v>
      </c>
      <c r="BG146" s="35" t="s">
        <v>433</v>
      </c>
      <c r="BH146" s="35" t="s">
        <v>678</v>
      </c>
      <c r="BJ146" s="35" t="s">
        <v>435</v>
      </c>
      <c r="BL146" s="35" t="s">
        <v>511</v>
      </c>
      <c r="BM146" s="35" t="s">
        <v>438</v>
      </c>
      <c r="BN146" s="35" t="s">
        <v>549</v>
      </c>
      <c r="BO146" s="35" t="s">
        <v>440</v>
      </c>
      <c r="CM146" s="35" t="s">
        <v>441</v>
      </c>
      <c r="CN146" s="35" t="s">
        <v>604</v>
      </c>
      <c r="CO146" s="35" t="s">
        <v>7897</v>
      </c>
      <c r="CP146" s="35" t="s">
        <v>7898</v>
      </c>
      <c r="CQ146" s="35" t="s">
        <v>979</v>
      </c>
      <c r="CR146" s="35" t="s">
        <v>7899</v>
      </c>
      <c r="CS146" s="35" t="s">
        <v>447</v>
      </c>
      <c r="CT146" s="35" t="s">
        <v>7900</v>
      </c>
      <c r="CU146" s="35" t="s">
        <v>7901</v>
      </c>
      <c r="CV146" s="35" t="s">
        <v>450</v>
      </c>
      <c r="CW146" s="35" t="s">
        <v>451</v>
      </c>
      <c r="CX146" s="35" t="s">
        <v>7902</v>
      </c>
      <c r="CY146" s="35" t="s">
        <v>408</v>
      </c>
      <c r="DA146" s="35" t="s">
        <v>453</v>
      </c>
      <c r="DB146" s="35" t="s">
        <v>7903</v>
      </c>
      <c r="DE146" s="35" t="s">
        <v>988</v>
      </c>
      <c r="DH146" s="35" t="s">
        <v>524</v>
      </c>
      <c r="DI146" s="35" t="s">
        <v>410</v>
      </c>
      <c r="DJ146" s="35" t="s">
        <v>459</v>
      </c>
      <c r="DK146" s="35" t="s">
        <v>460</v>
      </c>
      <c r="DL146" s="35" t="s">
        <v>6335</v>
      </c>
      <c r="DN146" s="35" t="s">
        <v>7904</v>
      </c>
      <c r="DO146" s="35" t="s">
        <v>7905</v>
      </c>
      <c r="DP146" s="35" t="s">
        <v>567</v>
      </c>
      <c r="DQ146" s="35" t="s">
        <v>7906</v>
      </c>
      <c r="DR146" s="35" t="s">
        <v>1578</v>
      </c>
      <c r="DT146" s="35" t="s">
        <v>702</v>
      </c>
      <c r="DU146" s="35" t="s">
        <v>703</v>
      </c>
      <c r="DV146" s="35" t="s">
        <v>7907</v>
      </c>
      <c r="DX146" s="35" t="s">
        <v>622</v>
      </c>
      <c r="DY146" s="35" t="s">
        <v>7908</v>
      </c>
      <c r="DZ146" s="35" t="s">
        <v>7909</v>
      </c>
      <c r="EA146" s="35" t="s">
        <v>7910</v>
      </c>
      <c r="EB146" s="35" t="s">
        <v>1413</v>
      </c>
      <c r="EC146" s="35" t="s">
        <v>1183</v>
      </c>
      <c r="EU146" s="35" t="s">
        <v>526</v>
      </c>
      <c r="EV146" s="35" t="s">
        <v>479</v>
      </c>
      <c r="EW146" s="35" t="s">
        <v>527</v>
      </c>
      <c r="EX146" s="35" t="s">
        <v>7911</v>
      </c>
      <c r="EY146" s="35" t="s">
        <v>7912</v>
      </c>
      <c r="EZ146" s="35" t="s">
        <v>7913</v>
      </c>
      <c r="FA146" s="35" t="s">
        <v>413</v>
      </c>
      <c r="FB146" s="35" t="s">
        <v>415</v>
      </c>
      <c r="FC146" s="35" t="s">
        <v>413</v>
      </c>
      <c r="FD146" s="35" t="s">
        <v>413</v>
      </c>
      <c r="FE146" s="35" t="s">
        <v>413</v>
      </c>
      <c r="FF146" s="35" t="s">
        <v>415</v>
      </c>
      <c r="FG146" s="35" t="s">
        <v>413</v>
      </c>
      <c r="FH146" s="35" t="s">
        <v>413</v>
      </c>
      <c r="FI146" s="35" t="s">
        <v>583</v>
      </c>
      <c r="FJ146" s="35" t="s">
        <v>416</v>
      </c>
      <c r="FK146" s="35" t="s">
        <v>416</v>
      </c>
      <c r="FL146" s="35" t="s">
        <v>413</v>
      </c>
      <c r="FM146" s="35" t="s">
        <v>416</v>
      </c>
      <c r="FN146" s="35" t="s">
        <v>413</v>
      </c>
      <c r="FO146" s="35" t="s">
        <v>583</v>
      </c>
      <c r="FP146" s="35" t="s">
        <v>417</v>
      </c>
      <c r="FQ146" s="35" t="s">
        <v>418</v>
      </c>
      <c r="FR146" s="35" t="s">
        <v>531</v>
      </c>
      <c r="FS146" s="35" t="s">
        <v>7914</v>
      </c>
      <c r="FT146" s="35" t="s">
        <v>420</v>
      </c>
      <c r="FU146" s="35" t="s">
        <v>488</v>
      </c>
      <c r="FV146" s="35" t="s">
        <v>489</v>
      </c>
      <c r="FW146" s="35" t="s">
        <v>490</v>
      </c>
      <c r="FX146" s="35" t="s">
        <v>491</v>
      </c>
      <c r="FY146" s="35" t="s">
        <v>7915</v>
      </c>
      <c r="FZ146" s="35" t="s">
        <v>535</v>
      </c>
      <c r="GA146" s="35" t="s">
        <v>7916</v>
      </c>
      <c r="GB146" s="35" t="s">
        <v>7917</v>
      </c>
      <c r="GC146" s="35" t="s">
        <v>408</v>
      </c>
      <c r="GH146" s="35" t="s">
        <v>755</v>
      </c>
      <c r="GI146" s="35" t="s">
        <v>755</v>
      </c>
      <c r="GJ146" s="35" t="s">
        <v>946</v>
      </c>
      <c r="GN146" s="35" t="s">
        <v>1079</v>
      </c>
      <c r="GR146" s="35" t="s">
        <v>5656</v>
      </c>
      <c r="GU146" s="35" t="s">
        <v>4774</v>
      </c>
      <c r="GW146" s="35" t="s">
        <v>5231</v>
      </c>
      <c r="GX146" s="35" t="s">
        <v>5232</v>
      </c>
      <c r="HD146" s="35" t="s">
        <v>5297</v>
      </c>
      <c r="HE146" s="35" t="s">
        <v>5282</v>
      </c>
      <c r="HF146" s="35" t="s">
        <v>5320</v>
      </c>
      <c r="HG146" s="35" t="s">
        <v>5899</v>
      </c>
      <c r="HH146" s="35" t="s">
        <v>7918</v>
      </c>
      <c r="HI146" s="35" t="s">
        <v>6242</v>
      </c>
      <c r="HJ146" s="35" t="s">
        <v>7919</v>
      </c>
      <c r="HK146" s="35" t="s">
        <v>6403</v>
      </c>
      <c r="HP146" s="35" t="s">
        <v>5346</v>
      </c>
      <c r="HQ146" s="35" t="s">
        <v>5264</v>
      </c>
      <c r="HR146" s="35" t="s">
        <v>5238</v>
      </c>
      <c r="HS146" s="35" t="s">
        <v>5321</v>
      </c>
      <c r="IO146" s="35" t="s">
        <v>5536</v>
      </c>
      <c r="IP146" s="35" t="s">
        <v>5536</v>
      </c>
      <c r="IQ146" s="35" t="s">
        <v>5500</v>
      </c>
      <c r="IR146" s="35" t="s">
        <v>5500</v>
      </c>
      <c r="IS146" s="35" t="s">
        <v>5536</v>
      </c>
      <c r="IT146" s="35" t="s">
        <v>5536</v>
      </c>
      <c r="MK146" s="35" t="s">
        <v>6321</v>
      </c>
    </row>
    <row r="147">
      <c r="A147" s="35" t="s">
        <v>12154</v>
      </c>
      <c r="B147" s="40">
        <v>46012.8221040162</v>
      </c>
      <c r="C147" s="35" t="s">
        <v>368</v>
      </c>
      <c r="D147" s="35" t="s">
        <v>370</v>
      </c>
      <c r="E147" s="35" t="s">
        <v>370</v>
      </c>
      <c r="F147" s="35" t="s">
        <v>589</v>
      </c>
      <c r="G147" s="35" t="s">
        <v>589</v>
      </c>
      <c r="H147" s="35" t="s">
        <v>422</v>
      </c>
      <c r="I147" s="35" t="s">
        <v>373</v>
      </c>
      <c r="J147" s="35" t="s">
        <v>374</v>
      </c>
      <c r="K147" s="35" t="s">
        <v>425</v>
      </c>
      <c r="L147" s="35" t="s">
        <v>376</v>
      </c>
      <c r="M147" s="35" t="s">
        <v>379</v>
      </c>
      <c r="N147" s="35" t="s">
        <v>2464</v>
      </c>
      <c r="O147" s="35" t="s">
        <v>377</v>
      </c>
      <c r="P147" s="35" t="s">
        <v>497</v>
      </c>
      <c r="Q147" s="35" t="s">
        <v>1760</v>
      </c>
      <c r="R147" s="35" t="s">
        <v>862</v>
      </c>
      <c r="S147" s="35" t="s">
        <v>949</v>
      </c>
      <c r="T147" s="35" t="s">
        <v>4742</v>
      </c>
      <c r="U147" s="35" t="s">
        <v>385</v>
      </c>
      <c r="X147" s="35" t="s">
        <v>3231</v>
      </c>
      <c r="AW147" s="35" t="s">
        <v>1242</v>
      </c>
      <c r="AX147" s="35" t="s">
        <v>675</v>
      </c>
      <c r="AY147" s="35" t="s">
        <v>675</v>
      </c>
      <c r="AZ147" s="35" t="s">
        <v>675</v>
      </c>
      <c r="BA147" s="35" t="s">
        <v>675</v>
      </c>
      <c r="BB147" s="35" t="s">
        <v>675</v>
      </c>
      <c r="BC147" s="35" t="s">
        <v>675</v>
      </c>
      <c r="BD147" s="35" t="s">
        <v>8058</v>
      </c>
      <c r="BE147" s="35" t="s">
        <v>8059</v>
      </c>
      <c r="BF147" s="35" t="s">
        <v>2379</v>
      </c>
      <c r="BG147" s="35" t="s">
        <v>393</v>
      </c>
      <c r="BH147" s="35" t="s">
        <v>678</v>
      </c>
      <c r="BI147" s="35" t="s">
        <v>8060</v>
      </c>
      <c r="BJ147" s="35" t="s">
        <v>976</v>
      </c>
      <c r="BK147" s="35" t="s">
        <v>8061</v>
      </c>
      <c r="BL147" s="35" t="s">
        <v>395</v>
      </c>
      <c r="BM147" s="35" t="s">
        <v>904</v>
      </c>
      <c r="BN147" s="35" t="s">
        <v>1314</v>
      </c>
      <c r="BO147" s="35" t="s">
        <v>440</v>
      </c>
      <c r="CM147" s="35" t="s">
        <v>441</v>
      </c>
      <c r="CN147" s="35" t="s">
        <v>682</v>
      </c>
      <c r="CO147" s="35" t="s">
        <v>6791</v>
      </c>
      <c r="CP147" s="35" t="s">
        <v>8062</v>
      </c>
      <c r="CQ147" s="35" t="s">
        <v>445</v>
      </c>
      <c r="CR147" s="35" t="s">
        <v>8063</v>
      </c>
      <c r="CT147" s="35" t="s">
        <v>8064</v>
      </c>
      <c r="CU147" s="35" t="s">
        <v>8065</v>
      </c>
      <c r="CV147" s="35" t="s">
        <v>519</v>
      </c>
      <c r="CW147" s="35" t="s">
        <v>451</v>
      </c>
      <c r="CX147" s="35" t="s">
        <v>8066</v>
      </c>
      <c r="CY147" s="35" t="s">
        <v>455</v>
      </c>
      <c r="CZ147" s="35" t="s">
        <v>8067</v>
      </c>
      <c r="DA147" s="35" t="s">
        <v>453</v>
      </c>
      <c r="DB147" s="35" t="s">
        <v>8068</v>
      </c>
      <c r="DC147" s="35" t="s">
        <v>455</v>
      </c>
      <c r="DD147" s="35" t="s">
        <v>8069</v>
      </c>
      <c r="DE147" s="35" t="s">
        <v>457</v>
      </c>
      <c r="DG147" s="35" t="s">
        <v>8070</v>
      </c>
      <c r="DH147" s="35" t="s">
        <v>524</v>
      </c>
      <c r="DI147" s="35" t="s">
        <v>694</v>
      </c>
      <c r="DJ147" s="35" t="s">
        <v>459</v>
      </c>
      <c r="DK147" s="35" t="s">
        <v>460</v>
      </c>
      <c r="DL147" s="35" t="s">
        <v>6335</v>
      </c>
      <c r="DN147" s="35" t="s">
        <v>8071</v>
      </c>
      <c r="DO147" s="35" t="s">
        <v>8072</v>
      </c>
      <c r="DP147" s="35" t="s">
        <v>567</v>
      </c>
      <c r="DQ147" s="35" t="s">
        <v>8073</v>
      </c>
      <c r="DR147" s="35" t="s">
        <v>1152</v>
      </c>
      <c r="DS147" s="35" t="s">
        <v>455</v>
      </c>
      <c r="DT147" s="35" t="s">
        <v>839</v>
      </c>
      <c r="DU147" s="35" t="s">
        <v>619</v>
      </c>
      <c r="DV147" s="35" t="s">
        <v>8074</v>
      </c>
      <c r="DW147" s="35" t="s">
        <v>8075</v>
      </c>
      <c r="DX147" s="35" t="s">
        <v>1328</v>
      </c>
      <c r="DY147" s="35" t="s">
        <v>8076</v>
      </c>
      <c r="DZ147" s="35" t="s">
        <v>8077</v>
      </c>
      <c r="EA147" s="35" t="s">
        <v>8078</v>
      </c>
      <c r="EB147" s="35" t="s">
        <v>475</v>
      </c>
      <c r="EC147" s="35" t="s">
        <v>845</v>
      </c>
      <c r="ED147" s="35" t="s">
        <v>8079</v>
      </c>
      <c r="EU147" s="35" t="s">
        <v>526</v>
      </c>
      <c r="EV147" s="35" t="s">
        <v>887</v>
      </c>
      <c r="EW147" s="35" t="s">
        <v>527</v>
      </c>
      <c r="EX147" s="35" t="s">
        <v>8080</v>
      </c>
      <c r="EY147" s="35" t="s">
        <v>8081</v>
      </c>
      <c r="EZ147" s="35" t="s">
        <v>8082</v>
      </c>
      <c r="FA147" s="35" t="s">
        <v>413</v>
      </c>
      <c r="FB147" s="35" t="s">
        <v>413</v>
      </c>
      <c r="FC147" s="35" t="s">
        <v>413</v>
      </c>
      <c r="FD147" s="35" t="s">
        <v>413</v>
      </c>
      <c r="FE147" s="35" t="s">
        <v>413</v>
      </c>
      <c r="FF147" s="35" t="s">
        <v>413</v>
      </c>
      <c r="FG147" s="35" t="s">
        <v>413</v>
      </c>
      <c r="FH147" s="35" t="s">
        <v>413</v>
      </c>
      <c r="FI147" s="35" t="s">
        <v>413</v>
      </c>
      <c r="FJ147" s="35" t="s">
        <v>413</v>
      </c>
      <c r="FK147" s="35" t="s">
        <v>413</v>
      </c>
      <c r="FL147" s="35" t="s">
        <v>413</v>
      </c>
      <c r="FM147" s="35" t="s">
        <v>413</v>
      </c>
      <c r="FN147" s="35" t="s">
        <v>413</v>
      </c>
      <c r="FO147" s="35" t="s">
        <v>583</v>
      </c>
      <c r="FP147" s="35" t="s">
        <v>850</v>
      </c>
      <c r="FQ147" s="35" t="s">
        <v>1200</v>
      </c>
      <c r="FR147" s="35" t="s">
        <v>419</v>
      </c>
      <c r="FS147" s="35" t="s">
        <v>8083</v>
      </c>
      <c r="FT147" s="35" t="s">
        <v>420</v>
      </c>
      <c r="FU147" s="35" t="s">
        <v>488</v>
      </c>
      <c r="FV147" s="35" t="s">
        <v>489</v>
      </c>
      <c r="FW147" s="35" t="s">
        <v>490</v>
      </c>
      <c r="FX147" s="35" t="s">
        <v>491</v>
      </c>
      <c r="FY147" s="35" t="s">
        <v>8084</v>
      </c>
      <c r="FZ147" s="35" t="s">
        <v>535</v>
      </c>
      <c r="GA147" s="35" t="s">
        <v>8085</v>
      </c>
      <c r="GB147" s="35" t="s">
        <v>8086</v>
      </c>
      <c r="GC147" s="35" t="s">
        <v>455</v>
      </c>
      <c r="GD147" s="35" t="s">
        <v>12155</v>
      </c>
      <c r="GE147" s="35" t="s">
        <v>12156</v>
      </c>
      <c r="GF147" s="35" t="s">
        <v>786</v>
      </c>
      <c r="GG147" s="35" t="s">
        <v>8087</v>
      </c>
      <c r="GH147" s="35" t="s">
        <v>755</v>
      </c>
      <c r="GI147" s="35" t="s">
        <v>755</v>
      </c>
      <c r="GJ147" s="35" t="s">
        <v>946</v>
      </c>
      <c r="GN147" s="35" t="s">
        <v>1079</v>
      </c>
      <c r="GQ147" s="35" t="s">
        <v>387</v>
      </c>
      <c r="GR147" s="35" t="s">
        <v>3306</v>
      </c>
      <c r="GU147" s="35" t="s">
        <v>5170</v>
      </c>
      <c r="GV147" s="35" t="s">
        <v>8088</v>
      </c>
      <c r="GW147" s="35" t="s">
        <v>5231</v>
      </c>
      <c r="GX147" s="35" t="s">
        <v>5232</v>
      </c>
      <c r="HD147" s="35" t="s">
        <v>5297</v>
      </c>
      <c r="HE147" s="35" t="s">
        <v>5349</v>
      </c>
      <c r="HF147" s="35" t="s">
        <v>5320</v>
      </c>
      <c r="HG147" s="35" t="s">
        <v>5899</v>
      </c>
      <c r="HH147" s="35" t="s">
        <v>8089</v>
      </c>
      <c r="HI147" s="35" t="s">
        <v>5495</v>
      </c>
      <c r="HJ147" s="35" t="s">
        <v>8090</v>
      </c>
      <c r="HK147" s="35" t="s">
        <v>8091</v>
      </c>
      <c r="HP147" s="35" t="s">
        <v>5236</v>
      </c>
      <c r="HQ147" s="35" t="s">
        <v>5264</v>
      </c>
      <c r="HR147" s="35" t="s">
        <v>5238</v>
      </c>
      <c r="HS147" s="35" t="s">
        <v>8092</v>
      </c>
      <c r="HX147" s="35" t="s">
        <v>5578</v>
      </c>
      <c r="IO147" s="35" t="s">
        <v>5500</v>
      </c>
      <c r="IP147" s="35" t="s">
        <v>5500</v>
      </c>
      <c r="IQ147" s="35" t="s">
        <v>5500</v>
      </c>
      <c r="IR147" s="35" t="s">
        <v>5500</v>
      </c>
      <c r="IS147" s="35" t="s">
        <v>5500</v>
      </c>
      <c r="IT147" s="35" t="s">
        <v>5500</v>
      </c>
      <c r="MK147" s="35" t="s">
        <v>6321</v>
      </c>
    </row>
    <row r="148">
      <c r="A148" s="35" t="s">
        <v>12157</v>
      </c>
      <c r="B148" s="40">
        <v>46026.3173584375</v>
      </c>
      <c r="C148" s="35" t="s">
        <v>368</v>
      </c>
      <c r="D148" s="35" t="s">
        <v>1341</v>
      </c>
      <c r="E148" s="35" t="s">
        <v>635</v>
      </c>
      <c r="H148" s="35" t="s">
        <v>422</v>
      </c>
      <c r="I148" s="35" t="s">
        <v>423</v>
      </c>
      <c r="J148" s="35" t="s">
        <v>424</v>
      </c>
      <c r="K148" s="35" t="s">
        <v>669</v>
      </c>
      <c r="L148" s="35" t="s">
        <v>376</v>
      </c>
      <c r="M148" s="35" t="s">
        <v>379</v>
      </c>
      <c r="N148" s="35" t="s">
        <v>720</v>
      </c>
      <c r="O148" s="35" t="s">
        <v>793</v>
      </c>
      <c r="P148" s="35" t="s">
        <v>380</v>
      </c>
      <c r="Q148" s="35" t="s">
        <v>592</v>
      </c>
      <c r="R148" s="35" t="s">
        <v>499</v>
      </c>
      <c r="S148" s="35" t="s">
        <v>427</v>
      </c>
      <c r="T148" s="35" t="s">
        <v>384</v>
      </c>
      <c r="U148" s="35" t="s">
        <v>385</v>
      </c>
      <c r="X148" s="35" t="s">
        <v>3231</v>
      </c>
      <c r="AW148" s="35" t="s">
        <v>1310</v>
      </c>
      <c r="AX148" s="35" t="s">
        <v>391</v>
      </c>
      <c r="AY148" s="35" t="s">
        <v>391</v>
      </c>
      <c r="AZ148" s="35" t="s">
        <v>391</v>
      </c>
      <c r="BA148" s="35" t="s">
        <v>391</v>
      </c>
      <c r="BB148" s="35" t="s">
        <v>391</v>
      </c>
      <c r="BC148" s="35" t="s">
        <v>391</v>
      </c>
      <c r="BD148" s="35" t="s">
        <v>8169</v>
      </c>
      <c r="BE148" s="35" t="s">
        <v>8170</v>
      </c>
      <c r="BF148" s="35" t="s">
        <v>392</v>
      </c>
      <c r="BG148" s="35" t="s">
        <v>393</v>
      </c>
      <c r="BH148" s="35" t="s">
        <v>725</v>
      </c>
      <c r="BJ148" s="35" t="s">
        <v>976</v>
      </c>
      <c r="BL148" s="35" t="s">
        <v>437</v>
      </c>
      <c r="BM148" s="35" t="s">
        <v>603</v>
      </c>
      <c r="BN148" s="35" t="s">
        <v>1247</v>
      </c>
      <c r="BO148" s="35" t="s">
        <v>440</v>
      </c>
      <c r="CM148" s="35" t="s">
        <v>550</v>
      </c>
      <c r="CN148" s="35" t="s">
        <v>604</v>
      </c>
      <c r="CO148" s="35" t="s">
        <v>1315</v>
      </c>
      <c r="CP148" s="35" t="s">
        <v>8171</v>
      </c>
      <c r="CQ148" s="35" t="s">
        <v>403</v>
      </c>
      <c r="CR148" s="35" t="s">
        <v>8172</v>
      </c>
      <c r="CS148" s="35" t="s">
        <v>404</v>
      </c>
      <c r="CT148" s="35" t="s">
        <v>1346</v>
      </c>
      <c r="CU148" s="35" t="s">
        <v>8173</v>
      </c>
      <c r="CV148" s="35" t="s">
        <v>450</v>
      </c>
      <c r="CW148" s="35" t="s">
        <v>409</v>
      </c>
      <c r="CX148" s="35" t="s">
        <v>8174</v>
      </c>
      <c r="CY148" s="35" t="s">
        <v>408</v>
      </c>
      <c r="DA148" s="35" t="s">
        <v>1398</v>
      </c>
      <c r="DB148" s="35" t="s">
        <v>8175</v>
      </c>
      <c r="DC148" s="35" t="s">
        <v>455</v>
      </c>
      <c r="DD148" s="35" t="s">
        <v>8176</v>
      </c>
      <c r="DE148" s="35" t="s">
        <v>988</v>
      </c>
      <c r="DG148" s="35" t="s">
        <v>8177</v>
      </c>
      <c r="DH148" s="35" t="s">
        <v>524</v>
      </c>
      <c r="DI148" s="35" t="s">
        <v>410</v>
      </c>
      <c r="DJ148" s="35" t="s">
        <v>963</v>
      </c>
      <c r="DK148" s="35" t="s">
        <v>460</v>
      </c>
      <c r="DL148" s="35" t="s">
        <v>6319</v>
      </c>
      <c r="DN148" s="35" t="s">
        <v>3096</v>
      </c>
      <c r="DO148" s="35" t="s">
        <v>8178</v>
      </c>
      <c r="DP148" s="35" t="s">
        <v>3496</v>
      </c>
      <c r="DQ148" s="35" t="s">
        <v>8179</v>
      </c>
      <c r="DR148" s="35" t="s">
        <v>1291</v>
      </c>
      <c r="DS148" s="35" t="s">
        <v>597</v>
      </c>
      <c r="DT148" s="35" t="s">
        <v>839</v>
      </c>
      <c r="DU148" s="35" t="s">
        <v>469</v>
      </c>
      <c r="DV148" s="35" t="s">
        <v>8180</v>
      </c>
      <c r="DW148" s="35" t="s">
        <v>8181</v>
      </c>
      <c r="DX148" s="35" t="s">
        <v>573</v>
      </c>
      <c r="DY148" s="35" t="s">
        <v>8182</v>
      </c>
      <c r="DZ148" s="35" t="s">
        <v>8183</v>
      </c>
      <c r="EA148" s="35" t="s">
        <v>8184</v>
      </c>
      <c r="EB148" s="35" t="s">
        <v>475</v>
      </c>
      <c r="EC148" s="35" t="s">
        <v>626</v>
      </c>
      <c r="ED148" s="35" t="s">
        <v>8185</v>
      </c>
      <c r="EU148" s="35" t="s">
        <v>526</v>
      </c>
      <c r="EV148" s="35" t="s">
        <v>579</v>
      </c>
      <c r="EW148" s="35" t="s">
        <v>778</v>
      </c>
      <c r="EX148" s="35" t="s">
        <v>8186</v>
      </c>
      <c r="EY148" s="35" t="s">
        <v>8187</v>
      </c>
      <c r="EZ148" s="35" t="s">
        <v>8188</v>
      </c>
      <c r="FA148" s="35" t="s">
        <v>413</v>
      </c>
      <c r="FB148" s="35" t="s">
        <v>415</v>
      </c>
      <c r="FC148" s="35" t="s">
        <v>413</v>
      </c>
      <c r="FD148" s="35" t="s">
        <v>413</v>
      </c>
      <c r="FE148" s="35" t="s">
        <v>413</v>
      </c>
      <c r="FF148" s="35" t="s">
        <v>415</v>
      </c>
      <c r="FG148" s="35" t="s">
        <v>413</v>
      </c>
      <c r="FH148" s="35" t="s">
        <v>413</v>
      </c>
      <c r="FI148" s="35" t="s">
        <v>413</v>
      </c>
      <c r="FJ148" s="35" t="s">
        <v>413</v>
      </c>
      <c r="FK148" s="35" t="s">
        <v>413</v>
      </c>
      <c r="FL148" s="35" t="s">
        <v>415</v>
      </c>
      <c r="FM148" s="35" t="s">
        <v>415</v>
      </c>
      <c r="FN148" s="35" t="s">
        <v>415</v>
      </c>
      <c r="FO148" s="35" t="s">
        <v>415</v>
      </c>
      <c r="FP148" s="35" t="s">
        <v>850</v>
      </c>
      <c r="FQ148" s="35" t="s">
        <v>418</v>
      </c>
      <c r="FR148" s="35" t="s">
        <v>712</v>
      </c>
      <c r="FS148" s="35" t="s">
        <v>8189</v>
      </c>
      <c r="FT148" s="35" t="s">
        <v>420</v>
      </c>
      <c r="FU148" s="35" t="s">
        <v>488</v>
      </c>
      <c r="FV148" s="35" t="s">
        <v>918</v>
      </c>
      <c r="FW148" s="35" t="s">
        <v>490</v>
      </c>
      <c r="FX148" s="35" t="s">
        <v>491</v>
      </c>
      <c r="FY148" s="35" t="s">
        <v>8190</v>
      </c>
      <c r="FZ148" s="35" t="s">
        <v>535</v>
      </c>
      <c r="GA148" s="35" t="s">
        <v>8191</v>
      </c>
      <c r="GB148" s="35" t="s">
        <v>8192</v>
      </c>
      <c r="GC148" s="35" t="s">
        <v>408</v>
      </c>
      <c r="GH148" s="35" t="s">
        <v>755</v>
      </c>
      <c r="GI148" s="35" t="s">
        <v>755</v>
      </c>
      <c r="GJ148" s="35" t="s">
        <v>756</v>
      </c>
      <c r="GN148" s="35" t="s">
        <v>1079</v>
      </c>
      <c r="GO148" s="35" t="s">
        <v>8193</v>
      </c>
      <c r="GP148" s="35" t="s">
        <v>8194</v>
      </c>
      <c r="GQ148" s="35" t="s">
        <v>387</v>
      </c>
      <c r="GR148" s="35" t="s">
        <v>8195</v>
      </c>
      <c r="GV148" s="35" t="s">
        <v>597</v>
      </c>
      <c r="GW148" s="35" t="s">
        <v>5231</v>
      </c>
      <c r="GX148" s="35" t="s">
        <v>484</v>
      </c>
      <c r="HD148" s="35" t="s">
        <v>5281</v>
      </c>
      <c r="HE148" s="35" t="s">
        <v>484</v>
      </c>
      <c r="HF148" s="35" t="s">
        <v>484</v>
      </c>
      <c r="HG148" s="35" t="s">
        <v>5493</v>
      </c>
      <c r="HH148" s="35" t="s">
        <v>8196</v>
      </c>
      <c r="HI148" s="35" t="s">
        <v>5495</v>
      </c>
      <c r="HJ148" s="35" t="s">
        <v>8197</v>
      </c>
      <c r="HK148" s="35" t="s">
        <v>8198</v>
      </c>
      <c r="HP148" s="35" t="s">
        <v>5301</v>
      </c>
      <c r="HQ148" s="35" t="s">
        <v>5237</v>
      </c>
      <c r="HR148" s="35" t="s">
        <v>5238</v>
      </c>
      <c r="HS148" s="35" t="s">
        <v>5321</v>
      </c>
      <c r="HX148" s="35" t="s">
        <v>5802</v>
      </c>
      <c r="IO148" s="35" t="s">
        <v>5536</v>
      </c>
      <c r="IP148" s="35" t="s">
        <v>5537</v>
      </c>
      <c r="IQ148" s="35" t="s">
        <v>5536</v>
      </c>
      <c r="IR148" s="35" t="s">
        <v>5500</v>
      </c>
      <c r="IS148" s="35" t="s">
        <v>5500</v>
      </c>
      <c r="IT148" s="35" t="s">
        <v>5500</v>
      </c>
      <c r="MK148" s="35" t="s">
        <v>6321</v>
      </c>
    </row>
    <row r="149">
      <c r="A149" s="35" t="s">
        <v>12158</v>
      </c>
      <c r="B149" s="40">
        <v>46032.64016930555</v>
      </c>
      <c r="C149" s="35" t="s">
        <v>368</v>
      </c>
      <c r="D149" s="35" t="s">
        <v>370</v>
      </c>
      <c r="E149" s="35" t="s">
        <v>370</v>
      </c>
      <c r="F149" s="35" t="s">
        <v>1480</v>
      </c>
      <c r="G149" s="35" t="s">
        <v>2708</v>
      </c>
      <c r="H149" s="35" t="s">
        <v>422</v>
      </c>
      <c r="I149" s="35" t="s">
        <v>423</v>
      </c>
      <c r="J149" s="35" t="s">
        <v>668</v>
      </c>
      <c r="L149" s="35" t="s">
        <v>376</v>
      </c>
      <c r="M149" s="35" t="s">
        <v>426</v>
      </c>
      <c r="N149" s="35" t="s">
        <v>8239</v>
      </c>
      <c r="P149" s="35" t="s">
        <v>1270</v>
      </c>
      <c r="Q149" s="35" t="s">
        <v>498</v>
      </c>
      <c r="R149" s="35" t="s">
        <v>382</v>
      </c>
      <c r="S149" s="35" t="s">
        <v>427</v>
      </c>
      <c r="T149" s="35" t="s">
        <v>384</v>
      </c>
      <c r="U149" s="35" t="s">
        <v>385</v>
      </c>
      <c r="X149" s="35" t="s">
        <v>386</v>
      </c>
      <c r="Y149" s="35" t="s">
        <v>387</v>
      </c>
      <c r="Z149" s="35" t="s">
        <v>594</v>
      </c>
      <c r="AA149" s="35" t="s">
        <v>543</v>
      </c>
      <c r="AB149" s="35" t="s">
        <v>796</v>
      </c>
      <c r="AC149" s="35" t="s">
        <v>8240</v>
      </c>
      <c r="AW149" s="35" t="s">
        <v>1310</v>
      </c>
      <c r="AX149" s="41">
        <v>4.0</v>
      </c>
      <c r="AY149" s="41">
        <v>4.0</v>
      </c>
      <c r="AZ149" s="41">
        <v>4.0</v>
      </c>
      <c r="BA149" s="41">
        <v>4.0</v>
      </c>
      <c r="BB149" s="35" t="s">
        <v>675</v>
      </c>
      <c r="BC149" s="41">
        <v>4.0</v>
      </c>
      <c r="BD149" s="35" t="s">
        <v>8241</v>
      </c>
      <c r="BE149" s="35" t="s">
        <v>8242</v>
      </c>
      <c r="BF149" s="35" t="s">
        <v>432</v>
      </c>
      <c r="BG149" s="35" t="s">
        <v>433</v>
      </c>
      <c r="BH149" s="35" t="s">
        <v>434</v>
      </c>
      <c r="BI149" s="35" t="s">
        <v>8243</v>
      </c>
      <c r="BJ149" s="35" t="s">
        <v>435</v>
      </c>
      <c r="BK149" s="35" t="s">
        <v>8244</v>
      </c>
      <c r="BL149" s="35" t="s">
        <v>681</v>
      </c>
      <c r="BM149" s="35" t="s">
        <v>904</v>
      </c>
      <c r="BN149" s="35" t="s">
        <v>397</v>
      </c>
      <c r="BO149" s="35" t="s">
        <v>440</v>
      </c>
      <c r="CM149" s="35" t="s">
        <v>441</v>
      </c>
      <c r="CN149" s="35" t="s">
        <v>401</v>
      </c>
      <c r="CO149" s="35" t="s">
        <v>552</v>
      </c>
      <c r="CP149" s="35" t="s">
        <v>8245</v>
      </c>
      <c r="CQ149" s="35" t="s">
        <v>1008</v>
      </c>
      <c r="CR149" s="35" t="s">
        <v>2683</v>
      </c>
      <c r="CS149" s="35" t="s">
        <v>447</v>
      </c>
      <c r="CT149" s="35" t="s">
        <v>8246</v>
      </c>
      <c r="CU149" s="35" t="s">
        <v>8247</v>
      </c>
      <c r="CV149" s="35" t="s">
        <v>519</v>
      </c>
      <c r="CX149" s="35" t="s">
        <v>8248</v>
      </c>
      <c r="CY149" s="35" t="s">
        <v>408</v>
      </c>
      <c r="DA149" s="35" t="s">
        <v>985</v>
      </c>
      <c r="DB149" s="35" t="s">
        <v>8249</v>
      </c>
      <c r="DC149" s="35" t="s">
        <v>408</v>
      </c>
      <c r="DE149" s="35" t="s">
        <v>457</v>
      </c>
      <c r="DG149" s="35" t="s">
        <v>8250</v>
      </c>
      <c r="DH149" s="35" t="s">
        <v>561</v>
      </c>
      <c r="DI149" s="35" t="s">
        <v>410</v>
      </c>
      <c r="DJ149" s="35" t="s">
        <v>963</v>
      </c>
      <c r="DK149" s="35" t="s">
        <v>613</v>
      </c>
      <c r="DN149" s="35" t="s">
        <v>462</v>
      </c>
      <c r="DO149" s="35" t="s">
        <v>8251</v>
      </c>
      <c r="DP149" s="35" t="s">
        <v>1063</v>
      </c>
      <c r="DQ149" s="35" t="s">
        <v>8252</v>
      </c>
      <c r="DR149" s="35" t="s">
        <v>1291</v>
      </c>
      <c r="DS149" s="35" t="s">
        <v>8253</v>
      </c>
      <c r="DT149" s="35" t="s">
        <v>839</v>
      </c>
      <c r="DU149" s="35" t="s">
        <v>469</v>
      </c>
      <c r="DV149" s="35" t="s">
        <v>8254</v>
      </c>
      <c r="DW149" s="35" t="s">
        <v>8255</v>
      </c>
      <c r="DX149" s="35" t="s">
        <v>573</v>
      </c>
      <c r="DY149" s="35" t="s">
        <v>8256</v>
      </c>
      <c r="DZ149" s="35" t="s">
        <v>8257</v>
      </c>
      <c r="EA149" s="35" t="s">
        <v>8258</v>
      </c>
      <c r="EB149" s="35" t="s">
        <v>475</v>
      </c>
      <c r="EC149" s="35" t="s">
        <v>626</v>
      </c>
      <c r="ED149" s="35" t="s">
        <v>8259</v>
      </c>
      <c r="EU149" s="35" t="s">
        <v>526</v>
      </c>
      <c r="EV149" s="35" t="s">
        <v>479</v>
      </c>
      <c r="EW149" s="35" t="s">
        <v>480</v>
      </c>
      <c r="EY149" s="35" t="s">
        <v>4872</v>
      </c>
      <c r="EZ149" s="35" t="s">
        <v>8260</v>
      </c>
      <c r="FA149" s="35" t="s">
        <v>413</v>
      </c>
      <c r="FB149" s="35" t="s">
        <v>416</v>
      </c>
      <c r="FC149" s="35" t="s">
        <v>413</v>
      </c>
      <c r="FD149" s="35" t="s">
        <v>413</v>
      </c>
      <c r="FE149" s="35" t="s">
        <v>413</v>
      </c>
      <c r="FF149" s="35" t="s">
        <v>415</v>
      </c>
      <c r="FG149" s="35" t="s">
        <v>413</v>
      </c>
      <c r="FH149" s="35" t="s">
        <v>413</v>
      </c>
      <c r="FI149" s="35" t="s">
        <v>413</v>
      </c>
      <c r="FJ149" s="35" t="s">
        <v>415</v>
      </c>
      <c r="FK149" s="35" t="s">
        <v>415</v>
      </c>
      <c r="FL149" s="35" t="s">
        <v>416</v>
      </c>
      <c r="FM149" s="35" t="s">
        <v>416</v>
      </c>
      <c r="FN149" s="35" t="s">
        <v>416</v>
      </c>
      <c r="FO149" s="35" t="s">
        <v>414</v>
      </c>
      <c r="FP149" s="35" t="s">
        <v>417</v>
      </c>
      <c r="FQ149" s="35" t="s">
        <v>418</v>
      </c>
      <c r="FR149" s="35" t="s">
        <v>749</v>
      </c>
      <c r="FT149" s="35" t="s">
        <v>420</v>
      </c>
      <c r="FU149" s="35" t="s">
        <v>488</v>
      </c>
      <c r="FV149" s="35" t="s">
        <v>918</v>
      </c>
      <c r="FW149" s="35" t="s">
        <v>490</v>
      </c>
      <c r="FX149" s="35" t="s">
        <v>491</v>
      </c>
      <c r="FY149" s="35" t="s">
        <v>8261</v>
      </c>
      <c r="FZ149" s="35" t="s">
        <v>1020</v>
      </c>
      <c r="GA149" s="35" t="s">
        <v>8262</v>
      </c>
      <c r="GB149" s="35" t="s">
        <v>8263</v>
      </c>
      <c r="GC149" s="35" t="s">
        <v>455</v>
      </c>
      <c r="GD149" s="35" t="s">
        <v>12159</v>
      </c>
      <c r="GF149" s="35" t="s">
        <v>786</v>
      </c>
      <c r="GG149" s="35" t="s">
        <v>8264</v>
      </c>
      <c r="GH149" s="35" t="s">
        <v>1000</v>
      </c>
      <c r="GI149" s="35" t="s">
        <v>1000</v>
      </c>
      <c r="GJ149" s="35" t="s">
        <v>756</v>
      </c>
      <c r="GN149" s="35" t="s">
        <v>1079</v>
      </c>
      <c r="GR149" s="35" t="s">
        <v>3273</v>
      </c>
      <c r="GU149" s="35" t="s">
        <v>4774</v>
      </c>
      <c r="GW149" s="35" t="s">
        <v>5231</v>
      </c>
      <c r="GX149" s="35" t="s">
        <v>5232</v>
      </c>
      <c r="HD149" s="35" t="s">
        <v>6053</v>
      </c>
      <c r="HE149" s="35" t="s">
        <v>5349</v>
      </c>
      <c r="HF149" s="35" t="s">
        <v>5320</v>
      </c>
      <c r="HG149" s="35" t="s">
        <v>5284</v>
      </c>
      <c r="HH149" s="35" t="s">
        <v>8265</v>
      </c>
      <c r="HI149" s="35" t="s">
        <v>6242</v>
      </c>
      <c r="HJ149" s="35" t="s">
        <v>8266</v>
      </c>
      <c r="HK149" s="35" t="s">
        <v>8267</v>
      </c>
      <c r="HP149" s="35" t="s">
        <v>5236</v>
      </c>
      <c r="HQ149" s="35" t="s">
        <v>5264</v>
      </c>
      <c r="HR149" s="35" t="s">
        <v>5238</v>
      </c>
      <c r="HS149" s="35" t="s">
        <v>5347</v>
      </c>
      <c r="IO149" s="35" t="s">
        <v>5500</v>
      </c>
      <c r="IP149" s="35" t="s">
        <v>5536</v>
      </c>
      <c r="IQ149" s="35" t="s">
        <v>5500</v>
      </c>
      <c r="IR149" s="35" t="s">
        <v>5500</v>
      </c>
      <c r="IS149" s="35" t="s">
        <v>5536</v>
      </c>
      <c r="IT149" s="35" t="s">
        <v>5536</v>
      </c>
      <c r="MK149" s="35" t="s">
        <v>6321</v>
      </c>
    </row>
    <row r="150">
      <c r="A150" s="35" t="s">
        <v>12160</v>
      </c>
      <c r="B150" s="40">
        <v>46037.4918693287</v>
      </c>
      <c r="C150" s="35" t="s">
        <v>368</v>
      </c>
      <c r="D150" s="35" t="s">
        <v>370</v>
      </c>
      <c r="E150" s="35" t="s">
        <v>370</v>
      </c>
      <c r="F150" s="35" t="s">
        <v>2294</v>
      </c>
      <c r="G150" s="35" t="s">
        <v>2294</v>
      </c>
      <c r="H150" s="35" t="s">
        <v>422</v>
      </c>
      <c r="I150" s="35" t="s">
        <v>539</v>
      </c>
      <c r="J150" s="35" t="s">
        <v>2578</v>
      </c>
      <c r="K150" s="35" t="s">
        <v>669</v>
      </c>
      <c r="L150" s="35" t="s">
        <v>376</v>
      </c>
      <c r="M150" s="35" t="s">
        <v>426</v>
      </c>
      <c r="N150" s="35" t="s">
        <v>378</v>
      </c>
      <c r="O150" s="35" t="s">
        <v>426</v>
      </c>
      <c r="P150" s="35" t="s">
        <v>380</v>
      </c>
      <c r="Q150" s="35" t="s">
        <v>498</v>
      </c>
      <c r="R150" s="35" t="s">
        <v>1156</v>
      </c>
      <c r="S150" s="35" t="s">
        <v>500</v>
      </c>
      <c r="T150" s="35" t="s">
        <v>384</v>
      </c>
      <c r="U150" s="35" t="s">
        <v>385</v>
      </c>
      <c r="X150" s="35" t="s">
        <v>593</v>
      </c>
      <c r="Y150" s="35" t="s">
        <v>387</v>
      </c>
      <c r="Z150" s="35" t="s">
        <v>897</v>
      </c>
      <c r="AA150" s="35" t="s">
        <v>502</v>
      </c>
      <c r="AW150" s="35" t="s">
        <v>504</v>
      </c>
      <c r="AX150" s="41">
        <v>2.0</v>
      </c>
      <c r="AY150" s="41">
        <v>2.0</v>
      </c>
      <c r="AZ150" s="35" t="s">
        <v>675</v>
      </c>
      <c r="BA150" s="35" t="s">
        <v>429</v>
      </c>
      <c r="BB150" s="35" t="s">
        <v>429</v>
      </c>
      <c r="BC150" s="35" t="s">
        <v>429</v>
      </c>
      <c r="BF150" s="35" t="s">
        <v>392</v>
      </c>
      <c r="BG150" s="35" t="s">
        <v>433</v>
      </c>
      <c r="BH150" s="35" t="s">
        <v>678</v>
      </c>
      <c r="BJ150" s="35" t="s">
        <v>976</v>
      </c>
      <c r="BL150" s="35" t="s">
        <v>602</v>
      </c>
      <c r="BM150" s="35" t="s">
        <v>904</v>
      </c>
      <c r="BN150" s="35" t="s">
        <v>549</v>
      </c>
      <c r="BO150" s="35" t="s">
        <v>440</v>
      </c>
      <c r="CM150" s="35" t="s">
        <v>441</v>
      </c>
      <c r="CN150" s="35" t="s">
        <v>401</v>
      </c>
      <c r="CQ150" s="35" t="s">
        <v>445</v>
      </c>
      <c r="CR150" s="35" t="s">
        <v>2383</v>
      </c>
      <c r="CS150" s="35" t="s">
        <v>447</v>
      </c>
      <c r="CT150" s="35" t="s">
        <v>6081</v>
      </c>
      <c r="CV150" s="35" t="s">
        <v>450</v>
      </c>
      <c r="CW150" s="35" t="s">
        <v>451</v>
      </c>
      <c r="CY150" s="35" t="s">
        <v>455</v>
      </c>
      <c r="CZ150" s="35" t="s">
        <v>8268</v>
      </c>
      <c r="DA150" s="35" t="s">
        <v>453</v>
      </c>
      <c r="DC150" s="35" t="s">
        <v>455</v>
      </c>
      <c r="DD150" s="35" t="s">
        <v>8269</v>
      </c>
      <c r="DE150" s="35" t="s">
        <v>988</v>
      </c>
      <c r="DF150" s="35" t="s">
        <v>1368</v>
      </c>
      <c r="DG150" s="35" t="s">
        <v>6084</v>
      </c>
      <c r="DH150" s="35" t="s">
        <v>524</v>
      </c>
      <c r="DI150" s="35" t="s">
        <v>410</v>
      </c>
      <c r="DJ150" s="35" t="s">
        <v>459</v>
      </c>
      <c r="DK150" s="35" t="s">
        <v>613</v>
      </c>
      <c r="DN150" s="35" t="s">
        <v>8270</v>
      </c>
      <c r="DO150" s="35" t="s">
        <v>8271</v>
      </c>
      <c r="DP150" s="35" t="s">
        <v>464</v>
      </c>
      <c r="DQ150" s="35" t="s">
        <v>8272</v>
      </c>
      <c r="DR150" s="35" t="s">
        <v>1152</v>
      </c>
      <c r="DT150" s="35" t="s">
        <v>468</v>
      </c>
      <c r="DU150" s="35" t="s">
        <v>3171</v>
      </c>
      <c r="DX150" s="35" t="s">
        <v>573</v>
      </c>
      <c r="EB150" s="35" t="s">
        <v>475</v>
      </c>
      <c r="EC150" s="35" t="s">
        <v>845</v>
      </c>
      <c r="EU150" s="35" t="s">
        <v>2747</v>
      </c>
      <c r="EV150" s="35" t="s">
        <v>479</v>
      </c>
      <c r="EW150" s="35" t="s">
        <v>480</v>
      </c>
      <c r="FA150" s="35" t="s">
        <v>414</v>
      </c>
      <c r="FB150" s="35" t="s">
        <v>583</v>
      </c>
      <c r="FC150" s="35" t="s">
        <v>583</v>
      </c>
      <c r="FD150" s="35" t="s">
        <v>583</v>
      </c>
      <c r="FE150" s="35" t="s">
        <v>415</v>
      </c>
      <c r="FF150" s="35" t="s">
        <v>583</v>
      </c>
      <c r="FG150" s="35" t="s">
        <v>415</v>
      </c>
      <c r="FH150" s="35" t="s">
        <v>415</v>
      </c>
      <c r="FI150" s="35" t="s">
        <v>415</v>
      </c>
      <c r="FJ150" s="35" t="s">
        <v>583</v>
      </c>
      <c r="FK150" s="35" t="s">
        <v>583</v>
      </c>
      <c r="FL150" s="35" t="s">
        <v>415</v>
      </c>
      <c r="FM150" s="35" t="s">
        <v>415</v>
      </c>
      <c r="FN150" s="35" t="s">
        <v>415</v>
      </c>
      <c r="FO150" s="35" t="s">
        <v>415</v>
      </c>
      <c r="FP150" s="35" t="s">
        <v>417</v>
      </c>
      <c r="FQ150" s="35" t="s">
        <v>418</v>
      </c>
      <c r="FR150" s="35" t="s">
        <v>630</v>
      </c>
      <c r="FT150" s="35" t="s">
        <v>1076</v>
      </c>
      <c r="FU150" s="35" t="s">
        <v>488</v>
      </c>
      <c r="FV150" s="35" t="s">
        <v>533</v>
      </c>
      <c r="FW150" s="35" t="s">
        <v>490</v>
      </c>
      <c r="FX150" s="35" t="s">
        <v>491</v>
      </c>
      <c r="FZ150" s="35" t="s">
        <v>535</v>
      </c>
      <c r="GC150" s="35" t="s">
        <v>408</v>
      </c>
      <c r="GH150" s="35" t="s">
        <v>755</v>
      </c>
      <c r="GI150" s="35" t="s">
        <v>755</v>
      </c>
      <c r="GJ150" s="35" t="s">
        <v>946</v>
      </c>
      <c r="GN150" s="35" t="s">
        <v>1079</v>
      </c>
      <c r="GR150" s="35" t="s">
        <v>5656</v>
      </c>
      <c r="GU150" s="35" t="s">
        <v>4774</v>
      </c>
      <c r="GW150" s="35" t="s">
        <v>5231</v>
      </c>
      <c r="GX150" s="35" t="s">
        <v>5232</v>
      </c>
      <c r="HD150" s="35" t="s">
        <v>5297</v>
      </c>
      <c r="HE150" s="35" t="s">
        <v>5349</v>
      </c>
      <c r="HF150" s="35" t="s">
        <v>5320</v>
      </c>
      <c r="HG150" s="35" t="s">
        <v>5300</v>
      </c>
      <c r="HI150" s="35" t="s">
        <v>5343</v>
      </c>
      <c r="HK150" s="35" t="s">
        <v>8273</v>
      </c>
      <c r="HP150" s="35" t="s">
        <v>5236</v>
      </c>
      <c r="HQ150" s="35" t="s">
        <v>5371</v>
      </c>
      <c r="HR150" s="35" t="s">
        <v>5238</v>
      </c>
      <c r="HS150" s="35" t="s">
        <v>5321</v>
      </c>
      <c r="HX150" s="35" t="s">
        <v>5628</v>
      </c>
      <c r="IO150" s="35" t="s">
        <v>5537</v>
      </c>
      <c r="IP150" s="35" t="s">
        <v>5537</v>
      </c>
      <c r="IQ150" s="35" t="s">
        <v>5536</v>
      </c>
      <c r="IR150" s="35" t="s">
        <v>5536</v>
      </c>
      <c r="IS150" s="35" t="s">
        <v>5537</v>
      </c>
      <c r="IT150" s="35" t="s">
        <v>5537</v>
      </c>
      <c r="MK150" s="35" t="s">
        <v>6321</v>
      </c>
    </row>
    <row r="151">
      <c r="A151" s="35" t="s">
        <v>12161</v>
      </c>
      <c r="B151" s="40">
        <v>46041.44147427083</v>
      </c>
      <c r="C151" s="35" t="s">
        <v>368</v>
      </c>
      <c r="D151" s="35" t="s">
        <v>2025</v>
      </c>
      <c r="E151" s="35" t="s">
        <v>1201</v>
      </c>
      <c r="H151" s="35" t="s">
        <v>8301</v>
      </c>
      <c r="I151" s="35" t="s">
        <v>1203</v>
      </c>
      <c r="J151" s="35" t="s">
        <v>638</v>
      </c>
      <c r="K151" s="35" t="s">
        <v>1204</v>
      </c>
      <c r="L151" s="35" t="s">
        <v>376</v>
      </c>
      <c r="M151" s="35" t="s">
        <v>793</v>
      </c>
      <c r="N151" s="35" t="s">
        <v>719</v>
      </c>
      <c r="O151" s="35" t="s">
        <v>793</v>
      </c>
      <c r="P151" s="35" t="s">
        <v>719</v>
      </c>
      <c r="Q151" s="35" t="s">
        <v>498</v>
      </c>
      <c r="R151" s="35" t="s">
        <v>1004</v>
      </c>
      <c r="S151" s="35" t="s">
        <v>427</v>
      </c>
      <c r="T151" s="35" t="s">
        <v>384</v>
      </c>
      <c r="U151" s="35" t="s">
        <v>385</v>
      </c>
      <c r="X151" s="35" t="s">
        <v>386</v>
      </c>
      <c r="Y151" s="35" t="s">
        <v>5993</v>
      </c>
      <c r="AW151" s="35" t="s">
        <v>390</v>
      </c>
      <c r="AZ151" s="35" t="s">
        <v>429</v>
      </c>
      <c r="BA151" s="35" t="s">
        <v>429</v>
      </c>
      <c r="BB151" s="35" t="s">
        <v>429</v>
      </c>
      <c r="BD151" s="35" t="s">
        <v>8302</v>
      </c>
      <c r="BE151" s="35" t="s">
        <v>8303</v>
      </c>
      <c r="BF151" s="35" t="s">
        <v>1094</v>
      </c>
      <c r="BG151" s="35" t="s">
        <v>433</v>
      </c>
      <c r="BH151" s="35" t="s">
        <v>507</v>
      </c>
      <c r="BJ151" s="35" t="s">
        <v>824</v>
      </c>
      <c r="BL151" s="35" t="s">
        <v>511</v>
      </c>
      <c r="BM151" s="35" t="s">
        <v>396</v>
      </c>
      <c r="BN151" s="35" t="s">
        <v>549</v>
      </c>
      <c r="BO151" s="35" t="s">
        <v>440</v>
      </c>
      <c r="CM151" s="35" t="s">
        <v>441</v>
      </c>
      <c r="CN151" s="35" t="s">
        <v>401</v>
      </c>
      <c r="CO151" s="35" t="s">
        <v>8304</v>
      </c>
      <c r="CP151" s="35" t="s">
        <v>8305</v>
      </c>
      <c r="CQ151" s="35" t="s">
        <v>685</v>
      </c>
      <c r="CR151" s="35" t="s">
        <v>8306</v>
      </c>
      <c r="CS151" s="35" t="s">
        <v>828</v>
      </c>
      <c r="CT151" s="35" t="s">
        <v>8307</v>
      </c>
      <c r="CU151" s="35" t="s">
        <v>8308</v>
      </c>
      <c r="CV151" s="35" t="s">
        <v>450</v>
      </c>
      <c r="CW151" s="35" t="s">
        <v>451</v>
      </c>
      <c r="CX151" s="35" t="s">
        <v>1348</v>
      </c>
      <c r="CY151" s="35" t="s">
        <v>408</v>
      </c>
      <c r="DA151" s="35" t="s">
        <v>453</v>
      </c>
      <c r="DB151" s="35" t="s">
        <v>8309</v>
      </c>
      <c r="DC151" s="35" t="s">
        <v>455</v>
      </c>
      <c r="DD151" s="35" t="s">
        <v>8310</v>
      </c>
      <c r="DE151" s="35" t="s">
        <v>988</v>
      </c>
      <c r="DF151" s="35" t="s">
        <v>407</v>
      </c>
      <c r="DG151" s="35" t="s">
        <v>8311</v>
      </c>
      <c r="DH151" s="35" t="s">
        <v>561</v>
      </c>
      <c r="DI151" s="35" t="s">
        <v>410</v>
      </c>
      <c r="DJ151" s="35" t="s">
        <v>963</v>
      </c>
      <c r="DK151" s="35" t="s">
        <v>613</v>
      </c>
      <c r="DN151" s="35" t="s">
        <v>8312</v>
      </c>
      <c r="DO151" s="35" t="s">
        <v>8313</v>
      </c>
      <c r="DP151" s="35" t="s">
        <v>464</v>
      </c>
      <c r="DQ151" s="35" t="s">
        <v>8314</v>
      </c>
      <c r="DR151" s="35" t="s">
        <v>1176</v>
      </c>
      <c r="DS151" s="35" t="s">
        <v>8315</v>
      </c>
      <c r="DT151" s="35" t="s">
        <v>702</v>
      </c>
      <c r="DU151" s="35" t="s">
        <v>3611</v>
      </c>
      <c r="DV151" s="35" t="s">
        <v>2675</v>
      </c>
      <c r="DW151" s="35" t="s">
        <v>2675</v>
      </c>
      <c r="DX151" s="35" t="s">
        <v>573</v>
      </c>
      <c r="DY151" s="35" t="s">
        <v>8316</v>
      </c>
      <c r="DZ151" s="35" t="s">
        <v>8317</v>
      </c>
      <c r="EA151" s="35" t="s">
        <v>8318</v>
      </c>
      <c r="EB151" s="35" t="s">
        <v>475</v>
      </c>
      <c r="EC151" s="35" t="s">
        <v>845</v>
      </c>
      <c r="ED151" s="35" t="s">
        <v>8319</v>
      </c>
      <c r="EU151" s="35" t="s">
        <v>526</v>
      </c>
      <c r="EV151" s="35" t="s">
        <v>579</v>
      </c>
      <c r="EW151" s="35" t="s">
        <v>778</v>
      </c>
      <c r="EX151" s="35" t="s">
        <v>8320</v>
      </c>
      <c r="EY151" s="35" t="s">
        <v>8321</v>
      </c>
      <c r="EZ151" s="35" t="s">
        <v>8322</v>
      </c>
      <c r="FA151" s="35" t="s">
        <v>413</v>
      </c>
      <c r="FB151" s="35" t="s">
        <v>416</v>
      </c>
      <c r="FC151" s="35" t="s">
        <v>413</v>
      </c>
      <c r="FD151" s="35" t="s">
        <v>416</v>
      </c>
      <c r="FE151" s="35" t="s">
        <v>413</v>
      </c>
      <c r="FF151" s="35" t="s">
        <v>413</v>
      </c>
      <c r="FG151" s="35" t="s">
        <v>413</v>
      </c>
      <c r="FH151" s="35" t="s">
        <v>414</v>
      </c>
      <c r="FI151" s="35" t="s">
        <v>413</v>
      </c>
      <c r="FJ151" s="35" t="s">
        <v>413</v>
      </c>
      <c r="FK151" s="35" t="s">
        <v>413</v>
      </c>
      <c r="FL151" s="35" t="s">
        <v>484</v>
      </c>
      <c r="FM151" s="35" t="s">
        <v>484</v>
      </c>
      <c r="FN151" s="35" t="s">
        <v>414</v>
      </c>
      <c r="FO151" s="35" t="s">
        <v>416</v>
      </c>
      <c r="FP151" s="35" t="s">
        <v>485</v>
      </c>
      <c r="FQ151" s="35" t="s">
        <v>418</v>
      </c>
      <c r="FR151" s="35" t="s">
        <v>531</v>
      </c>
      <c r="FT151" s="35" t="s">
        <v>420</v>
      </c>
      <c r="FU151" s="35" t="s">
        <v>488</v>
      </c>
      <c r="FV151" s="35" t="s">
        <v>1235</v>
      </c>
      <c r="FW151" s="35" t="s">
        <v>490</v>
      </c>
      <c r="FX151" s="35" t="s">
        <v>491</v>
      </c>
      <c r="FY151" s="35" t="s">
        <v>8323</v>
      </c>
      <c r="FZ151" s="35" t="s">
        <v>535</v>
      </c>
      <c r="GA151" s="35" t="s">
        <v>8324</v>
      </c>
      <c r="GB151" s="35" t="s">
        <v>8325</v>
      </c>
      <c r="GC151" s="35" t="s">
        <v>408</v>
      </c>
      <c r="GH151" s="35" t="s">
        <v>789</v>
      </c>
      <c r="GI151" s="35" t="s">
        <v>789</v>
      </c>
      <c r="GJ151" s="35" t="s">
        <v>790</v>
      </c>
      <c r="GN151" s="35" t="s">
        <v>1079</v>
      </c>
      <c r="GO151" s="35" t="s">
        <v>8326</v>
      </c>
      <c r="GP151" s="35" t="s">
        <v>8327</v>
      </c>
      <c r="GR151" s="35" t="s">
        <v>3208</v>
      </c>
      <c r="GU151" s="35" t="s">
        <v>5081</v>
      </c>
      <c r="GV151" s="35" t="s">
        <v>8328</v>
      </c>
      <c r="GW151" s="35" t="s">
        <v>5231</v>
      </c>
      <c r="GX151" s="35" t="s">
        <v>8329</v>
      </c>
      <c r="HD151" s="35" t="s">
        <v>5281</v>
      </c>
      <c r="HE151" s="35" t="s">
        <v>5298</v>
      </c>
      <c r="HF151" s="35" t="s">
        <v>5320</v>
      </c>
      <c r="HG151" s="35" t="s">
        <v>5300</v>
      </c>
      <c r="HH151" s="35" t="s">
        <v>8330</v>
      </c>
      <c r="HI151" s="35" t="s">
        <v>6631</v>
      </c>
      <c r="HJ151" s="35" t="s">
        <v>8331</v>
      </c>
      <c r="HK151" s="35" t="s">
        <v>8332</v>
      </c>
      <c r="HP151" s="35" t="s">
        <v>5301</v>
      </c>
      <c r="HQ151" s="35" t="s">
        <v>5719</v>
      </c>
      <c r="HR151" s="35" t="s">
        <v>5238</v>
      </c>
      <c r="HS151" s="35" t="s">
        <v>5347</v>
      </c>
      <c r="IO151" s="35" t="s">
        <v>5537</v>
      </c>
      <c r="IP151" s="35" t="s">
        <v>5537</v>
      </c>
      <c r="IQ151" s="35" t="s">
        <v>5537</v>
      </c>
      <c r="IR151" s="35" t="s">
        <v>5536</v>
      </c>
      <c r="IS151" s="35" t="s">
        <v>5536</v>
      </c>
      <c r="IT151" s="35" t="s">
        <v>5537</v>
      </c>
      <c r="MK151" s="35" t="s">
        <v>6321</v>
      </c>
    </row>
    <row r="152">
      <c r="A152" s="35" t="s">
        <v>12162</v>
      </c>
      <c r="B152" s="40">
        <v>46069.74153994213</v>
      </c>
      <c r="C152" s="35" t="s">
        <v>368</v>
      </c>
      <c r="D152" s="35" t="s">
        <v>370</v>
      </c>
      <c r="E152" s="35" t="s">
        <v>370</v>
      </c>
      <c r="F152" s="35" t="s">
        <v>6634</v>
      </c>
      <c r="G152" s="35" t="s">
        <v>6634</v>
      </c>
      <c r="H152" s="35" t="s">
        <v>422</v>
      </c>
      <c r="I152" s="35" t="s">
        <v>373</v>
      </c>
      <c r="J152" s="35" t="s">
        <v>374</v>
      </c>
      <c r="K152" s="35" t="s">
        <v>540</v>
      </c>
      <c r="L152" s="35" t="s">
        <v>376</v>
      </c>
      <c r="M152" s="35" t="s">
        <v>591</v>
      </c>
      <c r="N152" s="35" t="s">
        <v>639</v>
      </c>
      <c r="O152" s="35" t="s">
        <v>670</v>
      </c>
      <c r="P152" s="35" t="s">
        <v>719</v>
      </c>
      <c r="Q152" s="35" t="s">
        <v>498</v>
      </c>
      <c r="R152" s="35" t="s">
        <v>499</v>
      </c>
      <c r="S152" s="35" t="s">
        <v>427</v>
      </c>
      <c r="T152" s="35" t="s">
        <v>384</v>
      </c>
      <c r="U152" s="35" t="s">
        <v>385</v>
      </c>
      <c r="X152" s="35" t="s">
        <v>386</v>
      </c>
      <c r="Y152" s="35" t="s">
        <v>387</v>
      </c>
      <c r="Z152" s="35" t="s">
        <v>897</v>
      </c>
      <c r="AA152" s="35" t="s">
        <v>543</v>
      </c>
      <c r="AB152" s="35" t="s">
        <v>8662</v>
      </c>
      <c r="AC152" s="35" t="s">
        <v>8663</v>
      </c>
      <c r="AW152" s="35" t="s">
        <v>1310</v>
      </c>
      <c r="AX152" s="41">
        <v>4.0</v>
      </c>
      <c r="AY152" s="41">
        <v>4.0</v>
      </c>
      <c r="AZ152" s="41">
        <v>4.0</v>
      </c>
      <c r="BA152" s="41">
        <v>4.0</v>
      </c>
      <c r="BB152" s="41">
        <v>4.0</v>
      </c>
      <c r="BC152" s="41">
        <v>4.0</v>
      </c>
      <c r="BD152" s="35" t="s">
        <v>8664</v>
      </c>
      <c r="BE152" s="35" t="s">
        <v>8665</v>
      </c>
      <c r="BF152" s="35" t="s">
        <v>902</v>
      </c>
      <c r="BG152" s="35" t="s">
        <v>1245</v>
      </c>
      <c r="BH152" s="35" t="s">
        <v>725</v>
      </c>
      <c r="BI152" s="35" t="s">
        <v>8666</v>
      </c>
      <c r="BJ152" s="35" t="s">
        <v>435</v>
      </c>
      <c r="BK152" s="35" t="s">
        <v>8667</v>
      </c>
      <c r="BL152" s="35" t="s">
        <v>681</v>
      </c>
      <c r="BM152" s="35" t="s">
        <v>603</v>
      </c>
      <c r="BN152" s="35" t="s">
        <v>1247</v>
      </c>
      <c r="BO152" s="35" t="s">
        <v>440</v>
      </c>
      <c r="CM152" s="35" t="s">
        <v>441</v>
      </c>
      <c r="CN152" s="35" t="s">
        <v>604</v>
      </c>
      <c r="CO152" s="35" t="s">
        <v>8668</v>
      </c>
      <c r="CP152" s="35" t="s">
        <v>8669</v>
      </c>
      <c r="CQ152" s="35" t="s">
        <v>1948</v>
      </c>
      <c r="CR152" s="35" t="s">
        <v>1568</v>
      </c>
      <c r="CS152" s="35" t="s">
        <v>804</v>
      </c>
      <c r="CT152" s="35" t="s">
        <v>8670</v>
      </c>
      <c r="CU152" s="35" t="s">
        <v>8671</v>
      </c>
      <c r="CV152" s="35" t="s">
        <v>450</v>
      </c>
      <c r="CW152" s="35" t="s">
        <v>2248</v>
      </c>
      <c r="CY152" s="35" t="s">
        <v>455</v>
      </c>
      <c r="CZ152" s="35" t="s">
        <v>8672</v>
      </c>
      <c r="DA152" s="35" t="s">
        <v>1398</v>
      </c>
      <c r="DC152" s="35" t="s">
        <v>408</v>
      </c>
      <c r="DE152" s="35" t="s">
        <v>457</v>
      </c>
      <c r="DG152" s="35" t="s">
        <v>8673</v>
      </c>
      <c r="DH152" s="35" t="s">
        <v>524</v>
      </c>
      <c r="DI152" s="35" t="s">
        <v>1964</v>
      </c>
      <c r="DJ152" s="35" t="s">
        <v>459</v>
      </c>
      <c r="DK152" s="35" t="s">
        <v>1403</v>
      </c>
      <c r="DL152" s="35" t="s">
        <v>6335</v>
      </c>
      <c r="DN152" s="35" t="s">
        <v>8674</v>
      </c>
      <c r="DO152" s="35" t="s">
        <v>8675</v>
      </c>
      <c r="DP152" s="35" t="s">
        <v>1063</v>
      </c>
      <c r="DQ152" s="35" t="s">
        <v>8676</v>
      </c>
      <c r="DR152" s="35" t="s">
        <v>837</v>
      </c>
      <c r="DS152" s="35" t="s">
        <v>8677</v>
      </c>
      <c r="DT152" s="35" t="s">
        <v>839</v>
      </c>
      <c r="DU152" s="35" t="s">
        <v>740</v>
      </c>
      <c r="DV152" s="35" t="s">
        <v>8678</v>
      </c>
      <c r="DW152" s="35" t="s">
        <v>8679</v>
      </c>
      <c r="DX152" s="35" t="s">
        <v>1328</v>
      </c>
      <c r="DY152" s="35" t="s">
        <v>8680</v>
      </c>
      <c r="DZ152" s="35" t="s">
        <v>8681</v>
      </c>
      <c r="EA152" s="35" t="s">
        <v>8682</v>
      </c>
      <c r="EB152" s="35" t="s">
        <v>475</v>
      </c>
      <c r="EC152" s="35" t="s">
        <v>476</v>
      </c>
      <c r="EU152" s="35" t="s">
        <v>526</v>
      </c>
      <c r="EV152" s="35" t="s">
        <v>479</v>
      </c>
      <c r="EW152" s="35" t="s">
        <v>527</v>
      </c>
      <c r="EX152" s="35" t="s">
        <v>8683</v>
      </c>
      <c r="EY152" s="35" t="s">
        <v>8684</v>
      </c>
      <c r="EZ152" s="35" t="s">
        <v>8685</v>
      </c>
      <c r="FA152" s="35" t="s">
        <v>414</v>
      </c>
      <c r="FB152" s="35" t="s">
        <v>414</v>
      </c>
      <c r="FC152" s="35" t="s">
        <v>415</v>
      </c>
      <c r="FD152" s="35" t="s">
        <v>414</v>
      </c>
      <c r="FE152" s="35" t="s">
        <v>415</v>
      </c>
      <c r="FF152" s="35" t="s">
        <v>415</v>
      </c>
      <c r="FG152" s="35" t="s">
        <v>414</v>
      </c>
      <c r="FH152" s="35" t="s">
        <v>414</v>
      </c>
      <c r="FI152" s="35" t="s">
        <v>414</v>
      </c>
      <c r="FJ152" s="35" t="s">
        <v>414</v>
      </c>
      <c r="FK152" s="35" t="s">
        <v>414</v>
      </c>
      <c r="FL152" s="35" t="s">
        <v>414</v>
      </c>
      <c r="FM152" s="35" t="s">
        <v>414</v>
      </c>
      <c r="FN152" s="35" t="s">
        <v>414</v>
      </c>
      <c r="FO152" s="35" t="s">
        <v>414</v>
      </c>
      <c r="FP152" s="35" t="s">
        <v>1074</v>
      </c>
      <c r="FQ152" s="35" t="s">
        <v>1200</v>
      </c>
      <c r="FR152" s="35" t="s">
        <v>419</v>
      </c>
      <c r="FS152" s="35" t="s">
        <v>8686</v>
      </c>
      <c r="FT152" s="35" t="s">
        <v>420</v>
      </c>
      <c r="FU152" s="35" t="s">
        <v>488</v>
      </c>
      <c r="FV152" s="35" t="s">
        <v>918</v>
      </c>
      <c r="FW152" s="35" t="s">
        <v>490</v>
      </c>
      <c r="FX152" s="35" t="s">
        <v>491</v>
      </c>
      <c r="FY152" s="35" t="s">
        <v>8687</v>
      </c>
      <c r="FZ152" s="35" t="s">
        <v>535</v>
      </c>
      <c r="GA152" s="35" t="s">
        <v>8688</v>
      </c>
      <c r="GC152" s="35" t="s">
        <v>455</v>
      </c>
      <c r="GD152" s="35" t="s">
        <v>12163</v>
      </c>
      <c r="GF152" s="35" t="s">
        <v>1339</v>
      </c>
      <c r="GG152" s="35" t="s">
        <v>8689</v>
      </c>
      <c r="GH152" s="35" t="s">
        <v>788</v>
      </c>
      <c r="GI152" s="35" t="s">
        <v>857</v>
      </c>
      <c r="GJ152" s="35" t="s">
        <v>790</v>
      </c>
      <c r="GN152" s="35" t="s">
        <v>1079</v>
      </c>
      <c r="GR152" s="35" t="s">
        <v>8690</v>
      </c>
      <c r="GU152" s="35" t="s">
        <v>4774</v>
      </c>
      <c r="GW152" s="35" t="s">
        <v>5231</v>
      </c>
      <c r="GX152" s="35" t="s">
        <v>5232</v>
      </c>
      <c r="HD152" s="35" t="s">
        <v>5297</v>
      </c>
      <c r="HE152" s="35" t="s">
        <v>5282</v>
      </c>
      <c r="HF152" s="35" t="s">
        <v>5320</v>
      </c>
      <c r="HG152" s="35" t="s">
        <v>5899</v>
      </c>
      <c r="HH152" s="35" t="s">
        <v>8691</v>
      </c>
      <c r="HI152" s="35" t="s">
        <v>6242</v>
      </c>
      <c r="HJ152" s="35" t="s">
        <v>8692</v>
      </c>
      <c r="HK152" s="35" t="s">
        <v>8693</v>
      </c>
      <c r="HP152" s="35" t="s">
        <v>5236</v>
      </c>
      <c r="HQ152" s="35" t="s">
        <v>5302</v>
      </c>
      <c r="HR152" s="35" t="s">
        <v>5238</v>
      </c>
      <c r="HS152" s="35" t="s">
        <v>5321</v>
      </c>
      <c r="HX152" s="35" t="s">
        <v>5501</v>
      </c>
      <c r="IO152" s="35" t="s">
        <v>5629</v>
      </c>
      <c r="IP152" s="35" t="s">
        <v>5629</v>
      </c>
      <c r="IQ152" s="35" t="s">
        <v>5629</v>
      </c>
      <c r="IR152" s="35" t="s">
        <v>5629</v>
      </c>
      <c r="IS152" s="35" t="s">
        <v>5629</v>
      </c>
      <c r="IT152" s="35" t="s">
        <v>5629</v>
      </c>
      <c r="MK152" s="35" t="s">
        <v>6321</v>
      </c>
    </row>
    <row r="153">
      <c r="A153" s="35" t="s">
        <v>12164</v>
      </c>
      <c r="B153" s="40">
        <v>46089.89088146991</v>
      </c>
      <c r="C153" s="35" t="s">
        <v>368</v>
      </c>
      <c r="D153" s="35" t="s">
        <v>894</v>
      </c>
      <c r="E153" s="35" t="s">
        <v>894</v>
      </c>
      <c r="H153" s="35" t="s">
        <v>422</v>
      </c>
      <c r="I153" s="35" t="s">
        <v>496</v>
      </c>
      <c r="J153" s="35" t="s">
        <v>374</v>
      </c>
      <c r="K153" s="35" t="s">
        <v>375</v>
      </c>
      <c r="L153" s="35" t="s">
        <v>376</v>
      </c>
      <c r="M153" s="35" t="s">
        <v>379</v>
      </c>
      <c r="N153" s="35" t="s">
        <v>378</v>
      </c>
      <c r="O153" s="35" t="s">
        <v>591</v>
      </c>
      <c r="P153" s="35" t="s">
        <v>639</v>
      </c>
      <c r="Q153" s="35" t="s">
        <v>498</v>
      </c>
      <c r="R153" s="35" t="s">
        <v>862</v>
      </c>
      <c r="S153" s="35" t="s">
        <v>427</v>
      </c>
      <c r="T153" s="35" t="s">
        <v>384</v>
      </c>
      <c r="U153" s="35" t="s">
        <v>385</v>
      </c>
      <c r="V153" s="35" t="s">
        <v>896</v>
      </c>
      <c r="W153" s="35" t="s">
        <v>896</v>
      </c>
      <c r="X153" s="35" t="s">
        <v>3231</v>
      </c>
      <c r="AW153" s="35" t="s">
        <v>1310</v>
      </c>
      <c r="AX153" s="41">
        <v>4.0</v>
      </c>
      <c r="AY153" s="41">
        <v>4.0</v>
      </c>
      <c r="AZ153" s="41">
        <v>4.0</v>
      </c>
      <c r="BA153" s="41">
        <v>4.0</v>
      </c>
      <c r="BB153" s="35" t="s">
        <v>675</v>
      </c>
      <c r="BC153" s="35" t="s">
        <v>675</v>
      </c>
      <c r="BD153" s="35" t="s">
        <v>8750</v>
      </c>
      <c r="BE153" s="35" t="s">
        <v>8751</v>
      </c>
      <c r="BF153" s="35" t="s">
        <v>2379</v>
      </c>
      <c r="BG153" s="35" t="s">
        <v>433</v>
      </c>
      <c r="BH153" s="35" t="s">
        <v>725</v>
      </c>
      <c r="BI153" s="35" t="s">
        <v>8752</v>
      </c>
      <c r="BJ153" s="35" t="s">
        <v>435</v>
      </c>
      <c r="BK153" s="35" t="s">
        <v>8753</v>
      </c>
      <c r="BL153" s="35" t="s">
        <v>602</v>
      </c>
      <c r="BM153" s="35" t="s">
        <v>603</v>
      </c>
      <c r="BN153" s="35" t="s">
        <v>549</v>
      </c>
      <c r="BO153" s="35" t="s">
        <v>440</v>
      </c>
      <c r="CM153" s="35" t="s">
        <v>441</v>
      </c>
      <c r="CN153" s="35" t="s">
        <v>551</v>
      </c>
      <c r="CO153" s="35" t="s">
        <v>8754</v>
      </c>
      <c r="CP153" s="35" t="s">
        <v>8755</v>
      </c>
      <c r="CQ153" s="35" t="s">
        <v>1008</v>
      </c>
      <c r="CR153" s="35" t="s">
        <v>908</v>
      </c>
      <c r="CS153" s="35" t="s">
        <v>447</v>
      </c>
      <c r="CT153" s="35" t="s">
        <v>8756</v>
      </c>
      <c r="CU153" s="35" t="s">
        <v>8757</v>
      </c>
      <c r="CV153" s="35" t="s">
        <v>450</v>
      </c>
      <c r="CW153" s="35" t="s">
        <v>451</v>
      </c>
      <c r="CX153" s="35" t="s">
        <v>8758</v>
      </c>
      <c r="CY153" s="35" t="s">
        <v>408</v>
      </c>
      <c r="DA153" s="35" t="s">
        <v>453</v>
      </c>
      <c r="DB153" s="35" t="s">
        <v>8759</v>
      </c>
      <c r="DC153" s="35" t="s">
        <v>408</v>
      </c>
      <c r="DE153" s="35" t="s">
        <v>457</v>
      </c>
      <c r="DG153" s="35" t="s">
        <v>8760</v>
      </c>
      <c r="DH153" s="35" t="s">
        <v>524</v>
      </c>
      <c r="DI153" s="35" t="s">
        <v>410</v>
      </c>
      <c r="DJ153" s="35" t="s">
        <v>459</v>
      </c>
      <c r="DK153" s="35" t="s">
        <v>460</v>
      </c>
      <c r="DL153" s="35" t="s">
        <v>6335</v>
      </c>
      <c r="DN153" s="35" t="s">
        <v>8761</v>
      </c>
      <c r="DO153" s="35" t="s">
        <v>8762</v>
      </c>
      <c r="DP153" s="35" t="s">
        <v>567</v>
      </c>
      <c r="DQ153" s="35" t="s">
        <v>8763</v>
      </c>
      <c r="DR153" s="35" t="s">
        <v>1324</v>
      </c>
      <c r="DS153" s="35" t="s">
        <v>8764</v>
      </c>
      <c r="DT153" s="35" t="s">
        <v>6617</v>
      </c>
      <c r="DU153" s="35" t="s">
        <v>619</v>
      </c>
      <c r="DV153" s="35" t="s">
        <v>8765</v>
      </c>
      <c r="DW153" s="35" t="s">
        <v>8766</v>
      </c>
      <c r="DX153" s="35" t="s">
        <v>396</v>
      </c>
      <c r="DY153" s="35" t="s">
        <v>8767</v>
      </c>
      <c r="EB153" s="35" t="s">
        <v>475</v>
      </c>
      <c r="EC153" s="35" t="s">
        <v>845</v>
      </c>
      <c r="EU153" s="35" t="s">
        <v>526</v>
      </c>
      <c r="EV153" s="35" t="s">
        <v>579</v>
      </c>
      <c r="EW153" s="35" t="s">
        <v>1534</v>
      </c>
      <c r="EX153" s="35" t="s">
        <v>8768</v>
      </c>
      <c r="FA153" s="35" t="s">
        <v>415</v>
      </c>
      <c r="FB153" s="35" t="s">
        <v>414</v>
      </c>
      <c r="FC153" s="35" t="s">
        <v>413</v>
      </c>
      <c r="FD153" s="35" t="s">
        <v>415</v>
      </c>
      <c r="FE153" s="35" t="s">
        <v>413</v>
      </c>
      <c r="FF153" s="35" t="s">
        <v>414</v>
      </c>
      <c r="FG153" s="35" t="s">
        <v>484</v>
      </c>
      <c r="FH153" s="35" t="s">
        <v>413</v>
      </c>
      <c r="FI153" s="35" t="s">
        <v>414</v>
      </c>
      <c r="FJ153" s="35" t="s">
        <v>413</v>
      </c>
      <c r="FK153" s="35" t="s">
        <v>415</v>
      </c>
      <c r="FL153" s="35" t="s">
        <v>413</v>
      </c>
      <c r="FM153" s="35" t="s">
        <v>413</v>
      </c>
      <c r="FN153" s="35" t="s">
        <v>413</v>
      </c>
      <c r="FO153" s="35" t="s">
        <v>414</v>
      </c>
      <c r="FP153" s="35" t="s">
        <v>485</v>
      </c>
      <c r="FQ153" s="35" t="s">
        <v>418</v>
      </c>
      <c r="FR153" s="35" t="s">
        <v>712</v>
      </c>
      <c r="FT153" s="35" t="s">
        <v>420</v>
      </c>
      <c r="FU153" s="35" t="s">
        <v>488</v>
      </c>
      <c r="FV153" s="35" t="s">
        <v>585</v>
      </c>
      <c r="FW153" s="35" t="s">
        <v>490</v>
      </c>
      <c r="FX153" s="35" t="s">
        <v>491</v>
      </c>
      <c r="FY153" s="35" t="s">
        <v>8769</v>
      </c>
      <c r="FZ153" s="35" t="s">
        <v>535</v>
      </c>
      <c r="GB153" s="35" t="s">
        <v>8770</v>
      </c>
      <c r="GC153" s="35" t="s">
        <v>408</v>
      </c>
      <c r="GH153" s="35" t="s">
        <v>1000</v>
      </c>
      <c r="GI153" s="35" t="s">
        <v>1000</v>
      </c>
      <c r="GJ153" s="35" t="s">
        <v>756</v>
      </c>
      <c r="GN153" s="35" t="s">
        <v>1079</v>
      </c>
      <c r="GQ153" s="35" t="s">
        <v>387</v>
      </c>
      <c r="GR153" s="35" t="s">
        <v>3208</v>
      </c>
      <c r="GU153" s="35" t="s">
        <v>5170</v>
      </c>
      <c r="GV153" s="35" t="s">
        <v>8771</v>
      </c>
      <c r="GW153" s="35" t="s">
        <v>5231</v>
      </c>
      <c r="GX153" s="35" t="s">
        <v>5232</v>
      </c>
      <c r="HD153" s="35" t="s">
        <v>484</v>
      </c>
      <c r="HE153" s="35" t="s">
        <v>5349</v>
      </c>
      <c r="HF153" s="35" t="s">
        <v>5718</v>
      </c>
      <c r="HG153" s="35" t="s">
        <v>5284</v>
      </c>
      <c r="HH153" s="35" t="s">
        <v>8772</v>
      </c>
      <c r="HI153" s="35" t="s">
        <v>5343</v>
      </c>
      <c r="HJ153" s="35" t="s">
        <v>8773</v>
      </c>
      <c r="HK153" s="35" t="s">
        <v>8774</v>
      </c>
      <c r="HP153" s="35" t="s">
        <v>5346</v>
      </c>
      <c r="HQ153" s="35" t="s">
        <v>5237</v>
      </c>
      <c r="HR153" s="35" t="s">
        <v>5238</v>
      </c>
      <c r="HS153" s="35" t="s">
        <v>913</v>
      </c>
      <c r="HX153" s="35" t="s">
        <v>8775</v>
      </c>
      <c r="IO153" s="35" t="s">
        <v>5536</v>
      </c>
      <c r="IP153" s="35" t="s">
        <v>5536</v>
      </c>
      <c r="IQ153" s="35" t="s">
        <v>5629</v>
      </c>
      <c r="IR153" s="35" t="s">
        <v>5536</v>
      </c>
      <c r="IS153" s="35" t="s">
        <v>5536</v>
      </c>
      <c r="IT153" s="35" t="s">
        <v>5537</v>
      </c>
      <c r="MK153" s="35" t="s">
        <v>6321</v>
      </c>
    </row>
    <row r="154">
      <c r="A154" s="35" t="s">
        <v>12165</v>
      </c>
      <c r="B154" s="40">
        <v>46098.99564787037</v>
      </c>
      <c r="C154" s="35" t="s">
        <v>368</v>
      </c>
      <c r="D154" s="35" t="s">
        <v>370</v>
      </c>
      <c r="E154" s="35" t="s">
        <v>370</v>
      </c>
      <c r="F154" s="35" t="s">
        <v>2388</v>
      </c>
      <c r="G154" s="35" t="s">
        <v>1441</v>
      </c>
      <c r="H154" s="35" t="s">
        <v>422</v>
      </c>
      <c r="I154" s="35" t="s">
        <v>373</v>
      </c>
      <c r="J154" s="35" t="s">
        <v>374</v>
      </c>
      <c r="K154" s="35" t="s">
        <v>425</v>
      </c>
      <c r="L154" s="35" t="s">
        <v>376</v>
      </c>
      <c r="M154" s="35" t="s">
        <v>426</v>
      </c>
      <c r="N154" s="35" t="s">
        <v>8841</v>
      </c>
      <c r="O154" s="35" t="s">
        <v>426</v>
      </c>
      <c r="P154" s="35" t="s">
        <v>497</v>
      </c>
      <c r="Q154" s="35" t="s">
        <v>381</v>
      </c>
      <c r="R154" s="35" t="s">
        <v>499</v>
      </c>
      <c r="S154" s="35" t="s">
        <v>427</v>
      </c>
      <c r="T154" s="35" t="s">
        <v>384</v>
      </c>
      <c r="U154" s="35" t="s">
        <v>385</v>
      </c>
      <c r="X154" s="35" t="s">
        <v>3014</v>
      </c>
      <c r="AW154" s="35" t="s">
        <v>390</v>
      </c>
      <c r="AX154" s="35" t="s">
        <v>675</v>
      </c>
      <c r="AY154" s="35" t="s">
        <v>675</v>
      </c>
      <c r="AZ154" s="41">
        <v>2.0</v>
      </c>
      <c r="BA154" s="41">
        <v>2.0</v>
      </c>
      <c r="BB154" s="35" t="s">
        <v>391</v>
      </c>
      <c r="BC154" s="41">
        <v>2.0</v>
      </c>
      <c r="BD154" s="35" t="s">
        <v>8842</v>
      </c>
      <c r="BE154" s="35" t="s">
        <v>8843</v>
      </c>
      <c r="BF154" s="35" t="s">
        <v>432</v>
      </c>
      <c r="BG154" s="35" t="s">
        <v>1095</v>
      </c>
      <c r="BH154" s="35" t="s">
        <v>678</v>
      </c>
      <c r="BI154" s="35" t="s">
        <v>8844</v>
      </c>
      <c r="BJ154" s="35" t="s">
        <v>727</v>
      </c>
      <c r="BK154" s="35" t="s">
        <v>1211</v>
      </c>
      <c r="BL154" s="35" t="s">
        <v>437</v>
      </c>
      <c r="BM154" s="35" t="s">
        <v>438</v>
      </c>
      <c r="BN154" s="35" t="s">
        <v>439</v>
      </c>
      <c r="BO154" s="35" t="s">
        <v>440</v>
      </c>
      <c r="CM154" s="35" t="s">
        <v>441</v>
      </c>
      <c r="CN154" s="35" t="s">
        <v>442</v>
      </c>
      <c r="CO154" s="35" t="s">
        <v>1315</v>
      </c>
      <c r="CP154" s="35" t="s">
        <v>8845</v>
      </c>
      <c r="CQ154" s="35" t="s">
        <v>445</v>
      </c>
      <c r="CR154" s="35" t="s">
        <v>8846</v>
      </c>
      <c r="CS154" s="35" t="s">
        <v>447</v>
      </c>
      <c r="CT154" s="35" t="s">
        <v>8847</v>
      </c>
      <c r="CU154" s="35" t="s">
        <v>8848</v>
      </c>
      <c r="CV154" s="35" t="s">
        <v>519</v>
      </c>
      <c r="CW154" s="35" t="s">
        <v>451</v>
      </c>
      <c r="CX154" s="35" t="s">
        <v>8849</v>
      </c>
      <c r="CY154" s="35" t="s">
        <v>408</v>
      </c>
      <c r="DA154" s="35" t="s">
        <v>453</v>
      </c>
      <c r="DB154" s="35" t="s">
        <v>8850</v>
      </c>
      <c r="DC154" s="35" t="s">
        <v>455</v>
      </c>
      <c r="DD154" s="35" t="s">
        <v>8851</v>
      </c>
      <c r="DE154" s="35" t="s">
        <v>988</v>
      </c>
      <c r="DG154" s="35" t="s">
        <v>8852</v>
      </c>
      <c r="DH154" s="35" t="s">
        <v>524</v>
      </c>
      <c r="DI154" s="35" t="s">
        <v>410</v>
      </c>
      <c r="DJ154" s="35" t="s">
        <v>459</v>
      </c>
      <c r="DK154" s="35" t="s">
        <v>613</v>
      </c>
      <c r="DN154" s="35" t="s">
        <v>8853</v>
      </c>
      <c r="DO154" s="35" t="s">
        <v>8854</v>
      </c>
      <c r="DP154" s="35" t="s">
        <v>1063</v>
      </c>
      <c r="DQ154" s="35" t="s">
        <v>8855</v>
      </c>
      <c r="DR154" s="35" t="s">
        <v>1176</v>
      </c>
      <c r="DS154" s="35" t="s">
        <v>8856</v>
      </c>
      <c r="DT154" s="35" t="s">
        <v>839</v>
      </c>
      <c r="DU154" s="35" t="s">
        <v>703</v>
      </c>
      <c r="DV154" s="35" t="s">
        <v>8857</v>
      </c>
      <c r="DW154" s="35" t="s">
        <v>8858</v>
      </c>
      <c r="DX154" s="35" t="s">
        <v>573</v>
      </c>
      <c r="DY154" s="35" t="s">
        <v>8859</v>
      </c>
      <c r="DZ154" s="35" t="s">
        <v>8860</v>
      </c>
      <c r="EA154" s="35" t="s">
        <v>8861</v>
      </c>
      <c r="EB154" s="35" t="s">
        <v>475</v>
      </c>
      <c r="EC154" s="35" t="s">
        <v>845</v>
      </c>
      <c r="ED154" s="35" t="s">
        <v>8862</v>
      </c>
      <c r="EU154" s="35" t="s">
        <v>526</v>
      </c>
      <c r="EV154" s="35" t="s">
        <v>479</v>
      </c>
      <c r="EW154" s="35" t="s">
        <v>527</v>
      </c>
      <c r="EX154" s="35" t="s">
        <v>8863</v>
      </c>
      <c r="EY154" s="35" t="s">
        <v>8864</v>
      </c>
      <c r="EZ154" s="35" t="s">
        <v>8865</v>
      </c>
      <c r="FA154" s="35" t="s">
        <v>413</v>
      </c>
      <c r="FB154" s="35" t="s">
        <v>415</v>
      </c>
      <c r="FC154" s="35" t="s">
        <v>413</v>
      </c>
      <c r="FD154" s="35" t="s">
        <v>413</v>
      </c>
      <c r="FE154" s="35" t="s">
        <v>413</v>
      </c>
      <c r="FF154" s="35" t="s">
        <v>415</v>
      </c>
      <c r="FG154" s="35" t="s">
        <v>413</v>
      </c>
      <c r="FH154" s="35" t="s">
        <v>413</v>
      </c>
      <c r="FI154" s="35" t="s">
        <v>583</v>
      </c>
      <c r="FJ154" s="35" t="s">
        <v>583</v>
      </c>
      <c r="FK154" s="35" t="s">
        <v>414</v>
      </c>
      <c r="FL154" s="35" t="s">
        <v>413</v>
      </c>
      <c r="FM154" s="35" t="s">
        <v>415</v>
      </c>
      <c r="FN154" s="35" t="s">
        <v>413</v>
      </c>
      <c r="FO154" s="35" t="s">
        <v>583</v>
      </c>
      <c r="FP154" s="35" t="s">
        <v>417</v>
      </c>
      <c r="FQ154" s="35" t="s">
        <v>418</v>
      </c>
      <c r="FR154" s="35" t="s">
        <v>712</v>
      </c>
      <c r="FS154" s="35" t="s">
        <v>8866</v>
      </c>
      <c r="FT154" s="35" t="s">
        <v>420</v>
      </c>
      <c r="FU154" s="35" t="s">
        <v>488</v>
      </c>
      <c r="FV154" s="35" t="s">
        <v>533</v>
      </c>
      <c r="FW154" s="35" t="s">
        <v>490</v>
      </c>
      <c r="FX154" s="35" t="s">
        <v>491</v>
      </c>
      <c r="FY154" s="35" t="s">
        <v>8867</v>
      </c>
      <c r="FZ154" s="35" t="s">
        <v>535</v>
      </c>
      <c r="GA154" s="35" t="s">
        <v>8868</v>
      </c>
      <c r="GB154" s="35" t="s">
        <v>8869</v>
      </c>
      <c r="GC154" s="35" t="s">
        <v>408</v>
      </c>
      <c r="GH154" s="35" t="s">
        <v>755</v>
      </c>
      <c r="GI154" s="35" t="s">
        <v>755</v>
      </c>
      <c r="GJ154" s="35" t="s">
        <v>817</v>
      </c>
      <c r="GN154" s="35" t="s">
        <v>1079</v>
      </c>
      <c r="GR154" s="35" t="s">
        <v>3208</v>
      </c>
      <c r="GU154" s="35" t="s">
        <v>4774</v>
      </c>
      <c r="GW154" s="35" t="s">
        <v>5231</v>
      </c>
      <c r="GX154" s="35" t="s">
        <v>5232</v>
      </c>
      <c r="HD154" s="35" t="s">
        <v>5297</v>
      </c>
      <c r="HE154" s="35" t="s">
        <v>5349</v>
      </c>
      <c r="HF154" s="35" t="s">
        <v>5718</v>
      </c>
      <c r="HG154" s="35" t="s">
        <v>5899</v>
      </c>
      <c r="HH154" s="35" t="s">
        <v>8870</v>
      </c>
      <c r="HI154" s="35" t="s">
        <v>6631</v>
      </c>
      <c r="HJ154" s="35" t="s">
        <v>8871</v>
      </c>
      <c r="HK154" s="35" t="s">
        <v>8872</v>
      </c>
      <c r="HP154" s="35" t="s">
        <v>5346</v>
      </c>
      <c r="HQ154" s="35" t="s">
        <v>5237</v>
      </c>
      <c r="HR154" s="35" t="s">
        <v>5238</v>
      </c>
      <c r="HS154" s="35" t="s">
        <v>5321</v>
      </c>
      <c r="HX154" s="35" t="s">
        <v>8873</v>
      </c>
      <c r="IO154" s="35" t="s">
        <v>5536</v>
      </c>
      <c r="IP154" s="35" t="s">
        <v>5536</v>
      </c>
      <c r="IQ154" s="35" t="s">
        <v>5537</v>
      </c>
      <c r="IR154" s="35" t="s">
        <v>5537</v>
      </c>
      <c r="IS154" s="35" t="s">
        <v>5537</v>
      </c>
      <c r="IT154" s="35" t="s">
        <v>5536</v>
      </c>
      <c r="MK154" s="35" t="s">
        <v>6321</v>
      </c>
    </row>
    <row r="155">
      <c r="A155" s="35" t="s">
        <v>12166</v>
      </c>
      <c r="B155" s="40">
        <v>46100.791488020834</v>
      </c>
      <c r="C155" s="35" t="s">
        <v>368</v>
      </c>
      <c r="D155" s="35" t="s">
        <v>370</v>
      </c>
      <c r="E155" s="35" t="s">
        <v>370</v>
      </c>
      <c r="F155" s="35" t="s">
        <v>667</v>
      </c>
      <c r="G155" s="35" t="s">
        <v>2114</v>
      </c>
      <c r="H155" s="35" t="s">
        <v>422</v>
      </c>
      <c r="I155" s="35" t="s">
        <v>1307</v>
      </c>
      <c r="J155" s="35" t="s">
        <v>668</v>
      </c>
      <c r="K155" s="35" t="s">
        <v>375</v>
      </c>
      <c r="L155" s="35" t="s">
        <v>376</v>
      </c>
      <c r="M155" s="35" t="s">
        <v>379</v>
      </c>
      <c r="N155" s="35" t="s">
        <v>541</v>
      </c>
      <c r="O155" s="35" t="s">
        <v>379</v>
      </c>
      <c r="P155" s="35" t="s">
        <v>497</v>
      </c>
      <c r="Q155" s="35" t="s">
        <v>381</v>
      </c>
      <c r="R155" s="35" t="s">
        <v>499</v>
      </c>
      <c r="S155" s="35" t="s">
        <v>500</v>
      </c>
      <c r="T155" s="35" t="s">
        <v>384</v>
      </c>
      <c r="U155" s="35" t="s">
        <v>385</v>
      </c>
      <c r="X155" s="35" t="s">
        <v>3231</v>
      </c>
      <c r="AW155" s="35" t="s">
        <v>1310</v>
      </c>
      <c r="AX155" s="35" t="s">
        <v>675</v>
      </c>
      <c r="AY155" s="41">
        <v>2.0</v>
      </c>
      <c r="AZ155" s="41">
        <v>2.0</v>
      </c>
      <c r="BA155" s="35" t="s">
        <v>391</v>
      </c>
      <c r="BB155" s="41">
        <v>4.0</v>
      </c>
      <c r="BC155" s="41">
        <v>4.0</v>
      </c>
      <c r="BD155" s="35" t="s">
        <v>8874</v>
      </c>
      <c r="BE155" s="35" t="s">
        <v>8875</v>
      </c>
      <c r="BF155" s="35" t="s">
        <v>2259</v>
      </c>
      <c r="BG155" s="35" t="s">
        <v>1047</v>
      </c>
      <c r="BH155" s="35" t="s">
        <v>434</v>
      </c>
      <c r="BI155" s="35" t="s">
        <v>8876</v>
      </c>
      <c r="BJ155" s="35" t="s">
        <v>435</v>
      </c>
      <c r="BK155" s="35" t="s">
        <v>8877</v>
      </c>
      <c r="BL155" s="35" t="s">
        <v>395</v>
      </c>
      <c r="BM155" s="35" t="s">
        <v>438</v>
      </c>
      <c r="BN155" s="35" t="s">
        <v>1247</v>
      </c>
      <c r="BO155" s="35" t="s">
        <v>440</v>
      </c>
      <c r="CM155" s="35" t="s">
        <v>550</v>
      </c>
      <c r="CN155" s="35" t="s">
        <v>551</v>
      </c>
      <c r="CO155" s="35" t="s">
        <v>8878</v>
      </c>
      <c r="CP155" s="35" t="s">
        <v>8879</v>
      </c>
      <c r="CQ155" s="35" t="s">
        <v>445</v>
      </c>
      <c r="CR155" s="35" t="s">
        <v>8880</v>
      </c>
      <c r="CS155" s="35" t="s">
        <v>447</v>
      </c>
      <c r="CT155" s="35" t="s">
        <v>2801</v>
      </c>
      <c r="CU155" s="35" t="s">
        <v>8881</v>
      </c>
      <c r="CV155" s="35" t="s">
        <v>1863</v>
      </c>
      <c r="CW155" s="35" t="s">
        <v>451</v>
      </c>
      <c r="CX155" s="35" t="s">
        <v>8609</v>
      </c>
      <c r="CY155" s="35" t="s">
        <v>408</v>
      </c>
      <c r="DA155" s="35" t="s">
        <v>453</v>
      </c>
      <c r="DB155" s="35" t="s">
        <v>8882</v>
      </c>
      <c r="DC155" s="35" t="s">
        <v>408</v>
      </c>
      <c r="DE155" s="35" t="s">
        <v>1400</v>
      </c>
      <c r="DG155" s="35" t="s">
        <v>8883</v>
      </c>
      <c r="DI155" s="35" t="s">
        <v>410</v>
      </c>
      <c r="DJ155" s="35" t="s">
        <v>963</v>
      </c>
      <c r="DK155" s="35" t="s">
        <v>460</v>
      </c>
      <c r="DL155" s="35" t="s">
        <v>6335</v>
      </c>
      <c r="DN155" s="35" t="s">
        <v>8884</v>
      </c>
      <c r="DO155" s="35" t="s">
        <v>8885</v>
      </c>
      <c r="DP155" s="35" t="s">
        <v>1063</v>
      </c>
      <c r="DQ155" s="35" t="s">
        <v>8886</v>
      </c>
      <c r="DR155" s="35" t="s">
        <v>1578</v>
      </c>
      <c r="DS155" s="35" t="s">
        <v>8887</v>
      </c>
      <c r="DT155" s="35" t="s">
        <v>618</v>
      </c>
      <c r="DU155" s="35" t="s">
        <v>1580</v>
      </c>
      <c r="DV155" s="35" t="s">
        <v>8888</v>
      </c>
      <c r="DW155" s="35" t="s">
        <v>8889</v>
      </c>
      <c r="DX155" s="35" t="s">
        <v>573</v>
      </c>
      <c r="DY155" s="35" t="s">
        <v>8890</v>
      </c>
      <c r="DZ155" s="35" t="s">
        <v>8891</v>
      </c>
      <c r="EA155" s="35" t="s">
        <v>8892</v>
      </c>
      <c r="EB155" s="35" t="s">
        <v>475</v>
      </c>
      <c r="EC155" s="35" t="s">
        <v>626</v>
      </c>
      <c r="ED155" s="35" t="s">
        <v>8893</v>
      </c>
      <c r="EU155" s="35" t="s">
        <v>526</v>
      </c>
      <c r="EV155" s="35" t="s">
        <v>479</v>
      </c>
      <c r="EW155" s="35" t="s">
        <v>480</v>
      </c>
      <c r="EX155" s="35" t="s">
        <v>8894</v>
      </c>
      <c r="EY155" s="35" t="s">
        <v>8895</v>
      </c>
      <c r="EZ155" s="35" t="s">
        <v>8896</v>
      </c>
      <c r="FA155" s="35" t="s">
        <v>583</v>
      </c>
      <c r="FB155" s="35" t="s">
        <v>583</v>
      </c>
      <c r="FC155" s="35" t="s">
        <v>414</v>
      </c>
      <c r="FD155" s="35" t="s">
        <v>414</v>
      </c>
      <c r="FE155" s="35" t="s">
        <v>484</v>
      </c>
      <c r="FF155" s="35" t="s">
        <v>583</v>
      </c>
      <c r="FG155" s="35" t="s">
        <v>414</v>
      </c>
      <c r="FH155" s="35" t="s">
        <v>583</v>
      </c>
      <c r="FI155" s="35" t="s">
        <v>416</v>
      </c>
      <c r="FJ155" s="35" t="s">
        <v>583</v>
      </c>
      <c r="FK155" s="35" t="s">
        <v>583</v>
      </c>
      <c r="FL155" s="35" t="s">
        <v>583</v>
      </c>
      <c r="FM155" s="35" t="s">
        <v>583</v>
      </c>
      <c r="FN155" s="35" t="s">
        <v>484</v>
      </c>
      <c r="FO155" s="35" t="s">
        <v>583</v>
      </c>
      <c r="FP155" s="35" t="s">
        <v>417</v>
      </c>
      <c r="FQ155" s="35" t="s">
        <v>418</v>
      </c>
      <c r="FR155" s="35" t="s">
        <v>419</v>
      </c>
      <c r="FS155" s="35" t="s">
        <v>8897</v>
      </c>
      <c r="FT155" s="35" t="s">
        <v>420</v>
      </c>
      <c r="FU155" s="35" t="s">
        <v>488</v>
      </c>
      <c r="FV155" s="35" t="s">
        <v>489</v>
      </c>
      <c r="FW155" s="35" t="s">
        <v>490</v>
      </c>
      <c r="FX155" s="35" t="s">
        <v>491</v>
      </c>
      <c r="FY155" s="35" t="s">
        <v>8898</v>
      </c>
      <c r="FZ155" s="35" t="s">
        <v>493</v>
      </c>
      <c r="GA155" s="35" t="s">
        <v>8899</v>
      </c>
      <c r="GB155" s="35" t="s">
        <v>8900</v>
      </c>
      <c r="GC155" s="35" t="s">
        <v>455</v>
      </c>
      <c r="GD155" s="35" t="s">
        <v>11890</v>
      </c>
      <c r="GF155" s="35" t="s">
        <v>1339</v>
      </c>
      <c r="GG155" s="35" t="s">
        <v>8901</v>
      </c>
      <c r="GH155" s="35" t="s">
        <v>755</v>
      </c>
      <c r="GI155" s="35" t="s">
        <v>755</v>
      </c>
      <c r="GJ155" s="35" t="s">
        <v>817</v>
      </c>
      <c r="GN155" s="35" t="s">
        <v>1079</v>
      </c>
      <c r="GQ155" s="35" t="s">
        <v>387</v>
      </c>
      <c r="GR155" s="35" t="s">
        <v>6251</v>
      </c>
      <c r="GU155" s="35" t="s">
        <v>4774</v>
      </c>
      <c r="GW155" s="35" t="s">
        <v>5231</v>
      </c>
      <c r="GX155" s="35" t="s">
        <v>5232</v>
      </c>
      <c r="HD155" s="35" t="s">
        <v>6053</v>
      </c>
      <c r="HE155" s="35" t="s">
        <v>5282</v>
      </c>
      <c r="HF155" s="35" t="s">
        <v>5492</v>
      </c>
      <c r="HG155" s="35" t="s">
        <v>5284</v>
      </c>
      <c r="HH155" s="35" t="s">
        <v>8902</v>
      </c>
      <c r="HI155" s="35" t="s">
        <v>5625</v>
      </c>
      <c r="HJ155" s="35" t="s">
        <v>8903</v>
      </c>
      <c r="HK155" s="35" t="s">
        <v>8904</v>
      </c>
      <c r="HP155" s="35" t="s">
        <v>5236</v>
      </c>
      <c r="HQ155" s="35" t="s">
        <v>5264</v>
      </c>
      <c r="HR155" s="35" t="s">
        <v>5238</v>
      </c>
      <c r="HS155" s="35" t="s">
        <v>8905</v>
      </c>
      <c r="HX155" s="35" t="s">
        <v>8906</v>
      </c>
      <c r="IO155" s="35" t="s">
        <v>5500</v>
      </c>
      <c r="IP155" s="35" t="s">
        <v>5536</v>
      </c>
      <c r="IQ155" s="35" t="s">
        <v>5536</v>
      </c>
      <c r="IR155" s="35" t="s">
        <v>5500</v>
      </c>
      <c r="IS155" s="35" t="s">
        <v>5500</v>
      </c>
      <c r="IT155" s="35" t="s">
        <v>5629</v>
      </c>
      <c r="MK155" s="35" t="s">
        <v>6321</v>
      </c>
    </row>
    <row r="156">
      <c r="A156" s="35" t="s">
        <v>12167</v>
      </c>
      <c r="B156" s="40">
        <v>46117.406726597226</v>
      </c>
      <c r="C156" s="35" t="s">
        <v>368</v>
      </c>
      <c r="D156" s="35" t="s">
        <v>370</v>
      </c>
      <c r="E156" s="35" t="s">
        <v>370</v>
      </c>
      <c r="F156" s="35" t="s">
        <v>2359</v>
      </c>
      <c r="G156" s="35" t="s">
        <v>1510</v>
      </c>
      <c r="H156" s="35" t="s">
        <v>422</v>
      </c>
      <c r="I156" s="35" t="s">
        <v>373</v>
      </c>
      <c r="J156" s="35" t="s">
        <v>374</v>
      </c>
      <c r="K156" s="35" t="s">
        <v>718</v>
      </c>
      <c r="L156" s="35" t="s">
        <v>376</v>
      </c>
      <c r="M156" s="35" t="s">
        <v>426</v>
      </c>
      <c r="N156" s="35" t="s">
        <v>378</v>
      </c>
      <c r="O156" s="35" t="s">
        <v>793</v>
      </c>
      <c r="P156" s="35" t="s">
        <v>2464</v>
      </c>
      <c r="Q156" s="35" t="s">
        <v>498</v>
      </c>
      <c r="R156" s="35" t="s">
        <v>382</v>
      </c>
      <c r="S156" s="35" t="s">
        <v>1594</v>
      </c>
      <c r="T156" s="35" t="s">
        <v>384</v>
      </c>
      <c r="U156" s="35" t="s">
        <v>385</v>
      </c>
      <c r="X156" s="35" t="s">
        <v>386</v>
      </c>
      <c r="Y156" s="35" t="s">
        <v>1706</v>
      </c>
      <c r="AD156" s="35" t="s">
        <v>1707</v>
      </c>
      <c r="AE156" s="35" t="s">
        <v>1938</v>
      </c>
      <c r="AF156" s="35" t="s">
        <v>408</v>
      </c>
      <c r="AH156" s="41">
        <v>5.0</v>
      </c>
      <c r="AI156" s="35" t="s">
        <v>1639</v>
      </c>
      <c r="AJ156" s="35" t="s">
        <v>9053</v>
      </c>
      <c r="AK156" s="35" t="s">
        <v>9054</v>
      </c>
      <c r="AL156" s="35" t="s">
        <v>396</v>
      </c>
      <c r="AW156" s="35" t="s">
        <v>390</v>
      </c>
      <c r="AX156" s="35" t="s">
        <v>391</v>
      </c>
      <c r="AY156" s="35" t="s">
        <v>391</v>
      </c>
      <c r="AZ156" s="35" t="s">
        <v>391</v>
      </c>
      <c r="BA156" s="41">
        <v>2.0</v>
      </c>
      <c r="BB156" s="41">
        <v>2.0</v>
      </c>
      <c r="BC156" s="41">
        <v>2.0</v>
      </c>
      <c r="BF156" s="35" t="s">
        <v>432</v>
      </c>
      <c r="BG156" s="35" t="s">
        <v>393</v>
      </c>
      <c r="BH156" s="35" t="s">
        <v>434</v>
      </c>
      <c r="BJ156" s="35" t="s">
        <v>824</v>
      </c>
      <c r="BL156" s="35" t="s">
        <v>511</v>
      </c>
      <c r="BM156" s="35" t="s">
        <v>396</v>
      </c>
      <c r="BN156" s="35" t="s">
        <v>549</v>
      </c>
      <c r="BO156" s="35" t="s">
        <v>440</v>
      </c>
      <c r="CM156" s="35" t="s">
        <v>441</v>
      </c>
      <c r="CN156" s="35" t="s">
        <v>682</v>
      </c>
      <c r="CO156" s="35" t="s">
        <v>552</v>
      </c>
      <c r="CP156" s="35" t="s">
        <v>9055</v>
      </c>
      <c r="CQ156" s="35" t="s">
        <v>685</v>
      </c>
      <c r="CR156" s="35" t="s">
        <v>9056</v>
      </c>
      <c r="CS156" s="35" t="s">
        <v>447</v>
      </c>
      <c r="CT156" s="35" t="s">
        <v>9057</v>
      </c>
      <c r="CU156" s="35" t="s">
        <v>9058</v>
      </c>
      <c r="CV156" s="35" t="s">
        <v>450</v>
      </c>
      <c r="CW156" s="35" t="s">
        <v>451</v>
      </c>
      <c r="CX156" s="35" t="s">
        <v>9059</v>
      </c>
      <c r="CY156" s="35" t="s">
        <v>408</v>
      </c>
      <c r="DA156" s="35" t="s">
        <v>453</v>
      </c>
      <c r="DC156" s="35" t="s">
        <v>455</v>
      </c>
      <c r="DD156" s="35" t="s">
        <v>9060</v>
      </c>
      <c r="DE156" s="35" t="s">
        <v>988</v>
      </c>
      <c r="DG156" s="35" t="s">
        <v>9061</v>
      </c>
      <c r="DH156" s="35" t="s">
        <v>524</v>
      </c>
      <c r="DI156" s="35" t="s">
        <v>410</v>
      </c>
      <c r="DJ156" s="35" t="s">
        <v>459</v>
      </c>
      <c r="DK156" s="35" t="s">
        <v>613</v>
      </c>
      <c r="DN156" s="35" t="s">
        <v>9062</v>
      </c>
      <c r="DO156" s="35" t="s">
        <v>9063</v>
      </c>
      <c r="DP156" s="35" t="s">
        <v>1063</v>
      </c>
      <c r="DQ156" s="35" t="s">
        <v>8073</v>
      </c>
      <c r="DR156" s="35" t="s">
        <v>1152</v>
      </c>
      <c r="DS156" s="35" t="s">
        <v>9064</v>
      </c>
      <c r="DT156" s="35" t="s">
        <v>702</v>
      </c>
      <c r="DU156" s="35" t="s">
        <v>3611</v>
      </c>
      <c r="DX156" s="35" t="s">
        <v>396</v>
      </c>
      <c r="DY156" s="35" t="s">
        <v>9065</v>
      </c>
      <c r="DZ156" s="35" t="s">
        <v>9066</v>
      </c>
      <c r="EB156" s="35" t="s">
        <v>1413</v>
      </c>
      <c r="EC156" s="35" t="s">
        <v>626</v>
      </c>
      <c r="ED156" s="35" t="s">
        <v>9067</v>
      </c>
      <c r="EU156" s="35" t="s">
        <v>526</v>
      </c>
      <c r="EV156" s="35" t="s">
        <v>479</v>
      </c>
      <c r="EW156" s="35" t="s">
        <v>480</v>
      </c>
      <c r="FA156" s="35" t="s">
        <v>414</v>
      </c>
      <c r="FB156" s="35" t="s">
        <v>583</v>
      </c>
      <c r="FC156" s="35" t="s">
        <v>415</v>
      </c>
      <c r="FD156" s="35" t="s">
        <v>414</v>
      </c>
      <c r="FE156" s="35" t="s">
        <v>413</v>
      </c>
      <c r="FF156" s="35" t="s">
        <v>415</v>
      </c>
      <c r="FG156" s="35" t="s">
        <v>415</v>
      </c>
      <c r="FH156" s="35" t="s">
        <v>415</v>
      </c>
      <c r="FI156" s="35" t="s">
        <v>415</v>
      </c>
      <c r="FJ156" s="35" t="s">
        <v>583</v>
      </c>
      <c r="FK156" s="35" t="s">
        <v>413</v>
      </c>
      <c r="FL156" s="35" t="s">
        <v>416</v>
      </c>
      <c r="FM156" s="35" t="s">
        <v>416</v>
      </c>
      <c r="FN156" s="35" t="s">
        <v>413</v>
      </c>
      <c r="FO156" s="35" t="s">
        <v>583</v>
      </c>
      <c r="FP156" s="35" t="s">
        <v>417</v>
      </c>
      <c r="FQ156" s="35" t="s">
        <v>418</v>
      </c>
      <c r="FR156" s="35" t="s">
        <v>1039</v>
      </c>
      <c r="FT156" s="35" t="s">
        <v>420</v>
      </c>
      <c r="FU156" s="35" t="s">
        <v>488</v>
      </c>
      <c r="FV156" s="35" t="s">
        <v>533</v>
      </c>
      <c r="FW156" s="35" t="s">
        <v>490</v>
      </c>
      <c r="FX156" s="35" t="s">
        <v>491</v>
      </c>
      <c r="FY156" s="35" t="s">
        <v>9068</v>
      </c>
      <c r="FZ156" s="35" t="s">
        <v>535</v>
      </c>
      <c r="GB156" s="35" t="s">
        <v>9069</v>
      </c>
      <c r="GC156" s="35" t="s">
        <v>408</v>
      </c>
      <c r="GH156" s="35" t="s">
        <v>920</v>
      </c>
      <c r="GI156" s="35" t="s">
        <v>857</v>
      </c>
      <c r="GJ156" s="35" t="s">
        <v>858</v>
      </c>
      <c r="GN156" s="35" t="s">
        <v>1079</v>
      </c>
      <c r="GR156" s="35" t="s">
        <v>3208</v>
      </c>
      <c r="GU156" s="35" t="s">
        <v>4774</v>
      </c>
      <c r="GW156" s="35" t="s">
        <v>5231</v>
      </c>
      <c r="GX156" s="35" t="s">
        <v>5232</v>
      </c>
      <c r="HD156" s="35" t="s">
        <v>5297</v>
      </c>
      <c r="HE156" s="35" t="s">
        <v>5349</v>
      </c>
      <c r="HF156" s="35" t="s">
        <v>5492</v>
      </c>
      <c r="HG156" s="35" t="s">
        <v>5284</v>
      </c>
      <c r="HH156" s="35" t="s">
        <v>9070</v>
      </c>
      <c r="HI156" s="35" t="s">
        <v>6631</v>
      </c>
      <c r="HK156" s="35" t="s">
        <v>9071</v>
      </c>
      <c r="HP156" s="35" t="s">
        <v>5236</v>
      </c>
      <c r="HQ156" s="35" t="s">
        <v>5264</v>
      </c>
      <c r="HR156" s="35" t="s">
        <v>5238</v>
      </c>
      <c r="HS156" s="35" t="s">
        <v>5321</v>
      </c>
      <c r="HX156" s="35" t="s">
        <v>9072</v>
      </c>
      <c r="IO156" s="35" t="s">
        <v>5536</v>
      </c>
      <c r="IP156" s="35" t="s">
        <v>5537</v>
      </c>
      <c r="IQ156" s="35" t="s">
        <v>5500</v>
      </c>
      <c r="IR156" s="35" t="s">
        <v>5536</v>
      </c>
      <c r="IS156" s="35" t="s">
        <v>5537</v>
      </c>
      <c r="IT156" s="35" t="s">
        <v>5537</v>
      </c>
      <c r="MK156" s="35" t="s">
        <v>6321</v>
      </c>
    </row>
    <row r="157">
      <c r="A157" s="35" t="s">
        <v>12168</v>
      </c>
      <c r="B157" s="40">
        <v>46117.52108172454</v>
      </c>
      <c r="C157" s="35" t="s">
        <v>368</v>
      </c>
      <c r="D157" s="35" t="s">
        <v>370</v>
      </c>
      <c r="E157" s="35" t="s">
        <v>370</v>
      </c>
      <c r="F157" s="35" t="s">
        <v>1441</v>
      </c>
      <c r="G157" s="35" t="s">
        <v>2708</v>
      </c>
      <c r="H157" s="35" t="s">
        <v>422</v>
      </c>
      <c r="I157" s="35" t="s">
        <v>496</v>
      </c>
      <c r="J157" s="35" t="s">
        <v>374</v>
      </c>
      <c r="K157" s="35" t="s">
        <v>590</v>
      </c>
      <c r="L157" s="35" t="s">
        <v>376</v>
      </c>
      <c r="M157" s="35" t="s">
        <v>379</v>
      </c>
      <c r="N157" s="35" t="s">
        <v>541</v>
      </c>
      <c r="O157" s="35" t="s">
        <v>426</v>
      </c>
      <c r="P157" s="35" t="s">
        <v>9074</v>
      </c>
      <c r="Q157" s="35" t="s">
        <v>381</v>
      </c>
      <c r="R157" s="35" t="s">
        <v>499</v>
      </c>
      <c r="S157" s="35" t="s">
        <v>949</v>
      </c>
      <c r="T157" s="35" t="s">
        <v>384</v>
      </c>
      <c r="U157" s="35" t="s">
        <v>385</v>
      </c>
      <c r="X157" s="35" t="s">
        <v>3231</v>
      </c>
      <c r="AW157" s="35" t="s">
        <v>1310</v>
      </c>
      <c r="AX157" s="41">
        <v>4.0</v>
      </c>
      <c r="AY157" s="41">
        <v>4.0</v>
      </c>
      <c r="AZ157" s="35" t="s">
        <v>391</v>
      </c>
      <c r="BA157" s="35" t="s">
        <v>391</v>
      </c>
      <c r="BB157" s="35" t="s">
        <v>429</v>
      </c>
      <c r="BC157" s="41">
        <v>2.0</v>
      </c>
      <c r="BD157" s="35" t="s">
        <v>9075</v>
      </c>
      <c r="BE157" s="35" t="s">
        <v>9076</v>
      </c>
      <c r="BF157" s="35" t="s">
        <v>432</v>
      </c>
      <c r="BG157" s="35" t="s">
        <v>393</v>
      </c>
      <c r="BH157" s="35" t="s">
        <v>678</v>
      </c>
      <c r="BI157" s="35" t="s">
        <v>9077</v>
      </c>
      <c r="BJ157" s="35" t="s">
        <v>509</v>
      </c>
      <c r="BK157" s="35" t="s">
        <v>9078</v>
      </c>
      <c r="BL157" s="35" t="s">
        <v>681</v>
      </c>
      <c r="BM157" s="35" t="s">
        <v>904</v>
      </c>
      <c r="BN157" s="35" t="s">
        <v>549</v>
      </c>
      <c r="BO157" s="35" t="s">
        <v>440</v>
      </c>
      <c r="CM157" s="35" t="s">
        <v>441</v>
      </c>
      <c r="CN157" s="35" t="s">
        <v>401</v>
      </c>
      <c r="CO157" s="35" t="s">
        <v>9079</v>
      </c>
      <c r="CP157" s="35" t="s">
        <v>9080</v>
      </c>
      <c r="CQ157" s="35" t="s">
        <v>979</v>
      </c>
      <c r="CR157" s="35" t="s">
        <v>516</v>
      </c>
      <c r="CS157" s="35" t="s">
        <v>447</v>
      </c>
      <c r="CT157" s="35" t="s">
        <v>9081</v>
      </c>
      <c r="CU157" s="35" t="s">
        <v>9082</v>
      </c>
      <c r="CV157" s="35" t="s">
        <v>519</v>
      </c>
      <c r="CW157" s="35" t="s">
        <v>451</v>
      </c>
      <c r="CX157" s="35" t="s">
        <v>9083</v>
      </c>
      <c r="CY157" s="35" t="s">
        <v>408</v>
      </c>
      <c r="DA157" s="35" t="s">
        <v>453</v>
      </c>
      <c r="DB157" s="35" t="s">
        <v>9084</v>
      </c>
      <c r="DC157" s="35" t="s">
        <v>455</v>
      </c>
      <c r="DD157" s="35" t="s">
        <v>1866</v>
      </c>
      <c r="DE157" s="35" t="s">
        <v>988</v>
      </c>
      <c r="DF157" s="35" t="s">
        <v>691</v>
      </c>
      <c r="DG157" s="35" t="s">
        <v>9085</v>
      </c>
      <c r="DH157" s="35" t="s">
        <v>561</v>
      </c>
      <c r="DI157" s="35" t="s">
        <v>410</v>
      </c>
      <c r="DJ157" s="35" t="s">
        <v>459</v>
      </c>
      <c r="DK157" s="35" t="s">
        <v>460</v>
      </c>
      <c r="DL157" s="35" t="s">
        <v>6335</v>
      </c>
      <c r="DN157" s="35" t="s">
        <v>9086</v>
      </c>
      <c r="DO157" s="35" t="s">
        <v>9087</v>
      </c>
      <c r="DP157" s="35" t="s">
        <v>1063</v>
      </c>
      <c r="DQ157" s="35" t="s">
        <v>9088</v>
      </c>
      <c r="DR157" s="35" t="s">
        <v>1553</v>
      </c>
      <c r="DS157" s="35" t="s">
        <v>9089</v>
      </c>
      <c r="DT157" s="35" t="s">
        <v>839</v>
      </c>
      <c r="DU157" s="35" t="s">
        <v>740</v>
      </c>
      <c r="DV157" s="35" t="s">
        <v>9090</v>
      </c>
      <c r="DW157" s="35" t="s">
        <v>9091</v>
      </c>
      <c r="DX157" s="35" t="s">
        <v>573</v>
      </c>
      <c r="DY157" s="35" t="s">
        <v>9092</v>
      </c>
      <c r="DZ157" s="35" t="s">
        <v>9093</v>
      </c>
      <c r="EA157" s="35" t="s">
        <v>9094</v>
      </c>
      <c r="EB157" s="35" t="s">
        <v>475</v>
      </c>
      <c r="EC157" s="35" t="s">
        <v>845</v>
      </c>
      <c r="EU157" s="35" t="s">
        <v>526</v>
      </c>
      <c r="EV157" s="35" t="s">
        <v>887</v>
      </c>
      <c r="EW157" s="35" t="s">
        <v>480</v>
      </c>
      <c r="EY157" s="35" t="s">
        <v>9095</v>
      </c>
      <c r="EZ157" s="35" t="s">
        <v>9096</v>
      </c>
      <c r="FA157" s="35" t="s">
        <v>414</v>
      </c>
      <c r="FB157" s="35" t="s">
        <v>414</v>
      </c>
      <c r="FC157" s="35" t="s">
        <v>414</v>
      </c>
      <c r="FD157" s="35" t="s">
        <v>414</v>
      </c>
      <c r="FE157" s="35" t="s">
        <v>415</v>
      </c>
      <c r="FF157" s="35" t="s">
        <v>414</v>
      </c>
      <c r="FG157" s="35" t="s">
        <v>414</v>
      </c>
      <c r="FH157" s="35" t="s">
        <v>414</v>
      </c>
      <c r="FI157" s="35" t="s">
        <v>414</v>
      </c>
      <c r="FJ157" s="35" t="s">
        <v>583</v>
      </c>
      <c r="FK157" s="35" t="s">
        <v>583</v>
      </c>
      <c r="FL157" s="35" t="s">
        <v>415</v>
      </c>
      <c r="FM157" s="35" t="s">
        <v>415</v>
      </c>
      <c r="FN157" s="35" t="s">
        <v>415</v>
      </c>
      <c r="FO157" s="35" t="s">
        <v>414</v>
      </c>
      <c r="FP157" s="35" t="s">
        <v>850</v>
      </c>
      <c r="FQ157" s="35" t="s">
        <v>486</v>
      </c>
      <c r="FR157" s="35" t="s">
        <v>630</v>
      </c>
      <c r="FS157" s="35" t="s">
        <v>9097</v>
      </c>
      <c r="FT157" s="35" t="s">
        <v>420</v>
      </c>
      <c r="FU157" s="35" t="s">
        <v>488</v>
      </c>
      <c r="FV157" s="35" t="s">
        <v>533</v>
      </c>
      <c r="FW157" s="35" t="s">
        <v>490</v>
      </c>
      <c r="FX157" s="35" t="s">
        <v>491</v>
      </c>
      <c r="FY157" s="35" t="s">
        <v>9098</v>
      </c>
      <c r="FZ157" s="35" t="s">
        <v>535</v>
      </c>
      <c r="GC157" s="35" t="s">
        <v>455</v>
      </c>
      <c r="GD157" s="35" t="s">
        <v>12169</v>
      </c>
      <c r="GF157" s="35" t="s">
        <v>753</v>
      </c>
      <c r="GG157" s="35" t="s">
        <v>9099</v>
      </c>
      <c r="GH157" s="35" t="s">
        <v>755</v>
      </c>
      <c r="GI157" s="35" t="s">
        <v>755</v>
      </c>
      <c r="GJ157" s="35" t="s">
        <v>946</v>
      </c>
      <c r="GN157" s="35" t="s">
        <v>1079</v>
      </c>
      <c r="GQ157" s="35" t="s">
        <v>387</v>
      </c>
      <c r="GR157" s="35" t="s">
        <v>3208</v>
      </c>
      <c r="GU157" s="35" t="s">
        <v>5170</v>
      </c>
      <c r="GV157" s="35" t="s">
        <v>408</v>
      </c>
      <c r="GW157" s="35" t="s">
        <v>5231</v>
      </c>
      <c r="GX157" s="35" t="s">
        <v>484</v>
      </c>
      <c r="HD157" s="35" t="s">
        <v>5297</v>
      </c>
      <c r="HE157" s="35" t="s">
        <v>5282</v>
      </c>
      <c r="HF157" s="35" t="s">
        <v>5320</v>
      </c>
      <c r="HG157" s="35" t="s">
        <v>5899</v>
      </c>
      <c r="HH157" s="35" t="s">
        <v>9100</v>
      </c>
      <c r="HI157" s="35" t="s">
        <v>5495</v>
      </c>
      <c r="HJ157" s="35" t="s">
        <v>9101</v>
      </c>
      <c r="HK157" s="35" t="s">
        <v>9102</v>
      </c>
      <c r="HP157" s="35" t="s">
        <v>5236</v>
      </c>
      <c r="HQ157" s="35" t="s">
        <v>5264</v>
      </c>
      <c r="HR157" s="35" t="s">
        <v>5238</v>
      </c>
      <c r="HS157" s="35" t="s">
        <v>5321</v>
      </c>
      <c r="HX157" s="35" t="s">
        <v>5578</v>
      </c>
      <c r="IO157" s="35" t="s">
        <v>5500</v>
      </c>
      <c r="IP157" s="35" t="s">
        <v>5500</v>
      </c>
      <c r="IQ157" s="35" t="s">
        <v>5536</v>
      </c>
      <c r="IR157" s="35" t="s">
        <v>5500</v>
      </c>
      <c r="IS157" s="35" t="s">
        <v>5537</v>
      </c>
      <c r="IT157" s="35" t="s">
        <v>5537</v>
      </c>
      <c r="MK157" s="35" t="s">
        <v>6321</v>
      </c>
    </row>
    <row r="158">
      <c r="A158" s="35" t="s">
        <v>12170</v>
      </c>
      <c r="B158" s="40">
        <v>46117.65196458333</v>
      </c>
      <c r="C158" s="35" t="s">
        <v>368</v>
      </c>
      <c r="D158" s="35" t="s">
        <v>370</v>
      </c>
      <c r="E158" s="35" t="s">
        <v>370</v>
      </c>
      <c r="F158" s="35" t="s">
        <v>371</v>
      </c>
      <c r="G158" s="35" t="s">
        <v>371</v>
      </c>
      <c r="H158" s="35" t="s">
        <v>9103</v>
      </c>
      <c r="I158" s="35" t="s">
        <v>637</v>
      </c>
      <c r="J158" s="35" t="s">
        <v>638</v>
      </c>
      <c r="K158" s="35" t="s">
        <v>425</v>
      </c>
      <c r="L158" s="35" t="s">
        <v>376</v>
      </c>
      <c r="M158" s="35" t="s">
        <v>793</v>
      </c>
      <c r="N158" s="35" t="s">
        <v>720</v>
      </c>
      <c r="O158" s="35" t="s">
        <v>793</v>
      </c>
      <c r="P158" s="35" t="s">
        <v>378</v>
      </c>
      <c r="Q158" s="35" t="s">
        <v>498</v>
      </c>
      <c r="R158" s="35" t="s">
        <v>499</v>
      </c>
      <c r="S158" s="35" t="s">
        <v>427</v>
      </c>
      <c r="T158" s="35" t="s">
        <v>384</v>
      </c>
      <c r="U158" s="35" t="s">
        <v>385</v>
      </c>
      <c r="X158" s="35" t="s">
        <v>3231</v>
      </c>
      <c r="AW158" s="35" t="s">
        <v>390</v>
      </c>
      <c r="AX158" s="35" t="s">
        <v>429</v>
      </c>
      <c r="AY158" s="41">
        <v>2.0</v>
      </c>
      <c r="AZ158" s="41">
        <v>2.0</v>
      </c>
      <c r="BA158" s="35" t="s">
        <v>429</v>
      </c>
      <c r="BB158" s="35" t="s">
        <v>429</v>
      </c>
      <c r="BC158" s="35" t="s">
        <v>429</v>
      </c>
      <c r="BF158" s="35" t="s">
        <v>392</v>
      </c>
      <c r="BG158" s="35" t="s">
        <v>433</v>
      </c>
      <c r="BH158" s="35" t="s">
        <v>678</v>
      </c>
      <c r="BJ158" s="35" t="s">
        <v>824</v>
      </c>
      <c r="BL158" s="35" t="s">
        <v>511</v>
      </c>
      <c r="BM158" s="35" t="s">
        <v>396</v>
      </c>
      <c r="BN158" s="35" t="s">
        <v>439</v>
      </c>
      <c r="BO158" s="35" t="s">
        <v>440</v>
      </c>
      <c r="DJ158" s="35" t="s">
        <v>459</v>
      </c>
      <c r="DK158" s="35" t="s">
        <v>460</v>
      </c>
      <c r="DL158" s="35" t="s">
        <v>6335</v>
      </c>
      <c r="DN158" s="35" t="s">
        <v>9104</v>
      </c>
      <c r="DO158" s="35" t="s">
        <v>9105</v>
      </c>
      <c r="DP158" s="35" t="s">
        <v>567</v>
      </c>
      <c r="DR158" s="35" t="s">
        <v>837</v>
      </c>
      <c r="DT158" s="35" t="s">
        <v>702</v>
      </c>
      <c r="DU158" s="35" t="s">
        <v>3171</v>
      </c>
      <c r="DX158" s="35" t="s">
        <v>573</v>
      </c>
      <c r="EB158" s="35" t="s">
        <v>1413</v>
      </c>
      <c r="EC158" s="35" t="s">
        <v>626</v>
      </c>
      <c r="EU158" s="35" t="s">
        <v>526</v>
      </c>
      <c r="EV158" s="35" t="s">
        <v>1037</v>
      </c>
      <c r="EW158" s="35" t="s">
        <v>480</v>
      </c>
      <c r="FA158" s="35" t="s">
        <v>413</v>
      </c>
      <c r="FB158" s="35" t="s">
        <v>415</v>
      </c>
      <c r="FC158" s="35" t="s">
        <v>416</v>
      </c>
      <c r="FD158" s="35" t="s">
        <v>415</v>
      </c>
      <c r="FE158" s="35" t="s">
        <v>413</v>
      </c>
      <c r="FF158" s="35" t="s">
        <v>414</v>
      </c>
      <c r="FG158" s="35" t="s">
        <v>416</v>
      </c>
      <c r="FH158" s="35" t="s">
        <v>413</v>
      </c>
      <c r="FI158" s="35" t="s">
        <v>583</v>
      </c>
      <c r="FJ158" s="35" t="s">
        <v>415</v>
      </c>
      <c r="FK158" s="35" t="s">
        <v>413</v>
      </c>
      <c r="FL158" s="35" t="s">
        <v>415</v>
      </c>
      <c r="FM158" s="35" t="s">
        <v>415</v>
      </c>
      <c r="FN158" s="35" t="s">
        <v>416</v>
      </c>
      <c r="FO158" s="35" t="s">
        <v>583</v>
      </c>
      <c r="FP158" s="35" t="s">
        <v>417</v>
      </c>
      <c r="FQ158" s="35" t="s">
        <v>418</v>
      </c>
      <c r="FR158" s="35" t="s">
        <v>1039</v>
      </c>
      <c r="FT158" s="35" t="s">
        <v>420</v>
      </c>
      <c r="FU158" s="35" t="s">
        <v>488</v>
      </c>
      <c r="FV158" s="35" t="s">
        <v>918</v>
      </c>
      <c r="FW158" s="35" t="s">
        <v>490</v>
      </c>
      <c r="FX158" s="35" t="s">
        <v>491</v>
      </c>
      <c r="FZ158" s="35" t="s">
        <v>535</v>
      </c>
      <c r="GC158" s="35" t="s">
        <v>408</v>
      </c>
      <c r="GN158" s="35" t="s">
        <v>6629</v>
      </c>
      <c r="GQ158" s="35" t="s">
        <v>9106</v>
      </c>
      <c r="GR158" s="35" t="s">
        <v>3208</v>
      </c>
      <c r="GW158" s="35" t="s">
        <v>5231</v>
      </c>
      <c r="GX158" s="35" t="s">
        <v>484</v>
      </c>
      <c r="HI158" s="35" t="s">
        <v>5625</v>
      </c>
      <c r="HP158" s="35" t="s">
        <v>5236</v>
      </c>
      <c r="HQ158" s="35" t="s">
        <v>5302</v>
      </c>
      <c r="HR158" s="35" t="s">
        <v>5238</v>
      </c>
      <c r="HS158" s="35" t="s">
        <v>9107</v>
      </c>
      <c r="IO158" s="35" t="s">
        <v>5537</v>
      </c>
      <c r="IP158" s="35" t="s">
        <v>5537</v>
      </c>
      <c r="IQ158" s="35" t="s">
        <v>5537</v>
      </c>
      <c r="IR158" s="35" t="s">
        <v>5537</v>
      </c>
      <c r="IS158" s="35" t="s">
        <v>5537</v>
      </c>
      <c r="IT158" s="35" t="s">
        <v>5537</v>
      </c>
      <c r="MK158" s="35" t="s">
        <v>6321</v>
      </c>
    </row>
    <row r="159">
      <c r="A159" s="35" t="s">
        <v>12171</v>
      </c>
      <c r="B159" s="40">
        <v>46117.68807715278</v>
      </c>
      <c r="C159" s="35" t="s">
        <v>368</v>
      </c>
      <c r="D159" s="35" t="s">
        <v>370</v>
      </c>
      <c r="E159" s="35" t="s">
        <v>370</v>
      </c>
      <c r="F159" s="35" t="s">
        <v>371</v>
      </c>
      <c r="G159" s="35" t="s">
        <v>371</v>
      </c>
      <c r="H159" s="35" t="s">
        <v>792</v>
      </c>
      <c r="I159" s="35" t="s">
        <v>637</v>
      </c>
      <c r="J159" s="35" t="s">
        <v>638</v>
      </c>
      <c r="K159" s="35" t="s">
        <v>718</v>
      </c>
      <c r="L159" s="35" t="s">
        <v>376</v>
      </c>
      <c r="M159" s="35" t="s">
        <v>591</v>
      </c>
      <c r="N159" s="35" t="s">
        <v>9127</v>
      </c>
      <c r="O159" s="35" t="s">
        <v>670</v>
      </c>
      <c r="P159" s="35" t="s">
        <v>9128</v>
      </c>
      <c r="Q159" s="35" t="s">
        <v>592</v>
      </c>
      <c r="R159" s="35" t="s">
        <v>862</v>
      </c>
      <c r="S159" s="35" t="s">
        <v>427</v>
      </c>
      <c r="T159" s="35" t="s">
        <v>384</v>
      </c>
      <c r="U159" s="35" t="s">
        <v>385</v>
      </c>
      <c r="X159" s="35" t="s">
        <v>3231</v>
      </c>
      <c r="AW159" s="35" t="s">
        <v>1310</v>
      </c>
      <c r="AX159" s="41">
        <v>4.0</v>
      </c>
      <c r="AY159" s="41">
        <v>2.0</v>
      </c>
      <c r="AZ159" s="35" t="s">
        <v>391</v>
      </c>
      <c r="BA159" s="41">
        <v>2.0</v>
      </c>
      <c r="BB159" s="41">
        <v>4.0</v>
      </c>
      <c r="BC159" s="35" t="s">
        <v>391</v>
      </c>
      <c r="BD159" s="35" t="s">
        <v>9129</v>
      </c>
      <c r="BE159" s="35" t="s">
        <v>9130</v>
      </c>
      <c r="BF159" s="35" t="s">
        <v>432</v>
      </c>
      <c r="BG159" s="35" t="s">
        <v>433</v>
      </c>
      <c r="BH159" s="35" t="s">
        <v>434</v>
      </c>
      <c r="BI159" s="35" t="s">
        <v>9131</v>
      </c>
      <c r="BJ159" s="35" t="s">
        <v>727</v>
      </c>
      <c r="BL159" s="35" t="s">
        <v>437</v>
      </c>
      <c r="BM159" s="35" t="s">
        <v>438</v>
      </c>
      <c r="BN159" s="35" t="s">
        <v>549</v>
      </c>
      <c r="BO159" s="35" t="s">
        <v>440</v>
      </c>
      <c r="CM159" s="35" t="s">
        <v>441</v>
      </c>
      <c r="CN159" s="35" t="s">
        <v>442</v>
      </c>
      <c r="CO159" s="35" t="s">
        <v>9132</v>
      </c>
      <c r="CP159" s="35" t="s">
        <v>9133</v>
      </c>
      <c r="CQ159" s="35" t="s">
        <v>445</v>
      </c>
      <c r="CR159" s="35" t="s">
        <v>9134</v>
      </c>
      <c r="CS159" s="35" t="s">
        <v>447</v>
      </c>
      <c r="CT159" s="35" t="s">
        <v>980</v>
      </c>
      <c r="CU159" s="35" t="s">
        <v>9135</v>
      </c>
      <c r="CV159" s="35" t="s">
        <v>519</v>
      </c>
      <c r="CW159" s="35" t="s">
        <v>451</v>
      </c>
      <c r="CX159" s="35" t="s">
        <v>9136</v>
      </c>
      <c r="CY159" s="35" t="s">
        <v>408</v>
      </c>
      <c r="DA159" s="35" t="s">
        <v>985</v>
      </c>
      <c r="DB159" s="35" t="s">
        <v>9137</v>
      </c>
      <c r="DC159" s="35" t="s">
        <v>455</v>
      </c>
      <c r="DD159" s="35" t="s">
        <v>9138</v>
      </c>
      <c r="DE159" s="35" t="s">
        <v>406</v>
      </c>
      <c r="DF159" s="35" t="s">
        <v>407</v>
      </c>
      <c r="DG159" s="35" t="s">
        <v>9139</v>
      </c>
      <c r="DH159" s="35" t="s">
        <v>524</v>
      </c>
      <c r="DI159" s="35" t="s">
        <v>410</v>
      </c>
      <c r="DJ159" s="35" t="s">
        <v>459</v>
      </c>
      <c r="DK159" s="35" t="s">
        <v>460</v>
      </c>
      <c r="DL159" s="35" t="s">
        <v>6335</v>
      </c>
      <c r="DN159" s="35" t="s">
        <v>9140</v>
      </c>
      <c r="DO159" s="35" t="s">
        <v>9141</v>
      </c>
      <c r="DP159" s="35" t="s">
        <v>464</v>
      </c>
      <c r="DQ159" s="35" t="s">
        <v>9142</v>
      </c>
      <c r="DR159" s="35" t="s">
        <v>700</v>
      </c>
      <c r="DS159" s="35" t="s">
        <v>9143</v>
      </c>
      <c r="DT159" s="35" t="s">
        <v>618</v>
      </c>
      <c r="DU159" s="35" t="s">
        <v>570</v>
      </c>
      <c r="DV159" s="35" t="s">
        <v>9144</v>
      </c>
      <c r="DW159" s="35" t="s">
        <v>9145</v>
      </c>
      <c r="DX159" s="35" t="s">
        <v>1328</v>
      </c>
      <c r="DY159" s="35" t="s">
        <v>9146</v>
      </c>
      <c r="DZ159" s="35" t="s">
        <v>9147</v>
      </c>
      <c r="EA159" s="35" t="s">
        <v>9148</v>
      </c>
      <c r="EB159" s="35" t="s">
        <v>475</v>
      </c>
      <c r="EC159" s="35" t="s">
        <v>476</v>
      </c>
      <c r="ED159" s="35" t="s">
        <v>9149</v>
      </c>
      <c r="EU159" s="35" t="s">
        <v>526</v>
      </c>
      <c r="EV159" s="35" t="s">
        <v>887</v>
      </c>
      <c r="EW159" s="35" t="s">
        <v>480</v>
      </c>
      <c r="EY159" s="35" t="s">
        <v>9150</v>
      </c>
      <c r="EZ159" s="35" t="s">
        <v>9151</v>
      </c>
      <c r="FA159" s="35" t="s">
        <v>415</v>
      </c>
      <c r="FB159" s="35" t="s">
        <v>415</v>
      </c>
      <c r="FC159" s="35" t="s">
        <v>413</v>
      </c>
      <c r="FD159" s="35" t="s">
        <v>413</v>
      </c>
      <c r="FE159" s="35" t="s">
        <v>413</v>
      </c>
      <c r="FF159" s="35" t="s">
        <v>415</v>
      </c>
      <c r="FG159" s="35" t="s">
        <v>413</v>
      </c>
      <c r="FH159" s="35" t="s">
        <v>413</v>
      </c>
      <c r="FI159" s="35" t="s">
        <v>583</v>
      </c>
      <c r="FJ159" s="35" t="s">
        <v>414</v>
      </c>
      <c r="FK159" s="35" t="s">
        <v>416</v>
      </c>
      <c r="FL159" s="35" t="s">
        <v>413</v>
      </c>
      <c r="FM159" s="35" t="s">
        <v>416</v>
      </c>
      <c r="FN159" s="35" t="s">
        <v>413</v>
      </c>
      <c r="FO159" s="35" t="s">
        <v>583</v>
      </c>
      <c r="FP159" s="35" t="s">
        <v>485</v>
      </c>
      <c r="FQ159" s="35" t="s">
        <v>418</v>
      </c>
      <c r="FR159" s="35" t="s">
        <v>419</v>
      </c>
      <c r="FT159" s="35" t="s">
        <v>420</v>
      </c>
      <c r="FU159" s="35" t="s">
        <v>488</v>
      </c>
      <c r="FV159" s="35" t="s">
        <v>489</v>
      </c>
      <c r="FW159" s="35" t="s">
        <v>490</v>
      </c>
      <c r="FX159" s="35" t="s">
        <v>491</v>
      </c>
      <c r="FZ159" s="35" t="s">
        <v>493</v>
      </c>
      <c r="GC159" s="35" t="s">
        <v>455</v>
      </c>
      <c r="GE159" s="35" t="s">
        <v>9152</v>
      </c>
      <c r="GF159" s="35" t="s">
        <v>855</v>
      </c>
      <c r="GH159" s="35" t="s">
        <v>755</v>
      </c>
      <c r="GI159" s="35" t="s">
        <v>755</v>
      </c>
      <c r="GJ159" s="35" t="s">
        <v>946</v>
      </c>
      <c r="GN159" s="35" t="s">
        <v>1079</v>
      </c>
      <c r="GQ159" s="35" t="s">
        <v>387</v>
      </c>
      <c r="GR159" s="35" t="s">
        <v>3208</v>
      </c>
      <c r="GU159" s="35" t="s">
        <v>4774</v>
      </c>
      <c r="GW159" s="35" t="s">
        <v>5231</v>
      </c>
      <c r="GX159" s="35" t="s">
        <v>5232</v>
      </c>
      <c r="HD159" s="35" t="s">
        <v>5297</v>
      </c>
      <c r="HE159" s="35" t="s">
        <v>5282</v>
      </c>
      <c r="HF159" s="35" t="s">
        <v>5320</v>
      </c>
      <c r="HG159" s="35" t="s">
        <v>5300</v>
      </c>
      <c r="HH159" s="35" t="s">
        <v>9153</v>
      </c>
      <c r="HI159" s="35" t="s">
        <v>6631</v>
      </c>
      <c r="HJ159" s="35" t="s">
        <v>9154</v>
      </c>
      <c r="HK159" s="35" t="s">
        <v>9155</v>
      </c>
      <c r="HP159" s="35" t="s">
        <v>5236</v>
      </c>
      <c r="HQ159" s="35" t="s">
        <v>5264</v>
      </c>
      <c r="HR159" s="35" t="s">
        <v>5238</v>
      </c>
      <c r="HS159" s="35" t="s">
        <v>5347</v>
      </c>
      <c r="HX159" s="35" t="s">
        <v>6274</v>
      </c>
      <c r="IO159" s="35" t="s">
        <v>5536</v>
      </c>
      <c r="IP159" s="35" t="s">
        <v>5536</v>
      </c>
      <c r="IQ159" s="35" t="s">
        <v>5536</v>
      </c>
      <c r="IR159" s="35" t="s">
        <v>5537</v>
      </c>
      <c r="IS159" s="35" t="s">
        <v>5536</v>
      </c>
      <c r="IT159" s="35" t="s">
        <v>5536</v>
      </c>
      <c r="MK159" s="35" t="s">
        <v>6321</v>
      </c>
    </row>
    <row r="160">
      <c r="A160" s="35" t="s">
        <v>12172</v>
      </c>
      <c r="B160" s="40">
        <v>46118.064871678245</v>
      </c>
      <c r="C160" s="35" t="s">
        <v>368</v>
      </c>
      <c r="D160" s="35" t="s">
        <v>370</v>
      </c>
      <c r="E160" s="35" t="s">
        <v>370</v>
      </c>
      <c r="F160" s="35" t="s">
        <v>3955</v>
      </c>
      <c r="G160" s="35" t="s">
        <v>667</v>
      </c>
      <c r="H160" s="35" t="s">
        <v>422</v>
      </c>
      <c r="I160" s="35" t="s">
        <v>373</v>
      </c>
      <c r="J160" s="35" t="s">
        <v>374</v>
      </c>
      <c r="K160" s="35" t="s">
        <v>375</v>
      </c>
      <c r="L160" s="35" t="s">
        <v>376</v>
      </c>
      <c r="M160" s="35" t="s">
        <v>426</v>
      </c>
      <c r="N160" s="35" t="s">
        <v>541</v>
      </c>
      <c r="O160" s="35" t="s">
        <v>426</v>
      </c>
      <c r="P160" s="35" t="s">
        <v>671</v>
      </c>
      <c r="Q160" s="35" t="s">
        <v>498</v>
      </c>
      <c r="R160" s="35" t="s">
        <v>759</v>
      </c>
      <c r="S160" s="35" t="s">
        <v>949</v>
      </c>
      <c r="T160" s="35" t="s">
        <v>384</v>
      </c>
      <c r="U160" s="35" t="s">
        <v>385</v>
      </c>
      <c r="X160" s="35" t="s">
        <v>593</v>
      </c>
      <c r="Y160" s="35" t="s">
        <v>387</v>
      </c>
      <c r="Z160" s="35" t="s">
        <v>388</v>
      </c>
      <c r="AA160" s="35" t="s">
        <v>502</v>
      </c>
      <c r="AB160" s="35" t="s">
        <v>408</v>
      </c>
      <c r="AC160" s="35" t="s">
        <v>9156</v>
      </c>
      <c r="AW160" s="35" t="s">
        <v>1310</v>
      </c>
      <c r="AX160" s="35" t="s">
        <v>391</v>
      </c>
      <c r="AY160" s="41">
        <v>2.0</v>
      </c>
      <c r="AZ160" s="35" t="s">
        <v>391</v>
      </c>
      <c r="BA160" s="41">
        <v>2.0</v>
      </c>
      <c r="BB160" s="35" t="s">
        <v>391</v>
      </c>
      <c r="BC160" s="41">
        <v>2.0</v>
      </c>
      <c r="BD160" s="35" t="s">
        <v>9157</v>
      </c>
      <c r="BE160" s="35" t="s">
        <v>9158</v>
      </c>
      <c r="BF160" s="35" t="s">
        <v>392</v>
      </c>
      <c r="BG160" s="35" t="s">
        <v>433</v>
      </c>
      <c r="BH160" s="35" t="s">
        <v>725</v>
      </c>
      <c r="BI160" s="35" t="s">
        <v>9159</v>
      </c>
      <c r="BJ160" s="35" t="s">
        <v>435</v>
      </c>
      <c r="BK160" s="35" t="s">
        <v>9160</v>
      </c>
      <c r="BL160" s="35" t="s">
        <v>511</v>
      </c>
      <c r="BM160" s="35" t="s">
        <v>904</v>
      </c>
      <c r="BN160" s="35" t="s">
        <v>1247</v>
      </c>
      <c r="BO160" s="35" t="s">
        <v>440</v>
      </c>
      <c r="CM160" s="35" t="s">
        <v>441</v>
      </c>
      <c r="CN160" s="35" t="s">
        <v>442</v>
      </c>
      <c r="CO160" s="35" t="s">
        <v>9161</v>
      </c>
      <c r="CP160" s="35" t="s">
        <v>9162</v>
      </c>
      <c r="CQ160" s="35" t="s">
        <v>979</v>
      </c>
      <c r="CR160" s="35" t="s">
        <v>9163</v>
      </c>
      <c r="CS160" s="35" t="s">
        <v>447</v>
      </c>
      <c r="CT160" s="35" t="s">
        <v>6848</v>
      </c>
      <c r="CU160" s="35" t="s">
        <v>9164</v>
      </c>
      <c r="CV160" s="35" t="s">
        <v>450</v>
      </c>
      <c r="CW160" s="35" t="s">
        <v>451</v>
      </c>
      <c r="CX160" s="35" t="s">
        <v>9165</v>
      </c>
      <c r="CY160" s="35" t="s">
        <v>408</v>
      </c>
      <c r="DA160" s="35" t="s">
        <v>453</v>
      </c>
      <c r="DB160" s="35" t="s">
        <v>9166</v>
      </c>
      <c r="DC160" s="35" t="s">
        <v>455</v>
      </c>
      <c r="DD160" s="35" t="s">
        <v>9167</v>
      </c>
      <c r="DE160" s="35" t="s">
        <v>988</v>
      </c>
      <c r="DG160" s="35" t="s">
        <v>9168</v>
      </c>
      <c r="DH160" s="35" t="s">
        <v>524</v>
      </c>
      <c r="DI160" s="35" t="s">
        <v>833</v>
      </c>
      <c r="DJ160" s="35" t="s">
        <v>459</v>
      </c>
      <c r="DK160" s="35" t="s">
        <v>460</v>
      </c>
      <c r="DL160" s="35" t="s">
        <v>6335</v>
      </c>
      <c r="DN160" s="35" t="s">
        <v>9169</v>
      </c>
      <c r="DO160" s="35" t="s">
        <v>9170</v>
      </c>
      <c r="DP160" s="35" t="s">
        <v>567</v>
      </c>
      <c r="DQ160" s="35" t="s">
        <v>9171</v>
      </c>
      <c r="DR160" s="35" t="s">
        <v>1291</v>
      </c>
      <c r="DS160" s="35" t="s">
        <v>9172</v>
      </c>
      <c r="DT160" s="35" t="s">
        <v>839</v>
      </c>
      <c r="DU160" s="35" t="s">
        <v>570</v>
      </c>
      <c r="DV160" s="35" t="s">
        <v>9173</v>
      </c>
      <c r="DW160" s="35" t="s">
        <v>9174</v>
      </c>
      <c r="DX160" s="35" t="s">
        <v>622</v>
      </c>
      <c r="DY160" s="35" t="s">
        <v>9175</v>
      </c>
      <c r="DZ160" s="35" t="s">
        <v>9176</v>
      </c>
      <c r="EA160" s="35" t="s">
        <v>9177</v>
      </c>
      <c r="EB160" s="35" t="s">
        <v>475</v>
      </c>
      <c r="EC160" s="35" t="s">
        <v>626</v>
      </c>
      <c r="EU160" s="35" t="s">
        <v>526</v>
      </c>
      <c r="EV160" s="35" t="s">
        <v>479</v>
      </c>
      <c r="EW160" s="35" t="s">
        <v>480</v>
      </c>
      <c r="EY160" s="35" t="s">
        <v>9178</v>
      </c>
      <c r="EZ160" s="35" t="s">
        <v>9179</v>
      </c>
      <c r="FA160" s="35" t="s">
        <v>413</v>
      </c>
      <c r="FB160" s="35" t="s">
        <v>415</v>
      </c>
      <c r="FC160" s="35" t="s">
        <v>413</v>
      </c>
      <c r="FD160" s="35" t="s">
        <v>415</v>
      </c>
      <c r="FE160" s="35" t="s">
        <v>413</v>
      </c>
      <c r="FF160" s="35" t="s">
        <v>415</v>
      </c>
      <c r="FG160" s="35" t="s">
        <v>413</v>
      </c>
      <c r="FH160" s="35" t="s">
        <v>416</v>
      </c>
      <c r="FI160" s="35" t="s">
        <v>484</v>
      </c>
      <c r="FJ160" s="35" t="s">
        <v>583</v>
      </c>
      <c r="FK160" s="35" t="s">
        <v>415</v>
      </c>
      <c r="FL160" s="35" t="s">
        <v>415</v>
      </c>
      <c r="FM160" s="35" t="s">
        <v>415</v>
      </c>
      <c r="FN160" s="35" t="s">
        <v>484</v>
      </c>
      <c r="FO160" s="35" t="s">
        <v>484</v>
      </c>
      <c r="FP160" s="35" t="s">
        <v>485</v>
      </c>
      <c r="FQ160" s="35" t="s">
        <v>486</v>
      </c>
      <c r="FR160" s="35" t="s">
        <v>630</v>
      </c>
      <c r="FS160" s="35" t="s">
        <v>9180</v>
      </c>
      <c r="FT160" s="35" t="s">
        <v>420</v>
      </c>
      <c r="FU160" s="35" t="s">
        <v>488</v>
      </c>
      <c r="FV160" s="35" t="s">
        <v>533</v>
      </c>
      <c r="FW160" s="35" t="s">
        <v>490</v>
      </c>
      <c r="FX160" s="35" t="s">
        <v>491</v>
      </c>
      <c r="FY160" s="35" t="s">
        <v>9181</v>
      </c>
      <c r="FZ160" s="35" t="s">
        <v>535</v>
      </c>
      <c r="GA160" s="35" t="s">
        <v>9182</v>
      </c>
      <c r="GC160" s="35" t="s">
        <v>408</v>
      </c>
      <c r="GH160" s="35" t="s">
        <v>788</v>
      </c>
      <c r="GI160" s="35" t="s">
        <v>788</v>
      </c>
      <c r="GJ160" s="35" t="s">
        <v>858</v>
      </c>
      <c r="GN160" s="35" t="s">
        <v>1079</v>
      </c>
      <c r="GR160" s="35" t="s">
        <v>3208</v>
      </c>
      <c r="GU160" s="35" t="s">
        <v>5170</v>
      </c>
      <c r="GV160" s="35" t="s">
        <v>9183</v>
      </c>
      <c r="GW160" s="35" t="s">
        <v>5231</v>
      </c>
      <c r="GX160" s="35" t="s">
        <v>484</v>
      </c>
      <c r="HD160" s="35" t="s">
        <v>5297</v>
      </c>
      <c r="HE160" s="35" t="s">
        <v>5282</v>
      </c>
      <c r="HF160" s="35" t="s">
        <v>5492</v>
      </c>
      <c r="HG160" s="35" t="s">
        <v>5300</v>
      </c>
      <c r="HH160" s="35" t="s">
        <v>9184</v>
      </c>
      <c r="HI160" s="35" t="s">
        <v>5343</v>
      </c>
      <c r="HJ160" s="35" t="s">
        <v>9185</v>
      </c>
      <c r="HK160" s="35" t="s">
        <v>9186</v>
      </c>
      <c r="HP160" s="35" t="s">
        <v>5236</v>
      </c>
      <c r="HQ160" s="35" t="s">
        <v>5237</v>
      </c>
      <c r="HR160" s="35" t="s">
        <v>5238</v>
      </c>
      <c r="HS160" s="35" t="s">
        <v>5321</v>
      </c>
      <c r="HX160" s="35" t="s">
        <v>6274</v>
      </c>
      <c r="IO160" s="35" t="s">
        <v>5536</v>
      </c>
      <c r="IP160" s="35" t="s">
        <v>5536</v>
      </c>
      <c r="IQ160" s="35" t="s">
        <v>5500</v>
      </c>
      <c r="IR160" s="35" t="s">
        <v>5500</v>
      </c>
      <c r="IS160" s="35" t="s">
        <v>5500</v>
      </c>
      <c r="IT160" s="35" t="s">
        <v>5500</v>
      </c>
      <c r="MK160" s="35" t="s">
        <v>6321</v>
      </c>
    </row>
    <row r="161">
      <c r="A161" s="35" t="s">
        <v>12173</v>
      </c>
      <c r="B161" s="40">
        <v>46118.1994543287</v>
      </c>
      <c r="C161" s="35" t="s">
        <v>368</v>
      </c>
      <c r="D161" s="35" t="s">
        <v>1201</v>
      </c>
      <c r="E161" s="35" t="s">
        <v>1201</v>
      </c>
      <c r="H161" s="35" t="s">
        <v>3187</v>
      </c>
      <c r="I161" s="35" t="s">
        <v>373</v>
      </c>
      <c r="J161" s="35" t="s">
        <v>374</v>
      </c>
      <c r="K161" s="35" t="s">
        <v>375</v>
      </c>
      <c r="L161" s="35" t="s">
        <v>376</v>
      </c>
      <c r="M161" s="35" t="s">
        <v>426</v>
      </c>
      <c r="N161" s="35" t="s">
        <v>378</v>
      </c>
      <c r="O161" s="35" t="s">
        <v>426</v>
      </c>
      <c r="P161" s="35" t="s">
        <v>497</v>
      </c>
      <c r="Q161" s="35" t="s">
        <v>498</v>
      </c>
      <c r="R161" s="35" t="s">
        <v>382</v>
      </c>
      <c r="S161" s="35" t="s">
        <v>500</v>
      </c>
      <c r="T161" s="35" t="s">
        <v>384</v>
      </c>
      <c r="U161" s="35" t="s">
        <v>385</v>
      </c>
      <c r="X161" s="35" t="s">
        <v>3231</v>
      </c>
      <c r="AW161" s="35" t="s">
        <v>597</v>
      </c>
      <c r="AX161" s="41">
        <v>2.0</v>
      </c>
      <c r="AY161" s="35" t="s">
        <v>429</v>
      </c>
      <c r="AZ161" s="35" t="s">
        <v>429</v>
      </c>
      <c r="BA161" s="41">
        <v>2.0</v>
      </c>
      <c r="BB161" s="41">
        <v>4.0</v>
      </c>
      <c r="BC161" s="35" t="s">
        <v>391</v>
      </c>
      <c r="BD161" s="35" t="s">
        <v>9187</v>
      </c>
      <c r="BE161" s="35" t="s">
        <v>9188</v>
      </c>
      <c r="BF161" s="35" t="s">
        <v>392</v>
      </c>
      <c r="BG161" s="35" t="s">
        <v>433</v>
      </c>
      <c r="BH161" s="35" t="s">
        <v>765</v>
      </c>
      <c r="BI161" s="35" t="s">
        <v>9189</v>
      </c>
      <c r="BJ161" s="35" t="s">
        <v>727</v>
      </c>
      <c r="BK161" s="35" t="s">
        <v>9190</v>
      </c>
      <c r="BL161" s="35" t="s">
        <v>395</v>
      </c>
      <c r="BM161" s="35" t="s">
        <v>603</v>
      </c>
      <c r="BN161" s="35" t="s">
        <v>549</v>
      </c>
      <c r="BO161" s="35" t="s">
        <v>440</v>
      </c>
      <c r="CM161" s="35" t="s">
        <v>550</v>
      </c>
      <c r="CN161" s="35" t="s">
        <v>604</v>
      </c>
      <c r="CO161" s="35" t="s">
        <v>9191</v>
      </c>
      <c r="CP161" s="35" t="s">
        <v>9192</v>
      </c>
      <c r="CQ161" s="35" t="s">
        <v>685</v>
      </c>
      <c r="CR161" s="35" t="s">
        <v>9193</v>
      </c>
      <c r="CS161" s="35" t="s">
        <v>804</v>
      </c>
      <c r="CT161" s="35" t="s">
        <v>6041</v>
      </c>
      <c r="CU161" s="35" t="s">
        <v>9194</v>
      </c>
      <c r="CV161" s="35" t="s">
        <v>450</v>
      </c>
      <c r="CW161" s="35" t="s">
        <v>451</v>
      </c>
      <c r="CX161" s="35" t="s">
        <v>9195</v>
      </c>
      <c r="CY161" s="35" t="s">
        <v>408</v>
      </c>
      <c r="DA161" s="35" t="s">
        <v>453</v>
      </c>
      <c r="DB161" s="35" t="s">
        <v>9196</v>
      </c>
      <c r="DC161" s="35" t="s">
        <v>455</v>
      </c>
      <c r="DD161" s="35" t="s">
        <v>9197</v>
      </c>
      <c r="DE161" s="35" t="s">
        <v>662</v>
      </c>
      <c r="DF161" s="35" t="s">
        <v>691</v>
      </c>
      <c r="DG161" s="35" t="s">
        <v>9198</v>
      </c>
      <c r="DH161" s="35" t="s">
        <v>561</v>
      </c>
      <c r="DI161" s="35" t="s">
        <v>833</v>
      </c>
      <c r="DJ161" s="35" t="s">
        <v>459</v>
      </c>
      <c r="DK161" s="35" t="s">
        <v>562</v>
      </c>
      <c r="DL161" s="35" t="s">
        <v>6319</v>
      </c>
      <c r="DN161" s="35" t="s">
        <v>9199</v>
      </c>
      <c r="DO161" s="35" t="s">
        <v>9200</v>
      </c>
      <c r="DP161" s="35" t="s">
        <v>567</v>
      </c>
      <c r="DQ161" s="35" t="s">
        <v>9201</v>
      </c>
      <c r="DR161" s="35" t="s">
        <v>1176</v>
      </c>
      <c r="DS161" s="35" t="s">
        <v>9202</v>
      </c>
      <c r="DT161" s="35" t="s">
        <v>468</v>
      </c>
      <c r="DU161" s="35" t="s">
        <v>703</v>
      </c>
      <c r="DV161" s="35" t="s">
        <v>9203</v>
      </c>
      <c r="DW161" s="35" t="s">
        <v>9204</v>
      </c>
      <c r="DX161" s="35" t="s">
        <v>622</v>
      </c>
      <c r="DY161" s="35" t="s">
        <v>9205</v>
      </c>
      <c r="DZ161" s="35" t="s">
        <v>9206</v>
      </c>
      <c r="EA161" s="35" t="s">
        <v>9207</v>
      </c>
      <c r="EB161" s="35" t="s">
        <v>1413</v>
      </c>
      <c r="EC161" s="35" t="s">
        <v>626</v>
      </c>
      <c r="ED161" s="35" t="s">
        <v>9208</v>
      </c>
      <c r="EU161" s="35" t="s">
        <v>478</v>
      </c>
      <c r="EV161" s="35" t="s">
        <v>579</v>
      </c>
      <c r="EW161" s="35" t="s">
        <v>527</v>
      </c>
      <c r="EX161" s="35" t="s">
        <v>9209</v>
      </c>
      <c r="EY161" s="35" t="s">
        <v>9210</v>
      </c>
      <c r="EZ161" s="35" t="s">
        <v>9211</v>
      </c>
      <c r="FA161" s="35" t="s">
        <v>415</v>
      </c>
      <c r="FB161" s="35" t="s">
        <v>414</v>
      </c>
      <c r="FC161" s="35" t="s">
        <v>413</v>
      </c>
      <c r="FD161" s="35" t="s">
        <v>416</v>
      </c>
      <c r="FE161" s="35" t="s">
        <v>413</v>
      </c>
      <c r="FF161" s="35" t="s">
        <v>415</v>
      </c>
      <c r="FG161" s="35" t="s">
        <v>413</v>
      </c>
      <c r="FH161" s="35" t="s">
        <v>413</v>
      </c>
      <c r="FI161" s="35" t="s">
        <v>414</v>
      </c>
      <c r="FJ161" s="35" t="s">
        <v>416</v>
      </c>
      <c r="FK161" s="35" t="s">
        <v>415</v>
      </c>
      <c r="FL161" s="35" t="s">
        <v>413</v>
      </c>
      <c r="FM161" s="35" t="s">
        <v>416</v>
      </c>
      <c r="FN161" s="35" t="s">
        <v>413</v>
      </c>
      <c r="FO161" s="35" t="s">
        <v>583</v>
      </c>
      <c r="FP161" s="35" t="s">
        <v>485</v>
      </c>
      <c r="FQ161" s="35" t="s">
        <v>418</v>
      </c>
      <c r="FR161" s="35" t="s">
        <v>712</v>
      </c>
      <c r="FS161" s="35" t="s">
        <v>9212</v>
      </c>
      <c r="FT161" s="35" t="s">
        <v>1189</v>
      </c>
      <c r="FU161" s="35" t="s">
        <v>488</v>
      </c>
      <c r="FV161" s="35" t="s">
        <v>585</v>
      </c>
      <c r="FW161" s="35" t="s">
        <v>490</v>
      </c>
      <c r="FX161" s="35" t="s">
        <v>491</v>
      </c>
      <c r="FY161" s="35" t="s">
        <v>9213</v>
      </c>
      <c r="FZ161" s="35" t="s">
        <v>493</v>
      </c>
      <c r="GA161" s="35" t="s">
        <v>9214</v>
      </c>
      <c r="GC161" s="35" t="s">
        <v>408</v>
      </c>
      <c r="GH161" s="35" t="s">
        <v>1000</v>
      </c>
      <c r="GI161" s="35" t="s">
        <v>1000</v>
      </c>
      <c r="GJ161" s="35" t="s">
        <v>858</v>
      </c>
      <c r="GN161" s="35" t="s">
        <v>1079</v>
      </c>
      <c r="GO161" s="35" t="s">
        <v>9215</v>
      </c>
      <c r="GP161" s="35" t="s">
        <v>9215</v>
      </c>
      <c r="GQ161" s="35" t="s">
        <v>387</v>
      </c>
      <c r="GR161" s="35" t="s">
        <v>3208</v>
      </c>
      <c r="GU161" s="35" t="s">
        <v>4774</v>
      </c>
      <c r="GW161" s="35" t="s">
        <v>5231</v>
      </c>
      <c r="GX161" s="35" t="s">
        <v>5232</v>
      </c>
      <c r="HD161" s="35" t="s">
        <v>5281</v>
      </c>
      <c r="HE161" s="35" t="s">
        <v>5282</v>
      </c>
      <c r="HF161" s="35" t="s">
        <v>5320</v>
      </c>
      <c r="HG161" s="35" t="s">
        <v>5284</v>
      </c>
      <c r="HH161" s="35" t="s">
        <v>9216</v>
      </c>
      <c r="HI161" s="35" t="s">
        <v>6631</v>
      </c>
      <c r="HJ161" s="35" t="s">
        <v>9217</v>
      </c>
      <c r="HK161" s="35" t="s">
        <v>9218</v>
      </c>
      <c r="HP161" s="35" t="s">
        <v>5346</v>
      </c>
      <c r="HQ161" s="35" t="s">
        <v>5302</v>
      </c>
      <c r="HR161" s="35" t="s">
        <v>5238</v>
      </c>
      <c r="HS161" s="35" t="s">
        <v>5321</v>
      </c>
      <c r="HX161" s="35" t="s">
        <v>5597</v>
      </c>
      <c r="IO161" s="35" t="s">
        <v>5537</v>
      </c>
      <c r="IP161" s="35" t="s">
        <v>5537</v>
      </c>
      <c r="IQ161" s="35" t="s">
        <v>5536</v>
      </c>
      <c r="IR161" s="35" t="s">
        <v>5536</v>
      </c>
      <c r="IS161" s="35" t="s">
        <v>5537</v>
      </c>
      <c r="IT161" s="35" t="s">
        <v>5537</v>
      </c>
      <c r="MK161" s="35" t="s">
        <v>6321</v>
      </c>
    </row>
    <row r="162">
      <c r="A162" s="35" t="s">
        <v>12174</v>
      </c>
      <c r="B162" s="40">
        <v>46118.532824270835</v>
      </c>
      <c r="C162" s="35" t="s">
        <v>368</v>
      </c>
      <c r="D162" s="35" t="s">
        <v>370</v>
      </c>
      <c r="E162" s="35" t="s">
        <v>370</v>
      </c>
      <c r="F162" s="35" t="s">
        <v>3955</v>
      </c>
      <c r="G162" s="35" t="s">
        <v>3955</v>
      </c>
      <c r="H162" s="35" t="s">
        <v>422</v>
      </c>
      <c r="I162" s="35" t="s">
        <v>1307</v>
      </c>
      <c r="J162" s="35" t="s">
        <v>7561</v>
      </c>
      <c r="K162" s="35" t="s">
        <v>1204</v>
      </c>
      <c r="L162" s="35" t="s">
        <v>376</v>
      </c>
      <c r="M162" s="35" t="s">
        <v>379</v>
      </c>
      <c r="N162" s="35" t="s">
        <v>380</v>
      </c>
      <c r="O162" s="35" t="s">
        <v>377</v>
      </c>
      <c r="P162" s="35" t="s">
        <v>9219</v>
      </c>
      <c r="Q162" s="35" t="s">
        <v>1760</v>
      </c>
      <c r="R162" s="35" t="s">
        <v>1156</v>
      </c>
      <c r="S162" s="35" t="s">
        <v>427</v>
      </c>
      <c r="T162" s="35" t="s">
        <v>384</v>
      </c>
      <c r="U162" s="35" t="s">
        <v>385</v>
      </c>
      <c r="X162" s="35" t="s">
        <v>3231</v>
      </c>
      <c r="AW162" s="35" t="s">
        <v>1242</v>
      </c>
      <c r="AX162" s="41">
        <v>4.0</v>
      </c>
      <c r="AY162" s="41">
        <v>4.0</v>
      </c>
      <c r="AZ162" s="41">
        <v>2.0</v>
      </c>
      <c r="BA162" s="41">
        <v>4.0</v>
      </c>
      <c r="BB162" s="41">
        <v>4.0</v>
      </c>
      <c r="BC162" s="35" t="s">
        <v>675</v>
      </c>
      <c r="BD162" s="35" t="s">
        <v>9220</v>
      </c>
      <c r="BE162" s="35" t="s">
        <v>9221</v>
      </c>
      <c r="BF162" s="35" t="s">
        <v>432</v>
      </c>
      <c r="BG162" s="35" t="s">
        <v>1047</v>
      </c>
      <c r="BH162" s="35" t="s">
        <v>394</v>
      </c>
      <c r="BI162" s="35" t="s">
        <v>9222</v>
      </c>
      <c r="BJ162" s="35" t="s">
        <v>435</v>
      </c>
      <c r="BK162" s="35" t="s">
        <v>9223</v>
      </c>
      <c r="BL162" s="35" t="s">
        <v>681</v>
      </c>
      <c r="BM162" s="35" t="s">
        <v>904</v>
      </c>
      <c r="BN162" s="35" t="s">
        <v>1314</v>
      </c>
      <c r="BO162" s="35" t="s">
        <v>440</v>
      </c>
      <c r="CM162" s="35" t="s">
        <v>441</v>
      </c>
      <c r="CN162" s="35" t="s">
        <v>442</v>
      </c>
      <c r="CO162" s="35" t="s">
        <v>9224</v>
      </c>
      <c r="CP162" s="35" t="s">
        <v>9225</v>
      </c>
      <c r="CQ162" s="35" t="s">
        <v>685</v>
      </c>
      <c r="CR162" s="35" t="s">
        <v>9226</v>
      </c>
      <c r="CU162" s="35" t="s">
        <v>9227</v>
      </c>
      <c r="CY162" s="35" t="s">
        <v>408</v>
      </c>
      <c r="DA162" s="35" t="s">
        <v>453</v>
      </c>
      <c r="DB162" s="35" t="s">
        <v>9228</v>
      </c>
      <c r="DC162" s="35" t="s">
        <v>408</v>
      </c>
      <c r="DE162" s="35" t="s">
        <v>457</v>
      </c>
      <c r="DJ162" s="35" t="s">
        <v>963</v>
      </c>
      <c r="DK162" s="35" t="s">
        <v>460</v>
      </c>
      <c r="DL162" s="35" t="s">
        <v>6319</v>
      </c>
      <c r="DN162" s="35" t="s">
        <v>462</v>
      </c>
      <c r="DO162" s="35" t="s">
        <v>9229</v>
      </c>
      <c r="DP162" s="35" t="s">
        <v>3496</v>
      </c>
      <c r="DQ162" s="35" t="s">
        <v>9230</v>
      </c>
      <c r="DR162" s="35" t="s">
        <v>466</v>
      </c>
      <c r="DS162" s="35" t="s">
        <v>9231</v>
      </c>
      <c r="DT162" s="35" t="s">
        <v>839</v>
      </c>
      <c r="DU162" s="35" t="s">
        <v>5486</v>
      </c>
      <c r="DV162" s="35" t="s">
        <v>9232</v>
      </c>
      <c r="DW162" s="35" t="s">
        <v>9233</v>
      </c>
      <c r="DX162" s="35" t="s">
        <v>1328</v>
      </c>
      <c r="DY162" s="35" t="s">
        <v>9234</v>
      </c>
      <c r="DZ162" s="35" t="s">
        <v>9235</v>
      </c>
      <c r="EA162" s="35" t="s">
        <v>9236</v>
      </c>
      <c r="EB162" s="35" t="s">
        <v>475</v>
      </c>
      <c r="EC162" s="35" t="s">
        <v>626</v>
      </c>
      <c r="ED162" s="35" t="s">
        <v>9237</v>
      </c>
      <c r="EU162" s="35" t="s">
        <v>526</v>
      </c>
      <c r="EV162" s="35" t="s">
        <v>1037</v>
      </c>
      <c r="EW162" s="35" t="s">
        <v>778</v>
      </c>
      <c r="EY162" s="35" t="s">
        <v>9238</v>
      </c>
      <c r="EZ162" s="35" t="s">
        <v>9239</v>
      </c>
      <c r="FA162" s="35" t="s">
        <v>413</v>
      </c>
      <c r="FB162" s="35" t="s">
        <v>413</v>
      </c>
      <c r="FC162" s="35" t="s">
        <v>413</v>
      </c>
      <c r="FD162" s="35" t="s">
        <v>413</v>
      </c>
      <c r="FE162" s="35" t="s">
        <v>413</v>
      </c>
      <c r="FF162" s="35" t="s">
        <v>413</v>
      </c>
      <c r="FG162" s="35" t="s">
        <v>413</v>
      </c>
      <c r="FH162" s="35" t="s">
        <v>413</v>
      </c>
      <c r="FI162" s="35" t="s">
        <v>414</v>
      </c>
      <c r="FJ162" s="35" t="s">
        <v>414</v>
      </c>
      <c r="FK162" s="35" t="s">
        <v>415</v>
      </c>
      <c r="FL162" s="35" t="s">
        <v>413</v>
      </c>
      <c r="FM162" s="35" t="s">
        <v>413</v>
      </c>
      <c r="FN162" s="35" t="s">
        <v>413</v>
      </c>
      <c r="FO162" s="35" t="s">
        <v>414</v>
      </c>
      <c r="FP162" s="35" t="s">
        <v>417</v>
      </c>
      <c r="FQ162" s="35" t="s">
        <v>418</v>
      </c>
      <c r="FR162" s="35" t="s">
        <v>531</v>
      </c>
      <c r="FS162" s="35" t="s">
        <v>9240</v>
      </c>
      <c r="FT162" s="35" t="s">
        <v>420</v>
      </c>
      <c r="FU162" s="35" t="s">
        <v>488</v>
      </c>
      <c r="FV162" s="35" t="s">
        <v>585</v>
      </c>
      <c r="FW162" s="35" t="s">
        <v>490</v>
      </c>
      <c r="FX162" s="35" t="s">
        <v>491</v>
      </c>
      <c r="FY162" s="35" t="s">
        <v>9241</v>
      </c>
      <c r="FZ162" s="35" t="s">
        <v>535</v>
      </c>
      <c r="GA162" s="35" t="s">
        <v>9242</v>
      </c>
      <c r="GB162" s="35" t="s">
        <v>9243</v>
      </c>
      <c r="GC162" s="35" t="s">
        <v>455</v>
      </c>
      <c r="GD162" s="35" t="s">
        <v>12175</v>
      </c>
      <c r="GE162" s="35" t="s">
        <v>12176</v>
      </c>
      <c r="GF162" s="35" t="s">
        <v>1339</v>
      </c>
      <c r="GJ162" s="35" t="s">
        <v>817</v>
      </c>
      <c r="GN162" s="35" t="s">
        <v>1079</v>
      </c>
      <c r="GQ162" s="35" t="s">
        <v>387</v>
      </c>
      <c r="GR162" s="35" t="s">
        <v>3208</v>
      </c>
      <c r="GU162" s="35" t="s">
        <v>4741</v>
      </c>
      <c r="GV162" s="35" t="s">
        <v>9244</v>
      </c>
      <c r="GW162" s="35" t="s">
        <v>5231</v>
      </c>
      <c r="GX162" s="35" t="s">
        <v>5232</v>
      </c>
      <c r="HD162" s="35" t="s">
        <v>6053</v>
      </c>
      <c r="HH162" s="35" t="s">
        <v>9245</v>
      </c>
      <c r="HI162" s="35" t="s">
        <v>5343</v>
      </c>
      <c r="HJ162" s="35" t="s">
        <v>9246</v>
      </c>
      <c r="HK162" s="35" t="s">
        <v>9247</v>
      </c>
      <c r="HP162" s="35" t="s">
        <v>5383</v>
      </c>
      <c r="HQ162" s="35" t="s">
        <v>5719</v>
      </c>
      <c r="HR162" s="35" t="s">
        <v>5238</v>
      </c>
      <c r="HS162" s="35" t="s">
        <v>5321</v>
      </c>
      <c r="HX162" s="35" t="s">
        <v>9248</v>
      </c>
      <c r="IO162" s="35" t="s">
        <v>5500</v>
      </c>
      <c r="IP162" s="35" t="s">
        <v>5500</v>
      </c>
      <c r="IQ162" s="35" t="s">
        <v>5500</v>
      </c>
      <c r="IR162" s="35" t="s">
        <v>5500</v>
      </c>
      <c r="IS162" s="35" t="s">
        <v>5500</v>
      </c>
      <c r="IT162" s="35" t="s">
        <v>5500</v>
      </c>
      <c r="MK162" s="35" t="s">
        <v>6321</v>
      </c>
    </row>
    <row r="163">
      <c r="A163" s="35" t="s">
        <v>12177</v>
      </c>
      <c r="B163" s="40">
        <v>46118.738876469906</v>
      </c>
      <c r="C163" s="35" t="s">
        <v>368</v>
      </c>
      <c r="D163" s="35" t="s">
        <v>370</v>
      </c>
      <c r="E163" s="35" t="s">
        <v>370</v>
      </c>
      <c r="F163" s="35" t="s">
        <v>1510</v>
      </c>
      <c r="G163" s="35" t="s">
        <v>1510</v>
      </c>
      <c r="H163" s="35" t="s">
        <v>422</v>
      </c>
      <c r="I163" s="35" t="s">
        <v>539</v>
      </c>
      <c r="J163" s="35" t="s">
        <v>1022</v>
      </c>
      <c r="K163" s="35" t="s">
        <v>718</v>
      </c>
      <c r="L163" s="35" t="s">
        <v>376</v>
      </c>
      <c r="M163" s="35" t="s">
        <v>591</v>
      </c>
      <c r="N163" s="35" t="s">
        <v>2196</v>
      </c>
      <c r="O163" s="35" t="s">
        <v>793</v>
      </c>
      <c r="P163" s="35" t="s">
        <v>719</v>
      </c>
      <c r="Q163" s="35" t="s">
        <v>498</v>
      </c>
      <c r="R163" s="35" t="s">
        <v>1156</v>
      </c>
      <c r="S163" s="35" t="s">
        <v>500</v>
      </c>
      <c r="T163" s="35" t="s">
        <v>384</v>
      </c>
      <c r="U163" s="35" t="s">
        <v>385</v>
      </c>
      <c r="X163" s="35" t="s">
        <v>386</v>
      </c>
      <c r="Y163" s="35" t="s">
        <v>387</v>
      </c>
      <c r="Z163" s="35" t="s">
        <v>1966</v>
      </c>
      <c r="AA163" s="35" t="s">
        <v>502</v>
      </c>
      <c r="AB163" s="35" t="s">
        <v>9276</v>
      </c>
      <c r="AC163" s="35" t="s">
        <v>9277</v>
      </c>
      <c r="AW163" s="35" t="s">
        <v>390</v>
      </c>
      <c r="AX163" s="41">
        <v>2.0</v>
      </c>
      <c r="AY163" s="41">
        <v>2.0</v>
      </c>
      <c r="AZ163" s="35" t="s">
        <v>429</v>
      </c>
      <c r="BA163" s="35" t="s">
        <v>429</v>
      </c>
      <c r="BB163" s="41">
        <v>2.0</v>
      </c>
      <c r="BC163" s="41">
        <v>2.0</v>
      </c>
      <c r="BD163" s="35" t="s">
        <v>9278</v>
      </c>
      <c r="BE163" s="35" t="s">
        <v>9279</v>
      </c>
      <c r="BF163" s="35" t="s">
        <v>392</v>
      </c>
      <c r="BG163" s="35" t="s">
        <v>433</v>
      </c>
      <c r="BH163" s="35" t="s">
        <v>725</v>
      </c>
      <c r="BI163" s="35" t="s">
        <v>9280</v>
      </c>
      <c r="BJ163" s="35" t="s">
        <v>509</v>
      </c>
      <c r="BL163" s="35" t="s">
        <v>395</v>
      </c>
      <c r="BM163" s="35" t="s">
        <v>438</v>
      </c>
      <c r="BN163" s="35" t="s">
        <v>439</v>
      </c>
      <c r="BO163" s="35" t="s">
        <v>440</v>
      </c>
      <c r="CM163" s="35" t="s">
        <v>441</v>
      </c>
      <c r="CN163" s="35" t="s">
        <v>442</v>
      </c>
      <c r="CO163" s="35" t="s">
        <v>3117</v>
      </c>
      <c r="CP163" s="35" t="s">
        <v>9281</v>
      </c>
      <c r="CQ163" s="35" t="s">
        <v>445</v>
      </c>
      <c r="CR163" s="35" t="s">
        <v>9282</v>
      </c>
      <c r="CS163" s="35" t="s">
        <v>447</v>
      </c>
      <c r="CT163" s="35" t="s">
        <v>9283</v>
      </c>
      <c r="CU163" s="35" t="s">
        <v>9284</v>
      </c>
      <c r="CV163" s="35" t="s">
        <v>450</v>
      </c>
      <c r="CW163" s="35" t="s">
        <v>451</v>
      </c>
      <c r="CX163" s="35" t="s">
        <v>9285</v>
      </c>
      <c r="CY163" s="35" t="s">
        <v>408</v>
      </c>
      <c r="CZ163" s="35" t="s">
        <v>9286</v>
      </c>
      <c r="DA163" s="35" t="s">
        <v>453</v>
      </c>
      <c r="DB163" s="35" t="s">
        <v>9287</v>
      </c>
      <c r="DC163" s="35" t="s">
        <v>455</v>
      </c>
      <c r="DD163" s="35" t="s">
        <v>9288</v>
      </c>
      <c r="DE163" s="35" t="s">
        <v>662</v>
      </c>
      <c r="DF163" s="35" t="s">
        <v>1368</v>
      </c>
      <c r="DG163" s="35" t="s">
        <v>9289</v>
      </c>
      <c r="DH163" s="35" t="s">
        <v>524</v>
      </c>
      <c r="DI163" s="35" t="s">
        <v>410</v>
      </c>
      <c r="DJ163" s="35" t="s">
        <v>459</v>
      </c>
      <c r="DK163" s="35" t="s">
        <v>460</v>
      </c>
      <c r="DL163" s="35" t="s">
        <v>6335</v>
      </c>
      <c r="DN163" s="35" t="s">
        <v>9290</v>
      </c>
      <c r="DO163" s="35" t="s">
        <v>9291</v>
      </c>
      <c r="DP163" s="35" t="s">
        <v>567</v>
      </c>
      <c r="DQ163" s="35" t="s">
        <v>9292</v>
      </c>
      <c r="DR163" s="35" t="s">
        <v>466</v>
      </c>
      <c r="DS163" s="35" t="s">
        <v>9293</v>
      </c>
      <c r="DT163" s="35" t="s">
        <v>702</v>
      </c>
      <c r="DU163" s="35" t="s">
        <v>740</v>
      </c>
      <c r="DV163" s="35" t="s">
        <v>9294</v>
      </c>
      <c r="DW163" s="35" t="s">
        <v>9295</v>
      </c>
      <c r="DX163" s="35" t="s">
        <v>573</v>
      </c>
      <c r="DY163" s="35" t="s">
        <v>9296</v>
      </c>
      <c r="DZ163" s="35" t="s">
        <v>9297</v>
      </c>
      <c r="EA163" s="35" t="s">
        <v>9298</v>
      </c>
      <c r="EB163" s="35" t="s">
        <v>475</v>
      </c>
      <c r="EC163" s="35" t="s">
        <v>626</v>
      </c>
      <c r="ED163" s="35" t="s">
        <v>9299</v>
      </c>
      <c r="EU163" s="35" t="s">
        <v>526</v>
      </c>
      <c r="EV163" s="35" t="s">
        <v>479</v>
      </c>
      <c r="EW163" s="35" t="s">
        <v>527</v>
      </c>
      <c r="EX163" s="35" t="s">
        <v>9300</v>
      </c>
      <c r="EY163" s="35" t="s">
        <v>9301</v>
      </c>
      <c r="EZ163" s="35" t="s">
        <v>9302</v>
      </c>
      <c r="FA163" s="35" t="s">
        <v>583</v>
      </c>
      <c r="FB163" s="35" t="s">
        <v>583</v>
      </c>
      <c r="FC163" s="35" t="s">
        <v>583</v>
      </c>
      <c r="FD163" s="35" t="s">
        <v>583</v>
      </c>
      <c r="FE163" s="35" t="s">
        <v>413</v>
      </c>
      <c r="FF163" s="35" t="s">
        <v>583</v>
      </c>
      <c r="FG163" s="35" t="s">
        <v>583</v>
      </c>
      <c r="FH163" s="35" t="s">
        <v>484</v>
      </c>
      <c r="FI163" s="35" t="s">
        <v>484</v>
      </c>
      <c r="FJ163" s="35" t="s">
        <v>583</v>
      </c>
      <c r="FK163" s="35" t="s">
        <v>583</v>
      </c>
      <c r="FL163" s="35" t="s">
        <v>583</v>
      </c>
      <c r="FM163" s="35" t="s">
        <v>583</v>
      </c>
      <c r="FN163" s="35" t="s">
        <v>484</v>
      </c>
      <c r="FO163" s="35" t="s">
        <v>484</v>
      </c>
      <c r="FP163" s="35" t="s">
        <v>417</v>
      </c>
      <c r="FQ163" s="35" t="s">
        <v>418</v>
      </c>
      <c r="FR163" s="35" t="s">
        <v>1039</v>
      </c>
      <c r="FS163" s="35" t="s">
        <v>9303</v>
      </c>
      <c r="FT163" s="35" t="s">
        <v>420</v>
      </c>
      <c r="FU163" s="35" t="s">
        <v>488</v>
      </c>
      <c r="FV163" s="35" t="s">
        <v>489</v>
      </c>
      <c r="FW163" s="35" t="s">
        <v>490</v>
      </c>
      <c r="FX163" s="35" t="s">
        <v>491</v>
      </c>
      <c r="FY163" s="35" t="s">
        <v>9304</v>
      </c>
      <c r="FZ163" s="35" t="s">
        <v>535</v>
      </c>
      <c r="GC163" s="35" t="s">
        <v>408</v>
      </c>
      <c r="GH163" s="35" t="s">
        <v>755</v>
      </c>
      <c r="GI163" s="35" t="s">
        <v>755</v>
      </c>
      <c r="GJ163" s="35" t="s">
        <v>946</v>
      </c>
      <c r="GN163" s="35" t="s">
        <v>1079</v>
      </c>
      <c r="GR163" s="35" t="s">
        <v>3208</v>
      </c>
      <c r="GU163" s="35" t="s">
        <v>4741</v>
      </c>
      <c r="GV163" s="35" t="s">
        <v>9305</v>
      </c>
      <c r="GW163" s="35" t="s">
        <v>5231</v>
      </c>
      <c r="GX163" s="35" t="s">
        <v>5232</v>
      </c>
      <c r="HD163" s="35" t="s">
        <v>5297</v>
      </c>
      <c r="HE163" s="35" t="s">
        <v>5282</v>
      </c>
      <c r="HF163" s="35" t="s">
        <v>5320</v>
      </c>
      <c r="HG163" s="35" t="s">
        <v>5284</v>
      </c>
      <c r="HH163" s="35" t="s">
        <v>9306</v>
      </c>
      <c r="HI163" s="35" t="s">
        <v>5495</v>
      </c>
      <c r="HJ163" s="35" t="s">
        <v>9307</v>
      </c>
      <c r="HK163" s="35" t="s">
        <v>9308</v>
      </c>
      <c r="HP163" s="35" t="s">
        <v>5236</v>
      </c>
      <c r="HQ163" s="35" t="s">
        <v>5264</v>
      </c>
      <c r="HR163" s="35" t="s">
        <v>5238</v>
      </c>
      <c r="HS163" s="35" t="s">
        <v>9309</v>
      </c>
      <c r="IO163" s="35" t="s">
        <v>5536</v>
      </c>
      <c r="IP163" s="35" t="s">
        <v>5536</v>
      </c>
      <c r="IQ163" s="35" t="s">
        <v>5500</v>
      </c>
      <c r="IR163" s="35" t="s">
        <v>5500</v>
      </c>
      <c r="IS163" s="35" t="s">
        <v>5536</v>
      </c>
      <c r="IT163" s="35" t="s">
        <v>5536</v>
      </c>
      <c r="MK163" s="35" t="s">
        <v>6321</v>
      </c>
    </row>
    <row r="164">
      <c r="A164" s="35" t="s">
        <v>12178</v>
      </c>
      <c r="B164" s="40">
        <v>46118.906964062495</v>
      </c>
      <c r="C164" s="35" t="s">
        <v>368</v>
      </c>
      <c r="D164" s="35" t="s">
        <v>370</v>
      </c>
      <c r="E164" s="35" t="s">
        <v>370</v>
      </c>
      <c r="F164" s="35" t="s">
        <v>4114</v>
      </c>
      <c r="G164" s="35" t="s">
        <v>4114</v>
      </c>
      <c r="H164" s="35" t="s">
        <v>422</v>
      </c>
      <c r="I164" s="35" t="s">
        <v>373</v>
      </c>
      <c r="J164" s="35" t="s">
        <v>638</v>
      </c>
      <c r="K164" s="35" t="s">
        <v>375</v>
      </c>
      <c r="L164" s="35" t="s">
        <v>376</v>
      </c>
      <c r="M164" s="35" t="s">
        <v>379</v>
      </c>
      <c r="N164" s="35" t="s">
        <v>378</v>
      </c>
      <c r="O164" s="35" t="s">
        <v>426</v>
      </c>
      <c r="P164" s="35" t="s">
        <v>9360</v>
      </c>
      <c r="Q164" s="35" t="s">
        <v>381</v>
      </c>
      <c r="R164" s="35" t="s">
        <v>382</v>
      </c>
      <c r="S164" s="35" t="s">
        <v>3976</v>
      </c>
      <c r="T164" s="35" t="s">
        <v>384</v>
      </c>
      <c r="X164" s="35" t="s">
        <v>593</v>
      </c>
      <c r="Y164" s="35" t="s">
        <v>387</v>
      </c>
      <c r="Z164" s="35" t="s">
        <v>594</v>
      </c>
      <c r="AA164" s="35" t="s">
        <v>502</v>
      </c>
      <c r="AB164" s="35" t="s">
        <v>9361</v>
      </c>
      <c r="AW164" s="35" t="s">
        <v>390</v>
      </c>
      <c r="AX164" s="41">
        <v>2.0</v>
      </c>
      <c r="AY164" s="35" t="s">
        <v>429</v>
      </c>
      <c r="AZ164" s="35" t="s">
        <v>429</v>
      </c>
      <c r="BA164" s="35" t="s">
        <v>429</v>
      </c>
      <c r="BB164" s="35" t="s">
        <v>429</v>
      </c>
      <c r="BC164" s="35" t="s">
        <v>429</v>
      </c>
      <c r="BD164" s="35" t="s">
        <v>9362</v>
      </c>
      <c r="BE164" s="35" t="s">
        <v>9363</v>
      </c>
      <c r="BF164" s="35" t="s">
        <v>392</v>
      </c>
      <c r="BG164" s="35" t="s">
        <v>433</v>
      </c>
      <c r="BH164" s="35" t="s">
        <v>678</v>
      </c>
      <c r="BI164" s="35" t="s">
        <v>9364</v>
      </c>
      <c r="BJ164" s="35" t="s">
        <v>509</v>
      </c>
      <c r="BK164" s="35" t="s">
        <v>9365</v>
      </c>
      <c r="BL164" s="35" t="s">
        <v>511</v>
      </c>
      <c r="BM164" s="35" t="s">
        <v>438</v>
      </c>
      <c r="BN164" s="35" t="s">
        <v>439</v>
      </c>
      <c r="BO164" s="35" t="s">
        <v>440</v>
      </c>
      <c r="CM164" s="35" t="s">
        <v>441</v>
      </c>
      <c r="CN164" s="35" t="s">
        <v>442</v>
      </c>
      <c r="CO164" s="35" t="s">
        <v>1315</v>
      </c>
      <c r="CP164" s="35" t="s">
        <v>9366</v>
      </c>
      <c r="CQ164" s="35" t="s">
        <v>1008</v>
      </c>
      <c r="CR164" s="35" t="s">
        <v>2317</v>
      </c>
      <c r="CS164" s="35" t="s">
        <v>447</v>
      </c>
      <c r="CT164" s="35" t="s">
        <v>805</v>
      </c>
      <c r="CU164" s="35" t="s">
        <v>9367</v>
      </c>
      <c r="CV164" s="35" t="s">
        <v>450</v>
      </c>
      <c r="CW164" s="35" t="s">
        <v>451</v>
      </c>
      <c r="CX164" s="35" t="s">
        <v>9368</v>
      </c>
      <c r="CY164" s="35" t="s">
        <v>408</v>
      </c>
      <c r="DA164" s="35" t="s">
        <v>453</v>
      </c>
      <c r="DB164" s="35" t="s">
        <v>9369</v>
      </c>
      <c r="DC164" s="35" t="s">
        <v>455</v>
      </c>
      <c r="DD164" s="35" t="s">
        <v>9370</v>
      </c>
      <c r="DE164" s="35" t="s">
        <v>457</v>
      </c>
      <c r="DG164" s="35" t="s">
        <v>9371</v>
      </c>
      <c r="DH164" s="35" t="s">
        <v>524</v>
      </c>
      <c r="DI164" s="35" t="s">
        <v>410</v>
      </c>
      <c r="DJ164" s="35" t="s">
        <v>459</v>
      </c>
      <c r="DK164" s="35" t="s">
        <v>460</v>
      </c>
      <c r="DL164" s="35" t="s">
        <v>6335</v>
      </c>
      <c r="DN164" s="35" t="s">
        <v>9372</v>
      </c>
      <c r="DO164" s="35" t="s">
        <v>9373</v>
      </c>
      <c r="DP164" s="35" t="s">
        <v>567</v>
      </c>
      <c r="DQ164" s="35" t="s">
        <v>9374</v>
      </c>
      <c r="DS164" s="35" t="s">
        <v>9375</v>
      </c>
      <c r="DT164" s="35" t="s">
        <v>468</v>
      </c>
      <c r="DU164" s="35" t="s">
        <v>703</v>
      </c>
      <c r="DV164" s="35" t="s">
        <v>9376</v>
      </c>
      <c r="DW164" s="35" t="s">
        <v>9377</v>
      </c>
      <c r="DX164" s="35" t="s">
        <v>622</v>
      </c>
      <c r="DY164" s="35" t="s">
        <v>9378</v>
      </c>
      <c r="DZ164" s="35" t="s">
        <v>9379</v>
      </c>
      <c r="EA164" s="35" t="s">
        <v>9380</v>
      </c>
      <c r="EB164" s="35" t="s">
        <v>475</v>
      </c>
      <c r="EC164" s="35" t="s">
        <v>845</v>
      </c>
      <c r="ED164" s="35" t="s">
        <v>9381</v>
      </c>
      <c r="EU164" s="35" t="s">
        <v>526</v>
      </c>
      <c r="EV164" s="35" t="s">
        <v>887</v>
      </c>
      <c r="EW164" s="35" t="s">
        <v>480</v>
      </c>
      <c r="EY164" s="35" t="s">
        <v>9382</v>
      </c>
      <c r="EZ164" s="35" t="s">
        <v>9383</v>
      </c>
      <c r="FA164" s="35" t="s">
        <v>416</v>
      </c>
      <c r="FB164" s="35" t="s">
        <v>415</v>
      </c>
      <c r="FC164" s="35" t="s">
        <v>413</v>
      </c>
      <c r="FD164" s="35" t="s">
        <v>413</v>
      </c>
      <c r="FE164" s="35" t="s">
        <v>413</v>
      </c>
      <c r="FF164" s="35" t="s">
        <v>415</v>
      </c>
      <c r="FG164" s="35" t="s">
        <v>413</v>
      </c>
      <c r="FH164" s="35" t="s">
        <v>413</v>
      </c>
      <c r="FI164" s="35" t="s">
        <v>583</v>
      </c>
      <c r="FJ164" s="35" t="s">
        <v>415</v>
      </c>
      <c r="FK164" s="35" t="s">
        <v>416</v>
      </c>
      <c r="FL164" s="35" t="s">
        <v>415</v>
      </c>
      <c r="FM164" s="35" t="s">
        <v>415</v>
      </c>
      <c r="FN164" s="35" t="s">
        <v>413</v>
      </c>
      <c r="FO164" s="35" t="s">
        <v>583</v>
      </c>
      <c r="FP164" s="35" t="s">
        <v>417</v>
      </c>
      <c r="FQ164" s="35" t="s">
        <v>418</v>
      </c>
      <c r="FR164" s="35" t="s">
        <v>749</v>
      </c>
      <c r="FS164" s="35" t="s">
        <v>9384</v>
      </c>
      <c r="FT164" s="35" t="s">
        <v>420</v>
      </c>
      <c r="FU164" s="35" t="s">
        <v>488</v>
      </c>
      <c r="FV164" s="35" t="s">
        <v>489</v>
      </c>
      <c r="FW164" s="35" t="s">
        <v>490</v>
      </c>
      <c r="FX164" s="35" t="s">
        <v>491</v>
      </c>
      <c r="FY164" s="35" t="s">
        <v>9385</v>
      </c>
      <c r="FZ164" s="35" t="s">
        <v>535</v>
      </c>
      <c r="GA164" s="35" t="s">
        <v>9386</v>
      </c>
      <c r="GC164" s="35" t="s">
        <v>455</v>
      </c>
      <c r="GD164" s="35" t="s">
        <v>12179</v>
      </c>
      <c r="GE164" s="35" t="s">
        <v>12180</v>
      </c>
      <c r="GF164" s="35" t="s">
        <v>1339</v>
      </c>
      <c r="GG164" s="35" t="s">
        <v>9387</v>
      </c>
      <c r="GH164" s="35" t="s">
        <v>755</v>
      </c>
      <c r="GI164" s="35" t="s">
        <v>755</v>
      </c>
      <c r="GJ164" s="35" t="s">
        <v>756</v>
      </c>
      <c r="GN164" s="35" t="s">
        <v>1079</v>
      </c>
      <c r="GR164" s="35" t="s">
        <v>3208</v>
      </c>
      <c r="GU164" s="35" t="s">
        <v>5170</v>
      </c>
      <c r="GV164" s="35" t="s">
        <v>9388</v>
      </c>
      <c r="GW164" s="35" t="s">
        <v>5231</v>
      </c>
      <c r="GX164" s="35" t="s">
        <v>5232</v>
      </c>
      <c r="HD164" s="35" t="s">
        <v>5297</v>
      </c>
      <c r="HE164" s="35" t="s">
        <v>5349</v>
      </c>
      <c r="HF164" s="35" t="s">
        <v>5320</v>
      </c>
      <c r="HG164" s="35" t="s">
        <v>5899</v>
      </c>
      <c r="HH164" s="35" t="s">
        <v>9389</v>
      </c>
      <c r="HI164" s="35" t="s">
        <v>6242</v>
      </c>
      <c r="HJ164" s="35" t="s">
        <v>9390</v>
      </c>
      <c r="HK164" s="35" t="s">
        <v>9391</v>
      </c>
      <c r="HP164" s="35" t="s">
        <v>5346</v>
      </c>
      <c r="HQ164" s="35" t="s">
        <v>5719</v>
      </c>
      <c r="HR164" s="35" t="s">
        <v>5238</v>
      </c>
      <c r="HS164" s="35" t="s">
        <v>9392</v>
      </c>
      <c r="HX164" s="35" t="s">
        <v>5628</v>
      </c>
      <c r="IO164" s="35" t="s">
        <v>5500</v>
      </c>
      <c r="IP164" s="35" t="s">
        <v>5536</v>
      </c>
      <c r="IQ164" s="35" t="s">
        <v>5500</v>
      </c>
      <c r="IR164" s="35" t="s">
        <v>5500</v>
      </c>
      <c r="IS164" s="35" t="s">
        <v>5536</v>
      </c>
      <c r="IT164" s="35" t="s">
        <v>5536</v>
      </c>
      <c r="MK164" s="35" t="s">
        <v>6321</v>
      </c>
    </row>
    <row r="165">
      <c r="A165" s="35" t="s">
        <v>12181</v>
      </c>
      <c r="B165" s="40">
        <v>46118.943060694444</v>
      </c>
      <c r="C165" s="35" t="s">
        <v>368</v>
      </c>
      <c r="D165" s="35" t="s">
        <v>370</v>
      </c>
      <c r="E165" s="35" t="s">
        <v>370</v>
      </c>
      <c r="F165" s="35" t="s">
        <v>1510</v>
      </c>
      <c r="G165" s="35" t="s">
        <v>2708</v>
      </c>
      <c r="H165" s="35" t="s">
        <v>422</v>
      </c>
      <c r="I165" s="35" t="s">
        <v>496</v>
      </c>
      <c r="J165" s="35" t="s">
        <v>2578</v>
      </c>
      <c r="K165" s="35" t="s">
        <v>375</v>
      </c>
      <c r="L165" s="35" t="s">
        <v>376</v>
      </c>
      <c r="M165" s="35" t="s">
        <v>426</v>
      </c>
      <c r="N165" s="35" t="s">
        <v>2966</v>
      </c>
      <c r="O165" s="35" t="s">
        <v>591</v>
      </c>
      <c r="P165" s="35" t="s">
        <v>7274</v>
      </c>
      <c r="Q165" s="35" t="s">
        <v>498</v>
      </c>
      <c r="R165" s="35" t="s">
        <v>818</v>
      </c>
      <c r="S165" s="35" t="s">
        <v>500</v>
      </c>
      <c r="T165" s="35" t="s">
        <v>384</v>
      </c>
      <c r="U165" s="35" t="s">
        <v>385</v>
      </c>
      <c r="X165" s="35" t="s">
        <v>3014</v>
      </c>
      <c r="AW165" s="35" t="s">
        <v>390</v>
      </c>
      <c r="AX165" s="41">
        <v>2.0</v>
      </c>
      <c r="AY165" s="41">
        <v>2.0</v>
      </c>
      <c r="AZ165" s="41">
        <v>2.0</v>
      </c>
      <c r="BA165" s="35" t="s">
        <v>429</v>
      </c>
      <c r="BB165" s="35" t="s">
        <v>391</v>
      </c>
      <c r="BC165" s="41">
        <v>2.0</v>
      </c>
      <c r="BD165" s="35" t="s">
        <v>9393</v>
      </c>
      <c r="BE165" s="35" t="s">
        <v>9394</v>
      </c>
      <c r="BF165" s="35" t="s">
        <v>902</v>
      </c>
      <c r="BG165" s="35" t="s">
        <v>433</v>
      </c>
      <c r="BH165" s="35" t="s">
        <v>434</v>
      </c>
      <c r="BI165" s="35" t="s">
        <v>9395</v>
      </c>
      <c r="BJ165" s="35" t="s">
        <v>435</v>
      </c>
      <c r="BK165" s="35" t="s">
        <v>9396</v>
      </c>
      <c r="BL165" s="35" t="s">
        <v>511</v>
      </c>
      <c r="BM165" s="35" t="s">
        <v>438</v>
      </c>
      <c r="BN165" s="35" t="s">
        <v>397</v>
      </c>
      <c r="BO165" s="35" t="s">
        <v>440</v>
      </c>
      <c r="CM165" s="35" t="s">
        <v>441</v>
      </c>
      <c r="CN165" s="35" t="s">
        <v>401</v>
      </c>
      <c r="CO165" s="35" t="s">
        <v>9397</v>
      </c>
      <c r="CP165" s="35" t="s">
        <v>9398</v>
      </c>
      <c r="CQ165" s="35" t="s">
        <v>979</v>
      </c>
      <c r="CR165" s="35" t="s">
        <v>2519</v>
      </c>
      <c r="CS165" s="35" t="s">
        <v>447</v>
      </c>
      <c r="CT165" s="35" t="s">
        <v>9255</v>
      </c>
      <c r="CU165" s="35" t="s">
        <v>9399</v>
      </c>
      <c r="CV165" s="35" t="s">
        <v>519</v>
      </c>
      <c r="CW165" s="35" t="s">
        <v>451</v>
      </c>
      <c r="CX165" s="35" t="s">
        <v>9400</v>
      </c>
      <c r="CY165" s="35" t="s">
        <v>408</v>
      </c>
      <c r="DA165" s="35" t="s">
        <v>453</v>
      </c>
      <c r="DB165" s="35" t="s">
        <v>9401</v>
      </c>
      <c r="DC165" s="35" t="s">
        <v>408</v>
      </c>
      <c r="DE165" s="35" t="s">
        <v>988</v>
      </c>
      <c r="DF165" s="35" t="s">
        <v>1368</v>
      </c>
      <c r="DG165" s="35" t="s">
        <v>9402</v>
      </c>
      <c r="DH165" s="35" t="s">
        <v>561</v>
      </c>
      <c r="DI165" s="35" t="s">
        <v>1220</v>
      </c>
      <c r="DJ165" s="35" t="s">
        <v>459</v>
      </c>
      <c r="DK165" s="35" t="s">
        <v>460</v>
      </c>
      <c r="DL165" s="35" t="s">
        <v>6335</v>
      </c>
      <c r="DN165" s="35" t="s">
        <v>9403</v>
      </c>
      <c r="DO165" s="35" t="s">
        <v>9404</v>
      </c>
      <c r="DP165" s="35" t="s">
        <v>567</v>
      </c>
      <c r="DQ165" s="35" t="s">
        <v>9405</v>
      </c>
      <c r="DR165" s="35" t="s">
        <v>1291</v>
      </c>
      <c r="DS165" s="35" t="s">
        <v>9406</v>
      </c>
      <c r="DT165" s="35" t="s">
        <v>702</v>
      </c>
      <c r="DU165" s="35" t="s">
        <v>740</v>
      </c>
      <c r="DV165" s="35" t="s">
        <v>9407</v>
      </c>
      <c r="DW165" s="35" t="s">
        <v>9408</v>
      </c>
      <c r="DX165" s="35" t="s">
        <v>573</v>
      </c>
      <c r="DY165" s="35" t="s">
        <v>9409</v>
      </c>
      <c r="DZ165" s="35" t="s">
        <v>9410</v>
      </c>
      <c r="EA165" s="35" t="s">
        <v>9411</v>
      </c>
      <c r="EB165" s="35" t="s">
        <v>475</v>
      </c>
      <c r="EC165" s="35" t="s">
        <v>5337</v>
      </c>
      <c r="ED165" s="35" t="s">
        <v>9412</v>
      </c>
      <c r="EU165" s="35" t="s">
        <v>526</v>
      </c>
      <c r="EV165" s="35" t="s">
        <v>479</v>
      </c>
      <c r="EW165" s="35" t="s">
        <v>480</v>
      </c>
      <c r="EY165" s="35" t="s">
        <v>9413</v>
      </c>
      <c r="EZ165" s="35" t="s">
        <v>9414</v>
      </c>
      <c r="FA165" s="35" t="s">
        <v>413</v>
      </c>
      <c r="FB165" s="35" t="s">
        <v>413</v>
      </c>
      <c r="FC165" s="35" t="s">
        <v>416</v>
      </c>
      <c r="FD165" s="35" t="s">
        <v>416</v>
      </c>
      <c r="FE165" s="35" t="s">
        <v>415</v>
      </c>
      <c r="FF165" s="35" t="s">
        <v>413</v>
      </c>
      <c r="FG165" s="35" t="s">
        <v>415</v>
      </c>
      <c r="FH165" s="35" t="s">
        <v>416</v>
      </c>
      <c r="FI165" s="35" t="s">
        <v>583</v>
      </c>
      <c r="FJ165" s="35" t="s">
        <v>413</v>
      </c>
      <c r="FK165" s="35" t="s">
        <v>416</v>
      </c>
      <c r="FL165" s="35" t="s">
        <v>416</v>
      </c>
      <c r="FM165" s="35" t="s">
        <v>416</v>
      </c>
      <c r="FN165" s="35" t="s">
        <v>415</v>
      </c>
      <c r="FO165" s="35" t="s">
        <v>413</v>
      </c>
      <c r="FP165" s="35" t="s">
        <v>417</v>
      </c>
      <c r="FQ165" s="35" t="s">
        <v>418</v>
      </c>
      <c r="FR165" s="35" t="s">
        <v>419</v>
      </c>
      <c r="FS165" s="35" t="s">
        <v>9415</v>
      </c>
      <c r="FT165" s="35" t="s">
        <v>420</v>
      </c>
      <c r="FU165" s="35" t="s">
        <v>488</v>
      </c>
      <c r="FV165" s="35" t="s">
        <v>489</v>
      </c>
      <c r="FW165" s="35" t="s">
        <v>490</v>
      </c>
      <c r="FX165" s="35" t="s">
        <v>491</v>
      </c>
      <c r="FY165" s="35" t="s">
        <v>9416</v>
      </c>
      <c r="FZ165" s="35" t="s">
        <v>1020</v>
      </c>
      <c r="GA165" s="35" t="s">
        <v>9417</v>
      </c>
      <c r="GC165" s="35" t="s">
        <v>455</v>
      </c>
      <c r="GD165" s="35" t="s">
        <v>12182</v>
      </c>
      <c r="GF165" s="35" t="s">
        <v>1339</v>
      </c>
      <c r="GG165" s="35" t="s">
        <v>9418</v>
      </c>
      <c r="GH165" s="35" t="s">
        <v>1000</v>
      </c>
      <c r="GI165" s="35" t="s">
        <v>755</v>
      </c>
      <c r="GJ165" s="35" t="s">
        <v>946</v>
      </c>
      <c r="GN165" s="35" t="s">
        <v>1079</v>
      </c>
      <c r="GR165" s="35" t="s">
        <v>3208</v>
      </c>
      <c r="GU165" s="35" t="s">
        <v>5081</v>
      </c>
      <c r="GV165" s="35" t="s">
        <v>9419</v>
      </c>
      <c r="GW165" s="35" t="s">
        <v>5231</v>
      </c>
      <c r="GX165" s="35" t="s">
        <v>5232</v>
      </c>
      <c r="HD165" s="35" t="s">
        <v>5297</v>
      </c>
      <c r="HE165" s="35" t="s">
        <v>5349</v>
      </c>
      <c r="HF165" s="35" t="s">
        <v>5320</v>
      </c>
      <c r="HG165" s="35" t="s">
        <v>5493</v>
      </c>
      <c r="HH165" s="35" t="s">
        <v>9420</v>
      </c>
      <c r="HI165" s="35" t="s">
        <v>5495</v>
      </c>
      <c r="HJ165" s="35" t="s">
        <v>9421</v>
      </c>
      <c r="HK165" s="35" t="s">
        <v>9422</v>
      </c>
      <c r="HP165" s="35" t="s">
        <v>5236</v>
      </c>
      <c r="HQ165" s="35" t="s">
        <v>5264</v>
      </c>
      <c r="HR165" s="35" t="s">
        <v>5238</v>
      </c>
      <c r="HS165" s="35" t="s">
        <v>5321</v>
      </c>
      <c r="IO165" s="35" t="s">
        <v>5536</v>
      </c>
      <c r="IP165" s="35" t="s">
        <v>5537</v>
      </c>
      <c r="IQ165" s="35" t="s">
        <v>5500</v>
      </c>
      <c r="IR165" s="35" t="s">
        <v>5500</v>
      </c>
      <c r="IS165" s="35" t="s">
        <v>5536</v>
      </c>
      <c r="IT165" s="35" t="s">
        <v>5536</v>
      </c>
      <c r="MK165" s="35" t="s">
        <v>6321</v>
      </c>
    </row>
    <row r="166">
      <c r="A166" s="35" t="s">
        <v>12183</v>
      </c>
      <c r="B166" s="40">
        <v>46119.630449895834</v>
      </c>
      <c r="C166" s="35" t="s">
        <v>368</v>
      </c>
      <c r="D166" s="35" t="s">
        <v>894</v>
      </c>
      <c r="E166" s="35" t="s">
        <v>894</v>
      </c>
      <c r="H166" s="35" t="s">
        <v>422</v>
      </c>
      <c r="I166" s="35" t="s">
        <v>637</v>
      </c>
      <c r="J166" s="35" t="s">
        <v>638</v>
      </c>
      <c r="K166" s="35" t="s">
        <v>590</v>
      </c>
      <c r="L166" s="35" t="s">
        <v>376</v>
      </c>
      <c r="M166" s="35" t="s">
        <v>793</v>
      </c>
      <c r="N166" s="35" t="s">
        <v>639</v>
      </c>
      <c r="O166" s="35" t="s">
        <v>591</v>
      </c>
      <c r="P166" s="35" t="s">
        <v>671</v>
      </c>
      <c r="Q166" s="35" t="s">
        <v>592</v>
      </c>
      <c r="R166" s="35" t="s">
        <v>759</v>
      </c>
      <c r="S166" s="35" t="s">
        <v>500</v>
      </c>
      <c r="T166" s="35" t="s">
        <v>384</v>
      </c>
      <c r="U166" s="35" t="s">
        <v>385</v>
      </c>
      <c r="V166" s="35" t="s">
        <v>896</v>
      </c>
      <c r="W166" s="35" t="s">
        <v>896</v>
      </c>
      <c r="X166" s="35" t="s">
        <v>386</v>
      </c>
      <c r="Y166" s="35" t="s">
        <v>1706</v>
      </c>
      <c r="AD166" s="35" t="s">
        <v>2967</v>
      </c>
      <c r="AE166" s="35" t="s">
        <v>2968</v>
      </c>
      <c r="AF166" s="35" t="s">
        <v>455</v>
      </c>
      <c r="AG166" s="35" t="s">
        <v>9450</v>
      </c>
      <c r="AH166" s="41">
        <v>5.0</v>
      </c>
      <c r="AI166" s="35" t="s">
        <v>647</v>
      </c>
      <c r="AL166" s="35" t="s">
        <v>396</v>
      </c>
      <c r="AW166" s="35" t="s">
        <v>390</v>
      </c>
      <c r="AX166" s="41">
        <v>2.0</v>
      </c>
      <c r="AY166" s="35" t="s">
        <v>429</v>
      </c>
      <c r="AZ166" s="35" t="s">
        <v>391</v>
      </c>
      <c r="BA166" s="35" t="s">
        <v>429</v>
      </c>
      <c r="BB166" s="35" t="s">
        <v>429</v>
      </c>
      <c r="BC166" s="35" t="s">
        <v>429</v>
      </c>
      <c r="BD166" s="35" t="s">
        <v>9451</v>
      </c>
      <c r="BE166" s="35" t="s">
        <v>9451</v>
      </c>
      <c r="BF166" s="35" t="s">
        <v>392</v>
      </c>
      <c r="BG166" s="35" t="s">
        <v>433</v>
      </c>
      <c r="BH166" s="35" t="s">
        <v>394</v>
      </c>
      <c r="BI166" s="35" t="s">
        <v>9451</v>
      </c>
      <c r="BJ166" s="35" t="s">
        <v>509</v>
      </c>
      <c r="BK166" s="35" t="s">
        <v>9451</v>
      </c>
      <c r="BL166" s="35" t="s">
        <v>681</v>
      </c>
      <c r="BM166" s="35" t="s">
        <v>512</v>
      </c>
      <c r="BN166" s="35" t="s">
        <v>439</v>
      </c>
      <c r="BO166" s="35" t="s">
        <v>440</v>
      </c>
      <c r="CM166" s="35" t="s">
        <v>441</v>
      </c>
      <c r="CN166" s="35" t="s">
        <v>401</v>
      </c>
      <c r="CO166" s="35" t="s">
        <v>9452</v>
      </c>
      <c r="CQ166" s="35" t="s">
        <v>979</v>
      </c>
      <c r="CR166" s="35" t="s">
        <v>9453</v>
      </c>
      <c r="CS166" s="35" t="s">
        <v>447</v>
      </c>
      <c r="CT166" s="35" t="s">
        <v>1147</v>
      </c>
      <c r="CV166" s="35" t="s">
        <v>519</v>
      </c>
      <c r="CW166" s="35" t="s">
        <v>451</v>
      </c>
      <c r="CY166" s="35" t="s">
        <v>408</v>
      </c>
      <c r="DA166" s="35" t="s">
        <v>453</v>
      </c>
      <c r="DC166" s="35" t="s">
        <v>455</v>
      </c>
      <c r="DE166" s="35" t="s">
        <v>988</v>
      </c>
      <c r="DH166" s="35" t="s">
        <v>561</v>
      </c>
      <c r="DI166" s="35" t="s">
        <v>833</v>
      </c>
      <c r="DJ166" s="35" t="s">
        <v>459</v>
      </c>
      <c r="DK166" s="35" t="s">
        <v>460</v>
      </c>
      <c r="DL166" s="35" t="s">
        <v>6335</v>
      </c>
      <c r="DN166" s="35" t="s">
        <v>9454</v>
      </c>
      <c r="DO166" s="35" t="s">
        <v>9455</v>
      </c>
      <c r="DP166" s="35" t="s">
        <v>464</v>
      </c>
      <c r="DR166" s="35" t="s">
        <v>700</v>
      </c>
      <c r="DT166" s="35" t="s">
        <v>702</v>
      </c>
      <c r="DU166" s="35" t="s">
        <v>3611</v>
      </c>
      <c r="DX166" s="35" t="s">
        <v>573</v>
      </c>
      <c r="EB166" s="35" t="s">
        <v>475</v>
      </c>
      <c r="EC166" s="35" t="s">
        <v>476</v>
      </c>
      <c r="EU166" s="35" t="s">
        <v>526</v>
      </c>
      <c r="EV166" s="35" t="s">
        <v>479</v>
      </c>
      <c r="EW166" s="35" t="s">
        <v>1534</v>
      </c>
      <c r="FA166" s="35" t="s">
        <v>413</v>
      </c>
      <c r="FB166" s="35" t="s">
        <v>414</v>
      </c>
      <c r="FC166" s="35" t="s">
        <v>413</v>
      </c>
      <c r="FD166" s="35" t="s">
        <v>413</v>
      </c>
      <c r="FE166" s="35" t="s">
        <v>413</v>
      </c>
      <c r="FF166" s="35" t="s">
        <v>413</v>
      </c>
      <c r="FG166" s="35" t="s">
        <v>413</v>
      </c>
      <c r="FH166" s="35" t="s">
        <v>413</v>
      </c>
      <c r="FI166" s="35" t="s">
        <v>413</v>
      </c>
      <c r="FJ166" s="35" t="s">
        <v>414</v>
      </c>
      <c r="FK166" s="35" t="s">
        <v>413</v>
      </c>
      <c r="FL166" s="35" t="s">
        <v>413</v>
      </c>
      <c r="FM166" s="35" t="s">
        <v>413</v>
      </c>
      <c r="FN166" s="35" t="s">
        <v>415</v>
      </c>
      <c r="FO166" s="35" t="s">
        <v>414</v>
      </c>
      <c r="FP166" s="35" t="s">
        <v>417</v>
      </c>
      <c r="FQ166" s="35" t="s">
        <v>418</v>
      </c>
      <c r="FR166" s="35" t="s">
        <v>749</v>
      </c>
      <c r="FT166" s="35" t="s">
        <v>420</v>
      </c>
      <c r="FU166" s="35" t="s">
        <v>488</v>
      </c>
      <c r="FV166" s="35" t="s">
        <v>918</v>
      </c>
      <c r="FW166" s="35" t="s">
        <v>490</v>
      </c>
      <c r="FX166" s="35" t="s">
        <v>491</v>
      </c>
      <c r="FZ166" s="35" t="s">
        <v>535</v>
      </c>
      <c r="GC166" s="35" t="s">
        <v>408</v>
      </c>
      <c r="GH166" s="35" t="s">
        <v>755</v>
      </c>
      <c r="GI166" s="35" t="s">
        <v>755</v>
      </c>
      <c r="GJ166" s="35" t="s">
        <v>946</v>
      </c>
      <c r="GN166" s="35" t="s">
        <v>1079</v>
      </c>
      <c r="GR166" s="35" t="s">
        <v>5015</v>
      </c>
      <c r="GU166" s="35" t="s">
        <v>5170</v>
      </c>
      <c r="GW166" s="35" t="s">
        <v>5260</v>
      </c>
      <c r="GX166" s="35" t="s">
        <v>5261</v>
      </c>
      <c r="HD166" s="35" t="s">
        <v>5297</v>
      </c>
      <c r="HE166" s="35" t="s">
        <v>5298</v>
      </c>
      <c r="HF166" s="35" t="s">
        <v>5299</v>
      </c>
      <c r="HG166" s="35" t="s">
        <v>5899</v>
      </c>
      <c r="HI166" s="35" t="s">
        <v>6242</v>
      </c>
      <c r="HP166" s="35" t="s">
        <v>5346</v>
      </c>
      <c r="HQ166" s="35" t="s">
        <v>5719</v>
      </c>
      <c r="HR166" s="35" t="s">
        <v>5238</v>
      </c>
      <c r="HS166" s="35" t="s">
        <v>5321</v>
      </c>
      <c r="HX166" s="35" t="s">
        <v>5971</v>
      </c>
      <c r="IO166" s="35" t="s">
        <v>5536</v>
      </c>
      <c r="IP166" s="35" t="s">
        <v>5537</v>
      </c>
      <c r="IQ166" s="35" t="s">
        <v>5536</v>
      </c>
      <c r="IR166" s="35" t="s">
        <v>5537</v>
      </c>
      <c r="IS166" s="35" t="s">
        <v>5537</v>
      </c>
      <c r="IT166" s="35" t="s">
        <v>5537</v>
      </c>
      <c r="MK166" s="35" t="s">
        <v>6321</v>
      </c>
    </row>
    <row r="167">
      <c r="A167" s="35" t="s">
        <v>12184</v>
      </c>
      <c r="B167" s="40">
        <v>46121.27570546296</v>
      </c>
      <c r="C167" s="35" t="s">
        <v>368</v>
      </c>
      <c r="D167" s="35" t="s">
        <v>370</v>
      </c>
      <c r="E167" s="35" t="s">
        <v>370</v>
      </c>
      <c r="F167" s="35" t="s">
        <v>2708</v>
      </c>
      <c r="G167" s="35" t="s">
        <v>922</v>
      </c>
      <c r="H167" s="35" t="s">
        <v>422</v>
      </c>
      <c r="I167" s="35" t="s">
        <v>496</v>
      </c>
      <c r="J167" s="35" t="s">
        <v>374</v>
      </c>
      <c r="K167" s="35" t="s">
        <v>375</v>
      </c>
      <c r="L167" s="35" t="s">
        <v>376</v>
      </c>
      <c r="M167" s="35" t="s">
        <v>379</v>
      </c>
      <c r="N167" s="35" t="s">
        <v>9505</v>
      </c>
      <c r="O167" s="35" t="s">
        <v>670</v>
      </c>
      <c r="P167" s="35" t="s">
        <v>9506</v>
      </c>
      <c r="Q167" s="35" t="s">
        <v>592</v>
      </c>
      <c r="R167" s="35" t="s">
        <v>862</v>
      </c>
      <c r="S167" s="35" t="s">
        <v>1704</v>
      </c>
      <c r="T167" s="35" t="s">
        <v>384</v>
      </c>
      <c r="U167" s="35" t="s">
        <v>385</v>
      </c>
      <c r="X167" s="35" t="s">
        <v>386</v>
      </c>
      <c r="Y167" s="35" t="s">
        <v>387</v>
      </c>
      <c r="Z167" s="35" t="s">
        <v>388</v>
      </c>
      <c r="AA167" s="35" t="s">
        <v>672</v>
      </c>
      <c r="AB167" s="35" t="s">
        <v>408</v>
      </c>
      <c r="AW167" s="35" t="s">
        <v>597</v>
      </c>
      <c r="AX167" s="35" t="s">
        <v>391</v>
      </c>
      <c r="AY167" s="41">
        <v>2.0</v>
      </c>
      <c r="AZ167" s="35" t="s">
        <v>429</v>
      </c>
      <c r="BA167" s="35" t="s">
        <v>429</v>
      </c>
      <c r="BB167" s="35" t="s">
        <v>429</v>
      </c>
      <c r="BC167" s="35" t="s">
        <v>429</v>
      </c>
      <c r="BE167" s="35" t="s">
        <v>9507</v>
      </c>
      <c r="BF167" s="35" t="s">
        <v>392</v>
      </c>
      <c r="BG167" s="35" t="s">
        <v>433</v>
      </c>
      <c r="BH167" s="35" t="s">
        <v>765</v>
      </c>
      <c r="BI167" s="35" t="s">
        <v>9508</v>
      </c>
      <c r="BJ167" s="35" t="s">
        <v>509</v>
      </c>
      <c r="BL167" s="35" t="s">
        <v>437</v>
      </c>
      <c r="BM167" s="35" t="s">
        <v>603</v>
      </c>
      <c r="BN167" s="35" t="s">
        <v>397</v>
      </c>
      <c r="BO167" s="35" t="s">
        <v>440</v>
      </c>
      <c r="CM167" s="35" t="s">
        <v>441</v>
      </c>
      <c r="CN167" s="35" t="s">
        <v>682</v>
      </c>
      <c r="CO167" s="35" t="s">
        <v>9509</v>
      </c>
      <c r="CP167" s="35" t="s">
        <v>9510</v>
      </c>
      <c r="CQ167" s="35" t="s">
        <v>685</v>
      </c>
      <c r="CR167" s="35" t="s">
        <v>6181</v>
      </c>
      <c r="CT167" s="35" t="s">
        <v>9283</v>
      </c>
      <c r="CU167" s="35" t="s">
        <v>9511</v>
      </c>
      <c r="CV167" s="35" t="s">
        <v>450</v>
      </c>
      <c r="CW167" s="35" t="s">
        <v>451</v>
      </c>
      <c r="CX167" s="35" t="s">
        <v>9512</v>
      </c>
      <c r="CY167" s="35" t="s">
        <v>408</v>
      </c>
      <c r="DA167" s="35" t="s">
        <v>985</v>
      </c>
      <c r="DB167" s="35" t="s">
        <v>9513</v>
      </c>
      <c r="DC167" s="35" t="s">
        <v>455</v>
      </c>
      <c r="DD167" s="35" t="s">
        <v>9514</v>
      </c>
      <c r="DE167" s="35" t="s">
        <v>406</v>
      </c>
      <c r="DF167" s="35" t="s">
        <v>407</v>
      </c>
      <c r="DH167" s="35" t="s">
        <v>524</v>
      </c>
      <c r="DI167" s="35" t="s">
        <v>410</v>
      </c>
      <c r="DJ167" s="35" t="s">
        <v>459</v>
      </c>
      <c r="DK167" s="35" t="s">
        <v>562</v>
      </c>
      <c r="DL167" s="35" t="s">
        <v>6335</v>
      </c>
      <c r="DN167" s="35" t="s">
        <v>9515</v>
      </c>
      <c r="DO167" s="35" t="s">
        <v>9516</v>
      </c>
      <c r="DP167" s="35" t="s">
        <v>1063</v>
      </c>
      <c r="DQ167" s="35" t="s">
        <v>9517</v>
      </c>
      <c r="DR167" s="35" t="s">
        <v>1176</v>
      </c>
      <c r="DS167" s="35" t="s">
        <v>9518</v>
      </c>
      <c r="DT167" s="35" t="s">
        <v>468</v>
      </c>
      <c r="DU167" s="35" t="s">
        <v>3171</v>
      </c>
      <c r="DV167" s="35" t="s">
        <v>9519</v>
      </c>
      <c r="DW167" s="35" t="s">
        <v>9520</v>
      </c>
      <c r="DX167" s="35" t="s">
        <v>573</v>
      </c>
      <c r="DY167" s="35" t="s">
        <v>9521</v>
      </c>
      <c r="DZ167" s="35" t="s">
        <v>9522</v>
      </c>
      <c r="EA167" s="35" t="s">
        <v>9523</v>
      </c>
      <c r="EB167" s="35" t="s">
        <v>2960</v>
      </c>
      <c r="EC167" s="35" t="s">
        <v>845</v>
      </c>
      <c r="ED167" s="35" t="s">
        <v>9524</v>
      </c>
      <c r="EU167" s="35" t="s">
        <v>526</v>
      </c>
      <c r="EV167" s="35" t="s">
        <v>479</v>
      </c>
      <c r="EW167" s="35" t="s">
        <v>480</v>
      </c>
      <c r="EY167" s="35" t="s">
        <v>9525</v>
      </c>
      <c r="EZ167" s="35" t="s">
        <v>5078</v>
      </c>
      <c r="FA167" s="35" t="s">
        <v>413</v>
      </c>
      <c r="FB167" s="35" t="s">
        <v>416</v>
      </c>
      <c r="FC167" s="35" t="s">
        <v>413</v>
      </c>
      <c r="FD167" s="35" t="s">
        <v>413</v>
      </c>
      <c r="FE167" s="35" t="s">
        <v>413</v>
      </c>
      <c r="FF167" s="35" t="s">
        <v>415</v>
      </c>
      <c r="FG167" s="35" t="s">
        <v>415</v>
      </c>
      <c r="FH167" s="35" t="s">
        <v>413</v>
      </c>
      <c r="FI167" s="35" t="s">
        <v>414</v>
      </c>
      <c r="FJ167" s="35" t="s">
        <v>415</v>
      </c>
      <c r="FK167" s="35" t="s">
        <v>415</v>
      </c>
      <c r="FL167" s="35" t="s">
        <v>484</v>
      </c>
      <c r="FM167" s="35" t="s">
        <v>484</v>
      </c>
      <c r="FN167" s="35" t="s">
        <v>484</v>
      </c>
      <c r="FO167" s="35" t="s">
        <v>484</v>
      </c>
      <c r="FP167" s="35" t="s">
        <v>417</v>
      </c>
      <c r="FQ167" s="35" t="s">
        <v>486</v>
      </c>
      <c r="FR167" s="35" t="s">
        <v>749</v>
      </c>
      <c r="FS167" s="35" t="s">
        <v>9526</v>
      </c>
      <c r="FT167" s="35" t="s">
        <v>420</v>
      </c>
      <c r="FU167" s="35" t="s">
        <v>488</v>
      </c>
      <c r="FV167" s="35" t="s">
        <v>918</v>
      </c>
      <c r="FW167" s="35" t="s">
        <v>490</v>
      </c>
      <c r="FX167" s="35" t="s">
        <v>491</v>
      </c>
      <c r="FZ167" s="35" t="s">
        <v>493</v>
      </c>
      <c r="GH167" s="35" t="s">
        <v>788</v>
      </c>
      <c r="GI167" s="35" t="s">
        <v>788</v>
      </c>
      <c r="GJ167" s="35" t="s">
        <v>921</v>
      </c>
      <c r="GN167" s="35" t="s">
        <v>1079</v>
      </c>
      <c r="GR167" s="35" t="s">
        <v>3208</v>
      </c>
      <c r="GU167" s="35" t="s">
        <v>4741</v>
      </c>
      <c r="GV167" s="35" t="s">
        <v>9527</v>
      </c>
      <c r="GW167" s="35" t="s">
        <v>5231</v>
      </c>
      <c r="GX167" s="35" t="s">
        <v>484</v>
      </c>
      <c r="HD167" s="35" t="s">
        <v>484</v>
      </c>
      <c r="HF167" s="35" t="s">
        <v>5320</v>
      </c>
      <c r="HG167" s="35" t="s">
        <v>5300</v>
      </c>
      <c r="HH167" s="35" t="s">
        <v>9528</v>
      </c>
      <c r="HI167" s="35" t="s">
        <v>6242</v>
      </c>
      <c r="HJ167" s="35" t="s">
        <v>9529</v>
      </c>
      <c r="HK167" s="35" t="s">
        <v>9530</v>
      </c>
      <c r="HQ167" s="35" t="s">
        <v>5302</v>
      </c>
      <c r="HR167" s="35" t="s">
        <v>5238</v>
      </c>
      <c r="HS167" s="35" t="s">
        <v>9531</v>
      </c>
      <c r="IO167" s="35" t="s">
        <v>5537</v>
      </c>
      <c r="IP167" s="35" t="s">
        <v>5537</v>
      </c>
      <c r="IQ167" s="35" t="s">
        <v>5537</v>
      </c>
      <c r="IR167" s="35" t="s">
        <v>5537</v>
      </c>
      <c r="IS167" s="35" t="s">
        <v>5537</v>
      </c>
      <c r="IT167" s="35" t="s">
        <v>5537</v>
      </c>
      <c r="MK167" s="35" t="s">
        <v>6321</v>
      </c>
    </row>
    <row r="168">
      <c r="A168" s="35" t="s">
        <v>12185</v>
      </c>
      <c r="B168" s="40">
        <v>46123.75352236111</v>
      </c>
      <c r="C168" s="35" t="s">
        <v>368</v>
      </c>
      <c r="D168" s="35" t="s">
        <v>370</v>
      </c>
      <c r="E168" s="35" t="s">
        <v>370</v>
      </c>
      <c r="F168" s="35" t="s">
        <v>3955</v>
      </c>
      <c r="G168" s="35" t="s">
        <v>3955</v>
      </c>
      <c r="H168" s="35" t="s">
        <v>422</v>
      </c>
      <c r="I168" s="35" t="s">
        <v>373</v>
      </c>
      <c r="J168" s="35" t="s">
        <v>374</v>
      </c>
      <c r="K168" s="35" t="s">
        <v>425</v>
      </c>
      <c r="L168" s="35" t="s">
        <v>376</v>
      </c>
      <c r="M168" s="35" t="s">
        <v>591</v>
      </c>
      <c r="N168" s="35" t="s">
        <v>378</v>
      </c>
      <c r="O168" s="35" t="s">
        <v>591</v>
      </c>
      <c r="P168" s="35" t="s">
        <v>719</v>
      </c>
      <c r="Q168" s="35" t="s">
        <v>592</v>
      </c>
      <c r="R168" s="35" t="s">
        <v>862</v>
      </c>
      <c r="S168" s="35" t="s">
        <v>949</v>
      </c>
      <c r="T168" s="35" t="s">
        <v>384</v>
      </c>
      <c r="U168" s="35" t="s">
        <v>385</v>
      </c>
      <c r="X168" s="35" t="s">
        <v>386</v>
      </c>
      <c r="Y168" s="35" t="s">
        <v>387</v>
      </c>
      <c r="Z168" s="35" t="s">
        <v>2115</v>
      </c>
      <c r="AA168" s="35" t="s">
        <v>672</v>
      </c>
      <c r="AB168" s="35" t="s">
        <v>9603</v>
      </c>
      <c r="AC168" s="35" t="s">
        <v>9604</v>
      </c>
      <c r="AW168" s="35" t="s">
        <v>597</v>
      </c>
      <c r="AX168" s="41">
        <v>2.0</v>
      </c>
      <c r="AY168" s="41">
        <v>2.0</v>
      </c>
      <c r="AZ168" s="41">
        <v>2.0</v>
      </c>
      <c r="BA168" s="35" t="s">
        <v>429</v>
      </c>
      <c r="BB168" s="41">
        <v>2.0</v>
      </c>
      <c r="BC168" s="41">
        <v>2.0</v>
      </c>
      <c r="BD168" s="35" t="s">
        <v>9605</v>
      </c>
      <c r="BE168" s="35" t="s">
        <v>9606</v>
      </c>
      <c r="BF168" s="35" t="s">
        <v>902</v>
      </c>
      <c r="BG168" s="35" t="s">
        <v>433</v>
      </c>
      <c r="BH168" s="35" t="s">
        <v>678</v>
      </c>
      <c r="BI168" s="35" t="s">
        <v>9607</v>
      </c>
      <c r="BJ168" s="35" t="s">
        <v>509</v>
      </c>
      <c r="BK168" s="35" t="s">
        <v>9608</v>
      </c>
      <c r="BL168" s="35" t="s">
        <v>681</v>
      </c>
      <c r="BM168" s="35" t="s">
        <v>438</v>
      </c>
      <c r="BN168" s="35" t="s">
        <v>549</v>
      </c>
      <c r="BO168" s="35" t="s">
        <v>440</v>
      </c>
      <c r="CM168" s="35" t="s">
        <v>441</v>
      </c>
      <c r="CN168" s="35" t="s">
        <v>604</v>
      </c>
      <c r="CO168" s="35" t="s">
        <v>9609</v>
      </c>
      <c r="CP168" s="35" t="s">
        <v>9610</v>
      </c>
      <c r="CQ168" s="35" t="s">
        <v>445</v>
      </c>
      <c r="CR168" s="35" t="s">
        <v>9611</v>
      </c>
      <c r="CS168" s="35" t="s">
        <v>447</v>
      </c>
      <c r="CT168" s="35" t="s">
        <v>556</v>
      </c>
      <c r="CU168" s="35" t="s">
        <v>9612</v>
      </c>
      <c r="CV168" s="35" t="s">
        <v>450</v>
      </c>
      <c r="CW168" s="35" t="s">
        <v>451</v>
      </c>
      <c r="CX168" s="35" t="s">
        <v>9613</v>
      </c>
      <c r="CY168" s="35" t="s">
        <v>408</v>
      </c>
      <c r="DA168" s="35" t="s">
        <v>453</v>
      </c>
      <c r="DB168" s="35" t="s">
        <v>9614</v>
      </c>
      <c r="DC168" s="35" t="s">
        <v>455</v>
      </c>
      <c r="DD168" s="35" t="s">
        <v>9615</v>
      </c>
      <c r="DE168" s="35" t="s">
        <v>457</v>
      </c>
      <c r="DG168" s="35" t="s">
        <v>9616</v>
      </c>
      <c r="DH168" s="35" t="s">
        <v>524</v>
      </c>
      <c r="DI168" s="35" t="s">
        <v>410</v>
      </c>
      <c r="DJ168" s="35" t="s">
        <v>459</v>
      </c>
      <c r="DK168" s="35" t="s">
        <v>613</v>
      </c>
      <c r="DN168" s="35" t="s">
        <v>9617</v>
      </c>
      <c r="DO168" s="35" t="s">
        <v>9618</v>
      </c>
      <c r="DP168" s="35" t="s">
        <v>1063</v>
      </c>
      <c r="DQ168" s="35" t="s">
        <v>9619</v>
      </c>
      <c r="DR168" s="35" t="s">
        <v>1176</v>
      </c>
      <c r="DS168" s="35" t="s">
        <v>9620</v>
      </c>
      <c r="DT168" s="35" t="s">
        <v>6617</v>
      </c>
      <c r="DU168" s="35" t="s">
        <v>6618</v>
      </c>
      <c r="DV168" s="35" t="s">
        <v>9621</v>
      </c>
      <c r="DW168" s="35" t="s">
        <v>9622</v>
      </c>
      <c r="DX168" s="35" t="s">
        <v>622</v>
      </c>
      <c r="DY168" s="35" t="s">
        <v>9623</v>
      </c>
      <c r="DZ168" s="35" t="s">
        <v>9624</v>
      </c>
      <c r="EA168" s="35" t="s">
        <v>9625</v>
      </c>
      <c r="EB168" s="35" t="s">
        <v>475</v>
      </c>
      <c r="EC168" s="35" t="s">
        <v>845</v>
      </c>
      <c r="ED168" s="35" t="s">
        <v>9626</v>
      </c>
      <c r="EU168" s="35" t="s">
        <v>478</v>
      </c>
      <c r="EV168" s="35" t="s">
        <v>887</v>
      </c>
      <c r="EW168" s="35" t="s">
        <v>480</v>
      </c>
      <c r="EX168" s="35" t="s">
        <v>9627</v>
      </c>
      <c r="EY168" s="35" t="s">
        <v>9628</v>
      </c>
      <c r="EZ168" s="35" t="s">
        <v>9629</v>
      </c>
      <c r="FA168" s="35" t="s">
        <v>583</v>
      </c>
      <c r="FB168" s="35" t="s">
        <v>583</v>
      </c>
      <c r="FC168" s="35" t="s">
        <v>583</v>
      </c>
      <c r="FD168" s="35" t="s">
        <v>583</v>
      </c>
      <c r="FE168" s="35" t="s">
        <v>416</v>
      </c>
      <c r="FF168" s="35" t="s">
        <v>583</v>
      </c>
      <c r="FG168" s="35" t="s">
        <v>415</v>
      </c>
      <c r="FH168" s="35" t="s">
        <v>416</v>
      </c>
      <c r="FI168" s="35" t="s">
        <v>583</v>
      </c>
      <c r="FJ168" s="35" t="s">
        <v>583</v>
      </c>
      <c r="FK168" s="35" t="s">
        <v>583</v>
      </c>
      <c r="FL168" s="35" t="s">
        <v>415</v>
      </c>
      <c r="FM168" s="35" t="s">
        <v>415</v>
      </c>
      <c r="FN168" s="35" t="s">
        <v>415</v>
      </c>
      <c r="FO168" s="35" t="s">
        <v>415</v>
      </c>
      <c r="FP168" s="35" t="s">
        <v>485</v>
      </c>
      <c r="FQ168" s="35" t="s">
        <v>418</v>
      </c>
      <c r="FR168" s="35" t="s">
        <v>419</v>
      </c>
      <c r="FS168" s="35" t="s">
        <v>9630</v>
      </c>
      <c r="FT168" s="35" t="s">
        <v>420</v>
      </c>
      <c r="FU168" s="35" t="s">
        <v>488</v>
      </c>
      <c r="FV168" s="35" t="s">
        <v>533</v>
      </c>
      <c r="FW168" s="35" t="s">
        <v>490</v>
      </c>
      <c r="FX168" s="35" t="s">
        <v>491</v>
      </c>
      <c r="FY168" s="35" t="s">
        <v>9631</v>
      </c>
      <c r="FZ168" s="35" t="s">
        <v>535</v>
      </c>
      <c r="GA168" s="35" t="s">
        <v>9632</v>
      </c>
      <c r="GC168" s="35" t="s">
        <v>455</v>
      </c>
      <c r="GD168" s="35" t="s">
        <v>12186</v>
      </c>
      <c r="GF168" s="35" t="s">
        <v>1339</v>
      </c>
      <c r="GH168" s="35" t="s">
        <v>920</v>
      </c>
      <c r="GI168" s="35" t="s">
        <v>755</v>
      </c>
      <c r="GJ168" s="35" t="s">
        <v>946</v>
      </c>
      <c r="GN168" s="35" t="s">
        <v>1079</v>
      </c>
      <c r="GR168" s="35" t="s">
        <v>3208</v>
      </c>
      <c r="GU168" s="35" t="s">
        <v>5039</v>
      </c>
      <c r="GV168" s="35" t="s">
        <v>9633</v>
      </c>
      <c r="GW168" s="35" t="s">
        <v>5231</v>
      </c>
      <c r="GX168" s="35" t="s">
        <v>484</v>
      </c>
      <c r="HD168" s="35" t="s">
        <v>5297</v>
      </c>
      <c r="HE168" s="35" t="s">
        <v>5282</v>
      </c>
      <c r="HF168" s="35" t="s">
        <v>5320</v>
      </c>
      <c r="HG168" s="35" t="s">
        <v>5768</v>
      </c>
      <c r="HH168" s="35" t="s">
        <v>9634</v>
      </c>
      <c r="HI168" s="35" t="s">
        <v>9635</v>
      </c>
      <c r="HJ168" s="35" t="s">
        <v>9636</v>
      </c>
      <c r="HK168" s="35" t="s">
        <v>9637</v>
      </c>
      <c r="HP168" s="35" t="s">
        <v>5346</v>
      </c>
      <c r="HQ168" s="35" t="s">
        <v>5237</v>
      </c>
      <c r="HR168" s="35" t="s">
        <v>5238</v>
      </c>
      <c r="HS168" s="35" t="s">
        <v>9638</v>
      </c>
      <c r="HX168" s="35" t="s">
        <v>5501</v>
      </c>
      <c r="IO168" s="35" t="s">
        <v>5536</v>
      </c>
      <c r="IP168" s="35" t="s">
        <v>5536</v>
      </c>
      <c r="IQ168" s="35" t="s">
        <v>5500</v>
      </c>
      <c r="IR168" s="35" t="s">
        <v>5989</v>
      </c>
      <c r="IS168" s="35" t="s">
        <v>5536</v>
      </c>
      <c r="IT168" s="35" t="s">
        <v>5536</v>
      </c>
      <c r="MK168" s="35" t="s">
        <v>6321</v>
      </c>
    </row>
  </sheetData>
  <hyperlinks>
    <hyperlink r:id="rId1" ref="GR40"/>
    <hyperlink r:id="rId2" ref="GR97"/>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ht="86.25" customHeight="1">
      <c r="A1" s="48" t="s">
        <v>0</v>
      </c>
      <c r="B1" s="48" t="s">
        <v>1</v>
      </c>
      <c r="C1" s="48" t="s">
        <v>2</v>
      </c>
      <c r="D1" s="48" t="s">
        <v>3</v>
      </c>
      <c r="E1" s="48" t="s">
        <v>4</v>
      </c>
      <c r="F1" s="48" t="s">
        <v>5</v>
      </c>
      <c r="G1" s="48" t="s">
        <v>6</v>
      </c>
      <c r="H1" s="48" t="s">
        <v>7</v>
      </c>
      <c r="I1" s="48" t="s">
        <v>8</v>
      </c>
      <c r="J1" s="48" t="s">
        <v>9</v>
      </c>
      <c r="K1" s="48" t="s">
        <v>10</v>
      </c>
      <c r="L1" s="48" t="s">
        <v>11</v>
      </c>
      <c r="M1" s="48" t="s">
        <v>12</v>
      </c>
      <c r="N1" s="48" t="s">
        <v>13</v>
      </c>
      <c r="O1" s="48" t="s">
        <v>14</v>
      </c>
      <c r="P1" s="48" t="s">
        <v>15</v>
      </c>
      <c r="Q1" s="48" t="s">
        <v>16</v>
      </c>
      <c r="R1" s="48" t="s">
        <v>17</v>
      </c>
      <c r="S1" s="48" t="s">
        <v>18</v>
      </c>
      <c r="T1" s="48" t="s">
        <v>19</v>
      </c>
      <c r="U1" s="48" t="s">
        <v>20</v>
      </c>
      <c r="V1" s="48" t="s">
        <v>21</v>
      </c>
      <c r="W1" s="48" t="s">
        <v>22</v>
      </c>
      <c r="X1" s="48" t="s">
        <v>23</v>
      </c>
      <c r="Y1" s="48" t="s">
        <v>10001</v>
      </c>
      <c r="Z1" s="48" t="s">
        <v>10003</v>
      </c>
      <c r="AA1" s="48" t="s">
        <v>10409</v>
      </c>
      <c r="AB1" s="48" t="s">
        <v>10007</v>
      </c>
      <c r="AC1" s="48" t="s">
        <v>10009</v>
      </c>
      <c r="AD1" s="48" t="s">
        <v>10011</v>
      </c>
      <c r="AE1" s="48" t="s">
        <v>10410</v>
      </c>
      <c r="AF1" s="48" t="s">
        <v>10411</v>
      </c>
      <c r="AG1" s="48" t="s">
        <v>10017</v>
      </c>
      <c r="AH1" s="48" t="s">
        <v>10019</v>
      </c>
      <c r="AI1" s="48" t="s">
        <v>10021</v>
      </c>
      <c r="AJ1" s="48" t="s">
        <v>10023</v>
      </c>
      <c r="AK1" s="48" t="s">
        <v>10025</v>
      </c>
      <c r="AL1" s="48" t="s">
        <v>10027</v>
      </c>
      <c r="AM1" s="48" t="s">
        <v>10029</v>
      </c>
      <c r="AN1" s="48" t="s">
        <v>10412</v>
      </c>
      <c r="AO1" s="48" t="s">
        <v>10413</v>
      </c>
      <c r="AP1" s="48" t="s">
        <v>10035</v>
      </c>
      <c r="AQ1" s="48" t="s">
        <v>10037</v>
      </c>
      <c r="AR1" s="48" t="s">
        <v>10039</v>
      </c>
      <c r="AS1" s="48" t="s">
        <v>10041</v>
      </c>
      <c r="AT1" s="48" t="s">
        <v>10043</v>
      </c>
      <c r="AU1" s="48" t="s">
        <v>10414</v>
      </c>
      <c r="AV1" s="48" t="s">
        <v>47</v>
      </c>
      <c r="AW1" s="48" t="s">
        <v>48</v>
      </c>
      <c r="AX1" s="48" t="s">
        <v>49</v>
      </c>
      <c r="AY1" s="48" t="s">
        <v>50</v>
      </c>
      <c r="AZ1" s="48" t="s">
        <v>51</v>
      </c>
      <c r="BA1" s="48" t="s">
        <v>52</v>
      </c>
      <c r="BB1" s="48" t="s">
        <v>53</v>
      </c>
      <c r="BC1" s="48" t="s">
        <v>54</v>
      </c>
      <c r="BD1" s="48" t="s">
        <v>55</v>
      </c>
      <c r="BE1" s="48" t="s">
        <v>56</v>
      </c>
      <c r="BF1" s="48" t="s">
        <v>57</v>
      </c>
      <c r="BG1" s="48" t="s">
        <v>58</v>
      </c>
      <c r="BH1" s="48" t="s">
        <v>59</v>
      </c>
      <c r="BI1" s="48" t="s">
        <v>60</v>
      </c>
      <c r="BJ1" s="48" t="s">
        <v>61</v>
      </c>
      <c r="BK1" s="48" t="s">
        <v>62</v>
      </c>
      <c r="BL1" s="48" t="s">
        <v>63</v>
      </c>
      <c r="BM1" s="48" t="s">
        <v>64</v>
      </c>
      <c r="BN1" s="48" t="s">
        <v>10065</v>
      </c>
      <c r="BO1" s="48" t="s">
        <v>66</v>
      </c>
      <c r="BP1" s="48" t="s">
        <v>67</v>
      </c>
      <c r="BQ1" s="48" t="s">
        <v>68</v>
      </c>
      <c r="BR1" s="48" t="s">
        <v>69</v>
      </c>
      <c r="BS1" s="48" t="s">
        <v>70</v>
      </c>
      <c r="BT1" s="48" t="s">
        <v>71</v>
      </c>
      <c r="BU1" s="48" t="s">
        <v>72</v>
      </c>
      <c r="BV1" s="48" t="s">
        <v>73</v>
      </c>
      <c r="BW1" s="48" t="s">
        <v>74</v>
      </c>
      <c r="BX1" s="48" t="s">
        <v>75</v>
      </c>
      <c r="BY1" s="48" t="s">
        <v>76</v>
      </c>
      <c r="BZ1" s="48" t="s">
        <v>77</v>
      </c>
      <c r="CA1" s="48" t="s">
        <v>78</v>
      </c>
      <c r="CB1" s="48" t="s">
        <v>79</v>
      </c>
      <c r="CC1" s="48" t="s">
        <v>80</v>
      </c>
      <c r="CD1" s="48" t="s">
        <v>81</v>
      </c>
      <c r="CE1" s="48" t="s">
        <v>82</v>
      </c>
      <c r="CF1" s="48" t="s">
        <v>83</v>
      </c>
      <c r="CG1" s="48" t="s">
        <v>84</v>
      </c>
      <c r="CH1" s="48" t="s">
        <v>85</v>
      </c>
      <c r="CI1" s="48" t="s">
        <v>86</v>
      </c>
      <c r="CJ1" s="48" t="s">
        <v>87</v>
      </c>
      <c r="CK1" s="48" t="s">
        <v>10093</v>
      </c>
      <c r="CL1" s="48" t="s">
        <v>89</v>
      </c>
      <c r="CM1" s="48" t="s">
        <v>90</v>
      </c>
      <c r="CN1" s="48" t="s">
        <v>91</v>
      </c>
      <c r="CO1" s="48" t="s">
        <v>92</v>
      </c>
      <c r="CP1" s="48" t="s">
        <v>93</v>
      </c>
      <c r="CQ1" s="48" t="s">
        <v>94</v>
      </c>
      <c r="CR1" s="48" t="s">
        <v>95</v>
      </c>
      <c r="CS1" s="48" t="s">
        <v>96</v>
      </c>
      <c r="CT1" s="48" t="s">
        <v>97</v>
      </c>
      <c r="CU1" s="48" t="s">
        <v>98</v>
      </c>
      <c r="CV1" s="48" t="s">
        <v>99</v>
      </c>
      <c r="CW1" s="48" t="s">
        <v>100</v>
      </c>
      <c r="CX1" s="48" t="s">
        <v>101</v>
      </c>
      <c r="CY1" s="48" t="s">
        <v>102</v>
      </c>
      <c r="CZ1" s="48" t="s">
        <v>10415</v>
      </c>
      <c r="DA1" s="48" t="s">
        <v>104</v>
      </c>
      <c r="DB1" s="48" t="s">
        <v>105</v>
      </c>
      <c r="DC1" s="48" t="s">
        <v>106</v>
      </c>
      <c r="DD1" s="48" t="s">
        <v>107</v>
      </c>
      <c r="DE1" s="48" t="s">
        <v>108</v>
      </c>
      <c r="DF1" s="48" t="s">
        <v>109</v>
      </c>
      <c r="DG1" s="48" t="s">
        <v>110</v>
      </c>
      <c r="DH1" s="48" t="s">
        <v>111</v>
      </c>
      <c r="DI1" s="48" t="s">
        <v>10122</v>
      </c>
      <c r="DJ1" s="48" t="s">
        <v>113</v>
      </c>
      <c r="DK1" s="48" t="s">
        <v>10125</v>
      </c>
      <c r="DL1" s="48" t="s">
        <v>10416</v>
      </c>
      <c r="DM1" s="48" t="s">
        <v>116</v>
      </c>
      <c r="DN1" s="48" t="s">
        <v>117</v>
      </c>
      <c r="DO1" s="48" t="s">
        <v>118</v>
      </c>
      <c r="DP1" s="48" t="s">
        <v>119</v>
      </c>
      <c r="DQ1" s="48" t="s">
        <v>120</v>
      </c>
      <c r="DR1" s="48" t="s">
        <v>121</v>
      </c>
      <c r="DS1" s="48" t="s">
        <v>122</v>
      </c>
      <c r="DT1" s="48" t="s">
        <v>123</v>
      </c>
      <c r="DU1" s="48" t="s">
        <v>10417</v>
      </c>
      <c r="DV1" s="48" t="s">
        <v>125</v>
      </c>
      <c r="DW1" s="48" t="s">
        <v>126</v>
      </c>
      <c r="DX1" s="48" t="s">
        <v>127</v>
      </c>
      <c r="DY1" s="48" t="s">
        <v>128</v>
      </c>
      <c r="DZ1" s="48" t="s">
        <v>129</v>
      </c>
      <c r="EA1" s="48" t="s">
        <v>130</v>
      </c>
      <c r="EB1" s="48" t="s">
        <v>10145</v>
      </c>
      <c r="EC1" s="48" t="s">
        <v>132</v>
      </c>
      <c r="ED1" s="48" t="s">
        <v>133</v>
      </c>
      <c r="EE1" s="48" t="s">
        <v>254</v>
      </c>
      <c r="EF1" s="48" t="s">
        <v>10418</v>
      </c>
      <c r="EG1" s="48" t="s">
        <v>10419</v>
      </c>
      <c r="EH1" s="48" t="s">
        <v>10420</v>
      </c>
      <c r="EI1" s="48" t="s">
        <v>10421</v>
      </c>
      <c r="EJ1" s="48" t="s">
        <v>10422</v>
      </c>
      <c r="EK1" s="48" t="s">
        <v>256</v>
      </c>
      <c r="EL1" s="48" t="s">
        <v>257</v>
      </c>
      <c r="EM1" s="48" t="s">
        <v>258</v>
      </c>
      <c r="EN1" s="48" t="s">
        <v>259</v>
      </c>
      <c r="EO1" s="48" t="s">
        <v>260</v>
      </c>
      <c r="EP1" s="48" t="s">
        <v>261</v>
      </c>
      <c r="EQ1" s="48" t="s">
        <v>146</v>
      </c>
      <c r="ER1" s="48" t="s">
        <v>147</v>
      </c>
      <c r="ES1" s="48" t="s">
        <v>148</v>
      </c>
      <c r="ET1" s="48" t="s">
        <v>149</v>
      </c>
      <c r="EU1" s="48" t="s">
        <v>150</v>
      </c>
      <c r="EV1" s="48" t="s">
        <v>151</v>
      </c>
      <c r="EW1" s="48" t="s">
        <v>152</v>
      </c>
      <c r="EX1" s="48" t="s">
        <v>153</v>
      </c>
      <c r="EY1" s="48" t="s">
        <v>154</v>
      </c>
      <c r="EZ1" s="48" t="s">
        <v>155</v>
      </c>
      <c r="FA1" s="48" t="s">
        <v>156</v>
      </c>
      <c r="FB1" s="48" t="s">
        <v>157</v>
      </c>
      <c r="FC1" s="48" t="s">
        <v>158</v>
      </c>
      <c r="FD1" s="48" t="s">
        <v>159</v>
      </c>
      <c r="FE1" s="48" t="s">
        <v>160</v>
      </c>
      <c r="FF1" s="48" t="s">
        <v>161</v>
      </c>
      <c r="FG1" s="48" t="s">
        <v>162</v>
      </c>
      <c r="FH1" s="48" t="s">
        <v>163</v>
      </c>
      <c r="FI1" s="48" t="s">
        <v>164</v>
      </c>
      <c r="FJ1" s="48" t="s">
        <v>165</v>
      </c>
      <c r="FK1" s="48" t="s">
        <v>166</v>
      </c>
      <c r="FL1" s="48" t="s">
        <v>167</v>
      </c>
      <c r="FM1" s="48" t="s">
        <v>168</v>
      </c>
      <c r="FN1" s="48" t="s">
        <v>169</v>
      </c>
      <c r="FO1" s="48" t="s">
        <v>170</v>
      </c>
      <c r="FP1" s="48" t="s">
        <v>171</v>
      </c>
      <c r="FQ1" s="48" t="s">
        <v>10188</v>
      </c>
      <c r="FR1" s="48" t="s">
        <v>173</v>
      </c>
      <c r="FS1" s="48" t="s">
        <v>174</v>
      </c>
      <c r="FT1" s="48" t="s">
        <v>175</v>
      </c>
      <c r="FU1" s="48" t="s">
        <v>176</v>
      </c>
      <c r="FV1" s="48" t="s">
        <v>177</v>
      </c>
      <c r="FW1" s="48" t="s">
        <v>178</v>
      </c>
      <c r="FX1" s="48" t="s">
        <v>179</v>
      </c>
      <c r="FY1" s="48" t="s">
        <v>180</v>
      </c>
      <c r="FZ1" s="48" t="s">
        <v>181</v>
      </c>
      <c r="GA1" s="48" t="s">
        <v>182</v>
      </c>
      <c r="GB1" s="48" t="s">
        <v>10423</v>
      </c>
      <c r="GC1" s="48" t="s">
        <v>184</v>
      </c>
      <c r="GD1" s="48" t="s">
        <v>185</v>
      </c>
      <c r="GE1" s="49" t="s">
        <v>186</v>
      </c>
      <c r="GF1" s="49" t="s">
        <v>187</v>
      </c>
      <c r="GG1" s="49" t="s">
        <v>10205</v>
      </c>
      <c r="GH1" s="49" t="s">
        <v>10207</v>
      </c>
      <c r="GI1" s="49" t="s">
        <v>10209</v>
      </c>
      <c r="GJ1" s="49" t="s">
        <v>191</v>
      </c>
      <c r="GK1" s="49" t="s">
        <v>10212</v>
      </c>
      <c r="GL1" s="49" t="s">
        <v>10214</v>
      </c>
      <c r="GM1" s="49" t="s">
        <v>10424</v>
      </c>
      <c r="GN1" s="49" t="s">
        <v>195</v>
      </c>
      <c r="GO1" s="49" t="s">
        <v>196</v>
      </c>
      <c r="GP1" s="49" t="s">
        <v>197</v>
      </c>
      <c r="GQ1" s="49" t="s">
        <v>198</v>
      </c>
      <c r="GR1" s="49" t="s">
        <v>199</v>
      </c>
      <c r="GS1" s="49" t="s">
        <v>200</v>
      </c>
      <c r="GT1" s="49" t="s">
        <v>201</v>
      </c>
      <c r="GU1" s="49" t="s">
        <v>202</v>
      </c>
      <c r="GV1" s="50"/>
      <c r="GW1" s="50"/>
      <c r="GX1" s="50"/>
      <c r="GY1" s="50"/>
      <c r="GZ1" s="50"/>
    </row>
    <row r="2">
      <c r="A2" s="40">
        <v>45854.43201237269</v>
      </c>
      <c r="B2" s="35" t="s">
        <v>368</v>
      </c>
      <c r="C2" s="35" t="s">
        <v>370</v>
      </c>
      <c r="D2" s="35" t="s">
        <v>370</v>
      </c>
      <c r="E2" s="35" t="s">
        <v>3955</v>
      </c>
      <c r="F2" s="35" t="s">
        <v>589</v>
      </c>
      <c r="G2" s="35" t="s">
        <v>422</v>
      </c>
      <c r="H2" s="35" t="s">
        <v>496</v>
      </c>
      <c r="I2" s="35" t="s">
        <v>374</v>
      </c>
      <c r="J2" s="35" t="s">
        <v>718</v>
      </c>
      <c r="K2" s="35" t="s">
        <v>376</v>
      </c>
      <c r="L2" s="35" t="s">
        <v>793</v>
      </c>
      <c r="M2" s="35" t="s">
        <v>378</v>
      </c>
      <c r="N2" s="35" t="s">
        <v>670</v>
      </c>
      <c r="O2" s="35" t="s">
        <v>720</v>
      </c>
      <c r="P2" s="35" t="s">
        <v>1504</v>
      </c>
      <c r="Q2" s="35" t="s">
        <v>499</v>
      </c>
      <c r="R2" s="35" t="s">
        <v>427</v>
      </c>
      <c r="S2" s="35" t="s">
        <v>1785</v>
      </c>
      <c r="T2" s="35" t="s">
        <v>1786</v>
      </c>
      <c r="W2" s="35" t="s">
        <v>386</v>
      </c>
      <c r="X2" s="35" t="s">
        <v>1706</v>
      </c>
      <c r="AC2" s="35" t="s">
        <v>2055</v>
      </c>
      <c r="AD2" s="35" t="s">
        <v>2968</v>
      </c>
      <c r="AE2" s="35" t="s">
        <v>408</v>
      </c>
      <c r="AF2" s="35" t="s">
        <v>12187</v>
      </c>
      <c r="AG2" s="35">
        <v>5.0</v>
      </c>
      <c r="AH2" s="35" t="s">
        <v>1639</v>
      </c>
      <c r="AI2" s="35" t="s">
        <v>12188</v>
      </c>
      <c r="AJ2" s="35" t="s">
        <v>12189</v>
      </c>
      <c r="AK2" s="35" t="s">
        <v>1712</v>
      </c>
      <c r="ED2" s="35" t="s">
        <v>5138</v>
      </c>
      <c r="EE2" s="35" t="s">
        <v>12190</v>
      </c>
      <c r="EF2" s="35" t="s">
        <v>1211</v>
      </c>
      <c r="EG2" s="35" t="s">
        <v>5140</v>
      </c>
      <c r="EH2" s="35" t="s">
        <v>5141</v>
      </c>
      <c r="EI2" s="35" t="s">
        <v>5142</v>
      </c>
      <c r="EO2" s="35" t="s">
        <v>12191</v>
      </c>
      <c r="EP2" s="35" t="s">
        <v>12192</v>
      </c>
      <c r="EQ2" s="35" t="s">
        <v>12193</v>
      </c>
      <c r="ER2" s="35" t="s">
        <v>12194</v>
      </c>
      <c r="ES2" s="35" t="s">
        <v>12195</v>
      </c>
      <c r="EZ2" s="35" t="s">
        <v>583</v>
      </c>
      <c r="FA2" s="35" t="s">
        <v>583</v>
      </c>
      <c r="FB2" s="35" t="s">
        <v>414</v>
      </c>
      <c r="FC2" s="35" t="s">
        <v>583</v>
      </c>
      <c r="FD2" s="35" t="s">
        <v>414</v>
      </c>
      <c r="FE2" s="35" t="s">
        <v>583</v>
      </c>
      <c r="FF2" s="35" t="s">
        <v>414</v>
      </c>
      <c r="FG2" s="35" t="s">
        <v>583</v>
      </c>
      <c r="FH2" s="35" t="s">
        <v>416</v>
      </c>
      <c r="FI2" s="35" t="s">
        <v>583</v>
      </c>
      <c r="FJ2" s="35" t="s">
        <v>583</v>
      </c>
      <c r="FK2" s="35" t="s">
        <v>583</v>
      </c>
      <c r="FL2" s="35" t="s">
        <v>583</v>
      </c>
      <c r="FM2" s="35" t="s">
        <v>583</v>
      </c>
      <c r="FN2" s="35" t="s">
        <v>415</v>
      </c>
      <c r="FO2" s="35" t="s">
        <v>417</v>
      </c>
      <c r="FP2" s="35" t="s">
        <v>418</v>
      </c>
      <c r="FQ2" s="35" t="s">
        <v>630</v>
      </c>
      <c r="FR2" s="35" t="s">
        <v>12196</v>
      </c>
      <c r="FS2" s="35" t="s">
        <v>995</v>
      </c>
      <c r="FT2" s="35" t="s">
        <v>1476</v>
      </c>
      <c r="FU2" s="35" t="s">
        <v>489</v>
      </c>
      <c r="FV2" s="35" t="s">
        <v>490</v>
      </c>
      <c r="FW2" s="35" t="s">
        <v>491</v>
      </c>
      <c r="FX2" s="35" t="s">
        <v>12197</v>
      </c>
      <c r="FY2" s="35" t="s">
        <v>535</v>
      </c>
      <c r="FZ2" s="35" t="s">
        <v>12198</v>
      </c>
      <c r="GA2" s="35" t="s">
        <v>12199</v>
      </c>
      <c r="GB2" s="35" t="s">
        <v>455</v>
      </c>
      <c r="GC2" s="35"/>
      <c r="GE2" s="35" t="s">
        <v>1339</v>
      </c>
      <c r="GF2" s="35" t="s">
        <v>12200</v>
      </c>
      <c r="GQ2" s="35" t="s">
        <v>3273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10245</v>
      </c>
      <c r="B1" s="35" t="s">
        <v>10246</v>
      </c>
      <c r="C1" s="35" t="s">
        <v>10247</v>
      </c>
      <c r="D1" s="35" t="s">
        <v>10248</v>
      </c>
      <c r="E1" s="35" t="s">
        <v>10249</v>
      </c>
      <c r="F1" s="35" t="s">
        <v>10250</v>
      </c>
      <c r="G1" s="35" t="s">
        <v>10251</v>
      </c>
      <c r="H1" s="35" t="s">
        <v>10252</v>
      </c>
      <c r="I1" s="35" t="s">
        <v>10253</v>
      </c>
      <c r="J1" s="35" t="s">
        <v>10254</v>
      </c>
      <c r="K1" s="35" t="s">
        <v>10255</v>
      </c>
      <c r="L1" s="35" t="s">
        <v>10256</v>
      </c>
      <c r="M1" s="35" t="s">
        <v>10257</v>
      </c>
      <c r="N1" s="35" t="s">
        <v>10258</v>
      </c>
      <c r="O1" s="35" t="s">
        <v>10259</v>
      </c>
      <c r="P1" s="35" t="s">
        <v>10260</v>
      </c>
      <c r="Q1" s="35" t="s">
        <v>10261</v>
      </c>
      <c r="R1" s="35" t="s">
        <v>10262</v>
      </c>
      <c r="S1" s="35" t="s">
        <v>10263</v>
      </c>
      <c r="T1" s="35" t="s">
        <v>10264</v>
      </c>
      <c r="U1" s="35" t="s">
        <v>10265</v>
      </c>
      <c r="V1" s="35" t="s">
        <v>10266</v>
      </c>
      <c r="W1" s="35" t="s">
        <v>10267</v>
      </c>
      <c r="X1" s="35" t="s">
        <v>10268</v>
      </c>
      <c r="Y1" s="35" t="s">
        <v>10269</v>
      </c>
      <c r="Z1" s="35" t="s">
        <v>10270</v>
      </c>
      <c r="AA1" s="35" t="s">
        <v>10271</v>
      </c>
      <c r="AB1" s="35" t="s">
        <v>10272</v>
      </c>
      <c r="AC1" s="35" t="s">
        <v>10273</v>
      </c>
      <c r="AD1" s="35" t="s">
        <v>10274</v>
      </c>
      <c r="AE1" s="35" t="s">
        <v>10275</v>
      </c>
      <c r="AF1" s="35" t="s">
        <v>10398</v>
      </c>
      <c r="AG1" s="35" t="s">
        <v>10276</v>
      </c>
      <c r="AH1" s="35" t="s">
        <v>10150</v>
      </c>
      <c r="AI1" s="35" t="s">
        <v>10278</v>
      </c>
      <c r="AJ1" s="35" t="s">
        <v>10279</v>
      </c>
      <c r="AK1" s="35" t="s">
        <v>10280</v>
      </c>
      <c r="AL1" s="35" t="s">
        <v>10281</v>
      </c>
      <c r="AM1" s="35" t="s">
        <v>10282</v>
      </c>
      <c r="AN1" s="35" t="s">
        <v>10283</v>
      </c>
      <c r="AO1" s="35" t="s">
        <v>10284</v>
      </c>
      <c r="AP1" s="35" t="s">
        <v>10285</v>
      </c>
      <c r="AQ1" s="35" t="s">
        <v>10286</v>
      </c>
      <c r="AR1" s="35" t="s">
        <v>10287</v>
      </c>
      <c r="AS1" s="35" t="s">
        <v>10288</v>
      </c>
      <c r="AT1" s="35" t="s">
        <v>10289</v>
      </c>
      <c r="AU1" s="35" t="s">
        <v>10290</v>
      </c>
      <c r="AV1" s="35" t="s">
        <v>10291</v>
      </c>
      <c r="AW1" s="35" t="s">
        <v>10292</v>
      </c>
      <c r="AX1" s="35" t="s">
        <v>10293</v>
      </c>
      <c r="AY1" s="35" t="s">
        <v>10294</v>
      </c>
      <c r="AZ1" s="35" t="s">
        <v>10295</v>
      </c>
      <c r="BA1" s="35" t="s">
        <v>10297</v>
      </c>
      <c r="BB1" s="35" t="s">
        <v>10299</v>
      </c>
      <c r="BC1" s="35" t="s">
        <v>10300</v>
      </c>
      <c r="BD1" s="35" t="s">
        <v>10301</v>
      </c>
      <c r="BE1" s="35" t="s">
        <v>10303</v>
      </c>
      <c r="BF1" s="35" t="s">
        <v>10304</v>
      </c>
      <c r="BG1" s="35" t="s">
        <v>10305</v>
      </c>
      <c r="BH1" s="35" t="s">
        <v>10306</v>
      </c>
      <c r="BI1" s="35" t="s">
        <v>10307</v>
      </c>
      <c r="BJ1" s="35" t="s">
        <v>10308</v>
      </c>
      <c r="BK1" s="35" t="s">
        <v>10310</v>
      </c>
      <c r="BL1" s="35" t="s">
        <v>10311</v>
      </c>
      <c r="BM1" s="35" t="s">
        <v>10312</v>
      </c>
      <c r="BN1" s="35" t="s">
        <v>10313</v>
      </c>
      <c r="BO1" s="35" t="s">
        <v>10314</v>
      </c>
      <c r="BP1" s="35" t="s">
        <v>10315</v>
      </c>
      <c r="BQ1" s="35" t="s">
        <v>10316</v>
      </c>
      <c r="BR1" s="35" t="s">
        <v>10317</v>
      </c>
      <c r="BS1" s="35" t="s">
        <v>10318</v>
      </c>
      <c r="BT1" s="35" t="s">
        <v>10319</v>
      </c>
      <c r="BU1" s="35" t="s">
        <v>10320</v>
      </c>
      <c r="BV1" s="35" t="s">
        <v>10321</v>
      </c>
      <c r="BW1" s="35" t="s">
        <v>10322</v>
      </c>
      <c r="BX1" s="35" t="s">
        <v>10323</v>
      </c>
      <c r="BY1" s="35" t="s">
        <v>10324</v>
      </c>
      <c r="BZ1" s="35" t="s">
        <v>10325</v>
      </c>
      <c r="CA1" s="35" t="s">
        <v>10326</v>
      </c>
      <c r="CB1" s="35" t="s">
        <v>10327</v>
      </c>
      <c r="CC1" s="35" t="s">
        <v>10328</v>
      </c>
      <c r="CD1" s="35" t="s">
        <v>10329</v>
      </c>
      <c r="CE1" s="35" t="s">
        <v>10330</v>
      </c>
      <c r="CF1" s="35" t="s">
        <v>10331</v>
      </c>
      <c r="CG1" s="35" t="s">
        <v>10332</v>
      </c>
      <c r="CH1" s="35" t="s">
        <v>10333</v>
      </c>
      <c r="CI1" s="35" t="s">
        <v>10335</v>
      </c>
      <c r="CJ1" s="35" t="s">
        <v>10337</v>
      </c>
      <c r="CK1" s="35" t="s">
        <v>10339</v>
      </c>
      <c r="CL1" s="35" t="s">
        <v>10341</v>
      </c>
      <c r="CM1" s="35" t="s">
        <v>10342</v>
      </c>
      <c r="CN1" s="35" t="s">
        <v>10343</v>
      </c>
      <c r="CO1" s="35" t="s">
        <v>10344</v>
      </c>
      <c r="CP1" s="35" t="s">
        <v>10345</v>
      </c>
      <c r="CQ1" s="35" t="s">
        <v>10346</v>
      </c>
      <c r="CR1" s="35" t="s">
        <v>10347</v>
      </c>
      <c r="CS1" s="35" t="s">
        <v>10348</v>
      </c>
      <c r="CT1" s="35" t="s">
        <v>10349</v>
      </c>
      <c r="CU1" s="35" t="s">
        <v>10350</v>
      </c>
      <c r="CV1" s="35" t="s">
        <v>10351</v>
      </c>
      <c r="CW1" s="35" t="s">
        <v>10353</v>
      </c>
      <c r="CX1" s="35" t="s">
        <v>10354</v>
      </c>
      <c r="CY1" s="35" t="s">
        <v>10355</v>
      </c>
      <c r="CZ1" s="35" t="s">
        <v>10356</v>
      </c>
      <c r="DA1" s="35" t="s">
        <v>10357</v>
      </c>
      <c r="DB1" s="35" t="s">
        <v>10358</v>
      </c>
      <c r="DC1" s="35" t="s">
        <v>10359</v>
      </c>
      <c r="DD1" s="35" t="s">
        <v>10360</v>
      </c>
      <c r="DE1" s="35" t="s">
        <v>10361</v>
      </c>
      <c r="DF1" s="35" t="s">
        <v>10362</v>
      </c>
      <c r="DG1" s="35" t="s">
        <v>10363</v>
      </c>
      <c r="DH1" s="35" t="s">
        <v>10364</v>
      </c>
      <c r="DI1" s="35" t="s">
        <v>10365</v>
      </c>
      <c r="DJ1" s="35" t="s">
        <v>10366</v>
      </c>
      <c r="DK1" s="35" t="s">
        <v>10367</v>
      </c>
      <c r="DL1" s="35" t="s">
        <v>10368</v>
      </c>
      <c r="DM1" s="35" t="s">
        <v>10369</v>
      </c>
      <c r="DN1" s="35" t="s">
        <v>10370</v>
      </c>
      <c r="DO1" s="35" t="s">
        <v>10371</v>
      </c>
      <c r="DP1" s="35" t="s">
        <v>10372</v>
      </c>
      <c r="DQ1" s="35" t="s">
        <v>10373</v>
      </c>
      <c r="DR1" s="35" t="s">
        <v>10374</v>
      </c>
      <c r="DS1" s="35" t="s">
        <v>10375</v>
      </c>
      <c r="DT1" s="35" t="s">
        <v>10376</v>
      </c>
      <c r="DU1" s="35" t="s">
        <v>10377</v>
      </c>
      <c r="DV1" s="35" t="s">
        <v>10378</v>
      </c>
      <c r="DW1" s="35" t="s">
        <v>10379</v>
      </c>
      <c r="DX1" s="35" t="s">
        <v>10380</v>
      </c>
      <c r="DY1" s="35" t="s">
        <v>10381</v>
      </c>
      <c r="DZ1" s="35" t="s">
        <v>10382</v>
      </c>
      <c r="EA1" s="35" t="s">
        <v>10384</v>
      </c>
      <c r="EB1" s="35" t="s">
        <v>10386</v>
      </c>
      <c r="EC1" s="35" t="s">
        <v>10388</v>
      </c>
      <c r="ED1" s="35" t="s">
        <v>10390</v>
      </c>
      <c r="EE1" s="35" t="s">
        <v>10392</v>
      </c>
      <c r="EF1" s="35" t="s">
        <v>10394</v>
      </c>
      <c r="EG1" s="35" t="s">
        <v>10395</v>
      </c>
      <c r="EH1" s="35" t="s">
        <v>10396</v>
      </c>
    </row>
  </sheetData>
  <drawing r:id="rId1"/>
</worksheet>
</file>